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Job" sheetId="2" state="visible" r:id="rId2"/>
    <sheet xmlns:r="http://schemas.openxmlformats.org/officeDocument/2006/relationships" name="Takeoff" sheetId="3" state="visible" r:id="rId3"/>
    <sheet xmlns:r="http://schemas.openxmlformats.org/officeDocument/2006/relationships" name="Elevation" sheetId="4" state="visible" r:id="rId4"/>
    <sheet xmlns:r="http://schemas.openxmlformats.org/officeDocument/2006/relationships" name="Elevations" sheetId="5" state="visible" r:id="rId5"/>
    <sheet xmlns:r="http://schemas.openxmlformats.org/officeDocument/2006/relationships" name="Door Schedule" sheetId="6" state="visible" r:id="rId6"/>
    <sheet xmlns:r="http://schemas.openxmlformats.org/officeDocument/2006/relationships" name="HW Sets" sheetId="7" state="visible" r:id="rId7"/>
    <sheet xmlns:r="http://schemas.openxmlformats.org/officeDocument/2006/relationships" name="HW Schedule" sheetId="8" state="visible" r:id="rId8"/>
    <sheet xmlns:r="http://schemas.openxmlformats.org/officeDocument/2006/relationships" name="Supplier Order" sheetId="9" state="visible" r:id="rId9"/>
    <sheet xmlns:r="http://schemas.openxmlformats.org/officeDocument/2006/relationships" name="Frame order" sheetId="10" state="visible" r:id="rId10"/>
    <sheet xmlns:r="http://schemas.openxmlformats.org/officeDocument/2006/relationships" name="Door order" sheetId="11" state="visible" r:id="rId11"/>
    <sheet xmlns:r="http://schemas.openxmlformats.org/officeDocument/2006/relationships" name="Summary" sheetId="12" state="visible" r:id="rId12"/>
    <sheet xmlns:r="http://schemas.openxmlformats.org/officeDocument/2006/relationships" name="Reference" sheetId="13" state="visible" r:id="rId13"/>
    <sheet xmlns:r="http://schemas.openxmlformats.org/officeDocument/2006/relationships" name="Lists" sheetId="14" state="visible" r:id="rId14"/>
    <sheet xmlns:r="http://schemas.openxmlformats.org/officeDocument/2006/relationships" name="Codes" sheetId="15" state="visible" r:id="rId15"/>
    <sheet xmlns:r="http://schemas.openxmlformats.org/officeDocument/2006/relationships" name="ElevCalc" sheetId="16" state="hidden" r:id="rId16"/>
  </sheets>
  <definedNames>
    <definedName name="Scope">Lists!$A$5:$A$7</definedName>
    <definedName name="Floor">Lists!$B$5:$B$15</definedName>
    <definedName name="Category">Lists!$C$5:$C$6</definedName>
    <definedName name="FireRating">Lists!$D$5:$D$10</definedName>
    <definedName name="FrameType">Lists!$E$5:$E$10</definedName>
    <definedName name="Profile">Lists!$F$5:$F$8</definedName>
    <definedName name="JambDepth">Lists!$G$5:$G$77</definedName>
    <definedName name="GaugeFrame">Lists!$H$5:$H$6</definedName>
    <definedName name="SteelType">Lists!$I$5:$I$8</definedName>
    <definedName name="Construction">Lists!$J$5:$J$6</definedName>
    <definedName name="AnchorType">Lists!$K$5:$K$12</definedName>
    <definedName name="Handing">Lists!$L$5:$L$20</definedName>
    <definedName name="YesNo">Lists!$M$5:$M$6</definedName>
    <definedName name="Manufacturer">Lists!$N$5:$N$6</definedName>
    <definedName name="HingePrep">Lists!$O$5:$O$12</definedName>
    <definedName name="StrikePrep">Lists!$P$5:$P$15</definedName>
    <definedName name="HeaderPrep">Lists!$Q$5:$Q$9</definedName>
    <definedName name="CloserPrep">Lists!$R$5:$R$11</definedName>
    <definedName name="DoorMaterial">Lists!$S$5:$S$14</definedName>
    <definedName name="GaugeDoor">Lists!$T$5:$T$7</definedName>
    <definedName name="WoodCore">Lists!$U$5:$U$8</definedName>
    <definedName name="FaceType">Lists!$V$5:$V$23</definedName>
    <definedName name="ManufLoc">Lists!$W$5:$W$15</definedName>
    <definedName name="LockPrep">Lists!$X$5:$X$27</definedName>
    <definedName name="Edge">Lists!$Y$5:$Y$8</definedName>
    <definedName name="Astragal">Lists!$Z$5:$Z$6</definedName>
    <definedName name="Series">Lists!$AA$5:$AA$11</definedName>
    <definedName name="WoodFinish">Lists!$AB$5:$AB$12</definedName>
    <definedName name="WallType">Lists!$AD$5:$AD$12</definedName>
    <definedName name="WallHR">Lists!$AE$5:$AE$11</definedName>
    <definedName name="SLSide">Lists!$AF$5:$AF$7</definedName>
    <definedName name="HingeSize">Lists!$AG$5:$AG$7</definedName>
    <definedName name="HingeQty">Lists!$AH$5:$AH$9</definedName>
    <definedName name="HWUnit">Lists!$AI$5:$AI$9</definedName>
    <definedName name="HWItem">Lists!$AJ$5:$AJ$39</definedName>
    <definedName name="HWFinish">Lists!$AK$5:$AK$17</definedName>
    <definedName name="IBC">Lists!$AM$5:$AN$23</definedName>
    <definedName name="CODES">Codes!$A$5:$B$400</definedName>
    <definedName name="LocTable">Reference!$B$7:$I$33</definedName>
    <definedName name="LocKeys">Reference!$B$7:$B$33</definedName>
    <definedName name="JobName">Job!$C$6</definedName>
    <definedName name="JobNo">Job!$C$7</definedName>
    <definedName name="JobAddress">Job!$C$8</definedName>
    <definedName name="JobGC">Job!$C$9</definedName>
    <definedName name="JobArch">Job!$C$10</definedName>
    <definedName name="JobEst">Job!$C$11</definedName>
    <definedName name="JobDate">Job!$C$12</definedName>
    <definedName name="JobBid">Job!$C$13</definedName>
    <definedName name="JobSupplier">Job!$C$14</definedName>
    <definedName name="JobRev">Job!$C$15</definedName>
    <definedName name="JobDocs">Job!$C$16</definedName>
    <definedName name="FaceW">Job!$C$20</definedName>
    <definedName name="EdgeClr">Job!$C$21</definedName>
    <definedName name="MeetClr">Job!$C$22</definedName>
    <definedName name="HeadClr">Job!$C$23</definedName>
    <definedName name="Undercut">Job!$C$24</definedName>
    <definedName name="ROSide">Job!$C$25</definedName>
    <definedName name="ROTop">Job!$C$26</definedName>
    <definedName name="ClearDeduct">Job!$C$27</definedName>
    <definedName name="LockAFF">Job!$C$28</definedName>
    <definedName name="tk_MARK">Takeoff!$A$6:$A$505</definedName>
    <definedName name="tk_QTY">Takeoff!$B$6:$B$505</definedName>
    <definedName name="tk_SCOPE">Takeoff!$C$6:$C$505</definedName>
    <definedName name="tk_FLOOR">Takeoff!$D$6:$D$505</definedName>
    <definedName name="tk_CAT">Takeoff!$E$6:$E$505</definedName>
    <definedName name="tk_ROOMF">Takeoff!$F$6:$F$505</definedName>
    <definedName name="tk_ROOMT">Takeoff!$G$6:$G$505</definedName>
    <definedName name="tk_RATING">Takeoff!$H$6:$H$505</definedName>
    <definedName name="tk_WALL">Takeoff!$I$6:$I$505</definedName>
    <definedName name="tk_WALLHR">Takeoff!$J$6:$J$505</definedName>
    <definedName name="tk_WFT">Takeoff!$K$6:$K$505</definedName>
    <definedName name="tk_WIN">Takeoff!$L$6:$L$505</definedName>
    <definedName name="tk_HFT">Takeoff!$M$6:$M$505</definedName>
    <definedName name="tk_HIN">Takeoff!$N$6:$N$505</definedName>
    <definedName name="tk_PAIR">Takeoff!$O$6:$O$505</definedName>
    <definedName name="tk_TRANS">Takeoff!$P$6:$P$505</definedName>
    <definedName name="tk_SLW">Takeoff!$Q$6:$Q$505</definedName>
    <definedName name="tk_SLSIDE">Takeoff!$R$6:$R$505</definedName>
    <definedName name="tk_FDESC">Takeoff!$S$6:$S$505</definedName>
    <definedName name="tk_PROFILE">Takeoff!$T$6:$T$505</definedName>
    <definedName name="tk_JAMB">Takeoff!$U$6:$U$505</definedName>
    <definedName name="tk_FGA">Takeoff!$V$6:$V$505</definedName>
    <definedName name="tk_STEEL">Takeoff!$W$6:$W$505</definedName>
    <definedName name="tk_CONSTR">Takeoff!$X$6:$X$505</definedName>
    <definedName name="tk_ANCHOR">Takeoff!$Y$6:$Y$505</definedName>
    <definedName name="tk_HAND">Takeoff!$Z$6:$Z$505</definedName>
    <definedName name="tk_MANUF">Takeoff!$AA$6:$AA$505</definedName>
    <definedName name="tk_HEAD4">Takeoff!$AB$6:$AB$505</definedName>
    <definedName name="tk_FHINGE">Takeoff!$AC$6:$AC$505</definedName>
    <definedName name="tk_STRIKE">Takeoff!$AD$6:$AD$505</definedName>
    <definedName name="tk_HDRPREP">Takeoff!$AE$6:$AE$505</definedName>
    <definedName name="tk_CLOSER">Takeoff!$AF$6:$AF$505</definedName>
    <definedName name="tk_FNOTES">Takeoff!$AG$6:$AG$505</definedName>
    <definedName name="tk_DMAT">Takeoff!$AH$6:$AH$505</definedName>
    <definedName name="tk_DGA">Takeoff!$AI$6:$AI$505</definedName>
    <definedName name="tk_CORE">Takeoff!$AJ$6:$AJ$505</definedName>
    <definedName name="tk_FINISH">Takeoff!$AK$6:$AK$505</definedName>
    <definedName name="tk_FACE">Takeoff!$AL$6:$AL$505</definedName>
    <definedName name="tk_SERIES">Takeoff!$AM$6:$AM$505</definedName>
    <definedName name="tk_DHAND">Takeoff!$AN$6:$AN$505</definedName>
    <definedName name="tk_DHINGE">Takeoff!$AO$6:$AO$505</definedName>
    <definedName name="tk_LOCK">Takeoff!$AP$6:$AP$505</definedName>
    <definedName name="tk_EDGE">Takeoff!$AQ$6:$AQ$505</definedName>
    <definedName name="tk_ASTR">Takeoff!$AR$6:$AR$505</definedName>
    <definedName name="tk_DNOTES">Takeoff!$AS$6:$AS$505</definedName>
    <definedName name="tk_HWLOC">Takeoff!$AT$6:$AT$505</definedName>
    <definedName name="tk_HSIZE">Takeoff!$AU$6:$AU$505</definedName>
    <definedName name="tk_HQTY">Takeoff!$AV$6:$AV$505</definedName>
    <definedName name="tk_LA">Takeoff!$AW$6:$AW$505</definedName>
    <definedName name="tk_LB">Takeoff!$AX$6:$AX$505</definedName>
    <definedName name="tk_LC">Takeoff!$AY$6:$AY$505</definedName>
    <definedName name="tk_LD">Takeoff!$AZ$6:$AZ$505</definedName>
    <definedName name="tk_LE">Takeoff!$BA$6:$BA$505</definedName>
    <definedName name="tk_HWSET">Takeoff!$BB$6:$BB$505</definedName>
    <definedName name="tk_HWNOTES">Takeoff!$BC$6:$BC$505</definedName>
    <definedName name="tk_CHECK">Takeoff!$BD$6:$BD$505</definedName>
    <definedName name="tk_WHY">Takeoff!$BE$6:$BE$505</definedName>
    <definedName name="tk_SIZE">Takeoff!$BF$6:$BF$505</definedName>
    <definedName name="tk_CODE">Takeoff!$BG$6:$BG$505</definedName>
    <definedName name="tk_WI">Takeoff!$BH$6:$BH$505</definedName>
    <definedName name="tk_HI">Takeoff!$BI$6:$BI$505</definedName>
    <definedName name="tk_LEAVES">Takeoff!$BJ$6:$BJ$505</definedName>
    <definedName name="tk_LEAFW">Takeoff!$BK$6:$BK$505</definedName>
    <definedName name="tk_LEAFH">Takeoff!$BL$6:$BL$505</definedName>
    <definedName name="tk_OAW">Takeoff!$BM$6:$BM$505</definedName>
    <definedName name="tk_OAH">Takeoff!$BN$6:$BN$505</definedName>
    <definedName name="tk_ROW">Takeoff!$BO$6:$BO$505</definedName>
    <definedName name="tk_ROH">Takeoff!$BP$6:$BP$505</definedName>
    <definedName name="tk_CLEARW">Takeoff!$BQ$6:$BQ$505</definedName>
    <definedName name="tk_LABEL">Takeoff!$BR$6:$BR$505</definedName>
    <definedName name="tk_HINGES">Takeoff!$BS$6:$BS$505</definedName>
    <definedName name="tk_LSRC">Takeoff!$BT$6:$BT$505</definedName>
    <definedName name="tk_H1">Takeoff!$BU$6:$BU$505</definedName>
    <definedName name="tk_H2">Takeoff!$BV$6:$BV$505</definedName>
    <definedName name="tk_H3">Takeoff!$BW$6:$BW$505</definedName>
    <definedName name="tk_H4">Takeoff!$BX$6:$BX$505</definedName>
    <definedName name="tk_H5">Takeoff!$BY$6:$BY$505</definedName>
    <definedName name="tk_HE">Takeoff!$BZ$6:$BZ$505</definedName>
    <definedName name="tk_LOCKAFF">Takeoff!$CA$6:$CA$505</definedName>
    <definedName name="tk_ANCH">Takeoff!$CB$6:$CB$505</definedName>
    <definedName name="tk_ANCHT">Takeoff!$CC$6:$CC$505</definedName>
    <definedName name="tk_BASEA">Takeoff!$CD$6:$CD$505</definedName>
    <definedName name="tk_LITEKIT">Takeoff!$CE$6:$CE$505</definedName>
    <definedName name="tk_LITEW">Takeoff!$CF$6:$CF$505</definedName>
    <definedName name="tk_LITEH">Takeoff!$CG$6:$CG$505</definedName>
    <definedName name="tk_DMIN">Takeoff!$CH$6:$CH$505</definedName>
    <definedName name="tk_REQ">Takeoff!$CI$6:$CI$505</definedName>
    <definedName name="tk_FLINE">Takeoff!$CJ$6:$CJ$505</definedName>
    <definedName name="tk_DLINE">Takeoff!$CK$6:$CK$505</definedName>
    <definedName name="tk_ETYPE">Takeoff!$CL$6:$CL$505</definedName>
    <definedName name="tk_FSEQ">Takeoff!$CM$6:$CM$505</definedName>
    <definedName name="tk_DSEQ">Takeoff!$CN$6:$CN$505</definedName>
    <definedName name="tk_ASEQ">Takeoff!$CO$6:$CO$505</definedName>
    <definedName name="tk_EKEY">Takeoff!$CP$6:$CP$505</definedName>
    <definedName name="tk_NH">Takeoff!$CQ$6:$CQ$505</definedName>
    <definedName name="tk_HL">Takeoff!$CR$6:$CR$505</definedName>
    <definedName name="tk_NOHINGE">Takeoff!$CS$6:$CS$505</definedName>
    <definedName name="tk_LCUST">Takeoff!$CT$6:$CT$505</definedName>
    <definedName name="tk_LKEY">Takeoff!$CU$6:$CU$505</definedName>
    <definedName name="tk_LIN">Takeoff!$CV$6:$CV$505</definedName>
    <definedName name="tk_LFIRST">Takeoff!$CW$6:$CW$505</definedName>
    <definedName name="tk_LLAST">Takeoff!$CX$6:$CX$505</definedName>
    <definedName name="tk_LOCTXT">Takeoff!$CY$6:$CY$505</definedName>
    <definedName name="tk_LOCTXTD">Takeoff!$CZ$6:$CZ$505</definedName>
    <definedName name="tk_HLEG">Takeoff!$DA$6:$DA$505</definedName>
    <definedName name="tk_JH">Takeoff!$DB$6:$DB$505</definedName>
    <definedName name="tk_SOITEM">Takeoff!$DC$6:$DC$505</definedName>
    <definedName name="tk_FLINEN">Takeoff!$DD$6:$DD$505</definedName>
    <definedName name="tk_DLINEN">Takeoff!$DE$6:$DE$505</definedName>
    <definedName name="tk_SOFK">Takeoff!$DF$6:$DF$505</definedName>
    <definedName name="tk_SOFG">Takeoff!$DG$6:$DG$505</definedName>
    <definedName name="tk_SODK">Takeoff!$DH$6:$DH$505</definedName>
    <definedName name="tk_SODG">Takeoff!$DI$6:$DI$505</definedName>
    <definedName name="tk_ERRS">Takeoff!$DJ$6:$DJ$505</definedName>
    <definedName name="tk_WARNS">Takeoff!$DK$6:$DK$505</definedName>
    <definedName name="HWSets">OFFSET('HW Sets'!$M$7,0,0,MAX(1,COUNT('HW Sets'!$T$7:$T$306)),1)</definedName>
    <definedName name="_xlnm.Print_Area" localSheetId="0">'Start'!$A$1:$G$53</definedName>
    <definedName name="_xlnm.Print_Area" localSheetId="1">'Job'!$A$1:$E$29</definedName>
    <definedName name="_xlnm._FilterDatabase" localSheetId="2" hidden="1">'Takeoff'!$A$5:$CK$505</definedName>
    <definedName name="_xlnm.Print_Titles" localSheetId="2">'Takeoff'!$4:$5</definedName>
    <definedName name="_xlnm.Print_Area" localSheetId="2">'Takeoff'!$A$1:$CK$505</definedName>
    <definedName name="_xlnm.Print_Area" localSheetId="3">'Elevation'!$A$1:$S$50</definedName>
    <definedName name="_xlnm.Print_Area" localSheetId="4">'Elevations'!$A$1:$V$62</definedName>
    <definedName name="_xlnm.Print_Area" localSheetId="5">OFFSET('Door Schedule'!$A$1,0,0,6+MAX(1,COUNT(tk_ASEQ)),23)</definedName>
    <definedName name="_xlnm.Print_Titles" localSheetId="5">'Door Schedule'!$5:$6</definedName>
    <definedName name="_xlnm.Print_Area" localSheetId="6">OFFSET('HW Sets'!$A$1,0,0,6+MAX(1,COUNTA('HW Sets'!$E$7:$E$306)),11)</definedName>
    <definedName name="_xlnm.Print_Titles" localSheetId="7">'HW Schedule'!$6:$6</definedName>
    <definedName name="_xlnm.Print_Titles" localSheetId="8">'Supplier Order'!$6:$6</definedName>
    <definedName name="_xlnm.Print_Area" localSheetId="9">OFFSET('Frame order'!$A$1,0,0,5+MAX(1,COUNT(tk_FSEQ)),10)</definedName>
    <definedName name="_xlnm.Print_Titles" localSheetId="9">'Frame order'!$5:$5</definedName>
    <definedName name="_xlnm.Print_Area" localSheetId="10">OFFSET('Door order'!$A$1,0,0,5+MAX(1,COUNT(tk_DSEQ)),9)</definedName>
    <definedName name="_xlnm.Print_Titles" localSheetId="10">'Door order'!$5:$5</definedName>
  </definedNames>
  <calcPr calcId="124519" fullCalcOnLoad="1"/>
</workbook>
</file>

<file path=xl/styles.xml><?xml version="1.0" encoding="utf-8"?>
<styleSheet xmlns="http://schemas.openxmlformats.org/spreadsheetml/2006/main">
  <numFmts count="8">
    <numFmt numFmtId="164" formatCode="0.0###"/>
    <numFmt numFmtId="165" formatCode="mmmm d, yyyy"/>
    <numFmt numFmtId="166" formatCode="0.000"/>
    <numFmt numFmtId="167" formatCode="# ?/16"/>
    <numFmt numFmtId="168" formatCode="0.0"/>
    <numFmt numFmtId="169" formatCode="0;-0;&quot;-&quot;"/>
    <numFmt numFmtId="170" formatCode="0&quot; MIN&quot;"/>
    <numFmt numFmtId="171" formatCode="0.0&quot; sq ft&quot;"/>
  </numFmts>
  <fonts count="59">
    <font>
      <name val="Calibri"/>
      <family val="2"/>
      <color theme="1"/>
      <sz val="11"/>
      <scheme val="minor"/>
    </font>
    <font>
      <name val="Arial"/>
      <b val="1"/>
      <color rgb="00FFFFFF"/>
      <sz val="17"/>
    </font>
    <font>
      <name val="Arial"/>
      <i val="1"/>
      <color rgb="00C9D6E3"/>
      <sz val="9"/>
    </font>
    <font>
      <name val="Arial"/>
      <b val="1"/>
      <color rgb="00FFFFFF"/>
      <sz val="10"/>
    </font>
    <font>
      <name val="Arial"/>
      <color rgb="00C9D6E3"/>
      <sz val="9"/>
    </font>
    <font>
      <name val="Arial"/>
      <b val="1"/>
      <color rgb="00FFFFFF"/>
      <sz val="8"/>
    </font>
    <font>
      <name val="Arial"/>
      <i val="1"/>
      <color rgb="007B8794"/>
      <sz val="8"/>
    </font>
    <font>
      <name val="Arial"/>
      <color rgb="000B3D91"/>
      <sz val="9"/>
    </font>
    <font>
      <name val="Arial"/>
      <b val="1"/>
      <color rgb="00FFFFFF"/>
      <sz val="9"/>
    </font>
    <font>
      <name val="Arial"/>
      <color rgb="001F2933"/>
      <sz val="9"/>
    </font>
    <font>
      <name val="Arial"/>
      <color rgb="009AA5B1"/>
      <sz val="7"/>
    </font>
    <font>
      <name val="Arial"/>
      <b val="1"/>
      <color rgb="001F2933"/>
      <sz val="9"/>
    </font>
    <font>
      <name val="Arial"/>
      <i val="1"/>
      <color rgb="005B6770"/>
      <sz val="8"/>
    </font>
    <font>
      <name val="Arial"/>
      <b val="1"/>
      <color rgb="005B6770"/>
      <sz val="10"/>
    </font>
    <font>
      <name val="Arial"/>
      <b val="1"/>
      <color rgb="000B3D91"/>
      <sz val="11"/>
    </font>
    <font>
      <name val="Arial"/>
      <color rgb="005B6770"/>
      <sz val="10"/>
    </font>
    <font>
      <name val="Arial"/>
      <b val="1"/>
      <color rgb="00FFFFFF"/>
      <sz val="16"/>
    </font>
    <font>
      <name val="Arial"/>
      <b val="1"/>
      <color rgb="00FFD27A"/>
      <sz val="10"/>
    </font>
    <font>
      <name val="Arial"/>
      <color rgb="000B3D91"/>
      <sz val="10"/>
    </font>
    <font>
      <name val="Arial"/>
      <color rgb="0037424D"/>
      <sz val="9"/>
    </font>
    <font>
      <name val="Arial"/>
      <b val="1"/>
      <color rgb="000B3D91"/>
      <sz val="10"/>
    </font>
    <font>
      <name val="Arial"/>
      <color rgb="0037424D"/>
      <sz val="8"/>
    </font>
    <font>
      <name val="Arial"/>
      <b val="1"/>
      <color rgb="000E6E6E"/>
      <sz val="9"/>
    </font>
    <font>
      <name val="Arial"/>
      <b val="1"/>
      <color rgb="000B3D91"/>
      <sz val="9"/>
    </font>
    <font>
      <name val="Arial"/>
      <color rgb="009AA5B1"/>
      <sz val="8"/>
    </font>
    <font>
      <name val="Arial"/>
      <b val="1"/>
      <color rgb="0037424D"/>
      <sz val="9"/>
    </font>
    <font>
      <name val="Arial"/>
      <b val="1"/>
      <color rgb="005B6770"/>
      <sz val="9"/>
    </font>
    <font>
      <name val="Arial"/>
      <b val="1"/>
      <color rgb="0014304A"/>
      <sz val="9"/>
    </font>
    <font>
      <name val="Arial"/>
      <color rgb="001F2933"/>
      <sz val="8"/>
    </font>
    <font>
      <name val="Arial"/>
      <color rgb="005B6770"/>
      <sz val="8"/>
    </font>
    <font>
      <name val="Arial"/>
      <b val="1"/>
      <color rgb="001F4E79"/>
      <sz val="22"/>
    </font>
    <font>
      <name val="Arial"/>
      <b val="1"/>
      <color rgb="002E6B4F"/>
      <sz val="22"/>
    </font>
    <font>
      <name val="Arial"/>
      <b val="1"/>
      <color rgb="008A5A1C"/>
      <sz val="22"/>
    </font>
    <font>
      <name val="Arial"/>
      <b val="1"/>
      <color rgb="00B23A1C"/>
      <sz val="22"/>
    </font>
    <font>
      <name val="Arial"/>
      <b val="1"/>
      <color rgb="00A61B1B"/>
      <sz val="22"/>
    </font>
    <font>
      <name val="Arial"/>
      <b val="1"/>
      <color rgb="00C07F00"/>
      <sz val="22"/>
    </font>
    <font>
      <name val="Arial"/>
      <b val="1"/>
      <color rgb="000E6E6E"/>
      <sz val="22"/>
    </font>
    <font>
      <name val="Arial"/>
      <i val="1"/>
      <color rgb="009AA5B1"/>
      <sz val="7"/>
    </font>
    <font>
      <name val="Arial"/>
      <color rgb="001F2933"/>
      <sz val="10"/>
    </font>
    <font>
      <name val="Arial"/>
      <b val="1"/>
      <color rgb="001F2933"/>
      <sz val="10"/>
    </font>
    <font>
      <name val="Arial"/>
      <b val="1"/>
      <color rgb="002B7BB9"/>
      <sz val="16"/>
    </font>
    <font>
      <name val="Arial"/>
      <b val="1"/>
      <color rgb="0014304A"/>
      <sz val="11"/>
    </font>
    <font>
      <name val="Arial"/>
      <b val="1"/>
      <color rgb="000B3D91"/>
      <sz val="18"/>
    </font>
    <font>
      <name val="Arial"/>
      <b val="1"/>
      <color rgb="0014304A"/>
      <sz val="13"/>
    </font>
    <font>
      <name val="Arial"/>
      <b val="1"/>
      <color rgb="005B6770"/>
      <sz val="8"/>
    </font>
    <font>
      <name val="Arial"/>
      <b val="1"/>
      <color rgb="000E6E6E"/>
      <sz val="10"/>
    </font>
    <font>
      <name val="Arial"/>
      <b val="1"/>
      <color rgb="005B6770"/>
      <sz val="7"/>
    </font>
    <font>
      <name val="Arial"/>
      <b val="1"/>
      <color rgb="00B23A1C"/>
      <sz val="10"/>
    </font>
    <font>
      <name val="Arial"/>
      <i val="1"/>
      <color rgb="005B6770"/>
      <sz val="7"/>
    </font>
    <font>
      <name val="Arial"/>
      <b val="1"/>
      <color rgb="000B3D91"/>
      <sz val="16"/>
    </font>
    <font>
      <name val="Arial"/>
      <b val="1"/>
      <color rgb="00B23A1C"/>
      <sz val="8"/>
    </font>
    <font>
      <name val="Arial"/>
      <b val="1"/>
      <color rgb="000E6E6E"/>
      <sz val="8"/>
    </font>
    <font>
      <name val="Arial"/>
      <b val="1"/>
      <color rgb="00FFD27A"/>
      <sz val="12"/>
    </font>
    <font>
      <name val="Arial"/>
      <b val="1"/>
      <color rgb="00FFFFFF"/>
      <sz val="28"/>
    </font>
    <font>
      <name val="Arial"/>
      <color rgb="00C9D6E3"/>
      <sz val="11"/>
    </font>
    <font>
      <name val="Arial"/>
      <b val="1"/>
      <color rgb="00FFFFFF"/>
      <sz val="11"/>
    </font>
    <font>
      <name val="Arial"/>
      <color rgb="0037424D"/>
      <sz val="10"/>
    </font>
    <font>
      <name val="Arial"/>
      <b val="1"/>
      <color rgb="00C07F00"/>
      <sz val="14"/>
    </font>
    <font>
      <name val="Arial"/>
      <b val="1"/>
      <color rgb="00C07F00"/>
      <sz val="10"/>
    </font>
  </fonts>
  <fills count="29">
    <fill>
      <patternFill/>
    </fill>
    <fill>
      <patternFill patternType="gray125"/>
    </fill>
    <fill>
      <patternFill patternType="solid">
        <fgColor rgb="0014304A"/>
        <bgColor rgb="0014304A"/>
      </patternFill>
    </fill>
    <fill>
      <patternFill patternType="solid">
        <fgColor rgb="00C07F00"/>
        <bgColor rgb="00C07F00"/>
      </patternFill>
    </fill>
    <fill>
      <patternFill patternType="solid">
        <fgColor rgb="001F4E79"/>
        <bgColor rgb="001F4E79"/>
      </patternFill>
    </fill>
    <fill>
      <patternFill patternType="solid">
        <fgColor rgb="000E6E6E"/>
        <bgColor rgb="000E6E6E"/>
      </patternFill>
    </fill>
    <fill>
      <patternFill patternType="solid">
        <fgColor rgb="00F2F7F7"/>
        <bgColor rgb="00F2F7F7"/>
      </patternFill>
    </fill>
    <fill>
      <patternFill patternType="solid">
        <fgColor rgb="008A1C1C"/>
        <bgColor rgb="008A1C1C"/>
      </patternFill>
    </fill>
    <fill>
      <patternFill patternType="solid">
        <fgColor rgb="002E6B4F"/>
        <bgColor rgb="002E6B4F"/>
      </patternFill>
    </fill>
    <fill>
      <patternFill patternType="solid">
        <fgColor rgb="00F7F9FB"/>
        <bgColor rgb="00F7F9FB"/>
      </patternFill>
    </fill>
    <fill>
      <patternFill patternType="solid">
        <fgColor rgb="00FFFDE7"/>
        <bgColor rgb="00FFFDE7"/>
      </patternFill>
    </fill>
    <fill>
      <patternFill patternType="solid">
        <fgColor rgb="008A5A1C"/>
        <bgColor rgb="008A5A1C"/>
      </patternFill>
    </fill>
    <fill>
      <patternFill patternType="solid">
        <fgColor rgb="006B4A8E"/>
        <bgColor rgb="006B4A8E"/>
      </patternFill>
    </fill>
    <fill>
      <patternFill patternType="solid">
        <fgColor rgb="003D4852"/>
        <bgColor rgb="003D4852"/>
      </patternFill>
    </fill>
    <fill>
      <patternFill patternType="solid">
        <fgColor rgb="00EAF2FA"/>
        <bgColor rgb="00EAF2FA"/>
      </patternFill>
    </fill>
    <fill>
      <patternFill patternType="solid">
        <fgColor rgb="00EBF5EF"/>
        <bgColor rgb="00EBF5EF"/>
      </patternFill>
    </fill>
    <fill>
      <patternFill patternType="solid">
        <fgColor rgb="00FBF1E4"/>
        <bgColor rgb="00FBF1E4"/>
      </patternFill>
    </fill>
    <fill>
      <patternFill patternType="solid">
        <fgColor rgb="00E3F3F3"/>
        <bgColor rgb="00E3F3F3"/>
      </patternFill>
    </fill>
    <fill>
      <patternFill patternType="solid">
        <fgColor rgb="00F2EDF8"/>
        <bgColor rgb="00F2EDF8"/>
      </patternFill>
    </fill>
    <fill>
      <patternFill patternType="solid">
        <fgColor rgb="00F2F4F6"/>
        <bgColor rgb="00F2F4F6"/>
      </patternFill>
    </fill>
    <fill>
      <patternFill patternType="solid">
        <fgColor rgb="001B6E3A"/>
        <bgColor rgb="001B6E3A"/>
      </patternFill>
    </fill>
    <fill>
      <patternFill patternType="solid">
        <fgColor rgb="00B23A1C"/>
        <bgColor rgb="00B23A1C"/>
      </patternFill>
    </fill>
    <fill>
      <patternFill patternType="solid">
        <fgColor rgb="00A61B1B"/>
        <bgColor rgb="00A61B1B"/>
      </patternFill>
    </fill>
    <fill>
      <patternFill patternType="solid">
        <fgColor rgb="002B7BB9"/>
        <bgColor rgb="002B7BB9"/>
      </patternFill>
    </fill>
    <fill>
      <patternFill patternType="solid">
        <fgColor rgb="00FFF3B0"/>
        <bgColor rgb="00FFF3B0"/>
      </patternFill>
    </fill>
    <fill>
      <patternFill patternType="solid">
        <fgColor rgb="00FFFFFF"/>
        <bgColor rgb="00FFFFFF"/>
      </patternFill>
    </fill>
    <fill>
      <patternFill patternType="solid">
        <fgColor rgb="009AA5B1"/>
        <bgColor rgb="009AA5B1"/>
      </patternFill>
    </fill>
    <fill>
      <patternFill patternType="solid">
        <fgColor rgb="00FFE08A"/>
        <bgColor rgb="00FFE08A"/>
      </patternFill>
    </fill>
    <fill>
      <patternFill patternType="solid">
        <fgColor rgb="00D9EEEE"/>
        <bgColor rgb="00D9EEEE"/>
      </patternFill>
    </fill>
  </fills>
  <borders count="84">
    <border>
      <left/>
      <right/>
      <top/>
      <bottom/>
      <diagonal/>
    </border>
    <border>
      <left style="thin">
        <color rgb="00C3CDD6"/>
      </left>
      <right style="thin">
        <color rgb="00C3CDD6"/>
      </right>
      <top style="thin">
        <color rgb="00C3CDD6"/>
      </top>
      <bottom style="thin">
        <color rgb="00C3CDD6"/>
      </bottom>
    </border>
    <border>
      <left/>
      <right/>
      <top style="thin">
        <color rgb="00C3CDD6"/>
      </top>
      <bottom/>
      <diagonal/>
    </border>
    <border>
      <left/>
      <right style="thin">
        <color rgb="00C3CDD6"/>
      </right>
      <top style="thin">
        <color rgb="00C3CDD6"/>
      </top>
      <bottom/>
      <diagonal/>
    </border>
    <border>
      <left/>
      <right style="thin">
        <color rgb="00C3CDD6"/>
      </right>
      <top style="thin">
        <color rgb="00C3CDD6"/>
      </top>
      <bottom style="thin">
        <color rgb="00C3CDD6"/>
      </bottom>
      <diagonal/>
    </border>
    <border>
      <left style="medium">
        <color rgb="0014304A"/>
      </left>
      <right/>
      <top style="medium">
        <color rgb="0014304A"/>
      </top>
      <bottom/>
    </border>
    <border>
      <left/>
      <right/>
      <top style="medium">
        <color rgb="0014304A"/>
      </top>
      <bottom/>
    </border>
    <border>
      <left/>
      <right style="medium">
        <color rgb="0014304A"/>
      </right>
      <top style="medium">
        <color rgb="0014304A"/>
      </top>
      <bottom/>
    </border>
    <border>
      <left style="medium">
        <color rgb="0014304A"/>
      </left>
      <right style="thin">
        <color rgb="00C3CDD6"/>
      </right>
      <top style="thin">
        <color rgb="00C3CDD6"/>
      </top>
      <bottom style="thin">
        <color rgb="00C3CDD6"/>
      </bottom>
    </border>
    <border>
      <left/>
      <right style="medium">
        <color rgb="0014304A"/>
      </right>
      <top style="thin">
        <color rgb="00C3CDD6"/>
      </top>
      <bottom style="thin">
        <color rgb="00C3CDD6"/>
      </bottom>
    </border>
    <border>
      <left style="medium">
        <color rgb="0014304A"/>
      </left>
      <right style="thin">
        <color rgb="00C3CDD6"/>
      </right>
      <top style="thin">
        <color rgb="00C3CDD6"/>
      </top>
      <bottom style="medium">
        <color rgb="0014304A"/>
      </bottom>
    </border>
    <border>
      <left style="thin">
        <color rgb="00C3CDD6"/>
      </left>
      <right style="thin">
        <color rgb="00C3CDD6"/>
      </right>
      <top style="thin">
        <color rgb="00C3CDD6"/>
      </top>
      <bottom style="medium">
        <color rgb="0014304A"/>
      </bottom>
    </border>
    <border>
      <left/>
      <right style="medium">
        <color rgb="0014304A"/>
      </right>
      <top style="thin">
        <color rgb="00C3CDD6"/>
      </top>
      <bottom style="medium">
        <color rgb="0014304A"/>
      </bottom>
    </border>
    <border>
      <left style="thin">
        <color rgb="00C3CDD6"/>
      </left>
      <right style="medium">
        <color rgb="0014304A"/>
      </right>
      <top style="thin">
        <color rgb="00C3CDD6"/>
      </top>
      <bottom style="thin">
        <color rgb="00C3CDD6"/>
      </bottom>
    </border>
    <border>
      <left style="thin">
        <color rgb="00C3CDD6"/>
      </left>
      <right style="medium">
        <color rgb="0014304A"/>
      </right>
      <top style="thin">
        <color rgb="00C3CDD6"/>
      </top>
      <bottom style="medium">
        <color rgb="0014304A"/>
      </bottom>
    </border>
    <border>
      <left style="medium">
        <color rgb="00FFFFFF"/>
      </left>
    </border>
    <border>
      <left style="thin">
        <color rgb="00FFFFFF"/>
      </left>
      <right style="thin">
        <color rgb="00FFFFFF"/>
      </right>
      <bottom style="medium">
        <color rgb="0014304A"/>
      </bottom>
    </border>
    <border>
      <left style="hair">
        <color rgb="00C3CDD6"/>
      </left>
      <right style="hair">
        <color rgb="00C3CDD6"/>
      </right>
      <top style="hair">
        <color rgb="00C3CDD6"/>
      </top>
      <bottom style="hair">
        <color rgb="00C3CDD6"/>
      </bottom>
    </border>
    <border>
      <left style="hair">
        <color rgb="00C3CDD6"/>
      </left>
      <right style="hair">
        <color rgb="00C3CDD6"/>
      </right>
      <top style="hair">
        <color rgb="00C3CDD6"/>
      </top>
      <bottom style="thin">
        <color rgb="00C3CDD6"/>
      </bottom>
    </border>
    <border>
      <left style="hair">
        <color rgb="00C3CDD6"/>
      </left>
      <right style="hair">
        <color rgb="00C3CDD6"/>
      </right>
      <bottom style="hair">
        <color rgb="00C3CDD6"/>
      </bottom>
    </border>
    <border>
      <bottom style="hair">
        <color rgb="00C3CDD6"/>
      </bottom>
    </border>
    <border>
      <left style="thin">
        <color rgb="00FFFFFF"/>
      </left>
    </border>
    <border>
      <top style="thin">
        <color rgb="0014304A"/>
      </top>
    </border>
    <border>
      <left style="thin">
        <color rgb="001F4E79"/>
      </left>
      <right/>
      <top style="thin">
        <color rgb="001F4E79"/>
      </top>
      <bottom/>
    </border>
    <border>
      <left/>
      <right style="thin">
        <color rgb="001F4E79"/>
      </right>
      <top style="thin">
        <color rgb="001F4E79"/>
      </top>
      <bottom/>
    </border>
    <border>
      <left style="thin">
        <color rgb="001F4E79"/>
      </left>
      <right/>
      <top/>
      <bottom/>
    </border>
    <border>
      <left/>
      <right style="thin">
        <color rgb="001F4E79"/>
      </right>
      <top/>
      <bottom/>
    </border>
    <border>
      <left style="thin">
        <color rgb="001F4E79"/>
      </left>
      <right/>
      <top/>
      <bottom style="thin">
        <color rgb="001F4E79"/>
      </bottom>
    </border>
    <border>
      <left/>
      <right style="thin">
        <color rgb="001F4E79"/>
      </right>
      <top/>
      <bottom style="thin">
        <color rgb="001F4E79"/>
      </bottom>
    </border>
    <border>
      <left style="thin">
        <color rgb="002E6B4F"/>
      </left>
      <right/>
      <top style="thin">
        <color rgb="002E6B4F"/>
      </top>
      <bottom/>
    </border>
    <border>
      <left/>
      <right style="thin">
        <color rgb="002E6B4F"/>
      </right>
      <top style="thin">
        <color rgb="002E6B4F"/>
      </top>
      <bottom/>
    </border>
    <border>
      <left style="thin">
        <color rgb="002E6B4F"/>
      </left>
      <right/>
      <top/>
      <bottom/>
    </border>
    <border>
      <left/>
      <right style="thin">
        <color rgb="002E6B4F"/>
      </right>
      <top/>
      <bottom/>
    </border>
    <border>
      <left style="thin">
        <color rgb="002E6B4F"/>
      </left>
      <right/>
      <top/>
      <bottom style="thin">
        <color rgb="002E6B4F"/>
      </bottom>
    </border>
    <border>
      <left/>
      <right style="thin">
        <color rgb="002E6B4F"/>
      </right>
      <top/>
      <bottom style="thin">
        <color rgb="002E6B4F"/>
      </bottom>
    </border>
    <border>
      <left style="thin">
        <color rgb="008A5A1C"/>
      </left>
      <right/>
      <top style="thin">
        <color rgb="008A5A1C"/>
      </top>
      <bottom/>
    </border>
    <border>
      <left/>
      <right style="thin">
        <color rgb="008A5A1C"/>
      </right>
      <top style="thin">
        <color rgb="008A5A1C"/>
      </top>
      <bottom/>
    </border>
    <border>
      <left style="thin">
        <color rgb="008A5A1C"/>
      </left>
      <right/>
      <top/>
      <bottom/>
    </border>
    <border>
      <left/>
      <right style="thin">
        <color rgb="008A5A1C"/>
      </right>
      <top/>
      <bottom/>
    </border>
    <border>
      <left style="thin">
        <color rgb="008A5A1C"/>
      </left>
      <right/>
      <top/>
      <bottom style="thin">
        <color rgb="008A5A1C"/>
      </bottom>
    </border>
    <border>
      <left/>
      <right style="thin">
        <color rgb="008A5A1C"/>
      </right>
      <top/>
      <bottom style="thin">
        <color rgb="008A5A1C"/>
      </bottom>
    </border>
    <border>
      <left style="thin">
        <color rgb="00B23A1C"/>
      </left>
      <right/>
      <top style="thin">
        <color rgb="00B23A1C"/>
      </top>
      <bottom/>
    </border>
    <border>
      <left/>
      <right style="thin">
        <color rgb="00B23A1C"/>
      </right>
      <top style="thin">
        <color rgb="00B23A1C"/>
      </top>
      <bottom/>
    </border>
    <border>
      <left style="thin">
        <color rgb="00B23A1C"/>
      </left>
      <right/>
      <top/>
      <bottom/>
    </border>
    <border>
      <left/>
      <right style="thin">
        <color rgb="00B23A1C"/>
      </right>
      <top/>
      <bottom/>
    </border>
    <border>
      <left style="thin">
        <color rgb="00B23A1C"/>
      </left>
      <right/>
      <top/>
      <bottom style="thin">
        <color rgb="00B23A1C"/>
      </bottom>
    </border>
    <border>
      <left/>
      <right style="thin">
        <color rgb="00B23A1C"/>
      </right>
      <top/>
      <bottom style="thin">
        <color rgb="00B23A1C"/>
      </bottom>
    </border>
    <border>
      <left style="thin">
        <color rgb="00A61B1B"/>
      </left>
      <right/>
      <top style="thin">
        <color rgb="00A61B1B"/>
      </top>
      <bottom/>
    </border>
    <border>
      <left/>
      <right style="thin">
        <color rgb="00A61B1B"/>
      </right>
      <top style="thin">
        <color rgb="00A61B1B"/>
      </top>
      <bottom/>
    </border>
    <border>
      <left style="thin">
        <color rgb="00A61B1B"/>
      </left>
      <right/>
      <top/>
      <bottom/>
    </border>
    <border>
      <left/>
      <right style="thin">
        <color rgb="00A61B1B"/>
      </right>
      <top/>
      <bottom/>
    </border>
    <border>
      <left style="thin">
        <color rgb="00A61B1B"/>
      </left>
      <right/>
      <top/>
      <bottom style="thin">
        <color rgb="00A61B1B"/>
      </bottom>
    </border>
    <border>
      <left/>
      <right style="thin">
        <color rgb="00A61B1B"/>
      </right>
      <top/>
      <bottom style="thin">
        <color rgb="00A61B1B"/>
      </bottom>
    </border>
    <border>
      <left style="thin">
        <color rgb="00C07F00"/>
      </left>
      <right/>
      <top style="thin">
        <color rgb="00C07F00"/>
      </top>
      <bottom/>
    </border>
    <border>
      <left/>
      <right style="thin">
        <color rgb="00C07F00"/>
      </right>
      <top style="thin">
        <color rgb="00C07F00"/>
      </top>
      <bottom/>
    </border>
    <border>
      <left style="thin">
        <color rgb="00C07F00"/>
      </left>
      <right/>
      <top/>
      <bottom/>
    </border>
    <border>
      <left/>
      <right style="thin">
        <color rgb="00C07F00"/>
      </right>
      <top/>
      <bottom/>
    </border>
    <border>
      <left style="thin">
        <color rgb="00C07F00"/>
      </left>
      <right/>
      <top/>
      <bottom style="thin">
        <color rgb="00C07F00"/>
      </bottom>
    </border>
    <border>
      <left/>
      <right style="thin">
        <color rgb="00C07F00"/>
      </right>
      <top/>
      <bottom style="thin">
        <color rgb="00C07F00"/>
      </bottom>
    </border>
    <border>
      <left style="thin">
        <color rgb="000E6E6E"/>
      </left>
      <right/>
      <top style="thin">
        <color rgb="000E6E6E"/>
      </top>
      <bottom/>
    </border>
    <border>
      <left/>
      <right style="thin">
        <color rgb="000E6E6E"/>
      </right>
      <top style="thin">
        <color rgb="000E6E6E"/>
      </top>
      <bottom/>
    </border>
    <border>
      <left style="thin">
        <color rgb="000E6E6E"/>
      </left>
      <right/>
      <top/>
      <bottom/>
    </border>
    <border>
      <left/>
      <right style="thin">
        <color rgb="000E6E6E"/>
      </right>
      <top/>
      <bottom/>
    </border>
    <border>
      <left style="thin">
        <color rgb="000E6E6E"/>
      </left>
      <right/>
      <top/>
      <bottom style="thin">
        <color rgb="000E6E6E"/>
      </bottom>
    </border>
    <border>
      <left/>
      <right style="thin">
        <color rgb="000E6E6E"/>
      </right>
      <top/>
      <bottom style="thin">
        <color rgb="000E6E6E"/>
      </bottom>
    </border>
    <border>
      <left style="medium">
        <color rgb="0014304A"/>
      </left>
      <right style="medium">
        <color rgb="0014304A"/>
      </right>
      <top style="medium">
        <color rgb="0014304A"/>
      </top>
      <bottom style="medium">
        <color rgb="0014304A"/>
      </bottom>
    </border>
    <border>
      <left style="medium">
        <color rgb="0014304A"/>
      </left>
      <right/>
      <top/>
      <bottom/>
    </border>
    <border>
      <left/>
      <right/>
      <top/>
      <bottom/>
    </border>
    <border>
      <left/>
      <right style="medium">
        <color rgb="0014304A"/>
      </right>
      <top/>
      <bottom/>
    </border>
    <border>
      <left style="medium">
        <color rgb="0014304A"/>
      </left>
      <right/>
      <top/>
      <bottom style="medium">
        <color rgb="0014304A"/>
      </bottom>
    </border>
    <border>
      <left/>
      <right/>
      <top/>
      <bottom style="medium">
        <color rgb="0014304A"/>
      </bottom>
    </border>
    <border>
      <left/>
      <right style="medium">
        <color rgb="0014304A"/>
      </right>
      <top/>
      <bottom style="medium">
        <color rgb="0014304A"/>
      </bottom>
    </border>
    <border>
      <left style="thin">
        <color rgb="00C3CDD6"/>
      </left>
      <right/>
      <top style="thin">
        <color rgb="00C3CDD6"/>
      </top>
      <bottom/>
    </border>
    <border>
      <left/>
      <right/>
      <top style="thin">
        <color rgb="00C3CDD6"/>
      </top>
      <bottom/>
    </border>
    <border>
      <left/>
      <right style="thin">
        <color rgb="00C3CDD6"/>
      </right>
      <top style="thin">
        <color rgb="00C3CDD6"/>
      </top>
      <bottom/>
    </border>
    <border>
      <left style="thin">
        <color rgb="00C3CDD6"/>
      </left>
      <right/>
      <top/>
      <bottom style="thin">
        <color rgb="00C3CDD6"/>
      </bottom>
    </border>
    <border>
      <left/>
      <right/>
      <top/>
      <bottom style="thin">
        <color rgb="00C3CDD6"/>
      </bottom>
    </border>
    <border>
      <left/>
      <right style="thin">
        <color rgb="00C3CDD6"/>
      </right>
      <top/>
      <bottom style="thin">
        <color rgb="00C3CDD6"/>
      </bottom>
    </border>
    <border>
      <left style="medium">
        <color rgb="0014304A"/>
      </left>
      <right/>
      <top style="thin">
        <color rgb="00C3CDD6"/>
      </top>
      <bottom/>
    </border>
    <border>
      <left style="medium">
        <color rgb="0014304A"/>
      </left>
      <right/>
      <top/>
      <bottom style="thin">
        <color rgb="00C3CDD6"/>
      </bottom>
    </border>
    <border>
      <left/>
      <right style="thin">
        <color rgb="00C3CDD6"/>
      </right>
      <top/>
      <bottom style="medium">
        <color rgb="0014304A"/>
      </bottom>
    </border>
    <border>
      <left style="thin">
        <color rgb="00C3CDD6"/>
      </left>
      <right/>
      <top/>
      <bottom style="medium">
        <color rgb="0014304A"/>
      </bottom>
    </border>
    <border>
      <left style="thin">
        <color rgb="00C3CDD6"/>
      </left>
      <right/>
      <top/>
      <bottom/>
    </border>
    <border>
      <left/>
      <right style="thin">
        <color rgb="00C3CDD6"/>
      </right>
      <top/>
      <bottom/>
    </border>
  </borders>
  <cellStyleXfs count="1">
    <xf numFmtId="0" fontId="0" fillId="0" borderId="0"/>
  </cellStyleXfs>
  <cellXfs count="257">
    <xf numFmtId="0" fontId="0" fillId="0" borderId="0" pivotButton="0" quotePrefix="0" xfId="0"/>
    <xf numFmtId="0" fontId="0" fillId="2" borderId="0" pivotButton="0" quotePrefix="0" xfId="0"/>
    <xf numFmtId="0" fontId="52" fillId="2" borderId="0" pivotButton="0" quotePrefix="0" xfId="0"/>
    <xf numFmtId="0" fontId="53" fillId="2" borderId="0" pivotButton="0" quotePrefix="0" xfId="0"/>
    <xf numFmtId="0" fontId="54" fillId="2" borderId="0" pivotButton="0" quotePrefix="0" xfId="0"/>
    <xf numFmtId="0" fontId="55" fillId="2" borderId="0" pivotButton="0" quotePrefix="0" xfId="0"/>
    <xf numFmtId="0" fontId="0" fillId="3" borderId="0" pivotButton="0" quotePrefix="0" xfId="0"/>
    <xf numFmtId="0" fontId="8" fillId="4" borderId="0" applyAlignment="1" pivotButton="0" quotePrefix="0" xfId="0">
      <alignment horizontal="left" vertical="center"/>
    </xf>
    <xf numFmtId="0" fontId="0" fillId="4" borderId="0" pivotButton="0" quotePrefix="0" xfId="0"/>
    <xf numFmtId="0" fontId="3" fillId="4" borderId="0" applyAlignment="1" pivotButton="0" quotePrefix="0" xfId="0">
      <alignment horizontal="left" vertical="center"/>
    </xf>
    <xf numFmtId="0" fontId="56" fillId="0" borderId="20" pivotButton="0" quotePrefix="0" xfId="0"/>
    <xf numFmtId="0" fontId="3" fillId="3" borderId="0" applyAlignment="1" pivotButton="0" quotePrefix="0" xfId="0">
      <alignment horizontal="left" vertical="center"/>
    </xf>
    <xf numFmtId="0" fontId="3" fillId="8" borderId="0" applyAlignment="1" pivotButton="0" quotePrefix="0" xfId="0">
      <alignment horizontal="left" vertical="center"/>
    </xf>
    <xf numFmtId="0" fontId="3" fillId="12" borderId="0" applyAlignment="1" pivotButton="0" quotePrefix="0" xfId="0">
      <alignment horizontal="left" vertical="center"/>
    </xf>
    <xf numFmtId="0" fontId="3" fillId="20" borderId="0" applyAlignment="1" pivotButton="0" quotePrefix="0" xfId="0">
      <alignment horizontal="left" vertical="center"/>
    </xf>
    <xf numFmtId="0" fontId="3" fillId="11" borderId="0" applyAlignment="1" pivotButton="0" quotePrefix="0" xfId="0">
      <alignment horizontal="left" vertical="center"/>
    </xf>
    <xf numFmtId="0" fontId="3" fillId="13" borderId="0" applyAlignment="1" pivotButton="0" quotePrefix="0" xfId="0">
      <alignment horizontal="left" vertical="center"/>
    </xf>
    <xf numFmtId="0" fontId="3" fillId="5" borderId="0" applyAlignment="1" pivotButton="0" quotePrefix="0" xfId="0">
      <alignment horizontal="left" vertical="center"/>
    </xf>
    <xf numFmtId="0" fontId="3" fillId="26" borderId="0" applyAlignment="1" pivotButton="0" quotePrefix="0" xfId="0">
      <alignment horizontal="left" vertical="center"/>
    </xf>
    <xf numFmtId="0" fontId="56" fillId="4" borderId="20" pivotButton="0" quotePrefix="0" xfId="0"/>
    <xf numFmtId="0" fontId="57" fillId="0" borderId="0" applyAlignment="1" pivotButton="0" quotePrefix="0" xfId="0">
      <alignment horizontal="center" vertical="top"/>
    </xf>
    <xf numFmtId="0" fontId="38" fillId="0" borderId="0" applyAlignment="1" pivotButton="0" quotePrefix="0" xfId="0">
      <alignment horizontal="left" vertical="top" wrapText="1"/>
    </xf>
    <xf numFmtId="0" fontId="38" fillId="14" borderId="0" pivotButton="0" quotePrefix="0" xfId="0"/>
    <xf numFmtId="0" fontId="0" fillId="8" borderId="0" pivotButton="0" quotePrefix="0" xfId="0"/>
    <xf numFmtId="0" fontId="38" fillId="15" borderId="0" pivotButton="0" quotePrefix="0" xfId="0"/>
    <xf numFmtId="0" fontId="0" fillId="11" borderId="0" pivotButton="0" quotePrefix="0" xfId="0"/>
    <xf numFmtId="0" fontId="38" fillId="16" borderId="0" pivotButton="0" quotePrefix="0" xfId="0"/>
    <xf numFmtId="0" fontId="0" fillId="5" borderId="0" pivotButton="0" quotePrefix="0" xfId="0"/>
    <xf numFmtId="0" fontId="38" fillId="17" borderId="0" pivotButton="0" quotePrefix="0" xfId="0"/>
    <xf numFmtId="0" fontId="0" fillId="12" borderId="0" pivotButton="0" quotePrefix="0" xfId="0"/>
    <xf numFmtId="0" fontId="38" fillId="18" borderId="0" pivotButton="0" quotePrefix="0" xfId="0"/>
    <xf numFmtId="0" fontId="0" fillId="13" borderId="0" pivotButton="0" quotePrefix="0" xfId="0"/>
    <xf numFmtId="0" fontId="38" fillId="19" borderId="0" pivotButton="0" quotePrefix="0" xfId="0"/>
    <xf numFmtId="0" fontId="0" fillId="27" borderId="0" pivotButton="0" quotePrefix="0" xfId="0"/>
    <xf numFmtId="0" fontId="38" fillId="0" borderId="0" pivotButton="0" quotePrefix="0" xfId="0"/>
    <xf numFmtId="0" fontId="0" fillId="28" borderId="0" pivotButton="0" quotePrefix="0" xfId="0"/>
    <xf numFmtId="0" fontId="20" fillId="0" borderId="0" pivotButton="0" quotePrefix="0" xfId="0"/>
    <xf numFmtId="0" fontId="58" fillId="0" borderId="0" applyAlignment="1" pivotButton="0" quotePrefix="0" xfId="0">
      <alignment horizontal="center" vertical="top"/>
    </xf>
    <xf numFmtId="0" fontId="1" fillId="2" borderId="0" applyAlignment="1" pivotButton="0" quotePrefix="0" xfId="0">
      <alignment horizontal="left" vertical="center"/>
    </xf>
    <xf numFmtId="0" fontId="3" fillId="2" borderId="0" applyAlignment="1" pivotButton="0" quotePrefix="0" xfId="0">
      <alignment horizontal="right" vertical="center"/>
    </xf>
    <xf numFmtId="0" fontId="2" fillId="2" borderId="0" applyAlignment="1" pivotButton="0" quotePrefix="0" xfId="0">
      <alignment horizontal="left" vertical="center"/>
    </xf>
    <xf numFmtId="0" fontId="4" fillId="2" borderId="0" applyAlignment="1" pivotButton="0" quotePrefix="0" xfId="0">
      <alignment horizontal="right" vertical="center"/>
    </xf>
    <xf numFmtId="0" fontId="8" fillId="4" borderId="5" applyAlignment="1" pivotButton="0" quotePrefix="0" xfId="0">
      <alignment horizontal="left" vertical="center"/>
    </xf>
    <xf numFmtId="0" fontId="0" fillId="4" borderId="6" pivotButton="0" quotePrefix="0" xfId="0"/>
    <xf numFmtId="0" fontId="0" fillId="4" borderId="7" pivotButton="0" quotePrefix="0" xfId="0"/>
    <xf numFmtId="0" fontId="13" fillId="9" borderId="8" pivotButton="0" quotePrefix="0" xfId="0"/>
    <xf numFmtId="0" fontId="14" fillId="10" borderId="1" pivotButton="0" quotePrefix="0" xfId="0"/>
    <xf numFmtId="0" fontId="0" fillId="0" borderId="9" pivotButton="0" quotePrefix="0" xfId="0"/>
    <xf numFmtId="165" fontId="14" fillId="10" borderId="1" pivotButton="0" quotePrefix="0" xfId="0"/>
    <xf numFmtId="0" fontId="13" fillId="9" borderId="10" pivotButton="0" quotePrefix="0" xfId="0"/>
    <xf numFmtId="0" fontId="14" fillId="10" borderId="11" pivotButton="0" quotePrefix="0" xfId="0"/>
    <xf numFmtId="0" fontId="0" fillId="0" borderId="12" pivotButton="0" quotePrefix="0" xfId="0"/>
    <xf numFmtId="0" fontId="15" fillId="9" borderId="8" pivotButton="0" quotePrefix="0" xfId="0"/>
    <xf numFmtId="166" fontId="14" fillId="10" borderId="1" pivotButton="0" quotePrefix="0" xfId="0"/>
    <xf numFmtId="0" fontId="12" fillId="0" borderId="13" pivotButton="0" quotePrefix="0" xfId="0"/>
    <xf numFmtId="0" fontId="15" fillId="9" borderId="10" pivotButton="0" quotePrefix="0" xfId="0"/>
    <xf numFmtId="166" fontId="14" fillId="10" borderId="11" pivotButton="0" quotePrefix="0" xfId="0"/>
    <xf numFmtId="0" fontId="12" fillId="0" borderId="14" pivotButton="0" quotePrefix="0" xfId="0"/>
    <xf numFmtId="0" fontId="16" fillId="2" borderId="0" applyAlignment="1" pivotButton="0" quotePrefix="0" xfId="0">
      <alignment horizontal="left" vertical="center"/>
    </xf>
    <xf numFmtId="0" fontId="17" fillId="2" borderId="0" applyAlignment="1" pivotButton="0" quotePrefix="0" xfId="0">
      <alignment horizontal="left" vertical="center"/>
    </xf>
    <xf numFmtId="0" fontId="8" fillId="4" borderId="15" applyAlignment="1" pivotButton="0" quotePrefix="0" xfId="0">
      <alignment horizontal="left" vertical="center"/>
    </xf>
    <xf numFmtId="0" fontId="8" fillId="8" borderId="15" applyAlignment="1" pivotButton="0" quotePrefix="0" xfId="0">
      <alignment horizontal="left" vertical="center"/>
    </xf>
    <xf numFmtId="0" fontId="8" fillId="8" borderId="0" applyAlignment="1" pivotButton="0" quotePrefix="0" xfId="0">
      <alignment horizontal="left" vertical="center"/>
    </xf>
    <xf numFmtId="0" fontId="8" fillId="11" borderId="15" applyAlignment="1" pivotButton="0" quotePrefix="0" xfId="0">
      <alignment horizontal="left" vertical="center"/>
    </xf>
    <xf numFmtId="0" fontId="8" fillId="11" borderId="0" applyAlignment="1" pivotButton="0" quotePrefix="0" xfId="0">
      <alignment horizontal="left" vertical="center"/>
    </xf>
    <xf numFmtId="0" fontId="8" fillId="5" borderId="15" applyAlignment="1" pivotButton="0" quotePrefix="0" xfId="0">
      <alignment horizontal="left" vertical="center"/>
    </xf>
    <xf numFmtId="0" fontId="8" fillId="5" borderId="0" applyAlignment="1" pivotButton="0" quotePrefix="0" xfId="0">
      <alignment horizontal="left" vertical="center"/>
    </xf>
    <xf numFmtId="0" fontId="8" fillId="12" borderId="15" applyAlignment="1" pivotButton="0" quotePrefix="0" xfId="0">
      <alignment horizontal="left" vertical="center"/>
    </xf>
    <xf numFmtId="0" fontId="8" fillId="12" borderId="0" applyAlignment="1" pivotButton="0" quotePrefix="0" xfId="0">
      <alignment horizontal="left" vertical="center"/>
    </xf>
    <xf numFmtId="0" fontId="8" fillId="13" borderId="15" applyAlignment="1" pivotButton="0" quotePrefix="0" xfId="0">
      <alignment horizontal="left" vertical="center"/>
    </xf>
    <xf numFmtId="0" fontId="8" fillId="13" borderId="0" applyAlignment="1" pivotButton="0" quotePrefix="0" xfId="0">
      <alignment horizontal="left" vertical="center"/>
    </xf>
    <xf numFmtId="0" fontId="5" fillId="4" borderId="16" applyAlignment="1" pivotButton="0" quotePrefix="0" xfId="0">
      <alignment horizontal="center" vertical="center" wrapText="1"/>
    </xf>
    <xf numFmtId="0" fontId="5" fillId="8" borderId="16" applyAlignment="1" pivotButton="0" quotePrefix="0" xfId="0">
      <alignment horizontal="center" vertical="center" wrapText="1"/>
    </xf>
    <xf numFmtId="0" fontId="5" fillId="11" borderId="16" applyAlignment="1" pivotButton="0" quotePrefix="0" xfId="0">
      <alignment horizontal="center" vertical="center" wrapText="1"/>
    </xf>
    <xf numFmtId="0" fontId="5" fillId="5" borderId="16" applyAlignment="1" pivotButton="0" quotePrefix="0" xfId="0">
      <alignment horizontal="center" vertical="center" wrapText="1"/>
    </xf>
    <xf numFmtId="0" fontId="5" fillId="12" borderId="16" applyAlignment="1" pivotButton="0" quotePrefix="0" xfId="0">
      <alignment horizontal="center" vertical="center" wrapText="1"/>
    </xf>
    <xf numFmtId="0" fontId="5" fillId="13" borderId="16" applyAlignment="1" pivotButton="0" quotePrefix="0" xfId="0">
      <alignment horizontal="center" vertical="center" wrapText="1"/>
    </xf>
    <xf numFmtId="0" fontId="20" fillId="14" borderId="17" pivotButton="0" quotePrefix="0" xfId="0"/>
    <xf numFmtId="0" fontId="18" fillId="14" borderId="17" pivotButton="0" quotePrefix="0" xfId="0"/>
    <xf numFmtId="0" fontId="18" fillId="15" borderId="17" pivotButton="0" quotePrefix="0" xfId="0"/>
    <xf numFmtId="0" fontId="18" fillId="16" borderId="17" pivotButton="0" quotePrefix="0" xfId="0"/>
    <xf numFmtId="0" fontId="18" fillId="17" borderId="17" pivotButton="0" quotePrefix="0" xfId="0"/>
    <xf numFmtId="167" fontId="18" fillId="17" borderId="17" pivotButton="0" quotePrefix="0" xfId="0"/>
    <xf numFmtId="0" fontId="18" fillId="18" borderId="17" pivotButton="0" quotePrefix="0" xfId="0"/>
    <xf numFmtId="0" fontId="19" fillId="19" borderId="17" pivotButton="0" quotePrefix="0" xfId="0"/>
    <xf numFmtId="0" fontId="21" fillId="19" borderId="17" pivotButton="0" quotePrefix="0" xfId="0"/>
    <xf numFmtId="166" fontId="19" fillId="19" borderId="17" pivotButton="0" quotePrefix="0" xfId="0"/>
    <xf numFmtId="168" fontId="19" fillId="19" borderId="17" pivotButton="0" quotePrefix="0" xfId="0"/>
    <xf numFmtId="167" fontId="22" fillId="19" borderId="17" pivotButton="0" quotePrefix="0" xfId="0"/>
    <xf numFmtId="167" fontId="19" fillId="19" borderId="17" pivotButton="0" quotePrefix="0" xfId="0"/>
    <xf numFmtId="169" fontId="19" fillId="19" borderId="17" pivotButton="0" quotePrefix="0" xfId="0"/>
    <xf numFmtId="170" fontId="19" fillId="19" borderId="17" pivotButton="0" quotePrefix="0" xfId="0"/>
    <xf numFmtId="0" fontId="20" fillId="14" borderId="18" pivotButton="0" quotePrefix="0" xfId="0"/>
    <xf numFmtId="0" fontId="18" fillId="14" borderId="18" pivotButton="0" quotePrefix="0" xfId="0"/>
    <xf numFmtId="0" fontId="18" fillId="15" borderId="18" pivotButton="0" quotePrefix="0" xfId="0"/>
    <xf numFmtId="0" fontId="18" fillId="16" borderId="18" pivotButton="0" quotePrefix="0" xfId="0"/>
    <xf numFmtId="0" fontId="18" fillId="17" borderId="18" pivotButton="0" quotePrefix="0" xfId="0"/>
    <xf numFmtId="167" fontId="18" fillId="17" borderId="18" pivotButton="0" quotePrefix="0" xfId="0"/>
    <xf numFmtId="0" fontId="18" fillId="18" borderId="18" pivotButton="0" quotePrefix="0" xfId="0"/>
    <xf numFmtId="0" fontId="19" fillId="19" borderId="18" pivotButton="0" quotePrefix="0" xfId="0"/>
    <xf numFmtId="0" fontId="21" fillId="19" borderId="18" pivotButton="0" quotePrefix="0" xfId="0"/>
    <xf numFmtId="166" fontId="19" fillId="19" borderId="18" pivotButton="0" quotePrefix="0" xfId="0"/>
    <xf numFmtId="168" fontId="19" fillId="19" borderId="18" pivotButton="0" quotePrefix="0" xfId="0"/>
    <xf numFmtId="167" fontId="22" fillId="19" borderId="18" pivotButton="0" quotePrefix="0" xfId="0"/>
    <xf numFmtId="167" fontId="19" fillId="19" borderId="18" pivotButton="0" quotePrefix="0" xfId="0"/>
    <xf numFmtId="169" fontId="19" fillId="19" borderId="18" pivotButton="0" quotePrefix="0" xfId="0"/>
    <xf numFmtId="170" fontId="19" fillId="19" borderId="18" pivotButton="0" quotePrefix="0" xfId="0"/>
    <xf numFmtId="0" fontId="41" fillId="0" borderId="0" applyAlignment="1" pivotButton="0" quotePrefix="0" xfId="0">
      <alignment horizontal="right" vertical="center"/>
    </xf>
    <xf numFmtId="0" fontId="42" fillId="24" borderId="65" applyAlignment="1" pivotButton="0" quotePrefix="0" xfId="0">
      <alignment horizontal="center" vertical="center" wrapText="1"/>
    </xf>
    <xf numFmtId="0" fontId="43" fillId="0" borderId="0" applyAlignment="1" pivotButton="0" quotePrefix="0" xfId="0">
      <alignment horizontal="left" vertical="center"/>
    </xf>
    <xf numFmtId="0" fontId="0" fillId="25" borderId="5" pivotButton="0" quotePrefix="0" xfId="0"/>
    <xf numFmtId="0" fontId="0" fillId="25" borderId="6" pivotButton="0" quotePrefix="0" xfId="0"/>
    <xf numFmtId="0" fontId="0" fillId="25" borderId="7" pivotButton="0" quotePrefix="0" xfId="0"/>
    <xf numFmtId="0" fontId="0" fillId="25" borderId="66" pivotButton="0" quotePrefix="0" xfId="0"/>
    <xf numFmtId="0" fontId="0" fillId="25" borderId="67" pivotButton="0" quotePrefix="0" xfId="0"/>
    <xf numFmtId="0" fontId="0" fillId="25" borderId="68" pivotButton="0" quotePrefix="0" xfId="0"/>
    <xf numFmtId="0" fontId="44" fillId="9" borderId="20" applyAlignment="1" pivotButton="0" quotePrefix="0" xfId="0">
      <alignment horizontal="left" vertical="center"/>
    </xf>
    <xf numFmtId="0" fontId="38" fillId="0" borderId="20" applyAlignment="1" pivotButton="0" quotePrefix="0" xfId="0">
      <alignment horizontal="left" vertical="center" wrapText="1"/>
    </xf>
    <xf numFmtId="0" fontId="0" fillId="0" borderId="20" pivotButton="0" quotePrefix="0" xfId="0"/>
    <xf numFmtId="0" fontId="45" fillId="0" borderId="20" applyAlignment="1" pivotButton="0" quotePrefix="0" xfId="0">
      <alignment horizontal="left" vertical="center" wrapText="1"/>
    </xf>
    <xf numFmtId="0" fontId="5" fillId="5" borderId="0" applyAlignment="1" pivotButton="0" quotePrefix="0" xfId="0">
      <alignment horizontal="center" vertical="center" wrapText="1"/>
    </xf>
    <xf numFmtId="0" fontId="46" fillId="9" borderId="0" applyAlignment="1" pivotButton="0" quotePrefix="0" xfId="0">
      <alignment horizontal="left" vertical="center" wrapText="1"/>
    </xf>
    <xf numFmtId="0" fontId="45" fillId="0" borderId="1" applyAlignment="1" pivotButton="0" quotePrefix="0" xfId="0">
      <alignment horizontal="center" vertical="center" wrapText="1"/>
    </xf>
    <xf numFmtId="0" fontId="47" fillId="0" borderId="20" applyAlignment="1" pivotButton="0" quotePrefix="0" xfId="0">
      <alignment horizontal="left" vertical="center" wrapText="1"/>
    </xf>
    <xf numFmtId="0" fontId="39" fillId="0" borderId="20" applyAlignment="1" pivotButton="0" quotePrefix="0" xfId="0">
      <alignment horizontal="left" vertical="center" wrapText="1"/>
    </xf>
    <xf numFmtId="0" fontId="0" fillId="25" borderId="69" pivotButton="0" quotePrefix="0" xfId="0"/>
    <xf numFmtId="0" fontId="0" fillId="25" borderId="70" pivotButton="0" quotePrefix="0" xfId="0"/>
    <xf numFmtId="0" fontId="0" fillId="25" borderId="71" pivotButton="0" quotePrefix="0" xfId="0"/>
    <xf numFmtId="0" fontId="46" fillId="0" borderId="78" pivotButton="0" quotePrefix="0" xfId="0"/>
    <xf numFmtId="0" fontId="0" fillId="0" borderId="73" pivotButton="0" quotePrefix="0" xfId="0"/>
    <xf numFmtId="0" fontId="0" fillId="0" borderId="74" pivotButton="0" quotePrefix="0" xfId="0"/>
    <xf numFmtId="0" fontId="46" fillId="0" borderId="72" pivotButton="0" quotePrefix="0" xfId="0"/>
    <xf numFmtId="0" fontId="0" fillId="0" borderId="68" pivotButton="0" quotePrefix="0" xfId="0"/>
    <xf numFmtId="0" fontId="41" fillId="0" borderId="79" applyAlignment="1" pivotButton="0" quotePrefix="0" xfId="0">
      <alignment horizontal="left" vertical="center"/>
    </xf>
    <xf numFmtId="0" fontId="0" fillId="0" borderId="76" pivotButton="0" quotePrefix="0" xfId="0"/>
    <xf numFmtId="0" fontId="0" fillId="0" borderId="77" pivotButton="0" quotePrefix="0" xfId="0"/>
    <xf numFmtId="0" fontId="41" fillId="0" borderId="75" applyAlignment="1" pivotButton="0" quotePrefix="0" xfId="0">
      <alignment horizontal="left" vertical="center"/>
    </xf>
    <xf numFmtId="0" fontId="0" fillId="0" borderId="67" pivotButton="0" quotePrefix="0" xfId="0"/>
    <xf numFmtId="0" fontId="41" fillId="0" borderId="69" applyAlignment="1" pivotButton="0" quotePrefix="0" xfId="0">
      <alignment horizontal="left" vertical="center"/>
    </xf>
    <xf numFmtId="0" fontId="0" fillId="0" borderId="70" pivotButton="0" quotePrefix="0" xfId="0"/>
    <xf numFmtId="0" fontId="0" fillId="0" borderId="80" pivotButton="0" quotePrefix="0" xfId="0"/>
    <xf numFmtId="0" fontId="41" fillId="0" borderId="81" applyAlignment="1" pivotButton="0" quotePrefix="0" xfId="0">
      <alignment horizontal="left" vertical="center"/>
    </xf>
    <xf numFmtId="0" fontId="0" fillId="0" borderId="71" pivotButton="0" quotePrefix="0" xfId="0"/>
    <xf numFmtId="0" fontId="48" fillId="0" borderId="0" pivotButton="0" quotePrefix="0" xfId="0"/>
    <xf numFmtId="0" fontId="49" fillId="24" borderId="65" applyAlignment="1" pivotButton="0" quotePrefix="0" xfId="0">
      <alignment horizontal="center" vertical="center" wrapText="1"/>
    </xf>
    <xf numFmtId="0" fontId="13" fillId="0" borderId="0" pivotButton="0" quotePrefix="0" xfId="0"/>
    <xf numFmtId="0" fontId="3" fillId="4" borderId="72" pivotButton="0" quotePrefix="0" xfId="0"/>
    <xf numFmtId="0" fontId="0" fillId="4" borderId="73" pivotButton="0" quotePrefix="0" xfId="0"/>
    <xf numFmtId="0" fontId="0" fillId="4" borderId="74" pivotButton="0" quotePrefix="0" xfId="0"/>
    <xf numFmtId="0" fontId="21" fillId="0" borderId="82" pivotButton="0" quotePrefix="0" xfId="0"/>
    <xf numFmtId="0" fontId="0" fillId="0" borderId="83" pivotButton="0" quotePrefix="0" xfId="0"/>
    <xf numFmtId="0" fontId="50" fillId="0" borderId="82" pivotButton="0" quotePrefix="0" xfId="0"/>
    <xf numFmtId="0" fontId="51" fillId="0" borderId="82" pivotButton="0" quotePrefix="0" xfId="0"/>
    <xf numFmtId="0" fontId="0" fillId="0" borderId="82" pivotButton="0" quotePrefix="0" xfId="0"/>
    <xf numFmtId="0" fontId="0" fillId="0" borderId="75" pivotButton="0" quotePrefix="0" xfId="0"/>
    <xf numFmtId="0" fontId="26" fillId="0" borderId="0" pivotButton="0" quotePrefix="0" xfId="0"/>
    <xf numFmtId="0" fontId="5" fillId="4" borderId="0" applyAlignment="1" pivotButton="0" quotePrefix="0" xfId="0">
      <alignment horizontal="left" vertical="center"/>
    </xf>
    <xf numFmtId="0" fontId="5" fillId="11" borderId="0" applyAlignment="1" pivotButton="0" quotePrefix="0" xfId="0">
      <alignment horizontal="left" vertical="center"/>
    </xf>
    <xf numFmtId="0" fontId="5" fillId="8" borderId="0" applyAlignment="1" pivotButton="0" quotePrefix="0" xfId="0">
      <alignment horizontal="left" vertical="center"/>
    </xf>
    <xf numFmtId="0" fontId="5" fillId="13" borderId="0" applyAlignment="1" pivotButton="0" quotePrefix="0" xfId="0">
      <alignment horizontal="left" vertical="center"/>
    </xf>
    <xf numFmtId="0" fontId="5" fillId="2" borderId="21" applyAlignment="1" pivotButton="0" quotePrefix="0" xfId="0">
      <alignment horizontal="center" vertical="center" wrapText="1"/>
    </xf>
    <xf numFmtId="0" fontId="27" fillId="0" borderId="19" pivotButton="0" quotePrefix="0" xfId="0"/>
    <xf numFmtId="0" fontId="9" fillId="0" borderId="19" pivotButton="0" quotePrefix="0" xfId="0"/>
    <xf numFmtId="0" fontId="5" fillId="12" borderId="0" applyAlignment="1" pivotButton="0" quotePrefix="0" xfId="0">
      <alignment horizontal="center" vertical="center" wrapText="1"/>
    </xf>
    <xf numFmtId="0" fontId="5" fillId="13" borderId="0" applyAlignment="1" pivotButton="0" quotePrefix="0" xfId="0">
      <alignment horizontal="center" vertical="center" wrapText="1"/>
    </xf>
    <xf numFmtId="0" fontId="23" fillId="10" borderId="19" pivotButton="0" quotePrefix="0" xfId="0"/>
    <xf numFmtId="0" fontId="7" fillId="10" borderId="19" pivotButton="0" quotePrefix="0" xfId="0"/>
    <xf numFmtId="0" fontId="19" fillId="19" borderId="20" pivotButton="0" quotePrefix="0" xfId="0"/>
    <xf numFmtId="0" fontId="24" fillId="0" borderId="0" pivotButton="0" quotePrefix="0" xfId="0"/>
    <xf numFmtId="0" fontId="25" fillId="0" borderId="20" pivotButton="0" quotePrefix="0" xfId="0"/>
    <xf numFmtId="0" fontId="19" fillId="0" borderId="20" pivotButton="0" quotePrefix="0" xfId="0"/>
    <xf numFmtId="0" fontId="8" fillId="20" borderId="0" applyAlignment="1" pivotButton="0" quotePrefix="0" xfId="0">
      <alignment horizontal="left" vertical="center"/>
    </xf>
    <xf numFmtId="0" fontId="0" fillId="20" borderId="0" pivotButton="0" quotePrefix="0" xfId="0"/>
    <xf numFmtId="0" fontId="5" fillId="2" borderId="0" applyAlignment="1" pivotButton="0" quotePrefix="0" xfId="0">
      <alignment horizontal="center" vertical="center" wrapText="1"/>
    </xf>
    <xf numFmtId="0" fontId="5" fillId="20" borderId="0" applyAlignment="1" pivotButton="0" quotePrefix="0" xfId="0">
      <alignment horizontal="center" vertical="center" wrapText="1"/>
    </xf>
    <xf numFmtId="0" fontId="27" fillId="0" borderId="20" pivotButton="0" quotePrefix="0" xfId="0"/>
    <xf numFmtId="0" fontId="9" fillId="0" borderId="20" pivotButton="0" quotePrefix="0" xfId="0"/>
    <xf numFmtId="0" fontId="9" fillId="0" borderId="20" applyAlignment="1" pivotButton="0" quotePrefix="0" xfId="0">
      <alignment horizontal="left" vertical="center" wrapText="1"/>
    </xf>
    <xf numFmtId="0" fontId="27" fillId="0" borderId="22" pivotButton="0" quotePrefix="0" xfId="0"/>
    <xf numFmtId="0" fontId="29" fillId="0" borderId="22" applyAlignment="1" pivotButton="0" quotePrefix="0" xfId="0">
      <alignment horizontal="left" vertical="center" wrapText="1"/>
    </xf>
    <xf numFmtId="0" fontId="9" fillId="0" borderId="0" pivotButton="0" quotePrefix="0" xfId="0"/>
    <xf numFmtId="0" fontId="28" fillId="0" borderId="19" pivotButton="0" quotePrefix="0" xfId="0"/>
    <xf numFmtId="0" fontId="5" fillId="4" borderId="23" pivotButton="0" quotePrefix="0" xfId="0"/>
    <xf numFmtId="0" fontId="0" fillId="4" borderId="24" pivotButton="0" quotePrefix="0" xfId="0"/>
    <xf numFmtId="0" fontId="5" fillId="8" borderId="29" pivotButton="0" quotePrefix="0" xfId="0"/>
    <xf numFmtId="0" fontId="0" fillId="8" borderId="30" pivotButton="0" quotePrefix="0" xfId="0"/>
    <xf numFmtId="0" fontId="5" fillId="11" borderId="35" pivotButton="0" quotePrefix="0" xfId="0"/>
    <xf numFmtId="0" fontId="0" fillId="11" borderId="36" pivotButton="0" quotePrefix="0" xfId="0"/>
    <xf numFmtId="0" fontId="5" fillId="21" borderId="41" pivotButton="0" quotePrefix="0" xfId="0"/>
    <xf numFmtId="0" fontId="0" fillId="21" borderId="42" pivotButton="0" quotePrefix="0" xfId="0"/>
    <xf numFmtId="0" fontId="30" fillId="9" borderId="25" applyAlignment="1" pivotButton="0" quotePrefix="0" xfId="0">
      <alignment horizontal="left" vertical="center"/>
    </xf>
    <xf numFmtId="0" fontId="0" fillId="9" borderId="26" pivotButton="0" quotePrefix="0" xfId="0"/>
    <xf numFmtId="0" fontId="31" fillId="9" borderId="31" applyAlignment="1" pivotButton="0" quotePrefix="0" xfId="0">
      <alignment horizontal="left" vertical="center"/>
    </xf>
    <xf numFmtId="0" fontId="0" fillId="9" borderId="32" pivotButton="0" quotePrefix="0" xfId="0"/>
    <xf numFmtId="0" fontId="32" fillId="9" borderId="37" applyAlignment="1" pivotButton="0" quotePrefix="0" xfId="0">
      <alignment horizontal="left" vertical="center"/>
    </xf>
    <xf numFmtId="0" fontId="0" fillId="9" borderId="38" pivotButton="0" quotePrefix="0" xfId="0"/>
    <xf numFmtId="0" fontId="33" fillId="9" borderId="43" applyAlignment="1" pivotButton="0" quotePrefix="0" xfId="0">
      <alignment horizontal="left" vertical="center"/>
    </xf>
    <xf numFmtId="0" fontId="0" fillId="9" borderId="44" pivotButton="0" quotePrefix="0" xfId="0"/>
    <xf numFmtId="0" fontId="0" fillId="9" borderId="27" pivotButton="0" quotePrefix="0" xfId="0"/>
    <xf numFmtId="0" fontId="0" fillId="9" borderId="28" pivotButton="0" quotePrefix="0" xfId="0"/>
    <xf numFmtId="0" fontId="0" fillId="9" borderId="33" pivotButton="0" quotePrefix="0" xfId="0"/>
    <xf numFmtId="0" fontId="0" fillId="9" borderId="34" pivotButton="0" quotePrefix="0" xfId="0"/>
    <xf numFmtId="0" fontId="0" fillId="9" borderId="39" pivotButton="0" quotePrefix="0" xfId="0"/>
    <xf numFmtId="0" fontId="0" fillId="9" borderId="40" pivotButton="0" quotePrefix="0" xfId="0"/>
    <xf numFmtId="0" fontId="0" fillId="9" borderId="45" pivotButton="0" quotePrefix="0" xfId="0"/>
    <xf numFmtId="0" fontId="0" fillId="9" borderId="46" pivotButton="0" quotePrefix="0" xfId="0"/>
    <xf numFmtId="0" fontId="5" fillId="22" borderId="47" pivotButton="0" quotePrefix="0" xfId="0"/>
    <xf numFmtId="0" fontId="0" fillId="22" borderId="48" pivotButton="0" quotePrefix="0" xfId="0"/>
    <xf numFmtId="0" fontId="5" fillId="3" borderId="53" pivotButton="0" quotePrefix="0" xfId="0"/>
    <xf numFmtId="0" fontId="0" fillId="3" borderId="54" pivotButton="0" quotePrefix="0" xfId="0"/>
    <xf numFmtId="0" fontId="5" fillId="5" borderId="59" pivotButton="0" quotePrefix="0" xfId="0"/>
    <xf numFmtId="0" fontId="0" fillId="5" borderId="60" pivotButton="0" quotePrefix="0" xfId="0"/>
    <xf numFmtId="0" fontId="34" fillId="9" borderId="49" applyAlignment="1" pivotButton="0" quotePrefix="0" xfId="0">
      <alignment horizontal="left" vertical="center"/>
    </xf>
    <xf numFmtId="0" fontId="0" fillId="9" borderId="50" pivotButton="0" quotePrefix="0" xfId="0"/>
    <xf numFmtId="0" fontId="35" fillId="9" borderId="55" applyAlignment="1" pivotButton="0" quotePrefix="0" xfId="0">
      <alignment horizontal="left" vertical="center"/>
    </xf>
    <xf numFmtId="0" fontId="0" fillId="9" borderId="56" pivotButton="0" quotePrefix="0" xfId="0"/>
    <xf numFmtId="0" fontId="36" fillId="9" borderId="61" applyAlignment="1" pivotButton="0" quotePrefix="0" xfId="0">
      <alignment horizontal="left" vertical="center"/>
    </xf>
    <xf numFmtId="0" fontId="0" fillId="9" borderId="62" pivotButton="0" quotePrefix="0" xfId="0"/>
    <xf numFmtId="0" fontId="0" fillId="9" borderId="51" pivotButton="0" quotePrefix="0" xfId="0"/>
    <xf numFmtId="0" fontId="0" fillId="9" borderId="52" pivotButton="0" quotePrefix="0" xfId="0"/>
    <xf numFmtId="0" fontId="0" fillId="9" borderId="57" pivotButton="0" quotePrefix="0" xfId="0"/>
    <xf numFmtId="0" fontId="0" fillId="9" borderId="58" pivotButton="0" quotePrefix="0" xfId="0"/>
    <xf numFmtId="0" fontId="0" fillId="9" borderId="63" pivotButton="0" quotePrefix="0" xfId="0"/>
    <xf numFmtId="0" fontId="0" fillId="9" borderId="64" pivotButton="0" quotePrefix="0" xfId="0"/>
    <xf numFmtId="0" fontId="37" fillId="0" borderId="0" pivotButton="0" quotePrefix="0" xfId="0"/>
    <xf numFmtId="0" fontId="8" fillId="21" borderId="0" pivotButton="0" quotePrefix="0" xfId="0"/>
    <xf numFmtId="0" fontId="5" fillId="21" borderId="0" applyAlignment="1" pivotButton="0" quotePrefix="0" xfId="0">
      <alignment horizontal="center" vertical="center" wrapText="1"/>
    </xf>
    <xf numFmtId="0" fontId="8" fillId="4" borderId="0" pivotButton="0" quotePrefix="0" xfId="0"/>
    <xf numFmtId="0" fontId="5" fillId="4" borderId="0" applyAlignment="1" pivotButton="0" quotePrefix="0" xfId="0">
      <alignment horizontal="center" vertical="center" wrapText="1"/>
    </xf>
    <xf numFmtId="0" fontId="8" fillId="8" borderId="0" pivotButton="0" quotePrefix="0" xfId="0"/>
    <xf numFmtId="0" fontId="5" fillId="8" borderId="0" applyAlignment="1" pivotButton="0" quotePrefix="0" xfId="0">
      <alignment horizontal="center" vertical="center" wrapText="1"/>
    </xf>
    <xf numFmtId="0" fontId="38" fillId="0" borderId="1" pivotButton="0" quotePrefix="0" xfId="0"/>
    <xf numFmtId="0" fontId="39" fillId="0" borderId="1" applyAlignment="1" pivotButton="0" quotePrefix="0" xfId="0">
      <alignment horizontal="center" vertical="center" wrapText="1"/>
    </xf>
    <xf numFmtId="0" fontId="38" fillId="9" borderId="1" pivotButton="0" quotePrefix="0" xfId="0"/>
    <xf numFmtId="0" fontId="39" fillId="9" borderId="1" applyAlignment="1" pivotButton="0" quotePrefix="0" xfId="0">
      <alignment horizontal="center" vertical="center" wrapText="1"/>
    </xf>
    <xf numFmtId="0" fontId="8" fillId="23" borderId="0" pivotButton="0" quotePrefix="0" xfId="0"/>
    <xf numFmtId="0" fontId="0" fillId="23" borderId="0" pivotButton="0" quotePrefix="0" xfId="0"/>
    <xf numFmtId="0" fontId="8" fillId="11" borderId="0" pivotButton="0" quotePrefix="0" xfId="0"/>
    <xf numFmtId="0" fontId="5" fillId="11" borderId="0" applyAlignment="1" pivotButton="0" quotePrefix="0" xfId="0">
      <alignment horizontal="center" vertical="center" wrapText="1"/>
    </xf>
    <xf numFmtId="0" fontId="5" fillId="23" borderId="0" applyAlignment="1" pivotButton="0" quotePrefix="0" xfId="0">
      <alignment horizontal="center" vertical="center" wrapText="1"/>
    </xf>
    <xf numFmtId="171" fontId="40" fillId="0" borderId="0" pivotButton="0" quotePrefix="0" xfId="0"/>
    <xf numFmtId="0" fontId="8" fillId="5" borderId="0" pivotButton="0" quotePrefix="0" xfId="0"/>
    <xf numFmtId="0" fontId="8" fillId="7" borderId="0" applyAlignment="1" pivotButton="0" quotePrefix="0" xfId="0">
      <alignment horizontal="left" vertical="center"/>
    </xf>
    <xf numFmtId="0" fontId="0" fillId="7" borderId="0" pivotButton="0" quotePrefix="0" xfId="0"/>
    <xf numFmtId="0" fontId="5" fillId="7" borderId="0" pivotButton="0" quotePrefix="0" xfId="0"/>
    <xf numFmtId="0" fontId="10" fillId="0" borderId="1" pivotButton="0" quotePrefix="0" xfId="0"/>
    <xf numFmtId="0" fontId="11" fillId="0" borderId="1" pivotButton="0" quotePrefix="0" xfId="0"/>
    <xf numFmtId="0" fontId="9" fillId="0" borderId="1" pivotButton="0" quotePrefix="0" xfId="0"/>
    <xf numFmtId="164" fontId="7" fillId="0" borderId="1" pivotButton="0" quotePrefix="0" xfId="0"/>
    <xf numFmtId="0" fontId="10" fillId="6" borderId="1" pivotButton="0" quotePrefix="0" xfId="0"/>
    <xf numFmtId="0" fontId="11" fillId="6" borderId="1" pivotButton="0" quotePrefix="0" xfId="0"/>
    <xf numFmtId="0" fontId="9" fillId="6" borderId="1" pivotButton="0" quotePrefix="0" xfId="0"/>
    <xf numFmtId="164" fontId="7" fillId="6" borderId="1" pivotButton="0" quotePrefix="0" xfId="0"/>
    <xf numFmtId="0" fontId="12" fillId="0" borderId="0" pivotButton="0" quotePrefix="0" xfId="0"/>
    <xf numFmtId="0" fontId="5" fillId="3" borderId="0" applyAlignment="1" pivotButton="0" quotePrefix="0" xfId="0">
      <alignment horizontal="center" vertical="center" wrapText="1"/>
    </xf>
    <xf numFmtId="0" fontId="6" fillId="0" borderId="0" pivotButton="0" quotePrefix="0" xfId="0"/>
    <xf numFmtId="0" fontId="7" fillId="0" borderId="1" pivotButton="0" quotePrefix="0" xfId="0"/>
  </cellXfs>
  <cellStyles count="1">
    <cellStyle name="Normal" xfId="0" builtinId="0" hidden="0"/>
  </cellStyles>
  <dxfs count="16">
    <dxf>
      <font>
        <name val="Arial"/>
        <b val="1"/>
        <color rgb="001B6E3A"/>
      </font>
      <fill>
        <patternFill patternType="solid">
          <fgColor rgb="00D8F3DC"/>
          <bgColor rgb="00D8F3DC"/>
        </patternFill>
      </fill>
    </dxf>
    <dxf>
      <font>
        <name val="Arial"/>
        <b val="1"/>
        <color rgb="00A61B1B"/>
      </font>
      <fill>
        <patternFill patternType="solid">
          <fgColor rgb="00FAD4D4"/>
          <bgColor rgb="00FAD4D4"/>
        </patternFill>
      </fill>
    </dxf>
    <dxf>
      <font>
        <name val="Arial"/>
        <b val="1"/>
        <color rgb="008A5A00"/>
      </font>
      <fill>
        <patternFill patternType="solid">
          <fgColor rgb="00FFF1C2"/>
          <bgColor rgb="00FFF1C2"/>
        </patternFill>
      </fill>
    </dxf>
    <dxf>
      <font>
        <name val="Arial"/>
        <color rgb="00A61B1B"/>
      </font>
    </dxf>
    <dxf>
      <fill>
        <patternFill patternType="solid">
          <fgColor rgb="00FAD4D4"/>
          <bgColor rgb="00FAD4D4"/>
        </patternFill>
      </fill>
    </dxf>
    <dxf>
      <font>
        <name val="Arial"/>
        <b val="1"/>
        <color rgb="00B23A1C"/>
      </font>
    </dxf>
    <dxf>
      <fill>
        <patternFill patternType="solid">
          <fgColor rgb="00D9EEEE"/>
          <bgColor rgb="00D9EEEE"/>
        </patternFill>
      </fill>
    </dxf>
    <dxf>
      <font>
        <name val="Arial"/>
        <b val="1"/>
        <color rgb="000E6E6E"/>
      </font>
      <fill>
        <patternFill patternType="solid">
          <fgColor rgb="00D9EEEE"/>
          <bgColor rgb="00D9EEEE"/>
        </patternFill>
      </fill>
    </dxf>
    <dxf>
      <fill>
        <patternFill patternType="solid">
          <fgColor rgb="00FFE08A"/>
          <bgColor rgb="00FFE08A"/>
        </patternFill>
      </fill>
    </dxf>
    <dxf>
      <fill>
        <patternFill patternType="solid">
          <fgColor rgb="00EEF3F8"/>
          <bgColor rgb="00EEF3F8"/>
        </patternFill>
      </fill>
    </dxf>
    <dxf>
      <font>
        <name val="Arial"/>
        <b val="1"/>
        <color rgb="001B6E3A"/>
      </font>
    </dxf>
    <dxf>
      <font>
        <name val="Arial"/>
        <b val="1"/>
        <color rgb="00A61B1B"/>
      </font>
    </dxf>
    <dxf>
      <font>
        <name val="Arial"/>
        <b val="1"/>
        <color rgb="008A5A00"/>
      </font>
    </dxf>
    <dxf>
      <font>
        <name val="Arial"/>
        <b val="1"/>
        <color rgb="000B3D91"/>
      </font>
      <border>
        <top style="medium">
          <color rgb="006B4A8E"/>
        </top>
      </border>
    </dxf>
    <dxf>
      <font>
        <name val="Arial"/>
        <color rgb="001B6E3A"/>
      </font>
    </dxf>
    <dxf>
      <fill>
        <patternFill patternType="solid">
          <fgColor rgb="00EEF3F8"/>
          <bgColor rgb="00EEF3F8"/>
        </patternFill>
      </fill>
      <border>
        <top style="medium">
          <color rgb="0014304A"/>
        </top>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style val="1"/>
  <chart>
    <plotArea>
      <scatterChart>
        <scatterStyle val="lineMarker"/>
        <ser>
          <idx val="0"/>
          <order val="0"/>
          <spPr>
            <a:ln xmlns:a="http://schemas.openxmlformats.org/drawingml/2006/main" w="31750">
              <a:solidFill>
                <a:srgbClr val="14304A"/>
              </a:solidFill>
              <a:prstDash val="solid"/>
            </a:ln>
          </spPr>
          <marker>
            <symbol val="none"/>
            <spPr>
              <a:ln xmlns:a="http://schemas.openxmlformats.org/drawingml/2006/main">
                <a:prstDash val="solid"/>
              </a:ln>
            </spPr>
          </marker>
          <xVal>
            <numRef>
              <f>'ElevCalc'!$B$150:$B$154</f>
            </numRef>
          </xVal>
          <yVal>
            <numRef>
              <f>'ElevCalc'!$C$150:$C$154</f>
            </numRef>
          </yVal>
          <smooth val="0"/>
        </ser>
        <ser>
          <idx val="1"/>
          <order val="1"/>
          <spPr>
            <a:ln xmlns:a="http://schemas.openxmlformats.org/drawingml/2006/main" w="9525">
              <a:solidFill>
                <a:srgbClr val="14304A"/>
              </a:solidFill>
              <a:prstDash val="solid"/>
            </a:ln>
          </spPr>
          <marker>
            <symbol val="none"/>
            <spPr>
              <a:ln xmlns:a="http://schemas.openxmlformats.org/drawingml/2006/main">
                <a:prstDash val="solid"/>
              </a:ln>
            </spPr>
          </marker>
          <xVal>
            <numRef>
              <f>'ElevCalc'!$B$156:$B$160</f>
            </numRef>
          </xVal>
          <yVal>
            <numRef>
              <f>'ElevCalc'!$C$156:$C$160</f>
            </numRef>
          </yVal>
          <smooth val="0"/>
        </ser>
        <ser>
          <idx val="2"/>
          <order val="2"/>
          <spPr>
            <a:ln xmlns:a="http://schemas.openxmlformats.org/drawingml/2006/main" w="9525">
              <a:solidFill>
                <a:srgbClr val="9AA5B1"/>
              </a:solidFill>
              <a:prstDash val="sysDash"/>
            </a:ln>
          </spPr>
          <marker>
            <symbol val="none"/>
            <spPr>
              <a:ln xmlns:a="http://schemas.openxmlformats.org/drawingml/2006/main">
                <a:prstDash val="solid"/>
              </a:ln>
            </spPr>
          </marker>
          <xVal>
            <numRef>
              <f>'ElevCalc'!$B$162:$B$166</f>
            </numRef>
          </xVal>
          <yVal>
            <numRef>
              <f>'ElevCalc'!$C$162:$C$166</f>
            </numRef>
          </yVal>
          <smooth val="0"/>
        </ser>
        <ser>
          <idx val="3"/>
          <order val="3"/>
          <spPr>
            <a:ln xmlns:a="http://schemas.openxmlformats.org/drawingml/2006/main" w="9525">
              <a:solidFill>
                <a:srgbClr val="9AA5B1"/>
              </a:solidFill>
              <a:prstDash val="sysDash"/>
            </a:ln>
          </spPr>
          <marker>
            <symbol val="none"/>
            <spPr>
              <a:ln xmlns:a="http://schemas.openxmlformats.org/drawingml/2006/main">
                <a:prstDash val="solid"/>
              </a:ln>
            </spPr>
          </marker>
          <xVal>
            <numRef>
              <f>'ElevCalc'!$B$168:$B$172</f>
            </numRef>
          </xVal>
          <yVal>
            <numRef>
              <f>'ElevCalc'!$C$168:$C$172</f>
            </numRef>
          </yVal>
          <smooth val="0"/>
        </ser>
        <ser>
          <idx val="4"/>
          <order val="4"/>
          <spPr>
            <a:ln xmlns:a="http://schemas.openxmlformats.org/drawingml/2006/main" w="9525">
              <a:solidFill>
                <a:srgbClr val="14304A"/>
              </a:solidFill>
              <a:prstDash val="solid"/>
            </a:ln>
          </spPr>
          <marker>
            <symbol val="none"/>
            <spPr>
              <a:ln xmlns:a="http://schemas.openxmlformats.org/drawingml/2006/main">
                <a:prstDash val="solid"/>
              </a:ln>
            </spPr>
          </marker>
          <xVal>
            <numRef>
              <f>'ElevCalc'!$B$174:$B$175</f>
            </numRef>
          </xVal>
          <yVal>
            <numRef>
              <f>'ElevCalc'!$C$174:$C$175</f>
            </numRef>
          </yVal>
          <smooth val="0"/>
        </ser>
        <ser>
          <idx val="5"/>
          <order val="5"/>
          <spPr>
            <a:ln xmlns:a="http://schemas.openxmlformats.org/drawingml/2006/main" w="12700">
              <a:solidFill>
                <a:srgbClr val="14304A"/>
              </a:solidFill>
              <a:prstDash val="solid"/>
            </a:ln>
          </spPr>
          <marker>
            <symbol val="none"/>
            <spPr>
              <a:ln xmlns:a="http://schemas.openxmlformats.org/drawingml/2006/main">
                <a:prstDash val="solid"/>
              </a:ln>
            </spPr>
          </marker>
          <xVal>
            <numRef>
              <f>'ElevCalc'!$B$177:$B$181</f>
            </numRef>
          </xVal>
          <yVal>
            <numRef>
              <f>'ElevCalc'!$C$177:$C$181</f>
            </numRef>
          </yVal>
          <smooth val="0"/>
        </ser>
        <ser>
          <idx val="6"/>
          <order val="6"/>
          <tx>
            <strRef>
              <f>'ElevCalc'!$D$183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0">
                    <a:solidFill>
                      <a:srgbClr val="2B7BB9"/>
                    </a:solidFill>
                    <a:latin typeface="Arial"/>
                  </a:defRPr>
                </a:pPr>
                <a:r>
                  <a:t/>
                </a:r>
                <a:endParaRPr sz="780" b="0">
                  <a:solidFill>
                    <a:srgbClr val="2B7BB9"/>
                  </a:solidFill>
                  <a:latin typeface="Arial"/>
                </a:endParaRPr>
              </a:p>
            </txPr>
            <dLblPos val="t"/>
            <showLegendKey val="0"/>
            <showVal val="0"/>
            <showCatName val="0"/>
            <showSerName val="1"/>
            <showPercent val="0"/>
          </dLbls>
          <xVal>
            <numRef>
              <f>'ElevCalc'!$B$183</f>
            </numRef>
          </xVal>
          <yVal>
            <numRef>
              <f>'ElevCalc'!$C$183</f>
            </numRef>
          </yVal>
          <smooth val="0"/>
        </ser>
        <ser>
          <idx val="7"/>
          <order val="7"/>
          <spPr>
            <a:ln xmlns:a="http://schemas.openxmlformats.org/drawingml/2006/main" w="12700">
              <a:solidFill>
                <a:srgbClr val="14304A"/>
              </a:solidFill>
              <a:prstDash val="solid"/>
            </a:ln>
          </spPr>
          <marker>
            <symbol val="none"/>
            <spPr>
              <a:ln xmlns:a="http://schemas.openxmlformats.org/drawingml/2006/main">
                <a:prstDash val="solid"/>
              </a:ln>
            </spPr>
          </marker>
          <xVal>
            <numRef>
              <f>'ElevCalc'!$B$185:$B$189</f>
            </numRef>
          </xVal>
          <yVal>
            <numRef>
              <f>'ElevCalc'!$C$185:$C$189</f>
            </numRef>
          </yVal>
          <smooth val="0"/>
        </ser>
        <ser>
          <idx val="8"/>
          <order val="8"/>
          <spPr>
            <a:ln xmlns:a="http://schemas.openxmlformats.org/drawingml/2006/main" w="12700">
              <a:solidFill>
                <a:srgbClr val="14304A"/>
              </a:solidFill>
              <a:prstDash val="solid"/>
            </a:ln>
          </spPr>
          <marker>
            <symbol val="none"/>
            <spPr>
              <a:ln xmlns:a="http://schemas.openxmlformats.org/drawingml/2006/main">
                <a:prstDash val="solid"/>
              </a:ln>
            </spPr>
          </marker>
          <xVal>
            <numRef>
              <f>'ElevCalc'!$B$191:$B$195</f>
            </numRef>
          </xVal>
          <yVal>
            <numRef>
              <f>'ElevCalc'!$C$191:$C$195</f>
            </numRef>
          </yVal>
          <smooth val="0"/>
        </ser>
        <ser>
          <idx val="9"/>
          <order val="9"/>
          <spPr>
            <a:ln xmlns:a="http://schemas.openxmlformats.org/drawingml/2006/main" w="13970">
              <a:solidFill>
                <a:srgbClr val="2B7BB9"/>
              </a:solidFill>
              <a:prstDash val="solid"/>
            </a:ln>
          </spPr>
          <marker>
            <symbol val="none"/>
            <spPr>
              <a:ln xmlns:a="http://schemas.openxmlformats.org/drawingml/2006/main">
                <a:prstDash val="solid"/>
              </a:ln>
            </spPr>
          </marker>
          <xVal>
            <numRef>
              <f>'ElevCalc'!$B$197:$B$201</f>
            </numRef>
          </xVal>
          <yVal>
            <numRef>
              <f>'ElevCalc'!$C$197:$C$201</f>
            </numRef>
          </yVal>
          <smooth val="0"/>
        </ser>
        <ser>
          <idx val="10"/>
          <order val="10"/>
          <spPr>
            <a:ln xmlns:a="http://schemas.openxmlformats.org/drawingml/2006/main" w="20320">
              <a:solidFill>
                <a:srgbClr val="2B3138"/>
              </a:solidFill>
              <a:prstDash val="solid"/>
            </a:ln>
          </spPr>
          <marker>
            <symbol val="none"/>
            <spPr>
              <a:ln xmlns:a="http://schemas.openxmlformats.org/drawingml/2006/main">
                <a:prstDash val="solid"/>
              </a:ln>
            </spPr>
          </marker>
          <xVal>
            <numRef>
              <f>'ElevCalc'!$B$203:$B$207</f>
            </numRef>
          </xVal>
          <yVal>
            <numRef>
              <f>'ElevCalc'!$C$203:$C$207</f>
            </numRef>
          </yVal>
          <smooth val="0"/>
        </ser>
        <ser>
          <idx val="11"/>
          <order val="11"/>
          <spPr>
            <a:ln xmlns:a="http://schemas.openxmlformats.org/drawingml/2006/main" w="20320">
              <a:solidFill>
                <a:srgbClr val="2B3138"/>
              </a:solidFill>
              <a:prstDash val="solid"/>
            </a:ln>
          </spPr>
          <marker>
            <symbol val="none"/>
            <spPr>
              <a:ln xmlns:a="http://schemas.openxmlformats.org/drawingml/2006/main">
                <a:prstDash val="solid"/>
              </a:ln>
            </spPr>
          </marker>
          <xVal>
            <numRef>
              <f>'ElevCalc'!$B$209:$B$213</f>
            </numRef>
          </xVal>
          <yVal>
            <numRef>
              <f>'ElevCalc'!$C$209:$C$213</f>
            </numRef>
          </yVal>
          <smooth val="0"/>
        </ser>
        <ser>
          <idx val="12"/>
          <order val="12"/>
          <spPr>
            <a:ln xmlns:a="http://schemas.openxmlformats.org/drawingml/2006/main" w="13970">
              <a:solidFill>
                <a:srgbClr val="2B7BB9"/>
              </a:solidFill>
              <a:prstDash val="solid"/>
            </a:ln>
          </spPr>
          <marker>
            <symbol val="none"/>
            <spPr>
              <a:ln xmlns:a="http://schemas.openxmlformats.org/drawingml/2006/main">
                <a:prstDash val="solid"/>
              </a:ln>
            </spPr>
          </marker>
          <xVal>
            <numRef>
              <f>'ElevCalc'!$B$215:$B$219</f>
            </numRef>
          </xVal>
          <yVal>
            <numRef>
              <f>'ElevCalc'!$C$215:$C$219</f>
            </numRef>
          </yVal>
          <smooth val="0"/>
        </ser>
        <ser>
          <idx val="13"/>
          <order val="13"/>
          <spPr>
            <a:ln xmlns:a="http://schemas.openxmlformats.org/drawingml/2006/main" w="13970">
              <a:solidFill>
                <a:srgbClr val="2B7BB9"/>
              </a:solidFill>
              <a:prstDash val="solid"/>
            </a:ln>
          </spPr>
          <marker>
            <symbol val="none"/>
            <spPr>
              <a:ln xmlns:a="http://schemas.openxmlformats.org/drawingml/2006/main">
                <a:prstDash val="solid"/>
              </a:ln>
            </spPr>
          </marker>
          <xVal>
            <numRef>
              <f>'ElevCalc'!$B$221:$B$225</f>
            </numRef>
          </xVal>
          <yVal>
            <numRef>
              <f>'ElevCalc'!$C$221:$C$225</f>
            </numRef>
          </yVal>
          <smooth val="0"/>
        </ser>
        <ser>
          <idx val="14"/>
          <order val="14"/>
          <spPr>
            <a:ln xmlns:a="http://schemas.openxmlformats.org/drawingml/2006/main" w="7620">
              <a:solidFill>
                <a:srgbClr val="2B7BB9"/>
              </a:solidFill>
              <a:prstDash val="solid"/>
            </a:ln>
          </spPr>
          <marker>
            <symbol val="none"/>
            <spPr>
              <a:ln xmlns:a="http://schemas.openxmlformats.org/drawingml/2006/main">
                <a:prstDash val="solid"/>
              </a:ln>
            </spPr>
          </marker>
          <xVal>
            <numRef>
              <f>'ElevCalc'!$B$227:$B$228</f>
            </numRef>
          </xVal>
          <yVal>
            <numRef>
              <f>'ElevCalc'!$C$227:$C$228</f>
            </numRef>
          </yVal>
          <smooth val="0"/>
        </ser>
        <ser>
          <idx val="15"/>
          <order val="15"/>
          <spPr>
            <a:ln xmlns:a="http://schemas.openxmlformats.org/drawingml/2006/main" w="7620">
              <a:solidFill>
                <a:srgbClr val="2B7BB9"/>
              </a:solidFill>
              <a:prstDash val="solid"/>
            </a:ln>
          </spPr>
          <marker>
            <symbol val="none"/>
            <spPr>
              <a:ln xmlns:a="http://schemas.openxmlformats.org/drawingml/2006/main">
                <a:prstDash val="solid"/>
              </a:ln>
            </spPr>
          </marker>
          <xVal>
            <numRef>
              <f>'ElevCalc'!$B$230:$B$231</f>
            </numRef>
          </xVal>
          <yVal>
            <numRef>
              <f>'ElevCalc'!$C$230:$C$231</f>
            </numRef>
          </yVal>
          <smooth val="0"/>
        </ser>
        <ser>
          <idx val="16"/>
          <order val="16"/>
          <spPr>
            <a:ln xmlns:a="http://schemas.openxmlformats.org/drawingml/2006/main" w="7620">
              <a:solidFill>
                <a:srgbClr val="2B7BB9"/>
              </a:solidFill>
              <a:prstDash val="solid"/>
            </a:ln>
          </spPr>
          <marker>
            <symbol val="none"/>
            <spPr>
              <a:ln xmlns:a="http://schemas.openxmlformats.org/drawingml/2006/main">
                <a:prstDash val="solid"/>
              </a:ln>
            </spPr>
          </marker>
          <xVal>
            <numRef>
              <f>'ElevCalc'!$B$233:$B$234</f>
            </numRef>
          </xVal>
          <yVal>
            <numRef>
              <f>'ElevCalc'!$C$233:$C$234</f>
            </numRef>
          </yVal>
          <smooth val="0"/>
        </ser>
        <ser>
          <idx val="17"/>
          <order val="17"/>
          <spPr>
            <a:ln xmlns:a="http://schemas.openxmlformats.org/drawingml/2006/main" w="7620">
              <a:solidFill>
                <a:srgbClr val="2B7BB9"/>
              </a:solidFill>
              <a:prstDash val="solid"/>
            </a:ln>
          </spPr>
          <marker>
            <symbol val="none"/>
            <spPr>
              <a:ln xmlns:a="http://schemas.openxmlformats.org/drawingml/2006/main">
                <a:prstDash val="solid"/>
              </a:ln>
            </spPr>
          </marker>
          <xVal>
            <numRef>
              <f>'ElevCalc'!$B$236:$B$237</f>
            </numRef>
          </xVal>
          <yVal>
            <numRef>
              <f>'ElevCalc'!$C$236:$C$237</f>
            </numRef>
          </yVal>
          <smooth val="0"/>
        </ser>
        <ser>
          <idx val="18"/>
          <order val="18"/>
          <spPr>
            <a:ln xmlns:a="http://schemas.openxmlformats.org/drawingml/2006/main" w="7620">
              <a:solidFill>
                <a:srgbClr val="2B7BB9"/>
              </a:solidFill>
              <a:prstDash val="solid"/>
            </a:ln>
          </spPr>
          <marker>
            <symbol val="none"/>
            <spPr>
              <a:ln xmlns:a="http://schemas.openxmlformats.org/drawingml/2006/main">
                <a:prstDash val="solid"/>
              </a:ln>
            </spPr>
          </marker>
          <xVal>
            <numRef>
              <f>'ElevCalc'!$B$239:$B$240</f>
            </numRef>
          </xVal>
          <yVal>
            <numRef>
              <f>'ElevCalc'!$C$239:$C$240</f>
            </numRef>
          </yVal>
          <smooth val="0"/>
        </ser>
        <ser>
          <idx val="19"/>
          <order val="19"/>
          <spPr>
            <a:ln xmlns:a="http://schemas.openxmlformats.org/drawingml/2006/main" w="7620">
              <a:solidFill>
                <a:srgbClr val="2B7BB9"/>
              </a:solidFill>
              <a:prstDash val="solid"/>
            </a:ln>
          </spPr>
          <marker>
            <symbol val="none"/>
            <spPr>
              <a:ln xmlns:a="http://schemas.openxmlformats.org/drawingml/2006/main">
                <a:prstDash val="solid"/>
              </a:ln>
            </spPr>
          </marker>
          <xVal>
            <numRef>
              <f>'ElevCalc'!$B$242:$B$243</f>
            </numRef>
          </xVal>
          <yVal>
            <numRef>
              <f>'ElevCalc'!$C$242:$C$243</f>
            </numRef>
          </yVal>
          <smooth val="0"/>
        </ser>
        <ser>
          <idx val="20"/>
          <order val="20"/>
          <spPr>
            <a:ln xmlns:a="http://schemas.openxmlformats.org/drawingml/2006/main" w="7620">
              <a:solidFill>
                <a:srgbClr val="2B7BB9"/>
              </a:solidFill>
              <a:prstDash val="solid"/>
            </a:ln>
          </spPr>
          <marker>
            <symbol val="none"/>
            <spPr>
              <a:ln xmlns:a="http://schemas.openxmlformats.org/drawingml/2006/main">
                <a:prstDash val="solid"/>
              </a:ln>
            </spPr>
          </marker>
          <xVal>
            <numRef>
              <f>'ElevCalc'!$B$245:$B$246</f>
            </numRef>
          </xVal>
          <yVal>
            <numRef>
              <f>'ElevCalc'!$C$245:$C$246</f>
            </numRef>
          </yVal>
          <smooth val="0"/>
        </ser>
        <ser>
          <idx val="21"/>
          <order val="21"/>
          <spPr>
            <a:ln xmlns:a="http://schemas.openxmlformats.org/drawingml/2006/main" w="7620">
              <a:solidFill>
                <a:srgbClr val="2B7BB9"/>
              </a:solidFill>
              <a:prstDash val="solid"/>
            </a:ln>
          </spPr>
          <marker>
            <symbol val="none"/>
            <spPr>
              <a:ln xmlns:a="http://schemas.openxmlformats.org/drawingml/2006/main">
                <a:prstDash val="solid"/>
              </a:ln>
            </spPr>
          </marker>
          <xVal>
            <numRef>
              <f>'ElevCalc'!$B$248:$B$249</f>
            </numRef>
          </xVal>
          <yVal>
            <numRef>
              <f>'ElevCalc'!$C$248:$C$249</f>
            </numRef>
          </yVal>
          <smooth val="0"/>
        </ser>
        <ser>
          <idx val="22"/>
          <order val="22"/>
          <spPr>
            <a:ln xmlns:a="http://schemas.openxmlformats.org/drawingml/2006/main" w="7620">
              <a:solidFill>
                <a:srgbClr val="2B7BB9"/>
              </a:solidFill>
              <a:prstDash val="solid"/>
            </a:ln>
          </spPr>
          <marker>
            <symbol val="none"/>
            <spPr>
              <a:ln xmlns:a="http://schemas.openxmlformats.org/drawingml/2006/main">
                <a:prstDash val="solid"/>
              </a:ln>
            </spPr>
          </marker>
          <xVal>
            <numRef>
              <f>'ElevCalc'!$B$251:$B$252</f>
            </numRef>
          </xVal>
          <yVal>
            <numRef>
              <f>'ElevCalc'!$C$251:$C$252</f>
            </numRef>
          </yVal>
          <smooth val="0"/>
        </ser>
        <ser>
          <idx val="23"/>
          <order val="23"/>
          <spPr>
            <a:ln xmlns:a="http://schemas.openxmlformats.org/drawingml/2006/main" w="7620">
              <a:solidFill>
                <a:srgbClr val="2B7BB9"/>
              </a:solidFill>
              <a:prstDash val="solid"/>
            </a:ln>
          </spPr>
          <marker>
            <symbol val="none"/>
            <spPr>
              <a:ln xmlns:a="http://schemas.openxmlformats.org/drawingml/2006/main">
                <a:prstDash val="solid"/>
              </a:ln>
            </spPr>
          </marker>
          <xVal>
            <numRef>
              <f>'ElevCalc'!$B$254:$B$255</f>
            </numRef>
          </xVal>
          <yVal>
            <numRef>
              <f>'ElevCalc'!$C$254:$C$255</f>
            </numRef>
          </yVal>
          <smooth val="0"/>
        </ser>
        <ser>
          <idx val="24"/>
          <order val="24"/>
          <spPr>
            <a:ln xmlns:a="http://schemas.openxmlformats.org/drawingml/2006/main" w="7620">
              <a:solidFill>
                <a:srgbClr val="2B7BB9"/>
              </a:solidFill>
              <a:prstDash val="solid"/>
            </a:ln>
          </spPr>
          <marker>
            <symbol val="none"/>
            <spPr>
              <a:ln xmlns:a="http://schemas.openxmlformats.org/drawingml/2006/main">
                <a:prstDash val="solid"/>
              </a:ln>
            </spPr>
          </marker>
          <xVal>
            <numRef>
              <f>'ElevCalc'!$B$257:$B$258</f>
            </numRef>
          </xVal>
          <yVal>
            <numRef>
              <f>'ElevCalc'!$C$257:$C$258</f>
            </numRef>
          </yVal>
          <smooth val="0"/>
        </ser>
        <ser>
          <idx val="25"/>
          <order val="25"/>
          <spPr>
            <a:ln xmlns:a="http://schemas.openxmlformats.org/drawingml/2006/main" w="7620">
              <a:solidFill>
                <a:srgbClr val="2B7BB9"/>
              </a:solidFill>
              <a:prstDash val="solid"/>
            </a:ln>
          </spPr>
          <marker>
            <symbol val="none"/>
            <spPr>
              <a:ln xmlns:a="http://schemas.openxmlformats.org/drawingml/2006/main">
                <a:prstDash val="solid"/>
              </a:ln>
            </spPr>
          </marker>
          <xVal>
            <numRef>
              <f>'ElevCalc'!$B$260:$B$261</f>
            </numRef>
          </xVal>
          <yVal>
            <numRef>
              <f>'ElevCalc'!$C$260:$C$261</f>
            </numRef>
          </yVal>
          <smooth val="0"/>
        </ser>
        <ser>
          <idx val="26"/>
          <order val="26"/>
          <spPr>
            <a:ln xmlns:a="http://schemas.openxmlformats.org/drawingml/2006/main" w="7620">
              <a:solidFill>
                <a:srgbClr val="2B7BB9"/>
              </a:solidFill>
              <a:prstDash val="solid"/>
            </a:ln>
          </spPr>
          <marker>
            <symbol val="none"/>
            <spPr>
              <a:ln xmlns:a="http://schemas.openxmlformats.org/drawingml/2006/main">
                <a:prstDash val="solid"/>
              </a:ln>
            </spPr>
          </marker>
          <xVal>
            <numRef>
              <f>'ElevCalc'!$B$263:$B$264</f>
            </numRef>
          </xVal>
          <yVal>
            <numRef>
              <f>'ElevCalc'!$C$263:$C$264</f>
            </numRef>
          </yVal>
          <smooth val="0"/>
        </ser>
        <ser>
          <idx val="27"/>
          <order val="27"/>
          <spPr>
            <a:ln xmlns:a="http://schemas.openxmlformats.org/drawingml/2006/main" w="7620">
              <a:solidFill>
                <a:srgbClr val="2B7BB9"/>
              </a:solidFill>
              <a:prstDash val="solid"/>
            </a:ln>
          </spPr>
          <marker>
            <symbol val="none"/>
            <spPr>
              <a:ln xmlns:a="http://schemas.openxmlformats.org/drawingml/2006/main">
                <a:prstDash val="solid"/>
              </a:ln>
            </spPr>
          </marker>
          <xVal>
            <numRef>
              <f>'ElevCalc'!$B$266:$B$267</f>
            </numRef>
          </xVal>
          <yVal>
            <numRef>
              <f>'ElevCalc'!$C$266:$C$267</f>
            </numRef>
          </yVal>
          <smooth val="0"/>
        </ser>
        <ser>
          <idx val="28"/>
          <order val="28"/>
          <spPr>
            <a:ln xmlns:a="http://schemas.openxmlformats.org/drawingml/2006/main" w="7620">
              <a:solidFill>
                <a:srgbClr val="2B7BB9"/>
              </a:solidFill>
              <a:prstDash val="solid"/>
            </a:ln>
          </spPr>
          <marker>
            <symbol val="none"/>
            <spPr>
              <a:ln xmlns:a="http://schemas.openxmlformats.org/drawingml/2006/main">
                <a:prstDash val="solid"/>
              </a:ln>
            </spPr>
          </marker>
          <xVal>
            <numRef>
              <f>'ElevCalc'!$B$269:$B$270</f>
            </numRef>
          </xVal>
          <yVal>
            <numRef>
              <f>'ElevCalc'!$C$269:$C$270</f>
            </numRef>
          </yVal>
          <smooth val="0"/>
        </ser>
        <ser>
          <idx val="29"/>
          <order val="29"/>
          <spPr>
            <a:ln xmlns:a="http://schemas.openxmlformats.org/drawingml/2006/main" w="7620">
              <a:solidFill>
                <a:srgbClr val="2B7BB9"/>
              </a:solidFill>
              <a:prstDash val="solid"/>
            </a:ln>
          </spPr>
          <marker>
            <symbol val="none"/>
            <spPr>
              <a:ln xmlns:a="http://schemas.openxmlformats.org/drawingml/2006/main">
                <a:prstDash val="solid"/>
              </a:ln>
            </spPr>
          </marker>
          <xVal>
            <numRef>
              <f>'ElevCalc'!$B$272:$B$273</f>
            </numRef>
          </xVal>
          <yVal>
            <numRef>
              <f>'ElevCalc'!$C$272:$C$273</f>
            </numRef>
          </yVal>
          <smooth val="0"/>
        </ser>
        <ser>
          <idx val="30"/>
          <order val="30"/>
          <spPr>
            <a:ln xmlns:a="http://schemas.openxmlformats.org/drawingml/2006/main" w="7620">
              <a:solidFill>
                <a:srgbClr val="2B7BB9"/>
              </a:solidFill>
              <a:prstDash val="solid"/>
            </a:ln>
          </spPr>
          <marker>
            <symbol val="none"/>
            <spPr>
              <a:ln xmlns:a="http://schemas.openxmlformats.org/drawingml/2006/main">
                <a:prstDash val="solid"/>
              </a:ln>
            </spPr>
          </marker>
          <xVal>
            <numRef>
              <f>'ElevCalc'!$B$275:$B$276</f>
            </numRef>
          </xVal>
          <yVal>
            <numRef>
              <f>'ElevCalc'!$C$275:$C$276</f>
            </numRef>
          </yVal>
          <smooth val="0"/>
        </ser>
        <ser>
          <idx val="31"/>
          <order val="31"/>
          <spPr>
            <a:ln xmlns:a="http://schemas.openxmlformats.org/drawingml/2006/main" w="7620">
              <a:solidFill>
                <a:srgbClr val="2B7BB9"/>
              </a:solidFill>
              <a:prstDash val="solid"/>
            </a:ln>
          </spPr>
          <marker>
            <symbol val="none"/>
            <spPr>
              <a:ln xmlns:a="http://schemas.openxmlformats.org/drawingml/2006/main">
                <a:prstDash val="solid"/>
              </a:ln>
            </spPr>
          </marker>
          <xVal>
            <numRef>
              <f>'ElevCalc'!$B$278:$B$279</f>
            </numRef>
          </xVal>
          <yVal>
            <numRef>
              <f>'ElevCalc'!$C$278:$C$279</f>
            </numRef>
          </yVal>
          <smooth val="0"/>
        </ser>
        <ser>
          <idx val="32"/>
          <order val="32"/>
          <spPr>
            <a:ln xmlns:a="http://schemas.openxmlformats.org/drawingml/2006/main" w="7620">
              <a:solidFill>
                <a:srgbClr val="2B7BB9"/>
              </a:solidFill>
              <a:prstDash val="solid"/>
            </a:ln>
          </spPr>
          <marker>
            <symbol val="none"/>
            <spPr>
              <a:ln xmlns:a="http://schemas.openxmlformats.org/drawingml/2006/main">
                <a:prstDash val="solid"/>
              </a:ln>
            </spPr>
          </marker>
          <xVal>
            <numRef>
              <f>'ElevCalc'!$B$281:$B$282</f>
            </numRef>
          </xVal>
          <yVal>
            <numRef>
              <f>'ElevCalc'!$C$281:$C$282</f>
            </numRef>
          </yVal>
          <smooth val="0"/>
        </ser>
        <ser>
          <idx val="33"/>
          <order val="33"/>
          <spPr>
            <a:ln xmlns:a="http://schemas.openxmlformats.org/drawingml/2006/main" w="7620">
              <a:solidFill>
                <a:srgbClr val="2B7BB9"/>
              </a:solidFill>
              <a:prstDash val="solid"/>
            </a:ln>
          </spPr>
          <marker>
            <symbol val="none"/>
            <spPr>
              <a:ln xmlns:a="http://schemas.openxmlformats.org/drawingml/2006/main">
                <a:prstDash val="solid"/>
              </a:ln>
            </spPr>
          </marker>
          <xVal>
            <numRef>
              <f>'ElevCalc'!$B$284:$B$285</f>
            </numRef>
          </xVal>
          <yVal>
            <numRef>
              <f>'ElevCalc'!$C$284:$C$285</f>
            </numRef>
          </yVal>
          <smooth val="0"/>
        </ser>
        <ser>
          <idx val="34"/>
          <order val="34"/>
          <spPr>
            <a:ln xmlns:a="http://schemas.openxmlformats.org/drawingml/2006/main" w="9525">
              <a:solidFill>
                <a:srgbClr val="8895A2"/>
              </a:solidFill>
              <a:prstDash val="dash"/>
            </a:ln>
          </spPr>
          <marker>
            <symbol val="none"/>
            <spPr>
              <a:ln xmlns:a="http://schemas.openxmlformats.org/drawingml/2006/main">
                <a:prstDash val="solid"/>
              </a:ln>
            </spPr>
          </marker>
          <xVal>
            <numRef>
              <f>'ElevCalc'!$B$287:$B$289</f>
            </numRef>
          </xVal>
          <yVal>
            <numRef>
              <f>'ElevCalc'!$C$287:$C$289</f>
            </numRef>
          </yVal>
          <smooth val="0"/>
        </ser>
        <ser>
          <idx val="35"/>
          <order val="35"/>
          <spPr>
            <a:ln xmlns:a="http://schemas.openxmlformats.org/drawingml/2006/main" w="9525">
              <a:solidFill>
                <a:srgbClr val="8895A2"/>
              </a:solidFill>
              <a:prstDash val="dash"/>
            </a:ln>
          </spPr>
          <marker>
            <symbol val="none"/>
            <spPr>
              <a:ln xmlns:a="http://schemas.openxmlformats.org/drawingml/2006/main">
                <a:prstDash val="solid"/>
              </a:ln>
            </spPr>
          </marker>
          <xVal>
            <numRef>
              <f>'ElevCalc'!$B$291:$B$293</f>
            </numRef>
          </xVal>
          <yVal>
            <numRef>
              <f>'ElevCalc'!$C$291:$C$293</f>
            </numRef>
          </yVal>
          <smooth val="0"/>
        </ser>
        <ser>
          <idx val="36"/>
          <order val="36"/>
          <spPr>
            <a:ln xmlns:a="http://schemas.openxmlformats.org/drawingml/2006/main" w="50800">
              <a:solidFill>
                <a:srgbClr val="C07F00"/>
              </a:solidFill>
              <a:prstDash val="solid"/>
            </a:ln>
          </spPr>
          <marker>
            <symbol val="none"/>
            <spPr>
              <a:ln xmlns:a="http://schemas.openxmlformats.org/drawingml/2006/main">
                <a:prstDash val="solid"/>
              </a:ln>
            </spPr>
          </marker>
          <xVal>
            <numRef>
              <f>'ElevCalc'!$B$295:$B$296</f>
            </numRef>
          </xVal>
          <yVal>
            <numRef>
              <f>'ElevCalc'!$C$295:$C$296</f>
            </numRef>
          </yVal>
          <smooth val="0"/>
        </ser>
        <ser>
          <idx val="37"/>
          <order val="37"/>
          <spPr>
            <a:ln xmlns:a="http://schemas.openxmlformats.org/drawingml/2006/main" w="50800">
              <a:solidFill>
                <a:srgbClr val="C07F00"/>
              </a:solidFill>
              <a:prstDash val="solid"/>
            </a:ln>
          </spPr>
          <marker>
            <symbol val="none"/>
            <spPr>
              <a:ln xmlns:a="http://schemas.openxmlformats.org/drawingml/2006/main">
                <a:prstDash val="solid"/>
              </a:ln>
            </spPr>
          </marker>
          <xVal>
            <numRef>
              <f>'ElevCalc'!$B$298:$B$299</f>
            </numRef>
          </xVal>
          <yVal>
            <numRef>
              <f>'ElevCalc'!$C$298:$C$299</f>
            </numRef>
          </yVal>
          <smooth val="0"/>
        </ser>
        <ser>
          <idx val="38"/>
          <order val="38"/>
          <tx>
            <strRef>
              <f>'ElevCalc'!$D$301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r"/>
            <showLegendKey val="0"/>
            <showVal val="0"/>
            <showCatName val="0"/>
            <showSerName val="1"/>
            <showPercent val="0"/>
          </dLbls>
          <xVal>
            <numRef>
              <f>'ElevCalc'!$B$301</f>
            </numRef>
          </xVal>
          <yVal>
            <numRef>
              <f>'ElevCalc'!$C$301</f>
            </numRef>
          </yVal>
          <smooth val="0"/>
        </ser>
        <ser>
          <idx val="39"/>
          <order val="39"/>
          <tx>
            <strRef>
              <f>'ElevCalc'!$D$303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l"/>
            <showLegendKey val="0"/>
            <showVal val="0"/>
            <showCatName val="0"/>
            <showSerName val="1"/>
            <showPercent val="0"/>
          </dLbls>
          <xVal>
            <numRef>
              <f>'ElevCalc'!$B$303</f>
            </numRef>
          </xVal>
          <yVal>
            <numRef>
              <f>'ElevCalc'!$C$303</f>
            </numRef>
          </yVal>
          <smooth val="0"/>
        </ser>
        <ser>
          <idx val="40"/>
          <order val="40"/>
          <spPr>
            <a:ln xmlns:a="http://schemas.openxmlformats.org/drawingml/2006/main" w="50800">
              <a:solidFill>
                <a:srgbClr val="C07F00"/>
              </a:solidFill>
              <a:prstDash val="solid"/>
            </a:ln>
          </spPr>
          <marker>
            <symbol val="none"/>
            <spPr>
              <a:ln xmlns:a="http://schemas.openxmlformats.org/drawingml/2006/main">
                <a:prstDash val="solid"/>
              </a:ln>
            </spPr>
          </marker>
          <xVal>
            <numRef>
              <f>'ElevCalc'!$B$305:$B$306</f>
            </numRef>
          </xVal>
          <yVal>
            <numRef>
              <f>'ElevCalc'!$C$305:$C$306</f>
            </numRef>
          </yVal>
          <smooth val="0"/>
        </ser>
        <ser>
          <idx val="41"/>
          <order val="41"/>
          <spPr>
            <a:ln xmlns:a="http://schemas.openxmlformats.org/drawingml/2006/main" w="50800">
              <a:solidFill>
                <a:srgbClr val="C07F00"/>
              </a:solidFill>
              <a:prstDash val="solid"/>
            </a:ln>
          </spPr>
          <marker>
            <symbol val="none"/>
            <spPr>
              <a:ln xmlns:a="http://schemas.openxmlformats.org/drawingml/2006/main">
                <a:prstDash val="solid"/>
              </a:ln>
            </spPr>
          </marker>
          <xVal>
            <numRef>
              <f>'ElevCalc'!$B$308:$B$309</f>
            </numRef>
          </xVal>
          <yVal>
            <numRef>
              <f>'ElevCalc'!$C$308:$C$309</f>
            </numRef>
          </yVal>
          <smooth val="0"/>
        </ser>
        <ser>
          <idx val="42"/>
          <order val="42"/>
          <tx>
            <strRef>
              <f>'ElevCalc'!$D$311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r"/>
            <showLegendKey val="0"/>
            <showVal val="0"/>
            <showCatName val="0"/>
            <showSerName val="1"/>
            <showPercent val="0"/>
          </dLbls>
          <xVal>
            <numRef>
              <f>'ElevCalc'!$B$311</f>
            </numRef>
          </xVal>
          <yVal>
            <numRef>
              <f>'ElevCalc'!$C$311</f>
            </numRef>
          </yVal>
          <smooth val="0"/>
        </ser>
        <ser>
          <idx val="43"/>
          <order val="43"/>
          <tx>
            <strRef>
              <f>'ElevCalc'!$D$313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l"/>
            <showLegendKey val="0"/>
            <showVal val="0"/>
            <showCatName val="0"/>
            <showSerName val="1"/>
            <showPercent val="0"/>
          </dLbls>
          <xVal>
            <numRef>
              <f>'ElevCalc'!$B$313</f>
            </numRef>
          </xVal>
          <yVal>
            <numRef>
              <f>'ElevCalc'!$C$313</f>
            </numRef>
          </yVal>
          <smooth val="0"/>
        </ser>
        <ser>
          <idx val="44"/>
          <order val="44"/>
          <spPr>
            <a:ln xmlns:a="http://schemas.openxmlformats.org/drawingml/2006/main" w="50800">
              <a:solidFill>
                <a:srgbClr val="C07F00"/>
              </a:solidFill>
              <a:prstDash val="solid"/>
            </a:ln>
          </spPr>
          <marker>
            <symbol val="none"/>
            <spPr>
              <a:ln xmlns:a="http://schemas.openxmlformats.org/drawingml/2006/main">
                <a:prstDash val="solid"/>
              </a:ln>
            </spPr>
          </marker>
          <xVal>
            <numRef>
              <f>'ElevCalc'!$B$315:$B$316</f>
            </numRef>
          </xVal>
          <yVal>
            <numRef>
              <f>'ElevCalc'!$C$315:$C$316</f>
            </numRef>
          </yVal>
          <smooth val="0"/>
        </ser>
        <ser>
          <idx val="45"/>
          <order val="45"/>
          <spPr>
            <a:ln xmlns:a="http://schemas.openxmlformats.org/drawingml/2006/main" w="50800">
              <a:solidFill>
                <a:srgbClr val="C07F00"/>
              </a:solidFill>
              <a:prstDash val="solid"/>
            </a:ln>
          </spPr>
          <marker>
            <symbol val="none"/>
            <spPr>
              <a:ln xmlns:a="http://schemas.openxmlformats.org/drawingml/2006/main">
                <a:prstDash val="solid"/>
              </a:ln>
            </spPr>
          </marker>
          <xVal>
            <numRef>
              <f>'ElevCalc'!$B$318:$B$319</f>
            </numRef>
          </xVal>
          <yVal>
            <numRef>
              <f>'ElevCalc'!$C$318:$C$319</f>
            </numRef>
          </yVal>
          <smooth val="0"/>
        </ser>
        <ser>
          <idx val="46"/>
          <order val="46"/>
          <tx>
            <strRef>
              <f>'ElevCalc'!$D$321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r"/>
            <showLegendKey val="0"/>
            <showVal val="0"/>
            <showCatName val="0"/>
            <showSerName val="1"/>
            <showPercent val="0"/>
          </dLbls>
          <xVal>
            <numRef>
              <f>'ElevCalc'!$B$321</f>
            </numRef>
          </xVal>
          <yVal>
            <numRef>
              <f>'ElevCalc'!$C$321</f>
            </numRef>
          </yVal>
          <smooth val="0"/>
        </ser>
        <ser>
          <idx val="47"/>
          <order val="47"/>
          <tx>
            <strRef>
              <f>'ElevCalc'!$D$323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l"/>
            <showLegendKey val="0"/>
            <showVal val="0"/>
            <showCatName val="0"/>
            <showSerName val="1"/>
            <showPercent val="0"/>
          </dLbls>
          <xVal>
            <numRef>
              <f>'ElevCalc'!$B$323</f>
            </numRef>
          </xVal>
          <yVal>
            <numRef>
              <f>'ElevCalc'!$C$323</f>
            </numRef>
          </yVal>
          <smooth val="0"/>
        </ser>
        <ser>
          <idx val="48"/>
          <order val="48"/>
          <spPr>
            <a:ln xmlns:a="http://schemas.openxmlformats.org/drawingml/2006/main" w="50800">
              <a:solidFill>
                <a:srgbClr val="C07F00"/>
              </a:solidFill>
              <a:prstDash val="solid"/>
            </a:ln>
          </spPr>
          <marker>
            <symbol val="none"/>
            <spPr>
              <a:ln xmlns:a="http://schemas.openxmlformats.org/drawingml/2006/main">
                <a:prstDash val="solid"/>
              </a:ln>
            </spPr>
          </marker>
          <xVal>
            <numRef>
              <f>'ElevCalc'!$B$325:$B$326</f>
            </numRef>
          </xVal>
          <yVal>
            <numRef>
              <f>'ElevCalc'!$C$325:$C$326</f>
            </numRef>
          </yVal>
          <smooth val="0"/>
        </ser>
        <ser>
          <idx val="49"/>
          <order val="49"/>
          <spPr>
            <a:ln xmlns:a="http://schemas.openxmlformats.org/drawingml/2006/main" w="50800">
              <a:solidFill>
                <a:srgbClr val="C07F00"/>
              </a:solidFill>
              <a:prstDash val="solid"/>
            </a:ln>
          </spPr>
          <marker>
            <symbol val="none"/>
            <spPr>
              <a:ln xmlns:a="http://schemas.openxmlformats.org/drawingml/2006/main">
                <a:prstDash val="solid"/>
              </a:ln>
            </spPr>
          </marker>
          <xVal>
            <numRef>
              <f>'ElevCalc'!$B$328:$B$329</f>
            </numRef>
          </xVal>
          <yVal>
            <numRef>
              <f>'ElevCalc'!$C$328:$C$329</f>
            </numRef>
          </yVal>
          <smooth val="0"/>
        </ser>
        <ser>
          <idx val="50"/>
          <order val="50"/>
          <tx>
            <strRef>
              <f>'ElevCalc'!$D$331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r"/>
            <showLegendKey val="0"/>
            <showVal val="0"/>
            <showCatName val="0"/>
            <showSerName val="1"/>
            <showPercent val="0"/>
          </dLbls>
          <xVal>
            <numRef>
              <f>'ElevCalc'!$B$331</f>
            </numRef>
          </xVal>
          <yVal>
            <numRef>
              <f>'ElevCalc'!$C$331</f>
            </numRef>
          </yVal>
          <smooth val="0"/>
        </ser>
        <ser>
          <idx val="51"/>
          <order val="51"/>
          <tx>
            <strRef>
              <f>'ElevCalc'!$D$333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l"/>
            <showLegendKey val="0"/>
            <showVal val="0"/>
            <showCatName val="0"/>
            <showSerName val="1"/>
            <showPercent val="0"/>
          </dLbls>
          <xVal>
            <numRef>
              <f>'ElevCalc'!$B$333</f>
            </numRef>
          </xVal>
          <yVal>
            <numRef>
              <f>'ElevCalc'!$C$333</f>
            </numRef>
          </yVal>
          <smooth val="0"/>
        </ser>
        <ser>
          <idx val="52"/>
          <order val="52"/>
          <spPr>
            <a:ln xmlns:a="http://schemas.openxmlformats.org/drawingml/2006/main" w="50800">
              <a:solidFill>
                <a:srgbClr val="C07F00"/>
              </a:solidFill>
              <a:prstDash val="solid"/>
            </a:ln>
          </spPr>
          <marker>
            <symbol val="none"/>
            <spPr>
              <a:ln xmlns:a="http://schemas.openxmlformats.org/drawingml/2006/main">
                <a:prstDash val="solid"/>
              </a:ln>
            </spPr>
          </marker>
          <xVal>
            <numRef>
              <f>'ElevCalc'!$B$335:$B$336</f>
            </numRef>
          </xVal>
          <yVal>
            <numRef>
              <f>'ElevCalc'!$C$335:$C$336</f>
            </numRef>
          </yVal>
          <smooth val="0"/>
        </ser>
        <ser>
          <idx val="53"/>
          <order val="53"/>
          <spPr>
            <a:ln xmlns:a="http://schemas.openxmlformats.org/drawingml/2006/main" w="50800">
              <a:solidFill>
                <a:srgbClr val="C07F00"/>
              </a:solidFill>
              <a:prstDash val="solid"/>
            </a:ln>
          </spPr>
          <marker>
            <symbol val="none"/>
            <spPr>
              <a:ln xmlns:a="http://schemas.openxmlformats.org/drawingml/2006/main">
                <a:prstDash val="solid"/>
              </a:ln>
            </spPr>
          </marker>
          <xVal>
            <numRef>
              <f>'ElevCalc'!$B$338:$B$339</f>
            </numRef>
          </xVal>
          <yVal>
            <numRef>
              <f>'ElevCalc'!$C$338:$C$339</f>
            </numRef>
          </yVal>
          <smooth val="0"/>
        </ser>
        <ser>
          <idx val="54"/>
          <order val="54"/>
          <tx>
            <strRef>
              <f>'ElevCalc'!$D$341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r"/>
            <showLegendKey val="0"/>
            <showVal val="0"/>
            <showCatName val="0"/>
            <showSerName val="1"/>
            <showPercent val="0"/>
          </dLbls>
          <xVal>
            <numRef>
              <f>'ElevCalc'!$B$341</f>
            </numRef>
          </xVal>
          <yVal>
            <numRef>
              <f>'ElevCalc'!$C$341</f>
            </numRef>
          </yVal>
          <smooth val="0"/>
        </ser>
        <ser>
          <idx val="55"/>
          <order val="55"/>
          <tx>
            <strRef>
              <f>'ElevCalc'!$D$343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l"/>
            <showLegendKey val="0"/>
            <showVal val="0"/>
            <showCatName val="0"/>
            <showSerName val="1"/>
            <showPercent val="0"/>
          </dLbls>
          <xVal>
            <numRef>
              <f>'ElevCalc'!$B$343</f>
            </numRef>
          </xVal>
          <yVal>
            <numRef>
              <f>'ElevCalc'!$C$343</f>
            </numRef>
          </yVal>
          <smooth val="0"/>
        </ser>
        <ser>
          <idx val="56"/>
          <order val="56"/>
          <spPr>
            <a:ln xmlns:a="http://schemas.openxmlformats.org/drawingml/2006/main" w="38100">
              <a:solidFill>
                <a:srgbClr val="C07F00"/>
              </a:solidFill>
              <a:prstDash val="solid"/>
            </a:ln>
          </spPr>
          <marker>
            <symbol val="none"/>
            <spPr>
              <a:ln xmlns:a="http://schemas.openxmlformats.org/drawingml/2006/main">
                <a:prstDash val="solid"/>
              </a:ln>
            </spPr>
          </marker>
          <xVal>
            <numRef>
              <f>'ElevCalc'!$B$345:$B$346</f>
            </numRef>
          </xVal>
          <yVal>
            <numRef>
              <f>'ElevCalc'!$C$345:$C$346</f>
            </numRef>
          </yVal>
          <smooth val="0"/>
        </ser>
        <ser>
          <idx val="57"/>
          <order val="57"/>
          <spPr>
            <a:ln xmlns:a="http://schemas.openxmlformats.org/drawingml/2006/main" w="38100">
              <a:solidFill>
                <a:srgbClr val="C07F00"/>
              </a:solidFill>
              <a:prstDash val="solid"/>
            </a:ln>
          </spPr>
          <marker>
            <symbol val="none"/>
            <spPr>
              <a:ln xmlns:a="http://schemas.openxmlformats.org/drawingml/2006/main">
                <a:prstDash val="solid"/>
              </a:ln>
            </spPr>
          </marker>
          <xVal>
            <numRef>
              <f>'ElevCalc'!$B$348:$B$349</f>
            </numRef>
          </xVal>
          <yVal>
            <numRef>
              <f>'ElevCalc'!$C$348:$C$349</f>
            </numRef>
          </yVal>
          <smooth val="0"/>
        </ser>
        <ser>
          <idx val="58"/>
          <order val="58"/>
          <spPr>
            <a:ln xmlns:a="http://schemas.openxmlformats.org/drawingml/2006/main">
              <a:noFill/>
              <a:prstDash val="solid"/>
            </a:ln>
          </spPr>
          <marker>
            <symbol val="circle"/>
            <size val="7"/>
            <spPr>
              <a:solidFill xmlns:a="http://schemas.openxmlformats.org/drawingml/2006/main">
                <a:srgbClr val="B23A1C"/>
              </a:solidFill>
              <a:ln xmlns:a="http://schemas.openxmlformats.org/drawingml/2006/main">
                <a:solidFill>
                  <a:srgbClr val="B23A1C"/>
                </a:solidFill>
                <a:prstDash val="solid"/>
              </a:ln>
            </spPr>
          </marker>
          <xVal>
            <numRef>
              <f>'ElevCalc'!$B$351</f>
            </numRef>
          </xVal>
          <yVal>
            <numRef>
              <f>'ElevCalc'!$C$351</f>
            </numRef>
          </yVal>
          <smooth val="0"/>
        </ser>
        <ser>
          <idx val="59"/>
          <order val="59"/>
          <tx>
            <strRef>
              <f>'ElevCalc'!$D$353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l"/>
            <showLegendKey val="0"/>
            <showVal val="0"/>
            <showCatName val="0"/>
            <showSerName val="1"/>
            <showPercent val="0"/>
          </dLbls>
          <xVal>
            <numRef>
              <f>'ElevCalc'!$B$353</f>
            </numRef>
          </xVal>
          <yVal>
            <numRef>
              <f>'ElevCalc'!$C$353</f>
            </numRef>
          </yVal>
          <smooth val="0"/>
        </ser>
        <ser>
          <idx val="60"/>
          <order val="60"/>
          <tx>
            <strRef>
              <f>'ElevCalc'!$D$355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1">
                    <a:solidFill>
                      <a:srgbClr val="8A5A00"/>
                    </a:solidFill>
                    <a:latin typeface="Arial"/>
                  </a:defRPr>
                </a:pPr>
                <a:r>
                  <a:t/>
                </a:r>
                <a:endParaRPr sz="780" b="1">
                  <a:solidFill>
                    <a:srgbClr val="8A5A00"/>
                  </a:solidFill>
                  <a:latin typeface="Arial"/>
                </a:endParaRPr>
              </a:p>
            </txPr>
            <dLblPos val="r"/>
            <showLegendKey val="0"/>
            <showVal val="0"/>
            <showCatName val="0"/>
            <showSerName val="1"/>
            <showPercent val="0"/>
          </dLbls>
          <xVal>
            <numRef>
              <f>'ElevCalc'!$B$355</f>
            </numRef>
          </xVal>
          <yVal>
            <numRef>
              <f>'ElevCalc'!$C$355</f>
            </numRef>
          </yVal>
          <smooth val="0"/>
        </ser>
        <ser>
          <idx val="61"/>
          <order val="61"/>
          <spPr>
            <a:ln xmlns:a="http://schemas.openxmlformats.org/drawingml/2006/main" w="38100">
              <a:solidFill>
                <a:srgbClr val="B23A1C"/>
              </a:solidFill>
              <a:prstDash val="solid"/>
            </a:ln>
          </spPr>
          <marker>
            <symbol val="none"/>
            <spPr>
              <a:ln xmlns:a="http://schemas.openxmlformats.org/drawingml/2006/main">
                <a:prstDash val="solid"/>
              </a:ln>
            </spPr>
          </marker>
          <xVal>
            <numRef>
              <f>'ElevCalc'!$B$357:$B$358</f>
            </numRef>
          </xVal>
          <yVal>
            <numRef>
              <f>'ElevCalc'!$C$357:$C$358</f>
            </numRef>
          </yVal>
          <smooth val="0"/>
        </ser>
        <ser>
          <idx val="62"/>
          <order val="62"/>
          <spPr>
            <a:ln xmlns:a="http://schemas.openxmlformats.org/drawingml/2006/main" w="31750">
              <a:solidFill>
                <a:srgbClr val="5B6770"/>
              </a:solidFill>
              <a:prstDash val="solid"/>
            </a:ln>
          </spPr>
          <marker>
            <symbol val="none"/>
            <spPr>
              <a:ln xmlns:a="http://schemas.openxmlformats.org/drawingml/2006/main">
                <a:prstDash val="solid"/>
              </a:ln>
            </spPr>
          </marker>
          <xVal>
            <numRef>
              <f>'ElevCalc'!$B$360:$B$361</f>
            </numRef>
          </xVal>
          <yVal>
            <numRef>
              <f>'ElevCalc'!$C$360:$C$361</f>
            </numRef>
          </yVal>
          <smooth val="0"/>
        </ser>
        <ser>
          <idx val="63"/>
          <order val="63"/>
          <spPr>
            <a:ln xmlns:a="http://schemas.openxmlformats.org/drawingml/2006/main" w="7620">
              <a:solidFill>
                <a:srgbClr val="7B8794"/>
              </a:solidFill>
              <a:prstDash val="solid"/>
            </a:ln>
          </spPr>
          <marker>
            <symbol val="none"/>
            <spPr>
              <a:ln xmlns:a="http://schemas.openxmlformats.org/drawingml/2006/main">
                <a:prstDash val="solid"/>
              </a:ln>
            </spPr>
          </marker>
          <xVal>
            <numRef>
              <f>'ElevCalc'!$B$363:$B$368</f>
            </numRef>
          </xVal>
          <yVal>
            <numRef>
              <f>'ElevCalc'!$C$363:$C$368</f>
            </numRef>
          </yVal>
          <smooth val="0"/>
        </ser>
        <ser>
          <idx val="64"/>
          <order val="64"/>
          <tx>
            <strRef>
              <f>'ElevCalc'!$D$370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1000" b="1">
                    <a:solidFill>
                      <a:srgbClr val="1F2933"/>
                    </a:solidFill>
                    <a:latin typeface="Arial"/>
                  </a:defRPr>
                </a:pPr>
                <a:r>
                  <a:t/>
                </a:r>
                <a:endParaRPr sz="1000" b="1">
                  <a:solidFill>
                    <a:srgbClr val="1F2933"/>
                  </a:solidFill>
                  <a:latin typeface="Arial"/>
                </a:endParaRPr>
              </a:p>
            </txPr>
            <dLblPos val="t"/>
            <showLegendKey val="0"/>
            <showVal val="0"/>
            <showCatName val="0"/>
            <showSerName val="1"/>
            <showPercent val="0"/>
          </dLbls>
          <xVal>
            <numRef>
              <f>'ElevCalc'!$B$370</f>
            </numRef>
          </xVal>
          <yVal>
            <numRef>
              <f>'ElevCalc'!$C$370</f>
            </numRef>
          </yVal>
          <smooth val="0"/>
        </ser>
        <ser>
          <idx val="65"/>
          <order val="65"/>
          <spPr>
            <a:ln xmlns:a="http://schemas.openxmlformats.org/drawingml/2006/main" w="7620">
              <a:solidFill>
                <a:srgbClr val="7B8794"/>
              </a:solidFill>
              <a:prstDash val="solid"/>
            </a:ln>
          </spPr>
          <marker>
            <symbol val="none"/>
            <spPr>
              <a:ln xmlns:a="http://schemas.openxmlformats.org/drawingml/2006/main">
                <a:prstDash val="solid"/>
              </a:ln>
            </spPr>
          </marker>
          <xVal>
            <numRef>
              <f>'ElevCalc'!$B$372:$B$377</f>
            </numRef>
          </xVal>
          <yVal>
            <numRef>
              <f>'ElevCalc'!$C$372:$C$377</f>
            </numRef>
          </yVal>
          <smooth val="0"/>
        </ser>
        <ser>
          <idx val="66"/>
          <order val="66"/>
          <tx>
            <strRef>
              <f>'ElevCalc'!$D$379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1000" b="1">
                    <a:solidFill>
                      <a:srgbClr val="1F2933"/>
                    </a:solidFill>
                    <a:latin typeface="Arial"/>
                  </a:defRPr>
                </a:pPr>
                <a:r>
                  <a:t/>
                </a:r>
                <a:endParaRPr sz="1000" b="1">
                  <a:solidFill>
                    <a:srgbClr val="1F2933"/>
                  </a:solidFill>
                  <a:latin typeface="Arial"/>
                </a:endParaRPr>
              </a:p>
            </txPr>
            <dLblPos val="b"/>
            <showLegendKey val="0"/>
            <showVal val="0"/>
            <showCatName val="0"/>
            <showSerName val="1"/>
            <showPercent val="0"/>
          </dLbls>
          <xVal>
            <numRef>
              <f>'ElevCalc'!$B$379</f>
            </numRef>
          </xVal>
          <yVal>
            <numRef>
              <f>'ElevCalc'!$C$379</f>
            </numRef>
          </yVal>
          <smooth val="0"/>
        </ser>
        <ser>
          <idx val="67"/>
          <order val="67"/>
          <spPr>
            <a:ln xmlns:a="http://schemas.openxmlformats.org/drawingml/2006/main" w="7620">
              <a:solidFill>
                <a:srgbClr val="7B8794"/>
              </a:solidFill>
              <a:prstDash val="solid"/>
            </a:ln>
          </spPr>
          <marker>
            <symbol val="none"/>
            <spPr>
              <a:ln xmlns:a="http://schemas.openxmlformats.org/drawingml/2006/main">
                <a:prstDash val="solid"/>
              </a:ln>
            </spPr>
          </marker>
          <xVal>
            <numRef>
              <f>'ElevCalc'!$B$381:$B$386</f>
            </numRef>
          </xVal>
          <yVal>
            <numRef>
              <f>'ElevCalc'!$C$381:$C$386</f>
            </numRef>
          </yVal>
          <smooth val="0"/>
        </ser>
        <ser>
          <idx val="68"/>
          <order val="68"/>
          <tx>
            <strRef>
              <f>'ElevCalc'!$D$388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1000" b="1">
                    <a:solidFill>
                      <a:srgbClr val="1F2933"/>
                    </a:solidFill>
                    <a:latin typeface="Arial"/>
                  </a:defRPr>
                </a:pPr>
                <a:r>
                  <a:t/>
                </a:r>
                <a:endParaRPr sz="1000" b="1">
                  <a:solidFill>
                    <a:srgbClr val="1F2933"/>
                  </a:solidFill>
                  <a:latin typeface="Arial"/>
                </a:endParaRPr>
              </a:p>
            </txPr>
            <dLblPos val="r"/>
            <showLegendKey val="0"/>
            <showVal val="0"/>
            <showCatName val="0"/>
            <showSerName val="1"/>
            <showPercent val="0"/>
          </dLbls>
          <xVal>
            <numRef>
              <f>'ElevCalc'!$B$388</f>
            </numRef>
          </xVal>
          <yVal>
            <numRef>
              <f>'ElevCalc'!$C$388</f>
            </numRef>
          </yVal>
          <smooth val="0"/>
        </ser>
        <ser>
          <idx val="69"/>
          <order val="69"/>
          <spPr>
            <a:ln xmlns:a="http://schemas.openxmlformats.org/drawingml/2006/main" w="7620">
              <a:solidFill>
                <a:srgbClr val="7B8794"/>
              </a:solidFill>
              <a:prstDash val="solid"/>
            </a:ln>
          </spPr>
          <marker>
            <symbol val="none"/>
            <spPr>
              <a:ln xmlns:a="http://schemas.openxmlformats.org/drawingml/2006/main">
                <a:prstDash val="solid"/>
              </a:ln>
            </spPr>
          </marker>
          <xVal>
            <numRef>
              <f>'ElevCalc'!$B$390:$B$395</f>
            </numRef>
          </xVal>
          <yVal>
            <numRef>
              <f>'ElevCalc'!$C$390:$C$395</f>
            </numRef>
          </yVal>
          <smooth val="0"/>
        </ser>
        <ser>
          <idx val="70"/>
          <order val="70"/>
          <tx>
            <strRef>
              <f>'ElevCalc'!$D$397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1000" b="1">
                    <a:solidFill>
                      <a:srgbClr val="1F2933"/>
                    </a:solidFill>
                    <a:latin typeface="Arial"/>
                  </a:defRPr>
                </a:pPr>
                <a:r>
                  <a:t/>
                </a:r>
                <a:endParaRPr sz="1000" b="1">
                  <a:solidFill>
                    <a:srgbClr val="1F2933"/>
                  </a:solidFill>
                  <a:latin typeface="Arial"/>
                </a:endParaRPr>
              </a:p>
            </txPr>
            <dLblPos val="l"/>
            <showLegendKey val="0"/>
            <showVal val="0"/>
            <showCatName val="0"/>
            <showSerName val="1"/>
            <showPercent val="0"/>
          </dLbls>
          <xVal>
            <numRef>
              <f>'ElevCalc'!$B$397</f>
            </numRef>
          </xVal>
          <yVal>
            <numRef>
              <f>'ElevCalc'!$C$397</f>
            </numRef>
          </yVal>
          <smooth val="0"/>
        </ser>
        <ser>
          <idx val="71"/>
          <order val="71"/>
          <tx>
            <strRef>
              <f>'ElevCalc'!$D$399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0">
                    <a:solidFill>
                      <a:srgbClr val="2B7BB9"/>
                    </a:solidFill>
                    <a:latin typeface="Arial"/>
                  </a:defRPr>
                </a:pPr>
                <a:r>
                  <a:t/>
                </a:r>
                <a:endParaRPr sz="780" b="0">
                  <a:solidFill>
                    <a:srgbClr val="2B7BB9"/>
                  </a:solidFill>
                  <a:latin typeface="Arial"/>
                </a:endParaRPr>
              </a:p>
            </txPr>
            <dLblPos val="b"/>
            <showLegendKey val="0"/>
            <showVal val="0"/>
            <showCatName val="0"/>
            <showSerName val="1"/>
            <showPercent val="0"/>
          </dLbls>
          <xVal>
            <numRef>
              <f>'ElevCalc'!$B$399</f>
            </numRef>
          </xVal>
          <yVal>
            <numRef>
              <f>'ElevCalc'!$C$399</f>
            </numRef>
          </yVal>
          <smooth val="0"/>
        </ser>
        <ser>
          <idx val="72"/>
          <order val="72"/>
          <tx>
            <strRef>
              <f>'ElevCalc'!$D$401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80" b="0">
                    <a:solidFill>
                      <a:srgbClr val="7B8794"/>
                    </a:solidFill>
                    <a:latin typeface="Arial"/>
                  </a:defRPr>
                </a:pPr>
                <a:r>
                  <a:t/>
                </a:r>
                <a:endParaRPr sz="780" b="0">
                  <a:solidFill>
                    <a:srgbClr val="7B8794"/>
                  </a:solidFill>
                  <a:latin typeface="Arial"/>
                </a:endParaRPr>
              </a:p>
            </txPr>
            <dLblPos val="t"/>
            <showLegendKey val="0"/>
            <showVal val="0"/>
            <showCatName val="0"/>
            <showSerName val="1"/>
            <showPercent val="0"/>
          </dLbls>
          <xVal>
            <numRef>
              <f>'ElevCalc'!$B$401</f>
            </numRef>
          </xVal>
          <yVal>
            <numRef>
              <f>'ElevCalc'!$C$401</f>
            </numRef>
          </yVal>
          <smooth val="0"/>
        </ser>
        <ser>
          <idx val="73"/>
          <order val="73"/>
          <tx>
            <strRef>
              <f>'ElevCalc'!$D$403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1000" b="1">
                    <a:solidFill>
                      <a:srgbClr val="14304A"/>
                    </a:solidFill>
                    <a:latin typeface="Arial"/>
                  </a:defRPr>
                </a:pPr>
                <a:r>
                  <a:t/>
                </a:r>
                <a:endParaRPr sz="1000" b="1">
                  <a:solidFill>
                    <a:srgbClr val="14304A"/>
                  </a:solidFill>
                  <a:latin typeface="Arial"/>
                </a:endParaRPr>
              </a:p>
            </txPr>
            <dLblPos val="r"/>
            <showLegendKey val="0"/>
            <showVal val="0"/>
            <showCatName val="0"/>
            <showSerName val="1"/>
            <showPercent val="0"/>
          </dLbls>
          <xVal>
            <numRef>
              <f>'ElevCalc'!$B$403</f>
            </numRef>
          </xVal>
          <yVal>
            <numRef>
              <f>'ElevCalc'!$C$403</f>
            </numRef>
          </yVal>
          <smooth val="0"/>
        </ser>
        <axId val="10"/>
        <axId val="20"/>
      </scatterChart>
      <valAx>
        <axId val="10"/>
        <scaling>
          <orientation val="minMax"/>
          <max val="200"/>
          <min val="0"/>
        </scaling>
        <delete val="1"/>
        <axPos val="l"/>
        <majorTickMark val="none"/>
        <minorTickMark val="none"/>
        <crossAx val="20"/>
      </valAx>
      <valAx>
        <axId val="20"/>
        <scaling>
          <orientation val="minMax"/>
          <max val="172"/>
          <min val="-28"/>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style val="1"/>
  <chart>
    <plotArea>
      <scatterChart>
        <scatterStyle val="lineMarker"/>
        <ser>
          <idx val="0"/>
          <order val="0"/>
          <spPr>
            <a:ln xmlns:a="http://schemas.openxmlformats.org/drawingml/2006/main" w="31750">
              <a:solidFill>
                <a:srgbClr val="14304A"/>
              </a:solidFill>
              <a:prstDash val="solid"/>
            </a:ln>
          </spPr>
          <marker>
            <symbol val="none"/>
            <spPr>
              <a:ln xmlns:a="http://schemas.openxmlformats.org/drawingml/2006/main">
                <a:prstDash val="solid"/>
              </a:ln>
            </spPr>
          </marker>
          <xVal>
            <numRef>
              <f>'ElevCalc'!$G$150:$G$154</f>
            </numRef>
          </xVal>
          <yVal>
            <numRef>
              <f>'ElevCalc'!$H$150:$H$154</f>
            </numRef>
          </yVal>
          <smooth val="0"/>
        </ser>
        <ser>
          <idx val="1"/>
          <order val="1"/>
          <spPr>
            <a:ln xmlns:a="http://schemas.openxmlformats.org/drawingml/2006/main" w="9525">
              <a:solidFill>
                <a:srgbClr val="14304A"/>
              </a:solidFill>
              <a:prstDash val="solid"/>
            </a:ln>
          </spPr>
          <marker>
            <symbol val="none"/>
            <spPr>
              <a:ln xmlns:a="http://schemas.openxmlformats.org/drawingml/2006/main">
                <a:prstDash val="solid"/>
              </a:ln>
            </spPr>
          </marker>
          <xVal>
            <numRef>
              <f>'ElevCalc'!$G$156:$G$160</f>
            </numRef>
          </xVal>
          <yVal>
            <numRef>
              <f>'ElevCalc'!$H$156:$H$160</f>
            </numRef>
          </yVal>
          <smooth val="0"/>
        </ser>
        <ser>
          <idx val="2"/>
          <order val="2"/>
          <spPr>
            <a:ln xmlns:a="http://schemas.openxmlformats.org/drawingml/2006/main" w="9525">
              <a:solidFill>
                <a:srgbClr val="9AA5B1"/>
              </a:solidFill>
              <a:prstDash val="sysDash"/>
            </a:ln>
          </spPr>
          <marker>
            <symbol val="none"/>
            <spPr>
              <a:ln xmlns:a="http://schemas.openxmlformats.org/drawingml/2006/main">
                <a:prstDash val="solid"/>
              </a:ln>
            </spPr>
          </marker>
          <xVal>
            <numRef>
              <f>'ElevCalc'!$G$162:$G$166</f>
            </numRef>
          </xVal>
          <yVal>
            <numRef>
              <f>'ElevCalc'!$H$162:$H$166</f>
            </numRef>
          </yVal>
          <smooth val="0"/>
        </ser>
        <ser>
          <idx val="3"/>
          <order val="3"/>
          <spPr>
            <a:ln xmlns:a="http://schemas.openxmlformats.org/drawingml/2006/main" w="9525">
              <a:solidFill>
                <a:srgbClr val="9AA5B1"/>
              </a:solidFill>
              <a:prstDash val="sysDash"/>
            </a:ln>
          </spPr>
          <marker>
            <symbol val="none"/>
            <spPr>
              <a:ln xmlns:a="http://schemas.openxmlformats.org/drawingml/2006/main">
                <a:prstDash val="solid"/>
              </a:ln>
            </spPr>
          </marker>
          <xVal>
            <numRef>
              <f>'ElevCalc'!$G$168:$G$172</f>
            </numRef>
          </xVal>
          <yVal>
            <numRef>
              <f>'ElevCalc'!$H$168:$H$172</f>
            </numRef>
          </yVal>
          <smooth val="0"/>
        </ser>
        <ser>
          <idx val="4"/>
          <order val="4"/>
          <spPr>
            <a:ln xmlns:a="http://schemas.openxmlformats.org/drawingml/2006/main" w="9525">
              <a:solidFill>
                <a:srgbClr val="14304A"/>
              </a:solidFill>
              <a:prstDash val="solid"/>
            </a:ln>
          </spPr>
          <marker>
            <symbol val="none"/>
            <spPr>
              <a:ln xmlns:a="http://schemas.openxmlformats.org/drawingml/2006/main">
                <a:prstDash val="solid"/>
              </a:ln>
            </spPr>
          </marker>
          <xVal>
            <numRef>
              <f>'ElevCalc'!$G$174:$G$175</f>
            </numRef>
          </xVal>
          <yVal>
            <numRef>
              <f>'ElevCalc'!$H$174:$H$175</f>
            </numRef>
          </yVal>
          <smooth val="0"/>
        </ser>
        <ser>
          <idx val="5"/>
          <order val="5"/>
          <spPr>
            <a:ln xmlns:a="http://schemas.openxmlformats.org/drawingml/2006/main" w="12700">
              <a:solidFill>
                <a:srgbClr val="14304A"/>
              </a:solidFill>
              <a:prstDash val="solid"/>
            </a:ln>
          </spPr>
          <marker>
            <symbol val="none"/>
            <spPr>
              <a:ln xmlns:a="http://schemas.openxmlformats.org/drawingml/2006/main">
                <a:prstDash val="solid"/>
              </a:ln>
            </spPr>
          </marker>
          <xVal>
            <numRef>
              <f>'ElevCalc'!$G$177:$G$181</f>
            </numRef>
          </xVal>
          <yVal>
            <numRef>
              <f>'ElevCalc'!$H$177:$H$181</f>
            </numRef>
          </yVal>
          <smooth val="0"/>
        </ser>
        <ser>
          <idx val="6"/>
          <order val="6"/>
          <tx>
            <strRef>
              <f>'ElevCalc'!$I$183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t"/>
            <showLegendKey val="0"/>
            <showVal val="0"/>
            <showCatName val="0"/>
            <showSerName val="1"/>
            <showPercent val="0"/>
          </dLbls>
          <xVal>
            <numRef>
              <f>'ElevCalc'!$G$183</f>
            </numRef>
          </xVal>
          <yVal>
            <numRef>
              <f>'ElevCalc'!$H$183</f>
            </numRef>
          </yVal>
          <smooth val="0"/>
        </ser>
        <ser>
          <idx val="7"/>
          <order val="7"/>
          <spPr>
            <a:ln xmlns:a="http://schemas.openxmlformats.org/drawingml/2006/main" w="12700">
              <a:solidFill>
                <a:srgbClr val="14304A"/>
              </a:solidFill>
              <a:prstDash val="solid"/>
            </a:ln>
          </spPr>
          <marker>
            <symbol val="none"/>
            <spPr>
              <a:ln xmlns:a="http://schemas.openxmlformats.org/drawingml/2006/main">
                <a:prstDash val="solid"/>
              </a:ln>
            </spPr>
          </marker>
          <xVal>
            <numRef>
              <f>'ElevCalc'!$G$185:$G$189</f>
            </numRef>
          </xVal>
          <yVal>
            <numRef>
              <f>'ElevCalc'!$H$185:$H$189</f>
            </numRef>
          </yVal>
          <smooth val="0"/>
        </ser>
        <ser>
          <idx val="8"/>
          <order val="8"/>
          <spPr>
            <a:ln xmlns:a="http://schemas.openxmlformats.org/drawingml/2006/main" w="12700">
              <a:solidFill>
                <a:srgbClr val="14304A"/>
              </a:solidFill>
              <a:prstDash val="solid"/>
            </a:ln>
          </spPr>
          <marker>
            <symbol val="none"/>
            <spPr>
              <a:ln xmlns:a="http://schemas.openxmlformats.org/drawingml/2006/main">
                <a:prstDash val="solid"/>
              </a:ln>
            </spPr>
          </marker>
          <xVal>
            <numRef>
              <f>'ElevCalc'!$G$191:$G$195</f>
            </numRef>
          </xVal>
          <yVal>
            <numRef>
              <f>'ElevCalc'!$H$191:$H$195</f>
            </numRef>
          </yVal>
          <smooth val="0"/>
        </ser>
        <ser>
          <idx val="9"/>
          <order val="9"/>
          <spPr>
            <a:ln xmlns:a="http://schemas.openxmlformats.org/drawingml/2006/main" w="13970">
              <a:solidFill>
                <a:srgbClr val="2B7BB9"/>
              </a:solidFill>
              <a:prstDash val="solid"/>
            </a:ln>
          </spPr>
          <marker>
            <symbol val="none"/>
            <spPr>
              <a:ln xmlns:a="http://schemas.openxmlformats.org/drawingml/2006/main">
                <a:prstDash val="solid"/>
              </a:ln>
            </spPr>
          </marker>
          <xVal>
            <numRef>
              <f>'ElevCalc'!$G$197:$G$201</f>
            </numRef>
          </xVal>
          <yVal>
            <numRef>
              <f>'ElevCalc'!$H$197:$H$201</f>
            </numRef>
          </yVal>
          <smooth val="0"/>
        </ser>
        <ser>
          <idx val="10"/>
          <order val="10"/>
          <spPr>
            <a:ln xmlns:a="http://schemas.openxmlformats.org/drawingml/2006/main" w="20320">
              <a:solidFill>
                <a:srgbClr val="2B3138"/>
              </a:solidFill>
              <a:prstDash val="solid"/>
            </a:ln>
          </spPr>
          <marker>
            <symbol val="none"/>
            <spPr>
              <a:ln xmlns:a="http://schemas.openxmlformats.org/drawingml/2006/main">
                <a:prstDash val="solid"/>
              </a:ln>
            </spPr>
          </marker>
          <xVal>
            <numRef>
              <f>'ElevCalc'!$G$203:$G$207</f>
            </numRef>
          </xVal>
          <yVal>
            <numRef>
              <f>'ElevCalc'!$H$203:$H$207</f>
            </numRef>
          </yVal>
          <smooth val="0"/>
        </ser>
        <ser>
          <idx val="11"/>
          <order val="11"/>
          <spPr>
            <a:ln xmlns:a="http://schemas.openxmlformats.org/drawingml/2006/main" w="20320">
              <a:solidFill>
                <a:srgbClr val="2B3138"/>
              </a:solidFill>
              <a:prstDash val="solid"/>
            </a:ln>
          </spPr>
          <marker>
            <symbol val="none"/>
            <spPr>
              <a:ln xmlns:a="http://schemas.openxmlformats.org/drawingml/2006/main">
                <a:prstDash val="solid"/>
              </a:ln>
            </spPr>
          </marker>
          <xVal>
            <numRef>
              <f>'ElevCalc'!$G$209:$G$213</f>
            </numRef>
          </xVal>
          <yVal>
            <numRef>
              <f>'ElevCalc'!$H$209:$H$213</f>
            </numRef>
          </yVal>
          <smooth val="0"/>
        </ser>
        <ser>
          <idx val="12"/>
          <order val="12"/>
          <spPr>
            <a:ln xmlns:a="http://schemas.openxmlformats.org/drawingml/2006/main" w="13970">
              <a:solidFill>
                <a:srgbClr val="2B7BB9"/>
              </a:solidFill>
              <a:prstDash val="solid"/>
            </a:ln>
          </spPr>
          <marker>
            <symbol val="none"/>
            <spPr>
              <a:ln xmlns:a="http://schemas.openxmlformats.org/drawingml/2006/main">
                <a:prstDash val="solid"/>
              </a:ln>
            </spPr>
          </marker>
          <xVal>
            <numRef>
              <f>'ElevCalc'!$G$215:$G$219</f>
            </numRef>
          </xVal>
          <yVal>
            <numRef>
              <f>'ElevCalc'!$H$215:$H$219</f>
            </numRef>
          </yVal>
          <smooth val="0"/>
        </ser>
        <ser>
          <idx val="13"/>
          <order val="13"/>
          <spPr>
            <a:ln xmlns:a="http://schemas.openxmlformats.org/drawingml/2006/main" w="13970">
              <a:solidFill>
                <a:srgbClr val="2B7BB9"/>
              </a:solidFill>
              <a:prstDash val="solid"/>
            </a:ln>
          </spPr>
          <marker>
            <symbol val="none"/>
            <spPr>
              <a:ln xmlns:a="http://schemas.openxmlformats.org/drawingml/2006/main">
                <a:prstDash val="solid"/>
              </a:ln>
            </spPr>
          </marker>
          <xVal>
            <numRef>
              <f>'ElevCalc'!$G$221:$G$225</f>
            </numRef>
          </xVal>
          <yVal>
            <numRef>
              <f>'ElevCalc'!$H$221:$H$225</f>
            </numRef>
          </yVal>
          <smooth val="0"/>
        </ser>
        <ser>
          <idx val="14"/>
          <order val="14"/>
          <spPr>
            <a:ln xmlns:a="http://schemas.openxmlformats.org/drawingml/2006/main" w="7620">
              <a:solidFill>
                <a:srgbClr val="2B7BB9"/>
              </a:solidFill>
              <a:prstDash val="solid"/>
            </a:ln>
          </spPr>
          <marker>
            <symbol val="none"/>
            <spPr>
              <a:ln xmlns:a="http://schemas.openxmlformats.org/drawingml/2006/main">
                <a:prstDash val="solid"/>
              </a:ln>
            </spPr>
          </marker>
          <xVal>
            <numRef>
              <f>'ElevCalc'!$G$227:$G$228</f>
            </numRef>
          </xVal>
          <yVal>
            <numRef>
              <f>'ElevCalc'!$H$227:$H$228</f>
            </numRef>
          </yVal>
          <smooth val="0"/>
        </ser>
        <ser>
          <idx val="15"/>
          <order val="15"/>
          <spPr>
            <a:ln xmlns:a="http://schemas.openxmlformats.org/drawingml/2006/main" w="7620">
              <a:solidFill>
                <a:srgbClr val="2B7BB9"/>
              </a:solidFill>
              <a:prstDash val="solid"/>
            </a:ln>
          </spPr>
          <marker>
            <symbol val="none"/>
            <spPr>
              <a:ln xmlns:a="http://schemas.openxmlformats.org/drawingml/2006/main">
                <a:prstDash val="solid"/>
              </a:ln>
            </spPr>
          </marker>
          <xVal>
            <numRef>
              <f>'ElevCalc'!$G$230:$G$231</f>
            </numRef>
          </xVal>
          <yVal>
            <numRef>
              <f>'ElevCalc'!$H$230:$H$231</f>
            </numRef>
          </yVal>
          <smooth val="0"/>
        </ser>
        <ser>
          <idx val="16"/>
          <order val="16"/>
          <spPr>
            <a:ln xmlns:a="http://schemas.openxmlformats.org/drawingml/2006/main" w="7620">
              <a:solidFill>
                <a:srgbClr val="2B7BB9"/>
              </a:solidFill>
              <a:prstDash val="solid"/>
            </a:ln>
          </spPr>
          <marker>
            <symbol val="none"/>
            <spPr>
              <a:ln xmlns:a="http://schemas.openxmlformats.org/drawingml/2006/main">
                <a:prstDash val="solid"/>
              </a:ln>
            </spPr>
          </marker>
          <xVal>
            <numRef>
              <f>'ElevCalc'!$G$233:$G$234</f>
            </numRef>
          </xVal>
          <yVal>
            <numRef>
              <f>'ElevCalc'!$H$233:$H$234</f>
            </numRef>
          </yVal>
          <smooth val="0"/>
        </ser>
        <ser>
          <idx val="17"/>
          <order val="17"/>
          <spPr>
            <a:ln xmlns:a="http://schemas.openxmlformats.org/drawingml/2006/main" w="7620">
              <a:solidFill>
                <a:srgbClr val="2B7BB9"/>
              </a:solidFill>
              <a:prstDash val="solid"/>
            </a:ln>
          </spPr>
          <marker>
            <symbol val="none"/>
            <spPr>
              <a:ln xmlns:a="http://schemas.openxmlformats.org/drawingml/2006/main">
                <a:prstDash val="solid"/>
              </a:ln>
            </spPr>
          </marker>
          <xVal>
            <numRef>
              <f>'ElevCalc'!$G$236:$G$237</f>
            </numRef>
          </xVal>
          <yVal>
            <numRef>
              <f>'ElevCalc'!$H$236:$H$237</f>
            </numRef>
          </yVal>
          <smooth val="0"/>
        </ser>
        <ser>
          <idx val="18"/>
          <order val="18"/>
          <spPr>
            <a:ln xmlns:a="http://schemas.openxmlformats.org/drawingml/2006/main" w="7620">
              <a:solidFill>
                <a:srgbClr val="2B7BB9"/>
              </a:solidFill>
              <a:prstDash val="solid"/>
            </a:ln>
          </spPr>
          <marker>
            <symbol val="none"/>
            <spPr>
              <a:ln xmlns:a="http://schemas.openxmlformats.org/drawingml/2006/main">
                <a:prstDash val="solid"/>
              </a:ln>
            </spPr>
          </marker>
          <xVal>
            <numRef>
              <f>'ElevCalc'!$G$239:$G$240</f>
            </numRef>
          </xVal>
          <yVal>
            <numRef>
              <f>'ElevCalc'!$H$239:$H$240</f>
            </numRef>
          </yVal>
          <smooth val="0"/>
        </ser>
        <ser>
          <idx val="19"/>
          <order val="19"/>
          <spPr>
            <a:ln xmlns:a="http://schemas.openxmlformats.org/drawingml/2006/main" w="7620">
              <a:solidFill>
                <a:srgbClr val="2B7BB9"/>
              </a:solidFill>
              <a:prstDash val="solid"/>
            </a:ln>
          </spPr>
          <marker>
            <symbol val="none"/>
            <spPr>
              <a:ln xmlns:a="http://schemas.openxmlformats.org/drawingml/2006/main">
                <a:prstDash val="solid"/>
              </a:ln>
            </spPr>
          </marker>
          <xVal>
            <numRef>
              <f>'ElevCalc'!$G$242:$G$243</f>
            </numRef>
          </xVal>
          <yVal>
            <numRef>
              <f>'ElevCalc'!$H$242:$H$243</f>
            </numRef>
          </yVal>
          <smooth val="0"/>
        </ser>
        <ser>
          <idx val="20"/>
          <order val="20"/>
          <spPr>
            <a:ln xmlns:a="http://schemas.openxmlformats.org/drawingml/2006/main" w="7620">
              <a:solidFill>
                <a:srgbClr val="2B7BB9"/>
              </a:solidFill>
              <a:prstDash val="solid"/>
            </a:ln>
          </spPr>
          <marker>
            <symbol val="none"/>
            <spPr>
              <a:ln xmlns:a="http://schemas.openxmlformats.org/drawingml/2006/main">
                <a:prstDash val="solid"/>
              </a:ln>
            </spPr>
          </marker>
          <xVal>
            <numRef>
              <f>'ElevCalc'!$G$245:$G$246</f>
            </numRef>
          </xVal>
          <yVal>
            <numRef>
              <f>'ElevCalc'!$H$245:$H$246</f>
            </numRef>
          </yVal>
          <smooth val="0"/>
        </ser>
        <ser>
          <idx val="21"/>
          <order val="21"/>
          <spPr>
            <a:ln xmlns:a="http://schemas.openxmlformats.org/drawingml/2006/main" w="7620">
              <a:solidFill>
                <a:srgbClr val="2B7BB9"/>
              </a:solidFill>
              <a:prstDash val="solid"/>
            </a:ln>
          </spPr>
          <marker>
            <symbol val="none"/>
            <spPr>
              <a:ln xmlns:a="http://schemas.openxmlformats.org/drawingml/2006/main">
                <a:prstDash val="solid"/>
              </a:ln>
            </spPr>
          </marker>
          <xVal>
            <numRef>
              <f>'ElevCalc'!$G$248:$G$249</f>
            </numRef>
          </xVal>
          <yVal>
            <numRef>
              <f>'ElevCalc'!$H$248:$H$249</f>
            </numRef>
          </yVal>
          <smooth val="0"/>
        </ser>
        <ser>
          <idx val="22"/>
          <order val="22"/>
          <spPr>
            <a:ln xmlns:a="http://schemas.openxmlformats.org/drawingml/2006/main" w="7620">
              <a:solidFill>
                <a:srgbClr val="2B7BB9"/>
              </a:solidFill>
              <a:prstDash val="solid"/>
            </a:ln>
          </spPr>
          <marker>
            <symbol val="none"/>
            <spPr>
              <a:ln xmlns:a="http://schemas.openxmlformats.org/drawingml/2006/main">
                <a:prstDash val="solid"/>
              </a:ln>
            </spPr>
          </marker>
          <xVal>
            <numRef>
              <f>'ElevCalc'!$G$251:$G$252</f>
            </numRef>
          </xVal>
          <yVal>
            <numRef>
              <f>'ElevCalc'!$H$251:$H$252</f>
            </numRef>
          </yVal>
          <smooth val="0"/>
        </ser>
        <ser>
          <idx val="23"/>
          <order val="23"/>
          <spPr>
            <a:ln xmlns:a="http://schemas.openxmlformats.org/drawingml/2006/main" w="7620">
              <a:solidFill>
                <a:srgbClr val="2B7BB9"/>
              </a:solidFill>
              <a:prstDash val="solid"/>
            </a:ln>
          </spPr>
          <marker>
            <symbol val="none"/>
            <spPr>
              <a:ln xmlns:a="http://schemas.openxmlformats.org/drawingml/2006/main">
                <a:prstDash val="solid"/>
              </a:ln>
            </spPr>
          </marker>
          <xVal>
            <numRef>
              <f>'ElevCalc'!$G$254:$G$255</f>
            </numRef>
          </xVal>
          <yVal>
            <numRef>
              <f>'ElevCalc'!$H$254:$H$255</f>
            </numRef>
          </yVal>
          <smooth val="0"/>
        </ser>
        <ser>
          <idx val="24"/>
          <order val="24"/>
          <spPr>
            <a:ln xmlns:a="http://schemas.openxmlformats.org/drawingml/2006/main" w="7620">
              <a:solidFill>
                <a:srgbClr val="2B7BB9"/>
              </a:solidFill>
              <a:prstDash val="solid"/>
            </a:ln>
          </spPr>
          <marker>
            <symbol val="none"/>
            <spPr>
              <a:ln xmlns:a="http://schemas.openxmlformats.org/drawingml/2006/main">
                <a:prstDash val="solid"/>
              </a:ln>
            </spPr>
          </marker>
          <xVal>
            <numRef>
              <f>'ElevCalc'!$G$257:$G$258</f>
            </numRef>
          </xVal>
          <yVal>
            <numRef>
              <f>'ElevCalc'!$H$257:$H$258</f>
            </numRef>
          </yVal>
          <smooth val="0"/>
        </ser>
        <ser>
          <idx val="25"/>
          <order val="25"/>
          <spPr>
            <a:ln xmlns:a="http://schemas.openxmlformats.org/drawingml/2006/main" w="7620">
              <a:solidFill>
                <a:srgbClr val="2B7BB9"/>
              </a:solidFill>
              <a:prstDash val="solid"/>
            </a:ln>
          </spPr>
          <marker>
            <symbol val="none"/>
            <spPr>
              <a:ln xmlns:a="http://schemas.openxmlformats.org/drawingml/2006/main">
                <a:prstDash val="solid"/>
              </a:ln>
            </spPr>
          </marker>
          <xVal>
            <numRef>
              <f>'ElevCalc'!$G$260:$G$261</f>
            </numRef>
          </xVal>
          <yVal>
            <numRef>
              <f>'ElevCalc'!$H$260:$H$261</f>
            </numRef>
          </yVal>
          <smooth val="0"/>
        </ser>
        <ser>
          <idx val="26"/>
          <order val="26"/>
          <spPr>
            <a:ln xmlns:a="http://schemas.openxmlformats.org/drawingml/2006/main" w="7620">
              <a:solidFill>
                <a:srgbClr val="2B7BB9"/>
              </a:solidFill>
              <a:prstDash val="solid"/>
            </a:ln>
          </spPr>
          <marker>
            <symbol val="none"/>
            <spPr>
              <a:ln xmlns:a="http://schemas.openxmlformats.org/drawingml/2006/main">
                <a:prstDash val="solid"/>
              </a:ln>
            </spPr>
          </marker>
          <xVal>
            <numRef>
              <f>'ElevCalc'!$G$263:$G$264</f>
            </numRef>
          </xVal>
          <yVal>
            <numRef>
              <f>'ElevCalc'!$H$263:$H$264</f>
            </numRef>
          </yVal>
          <smooth val="0"/>
        </ser>
        <ser>
          <idx val="27"/>
          <order val="27"/>
          <spPr>
            <a:ln xmlns:a="http://schemas.openxmlformats.org/drawingml/2006/main" w="7620">
              <a:solidFill>
                <a:srgbClr val="2B7BB9"/>
              </a:solidFill>
              <a:prstDash val="solid"/>
            </a:ln>
          </spPr>
          <marker>
            <symbol val="none"/>
            <spPr>
              <a:ln xmlns:a="http://schemas.openxmlformats.org/drawingml/2006/main">
                <a:prstDash val="solid"/>
              </a:ln>
            </spPr>
          </marker>
          <xVal>
            <numRef>
              <f>'ElevCalc'!$G$266:$G$267</f>
            </numRef>
          </xVal>
          <yVal>
            <numRef>
              <f>'ElevCalc'!$H$266:$H$267</f>
            </numRef>
          </yVal>
          <smooth val="0"/>
        </ser>
        <ser>
          <idx val="28"/>
          <order val="28"/>
          <spPr>
            <a:ln xmlns:a="http://schemas.openxmlformats.org/drawingml/2006/main" w="7620">
              <a:solidFill>
                <a:srgbClr val="2B7BB9"/>
              </a:solidFill>
              <a:prstDash val="solid"/>
            </a:ln>
          </spPr>
          <marker>
            <symbol val="none"/>
            <spPr>
              <a:ln xmlns:a="http://schemas.openxmlformats.org/drawingml/2006/main">
                <a:prstDash val="solid"/>
              </a:ln>
            </spPr>
          </marker>
          <xVal>
            <numRef>
              <f>'ElevCalc'!$G$269:$G$270</f>
            </numRef>
          </xVal>
          <yVal>
            <numRef>
              <f>'ElevCalc'!$H$269:$H$270</f>
            </numRef>
          </yVal>
          <smooth val="0"/>
        </ser>
        <ser>
          <idx val="29"/>
          <order val="29"/>
          <spPr>
            <a:ln xmlns:a="http://schemas.openxmlformats.org/drawingml/2006/main" w="7620">
              <a:solidFill>
                <a:srgbClr val="2B7BB9"/>
              </a:solidFill>
              <a:prstDash val="solid"/>
            </a:ln>
          </spPr>
          <marker>
            <symbol val="none"/>
            <spPr>
              <a:ln xmlns:a="http://schemas.openxmlformats.org/drawingml/2006/main">
                <a:prstDash val="solid"/>
              </a:ln>
            </spPr>
          </marker>
          <xVal>
            <numRef>
              <f>'ElevCalc'!$G$272:$G$273</f>
            </numRef>
          </xVal>
          <yVal>
            <numRef>
              <f>'ElevCalc'!$H$272:$H$273</f>
            </numRef>
          </yVal>
          <smooth val="0"/>
        </ser>
        <ser>
          <idx val="30"/>
          <order val="30"/>
          <spPr>
            <a:ln xmlns:a="http://schemas.openxmlformats.org/drawingml/2006/main" w="7620">
              <a:solidFill>
                <a:srgbClr val="2B7BB9"/>
              </a:solidFill>
              <a:prstDash val="solid"/>
            </a:ln>
          </spPr>
          <marker>
            <symbol val="none"/>
            <spPr>
              <a:ln xmlns:a="http://schemas.openxmlformats.org/drawingml/2006/main">
                <a:prstDash val="solid"/>
              </a:ln>
            </spPr>
          </marker>
          <xVal>
            <numRef>
              <f>'ElevCalc'!$G$275:$G$276</f>
            </numRef>
          </xVal>
          <yVal>
            <numRef>
              <f>'ElevCalc'!$H$275:$H$276</f>
            </numRef>
          </yVal>
          <smooth val="0"/>
        </ser>
        <ser>
          <idx val="31"/>
          <order val="31"/>
          <spPr>
            <a:ln xmlns:a="http://schemas.openxmlformats.org/drawingml/2006/main" w="7620">
              <a:solidFill>
                <a:srgbClr val="2B7BB9"/>
              </a:solidFill>
              <a:prstDash val="solid"/>
            </a:ln>
          </spPr>
          <marker>
            <symbol val="none"/>
            <spPr>
              <a:ln xmlns:a="http://schemas.openxmlformats.org/drawingml/2006/main">
                <a:prstDash val="solid"/>
              </a:ln>
            </spPr>
          </marker>
          <xVal>
            <numRef>
              <f>'ElevCalc'!$G$278:$G$279</f>
            </numRef>
          </xVal>
          <yVal>
            <numRef>
              <f>'ElevCalc'!$H$278:$H$279</f>
            </numRef>
          </yVal>
          <smooth val="0"/>
        </ser>
        <ser>
          <idx val="32"/>
          <order val="32"/>
          <spPr>
            <a:ln xmlns:a="http://schemas.openxmlformats.org/drawingml/2006/main" w="7620">
              <a:solidFill>
                <a:srgbClr val="2B7BB9"/>
              </a:solidFill>
              <a:prstDash val="solid"/>
            </a:ln>
          </spPr>
          <marker>
            <symbol val="none"/>
            <spPr>
              <a:ln xmlns:a="http://schemas.openxmlformats.org/drawingml/2006/main">
                <a:prstDash val="solid"/>
              </a:ln>
            </spPr>
          </marker>
          <xVal>
            <numRef>
              <f>'ElevCalc'!$G$281:$G$282</f>
            </numRef>
          </xVal>
          <yVal>
            <numRef>
              <f>'ElevCalc'!$H$281:$H$282</f>
            </numRef>
          </yVal>
          <smooth val="0"/>
        </ser>
        <ser>
          <idx val="33"/>
          <order val="33"/>
          <spPr>
            <a:ln xmlns:a="http://schemas.openxmlformats.org/drawingml/2006/main" w="7620">
              <a:solidFill>
                <a:srgbClr val="2B7BB9"/>
              </a:solidFill>
              <a:prstDash val="solid"/>
            </a:ln>
          </spPr>
          <marker>
            <symbol val="none"/>
            <spPr>
              <a:ln xmlns:a="http://schemas.openxmlformats.org/drawingml/2006/main">
                <a:prstDash val="solid"/>
              </a:ln>
            </spPr>
          </marker>
          <xVal>
            <numRef>
              <f>'ElevCalc'!$G$284:$G$285</f>
            </numRef>
          </xVal>
          <yVal>
            <numRef>
              <f>'ElevCalc'!$H$284:$H$285</f>
            </numRef>
          </yVal>
          <smooth val="0"/>
        </ser>
        <ser>
          <idx val="34"/>
          <order val="34"/>
          <spPr>
            <a:ln xmlns:a="http://schemas.openxmlformats.org/drawingml/2006/main" w="9525">
              <a:solidFill>
                <a:srgbClr val="8895A2"/>
              </a:solidFill>
              <a:prstDash val="dash"/>
            </a:ln>
          </spPr>
          <marker>
            <symbol val="none"/>
            <spPr>
              <a:ln xmlns:a="http://schemas.openxmlformats.org/drawingml/2006/main">
                <a:prstDash val="solid"/>
              </a:ln>
            </spPr>
          </marker>
          <xVal>
            <numRef>
              <f>'ElevCalc'!$G$287:$G$289</f>
            </numRef>
          </xVal>
          <yVal>
            <numRef>
              <f>'ElevCalc'!$H$287:$H$289</f>
            </numRef>
          </yVal>
          <smooth val="0"/>
        </ser>
        <ser>
          <idx val="35"/>
          <order val="35"/>
          <spPr>
            <a:ln xmlns:a="http://schemas.openxmlformats.org/drawingml/2006/main" w="9525">
              <a:solidFill>
                <a:srgbClr val="8895A2"/>
              </a:solidFill>
              <a:prstDash val="dash"/>
            </a:ln>
          </spPr>
          <marker>
            <symbol val="none"/>
            <spPr>
              <a:ln xmlns:a="http://schemas.openxmlformats.org/drawingml/2006/main">
                <a:prstDash val="solid"/>
              </a:ln>
            </spPr>
          </marker>
          <xVal>
            <numRef>
              <f>'ElevCalc'!$G$291:$G$293</f>
            </numRef>
          </xVal>
          <yVal>
            <numRef>
              <f>'ElevCalc'!$H$291:$H$293</f>
            </numRef>
          </yVal>
          <smooth val="0"/>
        </ser>
        <ser>
          <idx val="36"/>
          <order val="36"/>
          <spPr>
            <a:ln xmlns:a="http://schemas.openxmlformats.org/drawingml/2006/main" w="50800">
              <a:solidFill>
                <a:srgbClr val="C07F00"/>
              </a:solidFill>
              <a:prstDash val="solid"/>
            </a:ln>
          </spPr>
          <marker>
            <symbol val="none"/>
            <spPr>
              <a:ln xmlns:a="http://schemas.openxmlformats.org/drawingml/2006/main">
                <a:prstDash val="solid"/>
              </a:ln>
            </spPr>
          </marker>
          <xVal>
            <numRef>
              <f>'ElevCalc'!$G$295:$G$296</f>
            </numRef>
          </xVal>
          <yVal>
            <numRef>
              <f>'ElevCalc'!$H$295:$H$296</f>
            </numRef>
          </yVal>
          <smooth val="0"/>
        </ser>
        <ser>
          <idx val="37"/>
          <order val="37"/>
          <spPr>
            <a:ln xmlns:a="http://schemas.openxmlformats.org/drawingml/2006/main" w="50800">
              <a:solidFill>
                <a:srgbClr val="C07F00"/>
              </a:solidFill>
              <a:prstDash val="solid"/>
            </a:ln>
          </spPr>
          <marker>
            <symbol val="none"/>
            <spPr>
              <a:ln xmlns:a="http://schemas.openxmlformats.org/drawingml/2006/main">
                <a:prstDash val="solid"/>
              </a:ln>
            </spPr>
          </marker>
          <xVal>
            <numRef>
              <f>'ElevCalc'!$G$298:$G$299</f>
            </numRef>
          </xVal>
          <yVal>
            <numRef>
              <f>'ElevCalc'!$H$298:$H$299</f>
            </numRef>
          </yVal>
          <smooth val="0"/>
        </ser>
        <ser>
          <idx val="38"/>
          <order val="38"/>
          <tx>
            <strRef>
              <f>'ElevCalc'!$I$301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'ElevCalc'!$G$301</f>
            </numRef>
          </xVal>
          <yVal>
            <numRef>
              <f>'ElevCalc'!$H$301</f>
            </numRef>
          </yVal>
          <smooth val="0"/>
        </ser>
        <ser>
          <idx val="39"/>
          <order val="39"/>
          <tx>
            <strRef>
              <f>'ElevCalc'!$I$303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'ElevCalc'!$G$303</f>
            </numRef>
          </xVal>
          <yVal>
            <numRef>
              <f>'ElevCalc'!$H$303</f>
            </numRef>
          </yVal>
          <smooth val="0"/>
        </ser>
        <ser>
          <idx val="40"/>
          <order val="40"/>
          <spPr>
            <a:ln xmlns:a="http://schemas.openxmlformats.org/drawingml/2006/main" w="50800">
              <a:solidFill>
                <a:srgbClr val="C07F00"/>
              </a:solidFill>
              <a:prstDash val="solid"/>
            </a:ln>
          </spPr>
          <marker>
            <symbol val="none"/>
            <spPr>
              <a:ln xmlns:a="http://schemas.openxmlformats.org/drawingml/2006/main">
                <a:prstDash val="solid"/>
              </a:ln>
            </spPr>
          </marker>
          <xVal>
            <numRef>
              <f>'ElevCalc'!$G$305:$G$306</f>
            </numRef>
          </xVal>
          <yVal>
            <numRef>
              <f>'ElevCalc'!$H$305:$H$306</f>
            </numRef>
          </yVal>
          <smooth val="0"/>
        </ser>
        <ser>
          <idx val="41"/>
          <order val="41"/>
          <spPr>
            <a:ln xmlns:a="http://schemas.openxmlformats.org/drawingml/2006/main" w="50800">
              <a:solidFill>
                <a:srgbClr val="C07F00"/>
              </a:solidFill>
              <a:prstDash val="solid"/>
            </a:ln>
          </spPr>
          <marker>
            <symbol val="none"/>
            <spPr>
              <a:ln xmlns:a="http://schemas.openxmlformats.org/drawingml/2006/main">
                <a:prstDash val="solid"/>
              </a:ln>
            </spPr>
          </marker>
          <xVal>
            <numRef>
              <f>'ElevCalc'!$G$308:$G$309</f>
            </numRef>
          </xVal>
          <yVal>
            <numRef>
              <f>'ElevCalc'!$H$308:$H$309</f>
            </numRef>
          </yVal>
          <smooth val="0"/>
        </ser>
        <ser>
          <idx val="42"/>
          <order val="42"/>
          <tx>
            <strRef>
              <f>'ElevCalc'!$I$311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'ElevCalc'!$G$311</f>
            </numRef>
          </xVal>
          <yVal>
            <numRef>
              <f>'ElevCalc'!$H$311</f>
            </numRef>
          </yVal>
          <smooth val="0"/>
        </ser>
        <ser>
          <idx val="43"/>
          <order val="43"/>
          <tx>
            <strRef>
              <f>'ElevCalc'!$I$313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'ElevCalc'!$G$313</f>
            </numRef>
          </xVal>
          <yVal>
            <numRef>
              <f>'ElevCalc'!$H$313</f>
            </numRef>
          </yVal>
          <smooth val="0"/>
        </ser>
        <ser>
          <idx val="44"/>
          <order val="44"/>
          <spPr>
            <a:ln xmlns:a="http://schemas.openxmlformats.org/drawingml/2006/main" w="50800">
              <a:solidFill>
                <a:srgbClr val="C07F00"/>
              </a:solidFill>
              <a:prstDash val="solid"/>
            </a:ln>
          </spPr>
          <marker>
            <symbol val="none"/>
            <spPr>
              <a:ln xmlns:a="http://schemas.openxmlformats.org/drawingml/2006/main">
                <a:prstDash val="solid"/>
              </a:ln>
            </spPr>
          </marker>
          <xVal>
            <numRef>
              <f>'ElevCalc'!$G$315:$G$316</f>
            </numRef>
          </xVal>
          <yVal>
            <numRef>
              <f>'ElevCalc'!$H$315:$H$316</f>
            </numRef>
          </yVal>
          <smooth val="0"/>
        </ser>
        <ser>
          <idx val="45"/>
          <order val="45"/>
          <spPr>
            <a:ln xmlns:a="http://schemas.openxmlformats.org/drawingml/2006/main" w="50800">
              <a:solidFill>
                <a:srgbClr val="C07F00"/>
              </a:solidFill>
              <a:prstDash val="solid"/>
            </a:ln>
          </spPr>
          <marker>
            <symbol val="none"/>
            <spPr>
              <a:ln xmlns:a="http://schemas.openxmlformats.org/drawingml/2006/main">
                <a:prstDash val="solid"/>
              </a:ln>
            </spPr>
          </marker>
          <xVal>
            <numRef>
              <f>'ElevCalc'!$G$318:$G$319</f>
            </numRef>
          </xVal>
          <yVal>
            <numRef>
              <f>'ElevCalc'!$H$318:$H$319</f>
            </numRef>
          </yVal>
          <smooth val="0"/>
        </ser>
        <ser>
          <idx val="46"/>
          <order val="46"/>
          <tx>
            <strRef>
              <f>'ElevCalc'!$I$321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'ElevCalc'!$G$321</f>
            </numRef>
          </xVal>
          <yVal>
            <numRef>
              <f>'ElevCalc'!$H$321</f>
            </numRef>
          </yVal>
          <smooth val="0"/>
        </ser>
        <ser>
          <idx val="47"/>
          <order val="47"/>
          <tx>
            <strRef>
              <f>'ElevCalc'!$I$323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'ElevCalc'!$G$323</f>
            </numRef>
          </xVal>
          <yVal>
            <numRef>
              <f>'ElevCalc'!$H$323</f>
            </numRef>
          </yVal>
          <smooth val="0"/>
        </ser>
        <ser>
          <idx val="48"/>
          <order val="48"/>
          <spPr>
            <a:ln xmlns:a="http://schemas.openxmlformats.org/drawingml/2006/main" w="50800">
              <a:solidFill>
                <a:srgbClr val="C07F00"/>
              </a:solidFill>
              <a:prstDash val="solid"/>
            </a:ln>
          </spPr>
          <marker>
            <symbol val="none"/>
            <spPr>
              <a:ln xmlns:a="http://schemas.openxmlformats.org/drawingml/2006/main">
                <a:prstDash val="solid"/>
              </a:ln>
            </spPr>
          </marker>
          <xVal>
            <numRef>
              <f>'ElevCalc'!$G$325:$G$326</f>
            </numRef>
          </xVal>
          <yVal>
            <numRef>
              <f>'ElevCalc'!$H$325:$H$326</f>
            </numRef>
          </yVal>
          <smooth val="0"/>
        </ser>
        <ser>
          <idx val="49"/>
          <order val="49"/>
          <spPr>
            <a:ln xmlns:a="http://schemas.openxmlformats.org/drawingml/2006/main" w="50800">
              <a:solidFill>
                <a:srgbClr val="C07F00"/>
              </a:solidFill>
              <a:prstDash val="solid"/>
            </a:ln>
          </spPr>
          <marker>
            <symbol val="none"/>
            <spPr>
              <a:ln xmlns:a="http://schemas.openxmlformats.org/drawingml/2006/main">
                <a:prstDash val="solid"/>
              </a:ln>
            </spPr>
          </marker>
          <xVal>
            <numRef>
              <f>'ElevCalc'!$G$328:$G$329</f>
            </numRef>
          </xVal>
          <yVal>
            <numRef>
              <f>'ElevCalc'!$H$328:$H$329</f>
            </numRef>
          </yVal>
          <smooth val="0"/>
        </ser>
        <ser>
          <idx val="50"/>
          <order val="50"/>
          <tx>
            <strRef>
              <f>'ElevCalc'!$I$331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'ElevCalc'!$G$331</f>
            </numRef>
          </xVal>
          <yVal>
            <numRef>
              <f>'ElevCalc'!$H$331</f>
            </numRef>
          </yVal>
          <smooth val="0"/>
        </ser>
        <ser>
          <idx val="51"/>
          <order val="51"/>
          <tx>
            <strRef>
              <f>'ElevCalc'!$I$333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'ElevCalc'!$G$333</f>
            </numRef>
          </xVal>
          <yVal>
            <numRef>
              <f>'ElevCalc'!$H$333</f>
            </numRef>
          </yVal>
          <smooth val="0"/>
        </ser>
        <ser>
          <idx val="52"/>
          <order val="52"/>
          <spPr>
            <a:ln xmlns:a="http://schemas.openxmlformats.org/drawingml/2006/main" w="50800">
              <a:solidFill>
                <a:srgbClr val="C07F00"/>
              </a:solidFill>
              <a:prstDash val="solid"/>
            </a:ln>
          </spPr>
          <marker>
            <symbol val="none"/>
            <spPr>
              <a:ln xmlns:a="http://schemas.openxmlformats.org/drawingml/2006/main">
                <a:prstDash val="solid"/>
              </a:ln>
            </spPr>
          </marker>
          <xVal>
            <numRef>
              <f>'ElevCalc'!$G$335:$G$336</f>
            </numRef>
          </xVal>
          <yVal>
            <numRef>
              <f>'ElevCalc'!$H$335:$H$336</f>
            </numRef>
          </yVal>
          <smooth val="0"/>
        </ser>
        <ser>
          <idx val="53"/>
          <order val="53"/>
          <spPr>
            <a:ln xmlns:a="http://schemas.openxmlformats.org/drawingml/2006/main" w="50800">
              <a:solidFill>
                <a:srgbClr val="C07F00"/>
              </a:solidFill>
              <a:prstDash val="solid"/>
            </a:ln>
          </spPr>
          <marker>
            <symbol val="none"/>
            <spPr>
              <a:ln xmlns:a="http://schemas.openxmlformats.org/drawingml/2006/main">
                <a:prstDash val="solid"/>
              </a:ln>
            </spPr>
          </marker>
          <xVal>
            <numRef>
              <f>'ElevCalc'!$G$338:$G$339</f>
            </numRef>
          </xVal>
          <yVal>
            <numRef>
              <f>'ElevCalc'!$H$338:$H$339</f>
            </numRef>
          </yVal>
          <smooth val="0"/>
        </ser>
        <ser>
          <idx val="54"/>
          <order val="54"/>
          <tx>
            <strRef>
              <f>'ElevCalc'!$I$341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'ElevCalc'!$G$341</f>
            </numRef>
          </xVal>
          <yVal>
            <numRef>
              <f>'ElevCalc'!$H$341</f>
            </numRef>
          </yVal>
          <smooth val="0"/>
        </ser>
        <ser>
          <idx val="55"/>
          <order val="55"/>
          <tx>
            <strRef>
              <f>'ElevCalc'!$I$343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'ElevCalc'!$G$343</f>
            </numRef>
          </xVal>
          <yVal>
            <numRef>
              <f>'ElevCalc'!$H$343</f>
            </numRef>
          </yVal>
          <smooth val="0"/>
        </ser>
        <ser>
          <idx val="56"/>
          <order val="56"/>
          <spPr>
            <a:ln xmlns:a="http://schemas.openxmlformats.org/drawingml/2006/main" w="38100">
              <a:solidFill>
                <a:srgbClr val="C07F00"/>
              </a:solidFill>
              <a:prstDash val="solid"/>
            </a:ln>
          </spPr>
          <marker>
            <symbol val="none"/>
            <spPr>
              <a:ln xmlns:a="http://schemas.openxmlformats.org/drawingml/2006/main">
                <a:prstDash val="solid"/>
              </a:ln>
            </spPr>
          </marker>
          <xVal>
            <numRef>
              <f>'ElevCalc'!$G$345:$G$346</f>
            </numRef>
          </xVal>
          <yVal>
            <numRef>
              <f>'ElevCalc'!$H$345:$H$346</f>
            </numRef>
          </yVal>
          <smooth val="0"/>
        </ser>
        <ser>
          <idx val="57"/>
          <order val="57"/>
          <spPr>
            <a:ln xmlns:a="http://schemas.openxmlformats.org/drawingml/2006/main" w="38100">
              <a:solidFill>
                <a:srgbClr val="C07F00"/>
              </a:solidFill>
              <a:prstDash val="solid"/>
            </a:ln>
          </spPr>
          <marker>
            <symbol val="none"/>
            <spPr>
              <a:ln xmlns:a="http://schemas.openxmlformats.org/drawingml/2006/main">
                <a:prstDash val="solid"/>
              </a:ln>
            </spPr>
          </marker>
          <xVal>
            <numRef>
              <f>'ElevCalc'!$G$348:$G$349</f>
            </numRef>
          </xVal>
          <yVal>
            <numRef>
              <f>'ElevCalc'!$H$348:$H$349</f>
            </numRef>
          </yVal>
          <smooth val="0"/>
        </ser>
        <ser>
          <idx val="58"/>
          <order val="58"/>
          <spPr>
            <a:ln xmlns:a="http://schemas.openxmlformats.org/drawingml/2006/main">
              <a:noFill/>
              <a:prstDash val="solid"/>
            </a:ln>
          </spPr>
          <marker>
            <symbol val="circle"/>
            <size val="7"/>
            <spPr>
              <a:solidFill xmlns:a="http://schemas.openxmlformats.org/drawingml/2006/main">
                <a:srgbClr val="B23A1C"/>
              </a:solidFill>
              <a:ln xmlns:a="http://schemas.openxmlformats.org/drawingml/2006/main">
                <a:solidFill>
                  <a:srgbClr val="B23A1C"/>
                </a:solidFill>
                <a:prstDash val="solid"/>
              </a:ln>
            </spPr>
          </marker>
          <xVal>
            <numRef>
              <f>'ElevCalc'!$G$351</f>
            </numRef>
          </xVal>
          <yVal>
            <numRef>
              <f>'ElevCalc'!$H$351</f>
            </numRef>
          </yVal>
          <smooth val="0"/>
        </ser>
        <ser>
          <idx val="59"/>
          <order val="59"/>
          <tx>
            <strRef>
              <f>'ElevCalc'!$I$353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'ElevCalc'!$G$353</f>
            </numRef>
          </xVal>
          <yVal>
            <numRef>
              <f>'ElevCalc'!$H$353</f>
            </numRef>
          </yVal>
          <smooth val="0"/>
        </ser>
        <ser>
          <idx val="60"/>
          <order val="60"/>
          <tx>
            <strRef>
              <f>'ElevCalc'!$I$355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'ElevCalc'!$G$355</f>
            </numRef>
          </xVal>
          <yVal>
            <numRef>
              <f>'ElevCalc'!$H$355</f>
            </numRef>
          </yVal>
          <smooth val="0"/>
        </ser>
        <ser>
          <idx val="61"/>
          <order val="61"/>
          <spPr>
            <a:ln xmlns:a="http://schemas.openxmlformats.org/drawingml/2006/main" w="38100">
              <a:solidFill>
                <a:srgbClr val="B23A1C"/>
              </a:solidFill>
              <a:prstDash val="solid"/>
            </a:ln>
          </spPr>
          <marker>
            <symbol val="none"/>
            <spPr>
              <a:ln xmlns:a="http://schemas.openxmlformats.org/drawingml/2006/main">
                <a:prstDash val="solid"/>
              </a:ln>
            </spPr>
          </marker>
          <xVal>
            <numRef>
              <f>'ElevCalc'!$G$357:$G$358</f>
            </numRef>
          </xVal>
          <yVal>
            <numRef>
              <f>'ElevCalc'!$H$357:$H$358</f>
            </numRef>
          </yVal>
          <smooth val="0"/>
        </ser>
        <ser>
          <idx val="62"/>
          <order val="62"/>
          <spPr>
            <a:ln xmlns:a="http://schemas.openxmlformats.org/drawingml/2006/main" w="31750">
              <a:solidFill>
                <a:srgbClr val="5B6770"/>
              </a:solidFill>
              <a:prstDash val="solid"/>
            </a:ln>
          </spPr>
          <marker>
            <symbol val="none"/>
            <spPr>
              <a:ln xmlns:a="http://schemas.openxmlformats.org/drawingml/2006/main">
                <a:prstDash val="solid"/>
              </a:ln>
            </spPr>
          </marker>
          <xVal>
            <numRef>
              <f>'ElevCalc'!$G$360:$G$361</f>
            </numRef>
          </xVal>
          <yVal>
            <numRef>
              <f>'ElevCalc'!$H$360:$H$361</f>
            </numRef>
          </yVal>
          <smooth val="0"/>
        </ser>
        <ser>
          <idx val="63"/>
          <order val="63"/>
          <spPr>
            <a:ln xmlns:a="http://schemas.openxmlformats.org/drawingml/2006/main" w="7620">
              <a:solidFill>
                <a:srgbClr val="7B8794"/>
              </a:solidFill>
              <a:prstDash val="solid"/>
            </a:ln>
          </spPr>
          <marker>
            <symbol val="none"/>
            <spPr>
              <a:ln xmlns:a="http://schemas.openxmlformats.org/drawingml/2006/main">
                <a:prstDash val="solid"/>
              </a:ln>
            </spPr>
          </marker>
          <xVal>
            <numRef>
              <f>'ElevCalc'!$G$363:$G$368</f>
            </numRef>
          </xVal>
          <yVal>
            <numRef>
              <f>'ElevCalc'!$H$363:$H$368</f>
            </numRef>
          </yVal>
          <smooth val="0"/>
        </ser>
        <ser>
          <idx val="64"/>
          <order val="64"/>
          <tx>
            <strRef>
              <f>'ElevCalc'!$I$370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t"/>
            <showLegendKey val="0"/>
            <showVal val="0"/>
            <showCatName val="0"/>
            <showSerName val="1"/>
            <showPercent val="0"/>
          </dLbls>
          <xVal>
            <numRef>
              <f>'ElevCalc'!$G$370</f>
            </numRef>
          </xVal>
          <yVal>
            <numRef>
              <f>'ElevCalc'!$H$370</f>
            </numRef>
          </yVal>
          <smooth val="0"/>
        </ser>
        <ser>
          <idx val="65"/>
          <order val="65"/>
          <spPr>
            <a:ln xmlns:a="http://schemas.openxmlformats.org/drawingml/2006/main" w="7620">
              <a:solidFill>
                <a:srgbClr val="7B8794"/>
              </a:solidFill>
              <a:prstDash val="solid"/>
            </a:ln>
          </spPr>
          <marker>
            <symbol val="none"/>
            <spPr>
              <a:ln xmlns:a="http://schemas.openxmlformats.org/drawingml/2006/main">
                <a:prstDash val="solid"/>
              </a:ln>
            </spPr>
          </marker>
          <xVal>
            <numRef>
              <f>'ElevCalc'!$G$372:$G$377</f>
            </numRef>
          </xVal>
          <yVal>
            <numRef>
              <f>'ElevCalc'!$H$372:$H$377</f>
            </numRef>
          </yVal>
          <smooth val="0"/>
        </ser>
        <ser>
          <idx val="66"/>
          <order val="66"/>
          <tx>
            <strRef>
              <f>'ElevCalc'!$I$379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b"/>
            <showLegendKey val="0"/>
            <showVal val="0"/>
            <showCatName val="0"/>
            <showSerName val="1"/>
            <showPercent val="0"/>
          </dLbls>
          <xVal>
            <numRef>
              <f>'ElevCalc'!$G$379</f>
            </numRef>
          </xVal>
          <yVal>
            <numRef>
              <f>'ElevCalc'!$H$379</f>
            </numRef>
          </yVal>
          <smooth val="0"/>
        </ser>
        <ser>
          <idx val="67"/>
          <order val="67"/>
          <spPr>
            <a:ln xmlns:a="http://schemas.openxmlformats.org/drawingml/2006/main" w="7620">
              <a:solidFill>
                <a:srgbClr val="7B8794"/>
              </a:solidFill>
              <a:prstDash val="solid"/>
            </a:ln>
          </spPr>
          <marker>
            <symbol val="none"/>
            <spPr>
              <a:ln xmlns:a="http://schemas.openxmlformats.org/drawingml/2006/main">
                <a:prstDash val="solid"/>
              </a:ln>
            </spPr>
          </marker>
          <xVal>
            <numRef>
              <f>'ElevCalc'!$G$381:$G$386</f>
            </numRef>
          </xVal>
          <yVal>
            <numRef>
              <f>'ElevCalc'!$H$381:$H$386</f>
            </numRef>
          </yVal>
          <smooth val="0"/>
        </ser>
        <ser>
          <idx val="68"/>
          <order val="68"/>
          <tx>
            <strRef>
              <f>'ElevCalc'!$I$388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r"/>
            <showLegendKey val="0"/>
            <showVal val="0"/>
            <showCatName val="0"/>
            <showSerName val="1"/>
            <showPercent val="0"/>
          </dLbls>
          <xVal>
            <numRef>
              <f>'ElevCalc'!$G$388</f>
            </numRef>
          </xVal>
          <yVal>
            <numRef>
              <f>'ElevCalc'!$H$388</f>
            </numRef>
          </yVal>
          <smooth val="0"/>
        </ser>
        <ser>
          <idx val="69"/>
          <order val="69"/>
          <spPr>
            <a:ln xmlns:a="http://schemas.openxmlformats.org/drawingml/2006/main" w="7620">
              <a:solidFill>
                <a:srgbClr val="7B8794"/>
              </a:solidFill>
              <a:prstDash val="solid"/>
            </a:ln>
          </spPr>
          <marker>
            <symbol val="none"/>
            <spPr>
              <a:ln xmlns:a="http://schemas.openxmlformats.org/drawingml/2006/main">
                <a:prstDash val="solid"/>
              </a:ln>
            </spPr>
          </marker>
          <xVal>
            <numRef>
              <f>'ElevCalc'!$G$390:$G$395</f>
            </numRef>
          </xVal>
          <yVal>
            <numRef>
              <f>'ElevCalc'!$H$390:$H$395</f>
            </numRef>
          </yVal>
          <smooth val="0"/>
        </ser>
        <ser>
          <idx val="70"/>
          <order val="70"/>
          <tx>
            <strRef>
              <f>'ElevCalc'!$I$397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l"/>
            <showLegendKey val="0"/>
            <showVal val="0"/>
            <showCatName val="0"/>
            <showSerName val="1"/>
            <showPercent val="0"/>
          </dLbls>
          <xVal>
            <numRef>
              <f>'ElevCalc'!$G$397</f>
            </numRef>
          </xVal>
          <yVal>
            <numRef>
              <f>'ElevCalc'!$H$397</f>
            </numRef>
          </yVal>
          <smooth val="0"/>
        </ser>
        <ser>
          <idx val="71"/>
          <order val="71"/>
          <tx>
            <strRef>
              <f>'ElevCalc'!$I$399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b"/>
            <showLegendKey val="0"/>
            <showVal val="0"/>
            <showCatName val="0"/>
            <showSerName val="1"/>
            <showPercent val="0"/>
          </dLbls>
          <xVal>
            <numRef>
              <f>'ElevCalc'!$G$399</f>
            </numRef>
          </xVal>
          <yVal>
            <numRef>
              <f>'ElevCalc'!$H$399</f>
            </numRef>
          </yVal>
          <smooth val="0"/>
        </ser>
        <ser>
          <idx val="72"/>
          <order val="72"/>
          <tx>
            <strRef>
              <f>'ElevCalc'!$I$401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7B8794"/>
                    </a:solidFill>
                    <a:latin typeface="Arial"/>
                  </a:defRPr>
                </a:pPr>
                <a:r>
                  <a:t/>
                </a:r>
                <a:endParaRPr sz="592" b="0">
                  <a:solidFill>
                    <a:srgbClr val="7B8794"/>
                  </a:solidFill>
                  <a:latin typeface="Arial"/>
                </a:endParaRPr>
              </a:p>
            </txPr>
            <dLblPos val="t"/>
            <showLegendKey val="0"/>
            <showVal val="0"/>
            <showCatName val="0"/>
            <showSerName val="1"/>
            <showPercent val="0"/>
          </dLbls>
          <xVal>
            <numRef>
              <f>'ElevCalc'!$G$401</f>
            </numRef>
          </xVal>
          <yVal>
            <numRef>
              <f>'ElevCalc'!$H$401</f>
            </numRef>
          </yVal>
          <smooth val="0"/>
        </ser>
        <ser>
          <idx val="73"/>
          <order val="73"/>
          <tx>
            <strRef>
              <f>'ElevCalc'!$I$403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4304A"/>
                    </a:solidFill>
                    <a:latin typeface="Arial"/>
                  </a:defRPr>
                </a:pPr>
                <a:r>
                  <a:t/>
                </a:r>
                <a:endParaRPr sz="760" b="1">
                  <a:solidFill>
                    <a:srgbClr val="14304A"/>
                  </a:solidFill>
                  <a:latin typeface="Arial"/>
                </a:endParaRPr>
              </a:p>
            </txPr>
            <dLblPos val="r"/>
            <showLegendKey val="0"/>
            <showVal val="0"/>
            <showCatName val="0"/>
            <showSerName val="1"/>
            <showPercent val="0"/>
          </dLbls>
          <xVal>
            <numRef>
              <f>'ElevCalc'!$G$403</f>
            </numRef>
          </xVal>
          <yVal>
            <numRef>
              <f>'ElevCalc'!$H$403</f>
            </numRef>
          </yVal>
          <smooth val="0"/>
        </ser>
        <axId val="10"/>
        <axId val="20"/>
      </scatterChart>
      <valAx>
        <axId val="10"/>
        <scaling>
          <orientation val="minMax"/>
          <max val="200"/>
          <min val="0"/>
        </scaling>
        <delete val="1"/>
        <axPos val="l"/>
        <majorTickMark val="none"/>
        <minorTickMark val="none"/>
        <crossAx val="20"/>
      </valAx>
      <valAx>
        <axId val="20"/>
        <scaling>
          <orientation val="minMax"/>
          <max val="172"/>
          <min val="-28"/>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style val="1"/>
  <chart>
    <plotArea>
      <scatterChart>
        <scatterStyle val="lineMarker"/>
        <ser>
          <idx val="0"/>
          <order val="0"/>
          <spPr>
            <a:ln xmlns:a="http://schemas.openxmlformats.org/drawingml/2006/main" w="31750">
              <a:solidFill>
                <a:srgbClr val="14304A"/>
              </a:solidFill>
              <a:prstDash val="solid"/>
            </a:ln>
          </spPr>
          <marker>
            <symbol val="none"/>
            <spPr>
              <a:ln xmlns:a="http://schemas.openxmlformats.org/drawingml/2006/main">
                <a:prstDash val="solid"/>
              </a:ln>
            </spPr>
          </marker>
          <xVal>
            <numRef>
              <f>'ElevCalc'!$L$150:$L$154</f>
            </numRef>
          </xVal>
          <yVal>
            <numRef>
              <f>'ElevCalc'!$M$150:$M$154</f>
            </numRef>
          </yVal>
          <smooth val="0"/>
        </ser>
        <ser>
          <idx val="1"/>
          <order val="1"/>
          <spPr>
            <a:ln xmlns:a="http://schemas.openxmlformats.org/drawingml/2006/main" w="9525">
              <a:solidFill>
                <a:srgbClr val="14304A"/>
              </a:solidFill>
              <a:prstDash val="solid"/>
            </a:ln>
          </spPr>
          <marker>
            <symbol val="none"/>
            <spPr>
              <a:ln xmlns:a="http://schemas.openxmlformats.org/drawingml/2006/main">
                <a:prstDash val="solid"/>
              </a:ln>
            </spPr>
          </marker>
          <xVal>
            <numRef>
              <f>'ElevCalc'!$L$156:$L$160</f>
            </numRef>
          </xVal>
          <yVal>
            <numRef>
              <f>'ElevCalc'!$M$156:$M$160</f>
            </numRef>
          </yVal>
          <smooth val="0"/>
        </ser>
        <ser>
          <idx val="2"/>
          <order val="2"/>
          <spPr>
            <a:ln xmlns:a="http://schemas.openxmlformats.org/drawingml/2006/main" w="9525">
              <a:solidFill>
                <a:srgbClr val="9AA5B1"/>
              </a:solidFill>
              <a:prstDash val="sysDash"/>
            </a:ln>
          </spPr>
          <marker>
            <symbol val="none"/>
            <spPr>
              <a:ln xmlns:a="http://schemas.openxmlformats.org/drawingml/2006/main">
                <a:prstDash val="solid"/>
              </a:ln>
            </spPr>
          </marker>
          <xVal>
            <numRef>
              <f>'ElevCalc'!$L$162:$L$166</f>
            </numRef>
          </xVal>
          <yVal>
            <numRef>
              <f>'ElevCalc'!$M$162:$M$166</f>
            </numRef>
          </yVal>
          <smooth val="0"/>
        </ser>
        <ser>
          <idx val="3"/>
          <order val="3"/>
          <spPr>
            <a:ln xmlns:a="http://schemas.openxmlformats.org/drawingml/2006/main" w="9525">
              <a:solidFill>
                <a:srgbClr val="9AA5B1"/>
              </a:solidFill>
              <a:prstDash val="sysDash"/>
            </a:ln>
          </spPr>
          <marker>
            <symbol val="none"/>
            <spPr>
              <a:ln xmlns:a="http://schemas.openxmlformats.org/drawingml/2006/main">
                <a:prstDash val="solid"/>
              </a:ln>
            </spPr>
          </marker>
          <xVal>
            <numRef>
              <f>'ElevCalc'!$L$168:$L$172</f>
            </numRef>
          </xVal>
          <yVal>
            <numRef>
              <f>'ElevCalc'!$M$168:$M$172</f>
            </numRef>
          </yVal>
          <smooth val="0"/>
        </ser>
        <ser>
          <idx val="4"/>
          <order val="4"/>
          <spPr>
            <a:ln xmlns:a="http://schemas.openxmlformats.org/drawingml/2006/main" w="9525">
              <a:solidFill>
                <a:srgbClr val="14304A"/>
              </a:solidFill>
              <a:prstDash val="solid"/>
            </a:ln>
          </spPr>
          <marker>
            <symbol val="none"/>
            <spPr>
              <a:ln xmlns:a="http://schemas.openxmlformats.org/drawingml/2006/main">
                <a:prstDash val="solid"/>
              </a:ln>
            </spPr>
          </marker>
          <xVal>
            <numRef>
              <f>'ElevCalc'!$L$174:$L$175</f>
            </numRef>
          </xVal>
          <yVal>
            <numRef>
              <f>'ElevCalc'!$M$174:$M$175</f>
            </numRef>
          </yVal>
          <smooth val="0"/>
        </ser>
        <ser>
          <idx val="5"/>
          <order val="5"/>
          <spPr>
            <a:ln xmlns:a="http://schemas.openxmlformats.org/drawingml/2006/main" w="12700">
              <a:solidFill>
                <a:srgbClr val="14304A"/>
              </a:solidFill>
              <a:prstDash val="solid"/>
            </a:ln>
          </spPr>
          <marker>
            <symbol val="none"/>
            <spPr>
              <a:ln xmlns:a="http://schemas.openxmlformats.org/drawingml/2006/main">
                <a:prstDash val="solid"/>
              </a:ln>
            </spPr>
          </marker>
          <xVal>
            <numRef>
              <f>'ElevCalc'!$L$177:$L$181</f>
            </numRef>
          </xVal>
          <yVal>
            <numRef>
              <f>'ElevCalc'!$M$177:$M$181</f>
            </numRef>
          </yVal>
          <smooth val="0"/>
        </ser>
        <ser>
          <idx val="6"/>
          <order val="6"/>
          <tx>
            <strRef>
              <f>'ElevCalc'!$N$183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t"/>
            <showLegendKey val="0"/>
            <showVal val="0"/>
            <showCatName val="0"/>
            <showSerName val="1"/>
            <showPercent val="0"/>
          </dLbls>
          <xVal>
            <numRef>
              <f>'ElevCalc'!$L$183</f>
            </numRef>
          </xVal>
          <yVal>
            <numRef>
              <f>'ElevCalc'!$M$183</f>
            </numRef>
          </yVal>
          <smooth val="0"/>
        </ser>
        <ser>
          <idx val="7"/>
          <order val="7"/>
          <spPr>
            <a:ln xmlns:a="http://schemas.openxmlformats.org/drawingml/2006/main" w="12700">
              <a:solidFill>
                <a:srgbClr val="14304A"/>
              </a:solidFill>
              <a:prstDash val="solid"/>
            </a:ln>
          </spPr>
          <marker>
            <symbol val="none"/>
            <spPr>
              <a:ln xmlns:a="http://schemas.openxmlformats.org/drawingml/2006/main">
                <a:prstDash val="solid"/>
              </a:ln>
            </spPr>
          </marker>
          <xVal>
            <numRef>
              <f>'ElevCalc'!$L$185:$L$189</f>
            </numRef>
          </xVal>
          <yVal>
            <numRef>
              <f>'ElevCalc'!$M$185:$M$189</f>
            </numRef>
          </yVal>
          <smooth val="0"/>
        </ser>
        <ser>
          <idx val="8"/>
          <order val="8"/>
          <spPr>
            <a:ln xmlns:a="http://schemas.openxmlformats.org/drawingml/2006/main" w="12700">
              <a:solidFill>
                <a:srgbClr val="14304A"/>
              </a:solidFill>
              <a:prstDash val="solid"/>
            </a:ln>
          </spPr>
          <marker>
            <symbol val="none"/>
            <spPr>
              <a:ln xmlns:a="http://schemas.openxmlformats.org/drawingml/2006/main">
                <a:prstDash val="solid"/>
              </a:ln>
            </spPr>
          </marker>
          <xVal>
            <numRef>
              <f>'ElevCalc'!$L$191:$L$195</f>
            </numRef>
          </xVal>
          <yVal>
            <numRef>
              <f>'ElevCalc'!$M$191:$M$195</f>
            </numRef>
          </yVal>
          <smooth val="0"/>
        </ser>
        <ser>
          <idx val="9"/>
          <order val="9"/>
          <spPr>
            <a:ln xmlns:a="http://schemas.openxmlformats.org/drawingml/2006/main" w="13970">
              <a:solidFill>
                <a:srgbClr val="2B7BB9"/>
              </a:solidFill>
              <a:prstDash val="solid"/>
            </a:ln>
          </spPr>
          <marker>
            <symbol val="none"/>
            <spPr>
              <a:ln xmlns:a="http://schemas.openxmlformats.org/drawingml/2006/main">
                <a:prstDash val="solid"/>
              </a:ln>
            </spPr>
          </marker>
          <xVal>
            <numRef>
              <f>'ElevCalc'!$L$197:$L$201</f>
            </numRef>
          </xVal>
          <yVal>
            <numRef>
              <f>'ElevCalc'!$M$197:$M$201</f>
            </numRef>
          </yVal>
          <smooth val="0"/>
        </ser>
        <ser>
          <idx val="10"/>
          <order val="10"/>
          <spPr>
            <a:ln xmlns:a="http://schemas.openxmlformats.org/drawingml/2006/main" w="20320">
              <a:solidFill>
                <a:srgbClr val="2B3138"/>
              </a:solidFill>
              <a:prstDash val="solid"/>
            </a:ln>
          </spPr>
          <marker>
            <symbol val="none"/>
            <spPr>
              <a:ln xmlns:a="http://schemas.openxmlformats.org/drawingml/2006/main">
                <a:prstDash val="solid"/>
              </a:ln>
            </spPr>
          </marker>
          <xVal>
            <numRef>
              <f>'ElevCalc'!$L$203:$L$207</f>
            </numRef>
          </xVal>
          <yVal>
            <numRef>
              <f>'ElevCalc'!$M$203:$M$207</f>
            </numRef>
          </yVal>
          <smooth val="0"/>
        </ser>
        <ser>
          <idx val="11"/>
          <order val="11"/>
          <spPr>
            <a:ln xmlns:a="http://schemas.openxmlformats.org/drawingml/2006/main" w="20320">
              <a:solidFill>
                <a:srgbClr val="2B3138"/>
              </a:solidFill>
              <a:prstDash val="solid"/>
            </a:ln>
          </spPr>
          <marker>
            <symbol val="none"/>
            <spPr>
              <a:ln xmlns:a="http://schemas.openxmlformats.org/drawingml/2006/main">
                <a:prstDash val="solid"/>
              </a:ln>
            </spPr>
          </marker>
          <xVal>
            <numRef>
              <f>'ElevCalc'!$L$209:$L$213</f>
            </numRef>
          </xVal>
          <yVal>
            <numRef>
              <f>'ElevCalc'!$M$209:$M$213</f>
            </numRef>
          </yVal>
          <smooth val="0"/>
        </ser>
        <ser>
          <idx val="12"/>
          <order val="12"/>
          <spPr>
            <a:ln xmlns:a="http://schemas.openxmlformats.org/drawingml/2006/main" w="13970">
              <a:solidFill>
                <a:srgbClr val="2B7BB9"/>
              </a:solidFill>
              <a:prstDash val="solid"/>
            </a:ln>
          </spPr>
          <marker>
            <symbol val="none"/>
            <spPr>
              <a:ln xmlns:a="http://schemas.openxmlformats.org/drawingml/2006/main">
                <a:prstDash val="solid"/>
              </a:ln>
            </spPr>
          </marker>
          <xVal>
            <numRef>
              <f>'ElevCalc'!$L$215:$L$219</f>
            </numRef>
          </xVal>
          <yVal>
            <numRef>
              <f>'ElevCalc'!$M$215:$M$219</f>
            </numRef>
          </yVal>
          <smooth val="0"/>
        </ser>
        <ser>
          <idx val="13"/>
          <order val="13"/>
          <spPr>
            <a:ln xmlns:a="http://schemas.openxmlformats.org/drawingml/2006/main" w="13970">
              <a:solidFill>
                <a:srgbClr val="2B7BB9"/>
              </a:solidFill>
              <a:prstDash val="solid"/>
            </a:ln>
          </spPr>
          <marker>
            <symbol val="none"/>
            <spPr>
              <a:ln xmlns:a="http://schemas.openxmlformats.org/drawingml/2006/main">
                <a:prstDash val="solid"/>
              </a:ln>
            </spPr>
          </marker>
          <xVal>
            <numRef>
              <f>'ElevCalc'!$L$221:$L$225</f>
            </numRef>
          </xVal>
          <yVal>
            <numRef>
              <f>'ElevCalc'!$M$221:$M$225</f>
            </numRef>
          </yVal>
          <smooth val="0"/>
        </ser>
        <ser>
          <idx val="14"/>
          <order val="14"/>
          <spPr>
            <a:ln xmlns:a="http://schemas.openxmlformats.org/drawingml/2006/main" w="7620">
              <a:solidFill>
                <a:srgbClr val="2B7BB9"/>
              </a:solidFill>
              <a:prstDash val="solid"/>
            </a:ln>
          </spPr>
          <marker>
            <symbol val="none"/>
            <spPr>
              <a:ln xmlns:a="http://schemas.openxmlformats.org/drawingml/2006/main">
                <a:prstDash val="solid"/>
              </a:ln>
            </spPr>
          </marker>
          <xVal>
            <numRef>
              <f>'ElevCalc'!$L$227:$L$228</f>
            </numRef>
          </xVal>
          <yVal>
            <numRef>
              <f>'ElevCalc'!$M$227:$M$228</f>
            </numRef>
          </yVal>
          <smooth val="0"/>
        </ser>
        <ser>
          <idx val="15"/>
          <order val="15"/>
          <spPr>
            <a:ln xmlns:a="http://schemas.openxmlformats.org/drawingml/2006/main" w="7620">
              <a:solidFill>
                <a:srgbClr val="2B7BB9"/>
              </a:solidFill>
              <a:prstDash val="solid"/>
            </a:ln>
          </spPr>
          <marker>
            <symbol val="none"/>
            <spPr>
              <a:ln xmlns:a="http://schemas.openxmlformats.org/drawingml/2006/main">
                <a:prstDash val="solid"/>
              </a:ln>
            </spPr>
          </marker>
          <xVal>
            <numRef>
              <f>'ElevCalc'!$L$230:$L$231</f>
            </numRef>
          </xVal>
          <yVal>
            <numRef>
              <f>'ElevCalc'!$M$230:$M$231</f>
            </numRef>
          </yVal>
          <smooth val="0"/>
        </ser>
        <ser>
          <idx val="16"/>
          <order val="16"/>
          <spPr>
            <a:ln xmlns:a="http://schemas.openxmlformats.org/drawingml/2006/main" w="7620">
              <a:solidFill>
                <a:srgbClr val="2B7BB9"/>
              </a:solidFill>
              <a:prstDash val="solid"/>
            </a:ln>
          </spPr>
          <marker>
            <symbol val="none"/>
            <spPr>
              <a:ln xmlns:a="http://schemas.openxmlformats.org/drawingml/2006/main">
                <a:prstDash val="solid"/>
              </a:ln>
            </spPr>
          </marker>
          <xVal>
            <numRef>
              <f>'ElevCalc'!$L$233:$L$234</f>
            </numRef>
          </xVal>
          <yVal>
            <numRef>
              <f>'ElevCalc'!$M$233:$M$234</f>
            </numRef>
          </yVal>
          <smooth val="0"/>
        </ser>
        <ser>
          <idx val="17"/>
          <order val="17"/>
          <spPr>
            <a:ln xmlns:a="http://schemas.openxmlformats.org/drawingml/2006/main" w="7620">
              <a:solidFill>
                <a:srgbClr val="2B7BB9"/>
              </a:solidFill>
              <a:prstDash val="solid"/>
            </a:ln>
          </spPr>
          <marker>
            <symbol val="none"/>
            <spPr>
              <a:ln xmlns:a="http://schemas.openxmlformats.org/drawingml/2006/main">
                <a:prstDash val="solid"/>
              </a:ln>
            </spPr>
          </marker>
          <xVal>
            <numRef>
              <f>'ElevCalc'!$L$236:$L$237</f>
            </numRef>
          </xVal>
          <yVal>
            <numRef>
              <f>'ElevCalc'!$M$236:$M$237</f>
            </numRef>
          </yVal>
          <smooth val="0"/>
        </ser>
        <ser>
          <idx val="18"/>
          <order val="18"/>
          <spPr>
            <a:ln xmlns:a="http://schemas.openxmlformats.org/drawingml/2006/main" w="7620">
              <a:solidFill>
                <a:srgbClr val="2B7BB9"/>
              </a:solidFill>
              <a:prstDash val="solid"/>
            </a:ln>
          </spPr>
          <marker>
            <symbol val="none"/>
            <spPr>
              <a:ln xmlns:a="http://schemas.openxmlformats.org/drawingml/2006/main">
                <a:prstDash val="solid"/>
              </a:ln>
            </spPr>
          </marker>
          <xVal>
            <numRef>
              <f>'ElevCalc'!$L$239:$L$240</f>
            </numRef>
          </xVal>
          <yVal>
            <numRef>
              <f>'ElevCalc'!$M$239:$M$240</f>
            </numRef>
          </yVal>
          <smooth val="0"/>
        </ser>
        <ser>
          <idx val="19"/>
          <order val="19"/>
          <spPr>
            <a:ln xmlns:a="http://schemas.openxmlformats.org/drawingml/2006/main" w="7620">
              <a:solidFill>
                <a:srgbClr val="2B7BB9"/>
              </a:solidFill>
              <a:prstDash val="solid"/>
            </a:ln>
          </spPr>
          <marker>
            <symbol val="none"/>
            <spPr>
              <a:ln xmlns:a="http://schemas.openxmlformats.org/drawingml/2006/main">
                <a:prstDash val="solid"/>
              </a:ln>
            </spPr>
          </marker>
          <xVal>
            <numRef>
              <f>'ElevCalc'!$L$242:$L$243</f>
            </numRef>
          </xVal>
          <yVal>
            <numRef>
              <f>'ElevCalc'!$M$242:$M$243</f>
            </numRef>
          </yVal>
          <smooth val="0"/>
        </ser>
        <ser>
          <idx val="20"/>
          <order val="20"/>
          <spPr>
            <a:ln xmlns:a="http://schemas.openxmlformats.org/drawingml/2006/main" w="7620">
              <a:solidFill>
                <a:srgbClr val="2B7BB9"/>
              </a:solidFill>
              <a:prstDash val="solid"/>
            </a:ln>
          </spPr>
          <marker>
            <symbol val="none"/>
            <spPr>
              <a:ln xmlns:a="http://schemas.openxmlformats.org/drawingml/2006/main">
                <a:prstDash val="solid"/>
              </a:ln>
            </spPr>
          </marker>
          <xVal>
            <numRef>
              <f>'ElevCalc'!$L$245:$L$246</f>
            </numRef>
          </xVal>
          <yVal>
            <numRef>
              <f>'ElevCalc'!$M$245:$M$246</f>
            </numRef>
          </yVal>
          <smooth val="0"/>
        </ser>
        <ser>
          <idx val="21"/>
          <order val="21"/>
          <spPr>
            <a:ln xmlns:a="http://schemas.openxmlformats.org/drawingml/2006/main" w="7620">
              <a:solidFill>
                <a:srgbClr val="2B7BB9"/>
              </a:solidFill>
              <a:prstDash val="solid"/>
            </a:ln>
          </spPr>
          <marker>
            <symbol val="none"/>
            <spPr>
              <a:ln xmlns:a="http://schemas.openxmlformats.org/drawingml/2006/main">
                <a:prstDash val="solid"/>
              </a:ln>
            </spPr>
          </marker>
          <xVal>
            <numRef>
              <f>'ElevCalc'!$L$248:$L$249</f>
            </numRef>
          </xVal>
          <yVal>
            <numRef>
              <f>'ElevCalc'!$M$248:$M$249</f>
            </numRef>
          </yVal>
          <smooth val="0"/>
        </ser>
        <ser>
          <idx val="22"/>
          <order val="22"/>
          <spPr>
            <a:ln xmlns:a="http://schemas.openxmlformats.org/drawingml/2006/main" w="7620">
              <a:solidFill>
                <a:srgbClr val="2B7BB9"/>
              </a:solidFill>
              <a:prstDash val="solid"/>
            </a:ln>
          </spPr>
          <marker>
            <symbol val="none"/>
            <spPr>
              <a:ln xmlns:a="http://schemas.openxmlformats.org/drawingml/2006/main">
                <a:prstDash val="solid"/>
              </a:ln>
            </spPr>
          </marker>
          <xVal>
            <numRef>
              <f>'ElevCalc'!$L$251:$L$252</f>
            </numRef>
          </xVal>
          <yVal>
            <numRef>
              <f>'ElevCalc'!$M$251:$M$252</f>
            </numRef>
          </yVal>
          <smooth val="0"/>
        </ser>
        <ser>
          <idx val="23"/>
          <order val="23"/>
          <spPr>
            <a:ln xmlns:a="http://schemas.openxmlformats.org/drawingml/2006/main" w="7620">
              <a:solidFill>
                <a:srgbClr val="2B7BB9"/>
              </a:solidFill>
              <a:prstDash val="solid"/>
            </a:ln>
          </spPr>
          <marker>
            <symbol val="none"/>
            <spPr>
              <a:ln xmlns:a="http://schemas.openxmlformats.org/drawingml/2006/main">
                <a:prstDash val="solid"/>
              </a:ln>
            </spPr>
          </marker>
          <xVal>
            <numRef>
              <f>'ElevCalc'!$L$254:$L$255</f>
            </numRef>
          </xVal>
          <yVal>
            <numRef>
              <f>'ElevCalc'!$M$254:$M$255</f>
            </numRef>
          </yVal>
          <smooth val="0"/>
        </ser>
        <ser>
          <idx val="24"/>
          <order val="24"/>
          <spPr>
            <a:ln xmlns:a="http://schemas.openxmlformats.org/drawingml/2006/main" w="7620">
              <a:solidFill>
                <a:srgbClr val="2B7BB9"/>
              </a:solidFill>
              <a:prstDash val="solid"/>
            </a:ln>
          </spPr>
          <marker>
            <symbol val="none"/>
            <spPr>
              <a:ln xmlns:a="http://schemas.openxmlformats.org/drawingml/2006/main">
                <a:prstDash val="solid"/>
              </a:ln>
            </spPr>
          </marker>
          <xVal>
            <numRef>
              <f>'ElevCalc'!$L$257:$L$258</f>
            </numRef>
          </xVal>
          <yVal>
            <numRef>
              <f>'ElevCalc'!$M$257:$M$258</f>
            </numRef>
          </yVal>
          <smooth val="0"/>
        </ser>
        <ser>
          <idx val="25"/>
          <order val="25"/>
          <spPr>
            <a:ln xmlns:a="http://schemas.openxmlformats.org/drawingml/2006/main" w="7620">
              <a:solidFill>
                <a:srgbClr val="2B7BB9"/>
              </a:solidFill>
              <a:prstDash val="solid"/>
            </a:ln>
          </spPr>
          <marker>
            <symbol val="none"/>
            <spPr>
              <a:ln xmlns:a="http://schemas.openxmlformats.org/drawingml/2006/main">
                <a:prstDash val="solid"/>
              </a:ln>
            </spPr>
          </marker>
          <xVal>
            <numRef>
              <f>'ElevCalc'!$L$260:$L$261</f>
            </numRef>
          </xVal>
          <yVal>
            <numRef>
              <f>'ElevCalc'!$M$260:$M$261</f>
            </numRef>
          </yVal>
          <smooth val="0"/>
        </ser>
        <ser>
          <idx val="26"/>
          <order val="26"/>
          <spPr>
            <a:ln xmlns:a="http://schemas.openxmlformats.org/drawingml/2006/main" w="7620">
              <a:solidFill>
                <a:srgbClr val="2B7BB9"/>
              </a:solidFill>
              <a:prstDash val="solid"/>
            </a:ln>
          </spPr>
          <marker>
            <symbol val="none"/>
            <spPr>
              <a:ln xmlns:a="http://schemas.openxmlformats.org/drawingml/2006/main">
                <a:prstDash val="solid"/>
              </a:ln>
            </spPr>
          </marker>
          <xVal>
            <numRef>
              <f>'ElevCalc'!$L$263:$L$264</f>
            </numRef>
          </xVal>
          <yVal>
            <numRef>
              <f>'ElevCalc'!$M$263:$M$264</f>
            </numRef>
          </yVal>
          <smooth val="0"/>
        </ser>
        <ser>
          <idx val="27"/>
          <order val="27"/>
          <spPr>
            <a:ln xmlns:a="http://schemas.openxmlformats.org/drawingml/2006/main" w="7620">
              <a:solidFill>
                <a:srgbClr val="2B7BB9"/>
              </a:solidFill>
              <a:prstDash val="solid"/>
            </a:ln>
          </spPr>
          <marker>
            <symbol val="none"/>
            <spPr>
              <a:ln xmlns:a="http://schemas.openxmlformats.org/drawingml/2006/main">
                <a:prstDash val="solid"/>
              </a:ln>
            </spPr>
          </marker>
          <xVal>
            <numRef>
              <f>'ElevCalc'!$L$266:$L$267</f>
            </numRef>
          </xVal>
          <yVal>
            <numRef>
              <f>'ElevCalc'!$M$266:$M$267</f>
            </numRef>
          </yVal>
          <smooth val="0"/>
        </ser>
        <ser>
          <idx val="28"/>
          <order val="28"/>
          <spPr>
            <a:ln xmlns:a="http://schemas.openxmlformats.org/drawingml/2006/main" w="7620">
              <a:solidFill>
                <a:srgbClr val="2B7BB9"/>
              </a:solidFill>
              <a:prstDash val="solid"/>
            </a:ln>
          </spPr>
          <marker>
            <symbol val="none"/>
            <spPr>
              <a:ln xmlns:a="http://schemas.openxmlformats.org/drawingml/2006/main">
                <a:prstDash val="solid"/>
              </a:ln>
            </spPr>
          </marker>
          <xVal>
            <numRef>
              <f>'ElevCalc'!$L$269:$L$270</f>
            </numRef>
          </xVal>
          <yVal>
            <numRef>
              <f>'ElevCalc'!$M$269:$M$270</f>
            </numRef>
          </yVal>
          <smooth val="0"/>
        </ser>
        <ser>
          <idx val="29"/>
          <order val="29"/>
          <spPr>
            <a:ln xmlns:a="http://schemas.openxmlformats.org/drawingml/2006/main" w="7620">
              <a:solidFill>
                <a:srgbClr val="2B7BB9"/>
              </a:solidFill>
              <a:prstDash val="solid"/>
            </a:ln>
          </spPr>
          <marker>
            <symbol val="none"/>
            <spPr>
              <a:ln xmlns:a="http://schemas.openxmlformats.org/drawingml/2006/main">
                <a:prstDash val="solid"/>
              </a:ln>
            </spPr>
          </marker>
          <xVal>
            <numRef>
              <f>'ElevCalc'!$L$272:$L$273</f>
            </numRef>
          </xVal>
          <yVal>
            <numRef>
              <f>'ElevCalc'!$M$272:$M$273</f>
            </numRef>
          </yVal>
          <smooth val="0"/>
        </ser>
        <ser>
          <idx val="30"/>
          <order val="30"/>
          <spPr>
            <a:ln xmlns:a="http://schemas.openxmlformats.org/drawingml/2006/main" w="7620">
              <a:solidFill>
                <a:srgbClr val="2B7BB9"/>
              </a:solidFill>
              <a:prstDash val="solid"/>
            </a:ln>
          </spPr>
          <marker>
            <symbol val="none"/>
            <spPr>
              <a:ln xmlns:a="http://schemas.openxmlformats.org/drawingml/2006/main">
                <a:prstDash val="solid"/>
              </a:ln>
            </spPr>
          </marker>
          <xVal>
            <numRef>
              <f>'ElevCalc'!$L$275:$L$276</f>
            </numRef>
          </xVal>
          <yVal>
            <numRef>
              <f>'ElevCalc'!$M$275:$M$276</f>
            </numRef>
          </yVal>
          <smooth val="0"/>
        </ser>
        <ser>
          <idx val="31"/>
          <order val="31"/>
          <spPr>
            <a:ln xmlns:a="http://schemas.openxmlformats.org/drawingml/2006/main" w="7620">
              <a:solidFill>
                <a:srgbClr val="2B7BB9"/>
              </a:solidFill>
              <a:prstDash val="solid"/>
            </a:ln>
          </spPr>
          <marker>
            <symbol val="none"/>
            <spPr>
              <a:ln xmlns:a="http://schemas.openxmlformats.org/drawingml/2006/main">
                <a:prstDash val="solid"/>
              </a:ln>
            </spPr>
          </marker>
          <xVal>
            <numRef>
              <f>'ElevCalc'!$L$278:$L$279</f>
            </numRef>
          </xVal>
          <yVal>
            <numRef>
              <f>'ElevCalc'!$M$278:$M$279</f>
            </numRef>
          </yVal>
          <smooth val="0"/>
        </ser>
        <ser>
          <idx val="32"/>
          <order val="32"/>
          <spPr>
            <a:ln xmlns:a="http://schemas.openxmlformats.org/drawingml/2006/main" w="7620">
              <a:solidFill>
                <a:srgbClr val="2B7BB9"/>
              </a:solidFill>
              <a:prstDash val="solid"/>
            </a:ln>
          </spPr>
          <marker>
            <symbol val="none"/>
            <spPr>
              <a:ln xmlns:a="http://schemas.openxmlformats.org/drawingml/2006/main">
                <a:prstDash val="solid"/>
              </a:ln>
            </spPr>
          </marker>
          <xVal>
            <numRef>
              <f>'ElevCalc'!$L$281:$L$282</f>
            </numRef>
          </xVal>
          <yVal>
            <numRef>
              <f>'ElevCalc'!$M$281:$M$282</f>
            </numRef>
          </yVal>
          <smooth val="0"/>
        </ser>
        <ser>
          <idx val="33"/>
          <order val="33"/>
          <spPr>
            <a:ln xmlns:a="http://schemas.openxmlformats.org/drawingml/2006/main" w="7620">
              <a:solidFill>
                <a:srgbClr val="2B7BB9"/>
              </a:solidFill>
              <a:prstDash val="solid"/>
            </a:ln>
          </spPr>
          <marker>
            <symbol val="none"/>
            <spPr>
              <a:ln xmlns:a="http://schemas.openxmlformats.org/drawingml/2006/main">
                <a:prstDash val="solid"/>
              </a:ln>
            </spPr>
          </marker>
          <xVal>
            <numRef>
              <f>'ElevCalc'!$L$284:$L$285</f>
            </numRef>
          </xVal>
          <yVal>
            <numRef>
              <f>'ElevCalc'!$M$284:$M$285</f>
            </numRef>
          </yVal>
          <smooth val="0"/>
        </ser>
        <ser>
          <idx val="34"/>
          <order val="34"/>
          <spPr>
            <a:ln xmlns:a="http://schemas.openxmlformats.org/drawingml/2006/main" w="9525">
              <a:solidFill>
                <a:srgbClr val="8895A2"/>
              </a:solidFill>
              <a:prstDash val="dash"/>
            </a:ln>
          </spPr>
          <marker>
            <symbol val="none"/>
            <spPr>
              <a:ln xmlns:a="http://schemas.openxmlformats.org/drawingml/2006/main">
                <a:prstDash val="solid"/>
              </a:ln>
            </spPr>
          </marker>
          <xVal>
            <numRef>
              <f>'ElevCalc'!$L$287:$L$289</f>
            </numRef>
          </xVal>
          <yVal>
            <numRef>
              <f>'ElevCalc'!$M$287:$M$289</f>
            </numRef>
          </yVal>
          <smooth val="0"/>
        </ser>
        <ser>
          <idx val="35"/>
          <order val="35"/>
          <spPr>
            <a:ln xmlns:a="http://schemas.openxmlformats.org/drawingml/2006/main" w="9525">
              <a:solidFill>
                <a:srgbClr val="8895A2"/>
              </a:solidFill>
              <a:prstDash val="dash"/>
            </a:ln>
          </spPr>
          <marker>
            <symbol val="none"/>
            <spPr>
              <a:ln xmlns:a="http://schemas.openxmlformats.org/drawingml/2006/main">
                <a:prstDash val="solid"/>
              </a:ln>
            </spPr>
          </marker>
          <xVal>
            <numRef>
              <f>'ElevCalc'!$L$291:$L$293</f>
            </numRef>
          </xVal>
          <yVal>
            <numRef>
              <f>'ElevCalc'!$M$291:$M$293</f>
            </numRef>
          </yVal>
          <smooth val="0"/>
        </ser>
        <ser>
          <idx val="36"/>
          <order val="36"/>
          <spPr>
            <a:ln xmlns:a="http://schemas.openxmlformats.org/drawingml/2006/main" w="50800">
              <a:solidFill>
                <a:srgbClr val="C07F00"/>
              </a:solidFill>
              <a:prstDash val="solid"/>
            </a:ln>
          </spPr>
          <marker>
            <symbol val="none"/>
            <spPr>
              <a:ln xmlns:a="http://schemas.openxmlformats.org/drawingml/2006/main">
                <a:prstDash val="solid"/>
              </a:ln>
            </spPr>
          </marker>
          <xVal>
            <numRef>
              <f>'ElevCalc'!$L$295:$L$296</f>
            </numRef>
          </xVal>
          <yVal>
            <numRef>
              <f>'ElevCalc'!$M$295:$M$296</f>
            </numRef>
          </yVal>
          <smooth val="0"/>
        </ser>
        <ser>
          <idx val="37"/>
          <order val="37"/>
          <spPr>
            <a:ln xmlns:a="http://schemas.openxmlformats.org/drawingml/2006/main" w="50800">
              <a:solidFill>
                <a:srgbClr val="C07F00"/>
              </a:solidFill>
              <a:prstDash val="solid"/>
            </a:ln>
          </spPr>
          <marker>
            <symbol val="none"/>
            <spPr>
              <a:ln xmlns:a="http://schemas.openxmlformats.org/drawingml/2006/main">
                <a:prstDash val="solid"/>
              </a:ln>
            </spPr>
          </marker>
          <xVal>
            <numRef>
              <f>'ElevCalc'!$L$298:$L$299</f>
            </numRef>
          </xVal>
          <yVal>
            <numRef>
              <f>'ElevCalc'!$M$298:$M$299</f>
            </numRef>
          </yVal>
          <smooth val="0"/>
        </ser>
        <ser>
          <idx val="38"/>
          <order val="38"/>
          <tx>
            <strRef>
              <f>'ElevCalc'!$N$301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'ElevCalc'!$L$301</f>
            </numRef>
          </xVal>
          <yVal>
            <numRef>
              <f>'ElevCalc'!$M$301</f>
            </numRef>
          </yVal>
          <smooth val="0"/>
        </ser>
        <ser>
          <idx val="39"/>
          <order val="39"/>
          <tx>
            <strRef>
              <f>'ElevCalc'!$N$303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'ElevCalc'!$L$303</f>
            </numRef>
          </xVal>
          <yVal>
            <numRef>
              <f>'ElevCalc'!$M$303</f>
            </numRef>
          </yVal>
          <smooth val="0"/>
        </ser>
        <ser>
          <idx val="40"/>
          <order val="40"/>
          <spPr>
            <a:ln xmlns:a="http://schemas.openxmlformats.org/drawingml/2006/main" w="50800">
              <a:solidFill>
                <a:srgbClr val="C07F00"/>
              </a:solidFill>
              <a:prstDash val="solid"/>
            </a:ln>
          </spPr>
          <marker>
            <symbol val="none"/>
            <spPr>
              <a:ln xmlns:a="http://schemas.openxmlformats.org/drawingml/2006/main">
                <a:prstDash val="solid"/>
              </a:ln>
            </spPr>
          </marker>
          <xVal>
            <numRef>
              <f>'ElevCalc'!$L$305:$L$306</f>
            </numRef>
          </xVal>
          <yVal>
            <numRef>
              <f>'ElevCalc'!$M$305:$M$306</f>
            </numRef>
          </yVal>
          <smooth val="0"/>
        </ser>
        <ser>
          <idx val="41"/>
          <order val="41"/>
          <spPr>
            <a:ln xmlns:a="http://schemas.openxmlformats.org/drawingml/2006/main" w="50800">
              <a:solidFill>
                <a:srgbClr val="C07F00"/>
              </a:solidFill>
              <a:prstDash val="solid"/>
            </a:ln>
          </spPr>
          <marker>
            <symbol val="none"/>
            <spPr>
              <a:ln xmlns:a="http://schemas.openxmlformats.org/drawingml/2006/main">
                <a:prstDash val="solid"/>
              </a:ln>
            </spPr>
          </marker>
          <xVal>
            <numRef>
              <f>'ElevCalc'!$L$308:$L$309</f>
            </numRef>
          </xVal>
          <yVal>
            <numRef>
              <f>'ElevCalc'!$M$308:$M$309</f>
            </numRef>
          </yVal>
          <smooth val="0"/>
        </ser>
        <ser>
          <idx val="42"/>
          <order val="42"/>
          <tx>
            <strRef>
              <f>'ElevCalc'!$N$311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'ElevCalc'!$L$311</f>
            </numRef>
          </xVal>
          <yVal>
            <numRef>
              <f>'ElevCalc'!$M$311</f>
            </numRef>
          </yVal>
          <smooth val="0"/>
        </ser>
        <ser>
          <idx val="43"/>
          <order val="43"/>
          <tx>
            <strRef>
              <f>'ElevCalc'!$N$313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'ElevCalc'!$L$313</f>
            </numRef>
          </xVal>
          <yVal>
            <numRef>
              <f>'ElevCalc'!$M$313</f>
            </numRef>
          </yVal>
          <smooth val="0"/>
        </ser>
        <ser>
          <idx val="44"/>
          <order val="44"/>
          <spPr>
            <a:ln xmlns:a="http://schemas.openxmlformats.org/drawingml/2006/main" w="50800">
              <a:solidFill>
                <a:srgbClr val="C07F00"/>
              </a:solidFill>
              <a:prstDash val="solid"/>
            </a:ln>
          </spPr>
          <marker>
            <symbol val="none"/>
            <spPr>
              <a:ln xmlns:a="http://schemas.openxmlformats.org/drawingml/2006/main">
                <a:prstDash val="solid"/>
              </a:ln>
            </spPr>
          </marker>
          <xVal>
            <numRef>
              <f>'ElevCalc'!$L$315:$L$316</f>
            </numRef>
          </xVal>
          <yVal>
            <numRef>
              <f>'ElevCalc'!$M$315:$M$316</f>
            </numRef>
          </yVal>
          <smooth val="0"/>
        </ser>
        <ser>
          <idx val="45"/>
          <order val="45"/>
          <spPr>
            <a:ln xmlns:a="http://schemas.openxmlformats.org/drawingml/2006/main" w="50800">
              <a:solidFill>
                <a:srgbClr val="C07F00"/>
              </a:solidFill>
              <a:prstDash val="solid"/>
            </a:ln>
          </spPr>
          <marker>
            <symbol val="none"/>
            <spPr>
              <a:ln xmlns:a="http://schemas.openxmlformats.org/drawingml/2006/main">
                <a:prstDash val="solid"/>
              </a:ln>
            </spPr>
          </marker>
          <xVal>
            <numRef>
              <f>'ElevCalc'!$L$318:$L$319</f>
            </numRef>
          </xVal>
          <yVal>
            <numRef>
              <f>'ElevCalc'!$M$318:$M$319</f>
            </numRef>
          </yVal>
          <smooth val="0"/>
        </ser>
        <ser>
          <idx val="46"/>
          <order val="46"/>
          <tx>
            <strRef>
              <f>'ElevCalc'!$N$321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'ElevCalc'!$L$321</f>
            </numRef>
          </xVal>
          <yVal>
            <numRef>
              <f>'ElevCalc'!$M$321</f>
            </numRef>
          </yVal>
          <smooth val="0"/>
        </ser>
        <ser>
          <idx val="47"/>
          <order val="47"/>
          <tx>
            <strRef>
              <f>'ElevCalc'!$N$323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'ElevCalc'!$L$323</f>
            </numRef>
          </xVal>
          <yVal>
            <numRef>
              <f>'ElevCalc'!$M$323</f>
            </numRef>
          </yVal>
          <smooth val="0"/>
        </ser>
        <ser>
          <idx val="48"/>
          <order val="48"/>
          <spPr>
            <a:ln xmlns:a="http://schemas.openxmlformats.org/drawingml/2006/main" w="50800">
              <a:solidFill>
                <a:srgbClr val="C07F00"/>
              </a:solidFill>
              <a:prstDash val="solid"/>
            </a:ln>
          </spPr>
          <marker>
            <symbol val="none"/>
            <spPr>
              <a:ln xmlns:a="http://schemas.openxmlformats.org/drawingml/2006/main">
                <a:prstDash val="solid"/>
              </a:ln>
            </spPr>
          </marker>
          <xVal>
            <numRef>
              <f>'ElevCalc'!$L$325:$L$326</f>
            </numRef>
          </xVal>
          <yVal>
            <numRef>
              <f>'ElevCalc'!$M$325:$M$326</f>
            </numRef>
          </yVal>
          <smooth val="0"/>
        </ser>
        <ser>
          <idx val="49"/>
          <order val="49"/>
          <spPr>
            <a:ln xmlns:a="http://schemas.openxmlformats.org/drawingml/2006/main" w="50800">
              <a:solidFill>
                <a:srgbClr val="C07F00"/>
              </a:solidFill>
              <a:prstDash val="solid"/>
            </a:ln>
          </spPr>
          <marker>
            <symbol val="none"/>
            <spPr>
              <a:ln xmlns:a="http://schemas.openxmlformats.org/drawingml/2006/main">
                <a:prstDash val="solid"/>
              </a:ln>
            </spPr>
          </marker>
          <xVal>
            <numRef>
              <f>'ElevCalc'!$L$328:$L$329</f>
            </numRef>
          </xVal>
          <yVal>
            <numRef>
              <f>'ElevCalc'!$M$328:$M$329</f>
            </numRef>
          </yVal>
          <smooth val="0"/>
        </ser>
        <ser>
          <idx val="50"/>
          <order val="50"/>
          <tx>
            <strRef>
              <f>'ElevCalc'!$N$331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'ElevCalc'!$L$331</f>
            </numRef>
          </xVal>
          <yVal>
            <numRef>
              <f>'ElevCalc'!$M$331</f>
            </numRef>
          </yVal>
          <smooth val="0"/>
        </ser>
        <ser>
          <idx val="51"/>
          <order val="51"/>
          <tx>
            <strRef>
              <f>'ElevCalc'!$N$333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'ElevCalc'!$L$333</f>
            </numRef>
          </xVal>
          <yVal>
            <numRef>
              <f>'ElevCalc'!$M$333</f>
            </numRef>
          </yVal>
          <smooth val="0"/>
        </ser>
        <ser>
          <idx val="52"/>
          <order val="52"/>
          <spPr>
            <a:ln xmlns:a="http://schemas.openxmlformats.org/drawingml/2006/main" w="50800">
              <a:solidFill>
                <a:srgbClr val="C07F00"/>
              </a:solidFill>
              <a:prstDash val="solid"/>
            </a:ln>
          </spPr>
          <marker>
            <symbol val="none"/>
            <spPr>
              <a:ln xmlns:a="http://schemas.openxmlformats.org/drawingml/2006/main">
                <a:prstDash val="solid"/>
              </a:ln>
            </spPr>
          </marker>
          <xVal>
            <numRef>
              <f>'ElevCalc'!$L$335:$L$336</f>
            </numRef>
          </xVal>
          <yVal>
            <numRef>
              <f>'ElevCalc'!$M$335:$M$336</f>
            </numRef>
          </yVal>
          <smooth val="0"/>
        </ser>
        <ser>
          <idx val="53"/>
          <order val="53"/>
          <spPr>
            <a:ln xmlns:a="http://schemas.openxmlformats.org/drawingml/2006/main" w="50800">
              <a:solidFill>
                <a:srgbClr val="C07F00"/>
              </a:solidFill>
              <a:prstDash val="solid"/>
            </a:ln>
          </spPr>
          <marker>
            <symbol val="none"/>
            <spPr>
              <a:ln xmlns:a="http://schemas.openxmlformats.org/drawingml/2006/main">
                <a:prstDash val="solid"/>
              </a:ln>
            </spPr>
          </marker>
          <xVal>
            <numRef>
              <f>'ElevCalc'!$L$338:$L$339</f>
            </numRef>
          </xVal>
          <yVal>
            <numRef>
              <f>'ElevCalc'!$M$338:$M$339</f>
            </numRef>
          </yVal>
          <smooth val="0"/>
        </ser>
        <ser>
          <idx val="54"/>
          <order val="54"/>
          <tx>
            <strRef>
              <f>'ElevCalc'!$N$341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'ElevCalc'!$L$341</f>
            </numRef>
          </xVal>
          <yVal>
            <numRef>
              <f>'ElevCalc'!$M$341</f>
            </numRef>
          </yVal>
          <smooth val="0"/>
        </ser>
        <ser>
          <idx val="55"/>
          <order val="55"/>
          <tx>
            <strRef>
              <f>'ElevCalc'!$N$343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'ElevCalc'!$L$343</f>
            </numRef>
          </xVal>
          <yVal>
            <numRef>
              <f>'ElevCalc'!$M$343</f>
            </numRef>
          </yVal>
          <smooth val="0"/>
        </ser>
        <ser>
          <idx val="56"/>
          <order val="56"/>
          <spPr>
            <a:ln xmlns:a="http://schemas.openxmlformats.org/drawingml/2006/main" w="38100">
              <a:solidFill>
                <a:srgbClr val="C07F00"/>
              </a:solidFill>
              <a:prstDash val="solid"/>
            </a:ln>
          </spPr>
          <marker>
            <symbol val="none"/>
            <spPr>
              <a:ln xmlns:a="http://schemas.openxmlformats.org/drawingml/2006/main">
                <a:prstDash val="solid"/>
              </a:ln>
            </spPr>
          </marker>
          <xVal>
            <numRef>
              <f>'ElevCalc'!$L$345:$L$346</f>
            </numRef>
          </xVal>
          <yVal>
            <numRef>
              <f>'ElevCalc'!$M$345:$M$346</f>
            </numRef>
          </yVal>
          <smooth val="0"/>
        </ser>
        <ser>
          <idx val="57"/>
          <order val="57"/>
          <spPr>
            <a:ln xmlns:a="http://schemas.openxmlformats.org/drawingml/2006/main" w="38100">
              <a:solidFill>
                <a:srgbClr val="C07F00"/>
              </a:solidFill>
              <a:prstDash val="solid"/>
            </a:ln>
          </spPr>
          <marker>
            <symbol val="none"/>
            <spPr>
              <a:ln xmlns:a="http://schemas.openxmlformats.org/drawingml/2006/main">
                <a:prstDash val="solid"/>
              </a:ln>
            </spPr>
          </marker>
          <xVal>
            <numRef>
              <f>'ElevCalc'!$L$348:$L$349</f>
            </numRef>
          </xVal>
          <yVal>
            <numRef>
              <f>'ElevCalc'!$M$348:$M$349</f>
            </numRef>
          </yVal>
          <smooth val="0"/>
        </ser>
        <ser>
          <idx val="58"/>
          <order val="58"/>
          <spPr>
            <a:ln xmlns:a="http://schemas.openxmlformats.org/drawingml/2006/main">
              <a:noFill/>
              <a:prstDash val="solid"/>
            </a:ln>
          </spPr>
          <marker>
            <symbol val="circle"/>
            <size val="7"/>
            <spPr>
              <a:solidFill xmlns:a="http://schemas.openxmlformats.org/drawingml/2006/main">
                <a:srgbClr val="B23A1C"/>
              </a:solidFill>
              <a:ln xmlns:a="http://schemas.openxmlformats.org/drawingml/2006/main">
                <a:solidFill>
                  <a:srgbClr val="B23A1C"/>
                </a:solidFill>
                <a:prstDash val="solid"/>
              </a:ln>
            </spPr>
          </marker>
          <xVal>
            <numRef>
              <f>'ElevCalc'!$L$351</f>
            </numRef>
          </xVal>
          <yVal>
            <numRef>
              <f>'ElevCalc'!$M$351</f>
            </numRef>
          </yVal>
          <smooth val="0"/>
        </ser>
        <ser>
          <idx val="59"/>
          <order val="59"/>
          <tx>
            <strRef>
              <f>'ElevCalc'!$N$353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'ElevCalc'!$L$353</f>
            </numRef>
          </xVal>
          <yVal>
            <numRef>
              <f>'ElevCalc'!$M$353</f>
            </numRef>
          </yVal>
          <smooth val="0"/>
        </ser>
        <ser>
          <idx val="60"/>
          <order val="60"/>
          <tx>
            <strRef>
              <f>'ElevCalc'!$N$355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'ElevCalc'!$L$355</f>
            </numRef>
          </xVal>
          <yVal>
            <numRef>
              <f>'ElevCalc'!$M$355</f>
            </numRef>
          </yVal>
          <smooth val="0"/>
        </ser>
        <ser>
          <idx val="61"/>
          <order val="61"/>
          <spPr>
            <a:ln xmlns:a="http://schemas.openxmlformats.org/drawingml/2006/main" w="38100">
              <a:solidFill>
                <a:srgbClr val="B23A1C"/>
              </a:solidFill>
              <a:prstDash val="solid"/>
            </a:ln>
          </spPr>
          <marker>
            <symbol val="none"/>
            <spPr>
              <a:ln xmlns:a="http://schemas.openxmlformats.org/drawingml/2006/main">
                <a:prstDash val="solid"/>
              </a:ln>
            </spPr>
          </marker>
          <xVal>
            <numRef>
              <f>'ElevCalc'!$L$357:$L$358</f>
            </numRef>
          </xVal>
          <yVal>
            <numRef>
              <f>'ElevCalc'!$M$357:$M$358</f>
            </numRef>
          </yVal>
          <smooth val="0"/>
        </ser>
        <ser>
          <idx val="62"/>
          <order val="62"/>
          <spPr>
            <a:ln xmlns:a="http://schemas.openxmlformats.org/drawingml/2006/main" w="31750">
              <a:solidFill>
                <a:srgbClr val="5B6770"/>
              </a:solidFill>
              <a:prstDash val="solid"/>
            </a:ln>
          </spPr>
          <marker>
            <symbol val="none"/>
            <spPr>
              <a:ln xmlns:a="http://schemas.openxmlformats.org/drawingml/2006/main">
                <a:prstDash val="solid"/>
              </a:ln>
            </spPr>
          </marker>
          <xVal>
            <numRef>
              <f>'ElevCalc'!$L$360:$L$361</f>
            </numRef>
          </xVal>
          <yVal>
            <numRef>
              <f>'ElevCalc'!$M$360:$M$361</f>
            </numRef>
          </yVal>
          <smooth val="0"/>
        </ser>
        <ser>
          <idx val="63"/>
          <order val="63"/>
          <spPr>
            <a:ln xmlns:a="http://schemas.openxmlformats.org/drawingml/2006/main" w="7620">
              <a:solidFill>
                <a:srgbClr val="7B8794"/>
              </a:solidFill>
              <a:prstDash val="solid"/>
            </a:ln>
          </spPr>
          <marker>
            <symbol val="none"/>
            <spPr>
              <a:ln xmlns:a="http://schemas.openxmlformats.org/drawingml/2006/main">
                <a:prstDash val="solid"/>
              </a:ln>
            </spPr>
          </marker>
          <xVal>
            <numRef>
              <f>'ElevCalc'!$L$363:$L$368</f>
            </numRef>
          </xVal>
          <yVal>
            <numRef>
              <f>'ElevCalc'!$M$363:$M$368</f>
            </numRef>
          </yVal>
          <smooth val="0"/>
        </ser>
        <ser>
          <idx val="64"/>
          <order val="64"/>
          <tx>
            <strRef>
              <f>'ElevCalc'!$N$370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t"/>
            <showLegendKey val="0"/>
            <showVal val="0"/>
            <showCatName val="0"/>
            <showSerName val="1"/>
            <showPercent val="0"/>
          </dLbls>
          <xVal>
            <numRef>
              <f>'ElevCalc'!$L$370</f>
            </numRef>
          </xVal>
          <yVal>
            <numRef>
              <f>'ElevCalc'!$M$370</f>
            </numRef>
          </yVal>
          <smooth val="0"/>
        </ser>
        <ser>
          <idx val="65"/>
          <order val="65"/>
          <spPr>
            <a:ln xmlns:a="http://schemas.openxmlformats.org/drawingml/2006/main" w="7620">
              <a:solidFill>
                <a:srgbClr val="7B8794"/>
              </a:solidFill>
              <a:prstDash val="solid"/>
            </a:ln>
          </spPr>
          <marker>
            <symbol val="none"/>
            <spPr>
              <a:ln xmlns:a="http://schemas.openxmlformats.org/drawingml/2006/main">
                <a:prstDash val="solid"/>
              </a:ln>
            </spPr>
          </marker>
          <xVal>
            <numRef>
              <f>'ElevCalc'!$L$372:$L$377</f>
            </numRef>
          </xVal>
          <yVal>
            <numRef>
              <f>'ElevCalc'!$M$372:$M$377</f>
            </numRef>
          </yVal>
          <smooth val="0"/>
        </ser>
        <ser>
          <idx val="66"/>
          <order val="66"/>
          <tx>
            <strRef>
              <f>'ElevCalc'!$N$379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b"/>
            <showLegendKey val="0"/>
            <showVal val="0"/>
            <showCatName val="0"/>
            <showSerName val="1"/>
            <showPercent val="0"/>
          </dLbls>
          <xVal>
            <numRef>
              <f>'ElevCalc'!$L$379</f>
            </numRef>
          </xVal>
          <yVal>
            <numRef>
              <f>'ElevCalc'!$M$379</f>
            </numRef>
          </yVal>
          <smooth val="0"/>
        </ser>
        <ser>
          <idx val="67"/>
          <order val="67"/>
          <spPr>
            <a:ln xmlns:a="http://schemas.openxmlformats.org/drawingml/2006/main" w="7620">
              <a:solidFill>
                <a:srgbClr val="7B8794"/>
              </a:solidFill>
              <a:prstDash val="solid"/>
            </a:ln>
          </spPr>
          <marker>
            <symbol val="none"/>
            <spPr>
              <a:ln xmlns:a="http://schemas.openxmlformats.org/drawingml/2006/main">
                <a:prstDash val="solid"/>
              </a:ln>
            </spPr>
          </marker>
          <xVal>
            <numRef>
              <f>'ElevCalc'!$L$381:$L$386</f>
            </numRef>
          </xVal>
          <yVal>
            <numRef>
              <f>'ElevCalc'!$M$381:$M$386</f>
            </numRef>
          </yVal>
          <smooth val="0"/>
        </ser>
        <ser>
          <idx val="68"/>
          <order val="68"/>
          <tx>
            <strRef>
              <f>'ElevCalc'!$N$388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r"/>
            <showLegendKey val="0"/>
            <showVal val="0"/>
            <showCatName val="0"/>
            <showSerName val="1"/>
            <showPercent val="0"/>
          </dLbls>
          <xVal>
            <numRef>
              <f>'ElevCalc'!$L$388</f>
            </numRef>
          </xVal>
          <yVal>
            <numRef>
              <f>'ElevCalc'!$M$388</f>
            </numRef>
          </yVal>
          <smooth val="0"/>
        </ser>
        <ser>
          <idx val="69"/>
          <order val="69"/>
          <spPr>
            <a:ln xmlns:a="http://schemas.openxmlformats.org/drawingml/2006/main" w="7620">
              <a:solidFill>
                <a:srgbClr val="7B8794"/>
              </a:solidFill>
              <a:prstDash val="solid"/>
            </a:ln>
          </spPr>
          <marker>
            <symbol val="none"/>
            <spPr>
              <a:ln xmlns:a="http://schemas.openxmlformats.org/drawingml/2006/main">
                <a:prstDash val="solid"/>
              </a:ln>
            </spPr>
          </marker>
          <xVal>
            <numRef>
              <f>'ElevCalc'!$L$390:$L$395</f>
            </numRef>
          </xVal>
          <yVal>
            <numRef>
              <f>'ElevCalc'!$M$390:$M$395</f>
            </numRef>
          </yVal>
          <smooth val="0"/>
        </ser>
        <ser>
          <idx val="70"/>
          <order val="70"/>
          <tx>
            <strRef>
              <f>'ElevCalc'!$N$397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l"/>
            <showLegendKey val="0"/>
            <showVal val="0"/>
            <showCatName val="0"/>
            <showSerName val="1"/>
            <showPercent val="0"/>
          </dLbls>
          <xVal>
            <numRef>
              <f>'ElevCalc'!$L$397</f>
            </numRef>
          </xVal>
          <yVal>
            <numRef>
              <f>'ElevCalc'!$M$397</f>
            </numRef>
          </yVal>
          <smooth val="0"/>
        </ser>
        <ser>
          <idx val="71"/>
          <order val="71"/>
          <tx>
            <strRef>
              <f>'ElevCalc'!$N$399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b"/>
            <showLegendKey val="0"/>
            <showVal val="0"/>
            <showCatName val="0"/>
            <showSerName val="1"/>
            <showPercent val="0"/>
          </dLbls>
          <xVal>
            <numRef>
              <f>'ElevCalc'!$L$399</f>
            </numRef>
          </xVal>
          <yVal>
            <numRef>
              <f>'ElevCalc'!$M$399</f>
            </numRef>
          </yVal>
          <smooth val="0"/>
        </ser>
        <ser>
          <idx val="72"/>
          <order val="72"/>
          <tx>
            <strRef>
              <f>'ElevCalc'!$N$401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7B8794"/>
                    </a:solidFill>
                    <a:latin typeface="Arial"/>
                  </a:defRPr>
                </a:pPr>
                <a:r>
                  <a:t/>
                </a:r>
                <a:endParaRPr sz="592" b="0">
                  <a:solidFill>
                    <a:srgbClr val="7B8794"/>
                  </a:solidFill>
                  <a:latin typeface="Arial"/>
                </a:endParaRPr>
              </a:p>
            </txPr>
            <dLblPos val="t"/>
            <showLegendKey val="0"/>
            <showVal val="0"/>
            <showCatName val="0"/>
            <showSerName val="1"/>
            <showPercent val="0"/>
          </dLbls>
          <xVal>
            <numRef>
              <f>'ElevCalc'!$L$401</f>
            </numRef>
          </xVal>
          <yVal>
            <numRef>
              <f>'ElevCalc'!$M$401</f>
            </numRef>
          </yVal>
          <smooth val="0"/>
        </ser>
        <ser>
          <idx val="73"/>
          <order val="73"/>
          <tx>
            <strRef>
              <f>'ElevCalc'!$N$403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4304A"/>
                    </a:solidFill>
                    <a:latin typeface="Arial"/>
                  </a:defRPr>
                </a:pPr>
                <a:r>
                  <a:t/>
                </a:r>
                <a:endParaRPr sz="760" b="1">
                  <a:solidFill>
                    <a:srgbClr val="14304A"/>
                  </a:solidFill>
                  <a:latin typeface="Arial"/>
                </a:endParaRPr>
              </a:p>
            </txPr>
            <dLblPos val="r"/>
            <showLegendKey val="0"/>
            <showVal val="0"/>
            <showCatName val="0"/>
            <showSerName val="1"/>
            <showPercent val="0"/>
          </dLbls>
          <xVal>
            <numRef>
              <f>'ElevCalc'!$L$403</f>
            </numRef>
          </xVal>
          <yVal>
            <numRef>
              <f>'ElevCalc'!$M$403</f>
            </numRef>
          </yVal>
          <smooth val="0"/>
        </ser>
        <axId val="10"/>
        <axId val="20"/>
      </scatterChart>
      <valAx>
        <axId val="10"/>
        <scaling>
          <orientation val="minMax"/>
          <max val="200"/>
          <min val="0"/>
        </scaling>
        <delete val="1"/>
        <axPos val="l"/>
        <majorTickMark val="none"/>
        <minorTickMark val="none"/>
        <crossAx val="20"/>
      </valAx>
      <valAx>
        <axId val="20"/>
        <scaling>
          <orientation val="minMax"/>
          <max val="172"/>
          <min val="-28"/>
        </scaling>
        <delete val="1"/>
        <axPos val="l"/>
        <majorTickMark val="none"/>
        <minorTickMark val="none"/>
        <crossAx val="10"/>
      </valAx>
    </plotArea>
    <plotVisOnly val="1"/>
    <dispBlanksAs val="gap"/>
  </chart>
</chartSpace>
</file>

<file path=xl/charts/chart4.xml><?xml version="1.0" encoding="utf-8"?>
<chartSpace xmlns="http://schemas.openxmlformats.org/drawingml/2006/chart">
  <style val="1"/>
  <chart>
    <plotArea>
      <scatterChart>
        <scatterStyle val="lineMarker"/>
        <ser>
          <idx val="0"/>
          <order val="0"/>
          <spPr>
            <a:ln xmlns:a="http://schemas.openxmlformats.org/drawingml/2006/main" w="31750">
              <a:solidFill>
                <a:srgbClr val="14304A"/>
              </a:solidFill>
              <a:prstDash val="solid"/>
            </a:ln>
          </spPr>
          <marker>
            <symbol val="none"/>
            <spPr>
              <a:ln xmlns:a="http://schemas.openxmlformats.org/drawingml/2006/main">
                <a:prstDash val="solid"/>
              </a:ln>
            </spPr>
          </marker>
          <xVal>
            <numRef>
              <f>'ElevCalc'!$Q$150:$Q$154</f>
            </numRef>
          </xVal>
          <yVal>
            <numRef>
              <f>'ElevCalc'!$R$150:$R$154</f>
            </numRef>
          </yVal>
          <smooth val="0"/>
        </ser>
        <ser>
          <idx val="1"/>
          <order val="1"/>
          <spPr>
            <a:ln xmlns:a="http://schemas.openxmlformats.org/drawingml/2006/main" w="9525">
              <a:solidFill>
                <a:srgbClr val="14304A"/>
              </a:solidFill>
              <a:prstDash val="solid"/>
            </a:ln>
          </spPr>
          <marker>
            <symbol val="none"/>
            <spPr>
              <a:ln xmlns:a="http://schemas.openxmlformats.org/drawingml/2006/main">
                <a:prstDash val="solid"/>
              </a:ln>
            </spPr>
          </marker>
          <xVal>
            <numRef>
              <f>'ElevCalc'!$Q$156:$Q$160</f>
            </numRef>
          </xVal>
          <yVal>
            <numRef>
              <f>'ElevCalc'!$R$156:$R$160</f>
            </numRef>
          </yVal>
          <smooth val="0"/>
        </ser>
        <ser>
          <idx val="2"/>
          <order val="2"/>
          <spPr>
            <a:ln xmlns:a="http://schemas.openxmlformats.org/drawingml/2006/main" w="9525">
              <a:solidFill>
                <a:srgbClr val="9AA5B1"/>
              </a:solidFill>
              <a:prstDash val="sysDash"/>
            </a:ln>
          </spPr>
          <marker>
            <symbol val="none"/>
            <spPr>
              <a:ln xmlns:a="http://schemas.openxmlformats.org/drawingml/2006/main">
                <a:prstDash val="solid"/>
              </a:ln>
            </spPr>
          </marker>
          <xVal>
            <numRef>
              <f>'ElevCalc'!$Q$162:$Q$166</f>
            </numRef>
          </xVal>
          <yVal>
            <numRef>
              <f>'ElevCalc'!$R$162:$R$166</f>
            </numRef>
          </yVal>
          <smooth val="0"/>
        </ser>
        <ser>
          <idx val="3"/>
          <order val="3"/>
          <spPr>
            <a:ln xmlns:a="http://schemas.openxmlformats.org/drawingml/2006/main" w="9525">
              <a:solidFill>
                <a:srgbClr val="9AA5B1"/>
              </a:solidFill>
              <a:prstDash val="sysDash"/>
            </a:ln>
          </spPr>
          <marker>
            <symbol val="none"/>
            <spPr>
              <a:ln xmlns:a="http://schemas.openxmlformats.org/drawingml/2006/main">
                <a:prstDash val="solid"/>
              </a:ln>
            </spPr>
          </marker>
          <xVal>
            <numRef>
              <f>'ElevCalc'!$Q$168:$Q$172</f>
            </numRef>
          </xVal>
          <yVal>
            <numRef>
              <f>'ElevCalc'!$R$168:$R$172</f>
            </numRef>
          </yVal>
          <smooth val="0"/>
        </ser>
        <ser>
          <idx val="4"/>
          <order val="4"/>
          <spPr>
            <a:ln xmlns:a="http://schemas.openxmlformats.org/drawingml/2006/main" w="9525">
              <a:solidFill>
                <a:srgbClr val="14304A"/>
              </a:solidFill>
              <a:prstDash val="solid"/>
            </a:ln>
          </spPr>
          <marker>
            <symbol val="none"/>
            <spPr>
              <a:ln xmlns:a="http://schemas.openxmlformats.org/drawingml/2006/main">
                <a:prstDash val="solid"/>
              </a:ln>
            </spPr>
          </marker>
          <xVal>
            <numRef>
              <f>'ElevCalc'!$Q$174:$Q$175</f>
            </numRef>
          </xVal>
          <yVal>
            <numRef>
              <f>'ElevCalc'!$R$174:$R$175</f>
            </numRef>
          </yVal>
          <smooth val="0"/>
        </ser>
        <ser>
          <idx val="5"/>
          <order val="5"/>
          <spPr>
            <a:ln xmlns:a="http://schemas.openxmlformats.org/drawingml/2006/main" w="12700">
              <a:solidFill>
                <a:srgbClr val="14304A"/>
              </a:solidFill>
              <a:prstDash val="solid"/>
            </a:ln>
          </spPr>
          <marker>
            <symbol val="none"/>
            <spPr>
              <a:ln xmlns:a="http://schemas.openxmlformats.org/drawingml/2006/main">
                <a:prstDash val="solid"/>
              </a:ln>
            </spPr>
          </marker>
          <xVal>
            <numRef>
              <f>'ElevCalc'!$Q$177:$Q$181</f>
            </numRef>
          </xVal>
          <yVal>
            <numRef>
              <f>'ElevCalc'!$R$177:$R$181</f>
            </numRef>
          </yVal>
          <smooth val="0"/>
        </ser>
        <ser>
          <idx val="6"/>
          <order val="6"/>
          <tx>
            <strRef>
              <f>'ElevCalc'!$S$183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t"/>
            <showLegendKey val="0"/>
            <showVal val="0"/>
            <showCatName val="0"/>
            <showSerName val="1"/>
            <showPercent val="0"/>
          </dLbls>
          <xVal>
            <numRef>
              <f>'ElevCalc'!$Q$183</f>
            </numRef>
          </xVal>
          <yVal>
            <numRef>
              <f>'ElevCalc'!$R$183</f>
            </numRef>
          </yVal>
          <smooth val="0"/>
        </ser>
        <ser>
          <idx val="7"/>
          <order val="7"/>
          <spPr>
            <a:ln xmlns:a="http://schemas.openxmlformats.org/drawingml/2006/main" w="12700">
              <a:solidFill>
                <a:srgbClr val="14304A"/>
              </a:solidFill>
              <a:prstDash val="solid"/>
            </a:ln>
          </spPr>
          <marker>
            <symbol val="none"/>
            <spPr>
              <a:ln xmlns:a="http://schemas.openxmlformats.org/drawingml/2006/main">
                <a:prstDash val="solid"/>
              </a:ln>
            </spPr>
          </marker>
          <xVal>
            <numRef>
              <f>'ElevCalc'!$Q$185:$Q$189</f>
            </numRef>
          </xVal>
          <yVal>
            <numRef>
              <f>'ElevCalc'!$R$185:$R$189</f>
            </numRef>
          </yVal>
          <smooth val="0"/>
        </ser>
        <ser>
          <idx val="8"/>
          <order val="8"/>
          <spPr>
            <a:ln xmlns:a="http://schemas.openxmlformats.org/drawingml/2006/main" w="12700">
              <a:solidFill>
                <a:srgbClr val="14304A"/>
              </a:solidFill>
              <a:prstDash val="solid"/>
            </a:ln>
          </spPr>
          <marker>
            <symbol val="none"/>
            <spPr>
              <a:ln xmlns:a="http://schemas.openxmlformats.org/drawingml/2006/main">
                <a:prstDash val="solid"/>
              </a:ln>
            </spPr>
          </marker>
          <xVal>
            <numRef>
              <f>'ElevCalc'!$Q$191:$Q$195</f>
            </numRef>
          </xVal>
          <yVal>
            <numRef>
              <f>'ElevCalc'!$R$191:$R$195</f>
            </numRef>
          </yVal>
          <smooth val="0"/>
        </ser>
        <ser>
          <idx val="9"/>
          <order val="9"/>
          <spPr>
            <a:ln xmlns:a="http://schemas.openxmlformats.org/drawingml/2006/main" w="13970">
              <a:solidFill>
                <a:srgbClr val="2B7BB9"/>
              </a:solidFill>
              <a:prstDash val="solid"/>
            </a:ln>
          </spPr>
          <marker>
            <symbol val="none"/>
            <spPr>
              <a:ln xmlns:a="http://schemas.openxmlformats.org/drawingml/2006/main">
                <a:prstDash val="solid"/>
              </a:ln>
            </spPr>
          </marker>
          <xVal>
            <numRef>
              <f>'ElevCalc'!$Q$197:$Q$201</f>
            </numRef>
          </xVal>
          <yVal>
            <numRef>
              <f>'ElevCalc'!$R$197:$R$201</f>
            </numRef>
          </yVal>
          <smooth val="0"/>
        </ser>
        <ser>
          <idx val="10"/>
          <order val="10"/>
          <spPr>
            <a:ln xmlns:a="http://schemas.openxmlformats.org/drawingml/2006/main" w="20320">
              <a:solidFill>
                <a:srgbClr val="2B3138"/>
              </a:solidFill>
              <a:prstDash val="solid"/>
            </a:ln>
          </spPr>
          <marker>
            <symbol val="none"/>
            <spPr>
              <a:ln xmlns:a="http://schemas.openxmlformats.org/drawingml/2006/main">
                <a:prstDash val="solid"/>
              </a:ln>
            </spPr>
          </marker>
          <xVal>
            <numRef>
              <f>'ElevCalc'!$Q$203:$Q$207</f>
            </numRef>
          </xVal>
          <yVal>
            <numRef>
              <f>'ElevCalc'!$R$203:$R$207</f>
            </numRef>
          </yVal>
          <smooth val="0"/>
        </ser>
        <ser>
          <idx val="11"/>
          <order val="11"/>
          <spPr>
            <a:ln xmlns:a="http://schemas.openxmlformats.org/drawingml/2006/main" w="20320">
              <a:solidFill>
                <a:srgbClr val="2B3138"/>
              </a:solidFill>
              <a:prstDash val="solid"/>
            </a:ln>
          </spPr>
          <marker>
            <symbol val="none"/>
            <spPr>
              <a:ln xmlns:a="http://schemas.openxmlformats.org/drawingml/2006/main">
                <a:prstDash val="solid"/>
              </a:ln>
            </spPr>
          </marker>
          <xVal>
            <numRef>
              <f>'ElevCalc'!$Q$209:$Q$213</f>
            </numRef>
          </xVal>
          <yVal>
            <numRef>
              <f>'ElevCalc'!$R$209:$R$213</f>
            </numRef>
          </yVal>
          <smooth val="0"/>
        </ser>
        <ser>
          <idx val="12"/>
          <order val="12"/>
          <spPr>
            <a:ln xmlns:a="http://schemas.openxmlformats.org/drawingml/2006/main" w="13970">
              <a:solidFill>
                <a:srgbClr val="2B7BB9"/>
              </a:solidFill>
              <a:prstDash val="solid"/>
            </a:ln>
          </spPr>
          <marker>
            <symbol val="none"/>
            <spPr>
              <a:ln xmlns:a="http://schemas.openxmlformats.org/drawingml/2006/main">
                <a:prstDash val="solid"/>
              </a:ln>
            </spPr>
          </marker>
          <xVal>
            <numRef>
              <f>'ElevCalc'!$Q$215:$Q$219</f>
            </numRef>
          </xVal>
          <yVal>
            <numRef>
              <f>'ElevCalc'!$R$215:$R$219</f>
            </numRef>
          </yVal>
          <smooth val="0"/>
        </ser>
        <ser>
          <idx val="13"/>
          <order val="13"/>
          <spPr>
            <a:ln xmlns:a="http://schemas.openxmlformats.org/drawingml/2006/main" w="13970">
              <a:solidFill>
                <a:srgbClr val="2B7BB9"/>
              </a:solidFill>
              <a:prstDash val="solid"/>
            </a:ln>
          </spPr>
          <marker>
            <symbol val="none"/>
            <spPr>
              <a:ln xmlns:a="http://schemas.openxmlformats.org/drawingml/2006/main">
                <a:prstDash val="solid"/>
              </a:ln>
            </spPr>
          </marker>
          <xVal>
            <numRef>
              <f>'ElevCalc'!$Q$221:$Q$225</f>
            </numRef>
          </xVal>
          <yVal>
            <numRef>
              <f>'ElevCalc'!$R$221:$R$225</f>
            </numRef>
          </yVal>
          <smooth val="0"/>
        </ser>
        <ser>
          <idx val="14"/>
          <order val="14"/>
          <spPr>
            <a:ln xmlns:a="http://schemas.openxmlformats.org/drawingml/2006/main" w="7620">
              <a:solidFill>
                <a:srgbClr val="2B7BB9"/>
              </a:solidFill>
              <a:prstDash val="solid"/>
            </a:ln>
          </spPr>
          <marker>
            <symbol val="none"/>
            <spPr>
              <a:ln xmlns:a="http://schemas.openxmlformats.org/drawingml/2006/main">
                <a:prstDash val="solid"/>
              </a:ln>
            </spPr>
          </marker>
          <xVal>
            <numRef>
              <f>'ElevCalc'!$Q$227:$Q$228</f>
            </numRef>
          </xVal>
          <yVal>
            <numRef>
              <f>'ElevCalc'!$R$227:$R$228</f>
            </numRef>
          </yVal>
          <smooth val="0"/>
        </ser>
        <ser>
          <idx val="15"/>
          <order val="15"/>
          <spPr>
            <a:ln xmlns:a="http://schemas.openxmlformats.org/drawingml/2006/main" w="7620">
              <a:solidFill>
                <a:srgbClr val="2B7BB9"/>
              </a:solidFill>
              <a:prstDash val="solid"/>
            </a:ln>
          </spPr>
          <marker>
            <symbol val="none"/>
            <spPr>
              <a:ln xmlns:a="http://schemas.openxmlformats.org/drawingml/2006/main">
                <a:prstDash val="solid"/>
              </a:ln>
            </spPr>
          </marker>
          <xVal>
            <numRef>
              <f>'ElevCalc'!$Q$230:$Q$231</f>
            </numRef>
          </xVal>
          <yVal>
            <numRef>
              <f>'ElevCalc'!$R$230:$R$231</f>
            </numRef>
          </yVal>
          <smooth val="0"/>
        </ser>
        <ser>
          <idx val="16"/>
          <order val="16"/>
          <spPr>
            <a:ln xmlns:a="http://schemas.openxmlformats.org/drawingml/2006/main" w="7620">
              <a:solidFill>
                <a:srgbClr val="2B7BB9"/>
              </a:solidFill>
              <a:prstDash val="solid"/>
            </a:ln>
          </spPr>
          <marker>
            <symbol val="none"/>
            <spPr>
              <a:ln xmlns:a="http://schemas.openxmlformats.org/drawingml/2006/main">
                <a:prstDash val="solid"/>
              </a:ln>
            </spPr>
          </marker>
          <xVal>
            <numRef>
              <f>'ElevCalc'!$Q$233:$Q$234</f>
            </numRef>
          </xVal>
          <yVal>
            <numRef>
              <f>'ElevCalc'!$R$233:$R$234</f>
            </numRef>
          </yVal>
          <smooth val="0"/>
        </ser>
        <ser>
          <idx val="17"/>
          <order val="17"/>
          <spPr>
            <a:ln xmlns:a="http://schemas.openxmlformats.org/drawingml/2006/main" w="7620">
              <a:solidFill>
                <a:srgbClr val="2B7BB9"/>
              </a:solidFill>
              <a:prstDash val="solid"/>
            </a:ln>
          </spPr>
          <marker>
            <symbol val="none"/>
            <spPr>
              <a:ln xmlns:a="http://schemas.openxmlformats.org/drawingml/2006/main">
                <a:prstDash val="solid"/>
              </a:ln>
            </spPr>
          </marker>
          <xVal>
            <numRef>
              <f>'ElevCalc'!$Q$236:$Q$237</f>
            </numRef>
          </xVal>
          <yVal>
            <numRef>
              <f>'ElevCalc'!$R$236:$R$237</f>
            </numRef>
          </yVal>
          <smooth val="0"/>
        </ser>
        <ser>
          <idx val="18"/>
          <order val="18"/>
          <spPr>
            <a:ln xmlns:a="http://schemas.openxmlformats.org/drawingml/2006/main" w="7620">
              <a:solidFill>
                <a:srgbClr val="2B7BB9"/>
              </a:solidFill>
              <a:prstDash val="solid"/>
            </a:ln>
          </spPr>
          <marker>
            <symbol val="none"/>
            <spPr>
              <a:ln xmlns:a="http://schemas.openxmlformats.org/drawingml/2006/main">
                <a:prstDash val="solid"/>
              </a:ln>
            </spPr>
          </marker>
          <xVal>
            <numRef>
              <f>'ElevCalc'!$Q$239:$Q$240</f>
            </numRef>
          </xVal>
          <yVal>
            <numRef>
              <f>'ElevCalc'!$R$239:$R$240</f>
            </numRef>
          </yVal>
          <smooth val="0"/>
        </ser>
        <ser>
          <idx val="19"/>
          <order val="19"/>
          <spPr>
            <a:ln xmlns:a="http://schemas.openxmlformats.org/drawingml/2006/main" w="7620">
              <a:solidFill>
                <a:srgbClr val="2B7BB9"/>
              </a:solidFill>
              <a:prstDash val="solid"/>
            </a:ln>
          </spPr>
          <marker>
            <symbol val="none"/>
            <spPr>
              <a:ln xmlns:a="http://schemas.openxmlformats.org/drawingml/2006/main">
                <a:prstDash val="solid"/>
              </a:ln>
            </spPr>
          </marker>
          <xVal>
            <numRef>
              <f>'ElevCalc'!$Q$242:$Q$243</f>
            </numRef>
          </xVal>
          <yVal>
            <numRef>
              <f>'ElevCalc'!$R$242:$R$243</f>
            </numRef>
          </yVal>
          <smooth val="0"/>
        </ser>
        <ser>
          <idx val="20"/>
          <order val="20"/>
          <spPr>
            <a:ln xmlns:a="http://schemas.openxmlformats.org/drawingml/2006/main" w="7620">
              <a:solidFill>
                <a:srgbClr val="2B7BB9"/>
              </a:solidFill>
              <a:prstDash val="solid"/>
            </a:ln>
          </spPr>
          <marker>
            <symbol val="none"/>
            <spPr>
              <a:ln xmlns:a="http://schemas.openxmlformats.org/drawingml/2006/main">
                <a:prstDash val="solid"/>
              </a:ln>
            </spPr>
          </marker>
          <xVal>
            <numRef>
              <f>'ElevCalc'!$Q$245:$Q$246</f>
            </numRef>
          </xVal>
          <yVal>
            <numRef>
              <f>'ElevCalc'!$R$245:$R$246</f>
            </numRef>
          </yVal>
          <smooth val="0"/>
        </ser>
        <ser>
          <idx val="21"/>
          <order val="21"/>
          <spPr>
            <a:ln xmlns:a="http://schemas.openxmlformats.org/drawingml/2006/main" w="7620">
              <a:solidFill>
                <a:srgbClr val="2B7BB9"/>
              </a:solidFill>
              <a:prstDash val="solid"/>
            </a:ln>
          </spPr>
          <marker>
            <symbol val="none"/>
            <spPr>
              <a:ln xmlns:a="http://schemas.openxmlformats.org/drawingml/2006/main">
                <a:prstDash val="solid"/>
              </a:ln>
            </spPr>
          </marker>
          <xVal>
            <numRef>
              <f>'ElevCalc'!$Q$248:$Q$249</f>
            </numRef>
          </xVal>
          <yVal>
            <numRef>
              <f>'ElevCalc'!$R$248:$R$249</f>
            </numRef>
          </yVal>
          <smooth val="0"/>
        </ser>
        <ser>
          <idx val="22"/>
          <order val="22"/>
          <spPr>
            <a:ln xmlns:a="http://schemas.openxmlformats.org/drawingml/2006/main" w="7620">
              <a:solidFill>
                <a:srgbClr val="2B7BB9"/>
              </a:solidFill>
              <a:prstDash val="solid"/>
            </a:ln>
          </spPr>
          <marker>
            <symbol val="none"/>
            <spPr>
              <a:ln xmlns:a="http://schemas.openxmlformats.org/drawingml/2006/main">
                <a:prstDash val="solid"/>
              </a:ln>
            </spPr>
          </marker>
          <xVal>
            <numRef>
              <f>'ElevCalc'!$Q$251:$Q$252</f>
            </numRef>
          </xVal>
          <yVal>
            <numRef>
              <f>'ElevCalc'!$R$251:$R$252</f>
            </numRef>
          </yVal>
          <smooth val="0"/>
        </ser>
        <ser>
          <idx val="23"/>
          <order val="23"/>
          <spPr>
            <a:ln xmlns:a="http://schemas.openxmlformats.org/drawingml/2006/main" w="7620">
              <a:solidFill>
                <a:srgbClr val="2B7BB9"/>
              </a:solidFill>
              <a:prstDash val="solid"/>
            </a:ln>
          </spPr>
          <marker>
            <symbol val="none"/>
            <spPr>
              <a:ln xmlns:a="http://schemas.openxmlformats.org/drawingml/2006/main">
                <a:prstDash val="solid"/>
              </a:ln>
            </spPr>
          </marker>
          <xVal>
            <numRef>
              <f>'ElevCalc'!$Q$254:$Q$255</f>
            </numRef>
          </xVal>
          <yVal>
            <numRef>
              <f>'ElevCalc'!$R$254:$R$255</f>
            </numRef>
          </yVal>
          <smooth val="0"/>
        </ser>
        <ser>
          <idx val="24"/>
          <order val="24"/>
          <spPr>
            <a:ln xmlns:a="http://schemas.openxmlformats.org/drawingml/2006/main" w="7620">
              <a:solidFill>
                <a:srgbClr val="2B7BB9"/>
              </a:solidFill>
              <a:prstDash val="solid"/>
            </a:ln>
          </spPr>
          <marker>
            <symbol val="none"/>
            <spPr>
              <a:ln xmlns:a="http://schemas.openxmlformats.org/drawingml/2006/main">
                <a:prstDash val="solid"/>
              </a:ln>
            </spPr>
          </marker>
          <xVal>
            <numRef>
              <f>'ElevCalc'!$Q$257:$Q$258</f>
            </numRef>
          </xVal>
          <yVal>
            <numRef>
              <f>'ElevCalc'!$R$257:$R$258</f>
            </numRef>
          </yVal>
          <smooth val="0"/>
        </ser>
        <ser>
          <idx val="25"/>
          <order val="25"/>
          <spPr>
            <a:ln xmlns:a="http://schemas.openxmlformats.org/drawingml/2006/main" w="7620">
              <a:solidFill>
                <a:srgbClr val="2B7BB9"/>
              </a:solidFill>
              <a:prstDash val="solid"/>
            </a:ln>
          </spPr>
          <marker>
            <symbol val="none"/>
            <spPr>
              <a:ln xmlns:a="http://schemas.openxmlformats.org/drawingml/2006/main">
                <a:prstDash val="solid"/>
              </a:ln>
            </spPr>
          </marker>
          <xVal>
            <numRef>
              <f>'ElevCalc'!$Q$260:$Q$261</f>
            </numRef>
          </xVal>
          <yVal>
            <numRef>
              <f>'ElevCalc'!$R$260:$R$261</f>
            </numRef>
          </yVal>
          <smooth val="0"/>
        </ser>
        <ser>
          <idx val="26"/>
          <order val="26"/>
          <spPr>
            <a:ln xmlns:a="http://schemas.openxmlformats.org/drawingml/2006/main" w="7620">
              <a:solidFill>
                <a:srgbClr val="2B7BB9"/>
              </a:solidFill>
              <a:prstDash val="solid"/>
            </a:ln>
          </spPr>
          <marker>
            <symbol val="none"/>
            <spPr>
              <a:ln xmlns:a="http://schemas.openxmlformats.org/drawingml/2006/main">
                <a:prstDash val="solid"/>
              </a:ln>
            </spPr>
          </marker>
          <xVal>
            <numRef>
              <f>'ElevCalc'!$Q$263:$Q$264</f>
            </numRef>
          </xVal>
          <yVal>
            <numRef>
              <f>'ElevCalc'!$R$263:$R$264</f>
            </numRef>
          </yVal>
          <smooth val="0"/>
        </ser>
        <ser>
          <idx val="27"/>
          <order val="27"/>
          <spPr>
            <a:ln xmlns:a="http://schemas.openxmlformats.org/drawingml/2006/main" w="7620">
              <a:solidFill>
                <a:srgbClr val="2B7BB9"/>
              </a:solidFill>
              <a:prstDash val="solid"/>
            </a:ln>
          </spPr>
          <marker>
            <symbol val="none"/>
            <spPr>
              <a:ln xmlns:a="http://schemas.openxmlformats.org/drawingml/2006/main">
                <a:prstDash val="solid"/>
              </a:ln>
            </spPr>
          </marker>
          <xVal>
            <numRef>
              <f>'ElevCalc'!$Q$266:$Q$267</f>
            </numRef>
          </xVal>
          <yVal>
            <numRef>
              <f>'ElevCalc'!$R$266:$R$267</f>
            </numRef>
          </yVal>
          <smooth val="0"/>
        </ser>
        <ser>
          <idx val="28"/>
          <order val="28"/>
          <spPr>
            <a:ln xmlns:a="http://schemas.openxmlformats.org/drawingml/2006/main" w="7620">
              <a:solidFill>
                <a:srgbClr val="2B7BB9"/>
              </a:solidFill>
              <a:prstDash val="solid"/>
            </a:ln>
          </spPr>
          <marker>
            <symbol val="none"/>
            <spPr>
              <a:ln xmlns:a="http://schemas.openxmlformats.org/drawingml/2006/main">
                <a:prstDash val="solid"/>
              </a:ln>
            </spPr>
          </marker>
          <xVal>
            <numRef>
              <f>'ElevCalc'!$Q$269:$Q$270</f>
            </numRef>
          </xVal>
          <yVal>
            <numRef>
              <f>'ElevCalc'!$R$269:$R$270</f>
            </numRef>
          </yVal>
          <smooth val="0"/>
        </ser>
        <ser>
          <idx val="29"/>
          <order val="29"/>
          <spPr>
            <a:ln xmlns:a="http://schemas.openxmlformats.org/drawingml/2006/main" w="7620">
              <a:solidFill>
                <a:srgbClr val="2B7BB9"/>
              </a:solidFill>
              <a:prstDash val="solid"/>
            </a:ln>
          </spPr>
          <marker>
            <symbol val="none"/>
            <spPr>
              <a:ln xmlns:a="http://schemas.openxmlformats.org/drawingml/2006/main">
                <a:prstDash val="solid"/>
              </a:ln>
            </spPr>
          </marker>
          <xVal>
            <numRef>
              <f>'ElevCalc'!$Q$272:$Q$273</f>
            </numRef>
          </xVal>
          <yVal>
            <numRef>
              <f>'ElevCalc'!$R$272:$R$273</f>
            </numRef>
          </yVal>
          <smooth val="0"/>
        </ser>
        <ser>
          <idx val="30"/>
          <order val="30"/>
          <spPr>
            <a:ln xmlns:a="http://schemas.openxmlformats.org/drawingml/2006/main" w="7620">
              <a:solidFill>
                <a:srgbClr val="2B7BB9"/>
              </a:solidFill>
              <a:prstDash val="solid"/>
            </a:ln>
          </spPr>
          <marker>
            <symbol val="none"/>
            <spPr>
              <a:ln xmlns:a="http://schemas.openxmlformats.org/drawingml/2006/main">
                <a:prstDash val="solid"/>
              </a:ln>
            </spPr>
          </marker>
          <xVal>
            <numRef>
              <f>'ElevCalc'!$Q$275:$Q$276</f>
            </numRef>
          </xVal>
          <yVal>
            <numRef>
              <f>'ElevCalc'!$R$275:$R$276</f>
            </numRef>
          </yVal>
          <smooth val="0"/>
        </ser>
        <ser>
          <idx val="31"/>
          <order val="31"/>
          <spPr>
            <a:ln xmlns:a="http://schemas.openxmlformats.org/drawingml/2006/main" w="7620">
              <a:solidFill>
                <a:srgbClr val="2B7BB9"/>
              </a:solidFill>
              <a:prstDash val="solid"/>
            </a:ln>
          </spPr>
          <marker>
            <symbol val="none"/>
            <spPr>
              <a:ln xmlns:a="http://schemas.openxmlformats.org/drawingml/2006/main">
                <a:prstDash val="solid"/>
              </a:ln>
            </spPr>
          </marker>
          <xVal>
            <numRef>
              <f>'ElevCalc'!$Q$278:$Q$279</f>
            </numRef>
          </xVal>
          <yVal>
            <numRef>
              <f>'ElevCalc'!$R$278:$R$279</f>
            </numRef>
          </yVal>
          <smooth val="0"/>
        </ser>
        <ser>
          <idx val="32"/>
          <order val="32"/>
          <spPr>
            <a:ln xmlns:a="http://schemas.openxmlformats.org/drawingml/2006/main" w="7620">
              <a:solidFill>
                <a:srgbClr val="2B7BB9"/>
              </a:solidFill>
              <a:prstDash val="solid"/>
            </a:ln>
          </spPr>
          <marker>
            <symbol val="none"/>
            <spPr>
              <a:ln xmlns:a="http://schemas.openxmlformats.org/drawingml/2006/main">
                <a:prstDash val="solid"/>
              </a:ln>
            </spPr>
          </marker>
          <xVal>
            <numRef>
              <f>'ElevCalc'!$Q$281:$Q$282</f>
            </numRef>
          </xVal>
          <yVal>
            <numRef>
              <f>'ElevCalc'!$R$281:$R$282</f>
            </numRef>
          </yVal>
          <smooth val="0"/>
        </ser>
        <ser>
          <idx val="33"/>
          <order val="33"/>
          <spPr>
            <a:ln xmlns:a="http://schemas.openxmlformats.org/drawingml/2006/main" w="7620">
              <a:solidFill>
                <a:srgbClr val="2B7BB9"/>
              </a:solidFill>
              <a:prstDash val="solid"/>
            </a:ln>
          </spPr>
          <marker>
            <symbol val="none"/>
            <spPr>
              <a:ln xmlns:a="http://schemas.openxmlformats.org/drawingml/2006/main">
                <a:prstDash val="solid"/>
              </a:ln>
            </spPr>
          </marker>
          <xVal>
            <numRef>
              <f>'ElevCalc'!$Q$284:$Q$285</f>
            </numRef>
          </xVal>
          <yVal>
            <numRef>
              <f>'ElevCalc'!$R$284:$R$285</f>
            </numRef>
          </yVal>
          <smooth val="0"/>
        </ser>
        <ser>
          <idx val="34"/>
          <order val="34"/>
          <spPr>
            <a:ln xmlns:a="http://schemas.openxmlformats.org/drawingml/2006/main" w="9525">
              <a:solidFill>
                <a:srgbClr val="8895A2"/>
              </a:solidFill>
              <a:prstDash val="dash"/>
            </a:ln>
          </spPr>
          <marker>
            <symbol val="none"/>
            <spPr>
              <a:ln xmlns:a="http://schemas.openxmlformats.org/drawingml/2006/main">
                <a:prstDash val="solid"/>
              </a:ln>
            </spPr>
          </marker>
          <xVal>
            <numRef>
              <f>'ElevCalc'!$Q$287:$Q$289</f>
            </numRef>
          </xVal>
          <yVal>
            <numRef>
              <f>'ElevCalc'!$R$287:$R$289</f>
            </numRef>
          </yVal>
          <smooth val="0"/>
        </ser>
        <ser>
          <idx val="35"/>
          <order val="35"/>
          <spPr>
            <a:ln xmlns:a="http://schemas.openxmlformats.org/drawingml/2006/main" w="9525">
              <a:solidFill>
                <a:srgbClr val="8895A2"/>
              </a:solidFill>
              <a:prstDash val="dash"/>
            </a:ln>
          </spPr>
          <marker>
            <symbol val="none"/>
            <spPr>
              <a:ln xmlns:a="http://schemas.openxmlformats.org/drawingml/2006/main">
                <a:prstDash val="solid"/>
              </a:ln>
            </spPr>
          </marker>
          <xVal>
            <numRef>
              <f>'ElevCalc'!$Q$291:$Q$293</f>
            </numRef>
          </xVal>
          <yVal>
            <numRef>
              <f>'ElevCalc'!$R$291:$R$293</f>
            </numRef>
          </yVal>
          <smooth val="0"/>
        </ser>
        <ser>
          <idx val="36"/>
          <order val="36"/>
          <spPr>
            <a:ln xmlns:a="http://schemas.openxmlformats.org/drawingml/2006/main" w="50800">
              <a:solidFill>
                <a:srgbClr val="C07F00"/>
              </a:solidFill>
              <a:prstDash val="solid"/>
            </a:ln>
          </spPr>
          <marker>
            <symbol val="none"/>
            <spPr>
              <a:ln xmlns:a="http://schemas.openxmlformats.org/drawingml/2006/main">
                <a:prstDash val="solid"/>
              </a:ln>
            </spPr>
          </marker>
          <xVal>
            <numRef>
              <f>'ElevCalc'!$Q$295:$Q$296</f>
            </numRef>
          </xVal>
          <yVal>
            <numRef>
              <f>'ElevCalc'!$R$295:$R$296</f>
            </numRef>
          </yVal>
          <smooth val="0"/>
        </ser>
        <ser>
          <idx val="37"/>
          <order val="37"/>
          <spPr>
            <a:ln xmlns:a="http://schemas.openxmlformats.org/drawingml/2006/main" w="50800">
              <a:solidFill>
                <a:srgbClr val="C07F00"/>
              </a:solidFill>
              <a:prstDash val="solid"/>
            </a:ln>
          </spPr>
          <marker>
            <symbol val="none"/>
            <spPr>
              <a:ln xmlns:a="http://schemas.openxmlformats.org/drawingml/2006/main">
                <a:prstDash val="solid"/>
              </a:ln>
            </spPr>
          </marker>
          <xVal>
            <numRef>
              <f>'ElevCalc'!$Q$298:$Q$299</f>
            </numRef>
          </xVal>
          <yVal>
            <numRef>
              <f>'ElevCalc'!$R$298:$R$299</f>
            </numRef>
          </yVal>
          <smooth val="0"/>
        </ser>
        <ser>
          <idx val="38"/>
          <order val="38"/>
          <tx>
            <strRef>
              <f>'ElevCalc'!$S$301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'ElevCalc'!$Q$301</f>
            </numRef>
          </xVal>
          <yVal>
            <numRef>
              <f>'ElevCalc'!$R$301</f>
            </numRef>
          </yVal>
          <smooth val="0"/>
        </ser>
        <ser>
          <idx val="39"/>
          <order val="39"/>
          <tx>
            <strRef>
              <f>'ElevCalc'!$S$303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'ElevCalc'!$Q$303</f>
            </numRef>
          </xVal>
          <yVal>
            <numRef>
              <f>'ElevCalc'!$R$303</f>
            </numRef>
          </yVal>
          <smooth val="0"/>
        </ser>
        <ser>
          <idx val="40"/>
          <order val="40"/>
          <spPr>
            <a:ln xmlns:a="http://schemas.openxmlformats.org/drawingml/2006/main" w="50800">
              <a:solidFill>
                <a:srgbClr val="C07F00"/>
              </a:solidFill>
              <a:prstDash val="solid"/>
            </a:ln>
          </spPr>
          <marker>
            <symbol val="none"/>
            <spPr>
              <a:ln xmlns:a="http://schemas.openxmlformats.org/drawingml/2006/main">
                <a:prstDash val="solid"/>
              </a:ln>
            </spPr>
          </marker>
          <xVal>
            <numRef>
              <f>'ElevCalc'!$Q$305:$Q$306</f>
            </numRef>
          </xVal>
          <yVal>
            <numRef>
              <f>'ElevCalc'!$R$305:$R$306</f>
            </numRef>
          </yVal>
          <smooth val="0"/>
        </ser>
        <ser>
          <idx val="41"/>
          <order val="41"/>
          <spPr>
            <a:ln xmlns:a="http://schemas.openxmlformats.org/drawingml/2006/main" w="50800">
              <a:solidFill>
                <a:srgbClr val="C07F00"/>
              </a:solidFill>
              <a:prstDash val="solid"/>
            </a:ln>
          </spPr>
          <marker>
            <symbol val="none"/>
            <spPr>
              <a:ln xmlns:a="http://schemas.openxmlformats.org/drawingml/2006/main">
                <a:prstDash val="solid"/>
              </a:ln>
            </spPr>
          </marker>
          <xVal>
            <numRef>
              <f>'ElevCalc'!$Q$308:$Q$309</f>
            </numRef>
          </xVal>
          <yVal>
            <numRef>
              <f>'ElevCalc'!$R$308:$R$309</f>
            </numRef>
          </yVal>
          <smooth val="0"/>
        </ser>
        <ser>
          <idx val="42"/>
          <order val="42"/>
          <tx>
            <strRef>
              <f>'ElevCalc'!$S$311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'ElevCalc'!$Q$311</f>
            </numRef>
          </xVal>
          <yVal>
            <numRef>
              <f>'ElevCalc'!$R$311</f>
            </numRef>
          </yVal>
          <smooth val="0"/>
        </ser>
        <ser>
          <idx val="43"/>
          <order val="43"/>
          <tx>
            <strRef>
              <f>'ElevCalc'!$S$313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'ElevCalc'!$Q$313</f>
            </numRef>
          </xVal>
          <yVal>
            <numRef>
              <f>'ElevCalc'!$R$313</f>
            </numRef>
          </yVal>
          <smooth val="0"/>
        </ser>
        <ser>
          <idx val="44"/>
          <order val="44"/>
          <spPr>
            <a:ln xmlns:a="http://schemas.openxmlformats.org/drawingml/2006/main" w="50800">
              <a:solidFill>
                <a:srgbClr val="C07F00"/>
              </a:solidFill>
              <a:prstDash val="solid"/>
            </a:ln>
          </spPr>
          <marker>
            <symbol val="none"/>
            <spPr>
              <a:ln xmlns:a="http://schemas.openxmlformats.org/drawingml/2006/main">
                <a:prstDash val="solid"/>
              </a:ln>
            </spPr>
          </marker>
          <xVal>
            <numRef>
              <f>'ElevCalc'!$Q$315:$Q$316</f>
            </numRef>
          </xVal>
          <yVal>
            <numRef>
              <f>'ElevCalc'!$R$315:$R$316</f>
            </numRef>
          </yVal>
          <smooth val="0"/>
        </ser>
        <ser>
          <idx val="45"/>
          <order val="45"/>
          <spPr>
            <a:ln xmlns:a="http://schemas.openxmlformats.org/drawingml/2006/main" w="50800">
              <a:solidFill>
                <a:srgbClr val="C07F00"/>
              </a:solidFill>
              <a:prstDash val="solid"/>
            </a:ln>
          </spPr>
          <marker>
            <symbol val="none"/>
            <spPr>
              <a:ln xmlns:a="http://schemas.openxmlformats.org/drawingml/2006/main">
                <a:prstDash val="solid"/>
              </a:ln>
            </spPr>
          </marker>
          <xVal>
            <numRef>
              <f>'ElevCalc'!$Q$318:$Q$319</f>
            </numRef>
          </xVal>
          <yVal>
            <numRef>
              <f>'ElevCalc'!$R$318:$R$319</f>
            </numRef>
          </yVal>
          <smooth val="0"/>
        </ser>
        <ser>
          <idx val="46"/>
          <order val="46"/>
          <tx>
            <strRef>
              <f>'ElevCalc'!$S$321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'ElevCalc'!$Q$321</f>
            </numRef>
          </xVal>
          <yVal>
            <numRef>
              <f>'ElevCalc'!$R$321</f>
            </numRef>
          </yVal>
          <smooth val="0"/>
        </ser>
        <ser>
          <idx val="47"/>
          <order val="47"/>
          <tx>
            <strRef>
              <f>'ElevCalc'!$S$323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'ElevCalc'!$Q$323</f>
            </numRef>
          </xVal>
          <yVal>
            <numRef>
              <f>'ElevCalc'!$R$323</f>
            </numRef>
          </yVal>
          <smooth val="0"/>
        </ser>
        <ser>
          <idx val="48"/>
          <order val="48"/>
          <spPr>
            <a:ln xmlns:a="http://schemas.openxmlformats.org/drawingml/2006/main" w="50800">
              <a:solidFill>
                <a:srgbClr val="C07F00"/>
              </a:solidFill>
              <a:prstDash val="solid"/>
            </a:ln>
          </spPr>
          <marker>
            <symbol val="none"/>
            <spPr>
              <a:ln xmlns:a="http://schemas.openxmlformats.org/drawingml/2006/main">
                <a:prstDash val="solid"/>
              </a:ln>
            </spPr>
          </marker>
          <xVal>
            <numRef>
              <f>'ElevCalc'!$Q$325:$Q$326</f>
            </numRef>
          </xVal>
          <yVal>
            <numRef>
              <f>'ElevCalc'!$R$325:$R$326</f>
            </numRef>
          </yVal>
          <smooth val="0"/>
        </ser>
        <ser>
          <idx val="49"/>
          <order val="49"/>
          <spPr>
            <a:ln xmlns:a="http://schemas.openxmlformats.org/drawingml/2006/main" w="50800">
              <a:solidFill>
                <a:srgbClr val="C07F00"/>
              </a:solidFill>
              <a:prstDash val="solid"/>
            </a:ln>
          </spPr>
          <marker>
            <symbol val="none"/>
            <spPr>
              <a:ln xmlns:a="http://schemas.openxmlformats.org/drawingml/2006/main">
                <a:prstDash val="solid"/>
              </a:ln>
            </spPr>
          </marker>
          <xVal>
            <numRef>
              <f>'ElevCalc'!$Q$328:$Q$329</f>
            </numRef>
          </xVal>
          <yVal>
            <numRef>
              <f>'ElevCalc'!$R$328:$R$329</f>
            </numRef>
          </yVal>
          <smooth val="0"/>
        </ser>
        <ser>
          <idx val="50"/>
          <order val="50"/>
          <tx>
            <strRef>
              <f>'ElevCalc'!$S$331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'ElevCalc'!$Q$331</f>
            </numRef>
          </xVal>
          <yVal>
            <numRef>
              <f>'ElevCalc'!$R$331</f>
            </numRef>
          </yVal>
          <smooth val="0"/>
        </ser>
        <ser>
          <idx val="51"/>
          <order val="51"/>
          <tx>
            <strRef>
              <f>'ElevCalc'!$S$333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'ElevCalc'!$Q$333</f>
            </numRef>
          </xVal>
          <yVal>
            <numRef>
              <f>'ElevCalc'!$R$333</f>
            </numRef>
          </yVal>
          <smooth val="0"/>
        </ser>
        <ser>
          <idx val="52"/>
          <order val="52"/>
          <spPr>
            <a:ln xmlns:a="http://schemas.openxmlformats.org/drawingml/2006/main" w="50800">
              <a:solidFill>
                <a:srgbClr val="C07F00"/>
              </a:solidFill>
              <a:prstDash val="solid"/>
            </a:ln>
          </spPr>
          <marker>
            <symbol val="none"/>
            <spPr>
              <a:ln xmlns:a="http://schemas.openxmlformats.org/drawingml/2006/main">
                <a:prstDash val="solid"/>
              </a:ln>
            </spPr>
          </marker>
          <xVal>
            <numRef>
              <f>'ElevCalc'!$Q$335:$Q$336</f>
            </numRef>
          </xVal>
          <yVal>
            <numRef>
              <f>'ElevCalc'!$R$335:$R$336</f>
            </numRef>
          </yVal>
          <smooth val="0"/>
        </ser>
        <ser>
          <idx val="53"/>
          <order val="53"/>
          <spPr>
            <a:ln xmlns:a="http://schemas.openxmlformats.org/drawingml/2006/main" w="50800">
              <a:solidFill>
                <a:srgbClr val="C07F00"/>
              </a:solidFill>
              <a:prstDash val="solid"/>
            </a:ln>
          </spPr>
          <marker>
            <symbol val="none"/>
            <spPr>
              <a:ln xmlns:a="http://schemas.openxmlformats.org/drawingml/2006/main">
                <a:prstDash val="solid"/>
              </a:ln>
            </spPr>
          </marker>
          <xVal>
            <numRef>
              <f>'ElevCalc'!$Q$338:$Q$339</f>
            </numRef>
          </xVal>
          <yVal>
            <numRef>
              <f>'ElevCalc'!$R$338:$R$339</f>
            </numRef>
          </yVal>
          <smooth val="0"/>
        </ser>
        <ser>
          <idx val="54"/>
          <order val="54"/>
          <tx>
            <strRef>
              <f>'ElevCalc'!$S$341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'ElevCalc'!$Q$341</f>
            </numRef>
          </xVal>
          <yVal>
            <numRef>
              <f>'ElevCalc'!$R$341</f>
            </numRef>
          </yVal>
          <smooth val="0"/>
        </ser>
        <ser>
          <idx val="55"/>
          <order val="55"/>
          <tx>
            <strRef>
              <f>'ElevCalc'!$S$343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'ElevCalc'!$Q$343</f>
            </numRef>
          </xVal>
          <yVal>
            <numRef>
              <f>'ElevCalc'!$R$343</f>
            </numRef>
          </yVal>
          <smooth val="0"/>
        </ser>
        <ser>
          <idx val="56"/>
          <order val="56"/>
          <spPr>
            <a:ln xmlns:a="http://schemas.openxmlformats.org/drawingml/2006/main" w="38100">
              <a:solidFill>
                <a:srgbClr val="C07F00"/>
              </a:solidFill>
              <a:prstDash val="solid"/>
            </a:ln>
          </spPr>
          <marker>
            <symbol val="none"/>
            <spPr>
              <a:ln xmlns:a="http://schemas.openxmlformats.org/drawingml/2006/main">
                <a:prstDash val="solid"/>
              </a:ln>
            </spPr>
          </marker>
          <xVal>
            <numRef>
              <f>'ElevCalc'!$Q$345:$Q$346</f>
            </numRef>
          </xVal>
          <yVal>
            <numRef>
              <f>'ElevCalc'!$R$345:$R$346</f>
            </numRef>
          </yVal>
          <smooth val="0"/>
        </ser>
        <ser>
          <idx val="57"/>
          <order val="57"/>
          <spPr>
            <a:ln xmlns:a="http://schemas.openxmlformats.org/drawingml/2006/main" w="38100">
              <a:solidFill>
                <a:srgbClr val="C07F00"/>
              </a:solidFill>
              <a:prstDash val="solid"/>
            </a:ln>
          </spPr>
          <marker>
            <symbol val="none"/>
            <spPr>
              <a:ln xmlns:a="http://schemas.openxmlformats.org/drawingml/2006/main">
                <a:prstDash val="solid"/>
              </a:ln>
            </spPr>
          </marker>
          <xVal>
            <numRef>
              <f>'ElevCalc'!$Q$348:$Q$349</f>
            </numRef>
          </xVal>
          <yVal>
            <numRef>
              <f>'ElevCalc'!$R$348:$R$349</f>
            </numRef>
          </yVal>
          <smooth val="0"/>
        </ser>
        <ser>
          <idx val="58"/>
          <order val="58"/>
          <spPr>
            <a:ln xmlns:a="http://schemas.openxmlformats.org/drawingml/2006/main">
              <a:noFill/>
              <a:prstDash val="solid"/>
            </a:ln>
          </spPr>
          <marker>
            <symbol val="circle"/>
            <size val="7"/>
            <spPr>
              <a:solidFill xmlns:a="http://schemas.openxmlformats.org/drawingml/2006/main">
                <a:srgbClr val="B23A1C"/>
              </a:solidFill>
              <a:ln xmlns:a="http://schemas.openxmlformats.org/drawingml/2006/main">
                <a:solidFill>
                  <a:srgbClr val="B23A1C"/>
                </a:solidFill>
                <a:prstDash val="solid"/>
              </a:ln>
            </spPr>
          </marker>
          <xVal>
            <numRef>
              <f>'ElevCalc'!$Q$351</f>
            </numRef>
          </xVal>
          <yVal>
            <numRef>
              <f>'ElevCalc'!$R$351</f>
            </numRef>
          </yVal>
          <smooth val="0"/>
        </ser>
        <ser>
          <idx val="59"/>
          <order val="59"/>
          <tx>
            <strRef>
              <f>'ElevCalc'!$S$353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'ElevCalc'!$Q$353</f>
            </numRef>
          </xVal>
          <yVal>
            <numRef>
              <f>'ElevCalc'!$R$353</f>
            </numRef>
          </yVal>
          <smooth val="0"/>
        </ser>
        <ser>
          <idx val="60"/>
          <order val="60"/>
          <tx>
            <strRef>
              <f>'ElevCalc'!$S$355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'ElevCalc'!$Q$355</f>
            </numRef>
          </xVal>
          <yVal>
            <numRef>
              <f>'ElevCalc'!$R$355</f>
            </numRef>
          </yVal>
          <smooth val="0"/>
        </ser>
        <ser>
          <idx val="61"/>
          <order val="61"/>
          <spPr>
            <a:ln xmlns:a="http://schemas.openxmlformats.org/drawingml/2006/main" w="38100">
              <a:solidFill>
                <a:srgbClr val="B23A1C"/>
              </a:solidFill>
              <a:prstDash val="solid"/>
            </a:ln>
          </spPr>
          <marker>
            <symbol val="none"/>
            <spPr>
              <a:ln xmlns:a="http://schemas.openxmlformats.org/drawingml/2006/main">
                <a:prstDash val="solid"/>
              </a:ln>
            </spPr>
          </marker>
          <xVal>
            <numRef>
              <f>'ElevCalc'!$Q$357:$Q$358</f>
            </numRef>
          </xVal>
          <yVal>
            <numRef>
              <f>'ElevCalc'!$R$357:$R$358</f>
            </numRef>
          </yVal>
          <smooth val="0"/>
        </ser>
        <ser>
          <idx val="62"/>
          <order val="62"/>
          <spPr>
            <a:ln xmlns:a="http://schemas.openxmlformats.org/drawingml/2006/main" w="31750">
              <a:solidFill>
                <a:srgbClr val="5B6770"/>
              </a:solidFill>
              <a:prstDash val="solid"/>
            </a:ln>
          </spPr>
          <marker>
            <symbol val="none"/>
            <spPr>
              <a:ln xmlns:a="http://schemas.openxmlformats.org/drawingml/2006/main">
                <a:prstDash val="solid"/>
              </a:ln>
            </spPr>
          </marker>
          <xVal>
            <numRef>
              <f>'ElevCalc'!$Q$360:$Q$361</f>
            </numRef>
          </xVal>
          <yVal>
            <numRef>
              <f>'ElevCalc'!$R$360:$R$361</f>
            </numRef>
          </yVal>
          <smooth val="0"/>
        </ser>
        <ser>
          <idx val="63"/>
          <order val="63"/>
          <spPr>
            <a:ln xmlns:a="http://schemas.openxmlformats.org/drawingml/2006/main" w="7620">
              <a:solidFill>
                <a:srgbClr val="7B8794"/>
              </a:solidFill>
              <a:prstDash val="solid"/>
            </a:ln>
          </spPr>
          <marker>
            <symbol val="none"/>
            <spPr>
              <a:ln xmlns:a="http://schemas.openxmlformats.org/drawingml/2006/main">
                <a:prstDash val="solid"/>
              </a:ln>
            </spPr>
          </marker>
          <xVal>
            <numRef>
              <f>'ElevCalc'!$Q$363:$Q$368</f>
            </numRef>
          </xVal>
          <yVal>
            <numRef>
              <f>'ElevCalc'!$R$363:$R$368</f>
            </numRef>
          </yVal>
          <smooth val="0"/>
        </ser>
        <ser>
          <idx val="64"/>
          <order val="64"/>
          <tx>
            <strRef>
              <f>'ElevCalc'!$S$370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t"/>
            <showLegendKey val="0"/>
            <showVal val="0"/>
            <showCatName val="0"/>
            <showSerName val="1"/>
            <showPercent val="0"/>
          </dLbls>
          <xVal>
            <numRef>
              <f>'ElevCalc'!$Q$370</f>
            </numRef>
          </xVal>
          <yVal>
            <numRef>
              <f>'ElevCalc'!$R$370</f>
            </numRef>
          </yVal>
          <smooth val="0"/>
        </ser>
        <ser>
          <idx val="65"/>
          <order val="65"/>
          <spPr>
            <a:ln xmlns:a="http://schemas.openxmlformats.org/drawingml/2006/main" w="7620">
              <a:solidFill>
                <a:srgbClr val="7B8794"/>
              </a:solidFill>
              <a:prstDash val="solid"/>
            </a:ln>
          </spPr>
          <marker>
            <symbol val="none"/>
            <spPr>
              <a:ln xmlns:a="http://schemas.openxmlformats.org/drawingml/2006/main">
                <a:prstDash val="solid"/>
              </a:ln>
            </spPr>
          </marker>
          <xVal>
            <numRef>
              <f>'ElevCalc'!$Q$372:$Q$377</f>
            </numRef>
          </xVal>
          <yVal>
            <numRef>
              <f>'ElevCalc'!$R$372:$R$377</f>
            </numRef>
          </yVal>
          <smooth val="0"/>
        </ser>
        <ser>
          <idx val="66"/>
          <order val="66"/>
          <tx>
            <strRef>
              <f>'ElevCalc'!$S$379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b"/>
            <showLegendKey val="0"/>
            <showVal val="0"/>
            <showCatName val="0"/>
            <showSerName val="1"/>
            <showPercent val="0"/>
          </dLbls>
          <xVal>
            <numRef>
              <f>'ElevCalc'!$Q$379</f>
            </numRef>
          </xVal>
          <yVal>
            <numRef>
              <f>'ElevCalc'!$R$379</f>
            </numRef>
          </yVal>
          <smooth val="0"/>
        </ser>
        <ser>
          <idx val="67"/>
          <order val="67"/>
          <spPr>
            <a:ln xmlns:a="http://schemas.openxmlformats.org/drawingml/2006/main" w="7620">
              <a:solidFill>
                <a:srgbClr val="7B8794"/>
              </a:solidFill>
              <a:prstDash val="solid"/>
            </a:ln>
          </spPr>
          <marker>
            <symbol val="none"/>
            <spPr>
              <a:ln xmlns:a="http://schemas.openxmlformats.org/drawingml/2006/main">
                <a:prstDash val="solid"/>
              </a:ln>
            </spPr>
          </marker>
          <xVal>
            <numRef>
              <f>'ElevCalc'!$Q$381:$Q$386</f>
            </numRef>
          </xVal>
          <yVal>
            <numRef>
              <f>'ElevCalc'!$R$381:$R$386</f>
            </numRef>
          </yVal>
          <smooth val="0"/>
        </ser>
        <ser>
          <idx val="68"/>
          <order val="68"/>
          <tx>
            <strRef>
              <f>'ElevCalc'!$S$388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r"/>
            <showLegendKey val="0"/>
            <showVal val="0"/>
            <showCatName val="0"/>
            <showSerName val="1"/>
            <showPercent val="0"/>
          </dLbls>
          <xVal>
            <numRef>
              <f>'ElevCalc'!$Q$388</f>
            </numRef>
          </xVal>
          <yVal>
            <numRef>
              <f>'ElevCalc'!$R$388</f>
            </numRef>
          </yVal>
          <smooth val="0"/>
        </ser>
        <ser>
          <idx val="69"/>
          <order val="69"/>
          <spPr>
            <a:ln xmlns:a="http://schemas.openxmlformats.org/drawingml/2006/main" w="7620">
              <a:solidFill>
                <a:srgbClr val="7B8794"/>
              </a:solidFill>
              <a:prstDash val="solid"/>
            </a:ln>
          </spPr>
          <marker>
            <symbol val="none"/>
            <spPr>
              <a:ln xmlns:a="http://schemas.openxmlformats.org/drawingml/2006/main">
                <a:prstDash val="solid"/>
              </a:ln>
            </spPr>
          </marker>
          <xVal>
            <numRef>
              <f>'ElevCalc'!$Q$390:$Q$395</f>
            </numRef>
          </xVal>
          <yVal>
            <numRef>
              <f>'ElevCalc'!$R$390:$R$395</f>
            </numRef>
          </yVal>
          <smooth val="0"/>
        </ser>
        <ser>
          <idx val="70"/>
          <order val="70"/>
          <tx>
            <strRef>
              <f>'ElevCalc'!$S$397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l"/>
            <showLegendKey val="0"/>
            <showVal val="0"/>
            <showCatName val="0"/>
            <showSerName val="1"/>
            <showPercent val="0"/>
          </dLbls>
          <xVal>
            <numRef>
              <f>'ElevCalc'!$Q$397</f>
            </numRef>
          </xVal>
          <yVal>
            <numRef>
              <f>'ElevCalc'!$R$397</f>
            </numRef>
          </yVal>
          <smooth val="0"/>
        </ser>
        <ser>
          <idx val="71"/>
          <order val="71"/>
          <tx>
            <strRef>
              <f>'ElevCalc'!$S$399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b"/>
            <showLegendKey val="0"/>
            <showVal val="0"/>
            <showCatName val="0"/>
            <showSerName val="1"/>
            <showPercent val="0"/>
          </dLbls>
          <xVal>
            <numRef>
              <f>'ElevCalc'!$Q$399</f>
            </numRef>
          </xVal>
          <yVal>
            <numRef>
              <f>'ElevCalc'!$R$399</f>
            </numRef>
          </yVal>
          <smooth val="0"/>
        </ser>
        <ser>
          <idx val="72"/>
          <order val="72"/>
          <tx>
            <strRef>
              <f>'ElevCalc'!$S$401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7B8794"/>
                    </a:solidFill>
                    <a:latin typeface="Arial"/>
                  </a:defRPr>
                </a:pPr>
                <a:r>
                  <a:t/>
                </a:r>
                <a:endParaRPr sz="592" b="0">
                  <a:solidFill>
                    <a:srgbClr val="7B8794"/>
                  </a:solidFill>
                  <a:latin typeface="Arial"/>
                </a:endParaRPr>
              </a:p>
            </txPr>
            <dLblPos val="t"/>
            <showLegendKey val="0"/>
            <showVal val="0"/>
            <showCatName val="0"/>
            <showSerName val="1"/>
            <showPercent val="0"/>
          </dLbls>
          <xVal>
            <numRef>
              <f>'ElevCalc'!$Q$401</f>
            </numRef>
          </xVal>
          <yVal>
            <numRef>
              <f>'ElevCalc'!$R$401</f>
            </numRef>
          </yVal>
          <smooth val="0"/>
        </ser>
        <ser>
          <idx val="73"/>
          <order val="73"/>
          <tx>
            <strRef>
              <f>'ElevCalc'!$S$403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4304A"/>
                    </a:solidFill>
                    <a:latin typeface="Arial"/>
                  </a:defRPr>
                </a:pPr>
                <a:r>
                  <a:t/>
                </a:r>
                <a:endParaRPr sz="760" b="1">
                  <a:solidFill>
                    <a:srgbClr val="14304A"/>
                  </a:solidFill>
                  <a:latin typeface="Arial"/>
                </a:endParaRPr>
              </a:p>
            </txPr>
            <dLblPos val="r"/>
            <showLegendKey val="0"/>
            <showVal val="0"/>
            <showCatName val="0"/>
            <showSerName val="1"/>
            <showPercent val="0"/>
          </dLbls>
          <xVal>
            <numRef>
              <f>'ElevCalc'!$Q$403</f>
            </numRef>
          </xVal>
          <yVal>
            <numRef>
              <f>'ElevCalc'!$R$403</f>
            </numRef>
          </yVal>
          <smooth val="0"/>
        </ser>
        <axId val="10"/>
        <axId val="20"/>
      </scatterChart>
      <valAx>
        <axId val="10"/>
        <scaling>
          <orientation val="minMax"/>
          <max val="200"/>
          <min val="0"/>
        </scaling>
        <delete val="1"/>
        <axPos val="l"/>
        <majorTickMark val="none"/>
        <minorTickMark val="none"/>
        <crossAx val="20"/>
      </valAx>
      <valAx>
        <axId val="20"/>
        <scaling>
          <orientation val="minMax"/>
          <max val="172"/>
          <min val="-28"/>
        </scaling>
        <delete val="1"/>
        <axPos val="l"/>
        <majorTickMark val="none"/>
        <minorTickMark val="none"/>
        <crossAx val="10"/>
      </valAx>
    </plotArea>
    <plotVisOnly val="1"/>
    <dispBlanksAs val="gap"/>
  </chart>
</chartSpace>
</file>

<file path=xl/charts/chart5.xml><?xml version="1.0" encoding="utf-8"?>
<chartSpace xmlns="http://schemas.openxmlformats.org/drawingml/2006/chart">
  <style val="1"/>
  <chart>
    <plotArea>
      <scatterChart>
        <scatterStyle val="lineMarker"/>
        <ser>
          <idx val="0"/>
          <order val="0"/>
          <spPr>
            <a:ln xmlns:a="http://schemas.openxmlformats.org/drawingml/2006/main" w="31750">
              <a:solidFill>
                <a:srgbClr val="14304A"/>
              </a:solidFill>
              <a:prstDash val="solid"/>
            </a:ln>
          </spPr>
          <marker>
            <symbol val="none"/>
            <spPr>
              <a:ln xmlns:a="http://schemas.openxmlformats.org/drawingml/2006/main">
                <a:prstDash val="solid"/>
              </a:ln>
            </spPr>
          </marker>
          <xVal>
            <numRef>
              <f>'ElevCalc'!$V$150:$V$154</f>
            </numRef>
          </xVal>
          <yVal>
            <numRef>
              <f>'ElevCalc'!$W$150:$W$154</f>
            </numRef>
          </yVal>
          <smooth val="0"/>
        </ser>
        <ser>
          <idx val="1"/>
          <order val="1"/>
          <spPr>
            <a:ln xmlns:a="http://schemas.openxmlformats.org/drawingml/2006/main" w="9525">
              <a:solidFill>
                <a:srgbClr val="14304A"/>
              </a:solidFill>
              <a:prstDash val="solid"/>
            </a:ln>
          </spPr>
          <marker>
            <symbol val="none"/>
            <spPr>
              <a:ln xmlns:a="http://schemas.openxmlformats.org/drawingml/2006/main">
                <a:prstDash val="solid"/>
              </a:ln>
            </spPr>
          </marker>
          <xVal>
            <numRef>
              <f>'ElevCalc'!$V$156:$V$160</f>
            </numRef>
          </xVal>
          <yVal>
            <numRef>
              <f>'ElevCalc'!$W$156:$W$160</f>
            </numRef>
          </yVal>
          <smooth val="0"/>
        </ser>
        <ser>
          <idx val="2"/>
          <order val="2"/>
          <spPr>
            <a:ln xmlns:a="http://schemas.openxmlformats.org/drawingml/2006/main" w="9525">
              <a:solidFill>
                <a:srgbClr val="9AA5B1"/>
              </a:solidFill>
              <a:prstDash val="sysDash"/>
            </a:ln>
          </spPr>
          <marker>
            <symbol val="none"/>
            <spPr>
              <a:ln xmlns:a="http://schemas.openxmlformats.org/drawingml/2006/main">
                <a:prstDash val="solid"/>
              </a:ln>
            </spPr>
          </marker>
          <xVal>
            <numRef>
              <f>'ElevCalc'!$V$162:$V$166</f>
            </numRef>
          </xVal>
          <yVal>
            <numRef>
              <f>'ElevCalc'!$W$162:$W$166</f>
            </numRef>
          </yVal>
          <smooth val="0"/>
        </ser>
        <ser>
          <idx val="3"/>
          <order val="3"/>
          <spPr>
            <a:ln xmlns:a="http://schemas.openxmlformats.org/drawingml/2006/main" w="9525">
              <a:solidFill>
                <a:srgbClr val="9AA5B1"/>
              </a:solidFill>
              <a:prstDash val="sysDash"/>
            </a:ln>
          </spPr>
          <marker>
            <symbol val="none"/>
            <spPr>
              <a:ln xmlns:a="http://schemas.openxmlformats.org/drawingml/2006/main">
                <a:prstDash val="solid"/>
              </a:ln>
            </spPr>
          </marker>
          <xVal>
            <numRef>
              <f>'ElevCalc'!$V$168:$V$172</f>
            </numRef>
          </xVal>
          <yVal>
            <numRef>
              <f>'ElevCalc'!$W$168:$W$172</f>
            </numRef>
          </yVal>
          <smooth val="0"/>
        </ser>
        <ser>
          <idx val="4"/>
          <order val="4"/>
          <spPr>
            <a:ln xmlns:a="http://schemas.openxmlformats.org/drawingml/2006/main" w="9525">
              <a:solidFill>
                <a:srgbClr val="14304A"/>
              </a:solidFill>
              <a:prstDash val="solid"/>
            </a:ln>
          </spPr>
          <marker>
            <symbol val="none"/>
            <spPr>
              <a:ln xmlns:a="http://schemas.openxmlformats.org/drawingml/2006/main">
                <a:prstDash val="solid"/>
              </a:ln>
            </spPr>
          </marker>
          <xVal>
            <numRef>
              <f>'ElevCalc'!$V$174:$V$175</f>
            </numRef>
          </xVal>
          <yVal>
            <numRef>
              <f>'ElevCalc'!$W$174:$W$175</f>
            </numRef>
          </yVal>
          <smooth val="0"/>
        </ser>
        <ser>
          <idx val="5"/>
          <order val="5"/>
          <spPr>
            <a:ln xmlns:a="http://schemas.openxmlformats.org/drawingml/2006/main" w="12700">
              <a:solidFill>
                <a:srgbClr val="14304A"/>
              </a:solidFill>
              <a:prstDash val="solid"/>
            </a:ln>
          </spPr>
          <marker>
            <symbol val="none"/>
            <spPr>
              <a:ln xmlns:a="http://schemas.openxmlformats.org/drawingml/2006/main">
                <a:prstDash val="solid"/>
              </a:ln>
            </spPr>
          </marker>
          <xVal>
            <numRef>
              <f>'ElevCalc'!$V$177:$V$181</f>
            </numRef>
          </xVal>
          <yVal>
            <numRef>
              <f>'ElevCalc'!$W$177:$W$181</f>
            </numRef>
          </yVal>
          <smooth val="0"/>
        </ser>
        <ser>
          <idx val="6"/>
          <order val="6"/>
          <tx>
            <strRef>
              <f>'ElevCalc'!$X$183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t"/>
            <showLegendKey val="0"/>
            <showVal val="0"/>
            <showCatName val="0"/>
            <showSerName val="1"/>
            <showPercent val="0"/>
          </dLbls>
          <xVal>
            <numRef>
              <f>'ElevCalc'!$V$183</f>
            </numRef>
          </xVal>
          <yVal>
            <numRef>
              <f>'ElevCalc'!$W$183</f>
            </numRef>
          </yVal>
          <smooth val="0"/>
        </ser>
        <ser>
          <idx val="7"/>
          <order val="7"/>
          <spPr>
            <a:ln xmlns:a="http://schemas.openxmlformats.org/drawingml/2006/main" w="12700">
              <a:solidFill>
                <a:srgbClr val="14304A"/>
              </a:solidFill>
              <a:prstDash val="solid"/>
            </a:ln>
          </spPr>
          <marker>
            <symbol val="none"/>
            <spPr>
              <a:ln xmlns:a="http://schemas.openxmlformats.org/drawingml/2006/main">
                <a:prstDash val="solid"/>
              </a:ln>
            </spPr>
          </marker>
          <xVal>
            <numRef>
              <f>'ElevCalc'!$V$185:$V$189</f>
            </numRef>
          </xVal>
          <yVal>
            <numRef>
              <f>'ElevCalc'!$W$185:$W$189</f>
            </numRef>
          </yVal>
          <smooth val="0"/>
        </ser>
        <ser>
          <idx val="8"/>
          <order val="8"/>
          <spPr>
            <a:ln xmlns:a="http://schemas.openxmlformats.org/drawingml/2006/main" w="12700">
              <a:solidFill>
                <a:srgbClr val="14304A"/>
              </a:solidFill>
              <a:prstDash val="solid"/>
            </a:ln>
          </spPr>
          <marker>
            <symbol val="none"/>
            <spPr>
              <a:ln xmlns:a="http://schemas.openxmlformats.org/drawingml/2006/main">
                <a:prstDash val="solid"/>
              </a:ln>
            </spPr>
          </marker>
          <xVal>
            <numRef>
              <f>'ElevCalc'!$V$191:$V$195</f>
            </numRef>
          </xVal>
          <yVal>
            <numRef>
              <f>'ElevCalc'!$W$191:$W$195</f>
            </numRef>
          </yVal>
          <smooth val="0"/>
        </ser>
        <ser>
          <idx val="9"/>
          <order val="9"/>
          <spPr>
            <a:ln xmlns:a="http://schemas.openxmlformats.org/drawingml/2006/main" w="13970">
              <a:solidFill>
                <a:srgbClr val="2B7BB9"/>
              </a:solidFill>
              <a:prstDash val="solid"/>
            </a:ln>
          </spPr>
          <marker>
            <symbol val="none"/>
            <spPr>
              <a:ln xmlns:a="http://schemas.openxmlformats.org/drawingml/2006/main">
                <a:prstDash val="solid"/>
              </a:ln>
            </spPr>
          </marker>
          <xVal>
            <numRef>
              <f>'ElevCalc'!$V$197:$V$201</f>
            </numRef>
          </xVal>
          <yVal>
            <numRef>
              <f>'ElevCalc'!$W$197:$W$201</f>
            </numRef>
          </yVal>
          <smooth val="0"/>
        </ser>
        <ser>
          <idx val="10"/>
          <order val="10"/>
          <spPr>
            <a:ln xmlns:a="http://schemas.openxmlformats.org/drawingml/2006/main" w="20320">
              <a:solidFill>
                <a:srgbClr val="2B3138"/>
              </a:solidFill>
              <a:prstDash val="solid"/>
            </a:ln>
          </spPr>
          <marker>
            <symbol val="none"/>
            <spPr>
              <a:ln xmlns:a="http://schemas.openxmlformats.org/drawingml/2006/main">
                <a:prstDash val="solid"/>
              </a:ln>
            </spPr>
          </marker>
          <xVal>
            <numRef>
              <f>'ElevCalc'!$V$203:$V$207</f>
            </numRef>
          </xVal>
          <yVal>
            <numRef>
              <f>'ElevCalc'!$W$203:$W$207</f>
            </numRef>
          </yVal>
          <smooth val="0"/>
        </ser>
        <ser>
          <idx val="11"/>
          <order val="11"/>
          <spPr>
            <a:ln xmlns:a="http://schemas.openxmlformats.org/drawingml/2006/main" w="20320">
              <a:solidFill>
                <a:srgbClr val="2B3138"/>
              </a:solidFill>
              <a:prstDash val="solid"/>
            </a:ln>
          </spPr>
          <marker>
            <symbol val="none"/>
            <spPr>
              <a:ln xmlns:a="http://schemas.openxmlformats.org/drawingml/2006/main">
                <a:prstDash val="solid"/>
              </a:ln>
            </spPr>
          </marker>
          <xVal>
            <numRef>
              <f>'ElevCalc'!$V$209:$V$213</f>
            </numRef>
          </xVal>
          <yVal>
            <numRef>
              <f>'ElevCalc'!$W$209:$W$213</f>
            </numRef>
          </yVal>
          <smooth val="0"/>
        </ser>
        <ser>
          <idx val="12"/>
          <order val="12"/>
          <spPr>
            <a:ln xmlns:a="http://schemas.openxmlformats.org/drawingml/2006/main" w="13970">
              <a:solidFill>
                <a:srgbClr val="2B7BB9"/>
              </a:solidFill>
              <a:prstDash val="solid"/>
            </a:ln>
          </spPr>
          <marker>
            <symbol val="none"/>
            <spPr>
              <a:ln xmlns:a="http://schemas.openxmlformats.org/drawingml/2006/main">
                <a:prstDash val="solid"/>
              </a:ln>
            </spPr>
          </marker>
          <xVal>
            <numRef>
              <f>'ElevCalc'!$V$215:$V$219</f>
            </numRef>
          </xVal>
          <yVal>
            <numRef>
              <f>'ElevCalc'!$W$215:$W$219</f>
            </numRef>
          </yVal>
          <smooth val="0"/>
        </ser>
        <ser>
          <idx val="13"/>
          <order val="13"/>
          <spPr>
            <a:ln xmlns:a="http://schemas.openxmlformats.org/drawingml/2006/main" w="13970">
              <a:solidFill>
                <a:srgbClr val="2B7BB9"/>
              </a:solidFill>
              <a:prstDash val="solid"/>
            </a:ln>
          </spPr>
          <marker>
            <symbol val="none"/>
            <spPr>
              <a:ln xmlns:a="http://schemas.openxmlformats.org/drawingml/2006/main">
                <a:prstDash val="solid"/>
              </a:ln>
            </spPr>
          </marker>
          <xVal>
            <numRef>
              <f>'ElevCalc'!$V$221:$V$225</f>
            </numRef>
          </xVal>
          <yVal>
            <numRef>
              <f>'ElevCalc'!$W$221:$W$225</f>
            </numRef>
          </yVal>
          <smooth val="0"/>
        </ser>
        <ser>
          <idx val="14"/>
          <order val="14"/>
          <spPr>
            <a:ln xmlns:a="http://schemas.openxmlformats.org/drawingml/2006/main" w="7620">
              <a:solidFill>
                <a:srgbClr val="2B7BB9"/>
              </a:solidFill>
              <a:prstDash val="solid"/>
            </a:ln>
          </spPr>
          <marker>
            <symbol val="none"/>
            <spPr>
              <a:ln xmlns:a="http://schemas.openxmlformats.org/drawingml/2006/main">
                <a:prstDash val="solid"/>
              </a:ln>
            </spPr>
          </marker>
          <xVal>
            <numRef>
              <f>'ElevCalc'!$V$227:$V$228</f>
            </numRef>
          </xVal>
          <yVal>
            <numRef>
              <f>'ElevCalc'!$W$227:$W$228</f>
            </numRef>
          </yVal>
          <smooth val="0"/>
        </ser>
        <ser>
          <idx val="15"/>
          <order val="15"/>
          <spPr>
            <a:ln xmlns:a="http://schemas.openxmlformats.org/drawingml/2006/main" w="7620">
              <a:solidFill>
                <a:srgbClr val="2B7BB9"/>
              </a:solidFill>
              <a:prstDash val="solid"/>
            </a:ln>
          </spPr>
          <marker>
            <symbol val="none"/>
            <spPr>
              <a:ln xmlns:a="http://schemas.openxmlformats.org/drawingml/2006/main">
                <a:prstDash val="solid"/>
              </a:ln>
            </spPr>
          </marker>
          <xVal>
            <numRef>
              <f>'ElevCalc'!$V$230:$V$231</f>
            </numRef>
          </xVal>
          <yVal>
            <numRef>
              <f>'ElevCalc'!$W$230:$W$231</f>
            </numRef>
          </yVal>
          <smooth val="0"/>
        </ser>
        <ser>
          <idx val="16"/>
          <order val="16"/>
          <spPr>
            <a:ln xmlns:a="http://schemas.openxmlformats.org/drawingml/2006/main" w="7620">
              <a:solidFill>
                <a:srgbClr val="2B7BB9"/>
              </a:solidFill>
              <a:prstDash val="solid"/>
            </a:ln>
          </spPr>
          <marker>
            <symbol val="none"/>
            <spPr>
              <a:ln xmlns:a="http://schemas.openxmlformats.org/drawingml/2006/main">
                <a:prstDash val="solid"/>
              </a:ln>
            </spPr>
          </marker>
          <xVal>
            <numRef>
              <f>'ElevCalc'!$V$233:$V$234</f>
            </numRef>
          </xVal>
          <yVal>
            <numRef>
              <f>'ElevCalc'!$W$233:$W$234</f>
            </numRef>
          </yVal>
          <smooth val="0"/>
        </ser>
        <ser>
          <idx val="17"/>
          <order val="17"/>
          <spPr>
            <a:ln xmlns:a="http://schemas.openxmlformats.org/drawingml/2006/main" w="7620">
              <a:solidFill>
                <a:srgbClr val="2B7BB9"/>
              </a:solidFill>
              <a:prstDash val="solid"/>
            </a:ln>
          </spPr>
          <marker>
            <symbol val="none"/>
            <spPr>
              <a:ln xmlns:a="http://schemas.openxmlformats.org/drawingml/2006/main">
                <a:prstDash val="solid"/>
              </a:ln>
            </spPr>
          </marker>
          <xVal>
            <numRef>
              <f>'ElevCalc'!$V$236:$V$237</f>
            </numRef>
          </xVal>
          <yVal>
            <numRef>
              <f>'ElevCalc'!$W$236:$W$237</f>
            </numRef>
          </yVal>
          <smooth val="0"/>
        </ser>
        <ser>
          <idx val="18"/>
          <order val="18"/>
          <spPr>
            <a:ln xmlns:a="http://schemas.openxmlformats.org/drawingml/2006/main" w="7620">
              <a:solidFill>
                <a:srgbClr val="2B7BB9"/>
              </a:solidFill>
              <a:prstDash val="solid"/>
            </a:ln>
          </spPr>
          <marker>
            <symbol val="none"/>
            <spPr>
              <a:ln xmlns:a="http://schemas.openxmlformats.org/drawingml/2006/main">
                <a:prstDash val="solid"/>
              </a:ln>
            </spPr>
          </marker>
          <xVal>
            <numRef>
              <f>'ElevCalc'!$V$239:$V$240</f>
            </numRef>
          </xVal>
          <yVal>
            <numRef>
              <f>'ElevCalc'!$W$239:$W$240</f>
            </numRef>
          </yVal>
          <smooth val="0"/>
        </ser>
        <ser>
          <idx val="19"/>
          <order val="19"/>
          <spPr>
            <a:ln xmlns:a="http://schemas.openxmlformats.org/drawingml/2006/main" w="7620">
              <a:solidFill>
                <a:srgbClr val="2B7BB9"/>
              </a:solidFill>
              <a:prstDash val="solid"/>
            </a:ln>
          </spPr>
          <marker>
            <symbol val="none"/>
            <spPr>
              <a:ln xmlns:a="http://schemas.openxmlformats.org/drawingml/2006/main">
                <a:prstDash val="solid"/>
              </a:ln>
            </spPr>
          </marker>
          <xVal>
            <numRef>
              <f>'ElevCalc'!$V$242:$V$243</f>
            </numRef>
          </xVal>
          <yVal>
            <numRef>
              <f>'ElevCalc'!$W$242:$W$243</f>
            </numRef>
          </yVal>
          <smooth val="0"/>
        </ser>
        <ser>
          <idx val="20"/>
          <order val="20"/>
          <spPr>
            <a:ln xmlns:a="http://schemas.openxmlformats.org/drawingml/2006/main" w="7620">
              <a:solidFill>
                <a:srgbClr val="2B7BB9"/>
              </a:solidFill>
              <a:prstDash val="solid"/>
            </a:ln>
          </spPr>
          <marker>
            <symbol val="none"/>
            <spPr>
              <a:ln xmlns:a="http://schemas.openxmlformats.org/drawingml/2006/main">
                <a:prstDash val="solid"/>
              </a:ln>
            </spPr>
          </marker>
          <xVal>
            <numRef>
              <f>'ElevCalc'!$V$245:$V$246</f>
            </numRef>
          </xVal>
          <yVal>
            <numRef>
              <f>'ElevCalc'!$W$245:$W$246</f>
            </numRef>
          </yVal>
          <smooth val="0"/>
        </ser>
        <ser>
          <idx val="21"/>
          <order val="21"/>
          <spPr>
            <a:ln xmlns:a="http://schemas.openxmlformats.org/drawingml/2006/main" w="7620">
              <a:solidFill>
                <a:srgbClr val="2B7BB9"/>
              </a:solidFill>
              <a:prstDash val="solid"/>
            </a:ln>
          </spPr>
          <marker>
            <symbol val="none"/>
            <spPr>
              <a:ln xmlns:a="http://schemas.openxmlformats.org/drawingml/2006/main">
                <a:prstDash val="solid"/>
              </a:ln>
            </spPr>
          </marker>
          <xVal>
            <numRef>
              <f>'ElevCalc'!$V$248:$V$249</f>
            </numRef>
          </xVal>
          <yVal>
            <numRef>
              <f>'ElevCalc'!$W$248:$W$249</f>
            </numRef>
          </yVal>
          <smooth val="0"/>
        </ser>
        <ser>
          <idx val="22"/>
          <order val="22"/>
          <spPr>
            <a:ln xmlns:a="http://schemas.openxmlformats.org/drawingml/2006/main" w="7620">
              <a:solidFill>
                <a:srgbClr val="2B7BB9"/>
              </a:solidFill>
              <a:prstDash val="solid"/>
            </a:ln>
          </spPr>
          <marker>
            <symbol val="none"/>
            <spPr>
              <a:ln xmlns:a="http://schemas.openxmlformats.org/drawingml/2006/main">
                <a:prstDash val="solid"/>
              </a:ln>
            </spPr>
          </marker>
          <xVal>
            <numRef>
              <f>'ElevCalc'!$V$251:$V$252</f>
            </numRef>
          </xVal>
          <yVal>
            <numRef>
              <f>'ElevCalc'!$W$251:$W$252</f>
            </numRef>
          </yVal>
          <smooth val="0"/>
        </ser>
        <ser>
          <idx val="23"/>
          <order val="23"/>
          <spPr>
            <a:ln xmlns:a="http://schemas.openxmlformats.org/drawingml/2006/main" w="7620">
              <a:solidFill>
                <a:srgbClr val="2B7BB9"/>
              </a:solidFill>
              <a:prstDash val="solid"/>
            </a:ln>
          </spPr>
          <marker>
            <symbol val="none"/>
            <spPr>
              <a:ln xmlns:a="http://schemas.openxmlformats.org/drawingml/2006/main">
                <a:prstDash val="solid"/>
              </a:ln>
            </spPr>
          </marker>
          <xVal>
            <numRef>
              <f>'ElevCalc'!$V$254:$V$255</f>
            </numRef>
          </xVal>
          <yVal>
            <numRef>
              <f>'ElevCalc'!$W$254:$W$255</f>
            </numRef>
          </yVal>
          <smooth val="0"/>
        </ser>
        <ser>
          <idx val="24"/>
          <order val="24"/>
          <spPr>
            <a:ln xmlns:a="http://schemas.openxmlformats.org/drawingml/2006/main" w="7620">
              <a:solidFill>
                <a:srgbClr val="2B7BB9"/>
              </a:solidFill>
              <a:prstDash val="solid"/>
            </a:ln>
          </spPr>
          <marker>
            <symbol val="none"/>
            <spPr>
              <a:ln xmlns:a="http://schemas.openxmlformats.org/drawingml/2006/main">
                <a:prstDash val="solid"/>
              </a:ln>
            </spPr>
          </marker>
          <xVal>
            <numRef>
              <f>'ElevCalc'!$V$257:$V$258</f>
            </numRef>
          </xVal>
          <yVal>
            <numRef>
              <f>'ElevCalc'!$W$257:$W$258</f>
            </numRef>
          </yVal>
          <smooth val="0"/>
        </ser>
        <ser>
          <idx val="25"/>
          <order val="25"/>
          <spPr>
            <a:ln xmlns:a="http://schemas.openxmlformats.org/drawingml/2006/main" w="7620">
              <a:solidFill>
                <a:srgbClr val="2B7BB9"/>
              </a:solidFill>
              <a:prstDash val="solid"/>
            </a:ln>
          </spPr>
          <marker>
            <symbol val="none"/>
            <spPr>
              <a:ln xmlns:a="http://schemas.openxmlformats.org/drawingml/2006/main">
                <a:prstDash val="solid"/>
              </a:ln>
            </spPr>
          </marker>
          <xVal>
            <numRef>
              <f>'ElevCalc'!$V$260:$V$261</f>
            </numRef>
          </xVal>
          <yVal>
            <numRef>
              <f>'ElevCalc'!$W$260:$W$261</f>
            </numRef>
          </yVal>
          <smooth val="0"/>
        </ser>
        <ser>
          <idx val="26"/>
          <order val="26"/>
          <spPr>
            <a:ln xmlns:a="http://schemas.openxmlformats.org/drawingml/2006/main" w="7620">
              <a:solidFill>
                <a:srgbClr val="2B7BB9"/>
              </a:solidFill>
              <a:prstDash val="solid"/>
            </a:ln>
          </spPr>
          <marker>
            <symbol val="none"/>
            <spPr>
              <a:ln xmlns:a="http://schemas.openxmlformats.org/drawingml/2006/main">
                <a:prstDash val="solid"/>
              </a:ln>
            </spPr>
          </marker>
          <xVal>
            <numRef>
              <f>'ElevCalc'!$V$263:$V$264</f>
            </numRef>
          </xVal>
          <yVal>
            <numRef>
              <f>'ElevCalc'!$W$263:$W$264</f>
            </numRef>
          </yVal>
          <smooth val="0"/>
        </ser>
        <ser>
          <idx val="27"/>
          <order val="27"/>
          <spPr>
            <a:ln xmlns:a="http://schemas.openxmlformats.org/drawingml/2006/main" w="7620">
              <a:solidFill>
                <a:srgbClr val="2B7BB9"/>
              </a:solidFill>
              <a:prstDash val="solid"/>
            </a:ln>
          </spPr>
          <marker>
            <symbol val="none"/>
            <spPr>
              <a:ln xmlns:a="http://schemas.openxmlformats.org/drawingml/2006/main">
                <a:prstDash val="solid"/>
              </a:ln>
            </spPr>
          </marker>
          <xVal>
            <numRef>
              <f>'ElevCalc'!$V$266:$V$267</f>
            </numRef>
          </xVal>
          <yVal>
            <numRef>
              <f>'ElevCalc'!$W$266:$W$267</f>
            </numRef>
          </yVal>
          <smooth val="0"/>
        </ser>
        <ser>
          <idx val="28"/>
          <order val="28"/>
          <spPr>
            <a:ln xmlns:a="http://schemas.openxmlformats.org/drawingml/2006/main" w="7620">
              <a:solidFill>
                <a:srgbClr val="2B7BB9"/>
              </a:solidFill>
              <a:prstDash val="solid"/>
            </a:ln>
          </spPr>
          <marker>
            <symbol val="none"/>
            <spPr>
              <a:ln xmlns:a="http://schemas.openxmlformats.org/drawingml/2006/main">
                <a:prstDash val="solid"/>
              </a:ln>
            </spPr>
          </marker>
          <xVal>
            <numRef>
              <f>'ElevCalc'!$V$269:$V$270</f>
            </numRef>
          </xVal>
          <yVal>
            <numRef>
              <f>'ElevCalc'!$W$269:$W$270</f>
            </numRef>
          </yVal>
          <smooth val="0"/>
        </ser>
        <ser>
          <idx val="29"/>
          <order val="29"/>
          <spPr>
            <a:ln xmlns:a="http://schemas.openxmlformats.org/drawingml/2006/main" w="7620">
              <a:solidFill>
                <a:srgbClr val="2B7BB9"/>
              </a:solidFill>
              <a:prstDash val="solid"/>
            </a:ln>
          </spPr>
          <marker>
            <symbol val="none"/>
            <spPr>
              <a:ln xmlns:a="http://schemas.openxmlformats.org/drawingml/2006/main">
                <a:prstDash val="solid"/>
              </a:ln>
            </spPr>
          </marker>
          <xVal>
            <numRef>
              <f>'ElevCalc'!$V$272:$V$273</f>
            </numRef>
          </xVal>
          <yVal>
            <numRef>
              <f>'ElevCalc'!$W$272:$W$273</f>
            </numRef>
          </yVal>
          <smooth val="0"/>
        </ser>
        <ser>
          <idx val="30"/>
          <order val="30"/>
          <spPr>
            <a:ln xmlns:a="http://schemas.openxmlformats.org/drawingml/2006/main" w="7620">
              <a:solidFill>
                <a:srgbClr val="2B7BB9"/>
              </a:solidFill>
              <a:prstDash val="solid"/>
            </a:ln>
          </spPr>
          <marker>
            <symbol val="none"/>
            <spPr>
              <a:ln xmlns:a="http://schemas.openxmlformats.org/drawingml/2006/main">
                <a:prstDash val="solid"/>
              </a:ln>
            </spPr>
          </marker>
          <xVal>
            <numRef>
              <f>'ElevCalc'!$V$275:$V$276</f>
            </numRef>
          </xVal>
          <yVal>
            <numRef>
              <f>'ElevCalc'!$W$275:$W$276</f>
            </numRef>
          </yVal>
          <smooth val="0"/>
        </ser>
        <ser>
          <idx val="31"/>
          <order val="31"/>
          <spPr>
            <a:ln xmlns:a="http://schemas.openxmlformats.org/drawingml/2006/main" w="7620">
              <a:solidFill>
                <a:srgbClr val="2B7BB9"/>
              </a:solidFill>
              <a:prstDash val="solid"/>
            </a:ln>
          </spPr>
          <marker>
            <symbol val="none"/>
            <spPr>
              <a:ln xmlns:a="http://schemas.openxmlformats.org/drawingml/2006/main">
                <a:prstDash val="solid"/>
              </a:ln>
            </spPr>
          </marker>
          <xVal>
            <numRef>
              <f>'ElevCalc'!$V$278:$V$279</f>
            </numRef>
          </xVal>
          <yVal>
            <numRef>
              <f>'ElevCalc'!$W$278:$W$279</f>
            </numRef>
          </yVal>
          <smooth val="0"/>
        </ser>
        <ser>
          <idx val="32"/>
          <order val="32"/>
          <spPr>
            <a:ln xmlns:a="http://schemas.openxmlformats.org/drawingml/2006/main" w="7620">
              <a:solidFill>
                <a:srgbClr val="2B7BB9"/>
              </a:solidFill>
              <a:prstDash val="solid"/>
            </a:ln>
          </spPr>
          <marker>
            <symbol val="none"/>
            <spPr>
              <a:ln xmlns:a="http://schemas.openxmlformats.org/drawingml/2006/main">
                <a:prstDash val="solid"/>
              </a:ln>
            </spPr>
          </marker>
          <xVal>
            <numRef>
              <f>'ElevCalc'!$V$281:$V$282</f>
            </numRef>
          </xVal>
          <yVal>
            <numRef>
              <f>'ElevCalc'!$W$281:$W$282</f>
            </numRef>
          </yVal>
          <smooth val="0"/>
        </ser>
        <ser>
          <idx val="33"/>
          <order val="33"/>
          <spPr>
            <a:ln xmlns:a="http://schemas.openxmlformats.org/drawingml/2006/main" w="7620">
              <a:solidFill>
                <a:srgbClr val="2B7BB9"/>
              </a:solidFill>
              <a:prstDash val="solid"/>
            </a:ln>
          </spPr>
          <marker>
            <symbol val="none"/>
            <spPr>
              <a:ln xmlns:a="http://schemas.openxmlformats.org/drawingml/2006/main">
                <a:prstDash val="solid"/>
              </a:ln>
            </spPr>
          </marker>
          <xVal>
            <numRef>
              <f>'ElevCalc'!$V$284:$V$285</f>
            </numRef>
          </xVal>
          <yVal>
            <numRef>
              <f>'ElevCalc'!$W$284:$W$285</f>
            </numRef>
          </yVal>
          <smooth val="0"/>
        </ser>
        <ser>
          <idx val="34"/>
          <order val="34"/>
          <spPr>
            <a:ln xmlns:a="http://schemas.openxmlformats.org/drawingml/2006/main" w="9525">
              <a:solidFill>
                <a:srgbClr val="8895A2"/>
              </a:solidFill>
              <a:prstDash val="dash"/>
            </a:ln>
          </spPr>
          <marker>
            <symbol val="none"/>
            <spPr>
              <a:ln xmlns:a="http://schemas.openxmlformats.org/drawingml/2006/main">
                <a:prstDash val="solid"/>
              </a:ln>
            </spPr>
          </marker>
          <xVal>
            <numRef>
              <f>'ElevCalc'!$V$287:$V$289</f>
            </numRef>
          </xVal>
          <yVal>
            <numRef>
              <f>'ElevCalc'!$W$287:$W$289</f>
            </numRef>
          </yVal>
          <smooth val="0"/>
        </ser>
        <ser>
          <idx val="35"/>
          <order val="35"/>
          <spPr>
            <a:ln xmlns:a="http://schemas.openxmlformats.org/drawingml/2006/main" w="9525">
              <a:solidFill>
                <a:srgbClr val="8895A2"/>
              </a:solidFill>
              <a:prstDash val="dash"/>
            </a:ln>
          </spPr>
          <marker>
            <symbol val="none"/>
            <spPr>
              <a:ln xmlns:a="http://schemas.openxmlformats.org/drawingml/2006/main">
                <a:prstDash val="solid"/>
              </a:ln>
            </spPr>
          </marker>
          <xVal>
            <numRef>
              <f>'ElevCalc'!$V$291:$V$293</f>
            </numRef>
          </xVal>
          <yVal>
            <numRef>
              <f>'ElevCalc'!$W$291:$W$293</f>
            </numRef>
          </yVal>
          <smooth val="0"/>
        </ser>
        <ser>
          <idx val="36"/>
          <order val="36"/>
          <spPr>
            <a:ln xmlns:a="http://schemas.openxmlformats.org/drawingml/2006/main" w="50800">
              <a:solidFill>
                <a:srgbClr val="C07F00"/>
              </a:solidFill>
              <a:prstDash val="solid"/>
            </a:ln>
          </spPr>
          <marker>
            <symbol val="none"/>
            <spPr>
              <a:ln xmlns:a="http://schemas.openxmlformats.org/drawingml/2006/main">
                <a:prstDash val="solid"/>
              </a:ln>
            </spPr>
          </marker>
          <xVal>
            <numRef>
              <f>'ElevCalc'!$V$295:$V$296</f>
            </numRef>
          </xVal>
          <yVal>
            <numRef>
              <f>'ElevCalc'!$W$295:$W$296</f>
            </numRef>
          </yVal>
          <smooth val="0"/>
        </ser>
        <ser>
          <idx val="37"/>
          <order val="37"/>
          <spPr>
            <a:ln xmlns:a="http://schemas.openxmlformats.org/drawingml/2006/main" w="50800">
              <a:solidFill>
                <a:srgbClr val="C07F00"/>
              </a:solidFill>
              <a:prstDash val="solid"/>
            </a:ln>
          </spPr>
          <marker>
            <symbol val="none"/>
            <spPr>
              <a:ln xmlns:a="http://schemas.openxmlformats.org/drawingml/2006/main">
                <a:prstDash val="solid"/>
              </a:ln>
            </spPr>
          </marker>
          <xVal>
            <numRef>
              <f>'ElevCalc'!$V$298:$V$299</f>
            </numRef>
          </xVal>
          <yVal>
            <numRef>
              <f>'ElevCalc'!$W$298:$W$299</f>
            </numRef>
          </yVal>
          <smooth val="0"/>
        </ser>
        <ser>
          <idx val="38"/>
          <order val="38"/>
          <tx>
            <strRef>
              <f>'ElevCalc'!$X$301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'ElevCalc'!$V$301</f>
            </numRef>
          </xVal>
          <yVal>
            <numRef>
              <f>'ElevCalc'!$W$301</f>
            </numRef>
          </yVal>
          <smooth val="0"/>
        </ser>
        <ser>
          <idx val="39"/>
          <order val="39"/>
          <tx>
            <strRef>
              <f>'ElevCalc'!$X$303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'ElevCalc'!$V$303</f>
            </numRef>
          </xVal>
          <yVal>
            <numRef>
              <f>'ElevCalc'!$W$303</f>
            </numRef>
          </yVal>
          <smooth val="0"/>
        </ser>
        <ser>
          <idx val="40"/>
          <order val="40"/>
          <spPr>
            <a:ln xmlns:a="http://schemas.openxmlformats.org/drawingml/2006/main" w="50800">
              <a:solidFill>
                <a:srgbClr val="C07F00"/>
              </a:solidFill>
              <a:prstDash val="solid"/>
            </a:ln>
          </spPr>
          <marker>
            <symbol val="none"/>
            <spPr>
              <a:ln xmlns:a="http://schemas.openxmlformats.org/drawingml/2006/main">
                <a:prstDash val="solid"/>
              </a:ln>
            </spPr>
          </marker>
          <xVal>
            <numRef>
              <f>'ElevCalc'!$V$305:$V$306</f>
            </numRef>
          </xVal>
          <yVal>
            <numRef>
              <f>'ElevCalc'!$W$305:$W$306</f>
            </numRef>
          </yVal>
          <smooth val="0"/>
        </ser>
        <ser>
          <idx val="41"/>
          <order val="41"/>
          <spPr>
            <a:ln xmlns:a="http://schemas.openxmlformats.org/drawingml/2006/main" w="50800">
              <a:solidFill>
                <a:srgbClr val="C07F00"/>
              </a:solidFill>
              <a:prstDash val="solid"/>
            </a:ln>
          </spPr>
          <marker>
            <symbol val="none"/>
            <spPr>
              <a:ln xmlns:a="http://schemas.openxmlformats.org/drawingml/2006/main">
                <a:prstDash val="solid"/>
              </a:ln>
            </spPr>
          </marker>
          <xVal>
            <numRef>
              <f>'ElevCalc'!$V$308:$V$309</f>
            </numRef>
          </xVal>
          <yVal>
            <numRef>
              <f>'ElevCalc'!$W$308:$W$309</f>
            </numRef>
          </yVal>
          <smooth val="0"/>
        </ser>
        <ser>
          <idx val="42"/>
          <order val="42"/>
          <tx>
            <strRef>
              <f>'ElevCalc'!$X$311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'ElevCalc'!$V$311</f>
            </numRef>
          </xVal>
          <yVal>
            <numRef>
              <f>'ElevCalc'!$W$311</f>
            </numRef>
          </yVal>
          <smooth val="0"/>
        </ser>
        <ser>
          <idx val="43"/>
          <order val="43"/>
          <tx>
            <strRef>
              <f>'ElevCalc'!$X$313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'ElevCalc'!$V$313</f>
            </numRef>
          </xVal>
          <yVal>
            <numRef>
              <f>'ElevCalc'!$W$313</f>
            </numRef>
          </yVal>
          <smooth val="0"/>
        </ser>
        <ser>
          <idx val="44"/>
          <order val="44"/>
          <spPr>
            <a:ln xmlns:a="http://schemas.openxmlformats.org/drawingml/2006/main" w="50800">
              <a:solidFill>
                <a:srgbClr val="C07F00"/>
              </a:solidFill>
              <a:prstDash val="solid"/>
            </a:ln>
          </spPr>
          <marker>
            <symbol val="none"/>
            <spPr>
              <a:ln xmlns:a="http://schemas.openxmlformats.org/drawingml/2006/main">
                <a:prstDash val="solid"/>
              </a:ln>
            </spPr>
          </marker>
          <xVal>
            <numRef>
              <f>'ElevCalc'!$V$315:$V$316</f>
            </numRef>
          </xVal>
          <yVal>
            <numRef>
              <f>'ElevCalc'!$W$315:$W$316</f>
            </numRef>
          </yVal>
          <smooth val="0"/>
        </ser>
        <ser>
          <idx val="45"/>
          <order val="45"/>
          <spPr>
            <a:ln xmlns:a="http://schemas.openxmlformats.org/drawingml/2006/main" w="50800">
              <a:solidFill>
                <a:srgbClr val="C07F00"/>
              </a:solidFill>
              <a:prstDash val="solid"/>
            </a:ln>
          </spPr>
          <marker>
            <symbol val="none"/>
            <spPr>
              <a:ln xmlns:a="http://schemas.openxmlformats.org/drawingml/2006/main">
                <a:prstDash val="solid"/>
              </a:ln>
            </spPr>
          </marker>
          <xVal>
            <numRef>
              <f>'ElevCalc'!$V$318:$V$319</f>
            </numRef>
          </xVal>
          <yVal>
            <numRef>
              <f>'ElevCalc'!$W$318:$W$319</f>
            </numRef>
          </yVal>
          <smooth val="0"/>
        </ser>
        <ser>
          <idx val="46"/>
          <order val="46"/>
          <tx>
            <strRef>
              <f>'ElevCalc'!$X$321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'ElevCalc'!$V$321</f>
            </numRef>
          </xVal>
          <yVal>
            <numRef>
              <f>'ElevCalc'!$W$321</f>
            </numRef>
          </yVal>
          <smooth val="0"/>
        </ser>
        <ser>
          <idx val="47"/>
          <order val="47"/>
          <tx>
            <strRef>
              <f>'ElevCalc'!$X$323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'ElevCalc'!$V$323</f>
            </numRef>
          </xVal>
          <yVal>
            <numRef>
              <f>'ElevCalc'!$W$323</f>
            </numRef>
          </yVal>
          <smooth val="0"/>
        </ser>
        <ser>
          <idx val="48"/>
          <order val="48"/>
          <spPr>
            <a:ln xmlns:a="http://schemas.openxmlformats.org/drawingml/2006/main" w="50800">
              <a:solidFill>
                <a:srgbClr val="C07F00"/>
              </a:solidFill>
              <a:prstDash val="solid"/>
            </a:ln>
          </spPr>
          <marker>
            <symbol val="none"/>
            <spPr>
              <a:ln xmlns:a="http://schemas.openxmlformats.org/drawingml/2006/main">
                <a:prstDash val="solid"/>
              </a:ln>
            </spPr>
          </marker>
          <xVal>
            <numRef>
              <f>'ElevCalc'!$V$325:$V$326</f>
            </numRef>
          </xVal>
          <yVal>
            <numRef>
              <f>'ElevCalc'!$W$325:$W$326</f>
            </numRef>
          </yVal>
          <smooth val="0"/>
        </ser>
        <ser>
          <idx val="49"/>
          <order val="49"/>
          <spPr>
            <a:ln xmlns:a="http://schemas.openxmlformats.org/drawingml/2006/main" w="50800">
              <a:solidFill>
                <a:srgbClr val="C07F00"/>
              </a:solidFill>
              <a:prstDash val="solid"/>
            </a:ln>
          </spPr>
          <marker>
            <symbol val="none"/>
            <spPr>
              <a:ln xmlns:a="http://schemas.openxmlformats.org/drawingml/2006/main">
                <a:prstDash val="solid"/>
              </a:ln>
            </spPr>
          </marker>
          <xVal>
            <numRef>
              <f>'ElevCalc'!$V$328:$V$329</f>
            </numRef>
          </xVal>
          <yVal>
            <numRef>
              <f>'ElevCalc'!$W$328:$W$329</f>
            </numRef>
          </yVal>
          <smooth val="0"/>
        </ser>
        <ser>
          <idx val="50"/>
          <order val="50"/>
          <tx>
            <strRef>
              <f>'ElevCalc'!$X$331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'ElevCalc'!$V$331</f>
            </numRef>
          </xVal>
          <yVal>
            <numRef>
              <f>'ElevCalc'!$W$331</f>
            </numRef>
          </yVal>
          <smooth val="0"/>
        </ser>
        <ser>
          <idx val="51"/>
          <order val="51"/>
          <tx>
            <strRef>
              <f>'ElevCalc'!$X$333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'ElevCalc'!$V$333</f>
            </numRef>
          </xVal>
          <yVal>
            <numRef>
              <f>'ElevCalc'!$W$333</f>
            </numRef>
          </yVal>
          <smooth val="0"/>
        </ser>
        <ser>
          <idx val="52"/>
          <order val="52"/>
          <spPr>
            <a:ln xmlns:a="http://schemas.openxmlformats.org/drawingml/2006/main" w="50800">
              <a:solidFill>
                <a:srgbClr val="C07F00"/>
              </a:solidFill>
              <a:prstDash val="solid"/>
            </a:ln>
          </spPr>
          <marker>
            <symbol val="none"/>
            <spPr>
              <a:ln xmlns:a="http://schemas.openxmlformats.org/drawingml/2006/main">
                <a:prstDash val="solid"/>
              </a:ln>
            </spPr>
          </marker>
          <xVal>
            <numRef>
              <f>'ElevCalc'!$V$335:$V$336</f>
            </numRef>
          </xVal>
          <yVal>
            <numRef>
              <f>'ElevCalc'!$W$335:$W$336</f>
            </numRef>
          </yVal>
          <smooth val="0"/>
        </ser>
        <ser>
          <idx val="53"/>
          <order val="53"/>
          <spPr>
            <a:ln xmlns:a="http://schemas.openxmlformats.org/drawingml/2006/main" w="50800">
              <a:solidFill>
                <a:srgbClr val="C07F00"/>
              </a:solidFill>
              <a:prstDash val="solid"/>
            </a:ln>
          </spPr>
          <marker>
            <symbol val="none"/>
            <spPr>
              <a:ln xmlns:a="http://schemas.openxmlformats.org/drawingml/2006/main">
                <a:prstDash val="solid"/>
              </a:ln>
            </spPr>
          </marker>
          <xVal>
            <numRef>
              <f>'ElevCalc'!$V$338:$V$339</f>
            </numRef>
          </xVal>
          <yVal>
            <numRef>
              <f>'ElevCalc'!$W$338:$W$339</f>
            </numRef>
          </yVal>
          <smooth val="0"/>
        </ser>
        <ser>
          <idx val="54"/>
          <order val="54"/>
          <tx>
            <strRef>
              <f>'ElevCalc'!$X$341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'ElevCalc'!$V$341</f>
            </numRef>
          </xVal>
          <yVal>
            <numRef>
              <f>'ElevCalc'!$W$341</f>
            </numRef>
          </yVal>
          <smooth val="0"/>
        </ser>
        <ser>
          <idx val="55"/>
          <order val="55"/>
          <tx>
            <strRef>
              <f>'ElevCalc'!$X$343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'ElevCalc'!$V$343</f>
            </numRef>
          </xVal>
          <yVal>
            <numRef>
              <f>'ElevCalc'!$W$343</f>
            </numRef>
          </yVal>
          <smooth val="0"/>
        </ser>
        <ser>
          <idx val="56"/>
          <order val="56"/>
          <spPr>
            <a:ln xmlns:a="http://schemas.openxmlformats.org/drawingml/2006/main" w="38100">
              <a:solidFill>
                <a:srgbClr val="C07F00"/>
              </a:solidFill>
              <a:prstDash val="solid"/>
            </a:ln>
          </spPr>
          <marker>
            <symbol val="none"/>
            <spPr>
              <a:ln xmlns:a="http://schemas.openxmlformats.org/drawingml/2006/main">
                <a:prstDash val="solid"/>
              </a:ln>
            </spPr>
          </marker>
          <xVal>
            <numRef>
              <f>'ElevCalc'!$V$345:$V$346</f>
            </numRef>
          </xVal>
          <yVal>
            <numRef>
              <f>'ElevCalc'!$W$345:$W$346</f>
            </numRef>
          </yVal>
          <smooth val="0"/>
        </ser>
        <ser>
          <idx val="57"/>
          <order val="57"/>
          <spPr>
            <a:ln xmlns:a="http://schemas.openxmlformats.org/drawingml/2006/main" w="38100">
              <a:solidFill>
                <a:srgbClr val="C07F00"/>
              </a:solidFill>
              <a:prstDash val="solid"/>
            </a:ln>
          </spPr>
          <marker>
            <symbol val="none"/>
            <spPr>
              <a:ln xmlns:a="http://schemas.openxmlformats.org/drawingml/2006/main">
                <a:prstDash val="solid"/>
              </a:ln>
            </spPr>
          </marker>
          <xVal>
            <numRef>
              <f>'ElevCalc'!$V$348:$V$349</f>
            </numRef>
          </xVal>
          <yVal>
            <numRef>
              <f>'ElevCalc'!$W$348:$W$349</f>
            </numRef>
          </yVal>
          <smooth val="0"/>
        </ser>
        <ser>
          <idx val="58"/>
          <order val="58"/>
          <spPr>
            <a:ln xmlns:a="http://schemas.openxmlformats.org/drawingml/2006/main">
              <a:noFill/>
              <a:prstDash val="solid"/>
            </a:ln>
          </spPr>
          <marker>
            <symbol val="circle"/>
            <size val="7"/>
            <spPr>
              <a:solidFill xmlns:a="http://schemas.openxmlformats.org/drawingml/2006/main">
                <a:srgbClr val="B23A1C"/>
              </a:solidFill>
              <a:ln xmlns:a="http://schemas.openxmlformats.org/drawingml/2006/main">
                <a:solidFill>
                  <a:srgbClr val="B23A1C"/>
                </a:solidFill>
                <a:prstDash val="solid"/>
              </a:ln>
            </spPr>
          </marker>
          <xVal>
            <numRef>
              <f>'ElevCalc'!$V$351</f>
            </numRef>
          </xVal>
          <yVal>
            <numRef>
              <f>'ElevCalc'!$W$351</f>
            </numRef>
          </yVal>
          <smooth val="0"/>
        </ser>
        <ser>
          <idx val="59"/>
          <order val="59"/>
          <tx>
            <strRef>
              <f>'ElevCalc'!$X$353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'ElevCalc'!$V$353</f>
            </numRef>
          </xVal>
          <yVal>
            <numRef>
              <f>'ElevCalc'!$W$353</f>
            </numRef>
          </yVal>
          <smooth val="0"/>
        </ser>
        <ser>
          <idx val="60"/>
          <order val="60"/>
          <tx>
            <strRef>
              <f>'ElevCalc'!$X$355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'ElevCalc'!$V$355</f>
            </numRef>
          </xVal>
          <yVal>
            <numRef>
              <f>'ElevCalc'!$W$355</f>
            </numRef>
          </yVal>
          <smooth val="0"/>
        </ser>
        <ser>
          <idx val="61"/>
          <order val="61"/>
          <spPr>
            <a:ln xmlns:a="http://schemas.openxmlformats.org/drawingml/2006/main" w="38100">
              <a:solidFill>
                <a:srgbClr val="B23A1C"/>
              </a:solidFill>
              <a:prstDash val="solid"/>
            </a:ln>
          </spPr>
          <marker>
            <symbol val="none"/>
            <spPr>
              <a:ln xmlns:a="http://schemas.openxmlformats.org/drawingml/2006/main">
                <a:prstDash val="solid"/>
              </a:ln>
            </spPr>
          </marker>
          <xVal>
            <numRef>
              <f>'ElevCalc'!$V$357:$V$358</f>
            </numRef>
          </xVal>
          <yVal>
            <numRef>
              <f>'ElevCalc'!$W$357:$W$358</f>
            </numRef>
          </yVal>
          <smooth val="0"/>
        </ser>
        <ser>
          <idx val="62"/>
          <order val="62"/>
          <spPr>
            <a:ln xmlns:a="http://schemas.openxmlformats.org/drawingml/2006/main" w="31750">
              <a:solidFill>
                <a:srgbClr val="5B6770"/>
              </a:solidFill>
              <a:prstDash val="solid"/>
            </a:ln>
          </spPr>
          <marker>
            <symbol val="none"/>
            <spPr>
              <a:ln xmlns:a="http://schemas.openxmlformats.org/drawingml/2006/main">
                <a:prstDash val="solid"/>
              </a:ln>
            </spPr>
          </marker>
          <xVal>
            <numRef>
              <f>'ElevCalc'!$V$360:$V$361</f>
            </numRef>
          </xVal>
          <yVal>
            <numRef>
              <f>'ElevCalc'!$W$360:$W$361</f>
            </numRef>
          </yVal>
          <smooth val="0"/>
        </ser>
        <ser>
          <idx val="63"/>
          <order val="63"/>
          <spPr>
            <a:ln xmlns:a="http://schemas.openxmlformats.org/drawingml/2006/main" w="7620">
              <a:solidFill>
                <a:srgbClr val="7B8794"/>
              </a:solidFill>
              <a:prstDash val="solid"/>
            </a:ln>
          </spPr>
          <marker>
            <symbol val="none"/>
            <spPr>
              <a:ln xmlns:a="http://schemas.openxmlformats.org/drawingml/2006/main">
                <a:prstDash val="solid"/>
              </a:ln>
            </spPr>
          </marker>
          <xVal>
            <numRef>
              <f>'ElevCalc'!$V$363:$V$368</f>
            </numRef>
          </xVal>
          <yVal>
            <numRef>
              <f>'ElevCalc'!$W$363:$W$368</f>
            </numRef>
          </yVal>
          <smooth val="0"/>
        </ser>
        <ser>
          <idx val="64"/>
          <order val="64"/>
          <tx>
            <strRef>
              <f>'ElevCalc'!$X$370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t"/>
            <showLegendKey val="0"/>
            <showVal val="0"/>
            <showCatName val="0"/>
            <showSerName val="1"/>
            <showPercent val="0"/>
          </dLbls>
          <xVal>
            <numRef>
              <f>'ElevCalc'!$V$370</f>
            </numRef>
          </xVal>
          <yVal>
            <numRef>
              <f>'ElevCalc'!$W$370</f>
            </numRef>
          </yVal>
          <smooth val="0"/>
        </ser>
        <ser>
          <idx val="65"/>
          <order val="65"/>
          <spPr>
            <a:ln xmlns:a="http://schemas.openxmlformats.org/drawingml/2006/main" w="7620">
              <a:solidFill>
                <a:srgbClr val="7B8794"/>
              </a:solidFill>
              <a:prstDash val="solid"/>
            </a:ln>
          </spPr>
          <marker>
            <symbol val="none"/>
            <spPr>
              <a:ln xmlns:a="http://schemas.openxmlformats.org/drawingml/2006/main">
                <a:prstDash val="solid"/>
              </a:ln>
            </spPr>
          </marker>
          <xVal>
            <numRef>
              <f>'ElevCalc'!$V$372:$V$377</f>
            </numRef>
          </xVal>
          <yVal>
            <numRef>
              <f>'ElevCalc'!$W$372:$W$377</f>
            </numRef>
          </yVal>
          <smooth val="0"/>
        </ser>
        <ser>
          <idx val="66"/>
          <order val="66"/>
          <tx>
            <strRef>
              <f>'ElevCalc'!$X$379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b"/>
            <showLegendKey val="0"/>
            <showVal val="0"/>
            <showCatName val="0"/>
            <showSerName val="1"/>
            <showPercent val="0"/>
          </dLbls>
          <xVal>
            <numRef>
              <f>'ElevCalc'!$V$379</f>
            </numRef>
          </xVal>
          <yVal>
            <numRef>
              <f>'ElevCalc'!$W$379</f>
            </numRef>
          </yVal>
          <smooth val="0"/>
        </ser>
        <ser>
          <idx val="67"/>
          <order val="67"/>
          <spPr>
            <a:ln xmlns:a="http://schemas.openxmlformats.org/drawingml/2006/main" w="7620">
              <a:solidFill>
                <a:srgbClr val="7B8794"/>
              </a:solidFill>
              <a:prstDash val="solid"/>
            </a:ln>
          </spPr>
          <marker>
            <symbol val="none"/>
            <spPr>
              <a:ln xmlns:a="http://schemas.openxmlformats.org/drawingml/2006/main">
                <a:prstDash val="solid"/>
              </a:ln>
            </spPr>
          </marker>
          <xVal>
            <numRef>
              <f>'ElevCalc'!$V$381:$V$386</f>
            </numRef>
          </xVal>
          <yVal>
            <numRef>
              <f>'ElevCalc'!$W$381:$W$386</f>
            </numRef>
          </yVal>
          <smooth val="0"/>
        </ser>
        <ser>
          <idx val="68"/>
          <order val="68"/>
          <tx>
            <strRef>
              <f>'ElevCalc'!$X$388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r"/>
            <showLegendKey val="0"/>
            <showVal val="0"/>
            <showCatName val="0"/>
            <showSerName val="1"/>
            <showPercent val="0"/>
          </dLbls>
          <xVal>
            <numRef>
              <f>'ElevCalc'!$V$388</f>
            </numRef>
          </xVal>
          <yVal>
            <numRef>
              <f>'ElevCalc'!$W$388</f>
            </numRef>
          </yVal>
          <smooth val="0"/>
        </ser>
        <ser>
          <idx val="69"/>
          <order val="69"/>
          <spPr>
            <a:ln xmlns:a="http://schemas.openxmlformats.org/drawingml/2006/main" w="7620">
              <a:solidFill>
                <a:srgbClr val="7B8794"/>
              </a:solidFill>
              <a:prstDash val="solid"/>
            </a:ln>
          </spPr>
          <marker>
            <symbol val="none"/>
            <spPr>
              <a:ln xmlns:a="http://schemas.openxmlformats.org/drawingml/2006/main">
                <a:prstDash val="solid"/>
              </a:ln>
            </spPr>
          </marker>
          <xVal>
            <numRef>
              <f>'ElevCalc'!$V$390:$V$395</f>
            </numRef>
          </xVal>
          <yVal>
            <numRef>
              <f>'ElevCalc'!$W$390:$W$395</f>
            </numRef>
          </yVal>
          <smooth val="0"/>
        </ser>
        <ser>
          <idx val="70"/>
          <order val="70"/>
          <tx>
            <strRef>
              <f>'ElevCalc'!$X$397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l"/>
            <showLegendKey val="0"/>
            <showVal val="0"/>
            <showCatName val="0"/>
            <showSerName val="1"/>
            <showPercent val="0"/>
          </dLbls>
          <xVal>
            <numRef>
              <f>'ElevCalc'!$V$397</f>
            </numRef>
          </xVal>
          <yVal>
            <numRef>
              <f>'ElevCalc'!$W$397</f>
            </numRef>
          </yVal>
          <smooth val="0"/>
        </ser>
        <ser>
          <idx val="71"/>
          <order val="71"/>
          <tx>
            <strRef>
              <f>'ElevCalc'!$X$399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b"/>
            <showLegendKey val="0"/>
            <showVal val="0"/>
            <showCatName val="0"/>
            <showSerName val="1"/>
            <showPercent val="0"/>
          </dLbls>
          <xVal>
            <numRef>
              <f>'ElevCalc'!$V$399</f>
            </numRef>
          </xVal>
          <yVal>
            <numRef>
              <f>'ElevCalc'!$W$399</f>
            </numRef>
          </yVal>
          <smooth val="0"/>
        </ser>
        <ser>
          <idx val="72"/>
          <order val="72"/>
          <tx>
            <strRef>
              <f>'ElevCalc'!$X$401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7B8794"/>
                    </a:solidFill>
                    <a:latin typeface="Arial"/>
                  </a:defRPr>
                </a:pPr>
                <a:r>
                  <a:t/>
                </a:r>
                <a:endParaRPr sz="592" b="0">
                  <a:solidFill>
                    <a:srgbClr val="7B8794"/>
                  </a:solidFill>
                  <a:latin typeface="Arial"/>
                </a:endParaRPr>
              </a:p>
            </txPr>
            <dLblPos val="t"/>
            <showLegendKey val="0"/>
            <showVal val="0"/>
            <showCatName val="0"/>
            <showSerName val="1"/>
            <showPercent val="0"/>
          </dLbls>
          <xVal>
            <numRef>
              <f>'ElevCalc'!$V$401</f>
            </numRef>
          </xVal>
          <yVal>
            <numRef>
              <f>'ElevCalc'!$W$401</f>
            </numRef>
          </yVal>
          <smooth val="0"/>
        </ser>
        <ser>
          <idx val="73"/>
          <order val="73"/>
          <tx>
            <strRef>
              <f>'ElevCalc'!$X$403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4304A"/>
                    </a:solidFill>
                    <a:latin typeface="Arial"/>
                  </a:defRPr>
                </a:pPr>
                <a:r>
                  <a:t/>
                </a:r>
                <a:endParaRPr sz="760" b="1">
                  <a:solidFill>
                    <a:srgbClr val="14304A"/>
                  </a:solidFill>
                  <a:latin typeface="Arial"/>
                </a:endParaRPr>
              </a:p>
            </txPr>
            <dLblPos val="r"/>
            <showLegendKey val="0"/>
            <showVal val="0"/>
            <showCatName val="0"/>
            <showSerName val="1"/>
            <showPercent val="0"/>
          </dLbls>
          <xVal>
            <numRef>
              <f>'ElevCalc'!$V$403</f>
            </numRef>
          </xVal>
          <yVal>
            <numRef>
              <f>'ElevCalc'!$W$403</f>
            </numRef>
          </yVal>
          <smooth val="0"/>
        </ser>
        <axId val="10"/>
        <axId val="20"/>
      </scatterChart>
      <valAx>
        <axId val="10"/>
        <scaling>
          <orientation val="minMax"/>
          <max val="200"/>
          <min val="0"/>
        </scaling>
        <delete val="1"/>
        <axPos val="l"/>
        <majorTickMark val="none"/>
        <minorTickMark val="none"/>
        <crossAx val="20"/>
      </valAx>
      <valAx>
        <axId val="20"/>
        <scaling>
          <orientation val="minMax"/>
          <max val="172"/>
          <min val="-28"/>
        </scaling>
        <delete val="1"/>
        <axPos val="l"/>
        <majorTickMark val="none"/>
        <minorTickMark val="none"/>
        <crossAx val="10"/>
      </valAx>
    </plotArea>
    <plotVisOnly val="1"/>
    <dispBlanksAs val="gap"/>
  </chart>
</chartSpace>
</file>

<file path=xl/charts/chart6.xml><?xml version="1.0" encoding="utf-8"?>
<chartSpace xmlns="http://schemas.openxmlformats.org/drawingml/2006/chart">
  <style val="1"/>
  <chart>
    <plotArea>
      <scatterChart>
        <scatterStyle val="lineMarker"/>
        <ser>
          <idx val="0"/>
          <order val="0"/>
          <spPr>
            <a:ln xmlns:a="http://schemas.openxmlformats.org/drawingml/2006/main" w="31750">
              <a:solidFill>
                <a:srgbClr val="14304A"/>
              </a:solidFill>
              <a:prstDash val="solid"/>
            </a:ln>
          </spPr>
          <marker>
            <symbol val="none"/>
            <spPr>
              <a:ln xmlns:a="http://schemas.openxmlformats.org/drawingml/2006/main">
                <a:prstDash val="solid"/>
              </a:ln>
            </spPr>
          </marker>
          <xVal>
            <numRef>
              <f>'ElevCalc'!$AA$150:$AA$154</f>
            </numRef>
          </xVal>
          <yVal>
            <numRef>
              <f>'ElevCalc'!$AB$150:$AB$154</f>
            </numRef>
          </yVal>
          <smooth val="0"/>
        </ser>
        <ser>
          <idx val="1"/>
          <order val="1"/>
          <spPr>
            <a:ln xmlns:a="http://schemas.openxmlformats.org/drawingml/2006/main" w="9525">
              <a:solidFill>
                <a:srgbClr val="14304A"/>
              </a:solidFill>
              <a:prstDash val="solid"/>
            </a:ln>
          </spPr>
          <marker>
            <symbol val="none"/>
            <spPr>
              <a:ln xmlns:a="http://schemas.openxmlformats.org/drawingml/2006/main">
                <a:prstDash val="solid"/>
              </a:ln>
            </spPr>
          </marker>
          <xVal>
            <numRef>
              <f>'ElevCalc'!$AA$156:$AA$160</f>
            </numRef>
          </xVal>
          <yVal>
            <numRef>
              <f>'ElevCalc'!$AB$156:$AB$160</f>
            </numRef>
          </yVal>
          <smooth val="0"/>
        </ser>
        <ser>
          <idx val="2"/>
          <order val="2"/>
          <spPr>
            <a:ln xmlns:a="http://schemas.openxmlformats.org/drawingml/2006/main" w="9525">
              <a:solidFill>
                <a:srgbClr val="9AA5B1"/>
              </a:solidFill>
              <a:prstDash val="sysDash"/>
            </a:ln>
          </spPr>
          <marker>
            <symbol val="none"/>
            <spPr>
              <a:ln xmlns:a="http://schemas.openxmlformats.org/drawingml/2006/main">
                <a:prstDash val="solid"/>
              </a:ln>
            </spPr>
          </marker>
          <xVal>
            <numRef>
              <f>'ElevCalc'!$AA$162:$AA$166</f>
            </numRef>
          </xVal>
          <yVal>
            <numRef>
              <f>'ElevCalc'!$AB$162:$AB$166</f>
            </numRef>
          </yVal>
          <smooth val="0"/>
        </ser>
        <ser>
          <idx val="3"/>
          <order val="3"/>
          <spPr>
            <a:ln xmlns:a="http://schemas.openxmlformats.org/drawingml/2006/main" w="9525">
              <a:solidFill>
                <a:srgbClr val="9AA5B1"/>
              </a:solidFill>
              <a:prstDash val="sysDash"/>
            </a:ln>
          </spPr>
          <marker>
            <symbol val="none"/>
            <spPr>
              <a:ln xmlns:a="http://schemas.openxmlformats.org/drawingml/2006/main">
                <a:prstDash val="solid"/>
              </a:ln>
            </spPr>
          </marker>
          <xVal>
            <numRef>
              <f>'ElevCalc'!$AA$168:$AA$172</f>
            </numRef>
          </xVal>
          <yVal>
            <numRef>
              <f>'ElevCalc'!$AB$168:$AB$172</f>
            </numRef>
          </yVal>
          <smooth val="0"/>
        </ser>
        <ser>
          <idx val="4"/>
          <order val="4"/>
          <spPr>
            <a:ln xmlns:a="http://schemas.openxmlformats.org/drawingml/2006/main" w="9525">
              <a:solidFill>
                <a:srgbClr val="14304A"/>
              </a:solidFill>
              <a:prstDash val="solid"/>
            </a:ln>
          </spPr>
          <marker>
            <symbol val="none"/>
            <spPr>
              <a:ln xmlns:a="http://schemas.openxmlformats.org/drawingml/2006/main">
                <a:prstDash val="solid"/>
              </a:ln>
            </spPr>
          </marker>
          <xVal>
            <numRef>
              <f>'ElevCalc'!$AA$174:$AA$175</f>
            </numRef>
          </xVal>
          <yVal>
            <numRef>
              <f>'ElevCalc'!$AB$174:$AB$175</f>
            </numRef>
          </yVal>
          <smooth val="0"/>
        </ser>
        <ser>
          <idx val="5"/>
          <order val="5"/>
          <spPr>
            <a:ln xmlns:a="http://schemas.openxmlformats.org/drawingml/2006/main" w="12700">
              <a:solidFill>
                <a:srgbClr val="14304A"/>
              </a:solidFill>
              <a:prstDash val="solid"/>
            </a:ln>
          </spPr>
          <marker>
            <symbol val="none"/>
            <spPr>
              <a:ln xmlns:a="http://schemas.openxmlformats.org/drawingml/2006/main">
                <a:prstDash val="solid"/>
              </a:ln>
            </spPr>
          </marker>
          <xVal>
            <numRef>
              <f>'ElevCalc'!$AA$177:$AA$181</f>
            </numRef>
          </xVal>
          <yVal>
            <numRef>
              <f>'ElevCalc'!$AB$177:$AB$181</f>
            </numRef>
          </yVal>
          <smooth val="0"/>
        </ser>
        <ser>
          <idx val="6"/>
          <order val="6"/>
          <tx>
            <strRef>
              <f>'ElevCalc'!$AC$183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t"/>
            <showLegendKey val="0"/>
            <showVal val="0"/>
            <showCatName val="0"/>
            <showSerName val="1"/>
            <showPercent val="0"/>
          </dLbls>
          <xVal>
            <numRef>
              <f>'ElevCalc'!$AA$183</f>
            </numRef>
          </xVal>
          <yVal>
            <numRef>
              <f>'ElevCalc'!$AB$183</f>
            </numRef>
          </yVal>
          <smooth val="0"/>
        </ser>
        <ser>
          <idx val="7"/>
          <order val="7"/>
          <spPr>
            <a:ln xmlns:a="http://schemas.openxmlformats.org/drawingml/2006/main" w="12700">
              <a:solidFill>
                <a:srgbClr val="14304A"/>
              </a:solidFill>
              <a:prstDash val="solid"/>
            </a:ln>
          </spPr>
          <marker>
            <symbol val="none"/>
            <spPr>
              <a:ln xmlns:a="http://schemas.openxmlformats.org/drawingml/2006/main">
                <a:prstDash val="solid"/>
              </a:ln>
            </spPr>
          </marker>
          <xVal>
            <numRef>
              <f>'ElevCalc'!$AA$185:$AA$189</f>
            </numRef>
          </xVal>
          <yVal>
            <numRef>
              <f>'ElevCalc'!$AB$185:$AB$189</f>
            </numRef>
          </yVal>
          <smooth val="0"/>
        </ser>
        <ser>
          <idx val="8"/>
          <order val="8"/>
          <spPr>
            <a:ln xmlns:a="http://schemas.openxmlformats.org/drawingml/2006/main" w="12700">
              <a:solidFill>
                <a:srgbClr val="14304A"/>
              </a:solidFill>
              <a:prstDash val="solid"/>
            </a:ln>
          </spPr>
          <marker>
            <symbol val="none"/>
            <spPr>
              <a:ln xmlns:a="http://schemas.openxmlformats.org/drawingml/2006/main">
                <a:prstDash val="solid"/>
              </a:ln>
            </spPr>
          </marker>
          <xVal>
            <numRef>
              <f>'ElevCalc'!$AA$191:$AA$195</f>
            </numRef>
          </xVal>
          <yVal>
            <numRef>
              <f>'ElevCalc'!$AB$191:$AB$195</f>
            </numRef>
          </yVal>
          <smooth val="0"/>
        </ser>
        <ser>
          <idx val="9"/>
          <order val="9"/>
          <spPr>
            <a:ln xmlns:a="http://schemas.openxmlformats.org/drawingml/2006/main" w="13970">
              <a:solidFill>
                <a:srgbClr val="2B7BB9"/>
              </a:solidFill>
              <a:prstDash val="solid"/>
            </a:ln>
          </spPr>
          <marker>
            <symbol val="none"/>
            <spPr>
              <a:ln xmlns:a="http://schemas.openxmlformats.org/drawingml/2006/main">
                <a:prstDash val="solid"/>
              </a:ln>
            </spPr>
          </marker>
          <xVal>
            <numRef>
              <f>'ElevCalc'!$AA$197:$AA$201</f>
            </numRef>
          </xVal>
          <yVal>
            <numRef>
              <f>'ElevCalc'!$AB$197:$AB$201</f>
            </numRef>
          </yVal>
          <smooth val="0"/>
        </ser>
        <ser>
          <idx val="10"/>
          <order val="10"/>
          <spPr>
            <a:ln xmlns:a="http://schemas.openxmlformats.org/drawingml/2006/main" w="20320">
              <a:solidFill>
                <a:srgbClr val="2B3138"/>
              </a:solidFill>
              <a:prstDash val="solid"/>
            </a:ln>
          </spPr>
          <marker>
            <symbol val="none"/>
            <spPr>
              <a:ln xmlns:a="http://schemas.openxmlformats.org/drawingml/2006/main">
                <a:prstDash val="solid"/>
              </a:ln>
            </spPr>
          </marker>
          <xVal>
            <numRef>
              <f>'ElevCalc'!$AA$203:$AA$207</f>
            </numRef>
          </xVal>
          <yVal>
            <numRef>
              <f>'ElevCalc'!$AB$203:$AB$207</f>
            </numRef>
          </yVal>
          <smooth val="0"/>
        </ser>
        <ser>
          <idx val="11"/>
          <order val="11"/>
          <spPr>
            <a:ln xmlns:a="http://schemas.openxmlformats.org/drawingml/2006/main" w="20320">
              <a:solidFill>
                <a:srgbClr val="2B3138"/>
              </a:solidFill>
              <a:prstDash val="solid"/>
            </a:ln>
          </spPr>
          <marker>
            <symbol val="none"/>
            <spPr>
              <a:ln xmlns:a="http://schemas.openxmlformats.org/drawingml/2006/main">
                <a:prstDash val="solid"/>
              </a:ln>
            </spPr>
          </marker>
          <xVal>
            <numRef>
              <f>'ElevCalc'!$AA$209:$AA$213</f>
            </numRef>
          </xVal>
          <yVal>
            <numRef>
              <f>'ElevCalc'!$AB$209:$AB$213</f>
            </numRef>
          </yVal>
          <smooth val="0"/>
        </ser>
        <ser>
          <idx val="12"/>
          <order val="12"/>
          <spPr>
            <a:ln xmlns:a="http://schemas.openxmlformats.org/drawingml/2006/main" w="13970">
              <a:solidFill>
                <a:srgbClr val="2B7BB9"/>
              </a:solidFill>
              <a:prstDash val="solid"/>
            </a:ln>
          </spPr>
          <marker>
            <symbol val="none"/>
            <spPr>
              <a:ln xmlns:a="http://schemas.openxmlformats.org/drawingml/2006/main">
                <a:prstDash val="solid"/>
              </a:ln>
            </spPr>
          </marker>
          <xVal>
            <numRef>
              <f>'ElevCalc'!$AA$215:$AA$219</f>
            </numRef>
          </xVal>
          <yVal>
            <numRef>
              <f>'ElevCalc'!$AB$215:$AB$219</f>
            </numRef>
          </yVal>
          <smooth val="0"/>
        </ser>
        <ser>
          <idx val="13"/>
          <order val="13"/>
          <spPr>
            <a:ln xmlns:a="http://schemas.openxmlformats.org/drawingml/2006/main" w="13970">
              <a:solidFill>
                <a:srgbClr val="2B7BB9"/>
              </a:solidFill>
              <a:prstDash val="solid"/>
            </a:ln>
          </spPr>
          <marker>
            <symbol val="none"/>
            <spPr>
              <a:ln xmlns:a="http://schemas.openxmlformats.org/drawingml/2006/main">
                <a:prstDash val="solid"/>
              </a:ln>
            </spPr>
          </marker>
          <xVal>
            <numRef>
              <f>'ElevCalc'!$AA$221:$AA$225</f>
            </numRef>
          </xVal>
          <yVal>
            <numRef>
              <f>'ElevCalc'!$AB$221:$AB$225</f>
            </numRef>
          </yVal>
          <smooth val="0"/>
        </ser>
        <ser>
          <idx val="14"/>
          <order val="14"/>
          <spPr>
            <a:ln xmlns:a="http://schemas.openxmlformats.org/drawingml/2006/main" w="7620">
              <a:solidFill>
                <a:srgbClr val="2B7BB9"/>
              </a:solidFill>
              <a:prstDash val="solid"/>
            </a:ln>
          </spPr>
          <marker>
            <symbol val="none"/>
            <spPr>
              <a:ln xmlns:a="http://schemas.openxmlformats.org/drawingml/2006/main">
                <a:prstDash val="solid"/>
              </a:ln>
            </spPr>
          </marker>
          <xVal>
            <numRef>
              <f>'ElevCalc'!$AA$227:$AA$228</f>
            </numRef>
          </xVal>
          <yVal>
            <numRef>
              <f>'ElevCalc'!$AB$227:$AB$228</f>
            </numRef>
          </yVal>
          <smooth val="0"/>
        </ser>
        <ser>
          <idx val="15"/>
          <order val="15"/>
          <spPr>
            <a:ln xmlns:a="http://schemas.openxmlformats.org/drawingml/2006/main" w="7620">
              <a:solidFill>
                <a:srgbClr val="2B7BB9"/>
              </a:solidFill>
              <a:prstDash val="solid"/>
            </a:ln>
          </spPr>
          <marker>
            <symbol val="none"/>
            <spPr>
              <a:ln xmlns:a="http://schemas.openxmlformats.org/drawingml/2006/main">
                <a:prstDash val="solid"/>
              </a:ln>
            </spPr>
          </marker>
          <xVal>
            <numRef>
              <f>'ElevCalc'!$AA$230:$AA$231</f>
            </numRef>
          </xVal>
          <yVal>
            <numRef>
              <f>'ElevCalc'!$AB$230:$AB$231</f>
            </numRef>
          </yVal>
          <smooth val="0"/>
        </ser>
        <ser>
          <idx val="16"/>
          <order val="16"/>
          <spPr>
            <a:ln xmlns:a="http://schemas.openxmlformats.org/drawingml/2006/main" w="7620">
              <a:solidFill>
                <a:srgbClr val="2B7BB9"/>
              </a:solidFill>
              <a:prstDash val="solid"/>
            </a:ln>
          </spPr>
          <marker>
            <symbol val="none"/>
            <spPr>
              <a:ln xmlns:a="http://schemas.openxmlformats.org/drawingml/2006/main">
                <a:prstDash val="solid"/>
              </a:ln>
            </spPr>
          </marker>
          <xVal>
            <numRef>
              <f>'ElevCalc'!$AA$233:$AA$234</f>
            </numRef>
          </xVal>
          <yVal>
            <numRef>
              <f>'ElevCalc'!$AB$233:$AB$234</f>
            </numRef>
          </yVal>
          <smooth val="0"/>
        </ser>
        <ser>
          <idx val="17"/>
          <order val="17"/>
          <spPr>
            <a:ln xmlns:a="http://schemas.openxmlformats.org/drawingml/2006/main" w="7620">
              <a:solidFill>
                <a:srgbClr val="2B7BB9"/>
              </a:solidFill>
              <a:prstDash val="solid"/>
            </a:ln>
          </spPr>
          <marker>
            <symbol val="none"/>
            <spPr>
              <a:ln xmlns:a="http://schemas.openxmlformats.org/drawingml/2006/main">
                <a:prstDash val="solid"/>
              </a:ln>
            </spPr>
          </marker>
          <xVal>
            <numRef>
              <f>'ElevCalc'!$AA$236:$AA$237</f>
            </numRef>
          </xVal>
          <yVal>
            <numRef>
              <f>'ElevCalc'!$AB$236:$AB$237</f>
            </numRef>
          </yVal>
          <smooth val="0"/>
        </ser>
        <ser>
          <idx val="18"/>
          <order val="18"/>
          <spPr>
            <a:ln xmlns:a="http://schemas.openxmlformats.org/drawingml/2006/main" w="7620">
              <a:solidFill>
                <a:srgbClr val="2B7BB9"/>
              </a:solidFill>
              <a:prstDash val="solid"/>
            </a:ln>
          </spPr>
          <marker>
            <symbol val="none"/>
            <spPr>
              <a:ln xmlns:a="http://schemas.openxmlformats.org/drawingml/2006/main">
                <a:prstDash val="solid"/>
              </a:ln>
            </spPr>
          </marker>
          <xVal>
            <numRef>
              <f>'ElevCalc'!$AA$239:$AA$240</f>
            </numRef>
          </xVal>
          <yVal>
            <numRef>
              <f>'ElevCalc'!$AB$239:$AB$240</f>
            </numRef>
          </yVal>
          <smooth val="0"/>
        </ser>
        <ser>
          <idx val="19"/>
          <order val="19"/>
          <spPr>
            <a:ln xmlns:a="http://schemas.openxmlformats.org/drawingml/2006/main" w="7620">
              <a:solidFill>
                <a:srgbClr val="2B7BB9"/>
              </a:solidFill>
              <a:prstDash val="solid"/>
            </a:ln>
          </spPr>
          <marker>
            <symbol val="none"/>
            <spPr>
              <a:ln xmlns:a="http://schemas.openxmlformats.org/drawingml/2006/main">
                <a:prstDash val="solid"/>
              </a:ln>
            </spPr>
          </marker>
          <xVal>
            <numRef>
              <f>'ElevCalc'!$AA$242:$AA$243</f>
            </numRef>
          </xVal>
          <yVal>
            <numRef>
              <f>'ElevCalc'!$AB$242:$AB$243</f>
            </numRef>
          </yVal>
          <smooth val="0"/>
        </ser>
        <ser>
          <idx val="20"/>
          <order val="20"/>
          <spPr>
            <a:ln xmlns:a="http://schemas.openxmlformats.org/drawingml/2006/main" w="7620">
              <a:solidFill>
                <a:srgbClr val="2B7BB9"/>
              </a:solidFill>
              <a:prstDash val="solid"/>
            </a:ln>
          </spPr>
          <marker>
            <symbol val="none"/>
            <spPr>
              <a:ln xmlns:a="http://schemas.openxmlformats.org/drawingml/2006/main">
                <a:prstDash val="solid"/>
              </a:ln>
            </spPr>
          </marker>
          <xVal>
            <numRef>
              <f>'ElevCalc'!$AA$245:$AA$246</f>
            </numRef>
          </xVal>
          <yVal>
            <numRef>
              <f>'ElevCalc'!$AB$245:$AB$246</f>
            </numRef>
          </yVal>
          <smooth val="0"/>
        </ser>
        <ser>
          <idx val="21"/>
          <order val="21"/>
          <spPr>
            <a:ln xmlns:a="http://schemas.openxmlformats.org/drawingml/2006/main" w="7620">
              <a:solidFill>
                <a:srgbClr val="2B7BB9"/>
              </a:solidFill>
              <a:prstDash val="solid"/>
            </a:ln>
          </spPr>
          <marker>
            <symbol val="none"/>
            <spPr>
              <a:ln xmlns:a="http://schemas.openxmlformats.org/drawingml/2006/main">
                <a:prstDash val="solid"/>
              </a:ln>
            </spPr>
          </marker>
          <xVal>
            <numRef>
              <f>'ElevCalc'!$AA$248:$AA$249</f>
            </numRef>
          </xVal>
          <yVal>
            <numRef>
              <f>'ElevCalc'!$AB$248:$AB$249</f>
            </numRef>
          </yVal>
          <smooth val="0"/>
        </ser>
        <ser>
          <idx val="22"/>
          <order val="22"/>
          <spPr>
            <a:ln xmlns:a="http://schemas.openxmlformats.org/drawingml/2006/main" w="7620">
              <a:solidFill>
                <a:srgbClr val="2B7BB9"/>
              </a:solidFill>
              <a:prstDash val="solid"/>
            </a:ln>
          </spPr>
          <marker>
            <symbol val="none"/>
            <spPr>
              <a:ln xmlns:a="http://schemas.openxmlformats.org/drawingml/2006/main">
                <a:prstDash val="solid"/>
              </a:ln>
            </spPr>
          </marker>
          <xVal>
            <numRef>
              <f>'ElevCalc'!$AA$251:$AA$252</f>
            </numRef>
          </xVal>
          <yVal>
            <numRef>
              <f>'ElevCalc'!$AB$251:$AB$252</f>
            </numRef>
          </yVal>
          <smooth val="0"/>
        </ser>
        <ser>
          <idx val="23"/>
          <order val="23"/>
          <spPr>
            <a:ln xmlns:a="http://schemas.openxmlformats.org/drawingml/2006/main" w="7620">
              <a:solidFill>
                <a:srgbClr val="2B7BB9"/>
              </a:solidFill>
              <a:prstDash val="solid"/>
            </a:ln>
          </spPr>
          <marker>
            <symbol val="none"/>
            <spPr>
              <a:ln xmlns:a="http://schemas.openxmlformats.org/drawingml/2006/main">
                <a:prstDash val="solid"/>
              </a:ln>
            </spPr>
          </marker>
          <xVal>
            <numRef>
              <f>'ElevCalc'!$AA$254:$AA$255</f>
            </numRef>
          </xVal>
          <yVal>
            <numRef>
              <f>'ElevCalc'!$AB$254:$AB$255</f>
            </numRef>
          </yVal>
          <smooth val="0"/>
        </ser>
        <ser>
          <idx val="24"/>
          <order val="24"/>
          <spPr>
            <a:ln xmlns:a="http://schemas.openxmlformats.org/drawingml/2006/main" w="7620">
              <a:solidFill>
                <a:srgbClr val="2B7BB9"/>
              </a:solidFill>
              <a:prstDash val="solid"/>
            </a:ln>
          </spPr>
          <marker>
            <symbol val="none"/>
            <spPr>
              <a:ln xmlns:a="http://schemas.openxmlformats.org/drawingml/2006/main">
                <a:prstDash val="solid"/>
              </a:ln>
            </spPr>
          </marker>
          <xVal>
            <numRef>
              <f>'ElevCalc'!$AA$257:$AA$258</f>
            </numRef>
          </xVal>
          <yVal>
            <numRef>
              <f>'ElevCalc'!$AB$257:$AB$258</f>
            </numRef>
          </yVal>
          <smooth val="0"/>
        </ser>
        <ser>
          <idx val="25"/>
          <order val="25"/>
          <spPr>
            <a:ln xmlns:a="http://schemas.openxmlformats.org/drawingml/2006/main" w="7620">
              <a:solidFill>
                <a:srgbClr val="2B7BB9"/>
              </a:solidFill>
              <a:prstDash val="solid"/>
            </a:ln>
          </spPr>
          <marker>
            <symbol val="none"/>
            <spPr>
              <a:ln xmlns:a="http://schemas.openxmlformats.org/drawingml/2006/main">
                <a:prstDash val="solid"/>
              </a:ln>
            </spPr>
          </marker>
          <xVal>
            <numRef>
              <f>'ElevCalc'!$AA$260:$AA$261</f>
            </numRef>
          </xVal>
          <yVal>
            <numRef>
              <f>'ElevCalc'!$AB$260:$AB$261</f>
            </numRef>
          </yVal>
          <smooth val="0"/>
        </ser>
        <ser>
          <idx val="26"/>
          <order val="26"/>
          <spPr>
            <a:ln xmlns:a="http://schemas.openxmlformats.org/drawingml/2006/main" w="7620">
              <a:solidFill>
                <a:srgbClr val="2B7BB9"/>
              </a:solidFill>
              <a:prstDash val="solid"/>
            </a:ln>
          </spPr>
          <marker>
            <symbol val="none"/>
            <spPr>
              <a:ln xmlns:a="http://schemas.openxmlformats.org/drawingml/2006/main">
                <a:prstDash val="solid"/>
              </a:ln>
            </spPr>
          </marker>
          <xVal>
            <numRef>
              <f>'ElevCalc'!$AA$263:$AA$264</f>
            </numRef>
          </xVal>
          <yVal>
            <numRef>
              <f>'ElevCalc'!$AB$263:$AB$264</f>
            </numRef>
          </yVal>
          <smooth val="0"/>
        </ser>
        <ser>
          <idx val="27"/>
          <order val="27"/>
          <spPr>
            <a:ln xmlns:a="http://schemas.openxmlformats.org/drawingml/2006/main" w="7620">
              <a:solidFill>
                <a:srgbClr val="2B7BB9"/>
              </a:solidFill>
              <a:prstDash val="solid"/>
            </a:ln>
          </spPr>
          <marker>
            <symbol val="none"/>
            <spPr>
              <a:ln xmlns:a="http://schemas.openxmlformats.org/drawingml/2006/main">
                <a:prstDash val="solid"/>
              </a:ln>
            </spPr>
          </marker>
          <xVal>
            <numRef>
              <f>'ElevCalc'!$AA$266:$AA$267</f>
            </numRef>
          </xVal>
          <yVal>
            <numRef>
              <f>'ElevCalc'!$AB$266:$AB$267</f>
            </numRef>
          </yVal>
          <smooth val="0"/>
        </ser>
        <ser>
          <idx val="28"/>
          <order val="28"/>
          <spPr>
            <a:ln xmlns:a="http://schemas.openxmlformats.org/drawingml/2006/main" w="7620">
              <a:solidFill>
                <a:srgbClr val="2B7BB9"/>
              </a:solidFill>
              <a:prstDash val="solid"/>
            </a:ln>
          </spPr>
          <marker>
            <symbol val="none"/>
            <spPr>
              <a:ln xmlns:a="http://schemas.openxmlformats.org/drawingml/2006/main">
                <a:prstDash val="solid"/>
              </a:ln>
            </spPr>
          </marker>
          <xVal>
            <numRef>
              <f>'ElevCalc'!$AA$269:$AA$270</f>
            </numRef>
          </xVal>
          <yVal>
            <numRef>
              <f>'ElevCalc'!$AB$269:$AB$270</f>
            </numRef>
          </yVal>
          <smooth val="0"/>
        </ser>
        <ser>
          <idx val="29"/>
          <order val="29"/>
          <spPr>
            <a:ln xmlns:a="http://schemas.openxmlformats.org/drawingml/2006/main" w="7620">
              <a:solidFill>
                <a:srgbClr val="2B7BB9"/>
              </a:solidFill>
              <a:prstDash val="solid"/>
            </a:ln>
          </spPr>
          <marker>
            <symbol val="none"/>
            <spPr>
              <a:ln xmlns:a="http://schemas.openxmlformats.org/drawingml/2006/main">
                <a:prstDash val="solid"/>
              </a:ln>
            </spPr>
          </marker>
          <xVal>
            <numRef>
              <f>'ElevCalc'!$AA$272:$AA$273</f>
            </numRef>
          </xVal>
          <yVal>
            <numRef>
              <f>'ElevCalc'!$AB$272:$AB$273</f>
            </numRef>
          </yVal>
          <smooth val="0"/>
        </ser>
        <ser>
          <idx val="30"/>
          <order val="30"/>
          <spPr>
            <a:ln xmlns:a="http://schemas.openxmlformats.org/drawingml/2006/main" w="7620">
              <a:solidFill>
                <a:srgbClr val="2B7BB9"/>
              </a:solidFill>
              <a:prstDash val="solid"/>
            </a:ln>
          </spPr>
          <marker>
            <symbol val="none"/>
            <spPr>
              <a:ln xmlns:a="http://schemas.openxmlformats.org/drawingml/2006/main">
                <a:prstDash val="solid"/>
              </a:ln>
            </spPr>
          </marker>
          <xVal>
            <numRef>
              <f>'ElevCalc'!$AA$275:$AA$276</f>
            </numRef>
          </xVal>
          <yVal>
            <numRef>
              <f>'ElevCalc'!$AB$275:$AB$276</f>
            </numRef>
          </yVal>
          <smooth val="0"/>
        </ser>
        <ser>
          <idx val="31"/>
          <order val="31"/>
          <spPr>
            <a:ln xmlns:a="http://schemas.openxmlformats.org/drawingml/2006/main" w="7620">
              <a:solidFill>
                <a:srgbClr val="2B7BB9"/>
              </a:solidFill>
              <a:prstDash val="solid"/>
            </a:ln>
          </spPr>
          <marker>
            <symbol val="none"/>
            <spPr>
              <a:ln xmlns:a="http://schemas.openxmlformats.org/drawingml/2006/main">
                <a:prstDash val="solid"/>
              </a:ln>
            </spPr>
          </marker>
          <xVal>
            <numRef>
              <f>'ElevCalc'!$AA$278:$AA$279</f>
            </numRef>
          </xVal>
          <yVal>
            <numRef>
              <f>'ElevCalc'!$AB$278:$AB$279</f>
            </numRef>
          </yVal>
          <smooth val="0"/>
        </ser>
        <ser>
          <idx val="32"/>
          <order val="32"/>
          <spPr>
            <a:ln xmlns:a="http://schemas.openxmlformats.org/drawingml/2006/main" w="7620">
              <a:solidFill>
                <a:srgbClr val="2B7BB9"/>
              </a:solidFill>
              <a:prstDash val="solid"/>
            </a:ln>
          </spPr>
          <marker>
            <symbol val="none"/>
            <spPr>
              <a:ln xmlns:a="http://schemas.openxmlformats.org/drawingml/2006/main">
                <a:prstDash val="solid"/>
              </a:ln>
            </spPr>
          </marker>
          <xVal>
            <numRef>
              <f>'ElevCalc'!$AA$281:$AA$282</f>
            </numRef>
          </xVal>
          <yVal>
            <numRef>
              <f>'ElevCalc'!$AB$281:$AB$282</f>
            </numRef>
          </yVal>
          <smooth val="0"/>
        </ser>
        <ser>
          <idx val="33"/>
          <order val="33"/>
          <spPr>
            <a:ln xmlns:a="http://schemas.openxmlformats.org/drawingml/2006/main" w="7620">
              <a:solidFill>
                <a:srgbClr val="2B7BB9"/>
              </a:solidFill>
              <a:prstDash val="solid"/>
            </a:ln>
          </spPr>
          <marker>
            <symbol val="none"/>
            <spPr>
              <a:ln xmlns:a="http://schemas.openxmlformats.org/drawingml/2006/main">
                <a:prstDash val="solid"/>
              </a:ln>
            </spPr>
          </marker>
          <xVal>
            <numRef>
              <f>'ElevCalc'!$AA$284:$AA$285</f>
            </numRef>
          </xVal>
          <yVal>
            <numRef>
              <f>'ElevCalc'!$AB$284:$AB$285</f>
            </numRef>
          </yVal>
          <smooth val="0"/>
        </ser>
        <ser>
          <idx val="34"/>
          <order val="34"/>
          <spPr>
            <a:ln xmlns:a="http://schemas.openxmlformats.org/drawingml/2006/main" w="9525">
              <a:solidFill>
                <a:srgbClr val="8895A2"/>
              </a:solidFill>
              <a:prstDash val="dash"/>
            </a:ln>
          </spPr>
          <marker>
            <symbol val="none"/>
            <spPr>
              <a:ln xmlns:a="http://schemas.openxmlformats.org/drawingml/2006/main">
                <a:prstDash val="solid"/>
              </a:ln>
            </spPr>
          </marker>
          <xVal>
            <numRef>
              <f>'ElevCalc'!$AA$287:$AA$289</f>
            </numRef>
          </xVal>
          <yVal>
            <numRef>
              <f>'ElevCalc'!$AB$287:$AB$289</f>
            </numRef>
          </yVal>
          <smooth val="0"/>
        </ser>
        <ser>
          <idx val="35"/>
          <order val="35"/>
          <spPr>
            <a:ln xmlns:a="http://schemas.openxmlformats.org/drawingml/2006/main" w="9525">
              <a:solidFill>
                <a:srgbClr val="8895A2"/>
              </a:solidFill>
              <a:prstDash val="dash"/>
            </a:ln>
          </spPr>
          <marker>
            <symbol val="none"/>
            <spPr>
              <a:ln xmlns:a="http://schemas.openxmlformats.org/drawingml/2006/main">
                <a:prstDash val="solid"/>
              </a:ln>
            </spPr>
          </marker>
          <xVal>
            <numRef>
              <f>'ElevCalc'!$AA$291:$AA$293</f>
            </numRef>
          </xVal>
          <yVal>
            <numRef>
              <f>'ElevCalc'!$AB$291:$AB$293</f>
            </numRef>
          </yVal>
          <smooth val="0"/>
        </ser>
        <ser>
          <idx val="36"/>
          <order val="36"/>
          <spPr>
            <a:ln xmlns:a="http://schemas.openxmlformats.org/drawingml/2006/main" w="50800">
              <a:solidFill>
                <a:srgbClr val="C07F00"/>
              </a:solidFill>
              <a:prstDash val="solid"/>
            </a:ln>
          </spPr>
          <marker>
            <symbol val="none"/>
            <spPr>
              <a:ln xmlns:a="http://schemas.openxmlformats.org/drawingml/2006/main">
                <a:prstDash val="solid"/>
              </a:ln>
            </spPr>
          </marker>
          <xVal>
            <numRef>
              <f>'ElevCalc'!$AA$295:$AA$296</f>
            </numRef>
          </xVal>
          <yVal>
            <numRef>
              <f>'ElevCalc'!$AB$295:$AB$296</f>
            </numRef>
          </yVal>
          <smooth val="0"/>
        </ser>
        <ser>
          <idx val="37"/>
          <order val="37"/>
          <spPr>
            <a:ln xmlns:a="http://schemas.openxmlformats.org/drawingml/2006/main" w="50800">
              <a:solidFill>
                <a:srgbClr val="C07F00"/>
              </a:solidFill>
              <a:prstDash val="solid"/>
            </a:ln>
          </spPr>
          <marker>
            <symbol val="none"/>
            <spPr>
              <a:ln xmlns:a="http://schemas.openxmlformats.org/drawingml/2006/main">
                <a:prstDash val="solid"/>
              </a:ln>
            </spPr>
          </marker>
          <xVal>
            <numRef>
              <f>'ElevCalc'!$AA$298:$AA$299</f>
            </numRef>
          </xVal>
          <yVal>
            <numRef>
              <f>'ElevCalc'!$AB$298:$AB$299</f>
            </numRef>
          </yVal>
          <smooth val="0"/>
        </ser>
        <ser>
          <idx val="38"/>
          <order val="38"/>
          <tx>
            <strRef>
              <f>'ElevCalc'!$AC$301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'ElevCalc'!$AA$301</f>
            </numRef>
          </xVal>
          <yVal>
            <numRef>
              <f>'ElevCalc'!$AB$301</f>
            </numRef>
          </yVal>
          <smooth val="0"/>
        </ser>
        <ser>
          <idx val="39"/>
          <order val="39"/>
          <tx>
            <strRef>
              <f>'ElevCalc'!$AC$303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'ElevCalc'!$AA$303</f>
            </numRef>
          </xVal>
          <yVal>
            <numRef>
              <f>'ElevCalc'!$AB$303</f>
            </numRef>
          </yVal>
          <smooth val="0"/>
        </ser>
        <ser>
          <idx val="40"/>
          <order val="40"/>
          <spPr>
            <a:ln xmlns:a="http://schemas.openxmlformats.org/drawingml/2006/main" w="50800">
              <a:solidFill>
                <a:srgbClr val="C07F00"/>
              </a:solidFill>
              <a:prstDash val="solid"/>
            </a:ln>
          </spPr>
          <marker>
            <symbol val="none"/>
            <spPr>
              <a:ln xmlns:a="http://schemas.openxmlformats.org/drawingml/2006/main">
                <a:prstDash val="solid"/>
              </a:ln>
            </spPr>
          </marker>
          <xVal>
            <numRef>
              <f>'ElevCalc'!$AA$305:$AA$306</f>
            </numRef>
          </xVal>
          <yVal>
            <numRef>
              <f>'ElevCalc'!$AB$305:$AB$306</f>
            </numRef>
          </yVal>
          <smooth val="0"/>
        </ser>
        <ser>
          <idx val="41"/>
          <order val="41"/>
          <spPr>
            <a:ln xmlns:a="http://schemas.openxmlformats.org/drawingml/2006/main" w="50800">
              <a:solidFill>
                <a:srgbClr val="C07F00"/>
              </a:solidFill>
              <a:prstDash val="solid"/>
            </a:ln>
          </spPr>
          <marker>
            <symbol val="none"/>
            <spPr>
              <a:ln xmlns:a="http://schemas.openxmlformats.org/drawingml/2006/main">
                <a:prstDash val="solid"/>
              </a:ln>
            </spPr>
          </marker>
          <xVal>
            <numRef>
              <f>'ElevCalc'!$AA$308:$AA$309</f>
            </numRef>
          </xVal>
          <yVal>
            <numRef>
              <f>'ElevCalc'!$AB$308:$AB$309</f>
            </numRef>
          </yVal>
          <smooth val="0"/>
        </ser>
        <ser>
          <idx val="42"/>
          <order val="42"/>
          <tx>
            <strRef>
              <f>'ElevCalc'!$AC$311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'ElevCalc'!$AA$311</f>
            </numRef>
          </xVal>
          <yVal>
            <numRef>
              <f>'ElevCalc'!$AB$311</f>
            </numRef>
          </yVal>
          <smooth val="0"/>
        </ser>
        <ser>
          <idx val="43"/>
          <order val="43"/>
          <tx>
            <strRef>
              <f>'ElevCalc'!$AC$313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'ElevCalc'!$AA$313</f>
            </numRef>
          </xVal>
          <yVal>
            <numRef>
              <f>'ElevCalc'!$AB$313</f>
            </numRef>
          </yVal>
          <smooth val="0"/>
        </ser>
        <ser>
          <idx val="44"/>
          <order val="44"/>
          <spPr>
            <a:ln xmlns:a="http://schemas.openxmlformats.org/drawingml/2006/main" w="50800">
              <a:solidFill>
                <a:srgbClr val="C07F00"/>
              </a:solidFill>
              <a:prstDash val="solid"/>
            </a:ln>
          </spPr>
          <marker>
            <symbol val="none"/>
            <spPr>
              <a:ln xmlns:a="http://schemas.openxmlformats.org/drawingml/2006/main">
                <a:prstDash val="solid"/>
              </a:ln>
            </spPr>
          </marker>
          <xVal>
            <numRef>
              <f>'ElevCalc'!$AA$315:$AA$316</f>
            </numRef>
          </xVal>
          <yVal>
            <numRef>
              <f>'ElevCalc'!$AB$315:$AB$316</f>
            </numRef>
          </yVal>
          <smooth val="0"/>
        </ser>
        <ser>
          <idx val="45"/>
          <order val="45"/>
          <spPr>
            <a:ln xmlns:a="http://schemas.openxmlformats.org/drawingml/2006/main" w="50800">
              <a:solidFill>
                <a:srgbClr val="C07F00"/>
              </a:solidFill>
              <a:prstDash val="solid"/>
            </a:ln>
          </spPr>
          <marker>
            <symbol val="none"/>
            <spPr>
              <a:ln xmlns:a="http://schemas.openxmlformats.org/drawingml/2006/main">
                <a:prstDash val="solid"/>
              </a:ln>
            </spPr>
          </marker>
          <xVal>
            <numRef>
              <f>'ElevCalc'!$AA$318:$AA$319</f>
            </numRef>
          </xVal>
          <yVal>
            <numRef>
              <f>'ElevCalc'!$AB$318:$AB$319</f>
            </numRef>
          </yVal>
          <smooth val="0"/>
        </ser>
        <ser>
          <idx val="46"/>
          <order val="46"/>
          <tx>
            <strRef>
              <f>'ElevCalc'!$AC$321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'ElevCalc'!$AA$321</f>
            </numRef>
          </xVal>
          <yVal>
            <numRef>
              <f>'ElevCalc'!$AB$321</f>
            </numRef>
          </yVal>
          <smooth val="0"/>
        </ser>
        <ser>
          <idx val="47"/>
          <order val="47"/>
          <tx>
            <strRef>
              <f>'ElevCalc'!$AC$323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'ElevCalc'!$AA$323</f>
            </numRef>
          </xVal>
          <yVal>
            <numRef>
              <f>'ElevCalc'!$AB$323</f>
            </numRef>
          </yVal>
          <smooth val="0"/>
        </ser>
        <ser>
          <idx val="48"/>
          <order val="48"/>
          <spPr>
            <a:ln xmlns:a="http://schemas.openxmlformats.org/drawingml/2006/main" w="50800">
              <a:solidFill>
                <a:srgbClr val="C07F00"/>
              </a:solidFill>
              <a:prstDash val="solid"/>
            </a:ln>
          </spPr>
          <marker>
            <symbol val="none"/>
            <spPr>
              <a:ln xmlns:a="http://schemas.openxmlformats.org/drawingml/2006/main">
                <a:prstDash val="solid"/>
              </a:ln>
            </spPr>
          </marker>
          <xVal>
            <numRef>
              <f>'ElevCalc'!$AA$325:$AA$326</f>
            </numRef>
          </xVal>
          <yVal>
            <numRef>
              <f>'ElevCalc'!$AB$325:$AB$326</f>
            </numRef>
          </yVal>
          <smooth val="0"/>
        </ser>
        <ser>
          <idx val="49"/>
          <order val="49"/>
          <spPr>
            <a:ln xmlns:a="http://schemas.openxmlformats.org/drawingml/2006/main" w="50800">
              <a:solidFill>
                <a:srgbClr val="C07F00"/>
              </a:solidFill>
              <a:prstDash val="solid"/>
            </a:ln>
          </spPr>
          <marker>
            <symbol val="none"/>
            <spPr>
              <a:ln xmlns:a="http://schemas.openxmlformats.org/drawingml/2006/main">
                <a:prstDash val="solid"/>
              </a:ln>
            </spPr>
          </marker>
          <xVal>
            <numRef>
              <f>'ElevCalc'!$AA$328:$AA$329</f>
            </numRef>
          </xVal>
          <yVal>
            <numRef>
              <f>'ElevCalc'!$AB$328:$AB$329</f>
            </numRef>
          </yVal>
          <smooth val="0"/>
        </ser>
        <ser>
          <idx val="50"/>
          <order val="50"/>
          <tx>
            <strRef>
              <f>'ElevCalc'!$AC$331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'ElevCalc'!$AA$331</f>
            </numRef>
          </xVal>
          <yVal>
            <numRef>
              <f>'ElevCalc'!$AB$331</f>
            </numRef>
          </yVal>
          <smooth val="0"/>
        </ser>
        <ser>
          <idx val="51"/>
          <order val="51"/>
          <tx>
            <strRef>
              <f>'ElevCalc'!$AC$333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'ElevCalc'!$AA$333</f>
            </numRef>
          </xVal>
          <yVal>
            <numRef>
              <f>'ElevCalc'!$AB$333</f>
            </numRef>
          </yVal>
          <smooth val="0"/>
        </ser>
        <ser>
          <idx val="52"/>
          <order val="52"/>
          <spPr>
            <a:ln xmlns:a="http://schemas.openxmlformats.org/drawingml/2006/main" w="50800">
              <a:solidFill>
                <a:srgbClr val="C07F00"/>
              </a:solidFill>
              <a:prstDash val="solid"/>
            </a:ln>
          </spPr>
          <marker>
            <symbol val="none"/>
            <spPr>
              <a:ln xmlns:a="http://schemas.openxmlformats.org/drawingml/2006/main">
                <a:prstDash val="solid"/>
              </a:ln>
            </spPr>
          </marker>
          <xVal>
            <numRef>
              <f>'ElevCalc'!$AA$335:$AA$336</f>
            </numRef>
          </xVal>
          <yVal>
            <numRef>
              <f>'ElevCalc'!$AB$335:$AB$336</f>
            </numRef>
          </yVal>
          <smooth val="0"/>
        </ser>
        <ser>
          <idx val="53"/>
          <order val="53"/>
          <spPr>
            <a:ln xmlns:a="http://schemas.openxmlformats.org/drawingml/2006/main" w="50800">
              <a:solidFill>
                <a:srgbClr val="C07F00"/>
              </a:solidFill>
              <a:prstDash val="solid"/>
            </a:ln>
          </spPr>
          <marker>
            <symbol val="none"/>
            <spPr>
              <a:ln xmlns:a="http://schemas.openxmlformats.org/drawingml/2006/main">
                <a:prstDash val="solid"/>
              </a:ln>
            </spPr>
          </marker>
          <xVal>
            <numRef>
              <f>'ElevCalc'!$AA$338:$AA$339</f>
            </numRef>
          </xVal>
          <yVal>
            <numRef>
              <f>'ElevCalc'!$AB$338:$AB$339</f>
            </numRef>
          </yVal>
          <smooth val="0"/>
        </ser>
        <ser>
          <idx val="54"/>
          <order val="54"/>
          <tx>
            <strRef>
              <f>'ElevCalc'!$AC$341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'ElevCalc'!$AA$341</f>
            </numRef>
          </xVal>
          <yVal>
            <numRef>
              <f>'ElevCalc'!$AB$341</f>
            </numRef>
          </yVal>
          <smooth val="0"/>
        </ser>
        <ser>
          <idx val="55"/>
          <order val="55"/>
          <tx>
            <strRef>
              <f>'ElevCalc'!$AC$343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'ElevCalc'!$AA$343</f>
            </numRef>
          </xVal>
          <yVal>
            <numRef>
              <f>'ElevCalc'!$AB$343</f>
            </numRef>
          </yVal>
          <smooth val="0"/>
        </ser>
        <ser>
          <idx val="56"/>
          <order val="56"/>
          <spPr>
            <a:ln xmlns:a="http://schemas.openxmlformats.org/drawingml/2006/main" w="38100">
              <a:solidFill>
                <a:srgbClr val="C07F00"/>
              </a:solidFill>
              <a:prstDash val="solid"/>
            </a:ln>
          </spPr>
          <marker>
            <symbol val="none"/>
            <spPr>
              <a:ln xmlns:a="http://schemas.openxmlformats.org/drawingml/2006/main">
                <a:prstDash val="solid"/>
              </a:ln>
            </spPr>
          </marker>
          <xVal>
            <numRef>
              <f>'ElevCalc'!$AA$345:$AA$346</f>
            </numRef>
          </xVal>
          <yVal>
            <numRef>
              <f>'ElevCalc'!$AB$345:$AB$346</f>
            </numRef>
          </yVal>
          <smooth val="0"/>
        </ser>
        <ser>
          <idx val="57"/>
          <order val="57"/>
          <spPr>
            <a:ln xmlns:a="http://schemas.openxmlformats.org/drawingml/2006/main" w="38100">
              <a:solidFill>
                <a:srgbClr val="C07F00"/>
              </a:solidFill>
              <a:prstDash val="solid"/>
            </a:ln>
          </spPr>
          <marker>
            <symbol val="none"/>
            <spPr>
              <a:ln xmlns:a="http://schemas.openxmlformats.org/drawingml/2006/main">
                <a:prstDash val="solid"/>
              </a:ln>
            </spPr>
          </marker>
          <xVal>
            <numRef>
              <f>'ElevCalc'!$AA$348:$AA$349</f>
            </numRef>
          </xVal>
          <yVal>
            <numRef>
              <f>'ElevCalc'!$AB$348:$AB$349</f>
            </numRef>
          </yVal>
          <smooth val="0"/>
        </ser>
        <ser>
          <idx val="58"/>
          <order val="58"/>
          <spPr>
            <a:ln xmlns:a="http://schemas.openxmlformats.org/drawingml/2006/main">
              <a:noFill/>
              <a:prstDash val="solid"/>
            </a:ln>
          </spPr>
          <marker>
            <symbol val="circle"/>
            <size val="7"/>
            <spPr>
              <a:solidFill xmlns:a="http://schemas.openxmlformats.org/drawingml/2006/main">
                <a:srgbClr val="B23A1C"/>
              </a:solidFill>
              <a:ln xmlns:a="http://schemas.openxmlformats.org/drawingml/2006/main">
                <a:solidFill>
                  <a:srgbClr val="B23A1C"/>
                </a:solidFill>
                <a:prstDash val="solid"/>
              </a:ln>
            </spPr>
          </marker>
          <xVal>
            <numRef>
              <f>'ElevCalc'!$AA$351</f>
            </numRef>
          </xVal>
          <yVal>
            <numRef>
              <f>'ElevCalc'!$AB$351</f>
            </numRef>
          </yVal>
          <smooth val="0"/>
        </ser>
        <ser>
          <idx val="59"/>
          <order val="59"/>
          <tx>
            <strRef>
              <f>'ElevCalc'!$AC$353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'ElevCalc'!$AA$353</f>
            </numRef>
          </xVal>
          <yVal>
            <numRef>
              <f>'ElevCalc'!$AB$353</f>
            </numRef>
          </yVal>
          <smooth val="0"/>
        </ser>
        <ser>
          <idx val="60"/>
          <order val="60"/>
          <tx>
            <strRef>
              <f>'ElevCalc'!$AC$355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'ElevCalc'!$AA$355</f>
            </numRef>
          </xVal>
          <yVal>
            <numRef>
              <f>'ElevCalc'!$AB$355</f>
            </numRef>
          </yVal>
          <smooth val="0"/>
        </ser>
        <ser>
          <idx val="61"/>
          <order val="61"/>
          <spPr>
            <a:ln xmlns:a="http://schemas.openxmlformats.org/drawingml/2006/main" w="38100">
              <a:solidFill>
                <a:srgbClr val="B23A1C"/>
              </a:solidFill>
              <a:prstDash val="solid"/>
            </a:ln>
          </spPr>
          <marker>
            <symbol val="none"/>
            <spPr>
              <a:ln xmlns:a="http://schemas.openxmlformats.org/drawingml/2006/main">
                <a:prstDash val="solid"/>
              </a:ln>
            </spPr>
          </marker>
          <xVal>
            <numRef>
              <f>'ElevCalc'!$AA$357:$AA$358</f>
            </numRef>
          </xVal>
          <yVal>
            <numRef>
              <f>'ElevCalc'!$AB$357:$AB$358</f>
            </numRef>
          </yVal>
          <smooth val="0"/>
        </ser>
        <ser>
          <idx val="62"/>
          <order val="62"/>
          <spPr>
            <a:ln xmlns:a="http://schemas.openxmlformats.org/drawingml/2006/main" w="31750">
              <a:solidFill>
                <a:srgbClr val="5B6770"/>
              </a:solidFill>
              <a:prstDash val="solid"/>
            </a:ln>
          </spPr>
          <marker>
            <symbol val="none"/>
            <spPr>
              <a:ln xmlns:a="http://schemas.openxmlformats.org/drawingml/2006/main">
                <a:prstDash val="solid"/>
              </a:ln>
            </spPr>
          </marker>
          <xVal>
            <numRef>
              <f>'ElevCalc'!$AA$360:$AA$361</f>
            </numRef>
          </xVal>
          <yVal>
            <numRef>
              <f>'ElevCalc'!$AB$360:$AB$361</f>
            </numRef>
          </yVal>
          <smooth val="0"/>
        </ser>
        <ser>
          <idx val="63"/>
          <order val="63"/>
          <spPr>
            <a:ln xmlns:a="http://schemas.openxmlformats.org/drawingml/2006/main" w="7620">
              <a:solidFill>
                <a:srgbClr val="7B8794"/>
              </a:solidFill>
              <a:prstDash val="solid"/>
            </a:ln>
          </spPr>
          <marker>
            <symbol val="none"/>
            <spPr>
              <a:ln xmlns:a="http://schemas.openxmlformats.org/drawingml/2006/main">
                <a:prstDash val="solid"/>
              </a:ln>
            </spPr>
          </marker>
          <xVal>
            <numRef>
              <f>'ElevCalc'!$AA$363:$AA$368</f>
            </numRef>
          </xVal>
          <yVal>
            <numRef>
              <f>'ElevCalc'!$AB$363:$AB$368</f>
            </numRef>
          </yVal>
          <smooth val="0"/>
        </ser>
        <ser>
          <idx val="64"/>
          <order val="64"/>
          <tx>
            <strRef>
              <f>'ElevCalc'!$AC$370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t"/>
            <showLegendKey val="0"/>
            <showVal val="0"/>
            <showCatName val="0"/>
            <showSerName val="1"/>
            <showPercent val="0"/>
          </dLbls>
          <xVal>
            <numRef>
              <f>'ElevCalc'!$AA$370</f>
            </numRef>
          </xVal>
          <yVal>
            <numRef>
              <f>'ElevCalc'!$AB$370</f>
            </numRef>
          </yVal>
          <smooth val="0"/>
        </ser>
        <ser>
          <idx val="65"/>
          <order val="65"/>
          <spPr>
            <a:ln xmlns:a="http://schemas.openxmlformats.org/drawingml/2006/main" w="7620">
              <a:solidFill>
                <a:srgbClr val="7B8794"/>
              </a:solidFill>
              <a:prstDash val="solid"/>
            </a:ln>
          </spPr>
          <marker>
            <symbol val="none"/>
            <spPr>
              <a:ln xmlns:a="http://schemas.openxmlformats.org/drawingml/2006/main">
                <a:prstDash val="solid"/>
              </a:ln>
            </spPr>
          </marker>
          <xVal>
            <numRef>
              <f>'ElevCalc'!$AA$372:$AA$377</f>
            </numRef>
          </xVal>
          <yVal>
            <numRef>
              <f>'ElevCalc'!$AB$372:$AB$377</f>
            </numRef>
          </yVal>
          <smooth val="0"/>
        </ser>
        <ser>
          <idx val="66"/>
          <order val="66"/>
          <tx>
            <strRef>
              <f>'ElevCalc'!$AC$379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b"/>
            <showLegendKey val="0"/>
            <showVal val="0"/>
            <showCatName val="0"/>
            <showSerName val="1"/>
            <showPercent val="0"/>
          </dLbls>
          <xVal>
            <numRef>
              <f>'ElevCalc'!$AA$379</f>
            </numRef>
          </xVal>
          <yVal>
            <numRef>
              <f>'ElevCalc'!$AB$379</f>
            </numRef>
          </yVal>
          <smooth val="0"/>
        </ser>
        <ser>
          <idx val="67"/>
          <order val="67"/>
          <spPr>
            <a:ln xmlns:a="http://schemas.openxmlformats.org/drawingml/2006/main" w="7620">
              <a:solidFill>
                <a:srgbClr val="7B8794"/>
              </a:solidFill>
              <a:prstDash val="solid"/>
            </a:ln>
          </spPr>
          <marker>
            <symbol val="none"/>
            <spPr>
              <a:ln xmlns:a="http://schemas.openxmlformats.org/drawingml/2006/main">
                <a:prstDash val="solid"/>
              </a:ln>
            </spPr>
          </marker>
          <xVal>
            <numRef>
              <f>'ElevCalc'!$AA$381:$AA$386</f>
            </numRef>
          </xVal>
          <yVal>
            <numRef>
              <f>'ElevCalc'!$AB$381:$AB$386</f>
            </numRef>
          </yVal>
          <smooth val="0"/>
        </ser>
        <ser>
          <idx val="68"/>
          <order val="68"/>
          <tx>
            <strRef>
              <f>'ElevCalc'!$AC$388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r"/>
            <showLegendKey val="0"/>
            <showVal val="0"/>
            <showCatName val="0"/>
            <showSerName val="1"/>
            <showPercent val="0"/>
          </dLbls>
          <xVal>
            <numRef>
              <f>'ElevCalc'!$AA$388</f>
            </numRef>
          </xVal>
          <yVal>
            <numRef>
              <f>'ElevCalc'!$AB$388</f>
            </numRef>
          </yVal>
          <smooth val="0"/>
        </ser>
        <ser>
          <idx val="69"/>
          <order val="69"/>
          <spPr>
            <a:ln xmlns:a="http://schemas.openxmlformats.org/drawingml/2006/main" w="7620">
              <a:solidFill>
                <a:srgbClr val="7B8794"/>
              </a:solidFill>
              <a:prstDash val="solid"/>
            </a:ln>
          </spPr>
          <marker>
            <symbol val="none"/>
            <spPr>
              <a:ln xmlns:a="http://schemas.openxmlformats.org/drawingml/2006/main">
                <a:prstDash val="solid"/>
              </a:ln>
            </spPr>
          </marker>
          <xVal>
            <numRef>
              <f>'ElevCalc'!$AA$390:$AA$395</f>
            </numRef>
          </xVal>
          <yVal>
            <numRef>
              <f>'ElevCalc'!$AB$390:$AB$395</f>
            </numRef>
          </yVal>
          <smooth val="0"/>
        </ser>
        <ser>
          <idx val="70"/>
          <order val="70"/>
          <tx>
            <strRef>
              <f>'ElevCalc'!$AC$397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l"/>
            <showLegendKey val="0"/>
            <showVal val="0"/>
            <showCatName val="0"/>
            <showSerName val="1"/>
            <showPercent val="0"/>
          </dLbls>
          <xVal>
            <numRef>
              <f>'ElevCalc'!$AA$397</f>
            </numRef>
          </xVal>
          <yVal>
            <numRef>
              <f>'ElevCalc'!$AB$397</f>
            </numRef>
          </yVal>
          <smooth val="0"/>
        </ser>
        <ser>
          <idx val="71"/>
          <order val="71"/>
          <tx>
            <strRef>
              <f>'ElevCalc'!$AC$399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b"/>
            <showLegendKey val="0"/>
            <showVal val="0"/>
            <showCatName val="0"/>
            <showSerName val="1"/>
            <showPercent val="0"/>
          </dLbls>
          <xVal>
            <numRef>
              <f>'ElevCalc'!$AA$399</f>
            </numRef>
          </xVal>
          <yVal>
            <numRef>
              <f>'ElevCalc'!$AB$399</f>
            </numRef>
          </yVal>
          <smooth val="0"/>
        </ser>
        <ser>
          <idx val="72"/>
          <order val="72"/>
          <tx>
            <strRef>
              <f>'ElevCalc'!$AC$401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7B8794"/>
                    </a:solidFill>
                    <a:latin typeface="Arial"/>
                  </a:defRPr>
                </a:pPr>
                <a:r>
                  <a:t/>
                </a:r>
                <a:endParaRPr sz="592" b="0">
                  <a:solidFill>
                    <a:srgbClr val="7B8794"/>
                  </a:solidFill>
                  <a:latin typeface="Arial"/>
                </a:endParaRPr>
              </a:p>
            </txPr>
            <dLblPos val="t"/>
            <showLegendKey val="0"/>
            <showVal val="0"/>
            <showCatName val="0"/>
            <showSerName val="1"/>
            <showPercent val="0"/>
          </dLbls>
          <xVal>
            <numRef>
              <f>'ElevCalc'!$AA$401</f>
            </numRef>
          </xVal>
          <yVal>
            <numRef>
              <f>'ElevCalc'!$AB$401</f>
            </numRef>
          </yVal>
          <smooth val="0"/>
        </ser>
        <ser>
          <idx val="73"/>
          <order val="73"/>
          <tx>
            <strRef>
              <f>'ElevCalc'!$AC$403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4304A"/>
                    </a:solidFill>
                    <a:latin typeface="Arial"/>
                  </a:defRPr>
                </a:pPr>
                <a:r>
                  <a:t/>
                </a:r>
                <a:endParaRPr sz="760" b="1">
                  <a:solidFill>
                    <a:srgbClr val="14304A"/>
                  </a:solidFill>
                  <a:latin typeface="Arial"/>
                </a:endParaRPr>
              </a:p>
            </txPr>
            <dLblPos val="r"/>
            <showLegendKey val="0"/>
            <showVal val="0"/>
            <showCatName val="0"/>
            <showSerName val="1"/>
            <showPercent val="0"/>
          </dLbls>
          <xVal>
            <numRef>
              <f>'ElevCalc'!$AA$403</f>
            </numRef>
          </xVal>
          <yVal>
            <numRef>
              <f>'ElevCalc'!$AB$403</f>
            </numRef>
          </yVal>
          <smooth val="0"/>
        </ser>
        <axId val="10"/>
        <axId val="20"/>
      </scatterChart>
      <valAx>
        <axId val="10"/>
        <scaling>
          <orientation val="minMax"/>
          <max val="200"/>
          <min val="0"/>
        </scaling>
        <delete val="1"/>
        <axPos val="l"/>
        <majorTickMark val="none"/>
        <minorTickMark val="none"/>
        <crossAx val="20"/>
      </valAx>
      <valAx>
        <axId val="20"/>
        <scaling>
          <orientation val="minMax"/>
          <max val="172"/>
          <min val="-28"/>
        </scaling>
        <delete val="1"/>
        <axPos val="l"/>
        <majorTickMark val="none"/>
        <minorTickMark val="none"/>
        <crossAx val="10"/>
      </valAx>
    </plotArea>
    <plotVisOnly val="1"/>
    <dispBlanksAs val="gap"/>
  </chart>
</chartSpace>
</file>

<file path=xl/charts/chart7.xml><?xml version="1.0" encoding="utf-8"?>
<chartSpace xmlns="http://schemas.openxmlformats.org/drawingml/2006/chart">
  <style val="1"/>
  <chart>
    <plotArea>
      <scatterChart>
        <scatterStyle val="lineMarker"/>
        <ser>
          <idx val="0"/>
          <order val="0"/>
          <spPr>
            <a:ln xmlns:a="http://schemas.openxmlformats.org/drawingml/2006/main" w="31750">
              <a:solidFill>
                <a:srgbClr val="14304A"/>
              </a:solidFill>
              <a:prstDash val="solid"/>
            </a:ln>
          </spPr>
          <marker>
            <symbol val="none"/>
            <spPr>
              <a:ln xmlns:a="http://schemas.openxmlformats.org/drawingml/2006/main">
                <a:prstDash val="solid"/>
              </a:ln>
            </spPr>
          </marker>
          <xVal>
            <numRef>
              <f>'ElevCalc'!$AF$150:$AF$154</f>
            </numRef>
          </xVal>
          <yVal>
            <numRef>
              <f>'ElevCalc'!$AG$150:$AG$154</f>
            </numRef>
          </yVal>
          <smooth val="0"/>
        </ser>
        <ser>
          <idx val="1"/>
          <order val="1"/>
          <spPr>
            <a:ln xmlns:a="http://schemas.openxmlformats.org/drawingml/2006/main" w="9525">
              <a:solidFill>
                <a:srgbClr val="14304A"/>
              </a:solidFill>
              <a:prstDash val="solid"/>
            </a:ln>
          </spPr>
          <marker>
            <symbol val="none"/>
            <spPr>
              <a:ln xmlns:a="http://schemas.openxmlformats.org/drawingml/2006/main">
                <a:prstDash val="solid"/>
              </a:ln>
            </spPr>
          </marker>
          <xVal>
            <numRef>
              <f>'ElevCalc'!$AF$156:$AF$160</f>
            </numRef>
          </xVal>
          <yVal>
            <numRef>
              <f>'ElevCalc'!$AG$156:$AG$160</f>
            </numRef>
          </yVal>
          <smooth val="0"/>
        </ser>
        <ser>
          <idx val="2"/>
          <order val="2"/>
          <spPr>
            <a:ln xmlns:a="http://schemas.openxmlformats.org/drawingml/2006/main" w="9525">
              <a:solidFill>
                <a:srgbClr val="9AA5B1"/>
              </a:solidFill>
              <a:prstDash val="sysDash"/>
            </a:ln>
          </spPr>
          <marker>
            <symbol val="none"/>
            <spPr>
              <a:ln xmlns:a="http://schemas.openxmlformats.org/drawingml/2006/main">
                <a:prstDash val="solid"/>
              </a:ln>
            </spPr>
          </marker>
          <xVal>
            <numRef>
              <f>'ElevCalc'!$AF$162:$AF$166</f>
            </numRef>
          </xVal>
          <yVal>
            <numRef>
              <f>'ElevCalc'!$AG$162:$AG$166</f>
            </numRef>
          </yVal>
          <smooth val="0"/>
        </ser>
        <ser>
          <idx val="3"/>
          <order val="3"/>
          <spPr>
            <a:ln xmlns:a="http://schemas.openxmlformats.org/drawingml/2006/main" w="9525">
              <a:solidFill>
                <a:srgbClr val="9AA5B1"/>
              </a:solidFill>
              <a:prstDash val="sysDash"/>
            </a:ln>
          </spPr>
          <marker>
            <symbol val="none"/>
            <spPr>
              <a:ln xmlns:a="http://schemas.openxmlformats.org/drawingml/2006/main">
                <a:prstDash val="solid"/>
              </a:ln>
            </spPr>
          </marker>
          <xVal>
            <numRef>
              <f>'ElevCalc'!$AF$168:$AF$172</f>
            </numRef>
          </xVal>
          <yVal>
            <numRef>
              <f>'ElevCalc'!$AG$168:$AG$172</f>
            </numRef>
          </yVal>
          <smooth val="0"/>
        </ser>
        <ser>
          <idx val="4"/>
          <order val="4"/>
          <spPr>
            <a:ln xmlns:a="http://schemas.openxmlformats.org/drawingml/2006/main" w="9525">
              <a:solidFill>
                <a:srgbClr val="14304A"/>
              </a:solidFill>
              <a:prstDash val="solid"/>
            </a:ln>
          </spPr>
          <marker>
            <symbol val="none"/>
            <spPr>
              <a:ln xmlns:a="http://schemas.openxmlformats.org/drawingml/2006/main">
                <a:prstDash val="solid"/>
              </a:ln>
            </spPr>
          </marker>
          <xVal>
            <numRef>
              <f>'ElevCalc'!$AF$174:$AF$175</f>
            </numRef>
          </xVal>
          <yVal>
            <numRef>
              <f>'ElevCalc'!$AG$174:$AG$175</f>
            </numRef>
          </yVal>
          <smooth val="0"/>
        </ser>
        <ser>
          <idx val="5"/>
          <order val="5"/>
          <spPr>
            <a:ln xmlns:a="http://schemas.openxmlformats.org/drawingml/2006/main" w="12700">
              <a:solidFill>
                <a:srgbClr val="14304A"/>
              </a:solidFill>
              <a:prstDash val="solid"/>
            </a:ln>
          </spPr>
          <marker>
            <symbol val="none"/>
            <spPr>
              <a:ln xmlns:a="http://schemas.openxmlformats.org/drawingml/2006/main">
                <a:prstDash val="solid"/>
              </a:ln>
            </spPr>
          </marker>
          <xVal>
            <numRef>
              <f>'ElevCalc'!$AF$177:$AF$181</f>
            </numRef>
          </xVal>
          <yVal>
            <numRef>
              <f>'ElevCalc'!$AG$177:$AG$181</f>
            </numRef>
          </yVal>
          <smooth val="0"/>
        </ser>
        <ser>
          <idx val="6"/>
          <order val="6"/>
          <tx>
            <strRef>
              <f>'ElevCalc'!$AH$183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t"/>
            <showLegendKey val="0"/>
            <showVal val="0"/>
            <showCatName val="0"/>
            <showSerName val="1"/>
            <showPercent val="0"/>
          </dLbls>
          <xVal>
            <numRef>
              <f>'ElevCalc'!$AF$183</f>
            </numRef>
          </xVal>
          <yVal>
            <numRef>
              <f>'ElevCalc'!$AG$183</f>
            </numRef>
          </yVal>
          <smooth val="0"/>
        </ser>
        <ser>
          <idx val="7"/>
          <order val="7"/>
          <spPr>
            <a:ln xmlns:a="http://schemas.openxmlformats.org/drawingml/2006/main" w="12700">
              <a:solidFill>
                <a:srgbClr val="14304A"/>
              </a:solidFill>
              <a:prstDash val="solid"/>
            </a:ln>
          </spPr>
          <marker>
            <symbol val="none"/>
            <spPr>
              <a:ln xmlns:a="http://schemas.openxmlformats.org/drawingml/2006/main">
                <a:prstDash val="solid"/>
              </a:ln>
            </spPr>
          </marker>
          <xVal>
            <numRef>
              <f>'ElevCalc'!$AF$185:$AF$189</f>
            </numRef>
          </xVal>
          <yVal>
            <numRef>
              <f>'ElevCalc'!$AG$185:$AG$189</f>
            </numRef>
          </yVal>
          <smooth val="0"/>
        </ser>
        <ser>
          <idx val="8"/>
          <order val="8"/>
          <spPr>
            <a:ln xmlns:a="http://schemas.openxmlformats.org/drawingml/2006/main" w="12700">
              <a:solidFill>
                <a:srgbClr val="14304A"/>
              </a:solidFill>
              <a:prstDash val="solid"/>
            </a:ln>
          </spPr>
          <marker>
            <symbol val="none"/>
            <spPr>
              <a:ln xmlns:a="http://schemas.openxmlformats.org/drawingml/2006/main">
                <a:prstDash val="solid"/>
              </a:ln>
            </spPr>
          </marker>
          <xVal>
            <numRef>
              <f>'ElevCalc'!$AF$191:$AF$195</f>
            </numRef>
          </xVal>
          <yVal>
            <numRef>
              <f>'ElevCalc'!$AG$191:$AG$195</f>
            </numRef>
          </yVal>
          <smooth val="0"/>
        </ser>
        <ser>
          <idx val="9"/>
          <order val="9"/>
          <spPr>
            <a:ln xmlns:a="http://schemas.openxmlformats.org/drawingml/2006/main" w="13970">
              <a:solidFill>
                <a:srgbClr val="2B7BB9"/>
              </a:solidFill>
              <a:prstDash val="solid"/>
            </a:ln>
          </spPr>
          <marker>
            <symbol val="none"/>
            <spPr>
              <a:ln xmlns:a="http://schemas.openxmlformats.org/drawingml/2006/main">
                <a:prstDash val="solid"/>
              </a:ln>
            </spPr>
          </marker>
          <xVal>
            <numRef>
              <f>'ElevCalc'!$AF$197:$AF$201</f>
            </numRef>
          </xVal>
          <yVal>
            <numRef>
              <f>'ElevCalc'!$AG$197:$AG$201</f>
            </numRef>
          </yVal>
          <smooth val="0"/>
        </ser>
        <ser>
          <idx val="10"/>
          <order val="10"/>
          <spPr>
            <a:ln xmlns:a="http://schemas.openxmlformats.org/drawingml/2006/main" w="20320">
              <a:solidFill>
                <a:srgbClr val="2B3138"/>
              </a:solidFill>
              <a:prstDash val="solid"/>
            </a:ln>
          </spPr>
          <marker>
            <symbol val="none"/>
            <spPr>
              <a:ln xmlns:a="http://schemas.openxmlformats.org/drawingml/2006/main">
                <a:prstDash val="solid"/>
              </a:ln>
            </spPr>
          </marker>
          <xVal>
            <numRef>
              <f>'ElevCalc'!$AF$203:$AF$207</f>
            </numRef>
          </xVal>
          <yVal>
            <numRef>
              <f>'ElevCalc'!$AG$203:$AG$207</f>
            </numRef>
          </yVal>
          <smooth val="0"/>
        </ser>
        <ser>
          <idx val="11"/>
          <order val="11"/>
          <spPr>
            <a:ln xmlns:a="http://schemas.openxmlformats.org/drawingml/2006/main" w="20320">
              <a:solidFill>
                <a:srgbClr val="2B3138"/>
              </a:solidFill>
              <a:prstDash val="solid"/>
            </a:ln>
          </spPr>
          <marker>
            <symbol val="none"/>
            <spPr>
              <a:ln xmlns:a="http://schemas.openxmlformats.org/drawingml/2006/main">
                <a:prstDash val="solid"/>
              </a:ln>
            </spPr>
          </marker>
          <xVal>
            <numRef>
              <f>'ElevCalc'!$AF$209:$AF$213</f>
            </numRef>
          </xVal>
          <yVal>
            <numRef>
              <f>'ElevCalc'!$AG$209:$AG$213</f>
            </numRef>
          </yVal>
          <smooth val="0"/>
        </ser>
        <ser>
          <idx val="12"/>
          <order val="12"/>
          <spPr>
            <a:ln xmlns:a="http://schemas.openxmlformats.org/drawingml/2006/main" w="13970">
              <a:solidFill>
                <a:srgbClr val="2B7BB9"/>
              </a:solidFill>
              <a:prstDash val="solid"/>
            </a:ln>
          </spPr>
          <marker>
            <symbol val="none"/>
            <spPr>
              <a:ln xmlns:a="http://schemas.openxmlformats.org/drawingml/2006/main">
                <a:prstDash val="solid"/>
              </a:ln>
            </spPr>
          </marker>
          <xVal>
            <numRef>
              <f>'ElevCalc'!$AF$215:$AF$219</f>
            </numRef>
          </xVal>
          <yVal>
            <numRef>
              <f>'ElevCalc'!$AG$215:$AG$219</f>
            </numRef>
          </yVal>
          <smooth val="0"/>
        </ser>
        <ser>
          <idx val="13"/>
          <order val="13"/>
          <spPr>
            <a:ln xmlns:a="http://schemas.openxmlformats.org/drawingml/2006/main" w="13970">
              <a:solidFill>
                <a:srgbClr val="2B7BB9"/>
              </a:solidFill>
              <a:prstDash val="solid"/>
            </a:ln>
          </spPr>
          <marker>
            <symbol val="none"/>
            <spPr>
              <a:ln xmlns:a="http://schemas.openxmlformats.org/drawingml/2006/main">
                <a:prstDash val="solid"/>
              </a:ln>
            </spPr>
          </marker>
          <xVal>
            <numRef>
              <f>'ElevCalc'!$AF$221:$AF$225</f>
            </numRef>
          </xVal>
          <yVal>
            <numRef>
              <f>'ElevCalc'!$AG$221:$AG$225</f>
            </numRef>
          </yVal>
          <smooth val="0"/>
        </ser>
        <ser>
          <idx val="14"/>
          <order val="14"/>
          <spPr>
            <a:ln xmlns:a="http://schemas.openxmlformats.org/drawingml/2006/main" w="7620">
              <a:solidFill>
                <a:srgbClr val="2B7BB9"/>
              </a:solidFill>
              <a:prstDash val="solid"/>
            </a:ln>
          </spPr>
          <marker>
            <symbol val="none"/>
            <spPr>
              <a:ln xmlns:a="http://schemas.openxmlformats.org/drawingml/2006/main">
                <a:prstDash val="solid"/>
              </a:ln>
            </spPr>
          </marker>
          <xVal>
            <numRef>
              <f>'ElevCalc'!$AF$227:$AF$228</f>
            </numRef>
          </xVal>
          <yVal>
            <numRef>
              <f>'ElevCalc'!$AG$227:$AG$228</f>
            </numRef>
          </yVal>
          <smooth val="0"/>
        </ser>
        <ser>
          <idx val="15"/>
          <order val="15"/>
          <spPr>
            <a:ln xmlns:a="http://schemas.openxmlformats.org/drawingml/2006/main" w="7620">
              <a:solidFill>
                <a:srgbClr val="2B7BB9"/>
              </a:solidFill>
              <a:prstDash val="solid"/>
            </a:ln>
          </spPr>
          <marker>
            <symbol val="none"/>
            <spPr>
              <a:ln xmlns:a="http://schemas.openxmlformats.org/drawingml/2006/main">
                <a:prstDash val="solid"/>
              </a:ln>
            </spPr>
          </marker>
          <xVal>
            <numRef>
              <f>'ElevCalc'!$AF$230:$AF$231</f>
            </numRef>
          </xVal>
          <yVal>
            <numRef>
              <f>'ElevCalc'!$AG$230:$AG$231</f>
            </numRef>
          </yVal>
          <smooth val="0"/>
        </ser>
        <ser>
          <idx val="16"/>
          <order val="16"/>
          <spPr>
            <a:ln xmlns:a="http://schemas.openxmlformats.org/drawingml/2006/main" w="7620">
              <a:solidFill>
                <a:srgbClr val="2B7BB9"/>
              </a:solidFill>
              <a:prstDash val="solid"/>
            </a:ln>
          </spPr>
          <marker>
            <symbol val="none"/>
            <spPr>
              <a:ln xmlns:a="http://schemas.openxmlformats.org/drawingml/2006/main">
                <a:prstDash val="solid"/>
              </a:ln>
            </spPr>
          </marker>
          <xVal>
            <numRef>
              <f>'ElevCalc'!$AF$233:$AF$234</f>
            </numRef>
          </xVal>
          <yVal>
            <numRef>
              <f>'ElevCalc'!$AG$233:$AG$234</f>
            </numRef>
          </yVal>
          <smooth val="0"/>
        </ser>
        <ser>
          <idx val="17"/>
          <order val="17"/>
          <spPr>
            <a:ln xmlns:a="http://schemas.openxmlformats.org/drawingml/2006/main" w="7620">
              <a:solidFill>
                <a:srgbClr val="2B7BB9"/>
              </a:solidFill>
              <a:prstDash val="solid"/>
            </a:ln>
          </spPr>
          <marker>
            <symbol val="none"/>
            <spPr>
              <a:ln xmlns:a="http://schemas.openxmlformats.org/drawingml/2006/main">
                <a:prstDash val="solid"/>
              </a:ln>
            </spPr>
          </marker>
          <xVal>
            <numRef>
              <f>'ElevCalc'!$AF$236:$AF$237</f>
            </numRef>
          </xVal>
          <yVal>
            <numRef>
              <f>'ElevCalc'!$AG$236:$AG$237</f>
            </numRef>
          </yVal>
          <smooth val="0"/>
        </ser>
        <ser>
          <idx val="18"/>
          <order val="18"/>
          <spPr>
            <a:ln xmlns:a="http://schemas.openxmlformats.org/drawingml/2006/main" w="7620">
              <a:solidFill>
                <a:srgbClr val="2B7BB9"/>
              </a:solidFill>
              <a:prstDash val="solid"/>
            </a:ln>
          </spPr>
          <marker>
            <symbol val="none"/>
            <spPr>
              <a:ln xmlns:a="http://schemas.openxmlformats.org/drawingml/2006/main">
                <a:prstDash val="solid"/>
              </a:ln>
            </spPr>
          </marker>
          <xVal>
            <numRef>
              <f>'ElevCalc'!$AF$239:$AF$240</f>
            </numRef>
          </xVal>
          <yVal>
            <numRef>
              <f>'ElevCalc'!$AG$239:$AG$240</f>
            </numRef>
          </yVal>
          <smooth val="0"/>
        </ser>
        <ser>
          <idx val="19"/>
          <order val="19"/>
          <spPr>
            <a:ln xmlns:a="http://schemas.openxmlformats.org/drawingml/2006/main" w="7620">
              <a:solidFill>
                <a:srgbClr val="2B7BB9"/>
              </a:solidFill>
              <a:prstDash val="solid"/>
            </a:ln>
          </spPr>
          <marker>
            <symbol val="none"/>
            <spPr>
              <a:ln xmlns:a="http://schemas.openxmlformats.org/drawingml/2006/main">
                <a:prstDash val="solid"/>
              </a:ln>
            </spPr>
          </marker>
          <xVal>
            <numRef>
              <f>'ElevCalc'!$AF$242:$AF$243</f>
            </numRef>
          </xVal>
          <yVal>
            <numRef>
              <f>'ElevCalc'!$AG$242:$AG$243</f>
            </numRef>
          </yVal>
          <smooth val="0"/>
        </ser>
        <ser>
          <idx val="20"/>
          <order val="20"/>
          <spPr>
            <a:ln xmlns:a="http://schemas.openxmlformats.org/drawingml/2006/main" w="7620">
              <a:solidFill>
                <a:srgbClr val="2B7BB9"/>
              </a:solidFill>
              <a:prstDash val="solid"/>
            </a:ln>
          </spPr>
          <marker>
            <symbol val="none"/>
            <spPr>
              <a:ln xmlns:a="http://schemas.openxmlformats.org/drawingml/2006/main">
                <a:prstDash val="solid"/>
              </a:ln>
            </spPr>
          </marker>
          <xVal>
            <numRef>
              <f>'ElevCalc'!$AF$245:$AF$246</f>
            </numRef>
          </xVal>
          <yVal>
            <numRef>
              <f>'ElevCalc'!$AG$245:$AG$246</f>
            </numRef>
          </yVal>
          <smooth val="0"/>
        </ser>
        <ser>
          <idx val="21"/>
          <order val="21"/>
          <spPr>
            <a:ln xmlns:a="http://schemas.openxmlformats.org/drawingml/2006/main" w="7620">
              <a:solidFill>
                <a:srgbClr val="2B7BB9"/>
              </a:solidFill>
              <a:prstDash val="solid"/>
            </a:ln>
          </spPr>
          <marker>
            <symbol val="none"/>
            <spPr>
              <a:ln xmlns:a="http://schemas.openxmlformats.org/drawingml/2006/main">
                <a:prstDash val="solid"/>
              </a:ln>
            </spPr>
          </marker>
          <xVal>
            <numRef>
              <f>'ElevCalc'!$AF$248:$AF$249</f>
            </numRef>
          </xVal>
          <yVal>
            <numRef>
              <f>'ElevCalc'!$AG$248:$AG$249</f>
            </numRef>
          </yVal>
          <smooth val="0"/>
        </ser>
        <ser>
          <idx val="22"/>
          <order val="22"/>
          <spPr>
            <a:ln xmlns:a="http://schemas.openxmlformats.org/drawingml/2006/main" w="7620">
              <a:solidFill>
                <a:srgbClr val="2B7BB9"/>
              </a:solidFill>
              <a:prstDash val="solid"/>
            </a:ln>
          </spPr>
          <marker>
            <symbol val="none"/>
            <spPr>
              <a:ln xmlns:a="http://schemas.openxmlformats.org/drawingml/2006/main">
                <a:prstDash val="solid"/>
              </a:ln>
            </spPr>
          </marker>
          <xVal>
            <numRef>
              <f>'ElevCalc'!$AF$251:$AF$252</f>
            </numRef>
          </xVal>
          <yVal>
            <numRef>
              <f>'ElevCalc'!$AG$251:$AG$252</f>
            </numRef>
          </yVal>
          <smooth val="0"/>
        </ser>
        <ser>
          <idx val="23"/>
          <order val="23"/>
          <spPr>
            <a:ln xmlns:a="http://schemas.openxmlformats.org/drawingml/2006/main" w="7620">
              <a:solidFill>
                <a:srgbClr val="2B7BB9"/>
              </a:solidFill>
              <a:prstDash val="solid"/>
            </a:ln>
          </spPr>
          <marker>
            <symbol val="none"/>
            <spPr>
              <a:ln xmlns:a="http://schemas.openxmlformats.org/drawingml/2006/main">
                <a:prstDash val="solid"/>
              </a:ln>
            </spPr>
          </marker>
          <xVal>
            <numRef>
              <f>'ElevCalc'!$AF$254:$AF$255</f>
            </numRef>
          </xVal>
          <yVal>
            <numRef>
              <f>'ElevCalc'!$AG$254:$AG$255</f>
            </numRef>
          </yVal>
          <smooth val="0"/>
        </ser>
        <ser>
          <idx val="24"/>
          <order val="24"/>
          <spPr>
            <a:ln xmlns:a="http://schemas.openxmlformats.org/drawingml/2006/main" w="7620">
              <a:solidFill>
                <a:srgbClr val="2B7BB9"/>
              </a:solidFill>
              <a:prstDash val="solid"/>
            </a:ln>
          </spPr>
          <marker>
            <symbol val="none"/>
            <spPr>
              <a:ln xmlns:a="http://schemas.openxmlformats.org/drawingml/2006/main">
                <a:prstDash val="solid"/>
              </a:ln>
            </spPr>
          </marker>
          <xVal>
            <numRef>
              <f>'ElevCalc'!$AF$257:$AF$258</f>
            </numRef>
          </xVal>
          <yVal>
            <numRef>
              <f>'ElevCalc'!$AG$257:$AG$258</f>
            </numRef>
          </yVal>
          <smooth val="0"/>
        </ser>
        <ser>
          <idx val="25"/>
          <order val="25"/>
          <spPr>
            <a:ln xmlns:a="http://schemas.openxmlformats.org/drawingml/2006/main" w="7620">
              <a:solidFill>
                <a:srgbClr val="2B7BB9"/>
              </a:solidFill>
              <a:prstDash val="solid"/>
            </a:ln>
          </spPr>
          <marker>
            <symbol val="none"/>
            <spPr>
              <a:ln xmlns:a="http://schemas.openxmlformats.org/drawingml/2006/main">
                <a:prstDash val="solid"/>
              </a:ln>
            </spPr>
          </marker>
          <xVal>
            <numRef>
              <f>'ElevCalc'!$AF$260:$AF$261</f>
            </numRef>
          </xVal>
          <yVal>
            <numRef>
              <f>'ElevCalc'!$AG$260:$AG$261</f>
            </numRef>
          </yVal>
          <smooth val="0"/>
        </ser>
        <ser>
          <idx val="26"/>
          <order val="26"/>
          <spPr>
            <a:ln xmlns:a="http://schemas.openxmlformats.org/drawingml/2006/main" w="7620">
              <a:solidFill>
                <a:srgbClr val="2B7BB9"/>
              </a:solidFill>
              <a:prstDash val="solid"/>
            </a:ln>
          </spPr>
          <marker>
            <symbol val="none"/>
            <spPr>
              <a:ln xmlns:a="http://schemas.openxmlformats.org/drawingml/2006/main">
                <a:prstDash val="solid"/>
              </a:ln>
            </spPr>
          </marker>
          <xVal>
            <numRef>
              <f>'ElevCalc'!$AF$263:$AF$264</f>
            </numRef>
          </xVal>
          <yVal>
            <numRef>
              <f>'ElevCalc'!$AG$263:$AG$264</f>
            </numRef>
          </yVal>
          <smooth val="0"/>
        </ser>
        <ser>
          <idx val="27"/>
          <order val="27"/>
          <spPr>
            <a:ln xmlns:a="http://schemas.openxmlformats.org/drawingml/2006/main" w="7620">
              <a:solidFill>
                <a:srgbClr val="2B7BB9"/>
              </a:solidFill>
              <a:prstDash val="solid"/>
            </a:ln>
          </spPr>
          <marker>
            <symbol val="none"/>
            <spPr>
              <a:ln xmlns:a="http://schemas.openxmlformats.org/drawingml/2006/main">
                <a:prstDash val="solid"/>
              </a:ln>
            </spPr>
          </marker>
          <xVal>
            <numRef>
              <f>'ElevCalc'!$AF$266:$AF$267</f>
            </numRef>
          </xVal>
          <yVal>
            <numRef>
              <f>'ElevCalc'!$AG$266:$AG$267</f>
            </numRef>
          </yVal>
          <smooth val="0"/>
        </ser>
        <ser>
          <idx val="28"/>
          <order val="28"/>
          <spPr>
            <a:ln xmlns:a="http://schemas.openxmlformats.org/drawingml/2006/main" w="7620">
              <a:solidFill>
                <a:srgbClr val="2B7BB9"/>
              </a:solidFill>
              <a:prstDash val="solid"/>
            </a:ln>
          </spPr>
          <marker>
            <symbol val="none"/>
            <spPr>
              <a:ln xmlns:a="http://schemas.openxmlformats.org/drawingml/2006/main">
                <a:prstDash val="solid"/>
              </a:ln>
            </spPr>
          </marker>
          <xVal>
            <numRef>
              <f>'ElevCalc'!$AF$269:$AF$270</f>
            </numRef>
          </xVal>
          <yVal>
            <numRef>
              <f>'ElevCalc'!$AG$269:$AG$270</f>
            </numRef>
          </yVal>
          <smooth val="0"/>
        </ser>
        <ser>
          <idx val="29"/>
          <order val="29"/>
          <spPr>
            <a:ln xmlns:a="http://schemas.openxmlformats.org/drawingml/2006/main" w="7620">
              <a:solidFill>
                <a:srgbClr val="2B7BB9"/>
              </a:solidFill>
              <a:prstDash val="solid"/>
            </a:ln>
          </spPr>
          <marker>
            <symbol val="none"/>
            <spPr>
              <a:ln xmlns:a="http://schemas.openxmlformats.org/drawingml/2006/main">
                <a:prstDash val="solid"/>
              </a:ln>
            </spPr>
          </marker>
          <xVal>
            <numRef>
              <f>'ElevCalc'!$AF$272:$AF$273</f>
            </numRef>
          </xVal>
          <yVal>
            <numRef>
              <f>'ElevCalc'!$AG$272:$AG$273</f>
            </numRef>
          </yVal>
          <smooth val="0"/>
        </ser>
        <ser>
          <idx val="30"/>
          <order val="30"/>
          <spPr>
            <a:ln xmlns:a="http://schemas.openxmlformats.org/drawingml/2006/main" w="7620">
              <a:solidFill>
                <a:srgbClr val="2B7BB9"/>
              </a:solidFill>
              <a:prstDash val="solid"/>
            </a:ln>
          </spPr>
          <marker>
            <symbol val="none"/>
            <spPr>
              <a:ln xmlns:a="http://schemas.openxmlformats.org/drawingml/2006/main">
                <a:prstDash val="solid"/>
              </a:ln>
            </spPr>
          </marker>
          <xVal>
            <numRef>
              <f>'ElevCalc'!$AF$275:$AF$276</f>
            </numRef>
          </xVal>
          <yVal>
            <numRef>
              <f>'ElevCalc'!$AG$275:$AG$276</f>
            </numRef>
          </yVal>
          <smooth val="0"/>
        </ser>
        <ser>
          <idx val="31"/>
          <order val="31"/>
          <spPr>
            <a:ln xmlns:a="http://schemas.openxmlformats.org/drawingml/2006/main" w="7620">
              <a:solidFill>
                <a:srgbClr val="2B7BB9"/>
              </a:solidFill>
              <a:prstDash val="solid"/>
            </a:ln>
          </spPr>
          <marker>
            <symbol val="none"/>
            <spPr>
              <a:ln xmlns:a="http://schemas.openxmlformats.org/drawingml/2006/main">
                <a:prstDash val="solid"/>
              </a:ln>
            </spPr>
          </marker>
          <xVal>
            <numRef>
              <f>'ElevCalc'!$AF$278:$AF$279</f>
            </numRef>
          </xVal>
          <yVal>
            <numRef>
              <f>'ElevCalc'!$AG$278:$AG$279</f>
            </numRef>
          </yVal>
          <smooth val="0"/>
        </ser>
        <ser>
          <idx val="32"/>
          <order val="32"/>
          <spPr>
            <a:ln xmlns:a="http://schemas.openxmlformats.org/drawingml/2006/main" w="7620">
              <a:solidFill>
                <a:srgbClr val="2B7BB9"/>
              </a:solidFill>
              <a:prstDash val="solid"/>
            </a:ln>
          </spPr>
          <marker>
            <symbol val="none"/>
            <spPr>
              <a:ln xmlns:a="http://schemas.openxmlformats.org/drawingml/2006/main">
                <a:prstDash val="solid"/>
              </a:ln>
            </spPr>
          </marker>
          <xVal>
            <numRef>
              <f>'ElevCalc'!$AF$281:$AF$282</f>
            </numRef>
          </xVal>
          <yVal>
            <numRef>
              <f>'ElevCalc'!$AG$281:$AG$282</f>
            </numRef>
          </yVal>
          <smooth val="0"/>
        </ser>
        <ser>
          <idx val="33"/>
          <order val="33"/>
          <spPr>
            <a:ln xmlns:a="http://schemas.openxmlformats.org/drawingml/2006/main" w="7620">
              <a:solidFill>
                <a:srgbClr val="2B7BB9"/>
              </a:solidFill>
              <a:prstDash val="solid"/>
            </a:ln>
          </spPr>
          <marker>
            <symbol val="none"/>
            <spPr>
              <a:ln xmlns:a="http://schemas.openxmlformats.org/drawingml/2006/main">
                <a:prstDash val="solid"/>
              </a:ln>
            </spPr>
          </marker>
          <xVal>
            <numRef>
              <f>'ElevCalc'!$AF$284:$AF$285</f>
            </numRef>
          </xVal>
          <yVal>
            <numRef>
              <f>'ElevCalc'!$AG$284:$AG$285</f>
            </numRef>
          </yVal>
          <smooth val="0"/>
        </ser>
        <ser>
          <idx val="34"/>
          <order val="34"/>
          <spPr>
            <a:ln xmlns:a="http://schemas.openxmlformats.org/drawingml/2006/main" w="9525">
              <a:solidFill>
                <a:srgbClr val="8895A2"/>
              </a:solidFill>
              <a:prstDash val="dash"/>
            </a:ln>
          </spPr>
          <marker>
            <symbol val="none"/>
            <spPr>
              <a:ln xmlns:a="http://schemas.openxmlformats.org/drawingml/2006/main">
                <a:prstDash val="solid"/>
              </a:ln>
            </spPr>
          </marker>
          <xVal>
            <numRef>
              <f>'ElevCalc'!$AF$287:$AF$289</f>
            </numRef>
          </xVal>
          <yVal>
            <numRef>
              <f>'ElevCalc'!$AG$287:$AG$289</f>
            </numRef>
          </yVal>
          <smooth val="0"/>
        </ser>
        <ser>
          <idx val="35"/>
          <order val="35"/>
          <spPr>
            <a:ln xmlns:a="http://schemas.openxmlformats.org/drawingml/2006/main" w="9525">
              <a:solidFill>
                <a:srgbClr val="8895A2"/>
              </a:solidFill>
              <a:prstDash val="dash"/>
            </a:ln>
          </spPr>
          <marker>
            <symbol val="none"/>
            <spPr>
              <a:ln xmlns:a="http://schemas.openxmlformats.org/drawingml/2006/main">
                <a:prstDash val="solid"/>
              </a:ln>
            </spPr>
          </marker>
          <xVal>
            <numRef>
              <f>'ElevCalc'!$AF$291:$AF$293</f>
            </numRef>
          </xVal>
          <yVal>
            <numRef>
              <f>'ElevCalc'!$AG$291:$AG$293</f>
            </numRef>
          </yVal>
          <smooth val="0"/>
        </ser>
        <ser>
          <idx val="36"/>
          <order val="36"/>
          <spPr>
            <a:ln xmlns:a="http://schemas.openxmlformats.org/drawingml/2006/main" w="50800">
              <a:solidFill>
                <a:srgbClr val="C07F00"/>
              </a:solidFill>
              <a:prstDash val="solid"/>
            </a:ln>
          </spPr>
          <marker>
            <symbol val="none"/>
            <spPr>
              <a:ln xmlns:a="http://schemas.openxmlformats.org/drawingml/2006/main">
                <a:prstDash val="solid"/>
              </a:ln>
            </spPr>
          </marker>
          <xVal>
            <numRef>
              <f>'ElevCalc'!$AF$295:$AF$296</f>
            </numRef>
          </xVal>
          <yVal>
            <numRef>
              <f>'ElevCalc'!$AG$295:$AG$296</f>
            </numRef>
          </yVal>
          <smooth val="0"/>
        </ser>
        <ser>
          <idx val="37"/>
          <order val="37"/>
          <spPr>
            <a:ln xmlns:a="http://schemas.openxmlformats.org/drawingml/2006/main" w="50800">
              <a:solidFill>
                <a:srgbClr val="C07F00"/>
              </a:solidFill>
              <a:prstDash val="solid"/>
            </a:ln>
          </spPr>
          <marker>
            <symbol val="none"/>
            <spPr>
              <a:ln xmlns:a="http://schemas.openxmlformats.org/drawingml/2006/main">
                <a:prstDash val="solid"/>
              </a:ln>
            </spPr>
          </marker>
          <xVal>
            <numRef>
              <f>'ElevCalc'!$AF$298:$AF$299</f>
            </numRef>
          </xVal>
          <yVal>
            <numRef>
              <f>'ElevCalc'!$AG$298:$AG$299</f>
            </numRef>
          </yVal>
          <smooth val="0"/>
        </ser>
        <ser>
          <idx val="38"/>
          <order val="38"/>
          <tx>
            <strRef>
              <f>'ElevCalc'!$AH$301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'ElevCalc'!$AF$301</f>
            </numRef>
          </xVal>
          <yVal>
            <numRef>
              <f>'ElevCalc'!$AG$301</f>
            </numRef>
          </yVal>
          <smooth val="0"/>
        </ser>
        <ser>
          <idx val="39"/>
          <order val="39"/>
          <tx>
            <strRef>
              <f>'ElevCalc'!$AH$303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'ElevCalc'!$AF$303</f>
            </numRef>
          </xVal>
          <yVal>
            <numRef>
              <f>'ElevCalc'!$AG$303</f>
            </numRef>
          </yVal>
          <smooth val="0"/>
        </ser>
        <ser>
          <idx val="40"/>
          <order val="40"/>
          <spPr>
            <a:ln xmlns:a="http://schemas.openxmlformats.org/drawingml/2006/main" w="50800">
              <a:solidFill>
                <a:srgbClr val="C07F00"/>
              </a:solidFill>
              <a:prstDash val="solid"/>
            </a:ln>
          </spPr>
          <marker>
            <symbol val="none"/>
            <spPr>
              <a:ln xmlns:a="http://schemas.openxmlformats.org/drawingml/2006/main">
                <a:prstDash val="solid"/>
              </a:ln>
            </spPr>
          </marker>
          <xVal>
            <numRef>
              <f>'ElevCalc'!$AF$305:$AF$306</f>
            </numRef>
          </xVal>
          <yVal>
            <numRef>
              <f>'ElevCalc'!$AG$305:$AG$306</f>
            </numRef>
          </yVal>
          <smooth val="0"/>
        </ser>
        <ser>
          <idx val="41"/>
          <order val="41"/>
          <spPr>
            <a:ln xmlns:a="http://schemas.openxmlformats.org/drawingml/2006/main" w="50800">
              <a:solidFill>
                <a:srgbClr val="C07F00"/>
              </a:solidFill>
              <a:prstDash val="solid"/>
            </a:ln>
          </spPr>
          <marker>
            <symbol val="none"/>
            <spPr>
              <a:ln xmlns:a="http://schemas.openxmlformats.org/drawingml/2006/main">
                <a:prstDash val="solid"/>
              </a:ln>
            </spPr>
          </marker>
          <xVal>
            <numRef>
              <f>'ElevCalc'!$AF$308:$AF$309</f>
            </numRef>
          </xVal>
          <yVal>
            <numRef>
              <f>'ElevCalc'!$AG$308:$AG$309</f>
            </numRef>
          </yVal>
          <smooth val="0"/>
        </ser>
        <ser>
          <idx val="42"/>
          <order val="42"/>
          <tx>
            <strRef>
              <f>'ElevCalc'!$AH$311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'ElevCalc'!$AF$311</f>
            </numRef>
          </xVal>
          <yVal>
            <numRef>
              <f>'ElevCalc'!$AG$311</f>
            </numRef>
          </yVal>
          <smooth val="0"/>
        </ser>
        <ser>
          <idx val="43"/>
          <order val="43"/>
          <tx>
            <strRef>
              <f>'ElevCalc'!$AH$313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'ElevCalc'!$AF$313</f>
            </numRef>
          </xVal>
          <yVal>
            <numRef>
              <f>'ElevCalc'!$AG$313</f>
            </numRef>
          </yVal>
          <smooth val="0"/>
        </ser>
        <ser>
          <idx val="44"/>
          <order val="44"/>
          <spPr>
            <a:ln xmlns:a="http://schemas.openxmlformats.org/drawingml/2006/main" w="50800">
              <a:solidFill>
                <a:srgbClr val="C07F00"/>
              </a:solidFill>
              <a:prstDash val="solid"/>
            </a:ln>
          </spPr>
          <marker>
            <symbol val="none"/>
            <spPr>
              <a:ln xmlns:a="http://schemas.openxmlformats.org/drawingml/2006/main">
                <a:prstDash val="solid"/>
              </a:ln>
            </spPr>
          </marker>
          <xVal>
            <numRef>
              <f>'ElevCalc'!$AF$315:$AF$316</f>
            </numRef>
          </xVal>
          <yVal>
            <numRef>
              <f>'ElevCalc'!$AG$315:$AG$316</f>
            </numRef>
          </yVal>
          <smooth val="0"/>
        </ser>
        <ser>
          <idx val="45"/>
          <order val="45"/>
          <spPr>
            <a:ln xmlns:a="http://schemas.openxmlformats.org/drawingml/2006/main" w="50800">
              <a:solidFill>
                <a:srgbClr val="C07F00"/>
              </a:solidFill>
              <a:prstDash val="solid"/>
            </a:ln>
          </spPr>
          <marker>
            <symbol val="none"/>
            <spPr>
              <a:ln xmlns:a="http://schemas.openxmlformats.org/drawingml/2006/main">
                <a:prstDash val="solid"/>
              </a:ln>
            </spPr>
          </marker>
          <xVal>
            <numRef>
              <f>'ElevCalc'!$AF$318:$AF$319</f>
            </numRef>
          </xVal>
          <yVal>
            <numRef>
              <f>'ElevCalc'!$AG$318:$AG$319</f>
            </numRef>
          </yVal>
          <smooth val="0"/>
        </ser>
        <ser>
          <idx val="46"/>
          <order val="46"/>
          <tx>
            <strRef>
              <f>'ElevCalc'!$AH$321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'ElevCalc'!$AF$321</f>
            </numRef>
          </xVal>
          <yVal>
            <numRef>
              <f>'ElevCalc'!$AG$321</f>
            </numRef>
          </yVal>
          <smooth val="0"/>
        </ser>
        <ser>
          <idx val="47"/>
          <order val="47"/>
          <tx>
            <strRef>
              <f>'ElevCalc'!$AH$323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'ElevCalc'!$AF$323</f>
            </numRef>
          </xVal>
          <yVal>
            <numRef>
              <f>'ElevCalc'!$AG$323</f>
            </numRef>
          </yVal>
          <smooth val="0"/>
        </ser>
        <ser>
          <idx val="48"/>
          <order val="48"/>
          <spPr>
            <a:ln xmlns:a="http://schemas.openxmlformats.org/drawingml/2006/main" w="50800">
              <a:solidFill>
                <a:srgbClr val="C07F00"/>
              </a:solidFill>
              <a:prstDash val="solid"/>
            </a:ln>
          </spPr>
          <marker>
            <symbol val="none"/>
            <spPr>
              <a:ln xmlns:a="http://schemas.openxmlformats.org/drawingml/2006/main">
                <a:prstDash val="solid"/>
              </a:ln>
            </spPr>
          </marker>
          <xVal>
            <numRef>
              <f>'ElevCalc'!$AF$325:$AF$326</f>
            </numRef>
          </xVal>
          <yVal>
            <numRef>
              <f>'ElevCalc'!$AG$325:$AG$326</f>
            </numRef>
          </yVal>
          <smooth val="0"/>
        </ser>
        <ser>
          <idx val="49"/>
          <order val="49"/>
          <spPr>
            <a:ln xmlns:a="http://schemas.openxmlformats.org/drawingml/2006/main" w="50800">
              <a:solidFill>
                <a:srgbClr val="C07F00"/>
              </a:solidFill>
              <a:prstDash val="solid"/>
            </a:ln>
          </spPr>
          <marker>
            <symbol val="none"/>
            <spPr>
              <a:ln xmlns:a="http://schemas.openxmlformats.org/drawingml/2006/main">
                <a:prstDash val="solid"/>
              </a:ln>
            </spPr>
          </marker>
          <xVal>
            <numRef>
              <f>'ElevCalc'!$AF$328:$AF$329</f>
            </numRef>
          </xVal>
          <yVal>
            <numRef>
              <f>'ElevCalc'!$AG$328:$AG$329</f>
            </numRef>
          </yVal>
          <smooth val="0"/>
        </ser>
        <ser>
          <idx val="50"/>
          <order val="50"/>
          <tx>
            <strRef>
              <f>'ElevCalc'!$AH$331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'ElevCalc'!$AF$331</f>
            </numRef>
          </xVal>
          <yVal>
            <numRef>
              <f>'ElevCalc'!$AG$331</f>
            </numRef>
          </yVal>
          <smooth val="0"/>
        </ser>
        <ser>
          <idx val="51"/>
          <order val="51"/>
          <tx>
            <strRef>
              <f>'ElevCalc'!$AH$333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'ElevCalc'!$AF$333</f>
            </numRef>
          </xVal>
          <yVal>
            <numRef>
              <f>'ElevCalc'!$AG$333</f>
            </numRef>
          </yVal>
          <smooth val="0"/>
        </ser>
        <ser>
          <idx val="52"/>
          <order val="52"/>
          <spPr>
            <a:ln xmlns:a="http://schemas.openxmlformats.org/drawingml/2006/main" w="50800">
              <a:solidFill>
                <a:srgbClr val="C07F00"/>
              </a:solidFill>
              <a:prstDash val="solid"/>
            </a:ln>
          </spPr>
          <marker>
            <symbol val="none"/>
            <spPr>
              <a:ln xmlns:a="http://schemas.openxmlformats.org/drawingml/2006/main">
                <a:prstDash val="solid"/>
              </a:ln>
            </spPr>
          </marker>
          <xVal>
            <numRef>
              <f>'ElevCalc'!$AF$335:$AF$336</f>
            </numRef>
          </xVal>
          <yVal>
            <numRef>
              <f>'ElevCalc'!$AG$335:$AG$336</f>
            </numRef>
          </yVal>
          <smooth val="0"/>
        </ser>
        <ser>
          <idx val="53"/>
          <order val="53"/>
          <spPr>
            <a:ln xmlns:a="http://schemas.openxmlformats.org/drawingml/2006/main" w="50800">
              <a:solidFill>
                <a:srgbClr val="C07F00"/>
              </a:solidFill>
              <a:prstDash val="solid"/>
            </a:ln>
          </spPr>
          <marker>
            <symbol val="none"/>
            <spPr>
              <a:ln xmlns:a="http://schemas.openxmlformats.org/drawingml/2006/main">
                <a:prstDash val="solid"/>
              </a:ln>
            </spPr>
          </marker>
          <xVal>
            <numRef>
              <f>'ElevCalc'!$AF$338:$AF$339</f>
            </numRef>
          </xVal>
          <yVal>
            <numRef>
              <f>'ElevCalc'!$AG$338:$AG$339</f>
            </numRef>
          </yVal>
          <smooth val="0"/>
        </ser>
        <ser>
          <idx val="54"/>
          <order val="54"/>
          <tx>
            <strRef>
              <f>'ElevCalc'!$AH$341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'ElevCalc'!$AF$341</f>
            </numRef>
          </xVal>
          <yVal>
            <numRef>
              <f>'ElevCalc'!$AG$341</f>
            </numRef>
          </yVal>
          <smooth val="0"/>
        </ser>
        <ser>
          <idx val="55"/>
          <order val="55"/>
          <tx>
            <strRef>
              <f>'ElevCalc'!$AH$343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'ElevCalc'!$AF$343</f>
            </numRef>
          </xVal>
          <yVal>
            <numRef>
              <f>'ElevCalc'!$AG$343</f>
            </numRef>
          </yVal>
          <smooth val="0"/>
        </ser>
        <ser>
          <idx val="56"/>
          <order val="56"/>
          <spPr>
            <a:ln xmlns:a="http://schemas.openxmlformats.org/drawingml/2006/main" w="38100">
              <a:solidFill>
                <a:srgbClr val="C07F00"/>
              </a:solidFill>
              <a:prstDash val="solid"/>
            </a:ln>
          </spPr>
          <marker>
            <symbol val="none"/>
            <spPr>
              <a:ln xmlns:a="http://schemas.openxmlformats.org/drawingml/2006/main">
                <a:prstDash val="solid"/>
              </a:ln>
            </spPr>
          </marker>
          <xVal>
            <numRef>
              <f>'ElevCalc'!$AF$345:$AF$346</f>
            </numRef>
          </xVal>
          <yVal>
            <numRef>
              <f>'ElevCalc'!$AG$345:$AG$346</f>
            </numRef>
          </yVal>
          <smooth val="0"/>
        </ser>
        <ser>
          <idx val="57"/>
          <order val="57"/>
          <spPr>
            <a:ln xmlns:a="http://schemas.openxmlformats.org/drawingml/2006/main" w="38100">
              <a:solidFill>
                <a:srgbClr val="C07F00"/>
              </a:solidFill>
              <a:prstDash val="solid"/>
            </a:ln>
          </spPr>
          <marker>
            <symbol val="none"/>
            <spPr>
              <a:ln xmlns:a="http://schemas.openxmlformats.org/drawingml/2006/main">
                <a:prstDash val="solid"/>
              </a:ln>
            </spPr>
          </marker>
          <xVal>
            <numRef>
              <f>'ElevCalc'!$AF$348:$AF$349</f>
            </numRef>
          </xVal>
          <yVal>
            <numRef>
              <f>'ElevCalc'!$AG$348:$AG$349</f>
            </numRef>
          </yVal>
          <smooth val="0"/>
        </ser>
        <ser>
          <idx val="58"/>
          <order val="58"/>
          <spPr>
            <a:ln xmlns:a="http://schemas.openxmlformats.org/drawingml/2006/main">
              <a:noFill/>
              <a:prstDash val="solid"/>
            </a:ln>
          </spPr>
          <marker>
            <symbol val="circle"/>
            <size val="7"/>
            <spPr>
              <a:solidFill xmlns:a="http://schemas.openxmlformats.org/drawingml/2006/main">
                <a:srgbClr val="B23A1C"/>
              </a:solidFill>
              <a:ln xmlns:a="http://schemas.openxmlformats.org/drawingml/2006/main">
                <a:solidFill>
                  <a:srgbClr val="B23A1C"/>
                </a:solidFill>
                <a:prstDash val="solid"/>
              </a:ln>
            </spPr>
          </marker>
          <xVal>
            <numRef>
              <f>'ElevCalc'!$AF$351</f>
            </numRef>
          </xVal>
          <yVal>
            <numRef>
              <f>'ElevCalc'!$AG$351</f>
            </numRef>
          </yVal>
          <smooth val="0"/>
        </ser>
        <ser>
          <idx val="59"/>
          <order val="59"/>
          <tx>
            <strRef>
              <f>'ElevCalc'!$AH$353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l"/>
            <showLegendKey val="0"/>
            <showVal val="0"/>
            <showCatName val="0"/>
            <showSerName val="1"/>
            <showPercent val="0"/>
          </dLbls>
          <xVal>
            <numRef>
              <f>'ElevCalc'!$AF$353</f>
            </numRef>
          </xVal>
          <yVal>
            <numRef>
              <f>'ElevCalc'!$AG$353</f>
            </numRef>
          </yVal>
          <smooth val="0"/>
        </ser>
        <ser>
          <idx val="60"/>
          <order val="60"/>
          <tx>
            <strRef>
              <f>'ElevCalc'!$AH$355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1">
                    <a:solidFill>
                      <a:srgbClr val="8A5A00"/>
                    </a:solidFill>
                    <a:latin typeface="Arial"/>
                  </a:defRPr>
                </a:pPr>
                <a:r>
                  <a:t/>
                </a:r>
                <a:endParaRPr sz="592" b="1">
                  <a:solidFill>
                    <a:srgbClr val="8A5A00"/>
                  </a:solidFill>
                  <a:latin typeface="Arial"/>
                </a:endParaRPr>
              </a:p>
            </txPr>
            <dLblPos val="r"/>
            <showLegendKey val="0"/>
            <showVal val="0"/>
            <showCatName val="0"/>
            <showSerName val="1"/>
            <showPercent val="0"/>
          </dLbls>
          <xVal>
            <numRef>
              <f>'ElevCalc'!$AF$355</f>
            </numRef>
          </xVal>
          <yVal>
            <numRef>
              <f>'ElevCalc'!$AG$355</f>
            </numRef>
          </yVal>
          <smooth val="0"/>
        </ser>
        <ser>
          <idx val="61"/>
          <order val="61"/>
          <spPr>
            <a:ln xmlns:a="http://schemas.openxmlformats.org/drawingml/2006/main" w="38100">
              <a:solidFill>
                <a:srgbClr val="B23A1C"/>
              </a:solidFill>
              <a:prstDash val="solid"/>
            </a:ln>
          </spPr>
          <marker>
            <symbol val="none"/>
            <spPr>
              <a:ln xmlns:a="http://schemas.openxmlformats.org/drawingml/2006/main">
                <a:prstDash val="solid"/>
              </a:ln>
            </spPr>
          </marker>
          <xVal>
            <numRef>
              <f>'ElevCalc'!$AF$357:$AF$358</f>
            </numRef>
          </xVal>
          <yVal>
            <numRef>
              <f>'ElevCalc'!$AG$357:$AG$358</f>
            </numRef>
          </yVal>
          <smooth val="0"/>
        </ser>
        <ser>
          <idx val="62"/>
          <order val="62"/>
          <spPr>
            <a:ln xmlns:a="http://schemas.openxmlformats.org/drawingml/2006/main" w="31750">
              <a:solidFill>
                <a:srgbClr val="5B6770"/>
              </a:solidFill>
              <a:prstDash val="solid"/>
            </a:ln>
          </spPr>
          <marker>
            <symbol val="none"/>
            <spPr>
              <a:ln xmlns:a="http://schemas.openxmlformats.org/drawingml/2006/main">
                <a:prstDash val="solid"/>
              </a:ln>
            </spPr>
          </marker>
          <xVal>
            <numRef>
              <f>'ElevCalc'!$AF$360:$AF$361</f>
            </numRef>
          </xVal>
          <yVal>
            <numRef>
              <f>'ElevCalc'!$AG$360:$AG$361</f>
            </numRef>
          </yVal>
          <smooth val="0"/>
        </ser>
        <ser>
          <idx val="63"/>
          <order val="63"/>
          <spPr>
            <a:ln xmlns:a="http://schemas.openxmlformats.org/drawingml/2006/main" w="7620">
              <a:solidFill>
                <a:srgbClr val="7B8794"/>
              </a:solidFill>
              <a:prstDash val="solid"/>
            </a:ln>
          </spPr>
          <marker>
            <symbol val="none"/>
            <spPr>
              <a:ln xmlns:a="http://schemas.openxmlformats.org/drawingml/2006/main">
                <a:prstDash val="solid"/>
              </a:ln>
            </spPr>
          </marker>
          <xVal>
            <numRef>
              <f>'ElevCalc'!$AF$363:$AF$368</f>
            </numRef>
          </xVal>
          <yVal>
            <numRef>
              <f>'ElevCalc'!$AG$363:$AG$368</f>
            </numRef>
          </yVal>
          <smooth val="0"/>
        </ser>
        <ser>
          <idx val="64"/>
          <order val="64"/>
          <tx>
            <strRef>
              <f>'ElevCalc'!$AH$370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t"/>
            <showLegendKey val="0"/>
            <showVal val="0"/>
            <showCatName val="0"/>
            <showSerName val="1"/>
            <showPercent val="0"/>
          </dLbls>
          <xVal>
            <numRef>
              <f>'ElevCalc'!$AF$370</f>
            </numRef>
          </xVal>
          <yVal>
            <numRef>
              <f>'ElevCalc'!$AG$370</f>
            </numRef>
          </yVal>
          <smooth val="0"/>
        </ser>
        <ser>
          <idx val="65"/>
          <order val="65"/>
          <spPr>
            <a:ln xmlns:a="http://schemas.openxmlformats.org/drawingml/2006/main" w="7620">
              <a:solidFill>
                <a:srgbClr val="7B8794"/>
              </a:solidFill>
              <a:prstDash val="solid"/>
            </a:ln>
          </spPr>
          <marker>
            <symbol val="none"/>
            <spPr>
              <a:ln xmlns:a="http://schemas.openxmlformats.org/drawingml/2006/main">
                <a:prstDash val="solid"/>
              </a:ln>
            </spPr>
          </marker>
          <xVal>
            <numRef>
              <f>'ElevCalc'!$AF$372:$AF$377</f>
            </numRef>
          </xVal>
          <yVal>
            <numRef>
              <f>'ElevCalc'!$AG$372:$AG$377</f>
            </numRef>
          </yVal>
          <smooth val="0"/>
        </ser>
        <ser>
          <idx val="66"/>
          <order val="66"/>
          <tx>
            <strRef>
              <f>'ElevCalc'!$AH$379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b"/>
            <showLegendKey val="0"/>
            <showVal val="0"/>
            <showCatName val="0"/>
            <showSerName val="1"/>
            <showPercent val="0"/>
          </dLbls>
          <xVal>
            <numRef>
              <f>'ElevCalc'!$AF$379</f>
            </numRef>
          </xVal>
          <yVal>
            <numRef>
              <f>'ElevCalc'!$AG$379</f>
            </numRef>
          </yVal>
          <smooth val="0"/>
        </ser>
        <ser>
          <idx val="67"/>
          <order val="67"/>
          <spPr>
            <a:ln xmlns:a="http://schemas.openxmlformats.org/drawingml/2006/main" w="7620">
              <a:solidFill>
                <a:srgbClr val="7B8794"/>
              </a:solidFill>
              <a:prstDash val="solid"/>
            </a:ln>
          </spPr>
          <marker>
            <symbol val="none"/>
            <spPr>
              <a:ln xmlns:a="http://schemas.openxmlformats.org/drawingml/2006/main">
                <a:prstDash val="solid"/>
              </a:ln>
            </spPr>
          </marker>
          <xVal>
            <numRef>
              <f>'ElevCalc'!$AF$381:$AF$386</f>
            </numRef>
          </xVal>
          <yVal>
            <numRef>
              <f>'ElevCalc'!$AG$381:$AG$386</f>
            </numRef>
          </yVal>
          <smooth val="0"/>
        </ser>
        <ser>
          <idx val="68"/>
          <order val="68"/>
          <tx>
            <strRef>
              <f>'ElevCalc'!$AH$388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r"/>
            <showLegendKey val="0"/>
            <showVal val="0"/>
            <showCatName val="0"/>
            <showSerName val="1"/>
            <showPercent val="0"/>
          </dLbls>
          <xVal>
            <numRef>
              <f>'ElevCalc'!$AF$388</f>
            </numRef>
          </xVal>
          <yVal>
            <numRef>
              <f>'ElevCalc'!$AG$388</f>
            </numRef>
          </yVal>
          <smooth val="0"/>
        </ser>
        <ser>
          <idx val="69"/>
          <order val="69"/>
          <spPr>
            <a:ln xmlns:a="http://schemas.openxmlformats.org/drawingml/2006/main" w="7620">
              <a:solidFill>
                <a:srgbClr val="7B8794"/>
              </a:solidFill>
              <a:prstDash val="solid"/>
            </a:ln>
          </spPr>
          <marker>
            <symbol val="none"/>
            <spPr>
              <a:ln xmlns:a="http://schemas.openxmlformats.org/drawingml/2006/main">
                <a:prstDash val="solid"/>
              </a:ln>
            </spPr>
          </marker>
          <xVal>
            <numRef>
              <f>'ElevCalc'!$AF$390:$AF$395</f>
            </numRef>
          </xVal>
          <yVal>
            <numRef>
              <f>'ElevCalc'!$AG$390:$AG$395</f>
            </numRef>
          </yVal>
          <smooth val="0"/>
        </ser>
        <ser>
          <idx val="70"/>
          <order val="70"/>
          <tx>
            <strRef>
              <f>'ElevCalc'!$AH$397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F2933"/>
                    </a:solidFill>
                    <a:latin typeface="Arial"/>
                  </a:defRPr>
                </a:pPr>
                <a:r>
                  <a:t/>
                </a:r>
                <a:endParaRPr sz="760" b="1">
                  <a:solidFill>
                    <a:srgbClr val="1F2933"/>
                  </a:solidFill>
                  <a:latin typeface="Arial"/>
                </a:endParaRPr>
              </a:p>
            </txPr>
            <dLblPos val="l"/>
            <showLegendKey val="0"/>
            <showVal val="0"/>
            <showCatName val="0"/>
            <showSerName val="1"/>
            <showPercent val="0"/>
          </dLbls>
          <xVal>
            <numRef>
              <f>'ElevCalc'!$AF$397</f>
            </numRef>
          </xVal>
          <yVal>
            <numRef>
              <f>'ElevCalc'!$AG$397</f>
            </numRef>
          </yVal>
          <smooth val="0"/>
        </ser>
        <ser>
          <idx val="71"/>
          <order val="71"/>
          <tx>
            <strRef>
              <f>'ElevCalc'!$AH$399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2B7BB9"/>
                    </a:solidFill>
                    <a:latin typeface="Arial"/>
                  </a:defRPr>
                </a:pPr>
                <a:r>
                  <a:t/>
                </a:r>
                <a:endParaRPr sz="592" b="0">
                  <a:solidFill>
                    <a:srgbClr val="2B7BB9"/>
                  </a:solidFill>
                  <a:latin typeface="Arial"/>
                </a:endParaRPr>
              </a:p>
            </txPr>
            <dLblPos val="b"/>
            <showLegendKey val="0"/>
            <showVal val="0"/>
            <showCatName val="0"/>
            <showSerName val="1"/>
            <showPercent val="0"/>
          </dLbls>
          <xVal>
            <numRef>
              <f>'ElevCalc'!$AF$399</f>
            </numRef>
          </xVal>
          <yVal>
            <numRef>
              <f>'ElevCalc'!$AG$399</f>
            </numRef>
          </yVal>
          <smooth val="0"/>
        </ser>
        <ser>
          <idx val="72"/>
          <order val="72"/>
          <tx>
            <strRef>
              <f>'ElevCalc'!$AH$401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592" b="0">
                    <a:solidFill>
                      <a:srgbClr val="7B8794"/>
                    </a:solidFill>
                    <a:latin typeface="Arial"/>
                  </a:defRPr>
                </a:pPr>
                <a:r>
                  <a:t/>
                </a:r>
                <a:endParaRPr sz="592" b="0">
                  <a:solidFill>
                    <a:srgbClr val="7B8794"/>
                  </a:solidFill>
                  <a:latin typeface="Arial"/>
                </a:endParaRPr>
              </a:p>
            </txPr>
            <dLblPos val="t"/>
            <showLegendKey val="0"/>
            <showVal val="0"/>
            <showCatName val="0"/>
            <showSerName val="1"/>
            <showPercent val="0"/>
          </dLbls>
          <xVal>
            <numRef>
              <f>'ElevCalc'!$AF$401</f>
            </numRef>
          </xVal>
          <yVal>
            <numRef>
              <f>'ElevCalc'!$AG$401</f>
            </numRef>
          </yVal>
          <smooth val="0"/>
        </ser>
        <ser>
          <idx val="73"/>
          <order val="73"/>
          <tx>
            <strRef>
              <f>'ElevCalc'!$AH$403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60" b="1">
                    <a:solidFill>
                      <a:srgbClr val="14304A"/>
                    </a:solidFill>
                    <a:latin typeface="Arial"/>
                  </a:defRPr>
                </a:pPr>
                <a:r>
                  <a:t/>
                </a:r>
                <a:endParaRPr sz="760" b="1">
                  <a:solidFill>
                    <a:srgbClr val="14304A"/>
                  </a:solidFill>
                  <a:latin typeface="Arial"/>
                </a:endParaRPr>
              </a:p>
            </txPr>
            <dLblPos val="r"/>
            <showLegendKey val="0"/>
            <showVal val="0"/>
            <showCatName val="0"/>
            <showSerName val="1"/>
            <showPercent val="0"/>
          </dLbls>
          <xVal>
            <numRef>
              <f>'ElevCalc'!$AF$403</f>
            </numRef>
          </xVal>
          <yVal>
            <numRef>
              <f>'ElevCalc'!$AG$403</f>
            </numRef>
          </yVal>
          <smooth val="0"/>
        </ser>
        <axId val="10"/>
        <axId val="20"/>
      </scatterChart>
      <valAx>
        <axId val="10"/>
        <scaling>
          <orientation val="minMax"/>
          <max val="200"/>
          <min val="0"/>
        </scaling>
        <delete val="1"/>
        <axPos val="l"/>
        <majorTickMark val="none"/>
        <minorTickMark val="none"/>
        <crossAx val="20"/>
      </valAx>
      <valAx>
        <axId val="20"/>
        <scaling>
          <orientation val="minMax"/>
          <max val="172"/>
          <min val="-28"/>
        </scaling>
        <delete val="1"/>
        <axPos val="l"/>
        <majorTickMark val="none"/>
        <minorTickMark val="none"/>
        <crossAx val="10"/>
      </valAx>
    </plotArea>
    <plotVisOnly val="1"/>
    <dispBlanksAs val="gap"/>
  </chart>
</chartSpace>
</file>

<file path=xl/charts/chart8.xml><?xml version="1.0" encoding="utf-8"?>
<chartSpace xmlns="http://schemas.openxmlformats.org/drawingml/2006/chart">
  <style val="10"/>
  <chart>
    <title>
      <tx>
        <rich>
          <a:bodyPr xmlns:a="http://schemas.openxmlformats.org/drawingml/2006/main"/>
          <a:p xmlns:a="http://schemas.openxmlformats.org/drawingml/2006/main">
            <a:pPr>
              <a:defRPr/>
            </a:pPr>
            <a:r>
              <a:t>Openings by fire rating</a:t>
            </a:r>
          </a:p>
        </rich>
      </tx>
    </title>
    <plotArea>
      <barChart>
        <barDir val="bar"/>
        <grouping val="clustered"/>
        <ser>
          <idx val="0"/>
          <order val="0"/>
          <spPr>
            <a:solidFill xmlns:a="http://schemas.openxmlformats.org/drawingml/2006/main">
              <a:srgbClr val="B23A1C"/>
            </a:solidFill>
            <a:ln xmlns:a="http://schemas.openxmlformats.org/drawingml/2006/main">
              <a:prstDash val="solid"/>
            </a:ln>
          </spPr>
          <cat>
            <numRef>
              <f>'Summary'!$B$15:$B$20</f>
            </numRef>
          </cat>
          <val>
            <numRef>
              <f>'Summary'!$C$15:$C$20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omments/comment1.xml><?xml version="1.0" encoding="utf-8"?>
<comments xmlns="http://schemas.openxmlformats.org/spreadsheetml/2006/main">
  <authors>
    <author>Takeoff</author>
  </authors>
  <commentList>
    <comment ref="AT5" authorId="0" shapeId="0">
      <text>
        <t>Where the hinges and strike go:
ANSI/SDI A250.6, a maker chart (CURRIES, STEELCRAFT, AMWELD, CECO...)
or CUSTOM LOC — then type A–D and E.
Charts are on the Reference sheet.</t>
      </text>
    </comment>
    <comment ref="AW5" authorId="0" shapeId="0">
      <text>
        <t>Custom hinge locations: inches from the top inside of the frame (head rabbet) to the TOP of each hinge.
E = strike centre line.
Any value here makes the row custom; the locations print on both order lines.</t>
      </text>
    </comment>
    <comment ref="BE5" authorId="0" shapeId="0">
      <text>
        <t>FIX = missing or wrong (blocks the order).
CHECK = worth a look.
Rules: NFPA 80, IBC 716.1(2), ADA, SDI.</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chart" Target="/xl/charts/chart5.xml" Id="rId4"/><Relationship Type="http://schemas.openxmlformats.org/officeDocument/2006/relationships/chart" Target="/xl/charts/chart6.xml" Id="rId5"/><Relationship Type="http://schemas.openxmlformats.org/officeDocument/2006/relationships/chart" Target="/xl/charts/chart7.xml" Id="rId6"/></Relationships>
</file>

<file path=xl/drawings/_rels/drawing3.xml.rels><Relationships xmlns="http://schemas.openxmlformats.org/package/2006/relationships"><Relationship Type="http://schemas.openxmlformats.org/officeDocument/2006/relationships/chart" Target="/xl/charts/chart8.xml" Id="rId1"/></Relationships>
</file>

<file path=xl/drawings/drawing1.xml><?xml version="1.0" encoding="utf-8"?>
<wsDr xmlns="http://schemas.openxmlformats.org/drawingml/2006/spreadsheetDrawing">
  <oneCellAnchor>
    <from>
      <col>1</col>
      <colOff>0</colOff>
      <row>7</row>
      <rowOff>0</rowOff>
    </from>
    <ext cx="6336000" cy="63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10</row>
      <rowOff>0</rowOff>
    </from>
    <ext cx="3816000" cy="381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10</row>
      <rowOff>0</rowOff>
    </from>
    <ext cx="3816000" cy="381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15</col>
      <colOff>0</colOff>
      <row>10</row>
      <rowOff>0</rowOff>
    </from>
    <ext cx="3816000" cy="381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38</row>
      <rowOff>0</rowOff>
    </from>
    <ext cx="3816000" cy="381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8</col>
      <colOff>0</colOff>
      <row>38</row>
      <rowOff>0</rowOff>
    </from>
    <ext cx="3816000" cy="3816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15</col>
      <colOff>0</colOff>
      <row>38</row>
      <rowOff>0</rowOff>
    </from>
    <ext cx="3816000" cy="3816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3.xml><?xml version="1.0" encoding="utf-8"?>
<wsDr xmlns="http://schemas.openxmlformats.org/drawingml/2006/spreadsheetDrawing">
  <oneCellAnchor>
    <from>
      <col>13</col>
      <colOff>0</colOff>
      <row>4</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Job'!A1" TargetMode="External" Id="rId1"/><Relationship Type="http://schemas.openxmlformats.org/officeDocument/2006/relationships/hyperlink" Target="#'Takeoff'!A1" TargetMode="External" Id="rId2"/><Relationship Type="http://schemas.openxmlformats.org/officeDocument/2006/relationships/hyperlink" Target="#'Elevation'!A1" TargetMode="External" Id="rId3"/><Relationship Type="http://schemas.openxmlformats.org/officeDocument/2006/relationships/hyperlink" Target="#'Elevations'!A1" TargetMode="External" Id="rId4"/><Relationship Type="http://schemas.openxmlformats.org/officeDocument/2006/relationships/hyperlink" Target="#'Door Schedule'!A1" TargetMode="External" Id="rId5"/><Relationship Type="http://schemas.openxmlformats.org/officeDocument/2006/relationships/hyperlink" Target="#'HW Sets'!A1" TargetMode="External" Id="rId6"/><Relationship Type="http://schemas.openxmlformats.org/officeDocument/2006/relationships/hyperlink" Target="#'HW Schedule'!A1" TargetMode="External" Id="rId7"/><Relationship Type="http://schemas.openxmlformats.org/officeDocument/2006/relationships/hyperlink" Target="#'Supplier Order'!A1" TargetMode="External" Id="rId8"/><Relationship Type="http://schemas.openxmlformats.org/officeDocument/2006/relationships/hyperlink" Target="#'Frame order'!A1" TargetMode="External" Id="rId9"/><Relationship Type="http://schemas.openxmlformats.org/officeDocument/2006/relationships/hyperlink" Target="#'Door order'!A1" TargetMode="External" Id="rId10"/><Relationship Type="http://schemas.openxmlformats.org/officeDocument/2006/relationships/hyperlink" Target="#'Summary'!A1" TargetMode="External" Id="rId11"/><Relationship Type="http://schemas.openxmlformats.org/officeDocument/2006/relationships/hyperlink" Target="#'Reference'!A1" TargetMode="External" Id="rId12"/><Relationship Type="http://schemas.openxmlformats.org/officeDocument/2006/relationships/hyperlink" Target="#'Lists'!A1" TargetMode="External" Id="rId13"/><Relationship Type="http://schemas.openxmlformats.org/officeDocument/2006/relationships/hyperlink" Target="#'Codes'!A1" TargetMode="External" Id="rId14"/></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12.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4304A"/>
    <outlinePr summaryBelow="1" summaryRight="1"/>
    <pageSetUpPr fitToPage="1"/>
  </sheetPr>
  <dimension ref="A1:G52"/>
  <sheetViews>
    <sheetView showGridLines="0" workbookViewId="0">
      <selection activeCell="A1" sqref="A1"/>
    </sheetView>
  </sheetViews>
  <sheetFormatPr baseColWidth="8" defaultRowHeight="15"/>
  <cols>
    <col width="3" customWidth="1" min="1" max="1"/>
    <col width="18" customWidth="1" min="2" max="2"/>
    <col width="60" customWidth="1" min="3" max="3"/>
    <col width="30" customWidth="1" min="4" max="4"/>
    <col width="20" customWidth="1" min="5" max="5"/>
    <col width="20" customWidth="1" min="6" max="6"/>
    <col width="3" customWidth="1" min="7" max="7"/>
  </cols>
  <sheetData>
    <row r="1">
      <c r="A1" s="1" t="n"/>
      <c r="B1" s="1" t="n"/>
      <c r="C1" s="1" t="n"/>
      <c r="D1" s="1" t="n"/>
      <c r="E1" s="1" t="n"/>
      <c r="F1" s="1" t="n"/>
      <c r="G1" s="1" t="n"/>
    </row>
    <row r="2">
      <c r="A2" s="1" t="n"/>
      <c r="B2" s="1" t="n"/>
      <c r="C2" s="1" t="n"/>
      <c r="D2" s="1" t="n"/>
      <c r="E2" s="1" t="n"/>
      <c r="F2" s="1" t="n"/>
      <c r="G2" s="1" t="n"/>
    </row>
    <row r="3">
      <c r="A3" s="1" t="n"/>
      <c r="B3" s="2" t="inlineStr">
        <is>
          <t>OPENING TAKEOFF</t>
        </is>
      </c>
      <c r="C3" s="1" t="n"/>
      <c r="D3" s="1" t="n"/>
      <c r="E3" s="1" t="n"/>
      <c r="F3" s="1" t="n"/>
      <c r="G3" s="1" t="n"/>
    </row>
    <row r="4" ht="40" customHeight="1">
      <c r="A4" s="1" t="n"/>
      <c r="B4" s="3" t="inlineStr">
        <is>
          <t>TAKEOFF FORM 3.2</t>
        </is>
      </c>
      <c r="C4" s="1" t="n"/>
      <c r="D4" s="1" t="n"/>
      <c r="E4" s="1" t="n"/>
      <c r="F4" s="1" t="n"/>
      <c r="G4" s="1" t="n"/>
    </row>
    <row r="5">
      <c r="A5" s="1" t="n"/>
      <c r="B5" s="1" t="n"/>
      <c r="C5" s="1" t="n"/>
      <c r="D5" s="1" t="n"/>
      <c r="E5" s="1" t="n"/>
      <c r="F5" s="1" t="n"/>
      <c r="G5" s="1" t="n"/>
    </row>
    <row r="6">
      <c r="A6" s="1" t="n"/>
      <c r="B6" s="4" t="inlineStr">
        <is>
          <t>Doors · frames · hardware   ·   live elevations with hinge locations   ·   code checks   ·   door schedule   ·   order lines</t>
        </is>
      </c>
      <c r="C6" s="1" t="n"/>
      <c r="D6" s="1" t="n"/>
      <c r="E6" s="1" t="n"/>
      <c r="F6" s="1" t="n"/>
      <c r="G6" s="1" t="n"/>
    </row>
    <row r="7">
      <c r="A7" s="1" t="n"/>
      <c r="B7" s="5">
        <f>IF(JobName="","",JobName&amp;IF(JobNo="",""," · JOB "&amp;JobNo)&amp;" · "&amp;TEXT(JobDate,"mmmm d, yyyy"))</f>
        <v/>
      </c>
      <c r="C7" s="1" t="n"/>
      <c r="D7" s="1" t="n"/>
      <c r="E7" s="1" t="n"/>
      <c r="F7" s="1" t="n"/>
      <c r="G7" s="1" t="n"/>
    </row>
    <row r="8">
      <c r="A8" s="1" t="n"/>
      <c r="B8" s="1" t="n"/>
      <c r="C8" s="1" t="n"/>
      <c r="D8" s="1" t="n"/>
      <c r="E8" s="1" t="n"/>
      <c r="F8" s="1" t="n"/>
      <c r="G8" s="1" t="n"/>
    </row>
    <row r="9" ht="5" customHeight="1">
      <c r="A9" s="6" t="n"/>
      <c r="B9" s="6" t="n"/>
      <c r="C9" s="6" t="n"/>
      <c r="D9" s="6" t="n"/>
      <c r="E9" s="6" t="n"/>
      <c r="F9" s="6" t="n"/>
      <c r="G9" s="6" t="n"/>
    </row>
    <row r="11" ht="18" customHeight="1">
      <c r="B11" s="7" t="inlineStr">
        <is>
          <t>GO TO</t>
        </is>
      </c>
      <c r="C11" s="8" t="n"/>
      <c r="D11" s="8" t="n"/>
      <c r="E11" s="8" t="n"/>
      <c r="F11" s="8" t="n"/>
    </row>
    <row r="12" ht="20" customHeight="1">
      <c r="B12" s="9" t="inlineStr">
        <is>
          <t xml:space="preserve">  JOB</t>
        </is>
      </c>
      <c r="C12" s="10" t="inlineStr">
        <is>
          <t>Job name, dates and clearances</t>
        </is>
      </c>
    </row>
    <row r="13" ht="20" customHeight="1">
      <c r="B13" s="9" t="inlineStr">
        <is>
          <t xml:space="preserve">  TAKEOFF</t>
        </is>
      </c>
      <c r="C13" s="10" t="inlineStr">
        <is>
          <t>One row per opening — the only place you type openings</t>
        </is>
      </c>
    </row>
    <row r="14" ht="20" customHeight="1">
      <c r="B14" s="11" t="inlineStr">
        <is>
          <t xml:space="preserve">  ELEVATION</t>
        </is>
      </c>
      <c r="C14" s="10" t="inlineStr">
        <is>
          <t>Pick a mark: drawing, hinge &amp; strike locations, sizes, checks</t>
        </is>
      </c>
    </row>
    <row r="15" ht="20" customHeight="1">
      <c r="B15" s="11" t="inlineStr">
        <is>
          <t xml:space="preserve">  ELEVATIONS</t>
        </is>
      </c>
      <c r="C15" s="10" t="inlineStr">
        <is>
          <t>Every elevation type, six to a page</t>
        </is>
      </c>
    </row>
    <row r="16" ht="20" customHeight="1">
      <c r="B16" s="12" t="inlineStr">
        <is>
          <t xml:space="preserve">  DOOR SCHEDULE</t>
        </is>
      </c>
      <c r="C16" s="10" t="inlineStr">
        <is>
          <t>Architectural door schedule, ready to print</t>
        </is>
      </c>
    </row>
    <row r="17" ht="20" customHeight="1">
      <c r="B17" s="13" t="inlineStr">
        <is>
          <t xml:space="preserve">  HW SETS</t>
        </is>
      </c>
      <c r="C17" s="10" t="inlineStr">
        <is>
          <t>Hardware sets: set number once, items carry down (2.1 style)</t>
        </is>
      </c>
    </row>
    <row r="18" ht="20" customHeight="1">
      <c r="B18" s="13" t="inlineStr">
        <is>
          <t xml:space="preserve">  HW SCHEDULE</t>
        </is>
      </c>
      <c r="C18" s="10" t="inlineStr">
        <is>
          <t>By set with marks, and job totals by item</t>
        </is>
      </c>
    </row>
    <row r="19" ht="20" customHeight="1">
      <c r="B19" s="14" t="inlineStr">
        <is>
          <t xml:space="preserve">  SUPPLIER ORDER</t>
        </is>
      </c>
      <c r="C19" s="10" t="inlineStr">
        <is>
          <t>Counter format: grouped lines, marks with hands, every part</t>
        </is>
      </c>
    </row>
    <row r="20" ht="20" customHeight="1">
      <c r="B20" s="12" t="inlineStr">
        <is>
          <t xml:space="preserve">  FRAME ORDER</t>
        </is>
      </c>
      <c r="C20" s="10" t="inlineStr">
        <is>
          <t>Frame order lines with anchors and locations</t>
        </is>
      </c>
    </row>
    <row r="21" ht="20" customHeight="1">
      <c r="B21" s="15" t="inlineStr">
        <is>
          <t xml:space="preserve">  DOOR ORDER</t>
        </is>
      </c>
      <c r="C21" s="10" t="inlineStr">
        <is>
          <t>Door order lines with leaf sizes and locations</t>
        </is>
      </c>
    </row>
    <row r="22" ht="20" customHeight="1">
      <c r="B22" s="16" t="inlineStr">
        <is>
          <t xml:space="preserve">  SUMMARY</t>
        </is>
      </c>
      <c r="C22" s="10" t="inlineStr">
        <is>
          <t>Counts by rating, scope, floor, material, lite, location standard</t>
        </is>
      </c>
    </row>
    <row r="23" ht="20" customHeight="1">
      <c r="B23" s="17" t="inlineStr">
        <is>
          <t xml:space="preserve">  REFERENCE</t>
        </is>
      </c>
      <c r="C23" s="10" t="inlineStr">
        <is>
          <t>Hinge location charts, label classes, weld codes, anchors, handing</t>
        </is>
      </c>
    </row>
    <row r="24" ht="20" customHeight="1">
      <c r="B24" s="18" t="inlineStr">
        <is>
          <t xml:space="preserve">  LISTS</t>
        </is>
      </c>
      <c r="C24" s="10" t="inlineStr">
        <is>
          <t>Every dropdown — edit here</t>
        </is>
      </c>
    </row>
    <row r="25" ht="18" customHeight="1">
      <c r="B25" s="7" t="inlineStr">
        <is>
          <t>HOW TO USE IT</t>
        </is>
      </c>
      <c r="C25" s="19" t="inlineStr">
        <is>
          <t>What each code prints on an order line</t>
        </is>
      </c>
      <c r="D25" s="8" t="n"/>
      <c r="E25" s="8" t="n"/>
      <c r="F25" s="8" t="n"/>
    </row>
    <row r="26" ht="20" customHeight="1">
      <c r="B26" s="20" t="n">
        <v>1</v>
      </c>
      <c r="C26" s="21" t="inlineStr">
        <is>
          <t>Fill in the Job sheet once. Set the clearances (undercut, edge gaps, frame face) to suit your frame maker.</t>
        </is>
      </c>
    </row>
    <row r="27" ht="32" customHeight="1">
      <c r="B27" s="20" t="n">
        <v>2</v>
      </c>
      <c r="C27" s="21" t="inlineStr">
        <is>
          <t>On Takeoff type one row per opening. Pick SCOPE first: it decides whether the row makes a frame line, a door line, or both.</t>
        </is>
      </c>
    </row>
    <row r="28" ht="32" customHeight="1">
      <c r="B28" s="20" t="n">
        <v>3</v>
      </c>
      <c r="C28" s="21" t="inlineStr">
        <is>
          <t>Size: W FT, W IN, H FT, H IN (3 · 0 · 7 · 0 = 3070). Fractions as decimals: 0.5 = 1/2". PAIR = Y for a pair. Transom and sidelite are glass sizes in inches.</t>
        </is>
      </c>
    </row>
    <row r="29" ht="32" customHeight="1">
      <c r="B29" s="20" t="n">
        <v>4</v>
      </c>
      <c r="C29" s="21" t="inlineStr">
        <is>
          <t>LOCATIONS: pick the standard (ANSI/SDI or a maker chart) and the hinges and strike are placed for you. For a custom job pick CUSTOM LOC, or just type A–D and E (inches from the top of the frame to the top of each hinge / strike centre line).</t>
        </is>
      </c>
    </row>
    <row r="30" ht="20" customHeight="1">
      <c r="B30" s="20" t="n">
        <v>5</v>
      </c>
      <c r="C30" s="21" t="inlineStr">
        <is>
          <t>Give WALL TYPE and WALL HR when the plans show them: the door rating is checked against IBC Table 716.1(2).</t>
        </is>
      </c>
    </row>
    <row r="31" ht="32" customHeight="1">
      <c r="B31" s="20" t="n">
        <v>6</v>
      </c>
      <c r="C31" s="21" t="inlineStr">
        <is>
          <t>Amber cells are required and still empty. CHECK says OK, CHECK (worth a look) or FIX (missing or wrong) and the next column says why.</t>
        </is>
      </c>
    </row>
    <row r="32" ht="32" customHeight="1">
      <c r="B32" s="20" t="n">
        <v>7</v>
      </c>
      <c r="C32" s="21" t="inlineStr">
        <is>
          <t>Elevation draws any mark at scale with its hinges, strike, lite and dimensions; Elevations draws one of each type. Door Schedule lists every opening.</t>
        </is>
      </c>
    </row>
    <row r="33" ht="32" customHeight="1">
      <c r="B33" s="20" t="n">
        <v>8</v>
      </c>
      <c r="C33" s="21" t="inlineStr">
        <is>
          <t>HW Sets: type the set number once and the items under it; pick the set on the Takeoff. HW Schedule, Supplier Order, Frame order and Door order build themselves.</t>
        </is>
      </c>
    </row>
    <row r="34" ht="32" customHeight="1">
      <c r="B34" s="20" t="n">
        <v>9</v>
      </c>
      <c r="C34" s="21" t="inlineStr">
        <is>
          <t>The eight sample openings (101–108) show every feature (102 has custom hinge locations). Select the input cells of those rows and press Delete to start a job; the formulas stay.</t>
        </is>
      </c>
    </row>
    <row r="36" ht="18" customHeight="1">
      <c r="B36" s="7" t="inlineStr">
        <is>
          <t>COLOUR KEY</t>
        </is>
      </c>
      <c r="C36" s="8" t="n"/>
      <c r="D36" s="8" t="n"/>
      <c r="E36" s="8" t="n"/>
      <c r="F36" s="8" t="n"/>
    </row>
    <row r="37">
      <c r="B37" s="8" t="n"/>
      <c r="C37" s="22" t="inlineStr">
        <is>
          <t>Opening inputs</t>
        </is>
      </c>
    </row>
    <row r="38">
      <c r="B38" s="23" t="n"/>
      <c r="C38" s="24" t="inlineStr">
        <is>
          <t>Frame inputs</t>
        </is>
      </c>
    </row>
    <row r="39">
      <c r="B39" s="25" t="n"/>
      <c r="C39" s="26" t="inlineStr">
        <is>
          <t>Door inputs</t>
        </is>
      </c>
    </row>
    <row r="40">
      <c r="B40" s="27" t="n"/>
      <c r="C40" s="28" t="inlineStr">
        <is>
          <t>Hinge &amp; strike locations</t>
        </is>
      </c>
    </row>
    <row r="41">
      <c r="B41" s="29" t="n"/>
      <c r="C41" s="30" t="inlineStr">
        <is>
          <t>Hardware</t>
        </is>
      </c>
    </row>
    <row r="42">
      <c r="B42" s="31" t="n"/>
      <c r="C42" s="32" t="inlineStr">
        <is>
          <t>Calculated — do not type</t>
        </is>
      </c>
    </row>
    <row r="43">
      <c r="B43" s="33" t="n"/>
      <c r="C43" s="34" t="inlineStr">
        <is>
          <t>Required and still empty</t>
        </is>
      </c>
    </row>
    <row r="44">
      <c r="B44" s="35" t="n"/>
      <c r="C44" s="34" t="inlineStr">
        <is>
          <t>Custom hinge locations in use</t>
        </is>
      </c>
    </row>
    <row r="45">
      <c r="B45" s="36" t="inlineStr">
        <is>
          <t>Blue</t>
        </is>
      </c>
      <c r="C45" s="34" t="inlineStr">
        <is>
          <t>Values you typed</t>
        </is>
      </c>
    </row>
    <row r="47" ht="18" customHeight="1">
      <c r="B47" s="7" t="inlineStr">
        <is>
          <t>NEW IN 3.2</t>
        </is>
      </c>
      <c r="C47" s="8" t="n"/>
      <c r="D47" s="8" t="n"/>
      <c r="E47" s="8" t="n"/>
      <c r="F47" s="8" t="n"/>
    </row>
    <row r="48" ht="28" customHeight="1">
      <c r="B48" s="37" t="inlineStr">
        <is>
          <t>▸</t>
        </is>
      </c>
      <c r="C48" s="21" t="inlineStr">
        <is>
          <t>From your 2.1 (Oct): HW Sets typed the 2.1 way (set number once, items carry down, set index feeds the dropdown), HW Schedule by set with the marks and job totals by item, and door groups.</t>
        </is>
      </c>
    </row>
    <row r="49" ht="28" customHeight="1">
      <c r="B49" s="37" t="inlineStr">
        <is>
          <t>▸</t>
        </is>
      </c>
      <c r="C49" s="21" t="inlineStr">
        <is>
          <t>Supplier Order in the counter format of the order confirmations: S.HM item, "N) order line", marks with hands, then every part — HD/HJ/SJ, anchors, reinforcements, labels, preps, cut downs, door slab with net size.</t>
        </is>
      </c>
    </row>
    <row r="50" ht="28" customHeight="1">
      <c r="B50" s="37" t="inlineStr">
        <is>
          <t>▸</t>
        </is>
      </c>
      <c r="C50" s="21" t="inlineStr">
        <is>
          <t>Hinge locations follow the shop rule from the frame calculator: a short opening takes the next chart up, cut down from the bottom (6'-5" uses the 6'-8" row).</t>
        </is>
      </c>
    </row>
    <row r="51" ht="28" customHeight="1">
      <c r="B51" s="37" t="inlineStr">
        <is>
          <t>▸</t>
        </is>
      </c>
      <c r="C51" s="21" t="inlineStr">
        <is>
          <t>Hinge and strike locations on every row: ANSI/SDI, nine maker charts or custom A–D + E; live elevations with hinges, strike, lever, label and dimensions.</t>
        </is>
      </c>
    </row>
    <row r="52" ht="28" customHeight="1">
      <c r="B52" s="37" t="inlineStr">
        <is>
          <t>▸</t>
        </is>
      </c>
      <c r="C52" s="21" t="inlineStr">
        <is>
          <t>Checks: rating vs wall (IBC 716.1(2)), pair/hand, glass limits, ADA clear width and lock height, S label, closer reinforcement, custom hinge count.</t>
        </is>
      </c>
    </row>
  </sheetData>
  <mergeCells count="14">
    <mergeCell ref="C52:F52"/>
    <mergeCell ref="C31:F31"/>
    <mergeCell ref="C48:F48"/>
    <mergeCell ref="C49:F49"/>
    <mergeCell ref="C26:F26"/>
    <mergeCell ref="C34:F34"/>
    <mergeCell ref="C29:F29"/>
    <mergeCell ref="C30:F30"/>
    <mergeCell ref="C33:F33"/>
    <mergeCell ref="C51:F51"/>
    <mergeCell ref="C32:F32"/>
    <mergeCell ref="C27:F27"/>
    <mergeCell ref="C50:F50"/>
    <mergeCell ref="C28:F28"/>
  </mergeCells>
  <hyperlinks>
    <hyperlink xmlns:r="http://schemas.openxmlformats.org/officeDocument/2006/relationships" ref="B12" r:id="rId1"/>
    <hyperlink xmlns:r="http://schemas.openxmlformats.org/officeDocument/2006/relationships" ref="B13" r:id="rId2"/>
    <hyperlink xmlns:r="http://schemas.openxmlformats.org/officeDocument/2006/relationships" ref="B14" r:id="rId3"/>
    <hyperlink xmlns:r="http://schemas.openxmlformats.org/officeDocument/2006/relationships" ref="B15" r:id="rId4"/>
    <hyperlink xmlns:r="http://schemas.openxmlformats.org/officeDocument/2006/relationships" ref="B16"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2" r:id="rId11"/>
    <hyperlink xmlns:r="http://schemas.openxmlformats.org/officeDocument/2006/relationships" ref="B23" r:id="rId12"/>
    <hyperlink xmlns:r="http://schemas.openxmlformats.org/officeDocument/2006/relationships" ref="B24" r:id="rId13"/>
    <hyperlink xmlns:r="http://schemas.openxmlformats.org/officeDocument/2006/relationships" ref="B25" r:id="rId14"/>
  </hyperlinks>
  <pageMargins left="0.75" right="0.75" top="1" bottom="1" header="0.5" footer="0.5"/>
  <pageSetup fitToHeight="0" fitToWidth="1"/>
</worksheet>
</file>

<file path=xl/worksheets/sheet2.xml><?xml version="1.0" encoding="utf-8"?>
<worksheet xmlns="http://schemas.openxmlformats.org/spreadsheetml/2006/main">
  <sheetPr>
    <tabColor rgb="001F4E79"/>
    <outlinePr summaryBelow="1" summaryRight="1"/>
    <pageSetUpPr fitToPage="1"/>
  </sheetPr>
  <dimension ref="A1:E28"/>
  <sheetViews>
    <sheetView showGridLines="0" workbookViewId="0">
      <selection activeCell="A1" sqref="A1"/>
    </sheetView>
  </sheetViews>
  <sheetFormatPr baseColWidth="8" defaultRowHeight="15"/>
  <cols>
    <col width="3" customWidth="1" min="1" max="1"/>
    <col width="34" customWidth="1" min="2" max="2"/>
    <col width="22" customWidth="1" min="3" max="3"/>
    <col width="70" customWidth="1" min="4" max="4"/>
    <col width="30" customWidth="1" min="5" max="5"/>
  </cols>
  <sheetData>
    <row r="1" ht="30" customHeight="1">
      <c r="A1" s="1" t="n"/>
      <c r="B1" s="38" t="inlineStr">
        <is>
          <t>JOB</t>
        </is>
      </c>
      <c r="C1" s="1" t="n"/>
      <c r="D1" s="1" t="n"/>
      <c r="E1" s="39">
        <f>IF(JobName="","OPENING TAKEOFF  ·  FORM 3.2",JobName&amp;IF(JobNo="",""," · JOB "&amp;JobNo))</f>
        <v/>
      </c>
    </row>
    <row r="2" ht="18" customHeight="1">
      <c r="A2" s="1" t="n"/>
      <c r="B2" s="40" t="inlineStr">
        <is>
          <t>Fill this in once. It prints on every sheet, the elevations and the order sheets.</t>
        </is>
      </c>
      <c r="C2" s="1" t="n"/>
      <c r="D2" s="1" t="n"/>
      <c r="E2" s="41">
        <f>TEXT(JobDate,"mmm d, yyyy")&amp;IF(JobRev="",""," · "&amp;JobRev)</f>
        <v/>
      </c>
    </row>
    <row r="3" ht="4" customHeight="1">
      <c r="A3" s="6" t="n"/>
      <c r="B3" s="6" t="n"/>
      <c r="C3" s="6" t="n"/>
      <c r="D3" s="6" t="n"/>
      <c r="E3" s="6" t="n"/>
    </row>
    <row r="5" ht="18" customHeight="1">
      <c r="B5" s="42" t="inlineStr">
        <is>
          <t>PROJECT</t>
        </is>
      </c>
      <c r="C5" s="43" t="n"/>
      <c r="D5" s="44" t="n"/>
    </row>
    <row r="6">
      <c r="B6" s="45" t="inlineStr">
        <is>
          <t>Job name</t>
        </is>
      </c>
      <c r="C6" s="46" t="inlineStr"/>
      <c r="D6" s="47" t="n"/>
    </row>
    <row r="7">
      <c r="B7" s="45" t="inlineStr">
        <is>
          <t>Job number</t>
        </is>
      </c>
      <c r="C7" s="46" t="inlineStr"/>
      <c r="D7" s="47" t="n"/>
    </row>
    <row r="8">
      <c r="B8" s="45" t="inlineStr">
        <is>
          <t>Address</t>
        </is>
      </c>
      <c r="C8" s="46" t="inlineStr"/>
      <c r="D8" s="47" t="n"/>
    </row>
    <row r="9">
      <c r="B9" s="45" t="inlineStr">
        <is>
          <t>General contractor</t>
        </is>
      </c>
      <c r="C9" s="46" t="inlineStr"/>
      <c r="D9" s="47" t="n"/>
    </row>
    <row r="10">
      <c r="B10" s="45" t="inlineStr">
        <is>
          <t>Architect</t>
        </is>
      </c>
      <c r="C10" s="46" t="inlineStr"/>
      <c r="D10" s="47" t="n"/>
    </row>
    <row r="11">
      <c r="B11" s="45" t="inlineStr">
        <is>
          <t>Estimator / drawn by</t>
        </is>
      </c>
      <c r="C11" s="46" t="inlineStr"/>
      <c r="D11" s="47" t="n"/>
    </row>
    <row r="12">
      <c r="B12" s="45" t="inlineStr">
        <is>
          <t>Date</t>
        </is>
      </c>
      <c r="C12" s="48">
        <f>TODAY()</f>
        <v/>
      </c>
      <c r="D12" s="47" t="n"/>
    </row>
    <row r="13">
      <c r="B13" s="45" t="inlineStr">
        <is>
          <t>Bid date</t>
        </is>
      </c>
      <c r="C13" s="48" t="inlineStr"/>
      <c r="D13" s="47" t="n"/>
    </row>
    <row r="14">
      <c r="B14" s="45" t="inlineStr">
        <is>
          <t>Supplier</t>
        </is>
      </c>
      <c r="C14" s="46" t="inlineStr">
        <is>
          <t>CURRIES</t>
        </is>
      </c>
      <c r="D14" s="47" t="n"/>
    </row>
    <row r="15">
      <c r="B15" s="45" t="inlineStr">
        <is>
          <t>Revision</t>
        </is>
      </c>
      <c r="C15" s="46" t="inlineStr">
        <is>
          <t>REV 0</t>
        </is>
      </c>
      <c r="D15" s="47" t="n"/>
    </row>
    <row r="16">
      <c r="B16" s="49" t="inlineStr">
        <is>
          <t>Drawings / addenda</t>
        </is>
      </c>
      <c r="C16" s="50" t="inlineStr"/>
      <c r="D16" s="51" t="n"/>
    </row>
    <row r="19" ht="18" customHeight="1">
      <c r="B19" s="42" t="inlineStr">
        <is>
          <t>SIZES AND CLEARANCES (inches) — used for leaf size, frame overall, rough opening, clear width and the elevations</t>
        </is>
      </c>
      <c r="C19" s="43" t="n"/>
      <c r="D19" s="44" t="n"/>
    </row>
    <row r="20">
      <c r="B20" s="52" t="inlineStr">
        <is>
          <t>Frame face (jamb &amp; head)</t>
        </is>
      </c>
      <c r="C20" s="53" t="n">
        <v>2</v>
      </c>
      <c r="D20" s="54" t="inlineStr">
        <is>
          <t>Standard 2" face. A 4" head is picked per opening.</t>
        </is>
      </c>
    </row>
    <row r="21">
      <c r="B21" s="52" t="inlineStr">
        <is>
          <t>Hinge &amp; strike edge clearance</t>
        </is>
      </c>
      <c r="C21" s="53" t="n">
        <v>0.125</v>
      </c>
      <c r="D21" s="54" t="inlineStr">
        <is>
          <t>Each side, leaf to rabbet (NFPA 80: 1/8" max on steel).</t>
        </is>
      </c>
    </row>
    <row r="22">
      <c r="B22" s="52" t="inlineStr">
        <is>
          <t>Meeting edge clearance (pairs)</t>
        </is>
      </c>
      <c r="C22" s="53" t="n">
        <v>0.125</v>
      </c>
      <c r="D22" s="54" t="inlineStr">
        <is>
          <t>Between the leaves of a pair.</t>
        </is>
      </c>
    </row>
    <row r="23">
      <c r="B23" s="52" t="inlineStr">
        <is>
          <t>Head clearance</t>
        </is>
      </c>
      <c r="C23" s="53" t="n">
        <v>0.125</v>
      </c>
      <c r="D23" s="54" t="inlineStr">
        <is>
          <t>Top of leaf to head rabbet. Door hinge dims = frame dims less this.</t>
        </is>
      </c>
    </row>
    <row r="24">
      <c r="B24" s="52" t="inlineStr">
        <is>
          <t>Undercut</t>
        </is>
      </c>
      <c r="C24" s="53" t="n">
        <v>0.75</v>
      </c>
      <c r="D24" s="54" t="inlineStr">
        <is>
          <t>Floor to bottom of leaf. NFPA 80: 3/4" max over a non-combustible floor.</t>
        </is>
      </c>
    </row>
    <row r="25">
      <c r="B25" s="52" t="inlineStr">
        <is>
          <t>Rough opening allowance, each side</t>
        </is>
      </c>
      <c r="C25" s="53" t="n">
        <v>0.25</v>
      </c>
      <c r="D25" s="54" t="inlineStr">
        <is>
          <t>Added to frame overall width, each side.</t>
        </is>
      </c>
    </row>
    <row r="26">
      <c r="B26" s="52" t="inlineStr">
        <is>
          <t>Rough opening allowance, head</t>
        </is>
      </c>
      <c r="C26" s="53" t="n">
        <v>0.25</v>
      </c>
      <c r="D26" s="54" t="inlineStr">
        <is>
          <t>Added to frame overall height.</t>
        </is>
      </c>
    </row>
    <row r="27">
      <c r="B27" s="52" t="inlineStr">
        <is>
          <t>Clear width deduction</t>
        </is>
      </c>
      <c r="C27" s="53" t="n">
        <v>2.625</v>
      </c>
      <c r="D27" s="54" t="inlineStr">
        <is>
          <t>Leaf width minus this = approx. clear opening at 90°.</t>
        </is>
      </c>
    </row>
    <row r="28">
      <c r="B28" s="55" t="inlineStr">
        <is>
          <t>Lock / lever centre line (AFF)</t>
        </is>
      </c>
      <c r="C28" s="56" t="n">
        <v>40.3125</v>
      </c>
      <c r="D28" s="57" t="inlineStr">
        <is>
          <t>ANSI/SDI 40-5/16". Maker charts and CUSTOM E override it.</t>
        </is>
      </c>
    </row>
  </sheetData>
  <mergeCells count="11">
    <mergeCell ref="C12:D12"/>
    <mergeCell ref="C6:D6"/>
    <mergeCell ref="C10:D10"/>
    <mergeCell ref="C7:D7"/>
    <mergeCell ref="C16:D16"/>
    <mergeCell ref="C15:D15"/>
    <mergeCell ref="C11:D11"/>
    <mergeCell ref="C14:D14"/>
    <mergeCell ref="C13:D13"/>
    <mergeCell ref="C9:D9"/>
    <mergeCell ref="C8:D8"/>
  </mergeCells>
  <pageMargins left="0.75" right="0.75" top="1" bottom="1" header="0.5" footer="0.5"/>
  <pageSetup orientation="landscape" fitToHeight="1" fitToWidth="1"/>
</worksheet>
</file>

<file path=xl/worksheets/sheet3.xml><?xml version="1.0" encoding="utf-8"?>
<worksheet xmlns="http://schemas.openxmlformats.org/spreadsheetml/2006/main">
  <sheetPr>
    <tabColor rgb="001F4E79"/>
    <outlinePr summaryBelow="1" summaryRight="0"/>
    <pageSetUpPr fitToPage="1"/>
  </sheetPr>
  <dimension ref="A1:DK505"/>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5" customWidth="1" min="2" max="2"/>
    <col width="14" customWidth="1" min="3" max="3"/>
    <col width="9" customWidth="1" min="4" max="4"/>
    <col width="10" customWidth="1" min="5" max="5"/>
    <col width="13" customWidth="1" min="6" max="6"/>
    <col width="13" customWidth="1" min="7" max="7"/>
    <col width="9" customWidth="1" min="8" max="8"/>
    <col width="15" customWidth="1" min="9" max="9"/>
    <col width="6" customWidth="1" min="10" max="10"/>
    <col width="5" customWidth="1" min="11" max="11"/>
    <col width="5" customWidth="1" min="12" max="12"/>
    <col width="5" customWidth="1" min="13" max="13"/>
    <col width="5" customWidth="1" min="14" max="14"/>
    <col width="5" customWidth="1" min="15" max="15"/>
    <col width="8" customWidth="1" min="16" max="16"/>
    <col width="8" customWidth="1" min="17" max="17"/>
    <col width="7" customWidth="1" min="18" max="18"/>
    <col width="8" customWidth="1" min="19" max="19"/>
    <col outlineLevel="1" width="7" customWidth="1" min="20" max="33"/>
    <col width="9" customWidth="1" min="34" max="34"/>
    <col outlineLevel="1" width="6" customWidth="1" min="35" max="45"/>
    <col width="12" customWidth="1" min="46" max="46"/>
    <col outlineLevel="1" width="7" customWidth="1" min="47" max="53"/>
    <col width="7" customWidth="1" min="54" max="54"/>
    <col width="16" customWidth="1" min="55" max="55"/>
    <col width="7" customWidth="1" min="56" max="56"/>
    <col width="46" customWidth="1" min="57" max="57"/>
    <col outlineLevel="1" width="13" customWidth="1" min="58" max="87"/>
    <col width="60" customWidth="1" min="88" max="88"/>
    <col width="60" customWidth="1" min="89" max="89"/>
    <col hidden="1" outlineLevel="1" width="6" customWidth="1" min="90" max="115"/>
  </cols>
  <sheetData>
    <row r="1" ht="30" customHeight="1">
      <c r="A1" s="58">
        <f>IF(JobName="","TAKEOFF  —  fill in the job on the Job sheet","TAKEOFF  —  "&amp;JobName&amp;IF(JobNo="",""," · JOB "&amp;JobNo))</f>
        <v/>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row>
    <row r="2" ht="18" customHeight="1">
      <c r="A2" s="59">
        <f>COUNTIF(tk_MARK,"?*")&amp;" rows   ·   "&amp;SUM(tk_QTY)&amp;" openings   ·   "&amp;SUMPRODUCT(tk_QTY,tk_LEAVES)&amp;" leaves   ·   "&amp;SUMPRODUCT(tk_QTY,--(tk_DMIN&gt;0))&amp;" rated   ·   "&amp;COUNTIF(tk_CHECK,"FIX")&amp;" to fix   ·   "&amp;COUNTIF(tk_CHECK,"CHECK")&amp;" to check"</f>
        <v/>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c r="BR2" s="1" t="n"/>
      <c r="BS2" s="1" t="n"/>
      <c r="BT2" s="1" t="n"/>
      <c r="BU2" s="1" t="n"/>
      <c r="BV2" s="1" t="n"/>
      <c r="BW2" s="1" t="n"/>
      <c r="BX2" s="1" t="n"/>
      <c r="BY2" s="1" t="n"/>
      <c r="BZ2" s="1" t="n"/>
      <c r="CA2" s="1" t="n"/>
      <c r="CB2" s="1" t="n"/>
      <c r="CC2" s="1" t="n"/>
      <c r="CD2" s="1" t="n"/>
      <c r="CE2" s="1" t="n"/>
      <c r="CF2" s="1" t="n"/>
      <c r="CG2" s="1" t="n"/>
      <c r="CH2" s="1" t="n"/>
      <c r="CI2" s="1" t="n"/>
      <c r="CJ2" s="1" t="n"/>
      <c r="CK2" s="1" t="n"/>
      <c r="CL2" s="1" t="n"/>
      <c r="CM2" s="1" t="n"/>
      <c r="CN2" s="1" t="n"/>
      <c r="CO2" s="1" t="n"/>
      <c r="CP2" s="1" t="n"/>
      <c r="CQ2" s="1" t="n"/>
      <c r="CR2" s="1" t="n"/>
      <c r="CS2" s="1" t="n"/>
      <c r="CT2" s="1" t="n"/>
      <c r="CU2" s="1" t="n"/>
      <c r="CV2" s="1" t="n"/>
      <c r="CW2" s="1" t="n"/>
      <c r="CX2" s="1" t="n"/>
      <c r="CY2" s="1" t="n"/>
      <c r="CZ2" s="1" t="n"/>
      <c r="DA2" s="1" t="n"/>
      <c r="DB2" s="1" t="n"/>
      <c r="DC2" s="1" t="n"/>
      <c r="DD2" s="1" t="n"/>
      <c r="DE2" s="1" t="n"/>
      <c r="DF2" s="1" t="n"/>
      <c r="DG2" s="1" t="n"/>
      <c r="DH2" s="1" t="n"/>
      <c r="DI2" s="1" t="n"/>
      <c r="DJ2" s="1" t="n"/>
      <c r="DK2" s="1" t="n"/>
    </row>
    <row r="3" ht="4" customHeight="1">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c r="AA3" s="6" t="n"/>
      <c r="AB3" s="6" t="n"/>
      <c r="AC3" s="6" t="n"/>
      <c r="AD3" s="6" t="n"/>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6" t="n"/>
      <c r="BG3" s="6" t="n"/>
      <c r="BH3" s="6" t="n"/>
      <c r="BI3" s="6" t="n"/>
      <c r="BJ3" s="6" t="n"/>
      <c r="BK3" s="6" t="n"/>
      <c r="BL3" s="6" t="n"/>
      <c r="BM3" s="6" t="n"/>
      <c r="BN3" s="6" t="n"/>
      <c r="BO3" s="6" t="n"/>
      <c r="BP3" s="6" t="n"/>
      <c r="BQ3" s="6" t="n"/>
      <c r="BR3" s="6" t="n"/>
      <c r="BS3" s="6" t="n"/>
      <c r="BT3" s="6" t="n"/>
      <c r="BU3" s="6" t="n"/>
      <c r="BV3" s="6" t="n"/>
      <c r="BW3" s="6" t="n"/>
      <c r="BX3" s="6" t="n"/>
      <c r="BY3" s="6" t="n"/>
      <c r="BZ3" s="6" t="n"/>
      <c r="CA3" s="6" t="n"/>
      <c r="CB3" s="6" t="n"/>
      <c r="CC3" s="6" t="n"/>
      <c r="CD3" s="6" t="n"/>
      <c r="CE3" s="6" t="n"/>
      <c r="CF3" s="6" t="n"/>
      <c r="CG3" s="6" t="n"/>
      <c r="CH3" s="6" t="n"/>
      <c r="CI3" s="6" t="n"/>
      <c r="CJ3" s="6" t="n"/>
      <c r="CK3" s="6" t="n"/>
      <c r="CL3" s="6" t="n"/>
      <c r="CM3" s="6" t="n"/>
      <c r="CN3" s="6" t="n"/>
      <c r="CO3" s="6" t="n"/>
      <c r="CP3" s="6" t="n"/>
      <c r="CQ3" s="6" t="n"/>
      <c r="CR3" s="6" t="n"/>
      <c r="CS3" s="6" t="n"/>
      <c r="CT3" s="6" t="n"/>
      <c r="CU3" s="6" t="n"/>
      <c r="CV3" s="6" t="n"/>
      <c r="CW3" s="6" t="n"/>
      <c r="CX3" s="6" t="n"/>
      <c r="CY3" s="6" t="n"/>
      <c r="CZ3" s="6" t="n"/>
      <c r="DA3" s="6" t="n"/>
      <c r="DB3" s="6" t="n"/>
      <c r="DC3" s="6" t="n"/>
      <c r="DD3" s="6" t="n"/>
      <c r="DE3" s="6" t="n"/>
      <c r="DF3" s="6" t="n"/>
      <c r="DG3" s="6" t="n"/>
      <c r="DH3" s="6" t="n"/>
      <c r="DI3" s="6" t="n"/>
      <c r="DJ3" s="6" t="n"/>
      <c r="DK3" s="6" t="n"/>
    </row>
    <row r="4" ht="18" customHeight="1">
      <c r="A4" s="60" t="inlineStr">
        <is>
          <t>OPENING</t>
        </is>
      </c>
      <c r="B4" s="7" t="n"/>
      <c r="C4" s="7" t="n"/>
      <c r="D4" s="7" t="n"/>
      <c r="E4" s="7" t="n"/>
      <c r="F4" s="7" t="n"/>
      <c r="G4" s="7" t="n"/>
      <c r="H4" s="7" t="n"/>
      <c r="I4" s="7" t="n"/>
      <c r="J4" s="7" t="n"/>
      <c r="K4" s="7" t="n"/>
      <c r="L4" s="7" t="n"/>
      <c r="M4" s="7" t="n"/>
      <c r="N4" s="7" t="n"/>
      <c r="O4" s="7" t="n"/>
      <c r="P4" s="7" t="n"/>
      <c r="Q4" s="7" t="n"/>
      <c r="R4" s="7" t="n"/>
      <c r="S4" s="61" t="inlineStr">
        <is>
          <t>FRAME</t>
        </is>
      </c>
      <c r="T4" s="62" t="n"/>
      <c r="U4" s="62" t="n"/>
      <c r="V4" s="62" t="n"/>
      <c r="W4" s="62" t="n"/>
      <c r="X4" s="62" t="n"/>
      <c r="Y4" s="62" t="n"/>
      <c r="Z4" s="62" t="n"/>
      <c r="AA4" s="62" t="n"/>
      <c r="AB4" s="62" t="n"/>
      <c r="AC4" s="62" t="n"/>
      <c r="AD4" s="62" t="n"/>
      <c r="AE4" s="62" t="n"/>
      <c r="AF4" s="62" t="n"/>
      <c r="AG4" s="62" t="n"/>
      <c r="AH4" s="63" t="inlineStr">
        <is>
          <t>DOOR</t>
        </is>
      </c>
      <c r="AI4" s="64" t="n"/>
      <c r="AJ4" s="64" t="n"/>
      <c r="AK4" s="64" t="n"/>
      <c r="AL4" s="64" t="n"/>
      <c r="AM4" s="64" t="n"/>
      <c r="AN4" s="64" t="n"/>
      <c r="AO4" s="64" t="n"/>
      <c r="AP4" s="64" t="n"/>
      <c r="AQ4" s="64" t="n"/>
      <c r="AR4" s="64" t="n"/>
      <c r="AS4" s="64" t="n"/>
      <c r="AT4" s="65" t="inlineStr">
        <is>
          <t>LOCATIONS</t>
        </is>
      </c>
      <c r="AU4" s="66" t="n"/>
      <c r="AV4" s="66" t="n"/>
      <c r="AW4" s="66" t="n"/>
      <c r="AX4" s="66" t="n"/>
      <c r="AY4" s="66" t="n"/>
      <c r="AZ4" s="66" t="n"/>
      <c r="BA4" s="66" t="n"/>
      <c r="BB4" s="67" t="inlineStr">
        <is>
          <t>HARDWARE</t>
        </is>
      </c>
      <c r="BC4" s="68" t="n"/>
      <c r="BD4" s="69" t="inlineStr">
        <is>
          <t>CALCULATED</t>
        </is>
      </c>
      <c r="BE4" s="70" t="n"/>
      <c r="BF4" s="70" t="n"/>
      <c r="BG4" s="70" t="n"/>
      <c r="BH4" s="70" t="n"/>
      <c r="BI4" s="70" t="n"/>
      <c r="BJ4" s="70" t="n"/>
      <c r="BK4" s="70" t="n"/>
      <c r="BL4" s="70" t="n"/>
      <c r="BM4" s="70" t="n"/>
      <c r="BN4" s="70" t="n"/>
      <c r="BO4" s="70" t="n"/>
      <c r="BP4" s="70" t="n"/>
      <c r="BQ4" s="70" t="n"/>
      <c r="BR4" s="70" t="n"/>
      <c r="BS4" s="70" t="n"/>
      <c r="BT4" s="70" t="n"/>
      <c r="BU4" s="70" t="n"/>
      <c r="BV4" s="70" t="n"/>
      <c r="BW4" s="70" t="n"/>
      <c r="BX4" s="70" t="n"/>
      <c r="BY4" s="70" t="n"/>
      <c r="BZ4" s="70" t="n"/>
      <c r="CA4" s="70" t="n"/>
      <c r="CB4" s="70" t="n"/>
      <c r="CC4" s="70" t="n"/>
      <c r="CD4" s="70" t="n"/>
      <c r="CE4" s="70" t="n"/>
      <c r="CF4" s="70" t="n"/>
      <c r="CG4" s="70" t="n"/>
      <c r="CH4" s="70" t="n"/>
      <c r="CI4" s="70" t="n"/>
      <c r="CJ4" s="70" t="n"/>
      <c r="CK4" s="70" t="n"/>
      <c r="CL4" s="70" t="n"/>
      <c r="CM4" s="70" t="n"/>
      <c r="CN4" s="70" t="n"/>
      <c r="CO4" s="70" t="n"/>
      <c r="CP4" s="70" t="n"/>
      <c r="CQ4" s="70" t="n"/>
      <c r="CR4" s="70" t="n"/>
      <c r="CS4" s="70" t="n"/>
      <c r="CT4" s="70" t="n"/>
      <c r="CU4" s="70" t="n"/>
      <c r="CV4" s="70" t="n"/>
      <c r="CW4" s="70" t="n"/>
      <c r="CX4" s="70" t="n"/>
      <c r="CY4" s="70" t="n"/>
      <c r="CZ4" s="70" t="n"/>
      <c r="DA4" s="70" t="n"/>
      <c r="DB4" s="70" t="n"/>
      <c r="DC4" s="70" t="n"/>
      <c r="DD4" s="70" t="n"/>
      <c r="DE4" s="70" t="n"/>
      <c r="DF4" s="70" t="n"/>
      <c r="DG4" s="70" t="n"/>
      <c r="DH4" s="70" t="n"/>
      <c r="DI4" s="70" t="n"/>
      <c r="DJ4" s="70" t="n"/>
      <c r="DK4" s="70" t="n"/>
    </row>
    <row r="5" ht="44" customHeight="1">
      <c r="A5" s="71" t="inlineStr">
        <is>
          <t>MARK</t>
        </is>
      </c>
      <c r="B5" s="71" t="inlineStr">
        <is>
          <t>QTY</t>
        </is>
      </c>
      <c r="C5" s="71" t="inlineStr">
        <is>
          <t>SCOPE</t>
        </is>
      </c>
      <c r="D5" s="71" t="inlineStr">
        <is>
          <t>FLOOR</t>
        </is>
      </c>
      <c r="E5" s="71" t="inlineStr">
        <is>
          <t>CATEGORY</t>
        </is>
      </c>
      <c r="F5" s="71" t="inlineStr">
        <is>
          <t>ROOM FROM</t>
        </is>
      </c>
      <c r="G5" s="71" t="inlineStr">
        <is>
          <t>ROOM TO</t>
        </is>
      </c>
      <c r="H5" s="71" t="inlineStr">
        <is>
          <t>FIRE RATING</t>
        </is>
      </c>
      <c r="I5" s="71" t="inlineStr">
        <is>
          <t>WALL TYPE</t>
        </is>
      </c>
      <c r="J5" s="71" t="inlineStr">
        <is>
          <t>WALL HR</t>
        </is>
      </c>
      <c r="K5" s="71" t="inlineStr">
        <is>
          <t>W FT</t>
        </is>
      </c>
      <c r="L5" s="71" t="inlineStr">
        <is>
          <t>W IN</t>
        </is>
      </c>
      <c r="M5" s="71" t="inlineStr">
        <is>
          <t>H FT</t>
        </is>
      </c>
      <c r="N5" s="71" t="inlineStr">
        <is>
          <t>H IN</t>
        </is>
      </c>
      <c r="O5" s="71" t="inlineStr">
        <is>
          <t>PAIR</t>
        </is>
      </c>
      <c r="P5" s="71" t="inlineStr">
        <is>
          <t>TRANSOM H (IN)</t>
        </is>
      </c>
      <c r="Q5" s="71" t="inlineStr">
        <is>
          <t>SIDELITE W (IN)</t>
        </is>
      </c>
      <c r="R5" s="71" t="inlineStr">
        <is>
          <t>SIDELITE SIDE</t>
        </is>
      </c>
      <c r="S5" s="72" t="inlineStr">
        <is>
          <t>FRAME TYPE</t>
        </is>
      </c>
      <c r="T5" s="72" t="inlineStr">
        <is>
          <t>PROFILE</t>
        </is>
      </c>
      <c r="U5" s="72" t="inlineStr">
        <is>
          <t>JAMB DEPTH</t>
        </is>
      </c>
      <c r="V5" s="72" t="inlineStr">
        <is>
          <t>GAUGE</t>
        </is>
      </c>
      <c r="W5" s="72" t="inlineStr">
        <is>
          <t>STEEL</t>
        </is>
      </c>
      <c r="X5" s="72" t="inlineStr">
        <is>
          <t>CONSTR.</t>
        </is>
      </c>
      <c r="Y5" s="72" t="inlineStr">
        <is>
          <t>ANCHOR</t>
        </is>
      </c>
      <c r="Z5" s="72" t="inlineStr">
        <is>
          <t>HAND</t>
        </is>
      </c>
      <c r="AA5" s="72" t="inlineStr">
        <is>
          <t>MANUF.</t>
        </is>
      </c>
      <c r="AB5" s="72" t="inlineStr">
        <is>
          <t>4" HEAD</t>
        </is>
      </c>
      <c r="AC5" s="72" t="inlineStr">
        <is>
          <t>HINGE PREP</t>
        </is>
      </c>
      <c r="AD5" s="72" t="inlineStr">
        <is>
          <t>STRIKE PREP</t>
        </is>
      </c>
      <c r="AE5" s="72" t="inlineStr">
        <is>
          <t>HEADER PREP</t>
        </is>
      </c>
      <c r="AF5" s="72" t="inlineStr">
        <is>
          <t>CLOSER REINF.</t>
        </is>
      </c>
      <c r="AG5" s="72" t="inlineStr">
        <is>
          <t>FRAME NOTES</t>
        </is>
      </c>
      <c r="AH5" s="73" t="inlineStr">
        <is>
          <t>MATERIAL</t>
        </is>
      </c>
      <c r="AI5" s="73" t="inlineStr">
        <is>
          <t>GAUGE</t>
        </is>
      </c>
      <c r="AJ5" s="73" t="inlineStr">
        <is>
          <t>WOOD CORE</t>
        </is>
      </c>
      <c r="AK5" s="73" t="inlineStr">
        <is>
          <t>WOOD FINISH</t>
        </is>
      </c>
      <c r="AL5" s="73" t="inlineStr">
        <is>
          <t>FACE TYPE</t>
        </is>
      </c>
      <c r="AM5" s="73" t="inlineStr">
        <is>
          <t>SERIES</t>
        </is>
      </c>
      <c r="AN5" s="73" t="inlineStr">
        <is>
          <t>DOOR HAND (blank = frame)</t>
        </is>
      </c>
      <c r="AO5" s="73" t="inlineStr">
        <is>
          <t>HINGE PREP (blank = frame)</t>
        </is>
      </c>
      <c r="AP5" s="73" t="inlineStr">
        <is>
          <t>LOCK PREP</t>
        </is>
      </c>
      <c r="AQ5" s="73" t="inlineStr">
        <is>
          <t>EDGE</t>
        </is>
      </c>
      <c r="AR5" s="73" t="inlineStr">
        <is>
          <t>ASTRAGAL</t>
        </is>
      </c>
      <c r="AS5" s="73" t="inlineStr">
        <is>
          <t>DOOR NOTES</t>
        </is>
      </c>
      <c r="AT5" s="74" t="inlineStr">
        <is>
          <t>LOCATION STANDARD</t>
        </is>
      </c>
      <c r="AU5" s="74" t="inlineStr">
        <is>
          <t>HINGE SIZE (blank 4.5)</t>
        </is>
      </c>
      <c r="AV5" s="74" t="inlineStr">
        <is>
          <t>HINGE QTY (blank = auto)</t>
        </is>
      </c>
      <c r="AW5" s="74" t="inlineStr">
        <is>
          <t>CUSTOM A</t>
        </is>
      </c>
      <c r="AX5" s="74" t="inlineStr">
        <is>
          <t>CUSTOM B</t>
        </is>
      </c>
      <c r="AY5" s="74" t="inlineStr">
        <is>
          <t>CUSTOM C</t>
        </is>
      </c>
      <c r="AZ5" s="74" t="inlineStr">
        <is>
          <t>CUSTOM D</t>
        </is>
      </c>
      <c r="BA5" s="74" t="inlineStr">
        <is>
          <t>CUSTOM E (STRIKE)</t>
        </is>
      </c>
      <c r="BB5" s="75" t="inlineStr">
        <is>
          <t>HW SET</t>
        </is>
      </c>
      <c r="BC5" s="75" t="inlineStr">
        <is>
          <t>HARDWARE NOTES</t>
        </is>
      </c>
      <c r="BD5" s="76" t="inlineStr">
        <is>
          <t>CHECK</t>
        </is>
      </c>
      <c r="BE5" s="76" t="inlineStr">
        <is>
          <t>WHAT TO FIX / CHECK</t>
        </is>
      </c>
      <c r="BF5" s="76" t="inlineStr">
        <is>
          <t>SIZE</t>
        </is>
      </c>
      <c r="BG5" s="76" t="inlineStr">
        <is>
          <t>CODE</t>
        </is>
      </c>
      <c r="BH5" s="76" t="inlineStr">
        <is>
          <t>W (IN)</t>
        </is>
      </c>
      <c r="BI5" s="76" t="inlineStr">
        <is>
          <t>H (IN)</t>
        </is>
      </c>
      <c r="BJ5" s="76" t="inlineStr">
        <is>
          <t>LEAVES</t>
        </is>
      </c>
      <c r="BK5" s="76" t="inlineStr">
        <is>
          <t>LEAF W</t>
        </is>
      </c>
      <c r="BL5" s="76" t="inlineStr">
        <is>
          <t>LEAF H</t>
        </is>
      </c>
      <c r="BM5" s="76" t="inlineStr">
        <is>
          <t>FRAME O/A W</t>
        </is>
      </c>
      <c r="BN5" s="76" t="inlineStr">
        <is>
          <t>FRAME O/A H</t>
        </is>
      </c>
      <c r="BO5" s="76" t="inlineStr">
        <is>
          <t>ROUGH OPG W</t>
        </is>
      </c>
      <c r="BP5" s="76" t="inlineStr">
        <is>
          <t>ROUGH OPG H</t>
        </is>
      </c>
      <c r="BQ5" s="76" t="inlineStr">
        <is>
          <t>CLEAR W (approx)</t>
        </is>
      </c>
      <c r="BR5" s="76" t="inlineStr">
        <is>
          <t>LABEL</t>
        </is>
      </c>
      <c r="BS5" s="76" t="inlineStr">
        <is>
          <t>HINGES / LEAF</t>
        </is>
      </c>
      <c r="BT5" s="76" t="inlineStr">
        <is>
          <t>LOCATIONS FROM</t>
        </is>
      </c>
      <c r="BU5" s="76" t="inlineStr">
        <is>
          <t>HINGE A</t>
        </is>
      </c>
      <c r="BV5" s="76" t="inlineStr">
        <is>
          <t>HINGE B</t>
        </is>
      </c>
      <c r="BW5" s="76" t="inlineStr">
        <is>
          <t>HINGE C</t>
        </is>
      </c>
      <c r="BX5" s="76" t="inlineStr">
        <is>
          <t>HINGE D</t>
        </is>
      </c>
      <c r="BY5" s="76" t="inlineStr">
        <is>
          <t>HINGE F</t>
        </is>
      </c>
      <c r="BZ5" s="76" t="inlineStr">
        <is>
          <t>STRIKE E</t>
        </is>
      </c>
      <c r="CA5" s="76" t="inlineStr">
        <is>
          <t>LOCK CL AFF</t>
        </is>
      </c>
      <c r="CB5" s="76" t="inlineStr">
        <is>
          <t>ANCHORS / JAMB</t>
        </is>
      </c>
      <c r="CC5" s="76" t="inlineStr">
        <is>
          <t>JAMB ANCHORS TOTAL</t>
        </is>
      </c>
      <c r="CD5" s="76" t="inlineStr">
        <is>
          <t>BASE ANCHORS</t>
        </is>
      </c>
      <c r="CE5" s="76" t="inlineStr">
        <is>
          <t>LITE KIT</t>
        </is>
      </c>
      <c r="CF5" s="76" t="inlineStr">
        <is>
          <t>LITE W</t>
        </is>
      </c>
      <c r="CG5" s="76" t="inlineStr">
        <is>
          <t>LITE H</t>
        </is>
      </c>
      <c r="CH5" s="76" t="inlineStr">
        <is>
          <t>DOOR MIN</t>
        </is>
      </c>
      <c r="CI5" s="76" t="inlineStr">
        <is>
          <t>WALL NEEDS (MIN)</t>
        </is>
      </c>
      <c r="CJ5" s="76" t="inlineStr">
        <is>
          <t>FRAME ORDER LINE</t>
        </is>
      </c>
      <c r="CK5" s="76" t="inlineStr">
        <is>
          <t>DOOR ORDER LINE</t>
        </is>
      </c>
      <c r="CL5" s="76" t="inlineStr">
        <is>
          <t>ELEV TYPE</t>
        </is>
      </c>
      <c r="CM5" s="76" t="inlineStr">
        <is>
          <t>FSEQ</t>
        </is>
      </c>
      <c r="CN5" s="76" t="inlineStr">
        <is>
          <t>DSEQ</t>
        </is>
      </c>
      <c r="CO5" s="76" t="inlineStr">
        <is>
          <t>ASEQ</t>
        </is>
      </c>
      <c r="CP5" s="76" t="inlineStr">
        <is>
          <t>EKEY</t>
        </is>
      </c>
      <c r="CQ5" s="76" t="inlineStr">
        <is>
          <t>NH</t>
        </is>
      </c>
      <c r="CR5" s="76" t="inlineStr">
        <is>
          <t>HL</t>
        </is>
      </c>
      <c r="CS5" s="76" t="inlineStr">
        <is>
          <t>NOHINGE</t>
        </is>
      </c>
      <c r="CT5" s="76" t="inlineStr">
        <is>
          <t>LCUST</t>
        </is>
      </c>
      <c r="CU5" s="76" t="inlineStr">
        <is>
          <t>LKEY</t>
        </is>
      </c>
      <c r="CV5" s="76" t="inlineStr">
        <is>
          <t>LIN</t>
        </is>
      </c>
      <c r="CW5" s="76" t="inlineStr">
        <is>
          <t>LFIRST</t>
        </is>
      </c>
      <c r="CX5" s="76" t="inlineStr">
        <is>
          <t>LLAST</t>
        </is>
      </c>
      <c r="CY5" s="76" t="inlineStr">
        <is>
          <t>LOC TEXT FRAME</t>
        </is>
      </c>
      <c r="CZ5" s="76" t="inlineStr">
        <is>
          <t>LOC TEXT DOOR</t>
        </is>
      </c>
      <c r="DA5" s="76" t="inlineStr">
        <is>
          <t>HAND LEG</t>
        </is>
      </c>
      <c r="DB5" s="76" t="inlineStr">
        <is>
          <t>JAMB HAND</t>
        </is>
      </c>
      <c r="DC5" s="76" t="inlineStr">
        <is>
          <t>ORDER ITEM</t>
        </is>
      </c>
      <c r="DD5" s="76" t="inlineStr">
        <is>
          <t>FRAME LINE NO HAND</t>
        </is>
      </c>
      <c r="DE5" s="76" t="inlineStr">
        <is>
          <t>DOOR LINE NO HAND</t>
        </is>
      </c>
      <c r="DF5" s="76" t="inlineStr">
        <is>
          <t>FRAME GROUP KEY</t>
        </is>
      </c>
      <c r="DG5" s="76" t="inlineStr">
        <is>
          <t>FRAME GROUP</t>
        </is>
      </c>
      <c r="DH5" s="76" t="inlineStr">
        <is>
          <t>DOOR GROUP KEY</t>
        </is>
      </c>
      <c r="DI5" s="76" t="inlineStr">
        <is>
          <t>DOOR GROUP</t>
        </is>
      </c>
      <c r="DJ5" s="76" t="inlineStr">
        <is>
          <t>ERRS</t>
        </is>
      </c>
      <c r="DK5" s="76" t="inlineStr">
        <is>
          <t>WARNS</t>
        </is>
      </c>
    </row>
    <row r="6" ht="15" customHeight="1">
      <c r="A6" s="77" t="inlineStr">
        <is>
          <t>101</t>
        </is>
      </c>
      <c r="B6" s="78" t="n">
        <v>1</v>
      </c>
      <c r="C6" s="78" t="inlineStr">
        <is>
          <t>FRAME &amp; DOOR</t>
        </is>
      </c>
      <c r="D6" s="78" t="inlineStr">
        <is>
          <t>1st</t>
        </is>
      </c>
      <c r="E6" s="78" t="inlineStr">
        <is>
          <t>INTERIOR</t>
        </is>
      </c>
      <c r="F6" s="78" t="inlineStr">
        <is>
          <t>CORRIDOR</t>
        </is>
      </c>
      <c r="G6" s="78" t="inlineStr">
        <is>
          <t>OFFICE 101</t>
        </is>
      </c>
      <c r="H6" s="78" t="inlineStr">
        <is>
          <t>20 MIN</t>
        </is>
      </c>
      <c r="I6" s="78" t="inlineStr">
        <is>
          <t>CORRIDOR</t>
        </is>
      </c>
      <c r="J6" s="78" t="n">
        <v>1</v>
      </c>
      <c r="K6" s="78" t="n">
        <v>3</v>
      </c>
      <c r="L6" s="78" t="n">
        <v>0</v>
      </c>
      <c r="M6" s="78" t="n">
        <v>7</v>
      </c>
      <c r="N6" s="78" t="n">
        <v>0</v>
      </c>
      <c r="O6" s="78" t="n"/>
      <c r="P6" s="78" t="n"/>
      <c r="Q6" s="78" t="n"/>
      <c r="R6" s="78" t="n"/>
      <c r="S6" s="79" t="inlineStr">
        <is>
          <t>3F</t>
        </is>
      </c>
      <c r="T6" s="79" t="inlineStr">
        <is>
          <t>M</t>
        </is>
      </c>
      <c r="U6" s="79" t="n">
        <v>534</v>
      </c>
      <c r="V6" s="79" t="n">
        <v>16</v>
      </c>
      <c r="W6" s="79" t="inlineStr">
        <is>
          <t>CR</t>
        </is>
      </c>
      <c r="X6" s="79" t="inlineStr">
        <is>
          <t>KD</t>
        </is>
      </c>
      <c r="Y6" s="79" t="inlineStr">
        <is>
          <t>SC</t>
        </is>
      </c>
      <c r="Z6" s="79" t="inlineStr">
        <is>
          <t>R</t>
        </is>
      </c>
      <c r="AA6" s="79" t="inlineStr">
        <is>
          <t>CU</t>
        </is>
      </c>
      <c r="AB6" s="79" t="n"/>
      <c r="AC6" s="79" t="inlineStr">
        <is>
          <t>U453</t>
        </is>
      </c>
      <c r="AD6" s="79" t="inlineStr">
        <is>
          <t>E1</t>
        </is>
      </c>
      <c r="AE6" s="79" t="n"/>
      <c r="AF6" s="79" t="inlineStr">
        <is>
          <t>E11</t>
        </is>
      </c>
      <c r="AG6" s="79" t="n"/>
      <c r="AH6" s="80" t="inlineStr">
        <is>
          <t>CR</t>
        </is>
      </c>
      <c r="AI6" s="80" t="n">
        <v>18</v>
      </c>
      <c r="AJ6" s="80" t="n"/>
      <c r="AK6" s="80" t="n"/>
      <c r="AL6" s="80" t="inlineStr">
        <is>
          <t>FNV-6"x27"</t>
        </is>
      </c>
      <c r="AM6" s="80" t="n">
        <v>707</v>
      </c>
      <c r="AN6" s="80" t="n"/>
      <c r="AO6" s="80" t="n"/>
      <c r="AP6" s="80" t="inlineStr">
        <is>
          <t>G2</t>
        </is>
      </c>
      <c r="AQ6" s="80" t="n"/>
      <c r="AR6" s="80" t="n"/>
      <c r="AS6" s="80" t="n"/>
      <c r="AT6" s="81" t="inlineStr">
        <is>
          <t>CURRIES</t>
        </is>
      </c>
      <c r="AU6" s="81" t="n"/>
      <c r="AV6" s="81" t="n"/>
      <c r="AW6" s="82" t="n"/>
      <c r="AX6" s="82" t="n"/>
      <c r="AY6" s="82" t="n"/>
      <c r="AZ6" s="82" t="n"/>
      <c r="BA6" s="82" t="n"/>
      <c r="BB6" s="83" t="inlineStr">
        <is>
          <t>1</t>
        </is>
      </c>
      <c r="BC6" s="83" t="n"/>
      <c r="BD6" s="84">
        <f>IF($A6="","",IF($DJ6&lt;&gt;"","FIX",IF($DK6&lt;&gt;"","CHECK","OK")))</f>
        <v/>
      </c>
      <c r="BE6" s="85">
        <f>IF($A6="","",IF($DJ6&lt;&gt;"","FIX: "&amp;LEFT($DJ6,LEN($DJ6)-2)&amp;IF($DK6&lt;&gt;"","  ·  ",""),"")&amp;IF($DK6&lt;&gt;"","CHECK: "&amp;LEFT($DK6,LEN($DK6)-2),""))</f>
        <v/>
      </c>
      <c r="BF6" s="84">
        <f>IF(OR($A6="",$K6=""),"",$K6&amp;"'-"&amp;N($L6)&amp;CHAR(34)&amp;" x "&amp;$M6&amp;"'-"&amp;N($N6)&amp;CHAR(34))</f>
        <v/>
      </c>
      <c r="BG6" s="84">
        <f>IF(OR($A6="",$K6=""),"",$K6&amp;N($L6)&amp;$M6&amp;N($N6))</f>
        <v/>
      </c>
      <c r="BH6" s="84">
        <f>IF(OR($A6="",$K6=""),"",$K6*12+N($L6))</f>
        <v/>
      </c>
      <c r="BI6" s="84">
        <f>IF(OR($A6="",$M6=""),"",$M6*12+N($N6))</f>
        <v/>
      </c>
      <c r="BJ6" s="84">
        <f>IF($A6="","",IF(OR($C6="FRAME ONLY",$S6="BL"),0,IF($O6="Y",2,1)))</f>
        <v/>
      </c>
      <c r="BK6" s="86">
        <f>IF(OR(N($BJ6)=0,$BH6=""),"",($BH6-2*EdgeClr-IF($BJ6=2,MeetClr,0))/$BJ6)</f>
        <v/>
      </c>
      <c r="BL6" s="86">
        <f>IF(OR(N($BJ6)=0,$BI6=""),"",$BI6-HeadClr-Undercut)</f>
        <v/>
      </c>
      <c r="BM6" s="86">
        <f>IF($BH6="","",$BH6+2*FaceW+IF(N($Q6)&gt;0,($Q6+FaceW)*IF($R6="LR",2,1),0))</f>
        <v/>
      </c>
      <c r="BN6" s="86">
        <f>IF($BI6="","",$BI6+IF($AB6="Y",4,FaceW)+IF(N($P6)&gt;0,$P6+FaceW,0)+IF(OR($S6="4F",$S6="BL"),FaceW,0))</f>
        <v/>
      </c>
      <c r="BO6" s="86">
        <f>IF($BM6="","",$BM6+2*ROSide)</f>
        <v/>
      </c>
      <c r="BP6" s="86">
        <f>IF($BN6="","",$BN6+ROTop)</f>
        <v/>
      </c>
      <c r="BQ6" s="87">
        <f>IF(OR(N($BJ6)=0,$BH6=""),"",$BH6/$BJ6-ClearDeduct)</f>
        <v/>
      </c>
      <c r="BR6" s="84">
        <f>IF(N($CH6)=0,"",IF($CH6&gt;=180,"A · 3 HR",IF($CH6&gt;=90,"B · 1-1/2 HR",IF($CH6&gt;=60,"B · 1 HR",IF($CH6&gt;=45,"C · 3/4 HR","20 MIN")))))&amp;IF(AND(N($CH6)&gt;0,OR($I6="CORRIDOR",$I6="SMOKE BARRIER"))," · S","")</f>
        <v/>
      </c>
      <c r="BS6" s="84">
        <f>IF($CS6,"",IF($AV6&lt;&gt;"",$AV6,IF(OR($AC6="HGC",$AO6="HGC"),"CONT",IF(($BI6-HeadClr-Undercut)&lt;=60,2,IF(($BI6-HeadClr-Undercut)&lt;=90,3,IF(($BI6-HeadClr-Undercut)&lt;=120,4,5))))))</f>
        <v/>
      </c>
      <c r="BT6" s="84">
        <f>IF($CS6,"",IF($CT6,"CUSTOM (typed)",IF($CV6,$AT6&amp;" "&amp;$CU6&amp;CHAR(34)&amp;IF($CU6&lt;&gt;$BI6,IF(AND($BI6&lt;$CU6,$BI6-IF(N(VLOOKUP($AT6&amp;"|"&amp;$CU6,LocTable,7,FALSE))&gt;0,VLOOKUP($AT6&amp;"|"&amp;$CU6,LocTable,7,FALSE),VLOOKUP($AT6&amp;"|"&amp;$CU6,LocTable,6,FALSE))-$CR6-0.75&gt;=2.125)," cut down"," adj."),""),"ANSI/SDI A250.6")))</f>
        <v/>
      </c>
      <c r="BU6" s="88">
        <f>IF($CS6,"",IF($CT6,IF(N($AW6)&gt;0,N($AW6),""),IF(1&gt;$CQ6,"",IF($CQ6=1,$CW6,$CW6+($CX6-$CW6)*0/($CQ6-1)))))</f>
        <v/>
      </c>
      <c r="BV6" s="88">
        <f>IF($CS6,"",IF($CT6,IF(N($AX6)&gt;0,N($AX6),""),IF(2&gt;$CQ6,"",IF($CQ6=1,$CW6,$CW6+($CX6-$CW6)*1/($CQ6-1)))))</f>
        <v/>
      </c>
      <c r="BW6" s="88">
        <f>IF($CS6,"",IF($CT6,IF(N($AY6)&gt;0,N($AY6),""),IF(3&gt;$CQ6,"",IF($CQ6=1,$CW6,$CW6+($CX6-$CW6)*2/($CQ6-1)))))</f>
        <v/>
      </c>
      <c r="BX6" s="88">
        <f>IF($CS6,"",IF($CT6,IF(N($AZ6)&gt;0,N($AZ6),""),IF(4&gt;$CQ6,"",IF($CQ6=1,$CW6,$CW6+($CX6-$CW6)*3/($CQ6-1)))))</f>
        <v/>
      </c>
      <c r="BY6" s="88">
        <f>IF($CS6,"",IF($CT6,"",IF(5&gt;$CQ6,"",IF($CQ6=1,$CW6,$CW6+($CX6-$CW6)*4/($CQ6-1)))))</f>
        <v/>
      </c>
      <c r="BZ6" s="88">
        <f>IF(OR($CS6,$AP6="-",AND($AP6="",$AD6="")),"",IF(N($BA6)&gt;0,N($BA6),IF($CV6,IF(AND($BI6&lt;$CU6,$BI6-IF(N(VLOOKUP($AT6&amp;"|"&amp;$CU6,LocTable,7,FALSE))&gt;0,VLOOKUP($AT6&amp;"|"&amp;$CU6,LocTable,7,FALSE),VLOOKUP($AT6&amp;"|"&amp;$CU6,LocTable,6,FALSE))-$CR6-0.75&gt;=2.125),VLOOKUP($AT6&amp;"|"&amp;$CU6,LocTable,8,FALSE),VLOOKUP($AT6&amp;"|"&amp;$CU6,LocTable,8,FALSE)+($BI6-$CU6)),$BI6-LockAFF)))</f>
        <v/>
      </c>
      <c r="CA6" s="89">
        <f>IF($BZ6="","",$BI6-$BZ6)</f>
        <v/>
      </c>
      <c r="CB6" s="84">
        <f>IF(OR(NOT(AND($A6&lt;&gt;"",$C6&lt;&gt;"DOOR ONLY")),$BI6=""),"",IF(($BI6+IF(N($P6)&gt;0,$P6+FaceW,0))&lt;=90,3,IF(($BI6+IF(N($P6)&gt;0,$P6+FaceW,0))&lt;=114,4,5)))</f>
        <v/>
      </c>
      <c r="CC6" s="84">
        <f>IF($CB6="","",$CB6*(2+IF(N($Q6)&gt;0,IF($R6="LR",2,1),0)))</f>
        <v/>
      </c>
      <c r="CD6" s="84">
        <f>IF($CB6="","",(2+IF(N($Q6)&gt;0,IF($R6="LR",2,1),0)))</f>
        <v/>
      </c>
      <c r="CE6" s="84">
        <f>IF(N($BJ6)=0,"",IF(OR($AL6="",$AL6="FLUSH"),"FLUSH",IFERROR(LEFT($AL6,FIND("-",$AL6)-1),LEFT($AL6,2))))</f>
        <v/>
      </c>
      <c r="CF6" s="84">
        <f>IF($CE6="","",IFERROR(VALUE(MID($AL6,FIND("-",$AL6)+1,FIND(CHAR(34)&amp;"x",$AL6)-FIND("-",$AL6)-1)),0))</f>
        <v/>
      </c>
      <c r="CG6" s="84">
        <f>IF($CE6="","",IFERROR(VALUE(MID($AL6,FIND(CHAR(34)&amp;"x",$AL6)+2,FIND(CHAR(34),$AL6,FIND(CHAR(34)&amp;"x",$AL6)+2)-FIND(CHAR(34)&amp;"x",$AL6)-2)),0))</f>
        <v/>
      </c>
      <c r="CH6" s="90">
        <f>IF(OR($A6="",$H6="",$H6="NO LAB"),0,IFERROR(VALUE(LEFT($H6,FIND(" ",$H6)-1)),0))</f>
        <v/>
      </c>
      <c r="CI6" s="91">
        <f>IF(OR($A6="",$I6="",$I6="NON-RATED",N($J6)=0),"",IFERROR(VLOOKUP($I6&amp;"|"&amp;$J6,IBC,2,FALSE),"?"))</f>
        <v/>
      </c>
      <c r="CJ6" s="85">
        <f>IF(NOT(AND($A6&lt;&gt;"",$C6&lt;&gt;"DOOR ONLY")),"",TRIM(IFERROR(VLOOKUP($U6,CODES,2,FALSE),"")&amp;" "&amp;$BG6&amp;" "&amp;IFERROR(VLOOKUP($Z6,CODES,2,FALSE),"")&amp;" "&amp;IFERROR(VLOOKUP($X6,CODES,2,FALSE),"")&amp;" "&amp;IFERROR(VLOOKUP($S6,CODES,2,FALSE),"")&amp;IF(N($P6)&gt;0," w/TRANSOM "&amp;$P6&amp;CHAR(34),"")&amp;IF(N($Q6)&gt;0," w/SIDELITE "&amp;$Q6&amp;CHAR(34)&amp;" "&amp;IF($R6="","R",$R6),"")&amp;IF($Y6="","  |  "," | "&amp;IFERROR(VLOOKUP($Y6,CODES,2,FALSE),"")&amp;" | ")&amp;IFERROR(VLOOKUP($AC6,CODES,2,FALSE),"")&amp;" "&amp;IFERROR(VLOOKUP($AD6,CODES,2,FALSE),"")&amp;IF(OR($AE6="",$AE6="-"),""," "&amp;$AE6)&amp;IF(OR($AF6="",$AF6="-"),""," "&amp;$AF6)&amp;IF($AB6="Y"," 4"&amp;CHAR(34)&amp;" HEAD","")&amp;" "&amp;IFERROR(VLOOKUP($H6,CODES,2,FALSE),"")&amp;IF($CT6," | LOC "&amp;$CY6,"")))</f>
        <v/>
      </c>
      <c r="CK6" s="85">
        <f>IF(NOT(AND($A6&lt;&gt;"",N($BJ6)&gt;0)),"",TRIM(IFERROR(VLOOKUP($AH6,CODES,2,FALSE),"")&amp;IF($AI6=""," "," "&amp;$AI6&amp;"GA ")&amp;$BG6&amp;" "&amp;IF($AN6="",IFERROR(VLOOKUP($Z6,CODES,2,FALSE),""),IFERROR(VLOOKUP($AN6,CODES,2,FALSE),""))&amp;IF($BJ6=2," PAIR","")&amp;" DOOR | "&amp;IF($AL6="","?",$AL6)&amp;" | "&amp;IF($AO6="",IFERROR(VLOOKUP($AC6,CODES,2,FALSE),""),IFERROR(VLOOKUP($AO6,CODES,2,FALSE),""))&amp;" "&amp;IFERROR(VLOOKUP($AP6,CODES,2,FALSE),"")&amp;IF(OR($AQ6="",$AQ6="-"),""," SEAM "&amp;$AQ6)&amp;IF($AR6="Y"," ASTRAGAL","")&amp;IF($AJ6=""," "," "&amp;$AJ6)&amp;IF($AK6=""," "," "&amp;$AK6)&amp;IF(OR($AT6="",$AT6="ANSI/SDI",$AT6="CUSTOM LOC"),""," "&amp;$AT6)&amp;IF($AM6=""," "," SERIES "&amp;$AM6)&amp;" "&amp;IFERROR(VLOOKUP($H6,CODES,2,FALSE),"")&amp;IF($CT6," | LOC "&amp;$CZ6,"")))</f>
        <v/>
      </c>
      <c r="CL6" s="84">
        <f>IF(CP6="","",IF(COUNTIF($CP$6:CP6,CP6)=1,MAX($CL$5:CL5)+1,INDEX($CL$5:CL5,MATCH(CP6,$CP$5:CP5,0))))</f>
        <v/>
      </c>
      <c r="CM6" s="84">
        <f>IF(NOT(AND($A6&lt;&gt;"",$C6&lt;&gt;"DOOR ONLY")),"",MAX($CM$5:CM5)+1)</f>
        <v/>
      </c>
      <c r="CN6" s="84">
        <f>IF(NOT(AND($A6&lt;&gt;"",N($BJ6)&gt;0)),"",MAX($CN$5:CN5)+1)</f>
        <v/>
      </c>
      <c r="CO6" s="84">
        <f>IF($A6="","",MAX($CO$5:CO5)+1)</f>
        <v/>
      </c>
      <c r="CP6" s="84">
        <f>IF(OR($A6="",$BH6="",$BI6=""),"",$BG6&amp;"|"&amp;$O6&amp;"|"&amp;$AL6&amp;"|"&amp;$S6&amp;"|"&amp;$P6&amp;"|"&amp;$Q6&amp;$R6&amp;"|"&amp;$C6&amp;"|"&amp;$AB6)</f>
        <v/>
      </c>
      <c r="CQ6" s="84">
        <f>N($BS6)</f>
        <v/>
      </c>
      <c r="CR6" s="84">
        <f>IF(N($AU6)&gt;0,N($AU6),4.5)</f>
        <v/>
      </c>
      <c r="CS6" s="84">
        <f>OR($A6="",$BI6="",$S6="BL",AND($C6="FRAME ONLY",OR($AC6="",$AC6="BLK")))</f>
        <v/>
      </c>
      <c r="CT6" s="84">
        <f>AND(NOT($CS6),OR($AT6="CUSTOM LOC",N($AW6)+N($AX6)+N($AY6)+N($AZ6)+N($BA6)&gt;0))</f>
        <v/>
      </c>
      <c r="CU6" s="84">
        <f>IF($BI6="","",IF($BI6&lt;=80,80,IF($BI6&lt;=84,84,96)))</f>
        <v/>
      </c>
      <c r="CV6" s="84">
        <f>ISNUMBER(MATCH($AT6&amp;"|80",LocKeys,0))</f>
        <v/>
      </c>
      <c r="CW6" s="86">
        <f>IF($CS6,"",IF($CV6,VLOOKUP($AT6&amp;"|"&amp;$CU6,LocTable,4,FALSE),5))</f>
        <v/>
      </c>
      <c r="CX6" s="86">
        <f>IF($CS6,"",IF($CV6,IF(OR($BI6=$CU6,AND($BI6&lt;$CU6,$BI6-IF(N(VLOOKUP($AT6&amp;"|"&amp;$CU6,LocTable,7,FALSE))&gt;0,VLOOKUP($AT6&amp;"|"&amp;$CU6,LocTable,7,FALSE),VLOOKUP($AT6&amp;"|"&amp;$CU6,LocTable,6,FALSE))-$CR6-0.75&gt;=2.125)),IF(N(VLOOKUP($AT6&amp;"|"&amp;$CU6,LocTable,7,FALSE))&gt;0,VLOOKUP($AT6&amp;"|"&amp;$CU6,LocTable,7,FALSE),VLOOKUP($AT6&amp;"|"&amp;$CU6,LocTable,6,FALSE)),$BI6-($CU6-IF(N(VLOOKUP($AT6&amp;"|"&amp;$CU6,LocTable,7,FALSE))&gt;0,VLOOKUP($AT6&amp;"|"&amp;$CU6,LocTable,7,FALSE),VLOOKUP($AT6&amp;"|"&amp;$CU6,LocTable,6,FALSE)))),$BI6-10-$CR6))</f>
        <v/>
      </c>
      <c r="CY6" s="85">
        <f>IF($CS6,"",TRIM(IF(ISNUMBER($BU6),"A "&amp;TRIM(TEXT($BU6,"# ?/??"))&amp;CHAR(34)&amp;"  ","")&amp;IF(ISNUMBER($BV6),"B "&amp;TRIM(TEXT($BV6,"# ?/??"))&amp;CHAR(34)&amp;"  ","")&amp;IF(ISNUMBER($BW6),"C "&amp;TRIM(TEXT($BW6,"# ?/??"))&amp;CHAR(34)&amp;"  ","")&amp;IF(ISNUMBER($BX6),"D "&amp;TRIM(TEXT($BX6,"# ?/??"))&amp;CHAR(34)&amp;"  ","")&amp;IF(ISNUMBER($BY6),"F "&amp;TRIM(TEXT($BY6,"# ?/??"))&amp;CHAR(34)&amp;"  ","")&amp;IF(ISNUMBER($BZ6),"E "&amp;TRIM(TEXT($BZ6,"# ?/??"))&amp;CHAR(34)&amp;"  ","")))</f>
        <v/>
      </c>
      <c r="CZ6" s="85">
        <f>IF(OR($CS6,N($BJ6)=0),"",TRIM(IF(ISNUMBER($BU6),"A "&amp;TRIM(TEXT($BU6-HeadClr,"# ?/??"))&amp;CHAR(34)&amp;"  ","")&amp;IF(ISNUMBER($BV6),"B "&amp;TRIM(TEXT($BV6-HeadClr,"# ?/??"))&amp;CHAR(34)&amp;"  ","")&amp;IF(ISNUMBER($BW6),"C "&amp;TRIM(TEXT($BW6-HeadClr,"# ?/??"))&amp;CHAR(34)&amp;"  ","")&amp;IF(ISNUMBER($BX6),"D "&amp;TRIM(TEXT($BX6-HeadClr,"# ?/??"))&amp;CHAR(34)&amp;"  ","")&amp;IF(ISNUMBER($BY6),"F "&amp;TRIM(TEXT($BY6-HeadClr,"# ?/??"))&amp;CHAR(34)&amp;"  ","")&amp;IF(ISNUMBER($BZ6),"E "&amp;TRIM(TEXT($BZ6-HeadClr,"# ?/??"))&amp;CHAR(34)&amp;"  ","")))</f>
        <v/>
      </c>
      <c r="DA6" s="84">
        <f>IF($A6="","",IF($AN6="",IFERROR(VLOOKUP($Z6,CODES,2,FALSE),""),IFERROR(VLOOKUP($AN6,CODES,2,FALSE),"")))</f>
        <v/>
      </c>
      <c r="DB6" s="84">
        <f>IF($A6="","",IF($O6="Y","PR",IF(OR($Z6="L",$Z6="RR",LEFT($Z6,2)="L-",LEFT($Z6,3)="RR-"),"LH","RH")))</f>
        <v/>
      </c>
      <c r="DC6" s="84">
        <f>IF($A6="","","S.HM"&amp;IF(OR($C6="DOOR ONLY",$X6&lt;&gt;"KD"),"MASONRY","DRYWALL")&amp;IF($C6="DOOR ONLY","",$U6)&amp;IF(AND($C6&lt;&gt;"FRAME ONLY",OR(LEFT($AH6,3)="OAK",LEFT($AH6,3)="BIR",LEFT($AH6,3)="MAP",$AH6="PC",$AH6="MC",$AH6="SCLC",$AH6="P-LAM")),"WD","HM")&amp;"1.75")</f>
        <v/>
      </c>
      <c r="DD6" s="84">
        <f>IF($CJ6="","",IF($O6="Y",$CJ6,SUBSTITUTE($CJ6,$BG6&amp;" "&amp;IFERROR(VLOOKUP($Z6,CODES,2,FALSE),"")&amp;" ",$BG6&amp;" ")))</f>
        <v/>
      </c>
      <c r="DE6" s="84">
        <f>IF($CK6="","",IF($O6="Y",$CK6,SUBSTITUTE($CK6,$BG6&amp;" "&amp;IF($AN6="",IFERROR(VLOOKUP($Z6,CODES,2,FALSE),""),IFERROR(VLOOKUP($AN6,CODES,2,FALSE),""))&amp;" ",$BG6&amp;" ")))</f>
        <v/>
      </c>
      <c r="DF6" s="84">
        <f>IF($CJ6="","",$DC6&amp;"|"&amp;$DD6&amp;"|"&amp;$DB6&amp;"|"&amp;$AT6&amp;"|"&amp;$V6&amp;"|"&amp;$Y6&amp;"|"&amp;$AB6)</f>
        <v/>
      </c>
      <c r="DG6" s="84">
        <f>IF(DF6="","",IF(COUNTIF($DF$6:DF6,DF6)=1,MAX($DG$5:DG5)+1,INDEX($DG$5:DG5,MATCH(DF6,$DF$5:DF5,0))))</f>
        <v/>
      </c>
      <c r="DH6" s="84">
        <f>IF($CK6="","",$DC6&amp;"|"&amp;$DE6&amp;"|"&amp;$AI6&amp;"|"&amp;$BK6&amp;"|"&amp;$BL6)</f>
        <v/>
      </c>
      <c r="DI6" s="84">
        <f>IF(DH6="","",IF(COUNTIF($DH$6:DH6,DH6)=1,MAX($DI$5:DI5)+1,INDEX($DI$5:DI5,MATCH(DH6,$DH$5:DH5,0))))</f>
        <v/>
      </c>
      <c r="DJ6" s="84">
        <f>IF($A6="","",IF($B6="","qty, ","")&amp;IF($C6="","scope, ","")&amp;IF(OR($K6="",$M6=""),"size, ","")&amp;IF(AND($A6&lt;&gt;"",$C6&lt;&gt;"DOOR ONLY"),IF($U6="","jamb depth, ","")&amp;IF($X6="","construction, ","")&amp;IF($Y6="","anchor, ","")&amp;IF($S6="","frame type, ",""),"")&amp;IF(AND(N($BJ6)&gt;0,$Z6=""),"hand, ","")&amp;IF(N($BJ6)&gt;0,IF($AH6="","door material, ","")&amp;IF($AL6="","face type, ","")&amp;IF($AP6="","lock prep, ","")&amp;IF(AND($AO6="",$AC6=""),"hinge prep, ",""),"")&amp;IF(AND($CH6&gt;0,$AH6="FRP"),"FRP cannot carry a label, ","")&amp;IF(AND($O6="Y",OR($Z6="L",$Z6="R",$Z6="LR",$Z6="RR")),"pair marked but hand is single, ","")&amp;IF(AND($O6&lt;&gt;"Y",OR($Z6="PR",AND(LEN($Z6)&gt;1,ISNUMBER(SEARCH("-",$Z6))))),"pair hand on a single door, ","")&amp;IF(AND(ISNUMBER($CI6),$CH6&lt;N($CI6)),"wall needs a "&amp;$CI6&amp;" min door, ","")&amp;IF(AND($CH6&gt;=180,AND(OR($CE6="FG",$CE6="HG",$CE6="FNV",$CE6="FV"),N($CF6)*N($CG6)&gt;100)),"180 min lite over 100 sq in, ","")&amp;IF(N($BK6)&gt;48,"leaf wider than 4'-0"&amp;CHAR(34)&amp;", ","")&amp;IF(AND($CT6,COUNT($AW6:$AZ6)=0,$CQ6&gt;0),"CUSTOM LOC with no locations typed, ",""))</f>
        <v/>
      </c>
      <c r="DK6" s="84">
        <f>IF($A6="","",IF(AND($CH6&gt;0,AND($A6&lt;&gt;"",$C6&lt;&gt;"DOOR ONLY"),$X6="KD",$E6="EXTERIOR"),"KD label on an exterior opening, ","")&amp;IF(AND($E6="EXTERIOR",OR(AND(AND($A6&lt;&gt;"",$C6&lt;&gt;"DOOR ONLY"),$W6="CR"),AND(N($BJ6)&gt;0,$AH6="CR"))),"exterior in CR steel (G9?), ","")&amp;IF(AND(ISNUMBER($BQ6),N($BQ6)&lt;32),"clear width ~"&amp;TEXT($BQ6,"0.0")&amp;CHAR(34)&amp;" under 32"&amp;CHAR(34)&amp;" (ADA), ","")&amp;IF(AND($CH6=90,AND(OR($CE6="FG",$CE6="HG",$CE6="FNV",$CE6="FV"),N($CF6)*N($CG6)&gt;100)),"90 min lite over 100 sq in (stair/exit), ","")&amp;IF(AND($CH6&gt;0,AND($A6&lt;&gt;"",$C6&lt;&gt;"DOOR ONLY"),OR($AF6="",$AF6="-")),"rated: closer reinf.?, ","")&amp;IF(OR($I6="CORRIDOR",$I6="SMOKE BARRIER"),"S label + smoke gasketing, ","")&amp;IF($CI6="?","wall type/hr not in IBC table, ","")&amp;IF(AND(N($BJ6)&gt;0,$BB6=""),"no hardware set, ","")&amp;IF(AND($BB6&lt;&gt;"",ISNA(MATCH($BB6&amp;"",HWSets,0))),"set "&amp;$BB6&amp;" not on HW Sets, ","")&amp;IF(N($BL6)&gt;96,"leaf over 8'-0"&amp;CHAR(34)&amp;" - check listing, ","")&amp;IF(AND($CT6,COUNT($AW6:$AZ6)&gt;0,COUNT($AW6:$AZ6)&lt;&gt;$CQ6),COUNT($AW6:$AZ6)&amp;" custom hinges typed, "&amp;$CQ6&amp;" expected, ","")&amp;IF(AND(ISNUMBER($CA6),OR(N($CA6)&lt;34,N($CA6)&gt;48)),"lock "&amp;TEXT($CA6,"0.0")&amp;CHAR(34)&amp;" AFF outside 34-48"&amp;CHAR(34)&amp;" (ADA), ","")&amp;IF(AND(ISNUMBER($AV6),ISNUMBER($BL6),N($AV6)&lt;IF(N($BL6)&lt;=60,2,IF(N($BL6)&lt;=90,3,IF(N($BL6)&lt;=120,4,5)))),"fewer hinges than standard, ",""))</f>
        <v/>
      </c>
    </row>
    <row r="7" ht="15" customHeight="1">
      <c r="A7" s="77" t="inlineStr">
        <is>
          <t>102</t>
        </is>
      </c>
      <c r="B7" s="78" t="n">
        <v>4</v>
      </c>
      <c r="C7" s="78" t="inlineStr">
        <is>
          <t>FRAME &amp; DOOR</t>
        </is>
      </c>
      <c r="D7" s="78" t="inlineStr">
        <is>
          <t>1st</t>
        </is>
      </c>
      <c r="E7" s="78" t="inlineStr">
        <is>
          <t>INTERIOR</t>
        </is>
      </c>
      <c r="F7" s="78" t="inlineStr">
        <is>
          <t>OFFICE</t>
        </is>
      </c>
      <c r="G7" s="78" t="inlineStr">
        <is>
          <t>STORAGE</t>
        </is>
      </c>
      <c r="H7" s="78" t="inlineStr">
        <is>
          <t>NO LAB</t>
        </is>
      </c>
      <c r="I7" s="78" t="inlineStr">
        <is>
          <t>NON-RATED</t>
        </is>
      </c>
      <c r="J7" s="78" t="n"/>
      <c r="K7" s="78" t="n">
        <v>3</v>
      </c>
      <c r="L7" s="78" t="n">
        <v>0</v>
      </c>
      <c r="M7" s="78" t="n">
        <v>7</v>
      </c>
      <c r="N7" s="78" t="n">
        <v>0</v>
      </c>
      <c r="O7" s="78" t="n"/>
      <c r="P7" s="78" t="n"/>
      <c r="Q7" s="78" t="n"/>
      <c r="R7" s="78" t="n"/>
      <c r="S7" s="79" t="inlineStr">
        <is>
          <t>3F</t>
        </is>
      </c>
      <c r="T7" s="79" t="inlineStr">
        <is>
          <t>M</t>
        </is>
      </c>
      <c r="U7" s="79" t="n">
        <v>478</v>
      </c>
      <c r="V7" s="79" t="n">
        <v>16</v>
      </c>
      <c r="W7" s="79" t="inlineStr">
        <is>
          <t>CR</t>
        </is>
      </c>
      <c r="X7" s="79" t="inlineStr">
        <is>
          <t>KD</t>
        </is>
      </c>
      <c r="Y7" s="79" t="inlineStr">
        <is>
          <t>SC</t>
        </is>
      </c>
      <c r="Z7" s="79" t="inlineStr">
        <is>
          <t>LR</t>
        </is>
      </c>
      <c r="AA7" s="79" t="inlineStr">
        <is>
          <t>CU</t>
        </is>
      </c>
      <c r="AB7" s="79" t="n"/>
      <c r="AC7" s="79" t="inlineStr">
        <is>
          <t>U453</t>
        </is>
      </c>
      <c r="AD7" s="79" t="inlineStr">
        <is>
          <t>E1</t>
        </is>
      </c>
      <c r="AE7" s="79" t="n"/>
      <c r="AF7" s="79" t="n"/>
      <c r="AG7" s="79" t="n"/>
      <c r="AH7" s="80" t="inlineStr">
        <is>
          <t>OAK-PC</t>
        </is>
      </c>
      <c r="AI7" s="80" t="n"/>
      <c r="AJ7" s="80" t="inlineStr">
        <is>
          <t>PC</t>
        </is>
      </c>
      <c r="AK7" s="80" t="inlineStr">
        <is>
          <t>RNB</t>
        </is>
      </c>
      <c r="AL7" s="80" t="inlineStr">
        <is>
          <t>FLUSH</t>
        </is>
      </c>
      <c r="AM7" s="80" t="n"/>
      <c r="AN7" s="80" t="n"/>
      <c r="AO7" s="80" t="n"/>
      <c r="AP7" s="80" t="inlineStr">
        <is>
          <t>G2</t>
        </is>
      </c>
      <c r="AQ7" s="80" t="n"/>
      <c r="AR7" s="80" t="n"/>
      <c r="AS7" s="80" t="n"/>
      <c r="AT7" s="81" t="inlineStr">
        <is>
          <t>CUSTOM LOC</t>
        </is>
      </c>
      <c r="AU7" s="81" t="n"/>
      <c r="AV7" s="81" t="n"/>
      <c r="AW7" s="82" t="n">
        <v>7</v>
      </c>
      <c r="AX7" s="82" t="n">
        <v>38</v>
      </c>
      <c r="AY7" s="82" t="n">
        <v>69</v>
      </c>
      <c r="AZ7" s="82" t="n"/>
      <c r="BA7" s="82" t="n">
        <v>43.5</v>
      </c>
      <c r="BB7" s="83" t="inlineStr">
        <is>
          <t>1</t>
        </is>
      </c>
      <c r="BC7" s="83" t="n"/>
      <c r="BD7" s="84">
        <f>IF($A7="","",IF($DJ7&lt;&gt;"","FIX",IF($DK7&lt;&gt;"","CHECK","OK")))</f>
        <v/>
      </c>
      <c r="BE7" s="85">
        <f>IF($A7="","",IF($DJ7&lt;&gt;"","FIX: "&amp;LEFT($DJ7,LEN($DJ7)-2)&amp;IF($DK7&lt;&gt;"","  ·  ",""),"")&amp;IF($DK7&lt;&gt;"","CHECK: "&amp;LEFT($DK7,LEN($DK7)-2),""))</f>
        <v/>
      </c>
      <c r="BF7" s="84">
        <f>IF(OR($A7="",$K7=""),"",$K7&amp;"'-"&amp;N($L7)&amp;CHAR(34)&amp;" x "&amp;$M7&amp;"'-"&amp;N($N7)&amp;CHAR(34))</f>
        <v/>
      </c>
      <c r="BG7" s="84">
        <f>IF(OR($A7="",$K7=""),"",$K7&amp;N($L7)&amp;$M7&amp;N($N7))</f>
        <v/>
      </c>
      <c r="BH7" s="84">
        <f>IF(OR($A7="",$K7=""),"",$K7*12+N($L7))</f>
        <v/>
      </c>
      <c r="BI7" s="84">
        <f>IF(OR($A7="",$M7=""),"",$M7*12+N($N7))</f>
        <v/>
      </c>
      <c r="BJ7" s="84">
        <f>IF($A7="","",IF(OR($C7="FRAME ONLY",$S7="BL"),0,IF($O7="Y",2,1)))</f>
        <v/>
      </c>
      <c r="BK7" s="86">
        <f>IF(OR(N($BJ7)=0,$BH7=""),"",($BH7-2*EdgeClr-IF($BJ7=2,MeetClr,0))/$BJ7)</f>
        <v/>
      </c>
      <c r="BL7" s="86">
        <f>IF(OR(N($BJ7)=0,$BI7=""),"",$BI7-HeadClr-Undercut)</f>
        <v/>
      </c>
      <c r="BM7" s="86">
        <f>IF($BH7="","",$BH7+2*FaceW+IF(N($Q7)&gt;0,($Q7+FaceW)*IF($R7="LR",2,1),0))</f>
        <v/>
      </c>
      <c r="BN7" s="86">
        <f>IF($BI7="","",$BI7+IF($AB7="Y",4,FaceW)+IF(N($P7)&gt;0,$P7+FaceW,0)+IF(OR($S7="4F",$S7="BL"),FaceW,0))</f>
        <v/>
      </c>
      <c r="BO7" s="86">
        <f>IF($BM7="","",$BM7+2*ROSide)</f>
        <v/>
      </c>
      <c r="BP7" s="86">
        <f>IF($BN7="","",$BN7+ROTop)</f>
        <v/>
      </c>
      <c r="BQ7" s="87">
        <f>IF(OR(N($BJ7)=0,$BH7=""),"",$BH7/$BJ7-ClearDeduct)</f>
        <v/>
      </c>
      <c r="BR7" s="84">
        <f>IF(N($CH7)=0,"",IF($CH7&gt;=180,"A · 3 HR",IF($CH7&gt;=90,"B · 1-1/2 HR",IF($CH7&gt;=60,"B · 1 HR",IF($CH7&gt;=45,"C · 3/4 HR","20 MIN")))))&amp;IF(AND(N($CH7)&gt;0,OR($I7="CORRIDOR",$I7="SMOKE BARRIER"))," · S","")</f>
        <v/>
      </c>
      <c r="BS7" s="84">
        <f>IF($CS7,"",IF($AV7&lt;&gt;"",$AV7,IF(OR($AC7="HGC",$AO7="HGC"),"CONT",IF(($BI7-HeadClr-Undercut)&lt;=60,2,IF(($BI7-HeadClr-Undercut)&lt;=90,3,IF(($BI7-HeadClr-Undercut)&lt;=120,4,5))))))</f>
        <v/>
      </c>
      <c r="BT7" s="84">
        <f>IF($CS7,"",IF($CT7,"CUSTOM (typed)",IF($CV7,$AT7&amp;" "&amp;$CU7&amp;CHAR(34)&amp;IF($CU7&lt;&gt;$BI7,IF(AND($BI7&lt;$CU7,$BI7-IF(N(VLOOKUP($AT7&amp;"|"&amp;$CU7,LocTable,7,FALSE))&gt;0,VLOOKUP($AT7&amp;"|"&amp;$CU7,LocTable,7,FALSE),VLOOKUP($AT7&amp;"|"&amp;$CU7,LocTable,6,FALSE))-$CR7-0.75&gt;=2.125)," cut down"," adj."),""),"ANSI/SDI A250.6")))</f>
        <v/>
      </c>
      <c r="BU7" s="88">
        <f>IF($CS7,"",IF($CT7,IF(N($AW7)&gt;0,N($AW7),""),IF(1&gt;$CQ7,"",IF($CQ7=1,$CW7,$CW7+($CX7-$CW7)*0/($CQ7-1)))))</f>
        <v/>
      </c>
      <c r="BV7" s="88">
        <f>IF($CS7,"",IF($CT7,IF(N($AX7)&gt;0,N($AX7),""),IF(2&gt;$CQ7,"",IF($CQ7=1,$CW7,$CW7+($CX7-$CW7)*1/($CQ7-1)))))</f>
        <v/>
      </c>
      <c r="BW7" s="88">
        <f>IF($CS7,"",IF($CT7,IF(N($AY7)&gt;0,N($AY7),""),IF(3&gt;$CQ7,"",IF($CQ7=1,$CW7,$CW7+($CX7-$CW7)*2/($CQ7-1)))))</f>
        <v/>
      </c>
      <c r="BX7" s="88">
        <f>IF($CS7,"",IF($CT7,IF(N($AZ7)&gt;0,N($AZ7),""),IF(4&gt;$CQ7,"",IF($CQ7=1,$CW7,$CW7+($CX7-$CW7)*3/($CQ7-1)))))</f>
        <v/>
      </c>
      <c r="BY7" s="88">
        <f>IF($CS7,"",IF($CT7,"",IF(5&gt;$CQ7,"",IF($CQ7=1,$CW7,$CW7+($CX7-$CW7)*4/($CQ7-1)))))</f>
        <v/>
      </c>
      <c r="BZ7" s="88">
        <f>IF(OR($CS7,$AP7="-",AND($AP7="",$AD7="")),"",IF(N($BA7)&gt;0,N($BA7),IF($CV7,IF(AND($BI7&lt;$CU7,$BI7-IF(N(VLOOKUP($AT7&amp;"|"&amp;$CU7,LocTable,7,FALSE))&gt;0,VLOOKUP($AT7&amp;"|"&amp;$CU7,LocTable,7,FALSE),VLOOKUP($AT7&amp;"|"&amp;$CU7,LocTable,6,FALSE))-$CR7-0.75&gt;=2.125),VLOOKUP($AT7&amp;"|"&amp;$CU7,LocTable,8,FALSE),VLOOKUP($AT7&amp;"|"&amp;$CU7,LocTable,8,FALSE)+($BI7-$CU7)),$BI7-LockAFF)))</f>
        <v/>
      </c>
      <c r="CA7" s="89">
        <f>IF($BZ7="","",$BI7-$BZ7)</f>
        <v/>
      </c>
      <c r="CB7" s="84">
        <f>IF(OR(NOT(AND($A7&lt;&gt;"",$C7&lt;&gt;"DOOR ONLY")),$BI7=""),"",IF(($BI7+IF(N($P7)&gt;0,$P7+FaceW,0))&lt;=90,3,IF(($BI7+IF(N($P7)&gt;0,$P7+FaceW,0))&lt;=114,4,5)))</f>
        <v/>
      </c>
      <c r="CC7" s="84">
        <f>IF($CB7="","",$CB7*(2+IF(N($Q7)&gt;0,IF($R7="LR",2,1),0)))</f>
        <v/>
      </c>
      <c r="CD7" s="84">
        <f>IF($CB7="","",(2+IF(N($Q7)&gt;0,IF($R7="LR",2,1),0)))</f>
        <v/>
      </c>
      <c r="CE7" s="84">
        <f>IF(N($BJ7)=0,"",IF(OR($AL7="",$AL7="FLUSH"),"FLUSH",IFERROR(LEFT($AL7,FIND("-",$AL7)-1),LEFT($AL7,2))))</f>
        <v/>
      </c>
      <c r="CF7" s="84">
        <f>IF($CE7="","",IFERROR(VALUE(MID($AL7,FIND("-",$AL7)+1,FIND(CHAR(34)&amp;"x",$AL7)-FIND("-",$AL7)-1)),0))</f>
        <v/>
      </c>
      <c r="CG7" s="84">
        <f>IF($CE7="","",IFERROR(VALUE(MID($AL7,FIND(CHAR(34)&amp;"x",$AL7)+2,FIND(CHAR(34),$AL7,FIND(CHAR(34)&amp;"x",$AL7)+2)-FIND(CHAR(34)&amp;"x",$AL7)-2)),0))</f>
        <v/>
      </c>
      <c r="CH7" s="90">
        <f>IF(OR($A7="",$H7="",$H7="NO LAB"),0,IFERROR(VALUE(LEFT($H7,FIND(" ",$H7)-1)),0))</f>
        <v/>
      </c>
      <c r="CI7" s="91">
        <f>IF(OR($A7="",$I7="",$I7="NON-RATED",N($J7)=0),"",IFERROR(VLOOKUP($I7&amp;"|"&amp;$J7,IBC,2,FALSE),"?"))</f>
        <v/>
      </c>
      <c r="CJ7" s="85">
        <f>IF(NOT(AND($A7&lt;&gt;"",$C7&lt;&gt;"DOOR ONLY")),"",TRIM(IFERROR(VLOOKUP($U7,CODES,2,FALSE),"")&amp;" "&amp;$BG7&amp;" "&amp;IFERROR(VLOOKUP($Z7,CODES,2,FALSE),"")&amp;" "&amp;IFERROR(VLOOKUP($X7,CODES,2,FALSE),"")&amp;" "&amp;IFERROR(VLOOKUP($S7,CODES,2,FALSE),"")&amp;IF(N($P7)&gt;0," w/TRANSOM "&amp;$P7&amp;CHAR(34),"")&amp;IF(N($Q7)&gt;0," w/SIDELITE "&amp;$Q7&amp;CHAR(34)&amp;" "&amp;IF($R7="","R",$R7),"")&amp;IF($Y7="","  |  "," | "&amp;IFERROR(VLOOKUP($Y7,CODES,2,FALSE),"")&amp;" | ")&amp;IFERROR(VLOOKUP($AC7,CODES,2,FALSE),"")&amp;" "&amp;IFERROR(VLOOKUP($AD7,CODES,2,FALSE),"")&amp;IF(OR($AE7="",$AE7="-"),""," "&amp;$AE7)&amp;IF(OR($AF7="",$AF7="-"),""," "&amp;$AF7)&amp;IF($AB7="Y"," 4"&amp;CHAR(34)&amp;" HEAD","")&amp;" "&amp;IFERROR(VLOOKUP($H7,CODES,2,FALSE),"")&amp;IF($CT7," | LOC "&amp;$CY7,"")))</f>
        <v/>
      </c>
      <c r="CK7" s="85">
        <f>IF(NOT(AND($A7&lt;&gt;"",N($BJ7)&gt;0)),"",TRIM(IFERROR(VLOOKUP($AH7,CODES,2,FALSE),"")&amp;IF($AI7=""," "," "&amp;$AI7&amp;"GA ")&amp;$BG7&amp;" "&amp;IF($AN7="",IFERROR(VLOOKUP($Z7,CODES,2,FALSE),""),IFERROR(VLOOKUP($AN7,CODES,2,FALSE),""))&amp;IF($BJ7=2," PAIR","")&amp;" DOOR | "&amp;IF($AL7="","?",$AL7)&amp;" | "&amp;IF($AO7="",IFERROR(VLOOKUP($AC7,CODES,2,FALSE),""),IFERROR(VLOOKUP($AO7,CODES,2,FALSE),""))&amp;" "&amp;IFERROR(VLOOKUP($AP7,CODES,2,FALSE),"")&amp;IF(OR($AQ7="",$AQ7="-"),""," SEAM "&amp;$AQ7)&amp;IF($AR7="Y"," ASTRAGAL","")&amp;IF($AJ7=""," "," "&amp;$AJ7)&amp;IF($AK7=""," "," "&amp;$AK7)&amp;IF(OR($AT7="",$AT7="ANSI/SDI",$AT7="CUSTOM LOC"),""," "&amp;$AT7)&amp;IF($AM7=""," "," SERIES "&amp;$AM7)&amp;" "&amp;IFERROR(VLOOKUP($H7,CODES,2,FALSE),"")&amp;IF($CT7," | LOC "&amp;$CZ7,"")))</f>
        <v/>
      </c>
      <c r="CL7" s="84">
        <f>IF(CP7="","",IF(COUNTIF($CP$6:CP7,CP7)=1,MAX($CL$5:CL6)+1,INDEX($CL$5:CL6,MATCH(CP7,$CP$5:CP6,0))))</f>
        <v/>
      </c>
      <c r="CM7" s="84">
        <f>IF(NOT(AND($A7&lt;&gt;"",$C7&lt;&gt;"DOOR ONLY")),"",MAX($CM$5:CM6)+1)</f>
        <v/>
      </c>
      <c r="CN7" s="84">
        <f>IF(NOT(AND($A7&lt;&gt;"",N($BJ7)&gt;0)),"",MAX($CN$5:CN6)+1)</f>
        <v/>
      </c>
      <c r="CO7" s="84">
        <f>IF($A7="","",MAX($CO$5:CO6)+1)</f>
        <v/>
      </c>
      <c r="CP7" s="84">
        <f>IF(OR($A7="",$BH7="",$BI7=""),"",$BG7&amp;"|"&amp;$O7&amp;"|"&amp;$AL7&amp;"|"&amp;$S7&amp;"|"&amp;$P7&amp;"|"&amp;$Q7&amp;$R7&amp;"|"&amp;$C7&amp;"|"&amp;$AB7)</f>
        <v/>
      </c>
      <c r="CQ7" s="84">
        <f>N($BS7)</f>
        <v/>
      </c>
      <c r="CR7" s="84">
        <f>IF(N($AU7)&gt;0,N($AU7),4.5)</f>
        <v/>
      </c>
      <c r="CS7" s="84">
        <f>OR($A7="",$BI7="",$S7="BL",AND($C7="FRAME ONLY",OR($AC7="",$AC7="BLK")))</f>
        <v/>
      </c>
      <c r="CT7" s="84">
        <f>AND(NOT($CS7),OR($AT7="CUSTOM LOC",N($AW7)+N($AX7)+N($AY7)+N($AZ7)+N($BA7)&gt;0))</f>
        <v/>
      </c>
      <c r="CU7" s="84">
        <f>IF($BI7="","",IF($BI7&lt;=80,80,IF($BI7&lt;=84,84,96)))</f>
        <v/>
      </c>
      <c r="CV7" s="84">
        <f>ISNUMBER(MATCH($AT7&amp;"|80",LocKeys,0))</f>
        <v/>
      </c>
      <c r="CW7" s="86">
        <f>IF($CS7,"",IF($CV7,VLOOKUP($AT7&amp;"|"&amp;$CU7,LocTable,4,FALSE),5))</f>
        <v/>
      </c>
      <c r="CX7" s="86">
        <f>IF($CS7,"",IF($CV7,IF(OR($BI7=$CU7,AND($BI7&lt;$CU7,$BI7-IF(N(VLOOKUP($AT7&amp;"|"&amp;$CU7,LocTable,7,FALSE))&gt;0,VLOOKUP($AT7&amp;"|"&amp;$CU7,LocTable,7,FALSE),VLOOKUP($AT7&amp;"|"&amp;$CU7,LocTable,6,FALSE))-$CR7-0.75&gt;=2.125)),IF(N(VLOOKUP($AT7&amp;"|"&amp;$CU7,LocTable,7,FALSE))&gt;0,VLOOKUP($AT7&amp;"|"&amp;$CU7,LocTable,7,FALSE),VLOOKUP($AT7&amp;"|"&amp;$CU7,LocTable,6,FALSE)),$BI7-($CU7-IF(N(VLOOKUP($AT7&amp;"|"&amp;$CU7,LocTable,7,FALSE))&gt;0,VLOOKUP($AT7&amp;"|"&amp;$CU7,LocTable,7,FALSE),VLOOKUP($AT7&amp;"|"&amp;$CU7,LocTable,6,FALSE)))),$BI7-10-$CR7))</f>
        <v/>
      </c>
      <c r="CY7" s="85">
        <f>IF($CS7,"",TRIM(IF(ISNUMBER($BU7),"A "&amp;TRIM(TEXT($BU7,"# ?/??"))&amp;CHAR(34)&amp;"  ","")&amp;IF(ISNUMBER($BV7),"B "&amp;TRIM(TEXT($BV7,"# ?/??"))&amp;CHAR(34)&amp;"  ","")&amp;IF(ISNUMBER($BW7),"C "&amp;TRIM(TEXT($BW7,"# ?/??"))&amp;CHAR(34)&amp;"  ","")&amp;IF(ISNUMBER($BX7),"D "&amp;TRIM(TEXT($BX7,"# ?/??"))&amp;CHAR(34)&amp;"  ","")&amp;IF(ISNUMBER($BY7),"F "&amp;TRIM(TEXT($BY7,"# ?/??"))&amp;CHAR(34)&amp;"  ","")&amp;IF(ISNUMBER($BZ7),"E "&amp;TRIM(TEXT($BZ7,"# ?/??"))&amp;CHAR(34)&amp;"  ","")))</f>
        <v/>
      </c>
      <c r="CZ7" s="85">
        <f>IF(OR($CS7,N($BJ7)=0),"",TRIM(IF(ISNUMBER($BU7),"A "&amp;TRIM(TEXT($BU7-HeadClr,"# ?/??"))&amp;CHAR(34)&amp;"  ","")&amp;IF(ISNUMBER($BV7),"B "&amp;TRIM(TEXT($BV7-HeadClr,"# ?/??"))&amp;CHAR(34)&amp;"  ","")&amp;IF(ISNUMBER($BW7),"C "&amp;TRIM(TEXT($BW7-HeadClr,"# ?/??"))&amp;CHAR(34)&amp;"  ","")&amp;IF(ISNUMBER($BX7),"D "&amp;TRIM(TEXT($BX7-HeadClr,"# ?/??"))&amp;CHAR(34)&amp;"  ","")&amp;IF(ISNUMBER($BY7),"F "&amp;TRIM(TEXT($BY7-HeadClr,"# ?/??"))&amp;CHAR(34)&amp;"  ","")&amp;IF(ISNUMBER($BZ7),"E "&amp;TRIM(TEXT($BZ7-HeadClr,"# ?/??"))&amp;CHAR(34)&amp;"  ","")))</f>
        <v/>
      </c>
      <c r="DA7" s="84">
        <f>IF($A7="","",IF($AN7="",IFERROR(VLOOKUP($Z7,CODES,2,FALSE),""),IFERROR(VLOOKUP($AN7,CODES,2,FALSE),"")))</f>
        <v/>
      </c>
      <c r="DB7" s="84">
        <f>IF($A7="","",IF($O7="Y","PR",IF(OR($Z7="L",$Z7="RR",LEFT($Z7,2)="L-",LEFT($Z7,3)="RR-"),"LH","RH")))</f>
        <v/>
      </c>
      <c r="DC7" s="84">
        <f>IF($A7="","","S.HM"&amp;IF(OR($C7="DOOR ONLY",$X7&lt;&gt;"KD"),"MASONRY","DRYWALL")&amp;IF($C7="DOOR ONLY","",$U7)&amp;IF(AND($C7&lt;&gt;"FRAME ONLY",OR(LEFT($AH7,3)="OAK",LEFT($AH7,3)="BIR",LEFT($AH7,3)="MAP",$AH7="PC",$AH7="MC",$AH7="SCLC",$AH7="P-LAM")),"WD","HM")&amp;"1.75")</f>
        <v/>
      </c>
      <c r="DD7" s="84">
        <f>IF($CJ7="","",IF($O7="Y",$CJ7,SUBSTITUTE($CJ7,$BG7&amp;" "&amp;IFERROR(VLOOKUP($Z7,CODES,2,FALSE),"")&amp;" ",$BG7&amp;" ")))</f>
        <v/>
      </c>
      <c r="DE7" s="84">
        <f>IF($CK7="","",IF($O7="Y",$CK7,SUBSTITUTE($CK7,$BG7&amp;" "&amp;IF($AN7="",IFERROR(VLOOKUP($Z7,CODES,2,FALSE),""),IFERROR(VLOOKUP($AN7,CODES,2,FALSE),""))&amp;" ",$BG7&amp;" ")))</f>
        <v/>
      </c>
      <c r="DF7" s="84">
        <f>IF($CJ7="","",$DC7&amp;"|"&amp;$DD7&amp;"|"&amp;$DB7&amp;"|"&amp;$AT7&amp;"|"&amp;$V7&amp;"|"&amp;$Y7&amp;"|"&amp;$AB7)</f>
        <v/>
      </c>
      <c r="DG7" s="84">
        <f>IF(DF7="","",IF(COUNTIF($DF$6:DF7,DF7)=1,MAX($DG$5:DG6)+1,INDEX($DG$5:DG6,MATCH(DF7,$DF$5:DF6,0))))</f>
        <v/>
      </c>
      <c r="DH7" s="84">
        <f>IF($CK7="","",$DC7&amp;"|"&amp;$DE7&amp;"|"&amp;$AI7&amp;"|"&amp;$BK7&amp;"|"&amp;$BL7)</f>
        <v/>
      </c>
      <c r="DI7" s="84">
        <f>IF(DH7="","",IF(COUNTIF($DH$6:DH7,DH7)=1,MAX($DI$5:DI6)+1,INDEX($DI$5:DI6,MATCH(DH7,$DH$5:DH6,0))))</f>
        <v/>
      </c>
      <c r="DJ7" s="84">
        <f>IF($A7="","",IF($B7="","qty, ","")&amp;IF($C7="","scope, ","")&amp;IF(OR($K7="",$M7=""),"size, ","")&amp;IF(AND($A7&lt;&gt;"",$C7&lt;&gt;"DOOR ONLY"),IF($U7="","jamb depth, ","")&amp;IF($X7="","construction, ","")&amp;IF($Y7="","anchor, ","")&amp;IF($S7="","frame type, ",""),"")&amp;IF(AND(N($BJ7)&gt;0,$Z7=""),"hand, ","")&amp;IF(N($BJ7)&gt;0,IF($AH7="","door material, ","")&amp;IF($AL7="","face type, ","")&amp;IF($AP7="","lock prep, ","")&amp;IF(AND($AO7="",$AC7=""),"hinge prep, ",""),"")&amp;IF(AND($CH7&gt;0,$AH7="FRP"),"FRP cannot carry a label, ","")&amp;IF(AND($O7="Y",OR($Z7="L",$Z7="R",$Z7="LR",$Z7="RR")),"pair marked but hand is single, ","")&amp;IF(AND($O7&lt;&gt;"Y",OR($Z7="PR",AND(LEN($Z7)&gt;1,ISNUMBER(SEARCH("-",$Z7))))),"pair hand on a single door, ","")&amp;IF(AND(ISNUMBER($CI7),$CH7&lt;N($CI7)),"wall needs a "&amp;$CI7&amp;" min door, ","")&amp;IF(AND($CH7&gt;=180,AND(OR($CE7="FG",$CE7="HG",$CE7="FNV",$CE7="FV"),N($CF7)*N($CG7)&gt;100)),"180 min lite over 100 sq in, ","")&amp;IF(N($BK7)&gt;48,"leaf wider than 4'-0"&amp;CHAR(34)&amp;", ","")&amp;IF(AND($CT7,COUNT($AW7:$AZ7)=0,$CQ7&gt;0),"CUSTOM LOC with no locations typed, ",""))</f>
        <v/>
      </c>
      <c r="DK7" s="84">
        <f>IF($A7="","",IF(AND($CH7&gt;0,AND($A7&lt;&gt;"",$C7&lt;&gt;"DOOR ONLY"),$X7="KD",$E7="EXTERIOR"),"KD label on an exterior opening, ","")&amp;IF(AND($E7="EXTERIOR",OR(AND(AND($A7&lt;&gt;"",$C7&lt;&gt;"DOOR ONLY"),$W7="CR"),AND(N($BJ7)&gt;0,$AH7="CR"))),"exterior in CR steel (G9?), ","")&amp;IF(AND(ISNUMBER($BQ7),N($BQ7)&lt;32),"clear width ~"&amp;TEXT($BQ7,"0.0")&amp;CHAR(34)&amp;" under 32"&amp;CHAR(34)&amp;" (ADA), ","")&amp;IF(AND($CH7=90,AND(OR($CE7="FG",$CE7="HG",$CE7="FNV",$CE7="FV"),N($CF7)*N($CG7)&gt;100)),"90 min lite over 100 sq in (stair/exit), ","")&amp;IF(AND($CH7&gt;0,AND($A7&lt;&gt;"",$C7&lt;&gt;"DOOR ONLY"),OR($AF7="",$AF7="-")),"rated: closer reinf.?, ","")&amp;IF(OR($I7="CORRIDOR",$I7="SMOKE BARRIER"),"S label + smoke gasketing, ","")&amp;IF($CI7="?","wall type/hr not in IBC table, ","")&amp;IF(AND(N($BJ7)&gt;0,$BB7=""),"no hardware set, ","")&amp;IF(AND($BB7&lt;&gt;"",ISNA(MATCH($BB7&amp;"",HWSets,0))),"set "&amp;$BB7&amp;" not on HW Sets, ","")&amp;IF(N($BL7)&gt;96,"leaf over 8'-0"&amp;CHAR(34)&amp;" - check listing, ","")&amp;IF(AND($CT7,COUNT($AW7:$AZ7)&gt;0,COUNT($AW7:$AZ7)&lt;&gt;$CQ7),COUNT($AW7:$AZ7)&amp;" custom hinges typed, "&amp;$CQ7&amp;" expected, ","")&amp;IF(AND(ISNUMBER($CA7),OR(N($CA7)&lt;34,N($CA7)&gt;48)),"lock "&amp;TEXT($CA7,"0.0")&amp;CHAR(34)&amp;" AFF outside 34-48"&amp;CHAR(34)&amp;" (ADA), ","")&amp;IF(AND(ISNUMBER($AV7),ISNUMBER($BL7),N($AV7)&lt;IF(N($BL7)&lt;=60,2,IF(N($BL7)&lt;=90,3,IF(N($BL7)&lt;=120,4,5)))),"fewer hinges than standard, ",""))</f>
        <v/>
      </c>
    </row>
    <row r="8" ht="15" customHeight="1">
      <c r="A8" s="77" t="inlineStr">
        <is>
          <t>103</t>
        </is>
      </c>
      <c r="B8" s="78" t="n">
        <v>1</v>
      </c>
      <c r="C8" s="78" t="inlineStr">
        <is>
          <t>FRAME &amp; DOOR</t>
        </is>
      </c>
      <c r="D8" s="78" t="inlineStr">
        <is>
          <t>1st</t>
        </is>
      </c>
      <c r="E8" s="78" t="inlineStr">
        <is>
          <t>INTERIOR</t>
        </is>
      </c>
      <c r="F8" s="78" t="inlineStr">
        <is>
          <t>CORRIDOR</t>
        </is>
      </c>
      <c r="G8" s="78" t="inlineStr">
        <is>
          <t>STAIR 1</t>
        </is>
      </c>
      <c r="H8" s="78" t="inlineStr">
        <is>
          <t>90 MIN</t>
        </is>
      </c>
      <c r="I8" s="78" t="inlineStr">
        <is>
          <t>SHAFT / EXIT ENCL.</t>
        </is>
      </c>
      <c r="J8" s="78" t="n">
        <v>2</v>
      </c>
      <c r="K8" s="78" t="n">
        <v>6</v>
      </c>
      <c r="L8" s="78" t="n">
        <v>0</v>
      </c>
      <c r="M8" s="78" t="n">
        <v>7</v>
      </c>
      <c r="N8" s="78" t="n">
        <v>0</v>
      </c>
      <c r="O8" s="78" t="inlineStr">
        <is>
          <t>Y</t>
        </is>
      </c>
      <c r="P8" s="78" t="n"/>
      <c r="Q8" s="78" t="n"/>
      <c r="R8" s="78" t="n"/>
      <c r="S8" s="79" t="inlineStr">
        <is>
          <t>3F</t>
        </is>
      </c>
      <c r="T8" s="79" t="inlineStr">
        <is>
          <t>M</t>
        </is>
      </c>
      <c r="U8" s="79" t="n">
        <v>834</v>
      </c>
      <c r="V8" s="79" t="n">
        <v>14</v>
      </c>
      <c r="W8" s="79" t="inlineStr">
        <is>
          <t>CR</t>
        </is>
      </c>
      <c r="X8" s="79" t="inlineStr">
        <is>
          <t>WGS</t>
        </is>
      </c>
      <c r="Y8" s="79" t="inlineStr">
        <is>
          <t>T</t>
        </is>
      </c>
      <c r="Z8" s="79" t="inlineStr">
        <is>
          <t>RR-A</t>
        </is>
      </c>
      <c r="AA8" s="79" t="inlineStr">
        <is>
          <t>CU</t>
        </is>
      </c>
      <c r="AB8" s="79" t="n"/>
      <c r="AC8" s="79" t="inlineStr">
        <is>
          <t>U454</t>
        </is>
      </c>
      <c r="AD8" s="79" t="inlineStr">
        <is>
          <t>E1</t>
        </is>
      </c>
      <c r="AE8" s="79" t="inlineStr">
        <is>
          <t>H5</t>
        </is>
      </c>
      <c r="AF8" s="79" t="inlineStr">
        <is>
          <t>E11</t>
        </is>
      </c>
      <c r="AG8" s="79" t="n"/>
      <c r="AH8" s="80" t="inlineStr">
        <is>
          <t>CR</t>
        </is>
      </c>
      <c r="AI8" s="80" t="n">
        <v>16</v>
      </c>
      <c r="AJ8" s="80" t="n"/>
      <c r="AK8" s="80" t="n"/>
      <c r="AL8" s="80" t="inlineStr">
        <is>
          <t>HG-24"x30"</t>
        </is>
      </c>
      <c r="AM8" s="80" t="n">
        <v>707</v>
      </c>
      <c r="AN8" s="80" t="n"/>
      <c r="AO8" s="80" t="n"/>
      <c r="AP8" s="80" t="inlineStr">
        <is>
          <t>G12</t>
        </is>
      </c>
      <c r="AQ8" s="80" t="inlineStr">
        <is>
          <t>-</t>
        </is>
      </c>
      <c r="AR8" s="80" t="inlineStr">
        <is>
          <t>Y</t>
        </is>
      </c>
      <c r="AS8" s="80" t="n"/>
      <c r="AT8" s="81" t="inlineStr">
        <is>
          <t>CURRIES</t>
        </is>
      </c>
      <c r="AU8" s="81" t="n">
        <v>4.5</v>
      </c>
      <c r="AV8" s="81" t="n"/>
      <c r="AW8" s="82" t="n"/>
      <c r="AX8" s="82" t="n"/>
      <c r="AY8" s="82" t="n"/>
      <c r="AZ8" s="82" t="n"/>
      <c r="BA8" s="82" t="n"/>
      <c r="BB8" s="83" t="inlineStr">
        <is>
          <t>2</t>
        </is>
      </c>
      <c r="BC8" s="83" t="n"/>
      <c r="BD8" s="84">
        <f>IF($A8="","",IF($DJ8&lt;&gt;"","FIX",IF($DK8&lt;&gt;"","CHECK","OK")))</f>
        <v/>
      </c>
      <c r="BE8" s="85">
        <f>IF($A8="","",IF($DJ8&lt;&gt;"","FIX: "&amp;LEFT($DJ8,LEN($DJ8)-2)&amp;IF($DK8&lt;&gt;"","  ·  ",""),"")&amp;IF($DK8&lt;&gt;"","CHECK: "&amp;LEFT($DK8,LEN($DK8)-2),""))</f>
        <v/>
      </c>
      <c r="BF8" s="84">
        <f>IF(OR($A8="",$K8=""),"",$K8&amp;"'-"&amp;N($L8)&amp;CHAR(34)&amp;" x "&amp;$M8&amp;"'-"&amp;N($N8)&amp;CHAR(34))</f>
        <v/>
      </c>
      <c r="BG8" s="84">
        <f>IF(OR($A8="",$K8=""),"",$K8&amp;N($L8)&amp;$M8&amp;N($N8))</f>
        <v/>
      </c>
      <c r="BH8" s="84">
        <f>IF(OR($A8="",$K8=""),"",$K8*12+N($L8))</f>
        <v/>
      </c>
      <c r="BI8" s="84">
        <f>IF(OR($A8="",$M8=""),"",$M8*12+N($N8))</f>
        <v/>
      </c>
      <c r="BJ8" s="84">
        <f>IF($A8="","",IF(OR($C8="FRAME ONLY",$S8="BL"),0,IF($O8="Y",2,1)))</f>
        <v/>
      </c>
      <c r="BK8" s="86">
        <f>IF(OR(N($BJ8)=0,$BH8=""),"",($BH8-2*EdgeClr-IF($BJ8=2,MeetClr,0))/$BJ8)</f>
        <v/>
      </c>
      <c r="BL8" s="86">
        <f>IF(OR(N($BJ8)=0,$BI8=""),"",$BI8-HeadClr-Undercut)</f>
        <v/>
      </c>
      <c r="BM8" s="86">
        <f>IF($BH8="","",$BH8+2*FaceW+IF(N($Q8)&gt;0,($Q8+FaceW)*IF($R8="LR",2,1),0))</f>
        <v/>
      </c>
      <c r="BN8" s="86">
        <f>IF($BI8="","",$BI8+IF($AB8="Y",4,FaceW)+IF(N($P8)&gt;0,$P8+FaceW,0)+IF(OR($S8="4F",$S8="BL"),FaceW,0))</f>
        <v/>
      </c>
      <c r="BO8" s="86">
        <f>IF($BM8="","",$BM8+2*ROSide)</f>
        <v/>
      </c>
      <c r="BP8" s="86">
        <f>IF($BN8="","",$BN8+ROTop)</f>
        <v/>
      </c>
      <c r="BQ8" s="87">
        <f>IF(OR(N($BJ8)=0,$BH8=""),"",$BH8/$BJ8-ClearDeduct)</f>
        <v/>
      </c>
      <c r="BR8" s="84">
        <f>IF(N($CH8)=0,"",IF($CH8&gt;=180,"A · 3 HR",IF($CH8&gt;=90,"B · 1-1/2 HR",IF($CH8&gt;=60,"B · 1 HR",IF($CH8&gt;=45,"C · 3/4 HR","20 MIN")))))&amp;IF(AND(N($CH8)&gt;0,OR($I8="CORRIDOR",$I8="SMOKE BARRIER"))," · S","")</f>
        <v/>
      </c>
      <c r="BS8" s="84">
        <f>IF($CS8,"",IF($AV8&lt;&gt;"",$AV8,IF(OR($AC8="HGC",$AO8="HGC"),"CONT",IF(($BI8-HeadClr-Undercut)&lt;=60,2,IF(($BI8-HeadClr-Undercut)&lt;=90,3,IF(($BI8-HeadClr-Undercut)&lt;=120,4,5))))))</f>
        <v/>
      </c>
      <c r="BT8" s="84">
        <f>IF($CS8,"",IF($CT8,"CUSTOM (typed)",IF($CV8,$AT8&amp;" "&amp;$CU8&amp;CHAR(34)&amp;IF($CU8&lt;&gt;$BI8,IF(AND($BI8&lt;$CU8,$BI8-IF(N(VLOOKUP($AT8&amp;"|"&amp;$CU8,LocTable,7,FALSE))&gt;0,VLOOKUP($AT8&amp;"|"&amp;$CU8,LocTable,7,FALSE),VLOOKUP($AT8&amp;"|"&amp;$CU8,LocTable,6,FALSE))-$CR8-0.75&gt;=2.125)," cut down"," adj."),""),"ANSI/SDI A250.6")))</f>
        <v/>
      </c>
      <c r="BU8" s="88">
        <f>IF($CS8,"",IF($CT8,IF(N($AW8)&gt;0,N($AW8),""),IF(1&gt;$CQ8,"",IF($CQ8=1,$CW8,$CW8+($CX8-$CW8)*0/($CQ8-1)))))</f>
        <v/>
      </c>
      <c r="BV8" s="88">
        <f>IF($CS8,"",IF($CT8,IF(N($AX8)&gt;0,N($AX8),""),IF(2&gt;$CQ8,"",IF($CQ8=1,$CW8,$CW8+($CX8-$CW8)*1/($CQ8-1)))))</f>
        <v/>
      </c>
      <c r="BW8" s="88">
        <f>IF($CS8,"",IF($CT8,IF(N($AY8)&gt;0,N($AY8),""),IF(3&gt;$CQ8,"",IF($CQ8=1,$CW8,$CW8+($CX8-$CW8)*2/($CQ8-1)))))</f>
        <v/>
      </c>
      <c r="BX8" s="88">
        <f>IF($CS8,"",IF($CT8,IF(N($AZ8)&gt;0,N($AZ8),""),IF(4&gt;$CQ8,"",IF($CQ8=1,$CW8,$CW8+($CX8-$CW8)*3/($CQ8-1)))))</f>
        <v/>
      </c>
      <c r="BY8" s="88">
        <f>IF($CS8,"",IF($CT8,"",IF(5&gt;$CQ8,"",IF($CQ8=1,$CW8,$CW8+($CX8-$CW8)*4/($CQ8-1)))))</f>
        <v/>
      </c>
      <c r="BZ8" s="88">
        <f>IF(OR($CS8,$AP8="-",AND($AP8="",$AD8="")),"",IF(N($BA8)&gt;0,N($BA8),IF($CV8,IF(AND($BI8&lt;$CU8,$BI8-IF(N(VLOOKUP($AT8&amp;"|"&amp;$CU8,LocTable,7,FALSE))&gt;0,VLOOKUP($AT8&amp;"|"&amp;$CU8,LocTable,7,FALSE),VLOOKUP($AT8&amp;"|"&amp;$CU8,LocTable,6,FALSE))-$CR8-0.75&gt;=2.125),VLOOKUP($AT8&amp;"|"&amp;$CU8,LocTable,8,FALSE),VLOOKUP($AT8&amp;"|"&amp;$CU8,LocTable,8,FALSE)+($BI8-$CU8)),$BI8-LockAFF)))</f>
        <v/>
      </c>
      <c r="CA8" s="89">
        <f>IF($BZ8="","",$BI8-$BZ8)</f>
        <v/>
      </c>
      <c r="CB8" s="84">
        <f>IF(OR(NOT(AND($A8&lt;&gt;"",$C8&lt;&gt;"DOOR ONLY")),$BI8=""),"",IF(($BI8+IF(N($P8)&gt;0,$P8+FaceW,0))&lt;=90,3,IF(($BI8+IF(N($P8)&gt;0,$P8+FaceW,0))&lt;=114,4,5)))</f>
        <v/>
      </c>
      <c r="CC8" s="84">
        <f>IF($CB8="","",$CB8*(2+IF(N($Q8)&gt;0,IF($R8="LR",2,1),0)))</f>
        <v/>
      </c>
      <c r="CD8" s="84">
        <f>IF($CB8="","",(2+IF(N($Q8)&gt;0,IF($R8="LR",2,1),0)))</f>
        <v/>
      </c>
      <c r="CE8" s="84">
        <f>IF(N($BJ8)=0,"",IF(OR($AL8="",$AL8="FLUSH"),"FLUSH",IFERROR(LEFT($AL8,FIND("-",$AL8)-1),LEFT($AL8,2))))</f>
        <v/>
      </c>
      <c r="CF8" s="84">
        <f>IF($CE8="","",IFERROR(VALUE(MID($AL8,FIND("-",$AL8)+1,FIND(CHAR(34)&amp;"x",$AL8)-FIND("-",$AL8)-1)),0))</f>
        <v/>
      </c>
      <c r="CG8" s="84">
        <f>IF($CE8="","",IFERROR(VALUE(MID($AL8,FIND(CHAR(34)&amp;"x",$AL8)+2,FIND(CHAR(34),$AL8,FIND(CHAR(34)&amp;"x",$AL8)+2)-FIND(CHAR(34)&amp;"x",$AL8)-2)),0))</f>
        <v/>
      </c>
      <c r="CH8" s="90">
        <f>IF(OR($A8="",$H8="",$H8="NO LAB"),0,IFERROR(VALUE(LEFT($H8,FIND(" ",$H8)-1)),0))</f>
        <v/>
      </c>
      <c r="CI8" s="91">
        <f>IF(OR($A8="",$I8="",$I8="NON-RATED",N($J8)=0),"",IFERROR(VLOOKUP($I8&amp;"|"&amp;$J8,IBC,2,FALSE),"?"))</f>
        <v/>
      </c>
      <c r="CJ8" s="85">
        <f>IF(NOT(AND($A8&lt;&gt;"",$C8&lt;&gt;"DOOR ONLY")),"",TRIM(IFERROR(VLOOKUP($U8,CODES,2,FALSE),"")&amp;" "&amp;$BG8&amp;" "&amp;IFERROR(VLOOKUP($Z8,CODES,2,FALSE),"")&amp;" "&amp;IFERROR(VLOOKUP($X8,CODES,2,FALSE),"")&amp;" "&amp;IFERROR(VLOOKUP($S8,CODES,2,FALSE),"")&amp;IF(N($P8)&gt;0," w/TRANSOM "&amp;$P8&amp;CHAR(34),"")&amp;IF(N($Q8)&gt;0," w/SIDELITE "&amp;$Q8&amp;CHAR(34)&amp;" "&amp;IF($R8="","R",$R8),"")&amp;IF($Y8="","  |  "," | "&amp;IFERROR(VLOOKUP($Y8,CODES,2,FALSE),"")&amp;" | ")&amp;IFERROR(VLOOKUP($AC8,CODES,2,FALSE),"")&amp;" "&amp;IFERROR(VLOOKUP($AD8,CODES,2,FALSE),"")&amp;IF(OR($AE8="",$AE8="-"),""," "&amp;$AE8)&amp;IF(OR($AF8="",$AF8="-"),""," "&amp;$AF8)&amp;IF($AB8="Y"," 4"&amp;CHAR(34)&amp;" HEAD","")&amp;" "&amp;IFERROR(VLOOKUP($H8,CODES,2,FALSE),"")&amp;IF($CT8," | LOC "&amp;$CY8,"")))</f>
        <v/>
      </c>
      <c r="CK8" s="85">
        <f>IF(NOT(AND($A8&lt;&gt;"",N($BJ8)&gt;0)),"",TRIM(IFERROR(VLOOKUP($AH8,CODES,2,FALSE),"")&amp;IF($AI8=""," "," "&amp;$AI8&amp;"GA ")&amp;$BG8&amp;" "&amp;IF($AN8="",IFERROR(VLOOKUP($Z8,CODES,2,FALSE),""),IFERROR(VLOOKUP($AN8,CODES,2,FALSE),""))&amp;IF($BJ8=2," PAIR","")&amp;" DOOR | "&amp;IF($AL8="","?",$AL8)&amp;" | "&amp;IF($AO8="",IFERROR(VLOOKUP($AC8,CODES,2,FALSE),""),IFERROR(VLOOKUP($AO8,CODES,2,FALSE),""))&amp;" "&amp;IFERROR(VLOOKUP($AP8,CODES,2,FALSE),"")&amp;IF(OR($AQ8="",$AQ8="-"),""," SEAM "&amp;$AQ8)&amp;IF($AR8="Y"," ASTRAGAL","")&amp;IF($AJ8=""," "," "&amp;$AJ8)&amp;IF($AK8=""," "," "&amp;$AK8)&amp;IF(OR($AT8="",$AT8="ANSI/SDI",$AT8="CUSTOM LOC"),""," "&amp;$AT8)&amp;IF($AM8=""," "," SERIES "&amp;$AM8)&amp;" "&amp;IFERROR(VLOOKUP($H8,CODES,2,FALSE),"")&amp;IF($CT8," | LOC "&amp;$CZ8,"")))</f>
        <v/>
      </c>
      <c r="CL8" s="84">
        <f>IF(CP8="","",IF(COUNTIF($CP$6:CP8,CP8)=1,MAX($CL$5:CL7)+1,INDEX($CL$5:CL7,MATCH(CP8,$CP$5:CP7,0))))</f>
        <v/>
      </c>
      <c r="CM8" s="84">
        <f>IF(NOT(AND($A8&lt;&gt;"",$C8&lt;&gt;"DOOR ONLY")),"",MAX($CM$5:CM7)+1)</f>
        <v/>
      </c>
      <c r="CN8" s="84">
        <f>IF(NOT(AND($A8&lt;&gt;"",N($BJ8)&gt;0)),"",MAX($CN$5:CN7)+1)</f>
        <v/>
      </c>
      <c r="CO8" s="84">
        <f>IF($A8="","",MAX($CO$5:CO7)+1)</f>
        <v/>
      </c>
      <c r="CP8" s="84">
        <f>IF(OR($A8="",$BH8="",$BI8=""),"",$BG8&amp;"|"&amp;$O8&amp;"|"&amp;$AL8&amp;"|"&amp;$S8&amp;"|"&amp;$P8&amp;"|"&amp;$Q8&amp;$R8&amp;"|"&amp;$C8&amp;"|"&amp;$AB8)</f>
        <v/>
      </c>
      <c r="CQ8" s="84">
        <f>N($BS8)</f>
        <v/>
      </c>
      <c r="CR8" s="84">
        <f>IF(N($AU8)&gt;0,N($AU8),4.5)</f>
        <v/>
      </c>
      <c r="CS8" s="84">
        <f>OR($A8="",$BI8="",$S8="BL",AND($C8="FRAME ONLY",OR($AC8="",$AC8="BLK")))</f>
        <v/>
      </c>
      <c r="CT8" s="84">
        <f>AND(NOT($CS8),OR($AT8="CUSTOM LOC",N($AW8)+N($AX8)+N($AY8)+N($AZ8)+N($BA8)&gt;0))</f>
        <v/>
      </c>
      <c r="CU8" s="84">
        <f>IF($BI8="","",IF($BI8&lt;=80,80,IF($BI8&lt;=84,84,96)))</f>
        <v/>
      </c>
      <c r="CV8" s="84">
        <f>ISNUMBER(MATCH($AT8&amp;"|80",LocKeys,0))</f>
        <v/>
      </c>
      <c r="CW8" s="86">
        <f>IF($CS8,"",IF($CV8,VLOOKUP($AT8&amp;"|"&amp;$CU8,LocTable,4,FALSE),5))</f>
        <v/>
      </c>
      <c r="CX8" s="86">
        <f>IF($CS8,"",IF($CV8,IF(OR($BI8=$CU8,AND($BI8&lt;$CU8,$BI8-IF(N(VLOOKUP($AT8&amp;"|"&amp;$CU8,LocTable,7,FALSE))&gt;0,VLOOKUP($AT8&amp;"|"&amp;$CU8,LocTable,7,FALSE),VLOOKUP($AT8&amp;"|"&amp;$CU8,LocTable,6,FALSE))-$CR8-0.75&gt;=2.125)),IF(N(VLOOKUP($AT8&amp;"|"&amp;$CU8,LocTable,7,FALSE))&gt;0,VLOOKUP($AT8&amp;"|"&amp;$CU8,LocTable,7,FALSE),VLOOKUP($AT8&amp;"|"&amp;$CU8,LocTable,6,FALSE)),$BI8-($CU8-IF(N(VLOOKUP($AT8&amp;"|"&amp;$CU8,LocTable,7,FALSE))&gt;0,VLOOKUP($AT8&amp;"|"&amp;$CU8,LocTable,7,FALSE),VLOOKUP($AT8&amp;"|"&amp;$CU8,LocTable,6,FALSE)))),$BI8-10-$CR8))</f>
        <v/>
      </c>
      <c r="CY8" s="85">
        <f>IF($CS8,"",TRIM(IF(ISNUMBER($BU8),"A "&amp;TRIM(TEXT($BU8,"# ?/??"))&amp;CHAR(34)&amp;"  ","")&amp;IF(ISNUMBER($BV8),"B "&amp;TRIM(TEXT($BV8,"# ?/??"))&amp;CHAR(34)&amp;"  ","")&amp;IF(ISNUMBER($BW8),"C "&amp;TRIM(TEXT($BW8,"# ?/??"))&amp;CHAR(34)&amp;"  ","")&amp;IF(ISNUMBER($BX8),"D "&amp;TRIM(TEXT($BX8,"# ?/??"))&amp;CHAR(34)&amp;"  ","")&amp;IF(ISNUMBER($BY8),"F "&amp;TRIM(TEXT($BY8,"# ?/??"))&amp;CHAR(34)&amp;"  ","")&amp;IF(ISNUMBER($BZ8),"E "&amp;TRIM(TEXT($BZ8,"# ?/??"))&amp;CHAR(34)&amp;"  ","")))</f>
        <v/>
      </c>
      <c r="CZ8" s="85">
        <f>IF(OR($CS8,N($BJ8)=0),"",TRIM(IF(ISNUMBER($BU8),"A "&amp;TRIM(TEXT($BU8-HeadClr,"# ?/??"))&amp;CHAR(34)&amp;"  ","")&amp;IF(ISNUMBER($BV8),"B "&amp;TRIM(TEXT($BV8-HeadClr,"# ?/??"))&amp;CHAR(34)&amp;"  ","")&amp;IF(ISNUMBER($BW8),"C "&amp;TRIM(TEXT($BW8-HeadClr,"# ?/??"))&amp;CHAR(34)&amp;"  ","")&amp;IF(ISNUMBER($BX8),"D "&amp;TRIM(TEXT($BX8-HeadClr,"# ?/??"))&amp;CHAR(34)&amp;"  ","")&amp;IF(ISNUMBER($BY8),"F "&amp;TRIM(TEXT($BY8-HeadClr,"# ?/??"))&amp;CHAR(34)&amp;"  ","")&amp;IF(ISNUMBER($BZ8),"E "&amp;TRIM(TEXT($BZ8-HeadClr,"# ?/??"))&amp;CHAR(34)&amp;"  ","")))</f>
        <v/>
      </c>
      <c r="DA8" s="84">
        <f>IF($A8="","",IF($AN8="",IFERROR(VLOOKUP($Z8,CODES,2,FALSE),""),IFERROR(VLOOKUP($AN8,CODES,2,FALSE),"")))</f>
        <v/>
      </c>
      <c r="DB8" s="84">
        <f>IF($A8="","",IF($O8="Y","PR",IF(OR($Z8="L",$Z8="RR",LEFT($Z8,2)="L-",LEFT($Z8,3)="RR-"),"LH","RH")))</f>
        <v/>
      </c>
      <c r="DC8" s="84">
        <f>IF($A8="","","S.HM"&amp;IF(OR($C8="DOOR ONLY",$X8&lt;&gt;"KD"),"MASONRY","DRYWALL")&amp;IF($C8="DOOR ONLY","",$U8)&amp;IF(AND($C8&lt;&gt;"FRAME ONLY",OR(LEFT($AH8,3)="OAK",LEFT($AH8,3)="BIR",LEFT($AH8,3)="MAP",$AH8="PC",$AH8="MC",$AH8="SCLC",$AH8="P-LAM")),"WD","HM")&amp;"1.75")</f>
        <v/>
      </c>
      <c r="DD8" s="84">
        <f>IF($CJ8="","",IF($O8="Y",$CJ8,SUBSTITUTE($CJ8,$BG8&amp;" "&amp;IFERROR(VLOOKUP($Z8,CODES,2,FALSE),"")&amp;" ",$BG8&amp;" ")))</f>
        <v/>
      </c>
      <c r="DE8" s="84">
        <f>IF($CK8="","",IF($O8="Y",$CK8,SUBSTITUTE($CK8,$BG8&amp;" "&amp;IF($AN8="",IFERROR(VLOOKUP($Z8,CODES,2,FALSE),""),IFERROR(VLOOKUP($AN8,CODES,2,FALSE),""))&amp;" ",$BG8&amp;" ")))</f>
        <v/>
      </c>
      <c r="DF8" s="84">
        <f>IF($CJ8="","",$DC8&amp;"|"&amp;$DD8&amp;"|"&amp;$DB8&amp;"|"&amp;$AT8&amp;"|"&amp;$V8&amp;"|"&amp;$Y8&amp;"|"&amp;$AB8)</f>
        <v/>
      </c>
      <c r="DG8" s="84">
        <f>IF(DF8="","",IF(COUNTIF($DF$6:DF8,DF8)=1,MAX($DG$5:DG7)+1,INDEX($DG$5:DG7,MATCH(DF8,$DF$5:DF7,0))))</f>
        <v/>
      </c>
      <c r="DH8" s="84">
        <f>IF($CK8="","",$DC8&amp;"|"&amp;$DE8&amp;"|"&amp;$AI8&amp;"|"&amp;$BK8&amp;"|"&amp;$BL8)</f>
        <v/>
      </c>
      <c r="DI8" s="84">
        <f>IF(DH8="","",IF(COUNTIF($DH$6:DH8,DH8)=1,MAX($DI$5:DI7)+1,INDEX($DI$5:DI7,MATCH(DH8,$DH$5:DH7,0))))</f>
        <v/>
      </c>
      <c r="DJ8" s="84">
        <f>IF($A8="","",IF($B8="","qty, ","")&amp;IF($C8="","scope, ","")&amp;IF(OR($K8="",$M8=""),"size, ","")&amp;IF(AND($A8&lt;&gt;"",$C8&lt;&gt;"DOOR ONLY"),IF($U8="","jamb depth, ","")&amp;IF($X8="","construction, ","")&amp;IF($Y8="","anchor, ","")&amp;IF($S8="","frame type, ",""),"")&amp;IF(AND(N($BJ8)&gt;0,$Z8=""),"hand, ","")&amp;IF(N($BJ8)&gt;0,IF($AH8="","door material, ","")&amp;IF($AL8="","face type, ","")&amp;IF($AP8="","lock prep, ","")&amp;IF(AND($AO8="",$AC8=""),"hinge prep, ",""),"")&amp;IF(AND($CH8&gt;0,$AH8="FRP"),"FRP cannot carry a label, ","")&amp;IF(AND($O8="Y",OR($Z8="L",$Z8="R",$Z8="LR",$Z8="RR")),"pair marked but hand is single, ","")&amp;IF(AND($O8&lt;&gt;"Y",OR($Z8="PR",AND(LEN($Z8)&gt;1,ISNUMBER(SEARCH("-",$Z8))))),"pair hand on a single door, ","")&amp;IF(AND(ISNUMBER($CI8),$CH8&lt;N($CI8)),"wall needs a "&amp;$CI8&amp;" min door, ","")&amp;IF(AND($CH8&gt;=180,AND(OR($CE8="FG",$CE8="HG",$CE8="FNV",$CE8="FV"),N($CF8)*N($CG8)&gt;100)),"180 min lite over 100 sq in, ","")&amp;IF(N($BK8)&gt;48,"leaf wider than 4'-0"&amp;CHAR(34)&amp;", ","")&amp;IF(AND($CT8,COUNT($AW8:$AZ8)=0,$CQ8&gt;0),"CUSTOM LOC with no locations typed, ",""))</f>
        <v/>
      </c>
      <c r="DK8" s="84">
        <f>IF($A8="","",IF(AND($CH8&gt;0,AND($A8&lt;&gt;"",$C8&lt;&gt;"DOOR ONLY"),$X8="KD",$E8="EXTERIOR"),"KD label on an exterior opening, ","")&amp;IF(AND($E8="EXTERIOR",OR(AND(AND($A8&lt;&gt;"",$C8&lt;&gt;"DOOR ONLY"),$W8="CR"),AND(N($BJ8)&gt;0,$AH8="CR"))),"exterior in CR steel (G9?), ","")&amp;IF(AND(ISNUMBER($BQ8),N($BQ8)&lt;32),"clear width ~"&amp;TEXT($BQ8,"0.0")&amp;CHAR(34)&amp;" under 32"&amp;CHAR(34)&amp;" (ADA), ","")&amp;IF(AND($CH8=90,AND(OR($CE8="FG",$CE8="HG",$CE8="FNV",$CE8="FV"),N($CF8)*N($CG8)&gt;100)),"90 min lite over 100 sq in (stair/exit), ","")&amp;IF(AND($CH8&gt;0,AND($A8&lt;&gt;"",$C8&lt;&gt;"DOOR ONLY"),OR($AF8="",$AF8="-")),"rated: closer reinf.?, ","")&amp;IF(OR($I8="CORRIDOR",$I8="SMOKE BARRIER"),"S label + smoke gasketing, ","")&amp;IF($CI8="?","wall type/hr not in IBC table, ","")&amp;IF(AND(N($BJ8)&gt;0,$BB8=""),"no hardware set, ","")&amp;IF(AND($BB8&lt;&gt;"",ISNA(MATCH($BB8&amp;"",HWSets,0))),"set "&amp;$BB8&amp;" not on HW Sets, ","")&amp;IF(N($BL8)&gt;96,"leaf over 8'-0"&amp;CHAR(34)&amp;" - check listing, ","")&amp;IF(AND($CT8,COUNT($AW8:$AZ8)&gt;0,COUNT($AW8:$AZ8)&lt;&gt;$CQ8),COUNT($AW8:$AZ8)&amp;" custom hinges typed, "&amp;$CQ8&amp;" expected, ","")&amp;IF(AND(ISNUMBER($CA8),OR(N($CA8)&lt;34,N($CA8)&gt;48)),"lock "&amp;TEXT($CA8,"0.0")&amp;CHAR(34)&amp;" AFF outside 34-48"&amp;CHAR(34)&amp;" (ADA), ","")&amp;IF(AND(ISNUMBER($AV8),ISNUMBER($BL8),N($AV8)&lt;IF(N($BL8)&lt;=60,2,IF(N($BL8)&lt;=90,3,IF(N($BL8)&lt;=120,4,5)))),"fewer hinges than standard, ",""))</f>
        <v/>
      </c>
    </row>
    <row r="9" ht="15" customHeight="1">
      <c r="A9" s="77" t="inlineStr">
        <is>
          <t>104</t>
        </is>
      </c>
      <c r="B9" s="78" t="n">
        <v>1</v>
      </c>
      <c r="C9" s="78" t="inlineStr">
        <is>
          <t>FRAME &amp; DOOR</t>
        </is>
      </c>
      <c r="D9" s="78" t="inlineStr">
        <is>
          <t>GROUND</t>
        </is>
      </c>
      <c r="E9" s="78" t="inlineStr">
        <is>
          <t>EXTERIOR</t>
        </is>
      </c>
      <c r="F9" s="78" t="inlineStr">
        <is>
          <t>EXTERIOR</t>
        </is>
      </c>
      <c r="G9" s="78" t="inlineStr">
        <is>
          <t>LOBBY</t>
        </is>
      </c>
      <c r="H9" s="78" t="inlineStr">
        <is>
          <t>NO LAB</t>
        </is>
      </c>
      <c r="I9" s="78" t="inlineStr">
        <is>
          <t>EXTERIOR</t>
        </is>
      </c>
      <c r="J9" s="78" t="n">
        <v>0</v>
      </c>
      <c r="K9" s="78" t="n">
        <v>3</v>
      </c>
      <c r="L9" s="78" t="n">
        <v>0</v>
      </c>
      <c r="M9" s="78" t="n">
        <v>7</v>
      </c>
      <c r="N9" s="78" t="n">
        <v>0</v>
      </c>
      <c r="O9" s="78" t="n"/>
      <c r="P9" s="78" t="n">
        <v>24</v>
      </c>
      <c r="Q9" s="78" t="n">
        <v>18</v>
      </c>
      <c r="R9" s="78" t="inlineStr">
        <is>
          <t>R</t>
        </is>
      </c>
      <c r="S9" s="79" t="inlineStr">
        <is>
          <t>3FV</t>
        </is>
      </c>
      <c r="T9" s="79" t="inlineStr">
        <is>
          <t>M</t>
        </is>
      </c>
      <c r="U9" s="79" t="n">
        <v>658</v>
      </c>
      <c r="V9" s="79" t="n">
        <v>14</v>
      </c>
      <c r="W9" s="79" t="inlineStr">
        <is>
          <t>G9</t>
        </is>
      </c>
      <c r="X9" s="79" t="inlineStr">
        <is>
          <t>WGS</t>
        </is>
      </c>
      <c r="Y9" s="79" t="inlineStr">
        <is>
          <t>WMA</t>
        </is>
      </c>
      <c r="Z9" s="79" t="inlineStr">
        <is>
          <t>L</t>
        </is>
      </c>
      <c r="AA9" s="79" t="inlineStr">
        <is>
          <t>CU</t>
        </is>
      </c>
      <c r="AB9" s="79" t="inlineStr">
        <is>
          <t>Y</t>
        </is>
      </c>
      <c r="AC9" s="79" t="inlineStr">
        <is>
          <t>HGC</t>
        </is>
      </c>
      <c r="AD9" s="79" t="inlineStr">
        <is>
          <t>G18</t>
        </is>
      </c>
      <c r="AE9" s="79" t="n"/>
      <c r="AF9" s="79" t="inlineStr">
        <is>
          <t>E11</t>
        </is>
      </c>
      <c r="AG9" s="79" t="n"/>
      <c r="AH9" s="80" t="inlineStr">
        <is>
          <t>RK</t>
        </is>
      </c>
      <c r="AI9" s="80" t="n">
        <v>16</v>
      </c>
      <c r="AJ9" s="80" t="n"/>
      <c r="AK9" s="80" t="n"/>
      <c r="AL9" s="80" t="inlineStr">
        <is>
          <t>FG-24"x64"</t>
        </is>
      </c>
      <c r="AM9" s="80" t="n">
        <v>707</v>
      </c>
      <c r="AN9" s="80" t="n"/>
      <c r="AO9" s="80" t="n"/>
      <c r="AP9" s="80" t="inlineStr">
        <is>
          <t>G11</t>
        </is>
      </c>
      <c r="AQ9" s="80" t="n"/>
      <c r="AR9" s="80" t="n"/>
      <c r="AS9" s="80" t="n"/>
      <c r="AT9" s="81" t="inlineStr">
        <is>
          <t>CURRIES</t>
        </is>
      </c>
      <c r="AU9" s="81" t="n"/>
      <c r="AV9" s="81" t="n"/>
      <c r="AW9" s="82" t="n"/>
      <c r="AX9" s="82" t="n"/>
      <c r="AY9" s="82" t="n"/>
      <c r="AZ9" s="82" t="n"/>
      <c r="BA9" s="82" t="n"/>
      <c r="BB9" s="83" t="inlineStr">
        <is>
          <t>3</t>
        </is>
      </c>
      <c r="BC9" s="83" t="n"/>
      <c r="BD9" s="84">
        <f>IF($A9="","",IF($DJ9&lt;&gt;"","FIX",IF($DK9&lt;&gt;"","CHECK","OK")))</f>
        <v/>
      </c>
      <c r="BE9" s="85">
        <f>IF($A9="","",IF($DJ9&lt;&gt;"","FIX: "&amp;LEFT($DJ9,LEN($DJ9)-2)&amp;IF($DK9&lt;&gt;"","  ·  ",""),"")&amp;IF($DK9&lt;&gt;"","CHECK: "&amp;LEFT($DK9,LEN($DK9)-2),""))</f>
        <v/>
      </c>
      <c r="BF9" s="84">
        <f>IF(OR($A9="",$K9=""),"",$K9&amp;"'-"&amp;N($L9)&amp;CHAR(34)&amp;" x "&amp;$M9&amp;"'-"&amp;N($N9)&amp;CHAR(34))</f>
        <v/>
      </c>
      <c r="BG9" s="84">
        <f>IF(OR($A9="",$K9=""),"",$K9&amp;N($L9)&amp;$M9&amp;N($N9))</f>
        <v/>
      </c>
      <c r="BH9" s="84">
        <f>IF(OR($A9="",$K9=""),"",$K9*12+N($L9))</f>
        <v/>
      </c>
      <c r="BI9" s="84">
        <f>IF(OR($A9="",$M9=""),"",$M9*12+N($N9))</f>
        <v/>
      </c>
      <c r="BJ9" s="84">
        <f>IF($A9="","",IF(OR($C9="FRAME ONLY",$S9="BL"),0,IF($O9="Y",2,1)))</f>
        <v/>
      </c>
      <c r="BK9" s="86">
        <f>IF(OR(N($BJ9)=0,$BH9=""),"",($BH9-2*EdgeClr-IF($BJ9=2,MeetClr,0))/$BJ9)</f>
        <v/>
      </c>
      <c r="BL9" s="86">
        <f>IF(OR(N($BJ9)=0,$BI9=""),"",$BI9-HeadClr-Undercut)</f>
        <v/>
      </c>
      <c r="BM9" s="86">
        <f>IF($BH9="","",$BH9+2*FaceW+IF(N($Q9)&gt;0,($Q9+FaceW)*IF($R9="LR",2,1),0))</f>
        <v/>
      </c>
      <c r="BN9" s="86">
        <f>IF($BI9="","",$BI9+IF($AB9="Y",4,FaceW)+IF(N($P9)&gt;0,$P9+FaceW,0)+IF(OR($S9="4F",$S9="BL"),FaceW,0))</f>
        <v/>
      </c>
      <c r="BO9" s="86">
        <f>IF($BM9="","",$BM9+2*ROSide)</f>
        <v/>
      </c>
      <c r="BP9" s="86">
        <f>IF($BN9="","",$BN9+ROTop)</f>
        <v/>
      </c>
      <c r="BQ9" s="87">
        <f>IF(OR(N($BJ9)=0,$BH9=""),"",$BH9/$BJ9-ClearDeduct)</f>
        <v/>
      </c>
      <c r="BR9" s="84">
        <f>IF(N($CH9)=0,"",IF($CH9&gt;=180,"A · 3 HR",IF($CH9&gt;=90,"B · 1-1/2 HR",IF($CH9&gt;=60,"B · 1 HR",IF($CH9&gt;=45,"C · 3/4 HR","20 MIN")))))&amp;IF(AND(N($CH9)&gt;0,OR($I9="CORRIDOR",$I9="SMOKE BARRIER"))," · S","")</f>
        <v/>
      </c>
      <c r="BS9" s="84">
        <f>IF($CS9,"",IF($AV9&lt;&gt;"",$AV9,IF(OR($AC9="HGC",$AO9="HGC"),"CONT",IF(($BI9-HeadClr-Undercut)&lt;=60,2,IF(($BI9-HeadClr-Undercut)&lt;=90,3,IF(($BI9-HeadClr-Undercut)&lt;=120,4,5))))))</f>
        <v/>
      </c>
      <c r="BT9" s="84">
        <f>IF($CS9,"",IF($CT9,"CUSTOM (typed)",IF($CV9,$AT9&amp;" "&amp;$CU9&amp;CHAR(34)&amp;IF($CU9&lt;&gt;$BI9,IF(AND($BI9&lt;$CU9,$BI9-IF(N(VLOOKUP($AT9&amp;"|"&amp;$CU9,LocTable,7,FALSE))&gt;0,VLOOKUP($AT9&amp;"|"&amp;$CU9,LocTable,7,FALSE),VLOOKUP($AT9&amp;"|"&amp;$CU9,LocTable,6,FALSE))-$CR9-0.75&gt;=2.125)," cut down"," adj."),""),"ANSI/SDI A250.6")))</f>
        <v/>
      </c>
      <c r="BU9" s="88">
        <f>IF($CS9,"",IF($CT9,IF(N($AW9)&gt;0,N($AW9),""),IF(1&gt;$CQ9,"",IF($CQ9=1,$CW9,$CW9+($CX9-$CW9)*0/($CQ9-1)))))</f>
        <v/>
      </c>
      <c r="BV9" s="88">
        <f>IF($CS9,"",IF($CT9,IF(N($AX9)&gt;0,N($AX9),""),IF(2&gt;$CQ9,"",IF($CQ9=1,$CW9,$CW9+($CX9-$CW9)*1/($CQ9-1)))))</f>
        <v/>
      </c>
      <c r="BW9" s="88">
        <f>IF($CS9,"",IF($CT9,IF(N($AY9)&gt;0,N($AY9),""),IF(3&gt;$CQ9,"",IF($CQ9=1,$CW9,$CW9+($CX9-$CW9)*2/($CQ9-1)))))</f>
        <v/>
      </c>
      <c r="BX9" s="88">
        <f>IF($CS9,"",IF($CT9,IF(N($AZ9)&gt;0,N($AZ9),""),IF(4&gt;$CQ9,"",IF($CQ9=1,$CW9,$CW9+($CX9-$CW9)*3/($CQ9-1)))))</f>
        <v/>
      </c>
      <c r="BY9" s="88">
        <f>IF($CS9,"",IF($CT9,"",IF(5&gt;$CQ9,"",IF($CQ9=1,$CW9,$CW9+($CX9-$CW9)*4/($CQ9-1)))))</f>
        <v/>
      </c>
      <c r="BZ9" s="88">
        <f>IF(OR($CS9,$AP9="-",AND($AP9="",$AD9="")),"",IF(N($BA9)&gt;0,N($BA9),IF($CV9,IF(AND($BI9&lt;$CU9,$BI9-IF(N(VLOOKUP($AT9&amp;"|"&amp;$CU9,LocTable,7,FALSE))&gt;0,VLOOKUP($AT9&amp;"|"&amp;$CU9,LocTable,7,FALSE),VLOOKUP($AT9&amp;"|"&amp;$CU9,LocTable,6,FALSE))-$CR9-0.75&gt;=2.125),VLOOKUP($AT9&amp;"|"&amp;$CU9,LocTable,8,FALSE),VLOOKUP($AT9&amp;"|"&amp;$CU9,LocTable,8,FALSE)+($BI9-$CU9)),$BI9-LockAFF)))</f>
        <v/>
      </c>
      <c r="CA9" s="89">
        <f>IF($BZ9="","",$BI9-$BZ9)</f>
        <v/>
      </c>
      <c r="CB9" s="84">
        <f>IF(OR(NOT(AND($A9&lt;&gt;"",$C9&lt;&gt;"DOOR ONLY")),$BI9=""),"",IF(($BI9+IF(N($P9)&gt;0,$P9+FaceW,0))&lt;=90,3,IF(($BI9+IF(N($P9)&gt;0,$P9+FaceW,0))&lt;=114,4,5)))</f>
        <v/>
      </c>
      <c r="CC9" s="84">
        <f>IF($CB9="","",$CB9*(2+IF(N($Q9)&gt;0,IF($R9="LR",2,1),0)))</f>
        <v/>
      </c>
      <c r="CD9" s="84">
        <f>IF($CB9="","",(2+IF(N($Q9)&gt;0,IF($R9="LR",2,1),0)))</f>
        <v/>
      </c>
      <c r="CE9" s="84">
        <f>IF(N($BJ9)=0,"",IF(OR($AL9="",$AL9="FLUSH"),"FLUSH",IFERROR(LEFT($AL9,FIND("-",$AL9)-1),LEFT($AL9,2))))</f>
        <v/>
      </c>
      <c r="CF9" s="84">
        <f>IF($CE9="","",IFERROR(VALUE(MID($AL9,FIND("-",$AL9)+1,FIND(CHAR(34)&amp;"x",$AL9)-FIND("-",$AL9)-1)),0))</f>
        <v/>
      </c>
      <c r="CG9" s="84">
        <f>IF($CE9="","",IFERROR(VALUE(MID($AL9,FIND(CHAR(34)&amp;"x",$AL9)+2,FIND(CHAR(34),$AL9,FIND(CHAR(34)&amp;"x",$AL9)+2)-FIND(CHAR(34)&amp;"x",$AL9)-2)),0))</f>
        <v/>
      </c>
      <c r="CH9" s="90">
        <f>IF(OR($A9="",$H9="",$H9="NO LAB"),0,IFERROR(VALUE(LEFT($H9,FIND(" ",$H9)-1)),0))</f>
        <v/>
      </c>
      <c r="CI9" s="91">
        <f>IF(OR($A9="",$I9="",$I9="NON-RATED",N($J9)=0),"",IFERROR(VLOOKUP($I9&amp;"|"&amp;$J9,IBC,2,FALSE),"?"))</f>
        <v/>
      </c>
      <c r="CJ9" s="85">
        <f>IF(NOT(AND($A9&lt;&gt;"",$C9&lt;&gt;"DOOR ONLY")),"",TRIM(IFERROR(VLOOKUP($U9,CODES,2,FALSE),"")&amp;" "&amp;$BG9&amp;" "&amp;IFERROR(VLOOKUP($Z9,CODES,2,FALSE),"")&amp;" "&amp;IFERROR(VLOOKUP($X9,CODES,2,FALSE),"")&amp;" "&amp;IFERROR(VLOOKUP($S9,CODES,2,FALSE),"")&amp;IF(N($P9)&gt;0," w/TRANSOM "&amp;$P9&amp;CHAR(34),"")&amp;IF(N($Q9)&gt;0," w/SIDELITE "&amp;$Q9&amp;CHAR(34)&amp;" "&amp;IF($R9="","R",$R9),"")&amp;IF($Y9="","  |  "," | "&amp;IFERROR(VLOOKUP($Y9,CODES,2,FALSE),"")&amp;" | ")&amp;IFERROR(VLOOKUP($AC9,CODES,2,FALSE),"")&amp;" "&amp;IFERROR(VLOOKUP($AD9,CODES,2,FALSE),"")&amp;IF(OR($AE9="",$AE9="-"),""," "&amp;$AE9)&amp;IF(OR($AF9="",$AF9="-"),""," "&amp;$AF9)&amp;IF($AB9="Y"," 4"&amp;CHAR(34)&amp;" HEAD","")&amp;" "&amp;IFERROR(VLOOKUP($H9,CODES,2,FALSE),"")&amp;IF($CT9," | LOC "&amp;$CY9,"")))</f>
        <v/>
      </c>
      <c r="CK9" s="85">
        <f>IF(NOT(AND($A9&lt;&gt;"",N($BJ9)&gt;0)),"",TRIM(IFERROR(VLOOKUP($AH9,CODES,2,FALSE),"")&amp;IF($AI9=""," "," "&amp;$AI9&amp;"GA ")&amp;$BG9&amp;" "&amp;IF($AN9="",IFERROR(VLOOKUP($Z9,CODES,2,FALSE),""),IFERROR(VLOOKUP($AN9,CODES,2,FALSE),""))&amp;IF($BJ9=2," PAIR","")&amp;" DOOR | "&amp;IF($AL9="","?",$AL9)&amp;" | "&amp;IF($AO9="",IFERROR(VLOOKUP($AC9,CODES,2,FALSE),""),IFERROR(VLOOKUP($AO9,CODES,2,FALSE),""))&amp;" "&amp;IFERROR(VLOOKUP($AP9,CODES,2,FALSE),"")&amp;IF(OR($AQ9="",$AQ9="-"),""," SEAM "&amp;$AQ9)&amp;IF($AR9="Y"," ASTRAGAL","")&amp;IF($AJ9=""," "," "&amp;$AJ9)&amp;IF($AK9=""," "," "&amp;$AK9)&amp;IF(OR($AT9="",$AT9="ANSI/SDI",$AT9="CUSTOM LOC"),""," "&amp;$AT9)&amp;IF($AM9=""," "," SERIES "&amp;$AM9)&amp;" "&amp;IFERROR(VLOOKUP($H9,CODES,2,FALSE),"")&amp;IF($CT9," | LOC "&amp;$CZ9,"")))</f>
        <v/>
      </c>
      <c r="CL9" s="84">
        <f>IF(CP9="","",IF(COUNTIF($CP$6:CP9,CP9)=1,MAX($CL$5:CL8)+1,INDEX($CL$5:CL8,MATCH(CP9,$CP$5:CP8,0))))</f>
        <v/>
      </c>
      <c r="CM9" s="84">
        <f>IF(NOT(AND($A9&lt;&gt;"",$C9&lt;&gt;"DOOR ONLY")),"",MAX($CM$5:CM8)+1)</f>
        <v/>
      </c>
      <c r="CN9" s="84">
        <f>IF(NOT(AND($A9&lt;&gt;"",N($BJ9)&gt;0)),"",MAX($CN$5:CN8)+1)</f>
        <v/>
      </c>
      <c r="CO9" s="84">
        <f>IF($A9="","",MAX($CO$5:CO8)+1)</f>
        <v/>
      </c>
      <c r="CP9" s="84">
        <f>IF(OR($A9="",$BH9="",$BI9=""),"",$BG9&amp;"|"&amp;$O9&amp;"|"&amp;$AL9&amp;"|"&amp;$S9&amp;"|"&amp;$P9&amp;"|"&amp;$Q9&amp;$R9&amp;"|"&amp;$C9&amp;"|"&amp;$AB9)</f>
        <v/>
      </c>
      <c r="CQ9" s="84">
        <f>N($BS9)</f>
        <v/>
      </c>
      <c r="CR9" s="84">
        <f>IF(N($AU9)&gt;0,N($AU9),4.5)</f>
        <v/>
      </c>
      <c r="CS9" s="84">
        <f>OR($A9="",$BI9="",$S9="BL",AND($C9="FRAME ONLY",OR($AC9="",$AC9="BLK")))</f>
        <v/>
      </c>
      <c r="CT9" s="84">
        <f>AND(NOT($CS9),OR($AT9="CUSTOM LOC",N($AW9)+N($AX9)+N($AY9)+N($AZ9)+N($BA9)&gt;0))</f>
        <v/>
      </c>
      <c r="CU9" s="84">
        <f>IF($BI9="","",IF($BI9&lt;=80,80,IF($BI9&lt;=84,84,96)))</f>
        <v/>
      </c>
      <c r="CV9" s="84">
        <f>ISNUMBER(MATCH($AT9&amp;"|80",LocKeys,0))</f>
        <v/>
      </c>
      <c r="CW9" s="86">
        <f>IF($CS9,"",IF($CV9,VLOOKUP($AT9&amp;"|"&amp;$CU9,LocTable,4,FALSE),5))</f>
        <v/>
      </c>
      <c r="CX9" s="86">
        <f>IF($CS9,"",IF($CV9,IF(OR($BI9=$CU9,AND($BI9&lt;$CU9,$BI9-IF(N(VLOOKUP($AT9&amp;"|"&amp;$CU9,LocTable,7,FALSE))&gt;0,VLOOKUP($AT9&amp;"|"&amp;$CU9,LocTable,7,FALSE),VLOOKUP($AT9&amp;"|"&amp;$CU9,LocTable,6,FALSE))-$CR9-0.75&gt;=2.125)),IF(N(VLOOKUP($AT9&amp;"|"&amp;$CU9,LocTable,7,FALSE))&gt;0,VLOOKUP($AT9&amp;"|"&amp;$CU9,LocTable,7,FALSE),VLOOKUP($AT9&amp;"|"&amp;$CU9,LocTable,6,FALSE)),$BI9-($CU9-IF(N(VLOOKUP($AT9&amp;"|"&amp;$CU9,LocTable,7,FALSE))&gt;0,VLOOKUP($AT9&amp;"|"&amp;$CU9,LocTable,7,FALSE),VLOOKUP($AT9&amp;"|"&amp;$CU9,LocTable,6,FALSE)))),$BI9-10-$CR9))</f>
        <v/>
      </c>
      <c r="CY9" s="85">
        <f>IF($CS9,"",TRIM(IF(ISNUMBER($BU9),"A "&amp;TRIM(TEXT($BU9,"# ?/??"))&amp;CHAR(34)&amp;"  ","")&amp;IF(ISNUMBER($BV9),"B "&amp;TRIM(TEXT($BV9,"# ?/??"))&amp;CHAR(34)&amp;"  ","")&amp;IF(ISNUMBER($BW9),"C "&amp;TRIM(TEXT($BW9,"# ?/??"))&amp;CHAR(34)&amp;"  ","")&amp;IF(ISNUMBER($BX9),"D "&amp;TRIM(TEXT($BX9,"# ?/??"))&amp;CHAR(34)&amp;"  ","")&amp;IF(ISNUMBER($BY9),"F "&amp;TRIM(TEXT($BY9,"# ?/??"))&amp;CHAR(34)&amp;"  ","")&amp;IF(ISNUMBER($BZ9),"E "&amp;TRIM(TEXT($BZ9,"# ?/??"))&amp;CHAR(34)&amp;"  ","")))</f>
        <v/>
      </c>
      <c r="CZ9" s="85">
        <f>IF(OR($CS9,N($BJ9)=0),"",TRIM(IF(ISNUMBER($BU9),"A "&amp;TRIM(TEXT($BU9-HeadClr,"# ?/??"))&amp;CHAR(34)&amp;"  ","")&amp;IF(ISNUMBER($BV9),"B "&amp;TRIM(TEXT($BV9-HeadClr,"# ?/??"))&amp;CHAR(34)&amp;"  ","")&amp;IF(ISNUMBER($BW9),"C "&amp;TRIM(TEXT($BW9-HeadClr,"# ?/??"))&amp;CHAR(34)&amp;"  ","")&amp;IF(ISNUMBER($BX9),"D "&amp;TRIM(TEXT($BX9-HeadClr,"# ?/??"))&amp;CHAR(34)&amp;"  ","")&amp;IF(ISNUMBER($BY9),"F "&amp;TRIM(TEXT($BY9-HeadClr,"# ?/??"))&amp;CHAR(34)&amp;"  ","")&amp;IF(ISNUMBER($BZ9),"E "&amp;TRIM(TEXT($BZ9-HeadClr,"# ?/??"))&amp;CHAR(34)&amp;"  ","")))</f>
        <v/>
      </c>
      <c r="DA9" s="84">
        <f>IF($A9="","",IF($AN9="",IFERROR(VLOOKUP($Z9,CODES,2,FALSE),""),IFERROR(VLOOKUP($AN9,CODES,2,FALSE),"")))</f>
        <v/>
      </c>
      <c r="DB9" s="84">
        <f>IF($A9="","",IF($O9="Y","PR",IF(OR($Z9="L",$Z9="RR",LEFT($Z9,2)="L-",LEFT($Z9,3)="RR-"),"LH","RH")))</f>
        <v/>
      </c>
      <c r="DC9" s="84">
        <f>IF($A9="","","S.HM"&amp;IF(OR($C9="DOOR ONLY",$X9&lt;&gt;"KD"),"MASONRY","DRYWALL")&amp;IF($C9="DOOR ONLY","",$U9)&amp;IF(AND($C9&lt;&gt;"FRAME ONLY",OR(LEFT($AH9,3)="OAK",LEFT($AH9,3)="BIR",LEFT($AH9,3)="MAP",$AH9="PC",$AH9="MC",$AH9="SCLC",$AH9="P-LAM")),"WD","HM")&amp;"1.75")</f>
        <v/>
      </c>
      <c r="DD9" s="84">
        <f>IF($CJ9="","",IF($O9="Y",$CJ9,SUBSTITUTE($CJ9,$BG9&amp;" "&amp;IFERROR(VLOOKUP($Z9,CODES,2,FALSE),"")&amp;" ",$BG9&amp;" ")))</f>
        <v/>
      </c>
      <c r="DE9" s="84">
        <f>IF($CK9="","",IF($O9="Y",$CK9,SUBSTITUTE($CK9,$BG9&amp;" "&amp;IF($AN9="",IFERROR(VLOOKUP($Z9,CODES,2,FALSE),""),IFERROR(VLOOKUP($AN9,CODES,2,FALSE),""))&amp;" ",$BG9&amp;" ")))</f>
        <v/>
      </c>
      <c r="DF9" s="84">
        <f>IF($CJ9="","",$DC9&amp;"|"&amp;$DD9&amp;"|"&amp;$DB9&amp;"|"&amp;$AT9&amp;"|"&amp;$V9&amp;"|"&amp;$Y9&amp;"|"&amp;$AB9)</f>
        <v/>
      </c>
      <c r="DG9" s="84">
        <f>IF(DF9="","",IF(COUNTIF($DF$6:DF9,DF9)=1,MAX($DG$5:DG8)+1,INDEX($DG$5:DG8,MATCH(DF9,$DF$5:DF8,0))))</f>
        <v/>
      </c>
      <c r="DH9" s="84">
        <f>IF($CK9="","",$DC9&amp;"|"&amp;$DE9&amp;"|"&amp;$AI9&amp;"|"&amp;$BK9&amp;"|"&amp;$BL9)</f>
        <v/>
      </c>
      <c r="DI9" s="84">
        <f>IF(DH9="","",IF(COUNTIF($DH$6:DH9,DH9)=1,MAX($DI$5:DI8)+1,INDEX($DI$5:DI8,MATCH(DH9,$DH$5:DH8,0))))</f>
        <v/>
      </c>
      <c r="DJ9" s="84">
        <f>IF($A9="","",IF($B9="","qty, ","")&amp;IF($C9="","scope, ","")&amp;IF(OR($K9="",$M9=""),"size, ","")&amp;IF(AND($A9&lt;&gt;"",$C9&lt;&gt;"DOOR ONLY"),IF($U9="","jamb depth, ","")&amp;IF($X9="","construction, ","")&amp;IF($Y9="","anchor, ","")&amp;IF($S9="","frame type, ",""),"")&amp;IF(AND(N($BJ9)&gt;0,$Z9=""),"hand, ","")&amp;IF(N($BJ9)&gt;0,IF($AH9="","door material, ","")&amp;IF($AL9="","face type, ","")&amp;IF($AP9="","lock prep, ","")&amp;IF(AND($AO9="",$AC9=""),"hinge prep, ",""),"")&amp;IF(AND($CH9&gt;0,$AH9="FRP"),"FRP cannot carry a label, ","")&amp;IF(AND($O9="Y",OR($Z9="L",$Z9="R",$Z9="LR",$Z9="RR")),"pair marked but hand is single, ","")&amp;IF(AND($O9&lt;&gt;"Y",OR($Z9="PR",AND(LEN($Z9)&gt;1,ISNUMBER(SEARCH("-",$Z9))))),"pair hand on a single door, ","")&amp;IF(AND(ISNUMBER($CI9),$CH9&lt;N($CI9)),"wall needs a "&amp;$CI9&amp;" min door, ","")&amp;IF(AND($CH9&gt;=180,AND(OR($CE9="FG",$CE9="HG",$CE9="FNV",$CE9="FV"),N($CF9)*N($CG9)&gt;100)),"180 min lite over 100 sq in, ","")&amp;IF(N($BK9)&gt;48,"leaf wider than 4'-0"&amp;CHAR(34)&amp;", ","")&amp;IF(AND($CT9,COUNT($AW9:$AZ9)=0,$CQ9&gt;0),"CUSTOM LOC with no locations typed, ",""))</f>
        <v/>
      </c>
      <c r="DK9" s="84">
        <f>IF($A9="","",IF(AND($CH9&gt;0,AND($A9&lt;&gt;"",$C9&lt;&gt;"DOOR ONLY"),$X9="KD",$E9="EXTERIOR"),"KD label on an exterior opening, ","")&amp;IF(AND($E9="EXTERIOR",OR(AND(AND($A9&lt;&gt;"",$C9&lt;&gt;"DOOR ONLY"),$W9="CR"),AND(N($BJ9)&gt;0,$AH9="CR"))),"exterior in CR steel (G9?), ","")&amp;IF(AND(ISNUMBER($BQ9),N($BQ9)&lt;32),"clear width ~"&amp;TEXT($BQ9,"0.0")&amp;CHAR(34)&amp;" under 32"&amp;CHAR(34)&amp;" (ADA), ","")&amp;IF(AND($CH9=90,AND(OR($CE9="FG",$CE9="HG",$CE9="FNV",$CE9="FV"),N($CF9)*N($CG9)&gt;100)),"90 min lite over 100 sq in (stair/exit), ","")&amp;IF(AND($CH9&gt;0,AND($A9&lt;&gt;"",$C9&lt;&gt;"DOOR ONLY"),OR($AF9="",$AF9="-")),"rated: closer reinf.?, ","")&amp;IF(OR($I9="CORRIDOR",$I9="SMOKE BARRIER"),"S label + smoke gasketing, ","")&amp;IF($CI9="?","wall type/hr not in IBC table, ","")&amp;IF(AND(N($BJ9)&gt;0,$BB9=""),"no hardware set, ","")&amp;IF(AND($BB9&lt;&gt;"",ISNA(MATCH($BB9&amp;"",HWSets,0))),"set "&amp;$BB9&amp;" not on HW Sets, ","")&amp;IF(N($BL9)&gt;96,"leaf over 8'-0"&amp;CHAR(34)&amp;" - check listing, ","")&amp;IF(AND($CT9,COUNT($AW9:$AZ9)&gt;0,COUNT($AW9:$AZ9)&lt;&gt;$CQ9),COUNT($AW9:$AZ9)&amp;" custom hinges typed, "&amp;$CQ9&amp;" expected, ","")&amp;IF(AND(ISNUMBER($CA9),OR(N($CA9)&lt;34,N($CA9)&gt;48)),"lock "&amp;TEXT($CA9,"0.0")&amp;CHAR(34)&amp;" AFF outside 34-48"&amp;CHAR(34)&amp;" (ADA), ","")&amp;IF(AND(ISNUMBER($AV9),ISNUMBER($BL9),N($AV9)&lt;IF(N($BL9)&lt;=60,2,IF(N($BL9)&lt;=90,3,IF(N($BL9)&lt;=120,4,5)))),"fewer hinges than standard, ",""))</f>
        <v/>
      </c>
    </row>
    <row r="10" ht="15" customHeight="1">
      <c r="A10" s="92" t="inlineStr">
        <is>
          <t>105</t>
        </is>
      </c>
      <c r="B10" s="93" t="n">
        <v>2</v>
      </c>
      <c r="C10" s="93" t="inlineStr">
        <is>
          <t>FRAME ONLY</t>
        </is>
      </c>
      <c r="D10" s="93" t="inlineStr">
        <is>
          <t>1st</t>
        </is>
      </c>
      <c r="E10" s="93" t="inlineStr">
        <is>
          <t>INTERIOR</t>
        </is>
      </c>
      <c r="F10" s="93" t="inlineStr">
        <is>
          <t>RECEPTION</t>
        </is>
      </c>
      <c r="G10" s="93" t="inlineStr">
        <is>
          <t>OFFICE</t>
        </is>
      </c>
      <c r="H10" s="93" t="inlineStr">
        <is>
          <t>NO LAB</t>
        </is>
      </c>
      <c r="I10" s="93" t="n"/>
      <c r="J10" s="93" t="n"/>
      <c r="K10" s="93" t="n">
        <v>4</v>
      </c>
      <c r="L10" s="93" t="n">
        <v>0</v>
      </c>
      <c r="M10" s="93" t="n">
        <v>3</v>
      </c>
      <c r="N10" s="93" t="n">
        <v>0</v>
      </c>
      <c r="O10" s="93" t="n"/>
      <c r="P10" s="93" t="n"/>
      <c r="Q10" s="93" t="n"/>
      <c r="R10" s="93" t="n"/>
      <c r="S10" s="94" t="inlineStr">
        <is>
          <t>BL</t>
        </is>
      </c>
      <c r="T10" s="94" t="inlineStr">
        <is>
          <t>C</t>
        </is>
      </c>
      <c r="U10" s="94" t="n">
        <v>478</v>
      </c>
      <c r="V10" s="94" t="n">
        <v>16</v>
      </c>
      <c r="W10" s="94" t="inlineStr">
        <is>
          <t>CR</t>
        </is>
      </c>
      <c r="X10" s="94" t="inlineStr">
        <is>
          <t>KD</t>
        </is>
      </c>
      <c r="Y10" s="94" t="inlineStr">
        <is>
          <t>SC</t>
        </is>
      </c>
      <c r="Z10" s="94" t="n"/>
      <c r="AA10" s="94" t="inlineStr">
        <is>
          <t>CU</t>
        </is>
      </c>
      <c r="AB10" s="94" t="n"/>
      <c r="AC10" s="94" t="inlineStr">
        <is>
          <t>BLK</t>
        </is>
      </c>
      <c r="AD10" s="94" t="n"/>
      <c r="AE10" s="94" t="n"/>
      <c r="AF10" s="94" t="n"/>
      <c r="AG10" s="94" t="n"/>
      <c r="AH10" s="95" t="n"/>
      <c r="AI10" s="95" t="n"/>
      <c r="AJ10" s="95" t="n"/>
      <c r="AK10" s="95" t="n"/>
      <c r="AL10" s="95" t="n"/>
      <c r="AM10" s="95" t="n"/>
      <c r="AN10" s="95" t="n"/>
      <c r="AO10" s="95" t="n"/>
      <c r="AP10" s="95" t="n"/>
      <c r="AQ10" s="95" t="n"/>
      <c r="AR10" s="95" t="n"/>
      <c r="AS10" s="95" t="n"/>
      <c r="AT10" s="96" t="n"/>
      <c r="AU10" s="96" t="n"/>
      <c r="AV10" s="96" t="n"/>
      <c r="AW10" s="97" t="n"/>
      <c r="AX10" s="97" t="n"/>
      <c r="AY10" s="97" t="n"/>
      <c r="AZ10" s="97" t="n"/>
      <c r="BA10" s="97" t="n"/>
      <c r="BB10" s="98" t="n"/>
      <c r="BC10" s="98" t="n"/>
      <c r="BD10" s="99">
        <f>IF($A10="","",IF($DJ10&lt;&gt;"","FIX",IF($DK10&lt;&gt;"","CHECK","OK")))</f>
        <v/>
      </c>
      <c r="BE10" s="100">
        <f>IF($A10="","",IF($DJ10&lt;&gt;"","FIX: "&amp;LEFT($DJ10,LEN($DJ10)-2)&amp;IF($DK10&lt;&gt;"","  ·  ",""),"")&amp;IF($DK10&lt;&gt;"","CHECK: "&amp;LEFT($DK10,LEN($DK10)-2),""))</f>
        <v/>
      </c>
      <c r="BF10" s="99">
        <f>IF(OR($A10="",$K10=""),"",$K10&amp;"'-"&amp;N($L10)&amp;CHAR(34)&amp;" x "&amp;$M10&amp;"'-"&amp;N($N10)&amp;CHAR(34))</f>
        <v/>
      </c>
      <c r="BG10" s="99">
        <f>IF(OR($A10="",$K10=""),"",$K10&amp;N($L10)&amp;$M10&amp;N($N10))</f>
        <v/>
      </c>
      <c r="BH10" s="99">
        <f>IF(OR($A10="",$K10=""),"",$K10*12+N($L10))</f>
        <v/>
      </c>
      <c r="BI10" s="99">
        <f>IF(OR($A10="",$M10=""),"",$M10*12+N($N10))</f>
        <v/>
      </c>
      <c r="BJ10" s="99">
        <f>IF($A10="","",IF(OR($C10="FRAME ONLY",$S10="BL"),0,IF($O10="Y",2,1)))</f>
        <v/>
      </c>
      <c r="BK10" s="101">
        <f>IF(OR(N($BJ10)=0,$BH10=""),"",($BH10-2*EdgeClr-IF($BJ10=2,MeetClr,0))/$BJ10)</f>
        <v/>
      </c>
      <c r="BL10" s="101">
        <f>IF(OR(N($BJ10)=0,$BI10=""),"",$BI10-HeadClr-Undercut)</f>
        <v/>
      </c>
      <c r="BM10" s="101">
        <f>IF($BH10="","",$BH10+2*FaceW+IF(N($Q10)&gt;0,($Q10+FaceW)*IF($R10="LR",2,1),0))</f>
        <v/>
      </c>
      <c r="BN10" s="101">
        <f>IF($BI10="","",$BI10+IF($AB10="Y",4,FaceW)+IF(N($P10)&gt;0,$P10+FaceW,0)+IF(OR($S10="4F",$S10="BL"),FaceW,0))</f>
        <v/>
      </c>
      <c r="BO10" s="101">
        <f>IF($BM10="","",$BM10+2*ROSide)</f>
        <v/>
      </c>
      <c r="BP10" s="101">
        <f>IF($BN10="","",$BN10+ROTop)</f>
        <v/>
      </c>
      <c r="BQ10" s="102">
        <f>IF(OR(N($BJ10)=0,$BH10=""),"",$BH10/$BJ10-ClearDeduct)</f>
        <v/>
      </c>
      <c r="BR10" s="99">
        <f>IF(N($CH10)=0,"",IF($CH10&gt;=180,"A · 3 HR",IF($CH10&gt;=90,"B · 1-1/2 HR",IF($CH10&gt;=60,"B · 1 HR",IF($CH10&gt;=45,"C · 3/4 HR","20 MIN")))))&amp;IF(AND(N($CH10)&gt;0,OR($I10="CORRIDOR",$I10="SMOKE BARRIER"))," · S","")</f>
        <v/>
      </c>
      <c r="BS10" s="99">
        <f>IF($CS10,"",IF($AV10&lt;&gt;"",$AV10,IF(OR($AC10="HGC",$AO10="HGC"),"CONT",IF(($BI10-HeadClr-Undercut)&lt;=60,2,IF(($BI10-HeadClr-Undercut)&lt;=90,3,IF(($BI10-HeadClr-Undercut)&lt;=120,4,5))))))</f>
        <v/>
      </c>
      <c r="BT10" s="99">
        <f>IF($CS10,"",IF($CT10,"CUSTOM (typed)",IF($CV10,$AT10&amp;" "&amp;$CU10&amp;CHAR(34)&amp;IF($CU10&lt;&gt;$BI10,IF(AND($BI10&lt;$CU10,$BI10-IF(N(VLOOKUP($AT10&amp;"|"&amp;$CU10,LocTable,7,FALSE))&gt;0,VLOOKUP($AT10&amp;"|"&amp;$CU10,LocTable,7,FALSE),VLOOKUP($AT10&amp;"|"&amp;$CU10,LocTable,6,FALSE))-$CR10-0.75&gt;=2.125)," cut down"," adj."),""),"ANSI/SDI A250.6")))</f>
        <v/>
      </c>
      <c r="BU10" s="103">
        <f>IF($CS10,"",IF($CT10,IF(N($AW10)&gt;0,N($AW10),""),IF(1&gt;$CQ10,"",IF($CQ10=1,$CW10,$CW10+($CX10-$CW10)*0/($CQ10-1)))))</f>
        <v/>
      </c>
      <c r="BV10" s="103">
        <f>IF($CS10,"",IF($CT10,IF(N($AX10)&gt;0,N($AX10),""),IF(2&gt;$CQ10,"",IF($CQ10=1,$CW10,$CW10+($CX10-$CW10)*1/($CQ10-1)))))</f>
        <v/>
      </c>
      <c r="BW10" s="103">
        <f>IF($CS10,"",IF($CT10,IF(N($AY10)&gt;0,N($AY10),""),IF(3&gt;$CQ10,"",IF($CQ10=1,$CW10,$CW10+($CX10-$CW10)*2/($CQ10-1)))))</f>
        <v/>
      </c>
      <c r="BX10" s="103">
        <f>IF($CS10,"",IF($CT10,IF(N($AZ10)&gt;0,N($AZ10),""),IF(4&gt;$CQ10,"",IF($CQ10=1,$CW10,$CW10+($CX10-$CW10)*3/($CQ10-1)))))</f>
        <v/>
      </c>
      <c r="BY10" s="103">
        <f>IF($CS10,"",IF($CT10,"",IF(5&gt;$CQ10,"",IF($CQ10=1,$CW10,$CW10+($CX10-$CW10)*4/($CQ10-1)))))</f>
        <v/>
      </c>
      <c r="BZ10" s="103">
        <f>IF(OR($CS10,$AP10="-",AND($AP10="",$AD10="")),"",IF(N($BA10)&gt;0,N($BA10),IF($CV10,IF(AND($BI10&lt;$CU10,$BI10-IF(N(VLOOKUP($AT10&amp;"|"&amp;$CU10,LocTable,7,FALSE))&gt;0,VLOOKUP($AT10&amp;"|"&amp;$CU10,LocTable,7,FALSE),VLOOKUP($AT10&amp;"|"&amp;$CU10,LocTable,6,FALSE))-$CR10-0.75&gt;=2.125),VLOOKUP($AT10&amp;"|"&amp;$CU10,LocTable,8,FALSE),VLOOKUP($AT10&amp;"|"&amp;$CU10,LocTable,8,FALSE)+($BI10-$CU10)),$BI10-LockAFF)))</f>
        <v/>
      </c>
      <c r="CA10" s="104">
        <f>IF($BZ10="","",$BI10-$BZ10)</f>
        <v/>
      </c>
      <c r="CB10" s="99">
        <f>IF(OR(NOT(AND($A10&lt;&gt;"",$C10&lt;&gt;"DOOR ONLY")),$BI10=""),"",IF(($BI10+IF(N($P10)&gt;0,$P10+FaceW,0))&lt;=90,3,IF(($BI10+IF(N($P10)&gt;0,$P10+FaceW,0))&lt;=114,4,5)))</f>
        <v/>
      </c>
      <c r="CC10" s="99">
        <f>IF($CB10="","",$CB10*(2+IF(N($Q10)&gt;0,IF($R10="LR",2,1),0)))</f>
        <v/>
      </c>
      <c r="CD10" s="99">
        <f>IF($CB10="","",(2+IF(N($Q10)&gt;0,IF($R10="LR",2,1),0)))</f>
        <v/>
      </c>
      <c r="CE10" s="99">
        <f>IF(N($BJ10)=0,"",IF(OR($AL10="",$AL10="FLUSH"),"FLUSH",IFERROR(LEFT($AL10,FIND("-",$AL10)-1),LEFT($AL10,2))))</f>
        <v/>
      </c>
      <c r="CF10" s="99">
        <f>IF($CE10="","",IFERROR(VALUE(MID($AL10,FIND("-",$AL10)+1,FIND(CHAR(34)&amp;"x",$AL10)-FIND("-",$AL10)-1)),0))</f>
        <v/>
      </c>
      <c r="CG10" s="99">
        <f>IF($CE10="","",IFERROR(VALUE(MID($AL10,FIND(CHAR(34)&amp;"x",$AL10)+2,FIND(CHAR(34),$AL10,FIND(CHAR(34)&amp;"x",$AL10)+2)-FIND(CHAR(34)&amp;"x",$AL10)-2)),0))</f>
        <v/>
      </c>
      <c r="CH10" s="105">
        <f>IF(OR($A10="",$H10="",$H10="NO LAB"),0,IFERROR(VALUE(LEFT($H10,FIND(" ",$H10)-1)),0))</f>
        <v/>
      </c>
      <c r="CI10" s="106">
        <f>IF(OR($A10="",$I10="",$I10="NON-RATED",N($J10)=0),"",IFERROR(VLOOKUP($I10&amp;"|"&amp;$J10,IBC,2,FALSE),"?"))</f>
        <v/>
      </c>
      <c r="CJ10" s="100">
        <f>IF(NOT(AND($A10&lt;&gt;"",$C10&lt;&gt;"DOOR ONLY")),"",TRIM(IFERROR(VLOOKUP($U10,CODES,2,FALSE),"")&amp;" "&amp;$BG10&amp;" "&amp;IFERROR(VLOOKUP($Z10,CODES,2,FALSE),"")&amp;" "&amp;IFERROR(VLOOKUP($X10,CODES,2,FALSE),"")&amp;" "&amp;IFERROR(VLOOKUP($S10,CODES,2,FALSE),"")&amp;IF(N($P10)&gt;0," w/TRANSOM "&amp;$P10&amp;CHAR(34),"")&amp;IF(N($Q10)&gt;0," w/SIDELITE "&amp;$Q10&amp;CHAR(34)&amp;" "&amp;IF($R10="","R",$R10),"")&amp;IF($Y10="","  |  "," | "&amp;IFERROR(VLOOKUP($Y10,CODES,2,FALSE),"")&amp;" | ")&amp;IFERROR(VLOOKUP($AC10,CODES,2,FALSE),"")&amp;" "&amp;IFERROR(VLOOKUP($AD10,CODES,2,FALSE),"")&amp;IF(OR($AE10="",$AE10="-"),""," "&amp;$AE10)&amp;IF(OR($AF10="",$AF10="-"),""," "&amp;$AF10)&amp;IF($AB10="Y"," 4"&amp;CHAR(34)&amp;" HEAD","")&amp;" "&amp;IFERROR(VLOOKUP($H10,CODES,2,FALSE),"")&amp;IF($CT10," | LOC "&amp;$CY10,"")))</f>
        <v/>
      </c>
      <c r="CK10" s="100">
        <f>IF(NOT(AND($A10&lt;&gt;"",N($BJ10)&gt;0)),"",TRIM(IFERROR(VLOOKUP($AH10,CODES,2,FALSE),"")&amp;IF($AI10=""," "," "&amp;$AI10&amp;"GA ")&amp;$BG10&amp;" "&amp;IF($AN10="",IFERROR(VLOOKUP($Z10,CODES,2,FALSE),""),IFERROR(VLOOKUP($AN10,CODES,2,FALSE),""))&amp;IF($BJ10=2," PAIR","")&amp;" DOOR | "&amp;IF($AL10="","?",$AL10)&amp;" | "&amp;IF($AO10="",IFERROR(VLOOKUP($AC10,CODES,2,FALSE),""),IFERROR(VLOOKUP($AO10,CODES,2,FALSE),""))&amp;" "&amp;IFERROR(VLOOKUP($AP10,CODES,2,FALSE),"")&amp;IF(OR($AQ10="",$AQ10="-"),""," SEAM "&amp;$AQ10)&amp;IF($AR10="Y"," ASTRAGAL","")&amp;IF($AJ10=""," "," "&amp;$AJ10)&amp;IF($AK10=""," "," "&amp;$AK10)&amp;IF(OR($AT10="",$AT10="ANSI/SDI",$AT10="CUSTOM LOC"),""," "&amp;$AT10)&amp;IF($AM10=""," "," SERIES "&amp;$AM10)&amp;" "&amp;IFERROR(VLOOKUP($H10,CODES,2,FALSE),"")&amp;IF($CT10," | LOC "&amp;$CZ10,"")))</f>
        <v/>
      </c>
      <c r="CL10" s="99">
        <f>IF(CP10="","",IF(COUNTIF($CP$6:CP10,CP10)=1,MAX($CL$5:CL9)+1,INDEX($CL$5:CL9,MATCH(CP10,$CP$5:CP9,0))))</f>
        <v/>
      </c>
      <c r="CM10" s="99">
        <f>IF(NOT(AND($A10&lt;&gt;"",$C10&lt;&gt;"DOOR ONLY")),"",MAX($CM$5:CM9)+1)</f>
        <v/>
      </c>
      <c r="CN10" s="99">
        <f>IF(NOT(AND($A10&lt;&gt;"",N($BJ10)&gt;0)),"",MAX($CN$5:CN9)+1)</f>
        <v/>
      </c>
      <c r="CO10" s="99">
        <f>IF($A10="","",MAX($CO$5:CO9)+1)</f>
        <v/>
      </c>
      <c r="CP10" s="99">
        <f>IF(OR($A10="",$BH10="",$BI10=""),"",$BG10&amp;"|"&amp;$O10&amp;"|"&amp;$AL10&amp;"|"&amp;$S10&amp;"|"&amp;$P10&amp;"|"&amp;$Q10&amp;$R10&amp;"|"&amp;$C10&amp;"|"&amp;$AB10)</f>
        <v/>
      </c>
      <c r="CQ10" s="99">
        <f>N($BS10)</f>
        <v/>
      </c>
      <c r="CR10" s="99">
        <f>IF(N($AU10)&gt;0,N($AU10),4.5)</f>
        <v/>
      </c>
      <c r="CS10" s="99">
        <f>OR($A10="",$BI10="",$S10="BL",AND($C10="FRAME ONLY",OR($AC10="",$AC10="BLK")))</f>
        <v/>
      </c>
      <c r="CT10" s="99">
        <f>AND(NOT($CS10),OR($AT10="CUSTOM LOC",N($AW10)+N($AX10)+N($AY10)+N($AZ10)+N($BA10)&gt;0))</f>
        <v/>
      </c>
      <c r="CU10" s="99">
        <f>IF($BI10="","",IF($BI10&lt;=80,80,IF($BI10&lt;=84,84,96)))</f>
        <v/>
      </c>
      <c r="CV10" s="99">
        <f>ISNUMBER(MATCH($AT10&amp;"|80",LocKeys,0))</f>
        <v/>
      </c>
      <c r="CW10" s="101">
        <f>IF($CS10,"",IF($CV10,VLOOKUP($AT10&amp;"|"&amp;$CU10,LocTable,4,FALSE),5))</f>
        <v/>
      </c>
      <c r="CX10" s="101">
        <f>IF($CS10,"",IF($CV10,IF(OR($BI10=$CU10,AND($BI10&lt;$CU10,$BI10-IF(N(VLOOKUP($AT10&amp;"|"&amp;$CU10,LocTable,7,FALSE))&gt;0,VLOOKUP($AT10&amp;"|"&amp;$CU10,LocTable,7,FALSE),VLOOKUP($AT10&amp;"|"&amp;$CU10,LocTable,6,FALSE))-$CR10-0.75&gt;=2.125)),IF(N(VLOOKUP($AT10&amp;"|"&amp;$CU10,LocTable,7,FALSE))&gt;0,VLOOKUP($AT10&amp;"|"&amp;$CU10,LocTable,7,FALSE),VLOOKUP($AT10&amp;"|"&amp;$CU10,LocTable,6,FALSE)),$BI10-($CU10-IF(N(VLOOKUP($AT10&amp;"|"&amp;$CU10,LocTable,7,FALSE))&gt;0,VLOOKUP($AT10&amp;"|"&amp;$CU10,LocTable,7,FALSE),VLOOKUP($AT10&amp;"|"&amp;$CU10,LocTable,6,FALSE)))),$BI10-10-$CR10))</f>
        <v/>
      </c>
      <c r="CY10" s="100">
        <f>IF($CS10,"",TRIM(IF(ISNUMBER($BU10),"A "&amp;TRIM(TEXT($BU10,"# ?/??"))&amp;CHAR(34)&amp;"  ","")&amp;IF(ISNUMBER($BV10),"B "&amp;TRIM(TEXT($BV10,"# ?/??"))&amp;CHAR(34)&amp;"  ","")&amp;IF(ISNUMBER($BW10),"C "&amp;TRIM(TEXT($BW10,"# ?/??"))&amp;CHAR(34)&amp;"  ","")&amp;IF(ISNUMBER($BX10),"D "&amp;TRIM(TEXT($BX10,"# ?/??"))&amp;CHAR(34)&amp;"  ","")&amp;IF(ISNUMBER($BY10),"F "&amp;TRIM(TEXT($BY10,"# ?/??"))&amp;CHAR(34)&amp;"  ","")&amp;IF(ISNUMBER($BZ10),"E "&amp;TRIM(TEXT($BZ10,"# ?/??"))&amp;CHAR(34)&amp;"  ","")))</f>
        <v/>
      </c>
      <c r="CZ10" s="100">
        <f>IF(OR($CS10,N($BJ10)=0),"",TRIM(IF(ISNUMBER($BU10),"A "&amp;TRIM(TEXT($BU10-HeadClr,"# ?/??"))&amp;CHAR(34)&amp;"  ","")&amp;IF(ISNUMBER($BV10),"B "&amp;TRIM(TEXT($BV10-HeadClr,"# ?/??"))&amp;CHAR(34)&amp;"  ","")&amp;IF(ISNUMBER($BW10),"C "&amp;TRIM(TEXT($BW10-HeadClr,"# ?/??"))&amp;CHAR(34)&amp;"  ","")&amp;IF(ISNUMBER($BX10),"D "&amp;TRIM(TEXT($BX10-HeadClr,"# ?/??"))&amp;CHAR(34)&amp;"  ","")&amp;IF(ISNUMBER($BY10),"F "&amp;TRIM(TEXT($BY10-HeadClr,"# ?/??"))&amp;CHAR(34)&amp;"  ","")&amp;IF(ISNUMBER($BZ10),"E "&amp;TRIM(TEXT($BZ10-HeadClr,"# ?/??"))&amp;CHAR(34)&amp;"  ","")))</f>
        <v/>
      </c>
      <c r="DA10" s="99">
        <f>IF($A10="","",IF($AN10="",IFERROR(VLOOKUP($Z10,CODES,2,FALSE),""),IFERROR(VLOOKUP($AN10,CODES,2,FALSE),"")))</f>
        <v/>
      </c>
      <c r="DB10" s="99">
        <f>IF($A10="","",IF($O10="Y","PR",IF(OR($Z10="L",$Z10="RR",LEFT($Z10,2)="L-",LEFT($Z10,3)="RR-"),"LH","RH")))</f>
        <v/>
      </c>
      <c r="DC10" s="99">
        <f>IF($A10="","","S.HM"&amp;IF(OR($C10="DOOR ONLY",$X10&lt;&gt;"KD"),"MASONRY","DRYWALL")&amp;IF($C10="DOOR ONLY","",$U10)&amp;IF(AND($C10&lt;&gt;"FRAME ONLY",OR(LEFT($AH10,3)="OAK",LEFT($AH10,3)="BIR",LEFT($AH10,3)="MAP",$AH10="PC",$AH10="MC",$AH10="SCLC",$AH10="P-LAM")),"WD","HM")&amp;"1.75")</f>
        <v/>
      </c>
      <c r="DD10" s="99">
        <f>IF($CJ10="","",IF($O10="Y",$CJ10,SUBSTITUTE($CJ10,$BG10&amp;" "&amp;IFERROR(VLOOKUP($Z10,CODES,2,FALSE),"")&amp;" ",$BG10&amp;" ")))</f>
        <v/>
      </c>
      <c r="DE10" s="99">
        <f>IF($CK10="","",IF($O10="Y",$CK10,SUBSTITUTE($CK10,$BG10&amp;" "&amp;IF($AN10="",IFERROR(VLOOKUP($Z10,CODES,2,FALSE),""),IFERROR(VLOOKUP($AN10,CODES,2,FALSE),""))&amp;" ",$BG10&amp;" ")))</f>
        <v/>
      </c>
      <c r="DF10" s="99">
        <f>IF($CJ10="","",$DC10&amp;"|"&amp;$DD10&amp;"|"&amp;$DB10&amp;"|"&amp;$AT10&amp;"|"&amp;$V10&amp;"|"&amp;$Y10&amp;"|"&amp;$AB10)</f>
        <v/>
      </c>
      <c r="DG10" s="99">
        <f>IF(DF10="","",IF(COUNTIF($DF$6:DF10,DF10)=1,MAX($DG$5:DG9)+1,INDEX($DG$5:DG9,MATCH(DF10,$DF$5:DF9,0))))</f>
        <v/>
      </c>
      <c r="DH10" s="99">
        <f>IF($CK10="","",$DC10&amp;"|"&amp;$DE10&amp;"|"&amp;$AI10&amp;"|"&amp;$BK10&amp;"|"&amp;$BL10)</f>
        <v/>
      </c>
      <c r="DI10" s="99">
        <f>IF(DH10="","",IF(COUNTIF($DH$6:DH10,DH10)=1,MAX($DI$5:DI9)+1,INDEX($DI$5:DI9,MATCH(DH10,$DH$5:DH9,0))))</f>
        <v/>
      </c>
      <c r="DJ10" s="99">
        <f>IF($A10="","",IF($B10="","qty, ","")&amp;IF($C10="","scope, ","")&amp;IF(OR($K10="",$M10=""),"size, ","")&amp;IF(AND($A10&lt;&gt;"",$C10&lt;&gt;"DOOR ONLY"),IF($U10="","jamb depth, ","")&amp;IF($X10="","construction, ","")&amp;IF($Y10="","anchor, ","")&amp;IF($S10="","frame type, ",""),"")&amp;IF(AND(N($BJ10)&gt;0,$Z10=""),"hand, ","")&amp;IF(N($BJ10)&gt;0,IF($AH10="","door material, ","")&amp;IF($AL10="","face type, ","")&amp;IF($AP10="","lock prep, ","")&amp;IF(AND($AO10="",$AC10=""),"hinge prep, ",""),"")&amp;IF(AND($CH10&gt;0,$AH10="FRP"),"FRP cannot carry a label, ","")&amp;IF(AND($O10="Y",OR($Z10="L",$Z10="R",$Z10="LR",$Z10="RR")),"pair marked but hand is single, ","")&amp;IF(AND($O10&lt;&gt;"Y",OR($Z10="PR",AND(LEN($Z10)&gt;1,ISNUMBER(SEARCH("-",$Z10))))),"pair hand on a single door, ","")&amp;IF(AND(ISNUMBER($CI10),$CH10&lt;N($CI10)),"wall needs a "&amp;$CI10&amp;" min door, ","")&amp;IF(AND($CH10&gt;=180,AND(OR($CE10="FG",$CE10="HG",$CE10="FNV",$CE10="FV"),N($CF10)*N($CG10)&gt;100)),"180 min lite over 100 sq in, ","")&amp;IF(N($BK10)&gt;48,"leaf wider than 4'-0"&amp;CHAR(34)&amp;", ","")&amp;IF(AND($CT10,COUNT($AW10:$AZ10)=0,$CQ10&gt;0),"CUSTOM LOC with no locations typed, ",""))</f>
        <v/>
      </c>
      <c r="DK10" s="99">
        <f>IF($A10="","",IF(AND($CH10&gt;0,AND($A10&lt;&gt;"",$C10&lt;&gt;"DOOR ONLY"),$X10="KD",$E10="EXTERIOR"),"KD label on an exterior opening, ","")&amp;IF(AND($E10="EXTERIOR",OR(AND(AND($A10&lt;&gt;"",$C10&lt;&gt;"DOOR ONLY"),$W10="CR"),AND(N($BJ10)&gt;0,$AH10="CR"))),"exterior in CR steel (G9?), ","")&amp;IF(AND(ISNUMBER($BQ10),N($BQ10)&lt;32),"clear width ~"&amp;TEXT($BQ10,"0.0")&amp;CHAR(34)&amp;" under 32"&amp;CHAR(34)&amp;" (ADA), ","")&amp;IF(AND($CH10=90,AND(OR($CE10="FG",$CE10="HG",$CE10="FNV",$CE10="FV"),N($CF10)*N($CG10)&gt;100)),"90 min lite over 100 sq in (stair/exit), ","")&amp;IF(AND($CH10&gt;0,AND($A10&lt;&gt;"",$C10&lt;&gt;"DOOR ONLY"),OR($AF10="",$AF10="-")),"rated: closer reinf.?, ","")&amp;IF(OR($I10="CORRIDOR",$I10="SMOKE BARRIER"),"S label + smoke gasketing, ","")&amp;IF($CI10="?","wall type/hr not in IBC table, ","")&amp;IF(AND(N($BJ10)&gt;0,$BB10=""),"no hardware set, ","")&amp;IF(AND($BB10&lt;&gt;"",ISNA(MATCH($BB10&amp;"",HWSets,0))),"set "&amp;$BB10&amp;" not on HW Sets, ","")&amp;IF(N($BL10)&gt;96,"leaf over 8'-0"&amp;CHAR(34)&amp;" - check listing, ","")&amp;IF(AND($CT10,COUNT($AW10:$AZ10)&gt;0,COUNT($AW10:$AZ10)&lt;&gt;$CQ10),COUNT($AW10:$AZ10)&amp;" custom hinges typed, "&amp;$CQ10&amp;" expected, ","")&amp;IF(AND(ISNUMBER($CA10),OR(N($CA10)&lt;34,N($CA10)&gt;48)),"lock "&amp;TEXT($CA10,"0.0")&amp;CHAR(34)&amp;" AFF outside 34-48"&amp;CHAR(34)&amp;" (ADA), ","")&amp;IF(AND(ISNUMBER($AV10),ISNUMBER($BL10),N($AV10)&lt;IF(N($BL10)&lt;=60,2,IF(N($BL10)&lt;=90,3,IF(N($BL10)&lt;=120,4,5)))),"fewer hinges than standard, ",""))</f>
        <v/>
      </c>
    </row>
    <row r="11" ht="15" customHeight="1">
      <c r="A11" s="77" t="inlineStr">
        <is>
          <t>106</t>
        </is>
      </c>
      <c r="B11" s="78" t="n">
        <v>1</v>
      </c>
      <c r="C11" s="78" t="inlineStr">
        <is>
          <t>FRAME &amp; DOOR</t>
        </is>
      </c>
      <c r="D11" s="78" t="inlineStr">
        <is>
          <t>2nd</t>
        </is>
      </c>
      <c r="E11" s="78" t="inlineStr">
        <is>
          <t>INTERIOR</t>
        </is>
      </c>
      <c r="F11" s="78" t="inlineStr">
        <is>
          <t>CORRIDOR</t>
        </is>
      </c>
      <c r="G11" s="78" t="inlineStr">
        <is>
          <t>MECH 201</t>
        </is>
      </c>
      <c r="H11" s="78" t="inlineStr">
        <is>
          <t>60 MIN</t>
        </is>
      </c>
      <c r="I11" s="78" t="inlineStr">
        <is>
          <t>FIRE BARRIER</t>
        </is>
      </c>
      <c r="J11" s="78" t="n">
        <v>2</v>
      </c>
      <c r="K11" s="78" t="n">
        <v>3</v>
      </c>
      <c r="L11" s="78" t="n">
        <v>6</v>
      </c>
      <c r="M11" s="78" t="n">
        <v>7</v>
      </c>
      <c r="N11" s="78" t="n">
        <v>0</v>
      </c>
      <c r="O11" s="78" t="n"/>
      <c r="P11" s="78" t="n"/>
      <c r="Q11" s="78" t="n"/>
      <c r="R11" s="78" t="n"/>
      <c r="S11" s="79" t="inlineStr">
        <is>
          <t>3F</t>
        </is>
      </c>
      <c r="T11" s="79" t="inlineStr">
        <is>
          <t>M</t>
        </is>
      </c>
      <c r="U11" s="79" t="n">
        <v>534</v>
      </c>
      <c r="V11" s="79" t="n">
        <v>16</v>
      </c>
      <c r="W11" s="79" t="inlineStr">
        <is>
          <t>CR</t>
        </is>
      </c>
      <c r="X11" s="79" t="inlineStr">
        <is>
          <t>KD</t>
        </is>
      </c>
      <c r="Y11" s="79" t="inlineStr">
        <is>
          <t>SC</t>
        </is>
      </c>
      <c r="Z11" s="79" t="inlineStr">
        <is>
          <t>L</t>
        </is>
      </c>
      <c r="AA11" s="79" t="inlineStr">
        <is>
          <t>CU</t>
        </is>
      </c>
      <c r="AB11" s="79" t="n"/>
      <c r="AC11" s="79" t="inlineStr">
        <is>
          <t>U453</t>
        </is>
      </c>
      <c r="AD11" s="79" t="inlineStr">
        <is>
          <t>E1</t>
        </is>
      </c>
      <c r="AE11" s="79" t="n"/>
      <c r="AF11" s="79" t="inlineStr">
        <is>
          <t>E11</t>
        </is>
      </c>
      <c r="AG11" s="79" t="n"/>
      <c r="AH11" s="80" t="inlineStr">
        <is>
          <t>CR</t>
        </is>
      </c>
      <c r="AI11" s="80" t="n">
        <v>18</v>
      </c>
      <c r="AJ11" s="80" t="n"/>
      <c r="AK11" s="80" t="n"/>
      <c r="AL11" s="80" t="inlineStr">
        <is>
          <t>FLUSH</t>
        </is>
      </c>
      <c r="AM11" s="80" t="n">
        <v>707</v>
      </c>
      <c r="AN11" s="80" t="n"/>
      <c r="AO11" s="80" t="n"/>
      <c r="AP11" s="80" t="inlineStr">
        <is>
          <t>G2</t>
        </is>
      </c>
      <c r="AQ11" s="80" t="n"/>
      <c r="AR11" s="80" t="n"/>
      <c r="AS11" s="80" t="n"/>
      <c r="AT11" s="81" t="inlineStr">
        <is>
          <t>STEELCRAFT</t>
        </is>
      </c>
      <c r="AU11" s="81" t="n"/>
      <c r="AV11" s="81" t="n"/>
      <c r="AW11" s="82" t="n"/>
      <c r="AX11" s="82" t="n"/>
      <c r="AY11" s="82" t="n"/>
      <c r="AZ11" s="82" t="n"/>
      <c r="BA11" s="82" t="n"/>
      <c r="BB11" s="83" t="inlineStr">
        <is>
          <t>1</t>
        </is>
      </c>
      <c r="BC11" s="83" t="n"/>
      <c r="BD11" s="84">
        <f>IF($A11="","",IF($DJ11&lt;&gt;"","FIX",IF($DK11&lt;&gt;"","CHECK","OK")))</f>
        <v/>
      </c>
      <c r="BE11" s="85">
        <f>IF($A11="","",IF($DJ11&lt;&gt;"","FIX: "&amp;LEFT($DJ11,LEN($DJ11)-2)&amp;IF($DK11&lt;&gt;"","  ·  ",""),"")&amp;IF($DK11&lt;&gt;"","CHECK: "&amp;LEFT($DK11,LEN($DK11)-2),""))</f>
        <v/>
      </c>
      <c r="BF11" s="84">
        <f>IF(OR($A11="",$K11=""),"",$K11&amp;"'-"&amp;N($L11)&amp;CHAR(34)&amp;" x "&amp;$M11&amp;"'-"&amp;N($N11)&amp;CHAR(34))</f>
        <v/>
      </c>
      <c r="BG11" s="84">
        <f>IF(OR($A11="",$K11=""),"",$K11&amp;N($L11)&amp;$M11&amp;N($N11))</f>
        <v/>
      </c>
      <c r="BH11" s="84">
        <f>IF(OR($A11="",$K11=""),"",$K11*12+N($L11))</f>
        <v/>
      </c>
      <c r="BI11" s="84">
        <f>IF(OR($A11="",$M11=""),"",$M11*12+N($N11))</f>
        <v/>
      </c>
      <c r="BJ11" s="84">
        <f>IF($A11="","",IF(OR($C11="FRAME ONLY",$S11="BL"),0,IF($O11="Y",2,1)))</f>
        <v/>
      </c>
      <c r="BK11" s="86">
        <f>IF(OR(N($BJ11)=0,$BH11=""),"",($BH11-2*EdgeClr-IF($BJ11=2,MeetClr,0))/$BJ11)</f>
        <v/>
      </c>
      <c r="BL11" s="86">
        <f>IF(OR(N($BJ11)=0,$BI11=""),"",$BI11-HeadClr-Undercut)</f>
        <v/>
      </c>
      <c r="BM11" s="86">
        <f>IF($BH11="","",$BH11+2*FaceW+IF(N($Q11)&gt;0,($Q11+FaceW)*IF($R11="LR",2,1),0))</f>
        <v/>
      </c>
      <c r="BN11" s="86">
        <f>IF($BI11="","",$BI11+IF($AB11="Y",4,FaceW)+IF(N($P11)&gt;0,$P11+FaceW,0)+IF(OR($S11="4F",$S11="BL"),FaceW,0))</f>
        <v/>
      </c>
      <c r="BO11" s="86">
        <f>IF($BM11="","",$BM11+2*ROSide)</f>
        <v/>
      </c>
      <c r="BP11" s="86">
        <f>IF($BN11="","",$BN11+ROTop)</f>
        <v/>
      </c>
      <c r="BQ11" s="87">
        <f>IF(OR(N($BJ11)=0,$BH11=""),"",$BH11/$BJ11-ClearDeduct)</f>
        <v/>
      </c>
      <c r="BR11" s="84">
        <f>IF(N($CH11)=0,"",IF($CH11&gt;=180,"A · 3 HR",IF($CH11&gt;=90,"B · 1-1/2 HR",IF($CH11&gt;=60,"B · 1 HR",IF($CH11&gt;=45,"C · 3/4 HR","20 MIN")))))&amp;IF(AND(N($CH11)&gt;0,OR($I11="CORRIDOR",$I11="SMOKE BARRIER"))," · S","")</f>
        <v/>
      </c>
      <c r="BS11" s="84">
        <f>IF($CS11,"",IF($AV11&lt;&gt;"",$AV11,IF(OR($AC11="HGC",$AO11="HGC"),"CONT",IF(($BI11-HeadClr-Undercut)&lt;=60,2,IF(($BI11-HeadClr-Undercut)&lt;=90,3,IF(($BI11-HeadClr-Undercut)&lt;=120,4,5))))))</f>
        <v/>
      </c>
      <c r="BT11" s="84">
        <f>IF($CS11,"",IF($CT11,"CUSTOM (typed)",IF($CV11,$AT11&amp;" "&amp;$CU11&amp;CHAR(34)&amp;IF($CU11&lt;&gt;$BI11,IF(AND($BI11&lt;$CU11,$BI11-IF(N(VLOOKUP($AT11&amp;"|"&amp;$CU11,LocTable,7,FALSE))&gt;0,VLOOKUP($AT11&amp;"|"&amp;$CU11,LocTable,7,FALSE),VLOOKUP($AT11&amp;"|"&amp;$CU11,LocTable,6,FALSE))-$CR11-0.75&gt;=2.125)," cut down"," adj."),""),"ANSI/SDI A250.6")))</f>
        <v/>
      </c>
      <c r="BU11" s="88">
        <f>IF($CS11,"",IF($CT11,IF(N($AW11)&gt;0,N($AW11),""),IF(1&gt;$CQ11,"",IF($CQ11=1,$CW11,$CW11+($CX11-$CW11)*0/($CQ11-1)))))</f>
        <v/>
      </c>
      <c r="BV11" s="88">
        <f>IF($CS11,"",IF($CT11,IF(N($AX11)&gt;0,N($AX11),""),IF(2&gt;$CQ11,"",IF($CQ11=1,$CW11,$CW11+($CX11-$CW11)*1/($CQ11-1)))))</f>
        <v/>
      </c>
      <c r="BW11" s="88">
        <f>IF($CS11,"",IF($CT11,IF(N($AY11)&gt;0,N($AY11),""),IF(3&gt;$CQ11,"",IF($CQ11=1,$CW11,$CW11+($CX11-$CW11)*2/($CQ11-1)))))</f>
        <v/>
      </c>
      <c r="BX11" s="88">
        <f>IF($CS11,"",IF($CT11,IF(N($AZ11)&gt;0,N($AZ11),""),IF(4&gt;$CQ11,"",IF($CQ11=1,$CW11,$CW11+($CX11-$CW11)*3/($CQ11-1)))))</f>
        <v/>
      </c>
      <c r="BY11" s="88">
        <f>IF($CS11,"",IF($CT11,"",IF(5&gt;$CQ11,"",IF($CQ11=1,$CW11,$CW11+($CX11-$CW11)*4/($CQ11-1)))))</f>
        <v/>
      </c>
      <c r="BZ11" s="88">
        <f>IF(OR($CS11,$AP11="-",AND($AP11="",$AD11="")),"",IF(N($BA11)&gt;0,N($BA11),IF($CV11,IF(AND($BI11&lt;$CU11,$BI11-IF(N(VLOOKUP($AT11&amp;"|"&amp;$CU11,LocTable,7,FALSE))&gt;0,VLOOKUP($AT11&amp;"|"&amp;$CU11,LocTable,7,FALSE),VLOOKUP($AT11&amp;"|"&amp;$CU11,LocTable,6,FALSE))-$CR11-0.75&gt;=2.125),VLOOKUP($AT11&amp;"|"&amp;$CU11,LocTable,8,FALSE),VLOOKUP($AT11&amp;"|"&amp;$CU11,LocTable,8,FALSE)+($BI11-$CU11)),$BI11-LockAFF)))</f>
        <v/>
      </c>
      <c r="CA11" s="89">
        <f>IF($BZ11="","",$BI11-$BZ11)</f>
        <v/>
      </c>
      <c r="CB11" s="84">
        <f>IF(OR(NOT(AND($A11&lt;&gt;"",$C11&lt;&gt;"DOOR ONLY")),$BI11=""),"",IF(($BI11+IF(N($P11)&gt;0,$P11+FaceW,0))&lt;=90,3,IF(($BI11+IF(N($P11)&gt;0,$P11+FaceW,0))&lt;=114,4,5)))</f>
        <v/>
      </c>
      <c r="CC11" s="84">
        <f>IF($CB11="","",$CB11*(2+IF(N($Q11)&gt;0,IF($R11="LR",2,1),0)))</f>
        <v/>
      </c>
      <c r="CD11" s="84">
        <f>IF($CB11="","",(2+IF(N($Q11)&gt;0,IF($R11="LR",2,1),0)))</f>
        <v/>
      </c>
      <c r="CE11" s="84">
        <f>IF(N($BJ11)=0,"",IF(OR($AL11="",$AL11="FLUSH"),"FLUSH",IFERROR(LEFT($AL11,FIND("-",$AL11)-1),LEFT($AL11,2))))</f>
        <v/>
      </c>
      <c r="CF11" s="84">
        <f>IF($CE11="","",IFERROR(VALUE(MID($AL11,FIND("-",$AL11)+1,FIND(CHAR(34)&amp;"x",$AL11)-FIND("-",$AL11)-1)),0))</f>
        <v/>
      </c>
      <c r="CG11" s="84">
        <f>IF($CE11="","",IFERROR(VALUE(MID($AL11,FIND(CHAR(34)&amp;"x",$AL11)+2,FIND(CHAR(34),$AL11,FIND(CHAR(34)&amp;"x",$AL11)+2)-FIND(CHAR(34)&amp;"x",$AL11)-2)),0))</f>
        <v/>
      </c>
      <c r="CH11" s="90">
        <f>IF(OR($A11="",$H11="",$H11="NO LAB"),0,IFERROR(VALUE(LEFT($H11,FIND(" ",$H11)-1)),0))</f>
        <v/>
      </c>
      <c r="CI11" s="91">
        <f>IF(OR($A11="",$I11="",$I11="NON-RATED",N($J11)=0),"",IFERROR(VLOOKUP($I11&amp;"|"&amp;$J11,IBC,2,FALSE),"?"))</f>
        <v/>
      </c>
      <c r="CJ11" s="85">
        <f>IF(NOT(AND($A11&lt;&gt;"",$C11&lt;&gt;"DOOR ONLY")),"",TRIM(IFERROR(VLOOKUP($U11,CODES,2,FALSE),"")&amp;" "&amp;$BG11&amp;" "&amp;IFERROR(VLOOKUP($Z11,CODES,2,FALSE),"")&amp;" "&amp;IFERROR(VLOOKUP($X11,CODES,2,FALSE),"")&amp;" "&amp;IFERROR(VLOOKUP($S11,CODES,2,FALSE),"")&amp;IF(N($P11)&gt;0," w/TRANSOM "&amp;$P11&amp;CHAR(34),"")&amp;IF(N($Q11)&gt;0," w/SIDELITE "&amp;$Q11&amp;CHAR(34)&amp;" "&amp;IF($R11="","R",$R11),"")&amp;IF($Y11="","  |  "," | "&amp;IFERROR(VLOOKUP($Y11,CODES,2,FALSE),"")&amp;" | ")&amp;IFERROR(VLOOKUP($AC11,CODES,2,FALSE),"")&amp;" "&amp;IFERROR(VLOOKUP($AD11,CODES,2,FALSE),"")&amp;IF(OR($AE11="",$AE11="-"),""," "&amp;$AE11)&amp;IF(OR($AF11="",$AF11="-"),""," "&amp;$AF11)&amp;IF($AB11="Y"," 4"&amp;CHAR(34)&amp;" HEAD","")&amp;" "&amp;IFERROR(VLOOKUP($H11,CODES,2,FALSE),"")&amp;IF($CT11," | LOC "&amp;$CY11,"")))</f>
        <v/>
      </c>
      <c r="CK11" s="85">
        <f>IF(NOT(AND($A11&lt;&gt;"",N($BJ11)&gt;0)),"",TRIM(IFERROR(VLOOKUP($AH11,CODES,2,FALSE),"")&amp;IF($AI11=""," "," "&amp;$AI11&amp;"GA ")&amp;$BG11&amp;" "&amp;IF($AN11="",IFERROR(VLOOKUP($Z11,CODES,2,FALSE),""),IFERROR(VLOOKUP($AN11,CODES,2,FALSE),""))&amp;IF($BJ11=2," PAIR","")&amp;" DOOR | "&amp;IF($AL11="","?",$AL11)&amp;" | "&amp;IF($AO11="",IFERROR(VLOOKUP($AC11,CODES,2,FALSE),""),IFERROR(VLOOKUP($AO11,CODES,2,FALSE),""))&amp;" "&amp;IFERROR(VLOOKUP($AP11,CODES,2,FALSE),"")&amp;IF(OR($AQ11="",$AQ11="-"),""," SEAM "&amp;$AQ11)&amp;IF($AR11="Y"," ASTRAGAL","")&amp;IF($AJ11=""," "," "&amp;$AJ11)&amp;IF($AK11=""," "," "&amp;$AK11)&amp;IF(OR($AT11="",$AT11="ANSI/SDI",$AT11="CUSTOM LOC"),""," "&amp;$AT11)&amp;IF($AM11=""," "," SERIES "&amp;$AM11)&amp;" "&amp;IFERROR(VLOOKUP($H11,CODES,2,FALSE),"")&amp;IF($CT11," | LOC "&amp;$CZ11,"")))</f>
        <v/>
      </c>
      <c r="CL11" s="84">
        <f>IF(CP11="","",IF(COUNTIF($CP$6:CP11,CP11)=1,MAX($CL$5:CL10)+1,INDEX($CL$5:CL10,MATCH(CP11,$CP$5:CP10,0))))</f>
        <v/>
      </c>
      <c r="CM11" s="84">
        <f>IF(NOT(AND($A11&lt;&gt;"",$C11&lt;&gt;"DOOR ONLY")),"",MAX($CM$5:CM10)+1)</f>
        <v/>
      </c>
      <c r="CN11" s="84">
        <f>IF(NOT(AND($A11&lt;&gt;"",N($BJ11)&gt;0)),"",MAX($CN$5:CN10)+1)</f>
        <v/>
      </c>
      <c r="CO11" s="84">
        <f>IF($A11="","",MAX($CO$5:CO10)+1)</f>
        <v/>
      </c>
      <c r="CP11" s="84">
        <f>IF(OR($A11="",$BH11="",$BI11=""),"",$BG11&amp;"|"&amp;$O11&amp;"|"&amp;$AL11&amp;"|"&amp;$S11&amp;"|"&amp;$P11&amp;"|"&amp;$Q11&amp;$R11&amp;"|"&amp;$C11&amp;"|"&amp;$AB11)</f>
        <v/>
      </c>
      <c r="CQ11" s="84">
        <f>N($BS11)</f>
        <v/>
      </c>
      <c r="CR11" s="84">
        <f>IF(N($AU11)&gt;0,N($AU11),4.5)</f>
        <v/>
      </c>
      <c r="CS11" s="84">
        <f>OR($A11="",$BI11="",$S11="BL",AND($C11="FRAME ONLY",OR($AC11="",$AC11="BLK")))</f>
        <v/>
      </c>
      <c r="CT11" s="84">
        <f>AND(NOT($CS11),OR($AT11="CUSTOM LOC",N($AW11)+N($AX11)+N($AY11)+N($AZ11)+N($BA11)&gt;0))</f>
        <v/>
      </c>
      <c r="CU11" s="84">
        <f>IF($BI11="","",IF($BI11&lt;=80,80,IF($BI11&lt;=84,84,96)))</f>
        <v/>
      </c>
      <c r="CV11" s="84">
        <f>ISNUMBER(MATCH($AT11&amp;"|80",LocKeys,0))</f>
        <v/>
      </c>
      <c r="CW11" s="86">
        <f>IF($CS11,"",IF($CV11,VLOOKUP($AT11&amp;"|"&amp;$CU11,LocTable,4,FALSE),5))</f>
        <v/>
      </c>
      <c r="CX11" s="86">
        <f>IF($CS11,"",IF($CV11,IF(OR($BI11=$CU11,AND($BI11&lt;$CU11,$BI11-IF(N(VLOOKUP($AT11&amp;"|"&amp;$CU11,LocTable,7,FALSE))&gt;0,VLOOKUP($AT11&amp;"|"&amp;$CU11,LocTable,7,FALSE),VLOOKUP($AT11&amp;"|"&amp;$CU11,LocTable,6,FALSE))-$CR11-0.75&gt;=2.125)),IF(N(VLOOKUP($AT11&amp;"|"&amp;$CU11,LocTable,7,FALSE))&gt;0,VLOOKUP($AT11&amp;"|"&amp;$CU11,LocTable,7,FALSE),VLOOKUP($AT11&amp;"|"&amp;$CU11,LocTable,6,FALSE)),$BI11-($CU11-IF(N(VLOOKUP($AT11&amp;"|"&amp;$CU11,LocTable,7,FALSE))&gt;0,VLOOKUP($AT11&amp;"|"&amp;$CU11,LocTable,7,FALSE),VLOOKUP($AT11&amp;"|"&amp;$CU11,LocTable,6,FALSE)))),$BI11-10-$CR11))</f>
        <v/>
      </c>
      <c r="CY11" s="85">
        <f>IF($CS11,"",TRIM(IF(ISNUMBER($BU11),"A "&amp;TRIM(TEXT($BU11,"# ?/??"))&amp;CHAR(34)&amp;"  ","")&amp;IF(ISNUMBER($BV11),"B "&amp;TRIM(TEXT($BV11,"# ?/??"))&amp;CHAR(34)&amp;"  ","")&amp;IF(ISNUMBER($BW11),"C "&amp;TRIM(TEXT($BW11,"# ?/??"))&amp;CHAR(34)&amp;"  ","")&amp;IF(ISNUMBER($BX11),"D "&amp;TRIM(TEXT($BX11,"# ?/??"))&amp;CHAR(34)&amp;"  ","")&amp;IF(ISNUMBER($BY11),"F "&amp;TRIM(TEXT($BY11,"# ?/??"))&amp;CHAR(34)&amp;"  ","")&amp;IF(ISNUMBER($BZ11),"E "&amp;TRIM(TEXT($BZ11,"# ?/??"))&amp;CHAR(34)&amp;"  ","")))</f>
        <v/>
      </c>
      <c r="CZ11" s="85">
        <f>IF(OR($CS11,N($BJ11)=0),"",TRIM(IF(ISNUMBER($BU11),"A "&amp;TRIM(TEXT($BU11-HeadClr,"# ?/??"))&amp;CHAR(34)&amp;"  ","")&amp;IF(ISNUMBER($BV11),"B "&amp;TRIM(TEXT($BV11-HeadClr,"# ?/??"))&amp;CHAR(34)&amp;"  ","")&amp;IF(ISNUMBER($BW11),"C "&amp;TRIM(TEXT($BW11-HeadClr,"# ?/??"))&amp;CHAR(34)&amp;"  ","")&amp;IF(ISNUMBER($BX11),"D "&amp;TRIM(TEXT($BX11-HeadClr,"# ?/??"))&amp;CHAR(34)&amp;"  ","")&amp;IF(ISNUMBER($BY11),"F "&amp;TRIM(TEXT($BY11-HeadClr,"# ?/??"))&amp;CHAR(34)&amp;"  ","")&amp;IF(ISNUMBER($BZ11),"E "&amp;TRIM(TEXT($BZ11-HeadClr,"# ?/??"))&amp;CHAR(34)&amp;"  ","")))</f>
        <v/>
      </c>
      <c r="DA11" s="84">
        <f>IF($A11="","",IF($AN11="",IFERROR(VLOOKUP($Z11,CODES,2,FALSE),""),IFERROR(VLOOKUP($AN11,CODES,2,FALSE),"")))</f>
        <v/>
      </c>
      <c r="DB11" s="84">
        <f>IF($A11="","",IF($O11="Y","PR",IF(OR($Z11="L",$Z11="RR",LEFT($Z11,2)="L-",LEFT($Z11,3)="RR-"),"LH","RH")))</f>
        <v/>
      </c>
      <c r="DC11" s="84">
        <f>IF($A11="","","S.HM"&amp;IF(OR($C11="DOOR ONLY",$X11&lt;&gt;"KD"),"MASONRY","DRYWALL")&amp;IF($C11="DOOR ONLY","",$U11)&amp;IF(AND($C11&lt;&gt;"FRAME ONLY",OR(LEFT($AH11,3)="OAK",LEFT($AH11,3)="BIR",LEFT($AH11,3)="MAP",$AH11="PC",$AH11="MC",$AH11="SCLC",$AH11="P-LAM")),"WD","HM")&amp;"1.75")</f>
        <v/>
      </c>
      <c r="DD11" s="84">
        <f>IF($CJ11="","",IF($O11="Y",$CJ11,SUBSTITUTE($CJ11,$BG11&amp;" "&amp;IFERROR(VLOOKUP($Z11,CODES,2,FALSE),"")&amp;" ",$BG11&amp;" ")))</f>
        <v/>
      </c>
      <c r="DE11" s="84">
        <f>IF($CK11="","",IF($O11="Y",$CK11,SUBSTITUTE($CK11,$BG11&amp;" "&amp;IF($AN11="",IFERROR(VLOOKUP($Z11,CODES,2,FALSE),""),IFERROR(VLOOKUP($AN11,CODES,2,FALSE),""))&amp;" ",$BG11&amp;" ")))</f>
        <v/>
      </c>
      <c r="DF11" s="84">
        <f>IF($CJ11="","",$DC11&amp;"|"&amp;$DD11&amp;"|"&amp;$DB11&amp;"|"&amp;$AT11&amp;"|"&amp;$V11&amp;"|"&amp;$Y11&amp;"|"&amp;$AB11)</f>
        <v/>
      </c>
      <c r="DG11" s="84">
        <f>IF(DF11="","",IF(COUNTIF($DF$6:DF11,DF11)=1,MAX($DG$5:DG10)+1,INDEX($DG$5:DG10,MATCH(DF11,$DF$5:DF10,0))))</f>
        <v/>
      </c>
      <c r="DH11" s="84">
        <f>IF($CK11="","",$DC11&amp;"|"&amp;$DE11&amp;"|"&amp;$AI11&amp;"|"&amp;$BK11&amp;"|"&amp;$BL11)</f>
        <v/>
      </c>
      <c r="DI11" s="84">
        <f>IF(DH11="","",IF(COUNTIF($DH$6:DH11,DH11)=1,MAX($DI$5:DI10)+1,INDEX($DI$5:DI10,MATCH(DH11,$DH$5:DH10,0))))</f>
        <v/>
      </c>
      <c r="DJ11" s="84">
        <f>IF($A11="","",IF($B11="","qty, ","")&amp;IF($C11="","scope, ","")&amp;IF(OR($K11="",$M11=""),"size, ","")&amp;IF(AND($A11&lt;&gt;"",$C11&lt;&gt;"DOOR ONLY"),IF($U11="","jamb depth, ","")&amp;IF($X11="","construction, ","")&amp;IF($Y11="","anchor, ","")&amp;IF($S11="","frame type, ",""),"")&amp;IF(AND(N($BJ11)&gt;0,$Z11=""),"hand, ","")&amp;IF(N($BJ11)&gt;0,IF($AH11="","door material, ","")&amp;IF($AL11="","face type, ","")&amp;IF($AP11="","lock prep, ","")&amp;IF(AND($AO11="",$AC11=""),"hinge prep, ",""),"")&amp;IF(AND($CH11&gt;0,$AH11="FRP"),"FRP cannot carry a label, ","")&amp;IF(AND($O11="Y",OR($Z11="L",$Z11="R",$Z11="LR",$Z11="RR")),"pair marked but hand is single, ","")&amp;IF(AND($O11&lt;&gt;"Y",OR($Z11="PR",AND(LEN($Z11)&gt;1,ISNUMBER(SEARCH("-",$Z11))))),"pair hand on a single door, ","")&amp;IF(AND(ISNUMBER($CI11),$CH11&lt;N($CI11)),"wall needs a "&amp;$CI11&amp;" min door, ","")&amp;IF(AND($CH11&gt;=180,AND(OR($CE11="FG",$CE11="HG",$CE11="FNV",$CE11="FV"),N($CF11)*N($CG11)&gt;100)),"180 min lite over 100 sq in, ","")&amp;IF(N($BK11)&gt;48,"leaf wider than 4'-0"&amp;CHAR(34)&amp;", ","")&amp;IF(AND($CT11,COUNT($AW11:$AZ11)=0,$CQ11&gt;0),"CUSTOM LOC with no locations typed, ",""))</f>
        <v/>
      </c>
      <c r="DK11" s="84">
        <f>IF($A11="","",IF(AND($CH11&gt;0,AND($A11&lt;&gt;"",$C11&lt;&gt;"DOOR ONLY"),$X11="KD",$E11="EXTERIOR"),"KD label on an exterior opening, ","")&amp;IF(AND($E11="EXTERIOR",OR(AND(AND($A11&lt;&gt;"",$C11&lt;&gt;"DOOR ONLY"),$W11="CR"),AND(N($BJ11)&gt;0,$AH11="CR"))),"exterior in CR steel (G9?), ","")&amp;IF(AND(ISNUMBER($BQ11),N($BQ11)&lt;32),"clear width ~"&amp;TEXT($BQ11,"0.0")&amp;CHAR(34)&amp;" under 32"&amp;CHAR(34)&amp;" (ADA), ","")&amp;IF(AND($CH11=90,AND(OR($CE11="FG",$CE11="HG",$CE11="FNV",$CE11="FV"),N($CF11)*N($CG11)&gt;100)),"90 min lite over 100 sq in (stair/exit), ","")&amp;IF(AND($CH11&gt;0,AND($A11&lt;&gt;"",$C11&lt;&gt;"DOOR ONLY"),OR($AF11="",$AF11="-")),"rated: closer reinf.?, ","")&amp;IF(OR($I11="CORRIDOR",$I11="SMOKE BARRIER"),"S label + smoke gasketing, ","")&amp;IF($CI11="?","wall type/hr not in IBC table, ","")&amp;IF(AND(N($BJ11)&gt;0,$BB11=""),"no hardware set, ","")&amp;IF(AND($BB11&lt;&gt;"",ISNA(MATCH($BB11&amp;"",HWSets,0))),"set "&amp;$BB11&amp;" not on HW Sets, ","")&amp;IF(N($BL11)&gt;96,"leaf over 8'-0"&amp;CHAR(34)&amp;" - check listing, ","")&amp;IF(AND($CT11,COUNT($AW11:$AZ11)&gt;0,COUNT($AW11:$AZ11)&lt;&gt;$CQ11),COUNT($AW11:$AZ11)&amp;" custom hinges typed, "&amp;$CQ11&amp;" expected, ","")&amp;IF(AND(ISNUMBER($CA11),OR(N($CA11)&lt;34,N($CA11)&gt;48)),"lock "&amp;TEXT($CA11,"0.0")&amp;CHAR(34)&amp;" AFF outside 34-48"&amp;CHAR(34)&amp;" (ADA), ","")&amp;IF(AND(ISNUMBER($AV11),ISNUMBER($BL11),N($AV11)&lt;IF(N($BL11)&lt;=60,2,IF(N($BL11)&lt;=90,3,IF(N($BL11)&lt;=120,4,5)))),"fewer hinges than standard, ",""))</f>
        <v/>
      </c>
    </row>
    <row r="12" ht="15" customHeight="1">
      <c r="A12" s="77" t="inlineStr">
        <is>
          <t>107</t>
        </is>
      </c>
      <c r="B12" s="78" t="n">
        <v>2</v>
      </c>
      <c r="C12" s="78" t="inlineStr">
        <is>
          <t>DOOR ONLY</t>
        </is>
      </c>
      <c r="D12" s="78" t="inlineStr">
        <is>
          <t>2nd</t>
        </is>
      </c>
      <c r="E12" s="78" t="inlineStr">
        <is>
          <t>INTERIOR</t>
        </is>
      </c>
      <c r="F12" s="78" t="inlineStr">
        <is>
          <t>OFFICE</t>
        </is>
      </c>
      <c r="G12" s="78" t="inlineStr">
        <is>
          <t>TOILET</t>
        </is>
      </c>
      <c r="H12" s="78" t="inlineStr">
        <is>
          <t>NO LAB</t>
        </is>
      </c>
      <c r="I12" s="78" t="inlineStr">
        <is>
          <t>NON-RATED</t>
        </is>
      </c>
      <c r="J12" s="78" t="n"/>
      <c r="K12" s="78" t="n">
        <v>2</v>
      </c>
      <c r="L12" s="78" t="n">
        <v>8</v>
      </c>
      <c r="M12" s="78" t="n">
        <v>7</v>
      </c>
      <c r="N12" s="78" t="n">
        <v>0</v>
      </c>
      <c r="O12" s="78" t="n"/>
      <c r="P12" s="78" t="n"/>
      <c r="Q12" s="78" t="n"/>
      <c r="R12" s="78" t="n"/>
      <c r="S12" s="79" t="n"/>
      <c r="T12" s="79" t="n"/>
      <c r="U12" s="79" t="n"/>
      <c r="V12" s="79" t="n"/>
      <c r="W12" s="79" t="n"/>
      <c r="X12" s="79" t="n"/>
      <c r="Y12" s="79" t="n"/>
      <c r="Z12" s="79" t="inlineStr">
        <is>
          <t>RR</t>
        </is>
      </c>
      <c r="AA12" s="79" t="n"/>
      <c r="AB12" s="79" t="n"/>
      <c r="AC12" s="79" t="inlineStr">
        <is>
          <t>U453</t>
        </is>
      </c>
      <c r="AD12" s="79" t="n"/>
      <c r="AE12" s="79" t="n"/>
      <c r="AF12" s="79" t="n"/>
      <c r="AG12" s="79" t="n"/>
      <c r="AH12" s="80" t="inlineStr">
        <is>
          <t>BIR-PC</t>
        </is>
      </c>
      <c r="AI12" s="80" t="n"/>
      <c r="AJ12" s="80" t="inlineStr">
        <is>
          <t>PC</t>
        </is>
      </c>
      <c r="AK12" s="80" t="inlineStr">
        <is>
          <t>RWB</t>
        </is>
      </c>
      <c r="AL12" s="80" t="inlineStr">
        <is>
          <t>FLUSH</t>
        </is>
      </c>
      <c r="AM12" s="80" t="n"/>
      <c r="AN12" s="80" t="n"/>
      <c r="AO12" s="80" t="n"/>
      <c r="AP12" s="80" t="inlineStr">
        <is>
          <t>G2</t>
        </is>
      </c>
      <c r="AQ12" s="80" t="n"/>
      <c r="AR12" s="80" t="n"/>
      <c r="AS12" s="80" t="n"/>
      <c r="AT12" s="81" t="inlineStr">
        <is>
          <t>ANSI/SDI</t>
        </is>
      </c>
      <c r="AU12" s="81" t="n"/>
      <c r="AV12" s="81" t="n"/>
      <c r="AW12" s="82" t="n"/>
      <c r="AX12" s="82" t="n"/>
      <c r="AY12" s="82" t="n"/>
      <c r="AZ12" s="82" t="n"/>
      <c r="BA12" s="82" t="n"/>
      <c r="BB12" s="83" t="inlineStr">
        <is>
          <t>1</t>
        </is>
      </c>
      <c r="BC12" s="83" t="n"/>
      <c r="BD12" s="84">
        <f>IF($A12="","",IF($DJ12&lt;&gt;"","FIX",IF($DK12&lt;&gt;"","CHECK","OK")))</f>
        <v/>
      </c>
      <c r="BE12" s="85">
        <f>IF($A12="","",IF($DJ12&lt;&gt;"","FIX: "&amp;LEFT($DJ12,LEN($DJ12)-2)&amp;IF($DK12&lt;&gt;"","  ·  ",""),"")&amp;IF($DK12&lt;&gt;"","CHECK: "&amp;LEFT($DK12,LEN($DK12)-2),""))</f>
        <v/>
      </c>
      <c r="BF12" s="84">
        <f>IF(OR($A12="",$K12=""),"",$K12&amp;"'-"&amp;N($L12)&amp;CHAR(34)&amp;" x "&amp;$M12&amp;"'-"&amp;N($N12)&amp;CHAR(34))</f>
        <v/>
      </c>
      <c r="BG12" s="84">
        <f>IF(OR($A12="",$K12=""),"",$K12&amp;N($L12)&amp;$M12&amp;N($N12))</f>
        <v/>
      </c>
      <c r="BH12" s="84">
        <f>IF(OR($A12="",$K12=""),"",$K12*12+N($L12))</f>
        <v/>
      </c>
      <c r="BI12" s="84">
        <f>IF(OR($A12="",$M12=""),"",$M12*12+N($N12))</f>
        <v/>
      </c>
      <c r="BJ12" s="84">
        <f>IF($A12="","",IF(OR($C12="FRAME ONLY",$S12="BL"),0,IF($O12="Y",2,1)))</f>
        <v/>
      </c>
      <c r="BK12" s="86">
        <f>IF(OR(N($BJ12)=0,$BH12=""),"",($BH12-2*EdgeClr-IF($BJ12=2,MeetClr,0))/$BJ12)</f>
        <v/>
      </c>
      <c r="BL12" s="86">
        <f>IF(OR(N($BJ12)=0,$BI12=""),"",$BI12-HeadClr-Undercut)</f>
        <v/>
      </c>
      <c r="BM12" s="86">
        <f>IF($BH12="","",$BH12+2*FaceW+IF(N($Q12)&gt;0,($Q12+FaceW)*IF($R12="LR",2,1),0))</f>
        <v/>
      </c>
      <c r="BN12" s="86">
        <f>IF($BI12="","",$BI12+IF($AB12="Y",4,FaceW)+IF(N($P12)&gt;0,$P12+FaceW,0)+IF(OR($S12="4F",$S12="BL"),FaceW,0))</f>
        <v/>
      </c>
      <c r="BO12" s="86">
        <f>IF($BM12="","",$BM12+2*ROSide)</f>
        <v/>
      </c>
      <c r="BP12" s="86">
        <f>IF($BN12="","",$BN12+ROTop)</f>
        <v/>
      </c>
      <c r="BQ12" s="87">
        <f>IF(OR(N($BJ12)=0,$BH12=""),"",$BH12/$BJ12-ClearDeduct)</f>
        <v/>
      </c>
      <c r="BR12" s="84">
        <f>IF(N($CH12)=0,"",IF($CH12&gt;=180,"A · 3 HR",IF($CH12&gt;=90,"B · 1-1/2 HR",IF($CH12&gt;=60,"B · 1 HR",IF($CH12&gt;=45,"C · 3/4 HR","20 MIN")))))&amp;IF(AND(N($CH12)&gt;0,OR($I12="CORRIDOR",$I12="SMOKE BARRIER"))," · S","")</f>
        <v/>
      </c>
      <c r="BS12" s="84">
        <f>IF($CS12,"",IF($AV12&lt;&gt;"",$AV12,IF(OR($AC12="HGC",$AO12="HGC"),"CONT",IF(($BI12-HeadClr-Undercut)&lt;=60,2,IF(($BI12-HeadClr-Undercut)&lt;=90,3,IF(($BI12-HeadClr-Undercut)&lt;=120,4,5))))))</f>
        <v/>
      </c>
      <c r="BT12" s="84">
        <f>IF($CS12,"",IF($CT12,"CUSTOM (typed)",IF($CV12,$AT12&amp;" "&amp;$CU12&amp;CHAR(34)&amp;IF($CU12&lt;&gt;$BI12,IF(AND($BI12&lt;$CU12,$BI12-IF(N(VLOOKUP($AT12&amp;"|"&amp;$CU12,LocTable,7,FALSE))&gt;0,VLOOKUP($AT12&amp;"|"&amp;$CU12,LocTable,7,FALSE),VLOOKUP($AT12&amp;"|"&amp;$CU12,LocTable,6,FALSE))-$CR12-0.75&gt;=2.125)," cut down"," adj."),""),"ANSI/SDI A250.6")))</f>
        <v/>
      </c>
      <c r="BU12" s="88">
        <f>IF($CS12,"",IF($CT12,IF(N($AW12)&gt;0,N($AW12),""),IF(1&gt;$CQ12,"",IF($CQ12=1,$CW12,$CW12+($CX12-$CW12)*0/($CQ12-1)))))</f>
        <v/>
      </c>
      <c r="BV12" s="88">
        <f>IF($CS12,"",IF($CT12,IF(N($AX12)&gt;0,N($AX12),""),IF(2&gt;$CQ12,"",IF($CQ12=1,$CW12,$CW12+($CX12-$CW12)*1/($CQ12-1)))))</f>
        <v/>
      </c>
      <c r="BW12" s="88">
        <f>IF($CS12,"",IF($CT12,IF(N($AY12)&gt;0,N($AY12),""),IF(3&gt;$CQ12,"",IF($CQ12=1,$CW12,$CW12+($CX12-$CW12)*2/($CQ12-1)))))</f>
        <v/>
      </c>
      <c r="BX12" s="88">
        <f>IF($CS12,"",IF($CT12,IF(N($AZ12)&gt;0,N($AZ12),""),IF(4&gt;$CQ12,"",IF($CQ12=1,$CW12,$CW12+($CX12-$CW12)*3/($CQ12-1)))))</f>
        <v/>
      </c>
      <c r="BY12" s="88">
        <f>IF($CS12,"",IF($CT12,"",IF(5&gt;$CQ12,"",IF($CQ12=1,$CW12,$CW12+($CX12-$CW12)*4/($CQ12-1)))))</f>
        <v/>
      </c>
      <c r="BZ12" s="88">
        <f>IF(OR($CS12,$AP12="-",AND($AP12="",$AD12="")),"",IF(N($BA12)&gt;0,N($BA12),IF($CV12,IF(AND($BI12&lt;$CU12,$BI12-IF(N(VLOOKUP($AT12&amp;"|"&amp;$CU12,LocTable,7,FALSE))&gt;0,VLOOKUP($AT12&amp;"|"&amp;$CU12,LocTable,7,FALSE),VLOOKUP($AT12&amp;"|"&amp;$CU12,LocTable,6,FALSE))-$CR12-0.75&gt;=2.125),VLOOKUP($AT12&amp;"|"&amp;$CU12,LocTable,8,FALSE),VLOOKUP($AT12&amp;"|"&amp;$CU12,LocTable,8,FALSE)+($BI12-$CU12)),$BI12-LockAFF)))</f>
        <v/>
      </c>
      <c r="CA12" s="89">
        <f>IF($BZ12="","",$BI12-$BZ12)</f>
        <v/>
      </c>
      <c r="CB12" s="84">
        <f>IF(OR(NOT(AND($A12&lt;&gt;"",$C12&lt;&gt;"DOOR ONLY")),$BI12=""),"",IF(($BI12+IF(N($P12)&gt;0,$P12+FaceW,0))&lt;=90,3,IF(($BI12+IF(N($P12)&gt;0,$P12+FaceW,0))&lt;=114,4,5)))</f>
        <v/>
      </c>
      <c r="CC12" s="84">
        <f>IF($CB12="","",$CB12*(2+IF(N($Q12)&gt;0,IF($R12="LR",2,1),0)))</f>
        <v/>
      </c>
      <c r="CD12" s="84">
        <f>IF($CB12="","",(2+IF(N($Q12)&gt;0,IF($R12="LR",2,1),0)))</f>
        <v/>
      </c>
      <c r="CE12" s="84">
        <f>IF(N($BJ12)=0,"",IF(OR($AL12="",$AL12="FLUSH"),"FLUSH",IFERROR(LEFT($AL12,FIND("-",$AL12)-1),LEFT($AL12,2))))</f>
        <v/>
      </c>
      <c r="CF12" s="84">
        <f>IF($CE12="","",IFERROR(VALUE(MID($AL12,FIND("-",$AL12)+1,FIND(CHAR(34)&amp;"x",$AL12)-FIND("-",$AL12)-1)),0))</f>
        <v/>
      </c>
      <c r="CG12" s="84">
        <f>IF($CE12="","",IFERROR(VALUE(MID($AL12,FIND(CHAR(34)&amp;"x",$AL12)+2,FIND(CHAR(34),$AL12,FIND(CHAR(34)&amp;"x",$AL12)+2)-FIND(CHAR(34)&amp;"x",$AL12)-2)),0))</f>
        <v/>
      </c>
      <c r="CH12" s="90">
        <f>IF(OR($A12="",$H12="",$H12="NO LAB"),0,IFERROR(VALUE(LEFT($H12,FIND(" ",$H12)-1)),0))</f>
        <v/>
      </c>
      <c r="CI12" s="91">
        <f>IF(OR($A12="",$I12="",$I12="NON-RATED",N($J12)=0),"",IFERROR(VLOOKUP($I12&amp;"|"&amp;$J12,IBC,2,FALSE),"?"))</f>
        <v/>
      </c>
      <c r="CJ12" s="85">
        <f>IF(NOT(AND($A12&lt;&gt;"",$C12&lt;&gt;"DOOR ONLY")),"",TRIM(IFERROR(VLOOKUP($U12,CODES,2,FALSE),"")&amp;" "&amp;$BG12&amp;" "&amp;IFERROR(VLOOKUP($Z12,CODES,2,FALSE),"")&amp;" "&amp;IFERROR(VLOOKUP($X12,CODES,2,FALSE),"")&amp;" "&amp;IFERROR(VLOOKUP($S12,CODES,2,FALSE),"")&amp;IF(N($P12)&gt;0," w/TRANSOM "&amp;$P12&amp;CHAR(34),"")&amp;IF(N($Q12)&gt;0," w/SIDELITE "&amp;$Q12&amp;CHAR(34)&amp;" "&amp;IF($R12="","R",$R12),"")&amp;IF($Y12="","  |  "," | "&amp;IFERROR(VLOOKUP($Y12,CODES,2,FALSE),"")&amp;" | ")&amp;IFERROR(VLOOKUP($AC12,CODES,2,FALSE),"")&amp;" "&amp;IFERROR(VLOOKUP($AD12,CODES,2,FALSE),"")&amp;IF(OR($AE12="",$AE12="-"),""," "&amp;$AE12)&amp;IF(OR($AF12="",$AF12="-"),""," "&amp;$AF12)&amp;IF($AB12="Y"," 4"&amp;CHAR(34)&amp;" HEAD","")&amp;" "&amp;IFERROR(VLOOKUP($H12,CODES,2,FALSE),"")&amp;IF($CT12," | LOC "&amp;$CY12,"")))</f>
        <v/>
      </c>
      <c r="CK12" s="85">
        <f>IF(NOT(AND($A12&lt;&gt;"",N($BJ12)&gt;0)),"",TRIM(IFERROR(VLOOKUP($AH12,CODES,2,FALSE),"")&amp;IF($AI12=""," "," "&amp;$AI12&amp;"GA ")&amp;$BG12&amp;" "&amp;IF($AN12="",IFERROR(VLOOKUP($Z12,CODES,2,FALSE),""),IFERROR(VLOOKUP($AN12,CODES,2,FALSE),""))&amp;IF($BJ12=2," PAIR","")&amp;" DOOR | "&amp;IF($AL12="","?",$AL12)&amp;" | "&amp;IF($AO12="",IFERROR(VLOOKUP($AC12,CODES,2,FALSE),""),IFERROR(VLOOKUP($AO12,CODES,2,FALSE),""))&amp;" "&amp;IFERROR(VLOOKUP($AP12,CODES,2,FALSE),"")&amp;IF(OR($AQ12="",$AQ12="-"),""," SEAM "&amp;$AQ12)&amp;IF($AR12="Y"," ASTRAGAL","")&amp;IF($AJ12=""," "," "&amp;$AJ12)&amp;IF($AK12=""," "," "&amp;$AK12)&amp;IF(OR($AT12="",$AT12="ANSI/SDI",$AT12="CUSTOM LOC"),""," "&amp;$AT12)&amp;IF($AM12=""," "," SERIES "&amp;$AM12)&amp;" "&amp;IFERROR(VLOOKUP($H12,CODES,2,FALSE),"")&amp;IF($CT12," | LOC "&amp;$CZ12,"")))</f>
        <v/>
      </c>
      <c r="CL12" s="84">
        <f>IF(CP12="","",IF(COUNTIF($CP$6:CP12,CP12)=1,MAX($CL$5:CL11)+1,INDEX($CL$5:CL11,MATCH(CP12,$CP$5:CP11,0))))</f>
        <v/>
      </c>
      <c r="CM12" s="84">
        <f>IF(NOT(AND($A12&lt;&gt;"",$C12&lt;&gt;"DOOR ONLY")),"",MAX($CM$5:CM11)+1)</f>
        <v/>
      </c>
      <c r="CN12" s="84">
        <f>IF(NOT(AND($A12&lt;&gt;"",N($BJ12)&gt;0)),"",MAX($CN$5:CN11)+1)</f>
        <v/>
      </c>
      <c r="CO12" s="84">
        <f>IF($A12="","",MAX($CO$5:CO11)+1)</f>
        <v/>
      </c>
      <c r="CP12" s="84">
        <f>IF(OR($A12="",$BH12="",$BI12=""),"",$BG12&amp;"|"&amp;$O12&amp;"|"&amp;$AL12&amp;"|"&amp;$S12&amp;"|"&amp;$P12&amp;"|"&amp;$Q12&amp;$R12&amp;"|"&amp;$C12&amp;"|"&amp;$AB12)</f>
        <v/>
      </c>
      <c r="CQ12" s="84">
        <f>N($BS12)</f>
        <v/>
      </c>
      <c r="CR12" s="84">
        <f>IF(N($AU12)&gt;0,N($AU12),4.5)</f>
        <v/>
      </c>
      <c r="CS12" s="84">
        <f>OR($A12="",$BI12="",$S12="BL",AND($C12="FRAME ONLY",OR($AC12="",$AC12="BLK")))</f>
        <v/>
      </c>
      <c r="CT12" s="84">
        <f>AND(NOT($CS12),OR($AT12="CUSTOM LOC",N($AW12)+N($AX12)+N($AY12)+N($AZ12)+N($BA12)&gt;0))</f>
        <v/>
      </c>
      <c r="CU12" s="84">
        <f>IF($BI12="","",IF($BI12&lt;=80,80,IF($BI12&lt;=84,84,96)))</f>
        <v/>
      </c>
      <c r="CV12" s="84">
        <f>ISNUMBER(MATCH($AT12&amp;"|80",LocKeys,0))</f>
        <v/>
      </c>
      <c r="CW12" s="86">
        <f>IF($CS12,"",IF($CV12,VLOOKUP($AT12&amp;"|"&amp;$CU12,LocTable,4,FALSE),5))</f>
        <v/>
      </c>
      <c r="CX12" s="86">
        <f>IF($CS12,"",IF($CV12,IF(OR($BI12=$CU12,AND($BI12&lt;$CU12,$BI12-IF(N(VLOOKUP($AT12&amp;"|"&amp;$CU12,LocTable,7,FALSE))&gt;0,VLOOKUP($AT12&amp;"|"&amp;$CU12,LocTable,7,FALSE),VLOOKUP($AT12&amp;"|"&amp;$CU12,LocTable,6,FALSE))-$CR12-0.75&gt;=2.125)),IF(N(VLOOKUP($AT12&amp;"|"&amp;$CU12,LocTable,7,FALSE))&gt;0,VLOOKUP($AT12&amp;"|"&amp;$CU12,LocTable,7,FALSE),VLOOKUP($AT12&amp;"|"&amp;$CU12,LocTable,6,FALSE)),$BI12-($CU12-IF(N(VLOOKUP($AT12&amp;"|"&amp;$CU12,LocTable,7,FALSE))&gt;0,VLOOKUP($AT12&amp;"|"&amp;$CU12,LocTable,7,FALSE),VLOOKUP($AT12&amp;"|"&amp;$CU12,LocTable,6,FALSE)))),$BI12-10-$CR12))</f>
        <v/>
      </c>
      <c r="CY12" s="85">
        <f>IF($CS12,"",TRIM(IF(ISNUMBER($BU12),"A "&amp;TRIM(TEXT($BU12,"# ?/??"))&amp;CHAR(34)&amp;"  ","")&amp;IF(ISNUMBER($BV12),"B "&amp;TRIM(TEXT($BV12,"# ?/??"))&amp;CHAR(34)&amp;"  ","")&amp;IF(ISNUMBER($BW12),"C "&amp;TRIM(TEXT($BW12,"# ?/??"))&amp;CHAR(34)&amp;"  ","")&amp;IF(ISNUMBER($BX12),"D "&amp;TRIM(TEXT($BX12,"# ?/??"))&amp;CHAR(34)&amp;"  ","")&amp;IF(ISNUMBER($BY12),"F "&amp;TRIM(TEXT($BY12,"# ?/??"))&amp;CHAR(34)&amp;"  ","")&amp;IF(ISNUMBER($BZ12),"E "&amp;TRIM(TEXT($BZ12,"# ?/??"))&amp;CHAR(34)&amp;"  ","")))</f>
        <v/>
      </c>
      <c r="CZ12" s="85">
        <f>IF(OR($CS12,N($BJ12)=0),"",TRIM(IF(ISNUMBER($BU12),"A "&amp;TRIM(TEXT($BU12-HeadClr,"# ?/??"))&amp;CHAR(34)&amp;"  ","")&amp;IF(ISNUMBER($BV12),"B "&amp;TRIM(TEXT($BV12-HeadClr,"# ?/??"))&amp;CHAR(34)&amp;"  ","")&amp;IF(ISNUMBER($BW12),"C "&amp;TRIM(TEXT($BW12-HeadClr,"# ?/??"))&amp;CHAR(34)&amp;"  ","")&amp;IF(ISNUMBER($BX12),"D "&amp;TRIM(TEXT($BX12-HeadClr,"# ?/??"))&amp;CHAR(34)&amp;"  ","")&amp;IF(ISNUMBER($BY12),"F "&amp;TRIM(TEXT($BY12-HeadClr,"# ?/??"))&amp;CHAR(34)&amp;"  ","")&amp;IF(ISNUMBER($BZ12),"E "&amp;TRIM(TEXT($BZ12-HeadClr,"# ?/??"))&amp;CHAR(34)&amp;"  ","")))</f>
        <v/>
      </c>
      <c r="DA12" s="84">
        <f>IF($A12="","",IF($AN12="",IFERROR(VLOOKUP($Z12,CODES,2,FALSE),""),IFERROR(VLOOKUP($AN12,CODES,2,FALSE),"")))</f>
        <v/>
      </c>
      <c r="DB12" s="84">
        <f>IF($A12="","",IF($O12="Y","PR",IF(OR($Z12="L",$Z12="RR",LEFT($Z12,2)="L-",LEFT($Z12,3)="RR-"),"LH","RH")))</f>
        <v/>
      </c>
      <c r="DC12" s="84">
        <f>IF($A12="","","S.HM"&amp;IF(OR($C12="DOOR ONLY",$X12&lt;&gt;"KD"),"MASONRY","DRYWALL")&amp;IF($C12="DOOR ONLY","",$U12)&amp;IF(AND($C12&lt;&gt;"FRAME ONLY",OR(LEFT($AH12,3)="OAK",LEFT($AH12,3)="BIR",LEFT($AH12,3)="MAP",$AH12="PC",$AH12="MC",$AH12="SCLC",$AH12="P-LAM")),"WD","HM")&amp;"1.75")</f>
        <v/>
      </c>
      <c r="DD12" s="84">
        <f>IF($CJ12="","",IF($O12="Y",$CJ12,SUBSTITUTE($CJ12,$BG12&amp;" "&amp;IFERROR(VLOOKUP($Z12,CODES,2,FALSE),"")&amp;" ",$BG12&amp;" ")))</f>
        <v/>
      </c>
      <c r="DE12" s="84">
        <f>IF($CK12="","",IF($O12="Y",$CK12,SUBSTITUTE($CK12,$BG12&amp;" "&amp;IF($AN12="",IFERROR(VLOOKUP($Z12,CODES,2,FALSE),""),IFERROR(VLOOKUP($AN12,CODES,2,FALSE),""))&amp;" ",$BG12&amp;" ")))</f>
        <v/>
      </c>
      <c r="DF12" s="84">
        <f>IF($CJ12="","",$DC12&amp;"|"&amp;$DD12&amp;"|"&amp;$DB12&amp;"|"&amp;$AT12&amp;"|"&amp;$V12&amp;"|"&amp;$Y12&amp;"|"&amp;$AB12)</f>
        <v/>
      </c>
      <c r="DG12" s="84">
        <f>IF(DF12="","",IF(COUNTIF($DF$6:DF12,DF12)=1,MAX($DG$5:DG11)+1,INDEX($DG$5:DG11,MATCH(DF12,$DF$5:DF11,0))))</f>
        <v/>
      </c>
      <c r="DH12" s="84">
        <f>IF($CK12="","",$DC12&amp;"|"&amp;$DE12&amp;"|"&amp;$AI12&amp;"|"&amp;$BK12&amp;"|"&amp;$BL12)</f>
        <v/>
      </c>
      <c r="DI12" s="84">
        <f>IF(DH12="","",IF(COUNTIF($DH$6:DH12,DH12)=1,MAX($DI$5:DI11)+1,INDEX($DI$5:DI11,MATCH(DH12,$DH$5:DH11,0))))</f>
        <v/>
      </c>
      <c r="DJ12" s="84">
        <f>IF($A12="","",IF($B12="","qty, ","")&amp;IF($C12="","scope, ","")&amp;IF(OR($K12="",$M12=""),"size, ","")&amp;IF(AND($A12&lt;&gt;"",$C12&lt;&gt;"DOOR ONLY"),IF($U12="","jamb depth, ","")&amp;IF($X12="","construction, ","")&amp;IF($Y12="","anchor, ","")&amp;IF($S12="","frame type, ",""),"")&amp;IF(AND(N($BJ12)&gt;0,$Z12=""),"hand, ","")&amp;IF(N($BJ12)&gt;0,IF($AH12="","door material, ","")&amp;IF($AL12="","face type, ","")&amp;IF($AP12="","lock prep, ","")&amp;IF(AND($AO12="",$AC12=""),"hinge prep, ",""),"")&amp;IF(AND($CH12&gt;0,$AH12="FRP"),"FRP cannot carry a label, ","")&amp;IF(AND($O12="Y",OR($Z12="L",$Z12="R",$Z12="LR",$Z12="RR")),"pair marked but hand is single, ","")&amp;IF(AND($O12&lt;&gt;"Y",OR($Z12="PR",AND(LEN($Z12)&gt;1,ISNUMBER(SEARCH("-",$Z12))))),"pair hand on a single door, ","")&amp;IF(AND(ISNUMBER($CI12),$CH12&lt;N($CI12)),"wall needs a "&amp;$CI12&amp;" min door, ","")&amp;IF(AND($CH12&gt;=180,AND(OR($CE12="FG",$CE12="HG",$CE12="FNV",$CE12="FV"),N($CF12)*N($CG12)&gt;100)),"180 min lite over 100 sq in, ","")&amp;IF(N($BK12)&gt;48,"leaf wider than 4'-0"&amp;CHAR(34)&amp;", ","")&amp;IF(AND($CT12,COUNT($AW12:$AZ12)=0,$CQ12&gt;0),"CUSTOM LOC with no locations typed, ",""))</f>
        <v/>
      </c>
      <c r="DK12" s="84">
        <f>IF($A12="","",IF(AND($CH12&gt;0,AND($A12&lt;&gt;"",$C12&lt;&gt;"DOOR ONLY"),$X12="KD",$E12="EXTERIOR"),"KD label on an exterior opening, ","")&amp;IF(AND($E12="EXTERIOR",OR(AND(AND($A12&lt;&gt;"",$C12&lt;&gt;"DOOR ONLY"),$W12="CR"),AND(N($BJ12)&gt;0,$AH12="CR"))),"exterior in CR steel (G9?), ","")&amp;IF(AND(ISNUMBER($BQ12),N($BQ12)&lt;32),"clear width ~"&amp;TEXT($BQ12,"0.0")&amp;CHAR(34)&amp;" under 32"&amp;CHAR(34)&amp;" (ADA), ","")&amp;IF(AND($CH12=90,AND(OR($CE12="FG",$CE12="HG",$CE12="FNV",$CE12="FV"),N($CF12)*N($CG12)&gt;100)),"90 min lite over 100 sq in (stair/exit), ","")&amp;IF(AND($CH12&gt;0,AND($A12&lt;&gt;"",$C12&lt;&gt;"DOOR ONLY"),OR($AF12="",$AF12="-")),"rated: closer reinf.?, ","")&amp;IF(OR($I12="CORRIDOR",$I12="SMOKE BARRIER"),"S label + smoke gasketing, ","")&amp;IF($CI12="?","wall type/hr not in IBC table, ","")&amp;IF(AND(N($BJ12)&gt;0,$BB12=""),"no hardware set, ","")&amp;IF(AND($BB12&lt;&gt;"",ISNA(MATCH($BB12&amp;"",HWSets,0))),"set "&amp;$BB12&amp;" not on HW Sets, ","")&amp;IF(N($BL12)&gt;96,"leaf over 8'-0"&amp;CHAR(34)&amp;" - check listing, ","")&amp;IF(AND($CT12,COUNT($AW12:$AZ12)&gt;0,COUNT($AW12:$AZ12)&lt;&gt;$CQ12),COUNT($AW12:$AZ12)&amp;" custom hinges typed, "&amp;$CQ12&amp;" expected, ","")&amp;IF(AND(ISNUMBER($CA12),OR(N($CA12)&lt;34,N($CA12)&gt;48)),"lock "&amp;TEXT($CA12,"0.0")&amp;CHAR(34)&amp;" AFF outside 34-48"&amp;CHAR(34)&amp;" (ADA), ","")&amp;IF(AND(ISNUMBER($AV12),ISNUMBER($BL12),N($AV12)&lt;IF(N($BL12)&lt;=60,2,IF(N($BL12)&lt;=90,3,IF(N($BL12)&lt;=120,4,5)))),"fewer hinges than standard, ",""))</f>
        <v/>
      </c>
    </row>
    <row r="13" ht="15" customHeight="1">
      <c r="A13" s="77" t="inlineStr">
        <is>
          <t>108</t>
        </is>
      </c>
      <c r="B13" s="78" t="n">
        <v>1</v>
      </c>
      <c r="C13" s="78" t="inlineStr">
        <is>
          <t>FRAME &amp; DOOR</t>
        </is>
      </c>
      <c r="D13" s="78" t="inlineStr">
        <is>
          <t>2nd</t>
        </is>
      </c>
      <c r="E13" s="78" t="inlineStr">
        <is>
          <t>INTERIOR</t>
        </is>
      </c>
      <c r="F13" s="78" t="inlineStr">
        <is>
          <t>CORRIDOR</t>
        </is>
      </c>
      <c r="G13" s="78" t="inlineStr">
        <is>
          <t>CONFERENCE</t>
        </is>
      </c>
      <c r="H13" s="78" t="inlineStr">
        <is>
          <t>20 MIN</t>
        </is>
      </c>
      <c r="I13" s="78" t="inlineStr">
        <is>
          <t>CORRIDOR</t>
        </is>
      </c>
      <c r="J13" s="78" t="n">
        <v>1</v>
      </c>
      <c r="K13" s="78" t="n">
        <v>6</v>
      </c>
      <c r="L13" s="78" t="n">
        <v>0</v>
      </c>
      <c r="M13" s="78" t="n">
        <v>8</v>
      </c>
      <c r="N13" s="78" t="n">
        <v>0</v>
      </c>
      <c r="O13" s="78" t="inlineStr">
        <is>
          <t>Y</t>
        </is>
      </c>
      <c r="P13" s="78" t="n"/>
      <c r="Q13" s="78" t="n"/>
      <c r="R13" s="78" t="n"/>
      <c r="S13" s="79" t="inlineStr">
        <is>
          <t>3F</t>
        </is>
      </c>
      <c r="T13" s="79" t="inlineStr">
        <is>
          <t>M</t>
        </is>
      </c>
      <c r="U13" s="79" t="n">
        <v>534</v>
      </c>
      <c r="V13" s="79" t="n">
        <v>16</v>
      </c>
      <c r="W13" s="79" t="inlineStr">
        <is>
          <t>CR</t>
        </is>
      </c>
      <c r="X13" s="79" t="inlineStr">
        <is>
          <t>KD</t>
        </is>
      </c>
      <c r="Y13" s="79" t="inlineStr">
        <is>
          <t>SC</t>
        </is>
      </c>
      <c r="Z13" s="79" t="inlineStr">
        <is>
          <t>LR-A</t>
        </is>
      </c>
      <c r="AA13" s="79" t="inlineStr">
        <is>
          <t>CU</t>
        </is>
      </c>
      <c r="AB13" s="79" t="n"/>
      <c r="AC13" s="79" t="inlineStr">
        <is>
          <t>U454</t>
        </is>
      </c>
      <c r="AD13" s="79" t="inlineStr">
        <is>
          <t>E1</t>
        </is>
      </c>
      <c r="AE13" s="79" t="n"/>
      <c r="AF13" s="79" t="inlineStr">
        <is>
          <t>E11</t>
        </is>
      </c>
      <c r="AG13" s="79" t="n"/>
      <c r="AH13" s="80" t="inlineStr">
        <is>
          <t>MAP-MC</t>
        </is>
      </c>
      <c r="AI13" s="80" t="n"/>
      <c r="AJ13" s="80" t="inlineStr">
        <is>
          <t>MC</t>
        </is>
      </c>
      <c r="AK13" s="80" t="inlineStr">
        <is>
          <t>PWM</t>
        </is>
      </c>
      <c r="AL13" s="80" t="inlineStr">
        <is>
          <t>FG-22"x64" (WD)</t>
        </is>
      </c>
      <c r="AM13" s="80" t="n"/>
      <c r="AN13" s="80" t="n"/>
      <c r="AO13" s="80" t="n"/>
      <c r="AP13" s="80" t="inlineStr">
        <is>
          <t>G2</t>
        </is>
      </c>
      <c r="AQ13" s="80" t="n"/>
      <c r="AR13" s="80" t="inlineStr">
        <is>
          <t>Y</t>
        </is>
      </c>
      <c r="AS13" s="80" t="n"/>
      <c r="AT13" s="81" t="inlineStr">
        <is>
          <t>CURRIES</t>
        </is>
      </c>
      <c r="AU13" s="81" t="n"/>
      <c r="AV13" s="81" t="n"/>
      <c r="AW13" s="82" t="n"/>
      <c r="AX13" s="82" t="n"/>
      <c r="AY13" s="82" t="n"/>
      <c r="AZ13" s="82" t="n"/>
      <c r="BA13" s="82" t="n"/>
      <c r="BB13" s="83" t="inlineStr">
        <is>
          <t>2</t>
        </is>
      </c>
      <c r="BC13" s="83" t="n"/>
      <c r="BD13" s="84">
        <f>IF($A13="","",IF($DJ13&lt;&gt;"","FIX",IF($DK13&lt;&gt;"","CHECK","OK")))</f>
        <v/>
      </c>
      <c r="BE13" s="85">
        <f>IF($A13="","",IF($DJ13&lt;&gt;"","FIX: "&amp;LEFT($DJ13,LEN($DJ13)-2)&amp;IF($DK13&lt;&gt;"","  ·  ",""),"")&amp;IF($DK13&lt;&gt;"","CHECK: "&amp;LEFT($DK13,LEN($DK13)-2),""))</f>
        <v/>
      </c>
      <c r="BF13" s="84">
        <f>IF(OR($A13="",$K13=""),"",$K13&amp;"'-"&amp;N($L13)&amp;CHAR(34)&amp;" x "&amp;$M13&amp;"'-"&amp;N($N13)&amp;CHAR(34))</f>
        <v/>
      </c>
      <c r="BG13" s="84">
        <f>IF(OR($A13="",$K13=""),"",$K13&amp;N($L13)&amp;$M13&amp;N($N13))</f>
        <v/>
      </c>
      <c r="BH13" s="84">
        <f>IF(OR($A13="",$K13=""),"",$K13*12+N($L13))</f>
        <v/>
      </c>
      <c r="BI13" s="84">
        <f>IF(OR($A13="",$M13=""),"",$M13*12+N($N13))</f>
        <v/>
      </c>
      <c r="BJ13" s="84">
        <f>IF($A13="","",IF(OR($C13="FRAME ONLY",$S13="BL"),0,IF($O13="Y",2,1)))</f>
        <v/>
      </c>
      <c r="BK13" s="86">
        <f>IF(OR(N($BJ13)=0,$BH13=""),"",($BH13-2*EdgeClr-IF($BJ13=2,MeetClr,0))/$BJ13)</f>
        <v/>
      </c>
      <c r="BL13" s="86">
        <f>IF(OR(N($BJ13)=0,$BI13=""),"",$BI13-HeadClr-Undercut)</f>
        <v/>
      </c>
      <c r="BM13" s="86">
        <f>IF($BH13="","",$BH13+2*FaceW+IF(N($Q13)&gt;0,($Q13+FaceW)*IF($R13="LR",2,1),0))</f>
        <v/>
      </c>
      <c r="BN13" s="86">
        <f>IF($BI13="","",$BI13+IF($AB13="Y",4,FaceW)+IF(N($P13)&gt;0,$P13+FaceW,0)+IF(OR($S13="4F",$S13="BL"),FaceW,0))</f>
        <v/>
      </c>
      <c r="BO13" s="86">
        <f>IF($BM13="","",$BM13+2*ROSide)</f>
        <v/>
      </c>
      <c r="BP13" s="86">
        <f>IF($BN13="","",$BN13+ROTop)</f>
        <v/>
      </c>
      <c r="BQ13" s="87">
        <f>IF(OR(N($BJ13)=0,$BH13=""),"",$BH13/$BJ13-ClearDeduct)</f>
        <v/>
      </c>
      <c r="BR13" s="84">
        <f>IF(N($CH13)=0,"",IF($CH13&gt;=180,"A · 3 HR",IF($CH13&gt;=90,"B · 1-1/2 HR",IF($CH13&gt;=60,"B · 1 HR",IF($CH13&gt;=45,"C · 3/4 HR","20 MIN")))))&amp;IF(AND(N($CH13)&gt;0,OR($I13="CORRIDOR",$I13="SMOKE BARRIER"))," · S","")</f>
        <v/>
      </c>
      <c r="BS13" s="84">
        <f>IF($CS13,"",IF($AV13&lt;&gt;"",$AV13,IF(OR($AC13="HGC",$AO13="HGC"),"CONT",IF(($BI13-HeadClr-Undercut)&lt;=60,2,IF(($BI13-HeadClr-Undercut)&lt;=90,3,IF(($BI13-HeadClr-Undercut)&lt;=120,4,5))))))</f>
        <v/>
      </c>
      <c r="BT13" s="84">
        <f>IF($CS13,"",IF($CT13,"CUSTOM (typed)",IF($CV13,$AT13&amp;" "&amp;$CU13&amp;CHAR(34)&amp;IF($CU13&lt;&gt;$BI13,IF(AND($BI13&lt;$CU13,$BI13-IF(N(VLOOKUP($AT13&amp;"|"&amp;$CU13,LocTable,7,FALSE))&gt;0,VLOOKUP($AT13&amp;"|"&amp;$CU13,LocTable,7,FALSE),VLOOKUP($AT13&amp;"|"&amp;$CU13,LocTable,6,FALSE))-$CR13-0.75&gt;=2.125)," cut down"," adj."),""),"ANSI/SDI A250.6")))</f>
        <v/>
      </c>
      <c r="BU13" s="88">
        <f>IF($CS13,"",IF($CT13,IF(N($AW13)&gt;0,N($AW13),""),IF(1&gt;$CQ13,"",IF($CQ13=1,$CW13,$CW13+($CX13-$CW13)*0/($CQ13-1)))))</f>
        <v/>
      </c>
      <c r="BV13" s="88">
        <f>IF($CS13,"",IF($CT13,IF(N($AX13)&gt;0,N($AX13),""),IF(2&gt;$CQ13,"",IF($CQ13=1,$CW13,$CW13+($CX13-$CW13)*1/($CQ13-1)))))</f>
        <v/>
      </c>
      <c r="BW13" s="88">
        <f>IF($CS13,"",IF($CT13,IF(N($AY13)&gt;0,N($AY13),""),IF(3&gt;$CQ13,"",IF($CQ13=1,$CW13,$CW13+($CX13-$CW13)*2/($CQ13-1)))))</f>
        <v/>
      </c>
      <c r="BX13" s="88">
        <f>IF($CS13,"",IF($CT13,IF(N($AZ13)&gt;0,N($AZ13),""),IF(4&gt;$CQ13,"",IF($CQ13=1,$CW13,$CW13+($CX13-$CW13)*3/($CQ13-1)))))</f>
        <v/>
      </c>
      <c r="BY13" s="88">
        <f>IF($CS13,"",IF($CT13,"",IF(5&gt;$CQ13,"",IF($CQ13=1,$CW13,$CW13+($CX13-$CW13)*4/($CQ13-1)))))</f>
        <v/>
      </c>
      <c r="BZ13" s="88">
        <f>IF(OR($CS13,$AP13="-",AND($AP13="",$AD13="")),"",IF(N($BA13)&gt;0,N($BA13),IF($CV13,IF(AND($BI13&lt;$CU13,$BI13-IF(N(VLOOKUP($AT13&amp;"|"&amp;$CU13,LocTable,7,FALSE))&gt;0,VLOOKUP($AT13&amp;"|"&amp;$CU13,LocTable,7,FALSE),VLOOKUP($AT13&amp;"|"&amp;$CU13,LocTable,6,FALSE))-$CR13-0.75&gt;=2.125),VLOOKUP($AT13&amp;"|"&amp;$CU13,LocTable,8,FALSE),VLOOKUP($AT13&amp;"|"&amp;$CU13,LocTable,8,FALSE)+($BI13-$CU13)),$BI13-LockAFF)))</f>
        <v/>
      </c>
      <c r="CA13" s="89">
        <f>IF($BZ13="","",$BI13-$BZ13)</f>
        <v/>
      </c>
      <c r="CB13" s="84">
        <f>IF(OR(NOT(AND($A13&lt;&gt;"",$C13&lt;&gt;"DOOR ONLY")),$BI13=""),"",IF(($BI13+IF(N($P13)&gt;0,$P13+FaceW,0))&lt;=90,3,IF(($BI13+IF(N($P13)&gt;0,$P13+FaceW,0))&lt;=114,4,5)))</f>
        <v/>
      </c>
      <c r="CC13" s="84">
        <f>IF($CB13="","",$CB13*(2+IF(N($Q13)&gt;0,IF($R13="LR",2,1),0)))</f>
        <v/>
      </c>
      <c r="CD13" s="84">
        <f>IF($CB13="","",(2+IF(N($Q13)&gt;0,IF($R13="LR",2,1),0)))</f>
        <v/>
      </c>
      <c r="CE13" s="84">
        <f>IF(N($BJ13)=0,"",IF(OR($AL13="",$AL13="FLUSH"),"FLUSH",IFERROR(LEFT($AL13,FIND("-",$AL13)-1),LEFT($AL13,2))))</f>
        <v/>
      </c>
      <c r="CF13" s="84">
        <f>IF($CE13="","",IFERROR(VALUE(MID($AL13,FIND("-",$AL13)+1,FIND(CHAR(34)&amp;"x",$AL13)-FIND("-",$AL13)-1)),0))</f>
        <v/>
      </c>
      <c r="CG13" s="84">
        <f>IF($CE13="","",IFERROR(VALUE(MID($AL13,FIND(CHAR(34)&amp;"x",$AL13)+2,FIND(CHAR(34),$AL13,FIND(CHAR(34)&amp;"x",$AL13)+2)-FIND(CHAR(34)&amp;"x",$AL13)-2)),0))</f>
        <v/>
      </c>
      <c r="CH13" s="90">
        <f>IF(OR($A13="",$H13="",$H13="NO LAB"),0,IFERROR(VALUE(LEFT($H13,FIND(" ",$H13)-1)),0))</f>
        <v/>
      </c>
      <c r="CI13" s="91">
        <f>IF(OR($A13="",$I13="",$I13="NON-RATED",N($J13)=0),"",IFERROR(VLOOKUP($I13&amp;"|"&amp;$J13,IBC,2,FALSE),"?"))</f>
        <v/>
      </c>
      <c r="CJ13" s="85">
        <f>IF(NOT(AND($A13&lt;&gt;"",$C13&lt;&gt;"DOOR ONLY")),"",TRIM(IFERROR(VLOOKUP($U13,CODES,2,FALSE),"")&amp;" "&amp;$BG13&amp;" "&amp;IFERROR(VLOOKUP($Z13,CODES,2,FALSE),"")&amp;" "&amp;IFERROR(VLOOKUP($X13,CODES,2,FALSE),"")&amp;" "&amp;IFERROR(VLOOKUP($S13,CODES,2,FALSE),"")&amp;IF(N($P13)&gt;0," w/TRANSOM "&amp;$P13&amp;CHAR(34),"")&amp;IF(N($Q13)&gt;0," w/SIDELITE "&amp;$Q13&amp;CHAR(34)&amp;" "&amp;IF($R13="","R",$R13),"")&amp;IF($Y13="","  |  "," | "&amp;IFERROR(VLOOKUP($Y13,CODES,2,FALSE),"")&amp;" | ")&amp;IFERROR(VLOOKUP($AC13,CODES,2,FALSE),"")&amp;" "&amp;IFERROR(VLOOKUP($AD13,CODES,2,FALSE),"")&amp;IF(OR($AE13="",$AE13="-"),""," "&amp;$AE13)&amp;IF(OR($AF13="",$AF13="-"),""," "&amp;$AF13)&amp;IF($AB13="Y"," 4"&amp;CHAR(34)&amp;" HEAD","")&amp;" "&amp;IFERROR(VLOOKUP($H13,CODES,2,FALSE),"")&amp;IF($CT13," | LOC "&amp;$CY13,"")))</f>
        <v/>
      </c>
      <c r="CK13" s="85">
        <f>IF(NOT(AND($A13&lt;&gt;"",N($BJ13)&gt;0)),"",TRIM(IFERROR(VLOOKUP($AH13,CODES,2,FALSE),"")&amp;IF($AI13=""," "," "&amp;$AI13&amp;"GA ")&amp;$BG13&amp;" "&amp;IF($AN13="",IFERROR(VLOOKUP($Z13,CODES,2,FALSE),""),IFERROR(VLOOKUP($AN13,CODES,2,FALSE),""))&amp;IF($BJ13=2," PAIR","")&amp;" DOOR | "&amp;IF($AL13="","?",$AL13)&amp;" | "&amp;IF($AO13="",IFERROR(VLOOKUP($AC13,CODES,2,FALSE),""),IFERROR(VLOOKUP($AO13,CODES,2,FALSE),""))&amp;" "&amp;IFERROR(VLOOKUP($AP13,CODES,2,FALSE),"")&amp;IF(OR($AQ13="",$AQ13="-"),""," SEAM "&amp;$AQ13)&amp;IF($AR13="Y"," ASTRAGAL","")&amp;IF($AJ13=""," "," "&amp;$AJ13)&amp;IF($AK13=""," "," "&amp;$AK13)&amp;IF(OR($AT13="",$AT13="ANSI/SDI",$AT13="CUSTOM LOC"),""," "&amp;$AT13)&amp;IF($AM13=""," "," SERIES "&amp;$AM13)&amp;" "&amp;IFERROR(VLOOKUP($H13,CODES,2,FALSE),"")&amp;IF($CT13," | LOC "&amp;$CZ13,"")))</f>
        <v/>
      </c>
      <c r="CL13" s="84">
        <f>IF(CP13="","",IF(COUNTIF($CP$6:CP13,CP13)=1,MAX($CL$5:CL12)+1,INDEX($CL$5:CL12,MATCH(CP13,$CP$5:CP12,0))))</f>
        <v/>
      </c>
      <c r="CM13" s="84">
        <f>IF(NOT(AND($A13&lt;&gt;"",$C13&lt;&gt;"DOOR ONLY")),"",MAX($CM$5:CM12)+1)</f>
        <v/>
      </c>
      <c r="CN13" s="84">
        <f>IF(NOT(AND($A13&lt;&gt;"",N($BJ13)&gt;0)),"",MAX($CN$5:CN12)+1)</f>
        <v/>
      </c>
      <c r="CO13" s="84">
        <f>IF($A13="","",MAX($CO$5:CO12)+1)</f>
        <v/>
      </c>
      <c r="CP13" s="84">
        <f>IF(OR($A13="",$BH13="",$BI13=""),"",$BG13&amp;"|"&amp;$O13&amp;"|"&amp;$AL13&amp;"|"&amp;$S13&amp;"|"&amp;$P13&amp;"|"&amp;$Q13&amp;$R13&amp;"|"&amp;$C13&amp;"|"&amp;$AB13)</f>
        <v/>
      </c>
      <c r="CQ13" s="84">
        <f>N($BS13)</f>
        <v/>
      </c>
      <c r="CR13" s="84">
        <f>IF(N($AU13)&gt;0,N($AU13),4.5)</f>
        <v/>
      </c>
      <c r="CS13" s="84">
        <f>OR($A13="",$BI13="",$S13="BL",AND($C13="FRAME ONLY",OR($AC13="",$AC13="BLK")))</f>
        <v/>
      </c>
      <c r="CT13" s="84">
        <f>AND(NOT($CS13),OR($AT13="CUSTOM LOC",N($AW13)+N($AX13)+N($AY13)+N($AZ13)+N($BA13)&gt;0))</f>
        <v/>
      </c>
      <c r="CU13" s="84">
        <f>IF($BI13="","",IF($BI13&lt;=80,80,IF($BI13&lt;=84,84,96)))</f>
        <v/>
      </c>
      <c r="CV13" s="84">
        <f>ISNUMBER(MATCH($AT13&amp;"|80",LocKeys,0))</f>
        <v/>
      </c>
      <c r="CW13" s="86">
        <f>IF($CS13,"",IF($CV13,VLOOKUP($AT13&amp;"|"&amp;$CU13,LocTable,4,FALSE),5))</f>
        <v/>
      </c>
      <c r="CX13" s="86">
        <f>IF($CS13,"",IF($CV13,IF(OR($BI13=$CU13,AND($BI13&lt;$CU13,$BI13-IF(N(VLOOKUP($AT13&amp;"|"&amp;$CU13,LocTable,7,FALSE))&gt;0,VLOOKUP($AT13&amp;"|"&amp;$CU13,LocTable,7,FALSE),VLOOKUP($AT13&amp;"|"&amp;$CU13,LocTable,6,FALSE))-$CR13-0.75&gt;=2.125)),IF(N(VLOOKUP($AT13&amp;"|"&amp;$CU13,LocTable,7,FALSE))&gt;0,VLOOKUP($AT13&amp;"|"&amp;$CU13,LocTable,7,FALSE),VLOOKUP($AT13&amp;"|"&amp;$CU13,LocTable,6,FALSE)),$BI13-($CU13-IF(N(VLOOKUP($AT13&amp;"|"&amp;$CU13,LocTable,7,FALSE))&gt;0,VLOOKUP($AT13&amp;"|"&amp;$CU13,LocTable,7,FALSE),VLOOKUP($AT13&amp;"|"&amp;$CU13,LocTable,6,FALSE)))),$BI13-10-$CR13))</f>
        <v/>
      </c>
      <c r="CY13" s="85">
        <f>IF($CS13,"",TRIM(IF(ISNUMBER($BU13),"A "&amp;TRIM(TEXT($BU13,"# ?/??"))&amp;CHAR(34)&amp;"  ","")&amp;IF(ISNUMBER($BV13),"B "&amp;TRIM(TEXT($BV13,"# ?/??"))&amp;CHAR(34)&amp;"  ","")&amp;IF(ISNUMBER($BW13),"C "&amp;TRIM(TEXT($BW13,"# ?/??"))&amp;CHAR(34)&amp;"  ","")&amp;IF(ISNUMBER($BX13),"D "&amp;TRIM(TEXT($BX13,"# ?/??"))&amp;CHAR(34)&amp;"  ","")&amp;IF(ISNUMBER($BY13),"F "&amp;TRIM(TEXT($BY13,"# ?/??"))&amp;CHAR(34)&amp;"  ","")&amp;IF(ISNUMBER($BZ13),"E "&amp;TRIM(TEXT($BZ13,"# ?/??"))&amp;CHAR(34)&amp;"  ","")))</f>
        <v/>
      </c>
      <c r="CZ13" s="85">
        <f>IF(OR($CS13,N($BJ13)=0),"",TRIM(IF(ISNUMBER($BU13),"A "&amp;TRIM(TEXT($BU13-HeadClr,"# ?/??"))&amp;CHAR(34)&amp;"  ","")&amp;IF(ISNUMBER($BV13),"B "&amp;TRIM(TEXT($BV13-HeadClr,"# ?/??"))&amp;CHAR(34)&amp;"  ","")&amp;IF(ISNUMBER($BW13),"C "&amp;TRIM(TEXT($BW13-HeadClr,"# ?/??"))&amp;CHAR(34)&amp;"  ","")&amp;IF(ISNUMBER($BX13),"D "&amp;TRIM(TEXT($BX13-HeadClr,"# ?/??"))&amp;CHAR(34)&amp;"  ","")&amp;IF(ISNUMBER($BY13),"F "&amp;TRIM(TEXT($BY13-HeadClr,"# ?/??"))&amp;CHAR(34)&amp;"  ","")&amp;IF(ISNUMBER($BZ13),"E "&amp;TRIM(TEXT($BZ13-HeadClr,"# ?/??"))&amp;CHAR(34)&amp;"  ","")))</f>
        <v/>
      </c>
      <c r="DA13" s="84">
        <f>IF($A13="","",IF($AN13="",IFERROR(VLOOKUP($Z13,CODES,2,FALSE),""),IFERROR(VLOOKUP($AN13,CODES,2,FALSE),"")))</f>
        <v/>
      </c>
      <c r="DB13" s="84">
        <f>IF($A13="","",IF($O13="Y","PR",IF(OR($Z13="L",$Z13="RR",LEFT($Z13,2)="L-",LEFT($Z13,3)="RR-"),"LH","RH")))</f>
        <v/>
      </c>
      <c r="DC13" s="84">
        <f>IF($A13="","","S.HM"&amp;IF(OR($C13="DOOR ONLY",$X13&lt;&gt;"KD"),"MASONRY","DRYWALL")&amp;IF($C13="DOOR ONLY","",$U13)&amp;IF(AND($C13&lt;&gt;"FRAME ONLY",OR(LEFT($AH13,3)="OAK",LEFT($AH13,3)="BIR",LEFT($AH13,3)="MAP",$AH13="PC",$AH13="MC",$AH13="SCLC",$AH13="P-LAM")),"WD","HM")&amp;"1.75")</f>
        <v/>
      </c>
      <c r="DD13" s="84">
        <f>IF($CJ13="","",IF($O13="Y",$CJ13,SUBSTITUTE($CJ13,$BG13&amp;" "&amp;IFERROR(VLOOKUP($Z13,CODES,2,FALSE),"")&amp;" ",$BG13&amp;" ")))</f>
        <v/>
      </c>
      <c r="DE13" s="84">
        <f>IF($CK13="","",IF($O13="Y",$CK13,SUBSTITUTE($CK13,$BG13&amp;" "&amp;IF($AN13="",IFERROR(VLOOKUP($Z13,CODES,2,FALSE),""),IFERROR(VLOOKUP($AN13,CODES,2,FALSE),""))&amp;" ",$BG13&amp;" ")))</f>
        <v/>
      </c>
      <c r="DF13" s="84">
        <f>IF($CJ13="","",$DC13&amp;"|"&amp;$DD13&amp;"|"&amp;$DB13&amp;"|"&amp;$AT13&amp;"|"&amp;$V13&amp;"|"&amp;$Y13&amp;"|"&amp;$AB13)</f>
        <v/>
      </c>
      <c r="DG13" s="84">
        <f>IF(DF13="","",IF(COUNTIF($DF$6:DF13,DF13)=1,MAX($DG$5:DG12)+1,INDEX($DG$5:DG12,MATCH(DF13,$DF$5:DF12,0))))</f>
        <v/>
      </c>
      <c r="DH13" s="84">
        <f>IF($CK13="","",$DC13&amp;"|"&amp;$DE13&amp;"|"&amp;$AI13&amp;"|"&amp;$BK13&amp;"|"&amp;$BL13)</f>
        <v/>
      </c>
      <c r="DI13" s="84">
        <f>IF(DH13="","",IF(COUNTIF($DH$6:DH13,DH13)=1,MAX($DI$5:DI12)+1,INDEX($DI$5:DI12,MATCH(DH13,$DH$5:DH12,0))))</f>
        <v/>
      </c>
      <c r="DJ13" s="84">
        <f>IF($A13="","",IF($B13="","qty, ","")&amp;IF($C13="","scope, ","")&amp;IF(OR($K13="",$M13=""),"size, ","")&amp;IF(AND($A13&lt;&gt;"",$C13&lt;&gt;"DOOR ONLY"),IF($U13="","jamb depth, ","")&amp;IF($X13="","construction, ","")&amp;IF($Y13="","anchor, ","")&amp;IF($S13="","frame type, ",""),"")&amp;IF(AND(N($BJ13)&gt;0,$Z13=""),"hand, ","")&amp;IF(N($BJ13)&gt;0,IF($AH13="","door material, ","")&amp;IF($AL13="","face type, ","")&amp;IF($AP13="","lock prep, ","")&amp;IF(AND($AO13="",$AC13=""),"hinge prep, ",""),"")&amp;IF(AND($CH13&gt;0,$AH13="FRP"),"FRP cannot carry a label, ","")&amp;IF(AND($O13="Y",OR($Z13="L",$Z13="R",$Z13="LR",$Z13="RR")),"pair marked but hand is single, ","")&amp;IF(AND($O13&lt;&gt;"Y",OR($Z13="PR",AND(LEN($Z13)&gt;1,ISNUMBER(SEARCH("-",$Z13))))),"pair hand on a single door, ","")&amp;IF(AND(ISNUMBER($CI13),$CH13&lt;N($CI13)),"wall needs a "&amp;$CI13&amp;" min door, ","")&amp;IF(AND($CH13&gt;=180,AND(OR($CE13="FG",$CE13="HG",$CE13="FNV",$CE13="FV"),N($CF13)*N($CG13)&gt;100)),"180 min lite over 100 sq in, ","")&amp;IF(N($BK13)&gt;48,"leaf wider than 4'-0"&amp;CHAR(34)&amp;", ","")&amp;IF(AND($CT13,COUNT($AW13:$AZ13)=0,$CQ13&gt;0),"CUSTOM LOC with no locations typed, ",""))</f>
        <v/>
      </c>
      <c r="DK13" s="84">
        <f>IF($A13="","",IF(AND($CH13&gt;0,AND($A13&lt;&gt;"",$C13&lt;&gt;"DOOR ONLY"),$X13="KD",$E13="EXTERIOR"),"KD label on an exterior opening, ","")&amp;IF(AND($E13="EXTERIOR",OR(AND(AND($A13&lt;&gt;"",$C13&lt;&gt;"DOOR ONLY"),$W13="CR"),AND(N($BJ13)&gt;0,$AH13="CR"))),"exterior in CR steel (G9?), ","")&amp;IF(AND(ISNUMBER($BQ13),N($BQ13)&lt;32),"clear width ~"&amp;TEXT($BQ13,"0.0")&amp;CHAR(34)&amp;" under 32"&amp;CHAR(34)&amp;" (ADA), ","")&amp;IF(AND($CH13=90,AND(OR($CE13="FG",$CE13="HG",$CE13="FNV",$CE13="FV"),N($CF13)*N($CG13)&gt;100)),"90 min lite over 100 sq in (stair/exit), ","")&amp;IF(AND($CH13&gt;0,AND($A13&lt;&gt;"",$C13&lt;&gt;"DOOR ONLY"),OR($AF13="",$AF13="-")),"rated: closer reinf.?, ","")&amp;IF(OR($I13="CORRIDOR",$I13="SMOKE BARRIER"),"S label + smoke gasketing, ","")&amp;IF($CI13="?","wall type/hr not in IBC table, ","")&amp;IF(AND(N($BJ13)&gt;0,$BB13=""),"no hardware set, ","")&amp;IF(AND($BB13&lt;&gt;"",ISNA(MATCH($BB13&amp;"",HWSets,0))),"set "&amp;$BB13&amp;" not on HW Sets, ","")&amp;IF(N($BL13)&gt;96,"leaf over 8'-0"&amp;CHAR(34)&amp;" - check listing, ","")&amp;IF(AND($CT13,COUNT($AW13:$AZ13)&gt;0,COUNT($AW13:$AZ13)&lt;&gt;$CQ13),COUNT($AW13:$AZ13)&amp;" custom hinges typed, "&amp;$CQ13&amp;" expected, ","")&amp;IF(AND(ISNUMBER($CA13),OR(N($CA13)&lt;34,N($CA13)&gt;48)),"lock "&amp;TEXT($CA13,"0.0")&amp;CHAR(34)&amp;" AFF outside 34-48"&amp;CHAR(34)&amp;" (ADA), ","")&amp;IF(AND(ISNUMBER($AV13),ISNUMBER($BL13),N($AV13)&lt;IF(N($BL13)&lt;=60,2,IF(N($BL13)&lt;=90,3,IF(N($BL13)&lt;=120,4,5)))),"fewer hinges than standard, ",""))</f>
        <v/>
      </c>
    </row>
    <row r="14" ht="15" customHeight="1">
      <c r="A14" s="77" t="n"/>
      <c r="B14" s="78" t="n"/>
      <c r="C14" s="78" t="n"/>
      <c r="D14" s="78" t="n"/>
      <c r="E14" s="78" t="n"/>
      <c r="F14" s="78" t="n"/>
      <c r="G14" s="78" t="n"/>
      <c r="H14" s="78" t="n"/>
      <c r="I14" s="78" t="n"/>
      <c r="J14" s="78" t="n"/>
      <c r="K14" s="78" t="n"/>
      <c r="L14" s="78" t="n"/>
      <c r="M14" s="78" t="n"/>
      <c r="N14" s="78" t="n"/>
      <c r="O14" s="78" t="n"/>
      <c r="P14" s="78" t="n"/>
      <c r="Q14" s="78" t="n"/>
      <c r="R14" s="78" t="n"/>
      <c r="S14" s="79" t="n"/>
      <c r="T14" s="79" t="n"/>
      <c r="U14" s="79" t="n"/>
      <c r="V14" s="79" t="n"/>
      <c r="W14" s="79" t="n"/>
      <c r="X14" s="79" t="n"/>
      <c r="Y14" s="79" t="n"/>
      <c r="Z14" s="79" t="n"/>
      <c r="AA14" s="79" t="n"/>
      <c r="AB14" s="79" t="n"/>
      <c r="AC14" s="79" t="n"/>
      <c r="AD14" s="79" t="n"/>
      <c r="AE14" s="79" t="n"/>
      <c r="AF14" s="79" t="n"/>
      <c r="AG14" s="79" t="n"/>
      <c r="AH14" s="80" t="n"/>
      <c r="AI14" s="80" t="n"/>
      <c r="AJ14" s="80" t="n"/>
      <c r="AK14" s="80" t="n"/>
      <c r="AL14" s="80" t="n"/>
      <c r="AM14" s="80" t="n"/>
      <c r="AN14" s="80" t="n"/>
      <c r="AO14" s="80" t="n"/>
      <c r="AP14" s="80" t="n"/>
      <c r="AQ14" s="80" t="n"/>
      <c r="AR14" s="80" t="n"/>
      <c r="AS14" s="80" t="n"/>
      <c r="AT14" s="81" t="n"/>
      <c r="AU14" s="81" t="n"/>
      <c r="AV14" s="81" t="n"/>
      <c r="AW14" s="82" t="n"/>
      <c r="AX14" s="82" t="n"/>
      <c r="AY14" s="82" t="n"/>
      <c r="AZ14" s="82" t="n"/>
      <c r="BA14" s="82" t="n"/>
      <c r="BB14" s="83" t="n"/>
      <c r="BC14" s="83" t="n"/>
      <c r="BD14" s="84">
        <f>IF($A14="","",IF($DJ14&lt;&gt;"","FIX",IF($DK14&lt;&gt;"","CHECK","OK")))</f>
        <v/>
      </c>
      <c r="BE14" s="85">
        <f>IF($A14="","",IF($DJ14&lt;&gt;"","FIX: "&amp;LEFT($DJ14,LEN($DJ14)-2)&amp;IF($DK14&lt;&gt;"","  ·  ",""),"")&amp;IF($DK14&lt;&gt;"","CHECK: "&amp;LEFT($DK14,LEN($DK14)-2),""))</f>
        <v/>
      </c>
      <c r="BF14" s="84">
        <f>IF(OR($A14="",$K14=""),"",$K14&amp;"'-"&amp;N($L14)&amp;CHAR(34)&amp;" x "&amp;$M14&amp;"'-"&amp;N($N14)&amp;CHAR(34))</f>
        <v/>
      </c>
      <c r="BG14" s="84">
        <f>IF(OR($A14="",$K14=""),"",$K14&amp;N($L14)&amp;$M14&amp;N($N14))</f>
        <v/>
      </c>
      <c r="BH14" s="84">
        <f>IF(OR($A14="",$K14=""),"",$K14*12+N($L14))</f>
        <v/>
      </c>
      <c r="BI14" s="84">
        <f>IF(OR($A14="",$M14=""),"",$M14*12+N($N14))</f>
        <v/>
      </c>
      <c r="BJ14" s="84">
        <f>IF($A14="","",IF(OR($C14="FRAME ONLY",$S14="BL"),0,IF($O14="Y",2,1)))</f>
        <v/>
      </c>
      <c r="BK14" s="86">
        <f>IF(OR(N($BJ14)=0,$BH14=""),"",($BH14-2*EdgeClr-IF($BJ14=2,MeetClr,0))/$BJ14)</f>
        <v/>
      </c>
      <c r="BL14" s="86">
        <f>IF(OR(N($BJ14)=0,$BI14=""),"",$BI14-HeadClr-Undercut)</f>
        <v/>
      </c>
      <c r="BM14" s="86">
        <f>IF($BH14="","",$BH14+2*FaceW+IF(N($Q14)&gt;0,($Q14+FaceW)*IF($R14="LR",2,1),0))</f>
        <v/>
      </c>
      <c r="BN14" s="86">
        <f>IF($BI14="","",$BI14+IF($AB14="Y",4,FaceW)+IF(N($P14)&gt;0,$P14+FaceW,0)+IF(OR($S14="4F",$S14="BL"),FaceW,0))</f>
        <v/>
      </c>
      <c r="BO14" s="86">
        <f>IF($BM14="","",$BM14+2*ROSide)</f>
        <v/>
      </c>
      <c r="BP14" s="86">
        <f>IF($BN14="","",$BN14+ROTop)</f>
        <v/>
      </c>
      <c r="BQ14" s="87">
        <f>IF(OR(N($BJ14)=0,$BH14=""),"",$BH14/$BJ14-ClearDeduct)</f>
        <v/>
      </c>
      <c r="BR14" s="84">
        <f>IF(N($CH14)=0,"",IF($CH14&gt;=180,"A · 3 HR",IF($CH14&gt;=90,"B · 1-1/2 HR",IF($CH14&gt;=60,"B · 1 HR",IF($CH14&gt;=45,"C · 3/4 HR","20 MIN")))))&amp;IF(AND(N($CH14)&gt;0,OR($I14="CORRIDOR",$I14="SMOKE BARRIER"))," · S","")</f>
        <v/>
      </c>
      <c r="BS14" s="84">
        <f>IF($CS14,"",IF($AV14&lt;&gt;"",$AV14,IF(OR($AC14="HGC",$AO14="HGC"),"CONT",IF(($BI14-HeadClr-Undercut)&lt;=60,2,IF(($BI14-HeadClr-Undercut)&lt;=90,3,IF(($BI14-HeadClr-Undercut)&lt;=120,4,5))))))</f>
        <v/>
      </c>
      <c r="BT14" s="84">
        <f>IF($CS14,"",IF($CT14,"CUSTOM (typed)",IF($CV14,$AT14&amp;" "&amp;$CU14&amp;CHAR(34)&amp;IF($CU14&lt;&gt;$BI14,IF(AND($BI14&lt;$CU14,$BI14-IF(N(VLOOKUP($AT14&amp;"|"&amp;$CU14,LocTable,7,FALSE))&gt;0,VLOOKUP($AT14&amp;"|"&amp;$CU14,LocTable,7,FALSE),VLOOKUP($AT14&amp;"|"&amp;$CU14,LocTable,6,FALSE))-$CR14-0.75&gt;=2.125)," cut down"," adj."),""),"ANSI/SDI A250.6")))</f>
        <v/>
      </c>
      <c r="BU14" s="88">
        <f>IF($CS14,"",IF($CT14,IF(N($AW14)&gt;0,N($AW14),""),IF(1&gt;$CQ14,"",IF($CQ14=1,$CW14,$CW14+($CX14-$CW14)*0/($CQ14-1)))))</f>
        <v/>
      </c>
      <c r="BV14" s="88">
        <f>IF($CS14,"",IF($CT14,IF(N($AX14)&gt;0,N($AX14),""),IF(2&gt;$CQ14,"",IF($CQ14=1,$CW14,$CW14+($CX14-$CW14)*1/($CQ14-1)))))</f>
        <v/>
      </c>
      <c r="BW14" s="88">
        <f>IF($CS14,"",IF($CT14,IF(N($AY14)&gt;0,N($AY14),""),IF(3&gt;$CQ14,"",IF($CQ14=1,$CW14,$CW14+($CX14-$CW14)*2/($CQ14-1)))))</f>
        <v/>
      </c>
      <c r="BX14" s="88">
        <f>IF($CS14,"",IF($CT14,IF(N($AZ14)&gt;0,N($AZ14),""),IF(4&gt;$CQ14,"",IF($CQ14=1,$CW14,$CW14+($CX14-$CW14)*3/($CQ14-1)))))</f>
        <v/>
      </c>
      <c r="BY14" s="88">
        <f>IF($CS14,"",IF($CT14,"",IF(5&gt;$CQ14,"",IF($CQ14=1,$CW14,$CW14+($CX14-$CW14)*4/($CQ14-1)))))</f>
        <v/>
      </c>
      <c r="BZ14" s="88">
        <f>IF(OR($CS14,$AP14="-",AND($AP14="",$AD14="")),"",IF(N($BA14)&gt;0,N($BA14),IF($CV14,IF(AND($BI14&lt;$CU14,$BI14-IF(N(VLOOKUP($AT14&amp;"|"&amp;$CU14,LocTable,7,FALSE))&gt;0,VLOOKUP($AT14&amp;"|"&amp;$CU14,LocTable,7,FALSE),VLOOKUP($AT14&amp;"|"&amp;$CU14,LocTable,6,FALSE))-$CR14-0.75&gt;=2.125),VLOOKUP($AT14&amp;"|"&amp;$CU14,LocTable,8,FALSE),VLOOKUP($AT14&amp;"|"&amp;$CU14,LocTable,8,FALSE)+($BI14-$CU14)),$BI14-LockAFF)))</f>
        <v/>
      </c>
      <c r="CA14" s="89">
        <f>IF($BZ14="","",$BI14-$BZ14)</f>
        <v/>
      </c>
      <c r="CB14" s="84">
        <f>IF(OR(NOT(AND($A14&lt;&gt;"",$C14&lt;&gt;"DOOR ONLY")),$BI14=""),"",IF(($BI14+IF(N($P14)&gt;0,$P14+FaceW,0))&lt;=90,3,IF(($BI14+IF(N($P14)&gt;0,$P14+FaceW,0))&lt;=114,4,5)))</f>
        <v/>
      </c>
      <c r="CC14" s="84">
        <f>IF($CB14="","",$CB14*(2+IF(N($Q14)&gt;0,IF($R14="LR",2,1),0)))</f>
        <v/>
      </c>
      <c r="CD14" s="84">
        <f>IF($CB14="","",(2+IF(N($Q14)&gt;0,IF($R14="LR",2,1),0)))</f>
        <v/>
      </c>
      <c r="CE14" s="84">
        <f>IF(N($BJ14)=0,"",IF(OR($AL14="",$AL14="FLUSH"),"FLUSH",IFERROR(LEFT($AL14,FIND("-",$AL14)-1),LEFT($AL14,2))))</f>
        <v/>
      </c>
      <c r="CF14" s="84">
        <f>IF($CE14="","",IFERROR(VALUE(MID($AL14,FIND("-",$AL14)+1,FIND(CHAR(34)&amp;"x",$AL14)-FIND("-",$AL14)-1)),0))</f>
        <v/>
      </c>
      <c r="CG14" s="84">
        <f>IF($CE14="","",IFERROR(VALUE(MID($AL14,FIND(CHAR(34)&amp;"x",$AL14)+2,FIND(CHAR(34),$AL14,FIND(CHAR(34)&amp;"x",$AL14)+2)-FIND(CHAR(34)&amp;"x",$AL14)-2)),0))</f>
        <v/>
      </c>
      <c r="CH14" s="90">
        <f>IF(OR($A14="",$H14="",$H14="NO LAB"),0,IFERROR(VALUE(LEFT($H14,FIND(" ",$H14)-1)),0))</f>
        <v/>
      </c>
      <c r="CI14" s="91">
        <f>IF(OR($A14="",$I14="",$I14="NON-RATED",N($J14)=0),"",IFERROR(VLOOKUP($I14&amp;"|"&amp;$J14,IBC,2,FALSE),"?"))</f>
        <v/>
      </c>
      <c r="CJ14" s="85">
        <f>IF(NOT(AND($A14&lt;&gt;"",$C14&lt;&gt;"DOOR ONLY")),"",TRIM(IFERROR(VLOOKUP($U14,CODES,2,FALSE),"")&amp;" "&amp;$BG14&amp;" "&amp;IFERROR(VLOOKUP($Z14,CODES,2,FALSE),"")&amp;" "&amp;IFERROR(VLOOKUP($X14,CODES,2,FALSE),"")&amp;" "&amp;IFERROR(VLOOKUP($S14,CODES,2,FALSE),"")&amp;IF(N($P14)&gt;0," w/TRANSOM "&amp;$P14&amp;CHAR(34),"")&amp;IF(N($Q14)&gt;0," w/SIDELITE "&amp;$Q14&amp;CHAR(34)&amp;" "&amp;IF($R14="","R",$R14),"")&amp;IF($Y14="","  |  "," | "&amp;IFERROR(VLOOKUP($Y14,CODES,2,FALSE),"")&amp;" | ")&amp;IFERROR(VLOOKUP($AC14,CODES,2,FALSE),"")&amp;" "&amp;IFERROR(VLOOKUP($AD14,CODES,2,FALSE),"")&amp;IF(OR($AE14="",$AE14="-"),""," "&amp;$AE14)&amp;IF(OR($AF14="",$AF14="-"),""," "&amp;$AF14)&amp;IF($AB14="Y"," 4"&amp;CHAR(34)&amp;" HEAD","")&amp;" "&amp;IFERROR(VLOOKUP($H14,CODES,2,FALSE),"")&amp;IF($CT14," | LOC "&amp;$CY14,"")))</f>
        <v/>
      </c>
      <c r="CK14" s="85">
        <f>IF(NOT(AND($A14&lt;&gt;"",N($BJ14)&gt;0)),"",TRIM(IFERROR(VLOOKUP($AH14,CODES,2,FALSE),"")&amp;IF($AI14=""," "," "&amp;$AI14&amp;"GA ")&amp;$BG14&amp;" "&amp;IF($AN14="",IFERROR(VLOOKUP($Z14,CODES,2,FALSE),""),IFERROR(VLOOKUP($AN14,CODES,2,FALSE),""))&amp;IF($BJ14=2," PAIR","")&amp;" DOOR | "&amp;IF($AL14="","?",$AL14)&amp;" | "&amp;IF($AO14="",IFERROR(VLOOKUP($AC14,CODES,2,FALSE),""),IFERROR(VLOOKUP($AO14,CODES,2,FALSE),""))&amp;" "&amp;IFERROR(VLOOKUP($AP14,CODES,2,FALSE),"")&amp;IF(OR($AQ14="",$AQ14="-"),""," SEAM "&amp;$AQ14)&amp;IF($AR14="Y"," ASTRAGAL","")&amp;IF($AJ14=""," "," "&amp;$AJ14)&amp;IF($AK14=""," "," "&amp;$AK14)&amp;IF(OR($AT14="",$AT14="ANSI/SDI",$AT14="CUSTOM LOC"),""," "&amp;$AT14)&amp;IF($AM14=""," "," SERIES "&amp;$AM14)&amp;" "&amp;IFERROR(VLOOKUP($H14,CODES,2,FALSE),"")&amp;IF($CT14," | LOC "&amp;$CZ14,"")))</f>
        <v/>
      </c>
      <c r="CL14" s="84">
        <f>IF(CP14="","",IF(COUNTIF($CP$6:CP14,CP14)=1,MAX($CL$5:CL13)+1,INDEX($CL$5:CL13,MATCH(CP14,$CP$5:CP13,0))))</f>
        <v/>
      </c>
      <c r="CM14" s="84">
        <f>IF(NOT(AND($A14&lt;&gt;"",$C14&lt;&gt;"DOOR ONLY")),"",MAX($CM$5:CM13)+1)</f>
        <v/>
      </c>
      <c r="CN14" s="84">
        <f>IF(NOT(AND($A14&lt;&gt;"",N($BJ14)&gt;0)),"",MAX($CN$5:CN13)+1)</f>
        <v/>
      </c>
      <c r="CO14" s="84">
        <f>IF($A14="","",MAX($CO$5:CO13)+1)</f>
        <v/>
      </c>
      <c r="CP14" s="84">
        <f>IF(OR($A14="",$BH14="",$BI14=""),"",$BG14&amp;"|"&amp;$O14&amp;"|"&amp;$AL14&amp;"|"&amp;$S14&amp;"|"&amp;$P14&amp;"|"&amp;$Q14&amp;$R14&amp;"|"&amp;$C14&amp;"|"&amp;$AB14)</f>
        <v/>
      </c>
      <c r="CQ14" s="84">
        <f>N($BS14)</f>
        <v/>
      </c>
      <c r="CR14" s="84">
        <f>IF(N($AU14)&gt;0,N($AU14),4.5)</f>
        <v/>
      </c>
      <c r="CS14" s="84">
        <f>OR($A14="",$BI14="",$S14="BL",AND($C14="FRAME ONLY",OR($AC14="",$AC14="BLK")))</f>
        <v/>
      </c>
      <c r="CT14" s="84">
        <f>AND(NOT($CS14),OR($AT14="CUSTOM LOC",N($AW14)+N($AX14)+N($AY14)+N($AZ14)+N($BA14)&gt;0))</f>
        <v/>
      </c>
      <c r="CU14" s="84">
        <f>IF($BI14="","",IF($BI14&lt;=80,80,IF($BI14&lt;=84,84,96)))</f>
        <v/>
      </c>
      <c r="CV14" s="84">
        <f>ISNUMBER(MATCH($AT14&amp;"|80",LocKeys,0))</f>
        <v/>
      </c>
      <c r="CW14" s="86">
        <f>IF($CS14,"",IF($CV14,VLOOKUP($AT14&amp;"|"&amp;$CU14,LocTable,4,FALSE),5))</f>
        <v/>
      </c>
      <c r="CX14" s="86">
        <f>IF($CS14,"",IF($CV14,IF(OR($BI14=$CU14,AND($BI14&lt;$CU14,$BI14-IF(N(VLOOKUP($AT14&amp;"|"&amp;$CU14,LocTable,7,FALSE))&gt;0,VLOOKUP($AT14&amp;"|"&amp;$CU14,LocTable,7,FALSE),VLOOKUP($AT14&amp;"|"&amp;$CU14,LocTable,6,FALSE))-$CR14-0.75&gt;=2.125)),IF(N(VLOOKUP($AT14&amp;"|"&amp;$CU14,LocTable,7,FALSE))&gt;0,VLOOKUP($AT14&amp;"|"&amp;$CU14,LocTable,7,FALSE),VLOOKUP($AT14&amp;"|"&amp;$CU14,LocTable,6,FALSE)),$BI14-($CU14-IF(N(VLOOKUP($AT14&amp;"|"&amp;$CU14,LocTable,7,FALSE))&gt;0,VLOOKUP($AT14&amp;"|"&amp;$CU14,LocTable,7,FALSE),VLOOKUP($AT14&amp;"|"&amp;$CU14,LocTable,6,FALSE)))),$BI14-10-$CR14))</f>
        <v/>
      </c>
      <c r="CY14" s="85">
        <f>IF($CS14,"",TRIM(IF(ISNUMBER($BU14),"A "&amp;TRIM(TEXT($BU14,"# ?/??"))&amp;CHAR(34)&amp;"  ","")&amp;IF(ISNUMBER($BV14),"B "&amp;TRIM(TEXT($BV14,"# ?/??"))&amp;CHAR(34)&amp;"  ","")&amp;IF(ISNUMBER($BW14),"C "&amp;TRIM(TEXT($BW14,"# ?/??"))&amp;CHAR(34)&amp;"  ","")&amp;IF(ISNUMBER($BX14),"D "&amp;TRIM(TEXT($BX14,"# ?/??"))&amp;CHAR(34)&amp;"  ","")&amp;IF(ISNUMBER($BY14),"F "&amp;TRIM(TEXT($BY14,"# ?/??"))&amp;CHAR(34)&amp;"  ","")&amp;IF(ISNUMBER($BZ14),"E "&amp;TRIM(TEXT($BZ14,"# ?/??"))&amp;CHAR(34)&amp;"  ","")))</f>
        <v/>
      </c>
      <c r="CZ14" s="85">
        <f>IF(OR($CS14,N($BJ14)=0),"",TRIM(IF(ISNUMBER($BU14),"A "&amp;TRIM(TEXT($BU14-HeadClr,"# ?/??"))&amp;CHAR(34)&amp;"  ","")&amp;IF(ISNUMBER($BV14),"B "&amp;TRIM(TEXT($BV14-HeadClr,"# ?/??"))&amp;CHAR(34)&amp;"  ","")&amp;IF(ISNUMBER($BW14),"C "&amp;TRIM(TEXT($BW14-HeadClr,"# ?/??"))&amp;CHAR(34)&amp;"  ","")&amp;IF(ISNUMBER($BX14),"D "&amp;TRIM(TEXT($BX14-HeadClr,"# ?/??"))&amp;CHAR(34)&amp;"  ","")&amp;IF(ISNUMBER($BY14),"F "&amp;TRIM(TEXT($BY14-HeadClr,"# ?/??"))&amp;CHAR(34)&amp;"  ","")&amp;IF(ISNUMBER($BZ14),"E "&amp;TRIM(TEXT($BZ14-HeadClr,"# ?/??"))&amp;CHAR(34)&amp;"  ","")))</f>
        <v/>
      </c>
      <c r="DA14" s="84">
        <f>IF($A14="","",IF($AN14="",IFERROR(VLOOKUP($Z14,CODES,2,FALSE),""),IFERROR(VLOOKUP($AN14,CODES,2,FALSE),"")))</f>
        <v/>
      </c>
      <c r="DB14" s="84">
        <f>IF($A14="","",IF($O14="Y","PR",IF(OR($Z14="L",$Z14="RR",LEFT($Z14,2)="L-",LEFT($Z14,3)="RR-"),"LH","RH")))</f>
        <v/>
      </c>
      <c r="DC14" s="84">
        <f>IF($A14="","","S.HM"&amp;IF(OR($C14="DOOR ONLY",$X14&lt;&gt;"KD"),"MASONRY","DRYWALL")&amp;IF($C14="DOOR ONLY","",$U14)&amp;IF(AND($C14&lt;&gt;"FRAME ONLY",OR(LEFT($AH14,3)="OAK",LEFT($AH14,3)="BIR",LEFT($AH14,3)="MAP",$AH14="PC",$AH14="MC",$AH14="SCLC",$AH14="P-LAM")),"WD","HM")&amp;"1.75")</f>
        <v/>
      </c>
      <c r="DD14" s="84">
        <f>IF($CJ14="","",IF($O14="Y",$CJ14,SUBSTITUTE($CJ14,$BG14&amp;" "&amp;IFERROR(VLOOKUP($Z14,CODES,2,FALSE),"")&amp;" ",$BG14&amp;" ")))</f>
        <v/>
      </c>
      <c r="DE14" s="84">
        <f>IF($CK14="","",IF($O14="Y",$CK14,SUBSTITUTE($CK14,$BG14&amp;" "&amp;IF($AN14="",IFERROR(VLOOKUP($Z14,CODES,2,FALSE),""),IFERROR(VLOOKUP($AN14,CODES,2,FALSE),""))&amp;" ",$BG14&amp;" ")))</f>
        <v/>
      </c>
      <c r="DF14" s="84">
        <f>IF($CJ14="","",$DC14&amp;"|"&amp;$DD14&amp;"|"&amp;$DB14&amp;"|"&amp;$AT14&amp;"|"&amp;$V14&amp;"|"&amp;$Y14&amp;"|"&amp;$AB14)</f>
        <v/>
      </c>
      <c r="DG14" s="84">
        <f>IF(DF14="","",IF(COUNTIF($DF$6:DF14,DF14)=1,MAX($DG$5:DG13)+1,INDEX($DG$5:DG13,MATCH(DF14,$DF$5:DF13,0))))</f>
        <v/>
      </c>
      <c r="DH14" s="84">
        <f>IF($CK14="","",$DC14&amp;"|"&amp;$DE14&amp;"|"&amp;$AI14&amp;"|"&amp;$BK14&amp;"|"&amp;$BL14)</f>
        <v/>
      </c>
      <c r="DI14" s="84">
        <f>IF(DH14="","",IF(COUNTIF($DH$6:DH14,DH14)=1,MAX($DI$5:DI13)+1,INDEX($DI$5:DI13,MATCH(DH14,$DH$5:DH13,0))))</f>
        <v/>
      </c>
      <c r="DJ14" s="84">
        <f>IF($A14="","",IF($B14="","qty, ","")&amp;IF($C14="","scope, ","")&amp;IF(OR($K14="",$M14=""),"size, ","")&amp;IF(AND($A14&lt;&gt;"",$C14&lt;&gt;"DOOR ONLY"),IF($U14="","jamb depth, ","")&amp;IF($X14="","construction, ","")&amp;IF($Y14="","anchor, ","")&amp;IF($S14="","frame type, ",""),"")&amp;IF(AND(N($BJ14)&gt;0,$Z14=""),"hand, ","")&amp;IF(N($BJ14)&gt;0,IF($AH14="","door material, ","")&amp;IF($AL14="","face type, ","")&amp;IF($AP14="","lock prep, ","")&amp;IF(AND($AO14="",$AC14=""),"hinge prep, ",""),"")&amp;IF(AND($CH14&gt;0,$AH14="FRP"),"FRP cannot carry a label, ","")&amp;IF(AND($O14="Y",OR($Z14="L",$Z14="R",$Z14="LR",$Z14="RR")),"pair marked but hand is single, ","")&amp;IF(AND($O14&lt;&gt;"Y",OR($Z14="PR",AND(LEN($Z14)&gt;1,ISNUMBER(SEARCH("-",$Z14))))),"pair hand on a single door, ","")&amp;IF(AND(ISNUMBER($CI14),$CH14&lt;N($CI14)),"wall needs a "&amp;$CI14&amp;" min door, ","")&amp;IF(AND($CH14&gt;=180,AND(OR($CE14="FG",$CE14="HG",$CE14="FNV",$CE14="FV"),N($CF14)*N($CG14)&gt;100)),"180 min lite over 100 sq in, ","")&amp;IF(N($BK14)&gt;48,"leaf wider than 4'-0"&amp;CHAR(34)&amp;", ","")&amp;IF(AND($CT14,COUNT($AW14:$AZ14)=0,$CQ14&gt;0),"CUSTOM LOC with no locations typed, ",""))</f>
        <v/>
      </c>
      <c r="DK14" s="84">
        <f>IF($A14="","",IF(AND($CH14&gt;0,AND($A14&lt;&gt;"",$C14&lt;&gt;"DOOR ONLY"),$X14="KD",$E14="EXTERIOR"),"KD label on an exterior opening, ","")&amp;IF(AND($E14="EXTERIOR",OR(AND(AND($A14&lt;&gt;"",$C14&lt;&gt;"DOOR ONLY"),$W14="CR"),AND(N($BJ14)&gt;0,$AH14="CR"))),"exterior in CR steel (G9?), ","")&amp;IF(AND(ISNUMBER($BQ14),N($BQ14)&lt;32),"clear width ~"&amp;TEXT($BQ14,"0.0")&amp;CHAR(34)&amp;" under 32"&amp;CHAR(34)&amp;" (ADA), ","")&amp;IF(AND($CH14=90,AND(OR($CE14="FG",$CE14="HG",$CE14="FNV",$CE14="FV"),N($CF14)*N($CG14)&gt;100)),"90 min lite over 100 sq in (stair/exit), ","")&amp;IF(AND($CH14&gt;0,AND($A14&lt;&gt;"",$C14&lt;&gt;"DOOR ONLY"),OR($AF14="",$AF14="-")),"rated: closer reinf.?, ","")&amp;IF(OR($I14="CORRIDOR",$I14="SMOKE BARRIER"),"S label + smoke gasketing, ","")&amp;IF($CI14="?","wall type/hr not in IBC table, ","")&amp;IF(AND(N($BJ14)&gt;0,$BB14=""),"no hardware set, ","")&amp;IF(AND($BB14&lt;&gt;"",ISNA(MATCH($BB14&amp;"",HWSets,0))),"set "&amp;$BB14&amp;" not on HW Sets, ","")&amp;IF(N($BL14)&gt;96,"leaf over 8'-0"&amp;CHAR(34)&amp;" - check listing, ","")&amp;IF(AND($CT14,COUNT($AW14:$AZ14)&gt;0,COUNT($AW14:$AZ14)&lt;&gt;$CQ14),COUNT($AW14:$AZ14)&amp;" custom hinges typed, "&amp;$CQ14&amp;" expected, ","")&amp;IF(AND(ISNUMBER($CA14),OR(N($CA14)&lt;34,N($CA14)&gt;48)),"lock "&amp;TEXT($CA14,"0.0")&amp;CHAR(34)&amp;" AFF outside 34-48"&amp;CHAR(34)&amp;" (ADA), ","")&amp;IF(AND(ISNUMBER($AV14),ISNUMBER($BL14),N($AV14)&lt;IF(N($BL14)&lt;=60,2,IF(N($BL14)&lt;=90,3,IF(N($BL14)&lt;=120,4,5)))),"fewer hinges than standard, ",""))</f>
        <v/>
      </c>
    </row>
    <row r="15" ht="15" customHeight="1">
      <c r="A15" s="92" t="n"/>
      <c r="B15" s="93" t="n"/>
      <c r="C15" s="93" t="n"/>
      <c r="D15" s="93" t="n"/>
      <c r="E15" s="93" t="n"/>
      <c r="F15" s="93" t="n"/>
      <c r="G15" s="93" t="n"/>
      <c r="H15" s="93" t="n"/>
      <c r="I15" s="93" t="n"/>
      <c r="J15" s="93" t="n"/>
      <c r="K15" s="93" t="n"/>
      <c r="L15" s="93" t="n"/>
      <c r="M15" s="93" t="n"/>
      <c r="N15" s="93" t="n"/>
      <c r="O15" s="93" t="n"/>
      <c r="P15" s="93" t="n"/>
      <c r="Q15" s="93" t="n"/>
      <c r="R15" s="93" t="n"/>
      <c r="S15" s="94" t="n"/>
      <c r="T15" s="94" t="n"/>
      <c r="U15" s="94" t="n"/>
      <c r="V15" s="94" t="n"/>
      <c r="W15" s="94" t="n"/>
      <c r="X15" s="94" t="n"/>
      <c r="Y15" s="94" t="n"/>
      <c r="Z15" s="94" t="n"/>
      <c r="AA15" s="94" t="n"/>
      <c r="AB15" s="94" t="n"/>
      <c r="AC15" s="94" t="n"/>
      <c r="AD15" s="94" t="n"/>
      <c r="AE15" s="94" t="n"/>
      <c r="AF15" s="94" t="n"/>
      <c r="AG15" s="94" t="n"/>
      <c r="AH15" s="95" t="n"/>
      <c r="AI15" s="95" t="n"/>
      <c r="AJ15" s="95" t="n"/>
      <c r="AK15" s="95" t="n"/>
      <c r="AL15" s="95" t="n"/>
      <c r="AM15" s="95" t="n"/>
      <c r="AN15" s="95" t="n"/>
      <c r="AO15" s="95" t="n"/>
      <c r="AP15" s="95" t="n"/>
      <c r="AQ15" s="95" t="n"/>
      <c r="AR15" s="95" t="n"/>
      <c r="AS15" s="95" t="n"/>
      <c r="AT15" s="96" t="n"/>
      <c r="AU15" s="96" t="n"/>
      <c r="AV15" s="96" t="n"/>
      <c r="AW15" s="97" t="n"/>
      <c r="AX15" s="97" t="n"/>
      <c r="AY15" s="97" t="n"/>
      <c r="AZ15" s="97" t="n"/>
      <c r="BA15" s="97" t="n"/>
      <c r="BB15" s="98" t="n"/>
      <c r="BC15" s="98" t="n"/>
      <c r="BD15" s="99">
        <f>IF($A15="","",IF($DJ15&lt;&gt;"","FIX",IF($DK15&lt;&gt;"","CHECK","OK")))</f>
        <v/>
      </c>
      <c r="BE15" s="100">
        <f>IF($A15="","",IF($DJ15&lt;&gt;"","FIX: "&amp;LEFT($DJ15,LEN($DJ15)-2)&amp;IF($DK15&lt;&gt;"","  ·  ",""),"")&amp;IF($DK15&lt;&gt;"","CHECK: "&amp;LEFT($DK15,LEN($DK15)-2),""))</f>
        <v/>
      </c>
      <c r="BF15" s="99">
        <f>IF(OR($A15="",$K15=""),"",$K15&amp;"'-"&amp;N($L15)&amp;CHAR(34)&amp;" x "&amp;$M15&amp;"'-"&amp;N($N15)&amp;CHAR(34))</f>
        <v/>
      </c>
      <c r="BG15" s="99">
        <f>IF(OR($A15="",$K15=""),"",$K15&amp;N($L15)&amp;$M15&amp;N($N15))</f>
        <v/>
      </c>
      <c r="BH15" s="99">
        <f>IF(OR($A15="",$K15=""),"",$K15*12+N($L15))</f>
        <v/>
      </c>
      <c r="BI15" s="99">
        <f>IF(OR($A15="",$M15=""),"",$M15*12+N($N15))</f>
        <v/>
      </c>
      <c r="BJ15" s="99">
        <f>IF($A15="","",IF(OR($C15="FRAME ONLY",$S15="BL"),0,IF($O15="Y",2,1)))</f>
        <v/>
      </c>
      <c r="BK15" s="101">
        <f>IF(OR(N($BJ15)=0,$BH15=""),"",($BH15-2*EdgeClr-IF($BJ15=2,MeetClr,0))/$BJ15)</f>
        <v/>
      </c>
      <c r="BL15" s="101">
        <f>IF(OR(N($BJ15)=0,$BI15=""),"",$BI15-HeadClr-Undercut)</f>
        <v/>
      </c>
      <c r="BM15" s="101">
        <f>IF($BH15="","",$BH15+2*FaceW+IF(N($Q15)&gt;0,($Q15+FaceW)*IF($R15="LR",2,1),0))</f>
        <v/>
      </c>
      <c r="BN15" s="101">
        <f>IF($BI15="","",$BI15+IF($AB15="Y",4,FaceW)+IF(N($P15)&gt;0,$P15+FaceW,0)+IF(OR($S15="4F",$S15="BL"),FaceW,0))</f>
        <v/>
      </c>
      <c r="BO15" s="101">
        <f>IF($BM15="","",$BM15+2*ROSide)</f>
        <v/>
      </c>
      <c r="BP15" s="101">
        <f>IF($BN15="","",$BN15+ROTop)</f>
        <v/>
      </c>
      <c r="BQ15" s="102">
        <f>IF(OR(N($BJ15)=0,$BH15=""),"",$BH15/$BJ15-ClearDeduct)</f>
        <v/>
      </c>
      <c r="BR15" s="99">
        <f>IF(N($CH15)=0,"",IF($CH15&gt;=180,"A · 3 HR",IF($CH15&gt;=90,"B · 1-1/2 HR",IF($CH15&gt;=60,"B · 1 HR",IF($CH15&gt;=45,"C · 3/4 HR","20 MIN")))))&amp;IF(AND(N($CH15)&gt;0,OR($I15="CORRIDOR",$I15="SMOKE BARRIER"))," · S","")</f>
        <v/>
      </c>
      <c r="BS15" s="99">
        <f>IF($CS15,"",IF($AV15&lt;&gt;"",$AV15,IF(OR($AC15="HGC",$AO15="HGC"),"CONT",IF(($BI15-HeadClr-Undercut)&lt;=60,2,IF(($BI15-HeadClr-Undercut)&lt;=90,3,IF(($BI15-HeadClr-Undercut)&lt;=120,4,5))))))</f>
        <v/>
      </c>
      <c r="BT15" s="99">
        <f>IF($CS15,"",IF($CT15,"CUSTOM (typed)",IF($CV15,$AT15&amp;" "&amp;$CU15&amp;CHAR(34)&amp;IF($CU15&lt;&gt;$BI15,IF(AND($BI15&lt;$CU15,$BI15-IF(N(VLOOKUP($AT15&amp;"|"&amp;$CU15,LocTable,7,FALSE))&gt;0,VLOOKUP($AT15&amp;"|"&amp;$CU15,LocTable,7,FALSE),VLOOKUP($AT15&amp;"|"&amp;$CU15,LocTable,6,FALSE))-$CR15-0.75&gt;=2.125)," cut down"," adj."),""),"ANSI/SDI A250.6")))</f>
        <v/>
      </c>
      <c r="BU15" s="103">
        <f>IF($CS15,"",IF($CT15,IF(N($AW15)&gt;0,N($AW15),""),IF(1&gt;$CQ15,"",IF($CQ15=1,$CW15,$CW15+($CX15-$CW15)*0/($CQ15-1)))))</f>
        <v/>
      </c>
      <c r="BV15" s="103">
        <f>IF($CS15,"",IF($CT15,IF(N($AX15)&gt;0,N($AX15),""),IF(2&gt;$CQ15,"",IF($CQ15=1,$CW15,$CW15+($CX15-$CW15)*1/($CQ15-1)))))</f>
        <v/>
      </c>
      <c r="BW15" s="103">
        <f>IF($CS15,"",IF($CT15,IF(N($AY15)&gt;0,N($AY15),""),IF(3&gt;$CQ15,"",IF($CQ15=1,$CW15,$CW15+($CX15-$CW15)*2/($CQ15-1)))))</f>
        <v/>
      </c>
      <c r="BX15" s="103">
        <f>IF($CS15,"",IF($CT15,IF(N($AZ15)&gt;0,N($AZ15),""),IF(4&gt;$CQ15,"",IF($CQ15=1,$CW15,$CW15+($CX15-$CW15)*3/($CQ15-1)))))</f>
        <v/>
      </c>
      <c r="BY15" s="103">
        <f>IF($CS15,"",IF($CT15,"",IF(5&gt;$CQ15,"",IF($CQ15=1,$CW15,$CW15+($CX15-$CW15)*4/($CQ15-1)))))</f>
        <v/>
      </c>
      <c r="BZ15" s="103">
        <f>IF(OR($CS15,$AP15="-",AND($AP15="",$AD15="")),"",IF(N($BA15)&gt;0,N($BA15),IF($CV15,IF(AND($BI15&lt;$CU15,$BI15-IF(N(VLOOKUP($AT15&amp;"|"&amp;$CU15,LocTable,7,FALSE))&gt;0,VLOOKUP($AT15&amp;"|"&amp;$CU15,LocTable,7,FALSE),VLOOKUP($AT15&amp;"|"&amp;$CU15,LocTable,6,FALSE))-$CR15-0.75&gt;=2.125),VLOOKUP($AT15&amp;"|"&amp;$CU15,LocTable,8,FALSE),VLOOKUP($AT15&amp;"|"&amp;$CU15,LocTable,8,FALSE)+($BI15-$CU15)),$BI15-LockAFF)))</f>
        <v/>
      </c>
      <c r="CA15" s="104">
        <f>IF($BZ15="","",$BI15-$BZ15)</f>
        <v/>
      </c>
      <c r="CB15" s="99">
        <f>IF(OR(NOT(AND($A15&lt;&gt;"",$C15&lt;&gt;"DOOR ONLY")),$BI15=""),"",IF(($BI15+IF(N($P15)&gt;0,$P15+FaceW,0))&lt;=90,3,IF(($BI15+IF(N($P15)&gt;0,$P15+FaceW,0))&lt;=114,4,5)))</f>
        <v/>
      </c>
      <c r="CC15" s="99">
        <f>IF($CB15="","",$CB15*(2+IF(N($Q15)&gt;0,IF($R15="LR",2,1),0)))</f>
        <v/>
      </c>
      <c r="CD15" s="99">
        <f>IF($CB15="","",(2+IF(N($Q15)&gt;0,IF($R15="LR",2,1),0)))</f>
        <v/>
      </c>
      <c r="CE15" s="99">
        <f>IF(N($BJ15)=0,"",IF(OR($AL15="",$AL15="FLUSH"),"FLUSH",IFERROR(LEFT($AL15,FIND("-",$AL15)-1),LEFT($AL15,2))))</f>
        <v/>
      </c>
      <c r="CF15" s="99">
        <f>IF($CE15="","",IFERROR(VALUE(MID($AL15,FIND("-",$AL15)+1,FIND(CHAR(34)&amp;"x",$AL15)-FIND("-",$AL15)-1)),0))</f>
        <v/>
      </c>
      <c r="CG15" s="99">
        <f>IF($CE15="","",IFERROR(VALUE(MID($AL15,FIND(CHAR(34)&amp;"x",$AL15)+2,FIND(CHAR(34),$AL15,FIND(CHAR(34)&amp;"x",$AL15)+2)-FIND(CHAR(34)&amp;"x",$AL15)-2)),0))</f>
        <v/>
      </c>
      <c r="CH15" s="105">
        <f>IF(OR($A15="",$H15="",$H15="NO LAB"),0,IFERROR(VALUE(LEFT($H15,FIND(" ",$H15)-1)),0))</f>
        <v/>
      </c>
      <c r="CI15" s="106">
        <f>IF(OR($A15="",$I15="",$I15="NON-RATED",N($J15)=0),"",IFERROR(VLOOKUP($I15&amp;"|"&amp;$J15,IBC,2,FALSE),"?"))</f>
        <v/>
      </c>
      <c r="CJ15" s="100">
        <f>IF(NOT(AND($A15&lt;&gt;"",$C15&lt;&gt;"DOOR ONLY")),"",TRIM(IFERROR(VLOOKUP($U15,CODES,2,FALSE),"")&amp;" "&amp;$BG15&amp;" "&amp;IFERROR(VLOOKUP($Z15,CODES,2,FALSE),"")&amp;" "&amp;IFERROR(VLOOKUP($X15,CODES,2,FALSE),"")&amp;" "&amp;IFERROR(VLOOKUP($S15,CODES,2,FALSE),"")&amp;IF(N($P15)&gt;0," w/TRANSOM "&amp;$P15&amp;CHAR(34),"")&amp;IF(N($Q15)&gt;0," w/SIDELITE "&amp;$Q15&amp;CHAR(34)&amp;" "&amp;IF($R15="","R",$R15),"")&amp;IF($Y15="","  |  "," | "&amp;IFERROR(VLOOKUP($Y15,CODES,2,FALSE),"")&amp;" | ")&amp;IFERROR(VLOOKUP($AC15,CODES,2,FALSE),"")&amp;" "&amp;IFERROR(VLOOKUP($AD15,CODES,2,FALSE),"")&amp;IF(OR($AE15="",$AE15="-"),""," "&amp;$AE15)&amp;IF(OR($AF15="",$AF15="-"),""," "&amp;$AF15)&amp;IF($AB15="Y"," 4"&amp;CHAR(34)&amp;" HEAD","")&amp;" "&amp;IFERROR(VLOOKUP($H15,CODES,2,FALSE),"")&amp;IF($CT15," | LOC "&amp;$CY15,"")))</f>
        <v/>
      </c>
      <c r="CK15" s="100">
        <f>IF(NOT(AND($A15&lt;&gt;"",N($BJ15)&gt;0)),"",TRIM(IFERROR(VLOOKUP($AH15,CODES,2,FALSE),"")&amp;IF($AI15=""," "," "&amp;$AI15&amp;"GA ")&amp;$BG15&amp;" "&amp;IF($AN15="",IFERROR(VLOOKUP($Z15,CODES,2,FALSE),""),IFERROR(VLOOKUP($AN15,CODES,2,FALSE),""))&amp;IF($BJ15=2," PAIR","")&amp;" DOOR | "&amp;IF($AL15="","?",$AL15)&amp;" | "&amp;IF($AO15="",IFERROR(VLOOKUP($AC15,CODES,2,FALSE),""),IFERROR(VLOOKUP($AO15,CODES,2,FALSE),""))&amp;" "&amp;IFERROR(VLOOKUP($AP15,CODES,2,FALSE),"")&amp;IF(OR($AQ15="",$AQ15="-"),""," SEAM "&amp;$AQ15)&amp;IF($AR15="Y"," ASTRAGAL","")&amp;IF($AJ15=""," "," "&amp;$AJ15)&amp;IF($AK15=""," "," "&amp;$AK15)&amp;IF(OR($AT15="",$AT15="ANSI/SDI",$AT15="CUSTOM LOC"),""," "&amp;$AT15)&amp;IF($AM15=""," "," SERIES "&amp;$AM15)&amp;" "&amp;IFERROR(VLOOKUP($H15,CODES,2,FALSE),"")&amp;IF($CT15," | LOC "&amp;$CZ15,"")))</f>
        <v/>
      </c>
      <c r="CL15" s="99">
        <f>IF(CP15="","",IF(COUNTIF($CP$6:CP15,CP15)=1,MAX($CL$5:CL14)+1,INDEX($CL$5:CL14,MATCH(CP15,$CP$5:CP14,0))))</f>
        <v/>
      </c>
      <c r="CM15" s="99">
        <f>IF(NOT(AND($A15&lt;&gt;"",$C15&lt;&gt;"DOOR ONLY")),"",MAX($CM$5:CM14)+1)</f>
        <v/>
      </c>
      <c r="CN15" s="99">
        <f>IF(NOT(AND($A15&lt;&gt;"",N($BJ15)&gt;0)),"",MAX($CN$5:CN14)+1)</f>
        <v/>
      </c>
      <c r="CO15" s="99">
        <f>IF($A15="","",MAX($CO$5:CO14)+1)</f>
        <v/>
      </c>
      <c r="CP15" s="99">
        <f>IF(OR($A15="",$BH15="",$BI15=""),"",$BG15&amp;"|"&amp;$O15&amp;"|"&amp;$AL15&amp;"|"&amp;$S15&amp;"|"&amp;$P15&amp;"|"&amp;$Q15&amp;$R15&amp;"|"&amp;$C15&amp;"|"&amp;$AB15)</f>
        <v/>
      </c>
      <c r="CQ15" s="99">
        <f>N($BS15)</f>
        <v/>
      </c>
      <c r="CR15" s="99">
        <f>IF(N($AU15)&gt;0,N($AU15),4.5)</f>
        <v/>
      </c>
      <c r="CS15" s="99">
        <f>OR($A15="",$BI15="",$S15="BL",AND($C15="FRAME ONLY",OR($AC15="",$AC15="BLK")))</f>
        <v/>
      </c>
      <c r="CT15" s="99">
        <f>AND(NOT($CS15),OR($AT15="CUSTOM LOC",N($AW15)+N($AX15)+N($AY15)+N($AZ15)+N($BA15)&gt;0))</f>
        <v/>
      </c>
      <c r="CU15" s="99">
        <f>IF($BI15="","",IF($BI15&lt;=80,80,IF($BI15&lt;=84,84,96)))</f>
        <v/>
      </c>
      <c r="CV15" s="99">
        <f>ISNUMBER(MATCH($AT15&amp;"|80",LocKeys,0))</f>
        <v/>
      </c>
      <c r="CW15" s="101">
        <f>IF($CS15,"",IF($CV15,VLOOKUP($AT15&amp;"|"&amp;$CU15,LocTable,4,FALSE),5))</f>
        <v/>
      </c>
      <c r="CX15" s="101">
        <f>IF($CS15,"",IF($CV15,IF(OR($BI15=$CU15,AND($BI15&lt;$CU15,$BI15-IF(N(VLOOKUP($AT15&amp;"|"&amp;$CU15,LocTable,7,FALSE))&gt;0,VLOOKUP($AT15&amp;"|"&amp;$CU15,LocTable,7,FALSE),VLOOKUP($AT15&amp;"|"&amp;$CU15,LocTable,6,FALSE))-$CR15-0.75&gt;=2.125)),IF(N(VLOOKUP($AT15&amp;"|"&amp;$CU15,LocTable,7,FALSE))&gt;0,VLOOKUP($AT15&amp;"|"&amp;$CU15,LocTable,7,FALSE),VLOOKUP($AT15&amp;"|"&amp;$CU15,LocTable,6,FALSE)),$BI15-($CU15-IF(N(VLOOKUP($AT15&amp;"|"&amp;$CU15,LocTable,7,FALSE))&gt;0,VLOOKUP($AT15&amp;"|"&amp;$CU15,LocTable,7,FALSE),VLOOKUP($AT15&amp;"|"&amp;$CU15,LocTable,6,FALSE)))),$BI15-10-$CR15))</f>
        <v/>
      </c>
      <c r="CY15" s="100">
        <f>IF($CS15,"",TRIM(IF(ISNUMBER($BU15),"A "&amp;TRIM(TEXT($BU15,"# ?/??"))&amp;CHAR(34)&amp;"  ","")&amp;IF(ISNUMBER($BV15),"B "&amp;TRIM(TEXT($BV15,"# ?/??"))&amp;CHAR(34)&amp;"  ","")&amp;IF(ISNUMBER($BW15),"C "&amp;TRIM(TEXT($BW15,"# ?/??"))&amp;CHAR(34)&amp;"  ","")&amp;IF(ISNUMBER($BX15),"D "&amp;TRIM(TEXT($BX15,"# ?/??"))&amp;CHAR(34)&amp;"  ","")&amp;IF(ISNUMBER($BY15),"F "&amp;TRIM(TEXT($BY15,"# ?/??"))&amp;CHAR(34)&amp;"  ","")&amp;IF(ISNUMBER($BZ15),"E "&amp;TRIM(TEXT($BZ15,"# ?/??"))&amp;CHAR(34)&amp;"  ","")))</f>
        <v/>
      </c>
      <c r="CZ15" s="100">
        <f>IF(OR($CS15,N($BJ15)=0),"",TRIM(IF(ISNUMBER($BU15),"A "&amp;TRIM(TEXT($BU15-HeadClr,"# ?/??"))&amp;CHAR(34)&amp;"  ","")&amp;IF(ISNUMBER($BV15),"B "&amp;TRIM(TEXT($BV15-HeadClr,"# ?/??"))&amp;CHAR(34)&amp;"  ","")&amp;IF(ISNUMBER($BW15),"C "&amp;TRIM(TEXT($BW15-HeadClr,"# ?/??"))&amp;CHAR(34)&amp;"  ","")&amp;IF(ISNUMBER($BX15),"D "&amp;TRIM(TEXT($BX15-HeadClr,"# ?/??"))&amp;CHAR(34)&amp;"  ","")&amp;IF(ISNUMBER($BY15),"F "&amp;TRIM(TEXT($BY15-HeadClr,"# ?/??"))&amp;CHAR(34)&amp;"  ","")&amp;IF(ISNUMBER($BZ15),"E "&amp;TRIM(TEXT($BZ15-HeadClr,"# ?/??"))&amp;CHAR(34)&amp;"  ","")))</f>
        <v/>
      </c>
      <c r="DA15" s="99">
        <f>IF($A15="","",IF($AN15="",IFERROR(VLOOKUP($Z15,CODES,2,FALSE),""),IFERROR(VLOOKUP($AN15,CODES,2,FALSE),"")))</f>
        <v/>
      </c>
      <c r="DB15" s="99">
        <f>IF($A15="","",IF($O15="Y","PR",IF(OR($Z15="L",$Z15="RR",LEFT($Z15,2)="L-",LEFT($Z15,3)="RR-"),"LH","RH")))</f>
        <v/>
      </c>
      <c r="DC15" s="99">
        <f>IF($A15="","","S.HM"&amp;IF(OR($C15="DOOR ONLY",$X15&lt;&gt;"KD"),"MASONRY","DRYWALL")&amp;IF($C15="DOOR ONLY","",$U15)&amp;IF(AND($C15&lt;&gt;"FRAME ONLY",OR(LEFT($AH15,3)="OAK",LEFT($AH15,3)="BIR",LEFT($AH15,3)="MAP",$AH15="PC",$AH15="MC",$AH15="SCLC",$AH15="P-LAM")),"WD","HM")&amp;"1.75")</f>
        <v/>
      </c>
      <c r="DD15" s="99">
        <f>IF($CJ15="","",IF($O15="Y",$CJ15,SUBSTITUTE($CJ15,$BG15&amp;" "&amp;IFERROR(VLOOKUP($Z15,CODES,2,FALSE),"")&amp;" ",$BG15&amp;" ")))</f>
        <v/>
      </c>
      <c r="DE15" s="99">
        <f>IF($CK15="","",IF($O15="Y",$CK15,SUBSTITUTE($CK15,$BG15&amp;" "&amp;IF($AN15="",IFERROR(VLOOKUP($Z15,CODES,2,FALSE),""),IFERROR(VLOOKUP($AN15,CODES,2,FALSE),""))&amp;" ",$BG15&amp;" ")))</f>
        <v/>
      </c>
      <c r="DF15" s="99">
        <f>IF($CJ15="","",$DC15&amp;"|"&amp;$DD15&amp;"|"&amp;$DB15&amp;"|"&amp;$AT15&amp;"|"&amp;$V15&amp;"|"&amp;$Y15&amp;"|"&amp;$AB15)</f>
        <v/>
      </c>
      <c r="DG15" s="99">
        <f>IF(DF15="","",IF(COUNTIF($DF$6:DF15,DF15)=1,MAX($DG$5:DG14)+1,INDEX($DG$5:DG14,MATCH(DF15,$DF$5:DF14,0))))</f>
        <v/>
      </c>
      <c r="DH15" s="99">
        <f>IF($CK15="","",$DC15&amp;"|"&amp;$DE15&amp;"|"&amp;$AI15&amp;"|"&amp;$BK15&amp;"|"&amp;$BL15)</f>
        <v/>
      </c>
      <c r="DI15" s="99">
        <f>IF(DH15="","",IF(COUNTIF($DH$6:DH15,DH15)=1,MAX($DI$5:DI14)+1,INDEX($DI$5:DI14,MATCH(DH15,$DH$5:DH14,0))))</f>
        <v/>
      </c>
      <c r="DJ15" s="99">
        <f>IF($A15="","",IF($B15="","qty, ","")&amp;IF($C15="","scope, ","")&amp;IF(OR($K15="",$M15=""),"size, ","")&amp;IF(AND($A15&lt;&gt;"",$C15&lt;&gt;"DOOR ONLY"),IF($U15="","jamb depth, ","")&amp;IF($X15="","construction, ","")&amp;IF($Y15="","anchor, ","")&amp;IF($S15="","frame type, ",""),"")&amp;IF(AND(N($BJ15)&gt;0,$Z15=""),"hand, ","")&amp;IF(N($BJ15)&gt;0,IF($AH15="","door material, ","")&amp;IF($AL15="","face type, ","")&amp;IF($AP15="","lock prep, ","")&amp;IF(AND($AO15="",$AC15=""),"hinge prep, ",""),"")&amp;IF(AND($CH15&gt;0,$AH15="FRP"),"FRP cannot carry a label, ","")&amp;IF(AND($O15="Y",OR($Z15="L",$Z15="R",$Z15="LR",$Z15="RR")),"pair marked but hand is single, ","")&amp;IF(AND($O15&lt;&gt;"Y",OR($Z15="PR",AND(LEN($Z15)&gt;1,ISNUMBER(SEARCH("-",$Z15))))),"pair hand on a single door, ","")&amp;IF(AND(ISNUMBER($CI15),$CH15&lt;N($CI15)),"wall needs a "&amp;$CI15&amp;" min door, ","")&amp;IF(AND($CH15&gt;=180,AND(OR($CE15="FG",$CE15="HG",$CE15="FNV",$CE15="FV"),N($CF15)*N($CG15)&gt;100)),"180 min lite over 100 sq in, ","")&amp;IF(N($BK15)&gt;48,"leaf wider than 4'-0"&amp;CHAR(34)&amp;", ","")&amp;IF(AND($CT15,COUNT($AW15:$AZ15)=0,$CQ15&gt;0),"CUSTOM LOC with no locations typed, ",""))</f>
        <v/>
      </c>
      <c r="DK15" s="99">
        <f>IF($A15="","",IF(AND($CH15&gt;0,AND($A15&lt;&gt;"",$C15&lt;&gt;"DOOR ONLY"),$X15="KD",$E15="EXTERIOR"),"KD label on an exterior opening, ","")&amp;IF(AND($E15="EXTERIOR",OR(AND(AND($A15&lt;&gt;"",$C15&lt;&gt;"DOOR ONLY"),$W15="CR"),AND(N($BJ15)&gt;0,$AH15="CR"))),"exterior in CR steel (G9?), ","")&amp;IF(AND(ISNUMBER($BQ15),N($BQ15)&lt;32),"clear width ~"&amp;TEXT($BQ15,"0.0")&amp;CHAR(34)&amp;" under 32"&amp;CHAR(34)&amp;" (ADA), ","")&amp;IF(AND($CH15=90,AND(OR($CE15="FG",$CE15="HG",$CE15="FNV",$CE15="FV"),N($CF15)*N($CG15)&gt;100)),"90 min lite over 100 sq in (stair/exit), ","")&amp;IF(AND($CH15&gt;0,AND($A15&lt;&gt;"",$C15&lt;&gt;"DOOR ONLY"),OR($AF15="",$AF15="-")),"rated: closer reinf.?, ","")&amp;IF(OR($I15="CORRIDOR",$I15="SMOKE BARRIER"),"S label + smoke gasketing, ","")&amp;IF($CI15="?","wall type/hr not in IBC table, ","")&amp;IF(AND(N($BJ15)&gt;0,$BB15=""),"no hardware set, ","")&amp;IF(AND($BB15&lt;&gt;"",ISNA(MATCH($BB15&amp;"",HWSets,0))),"set "&amp;$BB15&amp;" not on HW Sets, ","")&amp;IF(N($BL15)&gt;96,"leaf over 8'-0"&amp;CHAR(34)&amp;" - check listing, ","")&amp;IF(AND($CT15,COUNT($AW15:$AZ15)&gt;0,COUNT($AW15:$AZ15)&lt;&gt;$CQ15),COUNT($AW15:$AZ15)&amp;" custom hinges typed, "&amp;$CQ15&amp;" expected, ","")&amp;IF(AND(ISNUMBER($CA15),OR(N($CA15)&lt;34,N($CA15)&gt;48)),"lock "&amp;TEXT($CA15,"0.0")&amp;CHAR(34)&amp;" AFF outside 34-48"&amp;CHAR(34)&amp;" (ADA), ","")&amp;IF(AND(ISNUMBER($AV15),ISNUMBER($BL15),N($AV15)&lt;IF(N($BL15)&lt;=60,2,IF(N($BL15)&lt;=90,3,IF(N($BL15)&lt;=120,4,5)))),"fewer hinges than standard, ",""))</f>
        <v/>
      </c>
    </row>
    <row r="16" ht="15" customHeight="1">
      <c r="A16" s="77" t="n"/>
      <c r="B16" s="78" t="n"/>
      <c r="C16" s="78" t="n"/>
      <c r="D16" s="78" t="n"/>
      <c r="E16" s="78" t="n"/>
      <c r="F16" s="78" t="n"/>
      <c r="G16" s="78" t="n"/>
      <c r="H16" s="78" t="n"/>
      <c r="I16" s="78" t="n"/>
      <c r="J16" s="78" t="n"/>
      <c r="K16" s="78" t="n"/>
      <c r="L16" s="78" t="n"/>
      <c r="M16" s="78" t="n"/>
      <c r="N16" s="78" t="n"/>
      <c r="O16" s="78" t="n"/>
      <c r="P16" s="78" t="n"/>
      <c r="Q16" s="78" t="n"/>
      <c r="R16" s="78" t="n"/>
      <c r="S16" s="79" t="n"/>
      <c r="T16" s="79" t="n"/>
      <c r="U16" s="79" t="n"/>
      <c r="V16" s="79" t="n"/>
      <c r="W16" s="79" t="n"/>
      <c r="X16" s="79" t="n"/>
      <c r="Y16" s="79" t="n"/>
      <c r="Z16" s="79" t="n"/>
      <c r="AA16" s="79" t="n"/>
      <c r="AB16" s="79" t="n"/>
      <c r="AC16" s="79" t="n"/>
      <c r="AD16" s="79" t="n"/>
      <c r="AE16" s="79" t="n"/>
      <c r="AF16" s="79" t="n"/>
      <c r="AG16" s="79" t="n"/>
      <c r="AH16" s="80" t="n"/>
      <c r="AI16" s="80" t="n"/>
      <c r="AJ16" s="80" t="n"/>
      <c r="AK16" s="80" t="n"/>
      <c r="AL16" s="80" t="n"/>
      <c r="AM16" s="80" t="n"/>
      <c r="AN16" s="80" t="n"/>
      <c r="AO16" s="80" t="n"/>
      <c r="AP16" s="80" t="n"/>
      <c r="AQ16" s="80" t="n"/>
      <c r="AR16" s="80" t="n"/>
      <c r="AS16" s="80" t="n"/>
      <c r="AT16" s="81" t="n"/>
      <c r="AU16" s="81" t="n"/>
      <c r="AV16" s="81" t="n"/>
      <c r="AW16" s="82" t="n"/>
      <c r="AX16" s="82" t="n"/>
      <c r="AY16" s="82" t="n"/>
      <c r="AZ16" s="82" t="n"/>
      <c r="BA16" s="82" t="n"/>
      <c r="BB16" s="83" t="n"/>
      <c r="BC16" s="83" t="n"/>
      <c r="BD16" s="84">
        <f>IF($A16="","",IF($DJ16&lt;&gt;"","FIX",IF($DK16&lt;&gt;"","CHECK","OK")))</f>
        <v/>
      </c>
      <c r="BE16" s="85">
        <f>IF($A16="","",IF($DJ16&lt;&gt;"","FIX: "&amp;LEFT($DJ16,LEN($DJ16)-2)&amp;IF($DK16&lt;&gt;"","  ·  ",""),"")&amp;IF($DK16&lt;&gt;"","CHECK: "&amp;LEFT($DK16,LEN($DK16)-2),""))</f>
        <v/>
      </c>
      <c r="BF16" s="84">
        <f>IF(OR($A16="",$K16=""),"",$K16&amp;"'-"&amp;N($L16)&amp;CHAR(34)&amp;" x "&amp;$M16&amp;"'-"&amp;N($N16)&amp;CHAR(34))</f>
        <v/>
      </c>
      <c r="BG16" s="84">
        <f>IF(OR($A16="",$K16=""),"",$K16&amp;N($L16)&amp;$M16&amp;N($N16))</f>
        <v/>
      </c>
      <c r="BH16" s="84">
        <f>IF(OR($A16="",$K16=""),"",$K16*12+N($L16))</f>
        <v/>
      </c>
      <c r="BI16" s="84">
        <f>IF(OR($A16="",$M16=""),"",$M16*12+N($N16))</f>
        <v/>
      </c>
      <c r="BJ16" s="84">
        <f>IF($A16="","",IF(OR($C16="FRAME ONLY",$S16="BL"),0,IF($O16="Y",2,1)))</f>
        <v/>
      </c>
      <c r="BK16" s="86">
        <f>IF(OR(N($BJ16)=0,$BH16=""),"",($BH16-2*EdgeClr-IF($BJ16=2,MeetClr,0))/$BJ16)</f>
        <v/>
      </c>
      <c r="BL16" s="86">
        <f>IF(OR(N($BJ16)=0,$BI16=""),"",$BI16-HeadClr-Undercut)</f>
        <v/>
      </c>
      <c r="BM16" s="86">
        <f>IF($BH16="","",$BH16+2*FaceW+IF(N($Q16)&gt;0,($Q16+FaceW)*IF($R16="LR",2,1),0))</f>
        <v/>
      </c>
      <c r="BN16" s="86">
        <f>IF($BI16="","",$BI16+IF($AB16="Y",4,FaceW)+IF(N($P16)&gt;0,$P16+FaceW,0)+IF(OR($S16="4F",$S16="BL"),FaceW,0))</f>
        <v/>
      </c>
      <c r="BO16" s="86">
        <f>IF($BM16="","",$BM16+2*ROSide)</f>
        <v/>
      </c>
      <c r="BP16" s="86">
        <f>IF($BN16="","",$BN16+ROTop)</f>
        <v/>
      </c>
      <c r="BQ16" s="87">
        <f>IF(OR(N($BJ16)=0,$BH16=""),"",$BH16/$BJ16-ClearDeduct)</f>
        <v/>
      </c>
      <c r="BR16" s="84">
        <f>IF(N($CH16)=0,"",IF($CH16&gt;=180,"A · 3 HR",IF($CH16&gt;=90,"B · 1-1/2 HR",IF($CH16&gt;=60,"B · 1 HR",IF($CH16&gt;=45,"C · 3/4 HR","20 MIN")))))&amp;IF(AND(N($CH16)&gt;0,OR($I16="CORRIDOR",$I16="SMOKE BARRIER"))," · S","")</f>
        <v/>
      </c>
      <c r="BS16" s="84">
        <f>IF($CS16,"",IF($AV16&lt;&gt;"",$AV16,IF(OR($AC16="HGC",$AO16="HGC"),"CONT",IF(($BI16-HeadClr-Undercut)&lt;=60,2,IF(($BI16-HeadClr-Undercut)&lt;=90,3,IF(($BI16-HeadClr-Undercut)&lt;=120,4,5))))))</f>
        <v/>
      </c>
      <c r="BT16" s="84">
        <f>IF($CS16,"",IF($CT16,"CUSTOM (typed)",IF($CV16,$AT16&amp;" "&amp;$CU16&amp;CHAR(34)&amp;IF($CU16&lt;&gt;$BI16,IF(AND($BI16&lt;$CU16,$BI16-IF(N(VLOOKUP($AT16&amp;"|"&amp;$CU16,LocTable,7,FALSE))&gt;0,VLOOKUP($AT16&amp;"|"&amp;$CU16,LocTable,7,FALSE),VLOOKUP($AT16&amp;"|"&amp;$CU16,LocTable,6,FALSE))-$CR16-0.75&gt;=2.125)," cut down"," adj."),""),"ANSI/SDI A250.6")))</f>
        <v/>
      </c>
      <c r="BU16" s="88">
        <f>IF($CS16,"",IF($CT16,IF(N($AW16)&gt;0,N($AW16),""),IF(1&gt;$CQ16,"",IF($CQ16=1,$CW16,$CW16+($CX16-$CW16)*0/($CQ16-1)))))</f>
        <v/>
      </c>
      <c r="BV16" s="88">
        <f>IF($CS16,"",IF($CT16,IF(N($AX16)&gt;0,N($AX16),""),IF(2&gt;$CQ16,"",IF($CQ16=1,$CW16,$CW16+($CX16-$CW16)*1/($CQ16-1)))))</f>
        <v/>
      </c>
      <c r="BW16" s="88">
        <f>IF($CS16,"",IF($CT16,IF(N($AY16)&gt;0,N($AY16),""),IF(3&gt;$CQ16,"",IF($CQ16=1,$CW16,$CW16+($CX16-$CW16)*2/($CQ16-1)))))</f>
        <v/>
      </c>
      <c r="BX16" s="88">
        <f>IF($CS16,"",IF($CT16,IF(N($AZ16)&gt;0,N($AZ16),""),IF(4&gt;$CQ16,"",IF($CQ16=1,$CW16,$CW16+($CX16-$CW16)*3/($CQ16-1)))))</f>
        <v/>
      </c>
      <c r="BY16" s="88">
        <f>IF($CS16,"",IF($CT16,"",IF(5&gt;$CQ16,"",IF($CQ16=1,$CW16,$CW16+($CX16-$CW16)*4/($CQ16-1)))))</f>
        <v/>
      </c>
      <c r="BZ16" s="88">
        <f>IF(OR($CS16,$AP16="-",AND($AP16="",$AD16="")),"",IF(N($BA16)&gt;0,N($BA16),IF($CV16,IF(AND($BI16&lt;$CU16,$BI16-IF(N(VLOOKUP($AT16&amp;"|"&amp;$CU16,LocTable,7,FALSE))&gt;0,VLOOKUP($AT16&amp;"|"&amp;$CU16,LocTable,7,FALSE),VLOOKUP($AT16&amp;"|"&amp;$CU16,LocTable,6,FALSE))-$CR16-0.75&gt;=2.125),VLOOKUP($AT16&amp;"|"&amp;$CU16,LocTable,8,FALSE),VLOOKUP($AT16&amp;"|"&amp;$CU16,LocTable,8,FALSE)+($BI16-$CU16)),$BI16-LockAFF)))</f>
        <v/>
      </c>
      <c r="CA16" s="89">
        <f>IF($BZ16="","",$BI16-$BZ16)</f>
        <v/>
      </c>
      <c r="CB16" s="84">
        <f>IF(OR(NOT(AND($A16&lt;&gt;"",$C16&lt;&gt;"DOOR ONLY")),$BI16=""),"",IF(($BI16+IF(N($P16)&gt;0,$P16+FaceW,0))&lt;=90,3,IF(($BI16+IF(N($P16)&gt;0,$P16+FaceW,0))&lt;=114,4,5)))</f>
        <v/>
      </c>
      <c r="CC16" s="84">
        <f>IF($CB16="","",$CB16*(2+IF(N($Q16)&gt;0,IF($R16="LR",2,1),0)))</f>
        <v/>
      </c>
      <c r="CD16" s="84">
        <f>IF($CB16="","",(2+IF(N($Q16)&gt;0,IF($R16="LR",2,1),0)))</f>
        <v/>
      </c>
      <c r="CE16" s="84">
        <f>IF(N($BJ16)=0,"",IF(OR($AL16="",$AL16="FLUSH"),"FLUSH",IFERROR(LEFT($AL16,FIND("-",$AL16)-1),LEFT($AL16,2))))</f>
        <v/>
      </c>
      <c r="CF16" s="84">
        <f>IF($CE16="","",IFERROR(VALUE(MID($AL16,FIND("-",$AL16)+1,FIND(CHAR(34)&amp;"x",$AL16)-FIND("-",$AL16)-1)),0))</f>
        <v/>
      </c>
      <c r="CG16" s="84">
        <f>IF($CE16="","",IFERROR(VALUE(MID($AL16,FIND(CHAR(34)&amp;"x",$AL16)+2,FIND(CHAR(34),$AL16,FIND(CHAR(34)&amp;"x",$AL16)+2)-FIND(CHAR(34)&amp;"x",$AL16)-2)),0))</f>
        <v/>
      </c>
      <c r="CH16" s="90">
        <f>IF(OR($A16="",$H16="",$H16="NO LAB"),0,IFERROR(VALUE(LEFT($H16,FIND(" ",$H16)-1)),0))</f>
        <v/>
      </c>
      <c r="CI16" s="91">
        <f>IF(OR($A16="",$I16="",$I16="NON-RATED",N($J16)=0),"",IFERROR(VLOOKUP($I16&amp;"|"&amp;$J16,IBC,2,FALSE),"?"))</f>
        <v/>
      </c>
      <c r="CJ16" s="85">
        <f>IF(NOT(AND($A16&lt;&gt;"",$C16&lt;&gt;"DOOR ONLY")),"",TRIM(IFERROR(VLOOKUP($U16,CODES,2,FALSE),"")&amp;" "&amp;$BG16&amp;" "&amp;IFERROR(VLOOKUP($Z16,CODES,2,FALSE),"")&amp;" "&amp;IFERROR(VLOOKUP($X16,CODES,2,FALSE),"")&amp;" "&amp;IFERROR(VLOOKUP($S16,CODES,2,FALSE),"")&amp;IF(N($P16)&gt;0," w/TRANSOM "&amp;$P16&amp;CHAR(34),"")&amp;IF(N($Q16)&gt;0," w/SIDELITE "&amp;$Q16&amp;CHAR(34)&amp;" "&amp;IF($R16="","R",$R16),"")&amp;IF($Y16="","  |  "," | "&amp;IFERROR(VLOOKUP($Y16,CODES,2,FALSE),"")&amp;" | ")&amp;IFERROR(VLOOKUP($AC16,CODES,2,FALSE),"")&amp;" "&amp;IFERROR(VLOOKUP($AD16,CODES,2,FALSE),"")&amp;IF(OR($AE16="",$AE16="-"),""," "&amp;$AE16)&amp;IF(OR($AF16="",$AF16="-"),""," "&amp;$AF16)&amp;IF($AB16="Y"," 4"&amp;CHAR(34)&amp;" HEAD","")&amp;" "&amp;IFERROR(VLOOKUP($H16,CODES,2,FALSE),"")&amp;IF($CT16," | LOC "&amp;$CY16,"")))</f>
        <v/>
      </c>
      <c r="CK16" s="85">
        <f>IF(NOT(AND($A16&lt;&gt;"",N($BJ16)&gt;0)),"",TRIM(IFERROR(VLOOKUP($AH16,CODES,2,FALSE),"")&amp;IF($AI16=""," "," "&amp;$AI16&amp;"GA ")&amp;$BG16&amp;" "&amp;IF($AN16="",IFERROR(VLOOKUP($Z16,CODES,2,FALSE),""),IFERROR(VLOOKUP($AN16,CODES,2,FALSE),""))&amp;IF($BJ16=2," PAIR","")&amp;" DOOR | "&amp;IF($AL16="","?",$AL16)&amp;" | "&amp;IF($AO16="",IFERROR(VLOOKUP($AC16,CODES,2,FALSE),""),IFERROR(VLOOKUP($AO16,CODES,2,FALSE),""))&amp;" "&amp;IFERROR(VLOOKUP($AP16,CODES,2,FALSE),"")&amp;IF(OR($AQ16="",$AQ16="-"),""," SEAM "&amp;$AQ16)&amp;IF($AR16="Y"," ASTRAGAL","")&amp;IF($AJ16=""," "," "&amp;$AJ16)&amp;IF($AK16=""," "," "&amp;$AK16)&amp;IF(OR($AT16="",$AT16="ANSI/SDI",$AT16="CUSTOM LOC"),""," "&amp;$AT16)&amp;IF($AM16=""," "," SERIES "&amp;$AM16)&amp;" "&amp;IFERROR(VLOOKUP($H16,CODES,2,FALSE),"")&amp;IF($CT16," | LOC "&amp;$CZ16,"")))</f>
        <v/>
      </c>
      <c r="CL16" s="84">
        <f>IF(CP16="","",IF(COUNTIF($CP$6:CP16,CP16)=1,MAX($CL$5:CL15)+1,INDEX($CL$5:CL15,MATCH(CP16,$CP$5:CP15,0))))</f>
        <v/>
      </c>
      <c r="CM16" s="84">
        <f>IF(NOT(AND($A16&lt;&gt;"",$C16&lt;&gt;"DOOR ONLY")),"",MAX($CM$5:CM15)+1)</f>
        <v/>
      </c>
      <c r="CN16" s="84">
        <f>IF(NOT(AND($A16&lt;&gt;"",N($BJ16)&gt;0)),"",MAX($CN$5:CN15)+1)</f>
        <v/>
      </c>
      <c r="CO16" s="84">
        <f>IF($A16="","",MAX($CO$5:CO15)+1)</f>
        <v/>
      </c>
      <c r="CP16" s="84">
        <f>IF(OR($A16="",$BH16="",$BI16=""),"",$BG16&amp;"|"&amp;$O16&amp;"|"&amp;$AL16&amp;"|"&amp;$S16&amp;"|"&amp;$P16&amp;"|"&amp;$Q16&amp;$R16&amp;"|"&amp;$C16&amp;"|"&amp;$AB16)</f>
        <v/>
      </c>
      <c r="CQ16" s="84">
        <f>N($BS16)</f>
        <v/>
      </c>
      <c r="CR16" s="84">
        <f>IF(N($AU16)&gt;0,N($AU16),4.5)</f>
        <v/>
      </c>
      <c r="CS16" s="84">
        <f>OR($A16="",$BI16="",$S16="BL",AND($C16="FRAME ONLY",OR($AC16="",$AC16="BLK")))</f>
        <v/>
      </c>
      <c r="CT16" s="84">
        <f>AND(NOT($CS16),OR($AT16="CUSTOM LOC",N($AW16)+N($AX16)+N($AY16)+N($AZ16)+N($BA16)&gt;0))</f>
        <v/>
      </c>
      <c r="CU16" s="84">
        <f>IF($BI16="","",IF($BI16&lt;=80,80,IF($BI16&lt;=84,84,96)))</f>
        <v/>
      </c>
      <c r="CV16" s="84">
        <f>ISNUMBER(MATCH($AT16&amp;"|80",LocKeys,0))</f>
        <v/>
      </c>
      <c r="CW16" s="86">
        <f>IF($CS16,"",IF($CV16,VLOOKUP($AT16&amp;"|"&amp;$CU16,LocTable,4,FALSE),5))</f>
        <v/>
      </c>
      <c r="CX16" s="86">
        <f>IF($CS16,"",IF($CV16,IF(OR($BI16=$CU16,AND($BI16&lt;$CU16,$BI16-IF(N(VLOOKUP($AT16&amp;"|"&amp;$CU16,LocTable,7,FALSE))&gt;0,VLOOKUP($AT16&amp;"|"&amp;$CU16,LocTable,7,FALSE),VLOOKUP($AT16&amp;"|"&amp;$CU16,LocTable,6,FALSE))-$CR16-0.75&gt;=2.125)),IF(N(VLOOKUP($AT16&amp;"|"&amp;$CU16,LocTable,7,FALSE))&gt;0,VLOOKUP($AT16&amp;"|"&amp;$CU16,LocTable,7,FALSE),VLOOKUP($AT16&amp;"|"&amp;$CU16,LocTable,6,FALSE)),$BI16-($CU16-IF(N(VLOOKUP($AT16&amp;"|"&amp;$CU16,LocTable,7,FALSE))&gt;0,VLOOKUP($AT16&amp;"|"&amp;$CU16,LocTable,7,FALSE),VLOOKUP($AT16&amp;"|"&amp;$CU16,LocTable,6,FALSE)))),$BI16-10-$CR16))</f>
        <v/>
      </c>
      <c r="CY16" s="85">
        <f>IF($CS16,"",TRIM(IF(ISNUMBER($BU16),"A "&amp;TRIM(TEXT($BU16,"# ?/??"))&amp;CHAR(34)&amp;"  ","")&amp;IF(ISNUMBER($BV16),"B "&amp;TRIM(TEXT($BV16,"# ?/??"))&amp;CHAR(34)&amp;"  ","")&amp;IF(ISNUMBER($BW16),"C "&amp;TRIM(TEXT($BW16,"# ?/??"))&amp;CHAR(34)&amp;"  ","")&amp;IF(ISNUMBER($BX16),"D "&amp;TRIM(TEXT($BX16,"# ?/??"))&amp;CHAR(34)&amp;"  ","")&amp;IF(ISNUMBER($BY16),"F "&amp;TRIM(TEXT($BY16,"# ?/??"))&amp;CHAR(34)&amp;"  ","")&amp;IF(ISNUMBER($BZ16),"E "&amp;TRIM(TEXT($BZ16,"# ?/??"))&amp;CHAR(34)&amp;"  ","")))</f>
        <v/>
      </c>
      <c r="CZ16" s="85">
        <f>IF(OR($CS16,N($BJ16)=0),"",TRIM(IF(ISNUMBER($BU16),"A "&amp;TRIM(TEXT($BU16-HeadClr,"# ?/??"))&amp;CHAR(34)&amp;"  ","")&amp;IF(ISNUMBER($BV16),"B "&amp;TRIM(TEXT($BV16-HeadClr,"# ?/??"))&amp;CHAR(34)&amp;"  ","")&amp;IF(ISNUMBER($BW16),"C "&amp;TRIM(TEXT($BW16-HeadClr,"# ?/??"))&amp;CHAR(34)&amp;"  ","")&amp;IF(ISNUMBER($BX16),"D "&amp;TRIM(TEXT($BX16-HeadClr,"# ?/??"))&amp;CHAR(34)&amp;"  ","")&amp;IF(ISNUMBER($BY16),"F "&amp;TRIM(TEXT($BY16-HeadClr,"# ?/??"))&amp;CHAR(34)&amp;"  ","")&amp;IF(ISNUMBER($BZ16),"E "&amp;TRIM(TEXT($BZ16-HeadClr,"# ?/??"))&amp;CHAR(34)&amp;"  ","")))</f>
        <v/>
      </c>
      <c r="DA16" s="84">
        <f>IF($A16="","",IF($AN16="",IFERROR(VLOOKUP($Z16,CODES,2,FALSE),""),IFERROR(VLOOKUP($AN16,CODES,2,FALSE),"")))</f>
        <v/>
      </c>
      <c r="DB16" s="84">
        <f>IF($A16="","",IF($O16="Y","PR",IF(OR($Z16="L",$Z16="RR",LEFT($Z16,2)="L-",LEFT($Z16,3)="RR-"),"LH","RH")))</f>
        <v/>
      </c>
      <c r="DC16" s="84">
        <f>IF($A16="","","S.HM"&amp;IF(OR($C16="DOOR ONLY",$X16&lt;&gt;"KD"),"MASONRY","DRYWALL")&amp;IF($C16="DOOR ONLY","",$U16)&amp;IF(AND($C16&lt;&gt;"FRAME ONLY",OR(LEFT($AH16,3)="OAK",LEFT($AH16,3)="BIR",LEFT($AH16,3)="MAP",$AH16="PC",$AH16="MC",$AH16="SCLC",$AH16="P-LAM")),"WD","HM")&amp;"1.75")</f>
        <v/>
      </c>
      <c r="DD16" s="84">
        <f>IF($CJ16="","",IF($O16="Y",$CJ16,SUBSTITUTE($CJ16,$BG16&amp;" "&amp;IFERROR(VLOOKUP($Z16,CODES,2,FALSE),"")&amp;" ",$BG16&amp;" ")))</f>
        <v/>
      </c>
      <c r="DE16" s="84">
        <f>IF($CK16="","",IF($O16="Y",$CK16,SUBSTITUTE($CK16,$BG16&amp;" "&amp;IF($AN16="",IFERROR(VLOOKUP($Z16,CODES,2,FALSE),""),IFERROR(VLOOKUP($AN16,CODES,2,FALSE),""))&amp;" ",$BG16&amp;" ")))</f>
        <v/>
      </c>
      <c r="DF16" s="84">
        <f>IF($CJ16="","",$DC16&amp;"|"&amp;$DD16&amp;"|"&amp;$DB16&amp;"|"&amp;$AT16&amp;"|"&amp;$V16&amp;"|"&amp;$Y16&amp;"|"&amp;$AB16)</f>
        <v/>
      </c>
      <c r="DG16" s="84">
        <f>IF(DF16="","",IF(COUNTIF($DF$6:DF16,DF16)=1,MAX($DG$5:DG15)+1,INDEX($DG$5:DG15,MATCH(DF16,$DF$5:DF15,0))))</f>
        <v/>
      </c>
      <c r="DH16" s="84">
        <f>IF($CK16="","",$DC16&amp;"|"&amp;$DE16&amp;"|"&amp;$AI16&amp;"|"&amp;$BK16&amp;"|"&amp;$BL16)</f>
        <v/>
      </c>
      <c r="DI16" s="84">
        <f>IF(DH16="","",IF(COUNTIF($DH$6:DH16,DH16)=1,MAX($DI$5:DI15)+1,INDEX($DI$5:DI15,MATCH(DH16,$DH$5:DH15,0))))</f>
        <v/>
      </c>
      <c r="DJ16" s="84">
        <f>IF($A16="","",IF($B16="","qty, ","")&amp;IF($C16="","scope, ","")&amp;IF(OR($K16="",$M16=""),"size, ","")&amp;IF(AND($A16&lt;&gt;"",$C16&lt;&gt;"DOOR ONLY"),IF($U16="","jamb depth, ","")&amp;IF($X16="","construction, ","")&amp;IF($Y16="","anchor, ","")&amp;IF($S16="","frame type, ",""),"")&amp;IF(AND(N($BJ16)&gt;0,$Z16=""),"hand, ","")&amp;IF(N($BJ16)&gt;0,IF($AH16="","door material, ","")&amp;IF($AL16="","face type, ","")&amp;IF($AP16="","lock prep, ","")&amp;IF(AND($AO16="",$AC16=""),"hinge prep, ",""),"")&amp;IF(AND($CH16&gt;0,$AH16="FRP"),"FRP cannot carry a label, ","")&amp;IF(AND($O16="Y",OR($Z16="L",$Z16="R",$Z16="LR",$Z16="RR")),"pair marked but hand is single, ","")&amp;IF(AND($O16&lt;&gt;"Y",OR($Z16="PR",AND(LEN($Z16)&gt;1,ISNUMBER(SEARCH("-",$Z16))))),"pair hand on a single door, ","")&amp;IF(AND(ISNUMBER($CI16),$CH16&lt;N($CI16)),"wall needs a "&amp;$CI16&amp;" min door, ","")&amp;IF(AND($CH16&gt;=180,AND(OR($CE16="FG",$CE16="HG",$CE16="FNV",$CE16="FV"),N($CF16)*N($CG16)&gt;100)),"180 min lite over 100 sq in, ","")&amp;IF(N($BK16)&gt;48,"leaf wider than 4'-0"&amp;CHAR(34)&amp;", ","")&amp;IF(AND($CT16,COUNT($AW16:$AZ16)=0,$CQ16&gt;0),"CUSTOM LOC with no locations typed, ",""))</f>
        <v/>
      </c>
      <c r="DK16" s="84">
        <f>IF($A16="","",IF(AND($CH16&gt;0,AND($A16&lt;&gt;"",$C16&lt;&gt;"DOOR ONLY"),$X16="KD",$E16="EXTERIOR"),"KD label on an exterior opening, ","")&amp;IF(AND($E16="EXTERIOR",OR(AND(AND($A16&lt;&gt;"",$C16&lt;&gt;"DOOR ONLY"),$W16="CR"),AND(N($BJ16)&gt;0,$AH16="CR"))),"exterior in CR steel (G9?), ","")&amp;IF(AND(ISNUMBER($BQ16),N($BQ16)&lt;32),"clear width ~"&amp;TEXT($BQ16,"0.0")&amp;CHAR(34)&amp;" under 32"&amp;CHAR(34)&amp;" (ADA), ","")&amp;IF(AND($CH16=90,AND(OR($CE16="FG",$CE16="HG",$CE16="FNV",$CE16="FV"),N($CF16)*N($CG16)&gt;100)),"90 min lite over 100 sq in (stair/exit), ","")&amp;IF(AND($CH16&gt;0,AND($A16&lt;&gt;"",$C16&lt;&gt;"DOOR ONLY"),OR($AF16="",$AF16="-")),"rated: closer reinf.?, ","")&amp;IF(OR($I16="CORRIDOR",$I16="SMOKE BARRIER"),"S label + smoke gasketing, ","")&amp;IF($CI16="?","wall type/hr not in IBC table, ","")&amp;IF(AND(N($BJ16)&gt;0,$BB16=""),"no hardware set, ","")&amp;IF(AND($BB16&lt;&gt;"",ISNA(MATCH($BB16&amp;"",HWSets,0))),"set "&amp;$BB16&amp;" not on HW Sets, ","")&amp;IF(N($BL16)&gt;96,"leaf over 8'-0"&amp;CHAR(34)&amp;" - check listing, ","")&amp;IF(AND($CT16,COUNT($AW16:$AZ16)&gt;0,COUNT($AW16:$AZ16)&lt;&gt;$CQ16),COUNT($AW16:$AZ16)&amp;" custom hinges typed, "&amp;$CQ16&amp;" expected, ","")&amp;IF(AND(ISNUMBER($CA16),OR(N($CA16)&lt;34,N($CA16)&gt;48)),"lock "&amp;TEXT($CA16,"0.0")&amp;CHAR(34)&amp;" AFF outside 34-48"&amp;CHAR(34)&amp;" (ADA), ","")&amp;IF(AND(ISNUMBER($AV16),ISNUMBER($BL16),N($AV16)&lt;IF(N($BL16)&lt;=60,2,IF(N($BL16)&lt;=90,3,IF(N($BL16)&lt;=120,4,5)))),"fewer hinges than standard, ",""))</f>
        <v/>
      </c>
    </row>
    <row r="17" ht="15" customHeight="1">
      <c r="A17" s="77" t="n"/>
      <c r="B17" s="78" t="n"/>
      <c r="C17" s="78" t="n"/>
      <c r="D17" s="78" t="n"/>
      <c r="E17" s="78" t="n"/>
      <c r="F17" s="78" t="n"/>
      <c r="G17" s="78" t="n"/>
      <c r="H17" s="78" t="n"/>
      <c r="I17" s="78" t="n"/>
      <c r="J17" s="78" t="n"/>
      <c r="K17" s="78" t="n"/>
      <c r="L17" s="78" t="n"/>
      <c r="M17" s="78" t="n"/>
      <c r="N17" s="78" t="n"/>
      <c r="O17" s="78" t="n"/>
      <c r="P17" s="78" t="n"/>
      <c r="Q17" s="78" t="n"/>
      <c r="R17" s="78" t="n"/>
      <c r="S17" s="79" t="n"/>
      <c r="T17" s="79" t="n"/>
      <c r="U17" s="79" t="n"/>
      <c r="V17" s="79" t="n"/>
      <c r="W17" s="79" t="n"/>
      <c r="X17" s="79" t="n"/>
      <c r="Y17" s="79" t="n"/>
      <c r="Z17" s="79" t="n"/>
      <c r="AA17" s="79" t="n"/>
      <c r="AB17" s="79" t="n"/>
      <c r="AC17" s="79" t="n"/>
      <c r="AD17" s="79" t="n"/>
      <c r="AE17" s="79" t="n"/>
      <c r="AF17" s="79" t="n"/>
      <c r="AG17" s="79" t="n"/>
      <c r="AH17" s="80" t="n"/>
      <c r="AI17" s="80" t="n"/>
      <c r="AJ17" s="80" t="n"/>
      <c r="AK17" s="80" t="n"/>
      <c r="AL17" s="80" t="n"/>
      <c r="AM17" s="80" t="n"/>
      <c r="AN17" s="80" t="n"/>
      <c r="AO17" s="80" t="n"/>
      <c r="AP17" s="80" t="n"/>
      <c r="AQ17" s="80" t="n"/>
      <c r="AR17" s="80" t="n"/>
      <c r="AS17" s="80" t="n"/>
      <c r="AT17" s="81" t="n"/>
      <c r="AU17" s="81" t="n"/>
      <c r="AV17" s="81" t="n"/>
      <c r="AW17" s="82" t="n"/>
      <c r="AX17" s="82" t="n"/>
      <c r="AY17" s="82" t="n"/>
      <c r="AZ17" s="82" t="n"/>
      <c r="BA17" s="82" t="n"/>
      <c r="BB17" s="83" t="n"/>
      <c r="BC17" s="83" t="n"/>
      <c r="BD17" s="84">
        <f>IF($A17="","",IF($DJ17&lt;&gt;"","FIX",IF($DK17&lt;&gt;"","CHECK","OK")))</f>
        <v/>
      </c>
      <c r="BE17" s="85">
        <f>IF($A17="","",IF($DJ17&lt;&gt;"","FIX: "&amp;LEFT($DJ17,LEN($DJ17)-2)&amp;IF($DK17&lt;&gt;"","  ·  ",""),"")&amp;IF($DK17&lt;&gt;"","CHECK: "&amp;LEFT($DK17,LEN($DK17)-2),""))</f>
        <v/>
      </c>
      <c r="BF17" s="84">
        <f>IF(OR($A17="",$K17=""),"",$K17&amp;"'-"&amp;N($L17)&amp;CHAR(34)&amp;" x "&amp;$M17&amp;"'-"&amp;N($N17)&amp;CHAR(34))</f>
        <v/>
      </c>
      <c r="BG17" s="84">
        <f>IF(OR($A17="",$K17=""),"",$K17&amp;N($L17)&amp;$M17&amp;N($N17))</f>
        <v/>
      </c>
      <c r="BH17" s="84">
        <f>IF(OR($A17="",$K17=""),"",$K17*12+N($L17))</f>
        <v/>
      </c>
      <c r="BI17" s="84">
        <f>IF(OR($A17="",$M17=""),"",$M17*12+N($N17))</f>
        <v/>
      </c>
      <c r="BJ17" s="84">
        <f>IF($A17="","",IF(OR($C17="FRAME ONLY",$S17="BL"),0,IF($O17="Y",2,1)))</f>
        <v/>
      </c>
      <c r="BK17" s="86">
        <f>IF(OR(N($BJ17)=0,$BH17=""),"",($BH17-2*EdgeClr-IF($BJ17=2,MeetClr,0))/$BJ17)</f>
        <v/>
      </c>
      <c r="BL17" s="86">
        <f>IF(OR(N($BJ17)=0,$BI17=""),"",$BI17-HeadClr-Undercut)</f>
        <v/>
      </c>
      <c r="BM17" s="86">
        <f>IF($BH17="","",$BH17+2*FaceW+IF(N($Q17)&gt;0,($Q17+FaceW)*IF($R17="LR",2,1),0))</f>
        <v/>
      </c>
      <c r="BN17" s="86">
        <f>IF($BI17="","",$BI17+IF($AB17="Y",4,FaceW)+IF(N($P17)&gt;0,$P17+FaceW,0)+IF(OR($S17="4F",$S17="BL"),FaceW,0))</f>
        <v/>
      </c>
      <c r="BO17" s="86">
        <f>IF($BM17="","",$BM17+2*ROSide)</f>
        <v/>
      </c>
      <c r="BP17" s="86">
        <f>IF($BN17="","",$BN17+ROTop)</f>
        <v/>
      </c>
      <c r="BQ17" s="87">
        <f>IF(OR(N($BJ17)=0,$BH17=""),"",$BH17/$BJ17-ClearDeduct)</f>
        <v/>
      </c>
      <c r="BR17" s="84">
        <f>IF(N($CH17)=0,"",IF($CH17&gt;=180,"A · 3 HR",IF($CH17&gt;=90,"B · 1-1/2 HR",IF($CH17&gt;=60,"B · 1 HR",IF($CH17&gt;=45,"C · 3/4 HR","20 MIN")))))&amp;IF(AND(N($CH17)&gt;0,OR($I17="CORRIDOR",$I17="SMOKE BARRIER"))," · S","")</f>
        <v/>
      </c>
      <c r="BS17" s="84">
        <f>IF($CS17,"",IF($AV17&lt;&gt;"",$AV17,IF(OR($AC17="HGC",$AO17="HGC"),"CONT",IF(($BI17-HeadClr-Undercut)&lt;=60,2,IF(($BI17-HeadClr-Undercut)&lt;=90,3,IF(($BI17-HeadClr-Undercut)&lt;=120,4,5))))))</f>
        <v/>
      </c>
      <c r="BT17" s="84">
        <f>IF($CS17,"",IF($CT17,"CUSTOM (typed)",IF($CV17,$AT17&amp;" "&amp;$CU17&amp;CHAR(34)&amp;IF($CU17&lt;&gt;$BI17,IF(AND($BI17&lt;$CU17,$BI17-IF(N(VLOOKUP($AT17&amp;"|"&amp;$CU17,LocTable,7,FALSE))&gt;0,VLOOKUP($AT17&amp;"|"&amp;$CU17,LocTable,7,FALSE),VLOOKUP($AT17&amp;"|"&amp;$CU17,LocTable,6,FALSE))-$CR17-0.75&gt;=2.125)," cut down"," adj."),""),"ANSI/SDI A250.6")))</f>
        <v/>
      </c>
      <c r="BU17" s="88">
        <f>IF($CS17,"",IF($CT17,IF(N($AW17)&gt;0,N($AW17),""),IF(1&gt;$CQ17,"",IF($CQ17=1,$CW17,$CW17+($CX17-$CW17)*0/($CQ17-1)))))</f>
        <v/>
      </c>
      <c r="BV17" s="88">
        <f>IF($CS17,"",IF($CT17,IF(N($AX17)&gt;0,N($AX17),""),IF(2&gt;$CQ17,"",IF($CQ17=1,$CW17,$CW17+($CX17-$CW17)*1/($CQ17-1)))))</f>
        <v/>
      </c>
      <c r="BW17" s="88">
        <f>IF($CS17,"",IF($CT17,IF(N($AY17)&gt;0,N($AY17),""),IF(3&gt;$CQ17,"",IF($CQ17=1,$CW17,$CW17+($CX17-$CW17)*2/($CQ17-1)))))</f>
        <v/>
      </c>
      <c r="BX17" s="88">
        <f>IF($CS17,"",IF($CT17,IF(N($AZ17)&gt;0,N($AZ17),""),IF(4&gt;$CQ17,"",IF($CQ17=1,$CW17,$CW17+($CX17-$CW17)*3/($CQ17-1)))))</f>
        <v/>
      </c>
      <c r="BY17" s="88">
        <f>IF($CS17,"",IF($CT17,"",IF(5&gt;$CQ17,"",IF($CQ17=1,$CW17,$CW17+($CX17-$CW17)*4/($CQ17-1)))))</f>
        <v/>
      </c>
      <c r="BZ17" s="88">
        <f>IF(OR($CS17,$AP17="-",AND($AP17="",$AD17="")),"",IF(N($BA17)&gt;0,N($BA17),IF($CV17,IF(AND($BI17&lt;$CU17,$BI17-IF(N(VLOOKUP($AT17&amp;"|"&amp;$CU17,LocTable,7,FALSE))&gt;0,VLOOKUP($AT17&amp;"|"&amp;$CU17,LocTable,7,FALSE),VLOOKUP($AT17&amp;"|"&amp;$CU17,LocTable,6,FALSE))-$CR17-0.75&gt;=2.125),VLOOKUP($AT17&amp;"|"&amp;$CU17,LocTable,8,FALSE),VLOOKUP($AT17&amp;"|"&amp;$CU17,LocTable,8,FALSE)+($BI17-$CU17)),$BI17-LockAFF)))</f>
        <v/>
      </c>
      <c r="CA17" s="89">
        <f>IF($BZ17="","",$BI17-$BZ17)</f>
        <v/>
      </c>
      <c r="CB17" s="84">
        <f>IF(OR(NOT(AND($A17&lt;&gt;"",$C17&lt;&gt;"DOOR ONLY")),$BI17=""),"",IF(($BI17+IF(N($P17)&gt;0,$P17+FaceW,0))&lt;=90,3,IF(($BI17+IF(N($P17)&gt;0,$P17+FaceW,0))&lt;=114,4,5)))</f>
        <v/>
      </c>
      <c r="CC17" s="84">
        <f>IF($CB17="","",$CB17*(2+IF(N($Q17)&gt;0,IF($R17="LR",2,1),0)))</f>
        <v/>
      </c>
      <c r="CD17" s="84">
        <f>IF($CB17="","",(2+IF(N($Q17)&gt;0,IF($R17="LR",2,1),0)))</f>
        <v/>
      </c>
      <c r="CE17" s="84">
        <f>IF(N($BJ17)=0,"",IF(OR($AL17="",$AL17="FLUSH"),"FLUSH",IFERROR(LEFT($AL17,FIND("-",$AL17)-1),LEFT($AL17,2))))</f>
        <v/>
      </c>
      <c r="CF17" s="84">
        <f>IF($CE17="","",IFERROR(VALUE(MID($AL17,FIND("-",$AL17)+1,FIND(CHAR(34)&amp;"x",$AL17)-FIND("-",$AL17)-1)),0))</f>
        <v/>
      </c>
      <c r="CG17" s="84">
        <f>IF($CE17="","",IFERROR(VALUE(MID($AL17,FIND(CHAR(34)&amp;"x",$AL17)+2,FIND(CHAR(34),$AL17,FIND(CHAR(34)&amp;"x",$AL17)+2)-FIND(CHAR(34)&amp;"x",$AL17)-2)),0))</f>
        <v/>
      </c>
      <c r="CH17" s="90">
        <f>IF(OR($A17="",$H17="",$H17="NO LAB"),0,IFERROR(VALUE(LEFT($H17,FIND(" ",$H17)-1)),0))</f>
        <v/>
      </c>
      <c r="CI17" s="91">
        <f>IF(OR($A17="",$I17="",$I17="NON-RATED",N($J17)=0),"",IFERROR(VLOOKUP($I17&amp;"|"&amp;$J17,IBC,2,FALSE),"?"))</f>
        <v/>
      </c>
      <c r="CJ17" s="85">
        <f>IF(NOT(AND($A17&lt;&gt;"",$C17&lt;&gt;"DOOR ONLY")),"",TRIM(IFERROR(VLOOKUP($U17,CODES,2,FALSE),"")&amp;" "&amp;$BG17&amp;" "&amp;IFERROR(VLOOKUP($Z17,CODES,2,FALSE),"")&amp;" "&amp;IFERROR(VLOOKUP($X17,CODES,2,FALSE),"")&amp;" "&amp;IFERROR(VLOOKUP($S17,CODES,2,FALSE),"")&amp;IF(N($P17)&gt;0," w/TRANSOM "&amp;$P17&amp;CHAR(34),"")&amp;IF(N($Q17)&gt;0," w/SIDELITE "&amp;$Q17&amp;CHAR(34)&amp;" "&amp;IF($R17="","R",$R17),"")&amp;IF($Y17="","  |  "," | "&amp;IFERROR(VLOOKUP($Y17,CODES,2,FALSE),"")&amp;" | ")&amp;IFERROR(VLOOKUP($AC17,CODES,2,FALSE),"")&amp;" "&amp;IFERROR(VLOOKUP($AD17,CODES,2,FALSE),"")&amp;IF(OR($AE17="",$AE17="-"),""," "&amp;$AE17)&amp;IF(OR($AF17="",$AF17="-"),""," "&amp;$AF17)&amp;IF($AB17="Y"," 4"&amp;CHAR(34)&amp;" HEAD","")&amp;" "&amp;IFERROR(VLOOKUP($H17,CODES,2,FALSE),"")&amp;IF($CT17," | LOC "&amp;$CY17,"")))</f>
        <v/>
      </c>
      <c r="CK17" s="85">
        <f>IF(NOT(AND($A17&lt;&gt;"",N($BJ17)&gt;0)),"",TRIM(IFERROR(VLOOKUP($AH17,CODES,2,FALSE),"")&amp;IF($AI17=""," "," "&amp;$AI17&amp;"GA ")&amp;$BG17&amp;" "&amp;IF($AN17="",IFERROR(VLOOKUP($Z17,CODES,2,FALSE),""),IFERROR(VLOOKUP($AN17,CODES,2,FALSE),""))&amp;IF($BJ17=2," PAIR","")&amp;" DOOR | "&amp;IF($AL17="","?",$AL17)&amp;" | "&amp;IF($AO17="",IFERROR(VLOOKUP($AC17,CODES,2,FALSE),""),IFERROR(VLOOKUP($AO17,CODES,2,FALSE),""))&amp;" "&amp;IFERROR(VLOOKUP($AP17,CODES,2,FALSE),"")&amp;IF(OR($AQ17="",$AQ17="-"),""," SEAM "&amp;$AQ17)&amp;IF($AR17="Y"," ASTRAGAL","")&amp;IF($AJ17=""," "," "&amp;$AJ17)&amp;IF($AK17=""," "," "&amp;$AK17)&amp;IF(OR($AT17="",$AT17="ANSI/SDI",$AT17="CUSTOM LOC"),""," "&amp;$AT17)&amp;IF($AM17=""," "," SERIES "&amp;$AM17)&amp;" "&amp;IFERROR(VLOOKUP($H17,CODES,2,FALSE),"")&amp;IF($CT17," | LOC "&amp;$CZ17,"")))</f>
        <v/>
      </c>
      <c r="CL17" s="84">
        <f>IF(CP17="","",IF(COUNTIF($CP$6:CP17,CP17)=1,MAX($CL$5:CL16)+1,INDEX($CL$5:CL16,MATCH(CP17,$CP$5:CP16,0))))</f>
        <v/>
      </c>
      <c r="CM17" s="84">
        <f>IF(NOT(AND($A17&lt;&gt;"",$C17&lt;&gt;"DOOR ONLY")),"",MAX($CM$5:CM16)+1)</f>
        <v/>
      </c>
      <c r="CN17" s="84">
        <f>IF(NOT(AND($A17&lt;&gt;"",N($BJ17)&gt;0)),"",MAX($CN$5:CN16)+1)</f>
        <v/>
      </c>
      <c r="CO17" s="84">
        <f>IF($A17="","",MAX($CO$5:CO16)+1)</f>
        <v/>
      </c>
      <c r="CP17" s="84">
        <f>IF(OR($A17="",$BH17="",$BI17=""),"",$BG17&amp;"|"&amp;$O17&amp;"|"&amp;$AL17&amp;"|"&amp;$S17&amp;"|"&amp;$P17&amp;"|"&amp;$Q17&amp;$R17&amp;"|"&amp;$C17&amp;"|"&amp;$AB17)</f>
        <v/>
      </c>
      <c r="CQ17" s="84">
        <f>N($BS17)</f>
        <v/>
      </c>
      <c r="CR17" s="84">
        <f>IF(N($AU17)&gt;0,N($AU17),4.5)</f>
        <v/>
      </c>
      <c r="CS17" s="84">
        <f>OR($A17="",$BI17="",$S17="BL",AND($C17="FRAME ONLY",OR($AC17="",$AC17="BLK")))</f>
        <v/>
      </c>
      <c r="CT17" s="84">
        <f>AND(NOT($CS17),OR($AT17="CUSTOM LOC",N($AW17)+N($AX17)+N($AY17)+N($AZ17)+N($BA17)&gt;0))</f>
        <v/>
      </c>
      <c r="CU17" s="84">
        <f>IF($BI17="","",IF($BI17&lt;=80,80,IF($BI17&lt;=84,84,96)))</f>
        <v/>
      </c>
      <c r="CV17" s="84">
        <f>ISNUMBER(MATCH($AT17&amp;"|80",LocKeys,0))</f>
        <v/>
      </c>
      <c r="CW17" s="86">
        <f>IF($CS17,"",IF($CV17,VLOOKUP($AT17&amp;"|"&amp;$CU17,LocTable,4,FALSE),5))</f>
        <v/>
      </c>
      <c r="CX17" s="86">
        <f>IF($CS17,"",IF($CV17,IF(OR($BI17=$CU17,AND($BI17&lt;$CU17,$BI17-IF(N(VLOOKUP($AT17&amp;"|"&amp;$CU17,LocTable,7,FALSE))&gt;0,VLOOKUP($AT17&amp;"|"&amp;$CU17,LocTable,7,FALSE),VLOOKUP($AT17&amp;"|"&amp;$CU17,LocTable,6,FALSE))-$CR17-0.75&gt;=2.125)),IF(N(VLOOKUP($AT17&amp;"|"&amp;$CU17,LocTable,7,FALSE))&gt;0,VLOOKUP($AT17&amp;"|"&amp;$CU17,LocTable,7,FALSE),VLOOKUP($AT17&amp;"|"&amp;$CU17,LocTable,6,FALSE)),$BI17-($CU17-IF(N(VLOOKUP($AT17&amp;"|"&amp;$CU17,LocTable,7,FALSE))&gt;0,VLOOKUP($AT17&amp;"|"&amp;$CU17,LocTable,7,FALSE),VLOOKUP($AT17&amp;"|"&amp;$CU17,LocTable,6,FALSE)))),$BI17-10-$CR17))</f>
        <v/>
      </c>
      <c r="CY17" s="85">
        <f>IF($CS17,"",TRIM(IF(ISNUMBER($BU17),"A "&amp;TRIM(TEXT($BU17,"# ?/??"))&amp;CHAR(34)&amp;"  ","")&amp;IF(ISNUMBER($BV17),"B "&amp;TRIM(TEXT($BV17,"# ?/??"))&amp;CHAR(34)&amp;"  ","")&amp;IF(ISNUMBER($BW17),"C "&amp;TRIM(TEXT($BW17,"# ?/??"))&amp;CHAR(34)&amp;"  ","")&amp;IF(ISNUMBER($BX17),"D "&amp;TRIM(TEXT($BX17,"# ?/??"))&amp;CHAR(34)&amp;"  ","")&amp;IF(ISNUMBER($BY17),"F "&amp;TRIM(TEXT($BY17,"# ?/??"))&amp;CHAR(34)&amp;"  ","")&amp;IF(ISNUMBER($BZ17),"E "&amp;TRIM(TEXT($BZ17,"# ?/??"))&amp;CHAR(34)&amp;"  ","")))</f>
        <v/>
      </c>
      <c r="CZ17" s="85">
        <f>IF(OR($CS17,N($BJ17)=0),"",TRIM(IF(ISNUMBER($BU17),"A "&amp;TRIM(TEXT($BU17-HeadClr,"# ?/??"))&amp;CHAR(34)&amp;"  ","")&amp;IF(ISNUMBER($BV17),"B "&amp;TRIM(TEXT($BV17-HeadClr,"# ?/??"))&amp;CHAR(34)&amp;"  ","")&amp;IF(ISNUMBER($BW17),"C "&amp;TRIM(TEXT($BW17-HeadClr,"# ?/??"))&amp;CHAR(34)&amp;"  ","")&amp;IF(ISNUMBER($BX17),"D "&amp;TRIM(TEXT($BX17-HeadClr,"# ?/??"))&amp;CHAR(34)&amp;"  ","")&amp;IF(ISNUMBER($BY17),"F "&amp;TRIM(TEXT($BY17-HeadClr,"# ?/??"))&amp;CHAR(34)&amp;"  ","")&amp;IF(ISNUMBER($BZ17),"E "&amp;TRIM(TEXT($BZ17-HeadClr,"# ?/??"))&amp;CHAR(34)&amp;"  ","")))</f>
        <v/>
      </c>
      <c r="DA17" s="84">
        <f>IF($A17="","",IF($AN17="",IFERROR(VLOOKUP($Z17,CODES,2,FALSE),""),IFERROR(VLOOKUP($AN17,CODES,2,FALSE),"")))</f>
        <v/>
      </c>
      <c r="DB17" s="84">
        <f>IF($A17="","",IF($O17="Y","PR",IF(OR($Z17="L",$Z17="RR",LEFT($Z17,2)="L-",LEFT($Z17,3)="RR-"),"LH","RH")))</f>
        <v/>
      </c>
      <c r="DC17" s="84">
        <f>IF($A17="","","S.HM"&amp;IF(OR($C17="DOOR ONLY",$X17&lt;&gt;"KD"),"MASONRY","DRYWALL")&amp;IF($C17="DOOR ONLY","",$U17)&amp;IF(AND($C17&lt;&gt;"FRAME ONLY",OR(LEFT($AH17,3)="OAK",LEFT($AH17,3)="BIR",LEFT($AH17,3)="MAP",$AH17="PC",$AH17="MC",$AH17="SCLC",$AH17="P-LAM")),"WD","HM")&amp;"1.75")</f>
        <v/>
      </c>
      <c r="DD17" s="84">
        <f>IF($CJ17="","",IF($O17="Y",$CJ17,SUBSTITUTE($CJ17,$BG17&amp;" "&amp;IFERROR(VLOOKUP($Z17,CODES,2,FALSE),"")&amp;" ",$BG17&amp;" ")))</f>
        <v/>
      </c>
      <c r="DE17" s="84">
        <f>IF($CK17="","",IF($O17="Y",$CK17,SUBSTITUTE($CK17,$BG17&amp;" "&amp;IF($AN17="",IFERROR(VLOOKUP($Z17,CODES,2,FALSE),""),IFERROR(VLOOKUP($AN17,CODES,2,FALSE),""))&amp;" ",$BG17&amp;" ")))</f>
        <v/>
      </c>
      <c r="DF17" s="84">
        <f>IF($CJ17="","",$DC17&amp;"|"&amp;$DD17&amp;"|"&amp;$DB17&amp;"|"&amp;$AT17&amp;"|"&amp;$V17&amp;"|"&amp;$Y17&amp;"|"&amp;$AB17)</f>
        <v/>
      </c>
      <c r="DG17" s="84">
        <f>IF(DF17="","",IF(COUNTIF($DF$6:DF17,DF17)=1,MAX($DG$5:DG16)+1,INDEX($DG$5:DG16,MATCH(DF17,$DF$5:DF16,0))))</f>
        <v/>
      </c>
      <c r="DH17" s="84">
        <f>IF($CK17="","",$DC17&amp;"|"&amp;$DE17&amp;"|"&amp;$AI17&amp;"|"&amp;$BK17&amp;"|"&amp;$BL17)</f>
        <v/>
      </c>
      <c r="DI17" s="84">
        <f>IF(DH17="","",IF(COUNTIF($DH$6:DH17,DH17)=1,MAX($DI$5:DI16)+1,INDEX($DI$5:DI16,MATCH(DH17,$DH$5:DH16,0))))</f>
        <v/>
      </c>
      <c r="DJ17" s="84">
        <f>IF($A17="","",IF($B17="","qty, ","")&amp;IF($C17="","scope, ","")&amp;IF(OR($K17="",$M17=""),"size, ","")&amp;IF(AND($A17&lt;&gt;"",$C17&lt;&gt;"DOOR ONLY"),IF($U17="","jamb depth, ","")&amp;IF($X17="","construction, ","")&amp;IF($Y17="","anchor, ","")&amp;IF($S17="","frame type, ",""),"")&amp;IF(AND(N($BJ17)&gt;0,$Z17=""),"hand, ","")&amp;IF(N($BJ17)&gt;0,IF($AH17="","door material, ","")&amp;IF($AL17="","face type, ","")&amp;IF($AP17="","lock prep, ","")&amp;IF(AND($AO17="",$AC17=""),"hinge prep, ",""),"")&amp;IF(AND($CH17&gt;0,$AH17="FRP"),"FRP cannot carry a label, ","")&amp;IF(AND($O17="Y",OR($Z17="L",$Z17="R",$Z17="LR",$Z17="RR")),"pair marked but hand is single, ","")&amp;IF(AND($O17&lt;&gt;"Y",OR($Z17="PR",AND(LEN($Z17)&gt;1,ISNUMBER(SEARCH("-",$Z17))))),"pair hand on a single door, ","")&amp;IF(AND(ISNUMBER($CI17),$CH17&lt;N($CI17)),"wall needs a "&amp;$CI17&amp;" min door, ","")&amp;IF(AND($CH17&gt;=180,AND(OR($CE17="FG",$CE17="HG",$CE17="FNV",$CE17="FV"),N($CF17)*N($CG17)&gt;100)),"180 min lite over 100 sq in, ","")&amp;IF(N($BK17)&gt;48,"leaf wider than 4'-0"&amp;CHAR(34)&amp;", ","")&amp;IF(AND($CT17,COUNT($AW17:$AZ17)=0,$CQ17&gt;0),"CUSTOM LOC with no locations typed, ",""))</f>
        <v/>
      </c>
      <c r="DK17" s="84">
        <f>IF($A17="","",IF(AND($CH17&gt;0,AND($A17&lt;&gt;"",$C17&lt;&gt;"DOOR ONLY"),$X17="KD",$E17="EXTERIOR"),"KD label on an exterior opening, ","")&amp;IF(AND($E17="EXTERIOR",OR(AND(AND($A17&lt;&gt;"",$C17&lt;&gt;"DOOR ONLY"),$W17="CR"),AND(N($BJ17)&gt;0,$AH17="CR"))),"exterior in CR steel (G9?), ","")&amp;IF(AND(ISNUMBER($BQ17),N($BQ17)&lt;32),"clear width ~"&amp;TEXT($BQ17,"0.0")&amp;CHAR(34)&amp;" under 32"&amp;CHAR(34)&amp;" (ADA), ","")&amp;IF(AND($CH17=90,AND(OR($CE17="FG",$CE17="HG",$CE17="FNV",$CE17="FV"),N($CF17)*N($CG17)&gt;100)),"90 min lite over 100 sq in (stair/exit), ","")&amp;IF(AND($CH17&gt;0,AND($A17&lt;&gt;"",$C17&lt;&gt;"DOOR ONLY"),OR($AF17="",$AF17="-")),"rated: closer reinf.?, ","")&amp;IF(OR($I17="CORRIDOR",$I17="SMOKE BARRIER"),"S label + smoke gasketing, ","")&amp;IF($CI17="?","wall type/hr not in IBC table, ","")&amp;IF(AND(N($BJ17)&gt;0,$BB17=""),"no hardware set, ","")&amp;IF(AND($BB17&lt;&gt;"",ISNA(MATCH($BB17&amp;"",HWSets,0))),"set "&amp;$BB17&amp;" not on HW Sets, ","")&amp;IF(N($BL17)&gt;96,"leaf over 8'-0"&amp;CHAR(34)&amp;" - check listing, ","")&amp;IF(AND($CT17,COUNT($AW17:$AZ17)&gt;0,COUNT($AW17:$AZ17)&lt;&gt;$CQ17),COUNT($AW17:$AZ17)&amp;" custom hinges typed, "&amp;$CQ17&amp;" expected, ","")&amp;IF(AND(ISNUMBER($CA17),OR(N($CA17)&lt;34,N($CA17)&gt;48)),"lock "&amp;TEXT($CA17,"0.0")&amp;CHAR(34)&amp;" AFF outside 34-48"&amp;CHAR(34)&amp;" (ADA), ","")&amp;IF(AND(ISNUMBER($AV17),ISNUMBER($BL17),N($AV17)&lt;IF(N($BL17)&lt;=60,2,IF(N($BL17)&lt;=90,3,IF(N($BL17)&lt;=120,4,5)))),"fewer hinges than standard, ",""))</f>
        <v/>
      </c>
    </row>
    <row r="18" ht="15" customHeight="1">
      <c r="A18" s="77" t="n"/>
      <c r="B18" s="78" t="n"/>
      <c r="C18" s="78" t="n"/>
      <c r="D18" s="78" t="n"/>
      <c r="E18" s="78" t="n"/>
      <c r="F18" s="78" t="n"/>
      <c r="G18" s="78" t="n"/>
      <c r="H18" s="78" t="n"/>
      <c r="I18" s="78" t="n"/>
      <c r="J18" s="78" t="n"/>
      <c r="K18" s="78" t="n"/>
      <c r="L18" s="78" t="n"/>
      <c r="M18" s="78" t="n"/>
      <c r="N18" s="78" t="n"/>
      <c r="O18" s="78" t="n"/>
      <c r="P18" s="78" t="n"/>
      <c r="Q18" s="78" t="n"/>
      <c r="R18" s="78" t="n"/>
      <c r="S18" s="79" t="n"/>
      <c r="T18" s="79" t="n"/>
      <c r="U18" s="79" t="n"/>
      <c r="V18" s="79" t="n"/>
      <c r="W18" s="79" t="n"/>
      <c r="X18" s="79" t="n"/>
      <c r="Y18" s="79" t="n"/>
      <c r="Z18" s="79" t="n"/>
      <c r="AA18" s="79" t="n"/>
      <c r="AB18" s="79" t="n"/>
      <c r="AC18" s="79" t="n"/>
      <c r="AD18" s="79" t="n"/>
      <c r="AE18" s="79" t="n"/>
      <c r="AF18" s="79" t="n"/>
      <c r="AG18" s="79" t="n"/>
      <c r="AH18" s="80" t="n"/>
      <c r="AI18" s="80" t="n"/>
      <c r="AJ18" s="80" t="n"/>
      <c r="AK18" s="80" t="n"/>
      <c r="AL18" s="80" t="n"/>
      <c r="AM18" s="80" t="n"/>
      <c r="AN18" s="80" t="n"/>
      <c r="AO18" s="80" t="n"/>
      <c r="AP18" s="80" t="n"/>
      <c r="AQ18" s="80" t="n"/>
      <c r="AR18" s="80" t="n"/>
      <c r="AS18" s="80" t="n"/>
      <c r="AT18" s="81" t="n"/>
      <c r="AU18" s="81" t="n"/>
      <c r="AV18" s="81" t="n"/>
      <c r="AW18" s="82" t="n"/>
      <c r="AX18" s="82" t="n"/>
      <c r="AY18" s="82" t="n"/>
      <c r="AZ18" s="82" t="n"/>
      <c r="BA18" s="82" t="n"/>
      <c r="BB18" s="83" t="n"/>
      <c r="BC18" s="83" t="n"/>
      <c r="BD18" s="84">
        <f>IF($A18="","",IF($DJ18&lt;&gt;"","FIX",IF($DK18&lt;&gt;"","CHECK","OK")))</f>
        <v/>
      </c>
      <c r="BE18" s="85">
        <f>IF($A18="","",IF($DJ18&lt;&gt;"","FIX: "&amp;LEFT($DJ18,LEN($DJ18)-2)&amp;IF($DK18&lt;&gt;"","  ·  ",""),"")&amp;IF($DK18&lt;&gt;"","CHECK: "&amp;LEFT($DK18,LEN($DK18)-2),""))</f>
        <v/>
      </c>
      <c r="BF18" s="84">
        <f>IF(OR($A18="",$K18=""),"",$K18&amp;"'-"&amp;N($L18)&amp;CHAR(34)&amp;" x "&amp;$M18&amp;"'-"&amp;N($N18)&amp;CHAR(34))</f>
        <v/>
      </c>
      <c r="BG18" s="84">
        <f>IF(OR($A18="",$K18=""),"",$K18&amp;N($L18)&amp;$M18&amp;N($N18))</f>
        <v/>
      </c>
      <c r="BH18" s="84">
        <f>IF(OR($A18="",$K18=""),"",$K18*12+N($L18))</f>
        <v/>
      </c>
      <c r="BI18" s="84">
        <f>IF(OR($A18="",$M18=""),"",$M18*12+N($N18))</f>
        <v/>
      </c>
      <c r="BJ18" s="84">
        <f>IF($A18="","",IF(OR($C18="FRAME ONLY",$S18="BL"),0,IF($O18="Y",2,1)))</f>
        <v/>
      </c>
      <c r="BK18" s="86">
        <f>IF(OR(N($BJ18)=0,$BH18=""),"",($BH18-2*EdgeClr-IF($BJ18=2,MeetClr,0))/$BJ18)</f>
        <v/>
      </c>
      <c r="BL18" s="86">
        <f>IF(OR(N($BJ18)=0,$BI18=""),"",$BI18-HeadClr-Undercut)</f>
        <v/>
      </c>
      <c r="BM18" s="86">
        <f>IF($BH18="","",$BH18+2*FaceW+IF(N($Q18)&gt;0,($Q18+FaceW)*IF($R18="LR",2,1),0))</f>
        <v/>
      </c>
      <c r="BN18" s="86">
        <f>IF($BI18="","",$BI18+IF($AB18="Y",4,FaceW)+IF(N($P18)&gt;0,$P18+FaceW,0)+IF(OR($S18="4F",$S18="BL"),FaceW,0))</f>
        <v/>
      </c>
      <c r="BO18" s="86">
        <f>IF($BM18="","",$BM18+2*ROSide)</f>
        <v/>
      </c>
      <c r="BP18" s="86">
        <f>IF($BN18="","",$BN18+ROTop)</f>
        <v/>
      </c>
      <c r="BQ18" s="87">
        <f>IF(OR(N($BJ18)=0,$BH18=""),"",$BH18/$BJ18-ClearDeduct)</f>
        <v/>
      </c>
      <c r="BR18" s="84">
        <f>IF(N($CH18)=0,"",IF($CH18&gt;=180,"A · 3 HR",IF($CH18&gt;=90,"B · 1-1/2 HR",IF($CH18&gt;=60,"B · 1 HR",IF($CH18&gt;=45,"C · 3/4 HR","20 MIN")))))&amp;IF(AND(N($CH18)&gt;0,OR($I18="CORRIDOR",$I18="SMOKE BARRIER"))," · S","")</f>
        <v/>
      </c>
      <c r="BS18" s="84">
        <f>IF($CS18,"",IF($AV18&lt;&gt;"",$AV18,IF(OR($AC18="HGC",$AO18="HGC"),"CONT",IF(($BI18-HeadClr-Undercut)&lt;=60,2,IF(($BI18-HeadClr-Undercut)&lt;=90,3,IF(($BI18-HeadClr-Undercut)&lt;=120,4,5))))))</f>
        <v/>
      </c>
      <c r="BT18" s="84">
        <f>IF($CS18,"",IF($CT18,"CUSTOM (typed)",IF($CV18,$AT18&amp;" "&amp;$CU18&amp;CHAR(34)&amp;IF($CU18&lt;&gt;$BI18,IF(AND($BI18&lt;$CU18,$BI18-IF(N(VLOOKUP($AT18&amp;"|"&amp;$CU18,LocTable,7,FALSE))&gt;0,VLOOKUP($AT18&amp;"|"&amp;$CU18,LocTable,7,FALSE),VLOOKUP($AT18&amp;"|"&amp;$CU18,LocTable,6,FALSE))-$CR18-0.75&gt;=2.125)," cut down"," adj."),""),"ANSI/SDI A250.6")))</f>
        <v/>
      </c>
      <c r="BU18" s="88">
        <f>IF($CS18,"",IF($CT18,IF(N($AW18)&gt;0,N($AW18),""),IF(1&gt;$CQ18,"",IF($CQ18=1,$CW18,$CW18+($CX18-$CW18)*0/($CQ18-1)))))</f>
        <v/>
      </c>
      <c r="BV18" s="88">
        <f>IF($CS18,"",IF($CT18,IF(N($AX18)&gt;0,N($AX18),""),IF(2&gt;$CQ18,"",IF($CQ18=1,$CW18,$CW18+($CX18-$CW18)*1/($CQ18-1)))))</f>
        <v/>
      </c>
      <c r="BW18" s="88">
        <f>IF($CS18,"",IF($CT18,IF(N($AY18)&gt;0,N($AY18),""),IF(3&gt;$CQ18,"",IF($CQ18=1,$CW18,$CW18+($CX18-$CW18)*2/($CQ18-1)))))</f>
        <v/>
      </c>
      <c r="BX18" s="88">
        <f>IF($CS18,"",IF($CT18,IF(N($AZ18)&gt;0,N($AZ18),""),IF(4&gt;$CQ18,"",IF($CQ18=1,$CW18,$CW18+($CX18-$CW18)*3/($CQ18-1)))))</f>
        <v/>
      </c>
      <c r="BY18" s="88">
        <f>IF($CS18,"",IF($CT18,"",IF(5&gt;$CQ18,"",IF($CQ18=1,$CW18,$CW18+($CX18-$CW18)*4/($CQ18-1)))))</f>
        <v/>
      </c>
      <c r="BZ18" s="88">
        <f>IF(OR($CS18,$AP18="-",AND($AP18="",$AD18="")),"",IF(N($BA18)&gt;0,N($BA18),IF($CV18,IF(AND($BI18&lt;$CU18,$BI18-IF(N(VLOOKUP($AT18&amp;"|"&amp;$CU18,LocTable,7,FALSE))&gt;0,VLOOKUP($AT18&amp;"|"&amp;$CU18,LocTable,7,FALSE),VLOOKUP($AT18&amp;"|"&amp;$CU18,LocTable,6,FALSE))-$CR18-0.75&gt;=2.125),VLOOKUP($AT18&amp;"|"&amp;$CU18,LocTable,8,FALSE),VLOOKUP($AT18&amp;"|"&amp;$CU18,LocTable,8,FALSE)+($BI18-$CU18)),$BI18-LockAFF)))</f>
        <v/>
      </c>
      <c r="CA18" s="89">
        <f>IF($BZ18="","",$BI18-$BZ18)</f>
        <v/>
      </c>
      <c r="CB18" s="84">
        <f>IF(OR(NOT(AND($A18&lt;&gt;"",$C18&lt;&gt;"DOOR ONLY")),$BI18=""),"",IF(($BI18+IF(N($P18)&gt;0,$P18+FaceW,0))&lt;=90,3,IF(($BI18+IF(N($P18)&gt;0,$P18+FaceW,0))&lt;=114,4,5)))</f>
        <v/>
      </c>
      <c r="CC18" s="84">
        <f>IF($CB18="","",$CB18*(2+IF(N($Q18)&gt;0,IF($R18="LR",2,1),0)))</f>
        <v/>
      </c>
      <c r="CD18" s="84">
        <f>IF($CB18="","",(2+IF(N($Q18)&gt;0,IF($R18="LR",2,1),0)))</f>
        <v/>
      </c>
      <c r="CE18" s="84">
        <f>IF(N($BJ18)=0,"",IF(OR($AL18="",$AL18="FLUSH"),"FLUSH",IFERROR(LEFT($AL18,FIND("-",$AL18)-1),LEFT($AL18,2))))</f>
        <v/>
      </c>
      <c r="CF18" s="84">
        <f>IF($CE18="","",IFERROR(VALUE(MID($AL18,FIND("-",$AL18)+1,FIND(CHAR(34)&amp;"x",$AL18)-FIND("-",$AL18)-1)),0))</f>
        <v/>
      </c>
      <c r="CG18" s="84">
        <f>IF($CE18="","",IFERROR(VALUE(MID($AL18,FIND(CHAR(34)&amp;"x",$AL18)+2,FIND(CHAR(34),$AL18,FIND(CHAR(34)&amp;"x",$AL18)+2)-FIND(CHAR(34)&amp;"x",$AL18)-2)),0))</f>
        <v/>
      </c>
      <c r="CH18" s="90">
        <f>IF(OR($A18="",$H18="",$H18="NO LAB"),0,IFERROR(VALUE(LEFT($H18,FIND(" ",$H18)-1)),0))</f>
        <v/>
      </c>
      <c r="CI18" s="91">
        <f>IF(OR($A18="",$I18="",$I18="NON-RATED",N($J18)=0),"",IFERROR(VLOOKUP($I18&amp;"|"&amp;$J18,IBC,2,FALSE),"?"))</f>
        <v/>
      </c>
      <c r="CJ18" s="85">
        <f>IF(NOT(AND($A18&lt;&gt;"",$C18&lt;&gt;"DOOR ONLY")),"",TRIM(IFERROR(VLOOKUP($U18,CODES,2,FALSE),"")&amp;" "&amp;$BG18&amp;" "&amp;IFERROR(VLOOKUP($Z18,CODES,2,FALSE),"")&amp;" "&amp;IFERROR(VLOOKUP($X18,CODES,2,FALSE),"")&amp;" "&amp;IFERROR(VLOOKUP($S18,CODES,2,FALSE),"")&amp;IF(N($P18)&gt;0," w/TRANSOM "&amp;$P18&amp;CHAR(34),"")&amp;IF(N($Q18)&gt;0," w/SIDELITE "&amp;$Q18&amp;CHAR(34)&amp;" "&amp;IF($R18="","R",$R18),"")&amp;IF($Y18="","  |  "," | "&amp;IFERROR(VLOOKUP($Y18,CODES,2,FALSE),"")&amp;" | ")&amp;IFERROR(VLOOKUP($AC18,CODES,2,FALSE),"")&amp;" "&amp;IFERROR(VLOOKUP($AD18,CODES,2,FALSE),"")&amp;IF(OR($AE18="",$AE18="-"),""," "&amp;$AE18)&amp;IF(OR($AF18="",$AF18="-"),""," "&amp;$AF18)&amp;IF($AB18="Y"," 4"&amp;CHAR(34)&amp;" HEAD","")&amp;" "&amp;IFERROR(VLOOKUP($H18,CODES,2,FALSE),"")&amp;IF($CT18," | LOC "&amp;$CY18,"")))</f>
        <v/>
      </c>
      <c r="CK18" s="85">
        <f>IF(NOT(AND($A18&lt;&gt;"",N($BJ18)&gt;0)),"",TRIM(IFERROR(VLOOKUP($AH18,CODES,2,FALSE),"")&amp;IF($AI18=""," "," "&amp;$AI18&amp;"GA ")&amp;$BG18&amp;" "&amp;IF($AN18="",IFERROR(VLOOKUP($Z18,CODES,2,FALSE),""),IFERROR(VLOOKUP($AN18,CODES,2,FALSE),""))&amp;IF($BJ18=2," PAIR","")&amp;" DOOR | "&amp;IF($AL18="","?",$AL18)&amp;" | "&amp;IF($AO18="",IFERROR(VLOOKUP($AC18,CODES,2,FALSE),""),IFERROR(VLOOKUP($AO18,CODES,2,FALSE),""))&amp;" "&amp;IFERROR(VLOOKUP($AP18,CODES,2,FALSE),"")&amp;IF(OR($AQ18="",$AQ18="-"),""," SEAM "&amp;$AQ18)&amp;IF($AR18="Y"," ASTRAGAL","")&amp;IF($AJ18=""," "," "&amp;$AJ18)&amp;IF($AK18=""," "," "&amp;$AK18)&amp;IF(OR($AT18="",$AT18="ANSI/SDI",$AT18="CUSTOM LOC"),""," "&amp;$AT18)&amp;IF($AM18=""," "," SERIES "&amp;$AM18)&amp;" "&amp;IFERROR(VLOOKUP($H18,CODES,2,FALSE),"")&amp;IF($CT18," | LOC "&amp;$CZ18,"")))</f>
        <v/>
      </c>
      <c r="CL18" s="84">
        <f>IF(CP18="","",IF(COUNTIF($CP$6:CP18,CP18)=1,MAX($CL$5:CL17)+1,INDEX($CL$5:CL17,MATCH(CP18,$CP$5:CP17,0))))</f>
        <v/>
      </c>
      <c r="CM18" s="84">
        <f>IF(NOT(AND($A18&lt;&gt;"",$C18&lt;&gt;"DOOR ONLY")),"",MAX($CM$5:CM17)+1)</f>
        <v/>
      </c>
      <c r="CN18" s="84">
        <f>IF(NOT(AND($A18&lt;&gt;"",N($BJ18)&gt;0)),"",MAX($CN$5:CN17)+1)</f>
        <v/>
      </c>
      <c r="CO18" s="84">
        <f>IF($A18="","",MAX($CO$5:CO17)+1)</f>
        <v/>
      </c>
      <c r="CP18" s="84">
        <f>IF(OR($A18="",$BH18="",$BI18=""),"",$BG18&amp;"|"&amp;$O18&amp;"|"&amp;$AL18&amp;"|"&amp;$S18&amp;"|"&amp;$P18&amp;"|"&amp;$Q18&amp;$R18&amp;"|"&amp;$C18&amp;"|"&amp;$AB18)</f>
        <v/>
      </c>
      <c r="CQ18" s="84">
        <f>N($BS18)</f>
        <v/>
      </c>
      <c r="CR18" s="84">
        <f>IF(N($AU18)&gt;0,N($AU18),4.5)</f>
        <v/>
      </c>
      <c r="CS18" s="84">
        <f>OR($A18="",$BI18="",$S18="BL",AND($C18="FRAME ONLY",OR($AC18="",$AC18="BLK")))</f>
        <v/>
      </c>
      <c r="CT18" s="84">
        <f>AND(NOT($CS18),OR($AT18="CUSTOM LOC",N($AW18)+N($AX18)+N($AY18)+N($AZ18)+N($BA18)&gt;0))</f>
        <v/>
      </c>
      <c r="CU18" s="84">
        <f>IF($BI18="","",IF($BI18&lt;=80,80,IF($BI18&lt;=84,84,96)))</f>
        <v/>
      </c>
      <c r="CV18" s="84">
        <f>ISNUMBER(MATCH($AT18&amp;"|80",LocKeys,0))</f>
        <v/>
      </c>
      <c r="CW18" s="86">
        <f>IF($CS18,"",IF($CV18,VLOOKUP($AT18&amp;"|"&amp;$CU18,LocTable,4,FALSE),5))</f>
        <v/>
      </c>
      <c r="CX18" s="86">
        <f>IF($CS18,"",IF($CV18,IF(OR($BI18=$CU18,AND($BI18&lt;$CU18,$BI18-IF(N(VLOOKUP($AT18&amp;"|"&amp;$CU18,LocTable,7,FALSE))&gt;0,VLOOKUP($AT18&amp;"|"&amp;$CU18,LocTable,7,FALSE),VLOOKUP($AT18&amp;"|"&amp;$CU18,LocTable,6,FALSE))-$CR18-0.75&gt;=2.125)),IF(N(VLOOKUP($AT18&amp;"|"&amp;$CU18,LocTable,7,FALSE))&gt;0,VLOOKUP($AT18&amp;"|"&amp;$CU18,LocTable,7,FALSE),VLOOKUP($AT18&amp;"|"&amp;$CU18,LocTable,6,FALSE)),$BI18-($CU18-IF(N(VLOOKUP($AT18&amp;"|"&amp;$CU18,LocTable,7,FALSE))&gt;0,VLOOKUP($AT18&amp;"|"&amp;$CU18,LocTable,7,FALSE),VLOOKUP($AT18&amp;"|"&amp;$CU18,LocTable,6,FALSE)))),$BI18-10-$CR18))</f>
        <v/>
      </c>
      <c r="CY18" s="85">
        <f>IF($CS18,"",TRIM(IF(ISNUMBER($BU18),"A "&amp;TRIM(TEXT($BU18,"# ?/??"))&amp;CHAR(34)&amp;"  ","")&amp;IF(ISNUMBER($BV18),"B "&amp;TRIM(TEXT($BV18,"# ?/??"))&amp;CHAR(34)&amp;"  ","")&amp;IF(ISNUMBER($BW18),"C "&amp;TRIM(TEXT($BW18,"# ?/??"))&amp;CHAR(34)&amp;"  ","")&amp;IF(ISNUMBER($BX18),"D "&amp;TRIM(TEXT($BX18,"# ?/??"))&amp;CHAR(34)&amp;"  ","")&amp;IF(ISNUMBER($BY18),"F "&amp;TRIM(TEXT($BY18,"# ?/??"))&amp;CHAR(34)&amp;"  ","")&amp;IF(ISNUMBER($BZ18),"E "&amp;TRIM(TEXT($BZ18,"# ?/??"))&amp;CHAR(34)&amp;"  ","")))</f>
        <v/>
      </c>
      <c r="CZ18" s="85">
        <f>IF(OR($CS18,N($BJ18)=0),"",TRIM(IF(ISNUMBER($BU18),"A "&amp;TRIM(TEXT($BU18-HeadClr,"# ?/??"))&amp;CHAR(34)&amp;"  ","")&amp;IF(ISNUMBER($BV18),"B "&amp;TRIM(TEXT($BV18-HeadClr,"# ?/??"))&amp;CHAR(34)&amp;"  ","")&amp;IF(ISNUMBER($BW18),"C "&amp;TRIM(TEXT($BW18-HeadClr,"# ?/??"))&amp;CHAR(34)&amp;"  ","")&amp;IF(ISNUMBER($BX18),"D "&amp;TRIM(TEXT($BX18-HeadClr,"# ?/??"))&amp;CHAR(34)&amp;"  ","")&amp;IF(ISNUMBER($BY18),"F "&amp;TRIM(TEXT($BY18-HeadClr,"# ?/??"))&amp;CHAR(34)&amp;"  ","")&amp;IF(ISNUMBER($BZ18),"E "&amp;TRIM(TEXT($BZ18-HeadClr,"# ?/??"))&amp;CHAR(34)&amp;"  ","")))</f>
        <v/>
      </c>
      <c r="DA18" s="84">
        <f>IF($A18="","",IF($AN18="",IFERROR(VLOOKUP($Z18,CODES,2,FALSE),""),IFERROR(VLOOKUP($AN18,CODES,2,FALSE),"")))</f>
        <v/>
      </c>
      <c r="DB18" s="84">
        <f>IF($A18="","",IF($O18="Y","PR",IF(OR($Z18="L",$Z18="RR",LEFT($Z18,2)="L-",LEFT($Z18,3)="RR-"),"LH","RH")))</f>
        <v/>
      </c>
      <c r="DC18" s="84">
        <f>IF($A18="","","S.HM"&amp;IF(OR($C18="DOOR ONLY",$X18&lt;&gt;"KD"),"MASONRY","DRYWALL")&amp;IF($C18="DOOR ONLY","",$U18)&amp;IF(AND($C18&lt;&gt;"FRAME ONLY",OR(LEFT($AH18,3)="OAK",LEFT($AH18,3)="BIR",LEFT($AH18,3)="MAP",$AH18="PC",$AH18="MC",$AH18="SCLC",$AH18="P-LAM")),"WD","HM")&amp;"1.75")</f>
        <v/>
      </c>
      <c r="DD18" s="84">
        <f>IF($CJ18="","",IF($O18="Y",$CJ18,SUBSTITUTE($CJ18,$BG18&amp;" "&amp;IFERROR(VLOOKUP($Z18,CODES,2,FALSE),"")&amp;" ",$BG18&amp;" ")))</f>
        <v/>
      </c>
      <c r="DE18" s="84">
        <f>IF($CK18="","",IF($O18="Y",$CK18,SUBSTITUTE($CK18,$BG18&amp;" "&amp;IF($AN18="",IFERROR(VLOOKUP($Z18,CODES,2,FALSE),""),IFERROR(VLOOKUP($AN18,CODES,2,FALSE),""))&amp;" ",$BG18&amp;" ")))</f>
        <v/>
      </c>
      <c r="DF18" s="84">
        <f>IF($CJ18="","",$DC18&amp;"|"&amp;$DD18&amp;"|"&amp;$DB18&amp;"|"&amp;$AT18&amp;"|"&amp;$V18&amp;"|"&amp;$Y18&amp;"|"&amp;$AB18)</f>
        <v/>
      </c>
      <c r="DG18" s="84">
        <f>IF(DF18="","",IF(COUNTIF($DF$6:DF18,DF18)=1,MAX($DG$5:DG17)+1,INDEX($DG$5:DG17,MATCH(DF18,$DF$5:DF17,0))))</f>
        <v/>
      </c>
      <c r="DH18" s="84">
        <f>IF($CK18="","",$DC18&amp;"|"&amp;$DE18&amp;"|"&amp;$AI18&amp;"|"&amp;$BK18&amp;"|"&amp;$BL18)</f>
        <v/>
      </c>
      <c r="DI18" s="84">
        <f>IF(DH18="","",IF(COUNTIF($DH$6:DH18,DH18)=1,MAX($DI$5:DI17)+1,INDEX($DI$5:DI17,MATCH(DH18,$DH$5:DH17,0))))</f>
        <v/>
      </c>
      <c r="DJ18" s="84">
        <f>IF($A18="","",IF($B18="","qty, ","")&amp;IF($C18="","scope, ","")&amp;IF(OR($K18="",$M18=""),"size, ","")&amp;IF(AND($A18&lt;&gt;"",$C18&lt;&gt;"DOOR ONLY"),IF($U18="","jamb depth, ","")&amp;IF($X18="","construction, ","")&amp;IF($Y18="","anchor, ","")&amp;IF($S18="","frame type, ",""),"")&amp;IF(AND(N($BJ18)&gt;0,$Z18=""),"hand, ","")&amp;IF(N($BJ18)&gt;0,IF($AH18="","door material, ","")&amp;IF($AL18="","face type, ","")&amp;IF($AP18="","lock prep, ","")&amp;IF(AND($AO18="",$AC18=""),"hinge prep, ",""),"")&amp;IF(AND($CH18&gt;0,$AH18="FRP"),"FRP cannot carry a label, ","")&amp;IF(AND($O18="Y",OR($Z18="L",$Z18="R",$Z18="LR",$Z18="RR")),"pair marked but hand is single, ","")&amp;IF(AND($O18&lt;&gt;"Y",OR($Z18="PR",AND(LEN($Z18)&gt;1,ISNUMBER(SEARCH("-",$Z18))))),"pair hand on a single door, ","")&amp;IF(AND(ISNUMBER($CI18),$CH18&lt;N($CI18)),"wall needs a "&amp;$CI18&amp;" min door, ","")&amp;IF(AND($CH18&gt;=180,AND(OR($CE18="FG",$CE18="HG",$CE18="FNV",$CE18="FV"),N($CF18)*N($CG18)&gt;100)),"180 min lite over 100 sq in, ","")&amp;IF(N($BK18)&gt;48,"leaf wider than 4'-0"&amp;CHAR(34)&amp;", ","")&amp;IF(AND($CT18,COUNT($AW18:$AZ18)=0,$CQ18&gt;0),"CUSTOM LOC with no locations typed, ",""))</f>
        <v/>
      </c>
      <c r="DK18" s="84">
        <f>IF($A18="","",IF(AND($CH18&gt;0,AND($A18&lt;&gt;"",$C18&lt;&gt;"DOOR ONLY"),$X18="KD",$E18="EXTERIOR"),"KD label on an exterior opening, ","")&amp;IF(AND($E18="EXTERIOR",OR(AND(AND($A18&lt;&gt;"",$C18&lt;&gt;"DOOR ONLY"),$W18="CR"),AND(N($BJ18)&gt;0,$AH18="CR"))),"exterior in CR steel (G9?), ","")&amp;IF(AND(ISNUMBER($BQ18),N($BQ18)&lt;32),"clear width ~"&amp;TEXT($BQ18,"0.0")&amp;CHAR(34)&amp;" under 32"&amp;CHAR(34)&amp;" (ADA), ","")&amp;IF(AND($CH18=90,AND(OR($CE18="FG",$CE18="HG",$CE18="FNV",$CE18="FV"),N($CF18)*N($CG18)&gt;100)),"90 min lite over 100 sq in (stair/exit), ","")&amp;IF(AND($CH18&gt;0,AND($A18&lt;&gt;"",$C18&lt;&gt;"DOOR ONLY"),OR($AF18="",$AF18="-")),"rated: closer reinf.?, ","")&amp;IF(OR($I18="CORRIDOR",$I18="SMOKE BARRIER"),"S label + smoke gasketing, ","")&amp;IF($CI18="?","wall type/hr not in IBC table, ","")&amp;IF(AND(N($BJ18)&gt;0,$BB18=""),"no hardware set, ","")&amp;IF(AND($BB18&lt;&gt;"",ISNA(MATCH($BB18&amp;"",HWSets,0))),"set "&amp;$BB18&amp;" not on HW Sets, ","")&amp;IF(N($BL18)&gt;96,"leaf over 8'-0"&amp;CHAR(34)&amp;" - check listing, ","")&amp;IF(AND($CT18,COUNT($AW18:$AZ18)&gt;0,COUNT($AW18:$AZ18)&lt;&gt;$CQ18),COUNT($AW18:$AZ18)&amp;" custom hinges typed, "&amp;$CQ18&amp;" expected, ","")&amp;IF(AND(ISNUMBER($CA18),OR(N($CA18)&lt;34,N($CA18)&gt;48)),"lock "&amp;TEXT($CA18,"0.0")&amp;CHAR(34)&amp;" AFF outside 34-48"&amp;CHAR(34)&amp;" (ADA), ","")&amp;IF(AND(ISNUMBER($AV18),ISNUMBER($BL18),N($AV18)&lt;IF(N($BL18)&lt;=60,2,IF(N($BL18)&lt;=90,3,IF(N($BL18)&lt;=120,4,5)))),"fewer hinges than standard, ",""))</f>
        <v/>
      </c>
    </row>
    <row r="19" ht="15" customHeight="1">
      <c r="A19" s="77" t="n"/>
      <c r="B19" s="78" t="n"/>
      <c r="C19" s="78" t="n"/>
      <c r="D19" s="78" t="n"/>
      <c r="E19" s="78" t="n"/>
      <c r="F19" s="78" t="n"/>
      <c r="G19" s="78" t="n"/>
      <c r="H19" s="78" t="n"/>
      <c r="I19" s="78" t="n"/>
      <c r="J19" s="78" t="n"/>
      <c r="K19" s="78" t="n"/>
      <c r="L19" s="78" t="n"/>
      <c r="M19" s="78" t="n"/>
      <c r="N19" s="78" t="n"/>
      <c r="O19" s="78" t="n"/>
      <c r="P19" s="78" t="n"/>
      <c r="Q19" s="78" t="n"/>
      <c r="R19" s="78" t="n"/>
      <c r="S19" s="79" t="n"/>
      <c r="T19" s="79" t="n"/>
      <c r="U19" s="79" t="n"/>
      <c r="V19" s="79" t="n"/>
      <c r="W19" s="79" t="n"/>
      <c r="X19" s="79" t="n"/>
      <c r="Y19" s="79" t="n"/>
      <c r="Z19" s="79" t="n"/>
      <c r="AA19" s="79" t="n"/>
      <c r="AB19" s="79" t="n"/>
      <c r="AC19" s="79" t="n"/>
      <c r="AD19" s="79" t="n"/>
      <c r="AE19" s="79" t="n"/>
      <c r="AF19" s="79" t="n"/>
      <c r="AG19" s="79" t="n"/>
      <c r="AH19" s="80" t="n"/>
      <c r="AI19" s="80" t="n"/>
      <c r="AJ19" s="80" t="n"/>
      <c r="AK19" s="80" t="n"/>
      <c r="AL19" s="80" t="n"/>
      <c r="AM19" s="80" t="n"/>
      <c r="AN19" s="80" t="n"/>
      <c r="AO19" s="80" t="n"/>
      <c r="AP19" s="80" t="n"/>
      <c r="AQ19" s="80" t="n"/>
      <c r="AR19" s="80" t="n"/>
      <c r="AS19" s="80" t="n"/>
      <c r="AT19" s="81" t="n"/>
      <c r="AU19" s="81" t="n"/>
      <c r="AV19" s="81" t="n"/>
      <c r="AW19" s="82" t="n"/>
      <c r="AX19" s="82" t="n"/>
      <c r="AY19" s="82" t="n"/>
      <c r="AZ19" s="82" t="n"/>
      <c r="BA19" s="82" t="n"/>
      <c r="BB19" s="83" t="n"/>
      <c r="BC19" s="83" t="n"/>
      <c r="BD19" s="84">
        <f>IF($A19="","",IF($DJ19&lt;&gt;"","FIX",IF($DK19&lt;&gt;"","CHECK","OK")))</f>
        <v/>
      </c>
      <c r="BE19" s="85">
        <f>IF($A19="","",IF($DJ19&lt;&gt;"","FIX: "&amp;LEFT($DJ19,LEN($DJ19)-2)&amp;IF($DK19&lt;&gt;"","  ·  ",""),"")&amp;IF($DK19&lt;&gt;"","CHECK: "&amp;LEFT($DK19,LEN($DK19)-2),""))</f>
        <v/>
      </c>
      <c r="BF19" s="84">
        <f>IF(OR($A19="",$K19=""),"",$K19&amp;"'-"&amp;N($L19)&amp;CHAR(34)&amp;" x "&amp;$M19&amp;"'-"&amp;N($N19)&amp;CHAR(34))</f>
        <v/>
      </c>
      <c r="BG19" s="84">
        <f>IF(OR($A19="",$K19=""),"",$K19&amp;N($L19)&amp;$M19&amp;N($N19))</f>
        <v/>
      </c>
      <c r="BH19" s="84">
        <f>IF(OR($A19="",$K19=""),"",$K19*12+N($L19))</f>
        <v/>
      </c>
      <c r="BI19" s="84">
        <f>IF(OR($A19="",$M19=""),"",$M19*12+N($N19))</f>
        <v/>
      </c>
      <c r="BJ19" s="84">
        <f>IF($A19="","",IF(OR($C19="FRAME ONLY",$S19="BL"),0,IF($O19="Y",2,1)))</f>
        <v/>
      </c>
      <c r="BK19" s="86">
        <f>IF(OR(N($BJ19)=0,$BH19=""),"",($BH19-2*EdgeClr-IF($BJ19=2,MeetClr,0))/$BJ19)</f>
        <v/>
      </c>
      <c r="BL19" s="86">
        <f>IF(OR(N($BJ19)=0,$BI19=""),"",$BI19-HeadClr-Undercut)</f>
        <v/>
      </c>
      <c r="BM19" s="86">
        <f>IF($BH19="","",$BH19+2*FaceW+IF(N($Q19)&gt;0,($Q19+FaceW)*IF($R19="LR",2,1),0))</f>
        <v/>
      </c>
      <c r="BN19" s="86">
        <f>IF($BI19="","",$BI19+IF($AB19="Y",4,FaceW)+IF(N($P19)&gt;0,$P19+FaceW,0)+IF(OR($S19="4F",$S19="BL"),FaceW,0))</f>
        <v/>
      </c>
      <c r="BO19" s="86">
        <f>IF($BM19="","",$BM19+2*ROSide)</f>
        <v/>
      </c>
      <c r="BP19" s="86">
        <f>IF($BN19="","",$BN19+ROTop)</f>
        <v/>
      </c>
      <c r="BQ19" s="87">
        <f>IF(OR(N($BJ19)=0,$BH19=""),"",$BH19/$BJ19-ClearDeduct)</f>
        <v/>
      </c>
      <c r="BR19" s="84">
        <f>IF(N($CH19)=0,"",IF($CH19&gt;=180,"A · 3 HR",IF($CH19&gt;=90,"B · 1-1/2 HR",IF($CH19&gt;=60,"B · 1 HR",IF($CH19&gt;=45,"C · 3/4 HR","20 MIN")))))&amp;IF(AND(N($CH19)&gt;0,OR($I19="CORRIDOR",$I19="SMOKE BARRIER"))," · S","")</f>
        <v/>
      </c>
      <c r="BS19" s="84">
        <f>IF($CS19,"",IF($AV19&lt;&gt;"",$AV19,IF(OR($AC19="HGC",$AO19="HGC"),"CONT",IF(($BI19-HeadClr-Undercut)&lt;=60,2,IF(($BI19-HeadClr-Undercut)&lt;=90,3,IF(($BI19-HeadClr-Undercut)&lt;=120,4,5))))))</f>
        <v/>
      </c>
      <c r="BT19" s="84">
        <f>IF($CS19,"",IF($CT19,"CUSTOM (typed)",IF($CV19,$AT19&amp;" "&amp;$CU19&amp;CHAR(34)&amp;IF($CU19&lt;&gt;$BI19,IF(AND($BI19&lt;$CU19,$BI19-IF(N(VLOOKUP($AT19&amp;"|"&amp;$CU19,LocTable,7,FALSE))&gt;0,VLOOKUP($AT19&amp;"|"&amp;$CU19,LocTable,7,FALSE),VLOOKUP($AT19&amp;"|"&amp;$CU19,LocTable,6,FALSE))-$CR19-0.75&gt;=2.125)," cut down"," adj."),""),"ANSI/SDI A250.6")))</f>
        <v/>
      </c>
      <c r="BU19" s="88">
        <f>IF($CS19,"",IF($CT19,IF(N($AW19)&gt;0,N($AW19),""),IF(1&gt;$CQ19,"",IF($CQ19=1,$CW19,$CW19+($CX19-$CW19)*0/($CQ19-1)))))</f>
        <v/>
      </c>
      <c r="BV19" s="88">
        <f>IF($CS19,"",IF($CT19,IF(N($AX19)&gt;0,N($AX19),""),IF(2&gt;$CQ19,"",IF($CQ19=1,$CW19,$CW19+($CX19-$CW19)*1/($CQ19-1)))))</f>
        <v/>
      </c>
      <c r="BW19" s="88">
        <f>IF($CS19,"",IF($CT19,IF(N($AY19)&gt;0,N($AY19),""),IF(3&gt;$CQ19,"",IF($CQ19=1,$CW19,$CW19+($CX19-$CW19)*2/($CQ19-1)))))</f>
        <v/>
      </c>
      <c r="BX19" s="88">
        <f>IF($CS19,"",IF($CT19,IF(N($AZ19)&gt;0,N($AZ19),""),IF(4&gt;$CQ19,"",IF($CQ19=1,$CW19,$CW19+($CX19-$CW19)*3/($CQ19-1)))))</f>
        <v/>
      </c>
      <c r="BY19" s="88">
        <f>IF($CS19,"",IF($CT19,"",IF(5&gt;$CQ19,"",IF($CQ19=1,$CW19,$CW19+($CX19-$CW19)*4/($CQ19-1)))))</f>
        <v/>
      </c>
      <c r="BZ19" s="88">
        <f>IF(OR($CS19,$AP19="-",AND($AP19="",$AD19="")),"",IF(N($BA19)&gt;0,N($BA19),IF($CV19,IF(AND($BI19&lt;$CU19,$BI19-IF(N(VLOOKUP($AT19&amp;"|"&amp;$CU19,LocTable,7,FALSE))&gt;0,VLOOKUP($AT19&amp;"|"&amp;$CU19,LocTable,7,FALSE),VLOOKUP($AT19&amp;"|"&amp;$CU19,LocTable,6,FALSE))-$CR19-0.75&gt;=2.125),VLOOKUP($AT19&amp;"|"&amp;$CU19,LocTable,8,FALSE),VLOOKUP($AT19&amp;"|"&amp;$CU19,LocTable,8,FALSE)+($BI19-$CU19)),$BI19-LockAFF)))</f>
        <v/>
      </c>
      <c r="CA19" s="89">
        <f>IF($BZ19="","",$BI19-$BZ19)</f>
        <v/>
      </c>
      <c r="CB19" s="84">
        <f>IF(OR(NOT(AND($A19&lt;&gt;"",$C19&lt;&gt;"DOOR ONLY")),$BI19=""),"",IF(($BI19+IF(N($P19)&gt;0,$P19+FaceW,0))&lt;=90,3,IF(($BI19+IF(N($P19)&gt;0,$P19+FaceW,0))&lt;=114,4,5)))</f>
        <v/>
      </c>
      <c r="CC19" s="84">
        <f>IF($CB19="","",$CB19*(2+IF(N($Q19)&gt;0,IF($R19="LR",2,1),0)))</f>
        <v/>
      </c>
      <c r="CD19" s="84">
        <f>IF($CB19="","",(2+IF(N($Q19)&gt;0,IF($R19="LR",2,1),0)))</f>
        <v/>
      </c>
      <c r="CE19" s="84">
        <f>IF(N($BJ19)=0,"",IF(OR($AL19="",$AL19="FLUSH"),"FLUSH",IFERROR(LEFT($AL19,FIND("-",$AL19)-1),LEFT($AL19,2))))</f>
        <v/>
      </c>
      <c r="CF19" s="84">
        <f>IF($CE19="","",IFERROR(VALUE(MID($AL19,FIND("-",$AL19)+1,FIND(CHAR(34)&amp;"x",$AL19)-FIND("-",$AL19)-1)),0))</f>
        <v/>
      </c>
      <c r="CG19" s="84">
        <f>IF($CE19="","",IFERROR(VALUE(MID($AL19,FIND(CHAR(34)&amp;"x",$AL19)+2,FIND(CHAR(34),$AL19,FIND(CHAR(34)&amp;"x",$AL19)+2)-FIND(CHAR(34)&amp;"x",$AL19)-2)),0))</f>
        <v/>
      </c>
      <c r="CH19" s="90">
        <f>IF(OR($A19="",$H19="",$H19="NO LAB"),0,IFERROR(VALUE(LEFT($H19,FIND(" ",$H19)-1)),0))</f>
        <v/>
      </c>
      <c r="CI19" s="91">
        <f>IF(OR($A19="",$I19="",$I19="NON-RATED",N($J19)=0),"",IFERROR(VLOOKUP($I19&amp;"|"&amp;$J19,IBC,2,FALSE),"?"))</f>
        <v/>
      </c>
      <c r="CJ19" s="85">
        <f>IF(NOT(AND($A19&lt;&gt;"",$C19&lt;&gt;"DOOR ONLY")),"",TRIM(IFERROR(VLOOKUP($U19,CODES,2,FALSE),"")&amp;" "&amp;$BG19&amp;" "&amp;IFERROR(VLOOKUP($Z19,CODES,2,FALSE),"")&amp;" "&amp;IFERROR(VLOOKUP($X19,CODES,2,FALSE),"")&amp;" "&amp;IFERROR(VLOOKUP($S19,CODES,2,FALSE),"")&amp;IF(N($P19)&gt;0," w/TRANSOM "&amp;$P19&amp;CHAR(34),"")&amp;IF(N($Q19)&gt;0," w/SIDELITE "&amp;$Q19&amp;CHAR(34)&amp;" "&amp;IF($R19="","R",$R19),"")&amp;IF($Y19="","  |  "," | "&amp;IFERROR(VLOOKUP($Y19,CODES,2,FALSE),"")&amp;" | ")&amp;IFERROR(VLOOKUP($AC19,CODES,2,FALSE),"")&amp;" "&amp;IFERROR(VLOOKUP($AD19,CODES,2,FALSE),"")&amp;IF(OR($AE19="",$AE19="-"),""," "&amp;$AE19)&amp;IF(OR($AF19="",$AF19="-"),""," "&amp;$AF19)&amp;IF($AB19="Y"," 4"&amp;CHAR(34)&amp;" HEAD","")&amp;" "&amp;IFERROR(VLOOKUP($H19,CODES,2,FALSE),"")&amp;IF($CT19," | LOC "&amp;$CY19,"")))</f>
        <v/>
      </c>
      <c r="CK19" s="85">
        <f>IF(NOT(AND($A19&lt;&gt;"",N($BJ19)&gt;0)),"",TRIM(IFERROR(VLOOKUP($AH19,CODES,2,FALSE),"")&amp;IF($AI19=""," "," "&amp;$AI19&amp;"GA ")&amp;$BG19&amp;" "&amp;IF($AN19="",IFERROR(VLOOKUP($Z19,CODES,2,FALSE),""),IFERROR(VLOOKUP($AN19,CODES,2,FALSE),""))&amp;IF($BJ19=2," PAIR","")&amp;" DOOR | "&amp;IF($AL19="","?",$AL19)&amp;" | "&amp;IF($AO19="",IFERROR(VLOOKUP($AC19,CODES,2,FALSE),""),IFERROR(VLOOKUP($AO19,CODES,2,FALSE),""))&amp;" "&amp;IFERROR(VLOOKUP($AP19,CODES,2,FALSE),"")&amp;IF(OR($AQ19="",$AQ19="-"),""," SEAM "&amp;$AQ19)&amp;IF($AR19="Y"," ASTRAGAL","")&amp;IF($AJ19=""," "," "&amp;$AJ19)&amp;IF($AK19=""," "," "&amp;$AK19)&amp;IF(OR($AT19="",$AT19="ANSI/SDI",$AT19="CUSTOM LOC"),""," "&amp;$AT19)&amp;IF($AM19=""," "," SERIES "&amp;$AM19)&amp;" "&amp;IFERROR(VLOOKUP($H19,CODES,2,FALSE),"")&amp;IF($CT19," | LOC "&amp;$CZ19,"")))</f>
        <v/>
      </c>
      <c r="CL19" s="84">
        <f>IF(CP19="","",IF(COUNTIF($CP$6:CP19,CP19)=1,MAX($CL$5:CL18)+1,INDEX($CL$5:CL18,MATCH(CP19,$CP$5:CP18,0))))</f>
        <v/>
      </c>
      <c r="CM19" s="84">
        <f>IF(NOT(AND($A19&lt;&gt;"",$C19&lt;&gt;"DOOR ONLY")),"",MAX($CM$5:CM18)+1)</f>
        <v/>
      </c>
      <c r="CN19" s="84">
        <f>IF(NOT(AND($A19&lt;&gt;"",N($BJ19)&gt;0)),"",MAX($CN$5:CN18)+1)</f>
        <v/>
      </c>
      <c r="CO19" s="84">
        <f>IF($A19="","",MAX($CO$5:CO18)+1)</f>
        <v/>
      </c>
      <c r="CP19" s="84">
        <f>IF(OR($A19="",$BH19="",$BI19=""),"",$BG19&amp;"|"&amp;$O19&amp;"|"&amp;$AL19&amp;"|"&amp;$S19&amp;"|"&amp;$P19&amp;"|"&amp;$Q19&amp;$R19&amp;"|"&amp;$C19&amp;"|"&amp;$AB19)</f>
        <v/>
      </c>
      <c r="CQ19" s="84">
        <f>N($BS19)</f>
        <v/>
      </c>
      <c r="CR19" s="84">
        <f>IF(N($AU19)&gt;0,N($AU19),4.5)</f>
        <v/>
      </c>
      <c r="CS19" s="84">
        <f>OR($A19="",$BI19="",$S19="BL",AND($C19="FRAME ONLY",OR($AC19="",$AC19="BLK")))</f>
        <v/>
      </c>
      <c r="CT19" s="84">
        <f>AND(NOT($CS19),OR($AT19="CUSTOM LOC",N($AW19)+N($AX19)+N($AY19)+N($AZ19)+N($BA19)&gt;0))</f>
        <v/>
      </c>
      <c r="CU19" s="84">
        <f>IF($BI19="","",IF($BI19&lt;=80,80,IF($BI19&lt;=84,84,96)))</f>
        <v/>
      </c>
      <c r="CV19" s="84">
        <f>ISNUMBER(MATCH($AT19&amp;"|80",LocKeys,0))</f>
        <v/>
      </c>
      <c r="CW19" s="86">
        <f>IF($CS19,"",IF($CV19,VLOOKUP($AT19&amp;"|"&amp;$CU19,LocTable,4,FALSE),5))</f>
        <v/>
      </c>
      <c r="CX19" s="86">
        <f>IF($CS19,"",IF($CV19,IF(OR($BI19=$CU19,AND($BI19&lt;$CU19,$BI19-IF(N(VLOOKUP($AT19&amp;"|"&amp;$CU19,LocTable,7,FALSE))&gt;0,VLOOKUP($AT19&amp;"|"&amp;$CU19,LocTable,7,FALSE),VLOOKUP($AT19&amp;"|"&amp;$CU19,LocTable,6,FALSE))-$CR19-0.75&gt;=2.125)),IF(N(VLOOKUP($AT19&amp;"|"&amp;$CU19,LocTable,7,FALSE))&gt;0,VLOOKUP($AT19&amp;"|"&amp;$CU19,LocTable,7,FALSE),VLOOKUP($AT19&amp;"|"&amp;$CU19,LocTable,6,FALSE)),$BI19-($CU19-IF(N(VLOOKUP($AT19&amp;"|"&amp;$CU19,LocTable,7,FALSE))&gt;0,VLOOKUP($AT19&amp;"|"&amp;$CU19,LocTable,7,FALSE),VLOOKUP($AT19&amp;"|"&amp;$CU19,LocTable,6,FALSE)))),$BI19-10-$CR19))</f>
        <v/>
      </c>
      <c r="CY19" s="85">
        <f>IF($CS19,"",TRIM(IF(ISNUMBER($BU19),"A "&amp;TRIM(TEXT($BU19,"# ?/??"))&amp;CHAR(34)&amp;"  ","")&amp;IF(ISNUMBER($BV19),"B "&amp;TRIM(TEXT($BV19,"# ?/??"))&amp;CHAR(34)&amp;"  ","")&amp;IF(ISNUMBER($BW19),"C "&amp;TRIM(TEXT($BW19,"# ?/??"))&amp;CHAR(34)&amp;"  ","")&amp;IF(ISNUMBER($BX19),"D "&amp;TRIM(TEXT($BX19,"# ?/??"))&amp;CHAR(34)&amp;"  ","")&amp;IF(ISNUMBER($BY19),"F "&amp;TRIM(TEXT($BY19,"# ?/??"))&amp;CHAR(34)&amp;"  ","")&amp;IF(ISNUMBER($BZ19),"E "&amp;TRIM(TEXT($BZ19,"# ?/??"))&amp;CHAR(34)&amp;"  ","")))</f>
        <v/>
      </c>
      <c r="CZ19" s="85">
        <f>IF(OR($CS19,N($BJ19)=0),"",TRIM(IF(ISNUMBER($BU19),"A "&amp;TRIM(TEXT($BU19-HeadClr,"# ?/??"))&amp;CHAR(34)&amp;"  ","")&amp;IF(ISNUMBER($BV19),"B "&amp;TRIM(TEXT($BV19-HeadClr,"# ?/??"))&amp;CHAR(34)&amp;"  ","")&amp;IF(ISNUMBER($BW19),"C "&amp;TRIM(TEXT($BW19-HeadClr,"# ?/??"))&amp;CHAR(34)&amp;"  ","")&amp;IF(ISNUMBER($BX19),"D "&amp;TRIM(TEXT($BX19-HeadClr,"# ?/??"))&amp;CHAR(34)&amp;"  ","")&amp;IF(ISNUMBER($BY19),"F "&amp;TRIM(TEXT($BY19-HeadClr,"# ?/??"))&amp;CHAR(34)&amp;"  ","")&amp;IF(ISNUMBER($BZ19),"E "&amp;TRIM(TEXT($BZ19-HeadClr,"# ?/??"))&amp;CHAR(34)&amp;"  ","")))</f>
        <v/>
      </c>
      <c r="DA19" s="84">
        <f>IF($A19="","",IF($AN19="",IFERROR(VLOOKUP($Z19,CODES,2,FALSE),""),IFERROR(VLOOKUP($AN19,CODES,2,FALSE),"")))</f>
        <v/>
      </c>
      <c r="DB19" s="84">
        <f>IF($A19="","",IF($O19="Y","PR",IF(OR($Z19="L",$Z19="RR",LEFT($Z19,2)="L-",LEFT($Z19,3)="RR-"),"LH","RH")))</f>
        <v/>
      </c>
      <c r="DC19" s="84">
        <f>IF($A19="","","S.HM"&amp;IF(OR($C19="DOOR ONLY",$X19&lt;&gt;"KD"),"MASONRY","DRYWALL")&amp;IF($C19="DOOR ONLY","",$U19)&amp;IF(AND($C19&lt;&gt;"FRAME ONLY",OR(LEFT($AH19,3)="OAK",LEFT($AH19,3)="BIR",LEFT($AH19,3)="MAP",$AH19="PC",$AH19="MC",$AH19="SCLC",$AH19="P-LAM")),"WD","HM")&amp;"1.75")</f>
        <v/>
      </c>
      <c r="DD19" s="84">
        <f>IF($CJ19="","",IF($O19="Y",$CJ19,SUBSTITUTE($CJ19,$BG19&amp;" "&amp;IFERROR(VLOOKUP($Z19,CODES,2,FALSE),"")&amp;" ",$BG19&amp;" ")))</f>
        <v/>
      </c>
      <c r="DE19" s="84">
        <f>IF($CK19="","",IF($O19="Y",$CK19,SUBSTITUTE($CK19,$BG19&amp;" "&amp;IF($AN19="",IFERROR(VLOOKUP($Z19,CODES,2,FALSE),""),IFERROR(VLOOKUP($AN19,CODES,2,FALSE),""))&amp;" ",$BG19&amp;" ")))</f>
        <v/>
      </c>
      <c r="DF19" s="84">
        <f>IF($CJ19="","",$DC19&amp;"|"&amp;$DD19&amp;"|"&amp;$DB19&amp;"|"&amp;$AT19&amp;"|"&amp;$V19&amp;"|"&amp;$Y19&amp;"|"&amp;$AB19)</f>
        <v/>
      </c>
      <c r="DG19" s="84">
        <f>IF(DF19="","",IF(COUNTIF($DF$6:DF19,DF19)=1,MAX($DG$5:DG18)+1,INDEX($DG$5:DG18,MATCH(DF19,$DF$5:DF18,0))))</f>
        <v/>
      </c>
      <c r="DH19" s="84">
        <f>IF($CK19="","",$DC19&amp;"|"&amp;$DE19&amp;"|"&amp;$AI19&amp;"|"&amp;$BK19&amp;"|"&amp;$BL19)</f>
        <v/>
      </c>
      <c r="DI19" s="84">
        <f>IF(DH19="","",IF(COUNTIF($DH$6:DH19,DH19)=1,MAX($DI$5:DI18)+1,INDEX($DI$5:DI18,MATCH(DH19,$DH$5:DH18,0))))</f>
        <v/>
      </c>
      <c r="DJ19" s="84">
        <f>IF($A19="","",IF($B19="","qty, ","")&amp;IF($C19="","scope, ","")&amp;IF(OR($K19="",$M19=""),"size, ","")&amp;IF(AND($A19&lt;&gt;"",$C19&lt;&gt;"DOOR ONLY"),IF($U19="","jamb depth, ","")&amp;IF($X19="","construction, ","")&amp;IF($Y19="","anchor, ","")&amp;IF($S19="","frame type, ",""),"")&amp;IF(AND(N($BJ19)&gt;0,$Z19=""),"hand, ","")&amp;IF(N($BJ19)&gt;0,IF($AH19="","door material, ","")&amp;IF($AL19="","face type, ","")&amp;IF($AP19="","lock prep, ","")&amp;IF(AND($AO19="",$AC19=""),"hinge prep, ",""),"")&amp;IF(AND($CH19&gt;0,$AH19="FRP"),"FRP cannot carry a label, ","")&amp;IF(AND($O19="Y",OR($Z19="L",$Z19="R",$Z19="LR",$Z19="RR")),"pair marked but hand is single, ","")&amp;IF(AND($O19&lt;&gt;"Y",OR($Z19="PR",AND(LEN($Z19)&gt;1,ISNUMBER(SEARCH("-",$Z19))))),"pair hand on a single door, ","")&amp;IF(AND(ISNUMBER($CI19),$CH19&lt;N($CI19)),"wall needs a "&amp;$CI19&amp;" min door, ","")&amp;IF(AND($CH19&gt;=180,AND(OR($CE19="FG",$CE19="HG",$CE19="FNV",$CE19="FV"),N($CF19)*N($CG19)&gt;100)),"180 min lite over 100 sq in, ","")&amp;IF(N($BK19)&gt;48,"leaf wider than 4'-0"&amp;CHAR(34)&amp;", ","")&amp;IF(AND($CT19,COUNT($AW19:$AZ19)=0,$CQ19&gt;0),"CUSTOM LOC with no locations typed, ",""))</f>
        <v/>
      </c>
      <c r="DK19" s="84">
        <f>IF($A19="","",IF(AND($CH19&gt;0,AND($A19&lt;&gt;"",$C19&lt;&gt;"DOOR ONLY"),$X19="KD",$E19="EXTERIOR"),"KD label on an exterior opening, ","")&amp;IF(AND($E19="EXTERIOR",OR(AND(AND($A19&lt;&gt;"",$C19&lt;&gt;"DOOR ONLY"),$W19="CR"),AND(N($BJ19)&gt;0,$AH19="CR"))),"exterior in CR steel (G9?), ","")&amp;IF(AND(ISNUMBER($BQ19),N($BQ19)&lt;32),"clear width ~"&amp;TEXT($BQ19,"0.0")&amp;CHAR(34)&amp;" under 32"&amp;CHAR(34)&amp;" (ADA), ","")&amp;IF(AND($CH19=90,AND(OR($CE19="FG",$CE19="HG",$CE19="FNV",$CE19="FV"),N($CF19)*N($CG19)&gt;100)),"90 min lite over 100 sq in (stair/exit), ","")&amp;IF(AND($CH19&gt;0,AND($A19&lt;&gt;"",$C19&lt;&gt;"DOOR ONLY"),OR($AF19="",$AF19="-")),"rated: closer reinf.?, ","")&amp;IF(OR($I19="CORRIDOR",$I19="SMOKE BARRIER"),"S label + smoke gasketing, ","")&amp;IF($CI19="?","wall type/hr not in IBC table, ","")&amp;IF(AND(N($BJ19)&gt;0,$BB19=""),"no hardware set, ","")&amp;IF(AND($BB19&lt;&gt;"",ISNA(MATCH($BB19&amp;"",HWSets,0))),"set "&amp;$BB19&amp;" not on HW Sets, ","")&amp;IF(N($BL19)&gt;96,"leaf over 8'-0"&amp;CHAR(34)&amp;" - check listing, ","")&amp;IF(AND($CT19,COUNT($AW19:$AZ19)&gt;0,COUNT($AW19:$AZ19)&lt;&gt;$CQ19),COUNT($AW19:$AZ19)&amp;" custom hinges typed, "&amp;$CQ19&amp;" expected, ","")&amp;IF(AND(ISNUMBER($CA19),OR(N($CA19)&lt;34,N($CA19)&gt;48)),"lock "&amp;TEXT($CA19,"0.0")&amp;CHAR(34)&amp;" AFF outside 34-48"&amp;CHAR(34)&amp;" (ADA), ","")&amp;IF(AND(ISNUMBER($AV19),ISNUMBER($BL19),N($AV19)&lt;IF(N($BL19)&lt;=60,2,IF(N($BL19)&lt;=90,3,IF(N($BL19)&lt;=120,4,5)))),"fewer hinges than standard, ",""))</f>
        <v/>
      </c>
    </row>
    <row r="20" ht="15" customHeight="1">
      <c r="A20" s="92" t="n"/>
      <c r="B20" s="93" t="n"/>
      <c r="C20" s="93" t="n"/>
      <c r="D20" s="93" t="n"/>
      <c r="E20" s="93" t="n"/>
      <c r="F20" s="93" t="n"/>
      <c r="G20" s="93" t="n"/>
      <c r="H20" s="93" t="n"/>
      <c r="I20" s="93" t="n"/>
      <c r="J20" s="93" t="n"/>
      <c r="K20" s="93" t="n"/>
      <c r="L20" s="93" t="n"/>
      <c r="M20" s="93" t="n"/>
      <c r="N20" s="93" t="n"/>
      <c r="O20" s="93" t="n"/>
      <c r="P20" s="93" t="n"/>
      <c r="Q20" s="93" t="n"/>
      <c r="R20" s="93" t="n"/>
      <c r="S20" s="94" t="n"/>
      <c r="T20" s="94" t="n"/>
      <c r="U20" s="94" t="n"/>
      <c r="V20" s="94" t="n"/>
      <c r="W20" s="94" t="n"/>
      <c r="X20" s="94" t="n"/>
      <c r="Y20" s="94" t="n"/>
      <c r="Z20" s="94" t="n"/>
      <c r="AA20" s="94" t="n"/>
      <c r="AB20" s="94" t="n"/>
      <c r="AC20" s="94" t="n"/>
      <c r="AD20" s="94" t="n"/>
      <c r="AE20" s="94" t="n"/>
      <c r="AF20" s="94" t="n"/>
      <c r="AG20" s="94" t="n"/>
      <c r="AH20" s="95" t="n"/>
      <c r="AI20" s="95" t="n"/>
      <c r="AJ20" s="95" t="n"/>
      <c r="AK20" s="95" t="n"/>
      <c r="AL20" s="95" t="n"/>
      <c r="AM20" s="95" t="n"/>
      <c r="AN20" s="95" t="n"/>
      <c r="AO20" s="95" t="n"/>
      <c r="AP20" s="95" t="n"/>
      <c r="AQ20" s="95" t="n"/>
      <c r="AR20" s="95" t="n"/>
      <c r="AS20" s="95" t="n"/>
      <c r="AT20" s="96" t="n"/>
      <c r="AU20" s="96" t="n"/>
      <c r="AV20" s="96" t="n"/>
      <c r="AW20" s="97" t="n"/>
      <c r="AX20" s="97" t="n"/>
      <c r="AY20" s="97" t="n"/>
      <c r="AZ20" s="97" t="n"/>
      <c r="BA20" s="97" t="n"/>
      <c r="BB20" s="98" t="n"/>
      <c r="BC20" s="98" t="n"/>
      <c r="BD20" s="99">
        <f>IF($A20="","",IF($DJ20&lt;&gt;"","FIX",IF($DK20&lt;&gt;"","CHECK","OK")))</f>
        <v/>
      </c>
      <c r="BE20" s="100">
        <f>IF($A20="","",IF($DJ20&lt;&gt;"","FIX: "&amp;LEFT($DJ20,LEN($DJ20)-2)&amp;IF($DK20&lt;&gt;"","  ·  ",""),"")&amp;IF($DK20&lt;&gt;"","CHECK: "&amp;LEFT($DK20,LEN($DK20)-2),""))</f>
        <v/>
      </c>
      <c r="BF20" s="99">
        <f>IF(OR($A20="",$K20=""),"",$K20&amp;"'-"&amp;N($L20)&amp;CHAR(34)&amp;" x "&amp;$M20&amp;"'-"&amp;N($N20)&amp;CHAR(34))</f>
        <v/>
      </c>
      <c r="BG20" s="99">
        <f>IF(OR($A20="",$K20=""),"",$K20&amp;N($L20)&amp;$M20&amp;N($N20))</f>
        <v/>
      </c>
      <c r="BH20" s="99">
        <f>IF(OR($A20="",$K20=""),"",$K20*12+N($L20))</f>
        <v/>
      </c>
      <c r="BI20" s="99">
        <f>IF(OR($A20="",$M20=""),"",$M20*12+N($N20))</f>
        <v/>
      </c>
      <c r="BJ20" s="99">
        <f>IF($A20="","",IF(OR($C20="FRAME ONLY",$S20="BL"),0,IF($O20="Y",2,1)))</f>
        <v/>
      </c>
      <c r="BK20" s="101">
        <f>IF(OR(N($BJ20)=0,$BH20=""),"",($BH20-2*EdgeClr-IF($BJ20=2,MeetClr,0))/$BJ20)</f>
        <v/>
      </c>
      <c r="BL20" s="101">
        <f>IF(OR(N($BJ20)=0,$BI20=""),"",$BI20-HeadClr-Undercut)</f>
        <v/>
      </c>
      <c r="BM20" s="101">
        <f>IF($BH20="","",$BH20+2*FaceW+IF(N($Q20)&gt;0,($Q20+FaceW)*IF($R20="LR",2,1),0))</f>
        <v/>
      </c>
      <c r="BN20" s="101">
        <f>IF($BI20="","",$BI20+IF($AB20="Y",4,FaceW)+IF(N($P20)&gt;0,$P20+FaceW,0)+IF(OR($S20="4F",$S20="BL"),FaceW,0))</f>
        <v/>
      </c>
      <c r="BO20" s="101">
        <f>IF($BM20="","",$BM20+2*ROSide)</f>
        <v/>
      </c>
      <c r="BP20" s="101">
        <f>IF($BN20="","",$BN20+ROTop)</f>
        <v/>
      </c>
      <c r="BQ20" s="102">
        <f>IF(OR(N($BJ20)=0,$BH20=""),"",$BH20/$BJ20-ClearDeduct)</f>
        <v/>
      </c>
      <c r="BR20" s="99">
        <f>IF(N($CH20)=0,"",IF($CH20&gt;=180,"A · 3 HR",IF($CH20&gt;=90,"B · 1-1/2 HR",IF($CH20&gt;=60,"B · 1 HR",IF($CH20&gt;=45,"C · 3/4 HR","20 MIN")))))&amp;IF(AND(N($CH20)&gt;0,OR($I20="CORRIDOR",$I20="SMOKE BARRIER"))," · S","")</f>
        <v/>
      </c>
      <c r="BS20" s="99">
        <f>IF($CS20,"",IF($AV20&lt;&gt;"",$AV20,IF(OR($AC20="HGC",$AO20="HGC"),"CONT",IF(($BI20-HeadClr-Undercut)&lt;=60,2,IF(($BI20-HeadClr-Undercut)&lt;=90,3,IF(($BI20-HeadClr-Undercut)&lt;=120,4,5))))))</f>
        <v/>
      </c>
      <c r="BT20" s="99">
        <f>IF($CS20,"",IF($CT20,"CUSTOM (typed)",IF($CV20,$AT20&amp;" "&amp;$CU20&amp;CHAR(34)&amp;IF($CU20&lt;&gt;$BI20,IF(AND($BI20&lt;$CU20,$BI20-IF(N(VLOOKUP($AT20&amp;"|"&amp;$CU20,LocTable,7,FALSE))&gt;0,VLOOKUP($AT20&amp;"|"&amp;$CU20,LocTable,7,FALSE),VLOOKUP($AT20&amp;"|"&amp;$CU20,LocTable,6,FALSE))-$CR20-0.75&gt;=2.125)," cut down"," adj."),""),"ANSI/SDI A250.6")))</f>
        <v/>
      </c>
      <c r="BU20" s="103">
        <f>IF($CS20,"",IF($CT20,IF(N($AW20)&gt;0,N($AW20),""),IF(1&gt;$CQ20,"",IF($CQ20=1,$CW20,$CW20+($CX20-$CW20)*0/($CQ20-1)))))</f>
        <v/>
      </c>
      <c r="BV20" s="103">
        <f>IF($CS20,"",IF($CT20,IF(N($AX20)&gt;0,N($AX20),""),IF(2&gt;$CQ20,"",IF($CQ20=1,$CW20,$CW20+($CX20-$CW20)*1/($CQ20-1)))))</f>
        <v/>
      </c>
      <c r="BW20" s="103">
        <f>IF($CS20,"",IF($CT20,IF(N($AY20)&gt;0,N($AY20),""),IF(3&gt;$CQ20,"",IF($CQ20=1,$CW20,$CW20+($CX20-$CW20)*2/($CQ20-1)))))</f>
        <v/>
      </c>
      <c r="BX20" s="103">
        <f>IF($CS20,"",IF($CT20,IF(N($AZ20)&gt;0,N($AZ20),""),IF(4&gt;$CQ20,"",IF($CQ20=1,$CW20,$CW20+($CX20-$CW20)*3/($CQ20-1)))))</f>
        <v/>
      </c>
      <c r="BY20" s="103">
        <f>IF($CS20,"",IF($CT20,"",IF(5&gt;$CQ20,"",IF($CQ20=1,$CW20,$CW20+($CX20-$CW20)*4/($CQ20-1)))))</f>
        <v/>
      </c>
      <c r="BZ20" s="103">
        <f>IF(OR($CS20,$AP20="-",AND($AP20="",$AD20="")),"",IF(N($BA20)&gt;0,N($BA20),IF($CV20,IF(AND($BI20&lt;$CU20,$BI20-IF(N(VLOOKUP($AT20&amp;"|"&amp;$CU20,LocTable,7,FALSE))&gt;0,VLOOKUP($AT20&amp;"|"&amp;$CU20,LocTable,7,FALSE),VLOOKUP($AT20&amp;"|"&amp;$CU20,LocTable,6,FALSE))-$CR20-0.75&gt;=2.125),VLOOKUP($AT20&amp;"|"&amp;$CU20,LocTable,8,FALSE),VLOOKUP($AT20&amp;"|"&amp;$CU20,LocTable,8,FALSE)+($BI20-$CU20)),$BI20-LockAFF)))</f>
        <v/>
      </c>
      <c r="CA20" s="104">
        <f>IF($BZ20="","",$BI20-$BZ20)</f>
        <v/>
      </c>
      <c r="CB20" s="99">
        <f>IF(OR(NOT(AND($A20&lt;&gt;"",$C20&lt;&gt;"DOOR ONLY")),$BI20=""),"",IF(($BI20+IF(N($P20)&gt;0,$P20+FaceW,0))&lt;=90,3,IF(($BI20+IF(N($P20)&gt;0,$P20+FaceW,0))&lt;=114,4,5)))</f>
        <v/>
      </c>
      <c r="CC20" s="99">
        <f>IF($CB20="","",$CB20*(2+IF(N($Q20)&gt;0,IF($R20="LR",2,1),0)))</f>
        <v/>
      </c>
      <c r="CD20" s="99">
        <f>IF($CB20="","",(2+IF(N($Q20)&gt;0,IF($R20="LR",2,1),0)))</f>
        <v/>
      </c>
      <c r="CE20" s="99">
        <f>IF(N($BJ20)=0,"",IF(OR($AL20="",$AL20="FLUSH"),"FLUSH",IFERROR(LEFT($AL20,FIND("-",$AL20)-1),LEFT($AL20,2))))</f>
        <v/>
      </c>
      <c r="CF20" s="99">
        <f>IF($CE20="","",IFERROR(VALUE(MID($AL20,FIND("-",$AL20)+1,FIND(CHAR(34)&amp;"x",$AL20)-FIND("-",$AL20)-1)),0))</f>
        <v/>
      </c>
      <c r="CG20" s="99">
        <f>IF($CE20="","",IFERROR(VALUE(MID($AL20,FIND(CHAR(34)&amp;"x",$AL20)+2,FIND(CHAR(34),$AL20,FIND(CHAR(34)&amp;"x",$AL20)+2)-FIND(CHAR(34)&amp;"x",$AL20)-2)),0))</f>
        <v/>
      </c>
      <c r="CH20" s="105">
        <f>IF(OR($A20="",$H20="",$H20="NO LAB"),0,IFERROR(VALUE(LEFT($H20,FIND(" ",$H20)-1)),0))</f>
        <v/>
      </c>
      <c r="CI20" s="106">
        <f>IF(OR($A20="",$I20="",$I20="NON-RATED",N($J20)=0),"",IFERROR(VLOOKUP($I20&amp;"|"&amp;$J20,IBC,2,FALSE),"?"))</f>
        <v/>
      </c>
      <c r="CJ20" s="100">
        <f>IF(NOT(AND($A20&lt;&gt;"",$C20&lt;&gt;"DOOR ONLY")),"",TRIM(IFERROR(VLOOKUP($U20,CODES,2,FALSE),"")&amp;" "&amp;$BG20&amp;" "&amp;IFERROR(VLOOKUP($Z20,CODES,2,FALSE),"")&amp;" "&amp;IFERROR(VLOOKUP($X20,CODES,2,FALSE),"")&amp;" "&amp;IFERROR(VLOOKUP($S20,CODES,2,FALSE),"")&amp;IF(N($P20)&gt;0," w/TRANSOM "&amp;$P20&amp;CHAR(34),"")&amp;IF(N($Q20)&gt;0," w/SIDELITE "&amp;$Q20&amp;CHAR(34)&amp;" "&amp;IF($R20="","R",$R20),"")&amp;IF($Y20="","  |  "," | "&amp;IFERROR(VLOOKUP($Y20,CODES,2,FALSE),"")&amp;" | ")&amp;IFERROR(VLOOKUP($AC20,CODES,2,FALSE),"")&amp;" "&amp;IFERROR(VLOOKUP($AD20,CODES,2,FALSE),"")&amp;IF(OR($AE20="",$AE20="-"),""," "&amp;$AE20)&amp;IF(OR($AF20="",$AF20="-"),""," "&amp;$AF20)&amp;IF($AB20="Y"," 4"&amp;CHAR(34)&amp;" HEAD","")&amp;" "&amp;IFERROR(VLOOKUP($H20,CODES,2,FALSE),"")&amp;IF($CT20," | LOC "&amp;$CY20,"")))</f>
        <v/>
      </c>
      <c r="CK20" s="100">
        <f>IF(NOT(AND($A20&lt;&gt;"",N($BJ20)&gt;0)),"",TRIM(IFERROR(VLOOKUP($AH20,CODES,2,FALSE),"")&amp;IF($AI20=""," "," "&amp;$AI20&amp;"GA ")&amp;$BG20&amp;" "&amp;IF($AN20="",IFERROR(VLOOKUP($Z20,CODES,2,FALSE),""),IFERROR(VLOOKUP($AN20,CODES,2,FALSE),""))&amp;IF($BJ20=2," PAIR","")&amp;" DOOR | "&amp;IF($AL20="","?",$AL20)&amp;" | "&amp;IF($AO20="",IFERROR(VLOOKUP($AC20,CODES,2,FALSE),""),IFERROR(VLOOKUP($AO20,CODES,2,FALSE),""))&amp;" "&amp;IFERROR(VLOOKUP($AP20,CODES,2,FALSE),"")&amp;IF(OR($AQ20="",$AQ20="-"),""," SEAM "&amp;$AQ20)&amp;IF($AR20="Y"," ASTRAGAL","")&amp;IF($AJ20=""," "," "&amp;$AJ20)&amp;IF($AK20=""," "," "&amp;$AK20)&amp;IF(OR($AT20="",$AT20="ANSI/SDI",$AT20="CUSTOM LOC"),""," "&amp;$AT20)&amp;IF($AM20=""," "," SERIES "&amp;$AM20)&amp;" "&amp;IFERROR(VLOOKUP($H20,CODES,2,FALSE),"")&amp;IF($CT20," | LOC "&amp;$CZ20,"")))</f>
        <v/>
      </c>
      <c r="CL20" s="99">
        <f>IF(CP20="","",IF(COUNTIF($CP$6:CP20,CP20)=1,MAX($CL$5:CL19)+1,INDEX($CL$5:CL19,MATCH(CP20,$CP$5:CP19,0))))</f>
        <v/>
      </c>
      <c r="CM20" s="99">
        <f>IF(NOT(AND($A20&lt;&gt;"",$C20&lt;&gt;"DOOR ONLY")),"",MAX($CM$5:CM19)+1)</f>
        <v/>
      </c>
      <c r="CN20" s="99">
        <f>IF(NOT(AND($A20&lt;&gt;"",N($BJ20)&gt;0)),"",MAX($CN$5:CN19)+1)</f>
        <v/>
      </c>
      <c r="CO20" s="99">
        <f>IF($A20="","",MAX($CO$5:CO19)+1)</f>
        <v/>
      </c>
      <c r="CP20" s="99">
        <f>IF(OR($A20="",$BH20="",$BI20=""),"",$BG20&amp;"|"&amp;$O20&amp;"|"&amp;$AL20&amp;"|"&amp;$S20&amp;"|"&amp;$P20&amp;"|"&amp;$Q20&amp;$R20&amp;"|"&amp;$C20&amp;"|"&amp;$AB20)</f>
        <v/>
      </c>
      <c r="CQ20" s="99">
        <f>N($BS20)</f>
        <v/>
      </c>
      <c r="CR20" s="99">
        <f>IF(N($AU20)&gt;0,N($AU20),4.5)</f>
        <v/>
      </c>
      <c r="CS20" s="99">
        <f>OR($A20="",$BI20="",$S20="BL",AND($C20="FRAME ONLY",OR($AC20="",$AC20="BLK")))</f>
        <v/>
      </c>
      <c r="CT20" s="99">
        <f>AND(NOT($CS20),OR($AT20="CUSTOM LOC",N($AW20)+N($AX20)+N($AY20)+N($AZ20)+N($BA20)&gt;0))</f>
        <v/>
      </c>
      <c r="CU20" s="99">
        <f>IF($BI20="","",IF($BI20&lt;=80,80,IF($BI20&lt;=84,84,96)))</f>
        <v/>
      </c>
      <c r="CV20" s="99">
        <f>ISNUMBER(MATCH($AT20&amp;"|80",LocKeys,0))</f>
        <v/>
      </c>
      <c r="CW20" s="101">
        <f>IF($CS20,"",IF($CV20,VLOOKUP($AT20&amp;"|"&amp;$CU20,LocTable,4,FALSE),5))</f>
        <v/>
      </c>
      <c r="CX20" s="101">
        <f>IF($CS20,"",IF($CV20,IF(OR($BI20=$CU20,AND($BI20&lt;$CU20,$BI20-IF(N(VLOOKUP($AT20&amp;"|"&amp;$CU20,LocTable,7,FALSE))&gt;0,VLOOKUP($AT20&amp;"|"&amp;$CU20,LocTable,7,FALSE),VLOOKUP($AT20&amp;"|"&amp;$CU20,LocTable,6,FALSE))-$CR20-0.75&gt;=2.125)),IF(N(VLOOKUP($AT20&amp;"|"&amp;$CU20,LocTable,7,FALSE))&gt;0,VLOOKUP($AT20&amp;"|"&amp;$CU20,LocTable,7,FALSE),VLOOKUP($AT20&amp;"|"&amp;$CU20,LocTable,6,FALSE)),$BI20-($CU20-IF(N(VLOOKUP($AT20&amp;"|"&amp;$CU20,LocTable,7,FALSE))&gt;0,VLOOKUP($AT20&amp;"|"&amp;$CU20,LocTable,7,FALSE),VLOOKUP($AT20&amp;"|"&amp;$CU20,LocTable,6,FALSE)))),$BI20-10-$CR20))</f>
        <v/>
      </c>
      <c r="CY20" s="100">
        <f>IF($CS20,"",TRIM(IF(ISNUMBER($BU20),"A "&amp;TRIM(TEXT($BU20,"# ?/??"))&amp;CHAR(34)&amp;"  ","")&amp;IF(ISNUMBER($BV20),"B "&amp;TRIM(TEXT($BV20,"# ?/??"))&amp;CHAR(34)&amp;"  ","")&amp;IF(ISNUMBER($BW20),"C "&amp;TRIM(TEXT($BW20,"# ?/??"))&amp;CHAR(34)&amp;"  ","")&amp;IF(ISNUMBER($BX20),"D "&amp;TRIM(TEXT($BX20,"# ?/??"))&amp;CHAR(34)&amp;"  ","")&amp;IF(ISNUMBER($BY20),"F "&amp;TRIM(TEXT($BY20,"# ?/??"))&amp;CHAR(34)&amp;"  ","")&amp;IF(ISNUMBER($BZ20),"E "&amp;TRIM(TEXT($BZ20,"# ?/??"))&amp;CHAR(34)&amp;"  ","")))</f>
        <v/>
      </c>
      <c r="CZ20" s="100">
        <f>IF(OR($CS20,N($BJ20)=0),"",TRIM(IF(ISNUMBER($BU20),"A "&amp;TRIM(TEXT($BU20-HeadClr,"# ?/??"))&amp;CHAR(34)&amp;"  ","")&amp;IF(ISNUMBER($BV20),"B "&amp;TRIM(TEXT($BV20-HeadClr,"# ?/??"))&amp;CHAR(34)&amp;"  ","")&amp;IF(ISNUMBER($BW20),"C "&amp;TRIM(TEXT($BW20-HeadClr,"# ?/??"))&amp;CHAR(34)&amp;"  ","")&amp;IF(ISNUMBER($BX20),"D "&amp;TRIM(TEXT($BX20-HeadClr,"# ?/??"))&amp;CHAR(34)&amp;"  ","")&amp;IF(ISNUMBER($BY20),"F "&amp;TRIM(TEXT($BY20-HeadClr,"# ?/??"))&amp;CHAR(34)&amp;"  ","")&amp;IF(ISNUMBER($BZ20),"E "&amp;TRIM(TEXT($BZ20-HeadClr,"# ?/??"))&amp;CHAR(34)&amp;"  ","")))</f>
        <v/>
      </c>
      <c r="DA20" s="99">
        <f>IF($A20="","",IF($AN20="",IFERROR(VLOOKUP($Z20,CODES,2,FALSE),""),IFERROR(VLOOKUP($AN20,CODES,2,FALSE),"")))</f>
        <v/>
      </c>
      <c r="DB20" s="99">
        <f>IF($A20="","",IF($O20="Y","PR",IF(OR($Z20="L",$Z20="RR",LEFT($Z20,2)="L-",LEFT($Z20,3)="RR-"),"LH","RH")))</f>
        <v/>
      </c>
      <c r="DC20" s="99">
        <f>IF($A20="","","S.HM"&amp;IF(OR($C20="DOOR ONLY",$X20&lt;&gt;"KD"),"MASONRY","DRYWALL")&amp;IF($C20="DOOR ONLY","",$U20)&amp;IF(AND($C20&lt;&gt;"FRAME ONLY",OR(LEFT($AH20,3)="OAK",LEFT($AH20,3)="BIR",LEFT($AH20,3)="MAP",$AH20="PC",$AH20="MC",$AH20="SCLC",$AH20="P-LAM")),"WD","HM")&amp;"1.75")</f>
        <v/>
      </c>
      <c r="DD20" s="99">
        <f>IF($CJ20="","",IF($O20="Y",$CJ20,SUBSTITUTE($CJ20,$BG20&amp;" "&amp;IFERROR(VLOOKUP($Z20,CODES,2,FALSE),"")&amp;" ",$BG20&amp;" ")))</f>
        <v/>
      </c>
      <c r="DE20" s="99">
        <f>IF($CK20="","",IF($O20="Y",$CK20,SUBSTITUTE($CK20,$BG20&amp;" "&amp;IF($AN20="",IFERROR(VLOOKUP($Z20,CODES,2,FALSE),""),IFERROR(VLOOKUP($AN20,CODES,2,FALSE),""))&amp;" ",$BG20&amp;" ")))</f>
        <v/>
      </c>
      <c r="DF20" s="99">
        <f>IF($CJ20="","",$DC20&amp;"|"&amp;$DD20&amp;"|"&amp;$DB20&amp;"|"&amp;$AT20&amp;"|"&amp;$V20&amp;"|"&amp;$Y20&amp;"|"&amp;$AB20)</f>
        <v/>
      </c>
      <c r="DG20" s="99">
        <f>IF(DF20="","",IF(COUNTIF($DF$6:DF20,DF20)=1,MAX($DG$5:DG19)+1,INDEX($DG$5:DG19,MATCH(DF20,$DF$5:DF19,0))))</f>
        <v/>
      </c>
      <c r="DH20" s="99">
        <f>IF($CK20="","",$DC20&amp;"|"&amp;$DE20&amp;"|"&amp;$AI20&amp;"|"&amp;$BK20&amp;"|"&amp;$BL20)</f>
        <v/>
      </c>
      <c r="DI20" s="99">
        <f>IF(DH20="","",IF(COUNTIF($DH$6:DH20,DH20)=1,MAX($DI$5:DI19)+1,INDEX($DI$5:DI19,MATCH(DH20,$DH$5:DH19,0))))</f>
        <v/>
      </c>
      <c r="DJ20" s="99">
        <f>IF($A20="","",IF($B20="","qty, ","")&amp;IF($C20="","scope, ","")&amp;IF(OR($K20="",$M20=""),"size, ","")&amp;IF(AND($A20&lt;&gt;"",$C20&lt;&gt;"DOOR ONLY"),IF($U20="","jamb depth, ","")&amp;IF($X20="","construction, ","")&amp;IF($Y20="","anchor, ","")&amp;IF($S20="","frame type, ",""),"")&amp;IF(AND(N($BJ20)&gt;0,$Z20=""),"hand, ","")&amp;IF(N($BJ20)&gt;0,IF($AH20="","door material, ","")&amp;IF($AL20="","face type, ","")&amp;IF($AP20="","lock prep, ","")&amp;IF(AND($AO20="",$AC20=""),"hinge prep, ",""),"")&amp;IF(AND($CH20&gt;0,$AH20="FRP"),"FRP cannot carry a label, ","")&amp;IF(AND($O20="Y",OR($Z20="L",$Z20="R",$Z20="LR",$Z20="RR")),"pair marked but hand is single, ","")&amp;IF(AND($O20&lt;&gt;"Y",OR($Z20="PR",AND(LEN($Z20)&gt;1,ISNUMBER(SEARCH("-",$Z20))))),"pair hand on a single door, ","")&amp;IF(AND(ISNUMBER($CI20),$CH20&lt;N($CI20)),"wall needs a "&amp;$CI20&amp;" min door, ","")&amp;IF(AND($CH20&gt;=180,AND(OR($CE20="FG",$CE20="HG",$CE20="FNV",$CE20="FV"),N($CF20)*N($CG20)&gt;100)),"180 min lite over 100 sq in, ","")&amp;IF(N($BK20)&gt;48,"leaf wider than 4'-0"&amp;CHAR(34)&amp;", ","")&amp;IF(AND($CT20,COUNT($AW20:$AZ20)=0,$CQ20&gt;0),"CUSTOM LOC with no locations typed, ",""))</f>
        <v/>
      </c>
      <c r="DK20" s="99">
        <f>IF($A20="","",IF(AND($CH20&gt;0,AND($A20&lt;&gt;"",$C20&lt;&gt;"DOOR ONLY"),$X20="KD",$E20="EXTERIOR"),"KD label on an exterior opening, ","")&amp;IF(AND($E20="EXTERIOR",OR(AND(AND($A20&lt;&gt;"",$C20&lt;&gt;"DOOR ONLY"),$W20="CR"),AND(N($BJ20)&gt;0,$AH20="CR"))),"exterior in CR steel (G9?), ","")&amp;IF(AND(ISNUMBER($BQ20),N($BQ20)&lt;32),"clear width ~"&amp;TEXT($BQ20,"0.0")&amp;CHAR(34)&amp;" under 32"&amp;CHAR(34)&amp;" (ADA), ","")&amp;IF(AND($CH20=90,AND(OR($CE20="FG",$CE20="HG",$CE20="FNV",$CE20="FV"),N($CF20)*N($CG20)&gt;100)),"90 min lite over 100 sq in (stair/exit), ","")&amp;IF(AND($CH20&gt;0,AND($A20&lt;&gt;"",$C20&lt;&gt;"DOOR ONLY"),OR($AF20="",$AF20="-")),"rated: closer reinf.?, ","")&amp;IF(OR($I20="CORRIDOR",$I20="SMOKE BARRIER"),"S label + smoke gasketing, ","")&amp;IF($CI20="?","wall type/hr not in IBC table, ","")&amp;IF(AND(N($BJ20)&gt;0,$BB20=""),"no hardware set, ","")&amp;IF(AND($BB20&lt;&gt;"",ISNA(MATCH($BB20&amp;"",HWSets,0))),"set "&amp;$BB20&amp;" not on HW Sets, ","")&amp;IF(N($BL20)&gt;96,"leaf over 8'-0"&amp;CHAR(34)&amp;" - check listing, ","")&amp;IF(AND($CT20,COUNT($AW20:$AZ20)&gt;0,COUNT($AW20:$AZ20)&lt;&gt;$CQ20),COUNT($AW20:$AZ20)&amp;" custom hinges typed, "&amp;$CQ20&amp;" expected, ","")&amp;IF(AND(ISNUMBER($CA20),OR(N($CA20)&lt;34,N($CA20)&gt;48)),"lock "&amp;TEXT($CA20,"0.0")&amp;CHAR(34)&amp;" AFF outside 34-48"&amp;CHAR(34)&amp;" (ADA), ","")&amp;IF(AND(ISNUMBER($AV20),ISNUMBER($BL20),N($AV20)&lt;IF(N($BL20)&lt;=60,2,IF(N($BL20)&lt;=90,3,IF(N($BL20)&lt;=120,4,5)))),"fewer hinges than standard, ",""))</f>
        <v/>
      </c>
    </row>
    <row r="21" ht="15" customHeight="1">
      <c r="A21" s="77" t="n"/>
      <c r="B21" s="78" t="n"/>
      <c r="C21" s="78" t="n"/>
      <c r="D21" s="78" t="n"/>
      <c r="E21" s="78" t="n"/>
      <c r="F21" s="78" t="n"/>
      <c r="G21" s="78" t="n"/>
      <c r="H21" s="78" t="n"/>
      <c r="I21" s="78" t="n"/>
      <c r="J21" s="78" t="n"/>
      <c r="K21" s="78" t="n"/>
      <c r="L21" s="78" t="n"/>
      <c r="M21" s="78" t="n"/>
      <c r="N21" s="78" t="n"/>
      <c r="O21" s="78" t="n"/>
      <c r="P21" s="78" t="n"/>
      <c r="Q21" s="78" t="n"/>
      <c r="R21" s="78" t="n"/>
      <c r="S21" s="79" t="n"/>
      <c r="T21" s="79" t="n"/>
      <c r="U21" s="79" t="n"/>
      <c r="V21" s="79" t="n"/>
      <c r="W21" s="79" t="n"/>
      <c r="X21" s="79" t="n"/>
      <c r="Y21" s="79" t="n"/>
      <c r="Z21" s="79" t="n"/>
      <c r="AA21" s="79" t="n"/>
      <c r="AB21" s="79" t="n"/>
      <c r="AC21" s="79" t="n"/>
      <c r="AD21" s="79" t="n"/>
      <c r="AE21" s="79" t="n"/>
      <c r="AF21" s="79" t="n"/>
      <c r="AG21" s="79" t="n"/>
      <c r="AH21" s="80" t="n"/>
      <c r="AI21" s="80" t="n"/>
      <c r="AJ21" s="80" t="n"/>
      <c r="AK21" s="80" t="n"/>
      <c r="AL21" s="80" t="n"/>
      <c r="AM21" s="80" t="n"/>
      <c r="AN21" s="80" t="n"/>
      <c r="AO21" s="80" t="n"/>
      <c r="AP21" s="80" t="n"/>
      <c r="AQ21" s="80" t="n"/>
      <c r="AR21" s="80" t="n"/>
      <c r="AS21" s="80" t="n"/>
      <c r="AT21" s="81" t="n"/>
      <c r="AU21" s="81" t="n"/>
      <c r="AV21" s="81" t="n"/>
      <c r="AW21" s="82" t="n"/>
      <c r="AX21" s="82" t="n"/>
      <c r="AY21" s="82" t="n"/>
      <c r="AZ21" s="82" t="n"/>
      <c r="BA21" s="82" t="n"/>
      <c r="BB21" s="83" t="n"/>
      <c r="BC21" s="83" t="n"/>
      <c r="BD21" s="84">
        <f>IF($A21="","",IF($DJ21&lt;&gt;"","FIX",IF($DK21&lt;&gt;"","CHECK","OK")))</f>
        <v/>
      </c>
      <c r="BE21" s="85">
        <f>IF($A21="","",IF($DJ21&lt;&gt;"","FIX: "&amp;LEFT($DJ21,LEN($DJ21)-2)&amp;IF($DK21&lt;&gt;"","  ·  ",""),"")&amp;IF($DK21&lt;&gt;"","CHECK: "&amp;LEFT($DK21,LEN($DK21)-2),""))</f>
        <v/>
      </c>
      <c r="BF21" s="84">
        <f>IF(OR($A21="",$K21=""),"",$K21&amp;"'-"&amp;N($L21)&amp;CHAR(34)&amp;" x "&amp;$M21&amp;"'-"&amp;N($N21)&amp;CHAR(34))</f>
        <v/>
      </c>
      <c r="BG21" s="84">
        <f>IF(OR($A21="",$K21=""),"",$K21&amp;N($L21)&amp;$M21&amp;N($N21))</f>
        <v/>
      </c>
      <c r="BH21" s="84">
        <f>IF(OR($A21="",$K21=""),"",$K21*12+N($L21))</f>
        <v/>
      </c>
      <c r="BI21" s="84">
        <f>IF(OR($A21="",$M21=""),"",$M21*12+N($N21))</f>
        <v/>
      </c>
      <c r="BJ21" s="84">
        <f>IF($A21="","",IF(OR($C21="FRAME ONLY",$S21="BL"),0,IF($O21="Y",2,1)))</f>
        <v/>
      </c>
      <c r="BK21" s="86">
        <f>IF(OR(N($BJ21)=0,$BH21=""),"",($BH21-2*EdgeClr-IF($BJ21=2,MeetClr,0))/$BJ21)</f>
        <v/>
      </c>
      <c r="BL21" s="86">
        <f>IF(OR(N($BJ21)=0,$BI21=""),"",$BI21-HeadClr-Undercut)</f>
        <v/>
      </c>
      <c r="BM21" s="86">
        <f>IF($BH21="","",$BH21+2*FaceW+IF(N($Q21)&gt;0,($Q21+FaceW)*IF($R21="LR",2,1),0))</f>
        <v/>
      </c>
      <c r="BN21" s="86">
        <f>IF($BI21="","",$BI21+IF($AB21="Y",4,FaceW)+IF(N($P21)&gt;0,$P21+FaceW,0)+IF(OR($S21="4F",$S21="BL"),FaceW,0))</f>
        <v/>
      </c>
      <c r="BO21" s="86">
        <f>IF($BM21="","",$BM21+2*ROSide)</f>
        <v/>
      </c>
      <c r="BP21" s="86">
        <f>IF($BN21="","",$BN21+ROTop)</f>
        <v/>
      </c>
      <c r="BQ21" s="87">
        <f>IF(OR(N($BJ21)=0,$BH21=""),"",$BH21/$BJ21-ClearDeduct)</f>
        <v/>
      </c>
      <c r="BR21" s="84">
        <f>IF(N($CH21)=0,"",IF($CH21&gt;=180,"A · 3 HR",IF($CH21&gt;=90,"B · 1-1/2 HR",IF($CH21&gt;=60,"B · 1 HR",IF($CH21&gt;=45,"C · 3/4 HR","20 MIN")))))&amp;IF(AND(N($CH21)&gt;0,OR($I21="CORRIDOR",$I21="SMOKE BARRIER"))," · S","")</f>
        <v/>
      </c>
      <c r="BS21" s="84">
        <f>IF($CS21,"",IF($AV21&lt;&gt;"",$AV21,IF(OR($AC21="HGC",$AO21="HGC"),"CONT",IF(($BI21-HeadClr-Undercut)&lt;=60,2,IF(($BI21-HeadClr-Undercut)&lt;=90,3,IF(($BI21-HeadClr-Undercut)&lt;=120,4,5))))))</f>
        <v/>
      </c>
      <c r="BT21" s="84">
        <f>IF($CS21,"",IF($CT21,"CUSTOM (typed)",IF($CV21,$AT21&amp;" "&amp;$CU21&amp;CHAR(34)&amp;IF($CU21&lt;&gt;$BI21,IF(AND($BI21&lt;$CU21,$BI21-IF(N(VLOOKUP($AT21&amp;"|"&amp;$CU21,LocTable,7,FALSE))&gt;0,VLOOKUP($AT21&amp;"|"&amp;$CU21,LocTable,7,FALSE),VLOOKUP($AT21&amp;"|"&amp;$CU21,LocTable,6,FALSE))-$CR21-0.75&gt;=2.125)," cut down"," adj."),""),"ANSI/SDI A250.6")))</f>
        <v/>
      </c>
      <c r="BU21" s="88">
        <f>IF($CS21,"",IF($CT21,IF(N($AW21)&gt;0,N($AW21),""),IF(1&gt;$CQ21,"",IF($CQ21=1,$CW21,$CW21+($CX21-$CW21)*0/($CQ21-1)))))</f>
        <v/>
      </c>
      <c r="BV21" s="88">
        <f>IF($CS21,"",IF($CT21,IF(N($AX21)&gt;0,N($AX21),""),IF(2&gt;$CQ21,"",IF($CQ21=1,$CW21,$CW21+($CX21-$CW21)*1/($CQ21-1)))))</f>
        <v/>
      </c>
      <c r="BW21" s="88">
        <f>IF($CS21,"",IF($CT21,IF(N($AY21)&gt;0,N($AY21),""),IF(3&gt;$CQ21,"",IF($CQ21=1,$CW21,$CW21+($CX21-$CW21)*2/($CQ21-1)))))</f>
        <v/>
      </c>
      <c r="BX21" s="88">
        <f>IF($CS21,"",IF($CT21,IF(N($AZ21)&gt;0,N($AZ21),""),IF(4&gt;$CQ21,"",IF($CQ21=1,$CW21,$CW21+($CX21-$CW21)*3/($CQ21-1)))))</f>
        <v/>
      </c>
      <c r="BY21" s="88">
        <f>IF($CS21,"",IF($CT21,"",IF(5&gt;$CQ21,"",IF($CQ21=1,$CW21,$CW21+($CX21-$CW21)*4/($CQ21-1)))))</f>
        <v/>
      </c>
      <c r="BZ21" s="88">
        <f>IF(OR($CS21,$AP21="-",AND($AP21="",$AD21="")),"",IF(N($BA21)&gt;0,N($BA21),IF($CV21,IF(AND($BI21&lt;$CU21,$BI21-IF(N(VLOOKUP($AT21&amp;"|"&amp;$CU21,LocTable,7,FALSE))&gt;0,VLOOKUP($AT21&amp;"|"&amp;$CU21,LocTable,7,FALSE),VLOOKUP($AT21&amp;"|"&amp;$CU21,LocTable,6,FALSE))-$CR21-0.75&gt;=2.125),VLOOKUP($AT21&amp;"|"&amp;$CU21,LocTable,8,FALSE),VLOOKUP($AT21&amp;"|"&amp;$CU21,LocTable,8,FALSE)+($BI21-$CU21)),$BI21-LockAFF)))</f>
        <v/>
      </c>
      <c r="CA21" s="89">
        <f>IF($BZ21="","",$BI21-$BZ21)</f>
        <v/>
      </c>
      <c r="CB21" s="84">
        <f>IF(OR(NOT(AND($A21&lt;&gt;"",$C21&lt;&gt;"DOOR ONLY")),$BI21=""),"",IF(($BI21+IF(N($P21)&gt;0,$P21+FaceW,0))&lt;=90,3,IF(($BI21+IF(N($P21)&gt;0,$P21+FaceW,0))&lt;=114,4,5)))</f>
        <v/>
      </c>
      <c r="CC21" s="84">
        <f>IF($CB21="","",$CB21*(2+IF(N($Q21)&gt;0,IF($R21="LR",2,1),0)))</f>
        <v/>
      </c>
      <c r="CD21" s="84">
        <f>IF($CB21="","",(2+IF(N($Q21)&gt;0,IF($R21="LR",2,1),0)))</f>
        <v/>
      </c>
      <c r="CE21" s="84">
        <f>IF(N($BJ21)=0,"",IF(OR($AL21="",$AL21="FLUSH"),"FLUSH",IFERROR(LEFT($AL21,FIND("-",$AL21)-1),LEFT($AL21,2))))</f>
        <v/>
      </c>
      <c r="CF21" s="84">
        <f>IF($CE21="","",IFERROR(VALUE(MID($AL21,FIND("-",$AL21)+1,FIND(CHAR(34)&amp;"x",$AL21)-FIND("-",$AL21)-1)),0))</f>
        <v/>
      </c>
      <c r="CG21" s="84">
        <f>IF($CE21="","",IFERROR(VALUE(MID($AL21,FIND(CHAR(34)&amp;"x",$AL21)+2,FIND(CHAR(34),$AL21,FIND(CHAR(34)&amp;"x",$AL21)+2)-FIND(CHAR(34)&amp;"x",$AL21)-2)),0))</f>
        <v/>
      </c>
      <c r="CH21" s="90">
        <f>IF(OR($A21="",$H21="",$H21="NO LAB"),0,IFERROR(VALUE(LEFT($H21,FIND(" ",$H21)-1)),0))</f>
        <v/>
      </c>
      <c r="CI21" s="91">
        <f>IF(OR($A21="",$I21="",$I21="NON-RATED",N($J21)=0),"",IFERROR(VLOOKUP($I21&amp;"|"&amp;$J21,IBC,2,FALSE),"?"))</f>
        <v/>
      </c>
      <c r="CJ21" s="85">
        <f>IF(NOT(AND($A21&lt;&gt;"",$C21&lt;&gt;"DOOR ONLY")),"",TRIM(IFERROR(VLOOKUP($U21,CODES,2,FALSE),"")&amp;" "&amp;$BG21&amp;" "&amp;IFERROR(VLOOKUP($Z21,CODES,2,FALSE),"")&amp;" "&amp;IFERROR(VLOOKUP($X21,CODES,2,FALSE),"")&amp;" "&amp;IFERROR(VLOOKUP($S21,CODES,2,FALSE),"")&amp;IF(N($P21)&gt;0," w/TRANSOM "&amp;$P21&amp;CHAR(34),"")&amp;IF(N($Q21)&gt;0," w/SIDELITE "&amp;$Q21&amp;CHAR(34)&amp;" "&amp;IF($R21="","R",$R21),"")&amp;IF($Y21="","  |  "," | "&amp;IFERROR(VLOOKUP($Y21,CODES,2,FALSE),"")&amp;" | ")&amp;IFERROR(VLOOKUP($AC21,CODES,2,FALSE),"")&amp;" "&amp;IFERROR(VLOOKUP($AD21,CODES,2,FALSE),"")&amp;IF(OR($AE21="",$AE21="-"),""," "&amp;$AE21)&amp;IF(OR($AF21="",$AF21="-"),""," "&amp;$AF21)&amp;IF($AB21="Y"," 4"&amp;CHAR(34)&amp;" HEAD","")&amp;" "&amp;IFERROR(VLOOKUP($H21,CODES,2,FALSE),"")&amp;IF($CT21," | LOC "&amp;$CY21,"")))</f>
        <v/>
      </c>
      <c r="CK21" s="85">
        <f>IF(NOT(AND($A21&lt;&gt;"",N($BJ21)&gt;0)),"",TRIM(IFERROR(VLOOKUP($AH21,CODES,2,FALSE),"")&amp;IF($AI21=""," "," "&amp;$AI21&amp;"GA ")&amp;$BG21&amp;" "&amp;IF($AN21="",IFERROR(VLOOKUP($Z21,CODES,2,FALSE),""),IFERROR(VLOOKUP($AN21,CODES,2,FALSE),""))&amp;IF($BJ21=2," PAIR","")&amp;" DOOR | "&amp;IF($AL21="","?",$AL21)&amp;" | "&amp;IF($AO21="",IFERROR(VLOOKUP($AC21,CODES,2,FALSE),""),IFERROR(VLOOKUP($AO21,CODES,2,FALSE),""))&amp;" "&amp;IFERROR(VLOOKUP($AP21,CODES,2,FALSE),"")&amp;IF(OR($AQ21="",$AQ21="-"),""," SEAM "&amp;$AQ21)&amp;IF($AR21="Y"," ASTRAGAL","")&amp;IF($AJ21=""," "," "&amp;$AJ21)&amp;IF($AK21=""," "," "&amp;$AK21)&amp;IF(OR($AT21="",$AT21="ANSI/SDI",$AT21="CUSTOM LOC"),""," "&amp;$AT21)&amp;IF($AM21=""," "," SERIES "&amp;$AM21)&amp;" "&amp;IFERROR(VLOOKUP($H21,CODES,2,FALSE),"")&amp;IF($CT21," | LOC "&amp;$CZ21,"")))</f>
        <v/>
      </c>
      <c r="CL21" s="84">
        <f>IF(CP21="","",IF(COUNTIF($CP$6:CP21,CP21)=1,MAX($CL$5:CL20)+1,INDEX($CL$5:CL20,MATCH(CP21,$CP$5:CP20,0))))</f>
        <v/>
      </c>
      <c r="CM21" s="84">
        <f>IF(NOT(AND($A21&lt;&gt;"",$C21&lt;&gt;"DOOR ONLY")),"",MAX($CM$5:CM20)+1)</f>
        <v/>
      </c>
      <c r="CN21" s="84">
        <f>IF(NOT(AND($A21&lt;&gt;"",N($BJ21)&gt;0)),"",MAX($CN$5:CN20)+1)</f>
        <v/>
      </c>
      <c r="CO21" s="84">
        <f>IF($A21="","",MAX($CO$5:CO20)+1)</f>
        <v/>
      </c>
      <c r="CP21" s="84">
        <f>IF(OR($A21="",$BH21="",$BI21=""),"",$BG21&amp;"|"&amp;$O21&amp;"|"&amp;$AL21&amp;"|"&amp;$S21&amp;"|"&amp;$P21&amp;"|"&amp;$Q21&amp;$R21&amp;"|"&amp;$C21&amp;"|"&amp;$AB21)</f>
        <v/>
      </c>
      <c r="CQ21" s="84">
        <f>N($BS21)</f>
        <v/>
      </c>
      <c r="CR21" s="84">
        <f>IF(N($AU21)&gt;0,N($AU21),4.5)</f>
        <v/>
      </c>
      <c r="CS21" s="84">
        <f>OR($A21="",$BI21="",$S21="BL",AND($C21="FRAME ONLY",OR($AC21="",$AC21="BLK")))</f>
        <v/>
      </c>
      <c r="CT21" s="84">
        <f>AND(NOT($CS21),OR($AT21="CUSTOM LOC",N($AW21)+N($AX21)+N($AY21)+N($AZ21)+N($BA21)&gt;0))</f>
        <v/>
      </c>
      <c r="CU21" s="84">
        <f>IF($BI21="","",IF($BI21&lt;=80,80,IF($BI21&lt;=84,84,96)))</f>
        <v/>
      </c>
      <c r="CV21" s="84">
        <f>ISNUMBER(MATCH($AT21&amp;"|80",LocKeys,0))</f>
        <v/>
      </c>
      <c r="CW21" s="86">
        <f>IF($CS21,"",IF($CV21,VLOOKUP($AT21&amp;"|"&amp;$CU21,LocTable,4,FALSE),5))</f>
        <v/>
      </c>
      <c r="CX21" s="86">
        <f>IF($CS21,"",IF($CV21,IF(OR($BI21=$CU21,AND($BI21&lt;$CU21,$BI21-IF(N(VLOOKUP($AT21&amp;"|"&amp;$CU21,LocTable,7,FALSE))&gt;0,VLOOKUP($AT21&amp;"|"&amp;$CU21,LocTable,7,FALSE),VLOOKUP($AT21&amp;"|"&amp;$CU21,LocTable,6,FALSE))-$CR21-0.75&gt;=2.125)),IF(N(VLOOKUP($AT21&amp;"|"&amp;$CU21,LocTable,7,FALSE))&gt;0,VLOOKUP($AT21&amp;"|"&amp;$CU21,LocTable,7,FALSE),VLOOKUP($AT21&amp;"|"&amp;$CU21,LocTable,6,FALSE)),$BI21-($CU21-IF(N(VLOOKUP($AT21&amp;"|"&amp;$CU21,LocTable,7,FALSE))&gt;0,VLOOKUP($AT21&amp;"|"&amp;$CU21,LocTable,7,FALSE),VLOOKUP($AT21&amp;"|"&amp;$CU21,LocTable,6,FALSE)))),$BI21-10-$CR21))</f>
        <v/>
      </c>
      <c r="CY21" s="85">
        <f>IF($CS21,"",TRIM(IF(ISNUMBER($BU21),"A "&amp;TRIM(TEXT($BU21,"# ?/??"))&amp;CHAR(34)&amp;"  ","")&amp;IF(ISNUMBER($BV21),"B "&amp;TRIM(TEXT($BV21,"# ?/??"))&amp;CHAR(34)&amp;"  ","")&amp;IF(ISNUMBER($BW21),"C "&amp;TRIM(TEXT($BW21,"# ?/??"))&amp;CHAR(34)&amp;"  ","")&amp;IF(ISNUMBER($BX21),"D "&amp;TRIM(TEXT($BX21,"# ?/??"))&amp;CHAR(34)&amp;"  ","")&amp;IF(ISNUMBER($BY21),"F "&amp;TRIM(TEXT($BY21,"# ?/??"))&amp;CHAR(34)&amp;"  ","")&amp;IF(ISNUMBER($BZ21),"E "&amp;TRIM(TEXT($BZ21,"# ?/??"))&amp;CHAR(34)&amp;"  ","")))</f>
        <v/>
      </c>
      <c r="CZ21" s="85">
        <f>IF(OR($CS21,N($BJ21)=0),"",TRIM(IF(ISNUMBER($BU21),"A "&amp;TRIM(TEXT($BU21-HeadClr,"# ?/??"))&amp;CHAR(34)&amp;"  ","")&amp;IF(ISNUMBER($BV21),"B "&amp;TRIM(TEXT($BV21-HeadClr,"# ?/??"))&amp;CHAR(34)&amp;"  ","")&amp;IF(ISNUMBER($BW21),"C "&amp;TRIM(TEXT($BW21-HeadClr,"# ?/??"))&amp;CHAR(34)&amp;"  ","")&amp;IF(ISNUMBER($BX21),"D "&amp;TRIM(TEXT($BX21-HeadClr,"# ?/??"))&amp;CHAR(34)&amp;"  ","")&amp;IF(ISNUMBER($BY21),"F "&amp;TRIM(TEXT($BY21-HeadClr,"# ?/??"))&amp;CHAR(34)&amp;"  ","")&amp;IF(ISNUMBER($BZ21),"E "&amp;TRIM(TEXT($BZ21-HeadClr,"# ?/??"))&amp;CHAR(34)&amp;"  ","")))</f>
        <v/>
      </c>
      <c r="DA21" s="84">
        <f>IF($A21="","",IF($AN21="",IFERROR(VLOOKUP($Z21,CODES,2,FALSE),""),IFERROR(VLOOKUP($AN21,CODES,2,FALSE),"")))</f>
        <v/>
      </c>
      <c r="DB21" s="84">
        <f>IF($A21="","",IF($O21="Y","PR",IF(OR($Z21="L",$Z21="RR",LEFT($Z21,2)="L-",LEFT($Z21,3)="RR-"),"LH","RH")))</f>
        <v/>
      </c>
      <c r="DC21" s="84">
        <f>IF($A21="","","S.HM"&amp;IF(OR($C21="DOOR ONLY",$X21&lt;&gt;"KD"),"MASONRY","DRYWALL")&amp;IF($C21="DOOR ONLY","",$U21)&amp;IF(AND($C21&lt;&gt;"FRAME ONLY",OR(LEFT($AH21,3)="OAK",LEFT($AH21,3)="BIR",LEFT($AH21,3)="MAP",$AH21="PC",$AH21="MC",$AH21="SCLC",$AH21="P-LAM")),"WD","HM")&amp;"1.75")</f>
        <v/>
      </c>
      <c r="DD21" s="84">
        <f>IF($CJ21="","",IF($O21="Y",$CJ21,SUBSTITUTE($CJ21,$BG21&amp;" "&amp;IFERROR(VLOOKUP($Z21,CODES,2,FALSE),"")&amp;" ",$BG21&amp;" ")))</f>
        <v/>
      </c>
      <c r="DE21" s="84">
        <f>IF($CK21="","",IF($O21="Y",$CK21,SUBSTITUTE($CK21,$BG21&amp;" "&amp;IF($AN21="",IFERROR(VLOOKUP($Z21,CODES,2,FALSE),""),IFERROR(VLOOKUP($AN21,CODES,2,FALSE),""))&amp;" ",$BG21&amp;" ")))</f>
        <v/>
      </c>
      <c r="DF21" s="84">
        <f>IF($CJ21="","",$DC21&amp;"|"&amp;$DD21&amp;"|"&amp;$DB21&amp;"|"&amp;$AT21&amp;"|"&amp;$V21&amp;"|"&amp;$Y21&amp;"|"&amp;$AB21)</f>
        <v/>
      </c>
      <c r="DG21" s="84">
        <f>IF(DF21="","",IF(COUNTIF($DF$6:DF21,DF21)=1,MAX($DG$5:DG20)+1,INDEX($DG$5:DG20,MATCH(DF21,$DF$5:DF20,0))))</f>
        <v/>
      </c>
      <c r="DH21" s="84">
        <f>IF($CK21="","",$DC21&amp;"|"&amp;$DE21&amp;"|"&amp;$AI21&amp;"|"&amp;$BK21&amp;"|"&amp;$BL21)</f>
        <v/>
      </c>
      <c r="DI21" s="84">
        <f>IF(DH21="","",IF(COUNTIF($DH$6:DH21,DH21)=1,MAX($DI$5:DI20)+1,INDEX($DI$5:DI20,MATCH(DH21,$DH$5:DH20,0))))</f>
        <v/>
      </c>
      <c r="DJ21" s="84">
        <f>IF($A21="","",IF($B21="","qty, ","")&amp;IF($C21="","scope, ","")&amp;IF(OR($K21="",$M21=""),"size, ","")&amp;IF(AND($A21&lt;&gt;"",$C21&lt;&gt;"DOOR ONLY"),IF($U21="","jamb depth, ","")&amp;IF($X21="","construction, ","")&amp;IF($Y21="","anchor, ","")&amp;IF($S21="","frame type, ",""),"")&amp;IF(AND(N($BJ21)&gt;0,$Z21=""),"hand, ","")&amp;IF(N($BJ21)&gt;0,IF($AH21="","door material, ","")&amp;IF($AL21="","face type, ","")&amp;IF($AP21="","lock prep, ","")&amp;IF(AND($AO21="",$AC21=""),"hinge prep, ",""),"")&amp;IF(AND($CH21&gt;0,$AH21="FRP"),"FRP cannot carry a label, ","")&amp;IF(AND($O21="Y",OR($Z21="L",$Z21="R",$Z21="LR",$Z21="RR")),"pair marked but hand is single, ","")&amp;IF(AND($O21&lt;&gt;"Y",OR($Z21="PR",AND(LEN($Z21)&gt;1,ISNUMBER(SEARCH("-",$Z21))))),"pair hand on a single door, ","")&amp;IF(AND(ISNUMBER($CI21),$CH21&lt;N($CI21)),"wall needs a "&amp;$CI21&amp;" min door, ","")&amp;IF(AND($CH21&gt;=180,AND(OR($CE21="FG",$CE21="HG",$CE21="FNV",$CE21="FV"),N($CF21)*N($CG21)&gt;100)),"180 min lite over 100 sq in, ","")&amp;IF(N($BK21)&gt;48,"leaf wider than 4'-0"&amp;CHAR(34)&amp;", ","")&amp;IF(AND($CT21,COUNT($AW21:$AZ21)=0,$CQ21&gt;0),"CUSTOM LOC with no locations typed, ",""))</f>
        <v/>
      </c>
      <c r="DK21" s="84">
        <f>IF($A21="","",IF(AND($CH21&gt;0,AND($A21&lt;&gt;"",$C21&lt;&gt;"DOOR ONLY"),$X21="KD",$E21="EXTERIOR"),"KD label on an exterior opening, ","")&amp;IF(AND($E21="EXTERIOR",OR(AND(AND($A21&lt;&gt;"",$C21&lt;&gt;"DOOR ONLY"),$W21="CR"),AND(N($BJ21)&gt;0,$AH21="CR"))),"exterior in CR steel (G9?), ","")&amp;IF(AND(ISNUMBER($BQ21),N($BQ21)&lt;32),"clear width ~"&amp;TEXT($BQ21,"0.0")&amp;CHAR(34)&amp;" under 32"&amp;CHAR(34)&amp;" (ADA), ","")&amp;IF(AND($CH21=90,AND(OR($CE21="FG",$CE21="HG",$CE21="FNV",$CE21="FV"),N($CF21)*N($CG21)&gt;100)),"90 min lite over 100 sq in (stair/exit), ","")&amp;IF(AND($CH21&gt;0,AND($A21&lt;&gt;"",$C21&lt;&gt;"DOOR ONLY"),OR($AF21="",$AF21="-")),"rated: closer reinf.?, ","")&amp;IF(OR($I21="CORRIDOR",$I21="SMOKE BARRIER"),"S label + smoke gasketing, ","")&amp;IF($CI21="?","wall type/hr not in IBC table, ","")&amp;IF(AND(N($BJ21)&gt;0,$BB21=""),"no hardware set, ","")&amp;IF(AND($BB21&lt;&gt;"",ISNA(MATCH($BB21&amp;"",HWSets,0))),"set "&amp;$BB21&amp;" not on HW Sets, ","")&amp;IF(N($BL21)&gt;96,"leaf over 8'-0"&amp;CHAR(34)&amp;" - check listing, ","")&amp;IF(AND($CT21,COUNT($AW21:$AZ21)&gt;0,COUNT($AW21:$AZ21)&lt;&gt;$CQ21),COUNT($AW21:$AZ21)&amp;" custom hinges typed, "&amp;$CQ21&amp;" expected, ","")&amp;IF(AND(ISNUMBER($CA21),OR(N($CA21)&lt;34,N($CA21)&gt;48)),"lock "&amp;TEXT($CA21,"0.0")&amp;CHAR(34)&amp;" AFF outside 34-48"&amp;CHAR(34)&amp;" (ADA), ","")&amp;IF(AND(ISNUMBER($AV21),ISNUMBER($BL21),N($AV21)&lt;IF(N($BL21)&lt;=60,2,IF(N($BL21)&lt;=90,3,IF(N($BL21)&lt;=120,4,5)))),"fewer hinges than standard, ",""))</f>
        <v/>
      </c>
    </row>
    <row r="22" ht="15" customHeight="1">
      <c r="A22" s="77" t="n"/>
      <c r="B22" s="78" t="n"/>
      <c r="C22" s="78" t="n"/>
      <c r="D22" s="78" t="n"/>
      <c r="E22" s="78" t="n"/>
      <c r="F22" s="78" t="n"/>
      <c r="G22" s="78" t="n"/>
      <c r="H22" s="78" t="n"/>
      <c r="I22" s="78" t="n"/>
      <c r="J22" s="78" t="n"/>
      <c r="K22" s="78" t="n"/>
      <c r="L22" s="78" t="n"/>
      <c r="M22" s="78" t="n"/>
      <c r="N22" s="78" t="n"/>
      <c r="O22" s="78" t="n"/>
      <c r="P22" s="78" t="n"/>
      <c r="Q22" s="78" t="n"/>
      <c r="R22" s="78" t="n"/>
      <c r="S22" s="79" t="n"/>
      <c r="T22" s="79" t="n"/>
      <c r="U22" s="79" t="n"/>
      <c r="V22" s="79" t="n"/>
      <c r="W22" s="79" t="n"/>
      <c r="X22" s="79" t="n"/>
      <c r="Y22" s="79" t="n"/>
      <c r="Z22" s="79" t="n"/>
      <c r="AA22" s="79" t="n"/>
      <c r="AB22" s="79" t="n"/>
      <c r="AC22" s="79" t="n"/>
      <c r="AD22" s="79" t="n"/>
      <c r="AE22" s="79" t="n"/>
      <c r="AF22" s="79" t="n"/>
      <c r="AG22" s="79" t="n"/>
      <c r="AH22" s="80" t="n"/>
      <c r="AI22" s="80" t="n"/>
      <c r="AJ22" s="80" t="n"/>
      <c r="AK22" s="80" t="n"/>
      <c r="AL22" s="80" t="n"/>
      <c r="AM22" s="80" t="n"/>
      <c r="AN22" s="80" t="n"/>
      <c r="AO22" s="80" t="n"/>
      <c r="AP22" s="80" t="n"/>
      <c r="AQ22" s="80" t="n"/>
      <c r="AR22" s="80" t="n"/>
      <c r="AS22" s="80" t="n"/>
      <c r="AT22" s="81" t="n"/>
      <c r="AU22" s="81" t="n"/>
      <c r="AV22" s="81" t="n"/>
      <c r="AW22" s="82" t="n"/>
      <c r="AX22" s="82" t="n"/>
      <c r="AY22" s="82" t="n"/>
      <c r="AZ22" s="82" t="n"/>
      <c r="BA22" s="82" t="n"/>
      <c r="BB22" s="83" t="n"/>
      <c r="BC22" s="83" t="n"/>
      <c r="BD22" s="84">
        <f>IF($A22="","",IF($DJ22&lt;&gt;"","FIX",IF($DK22&lt;&gt;"","CHECK","OK")))</f>
        <v/>
      </c>
      <c r="BE22" s="85">
        <f>IF($A22="","",IF($DJ22&lt;&gt;"","FIX: "&amp;LEFT($DJ22,LEN($DJ22)-2)&amp;IF($DK22&lt;&gt;"","  ·  ",""),"")&amp;IF($DK22&lt;&gt;"","CHECK: "&amp;LEFT($DK22,LEN($DK22)-2),""))</f>
        <v/>
      </c>
      <c r="BF22" s="84">
        <f>IF(OR($A22="",$K22=""),"",$K22&amp;"'-"&amp;N($L22)&amp;CHAR(34)&amp;" x "&amp;$M22&amp;"'-"&amp;N($N22)&amp;CHAR(34))</f>
        <v/>
      </c>
      <c r="BG22" s="84">
        <f>IF(OR($A22="",$K22=""),"",$K22&amp;N($L22)&amp;$M22&amp;N($N22))</f>
        <v/>
      </c>
      <c r="BH22" s="84">
        <f>IF(OR($A22="",$K22=""),"",$K22*12+N($L22))</f>
        <v/>
      </c>
      <c r="BI22" s="84">
        <f>IF(OR($A22="",$M22=""),"",$M22*12+N($N22))</f>
        <v/>
      </c>
      <c r="BJ22" s="84">
        <f>IF($A22="","",IF(OR($C22="FRAME ONLY",$S22="BL"),0,IF($O22="Y",2,1)))</f>
        <v/>
      </c>
      <c r="BK22" s="86">
        <f>IF(OR(N($BJ22)=0,$BH22=""),"",($BH22-2*EdgeClr-IF($BJ22=2,MeetClr,0))/$BJ22)</f>
        <v/>
      </c>
      <c r="BL22" s="86">
        <f>IF(OR(N($BJ22)=0,$BI22=""),"",$BI22-HeadClr-Undercut)</f>
        <v/>
      </c>
      <c r="BM22" s="86">
        <f>IF($BH22="","",$BH22+2*FaceW+IF(N($Q22)&gt;0,($Q22+FaceW)*IF($R22="LR",2,1),0))</f>
        <v/>
      </c>
      <c r="BN22" s="86">
        <f>IF($BI22="","",$BI22+IF($AB22="Y",4,FaceW)+IF(N($P22)&gt;0,$P22+FaceW,0)+IF(OR($S22="4F",$S22="BL"),FaceW,0))</f>
        <v/>
      </c>
      <c r="BO22" s="86">
        <f>IF($BM22="","",$BM22+2*ROSide)</f>
        <v/>
      </c>
      <c r="BP22" s="86">
        <f>IF($BN22="","",$BN22+ROTop)</f>
        <v/>
      </c>
      <c r="BQ22" s="87">
        <f>IF(OR(N($BJ22)=0,$BH22=""),"",$BH22/$BJ22-ClearDeduct)</f>
        <v/>
      </c>
      <c r="BR22" s="84">
        <f>IF(N($CH22)=0,"",IF($CH22&gt;=180,"A · 3 HR",IF($CH22&gt;=90,"B · 1-1/2 HR",IF($CH22&gt;=60,"B · 1 HR",IF($CH22&gt;=45,"C · 3/4 HR","20 MIN")))))&amp;IF(AND(N($CH22)&gt;0,OR($I22="CORRIDOR",$I22="SMOKE BARRIER"))," · S","")</f>
        <v/>
      </c>
      <c r="BS22" s="84">
        <f>IF($CS22,"",IF($AV22&lt;&gt;"",$AV22,IF(OR($AC22="HGC",$AO22="HGC"),"CONT",IF(($BI22-HeadClr-Undercut)&lt;=60,2,IF(($BI22-HeadClr-Undercut)&lt;=90,3,IF(($BI22-HeadClr-Undercut)&lt;=120,4,5))))))</f>
        <v/>
      </c>
      <c r="BT22" s="84">
        <f>IF($CS22,"",IF($CT22,"CUSTOM (typed)",IF($CV22,$AT22&amp;" "&amp;$CU22&amp;CHAR(34)&amp;IF($CU22&lt;&gt;$BI22,IF(AND($BI22&lt;$CU22,$BI22-IF(N(VLOOKUP($AT22&amp;"|"&amp;$CU22,LocTable,7,FALSE))&gt;0,VLOOKUP($AT22&amp;"|"&amp;$CU22,LocTable,7,FALSE),VLOOKUP($AT22&amp;"|"&amp;$CU22,LocTable,6,FALSE))-$CR22-0.75&gt;=2.125)," cut down"," adj."),""),"ANSI/SDI A250.6")))</f>
        <v/>
      </c>
      <c r="BU22" s="88">
        <f>IF($CS22,"",IF($CT22,IF(N($AW22)&gt;0,N($AW22),""),IF(1&gt;$CQ22,"",IF($CQ22=1,$CW22,$CW22+($CX22-$CW22)*0/($CQ22-1)))))</f>
        <v/>
      </c>
      <c r="BV22" s="88">
        <f>IF($CS22,"",IF($CT22,IF(N($AX22)&gt;0,N($AX22),""),IF(2&gt;$CQ22,"",IF($CQ22=1,$CW22,$CW22+($CX22-$CW22)*1/($CQ22-1)))))</f>
        <v/>
      </c>
      <c r="BW22" s="88">
        <f>IF($CS22,"",IF($CT22,IF(N($AY22)&gt;0,N($AY22),""),IF(3&gt;$CQ22,"",IF($CQ22=1,$CW22,$CW22+($CX22-$CW22)*2/($CQ22-1)))))</f>
        <v/>
      </c>
      <c r="BX22" s="88">
        <f>IF($CS22,"",IF($CT22,IF(N($AZ22)&gt;0,N($AZ22),""),IF(4&gt;$CQ22,"",IF($CQ22=1,$CW22,$CW22+($CX22-$CW22)*3/($CQ22-1)))))</f>
        <v/>
      </c>
      <c r="BY22" s="88">
        <f>IF($CS22,"",IF($CT22,"",IF(5&gt;$CQ22,"",IF($CQ22=1,$CW22,$CW22+($CX22-$CW22)*4/($CQ22-1)))))</f>
        <v/>
      </c>
      <c r="BZ22" s="88">
        <f>IF(OR($CS22,$AP22="-",AND($AP22="",$AD22="")),"",IF(N($BA22)&gt;0,N($BA22),IF($CV22,IF(AND($BI22&lt;$CU22,$BI22-IF(N(VLOOKUP($AT22&amp;"|"&amp;$CU22,LocTable,7,FALSE))&gt;0,VLOOKUP($AT22&amp;"|"&amp;$CU22,LocTable,7,FALSE),VLOOKUP($AT22&amp;"|"&amp;$CU22,LocTable,6,FALSE))-$CR22-0.75&gt;=2.125),VLOOKUP($AT22&amp;"|"&amp;$CU22,LocTable,8,FALSE),VLOOKUP($AT22&amp;"|"&amp;$CU22,LocTable,8,FALSE)+($BI22-$CU22)),$BI22-LockAFF)))</f>
        <v/>
      </c>
      <c r="CA22" s="89">
        <f>IF($BZ22="","",$BI22-$BZ22)</f>
        <v/>
      </c>
      <c r="CB22" s="84">
        <f>IF(OR(NOT(AND($A22&lt;&gt;"",$C22&lt;&gt;"DOOR ONLY")),$BI22=""),"",IF(($BI22+IF(N($P22)&gt;0,$P22+FaceW,0))&lt;=90,3,IF(($BI22+IF(N($P22)&gt;0,$P22+FaceW,0))&lt;=114,4,5)))</f>
        <v/>
      </c>
      <c r="CC22" s="84">
        <f>IF($CB22="","",$CB22*(2+IF(N($Q22)&gt;0,IF($R22="LR",2,1),0)))</f>
        <v/>
      </c>
      <c r="CD22" s="84">
        <f>IF($CB22="","",(2+IF(N($Q22)&gt;0,IF($R22="LR",2,1),0)))</f>
        <v/>
      </c>
      <c r="CE22" s="84">
        <f>IF(N($BJ22)=0,"",IF(OR($AL22="",$AL22="FLUSH"),"FLUSH",IFERROR(LEFT($AL22,FIND("-",$AL22)-1),LEFT($AL22,2))))</f>
        <v/>
      </c>
      <c r="CF22" s="84">
        <f>IF($CE22="","",IFERROR(VALUE(MID($AL22,FIND("-",$AL22)+1,FIND(CHAR(34)&amp;"x",$AL22)-FIND("-",$AL22)-1)),0))</f>
        <v/>
      </c>
      <c r="CG22" s="84">
        <f>IF($CE22="","",IFERROR(VALUE(MID($AL22,FIND(CHAR(34)&amp;"x",$AL22)+2,FIND(CHAR(34),$AL22,FIND(CHAR(34)&amp;"x",$AL22)+2)-FIND(CHAR(34)&amp;"x",$AL22)-2)),0))</f>
        <v/>
      </c>
      <c r="CH22" s="90">
        <f>IF(OR($A22="",$H22="",$H22="NO LAB"),0,IFERROR(VALUE(LEFT($H22,FIND(" ",$H22)-1)),0))</f>
        <v/>
      </c>
      <c r="CI22" s="91">
        <f>IF(OR($A22="",$I22="",$I22="NON-RATED",N($J22)=0),"",IFERROR(VLOOKUP($I22&amp;"|"&amp;$J22,IBC,2,FALSE),"?"))</f>
        <v/>
      </c>
      <c r="CJ22" s="85">
        <f>IF(NOT(AND($A22&lt;&gt;"",$C22&lt;&gt;"DOOR ONLY")),"",TRIM(IFERROR(VLOOKUP($U22,CODES,2,FALSE),"")&amp;" "&amp;$BG22&amp;" "&amp;IFERROR(VLOOKUP($Z22,CODES,2,FALSE),"")&amp;" "&amp;IFERROR(VLOOKUP($X22,CODES,2,FALSE),"")&amp;" "&amp;IFERROR(VLOOKUP($S22,CODES,2,FALSE),"")&amp;IF(N($P22)&gt;0," w/TRANSOM "&amp;$P22&amp;CHAR(34),"")&amp;IF(N($Q22)&gt;0," w/SIDELITE "&amp;$Q22&amp;CHAR(34)&amp;" "&amp;IF($R22="","R",$R22),"")&amp;IF($Y22="","  |  "," | "&amp;IFERROR(VLOOKUP($Y22,CODES,2,FALSE),"")&amp;" | ")&amp;IFERROR(VLOOKUP($AC22,CODES,2,FALSE),"")&amp;" "&amp;IFERROR(VLOOKUP($AD22,CODES,2,FALSE),"")&amp;IF(OR($AE22="",$AE22="-"),""," "&amp;$AE22)&amp;IF(OR($AF22="",$AF22="-"),""," "&amp;$AF22)&amp;IF($AB22="Y"," 4"&amp;CHAR(34)&amp;" HEAD","")&amp;" "&amp;IFERROR(VLOOKUP($H22,CODES,2,FALSE),"")&amp;IF($CT22," | LOC "&amp;$CY22,"")))</f>
        <v/>
      </c>
      <c r="CK22" s="85">
        <f>IF(NOT(AND($A22&lt;&gt;"",N($BJ22)&gt;0)),"",TRIM(IFERROR(VLOOKUP($AH22,CODES,2,FALSE),"")&amp;IF($AI22=""," "," "&amp;$AI22&amp;"GA ")&amp;$BG22&amp;" "&amp;IF($AN22="",IFERROR(VLOOKUP($Z22,CODES,2,FALSE),""),IFERROR(VLOOKUP($AN22,CODES,2,FALSE),""))&amp;IF($BJ22=2," PAIR","")&amp;" DOOR | "&amp;IF($AL22="","?",$AL22)&amp;" | "&amp;IF($AO22="",IFERROR(VLOOKUP($AC22,CODES,2,FALSE),""),IFERROR(VLOOKUP($AO22,CODES,2,FALSE),""))&amp;" "&amp;IFERROR(VLOOKUP($AP22,CODES,2,FALSE),"")&amp;IF(OR($AQ22="",$AQ22="-"),""," SEAM "&amp;$AQ22)&amp;IF($AR22="Y"," ASTRAGAL","")&amp;IF($AJ22=""," "," "&amp;$AJ22)&amp;IF($AK22=""," "," "&amp;$AK22)&amp;IF(OR($AT22="",$AT22="ANSI/SDI",$AT22="CUSTOM LOC"),""," "&amp;$AT22)&amp;IF($AM22=""," "," SERIES "&amp;$AM22)&amp;" "&amp;IFERROR(VLOOKUP($H22,CODES,2,FALSE),"")&amp;IF($CT22," | LOC "&amp;$CZ22,"")))</f>
        <v/>
      </c>
      <c r="CL22" s="84">
        <f>IF(CP22="","",IF(COUNTIF($CP$6:CP22,CP22)=1,MAX($CL$5:CL21)+1,INDEX($CL$5:CL21,MATCH(CP22,$CP$5:CP21,0))))</f>
        <v/>
      </c>
      <c r="CM22" s="84">
        <f>IF(NOT(AND($A22&lt;&gt;"",$C22&lt;&gt;"DOOR ONLY")),"",MAX($CM$5:CM21)+1)</f>
        <v/>
      </c>
      <c r="CN22" s="84">
        <f>IF(NOT(AND($A22&lt;&gt;"",N($BJ22)&gt;0)),"",MAX($CN$5:CN21)+1)</f>
        <v/>
      </c>
      <c r="CO22" s="84">
        <f>IF($A22="","",MAX($CO$5:CO21)+1)</f>
        <v/>
      </c>
      <c r="CP22" s="84">
        <f>IF(OR($A22="",$BH22="",$BI22=""),"",$BG22&amp;"|"&amp;$O22&amp;"|"&amp;$AL22&amp;"|"&amp;$S22&amp;"|"&amp;$P22&amp;"|"&amp;$Q22&amp;$R22&amp;"|"&amp;$C22&amp;"|"&amp;$AB22)</f>
        <v/>
      </c>
      <c r="CQ22" s="84">
        <f>N($BS22)</f>
        <v/>
      </c>
      <c r="CR22" s="84">
        <f>IF(N($AU22)&gt;0,N($AU22),4.5)</f>
        <v/>
      </c>
      <c r="CS22" s="84">
        <f>OR($A22="",$BI22="",$S22="BL",AND($C22="FRAME ONLY",OR($AC22="",$AC22="BLK")))</f>
        <v/>
      </c>
      <c r="CT22" s="84">
        <f>AND(NOT($CS22),OR($AT22="CUSTOM LOC",N($AW22)+N($AX22)+N($AY22)+N($AZ22)+N($BA22)&gt;0))</f>
        <v/>
      </c>
      <c r="CU22" s="84">
        <f>IF($BI22="","",IF($BI22&lt;=80,80,IF($BI22&lt;=84,84,96)))</f>
        <v/>
      </c>
      <c r="CV22" s="84">
        <f>ISNUMBER(MATCH($AT22&amp;"|80",LocKeys,0))</f>
        <v/>
      </c>
      <c r="CW22" s="86">
        <f>IF($CS22,"",IF($CV22,VLOOKUP($AT22&amp;"|"&amp;$CU22,LocTable,4,FALSE),5))</f>
        <v/>
      </c>
      <c r="CX22" s="86">
        <f>IF($CS22,"",IF($CV22,IF(OR($BI22=$CU22,AND($BI22&lt;$CU22,$BI22-IF(N(VLOOKUP($AT22&amp;"|"&amp;$CU22,LocTable,7,FALSE))&gt;0,VLOOKUP($AT22&amp;"|"&amp;$CU22,LocTable,7,FALSE),VLOOKUP($AT22&amp;"|"&amp;$CU22,LocTable,6,FALSE))-$CR22-0.75&gt;=2.125)),IF(N(VLOOKUP($AT22&amp;"|"&amp;$CU22,LocTable,7,FALSE))&gt;0,VLOOKUP($AT22&amp;"|"&amp;$CU22,LocTable,7,FALSE),VLOOKUP($AT22&amp;"|"&amp;$CU22,LocTable,6,FALSE)),$BI22-($CU22-IF(N(VLOOKUP($AT22&amp;"|"&amp;$CU22,LocTable,7,FALSE))&gt;0,VLOOKUP($AT22&amp;"|"&amp;$CU22,LocTable,7,FALSE),VLOOKUP($AT22&amp;"|"&amp;$CU22,LocTable,6,FALSE)))),$BI22-10-$CR22))</f>
        <v/>
      </c>
      <c r="CY22" s="85">
        <f>IF($CS22,"",TRIM(IF(ISNUMBER($BU22),"A "&amp;TRIM(TEXT($BU22,"# ?/??"))&amp;CHAR(34)&amp;"  ","")&amp;IF(ISNUMBER($BV22),"B "&amp;TRIM(TEXT($BV22,"# ?/??"))&amp;CHAR(34)&amp;"  ","")&amp;IF(ISNUMBER($BW22),"C "&amp;TRIM(TEXT($BW22,"# ?/??"))&amp;CHAR(34)&amp;"  ","")&amp;IF(ISNUMBER($BX22),"D "&amp;TRIM(TEXT($BX22,"# ?/??"))&amp;CHAR(34)&amp;"  ","")&amp;IF(ISNUMBER($BY22),"F "&amp;TRIM(TEXT($BY22,"# ?/??"))&amp;CHAR(34)&amp;"  ","")&amp;IF(ISNUMBER($BZ22),"E "&amp;TRIM(TEXT($BZ22,"# ?/??"))&amp;CHAR(34)&amp;"  ","")))</f>
        <v/>
      </c>
      <c r="CZ22" s="85">
        <f>IF(OR($CS22,N($BJ22)=0),"",TRIM(IF(ISNUMBER($BU22),"A "&amp;TRIM(TEXT($BU22-HeadClr,"# ?/??"))&amp;CHAR(34)&amp;"  ","")&amp;IF(ISNUMBER($BV22),"B "&amp;TRIM(TEXT($BV22-HeadClr,"# ?/??"))&amp;CHAR(34)&amp;"  ","")&amp;IF(ISNUMBER($BW22),"C "&amp;TRIM(TEXT($BW22-HeadClr,"# ?/??"))&amp;CHAR(34)&amp;"  ","")&amp;IF(ISNUMBER($BX22),"D "&amp;TRIM(TEXT($BX22-HeadClr,"# ?/??"))&amp;CHAR(34)&amp;"  ","")&amp;IF(ISNUMBER($BY22),"F "&amp;TRIM(TEXT($BY22-HeadClr,"# ?/??"))&amp;CHAR(34)&amp;"  ","")&amp;IF(ISNUMBER($BZ22),"E "&amp;TRIM(TEXT($BZ22-HeadClr,"# ?/??"))&amp;CHAR(34)&amp;"  ","")))</f>
        <v/>
      </c>
      <c r="DA22" s="84">
        <f>IF($A22="","",IF($AN22="",IFERROR(VLOOKUP($Z22,CODES,2,FALSE),""),IFERROR(VLOOKUP($AN22,CODES,2,FALSE),"")))</f>
        <v/>
      </c>
      <c r="DB22" s="84">
        <f>IF($A22="","",IF($O22="Y","PR",IF(OR($Z22="L",$Z22="RR",LEFT($Z22,2)="L-",LEFT($Z22,3)="RR-"),"LH","RH")))</f>
        <v/>
      </c>
      <c r="DC22" s="84">
        <f>IF($A22="","","S.HM"&amp;IF(OR($C22="DOOR ONLY",$X22&lt;&gt;"KD"),"MASONRY","DRYWALL")&amp;IF($C22="DOOR ONLY","",$U22)&amp;IF(AND($C22&lt;&gt;"FRAME ONLY",OR(LEFT($AH22,3)="OAK",LEFT($AH22,3)="BIR",LEFT($AH22,3)="MAP",$AH22="PC",$AH22="MC",$AH22="SCLC",$AH22="P-LAM")),"WD","HM")&amp;"1.75")</f>
        <v/>
      </c>
      <c r="DD22" s="84">
        <f>IF($CJ22="","",IF($O22="Y",$CJ22,SUBSTITUTE($CJ22,$BG22&amp;" "&amp;IFERROR(VLOOKUP($Z22,CODES,2,FALSE),"")&amp;" ",$BG22&amp;" ")))</f>
        <v/>
      </c>
      <c r="DE22" s="84">
        <f>IF($CK22="","",IF($O22="Y",$CK22,SUBSTITUTE($CK22,$BG22&amp;" "&amp;IF($AN22="",IFERROR(VLOOKUP($Z22,CODES,2,FALSE),""),IFERROR(VLOOKUP($AN22,CODES,2,FALSE),""))&amp;" ",$BG22&amp;" ")))</f>
        <v/>
      </c>
      <c r="DF22" s="84">
        <f>IF($CJ22="","",$DC22&amp;"|"&amp;$DD22&amp;"|"&amp;$DB22&amp;"|"&amp;$AT22&amp;"|"&amp;$V22&amp;"|"&amp;$Y22&amp;"|"&amp;$AB22)</f>
        <v/>
      </c>
      <c r="DG22" s="84">
        <f>IF(DF22="","",IF(COUNTIF($DF$6:DF22,DF22)=1,MAX($DG$5:DG21)+1,INDEX($DG$5:DG21,MATCH(DF22,$DF$5:DF21,0))))</f>
        <v/>
      </c>
      <c r="DH22" s="84">
        <f>IF($CK22="","",$DC22&amp;"|"&amp;$DE22&amp;"|"&amp;$AI22&amp;"|"&amp;$BK22&amp;"|"&amp;$BL22)</f>
        <v/>
      </c>
      <c r="DI22" s="84">
        <f>IF(DH22="","",IF(COUNTIF($DH$6:DH22,DH22)=1,MAX($DI$5:DI21)+1,INDEX($DI$5:DI21,MATCH(DH22,$DH$5:DH21,0))))</f>
        <v/>
      </c>
      <c r="DJ22" s="84">
        <f>IF($A22="","",IF($B22="","qty, ","")&amp;IF($C22="","scope, ","")&amp;IF(OR($K22="",$M22=""),"size, ","")&amp;IF(AND($A22&lt;&gt;"",$C22&lt;&gt;"DOOR ONLY"),IF($U22="","jamb depth, ","")&amp;IF($X22="","construction, ","")&amp;IF($Y22="","anchor, ","")&amp;IF($S22="","frame type, ",""),"")&amp;IF(AND(N($BJ22)&gt;0,$Z22=""),"hand, ","")&amp;IF(N($BJ22)&gt;0,IF($AH22="","door material, ","")&amp;IF($AL22="","face type, ","")&amp;IF($AP22="","lock prep, ","")&amp;IF(AND($AO22="",$AC22=""),"hinge prep, ",""),"")&amp;IF(AND($CH22&gt;0,$AH22="FRP"),"FRP cannot carry a label, ","")&amp;IF(AND($O22="Y",OR($Z22="L",$Z22="R",$Z22="LR",$Z22="RR")),"pair marked but hand is single, ","")&amp;IF(AND($O22&lt;&gt;"Y",OR($Z22="PR",AND(LEN($Z22)&gt;1,ISNUMBER(SEARCH("-",$Z22))))),"pair hand on a single door, ","")&amp;IF(AND(ISNUMBER($CI22),$CH22&lt;N($CI22)),"wall needs a "&amp;$CI22&amp;" min door, ","")&amp;IF(AND($CH22&gt;=180,AND(OR($CE22="FG",$CE22="HG",$CE22="FNV",$CE22="FV"),N($CF22)*N($CG22)&gt;100)),"180 min lite over 100 sq in, ","")&amp;IF(N($BK22)&gt;48,"leaf wider than 4'-0"&amp;CHAR(34)&amp;", ","")&amp;IF(AND($CT22,COUNT($AW22:$AZ22)=0,$CQ22&gt;0),"CUSTOM LOC with no locations typed, ",""))</f>
        <v/>
      </c>
      <c r="DK22" s="84">
        <f>IF($A22="","",IF(AND($CH22&gt;0,AND($A22&lt;&gt;"",$C22&lt;&gt;"DOOR ONLY"),$X22="KD",$E22="EXTERIOR"),"KD label on an exterior opening, ","")&amp;IF(AND($E22="EXTERIOR",OR(AND(AND($A22&lt;&gt;"",$C22&lt;&gt;"DOOR ONLY"),$W22="CR"),AND(N($BJ22)&gt;0,$AH22="CR"))),"exterior in CR steel (G9?), ","")&amp;IF(AND(ISNUMBER($BQ22),N($BQ22)&lt;32),"clear width ~"&amp;TEXT($BQ22,"0.0")&amp;CHAR(34)&amp;" under 32"&amp;CHAR(34)&amp;" (ADA), ","")&amp;IF(AND($CH22=90,AND(OR($CE22="FG",$CE22="HG",$CE22="FNV",$CE22="FV"),N($CF22)*N($CG22)&gt;100)),"90 min lite over 100 sq in (stair/exit), ","")&amp;IF(AND($CH22&gt;0,AND($A22&lt;&gt;"",$C22&lt;&gt;"DOOR ONLY"),OR($AF22="",$AF22="-")),"rated: closer reinf.?, ","")&amp;IF(OR($I22="CORRIDOR",$I22="SMOKE BARRIER"),"S label + smoke gasketing, ","")&amp;IF($CI22="?","wall type/hr not in IBC table, ","")&amp;IF(AND(N($BJ22)&gt;0,$BB22=""),"no hardware set, ","")&amp;IF(AND($BB22&lt;&gt;"",ISNA(MATCH($BB22&amp;"",HWSets,0))),"set "&amp;$BB22&amp;" not on HW Sets, ","")&amp;IF(N($BL22)&gt;96,"leaf over 8'-0"&amp;CHAR(34)&amp;" - check listing, ","")&amp;IF(AND($CT22,COUNT($AW22:$AZ22)&gt;0,COUNT($AW22:$AZ22)&lt;&gt;$CQ22),COUNT($AW22:$AZ22)&amp;" custom hinges typed, "&amp;$CQ22&amp;" expected, ","")&amp;IF(AND(ISNUMBER($CA22),OR(N($CA22)&lt;34,N($CA22)&gt;48)),"lock "&amp;TEXT($CA22,"0.0")&amp;CHAR(34)&amp;" AFF outside 34-48"&amp;CHAR(34)&amp;" (ADA), ","")&amp;IF(AND(ISNUMBER($AV22),ISNUMBER($BL22),N($AV22)&lt;IF(N($BL22)&lt;=60,2,IF(N($BL22)&lt;=90,3,IF(N($BL22)&lt;=120,4,5)))),"fewer hinges than standard, ",""))</f>
        <v/>
      </c>
    </row>
    <row r="23" ht="15" customHeight="1">
      <c r="A23" s="77" t="n"/>
      <c r="B23" s="78" t="n"/>
      <c r="C23" s="78" t="n"/>
      <c r="D23" s="78" t="n"/>
      <c r="E23" s="78" t="n"/>
      <c r="F23" s="78" t="n"/>
      <c r="G23" s="78" t="n"/>
      <c r="H23" s="78" t="n"/>
      <c r="I23" s="78" t="n"/>
      <c r="J23" s="78" t="n"/>
      <c r="K23" s="78" t="n"/>
      <c r="L23" s="78" t="n"/>
      <c r="M23" s="78" t="n"/>
      <c r="N23" s="78" t="n"/>
      <c r="O23" s="78" t="n"/>
      <c r="P23" s="78" t="n"/>
      <c r="Q23" s="78" t="n"/>
      <c r="R23" s="78" t="n"/>
      <c r="S23" s="79" t="n"/>
      <c r="T23" s="79" t="n"/>
      <c r="U23" s="79" t="n"/>
      <c r="V23" s="79" t="n"/>
      <c r="W23" s="79" t="n"/>
      <c r="X23" s="79" t="n"/>
      <c r="Y23" s="79" t="n"/>
      <c r="Z23" s="79" t="n"/>
      <c r="AA23" s="79" t="n"/>
      <c r="AB23" s="79" t="n"/>
      <c r="AC23" s="79" t="n"/>
      <c r="AD23" s="79" t="n"/>
      <c r="AE23" s="79" t="n"/>
      <c r="AF23" s="79" t="n"/>
      <c r="AG23" s="79" t="n"/>
      <c r="AH23" s="80" t="n"/>
      <c r="AI23" s="80" t="n"/>
      <c r="AJ23" s="80" t="n"/>
      <c r="AK23" s="80" t="n"/>
      <c r="AL23" s="80" t="n"/>
      <c r="AM23" s="80" t="n"/>
      <c r="AN23" s="80" t="n"/>
      <c r="AO23" s="80" t="n"/>
      <c r="AP23" s="80" t="n"/>
      <c r="AQ23" s="80" t="n"/>
      <c r="AR23" s="80" t="n"/>
      <c r="AS23" s="80" t="n"/>
      <c r="AT23" s="81" t="n"/>
      <c r="AU23" s="81" t="n"/>
      <c r="AV23" s="81" t="n"/>
      <c r="AW23" s="82" t="n"/>
      <c r="AX23" s="82" t="n"/>
      <c r="AY23" s="82" t="n"/>
      <c r="AZ23" s="82" t="n"/>
      <c r="BA23" s="82" t="n"/>
      <c r="BB23" s="83" t="n"/>
      <c r="BC23" s="83" t="n"/>
      <c r="BD23" s="84">
        <f>IF($A23="","",IF($DJ23&lt;&gt;"","FIX",IF($DK23&lt;&gt;"","CHECK","OK")))</f>
        <v/>
      </c>
      <c r="BE23" s="85">
        <f>IF($A23="","",IF($DJ23&lt;&gt;"","FIX: "&amp;LEFT($DJ23,LEN($DJ23)-2)&amp;IF($DK23&lt;&gt;"","  ·  ",""),"")&amp;IF($DK23&lt;&gt;"","CHECK: "&amp;LEFT($DK23,LEN($DK23)-2),""))</f>
        <v/>
      </c>
      <c r="BF23" s="84">
        <f>IF(OR($A23="",$K23=""),"",$K23&amp;"'-"&amp;N($L23)&amp;CHAR(34)&amp;" x "&amp;$M23&amp;"'-"&amp;N($N23)&amp;CHAR(34))</f>
        <v/>
      </c>
      <c r="BG23" s="84">
        <f>IF(OR($A23="",$K23=""),"",$K23&amp;N($L23)&amp;$M23&amp;N($N23))</f>
        <v/>
      </c>
      <c r="BH23" s="84">
        <f>IF(OR($A23="",$K23=""),"",$K23*12+N($L23))</f>
        <v/>
      </c>
      <c r="BI23" s="84">
        <f>IF(OR($A23="",$M23=""),"",$M23*12+N($N23))</f>
        <v/>
      </c>
      <c r="BJ23" s="84">
        <f>IF($A23="","",IF(OR($C23="FRAME ONLY",$S23="BL"),0,IF($O23="Y",2,1)))</f>
        <v/>
      </c>
      <c r="BK23" s="86">
        <f>IF(OR(N($BJ23)=0,$BH23=""),"",($BH23-2*EdgeClr-IF($BJ23=2,MeetClr,0))/$BJ23)</f>
        <v/>
      </c>
      <c r="BL23" s="86">
        <f>IF(OR(N($BJ23)=0,$BI23=""),"",$BI23-HeadClr-Undercut)</f>
        <v/>
      </c>
      <c r="BM23" s="86">
        <f>IF($BH23="","",$BH23+2*FaceW+IF(N($Q23)&gt;0,($Q23+FaceW)*IF($R23="LR",2,1),0))</f>
        <v/>
      </c>
      <c r="BN23" s="86">
        <f>IF($BI23="","",$BI23+IF($AB23="Y",4,FaceW)+IF(N($P23)&gt;0,$P23+FaceW,0)+IF(OR($S23="4F",$S23="BL"),FaceW,0))</f>
        <v/>
      </c>
      <c r="BO23" s="86">
        <f>IF($BM23="","",$BM23+2*ROSide)</f>
        <v/>
      </c>
      <c r="BP23" s="86">
        <f>IF($BN23="","",$BN23+ROTop)</f>
        <v/>
      </c>
      <c r="BQ23" s="87">
        <f>IF(OR(N($BJ23)=0,$BH23=""),"",$BH23/$BJ23-ClearDeduct)</f>
        <v/>
      </c>
      <c r="BR23" s="84">
        <f>IF(N($CH23)=0,"",IF($CH23&gt;=180,"A · 3 HR",IF($CH23&gt;=90,"B · 1-1/2 HR",IF($CH23&gt;=60,"B · 1 HR",IF($CH23&gt;=45,"C · 3/4 HR","20 MIN")))))&amp;IF(AND(N($CH23)&gt;0,OR($I23="CORRIDOR",$I23="SMOKE BARRIER"))," · S","")</f>
        <v/>
      </c>
      <c r="BS23" s="84">
        <f>IF($CS23,"",IF($AV23&lt;&gt;"",$AV23,IF(OR($AC23="HGC",$AO23="HGC"),"CONT",IF(($BI23-HeadClr-Undercut)&lt;=60,2,IF(($BI23-HeadClr-Undercut)&lt;=90,3,IF(($BI23-HeadClr-Undercut)&lt;=120,4,5))))))</f>
        <v/>
      </c>
      <c r="BT23" s="84">
        <f>IF($CS23,"",IF($CT23,"CUSTOM (typed)",IF($CV23,$AT23&amp;" "&amp;$CU23&amp;CHAR(34)&amp;IF($CU23&lt;&gt;$BI23,IF(AND($BI23&lt;$CU23,$BI23-IF(N(VLOOKUP($AT23&amp;"|"&amp;$CU23,LocTable,7,FALSE))&gt;0,VLOOKUP($AT23&amp;"|"&amp;$CU23,LocTable,7,FALSE),VLOOKUP($AT23&amp;"|"&amp;$CU23,LocTable,6,FALSE))-$CR23-0.75&gt;=2.125)," cut down"," adj."),""),"ANSI/SDI A250.6")))</f>
        <v/>
      </c>
      <c r="BU23" s="88">
        <f>IF($CS23,"",IF($CT23,IF(N($AW23)&gt;0,N($AW23),""),IF(1&gt;$CQ23,"",IF($CQ23=1,$CW23,$CW23+($CX23-$CW23)*0/($CQ23-1)))))</f>
        <v/>
      </c>
      <c r="BV23" s="88">
        <f>IF($CS23,"",IF($CT23,IF(N($AX23)&gt;0,N($AX23),""),IF(2&gt;$CQ23,"",IF($CQ23=1,$CW23,$CW23+($CX23-$CW23)*1/($CQ23-1)))))</f>
        <v/>
      </c>
      <c r="BW23" s="88">
        <f>IF($CS23,"",IF($CT23,IF(N($AY23)&gt;0,N($AY23),""),IF(3&gt;$CQ23,"",IF($CQ23=1,$CW23,$CW23+($CX23-$CW23)*2/($CQ23-1)))))</f>
        <v/>
      </c>
      <c r="BX23" s="88">
        <f>IF($CS23,"",IF($CT23,IF(N($AZ23)&gt;0,N($AZ23),""),IF(4&gt;$CQ23,"",IF($CQ23=1,$CW23,$CW23+($CX23-$CW23)*3/($CQ23-1)))))</f>
        <v/>
      </c>
      <c r="BY23" s="88">
        <f>IF($CS23,"",IF($CT23,"",IF(5&gt;$CQ23,"",IF($CQ23=1,$CW23,$CW23+($CX23-$CW23)*4/($CQ23-1)))))</f>
        <v/>
      </c>
      <c r="BZ23" s="88">
        <f>IF(OR($CS23,$AP23="-",AND($AP23="",$AD23="")),"",IF(N($BA23)&gt;0,N($BA23),IF($CV23,IF(AND($BI23&lt;$CU23,$BI23-IF(N(VLOOKUP($AT23&amp;"|"&amp;$CU23,LocTable,7,FALSE))&gt;0,VLOOKUP($AT23&amp;"|"&amp;$CU23,LocTable,7,FALSE),VLOOKUP($AT23&amp;"|"&amp;$CU23,LocTable,6,FALSE))-$CR23-0.75&gt;=2.125),VLOOKUP($AT23&amp;"|"&amp;$CU23,LocTable,8,FALSE),VLOOKUP($AT23&amp;"|"&amp;$CU23,LocTable,8,FALSE)+($BI23-$CU23)),$BI23-LockAFF)))</f>
        <v/>
      </c>
      <c r="CA23" s="89">
        <f>IF($BZ23="","",$BI23-$BZ23)</f>
        <v/>
      </c>
      <c r="CB23" s="84">
        <f>IF(OR(NOT(AND($A23&lt;&gt;"",$C23&lt;&gt;"DOOR ONLY")),$BI23=""),"",IF(($BI23+IF(N($P23)&gt;0,$P23+FaceW,0))&lt;=90,3,IF(($BI23+IF(N($P23)&gt;0,$P23+FaceW,0))&lt;=114,4,5)))</f>
        <v/>
      </c>
      <c r="CC23" s="84">
        <f>IF($CB23="","",$CB23*(2+IF(N($Q23)&gt;0,IF($R23="LR",2,1),0)))</f>
        <v/>
      </c>
      <c r="CD23" s="84">
        <f>IF($CB23="","",(2+IF(N($Q23)&gt;0,IF($R23="LR",2,1),0)))</f>
        <v/>
      </c>
      <c r="CE23" s="84">
        <f>IF(N($BJ23)=0,"",IF(OR($AL23="",$AL23="FLUSH"),"FLUSH",IFERROR(LEFT($AL23,FIND("-",$AL23)-1),LEFT($AL23,2))))</f>
        <v/>
      </c>
      <c r="CF23" s="84">
        <f>IF($CE23="","",IFERROR(VALUE(MID($AL23,FIND("-",$AL23)+1,FIND(CHAR(34)&amp;"x",$AL23)-FIND("-",$AL23)-1)),0))</f>
        <v/>
      </c>
      <c r="CG23" s="84">
        <f>IF($CE23="","",IFERROR(VALUE(MID($AL23,FIND(CHAR(34)&amp;"x",$AL23)+2,FIND(CHAR(34),$AL23,FIND(CHAR(34)&amp;"x",$AL23)+2)-FIND(CHAR(34)&amp;"x",$AL23)-2)),0))</f>
        <v/>
      </c>
      <c r="CH23" s="90">
        <f>IF(OR($A23="",$H23="",$H23="NO LAB"),0,IFERROR(VALUE(LEFT($H23,FIND(" ",$H23)-1)),0))</f>
        <v/>
      </c>
      <c r="CI23" s="91">
        <f>IF(OR($A23="",$I23="",$I23="NON-RATED",N($J23)=0),"",IFERROR(VLOOKUP($I23&amp;"|"&amp;$J23,IBC,2,FALSE),"?"))</f>
        <v/>
      </c>
      <c r="CJ23" s="85">
        <f>IF(NOT(AND($A23&lt;&gt;"",$C23&lt;&gt;"DOOR ONLY")),"",TRIM(IFERROR(VLOOKUP($U23,CODES,2,FALSE),"")&amp;" "&amp;$BG23&amp;" "&amp;IFERROR(VLOOKUP($Z23,CODES,2,FALSE),"")&amp;" "&amp;IFERROR(VLOOKUP($X23,CODES,2,FALSE),"")&amp;" "&amp;IFERROR(VLOOKUP($S23,CODES,2,FALSE),"")&amp;IF(N($P23)&gt;0," w/TRANSOM "&amp;$P23&amp;CHAR(34),"")&amp;IF(N($Q23)&gt;0," w/SIDELITE "&amp;$Q23&amp;CHAR(34)&amp;" "&amp;IF($R23="","R",$R23),"")&amp;IF($Y23="","  |  "," | "&amp;IFERROR(VLOOKUP($Y23,CODES,2,FALSE),"")&amp;" | ")&amp;IFERROR(VLOOKUP($AC23,CODES,2,FALSE),"")&amp;" "&amp;IFERROR(VLOOKUP($AD23,CODES,2,FALSE),"")&amp;IF(OR($AE23="",$AE23="-"),""," "&amp;$AE23)&amp;IF(OR($AF23="",$AF23="-"),""," "&amp;$AF23)&amp;IF($AB23="Y"," 4"&amp;CHAR(34)&amp;" HEAD","")&amp;" "&amp;IFERROR(VLOOKUP($H23,CODES,2,FALSE),"")&amp;IF($CT23," | LOC "&amp;$CY23,"")))</f>
        <v/>
      </c>
      <c r="CK23" s="85">
        <f>IF(NOT(AND($A23&lt;&gt;"",N($BJ23)&gt;0)),"",TRIM(IFERROR(VLOOKUP($AH23,CODES,2,FALSE),"")&amp;IF($AI23=""," "," "&amp;$AI23&amp;"GA ")&amp;$BG23&amp;" "&amp;IF($AN23="",IFERROR(VLOOKUP($Z23,CODES,2,FALSE),""),IFERROR(VLOOKUP($AN23,CODES,2,FALSE),""))&amp;IF($BJ23=2," PAIR","")&amp;" DOOR | "&amp;IF($AL23="","?",$AL23)&amp;" | "&amp;IF($AO23="",IFERROR(VLOOKUP($AC23,CODES,2,FALSE),""),IFERROR(VLOOKUP($AO23,CODES,2,FALSE),""))&amp;" "&amp;IFERROR(VLOOKUP($AP23,CODES,2,FALSE),"")&amp;IF(OR($AQ23="",$AQ23="-"),""," SEAM "&amp;$AQ23)&amp;IF($AR23="Y"," ASTRAGAL","")&amp;IF($AJ23=""," "," "&amp;$AJ23)&amp;IF($AK23=""," "," "&amp;$AK23)&amp;IF(OR($AT23="",$AT23="ANSI/SDI",$AT23="CUSTOM LOC"),""," "&amp;$AT23)&amp;IF($AM23=""," "," SERIES "&amp;$AM23)&amp;" "&amp;IFERROR(VLOOKUP($H23,CODES,2,FALSE),"")&amp;IF($CT23," | LOC "&amp;$CZ23,"")))</f>
        <v/>
      </c>
      <c r="CL23" s="84">
        <f>IF(CP23="","",IF(COUNTIF($CP$6:CP23,CP23)=1,MAX($CL$5:CL22)+1,INDEX($CL$5:CL22,MATCH(CP23,$CP$5:CP22,0))))</f>
        <v/>
      </c>
      <c r="CM23" s="84">
        <f>IF(NOT(AND($A23&lt;&gt;"",$C23&lt;&gt;"DOOR ONLY")),"",MAX($CM$5:CM22)+1)</f>
        <v/>
      </c>
      <c r="CN23" s="84">
        <f>IF(NOT(AND($A23&lt;&gt;"",N($BJ23)&gt;0)),"",MAX($CN$5:CN22)+1)</f>
        <v/>
      </c>
      <c r="CO23" s="84">
        <f>IF($A23="","",MAX($CO$5:CO22)+1)</f>
        <v/>
      </c>
      <c r="CP23" s="84">
        <f>IF(OR($A23="",$BH23="",$BI23=""),"",$BG23&amp;"|"&amp;$O23&amp;"|"&amp;$AL23&amp;"|"&amp;$S23&amp;"|"&amp;$P23&amp;"|"&amp;$Q23&amp;$R23&amp;"|"&amp;$C23&amp;"|"&amp;$AB23)</f>
        <v/>
      </c>
      <c r="CQ23" s="84">
        <f>N($BS23)</f>
        <v/>
      </c>
      <c r="CR23" s="84">
        <f>IF(N($AU23)&gt;0,N($AU23),4.5)</f>
        <v/>
      </c>
      <c r="CS23" s="84">
        <f>OR($A23="",$BI23="",$S23="BL",AND($C23="FRAME ONLY",OR($AC23="",$AC23="BLK")))</f>
        <v/>
      </c>
      <c r="CT23" s="84">
        <f>AND(NOT($CS23),OR($AT23="CUSTOM LOC",N($AW23)+N($AX23)+N($AY23)+N($AZ23)+N($BA23)&gt;0))</f>
        <v/>
      </c>
      <c r="CU23" s="84">
        <f>IF($BI23="","",IF($BI23&lt;=80,80,IF($BI23&lt;=84,84,96)))</f>
        <v/>
      </c>
      <c r="CV23" s="84">
        <f>ISNUMBER(MATCH($AT23&amp;"|80",LocKeys,0))</f>
        <v/>
      </c>
      <c r="CW23" s="86">
        <f>IF($CS23,"",IF($CV23,VLOOKUP($AT23&amp;"|"&amp;$CU23,LocTable,4,FALSE),5))</f>
        <v/>
      </c>
      <c r="CX23" s="86">
        <f>IF($CS23,"",IF($CV23,IF(OR($BI23=$CU23,AND($BI23&lt;$CU23,$BI23-IF(N(VLOOKUP($AT23&amp;"|"&amp;$CU23,LocTable,7,FALSE))&gt;0,VLOOKUP($AT23&amp;"|"&amp;$CU23,LocTable,7,FALSE),VLOOKUP($AT23&amp;"|"&amp;$CU23,LocTable,6,FALSE))-$CR23-0.75&gt;=2.125)),IF(N(VLOOKUP($AT23&amp;"|"&amp;$CU23,LocTable,7,FALSE))&gt;0,VLOOKUP($AT23&amp;"|"&amp;$CU23,LocTable,7,FALSE),VLOOKUP($AT23&amp;"|"&amp;$CU23,LocTable,6,FALSE)),$BI23-($CU23-IF(N(VLOOKUP($AT23&amp;"|"&amp;$CU23,LocTable,7,FALSE))&gt;0,VLOOKUP($AT23&amp;"|"&amp;$CU23,LocTable,7,FALSE),VLOOKUP($AT23&amp;"|"&amp;$CU23,LocTable,6,FALSE)))),$BI23-10-$CR23))</f>
        <v/>
      </c>
      <c r="CY23" s="85">
        <f>IF($CS23,"",TRIM(IF(ISNUMBER($BU23),"A "&amp;TRIM(TEXT($BU23,"# ?/??"))&amp;CHAR(34)&amp;"  ","")&amp;IF(ISNUMBER($BV23),"B "&amp;TRIM(TEXT($BV23,"# ?/??"))&amp;CHAR(34)&amp;"  ","")&amp;IF(ISNUMBER($BW23),"C "&amp;TRIM(TEXT($BW23,"# ?/??"))&amp;CHAR(34)&amp;"  ","")&amp;IF(ISNUMBER($BX23),"D "&amp;TRIM(TEXT($BX23,"# ?/??"))&amp;CHAR(34)&amp;"  ","")&amp;IF(ISNUMBER($BY23),"F "&amp;TRIM(TEXT($BY23,"# ?/??"))&amp;CHAR(34)&amp;"  ","")&amp;IF(ISNUMBER($BZ23),"E "&amp;TRIM(TEXT($BZ23,"# ?/??"))&amp;CHAR(34)&amp;"  ","")))</f>
        <v/>
      </c>
      <c r="CZ23" s="85">
        <f>IF(OR($CS23,N($BJ23)=0),"",TRIM(IF(ISNUMBER($BU23),"A "&amp;TRIM(TEXT($BU23-HeadClr,"# ?/??"))&amp;CHAR(34)&amp;"  ","")&amp;IF(ISNUMBER($BV23),"B "&amp;TRIM(TEXT($BV23-HeadClr,"# ?/??"))&amp;CHAR(34)&amp;"  ","")&amp;IF(ISNUMBER($BW23),"C "&amp;TRIM(TEXT($BW23-HeadClr,"# ?/??"))&amp;CHAR(34)&amp;"  ","")&amp;IF(ISNUMBER($BX23),"D "&amp;TRIM(TEXT($BX23-HeadClr,"# ?/??"))&amp;CHAR(34)&amp;"  ","")&amp;IF(ISNUMBER($BY23),"F "&amp;TRIM(TEXT($BY23-HeadClr,"# ?/??"))&amp;CHAR(34)&amp;"  ","")&amp;IF(ISNUMBER($BZ23),"E "&amp;TRIM(TEXT($BZ23-HeadClr,"# ?/??"))&amp;CHAR(34)&amp;"  ","")))</f>
        <v/>
      </c>
      <c r="DA23" s="84">
        <f>IF($A23="","",IF($AN23="",IFERROR(VLOOKUP($Z23,CODES,2,FALSE),""),IFERROR(VLOOKUP($AN23,CODES,2,FALSE),"")))</f>
        <v/>
      </c>
      <c r="DB23" s="84">
        <f>IF($A23="","",IF($O23="Y","PR",IF(OR($Z23="L",$Z23="RR",LEFT($Z23,2)="L-",LEFT($Z23,3)="RR-"),"LH","RH")))</f>
        <v/>
      </c>
      <c r="DC23" s="84">
        <f>IF($A23="","","S.HM"&amp;IF(OR($C23="DOOR ONLY",$X23&lt;&gt;"KD"),"MASONRY","DRYWALL")&amp;IF($C23="DOOR ONLY","",$U23)&amp;IF(AND($C23&lt;&gt;"FRAME ONLY",OR(LEFT($AH23,3)="OAK",LEFT($AH23,3)="BIR",LEFT($AH23,3)="MAP",$AH23="PC",$AH23="MC",$AH23="SCLC",$AH23="P-LAM")),"WD","HM")&amp;"1.75")</f>
        <v/>
      </c>
      <c r="DD23" s="84">
        <f>IF($CJ23="","",IF($O23="Y",$CJ23,SUBSTITUTE($CJ23,$BG23&amp;" "&amp;IFERROR(VLOOKUP($Z23,CODES,2,FALSE),"")&amp;" ",$BG23&amp;" ")))</f>
        <v/>
      </c>
      <c r="DE23" s="84">
        <f>IF($CK23="","",IF($O23="Y",$CK23,SUBSTITUTE($CK23,$BG23&amp;" "&amp;IF($AN23="",IFERROR(VLOOKUP($Z23,CODES,2,FALSE),""),IFERROR(VLOOKUP($AN23,CODES,2,FALSE),""))&amp;" ",$BG23&amp;" ")))</f>
        <v/>
      </c>
      <c r="DF23" s="84">
        <f>IF($CJ23="","",$DC23&amp;"|"&amp;$DD23&amp;"|"&amp;$DB23&amp;"|"&amp;$AT23&amp;"|"&amp;$V23&amp;"|"&amp;$Y23&amp;"|"&amp;$AB23)</f>
        <v/>
      </c>
      <c r="DG23" s="84">
        <f>IF(DF23="","",IF(COUNTIF($DF$6:DF23,DF23)=1,MAX($DG$5:DG22)+1,INDEX($DG$5:DG22,MATCH(DF23,$DF$5:DF22,0))))</f>
        <v/>
      </c>
      <c r="DH23" s="84">
        <f>IF($CK23="","",$DC23&amp;"|"&amp;$DE23&amp;"|"&amp;$AI23&amp;"|"&amp;$BK23&amp;"|"&amp;$BL23)</f>
        <v/>
      </c>
      <c r="DI23" s="84">
        <f>IF(DH23="","",IF(COUNTIF($DH$6:DH23,DH23)=1,MAX($DI$5:DI22)+1,INDEX($DI$5:DI22,MATCH(DH23,$DH$5:DH22,0))))</f>
        <v/>
      </c>
      <c r="DJ23" s="84">
        <f>IF($A23="","",IF($B23="","qty, ","")&amp;IF($C23="","scope, ","")&amp;IF(OR($K23="",$M23=""),"size, ","")&amp;IF(AND($A23&lt;&gt;"",$C23&lt;&gt;"DOOR ONLY"),IF($U23="","jamb depth, ","")&amp;IF($X23="","construction, ","")&amp;IF($Y23="","anchor, ","")&amp;IF($S23="","frame type, ",""),"")&amp;IF(AND(N($BJ23)&gt;0,$Z23=""),"hand, ","")&amp;IF(N($BJ23)&gt;0,IF($AH23="","door material, ","")&amp;IF($AL23="","face type, ","")&amp;IF($AP23="","lock prep, ","")&amp;IF(AND($AO23="",$AC23=""),"hinge prep, ",""),"")&amp;IF(AND($CH23&gt;0,$AH23="FRP"),"FRP cannot carry a label, ","")&amp;IF(AND($O23="Y",OR($Z23="L",$Z23="R",$Z23="LR",$Z23="RR")),"pair marked but hand is single, ","")&amp;IF(AND($O23&lt;&gt;"Y",OR($Z23="PR",AND(LEN($Z23)&gt;1,ISNUMBER(SEARCH("-",$Z23))))),"pair hand on a single door, ","")&amp;IF(AND(ISNUMBER($CI23),$CH23&lt;N($CI23)),"wall needs a "&amp;$CI23&amp;" min door, ","")&amp;IF(AND($CH23&gt;=180,AND(OR($CE23="FG",$CE23="HG",$CE23="FNV",$CE23="FV"),N($CF23)*N($CG23)&gt;100)),"180 min lite over 100 sq in, ","")&amp;IF(N($BK23)&gt;48,"leaf wider than 4'-0"&amp;CHAR(34)&amp;", ","")&amp;IF(AND($CT23,COUNT($AW23:$AZ23)=0,$CQ23&gt;0),"CUSTOM LOC with no locations typed, ",""))</f>
        <v/>
      </c>
      <c r="DK23" s="84">
        <f>IF($A23="","",IF(AND($CH23&gt;0,AND($A23&lt;&gt;"",$C23&lt;&gt;"DOOR ONLY"),$X23="KD",$E23="EXTERIOR"),"KD label on an exterior opening, ","")&amp;IF(AND($E23="EXTERIOR",OR(AND(AND($A23&lt;&gt;"",$C23&lt;&gt;"DOOR ONLY"),$W23="CR"),AND(N($BJ23)&gt;0,$AH23="CR"))),"exterior in CR steel (G9?), ","")&amp;IF(AND(ISNUMBER($BQ23),N($BQ23)&lt;32),"clear width ~"&amp;TEXT($BQ23,"0.0")&amp;CHAR(34)&amp;" under 32"&amp;CHAR(34)&amp;" (ADA), ","")&amp;IF(AND($CH23=90,AND(OR($CE23="FG",$CE23="HG",$CE23="FNV",$CE23="FV"),N($CF23)*N($CG23)&gt;100)),"90 min lite over 100 sq in (stair/exit), ","")&amp;IF(AND($CH23&gt;0,AND($A23&lt;&gt;"",$C23&lt;&gt;"DOOR ONLY"),OR($AF23="",$AF23="-")),"rated: closer reinf.?, ","")&amp;IF(OR($I23="CORRIDOR",$I23="SMOKE BARRIER"),"S label + smoke gasketing, ","")&amp;IF($CI23="?","wall type/hr not in IBC table, ","")&amp;IF(AND(N($BJ23)&gt;0,$BB23=""),"no hardware set, ","")&amp;IF(AND($BB23&lt;&gt;"",ISNA(MATCH($BB23&amp;"",HWSets,0))),"set "&amp;$BB23&amp;" not on HW Sets, ","")&amp;IF(N($BL23)&gt;96,"leaf over 8'-0"&amp;CHAR(34)&amp;" - check listing, ","")&amp;IF(AND($CT23,COUNT($AW23:$AZ23)&gt;0,COUNT($AW23:$AZ23)&lt;&gt;$CQ23),COUNT($AW23:$AZ23)&amp;" custom hinges typed, "&amp;$CQ23&amp;" expected, ","")&amp;IF(AND(ISNUMBER($CA23),OR(N($CA23)&lt;34,N($CA23)&gt;48)),"lock "&amp;TEXT($CA23,"0.0")&amp;CHAR(34)&amp;" AFF outside 34-48"&amp;CHAR(34)&amp;" (ADA), ","")&amp;IF(AND(ISNUMBER($AV23),ISNUMBER($BL23),N($AV23)&lt;IF(N($BL23)&lt;=60,2,IF(N($BL23)&lt;=90,3,IF(N($BL23)&lt;=120,4,5)))),"fewer hinges than standard, ",""))</f>
        <v/>
      </c>
    </row>
    <row r="24" ht="15" customHeight="1">
      <c r="A24" s="77" t="n"/>
      <c r="B24" s="78" t="n"/>
      <c r="C24" s="78" t="n"/>
      <c r="D24" s="78" t="n"/>
      <c r="E24" s="78" t="n"/>
      <c r="F24" s="78" t="n"/>
      <c r="G24" s="78" t="n"/>
      <c r="H24" s="78" t="n"/>
      <c r="I24" s="78" t="n"/>
      <c r="J24" s="78" t="n"/>
      <c r="K24" s="78" t="n"/>
      <c r="L24" s="78" t="n"/>
      <c r="M24" s="78" t="n"/>
      <c r="N24" s="78" t="n"/>
      <c r="O24" s="78" t="n"/>
      <c r="P24" s="78" t="n"/>
      <c r="Q24" s="78" t="n"/>
      <c r="R24" s="78" t="n"/>
      <c r="S24" s="79" t="n"/>
      <c r="T24" s="79" t="n"/>
      <c r="U24" s="79" t="n"/>
      <c r="V24" s="79" t="n"/>
      <c r="W24" s="79" t="n"/>
      <c r="X24" s="79" t="n"/>
      <c r="Y24" s="79" t="n"/>
      <c r="Z24" s="79" t="n"/>
      <c r="AA24" s="79" t="n"/>
      <c r="AB24" s="79" t="n"/>
      <c r="AC24" s="79" t="n"/>
      <c r="AD24" s="79" t="n"/>
      <c r="AE24" s="79" t="n"/>
      <c r="AF24" s="79" t="n"/>
      <c r="AG24" s="79" t="n"/>
      <c r="AH24" s="80" t="n"/>
      <c r="AI24" s="80" t="n"/>
      <c r="AJ24" s="80" t="n"/>
      <c r="AK24" s="80" t="n"/>
      <c r="AL24" s="80" t="n"/>
      <c r="AM24" s="80" t="n"/>
      <c r="AN24" s="80" t="n"/>
      <c r="AO24" s="80" t="n"/>
      <c r="AP24" s="80" t="n"/>
      <c r="AQ24" s="80" t="n"/>
      <c r="AR24" s="80" t="n"/>
      <c r="AS24" s="80" t="n"/>
      <c r="AT24" s="81" t="n"/>
      <c r="AU24" s="81" t="n"/>
      <c r="AV24" s="81" t="n"/>
      <c r="AW24" s="82" t="n"/>
      <c r="AX24" s="82" t="n"/>
      <c r="AY24" s="82" t="n"/>
      <c r="AZ24" s="82" t="n"/>
      <c r="BA24" s="82" t="n"/>
      <c r="BB24" s="83" t="n"/>
      <c r="BC24" s="83" t="n"/>
      <c r="BD24" s="84">
        <f>IF($A24="","",IF($DJ24&lt;&gt;"","FIX",IF($DK24&lt;&gt;"","CHECK","OK")))</f>
        <v/>
      </c>
      <c r="BE24" s="85">
        <f>IF($A24="","",IF($DJ24&lt;&gt;"","FIX: "&amp;LEFT($DJ24,LEN($DJ24)-2)&amp;IF($DK24&lt;&gt;"","  ·  ",""),"")&amp;IF($DK24&lt;&gt;"","CHECK: "&amp;LEFT($DK24,LEN($DK24)-2),""))</f>
        <v/>
      </c>
      <c r="BF24" s="84">
        <f>IF(OR($A24="",$K24=""),"",$K24&amp;"'-"&amp;N($L24)&amp;CHAR(34)&amp;" x "&amp;$M24&amp;"'-"&amp;N($N24)&amp;CHAR(34))</f>
        <v/>
      </c>
      <c r="BG24" s="84">
        <f>IF(OR($A24="",$K24=""),"",$K24&amp;N($L24)&amp;$M24&amp;N($N24))</f>
        <v/>
      </c>
      <c r="BH24" s="84">
        <f>IF(OR($A24="",$K24=""),"",$K24*12+N($L24))</f>
        <v/>
      </c>
      <c r="BI24" s="84">
        <f>IF(OR($A24="",$M24=""),"",$M24*12+N($N24))</f>
        <v/>
      </c>
      <c r="BJ24" s="84">
        <f>IF($A24="","",IF(OR($C24="FRAME ONLY",$S24="BL"),0,IF($O24="Y",2,1)))</f>
        <v/>
      </c>
      <c r="BK24" s="86">
        <f>IF(OR(N($BJ24)=0,$BH24=""),"",($BH24-2*EdgeClr-IF($BJ24=2,MeetClr,0))/$BJ24)</f>
        <v/>
      </c>
      <c r="BL24" s="86">
        <f>IF(OR(N($BJ24)=0,$BI24=""),"",$BI24-HeadClr-Undercut)</f>
        <v/>
      </c>
      <c r="BM24" s="86">
        <f>IF($BH24="","",$BH24+2*FaceW+IF(N($Q24)&gt;0,($Q24+FaceW)*IF($R24="LR",2,1),0))</f>
        <v/>
      </c>
      <c r="BN24" s="86">
        <f>IF($BI24="","",$BI24+IF($AB24="Y",4,FaceW)+IF(N($P24)&gt;0,$P24+FaceW,0)+IF(OR($S24="4F",$S24="BL"),FaceW,0))</f>
        <v/>
      </c>
      <c r="BO24" s="86">
        <f>IF($BM24="","",$BM24+2*ROSide)</f>
        <v/>
      </c>
      <c r="BP24" s="86">
        <f>IF($BN24="","",$BN24+ROTop)</f>
        <v/>
      </c>
      <c r="BQ24" s="87">
        <f>IF(OR(N($BJ24)=0,$BH24=""),"",$BH24/$BJ24-ClearDeduct)</f>
        <v/>
      </c>
      <c r="BR24" s="84">
        <f>IF(N($CH24)=0,"",IF($CH24&gt;=180,"A · 3 HR",IF($CH24&gt;=90,"B · 1-1/2 HR",IF($CH24&gt;=60,"B · 1 HR",IF($CH24&gt;=45,"C · 3/4 HR","20 MIN")))))&amp;IF(AND(N($CH24)&gt;0,OR($I24="CORRIDOR",$I24="SMOKE BARRIER"))," · S","")</f>
        <v/>
      </c>
      <c r="BS24" s="84">
        <f>IF($CS24,"",IF($AV24&lt;&gt;"",$AV24,IF(OR($AC24="HGC",$AO24="HGC"),"CONT",IF(($BI24-HeadClr-Undercut)&lt;=60,2,IF(($BI24-HeadClr-Undercut)&lt;=90,3,IF(($BI24-HeadClr-Undercut)&lt;=120,4,5))))))</f>
        <v/>
      </c>
      <c r="BT24" s="84">
        <f>IF($CS24,"",IF($CT24,"CUSTOM (typed)",IF($CV24,$AT24&amp;" "&amp;$CU24&amp;CHAR(34)&amp;IF($CU24&lt;&gt;$BI24,IF(AND($BI24&lt;$CU24,$BI24-IF(N(VLOOKUP($AT24&amp;"|"&amp;$CU24,LocTable,7,FALSE))&gt;0,VLOOKUP($AT24&amp;"|"&amp;$CU24,LocTable,7,FALSE),VLOOKUP($AT24&amp;"|"&amp;$CU24,LocTable,6,FALSE))-$CR24-0.75&gt;=2.125)," cut down"," adj."),""),"ANSI/SDI A250.6")))</f>
        <v/>
      </c>
      <c r="BU24" s="88">
        <f>IF($CS24,"",IF($CT24,IF(N($AW24)&gt;0,N($AW24),""),IF(1&gt;$CQ24,"",IF($CQ24=1,$CW24,$CW24+($CX24-$CW24)*0/($CQ24-1)))))</f>
        <v/>
      </c>
      <c r="BV24" s="88">
        <f>IF($CS24,"",IF($CT24,IF(N($AX24)&gt;0,N($AX24),""),IF(2&gt;$CQ24,"",IF($CQ24=1,$CW24,$CW24+($CX24-$CW24)*1/($CQ24-1)))))</f>
        <v/>
      </c>
      <c r="BW24" s="88">
        <f>IF($CS24,"",IF($CT24,IF(N($AY24)&gt;0,N($AY24),""),IF(3&gt;$CQ24,"",IF($CQ24=1,$CW24,$CW24+($CX24-$CW24)*2/($CQ24-1)))))</f>
        <v/>
      </c>
      <c r="BX24" s="88">
        <f>IF($CS24,"",IF($CT24,IF(N($AZ24)&gt;0,N($AZ24),""),IF(4&gt;$CQ24,"",IF($CQ24=1,$CW24,$CW24+($CX24-$CW24)*3/($CQ24-1)))))</f>
        <v/>
      </c>
      <c r="BY24" s="88">
        <f>IF($CS24,"",IF($CT24,"",IF(5&gt;$CQ24,"",IF($CQ24=1,$CW24,$CW24+($CX24-$CW24)*4/($CQ24-1)))))</f>
        <v/>
      </c>
      <c r="BZ24" s="88">
        <f>IF(OR($CS24,$AP24="-",AND($AP24="",$AD24="")),"",IF(N($BA24)&gt;0,N($BA24),IF($CV24,IF(AND($BI24&lt;$CU24,$BI24-IF(N(VLOOKUP($AT24&amp;"|"&amp;$CU24,LocTable,7,FALSE))&gt;0,VLOOKUP($AT24&amp;"|"&amp;$CU24,LocTable,7,FALSE),VLOOKUP($AT24&amp;"|"&amp;$CU24,LocTable,6,FALSE))-$CR24-0.75&gt;=2.125),VLOOKUP($AT24&amp;"|"&amp;$CU24,LocTable,8,FALSE),VLOOKUP($AT24&amp;"|"&amp;$CU24,LocTable,8,FALSE)+($BI24-$CU24)),$BI24-LockAFF)))</f>
        <v/>
      </c>
      <c r="CA24" s="89">
        <f>IF($BZ24="","",$BI24-$BZ24)</f>
        <v/>
      </c>
      <c r="CB24" s="84">
        <f>IF(OR(NOT(AND($A24&lt;&gt;"",$C24&lt;&gt;"DOOR ONLY")),$BI24=""),"",IF(($BI24+IF(N($P24)&gt;0,$P24+FaceW,0))&lt;=90,3,IF(($BI24+IF(N($P24)&gt;0,$P24+FaceW,0))&lt;=114,4,5)))</f>
        <v/>
      </c>
      <c r="CC24" s="84">
        <f>IF($CB24="","",$CB24*(2+IF(N($Q24)&gt;0,IF($R24="LR",2,1),0)))</f>
        <v/>
      </c>
      <c r="CD24" s="84">
        <f>IF($CB24="","",(2+IF(N($Q24)&gt;0,IF($R24="LR",2,1),0)))</f>
        <v/>
      </c>
      <c r="CE24" s="84">
        <f>IF(N($BJ24)=0,"",IF(OR($AL24="",$AL24="FLUSH"),"FLUSH",IFERROR(LEFT($AL24,FIND("-",$AL24)-1),LEFT($AL24,2))))</f>
        <v/>
      </c>
      <c r="CF24" s="84">
        <f>IF($CE24="","",IFERROR(VALUE(MID($AL24,FIND("-",$AL24)+1,FIND(CHAR(34)&amp;"x",$AL24)-FIND("-",$AL24)-1)),0))</f>
        <v/>
      </c>
      <c r="CG24" s="84">
        <f>IF($CE24="","",IFERROR(VALUE(MID($AL24,FIND(CHAR(34)&amp;"x",$AL24)+2,FIND(CHAR(34),$AL24,FIND(CHAR(34)&amp;"x",$AL24)+2)-FIND(CHAR(34)&amp;"x",$AL24)-2)),0))</f>
        <v/>
      </c>
      <c r="CH24" s="90">
        <f>IF(OR($A24="",$H24="",$H24="NO LAB"),0,IFERROR(VALUE(LEFT($H24,FIND(" ",$H24)-1)),0))</f>
        <v/>
      </c>
      <c r="CI24" s="91">
        <f>IF(OR($A24="",$I24="",$I24="NON-RATED",N($J24)=0),"",IFERROR(VLOOKUP($I24&amp;"|"&amp;$J24,IBC,2,FALSE),"?"))</f>
        <v/>
      </c>
      <c r="CJ24" s="85">
        <f>IF(NOT(AND($A24&lt;&gt;"",$C24&lt;&gt;"DOOR ONLY")),"",TRIM(IFERROR(VLOOKUP($U24,CODES,2,FALSE),"")&amp;" "&amp;$BG24&amp;" "&amp;IFERROR(VLOOKUP($Z24,CODES,2,FALSE),"")&amp;" "&amp;IFERROR(VLOOKUP($X24,CODES,2,FALSE),"")&amp;" "&amp;IFERROR(VLOOKUP($S24,CODES,2,FALSE),"")&amp;IF(N($P24)&gt;0," w/TRANSOM "&amp;$P24&amp;CHAR(34),"")&amp;IF(N($Q24)&gt;0," w/SIDELITE "&amp;$Q24&amp;CHAR(34)&amp;" "&amp;IF($R24="","R",$R24),"")&amp;IF($Y24="","  |  "," | "&amp;IFERROR(VLOOKUP($Y24,CODES,2,FALSE),"")&amp;" | ")&amp;IFERROR(VLOOKUP($AC24,CODES,2,FALSE),"")&amp;" "&amp;IFERROR(VLOOKUP($AD24,CODES,2,FALSE),"")&amp;IF(OR($AE24="",$AE24="-"),""," "&amp;$AE24)&amp;IF(OR($AF24="",$AF24="-"),""," "&amp;$AF24)&amp;IF($AB24="Y"," 4"&amp;CHAR(34)&amp;" HEAD","")&amp;" "&amp;IFERROR(VLOOKUP($H24,CODES,2,FALSE),"")&amp;IF($CT24," | LOC "&amp;$CY24,"")))</f>
        <v/>
      </c>
      <c r="CK24" s="85">
        <f>IF(NOT(AND($A24&lt;&gt;"",N($BJ24)&gt;0)),"",TRIM(IFERROR(VLOOKUP($AH24,CODES,2,FALSE),"")&amp;IF($AI24=""," "," "&amp;$AI24&amp;"GA ")&amp;$BG24&amp;" "&amp;IF($AN24="",IFERROR(VLOOKUP($Z24,CODES,2,FALSE),""),IFERROR(VLOOKUP($AN24,CODES,2,FALSE),""))&amp;IF($BJ24=2," PAIR","")&amp;" DOOR | "&amp;IF($AL24="","?",$AL24)&amp;" | "&amp;IF($AO24="",IFERROR(VLOOKUP($AC24,CODES,2,FALSE),""),IFERROR(VLOOKUP($AO24,CODES,2,FALSE),""))&amp;" "&amp;IFERROR(VLOOKUP($AP24,CODES,2,FALSE),"")&amp;IF(OR($AQ24="",$AQ24="-"),""," SEAM "&amp;$AQ24)&amp;IF($AR24="Y"," ASTRAGAL","")&amp;IF($AJ24=""," "," "&amp;$AJ24)&amp;IF($AK24=""," "," "&amp;$AK24)&amp;IF(OR($AT24="",$AT24="ANSI/SDI",$AT24="CUSTOM LOC"),""," "&amp;$AT24)&amp;IF($AM24=""," "," SERIES "&amp;$AM24)&amp;" "&amp;IFERROR(VLOOKUP($H24,CODES,2,FALSE),"")&amp;IF($CT24," | LOC "&amp;$CZ24,"")))</f>
        <v/>
      </c>
      <c r="CL24" s="84">
        <f>IF(CP24="","",IF(COUNTIF($CP$6:CP24,CP24)=1,MAX($CL$5:CL23)+1,INDEX($CL$5:CL23,MATCH(CP24,$CP$5:CP23,0))))</f>
        <v/>
      </c>
      <c r="CM24" s="84">
        <f>IF(NOT(AND($A24&lt;&gt;"",$C24&lt;&gt;"DOOR ONLY")),"",MAX($CM$5:CM23)+1)</f>
        <v/>
      </c>
      <c r="CN24" s="84">
        <f>IF(NOT(AND($A24&lt;&gt;"",N($BJ24)&gt;0)),"",MAX($CN$5:CN23)+1)</f>
        <v/>
      </c>
      <c r="CO24" s="84">
        <f>IF($A24="","",MAX($CO$5:CO23)+1)</f>
        <v/>
      </c>
      <c r="CP24" s="84">
        <f>IF(OR($A24="",$BH24="",$BI24=""),"",$BG24&amp;"|"&amp;$O24&amp;"|"&amp;$AL24&amp;"|"&amp;$S24&amp;"|"&amp;$P24&amp;"|"&amp;$Q24&amp;$R24&amp;"|"&amp;$C24&amp;"|"&amp;$AB24)</f>
        <v/>
      </c>
      <c r="CQ24" s="84">
        <f>N($BS24)</f>
        <v/>
      </c>
      <c r="CR24" s="84">
        <f>IF(N($AU24)&gt;0,N($AU24),4.5)</f>
        <v/>
      </c>
      <c r="CS24" s="84">
        <f>OR($A24="",$BI24="",$S24="BL",AND($C24="FRAME ONLY",OR($AC24="",$AC24="BLK")))</f>
        <v/>
      </c>
      <c r="CT24" s="84">
        <f>AND(NOT($CS24),OR($AT24="CUSTOM LOC",N($AW24)+N($AX24)+N($AY24)+N($AZ24)+N($BA24)&gt;0))</f>
        <v/>
      </c>
      <c r="CU24" s="84">
        <f>IF($BI24="","",IF($BI24&lt;=80,80,IF($BI24&lt;=84,84,96)))</f>
        <v/>
      </c>
      <c r="CV24" s="84">
        <f>ISNUMBER(MATCH($AT24&amp;"|80",LocKeys,0))</f>
        <v/>
      </c>
      <c r="CW24" s="86">
        <f>IF($CS24,"",IF($CV24,VLOOKUP($AT24&amp;"|"&amp;$CU24,LocTable,4,FALSE),5))</f>
        <v/>
      </c>
      <c r="CX24" s="86">
        <f>IF($CS24,"",IF($CV24,IF(OR($BI24=$CU24,AND($BI24&lt;$CU24,$BI24-IF(N(VLOOKUP($AT24&amp;"|"&amp;$CU24,LocTable,7,FALSE))&gt;0,VLOOKUP($AT24&amp;"|"&amp;$CU24,LocTable,7,FALSE),VLOOKUP($AT24&amp;"|"&amp;$CU24,LocTable,6,FALSE))-$CR24-0.75&gt;=2.125)),IF(N(VLOOKUP($AT24&amp;"|"&amp;$CU24,LocTable,7,FALSE))&gt;0,VLOOKUP($AT24&amp;"|"&amp;$CU24,LocTable,7,FALSE),VLOOKUP($AT24&amp;"|"&amp;$CU24,LocTable,6,FALSE)),$BI24-($CU24-IF(N(VLOOKUP($AT24&amp;"|"&amp;$CU24,LocTable,7,FALSE))&gt;0,VLOOKUP($AT24&amp;"|"&amp;$CU24,LocTable,7,FALSE),VLOOKUP($AT24&amp;"|"&amp;$CU24,LocTable,6,FALSE)))),$BI24-10-$CR24))</f>
        <v/>
      </c>
      <c r="CY24" s="85">
        <f>IF($CS24,"",TRIM(IF(ISNUMBER($BU24),"A "&amp;TRIM(TEXT($BU24,"# ?/??"))&amp;CHAR(34)&amp;"  ","")&amp;IF(ISNUMBER($BV24),"B "&amp;TRIM(TEXT($BV24,"# ?/??"))&amp;CHAR(34)&amp;"  ","")&amp;IF(ISNUMBER($BW24),"C "&amp;TRIM(TEXT($BW24,"# ?/??"))&amp;CHAR(34)&amp;"  ","")&amp;IF(ISNUMBER($BX24),"D "&amp;TRIM(TEXT($BX24,"# ?/??"))&amp;CHAR(34)&amp;"  ","")&amp;IF(ISNUMBER($BY24),"F "&amp;TRIM(TEXT($BY24,"# ?/??"))&amp;CHAR(34)&amp;"  ","")&amp;IF(ISNUMBER($BZ24),"E "&amp;TRIM(TEXT($BZ24,"# ?/??"))&amp;CHAR(34)&amp;"  ","")))</f>
        <v/>
      </c>
      <c r="CZ24" s="85">
        <f>IF(OR($CS24,N($BJ24)=0),"",TRIM(IF(ISNUMBER($BU24),"A "&amp;TRIM(TEXT($BU24-HeadClr,"# ?/??"))&amp;CHAR(34)&amp;"  ","")&amp;IF(ISNUMBER($BV24),"B "&amp;TRIM(TEXT($BV24-HeadClr,"# ?/??"))&amp;CHAR(34)&amp;"  ","")&amp;IF(ISNUMBER($BW24),"C "&amp;TRIM(TEXT($BW24-HeadClr,"# ?/??"))&amp;CHAR(34)&amp;"  ","")&amp;IF(ISNUMBER($BX24),"D "&amp;TRIM(TEXT($BX24-HeadClr,"# ?/??"))&amp;CHAR(34)&amp;"  ","")&amp;IF(ISNUMBER($BY24),"F "&amp;TRIM(TEXT($BY24-HeadClr,"# ?/??"))&amp;CHAR(34)&amp;"  ","")&amp;IF(ISNUMBER($BZ24),"E "&amp;TRIM(TEXT($BZ24-HeadClr,"# ?/??"))&amp;CHAR(34)&amp;"  ","")))</f>
        <v/>
      </c>
      <c r="DA24" s="84">
        <f>IF($A24="","",IF($AN24="",IFERROR(VLOOKUP($Z24,CODES,2,FALSE),""),IFERROR(VLOOKUP($AN24,CODES,2,FALSE),"")))</f>
        <v/>
      </c>
      <c r="DB24" s="84">
        <f>IF($A24="","",IF($O24="Y","PR",IF(OR($Z24="L",$Z24="RR",LEFT($Z24,2)="L-",LEFT($Z24,3)="RR-"),"LH","RH")))</f>
        <v/>
      </c>
      <c r="DC24" s="84">
        <f>IF($A24="","","S.HM"&amp;IF(OR($C24="DOOR ONLY",$X24&lt;&gt;"KD"),"MASONRY","DRYWALL")&amp;IF($C24="DOOR ONLY","",$U24)&amp;IF(AND($C24&lt;&gt;"FRAME ONLY",OR(LEFT($AH24,3)="OAK",LEFT($AH24,3)="BIR",LEFT($AH24,3)="MAP",$AH24="PC",$AH24="MC",$AH24="SCLC",$AH24="P-LAM")),"WD","HM")&amp;"1.75")</f>
        <v/>
      </c>
      <c r="DD24" s="84">
        <f>IF($CJ24="","",IF($O24="Y",$CJ24,SUBSTITUTE($CJ24,$BG24&amp;" "&amp;IFERROR(VLOOKUP($Z24,CODES,2,FALSE),"")&amp;" ",$BG24&amp;" ")))</f>
        <v/>
      </c>
      <c r="DE24" s="84">
        <f>IF($CK24="","",IF($O24="Y",$CK24,SUBSTITUTE($CK24,$BG24&amp;" "&amp;IF($AN24="",IFERROR(VLOOKUP($Z24,CODES,2,FALSE),""),IFERROR(VLOOKUP($AN24,CODES,2,FALSE),""))&amp;" ",$BG24&amp;" ")))</f>
        <v/>
      </c>
      <c r="DF24" s="84">
        <f>IF($CJ24="","",$DC24&amp;"|"&amp;$DD24&amp;"|"&amp;$DB24&amp;"|"&amp;$AT24&amp;"|"&amp;$V24&amp;"|"&amp;$Y24&amp;"|"&amp;$AB24)</f>
        <v/>
      </c>
      <c r="DG24" s="84">
        <f>IF(DF24="","",IF(COUNTIF($DF$6:DF24,DF24)=1,MAX($DG$5:DG23)+1,INDEX($DG$5:DG23,MATCH(DF24,$DF$5:DF23,0))))</f>
        <v/>
      </c>
      <c r="DH24" s="84">
        <f>IF($CK24="","",$DC24&amp;"|"&amp;$DE24&amp;"|"&amp;$AI24&amp;"|"&amp;$BK24&amp;"|"&amp;$BL24)</f>
        <v/>
      </c>
      <c r="DI24" s="84">
        <f>IF(DH24="","",IF(COUNTIF($DH$6:DH24,DH24)=1,MAX($DI$5:DI23)+1,INDEX($DI$5:DI23,MATCH(DH24,$DH$5:DH23,0))))</f>
        <v/>
      </c>
      <c r="DJ24" s="84">
        <f>IF($A24="","",IF($B24="","qty, ","")&amp;IF($C24="","scope, ","")&amp;IF(OR($K24="",$M24=""),"size, ","")&amp;IF(AND($A24&lt;&gt;"",$C24&lt;&gt;"DOOR ONLY"),IF($U24="","jamb depth, ","")&amp;IF($X24="","construction, ","")&amp;IF($Y24="","anchor, ","")&amp;IF($S24="","frame type, ",""),"")&amp;IF(AND(N($BJ24)&gt;0,$Z24=""),"hand, ","")&amp;IF(N($BJ24)&gt;0,IF($AH24="","door material, ","")&amp;IF($AL24="","face type, ","")&amp;IF($AP24="","lock prep, ","")&amp;IF(AND($AO24="",$AC24=""),"hinge prep, ",""),"")&amp;IF(AND($CH24&gt;0,$AH24="FRP"),"FRP cannot carry a label, ","")&amp;IF(AND($O24="Y",OR($Z24="L",$Z24="R",$Z24="LR",$Z24="RR")),"pair marked but hand is single, ","")&amp;IF(AND($O24&lt;&gt;"Y",OR($Z24="PR",AND(LEN($Z24)&gt;1,ISNUMBER(SEARCH("-",$Z24))))),"pair hand on a single door, ","")&amp;IF(AND(ISNUMBER($CI24),$CH24&lt;N($CI24)),"wall needs a "&amp;$CI24&amp;" min door, ","")&amp;IF(AND($CH24&gt;=180,AND(OR($CE24="FG",$CE24="HG",$CE24="FNV",$CE24="FV"),N($CF24)*N($CG24)&gt;100)),"180 min lite over 100 sq in, ","")&amp;IF(N($BK24)&gt;48,"leaf wider than 4'-0"&amp;CHAR(34)&amp;", ","")&amp;IF(AND($CT24,COUNT($AW24:$AZ24)=0,$CQ24&gt;0),"CUSTOM LOC with no locations typed, ",""))</f>
        <v/>
      </c>
      <c r="DK24" s="84">
        <f>IF($A24="","",IF(AND($CH24&gt;0,AND($A24&lt;&gt;"",$C24&lt;&gt;"DOOR ONLY"),$X24="KD",$E24="EXTERIOR"),"KD label on an exterior opening, ","")&amp;IF(AND($E24="EXTERIOR",OR(AND(AND($A24&lt;&gt;"",$C24&lt;&gt;"DOOR ONLY"),$W24="CR"),AND(N($BJ24)&gt;0,$AH24="CR"))),"exterior in CR steel (G9?), ","")&amp;IF(AND(ISNUMBER($BQ24),N($BQ24)&lt;32),"clear width ~"&amp;TEXT($BQ24,"0.0")&amp;CHAR(34)&amp;" under 32"&amp;CHAR(34)&amp;" (ADA), ","")&amp;IF(AND($CH24=90,AND(OR($CE24="FG",$CE24="HG",$CE24="FNV",$CE24="FV"),N($CF24)*N($CG24)&gt;100)),"90 min lite over 100 sq in (stair/exit), ","")&amp;IF(AND($CH24&gt;0,AND($A24&lt;&gt;"",$C24&lt;&gt;"DOOR ONLY"),OR($AF24="",$AF24="-")),"rated: closer reinf.?, ","")&amp;IF(OR($I24="CORRIDOR",$I24="SMOKE BARRIER"),"S label + smoke gasketing, ","")&amp;IF($CI24="?","wall type/hr not in IBC table, ","")&amp;IF(AND(N($BJ24)&gt;0,$BB24=""),"no hardware set, ","")&amp;IF(AND($BB24&lt;&gt;"",ISNA(MATCH($BB24&amp;"",HWSets,0))),"set "&amp;$BB24&amp;" not on HW Sets, ","")&amp;IF(N($BL24)&gt;96,"leaf over 8'-0"&amp;CHAR(34)&amp;" - check listing, ","")&amp;IF(AND($CT24,COUNT($AW24:$AZ24)&gt;0,COUNT($AW24:$AZ24)&lt;&gt;$CQ24),COUNT($AW24:$AZ24)&amp;" custom hinges typed, "&amp;$CQ24&amp;" expected, ","")&amp;IF(AND(ISNUMBER($CA24),OR(N($CA24)&lt;34,N($CA24)&gt;48)),"lock "&amp;TEXT($CA24,"0.0")&amp;CHAR(34)&amp;" AFF outside 34-48"&amp;CHAR(34)&amp;" (ADA), ","")&amp;IF(AND(ISNUMBER($AV24),ISNUMBER($BL24),N($AV24)&lt;IF(N($BL24)&lt;=60,2,IF(N($BL24)&lt;=90,3,IF(N($BL24)&lt;=120,4,5)))),"fewer hinges than standard, ",""))</f>
        <v/>
      </c>
    </row>
    <row r="25" ht="15" customHeight="1">
      <c r="A25" s="92" t="n"/>
      <c r="B25" s="93" t="n"/>
      <c r="C25" s="93" t="n"/>
      <c r="D25" s="93" t="n"/>
      <c r="E25" s="93" t="n"/>
      <c r="F25" s="93" t="n"/>
      <c r="G25" s="93" t="n"/>
      <c r="H25" s="93" t="n"/>
      <c r="I25" s="93" t="n"/>
      <c r="J25" s="93" t="n"/>
      <c r="K25" s="93" t="n"/>
      <c r="L25" s="93" t="n"/>
      <c r="M25" s="93" t="n"/>
      <c r="N25" s="93" t="n"/>
      <c r="O25" s="93" t="n"/>
      <c r="P25" s="93" t="n"/>
      <c r="Q25" s="93" t="n"/>
      <c r="R25" s="93" t="n"/>
      <c r="S25" s="94" t="n"/>
      <c r="T25" s="94" t="n"/>
      <c r="U25" s="94" t="n"/>
      <c r="V25" s="94" t="n"/>
      <c r="W25" s="94" t="n"/>
      <c r="X25" s="94" t="n"/>
      <c r="Y25" s="94" t="n"/>
      <c r="Z25" s="94" t="n"/>
      <c r="AA25" s="94" t="n"/>
      <c r="AB25" s="94" t="n"/>
      <c r="AC25" s="94" t="n"/>
      <c r="AD25" s="94" t="n"/>
      <c r="AE25" s="94" t="n"/>
      <c r="AF25" s="94" t="n"/>
      <c r="AG25" s="94" t="n"/>
      <c r="AH25" s="95" t="n"/>
      <c r="AI25" s="95" t="n"/>
      <c r="AJ25" s="95" t="n"/>
      <c r="AK25" s="95" t="n"/>
      <c r="AL25" s="95" t="n"/>
      <c r="AM25" s="95" t="n"/>
      <c r="AN25" s="95" t="n"/>
      <c r="AO25" s="95" t="n"/>
      <c r="AP25" s="95" t="n"/>
      <c r="AQ25" s="95" t="n"/>
      <c r="AR25" s="95" t="n"/>
      <c r="AS25" s="95" t="n"/>
      <c r="AT25" s="96" t="n"/>
      <c r="AU25" s="96" t="n"/>
      <c r="AV25" s="96" t="n"/>
      <c r="AW25" s="97" t="n"/>
      <c r="AX25" s="97" t="n"/>
      <c r="AY25" s="97" t="n"/>
      <c r="AZ25" s="97" t="n"/>
      <c r="BA25" s="97" t="n"/>
      <c r="BB25" s="98" t="n"/>
      <c r="BC25" s="98" t="n"/>
      <c r="BD25" s="99">
        <f>IF($A25="","",IF($DJ25&lt;&gt;"","FIX",IF($DK25&lt;&gt;"","CHECK","OK")))</f>
        <v/>
      </c>
      <c r="BE25" s="100">
        <f>IF($A25="","",IF($DJ25&lt;&gt;"","FIX: "&amp;LEFT($DJ25,LEN($DJ25)-2)&amp;IF($DK25&lt;&gt;"","  ·  ",""),"")&amp;IF($DK25&lt;&gt;"","CHECK: "&amp;LEFT($DK25,LEN($DK25)-2),""))</f>
        <v/>
      </c>
      <c r="BF25" s="99">
        <f>IF(OR($A25="",$K25=""),"",$K25&amp;"'-"&amp;N($L25)&amp;CHAR(34)&amp;" x "&amp;$M25&amp;"'-"&amp;N($N25)&amp;CHAR(34))</f>
        <v/>
      </c>
      <c r="BG25" s="99">
        <f>IF(OR($A25="",$K25=""),"",$K25&amp;N($L25)&amp;$M25&amp;N($N25))</f>
        <v/>
      </c>
      <c r="BH25" s="99">
        <f>IF(OR($A25="",$K25=""),"",$K25*12+N($L25))</f>
        <v/>
      </c>
      <c r="BI25" s="99">
        <f>IF(OR($A25="",$M25=""),"",$M25*12+N($N25))</f>
        <v/>
      </c>
      <c r="BJ25" s="99">
        <f>IF($A25="","",IF(OR($C25="FRAME ONLY",$S25="BL"),0,IF($O25="Y",2,1)))</f>
        <v/>
      </c>
      <c r="BK25" s="101">
        <f>IF(OR(N($BJ25)=0,$BH25=""),"",($BH25-2*EdgeClr-IF($BJ25=2,MeetClr,0))/$BJ25)</f>
        <v/>
      </c>
      <c r="BL25" s="101">
        <f>IF(OR(N($BJ25)=0,$BI25=""),"",$BI25-HeadClr-Undercut)</f>
        <v/>
      </c>
      <c r="BM25" s="101">
        <f>IF($BH25="","",$BH25+2*FaceW+IF(N($Q25)&gt;0,($Q25+FaceW)*IF($R25="LR",2,1),0))</f>
        <v/>
      </c>
      <c r="BN25" s="101">
        <f>IF($BI25="","",$BI25+IF($AB25="Y",4,FaceW)+IF(N($P25)&gt;0,$P25+FaceW,0)+IF(OR($S25="4F",$S25="BL"),FaceW,0))</f>
        <v/>
      </c>
      <c r="BO25" s="101">
        <f>IF($BM25="","",$BM25+2*ROSide)</f>
        <v/>
      </c>
      <c r="BP25" s="101">
        <f>IF($BN25="","",$BN25+ROTop)</f>
        <v/>
      </c>
      <c r="BQ25" s="102">
        <f>IF(OR(N($BJ25)=0,$BH25=""),"",$BH25/$BJ25-ClearDeduct)</f>
        <v/>
      </c>
      <c r="BR25" s="99">
        <f>IF(N($CH25)=0,"",IF($CH25&gt;=180,"A · 3 HR",IF($CH25&gt;=90,"B · 1-1/2 HR",IF($CH25&gt;=60,"B · 1 HR",IF($CH25&gt;=45,"C · 3/4 HR","20 MIN")))))&amp;IF(AND(N($CH25)&gt;0,OR($I25="CORRIDOR",$I25="SMOKE BARRIER"))," · S","")</f>
        <v/>
      </c>
      <c r="BS25" s="99">
        <f>IF($CS25,"",IF($AV25&lt;&gt;"",$AV25,IF(OR($AC25="HGC",$AO25="HGC"),"CONT",IF(($BI25-HeadClr-Undercut)&lt;=60,2,IF(($BI25-HeadClr-Undercut)&lt;=90,3,IF(($BI25-HeadClr-Undercut)&lt;=120,4,5))))))</f>
        <v/>
      </c>
      <c r="BT25" s="99">
        <f>IF($CS25,"",IF($CT25,"CUSTOM (typed)",IF($CV25,$AT25&amp;" "&amp;$CU25&amp;CHAR(34)&amp;IF($CU25&lt;&gt;$BI25,IF(AND($BI25&lt;$CU25,$BI25-IF(N(VLOOKUP($AT25&amp;"|"&amp;$CU25,LocTable,7,FALSE))&gt;0,VLOOKUP($AT25&amp;"|"&amp;$CU25,LocTable,7,FALSE),VLOOKUP($AT25&amp;"|"&amp;$CU25,LocTable,6,FALSE))-$CR25-0.75&gt;=2.125)," cut down"," adj."),""),"ANSI/SDI A250.6")))</f>
        <v/>
      </c>
      <c r="BU25" s="103">
        <f>IF($CS25,"",IF($CT25,IF(N($AW25)&gt;0,N($AW25),""),IF(1&gt;$CQ25,"",IF($CQ25=1,$CW25,$CW25+($CX25-$CW25)*0/($CQ25-1)))))</f>
        <v/>
      </c>
      <c r="BV25" s="103">
        <f>IF($CS25,"",IF($CT25,IF(N($AX25)&gt;0,N($AX25),""),IF(2&gt;$CQ25,"",IF($CQ25=1,$CW25,$CW25+($CX25-$CW25)*1/($CQ25-1)))))</f>
        <v/>
      </c>
      <c r="BW25" s="103">
        <f>IF($CS25,"",IF($CT25,IF(N($AY25)&gt;0,N($AY25),""),IF(3&gt;$CQ25,"",IF($CQ25=1,$CW25,$CW25+($CX25-$CW25)*2/($CQ25-1)))))</f>
        <v/>
      </c>
      <c r="BX25" s="103">
        <f>IF($CS25,"",IF($CT25,IF(N($AZ25)&gt;0,N($AZ25),""),IF(4&gt;$CQ25,"",IF($CQ25=1,$CW25,$CW25+($CX25-$CW25)*3/($CQ25-1)))))</f>
        <v/>
      </c>
      <c r="BY25" s="103">
        <f>IF($CS25,"",IF($CT25,"",IF(5&gt;$CQ25,"",IF($CQ25=1,$CW25,$CW25+($CX25-$CW25)*4/($CQ25-1)))))</f>
        <v/>
      </c>
      <c r="BZ25" s="103">
        <f>IF(OR($CS25,$AP25="-",AND($AP25="",$AD25="")),"",IF(N($BA25)&gt;0,N($BA25),IF($CV25,IF(AND($BI25&lt;$CU25,$BI25-IF(N(VLOOKUP($AT25&amp;"|"&amp;$CU25,LocTable,7,FALSE))&gt;0,VLOOKUP($AT25&amp;"|"&amp;$CU25,LocTable,7,FALSE),VLOOKUP($AT25&amp;"|"&amp;$CU25,LocTable,6,FALSE))-$CR25-0.75&gt;=2.125),VLOOKUP($AT25&amp;"|"&amp;$CU25,LocTable,8,FALSE),VLOOKUP($AT25&amp;"|"&amp;$CU25,LocTable,8,FALSE)+($BI25-$CU25)),$BI25-LockAFF)))</f>
        <v/>
      </c>
      <c r="CA25" s="104">
        <f>IF($BZ25="","",$BI25-$BZ25)</f>
        <v/>
      </c>
      <c r="CB25" s="99">
        <f>IF(OR(NOT(AND($A25&lt;&gt;"",$C25&lt;&gt;"DOOR ONLY")),$BI25=""),"",IF(($BI25+IF(N($P25)&gt;0,$P25+FaceW,0))&lt;=90,3,IF(($BI25+IF(N($P25)&gt;0,$P25+FaceW,0))&lt;=114,4,5)))</f>
        <v/>
      </c>
      <c r="CC25" s="99">
        <f>IF($CB25="","",$CB25*(2+IF(N($Q25)&gt;0,IF($R25="LR",2,1),0)))</f>
        <v/>
      </c>
      <c r="CD25" s="99">
        <f>IF($CB25="","",(2+IF(N($Q25)&gt;0,IF($R25="LR",2,1),0)))</f>
        <v/>
      </c>
      <c r="CE25" s="99">
        <f>IF(N($BJ25)=0,"",IF(OR($AL25="",$AL25="FLUSH"),"FLUSH",IFERROR(LEFT($AL25,FIND("-",$AL25)-1),LEFT($AL25,2))))</f>
        <v/>
      </c>
      <c r="CF25" s="99">
        <f>IF($CE25="","",IFERROR(VALUE(MID($AL25,FIND("-",$AL25)+1,FIND(CHAR(34)&amp;"x",$AL25)-FIND("-",$AL25)-1)),0))</f>
        <v/>
      </c>
      <c r="CG25" s="99">
        <f>IF($CE25="","",IFERROR(VALUE(MID($AL25,FIND(CHAR(34)&amp;"x",$AL25)+2,FIND(CHAR(34),$AL25,FIND(CHAR(34)&amp;"x",$AL25)+2)-FIND(CHAR(34)&amp;"x",$AL25)-2)),0))</f>
        <v/>
      </c>
      <c r="CH25" s="105">
        <f>IF(OR($A25="",$H25="",$H25="NO LAB"),0,IFERROR(VALUE(LEFT($H25,FIND(" ",$H25)-1)),0))</f>
        <v/>
      </c>
      <c r="CI25" s="106">
        <f>IF(OR($A25="",$I25="",$I25="NON-RATED",N($J25)=0),"",IFERROR(VLOOKUP($I25&amp;"|"&amp;$J25,IBC,2,FALSE),"?"))</f>
        <v/>
      </c>
      <c r="CJ25" s="100">
        <f>IF(NOT(AND($A25&lt;&gt;"",$C25&lt;&gt;"DOOR ONLY")),"",TRIM(IFERROR(VLOOKUP($U25,CODES,2,FALSE),"")&amp;" "&amp;$BG25&amp;" "&amp;IFERROR(VLOOKUP($Z25,CODES,2,FALSE),"")&amp;" "&amp;IFERROR(VLOOKUP($X25,CODES,2,FALSE),"")&amp;" "&amp;IFERROR(VLOOKUP($S25,CODES,2,FALSE),"")&amp;IF(N($P25)&gt;0," w/TRANSOM "&amp;$P25&amp;CHAR(34),"")&amp;IF(N($Q25)&gt;0," w/SIDELITE "&amp;$Q25&amp;CHAR(34)&amp;" "&amp;IF($R25="","R",$R25),"")&amp;IF($Y25="","  |  "," | "&amp;IFERROR(VLOOKUP($Y25,CODES,2,FALSE),"")&amp;" | ")&amp;IFERROR(VLOOKUP($AC25,CODES,2,FALSE),"")&amp;" "&amp;IFERROR(VLOOKUP($AD25,CODES,2,FALSE),"")&amp;IF(OR($AE25="",$AE25="-"),""," "&amp;$AE25)&amp;IF(OR($AF25="",$AF25="-"),""," "&amp;$AF25)&amp;IF($AB25="Y"," 4"&amp;CHAR(34)&amp;" HEAD","")&amp;" "&amp;IFERROR(VLOOKUP($H25,CODES,2,FALSE),"")&amp;IF($CT25," | LOC "&amp;$CY25,"")))</f>
        <v/>
      </c>
      <c r="CK25" s="100">
        <f>IF(NOT(AND($A25&lt;&gt;"",N($BJ25)&gt;0)),"",TRIM(IFERROR(VLOOKUP($AH25,CODES,2,FALSE),"")&amp;IF($AI25=""," "," "&amp;$AI25&amp;"GA ")&amp;$BG25&amp;" "&amp;IF($AN25="",IFERROR(VLOOKUP($Z25,CODES,2,FALSE),""),IFERROR(VLOOKUP($AN25,CODES,2,FALSE),""))&amp;IF($BJ25=2," PAIR","")&amp;" DOOR | "&amp;IF($AL25="","?",$AL25)&amp;" | "&amp;IF($AO25="",IFERROR(VLOOKUP($AC25,CODES,2,FALSE),""),IFERROR(VLOOKUP($AO25,CODES,2,FALSE),""))&amp;" "&amp;IFERROR(VLOOKUP($AP25,CODES,2,FALSE),"")&amp;IF(OR($AQ25="",$AQ25="-"),""," SEAM "&amp;$AQ25)&amp;IF($AR25="Y"," ASTRAGAL","")&amp;IF($AJ25=""," "," "&amp;$AJ25)&amp;IF($AK25=""," "," "&amp;$AK25)&amp;IF(OR($AT25="",$AT25="ANSI/SDI",$AT25="CUSTOM LOC"),""," "&amp;$AT25)&amp;IF($AM25=""," "," SERIES "&amp;$AM25)&amp;" "&amp;IFERROR(VLOOKUP($H25,CODES,2,FALSE),"")&amp;IF($CT25," | LOC "&amp;$CZ25,"")))</f>
        <v/>
      </c>
      <c r="CL25" s="99">
        <f>IF(CP25="","",IF(COUNTIF($CP$6:CP25,CP25)=1,MAX($CL$5:CL24)+1,INDEX($CL$5:CL24,MATCH(CP25,$CP$5:CP24,0))))</f>
        <v/>
      </c>
      <c r="CM25" s="99">
        <f>IF(NOT(AND($A25&lt;&gt;"",$C25&lt;&gt;"DOOR ONLY")),"",MAX($CM$5:CM24)+1)</f>
        <v/>
      </c>
      <c r="CN25" s="99">
        <f>IF(NOT(AND($A25&lt;&gt;"",N($BJ25)&gt;0)),"",MAX($CN$5:CN24)+1)</f>
        <v/>
      </c>
      <c r="CO25" s="99">
        <f>IF($A25="","",MAX($CO$5:CO24)+1)</f>
        <v/>
      </c>
      <c r="CP25" s="99">
        <f>IF(OR($A25="",$BH25="",$BI25=""),"",$BG25&amp;"|"&amp;$O25&amp;"|"&amp;$AL25&amp;"|"&amp;$S25&amp;"|"&amp;$P25&amp;"|"&amp;$Q25&amp;$R25&amp;"|"&amp;$C25&amp;"|"&amp;$AB25)</f>
        <v/>
      </c>
      <c r="CQ25" s="99">
        <f>N($BS25)</f>
        <v/>
      </c>
      <c r="CR25" s="99">
        <f>IF(N($AU25)&gt;0,N($AU25),4.5)</f>
        <v/>
      </c>
      <c r="CS25" s="99">
        <f>OR($A25="",$BI25="",$S25="BL",AND($C25="FRAME ONLY",OR($AC25="",$AC25="BLK")))</f>
        <v/>
      </c>
      <c r="CT25" s="99">
        <f>AND(NOT($CS25),OR($AT25="CUSTOM LOC",N($AW25)+N($AX25)+N($AY25)+N($AZ25)+N($BA25)&gt;0))</f>
        <v/>
      </c>
      <c r="CU25" s="99">
        <f>IF($BI25="","",IF($BI25&lt;=80,80,IF($BI25&lt;=84,84,96)))</f>
        <v/>
      </c>
      <c r="CV25" s="99">
        <f>ISNUMBER(MATCH($AT25&amp;"|80",LocKeys,0))</f>
        <v/>
      </c>
      <c r="CW25" s="101">
        <f>IF($CS25,"",IF($CV25,VLOOKUP($AT25&amp;"|"&amp;$CU25,LocTable,4,FALSE),5))</f>
        <v/>
      </c>
      <c r="CX25" s="101">
        <f>IF($CS25,"",IF($CV25,IF(OR($BI25=$CU25,AND($BI25&lt;$CU25,$BI25-IF(N(VLOOKUP($AT25&amp;"|"&amp;$CU25,LocTable,7,FALSE))&gt;0,VLOOKUP($AT25&amp;"|"&amp;$CU25,LocTable,7,FALSE),VLOOKUP($AT25&amp;"|"&amp;$CU25,LocTable,6,FALSE))-$CR25-0.75&gt;=2.125)),IF(N(VLOOKUP($AT25&amp;"|"&amp;$CU25,LocTable,7,FALSE))&gt;0,VLOOKUP($AT25&amp;"|"&amp;$CU25,LocTable,7,FALSE),VLOOKUP($AT25&amp;"|"&amp;$CU25,LocTable,6,FALSE)),$BI25-($CU25-IF(N(VLOOKUP($AT25&amp;"|"&amp;$CU25,LocTable,7,FALSE))&gt;0,VLOOKUP($AT25&amp;"|"&amp;$CU25,LocTable,7,FALSE),VLOOKUP($AT25&amp;"|"&amp;$CU25,LocTable,6,FALSE)))),$BI25-10-$CR25))</f>
        <v/>
      </c>
      <c r="CY25" s="100">
        <f>IF($CS25,"",TRIM(IF(ISNUMBER($BU25),"A "&amp;TRIM(TEXT($BU25,"# ?/??"))&amp;CHAR(34)&amp;"  ","")&amp;IF(ISNUMBER($BV25),"B "&amp;TRIM(TEXT($BV25,"# ?/??"))&amp;CHAR(34)&amp;"  ","")&amp;IF(ISNUMBER($BW25),"C "&amp;TRIM(TEXT($BW25,"# ?/??"))&amp;CHAR(34)&amp;"  ","")&amp;IF(ISNUMBER($BX25),"D "&amp;TRIM(TEXT($BX25,"# ?/??"))&amp;CHAR(34)&amp;"  ","")&amp;IF(ISNUMBER($BY25),"F "&amp;TRIM(TEXT($BY25,"# ?/??"))&amp;CHAR(34)&amp;"  ","")&amp;IF(ISNUMBER($BZ25),"E "&amp;TRIM(TEXT($BZ25,"# ?/??"))&amp;CHAR(34)&amp;"  ","")))</f>
        <v/>
      </c>
      <c r="CZ25" s="100">
        <f>IF(OR($CS25,N($BJ25)=0),"",TRIM(IF(ISNUMBER($BU25),"A "&amp;TRIM(TEXT($BU25-HeadClr,"# ?/??"))&amp;CHAR(34)&amp;"  ","")&amp;IF(ISNUMBER($BV25),"B "&amp;TRIM(TEXT($BV25-HeadClr,"# ?/??"))&amp;CHAR(34)&amp;"  ","")&amp;IF(ISNUMBER($BW25),"C "&amp;TRIM(TEXT($BW25-HeadClr,"# ?/??"))&amp;CHAR(34)&amp;"  ","")&amp;IF(ISNUMBER($BX25),"D "&amp;TRIM(TEXT($BX25-HeadClr,"# ?/??"))&amp;CHAR(34)&amp;"  ","")&amp;IF(ISNUMBER($BY25),"F "&amp;TRIM(TEXT($BY25-HeadClr,"# ?/??"))&amp;CHAR(34)&amp;"  ","")&amp;IF(ISNUMBER($BZ25),"E "&amp;TRIM(TEXT($BZ25-HeadClr,"# ?/??"))&amp;CHAR(34)&amp;"  ","")))</f>
        <v/>
      </c>
      <c r="DA25" s="99">
        <f>IF($A25="","",IF($AN25="",IFERROR(VLOOKUP($Z25,CODES,2,FALSE),""),IFERROR(VLOOKUP($AN25,CODES,2,FALSE),"")))</f>
        <v/>
      </c>
      <c r="DB25" s="99">
        <f>IF($A25="","",IF($O25="Y","PR",IF(OR($Z25="L",$Z25="RR",LEFT($Z25,2)="L-",LEFT($Z25,3)="RR-"),"LH","RH")))</f>
        <v/>
      </c>
      <c r="DC25" s="99">
        <f>IF($A25="","","S.HM"&amp;IF(OR($C25="DOOR ONLY",$X25&lt;&gt;"KD"),"MASONRY","DRYWALL")&amp;IF($C25="DOOR ONLY","",$U25)&amp;IF(AND($C25&lt;&gt;"FRAME ONLY",OR(LEFT($AH25,3)="OAK",LEFT($AH25,3)="BIR",LEFT($AH25,3)="MAP",$AH25="PC",$AH25="MC",$AH25="SCLC",$AH25="P-LAM")),"WD","HM")&amp;"1.75")</f>
        <v/>
      </c>
      <c r="DD25" s="99">
        <f>IF($CJ25="","",IF($O25="Y",$CJ25,SUBSTITUTE($CJ25,$BG25&amp;" "&amp;IFERROR(VLOOKUP($Z25,CODES,2,FALSE),"")&amp;" ",$BG25&amp;" ")))</f>
        <v/>
      </c>
      <c r="DE25" s="99">
        <f>IF($CK25="","",IF($O25="Y",$CK25,SUBSTITUTE($CK25,$BG25&amp;" "&amp;IF($AN25="",IFERROR(VLOOKUP($Z25,CODES,2,FALSE),""),IFERROR(VLOOKUP($AN25,CODES,2,FALSE),""))&amp;" ",$BG25&amp;" ")))</f>
        <v/>
      </c>
      <c r="DF25" s="99">
        <f>IF($CJ25="","",$DC25&amp;"|"&amp;$DD25&amp;"|"&amp;$DB25&amp;"|"&amp;$AT25&amp;"|"&amp;$V25&amp;"|"&amp;$Y25&amp;"|"&amp;$AB25)</f>
        <v/>
      </c>
      <c r="DG25" s="99">
        <f>IF(DF25="","",IF(COUNTIF($DF$6:DF25,DF25)=1,MAX($DG$5:DG24)+1,INDEX($DG$5:DG24,MATCH(DF25,$DF$5:DF24,0))))</f>
        <v/>
      </c>
      <c r="DH25" s="99">
        <f>IF($CK25="","",$DC25&amp;"|"&amp;$DE25&amp;"|"&amp;$AI25&amp;"|"&amp;$BK25&amp;"|"&amp;$BL25)</f>
        <v/>
      </c>
      <c r="DI25" s="99">
        <f>IF(DH25="","",IF(COUNTIF($DH$6:DH25,DH25)=1,MAX($DI$5:DI24)+1,INDEX($DI$5:DI24,MATCH(DH25,$DH$5:DH24,0))))</f>
        <v/>
      </c>
      <c r="DJ25" s="99">
        <f>IF($A25="","",IF($B25="","qty, ","")&amp;IF($C25="","scope, ","")&amp;IF(OR($K25="",$M25=""),"size, ","")&amp;IF(AND($A25&lt;&gt;"",$C25&lt;&gt;"DOOR ONLY"),IF($U25="","jamb depth, ","")&amp;IF($X25="","construction, ","")&amp;IF($Y25="","anchor, ","")&amp;IF($S25="","frame type, ",""),"")&amp;IF(AND(N($BJ25)&gt;0,$Z25=""),"hand, ","")&amp;IF(N($BJ25)&gt;0,IF($AH25="","door material, ","")&amp;IF($AL25="","face type, ","")&amp;IF($AP25="","lock prep, ","")&amp;IF(AND($AO25="",$AC25=""),"hinge prep, ",""),"")&amp;IF(AND($CH25&gt;0,$AH25="FRP"),"FRP cannot carry a label, ","")&amp;IF(AND($O25="Y",OR($Z25="L",$Z25="R",$Z25="LR",$Z25="RR")),"pair marked but hand is single, ","")&amp;IF(AND($O25&lt;&gt;"Y",OR($Z25="PR",AND(LEN($Z25)&gt;1,ISNUMBER(SEARCH("-",$Z25))))),"pair hand on a single door, ","")&amp;IF(AND(ISNUMBER($CI25),$CH25&lt;N($CI25)),"wall needs a "&amp;$CI25&amp;" min door, ","")&amp;IF(AND($CH25&gt;=180,AND(OR($CE25="FG",$CE25="HG",$CE25="FNV",$CE25="FV"),N($CF25)*N($CG25)&gt;100)),"180 min lite over 100 sq in, ","")&amp;IF(N($BK25)&gt;48,"leaf wider than 4'-0"&amp;CHAR(34)&amp;", ","")&amp;IF(AND($CT25,COUNT($AW25:$AZ25)=0,$CQ25&gt;0),"CUSTOM LOC with no locations typed, ",""))</f>
        <v/>
      </c>
      <c r="DK25" s="99">
        <f>IF($A25="","",IF(AND($CH25&gt;0,AND($A25&lt;&gt;"",$C25&lt;&gt;"DOOR ONLY"),$X25="KD",$E25="EXTERIOR"),"KD label on an exterior opening, ","")&amp;IF(AND($E25="EXTERIOR",OR(AND(AND($A25&lt;&gt;"",$C25&lt;&gt;"DOOR ONLY"),$W25="CR"),AND(N($BJ25)&gt;0,$AH25="CR"))),"exterior in CR steel (G9?), ","")&amp;IF(AND(ISNUMBER($BQ25),N($BQ25)&lt;32),"clear width ~"&amp;TEXT($BQ25,"0.0")&amp;CHAR(34)&amp;" under 32"&amp;CHAR(34)&amp;" (ADA), ","")&amp;IF(AND($CH25=90,AND(OR($CE25="FG",$CE25="HG",$CE25="FNV",$CE25="FV"),N($CF25)*N($CG25)&gt;100)),"90 min lite over 100 sq in (stair/exit), ","")&amp;IF(AND($CH25&gt;0,AND($A25&lt;&gt;"",$C25&lt;&gt;"DOOR ONLY"),OR($AF25="",$AF25="-")),"rated: closer reinf.?, ","")&amp;IF(OR($I25="CORRIDOR",$I25="SMOKE BARRIER"),"S label + smoke gasketing, ","")&amp;IF($CI25="?","wall type/hr not in IBC table, ","")&amp;IF(AND(N($BJ25)&gt;0,$BB25=""),"no hardware set, ","")&amp;IF(AND($BB25&lt;&gt;"",ISNA(MATCH($BB25&amp;"",HWSets,0))),"set "&amp;$BB25&amp;" not on HW Sets, ","")&amp;IF(N($BL25)&gt;96,"leaf over 8'-0"&amp;CHAR(34)&amp;" - check listing, ","")&amp;IF(AND($CT25,COUNT($AW25:$AZ25)&gt;0,COUNT($AW25:$AZ25)&lt;&gt;$CQ25),COUNT($AW25:$AZ25)&amp;" custom hinges typed, "&amp;$CQ25&amp;" expected, ","")&amp;IF(AND(ISNUMBER($CA25),OR(N($CA25)&lt;34,N($CA25)&gt;48)),"lock "&amp;TEXT($CA25,"0.0")&amp;CHAR(34)&amp;" AFF outside 34-48"&amp;CHAR(34)&amp;" (ADA), ","")&amp;IF(AND(ISNUMBER($AV25),ISNUMBER($BL25),N($AV25)&lt;IF(N($BL25)&lt;=60,2,IF(N($BL25)&lt;=90,3,IF(N($BL25)&lt;=120,4,5)))),"fewer hinges than standard, ",""))</f>
        <v/>
      </c>
    </row>
    <row r="26" ht="15" customHeight="1">
      <c r="A26" s="77" t="n"/>
      <c r="B26" s="78" t="n"/>
      <c r="C26" s="78" t="n"/>
      <c r="D26" s="78" t="n"/>
      <c r="E26" s="78" t="n"/>
      <c r="F26" s="78" t="n"/>
      <c r="G26" s="78" t="n"/>
      <c r="H26" s="78" t="n"/>
      <c r="I26" s="78" t="n"/>
      <c r="J26" s="78" t="n"/>
      <c r="K26" s="78" t="n"/>
      <c r="L26" s="78" t="n"/>
      <c r="M26" s="78" t="n"/>
      <c r="N26" s="78" t="n"/>
      <c r="O26" s="78" t="n"/>
      <c r="P26" s="78" t="n"/>
      <c r="Q26" s="78" t="n"/>
      <c r="R26" s="78" t="n"/>
      <c r="S26" s="79" t="n"/>
      <c r="T26" s="79" t="n"/>
      <c r="U26" s="79" t="n"/>
      <c r="V26" s="79" t="n"/>
      <c r="W26" s="79" t="n"/>
      <c r="X26" s="79" t="n"/>
      <c r="Y26" s="79" t="n"/>
      <c r="Z26" s="79" t="n"/>
      <c r="AA26" s="79" t="n"/>
      <c r="AB26" s="79" t="n"/>
      <c r="AC26" s="79" t="n"/>
      <c r="AD26" s="79" t="n"/>
      <c r="AE26" s="79" t="n"/>
      <c r="AF26" s="79" t="n"/>
      <c r="AG26" s="79" t="n"/>
      <c r="AH26" s="80" t="n"/>
      <c r="AI26" s="80" t="n"/>
      <c r="AJ26" s="80" t="n"/>
      <c r="AK26" s="80" t="n"/>
      <c r="AL26" s="80" t="n"/>
      <c r="AM26" s="80" t="n"/>
      <c r="AN26" s="80" t="n"/>
      <c r="AO26" s="80" t="n"/>
      <c r="AP26" s="80" t="n"/>
      <c r="AQ26" s="80" t="n"/>
      <c r="AR26" s="80" t="n"/>
      <c r="AS26" s="80" t="n"/>
      <c r="AT26" s="81" t="n"/>
      <c r="AU26" s="81" t="n"/>
      <c r="AV26" s="81" t="n"/>
      <c r="AW26" s="82" t="n"/>
      <c r="AX26" s="82" t="n"/>
      <c r="AY26" s="82" t="n"/>
      <c r="AZ26" s="82" t="n"/>
      <c r="BA26" s="82" t="n"/>
      <c r="BB26" s="83" t="n"/>
      <c r="BC26" s="83" t="n"/>
      <c r="BD26" s="84">
        <f>IF($A26="","",IF($DJ26&lt;&gt;"","FIX",IF($DK26&lt;&gt;"","CHECK","OK")))</f>
        <v/>
      </c>
      <c r="BE26" s="85">
        <f>IF($A26="","",IF($DJ26&lt;&gt;"","FIX: "&amp;LEFT($DJ26,LEN($DJ26)-2)&amp;IF($DK26&lt;&gt;"","  ·  ",""),"")&amp;IF($DK26&lt;&gt;"","CHECK: "&amp;LEFT($DK26,LEN($DK26)-2),""))</f>
        <v/>
      </c>
      <c r="BF26" s="84">
        <f>IF(OR($A26="",$K26=""),"",$K26&amp;"'-"&amp;N($L26)&amp;CHAR(34)&amp;" x "&amp;$M26&amp;"'-"&amp;N($N26)&amp;CHAR(34))</f>
        <v/>
      </c>
      <c r="BG26" s="84">
        <f>IF(OR($A26="",$K26=""),"",$K26&amp;N($L26)&amp;$M26&amp;N($N26))</f>
        <v/>
      </c>
      <c r="BH26" s="84">
        <f>IF(OR($A26="",$K26=""),"",$K26*12+N($L26))</f>
        <v/>
      </c>
      <c r="BI26" s="84">
        <f>IF(OR($A26="",$M26=""),"",$M26*12+N($N26))</f>
        <v/>
      </c>
      <c r="BJ26" s="84">
        <f>IF($A26="","",IF(OR($C26="FRAME ONLY",$S26="BL"),0,IF($O26="Y",2,1)))</f>
        <v/>
      </c>
      <c r="BK26" s="86">
        <f>IF(OR(N($BJ26)=0,$BH26=""),"",($BH26-2*EdgeClr-IF($BJ26=2,MeetClr,0))/$BJ26)</f>
        <v/>
      </c>
      <c r="BL26" s="86">
        <f>IF(OR(N($BJ26)=0,$BI26=""),"",$BI26-HeadClr-Undercut)</f>
        <v/>
      </c>
      <c r="BM26" s="86">
        <f>IF($BH26="","",$BH26+2*FaceW+IF(N($Q26)&gt;0,($Q26+FaceW)*IF($R26="LR",2,1),0))</f>
        <v/>
      </c>
      <c r="BN26" s="86">
        <f>IF($BI26="","",$BI26+IF($AB26="Y",4,FaceW)+IF(N($P26)&gt;0,$P26+FaceW,0)+IF(OR($S26="4F",$S26="BL"),FaceW,0))</f>
        <v/>
      </c>
      <c r="BO26" s="86">
        <f>IF($BM26="","",$BM26+2*ROSide)</f>
        <v/>
      </c>
      <c r="BP26" s="86">
        <f>IF($BN26="","",$BN26+ROTop)</f>
        <v/>
      </c>
      <c r="BQ26" s="87">
        <f>IF(OR(N($BJ26)=0,$BH26=""),"",$BH26/$BJ26-ClearDeduct)</f>
        <v/>
      </c>
      <c r="BR26" s="84">
        <f>IF(N($CH26)=0,"",IF($CH26&gt;=180,"A · 3 HR",IF($CH26&gt;=90,"B · 1-1/2 HR",IF($CH26&gt;=60,"B · 1 HR",IF($CH26&gt;=45,"C · 3/4 HR","20 MIN")))))&amp;IF(AND(N($CH26)&gt;0,OR($I26="CORRIDOR",$I26="SMOKE BARRIER"))," · S","")</f>
        <v/>
      </c>
      <c r="BS26" s="84">
        <f>IF($CS26,"",IF($AV26&lt;&gt;"",$AV26,IF(OR($AC26="HGC",$AO26="HGC"),"CONT",IF(($BI26-HeadClr-Undercut)&lt;=60,2,IF(($BI26-HeadClr-Undercut)&lt;=90,3,IF(($BI26-HeadClr-Undercut)&lt;=120,4,5))))))</f>
        <v/>
      </c>
      <c r="BT26" s="84">
        <f>IF($CS26,"",IF($CT26,"CUSTOM (typed)",IF($CV26,$AT26&amp;" "&amp;$CU26&amp;CHAR(34)&amp;IF($CU26&lt;&gt;$BI26,IF(AND($BI26&lt;$CU26,$BI26-IF(N(VLOOKUP($AT26&amp;"|"&amp;$CU26,LocTable,7,FALSE))&gt;0,VLOOKUP($AT26&amp;"|"&amp;$CU26,LocTable,7,FALSE),VLOOKUP($AT26&amp;"|"&amp;$CU26,LocTable,6,FALSE))-$CR26-0.75&gt;=2.125)," cut down"," adj."),""),"ANSI/SDI A250.6")))</f>
        <v/>
      </c>
      <c r="BU26" s="88">
        <f>IF($CS26,"",IF($CT26,IF(N($AW26)&gt;0,N($AW26),""),IF(1&gt;$CQ26,"",IF($CQ26=1,$CW26,$CW26+($CX26-$CW26)*0/($CQ26-1)))))</f>
        <v/>
      </c>
      <c r="BV26" s="88">
        <f>IF($CS26,"",IF($CT26,IF(N($AX26)&gt;0,N($AX26),""),IF(2&gt;$CQ26,"",IF($CQ26=1,$CW26,$CW26+($CX26-$CW26)*1/($CQ26-1)))))</f>
        <v/>
      </c>
      <c r="BW26" s="88">
        <f>IF($CS26,"",IF($CT26,IF(N($AY26)&gt;0,N($AY26),""),IF(3&gt;$CQ26,"",IF($CQ26=1,$CW26,$CW26+($CX26-$CW26)*2/($CQ26-1)))))</f>
        <v/>
      </c>
      <c r="BX26" s="88">
        <f>IF($CS26,"",IF($CT26,IF(N($AZ26)&gt;0,N($AZ26),""),IF(4&gt;$CQ26,"",IF($CQ26=1,$CW26,$CW26+($CX26-$CW26)*3/($CQ26-1)))))</f>
        <v/>
      </c>
      <c r="BY26" s="88">
        <f>IF($CS26,"",IF($CT26,"",IF(5&gt;$CQ26,"",IF($CQ26=1,$CW26,$CW26+($CX26-$CW26)*4/($CQ26-1)))))</f>
        <v/>
      </c>
      <c r="BZ26" s="88">
        <f>IF(OR($CS26,$AP26="-",AND($AP26="",$AD26="")),"",IF(N($BA26)&gt;0,N($BA26),IF($CV26,IF(AND($BI26&lt;$CU26,$BI26-IF(N(VLOOKUP($AT26&amp;"|"&amp;$CU26,LocTable,7,FALSE))&gt;0,VLOOKUP($AT26&amp;"|"&amp;$CU26,LocTable,7,FALSE),VLOOKUP($AT26&amp;"|"&amp;$CU26,LocTable,6,FALSE))-$CR26-0.75&gt;=2.125),VLOOKUP($AT26&amp;"|"&amp;$CU26,LocTable,8,FALSE),VLOOKUP($AT26&amp;"|"&amp;$CU26,LocTable,8,FALSE)+($BI26-$CU26)),$BI26-LockAFF)))</f>
        <v/>
      </c>
      <c r="CA26" s="89">
        <f>IF($BZ26="","",$BI26-$BZ26)</f>
        <v/>
      </c>
      <c r="CB26" s="84">
        <f>IF(OR(NOT(AND($A26&lt;&gt;"",$C26&lt;&gt;"DOOR ONLY")),$BI26=""),"",IF(($BI26+IF(N($P26)&gt;0,$P26+FaceW,0))&lt;=90,3,IF(($BI26+IF(N($P26)&gt;0,$P26+FaceW,0))&lt;=114,4,5)))</f>
        <v/>
      </c>
      <c r="CC26" s="84">
        <f>IF($CB26="","",$CB26*(2+IF(N($Q26)&gt;0,IF($R26="LR",2,1),0)))</f>
        <v/>
      </c>
      <c r="CD26" s="84">
        <f>IF($CB26="","",(2+IF(N($Q26)&gt;0,IF($R26="LR",2,1),0)))</f>
        <v/>
      </c>
      <c r="CE26" s="84">
        <f>IF(N($BJ26)=0,"",IF(OR($AL26="",$AL26="FLUSH"),"FLUSH",IFERROR(LEFT($AL26,FIND("-",$AL26)-1),LEFT($AL26,2))))</f>
        <v/>
      </c>
      <c r="CF26" s="84">
        <f>IF($CE26="","",IFERROR(VALUE(MID($AL26,FIND("-",$AL26)+1,FIND(CHAR(34)&amp;"x",$AL26)-FIND("-",$AL26)-1)),0))</f>
        <v/>
      </c>
      <c r="CG26" s="84">
        <f>IF($CE26="","",IFERROR(VALUE(MID($AL26,FIND(CHAR(34)&amp;"x",$AL26)+2,FIND(CHAR(34),$AL26,FIND(CHAR(34)&amp;"x",$AL26)+2)-FIND(CHAR(34)&amp;"x",$AL26)-2)),0))</f>
        <v/>
      </c>
      <c r="CH26" s="90">
        <f>IF(OR($A26="",$H26="",$H26="NO LAB"),0,IFERROR(VALUE(LEFT($H26,FIND(" ",$H26)-1)),0))</f>
        <v/>
      </c>
      <c r="CI26" s="91">
        <f>IF(OR($A26="",$I26="",$I26="NON-RATED",N($J26)=0),"",IFERROR(VLOOKUP($I26&amp;"|"&amp;$J26,IBC,2,FALSE),"?"))</f>
        <v/>
      </c>
      <c r="CJ26" s="85">
        <f>IF(NOT(AND($A26&lt;&gt;"",$C26&lt;&gt;"DOOR ONLY")),"",TRIM(IFERROR(VLOOKUP($U26,CODES,2,FALSE),"")&amp;" "&amp;$BG26&amp;" "&amp;IFERROR(VLOOKUP($Z26,CODES,2,FALSE),"")&amp;" "&amp;IFERROR(VLOOKUP($X26,CODES,2,FALSE),"")&amp;" "&amp;IFERROR(VLOOKUP($S26,CODES,2,FALSE),"")&amp;IF(N($P26)&gt;0," w/TRANSOM "&amp;$P26&amp;CHAR(34),"")&amp;IF(N($Q26)&gt;0," w/SIDELITE "&amp;$Q26&amp;CHAR(34)&amp;" "&amp;IF($R26="","R",$R26),"")&amp;IF($Y26="","  |  "," | "&amp;IFERROR(VLOOKUP($Y26,CODES,2,FALSE),"")&amp;" | ")&amp;IFERROR(VLOOKUP($AC26,CODES,2,FALSE),"")&amp;" "&amp;IFERROR(VLOOKUP($AD26,CODES,2,FALSE),"")&amp;IF(OR($AE26="",$AE26="-"),""," "&amp;$AE26)&amp;IF(OR($AF26="",$AF26="-"),""," "&amp;$AF26)&amp;IF($AB26="Y"," 4"&amp;CHAR(34)&amp;" HEAD","")&amp;" "&amp;IFERROR(VLOOKUP($H26,CODES,2,FALSE),"")&amp;IF($CT26," | LOC "&amp;$CY26,"")))</f>
        <v/>
      </c>
      <c r="CK26" s="85">
        <f>IF(NOT(AND($A26&lt;&gt;"",N($BJ26)&gt;0)),"",TRIM(IFERROR(VLOOKUP($AH26,CODES,2,FALSE),"")&amp;IF($AI26=""," "," "&amp;$AI26&amp;"GA ")&amp;$BG26&amp;" "&amp;IF($AN26="",IFERROR(VLOOKUP($Z26,CODES,2,FALSE),""),IFERROR(VLOOKUP($AN26,CODES,2,FALSE),""))&amp;IF($BJ26=2," PAIR","")&amp;" DOOR | "&amp;IF($AL26="","?",$AL26)&amp;" | "&amp;IF($AO26="",IFERROR(VLOOKUP($AC26,CODES,2,FALSE),""),IFERROR(VLOOKUP($AO26,CODES,2,FALSE),""))&amp;" "&amp;IFERROR(VLOOKUP($AP26,CODES,2,FALSE),"")&amp;IF(OR($AQ26="",$AQ26="-"),""," SEAM "&amp;$AQ26)&amp;IF($AR26="Y"," ASTRAGAL","")&amp;IF($AJ26=""," "," "&amp;$AJ26)&amp;IF($AK26=""," "," "&amp;$AK26)&amp;IF(OR($AT26="",$AT26="ANSI/SDI",$AT26="CUSTOM LOC"),""," "&amp;$AT26)&amp;IF($AM26=""," "," SERIES "&amp;$AM26)&amp;" "&amp;IFERROR(VLOOKUP($H26,CODES,2,FALSE),"")&amp;IF($CT26," | LOC "&amp;$CZ26,"")))</f>
        <v/>
      </c>
      <c r="CL26" s="84">
        <f>IF(CP26="","",IF(COUNTIF($CP$6:CP26,CP26)=1,MAX($CL$5:CL25)+1,INDEX($CL$5:CL25,MATCH(CP26,$CP$5:CP25,0))))</f>
        <v/>
      </c>
      <c r="CM26" s="84">
        <f>IF(NOT(AND($A26&lt;&gt;"",$C26&lt;&gt;"DOOR ONLY")),"",MAX($CM$5:CM25)+1)</f>
        <v/>
      </c>
      <c r="CN26" s="84">
        <f>IF(NOT(AND($A26&lt;&gt;"",N($BJ26)&gt;0)),"",MAX($CN$5:CN25)+1)</f>
        <v/>
      </c>
      <c r="CO26" s="84">
        <f>IF($A26="","",MAX($CO$5:CO25)+1)</f>
        <v/>
      </c>
      <c r="CP26" s="84">
        <f>IF(OR($A26="",$BH26="",$BI26=""),"",$BG26&amp;"|"&amp;$O26&amp;"|"&amp;$AL26&amp;"|"&amp;$S26&amp;"|"&amp;$P26&amp;"|"&amp;$Q26&amp;$R26&amp;"|"&amp;$C26&amp;"|"&amp;$AB26)</f>
        <v/>
      </c>
      <c r="CQ26" s="84">
        <f>N($BS26)</f>
        <v/>
      </c>
      <c r="CR26" s="84">
        <f>IF(N($AU26)&gt;0,N($AU26),4.5)</f>
        <v/>
      </c>
      <c r="CS26" s="84">
        <f>OR($A26="",$BI26="",$S26="BL",AND($C26="FRAME ONLY",OR($AC26="",$AC26="BLK")))</f>
        <v/>
      </c>
      <c r="CT26" s="84">
        <f>AND(NOT($CS26),OR($AT26="CUSTOM LOC",N($AW26)+N($AX26)+N($AY26)+N($AZ26)+N($BA26)&gt;0))</f>
        <v/>
      </c>
      <c r="CU26" s="84">
        <f>IF($BI26="","",IF($BI26&lt;=80,80,IF($BI26&lt;=84,84,96)))</f>
        <v/>
      </c>
      <c r="CV26" s="84">
        <f>ISNUMBER(MATCH($AT26&amp;"|80",LocKeys,0))</f>
        <v/>
      </c>
      <c r="CW26" s="86">
        <f>IF($CS26,"",IF($CV26,VLOOKUP($AT26&amp;"|"&amp;$CU26,LocTable,4,FALSE),5))</f>
        <v/>
      </c>
      <c r="CX26" s="86">
        <f>IF($CS26,"",IF($CV26,IF(OR($BI26=$CU26,AND($BI26&lt;$CU26,$BI26-IF(N(VLOOKUP($AT26&amp;"|"&amp;$CU26,LocTable,7,FALSE))&gt;0,VLOOKUP($AT26&amp;"|"&amp;$CU26,LocTable,7,FALSE),VLOOKUP($AT26&amp;"|"&amp;$CU26,LocTable,6,FALSE))-$CR26-0.75&gt;=2.125)),IF(N(VLOOKUP($AT26&amp;"|"&amp;$CU26,LocTable,7,FALSE))&gt;0,VLOOKUP($AT26&amp;"|"&amp;$CU26,LocTable,7,FALSE),VLOOKUP($AT26&amp;"|"&amp;$CU26,LocTable,6,FALSE)),$BI26-($CU26-IF(N(VLOOKUP($AT26&amp;"|"&amp;$CU26,LocTable,7,FALSE))&gt;0,VLOOKUP($AT26&amp;"|"&amp;$CU26,LocTable,7,FALSE),VLOOKUP($AT26&amp;"|"&amp;$CU26,LocTable,6,FALSE)))),$BI26-10-$CR26))</f>
        <v/>
      </c>
      <c r="CY26" s="85">
        <f>IF($CS26,"",TRIM(IF(ISNUMBER($BU26),"A "&amp;TRIM(TEXT($BU26,"# ?/??"))&amp;CHAR(34)&amp;"  ","")&amp;IF(ISNUMBER($BV26),"B "&amp;TRIM(TEXT($BV26,"# ?/??"))&amp;CHAR(34)&amp;"  ","")&amp;IF(ISNUMBER($BW26),"C "&amp;TRIM(TEXT($BW26,"# ?/??"))&amp;CHAR(34)&amp;"  ","")&amp;IF(ISNUMBER($BX26),"D "&amp;TRIM(TEXT($BX26,"# ?/??"))&amp;CHAR(34)&amp;"  ","")&amp;IF(ISNUMBER($BY26),"F "&amp;TRIM(TEXT($BY26,"# ?/??"))&amp;CHAR(34)&amp;"  ","")&amp;IF(ISNUMBER($BZ26),"E "&amp;TRIM(TEXT($BZ26,"# ?/??"))&amp;CHAR(34)&amp;"  ","")))</f>
        <v/>
      </c>
      <c r="CZ26" s="85">
        <f>IF(OR($CS26,N($BJ26)=0),"",TRIM(IF(ISNUMBER($BU26),"A "&amp;TRIM(TEXT($BU26-HeadClr,"# ?/??"))&amp;CHAR(34)&amp;"  ","")&amp;IF(ISNUMBER($BV26),"B "&amp;TRIM(TEXT($BV26-HeadClr,"# ?/??"))&amp;CHAR(34)&amp;"  ","")&amp;IF(ISNUMBER($BW26),"C "&amp;TRIM(TEXT($BW26-HeadClr,"# ?/??"))&amp;CHAR(34)&amp;"  ","")&amp;IF(ISNUMBER($BX26),"D "&amp;TRIM(TEXT($BX26-HeadClr,"# ?/??"))&amp;CHAR(34)&amp;"  ","")&amp;IF(ISNUMBER($BY26),"F "&amp;TRIM(TEXT($BY26-HeadClr,"# ?/??"))&amp;CHAR(34)&amp;"  ","")&amp;IF(ISNUMBER($BZ26),"E "&amp;TRIM(TEXT($BZ26-HeadClr,"# ?/??"))&amp;CHAR(34)&amp;"  ","")))</f>
        <v/>
      </c>
      <c r="DA26" s="84">
        <f>IF($A26="","",IF($AN26="",IFERROR(VLOOKUP($Z26,CODES,2,FALSE),""),IFERROR(VLOOKUP($AN26,CODES,2,FALSE),"")))</f>
        <v/>
      </c>
      <c r="DB26" s="84">
        <f>IF($A26="","",IF($O26="Y","PR",IF(OR($Z26="L",$Z26="RR",LEFT($Z26,2)="L-",LEFT($Z26,3)="RR-"),"LH","RH")))</f>
        <v/>
      </c>
      <c r="DC26" s="84">
        <f>IF($A26="","","S.HM"&amp;IF(OR($C26="DOOR ONLY",$X26&lt;&gt;"KD"),"MASONRY","DRYWALL")&amp;IF($C26="DOOR ONLY","",$U26)&amp;IF(AND($C26&lt;&gt;"FRAME ONLY",OR(LEFT($AH26,3)="OAK",LEFT($AH26,3)="BIR",LEFT($AH26,3)="MAP",$AH26="PC",$AH26="MC",$AH26="SCLC",$AH26="P-LAM")),"WD","HM")&amp;"1.75")</f>
        <v/>
      </c>
      <c r="DD26" s="84">
        <f>IF($CJ26="","",IF($O26="Y",$CJ26,SUBSTITUTE($CJ26,$BG26&amp;" "&amp;IFERROR(VLOOKUP($Z26,CODES,2,FALSE),"")&amp;" ",$BG26&amp;" ")))</f>
        <v/>
      </c>
      <c r="DE26" s="84">
        <f>IF($CK26="","",IF($O26="Y",$CK26,SUBSTITUTE($CK26,$BG26&amp;" "&amp;IF($AN26="",IFERROR(VLOOKUP($Z26,CODES,2,FALSE),""),IFERROR(VLOOKUP($AN26,CODES,2,FALSE),""))&amp;" ",$BG26&amp;" ")))</f>
        <v/>
      </c>
      <c r="DF26" s="84">
        <f>IF($CJ26="","",$DC26&amp;"|"&amp;$DD26&amp;"|"&amp;$DB26&amp;"|"&amp;$AT26&amp;"|"&amp;$V26&amp;"|"&amp;$Y26&amp;"|"&amp;$AB26)</f>
        <v/>
      </c>
      <c r="DG26" s="84">
        <f>IF(DF26="","",IF(COUNTIF($DF$6:DF26,DF26)=1,MAX($DG$5:DG25)+1,INDEX($DG$5:DG25,MATCH(DF26,$DF$5:DF25,0))))</f>
        <v/>
      </c>
      <c r="DH26" s="84">
        <f>IF($CK26="","",$DC26&amp;"|"&amp;$DE26&amp;"|"&amp;$AI26&amp;"|"&amp;$BK26&amp;"|"&amp;$BL26)</f>
        <v/>
      </c>
      <c r="DI26" s="84">
        <f>IF(DH26="","",IF(COUNTIF($DH$6:DH26,DH26)=1,MAX($DI$5:DI25)+1,INDEX($DI$5:DI25,MATCH(DH26,$DH$5:DH25,0))))</f>
        <v/>
      </c>
      <c r="DJ26" s="84">
        <f>IF($A26="","",IF($B26="","qty, ","")&amp;IF($C26="","scope, ","")&amp;IF(OR($K26="",$M26=""),"size, ","")&amp;IF(AND($A26&lt;&gt;"",$C26&lt;&gt;"DOOR ONLY"),IF($U26="","jamb depth, ","")&amp;IF($X26="","construction, ","")&amp;IF($Y26="","anchor, ","")&amp;IF($S26="","frame type, ",""),"")&amp;IF(AND(N($BJ26)&gt;0,$Z26=""),"hand, ","")&amp;IF(N($BJ26)&gt;0,IF($AH26="","door material, ","")&amp;IF($AL26="","face type, ","")&amp;IF($AP26="","lock prep, ","")&amp;IF(AND($AO26="",$AC26=""),"hinge prep, ",""),"")&amp;IF(AND($CH26&gt;0,$AH26="FRP"),"FRP cannot carry a label, ","")&amp;IF(AND($O26="Y",OR($Z26="L",$Z26="R",$Z26="LR",$Z26="RR")),"pair marked but hand is single, ","")&amp;IF(AND($O26&lt;&gt;"Y",OR($Z26="PR",AND(LEN($Z26)&gt;1,ISNUMBER(SEARCH("-",$Z26))))),"pair hand on a single door, ","")&amp;IF(AND(ISNUMBER($CI26),$CH26&lt;N($CI26)),"wall needs a "&amp;$CI26&amp;" min door, ","")&amp;IF(AND($CH26&gt;=180,AND(OR($CE26="FG",$CE26="HG",$CE26="FNV",$CE26="FV"),N($CF26)*N($CG26)&gt;100)),"180 min lite over 100 sq in, ","")&amp;IF(N($BK26)&gt;48,"leaf wider than 4'-0"&amp;CHAR(34)&amp;", ","")&amp;IF(AND($CT26,COUNT($AW26:$AZ26)=0,$CQ26&gt;0),"CUSTOM LOC with no locations typed, ",""))</f>
        <v/>
      </c>
      <c r="DK26" s="84">
        <f>IF($A26="","",IF(AND($CH26&gt;0,AND($A26&lt;&gt;"",$C26&lt;&gt;"DOOR ONLY"),$X26="KD",$E26="EXTERIOR"),"KD label on an exterior opening, ","")&amp;IF(AND($E26="EXTERIOR",OR(AND(AND($A26&lt;&gt;"",$C26&lt;&gt;"DOOR ONLY"),$W26="CR"),AND(N($BJ26)&gt;0,$AH26="CR"))),"exterior in CR steel (G9?), ","")&amp;IF(AND(ISNUMBER($BQ26),N($BQ26)&lt;32),"clear width ~"&amp;TEXT($BQ26,"0.0")&amp;CHAR(34)&amp;" under 32"&amp;CHAR(34)&amp;" (ADA), ","")&amp;IF(AND($CH26=90,AND(OR($CE26="FG",$CE26="HG",$CE26="FNV",$CE26="FV"),N($CF26)*N($CG26)&gt;100)),"90 min lite over 100 sq in (stair/exit), ","")&amp;IF(AND($CH26&gt;0,AND($A26&lt;&gt;"",$C26&lt;&gt;"DOOR ONLY"),OR($AF26="",$AF26="-")),"rated: closer reinf.?, ","")&amp;IF(OR($I26="CORRIDOR",$I26="SMOKE BARRIER"),"S label + smoke gasketing, ","")&amp;IF($CI26="?","wall type/hr not in IBC table, ","")&amp;IF(AND(N($BJ26)&gt;0,$BB26=""),"no hardware set, ","")&amp;IF(AND($BB26&lt;&gt;"",ISNA(MATCH($BB26&amp;"",HWSets,0))),"set "&amp;$BB26&amp;" not on HW Sets, ","")&amp;IF(N($BL26)&gt;96,"leaf over 8'-0"&amp;CHAR(34)&amp;" - check listing, ","")&amp;IF(AND($CT26,COUNT($AW26:$AZ26)&gt;0,COUNT($AW26:$AZ26)&lt;&gt;$CQ26),COUNT($AW26:$AZ26)&amp;" custom hinges typed, "&amp;$CQ26&amp;" expected, ","")&amp;IF(AND(ISNUMBER($CA26),OR(N($CA26)&lt;34,N($CA26)&gt;48)),"lock "&amp;TEXT($CA26,"0.0")&amp;CHAR(34)&amp;" AFF outside 34-48"&amp;CHAR(34)&amp;" (ADA), ","")&amp;IF(AND(ISNUMBER($AV26),ISNUMBER($BL26),N($AV26)&lt;IF(N($BL26)&lt;=60,2,IF(N($BL26)&lt;=90,3,IF(N($BL26)&lt;=120,4,5)))),"fewer hinges than standard, ",""))</f>
        <v/>
      </c>
    </row>
    <row r="27" ht="15" customHeight="1">
      <c r="A27" s="77" t="n"/>
      <c r="B27" s="78" t="n"/>
      <c r="C27" s="78" t="n"/>
      <c r="D27" s="78" t="n"/>
      <c r="E27" s="78" t="n"/>
      <c r="F27" s="78" t="n"/>
      <c r="G27" s="78" t="n"/>
      <c r="H27" s="78" t="n"/>
      <c r="I27" s="78" t="n"/>
      <c r="J27" s="78" t="n"/>
      <c r="K27" s="78" t="n"/>
      <c r="L27" s="78" t="n"/>
      <c r="M27" s="78" t="n"/>
      <c r="N27" s="78" t="n"/>
      <c r="O27" s="78" t="n"/>
      <c r="P27" s="78" t="n"/>
      <c r="Q27" s="78" t="n"/>
      <c r="R27" s="78" t="n"/>
      <c r="S27" s="79" t="n"/>
      <c r="T27" s="79" t="n"/>
      <c r="U27" s="79" t="n"/>
      <c r="V27" s="79" t="n"/>
      <c r="W27" s="79" t="n"/>
      <c r="X27" s="79" t="n"/>
      <c r="Y27" s="79" t="n"/>
      <c r="Z27" s="79" t="n"/>
      <c r="AA27" s="79" t="n"/>
      <c r="AB27" s="79" t="n"/>
      <c r="AC27" s="79" t="n"/>
      <c r="AD27" s="79" t="n"/>
      <c r="AE27" s="79" t="n"/>
      <c r="AF27" s="79" t="n"/>
      <c r="AG27" s="79" t="n"/>
      <c r="AH27" s="80" t="n"/>
      <c r="AI27" s="80" t="n"/>
      <c r="AJ27" s="80" t="n"/>
      <c r="AK27" s="80" t="n"/>
      <c r="AL27" s="80" t="n"/>
      <c r="AM27" s="80" t="n"/>
      <c r="AN27" s="80" t="n"/>
      <c r="AO27" s="80" t="n"/>
      <c r="AP27" s="80" t="n"/>
      <c r="AQ27" s="80" t="n"/>
      <c r="AR27" s="80" t="n"/>
      <c r="AS27" s="80" t="n"/>
      <c r="AT27" s="81" t="n"/>
      <c r="AU27" s="81" t="n"/>
      <c r="AV27" s="81" t="n"/>
      <c r="AW27" s="82" t="n"/>
      <c r="AX27" s="82" t="n"/>
      <c r="AY27" s="82" t="n"/>
      <c r="AZ27" s="82" t="n"/>
      <c r="BA27" s="82" t="n"/>
      <c r="BB27" s="83" t="n"/>
      <c r="BC27" s="83" t="n"/>
      <c r="BD27" s="84">
        <f>IF($A27="","",IF($DJ27&lt;&gt;"","FIX",IF($DK27&lt;&gt;"","CHECK","OK")))</f>
        <v/>
      </c>
      <c r="BE27" s="85">
        <f>IF($A27="","",IF($DJ27&lt;&gt;"","FIX: "&amp;LEFT($DJ27,LEN($DJ27)-2)&amp;IF($DK27&lt;&gt;"","  ·  ",""),"")&amp;IF($DK27&lt;&gt;"","CHECK: "&amp;LEFT($DK27,LEN($DK27)-2),""))</f>
        <v/>
      </c>
      <c r="BF27" s="84">
        <f>IF(OR($A27="",$K27=""),"",$K27&amp;"'-"&amp;N($L27)&amp;CHAR(34)&amp;" x "&amp;$M27&amp;"'-"&amp;N($N27)&amp;CHAR(34))</f>
        <v/>
      </c>
      <c r="BG27" s="84">
        <f>IF(OR($A27="",$K27=""),"",$K27&amp;N($L27)&amp;$M27&amp;N($N27))</f>
        <v/>
      </c>
      <c r="BH27" s="84">
        <f>IF(OR($A27="",$K27=""),"",$K27*12+N($L27))</f>
        <v/>
      </c>
      <c r="BI27" s="84">
        <f>IF(OR($A27="",$M27=""),"",$M27*12+N($N27))</f>
        <v/>
      </c>
      <c r="BJ27" s="84">
        <f>IF($A27="","",IF(OR($C27="FRAME ONLY",$S27="BL"),0,IF($O27="Y",2,1)))</f>
        <v/>
      </c>
      <c r="BK27" s="86">
        <f>IF(OR(N($BJ27)=0,$BH27=""),"",($BH27-2*EdgeClr-IF($BJ27=2,MeetClr,0))/$BJ27)</f>
        <v/>
      </c>
      <c r="BL27" s="86">
        <f>IF(OR(N($BJ27)=0,$BI27=""),"",$BI27-HeadClr-Undercut)</f>
        <v/>
      </c>
      <c r="BM27" s="86">
        <f>IF($BH27="","",$BH27+2*FaceW+IF(N($Q27)&gt;0,($Q27+FaceW)*IF($R27="LR",2,1),0))</f>
        <v/>
      </c>
      <c r="BN27" s="86">
        <f>IF($BI27="","",$BI27+IF($AB27="Y",4,FaceW)+IF(N($P27)&gt;0,$P27+FaceW,0)+IF(OR($S27="4F",$S27="BL"),FaceW,0))</f>
        <v/>
      </c>
      <c r="BO27" s="86">
        <f>IF($BM27="","",$BM27+2*ROSide)</f>
        <v/>
      </c>
      <c r="BP27" s="86">
        <f>IF($BN27="","",$BN27+ROTop)</f>
        <v/>
      </c>
      <c r="BQ27" s="87">
        <f>IF(OR(N($BJ27)=0,$BH27=""),"",$BH27/$BJ27-ClearDeduct)</f>
        <v/>
      </c>
      <c r="BR27" s="84">
        <f>IF(N($CH27)=0,"",IF($CH27&gt;=180,"A · 3 HR",IF($CH27&gt;=90,"B · 1-1/2 HR",IF($CH27&gt;=60,"B · 1 HR",IF($CH27&gt;=45,"C · 3/4 HR","20 MIN")))))&amp;IF(AND(N($CH27)&gt;0,OR($I27="CORRIDOR",$I27="SMOKE BARRIER"))," · S","")</f>
        <v/>
      </c>
      <c r="BS27" s="84">
        <f>IF($CS27,"",IF($AV27&lt;&gt;"",$AV27,IF(OR($AC27="HGC",$AO27="HGC"),"CONT",IF(($BI27-HeadClr-Undercut)&lt;=60,2,IF(($BI27-HeadClr-Undercut)&lt;=90,3,IF(($BI27-HeadClr-Undercut)&lt;=120,4,5))))))</f>
        <v/>
      </c>
      <c r="BT27" s="84">
        <f>IF($CS27,"",IF($CT27,"CUSTOM (typed)",IF($CV27,$AT27&amp;" "&amp;$CU27&amp;CHAR(34)&amp;IF($CU27&lt;&gt;$BI27,IF(AND($BI27&lt;$CU27,$BI27-IF(N(VLOOKUP($AT27&amp;"|"&amp;$CU27,LocTable,7,FALSE))&gt;0,VLOOKUP($AT27&amp;"|"&amp;$CU27,LocTable,7,FALSE),VLOOKUP($AT27&amp;"|"&amp;$CU27,LocTable,6,FALSE))-$CR27-0.75&gt;=2.125)," cut down"," adj."),""),"ANSI/SDI A250.6")))</f>
        <v/>
      </c>
      <c r="BU27" s="88">
        <f>IF($CS27,"",IF($CT27,IF(N($AW27)&gt;0,N($AW27),""),IF(1&gt;$CQ27,"",IF($CQ27=1,$CW27,$CW27+($CX27-$CW27)*0/($CQ27-1)))))</f>
        <v/>
      </c>
      <c r="BV27" s="88">
        <f>IF($CS27,"",IF($CT27,IF(N($AX27)&gt;0,N($AX27),""),IF(2&gt;$CQ27,"",IF($CQ27=1,$CW27,$CW27+($CX27-$CW27)*1/($CQ27-1)))))</f>
        <v/>
      </c>
      <c r="BW27" s="88">
        <f>IF($CS27,"",IF($CT27,IF(N($AY27)&gt;0,N($AY27),""),IF(3&gt;$CQ27,"",IF($CQ27=1,$CW27,$CW27+($CX27-$CW27)*2/($CQ27-1)))))</f>
        <v/>
      </c>
      <c r="BX27" s="88">
        <f>IF($CS27,"",IF($CT27,IF(N($AZ27)&gt;0,N($AZ27),""),IF(4&gt;$CQ27,"",IF($CQ27=1,$CW27,$CW27+($CX27-$CW27)*3/($CQ27-1)))))</f>
        <v/>
      </c>
      <c r="BY27" s="88">
        <f>IF($CS27,"",IF($CT27,"",IF(5&gt;$CQ27,"",IF($CQ27=1,$CW27,$CW27+($CX27-$CW27)*4/($CQ27-1)))))</f>
        <v/>
      </c>
      <c r="BZ27" s="88">
        <f>IF(OR($CS27,$AP27="-",AND($AP27="",$AD27="")),"",IF(N($BA27)&gt;0,N($BA27),IF($CV27,IF(AND($BI27&lt;$CU27,$BI27-IF(N(VLOOKUP($AT27&amp;"|"&amp;$CU27,LocTable,7,FALSE))&gt;0,VLOOKUP($AT27&amp;"|"&amp;$CU27,LocTable,7,FALSE),VLOOKUP($AT27&amp;"|"&amp;$CU27,LocTable,6,FALSE))-$CR27-0.75&gt;=2.125),VLOOKUP($AT27&amp;"|"&amp;$CU27,LocTable,8,FALSE),VLOOKUP($AT27&amp;"|"&amp;$CU27,LocTable,8,FALSE)+($BI27-$CU27)),$BI27-LockAFF)))</f>
        <v/>
      </c>
      <c r="CA27" s="89">
        <f>IF($BZ27="","",$BI27-$BZ27)</f>
        <v/>
      </c>
      <c r="CB27" s="84">
        <f>IF(OR(NOT(AND($A27&lt;&gt;"",$C27&lt;&gt;"DOOR ONLY")),$BI27=""),"",IF(($BI27+IF(N($P27)&gt;0,$P27+FaceW,0))&lt;=90,3,IF(($BI27+IF(N($P27)&gt;0,$P27+FaceW,0))&lt;=114,4,5)))</f>
        <v/>
      </c>
      <c r="CC27" s="84">
        <f>IF($CB27="","",$CB27*(2+IF(N($Q27)&gt;0,IF($R27="LR",2,1),0)))</f>
        <v/>
      </c>
      <c r="CD27" s="84">
        <f>IF($CB27="","",(2+IF(N($Q27)&gt;0,IF($R27="LR",2,1),0)))</f>
        <v/>
      </c>
      <c r="CE27" s="84">
        <f>IF(N($BJ27)=0,"",IF(OR($AL27="",$AL27="FLUSH"),"FLUSH",IFERROR(LEFT($AL27,FIND("-",$AL27)-1),LEFT($AL27,2))))</f>
        <v/>
      </c>
      <c r="CF27" s="84">
        <f>IF($CE27="","",IFERROR(VALUE(MID($AL27,FIND("-",$AL27)+1,FIND(CHAR(34)&amp;"x",$AL27)-FIND("-",$AL27)-1)),0))</f>
        <v/>
      </c>
      <c r="CG27" s="84">
        <f>IF($CE27="","",IFERROR(VALUE(MID($AL27,FIND(CHAR(34)&amp;"x",$AL27)+2,FIND(CHAR(34),$AL27,FIND(CHAR(34)&amp;"x",$AL27)+2)-FIND(CHAR(34)&amp;"x",$AL27)-2)),0))</f>
        <v/>
      </c>
      <c r="CH27" s="90">
        <f>IF(OR($A27="",$H27="",$H27="NO LAB"),0,IFERROR(VALUE(LEFT($H27,FIND(" ",$H27)-1)),0))</f>
        <v/>
      </c>
      <c r="CI27" s="91">
        <f>IF(OR($A27="",$I27="",$I27="NON-RATED",N($J27)=0),"",IFERROR(VLOOKUP($I27&amp;"|"&amp;$J27,IBC,2,FALSE),"?"))</f>
        <v/>
      </c>
      <c r="CJ27" s="85">
        <f>IF(NOT(AND($A27&lt;&gt;"",$C27&lt;&gt;"DOOR ONLY")),"",TRIM(IFERROR(VLOOKUP($U27,CODES,2,FALSE),"")&amp;" "&amp;$BG27&amp;" "&amp;IFERROR(VLOOKUP($Z27,CODES,2,FALSE),"")&amp;" "&amp;IFERROR(VLOOKUP($X27,CODES,2,FALSE),"")&amp;" "&amp;IFERROR(VLOOKUP($S27,CODES,2,FALSE),"")&amp;IF(N($P27)&gt;0," w/TRANSOM "&amp;$P27&amp;CHAR(34),"")&amp;IF(N($Q27)&gt;0," w/SIDELITE "&amp;$Q27&amp;CHAR(34)&amp;" "&amp;IF($R27="","R",$R27),"")&amp;IF($Y27="","  |  "," | "&amp;IFERROR(VLOOKUP($Y27,CODES,2,FALSE),"")&amp;" | ")&amp;IFERROR(VLOOKUP($AC27,CODES,2,FALSE),"")&amp;" "&amp;IFERROR(VLOOKUP($AD27,CODES,2,FALSE),"")&amp;IF(OR($AE27="",$AE27="-"),""," "&amp;$AE27)&amp;IF(OR($AF27="",$AF27="-"),""," "&amp;$AF27)&amp;IF($AB27="Y"," 4"&amp;CHAR(34)&amp;" HEAD","")&amp;" "&amp;IFERROR(VLOOKUP($H27,CODES,2,FALSE),"")&amp;IF($CT27," | LOC "&amp;$CY27,"")))</f>
        <v/>
      </c>
      <c r="CK27" s="85">
        <f>IF(NOT(AND($A27&lt;&gt;"",N($BJ27)&gt;0)),"",TRIM(IFERROR(VLOOKUP($AH27,CODES,2,FALSE),"")&amp;IF($AI27=""," "," "&amp;$AI27&amp;"GA ")&amp;$BG27&amp;" "&amp;IF($AN27="",IFERROR(VLOOKUP($Z27,CODES,2,FALSE),""),IFERROR(VLOOKUP($AN27,CODES,2,FALSE),""))&amp;IF($BJ27=2," PAIR","")&amp;" DOOR | "&amp;IF($AL27="","?",$AL27)&amp;" | "&amp;IF($AO27="",IFERROR(VLOOKUP($AC27,CODES,2,FALSE),""),IFERROR(VLOOKUP($AO27,CODES,2,FALSE),""))&amp;" "&amp;IFERROR(VLOOKUP($AP27,CODES,2,FALSE),"")&amp;IF(OR($AQ27="",$AQ27="-"),""," SEAM "&amp;$AQ27)&amp;IF($AR27="Y"," ASTRAGAL","")&amp;IF($AJ27=""," "," "&amp;$AJ27)&amp;IF($AK27=""," "," "&amp;$AK27)&amp;IF(OR($AT27="",$AT27="ANSI/SDI",$AT27="CUSTOM LOC"),""," "&amp;$AT27)&amp;IF($AM27=""," "," SERIES "&amp;$AM27)&amp;" "&amp;IFERROR(VLOOKUP($H27,CODES,2,FALSE),"")&amp;IF($CT27," | LOC "&amp;$CZ27,"")))</f>
        <v/>
      </c>
      <c r="CL27" s="84">
        <f>IF(CP27="","",IF(COUNTIF($CP$6:CP27,CP27)=1,MAX($CL$5:CL26)+1,INDEX($CL$5:CL26,MATCH(CP27,$CP$5:CP26,0))))</f>
        <v/>
      </c>
      <c r="CM27" s="84">
        <f>IF(NOT(AND($A27&lt;&gt;"",$C27&lt;&gt;"DOOR ONLY")),"",MAX($CM$5:CM26)+1)</f>
        <v/>
      </c>
      <c r="CN27" s="84">
        <f>IF(NOT(AND($A27&lt;&gt;"",N($BJ27)&gt;0)),"",MAX($CN$5:CN26)+1)</f>
        <v/>
      </c>
      <c r="CO27" s="84">
        <f>IF($A27="","",MAX($CO$5:CO26)+1)</f>
        <v/>
      </c>
      <c r="CP27" s="84">
        <f>IF(OR($A27="",$BH27="",$BI27=""),"",$BG27&amp;"|"&amp;$O27&amp;"|"&amp;$AL27&amp;"|"&amp;$S27&amp;"|"&amp;$P27&amp;"|"&amp;$Q27&amp;$R27&amp;"|"&amp;$C27&amp;"|"&amp;$AB27)</f>
        <v/>
      </c>
      <c r="CQ27" s="84">
        <f>N($BS27)</f>
        <v/>
      </c>
      <c r="CR27" s="84">
        <f>IF(N($AU27)&gt;0,N($AU27),4.5)</f>
        <v/>
      </c>
      <c r="CS27" s="84">
        <f>OR($A27="",$BI27="",$S27="BL",AND($C27="FRAME ONLY",OR($AC27="",$AC27="BLK")))</f>
        <v/>
      </c>
      <c r="CT27" s="84">
        <f>AND(NOT($CS27),OR($AT27="CUSTOM LOC",N($AW27)+N($AX27)+N($AY27)+N($AZ27)+N($BA27)&gt;0))</f>
        <v/>
      </c>
      <c r="CU27" s="84">
        <f>IF($BI27="","",IF($BI27&lt;=80,80,IF($BI27&lt;=84,84,96)))</f>
        <v/>
      </c>
      <c r="CV27" s="84">
        <f>ISNUMBER(MATCH($AT27&amp;"|80",LocKeys,0))</f>
        <v/>
      </c>
      <c r="CW27" s="86">
        <f>IF($CS27,"",IF($CV27,VLOOKUP($AT27&amp;"|"&amp;$CU27,LocTable,4,FALSE),5))</f>
        <v/>
      </c>
      <c r="CX27" s="86">
        <f>IF($CS27,"",IF($CV27,IF(OR($BI27=$CU27,AND($BI27&lt;$CU27,$BI27-IF(N(VLOOKUP($AT27&amp;"|"&amp;$CU27,LocTable,7,FALSE))&gt;0,VLOOKUP($AT27&amp;"|"&amp;$CU27,LocTable,7,FALSE),VLOOKUP($AT27&amp;"|"&amp;$CU27,LocTable,6,FALSE))-$CR27-0.75&gt;=2.125)),IF(N(VLOOKUP($AT27&amp;"|"&amp;$CU27,LocTable,7,FALSE))&gt;0,VLOOKUP($AT27&amp;"|"&amp;$CU27,LocTable,7,FALSE),VLOOKUP($AT27&amp;"|"&amp;$CU27,LocTable,6,FALSE)),$BI27-($CU27-IF(N(VLOOKUP($AT27&amp;"|"&amp;$CU27,LocTable,7,FALSE))&gt;0,VLOOKUP($AT27&amp;"|"&amp;$CU27,LocTable,7,FALSE),VLOOKUP($AT27&amp;"|"&amp;$CU27,LocTable,6,FALSE)))),$BI27-10-$CR27))</f>
        <v/>
      </c>
      <c r="CY27" s="85">
        <f>IF($CS27,"",TRIM(IF(ISNUMBER($BU27),"A "&amp;TRIM(TEXT($BU27,"# ?/??"))&amp;CHAR(34)&amp;"  ","")&amp;IF(ISNUMBER($BV27),"B "&amp;TRIM(TEXT($BV27,"# ?/??"))&amp;CHAR(34)&amp;"  ","")&amp;IF(ISNUMBER($BW27),"C "&amp;TRIM(TEXT($BW27,"# ?/??"))&amp;CHAR(34)&amp;"  ","")&amp;IF(ISNUMBER($BX27),"D "&amp;TRIM(TEXT($BX27,"# ?/??"))&amp;CHAR(34)&amp;"  ","")&amp;IF(ISNUMBER($BY27),"F "&amp;TRIM(TEXT($BY27,"# ?/??"))&amp;CHAR(34)&amp;"  ","")&amp;IF(ISNUMBER($BZ27),"E "&amp;TRIM(TEXT($BZ27,"# ?/??"))&amp;CHAR(34)&amp;"  ","")))</f>
        <v/>
      </c>
      <c r="CZ27" s="85">
        <f>IF(OR($CS27,N($BJ27)=0),"",TRIM(IF(ISNUMBER($BU27),"A "&amp;TRIM(TEXT($BU27-HeadClr,"# ?/??"))&amp;CHAR(34)&amp;"  ","")&amp;IF(ISNUMBER($BV27),"B "&amp;TRIM(TEXT($BV27-HeadClr,"# ?/??"))&amp;CHAR(34)&amp;"  ","")&amp;IF(ISNUMBER($BW27),"C "&amp;TRIM(TEXT($BW27-HeadClr,"# ?/??"))&amp;CHAR(34)&amp;"  ","")&amp;IF(ISNUMBER($BX27),"D "&amp;TRIM(TEXT($BX27-HeadClr,"# ?/??"))&amp;CHAR(34)&amp;"  ","")&amp;IF(ISNUMBER($BY27),"F "&amp;TRIM(TEXT($BY27-HeadClr,"# ?/??"))&amp;CHAR(34)&amp;"  ","")&amp;IF(ISNUMBER($BZ27),"E "&amp;TRIM(TEXT($BZ27-HeadClr,"# ?/??"))&amp;CHAR(34)&amp;"  ","")))</f>
        <v/>
      </c>
      <c r="DA27" s="84">
        <f>IF($A27="","",IF($AN27="",IFERROR(VLOOKUP($Z27,CODES,2,FALSE),""),IFERROR(VLOOKUP($AN27,CODES,2,FALSE),"")))</f>
        <v/>
      </c>
      <c r="DB27" s="84">
        <f>IF($A27="","",IF($O27="Y","PR",IF(OR($Z27="L",$Z27="RR",LEFT($Z27,2)="L-",LEFT($Z27,3)="RR-"),"LH","RH")))</f>
        <v/>
      </c>
      <c r="DC27" s="84">
        <f>IF($A27="","","S.HM"&amp;IF(OR($C27="DOOR ONLY",$X27&lt;&gt;"KD"),"MASONRY","DRYWALL")&amp;IF($C27="DOOR ONLY","",$U27)&amp;IF(AND($C27&lt;&gt;"FRAME ONLY",OR(LEFT($AH27,3)="OAK",LEFT($AH27,3)="BIR",LEFT($AH27,3)="MAP",$AH27="PC",$AH27="MC",$AH27="SCLC",$AH27="P-LAM")),"WD","HM")&amp;"1.75")</f>
        <v/>
      </c>
      <c r="DD27" s="84">
        <f>IF($CJ27="","",IF($O27="Y",$CJ27,SUBSTITUTE($CJ27,$BG27&amp;" "&amp;IFERROR(VLOOKUP($Z27,CODES,2,FALSE),"")&amp;" ",$BG27&amp;" ")))</f>
        <v/>
      </c>
      <c r="DE27" s="84">
        <f>IF($CK27="","",IF($O27="Y",$CK27,SUBSTITUTE($CK27,$BG27&amp;" "&amp;IF($AN27="",IFERROR(VLOOKUP($Z27,CODES,2,FALSE),""),IFERROR(VLOOKUP($AN27,CODES,2,FALSE),""))&amp;" ",$BG27&amp;" ")))</f>
        <v/>
      </c>
      <c r="DF27" s="84">
        <f>IF($CJ27="","",$DC27&amp;"|"&amp;$DD27&amp;"|"&amp;$DB27&amp;"|"&amp;$AT27&amp;"|"&amp;$V27&amp;"|"&amp;$Y27&amp;"|"&amp;$AB27)</f>
        <v/>
      </c>
      <c r="DG27" s="84">
        <f>IF(DF27="","",IF(COUNTIF($DF$6:DF27,DF27)=1,MAX($DG$5:DG26)+1,INDEX($DG$5:DG26,MATCH(DF27,$DF$5:DF26,0))))</f>
        <v/>
      </c>
      <c r="DH27" s="84">
        <f>IF($CK27="","",$DC27&amp;"|"&amp;$DE27&amp;"|"&amp;$AI27&amp;"|"&amp;$BK27&amp;"|"&amp;$BL27)</f>
        <v/>
      </c>
      <c r="DI27" s="84">
        <f>IF(DH27="","",IF(COUNTIF($DH$6:DH27,DH27)=1,MAX($DI$5:DI26)+1,INDEX($DI$5:DI26,MATCH(DH27,$DH$5:DH26,0))))</f>
        <v/>
      </c>
      <c r="DJ27" s="84">
        <f>IF($A27="","",IF($B27="","qty, ","")&amp;IF($C27="","scope, ","")&amp;IF(OR($K27="",$M27=""),"size, ","")&amp;IF(AND($A27&lt;&gt;"",$C27&lt;&gt;"DOOR ONLY"),IF($U27="","jamb depth, ","")&amp;IF($X27="","construction, ","")&amp;IF($Y27="","anchor, ","")&amp;IF($S27="","frame type, ",""),"")&amp;IF(AND(N($BJ27)&gt;0,$Z27=""),"hand, ","")&amp;IF(N($BJ27)&gt;0,IF($AH27="","door material, ","")&amp;IF($AL27="","face type, ","")&amp;IF($AP27="","lock prep, ","")&amp;IF(AND($AO27="",$AC27=""),"hinge prep, ",""),"")&amp;IF(AND($CH27&gt;0,$AH27="FRP"),"FRP cannot carry a label, ","")&amp;IF(AND($O27="Y",OR($Z27="L",$Z27="R",$Z27="LR",$Z27="RR")),"pair marked but hand is single, ","")&amp;IF(AND($O27&lt;&gt;"Y",OR($Z27="PR",AND(LEN($Z27)&gt;1,ISNUMBER(SEARCH("-",$Z27))))),"pair hand on a single door, ","")&amp;IF(AND(ISNUMBER($CI27),$CH27&lt;N($CI27)),"wall needs a "&amp;$CI27&amp;" min door, ","")&amp;IF(AND($CH27&gt;=180,AND(OR($CE27="FG",$CE27="HG",$CE27="FNV",$CE27="FV"),N($CF27)*N($CG27)&gt;100)),"180 min lite over 100 sq in, ","")&amp;IF(N($BK27)&gt;48,"leaf wider than 4'-0"&amp;CHAR(34)&amp;", ","")&amp;IF(AND($CT27,COUNT($AW27:$AZ27)=0,$CQ27&gt;0),"CUSTOM LOC with no locations typed, ",""))</f>
        <v/>
      </c>
      <c r="DK27" s="84">
        <f>IF($A27="","",IF(AND($CH27&gt;0,AND($A27&lt;&gt;"",$C27&lt;&gt;"DOOR ONLY"),$X27="KD",$E27="EXTERIOR"),"KD label on an exterior opening, ","")&amp;IF(AND($E27="EXTERIOR",OR(AND(AND($A27&lt;&gt;"",$C27&lt;&gt;"DOOR ONLY"),$W27="CR"),AND(N($BJ27)&gt;0,$AH27="CR"))),"exterior in CR steel (G9?), ","")&amp;IF(AND(ISNUMBER($BQ27),N($BQ27)&lt;32),"clear width ~"&amp;TEXT($BQ27,"0.0")&amp;CHAR(34)&amp;" under 32"&amp;CHAR(34)&amp;" (ADA), ","")&amp;IF(AND($CH27=90,AND(OR($CE27="FG",$CE27="HG",$CE27="FNV",$CE27="FV"),N($CF27)*N($CG27)&gt;100)),"90 min lite over 100 sq in (stair/exit), ","")&amp;IF(AND($CH27&gt;0,AND($A27&lt;&gt;"",$C27&lt;&gt;"DOOR ONLY"),OR($AF27="",$AF27="-")),"rated: closer reinf.?, ","")&amp;IF(OR($I27="CORRIDOR",$I27="SMOKE BARRIER"),"S label + smoke gasketing, ","")&amp;IF($CI27="?","wall type/hr not in IBC table, ","")&amp;IF(AND(N($BJ27)&gt;0,$BB27=""),"no hardware set, ","")&amp;IF(AND($BB27&lt;&gt;"",ISNA(MATCH($BB27&amp;"",HWSets,0))),"set "&amp;$BB27&amp;" not on HW Sets, ","")&amp;IF(N($BL27)&gt;96,"leaf over 8'-0"&amp;CHAR(34)&amp;" - check listing, ","")&amp;IF(AND($CT27,COUNT($AW27:$AZ27)&gt;0,COUNT($AW27:$AZ27)&lt;&gt;$CQ27),COUNT($AW27:$AZ27)&amp;" custom hinges typed, "&amp;$CQ27&amp;" expected, ","")&amp;IF(AND(ISNUMBER($CA27),OR(N($CA27)&lt;34,N($CA27)&gt;48)),"lock "&amp;TEXT($CA27,"0.0")&amp;CHAR(34)&amp;" AFF outside 34-48"&amp;CHAR(34)&amp;" (ADA), ","")&amp;IF(AND(ISNUMBER($AV27),ISNUMBER($BL27),N($AV27)&lt;IF(N($BL27)&lt;=60,2,IF(N($BL27)&lt;=90,3,IF(N($BL27)&lt;=120,4,5)))),"fewer hinges than standard, ",""))</f>
        <v/>
      </c>
    </row>
    <row r="28" ht="15" customHeight="1">
      <c r="A28" s="77" t="n"/>
      <c r="B28" s="78" t="n"/>
      <c r="C28" s="78" t="n"/>
      <c r="D28" s="78" t="n"/>
      <c r="E28" s="78" t="n"/>
      <c r="F28" s="78" t="n"/>
      <c r="G28" s="78" t="n"/>
      <c r="H28" s="78" t="n"/>
      <c r="I28" s="78" t="n"/>
      <c r="J28" s="78" t="n"/>
      <c r="K28" s="78" t="n"/>
      <c r="L28" s="78" t="n"/>
      <c r="M28" s="78" t="n"/>
      <c r="N28" s="78" t="n"/>
      <c r="O28" s="78" t="n"/>
      <c r="P28" s="78" t="n"/>
      <c r="Q28" s="78" t="n"/>
      <c r="R28" s="78" t="n"/>
      <c r="S28" s="79" t="n"/>
      <c r="T28" s="79" t="n"/>
      <c r="U28" s="79" t="n"/>
      <c r="V28" s="79" t="n"/>
      <c r="W28" s="79" t="n"/>
      <c r="X28" s="79" t="n"/>
      <c r="Y28" s="79" t="n"/>
      <c r="Z28" s="79" t="n"/>
      <c r="AA28" s="79" t="n"/>
      <c r="AB28" s="79" t="n"/>
      <c r="AC28" s="79" t="n"/>
      <c r="AD28" s="79" t="n"/>
      <c r="AE28" s="79" t="n"/>
      <c r="AF28" s="79" t="n"/>
      <c r="AG28" s="79" t="n"/>
      <c r="AH28" s="80" t="n"/>
      <c r="AI28" s="80" t="n"/>
      <c r="AJ28" s="80" t="n"/>
      <c r="AK28" s="80" t="n"/>
      <c r="AL28" s="80" t="n"/>
      <c r="AM28" s="80" t="n"/>
      <c r="AN28" s="80" t="n"/>
      <c r="AO28" s="80" t="n"/>
      <c r="AP28" s="80" t="n"/>
      <c r="AQ28" s="80" t="n"/>
      <c r="AR28" s="80" t="n"/>
      <c r="AS28" s="80" t="n"/>
      <c r="AT28" s="81" t="n"/>
      <c r="AU28" s="81" t="n"/>
      <c r="AV28" s="81" t="n"/>
      <c r="AW28" s="82" t="n"/>
      <c r="AX28" s="82" t="n"/>
      <c r="AY28" s="82" t="n"/>
      <c r="AZ28" s="82" t="n"/>
      <c r="BA28" s="82" t="n"/>
      <c r="BB28" s="83" t="n"/>
      <c r="BC28" s="83" t="n"/>
      <c r="BD28" s="84">
        <f>IF($A28="","",IF($DJ28&lt;&gt;"","FIX",IF($DK28&lt;&gt;"","CHECK","OK")))</f>
        <v/>
      </c>
      <c r="BE28" s="85">
        <f>IF($A28="","",IF($DJ28&lt;&gt;"","FIX: "&amp;LEFT($DJ28,LEN($DJ28)-2)&amp;IF($DK28&lt;&gt;"","  ·  ",""),"")&amp;IF($DK28&lt;&gt;"","CHECK: "&amp;LEFT($DK28,LEN($DK28)-2),""))</f>
        <v/>
      </c>
      <c r="BF28" s="84">
        <f>IF(OR($A28="",$K28=""),"",$K28&amp;"'-"&amp;N($L28)&amp;CHAR(34)&amp;" x "&amp;$M28&amp;"'-"&amp;N($N28)&amp;CHAR(34))</f>
        <v/>
      </c>
      <c r="BG28" s="84">
        <f>IF(OR($A28="",$K28=""),"",$K28&amp;N($L28)&amp;$M28&amp;N($N28))</f>
        <v/>
      </c>
      <c r="BH28" s="84">
        <f>IF(OR($A28="",$K28=""),"",$K28*12+N($L28))</f>
        <v/>
      </c>
      <c r="BI28" s="84">
        <f>IF(OR($A28="",$M28=""),"",$M28*12+N($N28))</f>
        <v/>
      </c>
      <c r="BJ28" s="84">
        <f>IF($A28="","",IF(OR($C28="FRAME ONLY",$S28="BL"),0,IF($O28="Y",2,1)))</f>
        <v/>
      </c>
      <c r="BK28" s="86">
        <f>IF(OR(N($BJ28)=0,$BH28=""),"",($BH28-2*EdgeClr-IF($BJ28=2,MeetClr,0))/$BJ28)</f>
        <v/>
      </c>
      <c r="BL28" s="86">
        <f>IF(OR(N($BJ28)=0,$BI28=""),"",$BI28-HeadClr-Undercut)</f>
        <v/>
      </c>
      <c r="BM28" s="86">
        <f>IF($BH28="","",$BH28+2*FaceW+IF(N($Q28)&gt;0,($Q28+FaceW)*IF($R28="LR",2,1),0))</f>
        <v/>
      </c>
      <c r="BN28" s="86">
        <f>IF($BI28="","",$BI28+IF($AB28="Y",4,FaceW)+IF(N($P28)&gt;0,$P28+FaceW,0)+IF(OR($S28="4F",$S28="BL"),FaceW,0))</f>
        <v/>
      </c>
      <c r="BO28" s="86">
        <f>IF($BM28="","",$BM28+2*ROSide)</f>
        <v/>
      </c>
      <c r="BP28" s="86">
        <f>IF($BN28="","",$BN28+ROTop)</f>
        <v/>
      </c>
      <c r="BQ28" s="87">
        <f>IF(OR(N($BJ28)=0,$BH28=""),"",$BH28/$BJ28-ClearDeduct)</f>
        <v/>
      </c>
      <c r="BR28" s="84">
        <f>IF(N($CH28)=0,"",IF($CH28&gt;=180,"A · 3 HR",IF($CH28&gt;=90,"B · 1-1/2 HR",IF($CH28&gt;=60,"B · 1 HR",IF($CH28&gt;=45,"C · 3/4 HR","20 MIN")))))&amp;IF(AND(N($CH28)&gt;0,OR($I28="CORRIDOR",$I28="SMOKE BARRIER"))," · S","")</f>
        <v/>
      </c>
      <c r="BS28" s="84">
        <f>IF($CS28,"",IF($AV28&lt;&gt;"",$AV28,IF(OR($AC28="HGC",$AO28="HGC"),"CONT",IF(($BI28-HeadClr-Undercut)&lt;=60,2,IF(($BI28-HeadClr-Undercut)&lt;=90,3,IF(($BI28-HeadClr-Undercut)&lt;=120,4,5))))))</f>
        <v/>
      </c>
      <c r="BT28" s="84">
        <f>IF($CS28,"",IF($CT28,"CUSTOM (typed)",IF($CV28,$AT28&amp;" "&amp;$CU28&amp;CHAR(34)&amp;IF($CU28&lt;&gt;$BI28,IF(AND($BI28&lt;$CU28,$BI28-IF(N(VLOOKUP($AT28&amp;"|"&amp;$CU28,LocTable,7,FALSE))&gt;0,VLOOKUP($AT28&amp;"|"&amp;$CU28,LocTable,7,FALSE),VLOOKUP($AT28&amp;"|"&amp;$CU28,LocTable,6,FALSE))-$CR28-0.75&gt;=2.125)," cut down"," adj."),""),"ANSI/SDI A250.6")))</f>
        <v/>
      </c>
      <c r="BU28" s="88">
        <f>IF($CS28,"",IF($CT28,IF(N($AW28)&gt;0,N($AW28),""),IF(1&gt;$CQ28,"",IF($CQ28=1,$CW28,$CW28+($CX28-$CW28)*0/($CQ28-1)))))</f>
        <v/>
      </c>
      <c r="BV28" s="88">
        <f>IF($CS28,"",IF($CT28,IF(N($AX28)&gt;0,N($AX28),""),IF(2&gt;$CQ28,"",IF($CQ28=1,$CW28,$CW28+($CX28-$CW28)*1/($CQ28-1)))))</f>
        <v/>
      </c>
      <c r="BW28" s="88">
        <f>IF($CS28,"",IF($CT28,IF(N($AY28)&gt;0,N($AY28),""),IF(3&gt;$CQ28,"",IF($CQ28=1,$CW28,$CW28+($CX28-$CW28)*2/($CQ28-1)))))</f>
        <v/>
      </c>
      <c r="BX28" s="88">
        <f>IF($CS28,"",IF($CT28,IF(N($AZ28)&gt;0,N($AZ28),""),IF(4&gt;$CQ28,"",IF($CQ28=1,$CW28,$CW28+($CX28-$CW28)*3/($CQ28-1)))))</f>
        <v/>
      </c>
      <c r="BY28" s="88">
        <f>IF($CS28,"",IF($CT28,"",IF(5&gt;$CQ28,"",IF($CQ28=1,$CW28,$CW28+($CX28-$CW28)*4/($CQ28-1)))))</f>
        <v/>
      </c>
      <c r="BZ28" s="88">
        <f>IF(OR($CS28,$AP28="-",AND($AP28="",$AD28="")),"",IF(N($BA28)&gt;0,N($BA28),IF($CV28,IF(AND($BI28&lt;$CU28,$BI28-IF(N(VLOOKUP($AT28&amp;"|"&amp;$CU28,LocTable,7,FALSE))&gt;0,VLOOKUP($AT28&amp;"|"&amp;$CU28,LocTable,7,FALSE),VLOOKUP($AT28&amp;"|"&amp;$CU28,LocTable,6,FALSE))-$CR28-0.75&gt;=2.125),VLOOKUP($AT28&amp;"|"&amp;$CU28,LocTable,8,FALSE),VLOOKUP($AT28&amp;"|"&amp;$CU28,LocTable,8,FALSE)+($BI28-$CU28)),$BI28-LockAFF)))</f>
        <v/>
      </c>
      <c r="CA28" s="89">
        <f>IF($BZ28="","",$BI28-$BZ28)</f>
        <v/>
      </c>
      <c r="CB28" s="84">
        <f>IF(OR(NOT(AND($A28&lt;&gt;"",$C28&lt;&gt;"DOOR ONLY")),$BI28=""),"",IF(($BI28+IF(N($P28)&gt;0,$P28+FaceW,0))&lt;=90,3,IF(($BI28+IF(N($P28)&gt;0,$P28+FaceW,0))&lt;=114,4,5)))</f>
        <v/>
      </c>
      <c r="CC28" s="84">
        <f>IF($CB28="","",$CB28*(2+IF(N($Q28)&gt;0,IF($R28="LR",2,1),0)))</f>
        <v/>
      </c>
      <c r="CD28" s="84">
        <f>IF($CB28="","",(2+IF(N($Q28)&gt;0,IF($R28="LR",2,1),0)))</f>
        <v/>
      </c>
      <c r="CE28" s="84">
        <f>IF(N($BJ28)=0,"",IF(OR($AL28="",$AL28="FLUSH"),"FLUSH",IFERROR(LEFT($AL28,FIND("-",$AL28)-1),LEFT($AL28,2))))</f>
        <v/>
      </c>
      <c r="CF28" s="84">
        <f>IF($CE28="","",IFERROR(VALUE(MID($AL28,FIND("-",$AL28)+1,FIND(CHAR(34)&amp;"x",$AL28)-FIND("-",$AL28)-1)),0))</f>
        <v/>
      </c>
      <c r="CG28" s="84">
        <f>IF($CE28="","",IFERROR(VALUE(MID($AL28,FIND(CHAR(34)&amp;"x",$AL28)+2,FIND(CHAR(34),$AL28,FIND(CHAR(34)&amp;"x",$AL28)+2)-FIND(CHAR(34)&amp;"x",$AL28)-2)),0))</f>
        <v/>
      </c>
      <c r="CH28" s="90">
        <f>IF(OR($A28="",$H28="",$H28="NO LAB"),0,IFERROR(VALUE(LEFT($H28,FIND(" ",$H28)-1)),0))</f>
        <v/>
      </c>
      <c r="CI28" s="91">
        <f>IF(OR($A28="",$I28="",$I28="NON-RATED",N($J28)=0),"",IFERROR(VLOOKUP($I28&amp;"|"&amp;$J28,IBC,2,FALSE),"?"))</f>
        <v/>
      </c>
      <c r="CJ28" s="85">
        <f>IF(NOT(AND($A28&lt;&gt;"",$C28&lt;&gt;"DOOR ONLY")),"",TRIM(IFERROR(VLOOKUP($U28,CODES,2,FALSE),"")&amp;" "&amp;$BG28&amp;" "&amp;IFERROR(VLOOKUP($Z28,CODES,2,FALSE),"")&amp;" "&amp;IFERROR(VLOOKUP($X28,CODES,2,FALSE),"")&amp;" "&amp;IFERROR(VLOOKUP($S28,CODES,2,FALSE),"")&amp;IF(N($P28)&gt;0," w/TRANSOM "&amp;$P28&amp;CHAR(34),"")&amp;IF(N($Q28)&gt;0," w/SIDELITE "&amp;$Q28&amp;CHAR(34)&amp;" "&amp;IF($R28="","R",$R28),"")&amp;IF($Y28="","  |  "," | "&amp;IFERROR(VLOOKUP($Y28,CODES,2,FALSE),"")&amp;" | ")&amp;IFERROR(VLOOKUP($AC28,CODES,2,FALSE),"")&amp;" "&amp;IFERROR(VLOOKUP($AD28,CODES,2,FALSE),"")&amp;IF(OR($AE28="",$AE28="-"),""," "&amp;$AE28)&amp;IF(OR($AF28="",$AF28="-"),""," "&amp;$AF28)&amp;IF($AB28="Y"," 4"&amp;CHAR(34)&amp;" HEAD","")&amp;" "&amp;IFERROR(VLOOKUP($H28,CODES,2,FALSE),"")&amp;IF($CT28," | LOC "&amp;$CY28,"")))</f>
        <v/>
      </c>
      <c r="CK28" s="85">
        <f>IF(NOT(AND($A28&lt;&gt;"",N($BJ28)&gt;0)),"",TRIM(IFERROR(VLOOKUP($AH28,CODES,2,FALSE),"")&amp;IF($AI28=""," "," "&amp;$AI28&amp;"GA ")&amp;$BG28&amp;" "&amp;IF($AN28="",IFERROR(VLOOKUP($Z28,CODES,2,FALSE),""),IFERROR(VLOOKUP($AN28,CODES,2,FALSE),""))&amp;IF($BJ28=2," PAIR","")&amp;" DOOR | "&amp;IF($AL28="","?",$AL28)&amp;" | "&amp;IF($AO28="",IFERROR(VLOOKUP($AC28,CODES,2,FALSE),""),IFERROR(VLOOKUP($AO28,CODES,2,FALSE),""))&amp;" "&amp;IFERROR(VLOOKUP($AP28,CODES,2,FALSE),"")&amp;IF(OR($AQ28="",$AQ28="-"),""," SEAM "&amp;$AQ28)&amp;IF($AR28="Y"," ASTRAGAL","")&amp;IF($AJ28=""," "," "&amp;$AJ28)&amp;IF($AK28=""," "," "&amp;$AK28)&amp;IF(OR($AT28="",$AT28="ANSI/SDI",$AT28="CUSTOM LOC"),""," "&amp;$AT28)&amp;IF($AM28=""," "," SERIES "&amp;$AM28)&amp;" "&amp;IFERROR(VLOOKUP($H28,CODES,2,FALSE),"")&amp;IF($CT28," | LOC "&amp;$CZ28,"")))</f>
        <v/>
      </c>
      <c r="CL28" s="84">
        <f>IF(CP28="","",IF(COUNTIF($CP$6:CP28,CP28)=1,MAX($CL$5:CL27)+1,INDEX($CL$5:CL27,MATCH(CP28,$CP$5:CP27,0))))</f>
        <v/>
      </c>
      <c r="CM28" s="84">
        <f>IF(NOT(AND($A28&lt;&gt;"",$C28&lt;&gt;"DOOR ONLY")),"",MAX($CM$5:CM27)+1)</f>
        <v/>
      </c>
      <c r="CN28" s="84">
        <f>IF(NOT(AND($A28&lt;&gt;"",N($BJ28)&gt;0)),"",MAX($CN$5:CN27)+1)</f>
        <v/>
      </c>
      <c r="CO28" s="84">
        <f>IF($A28="","",MAX($CO$5:CO27)+1)</f>
        <v/>
      </c>
      <c r="CP28" s="84">
        <f>IF(OR($A28="",$BH28="",$BI28=""),"",$BG28&amp;"|"&amp;$O28&amp;"|"&amp;$AL28&amp;"|"&amp;$S28&amp;"|"&amp;$P28&amp;"|"&amp;$Q28&amp;$R28&amp;"|"&amp;$C28&amp;"|"&amp;$AB28)</f>
        <v/>
      </c>
      <c r="CQ28" s="84">
        <f>N($BS28)</f>
        <v/>
      </c>
      <c r="CR28" s="84">
        <f>IF(N($AU28)&gt;0,N($AU28),4.5)</f>
        <v/>
      </c>
      <c r="CS28" s="84">
        <f>OR($A28="",$BI28="",$S28="BL",AND($C28="FRAME ONLY",OR($AC28="",$AC28="BLK")))</f>
        <v/>
      </c>
      <c r="CT28" s="84">
        <f>AND(NOT($CS28),OR($AT28="CUSTOM LOC",N($AW28)+N($AX28)+N($AY28)+N($AZ28)+N($BA28)&gt;0))</f>
        <v/>
      </c>
      <c r="CU28" s="84">
        <f>IF($BI28="","",IF($BI28&lt;=80,80,IF($BI28&lt;=84,84,96)))</f>
        <v/>
      </c>
      <c r="CV28" s="84">
        <f>ISNUMBER(MATCH($AT28&amp;"|80",LocKeys,0))</f>
        <v/>
      </c>
      <c r="CW28" s="86">
        <f>IF($CS28,"",IF($CV28,VLOOKUP($AT28&amp;"|"&amp;$CU28,LocTable,4,FALSE),5))</f>
        <v/>
      </c>
      <c r="CX28" s="86">
        <f>IF($CS28,"",IF($CV28,IF(OR($BI28=$CU28,AND($BI28&lt;$CU28,$BI28-IF(N(VLOOKUP($AT28&amp;"|"&amp;$CU28,LocTable,7,FALSE))&gt;0,VLOOKUP($AT28&amp;"|"&amp;$CU28,LocTable,7,FALSE),VLOOKUP($AT28&amp;"|"&amp;$CU28,LocTable,6,FALSE))-$CR28-0.75&gt;=2.125)),IF(N(VLOOKUP($AT28&amp;"|"&amp;$CU28,LocTable,7,FALSE))&gt;0,VLOOKUP($AT28&amp;"|"&amp;$CU28,LocTable,7,FALSE),VLOOKUP($AT28&amp;"|"&amp;$CU28,LocTable,6,FALSE)),$BI28-($CU28-IF(N(VLOOKUP($AT28&amp;"|"&amp;$CU28,LocTable,7,FALSE))&gt;0,VLOOKUP($AT28&amp;"|"&amp;$CU28,LocTable,7,FALSE),VLOOKUP($AT28&amp;"|"&amp;$CU28,LocTable,6,FALSE)))),$BI28-10-$CR28))</f>
        <v/>
      </c>
      <c r="CY28" s="85">
        <f>IF($CS28,"",TRIM(IF(ISNUMBER($BU28),"A "&amp;TRIM(TEXT($BU28,"# ?/??"))&amp;CHAR(34)&amp;"  ","")&amp;IF(ISNUMBER($BV28),"B "&amp;TRIM(TEXT($BV28,"# ?/??"))&amp;CHAR(34)&amp;"  ","")&amp;IF(ISNUMBER($BW28),"C "&amp;TRIM(TEXT($BW28,"# ?/??"))&amp;CHAR(34)&amp;"  ","")&amp;IF(ISNUMBER($BX28),"D "&amp;TRIM(TEXT($BX28,"# ?/??"))&amp;CHAR(34)&amp;"  ","")&amp;IF(ISNUMBER($BY28),"F "&amp;TRIM(TEXT($BY28,"# ?/??"))&amp;CHAR(34)&amp;"  ","")&amp;IF(ISNUMBER($BZ28),"E "&amp;TRIM(TEXT($BZ28,"# ?/??"))&amp;CHAR(34)&amp;"  ","")))</f>
        <v/>
      </c>
      <c r="CZ28" s="85">
        <f>IF(OR($CS28,N($BJ28)=0),"",TRIM(IF(ISNUMBER($BU28),"A "&amp;TRIM(TEXT($BU28-HeadClr,"# ?/??"))&amp;CHAR(34)&amp;"  ","")&amp;IF(ISNUMBER($BV28),"B "&amp;TRIM(TEXT($BV28-HeadClr,"# ?/??"))&amp;CHAR(34)&amp;"  ","")&amp;IF(ISNUMBER($BW28),"C "&amp;TRIM(TEXT($BW28-HeadClr,"# ?/??"))&amp;CHAR(34)&amp;"  ","")&amp;IF(ISNUMBER($BX28),"D "&amp;TRIM(TEXT($BX28-HeadClr,"# ?/??"))&amp;CHAR(34)&amp;"  ","")&amp;IF(ISNUMBER($BY28),"F "&amp;TRIM(TEXT($BY28-HeadClr,"# ?/??"))&amp;CHAR(34)&amp;"  ","")&amp;IF(ISNUMBER($BZ28),"E "&amp;TRIM(TEXT($BZ28-HeadClr,"# ?/??"))&amp;CHAR(34)&amp;"  ","")))</f>
        <v/>
      </c>
      <c r="DA28" s="84">
        <f>IF($A28="","",IF($AN28="",IFERROR(VLOOKUP($Z28,CODES,2,FALSE),""),IFERROR(VLOOKUP($AN28,CODES,2,FALSE),"")))</f>
        <v/>
      </c>
      <c r="DB28" s="84">
        <f>IF($A28="","",IF($O28="Y","PR",IF(OR($Z28="L",$Z28="RR",LEFT($Z28,2)="L-",LEFT($Z28,3)="RR-"),"LH","RH")))</f>
        <v/>
      </c>
      <c r="DC28" s="84">
        <f>IF($A28="","","S.HM"&amp;IF(OR($C28="DOOR ONLY",$X28&lt;&gt;"KD"),"MASONRY","DRYWALL")&amp;IF($C28="DOOR ONLY","",$U28)&amp;IF(AND($C28&lt;&gt;"FRAME ONLY",OR(LEFT($AH28,3)="OAK",LEFT($AH28,3)="BIR",LEFT($AH28,3)="MAP",$AH28="PC",$AH28="MC",$AH28="SCLC",$AH28="P-LAM")),"WD","HM")&amp;"1.75")</f>
        <v/>
      </c>
      <c r="DD28" s="84">
        <f>IF($CJ28="","",IF($O28="Y",$CJ28,SUBSTITUTE($CJ28,$BG28&amp;" "&amp;IFERROR(VLOOKUP($Z28,CODES,2,FALSE),"")&amp;" ",$BG28&amp;" ")))</f>
        <v/>
      </c>
      <c r="DE28" s="84">
        <f>IF($CK28="","",IF($O28="Y",$CK28,SUBSTITUTE($CK28,$BG28&amp;" "&amp;IF($AN28="",IFERROR(VLOOKUP($Z28,CODES,2,FALSE),""),IFERROR(VLOOKUP($AN28,CODES,2,FALSE),""))&amp;" ",$BG28&amp;" ")))</f>
        <v/>
      </c>
      <c r="DF28" s="84">
        <f>IF($CJ28="","",$DC28&amp;"|"&amp;$DD28&amp;"|"&amp;$DB28&amp;"|"&amp;$AT28&amp;"|"&amp;$V28&amp;"|"&amp;$Y28&amp;"|"&amp;$AB28)</f>
        <v/>
      </c>
      <c r="DG28" s="84">
        <f>IF(DF28="","",IF(COUNTIF($DF$6:DF28,DF28)=1,MAX($DG$5:DG27)+1,INDEX($DG$5:DG27,MATCH(DF28,$DF$5:DF27,0))))</f>
        <v/>
      </c>
      <c r="DH28" s="84">
        <f>IF($CK28="","",$DC28&amp;"|"&amp;$DE28&amp;"|"&amp;$AI28&amp;"|"&amp;$BK28&amp;"|"&amp;$BL28)</f>
        <v/>
      </c>
      <c r="DI28" s="84">
        <f>IF(DH28="","",IF(COUNTIF($DH$6:DH28,DH28)=1,MAX($DI$5:DI27)+1,INDEX($DI$5:DI27,MATCH(DH28,$DH$5:DH27,0))))</f>
        <v/>
      </c>
      <c r="DJ28" s="84">
        <f>IF($A28="","",IF($B28="","qty, ","")&amp;IF($C28="","scope, ","")&amp;IF(OR($K28="",$M28=""),"size, ","")&amp;IF(AND($A28&lt;&gt;"",$C28&lt;&gt;"DOOR ONLY"),IF($U28="","jamb depth, ","")&amp;IF($X28="","construction, ","")&amp;IF($Y28="","anchor, ","")&amp;IF($S28="","frame type, ",""),"")&amp;IF(AND(N($BJ28)&gt;0,$Z28=""),"hand, ","")&amp;IF(N($BJ28)&gt;0,IF($AH28="","door material, ","")&amp;IF($AL28="","face type, ","")&amp;IF($AP28="","lock prep, ","")&amp;IF(AND($AO28="",$AC28=""),"hinge prep, ",""),"")&amp;IF(AND($CH28&gt;0,$AH28="FRP"),"FRP cannot carry a label, ","")&amp;IF(AND($O28="Y",OR($Z28="L",$Z28="R",$Z28="LR",$Z28="RR")),"pair marked but hand is single, ","")&amp;IF(AND($O28&lt;&gt;"Y",OR($Z28="PR",AND(LEN($Z28)&gt;1,ISNUMBER(SEARCH("-",$Z28))))),"pair hand on a single door, ","")&amp;IF(AND(ISNUMBER($CI28),$CH28&lt;N($CI28)),"wall needs a "&amp;$CI28&amp;" min door, ","")&amp;IF(AND($CH28&gt;=180,AND(OR($CE28="FG",$CE28="HG",$CE28="FNV",$CE28="FV"),N($CF28)*N($CG28)&gt;100)),"180 min lite over 100 sq in, ","")&amp;IF(N($BK28)&gt;48,"leaf wider than 4'-0"&amp;CHAR(34)&amp;", ","")&amp;IF(AND($CT28,COUNT($AW28:$AZ28)=0,$CQ28&gt;0),"CUSTOM LOC with no locations typed, ",""))</f>
        <v/>
      </c>
      <c r="DK28" s="84">
        <f>IF($A28="","",IF(AND($CH28&gt;0,AND($A28&lt;&gt;"",$C28&lt;&gt;"DOOR ONLY"),$X28="KD",$E28="EXTERIOR"),"KD label on an exterior opening, ","")&amp;IF(AND($E28="EXTERIOR",OR(AND(AND($A28&lt;&gt;"",$C28&lt;&gt;"DOOR ONLY"),$W28="CR"),AND(N($BJ28)&gt;0,$AH28="CR"))),"exterior in CR steel (G9?), ","")&amp;IF(AND(ISNUMBER($BQ28),N($BQ28)&lt;32),"clear width ~"&amp;TEXT($BQ28,"0.0")&amp;CHAR(34)&amp;" under 32"&amp;CHAR(34)&amp;" (ADA), ","")&amp;IF(AND($CH28=90,AND(OR($CE28="FG",$CE28="HG",$CE28="FNV",$CE28="FV"),N($CF28)*N($CG28)&gt;100)),"90 min lite over 100 sq in (stair/exit), ","")&amp;IF(AND($CH28&gt;0,AND($A28&lt;&gt;"",$C28&lt;&gt;"DOOR ONLY"),OR($AF28="",$AF28="-")),"rated: closer reinf.?, ","")&amp;IF(OR($I28="CORRIDOR",$I28="SMOKE BARRIER"),"S label + smoke gasketing, ","")&amp;IF($CI28="?","wall type/hr not in IBC table, ","")&amp;IF(AND(N($BJ28)&gt;0,$BB28=""),"no hardware set, ","")&amp;IF(AND($BB28&lt;&gt;"",ISNA(MATCH($BB28&amp;"",HWSets,0))),"set "&amp;$BB28&amp;" not on HW Sets, ","")&amp;IF(N($BL28)&gt;96,"leaf over 8'-0"&amp;CHAR(34)&amp;" - check listing, ","")&amp;IF(AND($CT28,COUNT($AW28:$AZ28)&gt;0,COUNT($AW28:$AZ28)&lt;&gt;$CQ28),COUNT($AW28:$AZ28)&amp;" custom hinges typed, "&amp;$CQ28&amp;" expected, ","")&amp;IF(AND(ISNUMBER($CA28),OR(N($CA28)&lt;34,N($CA28)&gt;48)),"lock "&amp;TEXT($CA28,"0.0")&amp;CHAR(34)&amp;" AFF outside 34-48"&amp;CHAR(34)&amp;" (ADA), ","")&amp;IF(AND(ISNUMBER($AV28),ISNUMBER($BL28),N($AV28)&lt;IF(N($BL28)&lt;=60,2,IF(N($BL28)&lt;=90,3,IF(N($BL28)&lt;=120,4,5)))),"fewer hinges than standard, ",""))</f>
        <v/>
      </c>
    </row>
    <row r="29" ht="15" customHeight="1">
      <c r="A29" s="77" t="n"/>
      <c r="B29" s="78" t="n"/>
      <c r="C29" s="78" t="n"/>
      <c r="D29" s="78" t="n"/>
      <c r="E29" s="78" t="n"/>
      <c r="F29" s="78" t="n"/>
      <c r="G29" s="78" t="n"/>
      <c r="H29" s="78" t="n"/>
      <c r="I29" s="78" t="n"/>
      <c r="J29" s="78" t="n"/>
      <c r="K29" s="78" t="n"/>
      <c r="L29" s="78" t="n"/>
      <c r="M29" s="78" t="n"/>
      <c r="N29" s="78" t="n"/>
      <c r="O29" s="78" t="n"/>
      <c r="P29" s="78" t="n"/>
      <c r="Q29" s="78" t="n"/>
      <c r="R29" s="78" t="n"/>
      <c r="S29" s="79" t="n"/>
      <c r="T29" s="79" t="n"/>
      <c r="U29" s="79" t="n"/>
      <c r="V29" s="79" t="n"/>
      <c r="W29" s="79" t="n"/>
      <c r="X29" s="79" t="n"/>
      <c r="Y29" s="79" t="n"/>
      <c r="Z29" s="79" t="n"/>
      <c r="AA29" s="79" t="n"/>
      <c r="AB29" s="79" t="n"/>
      <c r="AC29" s="79" t="n"/>
      <c r="AD29" s="79" t="n"/>
      <c r="AE29" s="79" t="n"/>
      <c r="AF29" s="79" t="n"/>
      <c r="AG29" s="79" t="n"/>
      <c r="AH29" s="80" t="n"/>
      <c r="AI29" s="80" t="n"/>
      <c r="AJ29" s="80" t="n"/>
      <c r="AK29" s="80" t="n"/>
      <c r="AL29" s="80" t="n"/>
      <c r="AM29" s="80" t="n"/>
      <c r="AN29" s="80" t="n"/>
      <c r="AO29" s="80" t="n"/>
      <c r="AP29" s="80" t="n"/>
      <c r="AQ29" s="80" t="n"/>
      <c r="AR29" s="80" t="n"/>
      <c r="AS29" s="80" t="n"/>
      <c r="AT29" s="81" t="n"/>
      <c r="AU29" s="81" t="n"/>
      <c r="AV29" s="81" t="n"/>
      <c r="AW29" s="82" t="n"/>
      <c r="AX29" s="82" t="n"/>
      <c r="AY29" s="82" t="n"/>
      <c r="AZ29" s="82" t="n"/>
      <c r="BA29" s="82" t="n"/>
      <c r="BB29" s="83" t="n"/>
      <c r="BC29" s="83" t="n"/>
      <c r="BD29" s="84">
        <f>IF($A29="","",IF($DJ29&lt;&gt;"","FIX",IF($DK29&lt;&gt;"","CHECK","OK")))</f>
        <v/>
      </c>
      <c r="BE29" s="85">
        <f>IF($A29="","",IF($DJ29&lt;&gt;"","FIX: "&amp;LEFT($DJ29,LEN($DJ29)-2)&amp;IF($DK29&lt;&gt;"","  ·  ",""),"")&amp;IF($DK29&lt;&gt;"","CHECK: "&amp;LEFT($DK29,LEN($DK29)-2),""))</f>
        <v/>
      </c>
      <c r="BF29" s="84">
        <f>IF(OR($A29="",$K29=""),"",$K29&amp;"'-"&amp;N($L29)&amp;CHAR(34)&amp;" x "&amp;$M29&amp;"'-"&amp;N($N29)&amp;CHAR(34))</f>
        <v/>
      </c>
      <c r="BG29" s="84">
        <f>IF(OR($A29="",$K29=""),"",$K29&amp;N($L29)&amp;$M29&amp;N($N29))</f>
        <v/>
      </c>
      <c r="BH29" s="84">
        <f>IF(OR($A29="",$K29=""),"",$K29*12+N($L29))</f>
        <v/>
      </c>
      <c r="BI29" s="84">
        <f>IF(OR($A29="",$M29=""),"",$M29*12+N($N29))</f>
        <v/>
      </c>
      <c r="BJ29" s="84">
        <f>IF($A29="","",IF(OR($C29="FRAME ONLY",$S29="BL"),0,IF($O29="Y",2,1)))</f>
        <v/>
      </c>
      <c r="BK29" s="86">
        <f>IF(OR(N($BJ29)=0,$BH29=""),"",($BH29-2*EdgeClr-IF($BJ29=2,MeetClr,0))/$BJ29)</f>
        <v/>
      </c>
      <c r="BL29" s="86">
        <f>IF(OR(N($BJ29)=0,$BI29=""),"",$BI29-HeadClr-Undercut)</f>
        <v/>
      </c>
      <c r="BM29" s="86">
        <f>IF($BH29="","",$BH29+2*FaceW+IF(N($Q29)&gt;0,($Q29+FaceW)*IF($R29="LR",2,1),0))</f>
        <v/>
      </c>
      <c r="BN29" s="86">
        <f>IF($BI29="","",$BI29+IF($AB29="Y",4,FaceW)+IF(N($P29)&gt;0,$P29+FaceW,0)+IF(OR($S29="4F",$S29="BL"),FaceW,0))</f>
        <v/>
      </c>
      <c r="BO29" s="86">
        <f>IF($BM29="","",$BM29+2*ROSide)</f>
        <v/>
      </c>
      <c r="BP29" s="86">
        <f>IF($BN29="","",$BN29+ROTop)</f>
        <v/>
      </c>
      <c r="BQ29" s="87">
        <f>IF(OR(N($BJ29)=0,$BH29=""),"",$BH29/$BJ29-ClearDeduct)</f>
        <v/>
      </c>
      <c r="BR29" s="84">
        <f>IF(N($CH29)=0,"",IF($CH29&gt;=180,"A · 3 HR",IF($CH29&gt;=90,"B · 1-1/2 HR",IF($CH29&gt;=60,"B · 1 HR",IF($CH29&gt;=45,"C · 3/4 HR","20 MIN")))))&amp;IF(AND(N($CH29)&gt;0,OR($I29="CORRIDOR",$I29="SMOKE BARRIER"))," · S","")</f>
        <v/>
      </c>
      <c r="BS29" s="84">
        <f>IF($CS29,"",IF($AV29&lt;&gt;"",$AV29,IF(OR($AC29="HGC",$AO29="HGC"),"CONT",IF(($BI29-HeadClr-Undercut)&lt;=60,2,IF(($BI29-HeadClr-Undercut)&lt;=90,3,IF(($BI29-HeadClr-Undercut)&lt;=120,4,5))))))</f>
        <v/>
      </c>
      <c r="BT29" s="84">
        <f>IF($CS29,"",IF($CT29,"CUSTOM (typed)",IF($CV29,$AT29&amp;" "&amp;$CU29&amp;CHAR(34)&amp;IF($CU29&lt;&gt;$BI29,IF(AND($BI29&lt;$CU29,$BI29-IF(N(VLOOKUP($AT29&amp;"|"&amp;$CU29,LocTable,7,FALSE))&gt;0,VLOOKUP($AT29&amp;"|"&amp;$CU29,LocTable,7,FALSE),VLOOKUP($AT29&amp;"|"&amp;$CU29,LocTable,6,FALSE))-$CR29-0.75&gt;=2.125)," cut down"," adj."),""),"ANSI/SDI A250.6")))</f>
        <v/>
      </c>
      <c r="BU29" s="88">
        <f>IF($CS29,"",IF($CT29,IF(N($AW29)&gt;0,N($AW29),""),IF(1&gt;$CQ29,"",IF($CQ29=1,$CW29,$CW29+($CX29-$CW29)*0/($CQ29-1)))))</f>
        <v/>
      </c>
      <c r="BV29" s="88">
        <f>IF($CS29,"",IF($CT29,IF(N($AX29)&gt;0,N($AX29),""),IF(2&gt;$CQ29,"",IF($CQ29=1,$CW29,$CW29+($CX29-$CW29)*1/($CQ29-1)))))</f>
        <v/>
      </c>
      <c r="BW29" s="88">
        <f>IF($CS29,"",IF($CT29,IF(N($AY29)&gt;0,N($AY29),""),IF(3&gt;$CQ29,"",IF($CQ29=1,$CW29,$CW29+($CX29-$CW29)*2/($CQ29-1)))))</f>
        <v/>
      </c>
      <c r="BX29" s="88">
        <f>IF($CS29,"",IF($CT29,IF(N($AZ29)&gt;0,N($AZ29),""),IF(4&gt;$CQ29,"",IF($CQ29=1,$CW29,$CW29+($CX29-$CW29)*3/($CQ29-1)))))</f>
        <v/>
      </c>
      <c r="BY29" s="88">
        <f>IF($CS29,"",IF($CT29,"",IF(5&gt;$CQ29,"",IF($CQ29=1,$CW29,$CW29+($CX29-$CW29)*4/($CQ29-1)))))</f>
        <v/>
      </c>
      <c r="BZ29" s="88">
        <f>IF(OR($CS29,$AP29="-",AND($AP29="",$AD29="")),"",IF(N($BA29)&gt;0,N($BA29),IF($CV29,IF(AND($BI29&lt;$CU29,$BI29-IF(N(VLOOKUP($AT29&amp;"|"&amp;$CU29,LocTable,7,FALSE))&gt;0,VLOOKUP($AT29&amp;"|"&amp;$CU29,LocTable,7,FALSE),VLOOKUP($AT29&amp;"|"&amp;$CU29,LocTable,6,FALSE))-$CR29-0.75&gt;=2.125),VLOOKUP($AT29&amp;"|"&amp;$CU29,LocTable,8,FALSE),VLOOKUP($AT29&amp;"|"&amp;$CU29,LocTable,8,FALSE)+($BI29-$CU29)),$BI29-LockAFF)))</f>
        <v/>
      </c>
      <c r="CA29" s="89">
        <f>IF($BZ29="","",$BI29-$BZ29)</f>
        <v/>
      </c>
      <c r="CB29" s="84">
        <f>IF(OR(NOT(AND($A29&lt;&gt;"",$C29&lt;&gt;"DOOR ONLY")),$BI29=""),"",IF(($BI29+IF(N($P29)&gt;0,$P29+FaceW,0))&lt;=90,3,IF(($BI29+IF(N($P29)&gt;0,$P29+FaceW,0))&lt;=114,4,5)))</f>
        <v/>
      </c>
      <c r="CC29" s="84">
        <f>IF($CB29="","",$CB29*(2+IF(N($Q29)&gt;0,IF($R29="LR",2,1),0)))</f>
        <v/>
      </c>
      <c r="CD29" s="84">
        <f>IF($CB29="","",(2+IF(N($Q29)&gt;0,IF($R29="LR",2,1),0)))</f>
        <v/>
      </c>
      <c r="CE29" s="84">
        <f>IF(N($BJ29)=0,"",IF(OR($AL29="",$AL29="FLUSH"),"FLUSH",IFERROR(LEFT($AL29,FIND("-",$AL29)-1),LEFT($AL29,2))))</f>
        <v/>
      </c>
      <c r="CF29" s="84">
        <f>IF($CE29="","",IFERROR(VALUE(MID($AL29,FIND("-",$AL29)+1,FIND(CHAR(34)&amp;"x",$AL29)-FIND("-",$AL29)-1)),0))</f>
        <v/>
      </c>
      <c r="CG29" s="84">
        <f>IF($CE29="","",IFERROR(VALUE(MID($AL29,FIND(CHAR(34)&amp;"x",$AL29)+2,FIND(CHAR(34),$AL29,FIND(CHAR(34)&amp;"x",$AL29)+2)-FIND(CHAR(34)&amp;"x",$AL29)-2)),0))</f>
        <v/>
      </c>
      <c r="CH29" s="90">
        <f>IF(OR($A29="",$H29="",$H29="NO LAB"),0,IFERROR(VALUE(LEFT($H29,FIND(" ",$H29)-1)),0))</f>
        <v/>
      </c>
      <c r="CI29" s="91">
        <f>IF(OR($A29="",$I29="",$I29="NON-RATED",N($J29)=0),"",IFERROR(VLOOKUP($I29&amp;"|"&amp;$J29,IBC,2,FALSE),"?"))</f>
        <v/>
      </c>
      <c r="CJ29" s="85">
        <f>IF(NOT(AND($A29&lt;&gt;"",$C29&lt;&gt;"DOOR ONLY")),"",TRIM(IFERROR(VLOOKUP($U29,CODES,2,FALSE),"")&amp;" "&amp;$BG29&amp;" "&amp;IFERROR(VLOOKUP($Z29,CODES,2,FALSE),"")&amp;" "&amp;IFERROR(VLOOKUP($X29,CODES,2,FALSE),"")&amp;" "&amp;IFERROR(VLOOKUP($S29,CODES,2,FALSE),"")&amp;IF(N($P29)&gt;0," w/TRANSOM "&amp;$P29&amp;CHAR(34),"")&amp;IF(N($Q29)&gt;0," w/SIDELITE "&amp;$Q29&amp;CHAR(34)&amp;" "&amp;IF($R29="","R",$R29),"")&amp;IF($Y29="","  |  "," | "&amp;IFERROR(VLOOKUP($Y29,CODES,2,FALSE),"")&amp;" | ")&amp;IFERROR(VLOOKUP($AC29,CODES,2,FALSE),"")&amp;" "&amp;IFERROR(VLOOKUP($AD29,CODES,2,FALSE),"")&amp;IF(OR($AE29="",$AE29="-"),""," "&amp;$AE29)&amp;IF(OR($AF29="",$AF29="-"),""," "&amp;$AF29)&amp;IF($AB29="Y"," 4"&amp;CHAR(34)&amp;" HEAD","")&amp;" "&amp;IFERROR(VLOOKUP($H29,CODES,2,FALSE),"")&amp;IF($CT29," | LOC "&amp;$CY29,"")))</f>
        <v/>
      </c>
      <c r="CK29" s="85">
        <f>IF(NOT(AND($A29&lt;&gt;"",N($BJ29)&gt;0)),"",TRIM(IFERROR(VLOOKUP($AH29,CODES,2,FALSE),"")&amp;IF($AI29=""," "," "&amp;$AI29&amp;"GA ")&amp;$BG29&amp;" "&amp;IF($AN29="",IFERROR(VLOOKUP($Z29,CODES,2,FALSE),""),IFERROR(VLOOKUP($AN29,CODES,2,FALSE),""))&amp;IF($BJ29=2," PAIR","")&amp;" DOOR | "&amp;IF($AL29="","?",$AL29)&amp;" | "&amp;IF($AO29="",IFERROR(VLOOKUP($AC29,CODES,2,FALSE),""),IFERROR(VLOOKUP($AO29,CODES,2,FALSE),""))&amp;" "&amp;IFERROR(VLOOKUP($AP29,CODES,2,FALSE),"")&amp;IF(OR($AQ29="",$AQ29="-"),""," SEAM "&amp;$AQ29)&amp;IF($AR29="Y"," ASTRAGAL","")&amp;IF($AJ29=""," "," "&amp;$AJ29)&amp;IF($AK29=""," "," "&amp;$AK29)&amp;IF(OR($AT29="",$AT29="ANSI/SDI",$AT29="CUSTOM LOC"),""," "&amp;$AT29)&amp;IF($AM29=""," "," SERIES "&amp;$AM29)&amp;" "&amp;IFERROR(VLOOKUP($H29,CODES,2,FALSE),"")&amp;IF($CT29," | LOC "&amp;$CZ29,"")))</f>
        <v/>
      </c>
      <c r="CL29" s="84">
        <f>IF(CP29="","",IF(COUNTIF($CP$6:CP29,CP29)=1,MAX($CL$5:CL28)+1,INDEX($CL$5:CL28,MATCH(CP29,$CP$5:CP28,0))))</f>
        <v/>
      </c>
      <c r="CM29" s="84">
        <f>IF(NOT(AND($A29&lt;&gt;"",$C29&lt;&gt;"DOOR ONLY")),"",MAX($CM$5:CM28)+1)</f>
        <v/>
      </c>
      <c r="CN29" s="84">
        <f>IF(NOT(AND($A29&lt;&gt;"",N($BJ29)&gt;0)),"",MAX($CN$5:CN28)+1)</f>
        <v/>
      </c>
      <c r="CO29" s="84">
        <f>IF($A29="","",MAX($CO$5:CO28)+1)</f>
        <v/>
      </c>
      <c r="CP29" s="84">
        <f>IF(OR($A29="",$BH29="",$BI29=""),"",$BG29&amp;"|"&amp;$O29&amp;"|"&amp;$AL29&amp;"|"&amp;$S29&amp;"|"&amp;$P29&amp;"|"&amp;$Q29&amp;$R29&amp;"|"&amp;$C29&amp;"|"&amp;$AB29)</f>
        <v/>
      </c>
      <c r="CQ29" s="84">
        <f>N($BS29)</f>
        <v/>
      </c>
      <c r="CR29" s="84">
        <f>IF(N($AU29)&gt;0,N($AU29),4.5)</f>
        <v/>
      </c>
      <c r="CS29" s="84">
        <f>OR($A29="",$BI29="",$S29="BL",AND($C29="FRAME ONLY",OR($AC29="",$AC29="BLK")))</f>
        <v/>
      </c>
      <c r="CT29" s="84">
        <f>AND(NOT($CS29),OR($AT29="CUSTOM LOC",N($AW29)+N($AX29)+N($AY29)+N($AZ29)+N($BA29)&gt;0))</f>
        <v/>
      </c>
      <c r="CU29" s="84">
        <f>IF($BI29="","",IF($BI29&lt;=80,80,IF($BI29&lt;=84,84,96)))</f>
        <v/>
      </c>
      <c r="CV29" s="84">
        <f>ISNUMBER(MATCH($AT29&amp;"|80",LocKeys,0))</f>
        <v/>
      </c>
      <c r="CW29" s="86">
        <f>IF($CS29,"",IF($CV29,VLOOKUP($AT29&amp;"|"&amp;$CU29,LocTable,4,FALSE),5))</f>
        <v/>
      </c>
      <c r="CX29" s="86">
        <f>IF($CS29,"",IF($CV29,IF(OR($BI29=$CU29,AND($BI29&lt;$CU29,$BI29-IF(N(VLOOKUP($AT29&amp;"|"&amp;$CU29,LocTable,7,FALSE))&gt;0,VLOOKUP($AT29&amp;"|"&amp;$CU29,LocTable,7,FALSE),VLOOKUP($AT29&amp;"|"&amp;$CU29,LocTable,6,FALSE))-$CR29-0.75&gt;=2.125)),IF(N(VLOOKUP($AT29&amp;"|"&amp;$CU29,LocTable,7,FALSE))&gt;0,VLOOKUP($AT29&amp;"|"&amp;$CU29,LocTable,7,FALSE),VLOOKUP($AT29&amp;"|"&amp;$CU29,LocTable,6,FALSE)),$BI29-($CU29-IF(N(VLOOKUP($AT29&amp;"|"&amp;$CU29,LocTable,7,FALSE))&gt;0,VLOOKUP($AT29&amp;"|"&amp;$CU29,LocTable,7,FALSE),VLOOKUP($AT29&amp;"|"&amp;$CU29,LocTable,6,FALSE)))),$BI29-10-$CR29))</f>
        <v/>
      </c>
      <c r="CY29" s="85">
        <f>IF($CS29,"",TRIM(IF(ISNUMBER($BU29),"A "&amp;TRIM(TEXT($BU29,"# ?/??"))&amp;CHAR(34)&amp;"  ","")&amp;IF(ISNUMBER($BV29),"B "&amp;TRIM(TEXT($BV29,"# ?/??"))&amp;CHAR(34)&amp;"  ","")&amp;IF(ISNUMBER($BW29),"C "&amp;TRIM(TEXT($BW29,"# ?/??"))&amp;CHAR(34)&amp;"  ","")&amp;IF(ISNUMBER($BX29),"D "&amp;TRIM(TEXT($BX29,"# ?/??"))&amp;CHAR(34)&amp;"  ","")&amp;IF(ISNUMBER($BY29),"F "&amp;TRIM(TEXT($BY29,"# ?/??"))&amp;CHAR(34)&amp;"  ","")&amp;IF(ISNUMBER($BZ29),"E "&amp;TRIM(TEXT($BZ29,"# ?/??"))&amp;CHAR(34)&amp;"  ","")))</f>
        <v/>
      </c>
      <c r="CZ29" s="85">
        <f>IF(OR($CS29,N($BJ29)=0),"",TRIM(IF(ISNUMBER($BU29),"A "&amp;TRIM(TEXT($BU29-HeadClr,"# ?/??"))&amp;CHAR(34)&amp;"  ","")&amp;IF(ISNUMBER($BV29),"B "&amp;TRIM(TEXT($BV29-HeadClr,"# ?/??"))&amp;CHAR(34)&amp;"  ","")&amp;IF(ISNUMBER($BW29),"C "&amp;TRIM(TEXT($BW29-HeadClr,"# ?/??"))&amp;CHAR(34)&amp;"  ","")&amp;IF(ISNUMBER($BX29),"D "&amp;TRIM(TEXT($BX29-HeadClr,"# ?/??"))&amp;CHAR(34)&amp;"  ","")&amp;IF(ISNUMBER($BY29),"F "&amp;TRIM(TEXT($BY29-HeadClr,"# ?/??"))&amp;CHAR(34)&amp;"  ","")&amp;IF(ISNUMBER($BZ29),"E "&amp;TRIM(TEXT($BZ29-HeadClr,"# ?/??"))&amp;CHAR(34)&amp;"  ","")))</f>
        <v/>
      </c>
      <c r="DA29" s="84">
        <f>IF($A29="","",IF($AN29="",IFERROR(VLOOKUP($Z29,CODES,2,FALSE),""),IFERROR(VLOOKUP($AN29,CODES,2,FALSE),"")))</f>
        <v/>
      </c>
      <c r="DB29" s="84">
        <f>IF($A29="","",IF($O29="Y","PR",IF(OR($Z29="L",$Z29="RR",LEFT($Z29,2)="L-",LEFT($Z29,3)="RR-"),"LH","RH")))</f>
        <v/>
      </c>
      <c r="DC29" s="84">
        <f>IF($A29="","","S.HM"&amp;IF(OR($C29="DOOR ONLY",$X29&lt;&gt;"KD"),"MASONRY","DRYWALL")&amp;IF($C29="DOOR ONLY","",$U29)&amp;IF(AND($C29&lt;&gt;"FRAME ONLY",OR(LEFT($AH29,3)="OAK",LEFT($AH29,3)="BIR",LEFT($AH29,3)="MAP",$AH29="PC",$AH29="MC",$AH29="SCLC",$AH29="P-LAM")),"WD","HM")&amp;"1.75")</f>
        <v/>
      </c>
      <c r="DD29" s="84">
        <f>IF($CJ29="","",IF($O29="Y",$CJ29,SUBSTITUTE($CJ29,$BG29&amp;" "&amp;IFERROR(VLOOKUP($Z29,CODES,2,FALSE),"")&amp;" ",$BG29&amp;" ")))</f>
        <v/>
      </c>
      <c r="DE29" s="84">
        <f>IF($CK29="","",IF($O29="Y",$CK29,SUBSTITUTE($CK29,$BG29&amp;" "&amp;IF($AN29="",IFERROR(VLOOKUP($Z29,CODES,2,FALSE),""),IFERROR(VLOOKUP($AN29,CODES,2,FALSE),""))&amp;" ",$BG29&amp;" ")))</f>
        <v/>
      </c>
      <c r="DF29" s="84">
        <f>IF($CJ29="","",$DC29&amp;"|"&amp;$DD29&amp;"|"&amp;$DB29&amp;"|"&amp;$AT29&amp;"|"&amp;$V29&amp;"|"&amp;$Y29&amp;"|"&amp;$AB29)</f>
        <v/>
      </c>
      <c r="DG29" s="84">
        <f>IF(DF29="","",IF(COUNTIF($DF$6:DF29,DF29)=1,MAX($DG$5:DG28)+1,INDEX($DG$5:DG28,MATCH(DF29,$DF$5:DF28,0))))</f>
        <v/>
      </c>
      <c r="DH29" s="84">
        <f>IF($CK29="","",$DC29&amp;"|"&amp;$DE29&amp;"|"&amp;$AI29&amp;"|"&amp;$BK29&amp;"|"&amp;$BL29)</f>
        <v/>
      </c>
      <c r="DI29" s="84">
        <f>IF(DH29="","",IF(COUNTIF($DH$6:DH29,DH29)=1,MAX($DI$5:DI28)+1,INDEX($DI$5:DI28,MATCH(DH29,$DH$5:DH28,0))))</f>
        <v/>
      </c>
      <c r="DJ29" s="84">
        <f>IF($A29="","",IF($B29="","qty, ","")&amp;IF($C29="","scope, ","")&amp;IF(OR($K29="",$M29=""),"size, ","")&amp;IF(AND($A29&lt;&gt;"",$C29&lt;&gt;"DOOR ONLY"),IF($U29="","jamb depth, ","")&amp;IF($X29="","construction, ","")&amp;IF($Y29="","anchor, ","")&amp;IF($S29="","frame type, ",""),"")&amp;IF(AND(N($BJ29)&gt;0,$Z29=""),"hand, ","")&amp;IF(N($BJ29)&gt;0,IF($AH29="","door material, ","")&amp;IF($AL29="","face type, ","")&amp;IF($AP29="","lock prep, ","")&amp;IF(AND($AO29="",$AC29=""),"hinge prep, ",""),"")&amp;IF(AND($CH29&gt;0,$AH29="FRP"),"FRP cannot carry a label, ","")&amp;IF(AND($O29="Y",OR($Z29="L",$Z29="R",$Z29="LR",$Z29="RR")),"pair marked but hand is single, ","")&amp;IF(AND($O29&lt;&gt;"Y",OR($Z29="PR",AND(LEN($Z29)&gt;1,ISNUMBER(SEARCH("-",$Z29))))),"pair hand on a single door, ","")&amp;IF(AND(ISNUMBER($CI29),$CH29&lt;N($CI29)),"wall needs a "&amp;$CI29&amp;" min door, ","")&amp;IF(AND($CH29&gt;=180,AND(OR($CE29="FG",$CE29="HG",$CE29="FNV",$CE29="FV"),N($CF29)*N($CG29)&gt;100)),"180 min lite over 100 sq in, ","")&amp;IF(N($BK29)&gt;48,"leaf wider than 4'-0"&amp;CHAR(34)&amp;", ","")&amp;IF(AND($CT29,COUNT($AW29:$AZ29)=0,$CQ29&gt;0),"CUSTOM LOC with no locations typed, ",""))</f>
        <v/>
      </c>
      <c r="DK29" s="84">
        <f>IF($A29="","",IF(AND($CH29&gt;0,AND($A29&lt;&gt;"",$C29&lt;&gt;"DOOR ONLY"),$X29="KD",$E29="EXTERIOR"),"KD label on an exterior opening, ","")&amp;IF(AND($E29="EXTERIOR",OR(AND(AND($A29&lt;&gt;"",$C29&lt;&gt;"DOOR ONLY"),$W29="CR"),AND(N($BJ29)&gt;0,$AH29="CR"))),"exterior in CR steel (G9?), ","")&amp;IF(AND(ISNUMBER($BQ29),N($BQ29)&lt;32),"clear width ~"&amp;TEXT($BQ29,"0.0")&amp;CHAR(34)&amp;" under 32"&amp;CHAR(34)&amp;" (ADA), ","")&amp;IF(AND($CH29=90,AND(OR($CE29="FG",$CE29="HG",$CE29="FNV",$CE29="FV"),N($CF29)*N($CG29)&gt;100)),"90 min lite over 100 sq in (stair/exit), ","")&amp;IF(AND($CH29&gt;0,AND($A29&lt;&gt;"",$C29&lt;&gt;"DOOR ONLY"),OR($AF29="",$AF29="-")),"rated: closer reinf.?, ","")&amp;IF(OR($I29="CORRIDOR",$I29="SMOKE BARRIER"),"S label + smoke gasketing, ","")&amp;IF($CI29="?","wall type/hr not in IBC table, ","")&amp;IF(AND(N($BJ29)&gt;0,$BB29=""),"no hardware set, ","")&amp;IF(AND($BB29&lt;&gt;"",ISNA(MATCH($BB29&amp;"",HWSets,0))),"set "&amp;$BB29&amp;" not on HW Sets, ","")&amp;IF(N($BL29)&gt;96,"leaf over 8'-0"&amp;CHAR(34)&amp;" - check listing, ","")&amp;IF(AND($CT29,COUNT($AW29:$AZ29)&gt;0,COUNT($AW29:$AZ29)&lt;&gt;$CQ29),COUNT($AW29:$AZ29)&amp;" custom hinges typed, "&amp;$CQ29&amp;" expected, ","")&amp;IF(AND(ISNUMBER($CA29),OR(N($CA29)&lt;34,N($CA29)&gt;48)),"lock "&amp;TEXT($CA29,"0.0")&amp;CHAR(34)&amp;" AFF outside 34-48"&amp;CHAR(34)&amp;" (ADA), ","")&amp;IF(AND(ISNUMBER($AV29),ISNUMBER($BL29),N($AV29)&lt;IF(N($BL29)&lt;=60,2,IF(N($BL29)&lt;=90,3,IF(N($BL29)&lt;=120,4,5)))),"fewer hinges than standard, ",""))</f>
        <v/>
      </c>
    </row>
    <row r="30" ht="15" customHeight="1">
      <c r="A30" s="92" t="n"/>
      <c r="B30" s="93" t="n"/>
      <c r="C30" s="93" t="n"/>
      <c r="D30" s="93" t="n"/>
      <c r="E30" s="93" t="n"/>
      <c r="F30" s="93" t="n"/>
      <c r="G30" s="93" t="n"/>
      <c r="H30" s="93" t="n"/>
      <c r="I30" s="93" t="n"/>
      <c r="J30" s="93" t="n"/>
      <c r="K30" s="93" t="n"/>
      <c r="L30" s="93" t="n"/>
      <c r="M30" s="93" t="n"/>
      <c r="N30" s="93" t="n"/>
      <c r="O30" s="93" t="n"/>
      <c r="P30" s="93" t="n"/>
      <c r="Q30" s="93" t="n"/>
      <c r="R30" s="93" t="n"/>
      <c r="S30" s="94" t="n"/>
      <c r="T30" s="94" t="n"/>
      <c r="U30" s="94" t="n"/>
      <c r="V30" s="94" t="n"/>
      <c r="W30" s="94" t="n"/>
      <c r="X30" s="94" t="n"/>
      <c r="Y30" s="94" t="n"/>
      <c r="Z30" s="94" t="n"/>
      <c r="AA30" s="94" t="n"/>
      <c r="AB30" s="94" t="n"/>
      <c r="AC30" s="94" t="n"/>
      <c r="AD30" s="94" t="n"/>
      <c r="AE30" s="94" t="n"/>
      <c r="AF30" s="94" t="n"/>
      <c r="AG30" s="94" t="n"/>
      <c r="AH30" s="95" t="n"/>
      <c r="AI30" s="95" t="n"/>
      <c r="AJ30" s="95" t="n"/>
      <c r="AK30" s="95" t="n"/>
      <c r="AL30" s="95" t="n"/>
      <c r="AM30" s="95" t="n"/>
      <c r="AN30" s="95" t="n"/>
      <c r="AO30" s="95" t="n"/>
      <c r="AP30" s="95" t="n"/>
      <c r="AQ30" s="95" t="n"/>
      <c r="AR30" s="95" t="n"/>
      <c r="AS30" s="95" t="n"/>
      <c r="AT30" s="96" t="n"/>
      <c r="AU30" s="96" t="n"/>
      <c r="AV30" s="96" t="n"/>
      <c r="AW30" s="97" t="n"/>
      <c r="AX30" s="97" t="n"/>
      <c r="AY30" s="97" t="n"/>
      <c r="AZ30" s="97" t="n"/>
      <c r="BA30" s="97" t="n"/>
      <c r="BB30" s="98" t="n"/>
      <c r="BC30" s="98" t="n"/>
      <c r="BD30" s="99">
        <f>IF($A30="","",IF($DJ30&lt;&gt;"","FIX",IF($DK30&lt;&gt;"","CHECK","OK")))</f>
        <v/>
      </c>
      <c r="BE30" s="100">
        <f>IF($A30="","",IF($DJ30&lt;&gt;"","FIX: "&amp;LEFT($DJ30,LEN($DJ30)-2)&amp;IF($DK30&lt;&gt;"","  ·  ",""),"")&amp;IF($DK30&lt;&gt;"","CHECK: "&amp;LEFT($DK30,LEN($DK30)-2),""))</f>
        <v/>
      </c>
      <c r="BF30" s="99">
        <f>IF(OR($A30="",$K30=""),"",$K30&amp;"'-"&amp;N($L30)&amp;CHAR(34)&amp;" x "&amp;$M30&amp;"'-"&amp;N($N30)&amp;CHAR(34))</f>
        <v/>
      </c>
      <c r="BG30" s="99">
        <f>IF(OR($A30="",$K30=""),"",$K30&amp;N($L30)&amp;$M30&amp;N($N30))</f>
        <v/>
      </c>
      <c r="BH30" s="99">
        <f>IF(OR($A30="",$K30=""),"",$K30*12+N($L30))</f>
        <v/>
      </c>
      <c r="BI30" s="99">
        <f>IF(OR($A30="",$M30=""),"",$M30*12+N($N30))</f>
        <v/>
      </c>
      <c r="BJ30" s="99">
        <f>IF($A30="","",IF(OR($C30="FRAME ONLY",$S30="BL"),0,IF($O30="Y",2,1)))</f>
        <v/>
      </c>
      <c r="BK30" s="101">
        <f>IF(OR(N($BJ30)=0,$BH30=""),"",($BH30-2*EdgeClr-IF($BJ30=2,MeetClr,0))/$BJ30)</f>
        <v/>
      </c>
      <c r="BL30" s="101">
        <f>IF(OR(N($BJ30)=0,$BI30=""),"",$BI30-HeadClr-Undercut)</f>
        <v/>
      </c>
      <c r="BM30" s="101">
        <f>IF($BH30="","",$BH30+2*FaceW+IF(N($Q30)&gt;0,($Q30+FaceW)*IF($R30="LR",2,1),0))</f>
        <v/>
      </c>
      <c r="BN30" s="101">
        <f>IF($BI30="","",$BI30+IF($AB30="Y",4,FaceW)+IF(N($P30)&gt;0,$P30+FaceW,0)+IF(OR($S30="4F",$S30="BL"),FaceW,0))</f>
        <v/>
      </c>
      <c r="BO30" s="101">
        <f>IF($BM30="","",$BM30+2*ROSide)</f>
        <v/>
      </c>
      <c r="BP30" s="101">
        <f>IF($BN30="","",$BN30+ROTop)</f>
        <v/>
      </c>
      <c r="BQ30" s="102">
        <f>IF(OR(N($BJ30)=0,$BH30=""),"",$BH30/$BJ30-ClearDeduct)</f>
        <v/>
      </c>
      <c r="BR30" s="99">
        <f>IF(N($CH30)=0,"",IF($CH30&gt;=180,"A · 3 HR",IF($CH30&gt;=90,"B · 1-1/2 HR",IF($CH30&gt;=60,"B · 1 HR",IF($CH30&gt;=45,"C · 3/4 HR","20 MIN")))))&amp;IF(AND(N($CH30)&gt;0,OR($I30="CORRIDOR",$I30="SMOKE BARRIER"))," · S","")</f>
        <v/>
      </c>
      <c r="BS30" s="99">
        <f>IF($CS30,"",IF($AV30&lt;&gt;"",$AV30,IF(OR($AC30="HGC",$AO30="HGC"),"CONT",IF(($BI30-HeadClr-Undercut)&lt;=60,2,IF(($BI30-HeadClr-Undercut)&lt;=90,3,IF(($BI30-HeadClr-Undercut)&lt;=120,4,5))))))</f>
        <v/>
      </c>
      <c r="BT30" s="99">
        <f>IF($CS30,"",IF($CT30,"CUSTOM (typed)",IF($CV30,$AT30&amp;" "&amp;$CU30&amp;CHAR(34)&amp;IF($CU30&lt;&gt;$BI30,IF(AND($BI30&lt;$CU30,$BI30-IF(N(VLOOKUP($AT30&amp;"|"&amp;$CU30,LocTable,7,FALSE))&gt;0,VLOOKUP($AT30&amp;"|"&amp;$CU30,LocTable,7,FALSE),VLOOKUP($AT30&amp;"|"&amp;$CU30,LocTable,6,FALSE))-$CR30-0.75&gt;=2.125)," cut down"," adj."),""),"ANSI/SDI A250.6")))</f>
        <v/>
      </c>
      <c r="BU30" s="103">
        <f>IF($CS30,"",IF($CT30,IF(N($AW30)&gt;0,N($AW30),""),IF(1&gt;$CQ30,"",IF($CQ30=1,$CW30,$CW30+($CX30-$CW30)*0/($CQ30-1)))))</f>
        <v/>
      </c>
      <c r="BV30" s="103">
        <f>IF($CS30,"",IF($CT30,IF(N($AX30)&gt;0,N($AX30),""),IF(2&gt;$CQ30,"",IF($CQ30=1,$CW30,$CW30+($CX30-$CW30)*1/($CQ30-1)))))</f>
        <v/>
      </c>
      <c r="BW30" s="103">
        <f>IF($CS30,"",IF($CT30,IF(N($AY30)&gt;0,N($AY30),""),IF(3&gt;$CQ30,"",IF($CQ30=1,$CW30,$CW30+($CX30-$CW30)*2/($CQ30-1)))))</f>
        <v/>
      </c>
      <c r="BX30" s="103">
        <f>IF($CS30,"",IF($CT30,IF(N($AZ30)&gt;0,N($AZ30),""),IF(4&gt;$CQ30,"",IF($CQ30=1,$CW30,$CW30+($CX30-$CW30)*3/($CQ30-1)))))</f>
        <v/>
      </c>
      <c r="BY30" s="103">
        <f>IF($CS30,"",IF($CT30,"",IF(5&gt;$CQ30,"",IF($CQ30=1,$CW30,$CW30+($CX30-$CW30)*4/($CQ30-1)))))</f>
        <v/>
      </c>
      <c r="BZ30" s="103">
        <f>IF(OR($CS30,$AP30="-",AND($AP30="",$AD30="")),"",IF(N($BA30)&gt;0,N($BA30),IF($CV30,IF(AND($BI30&lt;$CU30,$BI30-IF(N(VLOOKUP($AT30&amp;"|"&amp;$CU30,LocTable,7,FALSE))&gt;0,VLOOKUP($AT30&amp;"|"&amp;$CU30,LocTable,7,FALSE),VLOOKUP($AT30&amp;"|"&amp;$CU30,LocTable,6,FALSE))-$CR30-0.75&gt;=2.125),VLOOKUP($AT30&amp;"|"&amp;$CU30,LocTable,8,FALSE),VLOOKUP($AT30&amp;"|"&amp;$CU30,LocTable,8,FALSE)+($BI30-$CU30)),$BI30-LockAFF)))</f>
        <v/>
      </c>
      <c r="CA30" s="104">
        <f>IF($BZ30="","",$BI30-$BZ30)</f>
        <v/>
      </c>
      <c r="CB30" s="99">
        <f>IF(OR(NOT(AND($A30&lt;&gt;"",$C30&lt;&gt;"DOOR ONLY")),$BI30=""),"",IF(($BI30+IF(N($P30)&gt;0,$P30+FaceW,0))&lt;=90,3,IF(($BI30+IF(N($P30)&gt;0,$P30+FaceW,0))&lt;=114,4,5)))</f>
        <v/>
      </c>
      <c r="CC30" s="99">
        <f>IF($CB30="","",$CB30*(2+IF(N($Q30)&gt;0,IF($R30="LR",2,1),0)))</f>
        <v/>
      </c>
      <c r="CD30" s="99">
        <f>IF($CB30="","",(2+IF(N($Q30)&gt;0,IF($R30="LR",2,1),0)))</f>
        <v/>
      </c>
      <c r="CE30" s="99">
        <f>IF(N($BJ30)=0,"",IF(OR($AL30="",$AL30="FLUSH"),"FLUSH",IFERROR(LEFT($AL30,FIND("-",$AL30)-1),LEFT($AL30,2))))</f>
        <v/>
      </c>
      <c r="CF30" s="99">
        <f>IF($CE30="","",IFERROR(VALUE(MID($AL30,FIND("-",$AL30)+1,FIND(CHAR(34)&amp;"x",$AL30)-FIND("-",$AL30)-1)),0))</f>
        <v/>
      </c>
      <c r="CG30" s="99">
        <f>IF($CE30="","",IFERROR(VALUE(MID($AL30,FIND(CHAR(34)&amp;"x",$AL30)+2,FIND(CHAR(34),$AL30,FIND(CHAR(34)&amp;"x",$AL30)+2)-FIND(CHAR(34)&amp;"x",$AL30)-2)),0))</f>
        <v/>
      </c>
      <c r="CH30" s="105">
        <f>IF(OR($A30="",$H30="",$H30="NO LAB"),0,IFERROR(VALUE(LEFT($H30,FIND(" ",$H30)-1)),0))</f>
        <v/>
      </c>
      <c r="CI30" s="106">
        <f>IF(OR($A30="",$I30="",$I30="NON-RATED",N($J30)=0),"",IFERROR(VLOOKUP($I30&amp;"|"&amp;$J30,IBC,2,FALSE),"?"))</f>
        <v/>
      </c>
      <c r="CJ30" s="100">
        <f>IF(NOT(AND($A30&lt;&gt;"",$C30&lt;&gt;"DOOR ONLY")),"",TRIM(IFERROR(VLOOKUP($U30,CODES,2,FALSE),"")&amp;" "&amp;$BG30&amp;" "&amp;IFERROR(VLOOKUP($Z30,CODES,2,FALSE),"")&amp;" "&amp;IFERROR(VLOOKUP($X30,CODES,2,FALSE),"")&amp;" "&amp;IFERROR(VLOOKUP($S30,CODES,2,FALSE),"")&amp;IF(N($P30)&gt;0," w/TRANSOM "&amp;$P30&amp;CHAR(34),"")&amp;IF(N($Q30)&gt;0," w/SIDELITE "&amp;$Q30&amp;CHAR(34)&amp;" "&amp;IF($R30="","R",$R30),"")&amp;IF($Y30="","  |  "," | "&amp;IFERROR(VLOOKUP($Y30,CODES,2,FALSE),"")&amp;" | ")&amp;IFERROR(VLOOKUP($AC30,CODES,2,FALSE),"")&amp;" "&amp;IFERROR(VLOOKUP($AD30,CODES,2,FALSE),"")&amp;IF(OR($AE30="",$AE30="-"),""," "&amp;$AE30)&amp;IF(OR($AF30="",$AF30="-"),""," "&amp;$AF30)&amp;IF($AB30="Y"," 4"&amp;CHAR(34)&amp;" HEAD","")&amp;" "&amp;IFERROR(VLOOKUP($H30,CODES,2,FALSE),"")&amp;IF($CT30," | LOC "&amp;$CY30,"")))</f>
        <v/>
      </c>
      <c r="CK30" s="100">
        <f>IF(NOT(AND($A30&lt;&gt;"",N($BJ30)&gt;0)),"",TRIM(IFERROR(VLOOKUP($AH30,CODES,2,FALSE),"")&amp;IF($AI30=""," "," "&amp;$AI30&amp;"GA ")&amp;$BG30&amp;" "&amp;IF($AN30="",IFERROR(VLOOKUP($Z30,CODES,2,FALSE),""),IFERROR(VLOOKUP($AN30,CODES,2,FALSE),""))&amp;IF($BJ30=2," PAIR","")&amp;" DOOR | "&amp;IF($AL30="","?",$AL30)&amp;" | "&amp;IF($AO30="",IFERROR(VLOOKUP($AC30,CODES,2,FALSE),""),IFERROR(VLOOKUP($AO30,CODES,2,FALSE),""))&amp;" "&amp;IFERROR(VLOOKUP($AP30,CODES,2,FALSE),"")&amp;IF(OR($AQ30="",$AQ30="-"),""," SEAM "&amp;$AQ30)&amp;IF($AR30="Y"," ASTRAGAL","")&amp;IF($AJ30=""," "," "&amp;$AJ30)&amp;IF($AK30=""," "," "&amp;$AK30)&amp;IF(OR($AT30="",$AT30="ANSI/SDI",$AT30="CUSTOM LOC"),""," "&amp;$AT30)&amp;IF($AM30=""," "," SERIES "&amp;$AM30)&amp;" "&amp;IFERROR(VLOOKUP($H30,CODES,2,FALSE),"")&amp;IF($CT30," | LOC "&amp;$CZ30,"")))</f>
        <v/>
      </c>
      <c r="CL30" s="99">
        <f>IF(CP30="","",IF(COUNTIF($CP$6:CP30,CP30)=1,MAX($CL$5:CL29)+1,INDEX($CL$5:CL29,MATCH(CP30,$CP$5:CP29,0))))</f>
        <v/>
      </c>
      <c r="CM30" s="99">
        <f>IF(NOT(AND($A30&lt;&gt;"",$C30&lt;&gt;"DOOR ONLY")),"",MAX($CM$5:CM29)+1)</f>
        <v/>
      </c>
      <c r="CN30" s="99">
        <f>IF(NOT(AND($A30&lt;&gt;"",N($BJ30)&gt;0)),"",MAX($CN$5:CN29)+1)</f>
        <v/>
      </c>
      <c r="CO30" s="99">
        <f>IF($A30="","",MAX($CO$5:CO29)+1)</f>
        <v/>
      </c>
      <c r="CP30" s="99">
        <f>IF(OR($A30="",$BH30="",$BI30=""),"",$BG30&amp;"|"&amp;$O30&amp;"|"&amp;$AL30&amp;"|"&amp;$S30&amp;"|"&amp;$P30&amp;"|"&amp;$Q30&amp;$R30&amp;"|"&amp;$C30&amp;"|"&amp;$AB30)</f>
        <v/>
      </c>
      <c r="CQ30" s="99">
        <f>N($BS30)</f>
        <v/>
      </c>
      <c r="CR30" s="99">
        <f>IF(N($AU30)&gt;0,N($AU30),4.5)</f>
        <v/>
      </c>
      <c r="CS30" s="99">
        <f>OR($A30="",$BI30="",$S30="BL",AND($C30="FRAME ONLY",OR($AC30="",$AC30="BLK")))</f>
        <v/>
      </c>
      <c r="CT30" s="99">
        <f>AND(NOT($CS30),OR($AT30="CUSTOM LOC",N($AW30)+N($AX30)+N($AY30)+N($AZ30)+N($BA30)&gt;0))</f>
        <v/>
      </c>
      <c r="CU30" s="99">
        <f>IF($BI30="","",IF($BI30&lt;=80,80,IF($BI30&lt;=84,84,96)))</f>
        <v/>
      </c>
      <c r="CV30" s="99">
        <f>ISNUMBER(MATCH($AT30&amp;"|80",LocKeys,0))</f>
        <v/>
      </c>
      <c r="CW30" s="101">
        <f>IF($CS30,"",IF($CV30,VLOOKUP($AT30&amp;"|"&amp;$CU30,LocTable,4,FALSE),5))</f>
        <v/>
      </c>
      <c r="CX30" s="101">
        <f>IF($CS30,"",IF($CV30,IF(OR($BI30=$CU30,AND($BI30&lt;$CU30,$BI30-IF(N(VLOOKUP($AT30&amp;"|"&amp;$CU30,LocTable,7,FALSE))&gt;0,VLOOKUP($AT30&amp;"|"&amp;$CU30,LocTable,7,FALSE),VLOOKUP($AT30&amp;"|"&amp;$CU30,LocTable,6,FALSE))-$CR30-0.75&gt;=2.125)),IF(N(VLOOKUP($AT30&amp;"|"&amp;$CU30,LocTable,7,FALSE))&gt;0,VLOOKUP($AT30&amp;"|"&amp;$CU30,LocTable,7,FALSE),VLOOKUP($AT30&amp;"|"&amp;$CU30,LocTable,6,FALSE)),$BI30-($CU30-IF(N(VLOOKUP($AT30&amp;"|"&amp;$CU30,LocTable,7,FALSE))&gt;0,VLOOKUP($AT30&amp;"|"&amp;$CU30,LocTable,7,FALSE),VLOOKUP($AT30&amp;"|"&amp;$CU30,LocTable,6,FALSE)))),$BI30-10-$CR30))</f>
        <v/>
      </c>
      <c r="CY30" s="100">
        <f>IF($CS30,"",TRIM(IF(ISNUMBER($BU30),"A "&amp;TRIM(TEXT($BU30,"# ?/??"))&amp;CHAR(34)&amp;"  ","")&amp;IF(ISNUMBER($BV30),"B "&amp;TRIM(TEXT($BV30,"# ?/??"))&amp;CHAR(34)&amp;"  ","")&amp;IF(ISNUMBER($BW30),"C "&amp;TRIM(TEXT($BW30,"# ?/??"))&amp;CHAR(34)&amp;"  ","")&amp;IF(ISNUMBER($BX30),"D "&amp;TRIM(TEXT($BX30,"# ?/??"))&amp;CHAR(34)&amp;"  ","")&amp;IF(ISNUMBER($BY30),"F "&amp;TRIM(TEXT($BY30,"# ?/??"))&amp;CHAR(34)&amp;"  ","")&amp;IF(ISNUMBER($BZ30),"E "&amp;TRIM(TEXT($BZ30,"# ?/??"))&amp;CHAR(34)&amp;"  ","")))</f>
        <v/>
      </c>
      <c r="CZ30" s="100">
        <f>IF(OR($CS30,N($BJ30)=0),"",TRIM(IF(ISNUMBER($BU30),"A "&amp;TRIM(TEXT($BU30-HeadClr,"# ?/??"))&amp;CHAR(34)&amp;"  ","")&amp;IF(ISNUMBER($BV30),"B "&amp;TRIM(TEXT($BV30-HeadClr,"# ?/??"))&amp;CHAR(34)&amp;"  ","")&amp;IF(ISNUMBER($BW30),"C "&amp;TRIM(TEXT($BW30-HeadClr,"# ?/??"))&amp;CHAR(34)&amp;"  ","")&amp;IF(ISNUMBER($BX30),"D "&amp;TRIM(TEXT($BX30-HeadClr,"# ?/??"))&amp;CHAR(34)&amp;"  ","")&amp;IF(ISNUMBER($BY30),"F "&amp;TRIM(TEXT($BY30-HeadClr,"# ?/??"))&amp;CHAR(34)&amp;"  ","")&amp;IF(ISNUMBER($BZ30),"E "&amp;TRIM(TEXT($BZ30-HeadClr,"# ?/??"))&amp;CHAR(34)&amp;"  ","")))</f>
        <v/>
      </c>
      <c r="DA30" s="99">
        <f>IF($A30="","",IF($AN30="",IFERROR(VLOOKUP($Z30,CODES,2,FALSE),""),IFERROR(VLOOKUP($AN30,CODES,2,FALSE),"")))</f>
        <v/>
      </c>
      <c r="DB30" s="99">
        <f>IF($A30="","",IF($O30="Y","PR",IF(OR($Z30="L",$Z30="RR",LEFT($Z30,2)="L-",LEFT($Z30,3)="RR-"),"LH","RH")))</f>
        <v/>
      </c>
      <c r="DC30" s="99">
        <f>IF($A30="","","S.HM"&amp;IF(OR($C30="DOOR ONLY",$X30&lt;&gt;"KD"),"MASONRY","DRYWALL")&amp;IF($C30="DOOR ONLY","",$U30)&amp;IF(AND($C30&lt;&gt;"FRAME ONLY",OR(LEFT($AH30,3)="OAK",LEFT($AH30,3)="BIR",LEFT($AH30,3)="MAP",$AH30="PC",$AH30="MC",$AH30="SCLC",$AH30="P-LAM")),"WD","HM")&amp;"1.75")</f>
        <v/>
      </c>
      <c r="DD30" s="99">
        <f>IF($CJ30="","",IF($O30="Y",$CJ30,SUBSTITUTE($CJ30,$BG30&amp;" "&amp;IFERROR(VLOOKUP($Z30,CODES,2,FALSE),"")&amp;" ",$BG30&amp;" ")))</f>
        <v/>
      </c>
      <c r="DE30" s="99">
        <f>IF($CK30="","",IF($O30="Y",$CK30,SUBSTITUTE($CK30,$BG30&amp;" "&amp;IF($AN30="",IFERROR(VLOOKUP($Z30,CODES,2,FALSE),""),IFERROR(VLOOKUP($AN30,CODES,2,FALSE),""))&amp;" ",$BG30&amp;" ")))</f>
        <v/>
      </c>
      <c r="DF30" s="99">
        <f>IF($CJ30="","",$DC30&amp;"|"&amp;$DD30&amp;"|"&amp;$DB30&amp;"|"&amp;$AT30&amp;"|"&amp;$V30&amp;"|"&amp;$Y30&amp;"|"&amp;$AB30)</f>
        <v/>
      </c>
      <c r="DG30" s="99">
        <f>IF(DF30="","",IF(COUNTIF($DF$6:DF30,DF30)=1,MAX($DG$5:DG29)+1,INDEX($DG$5:DG29,MATCH(DF30,$DF$5:DF29,0))))</f>
        <v/>
      </c>
      <c r="DH30" s="99">
        <f>IF($CK30="","",$DC30&amp;"|"&amp;$DE30&amp;"|"&amp;$AI30&amp;"|"&amp;$BK30&amp;"|"&amp;$BL30)</f>
        <v/>
      </c>
      <c r="DI30" s="99">
        <f>IF(DH30="","",IF(COUNTIF($DH$6:DH30,DH30)=1,MAX($DI$5:DI29)+1,INDEX($DI$5:DI29,MATCH(DH30,$DH$5:DH29,0))))</f>
        <v/>
      </c>
      <c r="DJ30" s="99">
        <f>IF($A30="","",IF($B30="","qty, ","")&amp;IF($C30="","scope, ","")&amp;IF(OR($K30="",$M30=""),"size, ","")&amp;IF(AND($A30&lt;&gt;"",$C30&lt;&gt;"DOOR ONLY"),IF($U30="","jamb depth, ","")&amp;IF($X30="","construction, ","")&amp;IF($Y30="","anchor, ","")&amp;IF($S30="","frame type, ",""),"")&amp;IF(AND(N($BJ30)&gt;0,$Z30=""),"hand, ","")&amp;IF(N($BJ30)&gt;0,IF($AH30="","door material, ","")&amp;IF($AL30="","face type, ","")&amp;IF($AP30="","lock prep, ","")&amp;IF(AND($AO30="",$AC30=""),"hinge prep, ",""),"")&amp;IF(AND($CH30&gt;0,$AH30="FRP"),"FRP cannot carry a label, ","")&amp;IF(AND($O30="Y",OR($Z30="L",$Z30="R",$Z30="LR",$Z30="RR")),"pair marked but hand is single, ","")&amp;IF(AND($O30&lt;&gt;"Y",OR($Z30="PR",AND(LEN($Z30)&gt;1,ISNUMBER(SEARCH("-",$Z30))))),"pair hand on a single door, ","")&amp;IF(AND(ISNUMBER($CI30),$CH30&lt;N($CI30)),"wall needs a "&amp;$CI30&amp;" min door, ","")&amp;IF(AND($CH30&gt;=180,AND(OR($CE30="FG",$CE30="HG",$CE30="FNV",$CE30="FV"),N($CF30)*N($CG30)&gt;100)),"180 min lite over 100 sq in, ","")&amp;IF(N($BK30)&gt;48,"leaf wider than 4'-0"&amp;CHAR(34)&amp;", ","")&amp;IF(AND($CT30,COUNT($AW30:$AZ30)=0,$CQ30&gt;0),"CUSTOM LOC with no locations typed, ",""))</f>
        <v/>
      </c>
      <c r="DK30" s="99">
        <f>IF($A30="","",IF(AND($CH30&gt;0,AND($A30&lt;&gt;"",$C30&lt;&gt;"DOOR ONLY"),$X30="KD",$E30="EXTERIOR"),"KD label on an exterior opening, ","")&amp;IF(AND($E30="EXTERIOR",OR(AND(AND($A30&lt;&gt;"",$C30&lt;&gt;"DOOR ONLY"),$W30="CR"),AND(N($BJ30)&gt;0,$AH30="CR"))),"exterior in CR steel (G9?), ","")&amp;IF(AND(ISNUMBER($BQ30),N($BQ30)&lt;32),"clear width ~"&amp;TEXT($BQ30,"0.0")&amp;CHAR(34)&amp;" under 32"&amp;CHAR(34)&amp;" (ADA), ","")&amp;IF(AND($CH30=90,AND(OR($CE30="FG",$CE30="HG",$CE30="FNV",$CE30="FV"),N($CF30)*N($CG30)&gt;100)),"90 min lite over 100 sq in (stair/exit), ","")&amp;IF(AND($CH30&gt;0,AND($A30&lt;&gt;"",$C30&lt;&gt;"DOOR ONLY"),OR($AF30="",$AF30="-")),"rated: closer reinf.?, ","")&amp;IF(OR($I30="CORRIDOR",$I30="SMOKE BARRIER"),"S label + smoke gasketing, ","")&amp;IF($CI30="?","wall type/hr not in IBC table, ","")&amp;IF(AND(N($BJ30)&gt;0,$BB30=""),"no hardware set, ","")&amp;IF(AND($BB30&lt;&gt;"",ISNA(MATCH($BB30&amp;"",HWSets,0))),"set "&amp;$BB30&amp;" not on HW Sets, ","")&amp;IF(N($BL30)&gt;96,"leaf over 8'-0"&amp;CHAR(34)&amp;" - check listing, ","")&amp;IF(AND($CT30,COUNT($AW30:$AZ30)&gt;0,COUNT($AW30:$AZ30)&lt;&gt;$CQ30),COUNT($AW30:$AZ30)&amp;" custom hinges typed, "&amp;$CQ30&amp;" expected, ","")&amp;IF(AND(ISNUMBER($CA30),OR(N($CA30)&lt;34,N($CA30)&gt;48)),"lock "&amp;TEXT($CA30,"0.0")&amp;CHAR(34)&amp;" AFF outside 34-48"&amp;CHAR(34)&amp;" (ADA), ","")&amp;IF(AND(ISNUMBER($AV30),ISNUMBER($BL30),N($AV30)&lt;IF(N($BL30)&lt;=60,2,IF(N($BL30)&lt;=90,3,IF(N($BL30)&lt;=120,4,5)))),"fewer hinges than standard, ",""))</f>
        <v/>
      </c>
    </row>
    <row r="31" ht="15" customHeight="1">
      <c r="A31" s="77" t="n"/>
      <c r="B31" s="78" t="n"/>
      <c r="C31" s="78" t="n"/>
      <c r="D31" s="78" t="n"/>
      <c r="E31" s="78" t="n"/>
      <c r="F31" s="78" t="n"/>
      <c r="G31" s="78" t="n"/>
      <c r="H31" s="78" t="n"/>
      <c r="I31" s="78" t="n"/>
      <c r="J31" s="78" t="n"/>
      <c r="K31" s="78" t="n"/>
      <c r="L31" s="78" t="n"/>
      <c r="M31" s="78" t="n"/>
      <c r="N31" s="78" t="n"/>
      <c r="O31" s="78" t="n"/>
      <c r="P31" s="78" t="n"/>
      <c r="Q31" s="78" t="n"/>
      <c r="R31" s="78" t="n"/>
      <c r="S31" s="79" t="n"/>
      <c r="T31" s="79" t="n"/>
      <c r="U31" s="79" t="n"/>
      <c r="V31" s="79" t="n"/>
      <c r="W31" s="79" t="n"/>
      <c r="X31" s="79" t="n"/>
      <c r="Y31" s="79" t="n"/>
      <c r="Z31" s="79" t="n"/>
      <c r="AA31" s="79" t="n"/>
      <c r="AB31" s="79" t="n"/>
      <c r="AC31" s="79" t="n"/>
      <c r="AD31" s="79" t="n"/>
      <c r="AE31" s="79" t="n"/>
      <c r="AF31" s="79" t="n"/>
      <c r="AG31" s="79" t="n"/>
      <c r="AH31" s="80" t="n"/>
      <c r="AI31" s="80" t="n"/>
      <c r="AJ31" s="80" t="n"/>
      <c r="AK31" s="80" t="n"/>
      <c r="AL31" s="80" t="n"/>
      <c r="AM31" s="80" t="n"/>
      <c r="AN31" s="80" t="n"/>
      <c r="AO31" s="80" t="n"/>
      <c r="AP31" s="80" t="n"/>
      <c r="AQ31" s="80" t="n"/>
      <c r="AR31" s="80" t="n"/>
      <c r="AS31" s="80" t="n"/>
      <c r="AT31" s="81" t="n"/>
      <c r="AU31" s="81" t="n"/>
      <c r="AV31" s="81" t="n"/>
      <c r="AW31" s="82" t="n"/>
      <c r="AX31" s="82" t="n"/>
      <c r="AY31" s="82" t="n"/>
      <c r="AZ31" s="82" t="n"/>
      <c r="BA31" s="82" t="n"/>
      <c r="BB31" s="83" t="n"/>
      <c r="BC31" s="83" t="n"/>
      <c r="BD31" s="84">
        <f>IF($A31="","",IF($DJ31&lt;&gt;"","FIX",IF($DK31&lt;&gt;"","CHECK","OK")))</f>
        <v/>
      </c>
      <c r="BE31" s="85">
        <f>IF($A31="","",IF($DJ31&lt;&gt;"","FIX: "&amp;LEFT($DJ31,LEN($DJ31)-2)&amp;IF($DK31&lt;&gt;"","  ·  ",""),"")&amp;IF($DK31&lt;&gt;"","CHECK: "&amp;LEFT($DK31,LEN($DK31)-2),""))</f>
        <v/>
      </c>
      <c r="BF31" s="84">
        <f>IF(OR($A31="",$K31=""),"",$K31&amp;"'-"&amp;N($L31)&amp;CHAR(34)&amp;" x "&amp;$M31&amp;"'-"&amp;N($N31)&amp;CHAR(34))</f>
        <v/>
      </c>
      <c r="BG31" s="84">
        <f>IF(OR($A31="",$K31=""),"",$K31&amp;N($L31)&amp;$M31&amp;N($N31))</f>
        <v/>
      </c>
      <c r="BH31" s="84">
        <f>IF(OR($A31="",$K31=""),"",$K31*12+N($L31))</f>
        <v/>
      </c>
      <c r="BI31" s="84">
        <f>IF(OR($A31="",$M31=""),"",$M31*12+N($N31))</f>
        <v/>
      </c>
      <c r="BJ31" s="84">
        <f>IF($A31="","",IF(OR($C31="FRAME ONLY",$S31="BL"),0,IF($O31="Y",2,1)))</f>
        <v/>
      </c>
      <c r="BK31" s="86">
        <f>IF(OR(N($BJ31)=0,$BH31=""),"",($BH31-2*EdgeClr-IF($BJ31=2,MeetClr,0))/$BJ31)</f>
        <v/>
      </c>
      <c r="BL31" s="86">
        <f>IF(OR(N($BJ31)=0,$BI31=""),"",$BI31-HeadClr-Undercut)</f>
        <v/>
      </c>
      <c r="BM31" s="86">
        <f>IF($BH31="","",$BH31+2*FaceW+IF(N($Q31)&gt;0,($Q31+FaceW)*IF($R31="LR",2,1),0))</f>
        <v/>
      </c>
      <c r="BN31" s="86">
        <f>IF($BI31="","",$BI31+IF($AB31="Y",4,FaceW)+IF(N($P31)&gt;0,$P31+FaceW,0)+IF(OR($S31="4F",$S31="BL"),FaceW,0))</f>
        <v/>
      </c>
      <c r="BO31" s="86">
        <f>IF($BM31="","",$BM31+2*ROSide)</f>
        <v/>
      </c>
      <c r="BP31" s="86">
        <f>IF($BN31="","",$BN31+ROTop)</f>
        <v/>
      </c>
      <c r="BQ31" s="87">
        <f>IF(OR(N($BJ31)=0,$BH31=""),"",$BH31/$BJ31-ClearDeduct)</f>
        <v/>
      </c>
      <c r="BR31" s="84">
        <f>IF(N($CH31)=0,"",IF($CH31&gt;=180,"A · 3 HR",IF($CH31&gt;=90,"B · 1-1/2 HR",IF($CH31&gt;=60,"B · 1 HR",IF($CH31&gt;=45,"C · 3/4 HR","20 MIN")))))&amp;IF(AND(N($CH31)&gt;0,OR($I31="CORRIDOR",$I31="SMOKE BARRIER"))," · S","")</f>
        <v/>
      </c>
      <c r="BS31" s="84">
        <f>IF($CS31,"",IF($AV31&lt;&gt;"",$AV31,IF(OR($AC31="HGC",$AO31="HGC"),"CONT",IF(($BI31-HeadClr-Undercut)&lt;=60,2,IF(($BI31-HeadClr-Undercut)&lt;=90,3,IF(($BI31-HeadClr-Undercut)&lt;=120,4,5))))))</f>
        <v/>
      </c>
      <c r="BT31" s="84">
        <f>IF($CS31,"",IF($CT31,"CUSTOM (typed)",IF($CV31,$AT31&amp;" "&amp;$CU31&amp;CHAR(34)&amp;IF($CU31&lt;&gt;$BI31,IF(AND($BI31&lt;$CU31,$BI31-IF(N(VLOOKUP($AT31&amp;"|"&amp;$CU31,LocTable,7,FALSE))&gt;0,VLOOKUP($AT31&amp;"|"&amp;$CU31,LocTable,7,FALSE),VLOOKUP($AT31&amp;"|"&amp;$CU31,LocTable,6,FALSE))-$CR31-0.75&gt;=2.125)," cut down"," adj."),""),"ANSI/SDI A250.6")))</f>
        <v/>
      </c>
      <c r="BU31" s="88">
        <f>IF($CS31,"",IF($CT31,IF(N($AW31)&gt;0,N($AW31),""),IF(1&gt;$CQ31,"",IF($CQ31=1,$CW31,$CW31+($CX31-$CW31)*0/($CQ31-1)))))</f>
        <v/>
      </c>
      <c r="BV31" s="88">
        <f>IF($CS31,"",IF($CT31,IF(N($AX31)&gt;0,N($AX31),""),IF(2&gt;$CQ31,"",IF($CQ31=1,$CW31,$CW31+($CX31-$CW31)*1/($CQ31-1)))))</f>
        <v/>
      </c>
      <c r="BW31" s="88">
        <f>IF($CS31,"",IF($CT31,IF(N($AY31)&gt;0,N($AY31),""),IF(3&gt;$CQ31,"",IF($CQ31=1,$CW31,$CW31+($CX31-$CW31)*2/($CQ31-1)))))</f>
        <v/>
      </c>
      <c r="BX31" s="88">
        <f>IF($CS31,"",IF($CT31,IF(N($AZ31)&gt;0,N($AZ31),""),IF(4&gt;$CQ31,"",IF($CQ31=1,$CW31,$CW31+($CX31-$CW31)*3/($CQ31-1)))))</f>
        <v/>
      </c>
      <c r="BY31" s="88">
        <f>IF($CS31,"",IF($CT31,"",IF(5&gt;$CQ31,"",IF($CQ31=1,$CW31,$CW31+($CX31-$CW31)*4/($CQ31-1)))))</f>
        <v/>
      </c>
      <c r="BZ31" s="88">
        <f>IF(OR($CS31,$AP31="-",AND($AP31="",$AD31="")),"",IF(N($BA31)&gt;0,N($BA31),IF($CV31,IF(AND($BI31&lt;$CU31,$BI31-IF(N(VLOOKUP($AT31&amp;"|"&amp;$CU31,LocTable,7,FALSE))&gt;0,VLOOKUP($AT31&amp;"|"&amp;$CU31,LocTable,7,FALSE),VLOOKUP($AT31&amp;"|"&amp;$CU31,LocTable,6,FALSE))-$CR31-0.75&gt;=2.125),VLOOKUP($AT31&amp;"|"&amp;$CU31,LocTable,8,FALSE),VLOOKUP($AT31&amp;"|"&amp;$CU31,LocTable,8,FALSE)+($BI31-$CU31)),$BI31-LockAFF)))</f>
        <v/>
      </c>
      <c r="CA31" s="89">
        <f>IF($BZ31="","",$BI31-$BZ31)</f>
        <v/>
      </c>
      <c r="CB31" s="84">
        <f>IF(OR(NOT(AND($A31&lt;&gt;"",$C31&lt;&gt;"DOOR ONLY")),$BI31=""),"",IF(($BI31+IF(N($P31)&gt;0,$P31+FaceW,0))&lt;=90,3,IF(($BI31+IF(N($P31)&gt;0,$P31+FaceW,0))&lt;=114,4,5)))</f>
        <v/>
      </c>
      <c r="CC31" s="84">
        <f>IF($CB31="","",$CB31*(2+IF(N($Q31)&gt;0,IF($R31="LR",2,1),0)))</f>
        <v/>
      </c>
      <c r="CD31" s="84">
        <f>IF($CB31="","",(2+IF(N($Q31)&gt;0,IF($R31="LR",2,1),0)))</f>
        <v/>
      </c>
      <c r="CE31" s="84">
        <f>IF(N($BJ31)=0,"",IF(OR($AL31="",$AL31="FLUSH"),"FLUSH",IFERROR(LEFT($AL31,FIND("-",$AL31)-1),LEFT($AL31,2))))</f>
        <v/>
      </c>
      <c r="CF31" s="84">
        <f>IF($CE31="","",IFERROR(VALUE(MID($AL31,FIND("-",$AL31)+1,FIND(CHAR(34)&amp;"x",$AL31)-FIND("-",$AL31)-1)),0))</f>
        <v/>
      </c>
      <c r="CG31" s="84">
        <f>IF($CE31="","",IFERROR(VALUE(MID($AL31,FIND(CHAR(34)&amp;"x",$AL31)+2,FIND(CHAR(34),$AL31,FIND(CHAR(34)&amp;"x",$AL31)+2)-FIND(CHAR(34)&amp;"x",$AL31)-2)),0))</f>
        <v/>
      </c>
      <c r="CH31" s="90">
        <f>IF(OR($A31="",$H31="",$H31="NO LAB"),0,IFERROR(VALUE(LEFT($H31,FIND(" ",$H31)-1)),0))</f>
        <v/>
      </c>
      <c r="CI31" s="91">
        <f>IF(OR($A31="",$I31="",$I31="NON-RATED",N($J31)=0),"",IFERROR(VLOOKUP($I31&amp;"|"&amp;$J31,IBC,2,FALSE),"?"))</f>
        <v/>
      </c>
      <c r="CJ31" s="85">
        <f>IF(NOT(AND($A31&lt;&gt;"",$C31&lt;&gt;"DOOR ONLY")),"",TRIM(IFERROR(VLOOKUP($U31,CODES,2,FALSE),"")&amp;" "&amp;$BG31&amp;" "&amp;IFERROR(VLOOKUP($Z31,CODES,2,FALSE),"")&amp;" "&amp;IFERROR(VLOOKUP($X31,CODES,2,FALSE),"")&amp;" "&amp;IFERROR(VLOOKUP($S31,CODES,2,FALSE),"")&amp;IF(N($P31)&gt;0," w/TRANSOM "&amp;$P31&amp;CHAR(34),"")&amp;IF(N($Q31)&gt;0," w/SIDELITE "&amp;$Q31&amp;CHAR(34)&amp;" "&amp;IF($R31="","R",$R31),"")&amp;IF($Y31="","  |  "," | "&amp;IFERROR(VLOOKUP($Y31,CODES,2,FALSE),"")&amp;" | ")&amp;IFERROR(VLOOKUP($AC31,CODES,2,FALSE),"")&amp;" "&amp;IFERROR(VLOOKUP($AD31,CODES,2,FALSE),"")&amp;IF(OR($AE31="",$AE31="-"),""," "&amp;$AE31)&amp;IF(OR($AF31="",$AF31="-"),""," "&amp;$AF31)&amp;IF($AB31="Y"," 4"&amp;CHAR(34)&amp;" HEAD","")&amp;" "&amp;IFERROR(VLOOKUP($H31,CODES,2,FALSE),"")&amp;IF($CT31," | LOC "&amp;$CY31,"")))</f>
        <v/>
      </c>
      <c r="CK31" s="85">
        <f>IF(NOT(AND($A31&lt;&gt;"",N($BJ31)&gt;0)),"",TRIM(IFERROR(VLOOKUP($AH31,CODES,2,FALSE),"")&amp;IF($AI31=""," "," "&amp;$AI31&amp;"GA ")&amp;$BG31&amp;" "&amp;IF($AN31="",IFERROR(VLOOKUP($Z31,CODES,2,FALSE),""),IFERROR(VLOOKUP($AN31,CODES,2,FALSE),""))&amp;IF($BJ31=2," PAIR","")&amp;" DOOR | "&amp;IF($AL31="","?",$AL31)&amp;" | "&amp;IF($AO31="",IFERROR(VLOOKUP($AC31,CODES,2,FALSE),""),IFERROR(VLOOKUP($AO31,CODES,2,FALSE),""))&amp;" "&amp;IFERROR(VLOOKUP($AP31,CODES,2,FALSE),"")&amp;IF(OR($AQ31="",$AQ31="-"),""," SEAM "&amp;$AQ31)&amp;IF($AR31="Y"," ASTRAGAL","")&amp;IF($AJ31=""," "," "&amp;$AJ31)&amp;IF($AK31=""," "," "&amp;$AK31)&amp;IF(OR($AT31="",$AT31="ANSI/SDI",$AT31="CUSTOM LOC"),""," "&amp;$AT31)&amp;IF($AM31=""," "," SERIES "&amp;$AM31)&amp;" "&amp;IFERROR(VLOOKUP($H31,CODES,2,FALSE),"")&amp;IF($CT31," | LOC "&amp;$CZ31,"")))</f>
        <v/>
      </c>
      <c r="CL31" s="84">
        <f>IF(CP31="","",IF(COUNTIF($CP$6:CP31,CP31)=1,MAX($CL$5:CL30)+1,INDEX($CL$5:CL30,MATCH(CP31,$CP$5:CP30,0))))</f>
        <v/>
      </c>
      <c r="CM31" s="84">
        <f>IF(NOT(AND($A31&lt;&gt;"",$C31&lt;&gt;"DOOR ONLY")),"",MAX($CM$5:CM30)+1)</f>
        <v/>
      </c>
      <c r="CN31" s="84">
        <f>IF(NOT(AND($A31&lt;&gt;"",N($BJ31)&gt;0)),"",MAX($CN$5:CN30)+1)</f>
        <v/>
      </c>
      <c r="CO31" s="84">
        <f>IF($A31="","",MAX($CO$5:CO30)+1)</f>
        <v/>
      </c>
      <c r="CP31" s="84">
        <f>IF(OR($A31="",$BH31="",$BI31=""),"",$BG31&amp;"|"&amp;$O31&amp;"|"&amp;$AL31&amp;"|"&amp;$S31&amp;"|"&amp;$P31&amp;"|"&amp;$Q31&amp;$R31&amp;"|"&amp;$C31&amp;"|"&amp;$AB31)</f>
        <v/>
      </c>
      <c r="CQ31" s="84">
        <f>N($BS31)</f>
        <v/>
      </c>
      <c r="CR31" s="84">
        <f>IF(N($AU31)&gt;0,N($AU31),4.5)</f>
        <v/>
      </c>
      <c r="CS31" s="84">
        <f>OR($A31="",$BI31="",$S31="BL",AND($C31="FRAME ONLY",OR($AC31="",$AC31="BLK")))</f>
        <v/>
      </c>
      <c r="CT31" s="84">
        <f>AND(NOT($CS31),OR($AT31="CUSTOM LOC",N($AW31)+N($AX31)+N($AY31)+N($AZ31)+N($BA31)&gt;0))</f>
        <v/>
      </c>
      <c r="CU31" s="84">
        <f>IF($BI31="","",IF($BI31&lt;=80,80,IF($BI31&lt;=84,84,96)))</f>
        <v/>
      </c>
      <c r="CV31" s="84">
        <f>ISNUMBER(MATCH($AT31&amp;"|80",LocKeys,0))</f>
        <v/>
      </c>
      <c r="CW31" s="86">
        <f>IF($CS31,"",IF($CV31,VLOOKUP($AT31&amp;"|"&amp;$CU31,LocTable,4,FALSE),5))</f>
        <v/>
      </c>
      <c r="CX31" s="86">
        <f>IF($CS31,"",IF($CV31,IF(OR($BI31=$CU31,AND($BI31&lt;$CU31,$BI31-IF(N(VLOOKUP($AT31&amp;"|"&amp;$CU31,LocTable,7,FALSE))&gt;0,VLOOKUP($AT31&amp;"|"&amp;$CU31,LocTable,7,FALSE),VLOOKUP($AT31&amp;"|"&amp;$CU31,LocTable,6,FALSE))-$CR31-0.75&gt;=2.125)),IF(N(VLOOKUP($AT31&amp;"|"&amp;$CU31,LocTable,7,FALSE))&gt;0,VLOOKUP($AT31&amp;"|"&amp;$CU31,LocTable,7,FALSE),VLOOKUP($AT31&amp;"|"&amp;$CU31,LocTable,6,FALSE)),$BI31-($CU31-IF(N(VLOOKUP($AT31&amp;"|"&amp;$CU31,LocTable,7,FALSE))&gt;0,VLOOKUP($AT31&amp;"|"&amp;$CU31,LocTable,7,FALSE),VLOOKUP($AT31&amp;"|"&amp;$CU31,LocTable,6,FALSE)))),$BI31-10-$CR31))</f>
        <v/>
      </c>
      <c r="CY31" s="85">
        <f>IF($CS31,"",TRIM(IF(ISNUMBER($BU31),"A "&amp;TRIM(TEXT($BU31,"# ?/??"))&amp;CHAR(34)&amp;"  ","")&amp;IF(ISNUMBER($BV31),"B "&amp;TRIM(TEXT($BV31,"# ?/??"))&amp;CHAR(34)&amp;"  ","")&amp;IF(ISNUMBER($BW31),"C "&amp;TRIM(TEXT($BW31,"# ?/??"))&amp;CHAR(34)&amp;"  ","")&amp;IF(ISNUMBER($BX31),"D "&amp;TRIM(TEXT($BX31,"# ?/??"))&amp;CHAR(34)&amp;"  ","")&amp;IF(ISNUMBER($BY31),"F "&amp;TRIM(TEXT($BY31,"# ?/??"))&amp;CHAR(34)&amp;"  ","")&amp;IF(ISNUMBER($BZ31),"E "&amp;TRIM(TEXT($BZ31,"# ?/??"))&amp;CHAR(34)&amp;"  ","")))</f>
        <v/>
      </c>
      <c r="CZ31" s="85">
        <f>IF(OR($CS31,N($BJ31)=0),"",TRIM(IF(ISNUMBER($BU31),"A "&amp;TRIM(TEXT($BU31-HeadClr,"# ?/??"))&amp;CHAR(34)&amp;"  ","")&amp;IF(ISNUMBER($BV31),"B "&amp;TRIM(TEXT($BV31-HeadClr,"# ?/??"))&amp;CHAR(34)&amp;"  ","")&amp;IF(ISNUMBER($BW31),"C "&amp;TRIM(TEXT($BW31-HeadClr,"# ?/??"))&amp;CHAR(34)&amp;"  ","")&amp;IF(ISNUMBER($BX31),"D "&amp;TRIM(TEXT($BX31-HeadClr,"# ?/??"))&amp;CHAR(34)&amp;"  ","")&amp;IF(ISNUMBER($BY31),"F "&amp;TRIM(TEXT($BY31-HeadClr,"# ?/??"))&amp;CHAR(34)&amp;"  ","")&amp;IF(ISNUMBER($BZ31),"E "&amp;TRIM(TEXT($BZ31-HeadClr,"# ?/??"))&amp;CHAR(34)&amp;"  ","")))</f>
        <v/>
      </c>
      <c r="DA31" s="84">
        <f>IF($A31="","",IF($AN31="",IFERROR(VLOOKUP($Z31,CODES,2,FALSE),""),IFERROR(VLOOKUP($AN31,CODES,2,FALSE),"")))</f>
        <v/>
      </c>
      <c r="DB31" s="84">
        <f>IF($A31="","",IF($O31="Y","PR",IF(OR($Z31="L",$Z31="RR",LEFT($Z31,2)="L-",LEFT($Z31,3)="RR-"),"LH","RH")))</f>
        <v/>
      </c>
      <c r="DC31" s="84">
        <f>IF($A31="","","S.HM"&amp;IF(OR($C31="DOOR ONLY",$X31&lt;&gt;"KD"),"MASONRY","DRYWALL")&amp;IF($C31="DOOR ONLY","",$U31)&amp;IF(AND($C31&lt;&gt;"FRAME ONLY",OR(LEFT($AH31,3)="OAK",LEFT($AH31,3)="BIR",LEFT($AH31,3)="MAP",$AH31="PC",$AH31="MC",$AH31="SCLC",$AH31="P-LAM")),"WD","HM")&amp;"1.75")</f>
        <v/>
      </c>
      <c r="DD31" s="84">
        <f>IF($CJ31="","",IF($O31="Y",$CJ31,SUBSTITUTE($CJ31,$BG31&amp;" "&amp;IFERROR(VLOOKUP($Z31,CODES,2,FALSE),"")&amp;" ",$BG31&amp;" ")))</f>
        <v/>
      </c>
      <c r="DE31" s="84">
        <f>IF($CK31="","",IF($O31="Y",$CK31,SUBSTITUTE($CK31,$BG31&amp;" "&amp;IF($AN31="",IFERROR(VLOOKUP($Z31,CODES,2,FALSE),""),IFERROR(VLOOKUP($AN31,CODES,2,FALSE),""))&amp;" ",$BG31&amp;" ")))</f>
        <v/>
      </c>
      <c r="DF31" s="84">
        <f>IF($CJ31="","",$DC31&amp;"|"&amp;$DD31&amp;"|"&amp;$DB31&amp;"|"&amp;$AT31&amp;"|"&amp;$V31&amp;"|"&amp;$Y31&amp;"|"&amp;$AB31)</f>
        <v/>
      </c>
      <c r="DG31" s="84">
        <f>IF(DF31="","",IF(COUNTIF($DF$6:DF31,DF31)=1,MAX($DG$5:DG30)+1,INDEX($DG$5:DG30,MATCH(DF31,$DF$5:DF30,0))))</f>
        <v/>
      </c>
      <c r="DH31" s="84">
        <f>IF($CK31="","",$DC31&amp;"|"&amp;$DE31&amp;"|"&amp;$AI31&amp;"|"&amp;$BK31&amp;"|"&amp;$BL31)</f>
        <v/>
      </c>
      <c r="DI31" s="84">
        <f>IF(DH31="","",IF(COUNTIF($DH$6:DH31,DH31)=1,MAX($DI$5:DI30)+1,INDEX($DI$5:DI30,MATCH(DH31,$DH$5:DH30,0))))</f>
        <v/>
      </c>
      <c r="DJ31" s="84">
        <f>IF($A31="","",IF($B31="","qty, ","")&amp;IF($C31="","scope, ","")&amp;IF(OR($K31="",$M31=""),"size, ","")&amp;IF(AND($A31&lt;&gt;"",$C31&lt;&gt;"DOOR ONLY"),IF($U31="","jamb depth, ","")&amp;IF($X31="","construction, ","")&amp;IF($Y31="","anchor, ","")&amp;IF($S31="","frame type, ",""),"")&amp;IF(AND(N($BJ31)&gt;0,$Z31=""),"hand, ","")&amp;IF(N($BJ31)&gt;0,IF($AH31="","door material, ","")&amp;IF($AL31="","face type, ","")&amp;IF($AP31="","lock prep, ","")&amp;IF(AND($AO31="",$AC31=""),"hinge prep, ",""),"")&amp;IF(AND($CH31&gt;0,$AH31="FRP"),"FRP cannot carry a label, ","")&amp;IF(AND($O31="Y",OR($Z31="L",$Z31="R",$Z31="LR",$Z31="RR")),"pair marked but hand is single, ","")&amp;IF(AND($O31&lt;&gt;"Y",OR($Z31="PR",AND(LEN($Z31)&gt;1,ISNUMBER(SEARCH("-",$Z31))))),"pair hand on a single door, ","")&amp;IF(AND(ISNUMBER($CI31),$CH31&lt;N($CI31)),"wall needs a "&amp;$CI31&amp;" min door, ","")&amp;IF(AND($CH31&gt;=180,AND(OR($CE31="FG",$CE31="HG",$CE31="FNV",$CE31="FV"),N($CF31)*N($CG31)&gt;100)),"180 min lite over 100 sq in, ","")&amp;IF(N($BK31)&gt;48,"leaf wider than 4'-0"&amp;CHAR(34)&amp;", ","")&amp;IF(AND($CT31,COUNT($AW31:$AZ31)=0,$CQ31&gt;0),"CUSTOM LOC with no locations typed, ",""))</f>
        <v/>
      </c>
      <c r="DK31" s="84">
        <f>IF($A31="","",IF(AND($CH31&gt;0,AND($A31&lt;&gt;"",$C31&lt;&gt;"DOOR ONLY"),$X31="KD",$E31="EXTERIOR"),"KD label on an exterior opening, ","")&amp;IF(AND($E31="EXTERIOR",OR(AND(AND($A31&lt;&gt;"",$C31&lt;&gt;"DOOR ONLY"),$W31="CR"),AND(N($BJ31)&gt;0,$AH31="CR"))),"exterior in CR steel (G9?), ","")&amp;IF(AND(ISNUMBER($BQ31),N($BQ31)&lt;32),"clear width ~"&amp;TEXT($BQ31,"0.0")&amp;CHAR(34)&amp;" under 32"&amp;CHAR(34)&amp;" (ADA), ","")&amp;IF(AND($CH31=90,AND(OR($CE31="FG",$CE31="HG",$CE31="FNV",$CE31="FV"),N($CF31)*N($CG31)&gt;100)),"90 min lite over 100 sq in (stair/exit), ","")&amp;IF(AND($CH31&gt;0,AND($A31&lt;&gt;"",$C31&lt;&gt;"DOOR ONLY"),OR($AF31="",$AF31="-")),"rated: closer reinf.?, ","")&amp;IF(OR($I31="CORRIDOR",$I31="SMOKE BARRIER"),"S label + smoke gasketing, ","")&amp;IF($CI31="?","wall type/hr not in IBC table, ","")&amp;IF(AND(N($BJ31)&gt;0,$BB31=""),"no hardware set, ","")&amp;IF(AND($BB31&lt;&gt;"",ISNA(MATCH($BB31&amp;"",HWSets,0))),"set "&amp;$BB31&amp;" not on HW Sets, ","")&amp;IF(N($BL31)&gt;96,"leaf over 8'-0"&amp;CHAR(34)&amp;" - check listing, ","")&amp;IF(AND($CT31,COUNT($AW31:$AZ31)&gt;0,COUNT($AW31:$AZ31)&lt;&gt;$CQ31),COUNT($AW31:$AZ31)&amp;" custom hinges typed, "&amp;$CQ31&amp;" expected, ","")&amp;IF(AND(ISNUMBER($CA31),OR(N($CA31)&lt;34,N($CA31)&gt;48)),"lock "&amp;TEXT($CA31,"0.0")&amp;CHAR(34)&amp;" AFF outside 34-48"&amp;CHAR(34)&amp;" (ADA), ","")&amp;IF(AND(ISNUMBER($AV31),ISNUMBER($BL31),N($AV31)&lt;IF(N($BL31)&lt;=60,2,IF(N($BL31)&lt;=90,3,IF(N($BL31)&lt;=120,4,5)))),"fewer hinges than standard, ",""))</f>
        <v/>
      </c>
    </row>
    <row r="32" ht="15" customHeight="1">
      <c r="A32" s="77" t="n"/>
      <c r="B32" s="78" t="n"/>
      <c r="C32" s="78" t="n"/>
      <c r="D32" s="78" t="n"/>
      <c r="E32" s="78" t="n"/>
      <c r="F32" s="78" t="n"/>
      <c r="G32" s="78" t="n"/>
      <c r="H32" s="78" t="n"/>
      <c r="I32" s="78" t="n"/>
      <c r="J32" s="78" t="n"/>
      <c r="K32" s="78" t="n"/>
      <c r="L32" s="78" t="n"/>
      <c r="M32" s="78" t="n"/>
      <c r="N32" s="78" t="n"/>
      <c r="O32" s="78" t="n"/>
      <c r="P32" s="78" t="n"/>
      <c r="Q32" s="78" t="n"/>
      <c r="R32" s="78" t="n"/>
      <c r="S32" s="79" t="n"/>
      <c r="T32" s="79" t="n"/>
      <c r="U32" s="79" t="n"/>
      <c r="V32" s="79" t="n"/>
      <c r="W32" s="79" t="n"/>
      <c r="X32" s="79" t="n"/>
      <c r="Y32" s="79" t="n"/>
      <c r="Z32" s="79" t="n"/>
      <c r="AA32" s="79" t="n"/>
      <c r="AB32" s="79" t="n"/>
      <c r="AC32" s="79" t="n"/>
      <c r="AD32" s="79" t="n"/>
      <c r="AE32" s="79" t="n"/>
      <c r="AF32" s="79" t="n"/>
      <c r="AG32" s="79" t="n"/>
      <c r="AH32" s="80" t="n"/>
      <c r="AI32" s="80" t="n"/>
      <c r="AJ32" s="80" t="n"/>
      <c r="AK32" s="80" t="n"/>
      <c r="AL32" s="80" t="n"/>
      <c r="AM32" s="80" t="n"/>
      <c r="AN32" s="80" t="n"/>
      <c r="AO32" s="80" t="n"/>
      <c r="AP32" s="80" t="n"/>
      <c r="AQ32" s="80" t="n"/>
      <c r="AR32" s="80" t="n"/>
      <c r="AS32" s="80" t="n"/>
      <c r="AT32" s="81" t="n"/>
      <c r="AU32" s="81" t="n"/>
      <c r="AV32" s="81" t="n"/>
      <c r="AW32" s="82" t="n"/>
      <c r="AX32" s="82" t="n"/>
      <c r="AY32" s="82" t="n"/>
      <c r="AZ32" s="82" t="n"/>
      <c r="BA32" s="82" t="n"/>
      <c r="BB32" s="83" t="n"/>
      <c r="BC32" s="83" t="n"/>
      <c r="BD32" s="84">
        <f>IF($A32="","",IF($DJ32&lt;&gt;"","FIX",IF($DK32&lt;&gt;"","CHECK","OK")))</f>
        <v/>
      </c>
      <c r="BE32" s="85">
        <f>IF($A32="","",IF($DJ32&lt;&gt;"","FIX: "&amp;LEFT($DJ32,LEN($DJ32)-2)&amp;IF($DK32&lt;&gt;"","  ·  ",""),"")&amp;IF($DK32&lt;&gt;"","CHECK: "&amp;LEFT($DK32,LEN($DK32)-2),""))</f>
        <v/>
      </c>
      <c r="BF32" s="84">
        <f>IF(OR($A32="",$K32=""),"",$K32&amp;"'-"&amp;N($L32)&amp;CHAR(34)&amp;" x "&amp;$M32&amp;"'-"&amp;N($N32)&amp;CHAR(34))</f>
        <v/>
      </c>
      <c r="BG32" s="84">
        <f>IF(OR($A32="",$K32=""),"",$K32&amp;N($L32)&amp;$M32&amp;N($N32))</f>
        <v/>
      </c>
      <c r="BH32" s="84">
        <f>IF(OR($A32="",$K32=""),"",$K32*12+N($L32))</f>
        <v/>
      </c>
      <c r="BI32" s="84">
        <f>IF(OR($A32="",$M32=""),"",$M32*12+N($N32))</f>
        <v/>
      </c>
      <c r="BJ32" s="84">
        <f>IF($A32="","",IF(OR($C32="FRAME ONLY",$S32="BL"),0,IF($O32="Y",2,1)))</f>
        <v/>
      </c>
      <c r="BK32" s="86">
        <f>IF(OR(N($BJ32)=0,$BH32=""),"",($BH32-2*EdgeClr-IF($BJ32=2,MeetClr,0))/$BJ32)</f>
        <v/>
      </c>
      <c r="BL32" s="86">
        <f>IF(OR(N($BJ32)=0,$BI32=""),"",$BI32-HeadClr-Undercut)</f>
        <v/>
      </c>
      <c r="BM32" s="86">
        <f>IF($BH32="","",$BH32+2*FaceW+IF(N($Q32)&gt;0,($Q32+FaceW)*IF($R32="LR",2,1),0))</f>
        <v/>
      </c>
      <c r="BN32" s="86">
        <f>IF($BI32="","",$BI32+IF($AB32="Y",4,FaceW)+IF(N($P32)&gt;0,$P32+FaceW,0)+IF(OR($S32="4F",$S32="BL"),FaceW,0))</f>
        <v/>
      </c>
      <c r="BO32" s="86">
        <f>IF($BM32="","",$BM32+2*ROSide)</f>
        <v/>
      </c>
      <c r="BP32" s="86">
        <f>IF($BN32="","",$BN32+ROTop)</f>
        <v/>
      </c>
      <c r="BQ32" s="87">
        <f>IF(OR(N($BJ32)=0,$BH32=""),"",$BH32/$BJ32-ClearDeduct)</f>
        <v/>
      </c>
      <c r="BR32" s="84">
        <f>IF(N($CH32)=0,"",IF($CH32&gt;=180,"A · 3 HR",IF($CH32&gt;=90,"B · 1-1/2 HR",IF($CH32&gt;=60,"B · 1 HR",IF($CH32&gt;=45,"C · 3/4 HR","20 MIN")))))&amp;IF(AND(N($CH32)&gt;0,OR($I32="CORRIDOR",$I32="SMOKE BARRIER"))," · S","")</f>
        <v/>
      </c>
      <c r="BS32" s="84">
        <f>IF($CS32,"",IF($AV32&lt;&gt;"",$AV32,IF(OR($AC32="HGC",$AO32="HGC"),"CONT",IF(($BI32-HeadClr-Undercut)&lt;=60,2,IF(($BI32-HeadClr-Undercut)&lt;=90,3,IF(($BI32-HeadClr-Undercut)&lt;=120,4,5))))))</f>
        <v/>
      </c>
      <c r="BT32" s="84">
        <f>IF($CS32,"",IF($CT32,"CUSTOM (typed)",IF($CV32,$AT32&amp;" "&amp;$CU32&amp;CHAR(34)&amp;IF($CU32&lt;&gt;$BI32,IF(AND($BI32&lt;$CU32,$BI32-IF(N(VLOOKUP($AT32&amp;"|"&amp;$CU32,LocTable,7,FALSE))&gt;0,VLOOKUP($AT32&amp;"|"&amp;$CU32,LocTable,7,FALSE),VLOOKUP($AT32&amp;"|"&amp;$CU32,LocTable,6,FALSE))-$CR32-0.75&gt;=2.125)," cut down"," adj."),""),"ANSI/SDI A250.6")))</f>
        <v/>
      </c>
      <c r="BU32" s="88">
        <f>IF($CS32,"",IF($CT32,IF(N($AW32)&gt;0,N($AW32),""),IF(1&gt;$CQ32,"",IF($CQ32=1,$CW32,$CW32+($CX32-$CW32)*0/($CQ32-1)))))</f>
        <v/>
      </c>
      <c r="BV32" s="88">
        <f>IF($CS32,"",IF($CT32,IF(N($AX32)&gt;0,N($AX32),""),IF(2&gt;$CQ32,"",IF($CQ32=1,$CW32,$CW32+($CX32-$CW32)*1/($CQ32-1)))))</f>
        <v/>
      </c>
      <c r="BW32" s="88">
        <f>IF($CS32,"",IF($CT32,IF(N($AY32)&gt;0,N($AY32),""),IF(3&gt;$CQ32,"",IF($CQ32=1,$CW32,$CW32+($CX32-$CW32)*2/($CQ32-1)))))</f>
        <v/>
      </c>
      <c r="BX32" s="88">
        <f>IF($CS32,"",IF($CT32,IF(N($AZ32)&gt;0,N($AZ32),""),IF(4&gt;$CQ32,"",IF($CQ32=1,$CW32,$CW32+($CX32-$CW32)*3/($CQ32-1)))))</f>
        <v/>
      </c>
      <c r="BY32" s="88">
        <f>IF($CS32,"",IF($CT32,"",IF(5&gt;$CQ32,"",IF($CQ32=1,$CW32,$CW32+($CX32-$CW32)*4/($CQ32-1)))))</f>
        <v/>
      </c>
      <c r="BZ32" s="88">
        <f>IF(OR($CS32,$AP32="-",AND($AP32="",$AD32="")),"",IF(N($BA32)&gt;0,N($BA32),IF($CV32,IF(AND($BI32&lt;$CU32,$BI32-IF(N(VLOOKUP($AT32&amp;"|"&amp;$CU32,LocTable,7,FALSE))&gt;0,VLOOKUP($AT32&amp;"|"&amp;$CU32,LocTable,7,FALSE),VLOOKUP($AT32&amp;"|"&amp;$CU32,LocTable,6,FALSE))-$CR32-0.75&gt;=2.125),VLOOKUP($AT32&amp;"|"&amp;$CU32,LocTable,8,FALSE),VLOOKUP($AT32&amp;"|"&amp;$CU32,LocTable,8,FALSE)+($BI32-$CU32)),$BI32-LockAFF)))</f>
        <v/>
      </c>
      <c r="CA32" s="89">
        <f>IF($BZ32="","",$BI32-$BZ32)</f>
        <v/>
      </c>
      <c r="CB32" s="84">
        <f>IF(OR(NOT(AND($A32&lt;&gt;"",$C32&lt;&gt;"DOOR ONLY")),$BI32=""),"",IF(($BI32+IF(N($P32)&gt;0,$P32+FaceW,0))&lt;=90,3,IF(($BI32+IF(N($P32)&gt;0,$P32+FaceW,0))&lt;=114,4,5)))</f>
        <v/>
      </c>
      <c r="CC32" s="84">
        <f>IF($CB32="","",$CB32*(2+IF(N($Q32)&gt;0,IF($R32="LR",2,1),0)))</f>
        <v/>
      </c>
      <c r="CD32" s="84">
        <f>IF($CB32="","",(2+IF(N($Q32)&gt;0,IF($R32="LR",2,1),0)))</f>
        <v/>
      </c>
      <c r="CE32" s="84">
        <f>IF(N($BJ32)=0,"",IF(OR($AL32="",$AL32="FLUSH"),"FLUSH",IFERROR(LEFT($AL32,FIND("-",$AL32)-1),LEFT($AL32,2))))</f>
        <v/>
      </c>
      <c r="CF32" s="84">
        <f>IF($CE32="","",IFERROR(VALUE(MID($AL32,FIND("-",$AL32)+1,FIND(CHAR(34)&amp;"x",$AL32)-FIND("-",$AL32)-1)),0))</f>
        <v/>
      </c>
      <c r="CG32" s="84">
        <f>IF($CE32="","",IFERROR(VALUE(MID($AL32,FIND(CHAR(34)&amp;"x",$AL32)+2,FIND(CHAR(34),$AL32,FIND(CHAR(34)&amp;"x",$AL32)+2)-FIND(CHAR(34)&amp;"x",$AL32)-2)),0))</f>
        <v/>
      </c>
      <c r="CH32" s="90">
        <f>IF(OR($A32="",$H32="",$H32="NO LAB"),0,IFERROR(VALUE(LEFT($H32,FIND(" ",$H32)-1)),0))</f>
        <v/>
      </c>
      <c r="CI32" s="91">
        <f>IF(OR($A32="",$I32="",$I32="NON-RATED",N($J32)=0),"",IFERROR(VLOOKUP($I32&amp;"|"&amp;$J32,IBC,2,FALSE),"?"))</f>
        <v/>
      </c>
      <c r="CJ32" s="85">
        <f>IF(NOT(AND($A32&lt;&gt;"",$C32&lt;&gt;"DOOR ONLY")),"",TRIM(IFERROR(VLOOKUP($U32,CODES,2,FALSE),"")&amp;" "&amp;$BG32&amp;" "&amp;IFERROR(VLOOKUP($Z32,CODES,2,FALSE),"")&amp;" "&amp;IFERROR(VLOOKUP($X32,CODES,2,FALSE),"")&amp;" "&amp;IFERROR(VLOOKUP($S32,CODES,2,FALSE),"")&amp;IF(N($P32)&gt;0," w/TRANSOM "&amp;$P32&amp;CHAR(34),"")&amp;IF(N($Q32)&gt;0," w/SIDELITE "&amp;$Q32&amp;CHAR(34)&amp;" "&amp;IF($R32="","R",$R32),"")&amp;IF($Y32="","  |  "," | "&amp;IFERROR(VLOOKUP($Y32,CODES,2,FALSE),"")&amp;" | ")&amp;IFERROR(VLOOKUP($AC32,CODES,2,FALSE),"")&amp;" "&amp;IFERROR(VLOOKUP($AD32,CODES,2,FALSE),"")&amp;IF(OR($AE32="",$AE32="-"),""," "&amp;$AE32)&amp;IF(OR($AF32="",$AF32="-"),""," "&amp;$AF32)&amp;IF($AB32="Y"," 4"&amp;CHAR(34)&amp;" HEAD","")&amp;" "&amp;IFERROR(VLOOKUP($H32,CODES,2,FALSE),"")&amp;IF($CT32," | LOC "&amp;$CY32,"")))</f>
        <v/>
      </c>
      <c r="CK32" s="85">
        <f>IF(NOT(AND($A32&lt;&gt;"",N($BJ32)&gt;0)),"",TRIM(IFERROR(VLOOKUP($AH32,CODES,2,FALSE),"")&amp;IF($AI32=""," "," "&amp;$AI32&amp;"GA ")&amp;$BG32&amp;" "&amp;IF($AN32="",IFERROR(VLOOKUP($Z32,CODES,2,FALSE),""),IFERROR(VLOOKUP($AN32,CODES,2,FALSE),""))&amp;IF($BJ32=2," PAIR","")&amp;" DOOR | "&amp;IF($AL32="","?",$AL32)&amp;" | "&amp;IF($AO32="",IFERROR(VLOOKUP($AC32,CODES,2,FALSE),""),IFERROR(VLOOKUP($AO32,CODES,2,FALSE),""))&amp;" "&amp;IFERROR(VLOOKUP($AP32,CODES,2,FALSE),"")&amp;IF(OR($AQ32="",$AQ32="-"),""," SEAM "&amp;$AQ32)&amp;IF($AR32="Y"," ASTRAGAL","")&amp;IF($AJ32=""," "," "&amp;$AJ32)&amp;IF($AK32=""," "," "&amp;$AK32)&amp;IF(OR($AT32="",$AT32="ANSI/SDI",$AT32="CUSTOM LOC"),""," "&amp;$AT32)&amp;IF($AM32=""," "," SERIES "&amp;$AM32)&amp;" "&amp;IFERROR(VLOOKUP($H32,CODES,2,FALSE),"")&amp;IF($CT32," | LOC "&amp;$CZ32,"")))</f>
        <v/>
      </c>
      <c r="CL32" s="84">
        <f>IF(CP32="","",IF(COUNTIF($CP$6:CP32,CP32)=1,MAX($CL$5:CL31)+1,INDEX($CL$5:CL31,MATCH(CP32,$CP$5:CP31,0))))</f>
        <v/>
      </c>
      <c r="CM32" s="84">
        <f>IF(NOT(AND($A32&lt;&gt;"",$C32&lt;&gt;"DOOR ONLY")),"",MAX($CM$5:CM31)+1)</f>
        <v/>
      </c>
      <c r="CN32" s="84">
        <f>IF(NOT(AND($A32&lt;&gt;"",N($BJ32)&gt;0)),"",MAX($CN$5:CN31)+1)</f>
        <v/>
      </c>
      <c r="CO32" s="84">
        <f>IF($A32="","",MAX($CO$5:CO31)+1)</f>
        <v/>
      </c>
      <c r="CP32" s="84">
        <f>IF(OR($A32="",$BH32="",$BI32=""),"",$BG32&amp;"|"&amp;$O32&amp;"|"&amp;$AL32&amp;"|"&amp;$S32&amp;"|"&amp;$P32&amp;"|"&amp;$Q32&amp;$R32&amp;"|"&amp;$C32&amp;"|"&amp;$AB32)</f>
        <v/>
      </c>
      <c r="CQ32" s="84">
        <f>N($BS32)</f>
        <v/>
      </c>
      <c r="CR32" s="84">
        <f>IF(N($AU32)&gt;0,N($AU32),4.5)</f>
        <v/>
      </c>
      <c r="CS32" s="84">
        <f>OR($A32="",$BI32="",$S32="BL",AND($C32="FRAME ONLY",OR($AC32="",$AC32="BLK")))</f>
        <v/>
      </c>
      <c r="CT32" s="84">
        <f>AND(NOT($CS32),OR($AT32="CUSTOM LOC",N($AW32)+N($AX32)+N($AY32)+N($AZ32)+N($BA32)&gt;0))</f>
        <v/>
      </c>
      <c r="CU32" s="84">
        <f>IF($BI32="","",IF($BI32&lt;=80,80,IF($BI32&lt;=84,84,96)))</f>
        <v/>
      </c>
      <c r="CV32" s="84">
        <f>ISNUMBER(MATCH($AT32&amp;"|80",LocKeys,0))</f>
        <v/>
      </c>
      <c r="CW32" s="86">
        <f>IF($CS32,"",IF($CV32,VLOOKUP($AT32&amp;"|"&amp;$CU32,LocTable,4,FALSE),5))</f>
        <v/>
      </c>
      <c r="CX32" s="86">
        <f>IF($CS32,"",IF($CV32,IF(OR($BI32=$CU32,AND($BI32&lt;$CU32,$BI32-IF(N(VLOOKUP($AT32&amp;"|"&amp;$CU32,LocTable,7,FALSE))&gt;0,VLOOKUP($AT32&amp;"|"&amp;$CU32,LocTable,7,FALSE),VLOOKUP($AT32&amp;"|"&amp;$CU32,LocTable,6,FALSE))-$CR32-0.75&gt;=2.125)),IF(N(VLOOKUP($AT32&amp;"|"&amp;$CU32,LocTable,7,FALSE))&gt;0,VLOOKUP($AT32&amp;"|"&amp;$CU32,LocTable,7,FALSE),VLOOKUP($AT32&amp;"|"&amp;$CU32,LocTable,6,FALSE)),$BI32-($CU32-IF(N(VLOOKUP($AT32&amp;"|"&amp;$CU32,LocTable,7,FALSE))&gt;0,VLOOKUP($AT32&amp;"|"&amp;$CU32,LocTable,7,FALSE),VLOOKUP($AT32&amp;"|"&amp;$CU32,LocTable,6,FALSE)))),$BI32-10-$CR32))</f>
        <v/>
      </c>
      <c r="CY32" s="85">
        <f>IF($CS32,"",TRIM(IF(ISNUMBER($BU32),"A "&amp;TRIM(TEXT($BU32,"# ?/??"))&amp;CHAR(34)&amp;"  ","")&amp;IF(ISNUMBER($BV32),"B "&amp;TRIM(TEXT($BV32,"# ?/??"))&amp;CHAR(34)&amp;"  ","")&amp;IF(ISNUMBER($BW32),"C "&amp;TRIM(TEXT($BW32,"# ?/??"))&amp;CHAR(34)&amp;"  ","")&amp;IF(ISNUMBER($BX32),"D "&amp;TRIM(TEXT($BX32,"# ?/??"))&amp;CHAR(34)&amp;"  ","")&amp;IF(ISNUMBER($BY32),"F "&amp;TRIM(TEXT($BY32,"# ?/??"))&amp;CHAR(34)&amp;"  ","")&amp;IF(ISNUMBER($BZ32),"E "&amp;TRIM(TEXT($BZ32,"# ?/??"))&amp;CHAR(34)&amp;"  ","")))</f>
        <v/>
      </c>
      <c r="CZ32" s="85">
        <f>IF(OR($CS32,N($BJ32)=0),"",TRIM(IF(ISNUMBER($BU32),"A "&amp;TRIM(TEXT($BU32-HeadClr,"# ?/??"))&amp;CHAR(34)&amp;"  ","")&amp;IF(ISNUMBER($BV32),"B "&amp;TRIM(TEXT($BV32-HeadClr,"# ?/??"))&amp;CHAR(34)&amp;"  ","")&amp;IF(ISNUMBER($BW32),"C "&amp;TRIM(TEXT($BW32-HeadClr,"# ?/??"))&amp;CHAR(34)&amp;"  ","")&amp;IF(ISNUMBER($BX32),"D "&amp;TRIM(TEXT($BX32-HeadClr,"# ?/??"))&amp;CHAR(34)&amp;"  ","")&amp;IF(ISNUMBER($BY32),"F "&amp;TRIM(TEXT($BY32-HeadClr,"# ?/??"))&amp;CHAR(34)&amp;"  ","")&amp;IF(ISNUMBER($BZ32),"E "&amp;TRIM(TEXT($BZ32-HeadClr,"# ?/??"))&amp;CHAR(34)&amp;"  ","")))</f>
        <v/>
      </c>
      <c r="DA32" s="84">
        <f>IF($A32="","",IF($AN32="",IFERROR(VLOOKUP($Z32,CODES,2,FALSE),""),IFERROR(VLOOKUP($AN32,CODES,2,FALSE),"")))</f>
        <v/>
      </c>
      <c r="DB32" s="84">
        <f>IF($A32="","",IF($O32="Y","PR",IF(OR($Z32="L",$Z32="RR",LEFT($Z32,2)="L-",LEFT($Z32,3)="RR-"),"LH","RH")))</f>
        <v/>
      </c>
      <c r="DC32" s="84">
        <f>IF($A32="","","S.HM"&amp;IF(OR($C32="DOOR ONLY",$X32&lt;&gt;"KD"),"MASONRY","DRYWALL")&amp;IF($C32="DOOR ONLY","",$U32)&amp;IF(AND($C32&lt;&gt;"FRAME ONLY",OR(LEFT($AH32,3)="OAK",LEFT($AH32,3)="BIR",LEFT($AH32,3)="MAP",$AH32="PC",$AH32="MC",$AH32="SCLC",$AH32="P-LAM")),"WD","HM")&amp;"1.75")</f>
        <v/>
      </c>
      <c r="DD32" s="84">
        <f>IF($CJ32="","",IF($O32="Y",$CJ32,SUBSTITUTE($CJ32,$BG32&amp;" "&amp;IFERROR(VLOOKUP($Z32,CODES,2,FALSE),"")&amp;" ",$BG32&amp;" ")))</f>
        <v/>
      </c>
      <c r="DE32" s="84">
        <f>IF($CK32="","",IF($O32="Y",$CK32,SUBSTITUTE($CK32,$BG32&amp;" "&amp;IF($AN32="",IFERROR(VLOOKUP($Z32,CODES,2,FALSE),""),IFERROR(VLOOKUP($AN32,CODES,2,FALSE),""))&amp;" ",$BG32&amp;" ")))</f>
        <v/>
      </c>
      <c r="DF32" s="84">
        <f>IF($CJ32="","",$DC32&amp;"|"&amp;$DD32&amp;"|"&amp;$DB32&amp;"|"&amp;$AT32&amp;"|"&amp;$V32&amp;"|"&amp;$Y32&amp;"|"&amp;$AB32)</f>
        <v/>
      </c>
      <c r="DG32" s="84">
        <f>IF(DF32="","",IF(COUNTIF($DF$6:DF32,DF32)=1,MAX($DG$5:DG31)+1,INDEX($DG$5:DG31,MATCH(DF32,$DF$5:DF31,0))))</f>
        <v/>
      </c>
      <c r="DH32" s="84">
        <f>IF($CK32="","",$DC32&amp;"|"&amp;$DE32&amp;"|"&amp;$AI32&amp;"|"&amp;$BK32&amp;"|"&amp;$BL32)</f>
        <v/>
      </c>
      <c r="DI32" s="84">
        <f>IF(DH32="","",IF(COUNTIF($DH$6:DH32,DH32)=1,MAX($DI$5:DI31)+1,INDEX($DI$5:DI31,MATCH(DH32,$DH$5:DH31,0))))</f>
        <v/>
      </c>
      <c r="DJ32" s="84">
        <f>IF($A32="","",IF($B32="","qty, ","")&amp;IF($C32="","scope, ","")&amp;IF(OR($K32="",$M32=""),"size, ","")&amp;IF(AND($A32&lt;&gt;"",$C32&lt;&gt;"DOOR ONLY"),IF($U32="","jamb depth, ","")&amp;IF($X32="","construction, ","")&amp;IF($Y32="","anchor, ","")&amp;IF($S32="","frame type, ",""),"")&amp;IF(AND(N($BJ32)&gt;0,$Z32=""),"hand, ","")&amp;IF(N($BJ32)&gt;0,IF($AH32="","door material, ","")&amp;IF($AL32="","face type, ","")&amp;IF($AP32="","lock prep, ","")&amp;IF(AND($AO32="",$AC32=""),"hinge prep, ",""),"")&amp;IF(AND($CH32&gt;0,$AH32="FRP"),"FRP cannot carry a label, ","")&amp;IF(AND($O32="Y",OR($Z32="L",$Z32="R",$Z32="LR",$Z32="RR")),"pair marked but hand is single, ","")&amp;IF(AND($O32&lt;&gt;"Y",OR($Z32="PR",AND(LEN($Z32)&gt;1,ISNUMBER(SEARCH("-",$Z32))))),"pair hand on a single door, ","")&amp;IF(AND(ISNUMBER($CI32),$CH32&lt;N($CI32)),"wall needs a "&amp;$CI32&amp;" min door, ","")&amp;IF(AND($CH32&gt;=180,AND(OR($CE32="FG",$CE32="HG",$CE32="FNV",$CE32="FV"),N($CF32)*N($CG32)&gt;100)),"180 min lite over 100 sq in, ","")&amp;IF(N($BK32)&gt;48,"leaf wider than 4'-0"&amp;CHAR(34)&amp;", ","")&amp;IF(AND($CT32,COUNT($AW32:$AZ32)=0,$CQ32&gt;0),"CUSTOM LOC with no locations typed, ",""))</f>
        <v/>
      </c>
      <c r="DK32" s="84">
        <f>IF($A32="","",IF(AND($CH32&gt;0,AND($A32&lt;&gt;"",$C32&lt;&gt;"DOOR ONLY"),$X32="KD",$E32="EXTERIOR"),"KD label on an exterior opening, ","")&amp;IF(AND($E32="EXTERIOR",OR(AND(AND($A32&lt;&gt;"",$C32&lt;&gt;"DOOR ONLY"),$W32="CR"),AND(N($BJ32)&gt;0,$AH32="CR"))),"exterior in CR steel (G9?), ","")&amp;IF(AND(ISNUMBER($BQ32),N($BQ32)&lt;32),"clear width ~"&amp;TEXT($BQ32,"0.0")&amp;CHAR(34)&amp;" under 32"&amp;CHAR(34)&amp;" (ADA), ","")&amp;IF(AND($CH32=90,AND(OR($CE32="FG",$CE32="HG",$CE32="FNV",$CE32="FV"),N($CF32)*N($CG32)&gt;100)),"90 min lite over 100 sq in (stair/exit), ","")&amp;IF(AND($CH32&gt;0,AND($A32&lt;&gt;"",$C32&lt;&gt;"DOOR ONLY"),OR($AF32="",$AF32="-")),"rated: closer reinf.?, ","")&amp;IF(OR($I32="CORRIDOR",$I32="SMOKE BARRIER"),"S label + smoke gasketing, ","")&amp;IF($CI32="?","wall type/hr not in IBC table, ","")&amp;IF(AND(N($BJ32)&gt;0,$BB32=""),"no hardware set, ","")&amp;IF(AND($BB32&lt;&gt;"",ISNA(MATCH($BB32&amp;"",HWSets,0))),"set "&amp;$BB32&amp;" not on HW Sets, ","")&amp;IF(N($BL32)&gt;96,"leaf over 8'-0"&amp;CHAR(34)&amp;" - check listing, ","")&amp;IF(AND($CT32,COUNT($AW32:$AZ32)&gt;0,COUNT($AW32:$AZ32)&lt;&gt;$CQ32),COUNT($AW32:$AZ32)&amp;" custom hinges typed, "&amp;$CQ32&amp;" expected, ","")&amp;IF(AND(ISNUMBER($CA32),OR(N($CA32)&lt;34,N($CA32)&gt;48)),"lock "&amp;TEXT($CA32,"0.0")&amp;CHAR(34)&amp;" AFF outside 34-48"&amp;CHAR(34)&amp;" (ADA), ","")&amp;IF(AND(ISNUMBER($AV32),ISNUMBER($BL32),N($AV32)&lt;IF(N($BL32)&lt;=60,2,IF(N($BL32)&lt;=90,3,IF(N($BL32)&lt;=120,4,5)))),"fewer hinges than standard, ",""))</f>
        <v/>
      </c>
    </row>
    <row r="33" ht="15" customHeight="1">
      <c r="A33" s="77" t="n"/>
      <c r="B33" s="78" t="n"/>
      <c r="C33" s="78" t="n"/>
      <c r="D33" s="78" t="n"/>
      <c r="E33" s="78" t="n"/>
      <c r="F33" s="78" t="n"/>
      <c r="G33" s="78" t="n"/>
      <c r="H33" s="78" t="n"/>
      <c r="I33" s="78" t="n"/>
      <c r="J33" s="78" t="n"/>
      <c r="K33" s="78" t="n"/>
      <c r="L33" s="78" t="n"/>
      <c r="M33" s="78" t="n"/>
      <c r="N33" s="78" t="n"/>
      <c r="O33" s="78" t="n"/>
      <c r="P33" s="78" t="n"/>
      <c r="Q33" s="78" t="n"/>
      <c r="R33" s="78" t="n"/>
      <c r="S33" s="79" t="n"/>
      <c r="T33" s="79" t="n"/>
      <c r="U33" s="79" t="n"/>
      <c r="V33" s="79" t="n"/>
      <c r="W33" s="79" t="n"/>
      <c r="X33" s="79" t="n"/>
      <c r="Y33" s="79" t="n"/>
      <c r="Z33" s="79" t="n"/>
      <c r="AA33" s="79" t="n"/>
      <c r="AB33" s="79" t="n"/>
      <c r="AC33" s="79" t="n"/>
      <c r="AD33" s="79" t="n"/>
      <c r="AE33" s="79" t="n"/>
      <c r="AF33" s="79" t="n"/>
      <c r="AG33" s="79" t="n"/>
      <c r="AH33" s="80" t="n"/>
      <c r="AI33" s="80" t="n"/>
      <c r="AJ33" s="80" t="n"/>
      <c r="AK33" s="80" t="n"/>
      <c r="AL33" s="80" t="n"/>
      <c r="AM33" s="80" t="n"/>
      <c r="AN33" s="80" t="n"/>
      <c r="AO33" s="80" t="n"/>
      <c r="AP33" s="80" t="n"/>
      <c r="AQ33" s="80" t="n"/>
      <c r="AR33" s="80" t="n"/>
      <c r="AS33" s="80" t="n"/>
      <c r="AT33" s="81" t="n"/>
      <c r="AU33" s="81" t="n"/>
      <c r="AV33" s="81" t="n"/>
      <c r="AW33" s="82" t="n"/>
      <c r="AX33" s="82" t="n"/>
      <c r="AY33" s="82" t="n"/>
      <c r="AZ33" s="82" t="n"/>
      <c r="BA33" s="82" t="n"/>
      <c r="BB33" s="83" t="n"/>
      <c r="BC33" s="83" t="n"/>
      <c r="BD33" s="84">
        <f>IF($A33="","",IF($DJ33&lt;&gt;"","FIX",IF($DK33&lt;&gt;"","CHECK","OK")))</f>
        <v/>
      </c>
      <c r="BE33" s="85">
        <f>IF($A33="","",IF($DJ33&lt;&gt;"","FIX: "&amp;LEFT($DJ33,LEN($DJ33)-2)&amp;IF($DK33&lt;&gt;"","  ·  ",""),"")&amp;IF($DK33&lt;&gt;"","CHECK: "&amp;LEFT($DK33,LEN($DK33)-2),""))</f>
        <v/>
      </c>
      <c r="BF33" s="84">
        <f>IF(OR($A33="",$K33=""),"",$K33&amp;"'-"&amp;N($L33)&amp;CHAR(34)&amp;" x "&amp;$M33&amp;"'-"&amp;N($N33)&amp;CHAR(34))</f>
        <v/>
      </c>
      <c r="BG33" s="84">
        <f>IF(OR($A33="",$K33=""),"",$K33&amp;N($L33)&amp;$M33&amp;N($N33))</f>
        <v/>
      </c>
      <c r="BH33" s="84">
        <f>IF(OR($A33="",$K33=""),"",$K33*12+N($L33))</f>
        <v/>
      </c>
      <c r="BI33" s="84">
        <f>IF(OR($A33="",$M33=""),"",$M33*12+N($N33))</f>
        <v/>
      </c>
      <c r="BJ33" s="84">
        <f>IF($A33="","",IF(OR($C33="FRAME ONLY",$S33="BL"),0,IF($O33="Y",2,1)))</f>
        <v/>
      </c>
      <c r="BK33" s="86">
        <f>IF(OR(N($BJ33)=0,$BH33=""),"",($BH33-2*EdgeClr-IF($BJ33=2,MeetClr,0))/$BJ33)</f>
        <v/>
      </c>
      <c r="BL33" s="86">
        <f>IF(OR(N($BJ33)=0,$BI33=""),"",$BI33-HeadClr-Undercut)</f>
        <v/>
      </c>
      <c r="BM33" s="86">
        <f>IF($BH33="","",$BH33+2*FaceW+IF(N($Q33)&gt;0,($Q33+FaceW)*IF($R33="LR",2,1),0))</f>
        <v/>
      </c>
      <c r="BN33" s="86">
        <f>IF($BI33="","",$BI33+IF($AB33="Y",4,FaceW)+IF(N($P33)&gt;0,$P33+FaceW,0)+IF(OR($S33="4F",$S33="BL"),FaceW,0))</f>
        <v/>
      </c>
      <c r="BO33" s="86">
        <f>IF($BM33="","",$BM33+2*ROSide)</f>
        <v/>
      </c>
      <c r="BP33" s="86">
        <f>IF($BN33="","",$BN33+ROTop)</f>
        <v/>
      </c>
      <c r="BQ33" s="87">
        <f>IF(OR(N($BJ33)=0,$BH33=""),"",$BH33/$BJ33-ClearDeduct)</f>
        <v/>
      </c>
      <c r="BR33" s="84">
        <f>IF(N($CH33)=0,"",IF($CH33&gt;=180,"A · 3 HR",IF($CH33&gt;=90,"B · 1-1/2 HR",IF($CH33&gt;=60,"B · 1 HR",IF($CH33&gt;=45,"C · 3/4 HR","20 MIN")))))&amp;IF(AND(N($CH33)&gt;0,OR($I33="CORRIDOR",$I33="SMOKE BARRIER"))," · S","")</f>
        <v/>
      </c>
      <c r="BS33" s="84">
        <f>IF($CS33,"",IF($AV33&lt;&gt;"",$AV33,IF(OR($AC33="HGC",$AO33="HGC"),"CONT",IF(($BI33-HeadClr-Undercut)&lt;=60,2,IF(($BI33-HeadClr-Undercut)&lt;=90,3,IF(($BI33-HeadClr-Undercut)&lt;=120,4,5))))))</f>
        <v/>
      </c>
      <c r="BT33" s="84">
        <f>IF($CS33,"",IF($CT33,"CUSTOM (typed)",IF($CV33,$AT33&amp;" "&amp;$CU33&amp;CHAR(34)&amp;IF($CU33&lt;&gt;$BI33,IF(AND($BI33&lt;$CU33,$BI33-IF(N(VLOOKUP($AT33&amp;"|"&amp;$CU33,LocTable,7,FALSE))&gt;0,VLOOKUP($AT33&amp;"|"&amp;$CU33,LocTable,7,FALSE),VLOOKUP($AT33&amp;"|"&amp;$CU33,LocTable,6,FALSE))-$CR33-0.75&gt;=2.125)," cut down"," adj."),""),"ANSI/SDI A250.6")))</f>
        <v/>
      </c>
      <c r="BU33" s="88">
        <f>IF($CS33,"",IF($CT33,IF(N($AW33)&gt;0,N($AW33),""),IF(1&gt;$CQ33,"",IF($CQ33=1,$CW33,$CW33+($CX33-$CW33)*0/($CQ33-1)))))</f>
        <v/>
      </c>
      <c r="BV33" s="88">
        <f>IF($CS33,"",IF($CT33,IF(N($AX33)&gt;0,N($AX33),""),IF(2&gt;$CQ33,"",IF($CQ33=1,$CW33,$CW33+($CX33-$CW33)*1/($CQ33-1)))))</f>
        <v/>
      </c>
      <c r="BW33" s="88">
        <f>IF($CS33,"",IF($CT33,IF(N($AY33)&gt;0,N($AY33),""),IF(3&gt;$CQ33,"",IF($CQ33=1,$CW33,$CW33+($CX33-$CW33)*2/($CQ33-1)))))</f>
        <v/>
      </c>
      <c r="BX33" s="88">
        <f>IF($CS33,"",IF($CT33,IF(N($AZ33)&gt;0,N($AZ33),""),IF(4&gt;$CQ33,"",IF($CQ33=1,$CW33,$CW33+($CX33-$CW33)*3/($CQ33-1)))))</f>
        <v/>
      </c>
      <c r="BY33" s="88">
        <f>IF($CS33,"",IF($CT33,"",IF(5&gt;$CQ33,"",IF($CQ33=1,$CW33,$CW33+($CX33-$CW33)*4/($CQ33-1)))))</f>
        <v/>
      </c>
      <c r="BZ33" s="88">
        <f>IF(OR($CS33,$AP33="-",AND($AP33="",$AD33="")),"",IF(N($BA33)&gt;0,N($BA33),IF($CV33,IF(AND($BI33&lt;$CU33,$BI33-IF(N(VLOOKUP($AT33&amp;"|"&amp;$CU33,LocTable,7,FALSE))&gt;0,VLOOKUP($AT33&amp;"|"&amp;$CU33,LocTable,7,FALSE),VLOOKUP($AT33&amp;"|"&amp;$CU33,LocTable,6,FALSE))-$CR33-0.75&gt;=2.125),VLOOKUP($AT33&amp;"|"&amp;$CU33,LocTable,8,FALSE),VLOOKUP($AT33&amp;"|"&amp;$CU33,LocTable,8,FALSE)+($BI33-$CU33)),$BI33-LockAFF)))</f>
        <v/>
      </c>
      <c r="CA33" s="89">
        <f>IF($BZ33="","",$BI33-$BZ33)</f>
        <v/>
      </c>
      <c r="CB33" s="84">
        <f>IF(OR(NOT(AND($A33&lt;&gt;"",$C33&lt;&gt;"DOOR ONLY")),$BI33=""),"",IF(($BI33+IF(N($P33)&gt;0,$P33+FaceW,0))&lt;=90,3,IF(($BI33+IF(N($P33)&gt;0,$P33+FaceW,0))&lt;=114,4,5)))</f>
        <v/>
      </c>
      <c r="CC33" s="84">
        <f>IF($CB33="","",$CB33*(2+IF(N($Q33)&gt;0,IF($R33="LR",2,1),0)))</f>
        <v/>
      </c>
      <c r="CD33" s="84">
        <f>IF($CB33="","",(2+IF(N($Q33)&gt;0,IF($R33="LR",2,1),0)))</f>
        <v/>
      </c>
      <c r="CE33" s="84">
        <f>IF(N($BJ33)=0,"",IF(OR($AL33="",$AL33="FLUSH"),"FLUSH",IFERROR(LEFT($AL33,FIND("-",$AL33)-1),LEFT($AL33,2))))</f>
        <v/>
      </c>
      <c r="CF33" s="84">
        <f>IF($CE33="","",IFERROR(VALUE(MID($AL33,FIND("-",$AL33)+1,FIND(CHAR(34)&amp;"x",$AL33)-FIND("-",$AL33)-1)),0))</f>
        <v/>
      </c>
      <c r="CG33" s="84">
        <f>IF($CE33="","",IFERROR(VALUE(MID($AL33,FIND(CHAR(34)&amp;"x",$AL33)+2,FIND(CHAR(34),$AL33,FIND(CHAR(34)&amp;"x",$AL33)+2)-FIND(CHAR(34)&amp;"x",$AL33)-2)),0))</f>
        <v/>
      </c>
      <c r="CH33" s="90">
        <f>IF(OR($A33="",$H33="",$H33="NO LAB"),0,IFERROR(VALUE(LEFT($H33,FIND(" ",$H33)-1)),0))</f>
        <v/>
      </c>
      <c r="CI33" s="91">
        <f>IF(OR($A33="",$I33="",$I33="NON-RATED",N($J33)=0),"",IFERROR(VLOOKUP($I33&amp;"|"&amp;$J33,IBC,2,FALSE),"?"))</f>
        <v/>
      </c>
      <c r="CJ33" s="85">
        <f>IF(NOT(AND($A33&lt;&gt;"",$C33&lt;&gt;"DOOR ONLY")),"",TRIM(IFERROR(VLOOKUP($U33,CODES,2,FALSE),"")&amp;" "&amp;$BG33&amp;" "&amp;IFERROR(VLOOKUP($Z33,CODES,2,FALSE),"")&amp;" "&amp;IFERROR(VLOOKUP($X33,CODES,2,FALSE),"")&amp;" "&amp;IFERROR(VLOOKUP($S33,CODES,2,FALSE),"")&amp;IF(N($P33)&gt;0," w/TRANSOM "&amp;$P33&amp;CHAR(34),"")&amp;IF(N($Q33)&gt;0," w/SIDELITE "&amp;$Q33&amp;CHAR(34)&amp;" "&amp;IF($R33="","R",$R33),"")&amp;IF($Y33="","  |  "," | "&amp;IFERROR(VLOOKUP($Y33,CODES,2,FALSE),"")&amp;" | ")&amp;IFERROR(VLOOKUP($AC33,CODES,2,FALSE),"")&amp;" "&amp;IFERROR(VLOOKUP($AD33,CODES,2,FALSE),"")&amp;IF(OR($AE33="",$AE33="-"),""," "&amp;$AE33)&amp;IF(OR($AF33="",$AF33="-"),""," "&amp;$AF33)&amp;IF($AB33="Y"," 4"&amp;CHAR(34)&amp;" HEAD","")&amp;" "&amp;IFERROR(VLOOKUP($H33,CODES,2,FALSE),"")&amp;IF($CT33," | LOC "&amp;$CY33,"")))</f>
        <v/>
      </c>
      <c r="CK33" s="85">
        <f>IF(NOT(AND($A33&lt;&gt;"",N($BJ33)&gt;0)),"",TRIM(IFERROR(VLOOKUP($AH33,CODES,2,FALSE),"")&amp;IF($AI33=""," "," "&amp;$AI33&amp;"GA ")&amp;$BG33&amp;" "&amp;IF($AN33="",IFERROR(VLOOKUP($Z33,CODES,2,FALSE),""),IFERROR(VLOOKUP($AN33,CODES,2,FALSE),""))&amp;IF($BJ33=2," PAIR","")&amp;" DOOR | "&amp;IF($AL33="","?",$AL33)&amp;" | "&amp;IF($AO33="",IFERROR(VLOOKUP($AC33,CODES,2,FALSE),""),IFERROR(VLOOKUP($AO33,CODES,2,FALSE),""))&amp;" "&amp;IFERROR(VLOOKUP($AP33,CODES,2,FALSE),"")&amp;IF(OR($AQ33="",$AQ33="-"),""," SEAM "&amp;$AQ33)&amp;IF($AR33="Y"," ASTRAGAL","")&amp;IF($AJ33=""," "," "&amp;$AJ33)&amp;IF($AK33=""," "," "&amp;$AK33)&amp;IF(OR($AT33="",$AT33="ANSI/SDI",$AT33="CUSTOM LOC"),""," "&amp;$AT33)&amp;IF($AM33=""," "," SERIES "&amp;$AM33)&amp;" "&amp;IFERROR(VLOOKUP($H33,CODES,2,FALSE),"")&amp;IF($CT33," | LOC "&amp;$CZ33,"")))</f>
        <v/>
      </c>
      <c r="CL33" s="84">
        <f>IF(CP33="","",IF(COUNTIF($CP$6:CP33,CP33)=1,MAX($CL$5:CL32)+1,INDEX($CL$5:CL32,MATCH(CP33,$CP$5:CP32,0))))</f>
        <v/>
      </c>
      <c r="CM33" s="84">
        <f>IF(NOT(AND($A33&lt;&gt;"",$C33&lt;&gt;"DOOR ONLY")),"",MAX($CM$5:CM32)+1)</f>
        <v/>
      </c>
      <c r="CN33" s="84">
        <f>IF(NOT(AND($A33&lt;&gt;"",N($BJ33)&gt;0)),"",MAX($CN$5:CN32)+1)</f>
        <v/>
      </c>
      <c r="CO33" s="84">
        <f>IF($A33="","",MAX($CO$5:CO32)+1)</f>
        <v/>
      </c>
      <c r="CP33" s="84">
        <f>IF(OR($A33="",$BH33="",$BI33=""),"",$BG33&amp;"|"&amp;$O33&amp;"|"&amp;$AL33&amp;"|"&amp;$S33&amp;"|"&amp;$P33&amp;"|"&amp;$Q33&amp;$R33&amp;"|"&amp;$C33&amp;"|"&amp;$AB33)</f>
        <v/>
      </c>
      <c r="CQ33" s="84">
        <f>N($BS33)</f>
        <v/>
      </c>
      <c r="CR33" s="84">
        <f>IF(N($AU33)&gt;0,N($AU33),4.5)</f>
        <v/>
      </c>
      <c r="CS33" s="84">
        <f>OR($A33="",$BI33="",$S33="BL",AND($C33="FRAME ONLY",OR($AC33="",$AC33="BLK")))</f>
        <v/>
      </c>
      <c r="CT33" s="84">
        <f>AND(NOT($CS33),OR($AT33="CUSTOM LOC",N($AW33)+N($AX33)+N($AY33)+N($AZ33)+N($BA33)&gt;0))</f>
        <v/>
      </c>
      <c r="CU33" s="84">
        <f>IF($BI33="","",IF($BI33&lt;=80,80,IF($BI33&lt;=84,84,96)))</f>
        <v/>
      </c>
      <c r="CV33" s="84">
        <f>ISNUMBER(MATCH($AT33&amp;"|80",LocKeys,0))</f>
        <v/>
      </c>
      <c r="CW33" s="86">
        <f>IF($CS33,"",IF($CV33,VLOOKUP($AT33&amp;"|"&amp;$CU33,LocTable,4,FALSE),5))</f>
        <v/>
      </c>
      <c r="CX33" s="86">
        <f>IF($CS33,"",IF($CV33,IF(OR($BI33=$CU33,AND($BI33&lt;$CU33,$BI33-IF(N(VLOOKUP($AT33&amp;"|"&amp;$CU33,LocTable,7,FALSE))&gt;0,VLOOKUP($AT33&amp;"|"&amp;$CU33,LocTable,7,FALSE),VLOOKUP($AT33&amp;"|"&amp;$CU33,LocTable,6,FALSE))-$CR33-0.75&gt;=2.125)),IF(N(VLOOKUP($AT33&amp;"|"&amp;$CU33,LocTable,7,FALSE))&gt;0,VLOOKUP($AT33&amp;"|"&amp;$CU33,LocTable,7,FALSE),VLOOKUP($AT33&amp;"|"&amp;$CU33,LocTable,6,FALSE)),$BI33-($CU33-IF(N(VLOOKUP($AT33&amp;"|"&amp;$CU33,LocTable,7,FALSE))&gt;0,VLOOKUP($AT33&amp;"|"&amp;$CU33,LocTable,7,FALSE),VLOOKUP($AT33&amp;"|"&amp;$CU33,LocTable,6,FALSE)))),$BI33-10-$CR33))</f>
        <v/>
      </c>
      <c r="CY33" s="85">
        <f>IF($CS33,"",TRIM(IF(ISNUMBER($BU33),"A "&amp;TRIM(TEXT($BU33,"# ?/??"))&amp;CHAR(34)&amp;"  ","")&amp;IF(ISNUMBER($BV33),"B "&amp;TRIM(TEXT($BV33,"# ?/??"))&amp;CHAR(34)&amp;"  ","")&amp;IF(ISNUMBER($BW33),"C "&amp;TRIM(TEXT($BW33,"# ?/??"))&amp;CHAR(34)&amp;"  ","")&amp;IF(ISNUMBER($BX33),"D "&amp;TRIM(TEXT($BX33,"# ?/??"))&amp;CHAR(34)&amp;"  ","")&amp;IF(ISNUMBER($BY33),"F "&amp;TRIM(TEXT($BY33,"# ?/??"))&amp;CHAR(34)&amp;"  ","")&amp;IF(ISNUMBER($BZ33),"E "&amp;TRIM(TEXT($BZ33,"# ?/??"))&amp;CHAR(34)&amp;"  ","")))</f>
        <v/>
      </c>
      <c r="CZ33" s="85">
        <f>IF(OR($CS33,N($BJ33)=0),"",TRIM(IF(ISNUMBER($BU33),"A "&amp;TRIM(TEXT($BU33-HeadClr,"# ?/??"))&amp;CHAR(34)&amp;"  ","")&amp;IF(ISNUMBER($BV33),"B "&amp;TRIM(TEXT($BV33-HeadClr,"# ?/??"))&amp;CHAR(34)&amp;"  ","")&amp;IF(ISNUMBER($BW33),"C "&amp;TRIM(TEXT($BW33-HeadClr,"# ?/??"))&amp;CHAR(34)&amp;"  ","")&amp;IF(ISNUMBER($BX33),"D "&amp;TRIM(TEXT($BX33-HeadClr,"# ?/??"))&amp;CHAR(34)&amp;"  ","")&amp;IF(ISNUMBER($BY33),"F "&amp;TRIM(TEXT($BY33-HeadClr,"# ?/??"))&amp;CHAR(34)&amp;"  ","")&amp;IF(ISNUMBER($BZ33),"E "&amp;TRIM(TEXT($BZ33-HeadClr,"# ?/??"))&amp;CHAR(34)&amp;"  ","")))</f>
        <v/>
      </c>
      <c r="DA33" s="84">
        <f>IF($A33="","",IF($AN33="",IFERROR(VLOOKUP($Z33,CODES,2,FALSE),""),IFERROR(VLOOKUP($AN33,CODES,2,FALSE),"")))</f>
        <v/>
      </c>
      <c r="DB33" s="84">
        <f>IF($A33="","",IF($O33="Y","PR",IF(OR($Z33="L",$Z33="RR",LEFT($Z33,2)="L-",LEFT($Z33,3)="RR-"),"LH","RH")))</f>
        <v/>
      </c>
      <c r="DC33" s="84">
        <f>IF($A33="","","S.HM"&amp;IF(OR($C33="DOOR ONLY",$X33&lt;&gt;"KD"),"MASONRY","DRYWALL")&amp;IF($C33="DOOR ONLY","",$U33)&amp;IF(AND($C33&lt;&gt;"FRAME ONLY",OR(LEFT($AH33,3)="OAK",LEFT($AH33,3)="BIR",LEFT($AH33,3)="MAP",$AH33="PC",$AH33="MC",$AH33="SCLC",$AH33="P-LAM")),"WD","HM")&amp;"1.75")</f>
        <v/>
      </c>
      <c r="DD33" s="84">
        <f>IF($CJ33="","",IF($O33="Y",$CJ33,SUBSTITUTE($CJ33,$BG33&amp;" "&amp;IFERROR(VLOOKUP($Z33,CODES,2,FALSE),"")&amp;" ",$BG33&amp;" ")))</f>
        <v/>
      </c>
      <c r="DE33" s="84">
        <f>IF($CK33="","",IF($O33="Y",$CK33,SUBSTITUTE($CK33,$BG33&amp;" "&amp;IF($AN33="",IFERROR(VLOOKUP($Z33,CODES,2,FALSE),""),IFERROR(VLOOKUP($AN33,CODES,2,FALSE),""))&amp;" ",$BG33&amp;" ")))</f>
        <v/>
      </c>
      <c r="DF33" s="84">
        <f>IF($CJ33="","",$DC33&amp;"|"&amp;$DD33&amp;"|"&amp;$DB33&amp;"|"&amp;$AT33&amp;"|"&amp;$V33&amp;"|"&amp;$Y33&amp;"|"&amp;$AB33)</f>
        <v/>
      </c>
      <c r="DG33" s="84">
        <f>IF(DF33="","",IF(COUNTIF($DF$6:DF33,DF33)=1,MAX($DG$5:DG32)+1,INDEX($DG$5:DG32,MATCH(DF33,$DF$5:DF32,0))))</f>
        <v/>
      </c>
      <c r="DH33" s="84">
        <f>IF($CK33="","",$DC33&amp;"|"&amp;$DE33&amp;"|"&amp;$AI33&amp;"|"&amp;$BK33&amp;"|"&amp;$BL33)</f>
        <v/>
      </c>
      <c r="DI33" s="84">
        <f>IF(DH33="","",IF(COUNTIF($DH$6:DH33,DH33)=1,MAX($DI$5:DI32)+1,INDEX($DI$5:DI32,MATCH(DH33,$DH$5:DH32,0))))</f>
        <v/>
      </c>
      <c r="DJ33" s="84">
        <f>IF($A33="","",IF($B33="","qty, ","")&amp;IF($C33="","scope, ","")&amp;IF(OR($K33="",$M33=""),"size, ","")&amp;IF(AND($A33&lt;&gt;"",$C33&lt;&gt;"DOOR ONLY"),IF($U33="","jamb depth, ","")&amp;IF($X33="","construction, ","")&amp;IF($Y33="","anchor, ","")&amp;IF($S33="","frame type, ",""),"")&amp;IF(AND(N($BJ33)&gt;0,$Z33=""),"hand, ","")&amp;IF(N($BJ33)&gt;0,IF($AH33="","door material, ","")&amp;IF($AL33="","face type, ","")&amp;IF($AP33="","lock prep, ","")&amp;IF(AND($AO33="",$AC33=""),"hinge prep, ",""),"")&amp;IF(AND($CH33&gt;0,$AH33="FRP"),"FRP cannot carry a label, ","")&amp;IF(AND($O33="Y",OR($Z33="L",$Z33="R",$Z33="LR",$Z33="RR")),"pair marked but hand is single, ","")&amp;IF(AND($O33&lt;&gt;"Y",OR($Z33="PR",AND(LEN($Z33)&gt;1,ISNUMBER(SEARCH("-",$Z33))))),"pair hand on a single door, ","")&amp;IF(AND(ISNUMBER($CI33),$CH33&lt;N($CI33)),"wall needs a "&amp;$CI33&amp;" min door, ","")&amp;IF(AND($CH33&gt;=180,AND(OR($CE33="FG",$CE33="HG",$CE33="FNV",$CE33="FV"),N($CF33)*N($CG33)&gt;100)),"180 min lite over 100 sq in, ","")&amp;IF(N($BK33)&gt;48,"leaf wider than 4'-0"&amp;CHAR(34)&amp;", ","")&amp;IF(AND($CT33,COUNT($AW33:$AZ33)=0,$CQ33&gt;0),"CUSTOM LOC with no locations typed, ",""))</f>
        <v/>
      </c>
      <c r="DK33" s="84">
        <f>IF($A33="","",IF(AND($CH33&gt;0,AND($A33&lt;&gt;"",$C33&lt;&gt;"DOOR ONLY"),$X33="KD",$E33="EXTERIOR"),"KD label on an exterior opening, ","")&amp;IF(AND($E33="EXTERIOR",OR(AND(AND($A33&lt;&gt;"",$C33&lt;&gt;"DOOR ONLY"),$W33="CR"),AND(N($BJ33)&gt;0,$AH33="CR"))),"exterior in CR steel (G9?), ","")&amp;IF(AND(ISNUMBER($BQ33),N($BQ33)&lt;32),"clear width ~"&amp;TEXT($BQ33,"0.0")&amp;CHAR(34)&amp;" under 32"&amp;CHAR(34)&amp;" (ADA), ","")&amp;IF(AND($CH33=90,AND(OR($CE33="FG",$CE33="HG",$CE33="FNV",$CE33="FV"),N($CF33)*N($CG33)&gt;100)),"90 min lite over 100 sq in (stair/exit), ","")&amp;IF(AND($CH33&gt;0,AND($A33&lt;&gt;"",$C33&lt;&gt;"DOOR ONLY"),OR($AF33="",$AF33="-")),"rated: closer reinf.?, ","")&amp;IF(OR($I33="CORRIDOR",$I33="SMOKE BARRIER"),"S label + smoke gasketing, ","")&amp;IF($CI33="?","wall type/hr not in IBC table, ","")&amp;IF(AND(N($BJ33)&gt;0,$BB33=""),"no hardware set, ","")&amp;IF(AND($BB33&lt;&gt;"",ISNA(MATCH($BB33&amp;"",HWSets,0))),"set "&amp;$BB33&amp;" not on HW Sets, ","")&amp;IF(N($BL33)&gt;96,"leaf over 8'-0"&amp;CHAR(34)&amp;" - check listing, ","")&amp;IF(AND($CT33,COUNT($AW33:$AZ33)&gt;0,COUNT($AW33:$AZ33)&lt;&gt;$CQ33),COUNT($AW33:$AZ33)&amp;" custom hinges typed, "&amp;$CQ33&amp;" expected, ","")&amp;IF(AND(ISNUMBER($CA33),OR(N($CA33)&lt;34,N($CA33)&gt;48)),"lock "&amp;TEXT($CA33,"0.0")&amp;CHAR(34)&amp;" AFF outside 34-48"&amp;CHAR(34)&amp;" (ADA), ","")&amp;IF(AND(ISNUMBER($AV33),ISNUMBER($BL33),N($AV33)&lt;IF(N($BL33)&lt;=60,2,IF(N($BL33)&lt;=90,3,IF(N($BL33)&lt;=120,4,5)))),"fewer hinges than standard, ",""))</f>
        <v/>
      </c>
    </row>
    <row r="34" ht="15" customHeight="1">
      <c r="A34" s="77" t="n"/>
      <c r="B34" s="78" t="n"/>
      <c r="C34" s="78" t="n"/>
      <c r="D34" s="78" t="n"/>
      <c r="E34" s="78" t="n"/>
      <c r="F34" s="78" t="n"/>
      <c r="G34" s="78" t="n"/>
      <c r="H34" s="78" t="n"/>
      <c r="I34" s="78" t="n"/>
      <c r="J34" s="78" t="n"/>
      <c r="K34" s="78" t="n"/>
      <c r="L34" s="78" t="n"/>
      <c r="M34" s="78" t="n"/>
      <c r="N34" s="78" t="n"/>
      <c r="O34" s="78" t="n"/>
      <c r="P34" s="78" t="n"/>
      <c r="Q34" s="78" t="n"/>
      <c r="R34" s="78" t="n"/>
      <c r="S34" s="79" t="n"/>
      <c r="T34" s="79" t="n"/>
      <c r="U34" s="79" t="n"/>
      <c r="V34" s="79" t="n"/>
      <c r="W34" s="79" t="n"/>
      <c r="X34" s="79" t="n"/>
      <c r="Y34" s="79" t="n"/>
      <c r="Z34" s="79" t="n"/>
      <c r="AA34" s="79" t="n"/>
      <c r="AB34" s="79" t="n"/>
      <c r="AC34" s="79" t="n"/>
      <c r="AD34" s="79" t="n"/>
      <c r="AE34" s="79" t="n"/>
      <c r="AF34" s="79" t="n"/>
      <c r="AG34" s="79" t="n"/>
      <c r="AH34" s="80" t="n"/>
      <c r="AI34" s="80" t="n"/>
      <c r="AJ34" s="80" t="n"/>
      <c r="AK34" s="80" t="n"/>
      <c r="AL34" s="80" t="n"/>
      <c r="AM34" s="80" t="n"/>
      <c r="AN34" s="80" t="n"/>
      <c r="AO34" s="80" t="n"/>
      <c r="AP34" s="80" t="n"/>
      <c r="AQ34" s="80" t="n"/>
      <c r="AR34" s="80" t="n"/>
      <c r="AS34" s="80" t="n"/>
      <c r="AT34" s="81" t="n"/>
      <c r="AU34" s="81" t="n"/>
      <c r="AV34" s="81" t="n"/>
      <c r="AW34" s="82" t="n"/>
      <c r="AX34" s="82" t="n"/>
      <c r="AY34" s="82" t="n"/>
      <c r="AZ34" s="82" t="n"/>
      <c r="BA34" s="82" t="n"/>
      <c r="BB34" s="83" t="n"/>
      <c r="BC34" s="83" t="n"/>
      <c r="BD34" s="84">
        <f>IF($A34="","",IF($DJ34&lt;&gt;"","FIX",IF($DK34&lt;&gt;"","CHECK","OK")))</f>
        <v/>
      </c>
      <c r="BE34" s="85">
        <f>IF($A34="","",IF($DJ34&lt;&gt;"","FIX: "&amp;LEFT($DJ34,LEN($DJ34)-2)&amp;IF($DK34&lt;&gt;"","  ·  ",""),"")&amp;IF($DK34&lt;&gt;"","CHECK: "&amp;LEFT($DK34,LEN($DK34)-2),""))</f>
        <v/>
      </c>
      <c r="BF34" s="84">
        <f>IF(OR($A34="",$K34=""),"",$K34&amp;"'-"&amp;N($L34)&amp;CHAR(34)&amp;" x "&amp;$M34&amp;"'-"&amp;N($N34)&amp;CHAR(34))</f>
        <v/>
      </c>
      <c r="BG34" s="84">
        <f>IF(OR($A34="",$K34=""),"",$K34&amp;N($L34)&amp;$M34&amp;N($N34))</f>
        <v/>
      </c>
      <c r="BH34" s="84">
        <f>IF(OR($A34="",$K34=""),"",$K34*12+N($L34))</f>
        <v/>
      </c>
      <c r="BI34" s="84">
        <f>IF(OR($A34="",$M34=""),"",$M34*12+N($N34))</f>
        <v/>
      </c>
      <c r="BJ34" s="84">
        <f>IF($A34="","",IF(OR($C34="FRAME ONLY",$S34="BL"),0,IF($O34="Y",2,1)))</f>
        <v/>
      </c>
      <c r="BK34" s="86">
        <f>IF(OR(N($BJ34)=0,$BH34=""),"",($BH34-2*EdgeClr-IF($BJ34=2,MeetClr,0))/$BJ34)</f>
        <v/>
      </c>
      <c r="BL34" s="86">
        <f>IF(OR(N($BJ34)=0,$BI34=""),"",$BI34-HeadClr-Undercut)</f>
        <v/>
      </c>
      <c r="BM34" s="86">
        <f>IF($BH34="","",$BH34+2*FaceW+IF(N($Q34)&gt;0,($Q34+FaceW)*IF($R34="LR",2,1),0))</f>
        <v/>
      </c>
      <c r="BN34" s="86">
        <f>IF($BI34="","",$BI34+IF($AB34="Y",4,FaceW)+IF(N($P34)&gt;0,$P34+FaceW,0)+IF(OR($S34="4F",$S34="BL"),FaceW,0))</f>
        <v/>
      </c>
      <c r="BO34" s="86">
        <f>IF($BM34="","",$BM34+2*ROSide)</f>
        <v/>
      </c>
      <c r="BP34" s="86">
        <f>IF($BN34="","",$BN34+ROTop)</f>
        <v/>
      </c>
      <c r="BQ34" s="87">
        <f>IF(OR(N($BJ34)=0,$BH34=""),"",$BH34/$BJ34-ClearDeduct)</f>
        <v/>
      </c>
      <c r="BR34" s="84">
        <f>IF(N($CH34)=0,"",IF($CH34&gt;=180,"A · 3 HR",IF($CH34&gt;=90,"B · 1-1/2 HR",IF($CH34&gt;=60,"B · 1 HR",IF($CH34&gt;=45,"C · 3/4 HR","20 MIN")))))&amp;IF(AND(N($CH34)&gt;0,OR($I34="CORRIDOR",$I34="SMOKE BARRIER"))," · S","")</f>
        <v/>
      </c>
      <c r="BS34" s="84">
        <f>IF($CS34,"",IF($AV34&lt;&gt;"",$AV34,IF(OR($AC34="HGC",$AO34="HGC"),"CONT",IF(($BI34-HeadClr-Undercut)&lt;=60,2,IF(($BI34-HeadClr-Undercut)&lt;=90,3,IF(($BI34-HeadClr-Undercut)&lt;=120,4,5))))))</f>
        <v/>
      </c>
      <c r="BT34" s="84">
        <f>IF($CS34,"",IF($CT34,"CUSTOM (typed)",IF($CV34,$AT34&amp;" "&amp;$CU34&amp;CHAR(34)&amp;IF($CU34&lt;&gt;$BI34,IF(AND($BI34&lt;$CU34,$BI34-IF(N(VLOOKUP($AT34&amp;"|"&amp;$CU34,LocTable,7,FALSE))&gt;0,VLOOKUP($AT34&amp;"|"&amp;$CU34,LocTable,7,FALSE),VLOOKUP($AT34&amp;"|"&amp;$CU34,LocTable,6,FALSE))-$CR34-0.75&gt;=2.125)," cut down"," adj."),""),"ANSI/SDI A250.6")))</f>
        <v/>
      </c>
      <c r="BU34" s="88">
        <f>IF($CS34,"",IF($CT34,IF(N($AW34)&gt;0,N($AW34),""),IF(1&gt;$CQ34,"",IF($CQ34=1,$CW34,$CW34+($CX34-$CW34)*0/($CQ34-1)))))</f>
        <v/>
      </c>
      <c r="BV34" s="88">
        <f>IF($CS34,"",IF($CT34,IF(N($AX34)&gt;0,N($AX34),""),IF(2&gt;$CQ34,"",IF($CQ34=1,$CW34,$CW34+($CX34-$CW34)*1/($CQ34-1)))))</f>
        <v/>
      </c>
      <c r="BW34" s="88">
        <f>IF($CS34,"",IF($CT34,IF(N($AY34)&gt;0,N($AY34),""),IF(3&gt;$CQ34,"",IF($CQ34=1,$CW34,$CW34+($CX34-$CW34)*2/($CQ34-1)))))</f>
        <v/>
      </c>
      <c r="BX34" s="88">
        <f>IF($CS34,"",IF($CT34,IF(N($AZ34)&gt;0,N($AZ34),""),IF(4&gt;$CQ34,"",IF($CQ34=1,$CW34,$CW34+($CX34-$CW34)*3/($CQ34-1)))))</f>
        <v/>
      </c>
      <c r="BY34" s="88">
        <f>IF($CS34,"",IF($CT34,"",IF(5&gt;$CQ34,"",IF($CQ34=1,$CW34,$CW34+($CX34-$CW34)*4/($CQ34-1)))))</f>
        <v/>
      </c>
      <c r="BZ34" s="88">
        <f>IF(OR($CS34,$AP34="-",AND($AP34="",$AD34="")),"",IF(N($BA34)&gt;0,N($BA34),IF($CV34,IF(AND($BI34&lt;$CU34,$BI34-IF(N(VLOOKUP($AT34&amp;"|"&amp;$CU34,LocTable,7,FALSE))&gt;0,VLOOKUP($AT34&amp;"|"&amp;$CU34,LocTable,7,FALSE),VLOOKUP($AT34&amp;"|"&amp;$CU34,LocTable,6,FALSE))-$CR34-0.75&gt;=2.125),VLOOKUP($AT34&amp;"|"&amp;$CU34,LocTable,8,FALSE),VLOOKUP($AT34&amp;"|"&amp;$CU34,LocTable,8,FALSE)+($BI34-$CU34)),$BI34-LockAFF)))</f>
        <v/>
      </c>
      <c r="CA34" s="89">
        <f>IF($BZ34="","",$BI34-$BZ34)</f>
        <v/>
      </c>
      <c r="CB34" s="84">
        <f>IF(OR(NOT(AND($A34&lt;&gt;"",$C34&lt;&gt;"DOOR ONLY")),$BI34=""),"",IF(($BI34+IF(N($P34)&gt;0,$P34+FaceW,0))&lt;=90,3,IF(($BI34+IF(N($P34)&gt;0,$P34+FaceW,0))&lt;=114,4,5)))</f>
        <v/>
      </c>
      <c r="CC34" s="84">
        <f>IF($CB34="","",$CB34*(2+IF(N($Q34)&gt;0,IF($R34="LR",2,1),0)))</f>
        <v/>
      </c>
      <c r="CD34" s="84">
        <f>IF($CB34="","",(2+IF(N($Q34)&gt;0,IF($R34="LR",2,1),0)))</f>
        <v/>
      </c>
      <c r="CE34" s="84">
        <f>IF(N($BJ34)=0,"",IF(OR($AL34="",$AL34="FLUSH"),"FLUSH",IFERROR(LEFT($AL34,FIND("-",$AL34)-1),LEFT($AL34,2))))</f>
        <v/>
      </c>
      <c r="CF34" s="84">
        <f>IF($CE34="","",IFERROR(VALUE(MID($AL34,FIND("-",$AL34)+1,FIND(CHAR(34)&amp;"x",$AL34)-FIND("-",$AL34)-1)),0))</f>
        <v/>
      </c>
      <c r="CG34" s="84">
        <f>IF($CE34="","",IFERROR(VALUE(MID($AL34,FIND(CHAR(34)&amp;"x",$AL34)+2,FIND(CHAR(34),$AL34,FIND(CHAR(34)&amp;"x",$AL34)+2)-FIND(CHAR(34)&amp;"x",$AL34)-2)),0))</f>
        <v/>
      </c>
      <c r="CH34" s="90">
        <f>IF(OR($A34="",$H34="",$H34="NO LAB"),0,IFERROR(VALUE(LEFT($H34,FIND(" ",$H34)-1)),0))</f>
        <v/>
      </c>
      <c r="CI34" s="91">
        <f>IF(OR($A34="",$I34="",$I34="NON-RATED",N($J34)=0),"",IFERROR(VLOOKUP($I34&amp;"|"&amp;$J34,IBC,2,FALSE),"?"))</f>
        <v/>
      </c>
      <c r="CJ34" s="85">
        <f>IF(NOT(AND($A34&lt;&gt;"",$C34&lt;&gt;"DOOR ONLY")),"",TRIM(IFERROR(VLOOKUP($U34,CODES,2,FALSE),"")&amp;" "&amp;$BG34&amp;" "&amp;IFERROR(VLOOKUP($Z34,CODES,2,FALSE),"")&amp;" "&amp;IFERROR(VLOOKUP($X34,CODES,2,FALSE),"")&amp;" "&amp;IFERROR(VLOOKUP($S34,CODES,2,FALSE),"")&amp;IF(N($P34)&gt;0," w/TRANSOM "&amp;$P34&amp;CHAR(34),"")&amp;IF(N($Q34)&gt;0," w/SIDELITE "&amp;$Q34&amp;CHAR(34)&amp;" "&amp;IF($R34="","R",$R34),"")&amp;IF($Y34="","  |  "," | "&amp;IFERROR(VLOOKUP($Y34,CODES,2,FALSE),"")&amp;" | ")&amp;IFERROR(VLOOKUP($AC34,CODES,2,FALSE),"")&amp;" "&amp;IFERROR(VLOOKUP($AD34,CODES,2,FALSE),"")&amp;IF(OR($AE34="",$AE34="-"),""," "&amp;$AE34)&amp;IF(OR($AF34="",$AF34="-"),""," "&amp;$AF34)&amp;IF($AB34="Y"," 4"&amp;CHAR(34)&amp;" HEAD","")&amp;" "&amp;IFERROR(VLOOKUP($H34,CODES,2,FALSE),"")&amp;IF($CT34," | LOC "&amp;$CY34,"")))</f>
        <v/>
      </c>
      <c r="CK34" s="85">
        <f>IF(NOT(AND($A34&lt;&gt;"",N($BJ34)&gt;0)),"",TRIM(IFERROR(VLOOKUP($AH34,CODES,2,FALSE),"")&amp;IF($AI34=""," "," "&amp;$AI34&amp;"GA ")&amp;$BG34&amp;" "&amp;IF($AN34="",IFERROR(VLOOKUP($Z34,CODES,2,FALSE),""),IFERROR(VLOOKUP($AN34,CODES,2,FALSE),""))&amp;IF($BJ34=2," PAIR","")&amp;" DOOR | "&amp;IF($AL34="","?",$AL34)&amp;" | "&amp;IF($AO34="",IFERROR(VLOOKUP($AC34,CODES,2,FALSE),""),IFERROR(VLOOKUP($AO34,CODES,2,FALSE),""))&amp;" "&amp;IFERROR(VLOOKUP($AP34,CODES,2,FALSE),"")&amp;IF(OR($AQ34="",$AQ34="-"),""," SEAM "&amp;$AQ34)&amp;IF($AR34="Y"," ASTRAGAL","")&amp;IF($AJ34=""," "," "&amp;$AJ34)&amp;IF($AK34=""," "," "&amp;$AK34)&amp;IF(OR($AT34="",$AT34="ANSI/SDI",$AT34="CUSTOM LOC"),""," "&amp;$AT34)&amp;IF($AM34=""," "," SERIES "&amp;$AM34)&amp;" "&amp;IFERROR(VLOOKUP($H34,CODES,2,FALSE),"")&amp;IF($CT34," | LOC "&amp;$CZ34,"")))</f>
        <v/>
      </c>
      <c r="CL34" s="84">
        <f>IF(CP34="","",IF(COUNTIF($CP$6:CP34,CP34)=1,MAX($CL$5:CL33)+1,INDEX($CL$5:CL33,MATCH(CP34,$CP$5:CP33,0))))</f>
        <v/>
      </c>
      <c r="CM34" s="84">
        <f>IF(NOT(AND($A34&lt;&gt;"",$C34&lt;&gt;"DOOR ONLY")),"",MAX($CM$5:CM33)+1)</f>
        <v/>
      </c>
      <c r="CN34" s="84">
        <f>IF(NOT(AND($A34&lt;&gt;"",N($BJ34)&gt;0)),"",MAX($CN$5:CN33)+1)</f>
        <v/>
      </c>
      <c r="CO34" s="84">
        <f>IF($A34="","",MAX($CO$5:CO33)+1)</f>
        <v/>
      </c>
      <c r="CP34" s="84">
        <f>IF(OR($A34="",$BH34="",$BI34=""),"",$BG34&amp;"|"&amp;$O34&amp;"|"&amp;$AL34&amp;"|"&amp;$S34&amp;"|"&amp;$P34&amp;"|"&amp;$Q34&amp;$R34&amp;"|"&amp;$C34&amp;"|"&amp;$AB34)</f>
        <v/>
      </c>
      <c r="CQ34" s="84">
        <f>N($BS34)</f>
        <v/>
      </c>
      <c r="CR34" s="84">
        <f>IF(N($AU34)&gt;0,N($AU34),4.5)</f>
        <v/>
      </c>
      <c r="CS34" s="84">
        <f>OR($A34="",$BI34="",$S34="BL",AND($C34="FRAME ONLY",OR($AC34="",$AC34="BLK")))</f>
        <v/>
      </c>
      <c r="CT34" s="84">
        <f>AND(NOT($CS34),OR($AT34="CUSTOM LOC",N($AW34)+N($AX34)+N($AY34)+N($AZ34)+N($BA34)&gt;0))</f>
        <v/>
      </c>
      <c r="CU34" s="84">
        <f>IF($BI34="","",IF($BI34&lt;=80,80,IF($BI34&lt;=84,84,96)))</f>
        <v/>
      </c>
      <c r="CV34" s="84">
        <f>ISNUMBER(MATCH($AT34&amp;"|80",LocKeys,0))</f>
        <v/>
      </c>
      <c r="CW34" s="86">
        <f>IF($CS34,"",IF($CV34,VLOOKUP($AT34&amp;"|"&amp;$CU34,LocTable,4,FALSE),5))</f>
        <v/>
      </c>
      <c r="CX34" s="86">
        <f>IF($CS34,"",IF($CV34,IF(OR($BI34=$CU34,AND($BI34&lt;$CU34,$BI34-IF(N(VLOOKUP($AT34&amp;"|"&amp;$CU34,LocTable,7,FALSE))&gt;0,VLOOKUP($AT34&amp;"|"&amp;$CU34,LocTable,7,FALSE),VLOOKUP($AT34&amp;"|"&amp;$CU34,LocTable,6,FALSE))-$CR34-0.75&gt;=2.125)),IF(N(VLOOKUP($AT34&amp;"|"&amp;$CU34,LocTable,7,FALSE))&gt;0,VLOOKUP($AT34&amp;"|"&amp;$CU34,LocTable,7,FALSE),VLOOKUP($AT34&amp;"|"&amp;$CU34,LocTable,6,FALSE)),$BI34-($CU34-IF(N(VLOOKUP($AT34&amp;"|"&amp;$CU34,LocTable,7,FALSE))&gt;0,VLOOKUP($AT34&amp;"|"&amp;$CU34,LocTable,7,FALSE),VLOOKUP($AT34&amp;"|"&amp;$CU34,LocTable,6,FALSE)))),$BI34-10-$CR34))</f>
        <v/>
      </c>
      <c r="CY34" s="85">
        <f>IF($CS34,"",TRIM(IF(ISNUMBER($BU34),"A "&amp;TRIM(TEXT($BU34,"# ?/??"))&amp;CHAR(34)&amp;"  ","")&amp;IF(ISNUMBER($BV34),"B "&amp;TRIM(TEXT($BV34,"# ?/??"))&amp;CHAR(34)&amp;"  ","")&amp;IF(ISNUMBER($BW34),"C "&amp;TRIM(TEXT($BW34,"# ?/??"))&amp;CHAR(34)&amp;"  ","")&amp;IF(ISNUMBER($BX34),"D "&amp;TRIM(TEXT($BX34,"# ?/??"))&amp;CHAR(34)&amp;"  ","")&amp;IF(ISNUMBER($BY34),"F "&amp;TRIM(TEXT($BY34,"# ?/??"))&amp;CHAR(34)&amp;"  ","")&amp;IF(ISNUMBER($BZ34),"E "&amp;TRIM(TEXT($BZ34,"# ?/??"))&amp;CHAR(34)&amp;"  ","")))</f>
        <v/>
      </c>
      <c r="CZ34" s="85">
        <f>IF(OR($CS34,N($BJ34)=0),"",TRIM(IF(ISNUMBER($BU34),"A "&amp;TRIM(TEXT($BU34-HeadClr,"# ?/??"))&amp;CHAR(34)&amp;"  ","")&amp;IF(ISNUMBER($BV34),"B "&amp;TRIM(TEXT($BV34-HeadClr,"# ?/??"))&amp;CHAR(34)&amp;"  ","")&amp;IF(ISNUMBER($BW34),"C "&amp;TRIM(TEXT($BW34-HeadClr,"# ?/??"))&amp;CHAR(34)&amp;"  ","")&amp;IF(ISNUMBER($BX34),"D "&amp;TRIM(TEXT($BX34-HeadClr,"# ?/??"))&amp;CHAR(34)&amp;"  ","")&amp;IF(ISNUMBER($BY34),"F "&amp;TRIM(TEXT($BY34-HeadClr,"# ?/??"))&amp;CHAR(34)&amp;"  ","")&amp;IF(ISNUMBER($BZ34),"E "&amp;TRIM(TEXT($BZ34-HeadClr,"# ?/??"))&amp;CHAR(34)&amp;"  ","")))</f>
        <v/>
      </c>
      <c r="DA34" s="84">
        <f>IF($A34="","",IF($AN34="",IFERROR(VLOOKUP($Z34,CODES,2,FALSE),""),IFERROR(VLOOKUP($AN34,CODES,2,FALSE),"")))</f>
        <v/>
      </c>
      <c r="DB34" s="84">
        <f>IF($A34="","",IF($O34="Y","PR",IF(OR($Z34="L",$Z34="RR",LEFT($Z34,2)="L-",LEFT($Z34,3)="RR-"),"LH","RH")))</f>
        <v/>
      </c>
      <c r="DC34" s="84">
        <f>IF($A34="","","S.HM"&amp;IF(OR($C34="DOOR ONLY",$X34&lt;&gt;"KD"),"MASONRY","DRYWALL")&amp;IF($C34="DOOR ONLY","",$U34)&amp;IF(AND($C34&lt;&gt;"FRAME ONLY",OR(LEFT($AH34,3)="OAK",LEFT($AH34,3)="BIR",LEFT($AH34,3)="MAP",$AH34="PC",$AH34="MC",$AH34="SCLC",$AH34="P-LAM")),"WD","HM")&amp;"1.75")</f>
        <v/>
      </c>
      <c r="DD34" s="84">
        <f>IF($CJ34="","",IF($O34="Y",$CJ34,SUBSTITUTE($CJ34,$BG34&amp;" "&amp;IFERROR(VLOOKUP($Z34,CODES,2,FALSE),"")&amp;" ",$BG34&amp;" ")))</f>
        <v/>
      </c>
      <c r="DE34" s="84">
        <f>IF($CK34="","",IF($O34="Y",$CK34,SUBSTITUTE($CK34,$BG34&amp;" "&amp;IF($AN34="",IFERROR(VLOOKUP($Z34,CODES,2,FALSE),""),IFERROR(VLOOKUP($AN34,CODES,2,FALSE),""))&amp;" ",$BG34&amp;" ")))</f>
        <v/>
      </c>
      <c r="DF34" s="84">
        <f>IF($CJ34="","",$DC34&amp;"|"&amp;$DD34&amp;"|"&amp;$DB34&amp;"|"&amp;$AT34&amp;"|"&amp;$V34&amp;"|"&amp;$Y34&amp;"|"&amp;$AB34)</f>
        <v/>
      </c>
      <c r="DG34" s="84">
        <f>IF(DF34="","",IF(COUNTIF($DF$6:DF34,DF34)=1,MAX($DG$5:DG33)+1,INDEX($DG$5:DG33,MATCH(DF34,$DF$5:DF33,0))))</f>
        <v/>
      </c>
      <c r="DH34" s="84">
        <f>IF($CK34="","",$DC34&amp;"|"&amp;$DE34&amp;"|"&amp;$AI34&amp;"|"&amp;$BK34&amp;"|"&amp;$BL34)</f>
        <v/>
      </c>
      <c r="DI34" s="84">
        <f>IF(DH34="","",IF(COUNTIF($DH$6:DH34,DH34)=1,MAX($DI$5:DI33)+1,INDEX($DI$5:DI33,MATCH(DH34,$DH$5:DH33,0))))</f>
        <v/>
      </c>
      <c r="DJ34" s="84">
        <f>IF($A34="","",IF($B34="","qty, ","")&amp;IF($C34="","scope, ","")&amp;IF(OR($K34="",$M34=""),"size, ","")&amp;IF(AND($A34&lt;&gt;"",$C34&lt;&gt;"DOOR ONLY"),IF($U34="","jamb depth, ","")&amp;IF($X34="","construction, ","")&amp;IF($Y34="","anchor, ","")&amp;IF($S34="","frame type, ",""),"")&amp;IF(AND(N($BJ34)&gt;0,$Z34=""),"hand, ","")&amp;IF(N($BJ34)&gt;0,IF($AH34="","door material, ","")&amp;IF($AL34="","face type, ","")&amp;IF($AP34="","lock prep, ","")&amp;IF(AND($AO34="",$AC34=""),"hinge prep, ",""),"")&amp;IF(AND($CH34&gt;0,$AH34="FRP"),"FRP cannot carry a label, ","")&amp;IF(AND($O34="Y",OR($Z34="L",$Z34="R",$Z34="LR",$Z34="RR")),"pair marked but hand is single, ","")&amp;IF(AND($O34&lt;&gt;"Y",OR($Z34="PR",AND(LEN($Z34)&gt;1,ISNUMBER(SEARCH("-",$Z34))))),"pair hand on a single door, ","")&amp;IF(AND(ISNUMBER($CI34),$CH34&lt;N($CI34)),"wall needs a "&amp;$CI34&amp;" min door, ","")&amp;IF(AND($CH34&gt;=180,AND(OR($CE34="FG",$CE34="HG",$CE34="FNV",$CE34="FV"),N($CF34)*N($CG34)&gt;100)),"180 min lite over 100 sq in, ","")&amp;IF(N($BK34)&gt;48,"leaf wider than 4'-0"&amp;CHAR(34)&amp;", ","")&amp;IF(AND($CT34,COUNT($AW34:$AZ34)=0,$CQ34&gt;0),"CUSTOM LOC with no locations typed, ",""))</f>
        <v/>
      </c>
      <c r="DK34" s="84">
        <f>IF($A34="","",IF(AND($CH34&gt;0,AND($A34&lt;&gt;"",$C34&lt;&gt;"DOOR ONLY"),$X34="KD",$E34="EXTERIOR"),"KD label on an exterior opening, ","")&amp;IF(AND($E34="EXTERIOR",OR(AND(AND($A34&lt;&gt;"",$C34&lt;&gt;"DOOR ONLY"),$W34="CR"),AND(N($BJ34)&gt;0,$AH34="CR"))),"exterior in CR steel (G9?), ","")&amp;IF(AND(ISNUMBER($BQ34),N($BQ34)&lt;32),"clear width ~"&amp;TEXT($BQ34,"0.0")&amp;CHAR(34)&amp;" under 32"&amp;CHAR(34)&amp;" (ADA), ","")&amp;IF(AND($CH34=90,AND(OR($CE34="FG",$CE34="HG",$CE34="FNV",$CE34="FV"),N($CF34)*N($CG34)&gt;100)),"90 min lite over 100 sq in (stair/exit), ","")&amp;IF(AND($CH34&gt;0,AND($A34&lt;&gt;"",$C34&lt;&gt;"DOOR ONLY"),OR($AF34="",$AF34="-")),"rated: closer reinf.?, ","")&amp;IF(OR($I34="CORRIDOR",$I34="SMOKE BARRIER"),"S label + smoke gasketing, ","")&amp;IF($CI34="?","wall type/hr not in IBC table, ","")&amp;IF(AND(N($BJ34)&gt;0,$BB34=""),"no hardware set, ","")&amp;IF(AND($BB34&lt;&gt;"",ISNA(MATCH($BB34&amp;"",HWSets,0))),"set "&amp;$BB34&amp;" not on HW Sets, ","")&amp;IF(N($BL34)&gt;96,"leaf over 8'-0"&amp;CHAR(34)&amp;" - check listing, ","")&amp;IF(AND($CT34,COUNT($AW34:$AZ34)&gt;0,COUNT($AW34:$AZ34)&lt;&gt;$CQ34),COUNT($AW34:$AZ34)&amp;" custom hinges typed, "&amp;$CQ34&amp;" expected, ","")&amp;IF(AND(ISNUMBER($CA34),OR(N($CA34)&lt;34,N($CA34)&gt;48)),"lock "&amp;TEXT($CA34,"0.0")&amp;CHAR(34)&amp;" AFF outside 34-48"&amp;CHAR(34)&amp;" (ADA), ","")&amp;IF(AND(ISNUMBER($AV34),ISNUMBER($BL34),N($AV34)&lt;IF(N($BL34)&lt;=60,2,IF(N($BL34)&lt;=90,3,IF(N($BL34)&lt;=120,4,5)))),"fewer hinges than standard, ",""))</f>
        <v/>
      </c>
    </row>
    <row r="35" ht="15" customHeight="1">
      <c r="A35" s="92" t="n"/>
      <c r="B35" s="93" t="n"/>
      <c r="C35" s="93" t="n"/>
      <c r="D35" s="93" t="n"/>
      <c r="E35" s="93" t="n"/>
      <c r="F35" s="93" t="n"/>
      <c r="G35" s="93" t="n"/>
      <c r="H35" s="93" t="n"/>
      <c r="I35" s="93" t="n"/>
      <c r="J35" s="93" t="n"/>
      <c r="K35" s="93" t="n"/>
      <c r="L35" s="93" t="n"/>
      <c r="M35" s="93" t="n"/>
      <c r="N35" s="93" t="n"/>
      <c r="O35" s="93" t="n"/>
      <c r="P35" s="93" t="n"/>
      <c r="Q35" s="93" t="n"/>
      <c r="R35" s="93" t="n"/>
      <c r="S35" s="94" t="n"/>
      <c r="T35" s="94" t="n"/>
      <c r="U35" s="94" t="n"/>
      <c r="V35" s="94" t="n"/>
      <c r="W35" s="94" t="n"/>
      <c r="X35" s="94" t="n"/>
      <c r="Y35" s="94" t="n"/>
      <c r="Z35" s="94" t="n"/>
      <c r="AA35" s="94" t="n"/>
      <c r="AB35" s="94" t="n"/>
      <c r="AC35" s="94" t="n"/>
      <c r="AD35" s="94" t="n"/>
      <c r="AE35" s="94" t="n"/>
      <c r="AF35" s="94" t="n"/>
      <c r="AG35" s="94" t="n"/>
      <c r="AH35" s="95" t="n"/>
      <c r="AI35" s="95" t="n"/>
      <c r="AJ35" s="95" t="n"/>
      <c r="AK35" s="95" t="n"/>
      <c r="AL35" s="95" t="n"/>
      <c r="AM35" s="95" t="n"/>
      <c r="AN35" s="95" t="n"/>
      <c r="AO35" s="95" t="n"/>
      <c r="AP35" s="95" t="n"/>
      <c r="AQ35" s="95" t="n"/>
      <c r="AR35" s="95" t="n"/>
      <c r="AS35" s="95" t="n"/>
      <c r="AT35" s="96" t="n"/>
      <c r="AU35" s="96" t="n"/>
      <c r="AV35" s="96" t="n"/>
      <c r="AW35" s="97" t="n"/>
      <c r="AX35" s="97" t="n"/>
      <c r="AY35" s="97" t="n"/>
      <c r="AZ35" s="97" t="n"/>
      <c r="BA35" s="97" t="n"/>
      <c r="BB35" s="98" t="n"/>
      <c r="BC35" s="98" t="n"/>
      <c r="BD35" s="99">
        <f>IF($A35="","",IF($DJ35&lt;&gt;"","FIX",IF($DK35&lt;&gt;"","CHECK","OK")))</f>
        <v/>
      </c>
      <c r="BE35" s="100">
        <f>IF($A35="","",IF($DJ35&lt;&gt;"","FIX: "&amp;LEFT($DJ35,LEN($DJ35)-2)&amp;IF($DK35&lt;&gt;"","  ·  ",""),"")&amp;IF($DK35&lt;&gt;"","CHECK: "&amp;LEFT($DK35,LEN($DK35)-2),""))</f>
        <v/>
      </c>
      <c r="BF35" s="99">
        <f>IF(OR($A35="",$K35=""),"",$K35&amp;"'-"&amp;N($L35)&amp;CHAR(34)&amp;" x "&amp;$M35&amp;"'-"&amp;N($N35)&amp;CHAR(34))</f>
        <v/>
      </c>
      <c r="BG35" s="99">
        <f>IF(OR($A35="",$K35=""),"",$K35&amp;N($L35)&amp;$M35&amp;N($N35))</f>
        <v/>
      </c>
      <c r="BH35" s="99">
        <f>IF(OR($A35="",$K35=""),"",$K35*12+N($L35))</f>
        <v/>
      </c>
      <c r="BI35" s="99">
        <f>IF(OR($A35="",$M35=""),"",$M35*12+N($N35))</f>
        <v/>
      </c>
      <c r="BJ35" s="99">
        <f>IF($A35="","",IF(OR($C35="FRAME ONLY",$S35="BL"),0,IF($O35="Y",2,1)))</f>
        <v/>
      </c>
      <c r="BK35" s="101">
        <f>IF(OR(N($BJ35)=0,$BH35=""),"",($BH35-2*EdgeClr-IF($BJ35=2,MeetClr,0))/$BJ35)</f>
        <v/>
      </c>
      <c r="BL35" s="101">
        <f>IF(OR(N($BJ35)=0,$BI35=""),"",$BI35-HeadClr-Undercut)</f>
        <v/>
      </c>
      <c r="BM35" s="101">
        <f>IF($BH35="","",$BH35+2*FaceW+IF(N($Q35)&gt;0,($Q35+FaceW)*IF($R35="LR",2,1),0))</f>
        <v/>
      </c>
      <c r="BN35" s="101">
        <f>IF($BI35="","",$BI35+IF($AB35="Y",4,FaceW)+IF(N($P35)&gt;0,$P35+FaceW,0)+IF(OR($S35="4F",$S35="BL"),FaceW,0))</f>
        <v/>
      </c>
      <c r="BO35" s="101">
        <f>IF($BM35="","",$BM35+2*ROSide)</f>
        <v/>
      </c>
      <c r="BP35" s="101">
        <f>IF($BN35="","",$BN35+ROTop)</f>
        <v/>
      </c>
      <c r="BQ35" s="102">
        <f>IF(OR(N($BJ35)=0,$BH35=""),"",$BH35/$BJ35-ClearDeduct)</f>
        <v/>
      </c>
      <c r="BR35" s="99">
        <f>IF(N($CH35)=0,"",IF($CH35&gt;=180,"A · 3 HR",IF($CH35&gt;=90,"B · 1-1/2 HR",IF($CH35&gt;=60,"B · 1 HR",IF($CH35&gt;=45,"C · 3/4 HR","20 MIN")))))&amp;IF(AND(N($CH35)&gt;0,OR($I35="CORRIDOR",$I35="SMOKE BARRIER"))," · S","")</f>
        <v/>
      </c>
      <c r="BS35" s="99">
        <f>IF($CS35,"",IF($AV35&lt;&gt;"",$AV35,IF(OR($AC35="HGC",$AO35="HGC"),"CONT",IF(($BI35-HeadClr-Undercut)&lt;=60,2,IF(($BI35-HeadClr-Undercut)&lt;=90,3,IF(($BI35-HeadClr-Undercut)&lt;=120,4,5))))))</f>
        <v/>
      </c>
      <c r="BT35" s="99">
        <f>IF($CS35,"",IF($CT35,"CUSTOM (typed)",IF($CV35,$AT35&amp;" "&amp;$CU35&amp;CHAR(34)&amp;IF($CU35&lt;&gt;$BI35,IF(AND($BI35&lt;$CU35,$BI35-IF(N(VLOOKUP($AT35&amp;"|"&amp;$CU35,LocTable,7,FALSE))&gt;0,VLOOKUP($AT35&amp;"|"&amp;$CU35,LocTable,7,FALSE),VLOOKUP($AT35&amp;"|"&amp;$CU35,LocTable,6,FALSE))-$CR35-0.75&gt;=2.125)," cut down"," adj."),""),"ANSI/SDI A250.6")))</f>
        <v/>
      </c>
      <c r="BU35" s="103">
        <f>IF($CS35,"",IF($CT35,IF(N($AW35)&gt;0,N($AW35),""),IF(1&gt;$CQ35,"",IF($CQ35=1,$CW35,$CW35+($CX35-$CW35)*0/($CQ35-1)))))</f>
        <v/>
      </c>
      <c r="BV35" s="103">
        <f>IF($CS35,"",IF($CT35,IF(N($AX35)&gt;0,N($AX35),""),IF(2&gt;$CQ35,"",IF($CQ35=1,$CW35,$CW35+($CX35-$CW35)*1/($CQ35-1)))))</f>
        <v/>
      </c>
      <c r="BW35" s="103">
        <f>IF($CS35,"",IF($CT35,IF(N($AY35)&gt;0,N($AY35),""),IF(3&gt;$CQ35,"",IF($CQ35=1,$CW35,$CW35+($CX35-$CW35)*2/($CQ35-1)))))</f>
        <v/>
      </c>
      <c r="BX35" s="103">
        <f>IF($CS35,"",IF($CT35,IF(N($AZ35)&gt;0,N($AZ35),""),IF(4&gt;$CQ35,"",IF($CQ35=1,$CW35,$CW35+($CX35-$CW35)*3/($CQ35-1)))))</f>
        <v/>
      </c>
      <c r="BY35" s="103">
        <f>IF($CS35,"",IF($CT35,"",IF(5&gt;$CQ35,"",IF($CQ35=1,$CW35,$CW35+($CX35-$CW35)*4/($CQ35-1)))))</f>
        <v/>
      </c>
      <c r="BZ35" s="103">
        <f>IF(OR($CS35,$AP35="-",AND($AP35="",$AD35="")),"",IF(N($BA35)&gt;0,N($BA35),IF($CV35,IF(AND($BI35&lt;$CU35,$BI35-IF(N(VLOOKUP($AT35&amp;"|"&amp;$CU35,LocTable,7,FALSE))&gt;0,VLOOKUP($AT35&amp;"|"&amp;$CU35,LocTable,7,FALSE),VLOOKUP($AT35&amp;"|"&amp;$CU35,LocTable,6,FALSE))-$CR35-0.75&gt;=2.125),VLOOKUP($AT35&amp;"|"&amp;$CU35,LocTable,8,FALSE),VLOOKUP($AT35&amp;"|"&amp;$CU35,LocTable,8,FALSE)+($BI35-$CU35)),$BI35-LockAFF)))</f>
        <v/>
      </c>
      <c r="CA35" s="104">
        <f>IF($BZ35="","",$BI35-$BZ35)</f>
        <v/>
      </c>
      <c r="CB35" s="99">
        <f>IF(OR(NOT(AND($A35&lt;&gt;"",$C35&lt;&gt;"DOOR ONLY")),$BI35=""),"",IF(($BI35+IF(N($P35)&gt;0,$P35+FaceW,0))&lt;=90,3,IF(($BI35+IF(N($P35)&gt;0,$P35+FaceW,0))&lt;=114,4,5)))</f>
        <v/>
      </c>
      <c r="CC35" s="99">
        <f>IF($CB35="","",$CB35*(2+IF(N($Q35)&gt;0,IF($R35="LR",2,1),0)))</f>
        <v/>
      </c>
      <c r="CD35" s="99">
        <f>IF($CB35="","",(2+IF(N($Q35)&gt;0,IF($R35="LR",2,1),0)))</f>
        <v/>
      </c>
      <c r="CE35" s="99">
        <f>IF(N($BJ35)=0,"",IF(OR($AL35="",$AL35="FLUSH"),"FLUSH",IFERROR(LEFT($AL35,FIND("-",$AL35)-1),LEFT($AL35,2))))</f>
        <v/>
      </c>
      <c r="CF35" s="99">
        <f>IF($CE35="","",IFERROR(VALUE(MID($AL35,FIND("-",$AL35)+1,FIND(CHAR(34)&amp;"x",$AL35)-FIND("-",$AL35)-1)),0))</f>
        <v/>
      </c>
      <c r="CG35" s="99">
        <f>IF($CE35="","",IFERROR(VALUE(MID($AL35,FIND(CHAR(34)&amp;"x",$AL35)+2,FIND(CHAR(34),$AL35,FIND(CHAR(34)&amp;"x",$AL35)+2)-FIND(CHAR(34)&amp;"x",$AL35)-2)),0))</f>
        <v/>
      </c>
      <c r="CH35" s="105">
        <f>IF(OR($A35="",$H35="",$H35="NO LAB"),0,IFERROR(VALUE(LEFT($H35,FIND(" ",$H35)-1)),0))</f>
        <v/>
      </c>
      <c r="CI35" s="106">
        <f>IF(OR($A35="",$I35="",$I35="NON-RATED",N($J35)=0),"",IFERROR(VLOOKUP($I35&amp;"|"&amp;$J35,IBC,2,FALSE),"?"))</f>
        <v/>
      </c>
      <c r="CJ35" s="100">
        <f>IF(NOT(AND($A35&lt;&gt;"",$C35&lt;&gt;"DOOR ONLY")),"",TRIM(IFERROR(VLOOKUP($U35,CODES,2,FALSE),"")&amp;" "&amp;$BG35&amp;" "&amp;IFERROR(VLOOKUP($Z35,CODES,2,FALSE),"")&amp;" "&amp;IFERROR(VLOOKUP($X35,CODES,2,FALSE),"")&amp;" "&amp;IFERROR(VLOOKUP($S35,CODES,2,FALSE),"")&amp;IF(N($P35)&gt;0," w/TRANSOM "&amp;$P35&amp;CHAR(34),"")&amp;IF(N($Q35)&gt;0," w/SIDELITE "&amp;$Q35&amp;CHAR(34)&amp;" "&amp;IF($R35="","R",$R35),"")&amp;IF($Y35="","  |  "," | "&amp;IFERROR(VLOOKUP($Y35,CODES,2,FALSE),"")&amp;" | ")&amp;IFERROR(VLOOKUP($AC35,CODES,2,FALSE),"")&amp;" "&amp;IFERROR(VLOOKUP($AD35,CODES,2,FALSE),"")&amp;IF(OR($AE35="",$AE35="-"),""," "&amp;$AE35)&amp;IF(OR($AF35="",$AF35="-"),""," "&amp;$AF35)&amp;IF($AB35="Y"," 4"&amp;CHAR(34)&amp;" HEAD","")&amp;" "&amp;IFERROR(VLOOKUP($H35,CODES,2,FALSE),"")&amp;IF($CT35," | LOC "&amp;$CY35,"")))</f>
        <v/>
      </c>
      <c r="CK35" s="100">
        <f>IF(NOT(AND($A35&lt;&gt;"",N($BJ35)&gt;0)),"",TRIM(IFERROR(VLOOKUP($AH35,CODES,2,FALSE),"")&amp;IF($AI35=""," "," "&amp;$AI35&amp;"GA ")&amp;$BG35&amp;" "&amp;IF($AN35="",IFERROR(VLOOKUP($Z35,CODES,2,FALSE),""),IFERROR(VLOOKUP($AN35,CODES,2,FALSE),""))&amp;IF($BJ35=2," PAIR","")&amp;" DOOR | "&amp;IF($AL35="","?",$AL35)&amp;" | "&amp;IF($AO35="",IFERROR(VLOOKUP($AC35,CODES,2,FALSE),""),IFERROR(VLOOKUP($AO35,CODES,2,FALSE),""))&amp;" "&amp;IFERROR(VLOOKUP($AP35,CODES,2,FALSE),"")&amp;IF(OR($AQ35="",$AQ35="-"),""," SEAM "&amp;$AQ35)&amp;IF($AR35="Y"," ASTRAGAL","")&amp;IF($AJ35=""," "," "&amp;$AJ35)&amp;IF($AK35=""," "," "&amp;$AK35)&amp;IF(OR($AT35="",$AT35="ANSI/SDI",$AT35="CUSTOM LOC"),""," "&amp;$AT35)&amp;IF($AM35=""," "," SERIES "&amp;$AM35)&amp;" "&amp;IFERROR(VLOOKUP($H35,CODES,2,FALSE),"")&amp;IF($CT35," | LOC "&amp;$CZ35,"")))</f>
        <v/>
      </c>
      <c r="CL35" s="99">
        <f>IF(CP35="","",IF(COUNTIF($CP$6:CP35,CP35)=1,MAX($CL$5:CL34)+1,INDEX($CL$5:CL34,MATCH(CP35,$CP$5:CP34,0))))</f>
        <v/>
      </c>
      <c r="CM35" s="99">
        <f>IF(NOT(AND($A35&lt;&gt;"",$C35&lt;&gt;"DOOR ONLY")),"",MAX($CM$5:CM34)+1)</f>
        <v/>
      </c>
      <c r="CN35" s="99">
        <f>IF(NOT(AND($A35&lt;&gt;"",N($BJ35)&gt;0)),"",MAX($CN$5:CN34)+1)</f>
        <v/>
      </c>
      <c r="CO35" s="99">
        <f>IF($A35="","",MAX($CO$5:CO34)+1)</f>
        <v/>
      </c>
      <c r="CP35" s="99">
        <f>IF(OR($A35="",$BH35="",$BI35=""),"",$BG35&amp;"|"&amp;$O35&amp;"|"&amp;$AL35&amp;"|"&amp;$S35&amp;"|"&amp;$P35&amp;"|"&amp;$Q35&amp;$R35&amp;"|"&amp;$C35&amp;"|"&amp;$AB35)</f>
        <v/>
      </c>
      <c r="CQ35" s="99">
        <f>N($BS35)</f>
        <v/>
      </c>
      <c r="CR35" s="99">
        <f>IF(N($AU35)&gt;0,N($AU35),4.5)</f>
        <v/>
      </c>
      <c r="CS35" s="99">
        <f>OR($A35="",$BI35="",$S35="BL",AND($C35="FRAME ONLY",OR($AC35="",$AC35="BLK")))</f>
        <v/>
      </c>
      <c r="CT35" s="99">
        <f>AND(NOT($CS35),OR($AT35="CUSTOM LOC",N($AW35)+N($AX35)+N($AY35)+N($AZ35)+N($BA35)&gt;0))</f>
        <v/>
      </c>
      <c r="CU35" s="99">
        <f>IF($BI35="","",IF($BI35&lt;=80,80,IF($BI35&lt;=84,84,96)))</f>
        <v/>
      </c>
      <c r="CV35" s="99">
        <f>ISNUMBER(MATCH($AT35&amp;"|80",LocKeys,0))</f>
        <v/>
      </c>
      <c r="CW35" s="101">
        <f>IF($CS35,"",IF($CV35,VLOOKUP($AT35&amp;"|"&amp;$CU35,LocTable,4,FALSE),5))</f>
        <v/>
      </c>
      <c r="CX35" s="101">
        <f>IF($CS35,"",IF($CV35,IF(OR($BI35=$CU35,AND($BI35&lt;$CU35,$BI35-IF(N(VLOOKUP($AT35&amp;"|"&amp;$CU35,LocTable,7,FALSE))&gt;0,VLOOKUP($AT35&amp;"|"&amp;$CU35,LocTable,7,FALSE),VLOOKUP($AT35&amp;"|"&amp;$CU35,LocTable,6,FALSE))-$CR35-0.75&gt;=2.125)),IF(N(VLOOKUP($AT35&amp;"|"&amp;$CU35,LocTable,7,FALSE))&gt;0,VLOOKUP($AT35&amp;"|"&amp;$CU35,LocTable,7,FALSE),VLOOKUP($AT35&amp;"|"&amp;$CU35,LocTable,6,FALSE)),$BI35-($CU35-IF(N(VLOOKUP($AT35&amp;"|"&amp;$CU35,LocTable,7,FALSE))&gt;0,VLOOKUP($AT35&amp;"|"&amp;$CU35,LocTable,7,FALSE),VLOOKUP($AT35&amp;"|"&amp;$CU35,LocTable,6,FALSE)))),$BI35-10-$CR35))</f>
        <v/>
      </c>
      <c r="CY35" s="100">
        <f>IF($CS35,"",TRIM(IF(ISNUMBER($BU35),"A "&amp;TRIM(TEXT($BU35,"# ?/??"))&amp;CHAR(34)&amp;"  ","")&amp;IF(ISNUMBER($BV35),"B "&amp;TRIM(TEXT($BV35,"# ?/??"))&amp;CHAR(34)&amp;"  ","")&amp;IF(ISNUMBER($BW35),"C "&amp;TRIM(TEXT($BW35,"# ?/??"))&amp;CHAR(34)&amp;"  ","")&amp;IF(ISNUMBER($BX35),"D "&amp;TRIM(TEXT($BX35,"# ?/??"))&amp;CHAR(34)&amp;"  ","")&amp;IF(ISNUMBER($BY35),"F "&amp;TRIM(TEXT($BY35,"# ?/??"))&amp;CHAR(34)&amp;"  ","")&amp;IF(ISNUMBER($BZ35),"E "&amp;TRIM(TEXT($BZ35,"# ?/??"))&amp;CHAR(34)&amp;"  ","")))</f>
        <v/>
      </c>
      <c r="CZ35" s="100">
        <f>IF(OR($CS35,N($BJ35)=0),"",TRIM(IF(ISNUMBER($BU35),"A "&amp;TRIM(TEXT($BU35-HeadClr,"# ?/??"))&amp;CHAR(34)&amp;"  ","")&amp;IF(ISNUMBER($BV35),"B "&amp;TRIM(TEXT($BV35-HeadClr,"# ?/??"))&amp;CHAR(34)&amp;"  ","")&amp;IF(ISNUMBER($BW35),"C "&amp;TRIM(TEXT($BW35-HeadClr,"# ?/??"))&amp;CHAR(34)&amp;"  ","")&amp;IF(ISNUMBER($BX35),"D "&amp;TRIM(TEXT($BX35-HeadClr,"# ?/??"))&amp;CHAR(34)&amp;"  ","")&amp;IF(ISNUMBER($BY35),"F "&amp;TRIM(TEXT($BY35-HeadClr,"# ?/??"))&amp;CHAR(34)&amp;"  ","")&amp;IF(ISNUMBER($BZ35),"E "&amp;TRIM(TEXT($BZ35-HeadClr,"# ?/??"))&amp;CHAR(34)&amp;"  ","")))</f>
        <v/>
      </c>
      <c r="DA35" s="99">
        <f>IF($A35="","",IF($AN35="",IFERROR(VLOOKUP($Z35,CODES,2,FALSE),""),IFERROR(VLOOKUP($AN35,CODES,2,FALSE),"")))</f>
        <v/>
      </c>
      <c r="DB35" s="99">
        <f>IF($A35="","",IF($O35="Y","PR",IF(OR($Z35="L",$Z35="RR",LEFT($Z35,2)="L-",LEFT($Z35,3)="RR-"),"LH","RH")))</f>
        <v/>
      </c>
      <c r="DC35" s="99">
        <f>IF($A35="","","S.HM"&amp;IF(OR($C35="DOOR ONLY",$X35&lt;&gt;"KD"),"MASONRY","DRYWALL")&amp;IF($C35="DOOR ONLY","",$U35)&amp;IF(AND($C35&lt;&gt;"FRAME ONLY",OR(LEFT($AH35,3)="OAK",LEFT($AH35,3)="BIR",LEFT($AH35,3)="MAP",$AH35="PC",$AH35="MC",$AH35="SCLC",$AH35="P-LAM")),"WD","HM")&amp;"1.75")</f>
        <v/>
      </c>
      <c r="DD35" s="99">
        <f>IF($CJ35="","",IF($O35="Y",$CJ35,SUBSTITUTE($CJ35,$BG35&amp;" "&amp;IFERROR(VLOOKUP($Z35,CODES,2,FALSE),"")&amp;" ",$BG35&amp;" ")))</f>
        <v/>
      </c>
      <c r="DE35" s="99">
        <f>IF($CK35="","",IF($O35="Y",$CK35,SUBSTITUTE($CK35,$BG35&amp;" "&amp;IF($AN35="",IFERROR(VLOOKUP($Z35,CODES,2,FALSE),""),IFERROR(VLOOKUP($AN35,CODES,2,FALSE),""))&amp;" ",$BG35&amp;" ")))</f>
        <v/>
      </c>
      <c r="DF35" s="99">
        <f>IF($CJ35="","",$DC35&amp;"|"&amp;$DD35&amp;"|"&amp;$DB35&amp;"|"&amp;$AT35&amp;"|"&amp;$V35&amp;"|"&amp;$Y35&amp;"|"&amp;$AB35)</f>
        <v/>
      </c>
      <c r="DG35" s="99">
        <f>IF(DF35="","",IF(COUNTIF($DF$6:DF35,DF35)=1,MAX($DG$5:DG34)+1,INDEX($DG$5:DG34,MATCH(DF35,$DF$5:DF34,0))))</f>
        <v/>
      </c>
      <c r="DH35" s="99">
        <f>IF($CK35="","",$DC35&amp;"|"&amp;$DE35&amp;"|"&amp;$AI35&amp;"|"&amp;$BK35&amp;"|"&amp;$BL35)</f>
        <v/>
      </c>
      <c r="DI35" s="99">
        <f>IF(DH35="","",IF(COUNTIF($DH$6:DH35,DH35)=1,MAX($DI$5:DI34)+1,INDEX($DI$5:DI34,MATCH(DH35,$DH$5:DH34,0))))</f>
        <v/>
      </c>
      <c r="DJ35" s="99">
        <f>IF($A35="","",IF($B35="","qty, ","")&amp;IF($C35="","scope, ","")&amp;IF(OR($K35="",$M35=""),"size, ","")&amp;IF(AND($A35&lt;&gt;"",$C35&lt;&gt;"DOOR ONLY"),IF($U35="","jamb depth, ","")&amp;IF($X35="","construction, ","")&amp;IF($Y35="","anchor, ","")&amp;IF($S35="","frame type, ",""),"")&amp;IF(AND(N($BJ35)&gt;0,$Z35=""),"hand, ","")&amp;IF(N($BJ35)&gt;0,IF($AH35="","door material, ","")&amp;IF($AL35="","face type, ","")&amp;IF($AP35="","lock prep, ","")&amp;IF(AND($AO35="",$AC35=""),"hinge prep, ",""),"")&amp;IF(AND($CH35&gt;0,$AH35="FRP"),"FRP cannot carry a label, ","")&amp;IF(AND($O35="Y",OR($Z35="L",$Z35="R",$Z35="LR",$Z35="RR")),"pair marked but hand is single, ","")&amp;IF(AND($O35&lt;&gt;"Y",OR($Z35="PR",AND(LEN($Z35)&gt;1,ISNUMBER(SEARCH("-",$Z35))))),"pair hand on a single door, ","")&amp;IF(AND(ISNUMBER($CI35),$CH35&lt;N($CI35)),"wall needs a "&amp;$CI35&amp;" min door, ","")&amp;IF(AND($CH35&gt;=180,AND(OR($CE35="FG",$CE35="HG",$CE35="FNV",$CE35="FV"),N($CF35)*N($CG35)&gt;100)),"180 min lite over 100 sq in, ","")&amp;IF(N($BK35)&gt;48,"leaf wider than 4'-0"&amp;CHAR(34)&amp;", ","")&amp;IF(AND($CT35,COUNT($AW35:$AZ35)=0,$CQ35&gt;0),"CUSTOM LOC with no locations typed, ",""))</f>
        <v/>
      </c>
      <c r="DK35" s="99">
        <f>IF($A35="","",IF(AND($CH35&gt;0,AND($A35&lt;&gt;"",$C35&lt;&gt;"DOOR ONLY"),$X35="KD",$E35="EXTERIOR"),"KD label on an exterior opening, ","")&amp;IF(AND($E35="EXTERIOR",OR(AND(AND($A35&lt;&gt;"",$C35&lt;&gt;"DOOR ONLY"),$W35="CR"),AND(N($BJ35)&gt;0,$AH35="CR"))),"exterior in CR steel (G9?), ","")&amp;IF(AND(ISNUMBER($BQ35),N($BQ35)&lt;32),"clear width ~"&amp;TEXT($BQ35,"0.0")&amp;CHAR(34)&amp;" under 32"&amp;CHAR(34)&amp;" (ADA), ","")&amp;IF(AND($CH35=90,AND(OR($CE35="FG",$CE35="HG",$CE35="FNV",$CE35="FV"),N($CF35)*N($CG35)&gt;100)),"90 min lite over 100 sq in (stair/exit), ","")&amp;IF(AND($CH35&gt;0,AND($A35&lt;&gt;"",$C35&lt;&gt;"DOOR ONLY"),OR($AF35="",$AF35="-")),"rated: closer reinf.?, ","")&amp;IF(OR($I35="CORRIDOR",$I35="SMOKE BARRIER"),"S label + smoke gasketing, ","")&amp;IF($CI35="?","wall type/hr not in IBC table, ","")&amp;IF(AND(N($BJ35)&gt;0,$BB35=""),"no hardware set, ","")&amp;IF(AND($BB35&lt;&gt;"",ISNA(MATCH($BB35&amp;"",HWSets,0))),"set "&amp;$BB35&amp;" not on HW Sets, ","")&amp;IF(N($BL35)&gt;96,"leaf over 8'-0"&amp;CHAR(34)&amp;" - check listing, ","")&amp;IF(AND($CT35,COUNT($AW35:$AZ35)&gt;0,COUNT($AW35:$AZ35)&lt;&gt;$CQ35),COUNT($AW35:$AZ35)&amp;" custom hinges typed, "&amp;$CQ35&amp;" expected, ","")&amp;IF(AND(ISNUMBER($CA35),OR(N($CA35)&lt;34,N($CA35)&gt;48)),"lock "&amp;TEXT($CA35,"0.0")&amp;CHAR(34)&amp;" AFF outside 34-48"&amp;CHAR(34)&amp;" (ADA), ","")&amp;IF(AND(ISNUMBER($AV35),ISNUMBER($BL35),N($AV35)&lt;IF(N($BL35)&lt;=60,2,IF(N($BL35)&lt;=90,3,IF(N($BL35)&lt;=120,4,5)))),"fewer hinges than standard, ",""))</f>
        <v/>
      </c>
    </row>
    <row r="36" ht="15" customHeight="1">
      <c r="A36" s="77" t="n"/>
      <c r="B36" s="78" t="n"/>
      <c r="C36" s="78" t="n"/>
      <c r="D36" s="78" t="n"/>
      <c r="E36" s="78" t="n"/>
      <c r="F36" s="78" t="n"/>
      <c r="G36" s="78" t="n"/>
      <c r="H36" s="78" t="n"/>
      <c r="I36" s="78" t="n"/>
      <c r="J36" s="78" t="n"/>
      <c r="K36" s="78" t="n"/>
      <c r="L36" s="78" t="n"/>
      <c r="M36" s="78" t="n"/>
      <c r="N36" s="78" t="n"/>
      <c r="O36" s="78" t="n"/>
      <c r="P36" s="78" t="n"/>
      <c r="Q36" s="78" t="n"/>
      <c r="R36" s="78" t="n"/>
      <c r="S36" s="79" t="n"/>
      <c r="T36" s="79" t="n"/>
      <c r="U36" s="79" t="n"/>
      <c r="V36" s="79" t="n"/>
      <c r="W36" s="79" t="n"/>
      <c r="X36" s="79" t="n"/>
      <c r="Y36" s="79" t="n"/>
      <c r="Z36" s="79" t="n"/>
      <c r="AA36" s="79" t="n"/>
      <c r="AB36" s="79" t="n"/>
      <c r="AC36" s="79" t="n"/>
      <c r="AD36" s="79" t="n"/>
      <c r="AE36" s="79" t="n"/>
      <c r="AF36" s="79" t="n"/>
      <c r="AG36" s="79" t="n"/>
      <c r="AH36" s="80" t="n"/>
      <c r="AI36" s="80" t="n"/>
      <c r="AJ36" s="80" t="n"/>
      <c r="AK36" s="80" t="n"/>
      <c r="AL36" s="80" t="n"/>
      <c r="AM36" s="80" t="n"/>
      <c r="AN36" s="80" t="n"/>
      <c r="AO36" s="80" t="n"/>
      <c r="AP36" s="80" t="n"/>
      <c r="AQ36" s="80" t="n"/>
      <c r="AR36" s="80" t="n"/>
      <c r="AS36" s="80" t="n"/>
      <c r="AT36" s="81" t="n"/>
      <c r="AU36" s="81" t="n"/>
      <c r="AV36" s="81" t="n"/>
      <c r="AW36" s="82" t="n"/>
      <c r="AX36" s="82" t="n"/>
      <c r="AY36" s="82" t="n"/>
      <c r="AZ36" s="82" t="n"/>
      <c r="BA36" s="82" t="n"/>
      <c r="BB36" s="83" t="n"/>
      <c r="BC36" s="83" t="n"/>
      <c r="BD36" s="84">
        <f>IF($A36="","",IF($DJ36&lt;&gt;"","FIX",IF($DK36&lt;&gt;"","CHECK","OK")))</f>
        <v/>
      </c>
      <c r="BE36" s="85">
        <f>IF($A36="","",IF($DJ36&lt;&gt;"","FIX: "&amp;LEFT($DJ36,LEN($DJ36)-2)&amp;IF($DK36&lt;&gt;"","  ·  ",""),"")&amp;IF($DK36&lt;&gt;"","CHECK: "&amp;LEFT($DK36,LEN($DK36)-2),""))</f>
        <v/>
      </c>
      <c r="BF36" s="84">
        <f>IF(OR($A36="",$K36=""),"",$K36&amp;"'-"&amp;N($L36)&amp;CHAR(34)&amp;" x "&amp;$M36&amp;"'-"&amp;N($N36)&amp;CHAR(34))</f>
        <v/>
      </c>
      <c r="BG36" s="84">
        <f>IF(OR($A36="",$K36=""),"",$K36&amp;N($L36)&amp;$M36&amp;N($N36))</f>
        <v/>
      </c>
      <c r="BH36" s="84">
        <f>IF(OR($A36="",$K36=""),"",$K36*12+N($L36))</f>
        <v/>
      </c>
      <c r="BI36" s="84">
        <f>IF(OR($A36="",$M36=""),"",$M36*12+N($N36))</f>
        <v/>
      </c>
      <c r="BJ36" s="84">
        <f>IF($A36="","",IF(OR($C36="FRAME ONLY",$S36="BL"),0,IF($O36="Y",2,1)))</f>
        <v/>
      </c>
      <c r="BK36" s="86">
        <f>IF(OR(N($BJ36)=0,$BH36=""),"",($BH36-2*EdgeClr-IF($BJ36=2,MeetClr,0))/$BJ36)</f>
        <v/>
      </c>
      <c r="BL36" s="86">
        <f>IF(OR(N($BJ36)=0,$BI36=""),"",$BI36-HeadClr-Undercut)</f>
        <v/>
      </c>
      <c r="BM36" s="86">
        <f>IF($BH36="","",$BH36+2*FaceW+IF(N($Q36)&gt;0,($Q36+FaceW)*IF($R36="LR",2,1),0))</f>
        <v/>
      </c>
      <c r="BN36" s="86">
        <f>IF($BI36="","",$BI36+IF($AB36="Y",4,FaceW)+IF(N($P36)&gt;0,$P36+FaceW,0)+IF(OR($S36="4F",$S36="BL"),FaceW,0))</f>
        <v/>
      </c>
      <c r="BO36" s="86">
        <f>IF($BM36="","",$BM36+2*ROSide)</f>
        <v/>
      </c>
      <c r="BP36" s="86">
        <f>IF($BN36="","",$BN36+ROTop)</f>
        <v/>
      </c>
      <c r="BQ36" s="87">
        <f>IF(OR(N($BJ36)=0,$BH36=""),"",$BH36/$BJ36-ClearDeduct)</f>
        <v/>
      </c>
      <c r="BR36" s="84">
        <f>IF(N($CH36)=0,"",IF($CH36&gt;=180,"A · 3 HR",IF($CH36&gt;=90,"B · 1-1/2 HR",IF($CH36&gt;=60,"B · 1 HR",IF($CH36&gt;=45,"C · 3/4 HR","20 MIN")))))&amp;IF(AND(N($CH36)&gt;0,OR($I36="CORRIDOR",$I36="SMOKE BARRIER"))," · S","")</f>
        <v/>
      </c>
      <c r="BS36" s="84">
        <f>IF($CS36,"",IF($AV36&lt;&gt;"",$AV36,IF(OR($AC36="HGC",$AO36="HGC"),"CONT",IF(($BI36-HeadClr-Undercut)&lt;=60,2,IF(($BI36-HeadClr-Undercut)&lt;=90,3,IF(($BI36-HeadClr-Undercut)&lt;=120,4,5))))))</f>
        <v/>
      </c>
      <c r="BT36" s="84">
        <f>IF($CS36,"",IF($CT36,"CUSTOM (typed)",IF($CV36,$AT36&amp;" "&amp;$CU36&amp;CHAR(34)&amp;IF($CU36&lt;&gt;$BI36,IF(AND($BI36&lt;$CU36,$BI36-IF(N(VLOOKUP($AT36&amp;"|"&amp;$CU36,LocTable,7,FALSE))&gt;0,VLOOKUP($AT36&amp;"|"&amp;$CU36,LocTable,7,FALSE),VLOOKUP($AT36&amp;"|"&amp;$CU36,LocTable,6,FALSE))-$CR36-0.75&gt;=2.125)," cut down"," adj."),""),"ANSI/SDI A250.6")))</f>
        <v/>
      </c>
      <c r="BU36" s="88">
        <f>IF($CS36,"",IF($CT36,IF(N($AW36)&gt;0,N($AW36),""),IF(1&gt;$CQ36,"",IF($CQ36=1,$CW36,$CW36+($CX36-$CW36)*0/($CQ36-1)))))</f>
        <v/>
      </c>
      <c r="BV36" s="88">
        <f>IF($CS36,"",IF($CT36,IF(N($AX36)&gt;0,N($AX36),""),IF(2&gt;$CQ36,"",IF($CQ36=1,$CW36,$CW36+($CX36-$CW36)*1/($CQ36-1)))))</f>
        <v/>
      </c>
      <c r="BW36" s="88">
        <f>IF($CS36,"",IF($CT36,IF(N($AY36)&gt;0,N($AY36),""),IF(3&gt;$CQ36,"",IF($CQ36=1,$CW36,$CW36+($CX36-$CW36)*2/($CQ36-1)))))</f>
        <v/>
      </c>
      <c r="BX36" s="88">
        <f>IF($CS36,"",IF($CT36,IF(N($AZ36)&gt;0,N($AZ36),""),IF(4&gt;$CQ36,"",IF($CQ36=1,$CW36,$CW36+($CX36-$CW36)*3/($CQ36-1)))))</f>
        <v/>
      </c>
      <c r="BY36" s="88">
        <f>IF($CS36,"",IF($CT36,"",IF(5&gt;$CQ36,"",IF($CQ36=1,$CW36,$CW36+($CX36-$CW36)*4/($CQ36-1)))))</f>
        <v/>
      </c>
      <c r="BZ36" s="88">
        <f>IF(OR($CS36,$AP36="-",AND($AP36="",$AD36="")),"",IF(N($BA36)&gt;0,N($BA36),IF($CV36,IF(AND($BI36&lt;$CU36,$BI36-IF(N(VLOOKUP($AT36&amp;"|"&amp;$CU36,LocTable,7,FALSE))&gt;0,VLOOKUP($AT36&amp;"|"&amp;$CU36,LocTable,7,FALSE),VLOOKUP($AT36&amp;"|"&amp;$CU36,LocTable,6,FALSE))-$CR36-0.75&gt;=2.125),VLOOKUP($AT36&amp;"|"&amp;$CU36,LocTable,8,FALSE),VLOOKUP($AT36&amp;"|"&amp;$CU36,LocTable,8,FALSE)+($BI36-$CU36)),$BI36-LockAFF)))</f>
        <v/>
      </c>
      <c r="CA36" s="89">
        <f>IF($BZ36="","",$BI36-$BZ36)</f>
        <v/>
      </c>
      <c r="CB36" s="84">
        <f>IF(OR(NOT(AND($A36&lt;&gt;"",$C36&lt;&gt;"DOOR ONLY")),$BI36=""),"",IF(($BI36+IF(N($P36)&gt;0,$P36+FaceW,0))&lt;=90,3,IF(($BI36+IF(N($P36)&gt;0,$P36+FaceW,0))&lt;=114,4,5)))</f>
        <v/>
      </c>
      <c r="CC36" s="84">
        <f>IF($CB36="","",$CB36*(2+IF(N($Q36)&gt;0,IF($R36="LR",2,1),0)))</f>
        <v/>
      </c>
      <c r="CD36" s="84">
        <f>IF($CB36="","",(2+IF(N($Q36)&gt;0,IF($R36="LR",2,1),0)))</f>
        <v/>
      </c>
      <c r="CE36" s="84">
        <f>IF(N($BJ36)=0,"",IF(OR($AL36="",$AL36="FLUSH"),"FLUSH",IFERROR(LEFT($AL36,FIND("-",$AL36)-1),LEFT($AL36,2))))</f>
        <v/>
      </c>
      <c r="CF36" s="84">
        <f>IF($CE36="","",IFERROR(VALUE(MID($AL36,FIND("-",$AL36)+1,FIND(CHAR(34)&amp;"x",$AL36)-FIND("-",$AL36)-1)),0))</f>
        <v/>
      </c>
      <c r="CG36" s="84">
        <f>IF($CE36="","",IFERROR(VALUE(MID($AL36,FIND(CHAR(34)&amp;"x",$AL36)+2,FIND(CHAR(34),$AL36,FIND(CHAR(34)&amp;"x",$AL36)+2)-FIND(CHAR(34)&amp;"x",$AL36)-2)),0))</f>
        <v/>
      </c>
      <c r="CH36" s="90">
        <f>IF(OR($A36="",$H36="",$H36="NO LAB"),0,IFERROR(VALUE(LEFT($H36,FIND(" ",$H36)-1)),0))</f>
        <v/>
      </c>
      <c r="CI36" s="91">
        <f>IF(OR($A36="",$I36="",$I36="NON-RATED",N($J36)=0),"",IFERROR(VLOOKUP($I36&amp;"|"&amp;$J36,IBC,2,FALSE),"?"))</f>
        <v/>
      </c>
      <c r="CJ36" s="85">
        <f>IF(NOT(AND($A36&lt;&gt;"",$C36&lt;&gt;"DOOR ONLY")),"",TRIM(IFERROR(VLOOKUP($U36,CODES,2,FALSE),"")&amp;" "&amp;$BG36&amp;" "&amp;IFERROR(VLOOKUP($Z36,CODES,2,FALSE),"")&amp;" "&amp;IFERROR(VLOOKUP($X36,CODES,2,FALSE),"")&amp;" "&amp;IFERROR(VLOOKUP($S36,CODES,2,FALSE),"")&amp;IF(N($P36)&gt;0," w/TRANSOM "&amp;$P36&amp;CHAR(34),"")&amp;IF(N($Q36)&gt;0," w/SIDELITE "&amp;$Q36&amp;CHAR(34)&amp;" "&amp;IF($R36="","R",$R36),"")&amp;IF($Y36="","  |  "," | "&amp;IFERROR(VLOOKUP($Y36,CODES,2,FALSE),"")&amp;" | ")&amp;IFERROR(VLOOKUP($AC36,CODES,2,FALSE),"")&amp;" "&amp;IFERROR(VLOOKUP($AD36,CODES,2,FALSE),"")&amp;IF(OR($AE36="",$AE36="-"),""," "&amp;$AE36)&amp;IF(OR($AF36="",$AF36="-"),""," "&amp;$AF36)&amp;IF($AB36="Y"," 4"&amp;CHAR(34)&amp;" HEAD","")&amp;" "&amp;IFERROR(VLOOKUP($H36,CODES,2,FALSE),"")&amp;IF($CT36," | LOC "&amp;$CY36,"")))</f>
        <v/>
      </c>
      <c r="CK36" s="85">
        <f>IF(NOT(AND($A36&lt;&gt;"",N($BJ36)&gt;0)),"",TRIM(IFERROR(VLOOKUP($AH36,CODES,2,FALSE),"")&amp;IF($AI36=""," "," "&amp;$AI36&amp;"GA ")&amp;$BG36&amp;" "&amp;IF($AN36="",IFERROR(VLOOKUP($Z36,CODES,2,FALSE),""),IFERROR(VLOOKUP($AN36,CODES,2,FALSE),""))&amp;IF($BJ36=2," PAIR","")&amp;" DOOR | "&amp;IF($AL36="","?",$AL36)&amp;" | "&amp;IF($AO36="",IFERROR(VLOOKUP($AC36,CODES,2,FALSE),""),IFERROR(VLOOKUP($AO36,CODES,2,FALSE),""))&amp;" "&amp;IFERROR(VLOOKUP($AP36,CODES,2,FALSE),"")&amp;IF(OR($AQ36="",$AQ36="-"),""," SEAM "&amp;$AQ36)&amp;IF($AR36="Y"," ASTRAGAL","")&amp;IF($AJ36=""," "," "&amp;$AJ36)&amp;IF($AK36=""," "," "&amp;$AK36)&amp;IF(OR($AT36="",$AT36="ANSI/SDI",$AT36="CUSTOM LOC"),""," "&amp;$AT36)&amp;IF($AM36=""," "," SERIES "&amp;$AM36)&amp;" "&amp;IFERROR(VLOOKUP($H36,CODES,2,FALSE),"")&amp;IF($CT36," | LOC "&amp;$CZ36,"")))</f>
        <v/>
      </c>
      <c r="CL36" s="84">
        <f>IF(CP36="","",IF(COUNTIF($CP$6:CP36,CP36)=1,MAX($CL$5:CL35)+1,INDEX($CL$5:CL35,MATCH(CP36,$CP$5:CP35,0))))</f>
        <v/>
      </c>
      <c r="CM36" s="84">
        <f>IF(NOT(AND($A36&lt;&gt;"",$C36&lt;&gt;"DOOR ONLY")),"",MAX($CM$5:CM35)+1)</f>
        <v/>
      </c>
      <c r="CN36" s="84">
        <f>IF(NOT(AND($A36&lt;&gt;"",N($BJ36)&gt;0)),"",MAX($CN$5:CN35)+1)</f>
        <v/>
      </c>
      <c r="CO36" s="84">
        <f>IF($A36="","",MAX($CO$5:CO35)+1)</f>
        <v/>
      </c>
      <c r="CP36" s="84">
        <f>IF(OR($A36="",$BH36="",$BI36=""),"",$BG36&amp;"|"&amp;$O36&amp;"|"&amp;$AL36&amp;"|"&amp;$S36&amp;"|"&amp;$P36&amp;"|"&amp;$Q36&amp;$R36&amp;"|"&amp;$C36&amp;"|"&amp;$AB36)</f>
        <v/>
      </c>
      <c r="CQ36" s="84">
        <f>N($BS36)</f>
        <v/>
      </c>
      <c r="CR36" s="84">
        <f>IF(N($AU36)&gt;0,N($AU36),4.5)</f>
        <v/>
      </c>
      <c r="CS36" s="84">
        <f>OR($A36="",$BI36="",$S36="BL",AND($C36="FRAME ONLY",OR($AC36="",$AC36="BLK")))</f>
        <v/>
      </c>
      <c r="CT36" s="84">
        <f>AND(NOT($CS36),OR($AT36="CUSTOM LOC",N($AW36)+N($AX36)+N($AY36)+N($AZ36)+N($BA36)&gt;0))</f>
        <v/>
      </c>
      <c r="CU36" s="84">
        <f>IF($BI36="","",IF($BI36&lt;=80,80,IF($BI36&lt;=84,84,96)))</f>
        <v/>
      </c>
      <c r="CV36" s="84">
        <f>ISNUMBER(MATCH($AT36&amp;"|80",LocKeys,0))</f>
        <v/>
      </c>
      <c r="CW36" s="86">
        <f>IF($CS36,"",IF($CV36,VLOOKUP($AT36&amp;"|"&amp;$CU36,LocTable,4,FALSE),5))</f>
        <v/>
      </c>
      <c r="CX36" s="86">
        <f>IF($CS36,"",IF($CV36,IF(OR($BI36=$CU36,AND($BI36&lt;$CU36,$BI36-IF(N(VLOOKUP($AT36&amp;"|"&amp;$CU36,LocTable,7,FALSE))&gt;0,VLOOKUP($AT36&amp;"|"&amp;$CU36,LocTable,7,FALSE),VLOOKUP($AT36&amp;"|"&amp;$CU36,LocTable,6,FALSE))-$CR36-0.75&gt;=2.125)),IF(N(VLOOKUP($AT36&amp;"|"&amp;$CU36,LocTable,7,FALSE))&gt;0,VLOOKUP($AT36&amp;"|"&amp;$CU36,LocTable,7,FALSE),VLOOKUP($AT36&amp;"|"&amp;$CU36,LocTable,6,FALSE)),$BI36-($CU36-IF(N(VLOOKUP($AT36&amp;"|"&amp;$CU36,LocTable,7,FALSE))&gt;0,VLOOKUP($AT36&amp;"|"&amp;$CU36,LocTable,7,FALSE),VLOOKUP($AT36&amp;"|"&amp;$CU36,LocTable,6,FALSE)))),$BI36-10-$CR36))</f>
        <v/>
      </c>
      <c r="CY36" s="85">
        <f>IF($CS36,"",TRIM(IF(ISNUMBER($BU36),"A "&amp;TRIM(TEXT($BU36,"# ?/??"))&amp;CHAR(34)&amp;"  ","")&amp;IF(ISNUMBER($BV36),"B "&amp;TRIM(TEXT($BV36,"# ?/??"))&amp;CHAR(34)&amp;"  ","")&amp;IF(ISNUMBER($BW36),"C "&amp;TRIM(TEXT($BW36,"# ?/??"))&amp;CHAR(34)&amp;"  ","")&amp;IF(ISNUMBER($BX36),"D "&amp;TRIM(TEXT($BX36,"# ?/??"))&amp;CHAR(34)&amp;"  ","")&amp;IF(ISNUMBER($BY36),"F "&amp;TRIM(TEXT($BY36,"# ?/??"))&amp;CHAR(34)&amp;"  ","")&amp;IF(ISNUMBER($BZ36),"E "&amp;TRIM(TEXT($BZ36,"# ?/??"))&amp;CHAR(34)&amp;"  ","")))</f>
        <v/>
      </c>
      <c r="CZ36" s="85">
        <f>IF(OR($CS36,N($BJ36)=0),"",TRIM(IF(ISNUMBER($BU36),"A "&amp;TRIM(TEXT($BU36-HeadClr,"# ?/??"))&amp;CHAR(34)&amp;"  ","")&amp;IF(ISNUMBER($BV36),"B "&amp;TRIM(TEXT($BV36-HeadClr,"# ?/??"))&amp;CHAR(34)&amp;"  ","")&amp;IF(ISNUMBER($BW36),"C "&amp;TRIM(TEXT($BW36-HeadClr,"# ?/??"))&amp;CHAR(34)&amp;"  ","")&amp;IF(ISNUMBER($BX36),"D "&amp;TRIM(TEXT($BX36-HeadClr,"# ?/??"))&amp;CHAR(34)&amp;"  ","")&amp;IF(ISNUMBER($BY36),"F "&amp;TRIM(TEXT($BY36-HeadClr,"# ?/??"))&amp;CHAR(34)&amp;"  ","")&amp;IF(ISNUMBER($BZ36),"E "&amp;TRIM(TEXT($BZ36-HeadClr,"# ?/??"))&amp;CHAR(34)&amp;"  ","")))</f>
        <v/>
      </c>
      <c r="DA36" s="84">
        <f>IF($A36="","",IF($AN36="",IFERROR(VLOOKUP($Z36,CODES,2,FALSE),""),IFERROR(VLOOKUP($AN36,CODES,2,FALSE),"")))</f>
        <v/>
      </c>
      <c r="DB36" s="84">
        <f>IF($A36="","",IF($O36="Y","PR",IF(OR($Z36="L",$Z36="RR",LEFT($Z36,2)="L-",LEFT($Z36,3)="RR-"),"LH","RH")))</f>
        <v/>
      </c>
      <c r="DC36" s="84">
        <f>IF($A36="","","S.HM"&amp;IF(OR($C36="DOOR ONLY",$X36&lt;&gt;"KD"),"MASONRY","DRYWALL")&amp;IF($C36="DOOR ONLY","",$U36)&amp;IF(AND($C36&lt;&gt;"FRAME ONLY",OR(LEFT($AH36,3)="OAK",LEFT($AH36,3)="BIR",LEFT($AH36,3)="MAP",$AH36="PC",$AH36="MC",$AH36="SCLC",$AH36="P-LAM")),"WD","HM")&amp;"1.75")</f>
        <v/>
      </c>
      <c r="DD36" s="84">
        <f>IF($CJ36="","",IF($O36="Y",$CJ36,SUBSTITUTE($CJ36,$BG36&amp;" "&amp;IFERROR(VLOOKUP($Z36,CODES,2,FALSE),"")&amp;" ",$BG36&amp;" ")))</f>
        <v/>
      </c>
      <c r="DE36" s="84">
        <f>IF($CK36="","",IF($O36="Y",$CK36,SUBSTITUTE($CK36,$BG36&amp;" "&amp;IF($AN36="",IFERROR(VLOOKUP($Z36,CODES,2,FALSE),""),IFERROR(VLOOKUP($AN36,CODES,2,FALSE),""))&amp;" ",$BG36&amp;" ")))</f>
        <v/>
      </c>
      <c r="DF36" s="84">
        <f>IF($CJ36="","",$DC36&amp;"|"&amp;$DD36&amp;"|"&amp;$DB36&amp;"|"&amp;$AT36&amp;"|"&amp;$V36&amp;"|"&amp;$Y36&amp;"|"&amp;$AB36)</f>
        <v/>
      </c>
      <c r="DG36" s="84">
        <f>IF(DF36="","",IF(COUNTIF($DF$6:DF36,DF36)=1,MAX($DG$5:DG35)+1,INDEX($DG$5:DG35,MATCH(DF36,$DF$5:DF35,0))))</f>
        <v/>
      </c>
      <c r="DH36" s="84">
        <f>IF($CK36="","",$DC36&amp;"|"&amp;$DE36&amp;"|"&amp;$AI36&amp;"|"&amp;$BK36&amp;"|"&amp;$BL36)</f>
        <v/>
      </c>
      <c r="DI36" s="84">
        <f>IF(DH36="","",IF(COUNTIF($DH$6:DH36,DH36)=1,MAX($DI$5:DI35)+1,INDEX($DI$5:DI35,MATCH(DH36,$DH$5:DH35,0))))</f>
        <v/>
      </c>
      <c r="DJ36" s="84">
        <f>IF($A36="","",IF($B36="","qty, ","")&amp;IF($C36="","scope, ","")&amp;IF(OR($K36="",$M36=""),"size, ","")&amp;IF(AND($A36&lt;&gt;"",$C36&lt;&gt;"DOOR ONLY"),IF($U36="","jamb depth, ","")&amp;IF($X36="","construction, ","")&amp;IF($Y36="","anchor, ","")&amp;IF($S36="","frame type, ",""),"")&amp;IF(AND(N($BJ36)&gt;0,$Z36=""),"hand, ","")&amp;IF(N($BJ36)&gt;0,IF($AH36="","door material, ","")&amp;IF($AL36="","face type, ","")&amp;IF($AP36="","lock prep, ","")&amp;IF(AND($AO36="",$AC36=""),"hinge prep, ",""),"")&amp;IF(AND($CH36&gt;0,$AH36="FRP"),"FRP cannot carry a label, ","")&amp;IF(AND($O36="Y",OR($Z36="L",$Z36="R",$Z36="LR",$Z36="RR")),"pair marked but hand is single, ","")&amp;IF(AND($O36&lt;&gt;"Y",OR($Z36="PR",AND(LEN($Z36)&gt;1,ISNUMBER(SEARCH("-",$Z36))))),"pair hand on a single door, ","")&amp;IF(AND(ISNUMBER($CI36),$CH36&lt;N($CI36)),"wall needs a "&amp;$CI36&amp;" min door, ","")&amp;IF(AND($CH36&gt;=180,AND(OR($CE36="FG",$CE36="HG",$CE36="FNV",$CE36="FV"),N($CF36)*N($CG36)&gt;100)),"180 min lite over 100 sq in, ","")&amp;IF(N($BK36)&gt;48,"leaf wider than 4'-0"&amp;CHAR(34)&amp;", ","")&amp;IF(AND($CT36,COUNT($AW36:$AZ36)=0,$CQ36&gt;0),"CUSTOM LOC with no locations typed, ",""))</f>
        <v/>
      </c>
      <c r="DK36" s="84">
        <f>IF($A36="","",IF(AND($CH36&gt;0,AND($A36&lt;&gt;"",$C36&lt;&gt;"DOOR ONLY"),$X36="KD",$E36="EXTERIOR"),"KD label on an exterior opening, ","")&amp;IF(AND($E36="EXTERIOR",OR(AND(AND($A36&lt;&gt;"",$C36&lt;&gt;"DOOR ONLY"),$W36="CR"),AND(N($BJ36)&gt;0,$AH36="CR"))),"exterior in CR steel (G9?), ","")&amp;IF(AND(ISNUMBER($BQ36),N($BQ36)&lt;32),"clear width ~"&amp;TEXT($BQ36,"0.0")&amp;CHAR(34)&amp;" under 32"&amp;CHAR(34)&amp;" (ADA), ","")&amp;IF(AND($CH36=90,AND(OR($CE36="FG",$CE36="HG",$CE36="FNV",$CE36="FV"),N($CF36)*N($CG36)&gt;100)),"90 min lite over 100 sq in (stair/exit), ","")&amp;IF(AND($CH36&gt;0,AND($A36&lt;&gt;"",$C36&lt;&gt;"DOOR ONLY"),OR($AF36="",$AF36="-")),"rated: closer reinf.?, ","")&amp;IF(OR($I36="CORRIDOR",$I36="SMOKE BARRIER"),"S label + smoke gasketing, ","")&amp;IF($CI36="?","wall type/hr not in IBC table, ","")&amp;IF(AND(N($BJ36)&gt;0,$BB36=""),"no hardware set, ","")&amp;IF(AND($BB36&lt;&gt;"",ISNA(MATCH($BB36&amp;"",HWSets,0))),"set "&amp;$BB36&amp;" not on HW Sets, ","")&amp;IF(N($BL36)&gt;96,"leaf over 8'-0"&amp;CHAR(34)&amp;" - check listing, ","")&amp;IF(AND($CT36,COUNT($AW36:$AZ36)&gt;0,COUNT($AW36:$AZ36)&lt;&gt;$CQ36),COUNT($AW36:$AZ36)&amp;" custom hinges typed, "&amp;$CQ36&amp;" expected, ","")&amp;IF(AND(ISNUMBER($CA36),OR(N($CA36)&lt;34,N($CA36)&gt;48)),"lock "&amp;TEXT($CA36,"0.0")&amp;CHAR(34)&amp;" AFF outside 34-48"&amp;CHAR(34)&amp;" (ADA), ","")&amp;IF(AND(ISNUMBER($AV36),ISNUMBER($BL36),N($AV36)&lt;IF(N($BL36)&lt;=60,2,IF(N($BL36)&lt;=90,3,IF(N($BL36)&lt;=120,4,5)))),"fewer hinges than standard, ",""))</f>
        <v/>
      </c>
    </row>
    <row r="37" ht="15" customHeight="1">
      <c r="A37" s="77" t="n"/>
      <c r="B37" s="78" t="n"/>
      <c r="C37" s="78" t="n"/>
      <c r="D37" s="78" t="n"/>
      <c r="E37" s="78" t="n"/>
      <c r="F37" s="78" t="n"/>
      <c r="G37" s="78" t="n"/>
      <c r="H37" s="78" t="n"/>
      <c r="I37" s="78" t="n"/>
      <c r="J37" s="78" t="n"/>
      <c r="K37" s="78" t="n"/>
      <c r="L37" s="78" t="n"/>
      <c r="M37" s="78" t="n"/>
      <c r="N37" s="78" t="n"/>
      <c r="O37" s="78" t="n"/>
      <c r="P37" s="78" t="n"/>
      <c r="Q37" s="78" t="n"/>
      <c r="R37" s="78" t="n"/>
      <c r="S37" s="79" t="n"/>
      <c r="T37" s="79" t="n"/>
      <c r="U37" s="79" t="n"/>
      <c r="V37" s="79" t="n"/>
      <c r="W37" s="79" t="n"/>
      <c r="X37" s="79" t="n"/>
      <c r="Y37" s="79" t="n"/>
      <c r="Z37" s="79" t="n"/>
      <c r="AA37" s="79" t="n"/>
      <c r="AB37" s="79" t="n"/>
      <c r="AC37" s="79" t="n"/>
      <c r="AD37" s="79" t="n"/>
      <c r="AE37" s="79" t="n"/>
      <c r="AF37" s="79" t="n"/>
      <c r="AG37" s="79" t="n"/>
      <c r="AH37" s="80" t="n"/>
      <c r="AI37" s="80" t="n"/>
      <c r="AJ37" s="80" t="n"/>
      <c r="AK37" s="80" t="n"/>
      <c r="AL37" s="80" t="n"/>
      <c r="AM37" s="80" t="n"/>
      <c r="AN37" s="80" t="n"/>
      <c r="AO37" s="80" t="n"/>
      <c r="AP37" s="80" t="n"/>
      <c r="AQ37" s="80" t="n"/>
      <c r="AR37" s="80" t="n"/>
      <c r="AS37" s="80" t="n"/>
      <c r="AT37" s="81" t="n"/>
      <c r="AU37" s="81" t="n"/>
      <c r="AV37" s="81" t="n"/>
      <c r="AW37" s="82" t="n"/>
      <c r="AX37" s="82" t="n"/>
      <c r="AY37" s="82" t="n"/>
      <c r="AZ37" s="82" t="n"/>
      <c r="BA37" s="82" t="n"/>
      <c r="BB37" s="83" t="n"/>
      <c r="BC37" s="83" t="n"/>
      <c r="BD37" s="84">
        <f>IF($A37="","",IF($DJ37&lt;&gt;"","FIX",IF($DK37&lt;&gt;"","CHECK","OK")))</f>
        <v/>
      </c>
      <c r="BE37" s="85">
        <f>IF($A37="","",IF($DJ37&lt;&gt;"","FIX: "&amp;LEFT($DJ37,LEN($DJ37)-2)&amp;IF($DK37&lt;&gt;"","  ·  ",""),"")&amp;IF($DK37&lt;&gt;"","CHECK: "&amp;LEFT($DK37,LEN($DK37)-2),""))</f>
        <v/>
      </c>
      <c r="BF37" s="84">
        <f>IF(OR($A37="",$K37=""),"",$K37&amp;"'-"&amp;N($L37)&amp;CHAR(34)&amp;" x "&amp;$M37&amp;"'-"&amp;N($N37)&amp;CHAR(34))</f>
        <v/>
      </c>
      <c r="BG37" s="84">
        <f>IF(OR($A37="",$K37=""),"",$K37&amp;N($L37)&amp;$M37&amp;N($N37))</f>
        <v/>
      </c>
      <c r="BH37" s="84">
        <f>IF(OR($A37="",$K37=""),"",$K37*12+N($L37))</f>
        <v/>
      </c>
      <c r="BI37" s="84">
        <f>IF(OR($A37="",$M37=""),"",$M37*12+N($N37))</f>
        <v/>
      </c>
      <c r="BJ37" s="84">
        <f>IF($A37="","",IF(OR($C37="FRAME ONLY",$S37="BL"),0,IF($O37="Y",2,1)))</f>
        <v/>
      </c>
      <c r="BK37" s="86">
        <f>IF(OR(N($BJ37)=0,$BH37=""),"",($BH37-2*EdgeClr-IF($BJ37=2,MeetClr,0))/$BJ37)</f>
        <v/>
      </c>
      <c r="BL37" s="86">
        <f>IF(OR(N($BJ37)=0,$BI37=""),"",$BI37-HeadClr-Undercut)</f>
        <v/>
      </c>
      <c r="BM37" s="86">
        <f>IF($BH37="","",$BH37+2*FaceW+IF(N($Q37)&gt;0,($Q37+FaceW)*IF($R37="LR",2,1),0))</f>
        <v/>
      </c>
      <c r="BN37" s="86">
        <f>IF($BI37="","",$BI37+IF($AB37="Y",4,FaceW)+IF(N($P37)&gt;0,$P37+FaceW,0)+IF(OR($S37="4F",$S37="BL"),FaceW,0))</f>
        <v/>
      </c>
      <c r="BO37" s="86">
        <f>IF($BM37="","",$BM37+2*ROSide)</f>
        <v/>
      </c>
      <c r="BP37" s="86">
        <f>IF($BN37="","",$BN37+ROTop)</f>
        <v/>
      </c>
      <c r="BQ37" s="87">
        <f>IF(OR(N($BJ37)=0,$BH37=""),"",$BH37/$BJ37-ClearDeduct)</f>
        <v/>
      </c>
      <c r="BR37" s="84">
        <f>IF(N($CH37)=0,"",IF($CH37&gt;=180,"A · 3 HR",IF($CH37&gt;=90,"B · 1-1/2 HR",IF($CH37&gt;=60,"B · 1 HR",IF($CH37&gt;=45,"C · 3/4 HR","20 MIN")))))&amp;IF(AND(N($CH37)&gt;0,OR($I37="CORRIDOR",$I37="SMOKE BARRIER"))," · S","")</f>
        <v/>
      </c>
      <c r="BS37" s="84">
        <f>IF($CS37,"",IF($AV37&lt;&gt;"",$AV37,IF(OR($AC37="HGC",$AO37="HGC"),"CONT",IF(($BI37-HeadClr-Undercut)&lt;=60,2,IF(($BI37-HeadClr-Undercut)&lt;=90,3,IF(($BI37-HeadClr-Undercut)&lt;=120,4,5))))))</f>
        <v/>
      </c>
      <c r="BT37" s="84">
        <f>IF($CS37,"",IF($CT37,"CUSTOM (typed)",IF($CV37,$AT37&amp;" "&amp;$CU37&amp;CHAR(34)&amp;IF($CU37&lt;&gt;$BI37,IF(AND($BI37&lt;$CU37,$BI37-IF(N(VLOOKUP($AT37&amp;"|"&amp;$CU37,LocTable,7,FALSE))&gt;0,VLOOKUP($AT37&amp;"|"&amp;$CU37,LocTable,7,FALSE),VLOOKUP($AT37&amp;"|"&amp;$CU37,LocTable,6,FALSE))-$CR37-0.75&gt;=2.125)," cut down"," adj."),""),"ANSI/SDI A250.6")))</f>
        <v/>
      </c>
      <c r="BU37" s="88">
        <f>IF($CS37,"",IF($CT37,IF(N($AW37)&gt;0,N($AW37),""),IF(1&gt;$CQ37,"",IF($CQ37=1,$CW37,$CW37+($CX37-$CW37)*0/($CQ37-1)))))</f>
        <v/>
      </c>
      <c r="BV37" s="88">
        <f>IF($CS37,"",IF($CT37,IF(N($AX37)&gt;0,N($AX37),""),IF(2&gt;$CQ37,"",IF($CQ37=1,$CW37,$CW37+($CX37-$CW37)*1/($CQ37-1)))))</f>
        <v/>
      </c>
      <c r="BW37" s="88">
        <f>IF($CS37,"",IF($CT37,IF(N($AY37)&gt;0,N($AY37),""),IF(3&gt;$CQ37,"",IF($CQ37=1,$CW37,$CW37+($CX37-$CW37)*2/($CQ37-1)))))</f>
        <v/>
      </c>
      <c r="BX37" s="88">
        <f>IF($CS37,"",IF($CT37,IF(N($AZ37)&gt;0,N($AZ37),""),IF(4&gt;$CQ37,"",IF($CQ37=1,$CW37,$CW37+($CX37-$CW37)*3/($CQ37-1)))))</f>
        <v/>
      </c>
      <c r="BY37" s="88">
        <f>IF($CS37,"",IF($CT37,"",IF(5&gt;$CQ37,"",IF($CQ37=1,$CW37,$CW37+($CX37-$CW37)*4/($CQ37-1)))))</f>
        <v/>
      </c>
      <c r="BZ37" s="88">
        <f>IF(OR($CS37,$AP37="-",AND($AP37="",$AD37="")),"",IF(N($BA37)&gt;0,N($BA37),IF($CV37,IF(AND($BI37&lt;$CU37,$BI37-IF(N(VLOOKUP($AT37&amp;"|"&amp;$CU37,LocTable,7,FALSE))&gt;0,VLOOKUP($AT37&amp;"|"&amp;$CU37,LocTable,7,FALSE),VLOOKUP($AT37&amp;"|"&amp;$CU37,LocTable,6,FALSE))-$CR37-0.75&gt;=2.125),VLOOKUP($AT37&amp;"|"&amp;$CU37,LocTable,8,FALSE),VLOOKUP($AT37&amp;"|"&amp;$CU37,LocTable,8,FALSE)+($BI37-$CU37)),$BI37-LockAFF)))</f>
        <v/>
      </c>
      <c r="CA37" s="89">
        <f>IF($BZ37="","",$BI37-$BZ37)</f>
        <v/>
      </c>
      <c r="CB37" s="84">
        <f>IF(OR(NOT(AND($A37&lt;&gt;"",$C37&lt;&gt;"DOOR ONLY")),$BI37=""),"",IF(($BI37+IF(N($P37)&gt;0,$P37+FaceW,0))&lt;=90,3,IF(($BI37+IF(N($P37)&gt;0,$P37+FaceW,0))&lt;=114,4,5)))</f>
        <v/>
      </c>
      <c r="CC37" s="84">
        <f>IF($CB37="","",$CB37*(2+IF(N($Q37)&gt;0,IF($R37="LR",2,1),0)))</f>
        <v/>
      </c>
      <c r="CD37" s="84">
        <f>IF($CB37="","",(2+IF(N($Q37)&gt;0,IF($R37="LR",2,1),0)))</f>
        <v/>
      </c>
      <c r="CE37" s="84">
        <f>IF(N($BJ37)=0,"",IF(OR($AL37="",$AL37="FLUSH"),"FLUSH",IFERROR(LEFT($AL37,FIND("-",$AL37)-1),LEFT($AL37,2))))</f>
        <v/>
      </c>
      <c r="CF37" s="84">
        <f>IF($CE37="","",IFERROR(VALUE(MID($AL37,FIND("-",$AL37)+1,FIND(CHAR(34)&amp;"x",$AL37)-FIND("-",$AL37)-1)),0))</f>
        <v/>
      </c>
      <c r="CG37" s="84">
        <f>IF($CE37="","",IFERROR(VALUE(MID($AL37,FIND(CHAR(34)&amp;"x",$AL37)+2,FIND(CHAR(34),$AL37,FIND(CHAR(34)&amp;"x",$AL37)+2)-FIND(CHAR(34)&amp;"x",$AL37)-2)),0))</f>
        <v/>
      </c>
      <c r="CH37" s="90">
        <f>IF(OR($A37="",$H37="",$H37="NO LAB"),0,IFERROR(VALUE(LEFT($H37,FIND(" ",$H37)-1)),0))</f>
        <v/>
      </c>
      <c r="CI37" s="91">
        <f>IF(OR($A37="",$I37="",$I37="NON-RATED",N($J37)=0),"",IFERROR(VLOOKUP($I37&amp;"|"&amp;$J37,IBC,2,FALSE),"?"))</f>
        <v/>
      </c>
      <c r="CJ37" s="85">
        <f>IF(NOT(AND($A37&lt;&gt;"",$C37&lt;&gt;"DOOR ONLY")),"",TRIM(IFERROR(VLOOKUP($U37,CODES,2,FALSE),"")&amp;" "&amp;$BG37&amp;" "&amp;IFERROR(VLOOKUP($Z37,CODES,2,FALSE),"")&amp;" "&amp;IFERROR(VLOOKUP($X37,CODES,2,FALSE),"")&amp;" "&amp;IFERROR(VLOOKUP($S37,CODES,2,FALSE),"")&amp;IF(N($P37)&gt;0," w/TRANSOM "&amp;$P37&amp;CHAR(34),"")&amp;IF(N($Q37)&gt;0," w/SIDELITE "&amp;$Q37&amp;CHAR(34)&amp;" "&amp;IF($R37="","R",$R37),"")&amp;IF($Y37="","  |  "," | "&amp;IFERROR(VLOOKUP($Y37,CODES,2,FALSE),"")&amp;" | ")&amp;IFERROR(VLOOKUP($AC37,CODES,2,FALSE),"")&amp;" "&amp;IFERROR(VLOOKUP($AD37,CODES,2,FALSE),"")&amp;IF(OR($AE37="",$AE37="-"),""," "&amp;$AE37)&amp;IF(OR($AF37="",$AF37="-"),""," "&amp;$AF37)&amp;IF($AB37="Y"," 4"&amp;CHAR(34)&amp;" HEAD","")&amp;" "&amp;IFERROR(VLOOKUP($H37,CODES,2,FALSE),"")&amp;IF($CT37," | LOC "&amp;$CY37,"")))</f>
        <v/>
      </c>
      <c r="CK37" s="85">
        <f>IF(NOT(AND($A37&lt;&gt;"",N($BJ37)&gt;0)),"",TRIM(IFERROR(VLOOKUP($AH37,CODES,2,FALSE),"")&amp;IF($AI37=""," "," "&amp;$AI37&amp;"GA ")&amp;$BG37&amp;" "&amp;IF($AN37="",IFERROR(VLOOKUP($Z37,CODES,2,FALSE),""),IFERROR(VLOOKUP($AN37,CODES,2,FALSE),""))&amp;IF($BJ37=2," PAIR","")&amp;" DOOR | "&amp;IF($AL37="","?",$AL37)&amp;" | "&amp;IF($AO37="",IFERROR(VLOOKUP($AC37,CODES,2,FALSE),""),IFERROR(VLOOKUP($AO37,CODES,2,FALSE),""))&amp;" "&amp;IFERROR(VLOOKUP($AP37,CODES,2,FALSE),"")&amp;IF(OR($AQ37="",$AQ37="-"),""," SEAM "&amp;$AQ37)&amp;IF($AR37="Y"," ASTRAGAL","")&amp;IF($AJ37=""," "," "&amp;$AJ37)&amp;IF($AK37=""," "," "&amp;$AK37)&amp;IF(OR($AT37="",$AT37="ANSI/SDI",$AT37="CUSTOM LOC"),""," "&amp;$AT37)&amp;IF($AM37=""," "," SERIES "&amp;$AM37)&amp;" "&amp;IFERROR(VLOOKUP($H37,CODES,2,FALSE),"")&amp;IF($CT37," | LOC "&amp;$CZ37,"")))</f>
        <v/>
      </c>
      <c r="CL37" s="84">
        <f>IF(CP37="","",IF(COUNTIF($CP$6:CP37,CP37)=1,MAX($CL$5:CL36)+1,INDEX($CL$5:CL36,MATCH(CP37,$CP$5:CP36,0))))</f>
        <v/>
      </c>
      <c r="CM37" s="84">
        <f>IF(NOT(AND($A37&lt;&gt;"",$C37&lt;&gt;"DOOR ONLY")),"",MAX($CM$5:CM36)+1)</f>
        <v/>
      </c>
      <c r="CN37" s="84">
        <f>IF(NOT(AND($A37&lt;&gt;"",N($BJ37)&gt;0)),"",MAX($CN$5:CN36)+1)</f>
        <v/>
      </c>
      <c r="CO37" s="84">
        <f>IF($A37="","",MAX($CO$5:CO36)+1)</f>
        <v/>
      </c>
      <c r="CP37" s="84">
        <f>IF(OR($A37="",$BH37="",$BI37=""),"",$BG37&amp;"|"&amp;$O37&amp;"|"&amp;$AL37&amp;"|"&amp;$S37&amp;"|"&amp;$P37&amp;"|"&amp;$Q37&amp;$R37&amp;"|"&amp;$C37&amp;"|"&amp;$AB37)</f>
        <v/>
      </c>
      <c r="CQ37" s="84">
        <f>N($BS37)</f>
        <v/>
      </c>
      <c r="CR37" s="84">
        <f>IF(N($AU37)&gt;0,N($AU37),4.5)</f>
        <v/>
      </c>
      <c r="CS37" s="84">
        <f>OR($A37="",$BI37="",$S37="BL",AND($C37="FRAME ONLY",OR($AC37="",$AC37="BLK")))</f>
        <v/>
      </c>
      <c r="CT37" s="84">
        <f>AND(NOT($CS37),OR($AT37="CUSTOM LOC",N($AW37)+N($AX37)+N($AY37)+N($AZ37)+N($BA37)&gt;0))</f>
        <v/>
      </c>
      <c r="CU37" s="84">
        <f>IF($BI37="","",IF($BI37&lt;=80,80,IF($BI37&lt;=84,84,96)))</f>
        <v/>
      </c>
      <c r="CV37" s="84">
        <f>ISNUMBER(MATCH($AT37&amp;"|80",LocKeys,0))</f>
        <v/>
      </c>
      <c r="CW37" s="86">
        <f>IF($CS37,"",IF($CV37,VLOOKUP($AT37&amp;"|"&amp;$CU37,LocTable,4,FALSE),5))</f>
        <v/>
      </c>
      <c r="CX37" s="86">
        <f>IF($CS37,"",IF($CV37,IF(OR($BI37=$CU37,AND($BI37&lt;$CU37,$BI37-IF(N(VLOOKUP($AT37&amp;"|"&amp;$CU37,LocTable,7,FALSE))&gt;0,VLOOKUP($AT37&amp;"|"&amp;$CU37,LocTable,7,FALSE),VLOOKUP($AT37&amp;"|"&amp;$CU37,LocTable,6,FALSE))-$CR37-0.75&gt;=2.125)),IF(N(VLOOKUP($AT37&amp;"|"&amp;$CU37,LocTable,7,FALSE))&gt;0,VLOOKUP($AT37&amp;"|"&amp;$CU37,LocTable,7,FALSE),VLOOKUP($AT37&amp;"|"&amp;$CU37,LocTable,6,FALSE)),$BI37-($CU37-IF(N(VLOOKUP($AT37&amp;"|"&amp;$CU37,LocTable,7,FALSE))&gt;0,VLOOKUP($AT37&amp;"|"&amp;$CU37,LocTable,7,FALSE),VLOOKUP($AT37&amp;"|"&amp;$CU37,LocTable,6,FALSE)))),$BI37-10-$CR37))</f>
        <v/>
      </c>
      <c r="CY37" s="85">
        <f>IF($CS37,"",TRIM(IF(ISNUMBER($BU37),"A "&amp;TRIM(TEXT($BU37,"# ?/??"))&amp;CHAR(34)&amp;"  ","")&amp;IF(ISNUMBER($BV37),"B "&amp;TRIM(TEXT($BV37,"# ?/??"))&amp;CHAR(34)&amp;"  ","")&amp;IF(ISNUMBER($BW37),"C "&amp;TRIM(TEXT($BW37,"# ?/??"))&amp;CHAR(34)&amp;"  ","")&amp;IF(ISNUMBER($BX37),"D "&amp;TRIM(TEXT($BX37,"# ?/??"))&amp;CHAR(34)&amp;"  ","")&amp;IF(ISNUMBER($BY37),"F "&amp;TRIM(TEXT($BY37,"# ?/??"))&amp;CHAR(34)&amp;"  ","")&amp;IF(ISNUMBER($BZ37),"E "&amp;TRIM(TEXT($BZ37,"# ?/??"))&amp;CHAR(34)&amp;"  ","")))</f>
        <v/>
      </c>
      <c r="CZ37" s="85">
        <f>IF(OR($CS37,N($BJ37)=0),"",TRIM(IF(ISNUMBER($BU37),"A "&amp;TRIM(TEXT($BU37-HeadClr,"# ?/??"))&amp;CHAR(34)&amp;"  ","")&amp;IF(ISNUMBER($BV37),"B "&amp;TRIM(TEXT($BV37-HeadClr,"# ?/??"))&amp;CHAR(34)&amp;"  ","")&amp;IF(ISNUMBER($BW37),"C "&amp;TRIM(TEXT($BW37-HeadClr,"# ?/??"))&amp;CHAR(34)&amp;"  ","")&amp;IF(ISNUMBER($BX37),"D "&amp;TRIM(TEXT($BX37-HeadClr,"# ?/??"))&amp;CHAR(34)&amp;"  ","")&amp;IF(ISNUMBER($BY37),"F "&amp;TRIM(TEXT($BY37-HeadClr,"# ?/??"))&amp;CHAR(34)&amp;"  ","")&amp;IF(ISNUMBER($BZ37),"E "&amp;TRIM(TEXT($BZ37-HeadClr,"# ?/??"))&amp;CHAR(34)&amp;"  ","")))</f>
        <v/>
      </c>
      <c r="DA37" s="84">
        <f>IF($A37="","",IF($AN37="",IFERROR(VLOOKUP($Z37,CODES,2,FALSE),""),IFERROR(VLOOKUP($AN37,CODES,2,FALSE),"")))</f>
        <v/>
      </c>
      <c r="DB37" s="84">
        <f>IF($A37="","",IF($O37="Y","PR",IF(OR($Z37="L",$Z37="RR",LEFT($Z37,2)="L-",LEFT($Z37,3)="RR-"),"LH","RH")))</f>
        <v/>
      </c>
      <c r="DC37" s="84">
        <f>IF($A37="","","S.HM"&amp;IF(OR($C37="DOOR ONLY",$X37&lt;&gt;"KD"),"MASONRY","DRYWALL")&amp;IF($C37="DOOR ONLY","",$U37)&amp;IF(AND($C37&lt;&gt;"FRAME ONLY",OR(LEFT($AH37,3)="OAK",LEFT($AH37,3)="BIR",LEFT($AH37,3)="MAP",$AH37="PC",$AH37="MC",$AH37="SCLC",$AH37="P-LAM")),"WD","HM")&amp;"1.75")</f>
        <v/>
      </c>
      <c r="DD37" s="84">
        <f>IF($CJ37="","",IF($O37="Y",$CJ37,SUBSTITUTE($CJ37,$BG37&amp;" "&amp;IFERROR(VLOOKUP($Z37,CODES,2,FALSE),"")&amp;" ",$BG37&amp;" ")))</f>
        <v/>
      </c>
      <c r="DE37" s="84">
        <f>IF($CK37="","",IF($O37="Y",$CK37,SUBSTITUTE($CK37,$BG37&amp;" "&amp;IF($AN37="",IFERROR(VLOOKUP($Z37,CODES,2,FALSE),""),IFERROR(VLOOKUP($AN37,CODES,2,FALSE),""))&amp;" ",$BG37&amp;" ")))</f>
        <v/>
      </c>
      <c r="DF37" s="84">
        <f>IF($CJ37="","",$DC37&amp;"|"&amp;$DD37&amp;"|"&amp;$DB37&amp;"|"&amp;$AT37&amp;"|"&amp;$V37&amp;"|"&amp;$Y37&amp;"|"&amp;$AB37)</f>
        <v/>
      </c>
      <c r="DG37" s="84">
        <f>IF(DF37="","",IF(COUNTIF($DF$6:DF37,DF37)=1,MAX($DG$5:DG36)+1,INDEX($DG$5:DG36,MATCH(DF37,$DF$5:DF36,0))))</f>
        <v/>
      </c>
      <c r="DH37" s="84">
        <f>IF($CK37="","",$DC37&amp;"|"&amp;$DE37&amp;"|"&amp;$AI37&amp;"|"&amp;$BK37&amp;"|"&amp;$BL37)</f>
        <v/>
      </c>
      <c r="DI37" s="84">
        <f>IF(DH37="","",IF(COUNTIF($DH$6:DH37,DH37)=1,MAX($DI$5:DI36)+1,INDEX($DI$5:DI36,MATCH(DH37,$DH$5:DH36,0))))</f>
        <v/>
      </c>
      <c r="DJ37" s="84">
        <f>IF($A37="","",IF($B37="","qty, ","")&amp;IF($C37="","scope, ","")&amp;IF(OR($K37="",$M37=""),"size, ","")&amp;IF(AND($A37&lt;&gt;"",$C37&lt;&gt;"DOOR ONLY"),IF($U37="","jamb depth, ","")&amp;IF($X37="","construction, ","")&amp;IF($Y37="","anchor, ","")&amp;IF($S37="","frame type, ",""),"")&amp;IF(AND(N($BJ37)&gt;0,$Z37=""),"hand, ","")&amp;IF(N($BJ37)&gt;0,IF($AH37="","door material, ","")&amp;IF($AL37="","face type, ","")&amp;IF($AP37="","lock prep, ","")&amp;IF(AND($AO37="",$AC37=""),"hinge prep, ",""),"")&amp;IF(AND($CH37&gt;0,$AH37="FRP"),"FRP cannot carry a label, ","")&amp;IF(AND($O37="Y",OR($Z37="L",$Z37="R",$Z37="LR",$Z37="RR")),"pair marked but hand is single, ","")&amp;IF(AND($O37&lt;&gt;"Y",OR($Z37="PR",AND(LEN($Z37)&gt;1,ISNUMBER(SEARCH("-",$Z37))))),"pair hand on a single door, ","")&amp;IF(AND(ISNUMBER($CI37),$CH37&lt;N($CI37)),"wall needs a "&amp;$CI37&amp;" min door, ","")&amp;IF(AND($CH37&gt;=180,AND(OR($CE37="FG",$CE37="HG",$CE37="FNV",$CE37="FV"),N($CF37)*N($CG37)&gt;100)),"180 min lite over 100 sq in, ","")&amp;IF(N($BK37)&gt;48,"leaf wider than 4'-0"&amp;CHAR(34)&amp;", ","")&amp;IF(AND($CT37,COUNT($AW37:$AZ37)=0,$CQ37&gt;0),"CUSTOM LOC with no locations typed, ",""))</f>
        <v/>
      </c>
      <c r="DK37" s="84">
        <f>IF($A37="","",IF(AND($CH37&gt;0,AND($A37&lt;&gt;"",$C37&lt;&gt;"DOOR ONLY"),$X37="KD",$E37="EXTERIOR"),"KD label on an exterior opening, ","")&amp;IF(AND($E37="EXTERIOR",OR(AND(AND($A37&lt;&gt;"",$C37&lt;&gt;"DOOR ONLY"),$W37="CR"),AND(N($BJ37)&gt;0,$AH37="CR"))),"exterior in CR steel (G9?), ","")&amp;IF(AND(ISNUMBER($BQ37),N($BQ37)&lt;32),"clear width ~"&amp;TEXT($BQ37,"0.0")&amp;CHAR(34)&amp;" under 32"&amp;CHAR(34)&amp;" (ADA), ","")&amp;IF(AND($CH37=90,AND(OR($CE37="FG",$CE37="HG",$CE37="FNV",$CE37="FV"),N($CF37)*N($CG37)&gt;100)),"90 min lite over 100 sq in (stair/exit), ","")&amp;IF(AND($CH37&gt;0,AND($A37&lt;&gt;"",$C37&lt;&gt;"DOOR ONLY"),OR($AF37="",$AF37="-")),"rated: closer reinf.?, ","")&amp;IF(OR($I37="CORRIDOR",$I37="SMOKE BARRIER"),"S label + smoke gasketing, ","")&amp;IF($CI37="?","wall type/hr not in IBC table, ","")&amp;IF(AND(N($BJ37)&gt;0,$BB37=""),"no hardware set, ","")&amp;IF(AND($BB37&lt;&gt;"",ISNA(MATCH($BB37&amp;"",HWSets,0))),"set "&amp;$BB37&amp;" not on HW Sets, ","")&amp;IF(N($BL37)&gt;96,"leaf over 8'-0"&amp;CHAR(34)&amp;" - check listing, ","")&amp;IF(AND($CT37,COUNT($AW37:$AZ37)&gt;0,COUNT($AW37:$AZ37)&lt;&gt;$CQ37),COUNT($AW37:$AZ37)&amp;" custom hinges typed, "&amp;$CQ37&amp;" expected, ","")&amp;IF(AND(ISNUMBER($CA37),OR(N($CA37)&lt;34,N($CA37)&gt;48)),"lock "&amp;TEXT($CA37,"0.0")&amp;CHAR(34)&amp;" AFF outside 34-48"&amp;CHAR(34)&amp;" (ADA), ","")&amp;IF(AND(ISNUMBER($AV37),ISNUMBER($BL37),N($AV37)&lt;IF(N($BL37)&lt;=60,2,IF(N($BL37)&lt;=90,3,IF(N($BL37)&lt;=120,4,5)))),"fewer hinges than standard, ",""))</f>
        <v/>
      </c>
    </row>
    <row r="38" ht="15" customHeight="1">
      <c r="A38" s="77" t="n"/>
      <c r="B38" s="78" t="n"/>
      <c r="C38" s="78" t="n"/>
      <c r="D38" s="78" t="n"/>
      <c r="E38" s="78" t="n"/>
      <c r="F38" s="78" t="n"/>
      <c r="G38" s="78" t="n"/>
      <c r="H38" s="78" t="n"/>
      <c r="I38" s="78" t="n"/>
      <c r="J38" s="78" t="n"/>
      <c r="K38" s="78" t="n"/>
      <c r="L38" s="78" t="n"/>
      <c r="M38" s="78" t="n"/>
      <c r="N38" s="78" t="n"/>
      <c r="O38" s="78" t="n"/>
      <c r="P38" s="78" t="n"/>
      <c r="Q38" s="78" t="n"/>
      <c r="R38" s="78" t="n"/>
      <c r="S38" s="79" t="n"/>
      <c r="T38" s="79" t="n"/>
      <c r="U38" s="79" t="n"/>
      <c r="V38" s="79" t="n"/>
      <c r="W38" s="79" t="n"/>
      <c r="X38" s="79" t="n"/>
      <c r="Y38" s="79" t="n"/>
      <c r="Z38" s="79" t="n"/>
      <c r="AA38" s="79" t="n"/>
      <c r="AB38" s="79" t="n"/>
      <c r="AC38" s="79" t="n"/>
      <c r="AD38" s="79" t="n"/>
      <c r="AE38" s="79" t="n"/>
      <c r="AF38" s="79" t="n"/>
      <c r="AG38" s="79" t="n"/>
      <c r="AH38" s="80" t="n"/>
      <c r="AI38" s="80" t="n"/>
      <c r="AJ38" s="80" t="n"/>
      <c r="AK38" s="80" t="n"/>
      <c r="AL38" s="80" t="n"/>
      <c r="AM38" s="80" t="n"/>
      <c r="AN38" s="80" t="n"/>
      <c r="AO38" s="80" t="n"/>
      <c r="AP38" s="80" t="n"/>
      <c r="AQ38" s="80" t="n"/>
      <c r="AR38" s="80" t="n"/>
      <c r="AS38" s="80" t="n"/>
      <c r="AT38" s="81" t="n"/>
      <c r="AU38" s="81" t="n"/>
      <c r="AV38" s="81" t="n"/>
      <c r="AW38" s="82" t="n"/>
      <c r="AX38" s="82" t="n"/>
      <c r="AY38" s="82" t="n"/>
      <c r="AZ38" s="82" t="n"/>
      <c r="BA38" s="82" t="n"/>
      <c r="BB38" s="83" t="n"/>
      <c r="BC38" s="83" t="n"/>
      <c r="BD38" s="84">
        <f>IF($A38="","",IF($DJ38&lt;&gt;"","FIX",IF($DK38&lt;&gt;"","CHECK","OK")))</f>
        <v/>
      </c>
      <c r="BE38" s="85">
        <f>IF($A38="","",IF($DJ38&lt;&gt;"","FIX: "&amp;LEFT($DJ38,LEN($DJ38)-2)&amp;IF($DK38&lt;&gt;"","  ·  ",""),"")&amp;IF($DK38&lt;&gt;"","CHECK: "&amp;LEFT($DK38,LEN($DK38)-2),""))</f>
        <v/>
      </c>
      <c r="BF38" s="84">
        <f>IF(OR($A38="",$K38=""),"",$K38&amp;"'-"&amp;N($L38)&amp;CHAR(34)&amp;" x "&amp;$M38&amp;"'-"&amp;N($N38)&amp;CHAR(34))</f>
        <v/>
      </c>
      <c r="BG38" s="84">
        <f>IF(OR($A38="",$K38=""),"",$K38&amp;N($L38)&amp;$M38&amp;N($N38))</f>
        <v/>
      </c>
      <c r="BH38" s="84">
        <f>IF(OR($A38="",$K38=""),"",$K38*12+N($L38))</f>
        <v/>
      </c>
      <c r="BI38" s="84">
        <f>IF(OR($A38="",$M38=""),"",$M38*12+N($N38))</f>
        <v/>
      </c>
      <c r="BJ38" s="84">
        <f>IF($A38="","",IF(OR($C38="FRAME ONLY",$S38="BL"),0,IF($O38="Y",2,1)))</f>
        <v/>
      </c>
      <c r="BK38" s="86">
        <f>IF(OR(N($BJ38)=0,$BH38=""),"",($BH38-2*EdgeClr-IF($BJ38=2,MeetClr,0))/$BJ38)</f>
        <v/>
      </c>
      <c r="BL38" s="86">
        <f>IF(OR(N($BJ38)=0,$BI38=""),"",$BI38-HeadClr-Undercut)</f>
        <v/>
      </c>
      <c r="BM38" s="86">
        <f>IF($BH38="","",$BH38+2*FaceW+IF(N($Q38)&gt;0,($Q38+FaceW)*IF($R38="LR",2,1),0))</f>
        <v/>
      </c>
      <c r="BN38" s="86">
        <f>IF($BI38="","",$BI38+IF($AB38="Y",4,FaceW)+IF(N($P38)&gt;0,$P38+FaceW,0)+IF(OR($S38="4F",$S38="BL"),FaceW,0))</f>
        <v/>
      </c>
      <c r="BO38" s="86">
        <f>IF($BM38="","",$BM38+2*ROSide)</f>
        <v/>
      </c>
      <c r="BP38" s="86">
        <f>IF($BN38="","",$BN38+ROTop)</f>
        <v/>
      </c>
      <c r="BQ38" s="87">
        <f>IF(OR(N($BJ38)=0,$BH38=""),"",$BH38/$BJ38-ClearDeduct)</f>
        <v/>
      </c>
      <c r="BR38" s="84">
        <f>IF(N($CH38)=0,"",IF($CH38&gt;=180,"A · 3 HR",IF($CH38&gt;=90,"B · 1-1/2 HR",IF($CH38&gt;=60,"B · 1 HR",IF($CH38&gt;=45,"C · 3/4 HR","20 MIN")))))&amp;IF(AND(N($CH38)&gt;0,OR($I38="CORRIDOR",$I38="SMOKE BARRIER"))," · S","")</f>
        <v/>
      </c>
      <c r="BS38" s="84">
        <f>IF($CS38,"",IF($AV38&lt;&gt;"",$AV38,IF(OR($AC38="HGC",$AO38="HGC"),"CONT",IF(($BI38-HeadClr-Undercut)&lt;=60,2,IF(($BI38-HeadClr-Undercut)&lt;=90,3,IF(($BI38-HeadClr-Undercut)&lt;=120,4,5))))))</f>
        <v/>
      </c>
      <c r="BT38" s="84">
        <f>IF($CS38,"",IF($CT38,"CUSTOM (typed)",IF($CV38,$AT38&amp;" "&amp;$CU38&amp;CHAR(34)&amp;IF($CU38&lt;&gt;$BI38,IF(AND($BI38&lt;$CU38,$BI38-IF(N(VLOOKUP($AT38&amp;"|"&amp;$CU38,LocTable,7,FALSE))&gt;0,VLOOKUP($AT38&amp;"|"&amp;$CU38,LocTable,7,FALSE),VLOOKUP($AT38&amp;"|"&amp;$CU38,LocTable,6,FALSE))-$CR38-0.75&gt;=2.125)," cut down"," adj."),""),"ANSI/SDI A250.6")))</f>
        <v/>
      </c>
      <c r="BU38" s="88">
        <f>IF($CS38,"",IF($CT38,IF(N($AW38)&gt;0,N($AW38),""),IF(1&gt;$CQ38,"",IF($CQ38=1,$CW38,$CW38+($CX38-$CW38)*0/($CQ38-1)))))</f>
        <v/>
      </c>
      <c r="BV38" s="88">
        <f>IF($CS38,"",IF($CT38,IF(N($AX38)&gt;0,N($AX38),""),IF(2&gt;$CQ38,"",IF($CQ38=1,$CW38,$CW38+($CX38-$CW38)*1/($CQ38-1)))))</f>
        <v/>
      </c>
      <c r="BW38" s="88">
        <f>IF($CS38,"",IF($CT38,IF(N($AY38)&gt;0,N($AY38),""),IF(3&gt;$CQ38,"",IF($CQ38=1,$CW38,$CW38+($CX38-$CW38)*2/($CQ38-1)))))</f>
        <v/>
      </c>
      <c r="BX38" s="88">
        <f>IF($CS38,"",IF($CT38,IF(N($AZ38)&gt;0,N($AZ38),""),IF(4&gt;$CQ38,"",IF($CQ38=1,$CW38,$CW38+($CX38-$CW38)*3/($CQ38-1)))))</f>
        <v/>
      </c>
      <c r="BY38" s="88">
        <f>IF($CS38,"",IF($CT38,"",IF(5&gt;$CQ38,"",IF($CQ38=1,$CW38,$CW38+($CX38-$CW38)*4/($CQ38-1)))))</f>
        <v/>
      </c>
      <c r="BZ38" s="88">
        <f>IF(OR($CS38,$AP38="-",AND($AP38="",$AD38="")),"",IF(N($BA38)&gt;0,N($BA38),IF($CV38,IF(AND($BI38&lt;$CU38,$BI38-IF(N(VLOOKUP($AT38&amp;"|"&amp;$CU38,LocTable,7,FALSE))&gt;0,VLOOKUP($AT38&amp;"|"&amp;$CU38,LocTable,7,FALSE),VLOOKUP($AT38&amp;"|"&amp;$CU38,LocTable,6,FALSE))-$CR38-0.75&gt;=2.125),VLOOKUP($AT38&amp;"|"&amp;$CU38,LocTable,8,FALSE),VLOOKUP($AT38&amp;"|"&amp;$CU38,LocTable,8,FALSE)+($BI38-$CU38)),$BI38-LockAFF)))</f>
        <v/>
      </c>
      <c r="CA38" s="89">
        <f>IF($BZ38="","",$BI38-$BZ38)</f>
        <v/>
      </c>
      <c r="CB38" s="84">
        <f>IF(OR(NOT(AND($A38&lt;&gt;"",$C38&lt;&gt;"DOOR ONLY")),$BI38=""),"",IF(($BI38+IF(N($P38)&gt;0,$P38+FaceW,0))&lt;=90,3,IF(($BI38+IF(N($P38)&gt;0,$P38+FaceW,0))&lt;=114,4,5)))</f>
        <v/>
      </c>
      <c r="CC38" s="84">
        <f>IF($CB38="","",$CB38*(2+IF(N($Q38)&gt;0,IF($R38="LR",2,1),0)))</f>
        <v/>
      </c>
      <c r="CD38" s="84">
        <f>IF($CB38="","",(2+IF(N($Q38)&gt;0,IF($R38="LR",2,1),0)))</f>
        <v/>
      </c>
      <c r="CE38" s="84">
        <f>IF(N($BJ38)=0,"",IF(OR($AL38="",$AL38="FLUSH"),"FLUSH",IFERROR(LEFT($AL38,FIND("-",$AL38)-1),LEFT($AL38,2))))</f>
        <v/>
      </c>
      <c r="CF38" s="84">
        <f>IF($CE38="","",IFERROR(VALUE(MID($AL38,FIND("-",$AL38)+1,FIND(CHAR(34)&amp;"x",$AL38)-FIND("-",$AL38)-1)),0))</f>
        <v/>
      </c>
      <c r="CG38" s="84">
        <f>IF($CE38="","",IFERROR(VALUE(MID($AL38,FIND(CHAR(34)&amp;"x",$AL38)+2,FIND(CHAR(34),$AL38,FIND(CHAR(34)&amp;"x",$AL38)+2)-FIND(CHAR(34)&amp;"x",$AL38)-2)),0))</f>
        <v/>
      </c>
      <c r="CH38" s="90">
        <f>IF(OR($A38="",$H38="",$H38="NO LAB"),0,IFERROR(VALUE(LEFT($H38,FIND(" ",$H38)-1)),0))</f>
        <v/>
      </c>
      <c r="CI38" s="91">
        <f>IF(OR($A38="",$I38="",$I38="NON-RATED",N($J38)=0),"",IFERROR(VLOOKUP($I38&amp;"|"&amp;$J38,IBC,2,FALSE),"?"))</f>
        <v/>
      </c>
      <c r="CJ38" s="85">
        <f>IF(NOT(AND($A38&lt;&gt;"",$C38&lt;&gt;"DOOR ONLY")),"",TRIM(IFERROR(VLOOKUP($U38,CODES,2,FALSE),"")&amp;" "&amp;$BG38&amp;" "&amp;IFERROR(VLOOKUP($Z38,CODES,2,FALSE),"")&amp;" "&amp;IFERROR(VLOOKUP($X38,CODES,2,FALSE),"")&amp;" "&amp;IFERROR(VLOOKUP($S38,CODES,2,FALSE),"")&amp;IF(N($P38)&gt;0," w/TRANSOM "&amp;$P38&amp;CHAR(34),"")&amp;IF(N($Q38)&gt;0," w/SIDELITE "&amp;$Q38&amp;CHAR(34)&amp;" "&amp;IF($R38="","R",$R38),"")&amp;IF($Y38="","  |  "," | "&amp;IFERROR(VLOOKUP($Y38,CODES,2,FALSE),"")&amp;" | ")&amp;IFERROR(VLOOKUP($AC38,CODES,2,FALSE),"")&amp;" "&amp;IFERROR(VLOOKUP($AD38,CODES,2,FALSE),"")&amp;IF(OR($AE38="",$AE38="-"),""," "&amp;$AE38)&amp;IF(OR($AF38="",$AF38="-"),""," "&amp;$AF38)&amp;IF($AB38="Y"," 4"&amp;CHAR(34)&amp;" HEAD","")&amp;" "&amp;IFERROR(VLOOKUP($H38,CODES,2,FALSE),"")&amp;IF($CT38," | LOC "&amp;$CY38,"")))</f>
        <v/>
      </c>
      <c r="CK38" s="85">
        <f>IF(NOT(AND($A38&lt;&gt;"",N($BJ38)&gt;0)),"",TRIM(IFERROR(VLOOKUP($AH38,CODES,2,FALSE),"")&amp;IF($AI38=""," "," "&amp;$AI38&amp;"GA ")&amp;$BG38&amp;" "&amp;IF($AN38="",IFERROR(VLOOKUP($Z38,CODES,2,FALSE),""),IFERROR(VLOOKUP($AN38,CODES,2,FALSE),""))&amp;IF($BJ38=2," PAIR","")&amp;" DOOR | "&amp;IF($AL38="","?",$AL38)&amp;" | "&amp;IF($AO38="",IFERROR(VLOOKUP($AC38,CODES,2,FALSE),""),IFERROR(VLOOKUP($AO38,CODES,2,FALSE),""))&amp;" "&amp;IFERROR(VLOOKUP($AP38,CODES,2,FALSE),"")&amp;IF(OR($AQ38="",$AQ38="-"),""," SEAM "&amp;$AQ38)&amp;IF($AR38="Y"," ASTRAGAL","")&amp;IF($AJ38=""," "," "&amp;$AJ38)&amp;IF($AK38=""," "," "&amp;$AK38)&amp;IF(OR($AT38="",$AT38="ANSI/SDI",$AT38="CUSTOM LOC"),""," "&amp;$AT38)&amp;IF($AM38=""," "," SERIES "&amp;$AM38)&amp;" "&amp;IFERROR(VLOOKUP($H38,CODES,2,FALSE),"")&amp;IF($CT38," | LOC "&amp;$CZ38,"")))</f>
        <v/>
      </c>
      <c r="CL38" s="84">
        <f>IF(CP38="","",IF(COUNTIF($CP$6:CP38,CP38)=1,MAX($CL$5:CL37)+1,INDEX($CL$5:CL37,MATCH(CP38,$CP$5:CP37,0))))</f>
        <v/>
      </c>
      <c r="CM38" s="84">
        <f>IF(NOT(AND($A38&lt;&gt;"",$C38&lt;&gt;"DOOR ONLY")),"",MAX($CM$5:CM37)+1)</f>
        <v/>
      </c>
      <c r="CN38" s="84">
        <f>IF(NOT(AND($A38&lt;&gt;"",N($BJ38)&gt;0)),"",MAX($CN$5:CN37)+1)</f>
        <v/>
      </c>
      <c r="CO38" s="84">
        <f>IF($A38="","",MAX($CO$5:CO37)+1)</f>
        <v/>
      </c>
      <c r="CP38" s="84">
        <f>IF(OR($A38="",$BH38="",$BI38=""),"",$BG38&amp;"|"&amp;$O38&amp;"|"&amp;$AL38&amp;"|"&amp;$S38&amp;"|"&amp;$P38&amp;"|"&amp;$Q38&amp;$R38&amp;"|"&amp;$C38&amp;"|"&amp;$AB38)</f>
        <v/>
      </c>
      <c r="CQ38" s="84">
        <f>N($BS38)</f>
        <v/>
      </c>
      <c r="CR38" s="84">
        <f>IF(N($AU38)&gt;0,N($AU38),4.5)</f>
        <v/>
      </c>
      <c r="CS38" s="84">
        <f>OR($A38="",$BI38="",$S38="BL",AND($C38="FRAME ONLY",OR($AC38="",$AC38="BLK")))</f>
        <v/>
      </c>
      <c r="CT38" s="84">
        <f>AND(NOT($CS38),OR($AT38="CUSTOM LOC",N($AW38)+N($AX38)+N($AY38)+N($AZ38)+N($BA38)&gt;0))</f>
        <v/>
      </c>
      <c r="CU38" s="84">
        <f>IF($BI38="","",IF($BI38&lt;=80,80,IF($BI38&lt;=84,84,96)))</f>
        <v/>
      </c>
      <c r="CV38" s="84">
        <f>ISNUMBER(MATCH($AT38&amp;"|80",LocKeys,0))</f>
        <v/>
      </c>
      <c r="CW38" s="86">
        <f>IF($CS38,"",IF($CV38,VLOOKUP($AT38&amp;"|"&amp;$CU38,LocTable,4,FALSE),5))</f>
        <v/>
      </c>
      <c r="CX38" s="86">
        <f>IF($CS38,"",IF($CV38,IF(OR($BI38=$CU38,AND($BI38&lt;$CU38,$BI38-IF(N(VLOOKUP($AT38&amp;"|"&amp;$CU38,LocTable,7,FALSE))&gt;0,VLOOKUP($AT38&amp;"|"&amp;$CU38,LocTable,7,FALSE),VLOOKUP($AT38&amp;"|"&amp;$CU38,LocTable,6,FALSE))-$CR38-0.75&gt;=2.125)),IF(N(VLOOKUP($AT38&amp;"|"&amp;$CU38,LocTable,7,FALSE))&gt;0,VLOOKUP($AT38&amp;"|"&amp;$CU38,LocTable,7,FALSE),VLOOKUP($AT38&amp;"|"&amp;$CU38,LocTable,6,FALSE)),$BI38-($CU38-IF(N(VLOOKUP($AT38&amp;"|"&amp;$CU38,LocTable,7,FALSE))&gt;0,VLOOKUP($AT38&amp;"|"&amp;$CU38,LocTable,7,FALSE),VLOOKUP($AT38&amp;"|"&amp;$CU38,LocTable,6,FALSE)))),$BI38-10-$CR38))</f>
        <v/>
      </c>
      <c r="CY38" s="85">
        <f>IF($CS38,"",TRIM(IF(ISNUMBER($BU38),"A "&amp;TRIM(TEXT($BU38,"# ?/??"))&amp;CHAR(34)&amp;"  ","")&amp;IF(ISNUMBER($BV38),"B "&amp;TRIM(TEXT($BV38,"# ?/??"))&amp;CHAR(34)&amp;"  ","")&amp;IF(ISNUMBER($BW38),"C "&amp;TRIM(TEXT($BW38,"# ?/??"))&amp;CHAR(34)&amp;"  ","")&amp;IF(ISNUMBER($BX38),"D "&amp;TRIM(TEXT($BX38,"# ?/??"))&amp;CHAR(34)&amp;"  ","")&amp;IF(ISNUMBER($BY38),"F "&amp;TRIM(TEXT($BY38,"# ?/??"))&amp;CHAR(34)&amp;"  ","")&amp;IF(ISNUMBER($BZ38),"E "&amp;TRIM(TEXT($BZ38,"# ?/??"))&amp;CHAR(34)&amp;"  ","")))</f>
        <v/>
      </c>
      <c r="CZ38" s="85">
        <f>IF(OR($CS38,N($BJ38)=0),"",TRIM(IF(ISNUMBER($BU38),"A "&amp;TRIM(TEXT($BU38-HeadClr,"# ?/??"))&amp;CHAR(34)&amp;"  ","")&amp;IF(ISNUMBER($BV38),"B "&amp;TRIM(TEXT($BV38-HeadClr,"# ?/??"))&amp;CHAR(34)&amp;"  ","")&amp;IF(ISNUMBER($BW38),"C "&amp;TRIM(TEXT($BW38-HeadClr,"# ?/??"))&amp;CHAR(34)&amp;"  ","")&amp;IF(ISNUMBER($BX38),"D "&amp;TRIM(TEXT($BX38-HeadClr,"# ?/??"))&amp;CHAR(34)&amp;"  ","")&amp;IF(ISNUMBER($BY38),"F "&amp;TRIM(TEXT($BY38-HeadClr,"# ?/??"))&amp;CHAR(34)&amp;"  ","")&amp;IF(ISNUMBER($BZ38),"E "&amp;TRIM(TEXT($BZ38-HeadClr,"# ?/??"))&amp;CHAR(34)&amp;"  ","")))</f>
        <v/>
      </c>
      <c r="DA38" s="84">
        <f>IF($A38="","",IF($AN38="",IFERROR(VLOOKUP($Z38,CODES,2,FALSE),""),IFERROR(VLOOKUP($AN38,CODES,2,FALSE),"")))</f>
        <v/>
      </c>
      <c r="DB38" s="84">
        <f>IF($A38="","",IF($O38="Y","PR",IF(OR($Z38="L",$Z38="RR",LEFT($Z38,2)="L-",LEFT($Z38,3)="RR-"),"LH","RH")))</f>
        <v/>
      </c>
      <c r="DC38" s="84">
        <f>IF($A38="","","S.HM"&amp;IF(OR($C38="DOOR ONLY",$X38&lt;&gt;"KD"),"MASONRY","DRYWALL")&amp;IF($C38="DOOR ONLY","",$U38)&amp;IF(AND($C38&lt;&gt;"FRAME ONLY",OR(LEFT($AH38,3)="OAK",LEFT($AH38,3)="BIR",LEFT($AH38,3)="MAP",$AH38="PC",$AH38="MC",$AH38="SCLC",$AH38="P-LAM")),"WD","HM")&amp;"1.75")</f>
        <v/>
      </c>
      <c r="DD38" s="84">
        <f>IF($CJ38="","",IF($O38="Y",$CJ38,SUBSTITUTE($CJ38,$BG38&amp;" "&amp;IFERROR(VLOOKUP($Z38,CODES,2,FALSE),"")&amp;" ",$BG38&amp;" ")))</f>
        <v/>
      </c>
      <c r="DE38" s="84">
        <f>IF($CK38="","",IF($O38="Y",$CK38,SUBSTITUTE($CK38,$BG38&amp;" "&amp;IF($AN38="",IFERROR(VLOOKUP($Z38,CODES,2,FALSE),""),IFERROR(VLOOKUP($AN38,CODES,2,FALSE),""))&amp;" ",$BG38&amp;" ")))</f>
        <v/>
      </c>
      <c r="DF38" s="84">
        <f>IF($CJ38="","",$DC38&amp;"|"&amp;$DD38&amp;"|"&amp;$DB38&amp;"|"&amp;$AT38&amp;"|"&amp;$V38&amp;"|"&amp;$Y38&amp;"|"&amp;$AB38)</f>
        <v/>
      </c>
      <c r="DG38" s="84">
        <f>IF(DF38="","",IF(COUNTIF($DF$6:DF38,DF38)=1,MAX($DG$5:DG37)+1,INDEX($DG$5:DG37,MATCH(DF38,$DF$5:DF37,0))))</f>
        <v/>
      </c>
      <c r="DH38" s="84">
        <f>IF($CK38="","",$DC38&amp;"|"&amp;$DE38&amp;"|"&amp;$AI38&amp;"|"&amp;$BK38&amp;"|"&amp;$BL38)</f>
        <v/>
      </c>
      <c r="DI38" s="84">
        <f>IF(DH38="","",IF(COUNTIF($DH$6:DH38,DH38)=1,MAX($DI$5:DI37)+1,INDEX($DI$5:DI37,MATCH(DH38,$DH$5:DH37,0))))</f>
        <v/>
      </c>
      <c r="DJ38" s="84">
        <f>IF($A38="","",IF($B38="","qty, ","")&amp;IF($C38="","scope, ","")&amp;IF(OR($K38="",$M38=""),"size, ","")&amp;IF(AND($A38&lt;&gt;"",$C38&lt;&gt;"DOOR ONLY"),IF($U38="","jamb depth, ","")&amp;IF($X38="","construction, ","")&amp;IF($Y38="","anchor, ","")&amp;IF($S38="","frame type, ",""),"")&amp;IF(AND(N($BJ38)&gt;0,$Z38=""),"hand, ","")&amp;IF(N($BJ38)&gt;0,IF($AH38="","door material, ","")&amp;IF($AL38="","face type, ","")&amp;IF($AP38="","lock prep, ","")&amp;IF(AND($AO38="",$AC38=""),"hinge prep, ",""),"")&amp;IF(AND($CH38&gt;0,$AH38="FRP"),"FRP cannot carry a label, ","")&amp;IF(AND($O38="Y",OR($Z38="L",$Z38="R",$Z38="LR",$Z38="RR")),"pair marked but hand is single, ","")&amp;IF(AND($O38&lt;&gt;"Y",OR($Z38="PR",AND(LEN($Z38)&gt;1,ISNUMBER(SEARCH("-",$Z38))))),"pair hand on a single door, ","")&amp;IF(AND(ISNUMBER($CI38),$CH38&lt;N($CI38)),"wall needs a "&amp;$CI38&amp;" min door, ","")&amp;IF(AND($CH38&gt;=180,AND(OR($CE38="FG",$CE38="HG",$CE38="FNV",$CE38="FV"),N($CF38)*N($CG38)&gt;100)),"180 min lite over 100 sq in, ","")&amp;IF(N($BK38)&gt;48,"leaf wider than 4'-0"&amp;CHAR(34)&amp;", ","")&amp;IF(AND($CT38,COUNT($AW38:$AZ38)=0,$CQ38&gt;0),"CUSTOM LOC with no locations typed, ",""))</f>
        <v/>
      </c>
      <c r="DK38" s="84">
        <f>IF($A38="","",IF(AND($CH38&gt;0,AND($A38&lt;&gt;"",$C38&lt;&gt;"DOOR ONLY"),$X38="KD",$E38="EXTERIOR"),"KD label on an exterior opening, ","")&amp;IF(AND($E38="EXTERIOR",OR(AND(AND($A38&lt;&gt;"",$C38&lt;&gt;"DOOR ONLY"),$W38="CR"),AND(N($BJ38)&gt;0,$AH38="CR"))),"exterior in CR steel (G9?), ","")&amp;IF(AND(ISNUMBER($BQ38),N($BQ38)&lt;32),"clear width ~"&amp;TEXT($BQ38,"0.0")&amp;CHAR(34)&amp;" under 32"&amp;CHAR(34)&amp;" (ADA), ","")&amp;IF(AND($CH38=90,AND(OR($CE38="FG",$CE38="HG",$CE38="FNV",$CE38="FV"),N($CF38)*N($CG38)&gt;100)),"90 min lite over 100 sq in (stair/exit), ","")&amp;IF(AND($CH38&gt;0,AND($A38&lt;&gt;"",$C38&lt;&gt;"DOOR ONLY"),OR($AF38="",$AF38="-")),"rated: closer reinf.?, ","")&amp;IF(OR($I38="CORRIDOR",$I38="SMOKE BARRIER"),"S label + smoke gasketing, ","")&amp;IF($CI38="?","wall type/hr not in IBC table, ","")&amp;IF(AND(N($BJ38)&gt;0,$BB38=""),"no hardware set, ","")&amp;IF(AND($BB38&lt;&gt;"",ISNA(MATCH($BB38&amp;"",HWSets,0))),"set "&amp;$BB38&amp;" not on HW Sets, ","")&amp;IF(N($BL38)&gt;96,"leaf over 8'-0"&amp;CHAR(34)&amp;" - check listing, ","")&amp;IF(AND($CT38,COUNT($AW38:$AZ38)&gt;0,COUNT($AW38:$AZ38)&lt;&gt;$CQ38),COUNT($AW38:$AZ38)&amp;" custom hinges typed, "&amp;$CQ38&amp;" expected, ","")&amp;IF(AND(ISNUMBER($CA38),OR(N($CA38)&lt;34,N($CA38)&gt;48)),"lock "&amp;TEXT($CA38,"0.0")&amp;CHAR(34)&amp;" AFF outside 34-48"&amp;CHAR(34)&amp;" (ADA), ","")&amp;IF(AND(ISNUMBER($AV38),ISNUMBER($BL38),N($AV38)&lt;IF(N($BL38)&lt;=60,2,IF(N($BL38)&lt;=90,3,IF(N($BL38)&lt;=120,4,5)))),"fewer hinges than standard, ",""))</f>
        <v/>
      </c>
    </row>
    <row r="39" ht="15" customHeight="1">
      <c r="A39" s="77" t="n"/>
      <c r="B39" s="78" t="n"/>
      <c r="C39" s="78" t="n"/>
      <c r="D39" s="78" t="n"/>
      <c r="E39" s="78" t="n"/>
      <c r="F39" s="78" t="n"/>
      <c r="G39" s="78" t="n"/>
      <c r="H39" s="78" t="n"/>
      <c r="I39" s="78" t="n"/>
      <c r="J39" s="78" t="n"/>
      <c r="K39" s="78" t="n"/>
      <c r="L39" s="78" t="n"/>
      <c r="M39" s="78" t="n"/>
      <c r="N39" s="78" t="n"/>
      <c r="O39" s="78" t="n"/>
      <c r="P39" s="78" t="n"/>
      <c r="Q39" s="78" t="n"/>
      <c r="R39" s="78" t="n"/>
      <c r="S39" s="79" t="n"/>
      <c r="T39" s="79" t="n"/>
      <c r="U39" s="79" t="n"/>
      <c r="V39" s="79" t="n"/>
      <c r="W39" s="79" t="n"/>
      <c r="X39" s="79" t="n"/>
      <c r="Y39" s="79" t="n"/>
      <c r="Z39" s="79" t="n"/>
      <c r="AA39" s="79" t="n"/>
      <c r="AB39" s="79" t="n"/>
      <c r="AC39" s="79" t="n"/>
      <c r="AD39" s="79" t="n"/>
      <c r="AE39" s="79" t="n"/>
      <c r="AF39" s="79" t="n"/>
      <c r="AG39" s="79" t="n"/>
      <c r="AH39" s="80" t="n"/>
      <c r="AI39" s="80" t="n"/>
      <c r="AJ39" s="80" t="n"/>
      <c r="AK39" s="80" t="n"/>
      <c r="AL39" s="80" t="n"/>
      <c r="AM39" s="80" t="n"/>
      <c r="AN39" s="80" t="n"/>
      <c r="AO39" s="80" t="n"/>
      <c r="AP39" s="80" t="n"/>
      <c r="AQ39" s="80" t="n"/>
      <c r="AR39" s="80" t="n"/>
      <c r="AS39" s="80" t="n"/>
      <c r="AT39" s="81" t="n"/>
      <c r="AU39" s="81" t="n"/>
      <c r="AV39" s="81" t="n"/>
      <c r="AW39" s="82" t="n"/>
      <c r="AX39" s="82" t="n"/>
      <c r="AY39" s="82" t="n"/>
      <c r="AZ39" s="82" t="n"/>
      <c r="BA39" s="82" t="n"/>
      <c r="BB39" s="83" t="n"/>
      <c r="BC39" s="83" t="n"/>
      <c r="BD39" s="84">
        <f>IF($A39="","",IF($DJ39&lt;&gt;"","FIX",IF($DK39&lt;&gt;"","CHECK","OK")))</f>
        <v/>
      </c>
      <c r="BE39" s="85">
        <f>IF($A39="","",IF($DJ39&lt;&gt;"","FIX: "&amp;LEFT($DJ39,LEN($DJ39)-2)&amp;IF($DK39&lt;&gt;"","  ·  ",""),"")&amp;IF($DK39&lt;&gt;"","CHECK: "&amp;LEFT($DK39,LEN($DK39)-2),""))</f>
        <v/>
      </c>
      <c r="BF39" s="84">
        <f>IF(OR($A39="",$K39=""),"",$K39&amp;"'-"&amp;N($L39)&amp;CHAR(34)&amp;" x "&amp;$M39&amp;"'-"&amp;N($N39)&amp;CHAR(34))</f>
        <v/>
      </c>
      <c r="BG39" s="84">
        <f>IF(OR($A39="",$K39=""),"",$K39&amp;N($L39)&amp;$M39&amp;N($N39))</f>
        <v/>
      </c>
      <c r="BH39" s="84">
        <f>IF(OR($A39="",$K39=""),"",$K39*12+N($L39))</f>
        <v/>
      </c>
      <c r="BI39" s="84">
        <f>IF(OR($A39="",$M39=""),"",$M39*12+N($N39))</f>
        <v/>
      </c>
      <c r="BJ39" s="84">
        <f>IF($A39="","",IF(OR($C39="FRAME ONLY",$S39="BL"),0,IF($O39="Y",2,1)))</f>
        <v/>
      </c>
      <c r="BK39" s="86">
        <f>IF(OR(N($BJ39)=0,$BH39=""),"",($BH39-2*EdgeClr-IF($BJ39=2,MeetClr,0))/$BJ39)</f>
        <v/>
      </c>
      <c r="BL39" s="86">
        <f>IF(OR(N($BJ39)=0,$BI39=""),"",$BI39-HeadClr-Undercut)</f>
        <v/>
      </c>
      <c r="BM39" s="86">
        <f>IF($BH39="","",$BH39+2*FaceW+IF(N($Q39)&gt;0,($Q39+FaceW)*IF($R39="LR",2,1),0))</f>
        <v/>
      </c>
      <c r="BN39" s="86">
        <f>IF($BI39="","",$BI39+IF($AB39="Y",4,FaceW)+IF(N($P39)&gt;0,$P39+FaceW,0)+IF(OR($S39="4F",$S39="BL"),FaceW,0))</f>
        <v/>
      </c>
      <c r="BO39" s="86">
        <f>IF($BM39="","",$BM39+2*ROSide)</f>
        <v/>
      </c>
      <c r="BP39" s="86">
        <f>IF($BN39="","",$BN39+ROTop)</f>
        <v/>
      </c>
      <c r="BQ39" s="87">
        <f>IF(OR(N($BJ39)=0,$BH39=""),"",$BH39/$BJ39-ClearDeduct)</f>
        <v/>
      </c>
      <c r="BR39" s="84">
        <f>IF(N($CH39)=0,"",IF($CH39&gt;=180,"A · 3 HR",IF($CH39&gt;=90,"B · 1-1/2 HR",IF($CH39&gt;=60,"B · 1 HR",IF($CH39&gt;=45,"C · 3/4 HR","20 MIN")))))&amp;IF(AND(N($CH39)&gt;0,OR($I39="CORRIDOR",$I39="SMOKE BARRIER"))," · S","")</f>
        <v/>
      </c>
      <c r="BS39" s="84">
        <f>IF($CS39,"",IF($AV39&lt;&gt;"",$AV39,IF(OR($AC39="HGC",$AO39="HGC"),"CONT",IF(($BI39-HeadClr-Undercut)&lt;=60,2,IF(($BI39-HeadClr-Undercut)&lt;=90,3,IF(($BI39-HeadClr-Undercut)&lt;=120,4,5))))))</f>
        <v/>
      </c>
      <c r="BT39" s="84">
        <f>IF($CS39,"",IF($CT39,"CUSTOM (typed)",IF($CV39,$AT39&amp;" "&amp;$CU39&amp;CHAR(34)&amp;IF($CU39&lt;&gt;$BI39,IF(AND($BI39&lt;$CU39,$BI39-IF(N(VLOOKUP($AT39&amp;"|"&amp;$CU39,LocTable,7,FALSE))&gt;0,VLOOKUP($AT39&amp;"|"&amp;$CU39,LocTable,7,FALSE),VLOOKUP($AT39&amp;"|"&amp;$CU39,LocTable,6,FALSE))-$CR39-0.75&gt;=2.125)," cut down"," adj."),""),"ANSI/SDI A250.6")))</f>
        <v/>
      </c>
      <c r="BU39" s="88">
        <f>IF($CS39,"",IF($CT39,IF(N($AW39)&gt;0,N($AW39),""),IF(1&gt;$CQ39,"",IF($CQ39=1,$CW39,$CW39+($CX39-$CW39)*0/($CQ39-1)))))</f>
        <v/>
      </c>
      <c r="BV39" s="88">
        <f>IF($CS39,"",IF($CT39,IF(N($AX39)&gt;0,N($AX39),""),IF(2&gt;$CQ39,"",IF($CQ39=1,$CW39,$CW39+($CX39-$CW39)*1/($CQ39-1)))))</f>
        <v/>
      </c>
      <c r="BW39" s="88">
        <f>IF($CS39,"",IF($CT39,IF(N($AY39)&gt;0,N($AY39),""),IF(3&gt;$CQ39,"",IF($CQ39=1,$CW39,$CW39+($CX39-$CW39)*2/($CQ39-1)))))</f>
        <v/>
      </c>
      <c r="BX39" s="88">
        <f>IF($CS39,"",IF($CT39,IF(N($AZ39)&gt;0,N($AZ39),""),IF(4&gt;$CQ39,"",IF($CQ39=1,$CW39,$CW39+($CX39-$CW39)*3/($CQ39-1)))))</f>
        <v/>
      </c>
      <c r="BY39" s="88">
        <f>IF($CS39,"",IF($CT39,"",IF(5&gt;$CQ39,"",IF($CQ39=1,$CW39,$CW39+($CX39-$CW39)*4/($CQ39-1)))))</f>
        <v/>
      </c>
      <c r="BZ39" s="88">
        <f>IF(OR($CS39,$AP39="-",AND($AP39="",$AD39="")),"",IF(N($BA39)&gt;0,N($BA39),IF($CV39,IF(AND($BI39&lt;$CU39,$BI39-IF(N(VLOOKUP($AT39&amp;"|"&amp;$CU39,LocTable,7,FALSE))&gt;0,VLOOKUP($AT39&amp;"|"&amp;$CU39,LocTable,7,FALSE),VLOOKUP($AT39&amp;"|"&amp;$CU39,LocTable,6,FALSE))-$CR39-0.75&gt;=2.125),VLOOKUP($AT39&amp;"|"&amp;$CU39,LocTable,8,FALSE),VLOOKUP($AT39&amp;"|"&amp;$CU39,LocTable,8,FALSE)+($BI39-$CU39)),$BI39-LockAFF)))</f>
        <v/>
      </c>
      <c r="CA39" s="89">
        <f>IF($BZ39="","",$BI39-$BZ39)</f>
        <v/>
      </c>
      <c r="CB39" s="84">
        <f>IF(OR(NOT(AND($A39&lt;&gt;"",$C39&lt;&gt;"DOOR ONLY")),$BI39=""),"",IF(($BI39+IF(N($P39)&gt;0,$P39+FaceW,0))&lt;=90,3,IF(($BI39+IF(N($P39)&gt;0,$P39+FaceW,0))&lt;=114,4,5)))</f>
        <v/>
      </c>
      <c r="CC39" s="84">
        <f>IF($CB39="","",$CB39*(2+IF(N($Q39)&gt;0,IF($R39="LR",2,1),0)))</f>
        <v/>
      </c>
      <c r="CD39" s="84">
        <f>IF($CB39="","",(2+IF(N($Q39)&gt;0,IF($R39="LR",2,1),0)))</f>
        <v/>
      </c>
      <c r="CE39" s="84">
        <f>IF(N($BJ39)=0,"",IF(OR($AL39="",$AL39="FLUSH"),"FLUSH",IFERROR(LEFT($AL39,FIND("-",$AL39)-1),LEFT($AL39,2))))</f>
        <v/>
      </c>
      <c r="CF39" s="84">
        <f>IF($CE39="","",IFERROR(VALUE(MID($AL39,FIND("-",$AL39)+1,FIND(CHAR(34)&amp;"x",$AL39)-FIND("-",$AL39)-1)),0))</f>
        <v/>
      </c>
      <c r="CG39" s="84">
        <f>IF($CE39="","",IFERROR(VALUE(MID($AL39,FIND(CHAR(34)&amp;"x",$AL39)+2,FIND(CHAR(34),$AL39,FIND(CHAR(34)&amp;"x",$AL39)+2)-FIND(CHAR(34)&amp;"x",$AL39)-2)),0))</f>
        <v/>
      </c>
      <c r="CH39" s="90">
        <f>IF(OR($A39="",$H39="",$H39="NO LAB"),0,IFERROR(VALUE(LEFT($H39,FIND(" ",$H39)-1)),0))</f>
        <v/>
      </c>
      <c r="CI39" s="91">
        <f>IF(OR($A39="",$I39="",$I39="NON-RATED",N($J39)=0),"",IFERROR(VLOOKUP($I39&amp;"|"&amp;$J39,IBC,2,FALSE),"?"))</f>
        <v/>
      </c>
      <c r="CJ39" s="85">
        <f>IF(NOT(AND($A39&lt;&gt;"",$C39&lt;&gt;"DOOR ONLY")),"",TRIM(IFERROR(VLOOKUP($U39,CODES,2,FALSE),"")&amp;" "&amp;$BG39&amp;" "&amp;IFERROR(VLOOKUP($Z39,CODES,2,FALSE),"")&amp;" "&amp;IFERROR(VLOOKUP($X39,CODES,2,FALSE),"")&amp;" "&amp;IFERROR(VLOOKUP($S39,CODES,2,FALSE),"")&amp;IF(N($P39)&gt;0," w/TRANSOM "&amp;$P39&amp;CHAR(34),"")&amp;IF(N($Q39)&gt;0," w/SIDELITE "&amp;$Q39&amp;CHAR(34)&amp;" "&amp;IF($R39="","R",$R39),"")&amp;IF($Y39="","  |  "," | "&amp;IFERROR(VLOOKUP($Y39,CODES,2,FALSE),"")&amp;" | ")&amp;IFERROR(VLOOKUP($AC39,CODES,2,FALSE),"")&amp;" "&amp;IFERROR(VLOOKUP($AD39,CODES,2,FALSE),"")&amp;IF(OR($AE39="",$AE39="-"),""," "&amp;$AE39)&amp;IF(OR($AF39="",$AF39="-"),""," "&amp;$AF39)&amp;IF($AB39="Y"," 4"&amp;CHAR(34)&amp;" HEAD","")&amp;" "&amp;IFERROR(VLOOKUP($H39,CODES,2,FALSE),"")&amp;IF($CT39," | LOC "&amp;$CY39,"")))</f>
        <v/>
      </c>
      <c r="CK39" s="85">
        <f>IF(NOT(AND($A39&lt;&gt;"",N($BJ39)&gt;0)),"",TRIM(IFERROR(VLOOKUP($AH39,CODES,2,FALSE),"")&amp;IF($AI39=""," "," "&amp;$AI39&amp;"GA ")&amp;$BG39&amp;" "&amp;IF($AN39="",IFERROR(VLOOKUP($Z39,CODES,2,FALSE),""),IFERROR(VLOOKUP($AN39,CODES,2,FALSE),""))&amp;IF($BJ39=2," PAIR","")&amp;" DOOR | "&amp;IF($AL39="","?",$AL39)&amp;" | "&amp;IF($AO39="",IFERROR(VLOOKUP($AC39,CODES,2,FALSE),""),IFERROR(VLOOKUP($AO39,CODES,2,FALSE),""))&amp;" "&amp;IFERROR(VLOOKUP($AP39,CODES,2,FALSE),"")&amp;IF(OR($AQ39="",$AQ39="-"),""," SEAM "&amp;$AQ39)&amp;IF($AR39="Y"," ASTRAGAL","")&amp;IF($AJ39=""," "," "&amp;$AJ39)&amp;IF($AK39=""," "," "&amp;$AK39)&amp;IF(OR($AT39="",$AT39="ANSI/SDI",$AT39="CUSTOM LOC"),""," "&amp;$AT39)&amp;IF($AM39=""," "," SERIES "&amp;$AM39)&amp;" "&amp;IFERROR(VLOOKUP($H39,CODES,2,FALSE),"")&amp;IF($CT39," | LOC "&amp;$CZ39,"")))</f>
        <v/>
      </c>
      <c r="CL39" s="84">
        <f>IF(CP39="","",IF(COUNTIF($CP$6:CP39,CP39)=1,MAX($CL$5:CL38)+1,INDEX($CL$5:CL38,MATCH(CP39,$CP$5:CP38,0))))</f>
        <v/>
      </c>
      <c r="CM39" s="84">
        <f>IF(NOT(AND($A39&lt;&gt;"",$C39&lt;&gt;"DOOR ONLY")),"",MAX($CM$5:CM38)+1)</f>
        <v/>
      </c>
      <c r="CN39" s="84">
        <f>IF(NOT(AND($A39&lt;&gt;"",N($BJ39)&gt;0)),"",MAX($CN$5:CN38)+1)</f>
        <v/>
      </c>
      <c r="CO39" s="84">
        <f>IF($A39="","",MAX($CO$5:CO38)+1)</f>
        <v/>
      </c>
      <c r="CP39" s="84">
        <f>IF(OR($A39="",$BH39="",$BI39=""),"",$BG39&amp;"|"&amp;$O39&amp;"|"&amp;$AL39&amp;"|"&amp;$S39&amp;"|"&amp;$P39&amp;"|"&amp;$Q39&amp;$R39&amp;"|"&amp;$C39&amp;"|"&amp;$AB39)</f>
        <v/>
      </c>
      <c r="CQ39" s="84">
        <f>N($BS39)</f>
        <v/>
      </c>
      <c r="CR39" s="84">
        <f>IF(N($AU39)&gt;0,N($AU39),4.5)</f>
        <v/>
      </c>
      <c r="CS39" s="84">
        <f>OR($A39="",$BI39="",$S39="BL",AND($C39="FRAME ONLY",OR($AC39="",$AC39="BLK")))</f>
        <v/>
      </c>
      <c r="CT39" s="84">
        <f>AND(NOT($CS39),OR($AT39="CUSTOM LOC",N($AW39)+N($AX39)+N($AY39)+N($AZ39)+N($BA39)&gt;0))</f>
        <v/>
      </c>
      <c r="CU39" s="84">
        <f>IF($BI39="","",IF($BI39&lt;=80,80,IF($BI39&lt;=84,84,96)))</f>
        <v/>
      </c>
      <c r="CV39" s="84">
        <f>ISNUMBER(MATCH($AT39&amp;"|80",LocKeys,0))</f>
        <v/>
      </c>
      <c r="CW39" s="86">
        <f>IF($CS39,"",IF($CV39,VLOOKUP($AT39&amp;"|"&amp;$CU39,LocTable,4,FALSE),5))</f>
        <v/>
      </c>
      <c r="CX39" s="86">
        <f>IF($CS39,"",IF($CV39,IF(OR($BI39=$CU39,AND($BI39&lt;$CU39,$BI39-IF(N(VLOOKUP($AT39&amp;"|"&amp;$CU39,LocTable,7,FALSE))&gt;0,VLOOKUP($AT39&amp;"|"&amp;$CU39,LocTable,7,FALSE),VLOOKUP($AT39&amp;"|"&amp;$CU39,LocTable,6,FALSE))-$CR39-0.75&gt;=2.125)),IF(N(VLOOKUP($AT39&amp;"|"&amp;$CU39,LocTable,7,FALSE))&gt;0,VLOOKUP($AT39&amp;"|"&amp;$CU39,LocTable,7,FALSE),VLOOKUP($AT39&amp;"|"&amp;$CU39,LocTable,6,FALSE)),$BI39-($CU39-IF(N(VLOOKUP($AT39&amp;"|"&amp;$CU39,LocTable,7,FALSE))&gt;0,VLOOKUP($AT39&amp;"|"&amp;$CU39,LocTable,7,FALSE),VLOOKUP($AT39&amp;"|"&amp;$CU39,LocTable,6,FALSE)))),$BI39-10-$CR39))</f>
        <v/>
      </c>
      <c r="CY39" s="85">
        <f>IF($CS39,"",TRIM(IF(ISNUMBER($BU39),"A "&amp;TRIM(TEXT($BU39,"# ?/??"))&amp;CHAR(34)&amp;"  ","")&amp;IF(ISNUMBER($BV39),"B "&amp;TRIM(TEXT($BV39,"# ?/??"))&amp;CHAR(34)&amp;"  ","")&amp;IF(ISNUMBER($BW39),"C "&amp;TRIM(TEXT($BW39,"# ?/??"))&amp;CHAR(34)&amp;"  ","")&amp;IF(ISNUMBER($BX39),"D "&amp;TRIM(TEXT($BX39,"# ?/??"))&amp;CHAR(34)&amp;"  ","")&amp;IF(ISNUMBER($BY39),"F "&amp;TRIM(TEXT($BY39,"# ?/??"))&amp;CHAR(34)&amp;"  ","")&amp;IF(ISNUMBER($BZ39),"E "&amp;TRIM(TEXT($BZ39,"# ?/??"))&amp;CHAR(34)&amp;"  ","")))</f>
        <v/>
      </c>
      <c r="CZ39" s="85">
        <f>IF(OR($CS39,N($BJ39)=0),"",TRIM(IF(ISNUMBER($BU39),"A "&amp;TRIM(TEXT($BU39-HeadClr,"# ?/??"))&amp;CHAR(34)&amp;"  ","")&amp;IF(ISNUMBER($BV39),"B "&amp;TRIM(TEXT($BV39-HeadClr,"# ?/??"))&amp;CHAR(34)&amp;"  ","")&amp;IF(ISNUMBER($BW39),"C "&amp;TRIM(TEXT($BW39-HeadClr,"# ?/??"))&amp;CHAR(34)&amp;"  ","")&amp;IF(ISNUMBER($BX39),"D "&amp;TRIM(TEXT($BX39-HeadClr,"# ?/??"))&amp;CHAR(34)&amp;"  ","")&amp;IF(ISNUMBER($BY39),"F "&amp;TRIM(TEXT($BY39-HeadClr,"# ?/??"))&amp;CHAR(34)&amp;"  ","")&amp;IF(ISNUMBER($BZ39),"E "&amp;TRIM(TEXT($BZ39-HeadClr,"# ?/??"))&amp;CHAR(34)&amp;"  ","")))</f>
        <v/>
      </c>
      <c r="DA39" s="84">
        <f>IF($A39="","",IF($AN39="",IFERROR(VLOOKUP($Z39,CODES,2,FALSE),""),IFERROR(VLOOKUP($AN39,CODES,2,FALSE),"")))</f>
        <v/>
      </c>
      <c r="DB39" s="84">
        <f>IF($A39="","",IF($O39="Y","PR",IF(OR($Z39="L",$Z39="RR",LEFT($Z39,2)="L-",LEFT($Z39,3)="RR-"),"LH","RH")))</f>
        <v/>
      </c>
      <c r="DC39" s="84">
        <f>IF($A39="","","S.HM"&amp;IF(OR($C39="DOOR ONLY",$X39&lt;&gt;"KD"),"MASONRY","DRYWALL")&amp;IF($C39="DOOR ONLY","",$U39)&amp;IF(AND($C39&lt;&gt;"FRAME ONLY",OR(LEFT($AH39,3)="OAK",LEFT($AH39,3)="BIR",LEFT($AH39,3)="MAP",$AH39="PC",$AH39="MC",$AH39="SCLC",$AH39="P-LAM")),"WD","HM")&amp;"1.75")</f>
        <v/>
      </c>
      <c r="DD39" s="84">
        <f>IF($CJ39="","",IF($O39="Y",$CJ39,SUBSTITUTE($CJ39,$BG39&amp;" "&amp;IFERROR(VLOOKUP($Z39,CODES,2,FALSE),"")&amp;" ",$BG39&amp;" ")))</f>
        <v/>
      </c>
      <c r="DE39" s="84">
        <f>IF($CK39="","",IF($O39="Y",$CK39,SUBSTITUTE($CK39,$BG39&amp;" "&amp;IF($AN39="",IFERROR(VLOOKUP($Z39,CODES,2,FALSE),""),IFERROR(VLOOKUP($AN39,CODES,2,FALSE),""))&amp;" ",$BG39&amp;" ")))</f>
        <v/>
      </c>
      <c r="DF39" s="84">
        <f>IF($CJ39="","",$DC39&amp;"|"&amp;$DD39&amp;"|"&amp;$DB39&amp;"|"&amp;$AT39&amp;"|"&amp;$V39&amp;"|"&amp;$Y39&amp;"|"&amp;$AB39)</f>
        <v/>
      </c>
      <c r="DG39" s="84">
        <f>IF(DF39="","",IF(COUNTIF($DF$6:DF39,DF39)=1,MAX($DG$5:DG38)+1,INDEX($DG$5:DG38,MATCH(DF39,$DF$5:DF38,0))))</f>
        <v/>
      </c>
      <c r="DH39" s="84">
        <f>IF($CK39="","",$DC39&amp;"|"&amp;$DE39&amp;"|"&amp;$AI39&amp;"|"&amp;$BK39&amp;"|"&amp;$BL39)</f>
        <v/>
      </c>
      <c r="DI39" s="84">
        <f>IF(DH39="","",IF(COUNTIF($DH$6:DH39,DH39)=1,MAX($DI$5:DI38)+1,INDEX($DI$5:DI38,MATCH(DH39,$DH$5:DH38,0))))</f>
        <v/>
      </c>
      <c r="DJ39" s="84">
        <f>IF($A39="","",IF($B39="","qty, ","")&amp;IF($C39="","scope, ","")&amp;IF(OR($K39="",$M39=""),"size, ","")&amp;IF(AND($A39&lt;&gt;"",$C39&lt;&gt;"DOOR ONLY"),IF($U39="","jamb depth, ","")&amp;IF($X39="","construction, ","")&amp;IF($Y39="","anchor, ","")&amp;IF($S39="","frame type, ",""),"")&amp;IF(AND(N($BJ39)&gt;0,$Z39=""),"hand, ","")&amp;IF(N($BJ39)&gt;0,IF($AH39="","door material, ","")&amp;IF($AL39="","face type, ","")&amp;IF($AP39="","lock prep, ","")&amp;IF(AND($AO39="",$AC39=""),"hinge prep, ",""),"")&amp;IF(AND($CH39&gt;0,$AH39="FRP"),"FRP cannot carry a label, ","")&amp;IF(AND($O39="Y",OR($Z39="L",$Z39="R",$Z39="LR",$Z39="RR")),"pair marked but hand is single, ","")&amp;IF(AND($O39&lt;&gt;"Y",OR($Z39="PR",AND(LEN($Z39)&gt;1,ISNUMBER(SEARCH("-",$Z39))))),"pair hand on a single door, ","")&amp;IF(AND(ISNUMBER($CI39),$CH39&lt;N($CI39)),"wall needs a "&amp;$CI39&amp;" min door, ","")&amp;IF(AND($CH39&gt;=180,AND(OR($CE39="FG",$CE39="HG",$CE39="FNV",$CE39="FV"),N($CF39)*N($CG39)&gt;100)),"180 min lite over 100 sq in, ","")&amp;IF(N($BK39)&gt;48,"leaf wider than 4'-0"&amp;CHAR(34)&amp;", ","")&amp;IF(AND($CT39,COUNT($AW39:$AZ39)=0,$CQ39&gt;0),"CUSTOM LOC with no locations typed, ",""))</f>
        <v/>
      </c>
      <c r="DK39" s="84">
        <f>IF($A39="","",IF(AND($CH39&gt;0,AND($A39&lt;&gt;"",$C39&lt;&gt;"DOOR ONLY"),$X39="KD",$E39="EXTERIOR"),"KD label on an exterior opening, ","")&amp;IF(AND($E39="EXTERIOR",OR(AND(AND($A39&lt;&gt;"",$C39&lt;&gt;"DOOR ONLY"),$W39="CR"),AND(N($BJ39)&gt;0,$AH39="CR"))),"exterior in CR steel (G9?), ","")&amp;IF(AND(ISNUMBER($BQ39),N($BQ39)&lt;32),"clear width ~"&amp;TEXT($BQ39,"0.0")&amp;CHAR(34)&amp;" under 32"&amp;CHAR(34)&amp;" (ADA), ","")&amp;IF(AND($CH39=90,AND(OR($CE39="FG",$CE39="HG",$CE39="FNV",$CE39="FV"),N($CF39)*N($CG39)&gt;100)),"90 min lite over 100 sq in (stair/exit), ","")&amp;IF(AND($CH39&gt;0,AND($A39&lt;&gt;"",$C39&lt;&gt;"DOOR ONLY"),OR($AF39="",$AF39="-")),"rated: closer reinf.?, ","")&amp;IF(OR($I39="CORRIDOR",$I39="SMOKE BARRIER"),"S label + smoke gasketing, ","")&amp;IF($CI39="?","wall type/hr not in IBC table, ","")&amp;IF(AND(N($BJ39)&gt;0,$BB39=""),"no hardware set, ","")&amp;IF(AND($BB39&lt;&gt;"",ISNA(MATCH($BB39&amp;"",HWSets,0))),"set "&amp;$BB39&amp;" not on HW Sets, ","")&amp;IF(N($BL39)&gt;96,"leaf over 8'-0"&amp;CHAR(34)&amp;" - check listing, ","")&amp;IF(AND($CT39,COUNT($AW39:$AZ39)&gt;0,COUNT($AW39:$AZ39)&lt;&gt;$CQ39),COUNT($AW39:$AZ39)&amp;" custom hinges typed, "&amp;$CQ39&amp;" expected, ","")&amp;IF(AND(ISNUMBER($CA39),OR(N($CA39)&lt;34,N($CA39)&gt;48)),"lock "&amp;TEXT($CA39,"0.0")&amp;CHAR(34)&amp;" AFF outside 34-48"&amp;CHAR(34)&amp;" (ADA), ","")&amp;IF(AND(ISNUMBER($AV39),ISNUMBER($BL39),N($AV39)&lt;IF(N($BL39)&lt;=60,2,IF(N($BL39)&lt;=90,3,IF(N($BL39)&lt;=120,4,5)))),"fewer hinges than standard, ",""))</f>
        <v/>
      </c>
    </row>
    <row r="40" ht="15" customHeight="1">
      <c r="A40" s="92" t="n"/>
      <c r="B40" s="93" t="n"/>
      <c r="C40" s="93" t="n"/>
      <c r="D40" s="93" t="n"/>
      <c r="E40" s="93" t="n"/>
      <c r="F40" s="93" t="n"/>
      <c r="G40" s="93" t="n"/>
      <c r="H40" s="93" t="n"/>
      <c r="I40" s="93" t="n"/>
      <c r="J40" s="93" t="n"/>
      <c r="K40" s="93" t="n"/>
      <c r="L40" s="93" t="n"/>
      <c r="M40" s="93" t="n"/>
      <c r="N40" s="93" t="n"/>
      <c r="O40" s="93" t="n"/>
      <c r="P40" s="93" t="n"/>
      <c r="Q40" s="93" t="n"/>
      <c r="R40" s="93" t="n"/>
      <c r="S40" s="94" t="n"/>
      <c r="T40" s="94" t="n"/>
      <c r="U40" s="94" t="n"/>
      <c r="V40" s="94" t="n"/>
      <c r="W40" s="94" t="n"/>
      <c r="X40" s="94" t="n"/>
      <c r="Y40" s="94" t="n"/>
      <c r="Z40" s="94" t="n"/>
      <c r="AA40" s="94" t="n"/>
      <c r="AB40" s="94" t="n"/>
      <c r="AC40" s="94" t="n"/>
      <c r="AD40" s="94" t="n"/>
      <c r="AE40" s="94" t="n"/>
      <c r="AF40" s="94" t="n"/>
      <c r="AG40" s="94" t="n"/>
      <c r="AH40" s="95" t="n"/>
      <c r="AI40" s="95" t="n"/>
      <c r="AJ40" s="95" t="n"/>
      <c r="AK40" s="95" t="n"/>
      <c r="AL40" s="95" t="n"/>
      <c r="AM40" s="95" t="n"/>
      <c r="AN40" s="95" t="n"/>
      <c r="AO40" s="95" t="n"/>
      <c r="AP40" s="95" t="n"/>
      <c r="AQ40" s="95" t="n"/>
      <c r="AR40" s="95" t="n"/>
      <c r="AS40" s="95" t="n"/>
      <c r="AT40" s="96" t="n"/>
      <c r="AU40" s="96" t="n"/>
      <c r="AV40" s="96" t="n"/>
      <c r="AW40" s="97" t="n"/>
      <c r="AX40" s="97" t="n"/>
      <c r="AY40" s="97" t="n"/>
      <c r="AZ40" s="97" t="n"/>
      <c r="BA40" s="97" t="n"/>
      <c r="BB40" s="98" t="n"/>
      <c r="BC40" s="98" t="n"/>
      <c r="BD40" s="99">
        <f>IF($A40="","",IF($DJ40&lt;&gt;"","FIX",IF($DK40&lt;&gt;"","CHECK","OK")))</f>
        <v/>
      </c>
      <c r="BE40" s="100">
        <f>IF($A40="","",IF($DJ40&lt;&gt;"","FIX: "&amp;LEFT($DJ40,LEN($DJ40)-2)&amp;IF($DK40&lt;&gt;"","  ·  ",""),"")&amp;IF($DK40&lt;&gt;"","CHECK: "&amp;LEFT($DK40,LEN($DK40)-2),""))</f>
        <v/>
      </c>
      <c r="BF40" s="99">
        <f>IF(OR($A40="",$K40=""),"",$K40&amp;"'-"&amp;N($L40)&amp;CHAR(34)&amp;" x "&amp;$M40&amp;"'-"&amp;N($N40)&amp;CHAR(34))</f>
        <v/>
      </c>
      <c r="BG40" s="99">
        <f>IF(OR($A40="",$K40=""),"",$K40&amp;N($L40)&amp;$M40&amp;N($N40))</f>
        <v/>
      </c>
      <c r="BH40" s="99">
        <f>IF(OR($A40="",$K40=""),"",$K40*12+N($L40))</f>
        <v/>
      </c>
      <c r="BI40" s="99">
        <f>IF(OR($A40="",$M40=""),"",$M40*12+N($N40))</f>
        <v/>
      </c>
      <c r="BJ40" s="99">
        <f>IF($A40="","",IF(OR($C40="FRAME ONLY",$S40="BL"),0,IF($O40="Y",2,1)))</f>
        <v/>
      </c>
      <c r="BK40" s="101">
        <f>IF(OR(N($BJ40)=0,$BH40=""),"",($BH40-2*EdgeClr-IF($BJ40=2,MeetClr,0))/$BJ40)</f>
        <v/>
      </c>
      <c r="BL40" s="101">
        <f>IF(OR(N($BJ40)=0,$BI40=""),"",$BI40-HeadClr-Undercut)</f>
        <v/>
      </c>
      <c r="BM40" s="101">
        <f>IF($BH40="","",$BH40+2*FaceW+IF(N($Q40)&gt;0,($Q40+FaceW)*IF($R40="LR",2,1),0))</f>
        <v/>
      </c>
      <c r="BN40" s="101">
        <f>IF($BI40="","",$BI40+IF($AB40="Y",4,FaceW)+IF(N($P40)&gt;0,$P40+FaceW,0)+IF(OR($S40="4F",$S40="BL"),FaceW,0))</f>
        <v/>
      </c>
      <c r="BO40" s="101">
        <f>IF($BM40="","",$BM40+2*ROSide)</f>
        <v/>
      </c>
      <c r="BP40" s="101">
        <f>IF($BN40="","",$BN40+ROTop)</f>
        <v/>
      </c>
      <c r="BQ40" s="102">
        <f>IF(OR(N($BJ40)=0,$BH40=""),"",$BH40/$BJ40-ClearDeduct)</f>
        <v/>
      </c>
      <c r="BR40" s="99">
        <f>IF(N($CH40)=0,"",IF($CH40&gt;=180,"A · 3 HR",IF($CH40&gt;=90,"B · 1-1/2 HR",IF($CH40&gt;=60,"B · 1 HR",IF($CH40&gt;=45,"C · 3/4 HR","20 MIN")))))&amp;IF(AND(N($CH40)&gt;0,OR($I40="CORRIDOR",$I40="SMOKE BARRIER"))," · S","")</f>
        <v/>
      </c>
      <c r="BS40" s="99">
        <f>IF($CS40,"",IF($AV40&lt;&gt;"",$AV40,IF(OR($AC40="HGC",$AO40="HGC"),"CONT",IF(($BI40-HeadClr-Undercut)&lt;=60,2,IF(($BI40-HeadClr-Undercut)&lt;=90,3,IF(($BI40-HeadClr-Undercut)&lt;=120,4,5))))))</f>
        <v/>
      </c>
      <c r="BT40" s="99">
        <f>IF($CS40,"",IF($CT40,"CUSTOM (typed)",IF($CV40,$AT40&amp;" "&amp;$CU40&amp;CHAR(34)&amp;IF($CU40&lt;&gt;$BI40,IF(AND($BI40&lt;$CU40,$BI40-IF(N(VLOOKUP($AT40&amp;"|"&amp;$CU40,LocTable,7,FALSE))&gt;0,VLOOKUP($AT40&amp;"|"&amp;$CU40,LocTable,7,FALSE),VLOOKUP($AT40&amp;"|"&amp;$CU40,LocTable,6,FALSE))-$CR40-0.75&gt;=2.125)," cut down"," adj."),""),"ANSI/SDI A250.6")))</f>
        <v/>
      </c>
      <c r="BU40" s="103">
        <f>IF($CS40,"",IF($CT40,IF(N($AW40)&gt;0,N($AW40),""),IF(1&gt;$CQ40,"",IF($CQ40=1,$CW40,$CW40+($CX40-$CW40)*0/($CQ40-1)))))</f>
        <v/>
      </c>
      <c r="BV40" s="103">
        <f>IF($CS40,"",IF($CT40,IF(N($AX40)&gt;0,N($AX40),""),IF(2&gt;$CQ40,"",IF($CQ40=1,$CW40,$CW40+($CX40-$CW40)*1/($CQ40-1)))))</f>
        <v/>
      </c>
      <c r="BW40" s="103">
        <f>IF($CS40,"",IF($CT40,IF(N($AY40)&gt;0,N($AY40),""),IF(3&gt;$CQ40,"",IF($CQ40=1,$CW40,$CW40+($CX40-$CW40)*2/($CQ40-1)))))</f>
        <v/>
      </c>
      <c r="BX40" s="103">
        <f>IF($CS40,"",IF($CT40,IF(N($AZ40)&gt;0,N($AZ40),""),IF(4&gt;$CQ40,"",IF($CQ40=1,$CW40,$CW40+($CX40-$CW40)*3/($CQ40-1)))))</f>
        <v/>
      </c>
      <c r="BY40" s="103">
        <f>IF($CS40,"",IF($CT40,"",IF(5&gt;$CQ40,"",IF($CQ40=1,$CW40,$CW40+($CX40-$CW40)*4/($CQ40-1)))))</f>
        <v/>
      </c>
      <c r="BZ40" s="103">
        <f>IF(OR($CS40,$AP40="-",AND($AP40="",$AD40="")),"",IF(N($BA40)&gt;0,N($BA40),IF($CV40,IF(AND($BI40&lt;$CU40,$BI40-IF(N(VLOOKUP($AT40&amp;"|"&amp;$CU40,LocTable,7,FALSE))&gt;0,VLOOKUP($AT40&amp;"|"&amp;$CU40,LocTable,7,FALSE),VLOOKUP($AT40&amp;"|"&amp;$CU40,LocTable,6,FALSE))-$CR40-0.75&gt;=2.125),VLOOKUP($AT40&amp;"|"&amp;$CU40,LocTable,8,FALSE),VLOOKUP($AT40&amp;"|"&amp;$CU40,LocTable,8,FALSE)+($BI40-$CU40)),$BI40-LockAFF)))</f>
        <v/>
      </c>
      <c r="CA40" s="104">
        <f>IF($BZ40="","",$BI40-$BZ40)</f>
        <v/>
      </c>
      <c r="CB40" s="99">
        <f>IF(OR(NOT(AND($A40&lt;&gt;"",$C40&lt;&gt;"DOOR ONLY")),$BI40=""),"",IF(($BI40+IF(N($P40)&gt;0,$P40+FaceW,0))&lt;=90,3,IF(($BI40+IF(N($P40)&gt;0,$P40+FaceW,0))&lt;=114,4,5)))</f>
        <v/>
      </c>
      <c r="CC40" s="99">
        <f>IF($CB40="","",$CB40*(2+IF(N($Q40)&gt;0,IF($R40="LR",2,1),0)))</f>
        <v/>
      </c>
      <c r="CD40" s="99">
        <f>IF($CB40="","",(2+IF(N($Q40)&gt;0,IF($R40="LR",2,1),0)))</f>
        <v/>
      </c>
      <c r="CE40" s="99">
        <f>IF(N($BJ40)=0,"",IF(OR($AL40="",$AL40="FLUSH"),"FLUSH",IFERROR(LEFT($AL40,FIND("-",$AL40)-1),LEFT($AL40,2))))</f>
        <v/>
      </c>
      <c r="CF40" s="99">
        <f>IF($CE40="","",IFERROR(VALUE(MID($AL40,FIND("-",$AL40)+1,FIND(CHAR(34)&amp;"x",$AL40)-FIND("-",$AL40)-1)),0))</f>
        <v/>
      </c>
      <c r="CG40" s="99">
        <f>IF($CE40="","",IFERROR(VALUE(MID($AL40,FIND(CHAR(34)&amp;"x",$AL40)+2,FIND(CHAR(34),$AL40,FIND(CHAR(34)&amp;"x",$AL40)+2)-FIND(CHAR(34)&amp;"x",$AL40)-2)),0))</f>
        <v/>
      </c>
      <c r="CH40" s="105">
        <f>IF(OR($A40="",$H40="",$H40="NO LAB"),0,IFERROR(VALUE(LEFT($H40,FIND(" ",$H40)-1)),0))</f>
        <v/>
      </c>
      <c r="CI40" s="106">
        <f>IF(OR($A40="",$I40="",$I40="NON-RATED",N($J40)=0),"",IFERROR(VLOOKUP($I40&amp;"|"&amp;$J40,IBC,2,FALSE),"?"))</f>
        <v/>
      </c>
      <c r="CJ40" s="100">
        <f>IF(NOT(AND($A40&lt;&gt;"",$C40&lt;&gt;"DOOR ONLY")),"",TRIM(IFERROR(VLOOKUP($U40,CODES,2,FALSE),"")&amp;" "&amp;$BG40&amp;" "&amp;IFERROR(VLOOKUP($Z40,CODES,2,FALSE),"")&amp;" "&amp;IFERROR(VLOOKUP($X40,CODES,2,FALSE),"")&amp;" "&amp;IFERROR(VLOOKUP($S40,CODES,2,FALSE),"")&amp;IF(N($P40)&gt;0," w/TRANSOM "&amp;$P40&amp;CHAR(34),"")&amp;IF(N($Q40)&gt;0," w/SIDELITE "&amp;$Q40&amp;CHAR(34)&amp;" "&amp;IF($R40="","R",$R40),"")&amp;IF($Y40="","  |  "," | "&amp;IFERROR(VLOOKUP($Y40,CODES,2,FALSE),"")&amp;" | ")&amp;IFERROR(VLOOKUP($AC40,CODES,2,FALSE),"")&amp;" "&amp;IFERROR(VLOOKUP($AD40,CODES,2,FALSE),"")&amp;IF(OR($AE40="",$AE40="-"),""," "&amp;$AE40)&amp;IF(OR($AF40="",$AF40="-"),""," "&amp;$AF40)&amp;IF($AB40="Y"," 4"&amp;CHAR(34)&amp;" HEAD","")&amp;" "&amp;IFERROR(VLOOKUP($H40,CODES,2,FALSE),"")&amp;IF($CT40," | LOC "&amp;$CY40,"")))</f>
        <v/>
      </c>
      <c r="CK40" s="100">
        <f>IF(NOT(AND($A40&lt;&gt;"",N($BJ40)&gt;0)),"",TRIM(IFERROR(VLOOKUP($AH40,CODES,2,FALSE),"")&amp;IF($AI40=""," "," "&amp;$AI40&amp;"GA ")&amp;$BG40&amp;" "&amp;IF($AN40="",IFERROR(VLOOKUP($Z40,CODES,2,FALSE),""),IFERROR(VLOOKUP($AN40,CODES,2,FALSE),""))&amp;IF($BJ40=2," PAIR","")&amp;" DOOR | "&amp;IF($AL40="","?",$AL40)&amp;" | "&amp;IF($AO40="",IFERROR(VLOOKUP($AC40,CODES,2,FALSE),""),IFERROR(VLOOKUP($AO40,CODES,2,FALSE),""))&amp;" "&amp;IFERROR(VLOOKUP($AP40,CODES,2,FALSE),"")&amp;IF(OR($AQ40="",$AQ40="-"),""," SEAM "&amp;$AQ40)&amp;IF($AR40="Y"," ASTRAGAL","")&amp;IF($AJ40=""," "," "&amp;$AJ40)&amp;IF($AK40=""," "," "&amp;$AK40)&amp;IF(OR($AT40="",$AT40="ANSI/SDI",$AT40="CUSTOM LOC"),""," "&amp;$AT40)&amp;IF($AM40=""," "," SERIES "&amp;$AM40)&amp;" "&amp;IFERROR(VLOOKUP($H40,CODES,2,FALSE),"")&amp;IF($CT40," | LOC "&amp;$CZ40,"")))</f>
        <v/>
      </c>
      <c r="CL40" s="99">
        <f>IF(CP40="","",IF(COUNTIF($CP$6:CP40,CP40)=1,MAX($CL$5:CL39)+1,INDEX($CL$5:CL39,MATCH(CP40,$CP$5:CP39,0))))</f>
        <v/>
      </c>
      <c r="CM40" s="99">
        <f>IF(NOT(AND($A40&lt;&gt;"",$C40&lt;&gt;"DOOR ONLY")),"",MAX($CM$5:CM39)+1)</f>
        <v/>
      </c>
      <c r="CN40" s="99">
        <f>IF(NOT(AND($A40&lt;&gt;"",N($BJ40)&gt;0)),"",MAX($CN$5:CN39)+1)</f>
        <v/>
      </c>
      <c r="CO40" s="99">
        <f>IF($A40="","",MAX($CO$5:CO39)+1)</f>
        <v/>
      </c>
      <c r="CP40" s="99">
        <f>IF(OR($A40="",$BH40="",$BI40=""),"",$BG40&amp;"|"&amp;$O40&amp;"|"&amp;$AL40&amp;"|"&amp;$S40&amp;"|"&amp;$P40&amp;"|"&amp;$Q40&amp;$R40&amp;"|"&amp;$C40&amp;"|"&amp;$AB40)</f>
        <v/>
      </c>
      <c r="CQ40" s="99">
        <f>N($BS40)</f>
        <v/>
      </c>
      <c r="CR40" s="99">
        <f>IF(N($AU40)&gt;0,N($AU40),4.5)</f>
        <v/>
      </c>
      <c r="CS40" s="99">
        <f>OR($A40="",$BI40="",$S40="BL",AND($C40="FRAME ONLY",OR($AC40="",$AC40="BLK")))</f>
        <v/>
      </c>
      <c r="CT40" s="99">
        <f>AND(NOT($CS40),OR($AT40="CUSTOM LOC",N($AW40)+N($AX40)+N($AY40)+N($AZ40)+N($BA40)&gt;0))</f>
        <v/>
      </c>
      <c r="CU40" s="99">
        <f>IF($BI40="","",IF($BI40&lt;=80,80,IF($BI40&lt;=84,84,96)))</f>
        <v/>
      </c>
      <c r="CV40" s="99">
        <f>ISNUMBER(MATCH($AT40&amp;"|80",LocKeys,0))</f>
        <v/>
      </c>
      <c r="CW40" s="101">
        <f>IF($CS40,"",IF($CV40,VLOOKUP($AT40&amp;"|"&amp;$CU40,LocTable,4,FALSE),5))</f>
        <v/>
      </c>
      <c r="CX40" s="101">
        <f>IF($CS40,"",IF($CV40,IF(OR($BI40=$CU40,AND($BI40&lt;$CU40,$BI40-IF(N(VLOOKUP($AT40&amp;"|"&amp;$CU40,LocTable,7,FALSE))&gt;0,VLOOKUP($AT40&amp;"|"&amp;$CU40,LocTable,7,FALSE),VLOOKUP($AT40&amp;"|"&amp;$CU40,LocTable,6,FALSE))-$CR40-0.75&gt;=2.125)),IF(N(VLOOKUP($AT40&amp;"|"&amp;$CU40,LocTable,7,FALSE))&gt;0,VLOOKUP($AT40&amp;"|"&amp;$CU40,LocTable,7,FALSE),VLOOKUP($AT40&amp;"|"&amp;$CU40,LocTable,6,FALSE)),$BI40-($CU40-IF(N(VLOOKUP($AT40&amp;"|"&amp;$CU40,LocTable,7,FALSE))&gt;0,VLOOKUP($AT40&amp;"|"&amp;$CU40,LocTable,7,FALSE),VLOOKUP($AT40&amp;"|"&amp;$CU40,LocTable,6,FALSE)))),$BI40-10-$CR40))</f>
        <v/>
      </c>
      <c r="CY40" s="100">
        <f>IF($CS40,"",TRIM(IF(ISNUMBER($BU40),"A "&amp;TRIM(TEXT($BU40,"# ?/??"))&amp;CHAR(34)&amp;"  ","")&amp;IF(ISNUMBER($BV40),"B "&amp;TRIM(TEXT($BV40,"# ?/??"))&amp;CHAR(34)&amp;"  ","")&amp;IF(ISNUMBER($BW40),"C "&amp;TRIM(TEXT($BW40,"# ?/??"))&amp;CHAR(34)&amp;"  ","")&amp;IF(ISNUMBER($BX40),"D "&amp;TRIM(TEXT($BX40,"# ?/??"))&amp;CHAR(34)&amp;"  ","")&amp;IF(ISNUMBER($BY40),"F "&amp;TRIM(TEXT($BY40,"# ?/??"))&amp;CHAR(34)&amp;"  ","")&amp;IF(ISNUMBER($BZ40),"E "&amp;TRIM(TEXT($BZ40,"# ?/??"))&amp;CHAR(34)&amp;"  ","")))</f>
        <v/>
      </c>
      <c r="CZ40" s="100">
        <f>IF(OR($CS40,N($BJ40)=0),"",TRIM(IF(ISNUMBER($BU40),"A "&amp;TRIM(TEXT($BU40-HeadClr,"# ?/??"))&amp;CHAR(34)&amp;"  ","")&amp;IF(ISNUMBER($BV40),"B "&amp;TRIM(TEXT($BV40-HeadClr,"# ?/??"))&amp;CHAR(34)&amp;"  ","")&amp;IF(ISNUMBER($BW40),"C "&amp;TRIM(TEXT($BW40-HeadClr,"# ?/??"))&amp;CHAR(34)&amp;"  ","")&amp;IF(ISNUMBER($BX40),"D "&amp;TRIM(TEXT($BX40-HeadClr,"# ?/??"))&amp;CHAR(34)&amp;"  ","")&amp;IF(ISNUMBER($BY40),"F "&amp;TRIM(TEXT($BY40-HeadClr,"# ?/??"))&amp;CHAR(34)&amp;"  ","")&amp;IF(ISNUMBER($BZ40),"E "&amp;TRIM(TEXT($BZ40-HeadClr,"# ?/??"))&amp;CHAR(34)&amp;"  ","")))</f>
        <v/>
      </c>
      <c r="DA40" s="99">
        <f>IF($A40="","",IF($AN40="",IFERROR(VLOOKUP($Z40,CODES,2,FALSE),""),IFERROR(VLOOKUP($AN40,CODES,2,FALSE),"")))</f>
        <v/>
      </c>
      <c r="DB40" s="99">
        <f>IF($A40="","",IF($O40="Y","PR",IF(OR($Z40="L",$Z40="RR",LEFT($Z40,2)="L-",LEFT($Z40,3)="RR-"),"LH","RH")))</f>
        <v/>
      </c>
      <c r="DC40" s="99">
        <f>IF($A40="","","S.HM"&amp;IF(OR($C40="DOOR ONLY",$X40&lt;&gt;"KD"),"MASONRY","DRYWALL")&amp;IF($C40="DOOR ONLY","",$U40)&amp;IF(AND($C40&lt;&gt;"FRAME ONLY",OR(LEFT($AH40,3)="OAK",LEFT($AH40,3)="BIR",LEFT($AH40,3)="MAP",$AH40="PC",$AH40="MC",$AH40="SCLC",$AH40="P-LAM")),"WD","HM")&amp;"1.75")</f>
        <v/>
      </c>
      <c r="DD40" s="99">
        <f>IF($CJ40="","",IF($O40="Y",$CJ40,SUBSTITUTE($CJ40,$BG40&amp;" "&amp;IFERROR(VLOOKUP($Z40,CODES,2,FALSE),"")&amp;" ",$BG40&amp;" ")))</f>
        <v/>
      </c>
      <c r="DE40" s="99">
        <f>IF($CK40="","",IF($O40="Y",$CK40,SUBSTITUTE($CK40,$BG40&amp;" "&amp;IF($AN40="",IFERROR(VLOOKUP($Z40,CODES,2,FALSE),""),IFERROR(VLOOKUP($AN40,CODES,2,FALSE),""))&amp;" ",$BG40&amp;" ")))</f>
        <v/>
      </c>
      <c r="DF40" s="99">
        <f>IF($CJ40="","",$DC40&amp;"|"&amp;$DD40&amp;"|"&amp;$DB40&amp;"|"&amp;$AT40&amp;"|"&amp;$V40&amp;"|"&amp;$Y40&amp;"|"&amp;$AB40)</f>
        <v/>
      </c>
      <c r="DG40" s="99">
        <f>IF(DF40="","",IF(COUNTIF($DF$6:DF40,DF40)=1,MAX($DG$5:DG39)+1,INDEX($DG$5:DG39,MATCH(DF40,$DF$5:DF39,0))))</f>
        <v/>
      </c>
      <c r="DH40" s="99">
        <f>IF($CK40="","",$DC40&amp;"|"&amp;$DE40&amp;"|"&amp;$AI40&amp;"|"&amp;$BK40&amp;"|"&amp;$BL40)</f>
        <v/>
      </c>
      <c r="DI40" s="99">
        <f>IF(DH40="","",IF(COUNTIF($DH$6:DH40,DH40)=1,MAX($DI$5:DI39)+1,INDEX($DI$5:DI39,MATCH(DH40,$DH$5:DH39,0))))</f>
        <v/>
      </c>
      <c r="DJ40" s="99">
        <f>IF($A40="","",IF($B40="","qty, ","")&amp;IF($C40="","scope, ","")&amp;IF(OR($K40="",$M40=""),"size, ","")&amp;IF(AND($A40&lt;&gt;"",$C40&lt;&gt;"DOOR ONLY"),IF($U40="","jamb depth, ","")&amp;IF($X40="","construction, ","")&amp;IF($Y40="","anchor, ","")&amp;IF($S40="","frame type, ",""),"")&amp;IF(AND(N($BJ40)&gt;0,$Z40=""),"hand, ","")&amp;IF(N($BJ40)&gt;0,IF($AH40="","door material, ","")&amp;IF($AL40="","face type, ","")&amp;IF($AP40="","lock prep, ","")&amp;IF(AND($AO40="",$AC40=""),"hinge prep, ",""),"")&amp;IF(AND($CH40&gt;0,$AH40="FRP"),"FRP cannot carry a label, ","")&amp;IF(AND($O40="Y",OR($Z40="L",$Z40="R",$Z40="LR",$Z40="RR")),"pair marked but hand is single, ","")&amp;IF(AND($O40&lt;&gt;"Y",OR($Z40="PR",AND(LEN($Z40)&gt;1,ISNUMBER(SEARCH("-",$Z40))))),"pair hand on a single door, ","")&amp;IF(AND(ISNUMBER($CI40),$CH40&lt;N($CI40)),"wall needs a "&amp;$CI40&amp;" min door, ","")&amp;IF(AND($CH40&gt;=180,AND(OR($CE40="FG",$CE40="HG",$CE40="FNV",$CE40="FV"),N($CF40)*N($CG40)&gt;100)),"180 min lite over 100 sq in, ","")&amp;IF(N($BK40)&gt;48,"leaf wider than 4'-0"&amp;CHAR(34)&amp;", ","")&amp;IF(AND($CT40,COUNT($AW40:$AZ40)=0,$CQ40&gt;0),"CUSTOM LOC with no locations typed, ",""))</f>
        <v/>
      </c>
      <c r="DK40" s="99">
        <f>IF($A40="","",IF(AND($CH40&gt;0,AND($A40&lt;&gt;"",$C40&lt;&gt;"DOOR ONLY"),$X40="KD",$E40="EXTERIOR"),"KD label on an exterior opening, ","")&amp;IF(AND($E40="EXTERIOR",OR(AND(AND($A40&lt;&gt;"",$C40&lt;&gt;"DOOR ONLY"),$W40="CR"),AND(N($BJ40)&gt;0,$AH40="CR"))),"exterior in CR steel (G9?), ","")&amp;IF(AND(ISNUMBER($BQ40),N($BQ40)&lt;32),"clear width ~"&amp;TEXT($BQ40,"0.0")&amp;CHAR(34)&amp;" under 32"&amp;CHAR(34)&amp;" (ADA), ","")&amp;IF(AND($CH40=90,AND(OR($CE40="FG",$CE40="HG",$CE40="FNV",$CE40="FV"),N($CF40)*N($CG40)&gt;100)),"90 min lite over 100 sq in (stair/exit), ","")&amp;IF(AND($CH40&gt;0,AND($A40&lt;&gt;"",$C40&lt;&gt;"DOOR ONLY"),OR($AF40="",$AF40="-")),"rated: closer reinf.?, ","")&amp;IF(OR($I40="CORRIDOR",$I40="SMOKE BARRIER"),"S label + smoke gasketing, ","")&amp;IF($CI40="?","wall type/hr not in IBC table, ","")&amp;IF(AND(N($BJ40)&gt;0,$BB40=""),"no hardware set, ","")&amp;IF(AND($BB40&lt;&gt;"",ISNA(MATCH($BB40&amp;"",HWSets,0))),"set "&amp;$BB40&amp;" not on HW Sets, ","")&amp;IF(N($BL40)&gt;96,"leaf over 8'-0"&amp;CHAR(34)&amp;" - check listing, ","")&amp;IF(AND($CT40,COUNT($AW40:$AZ40)&gt;0,COUNT($AW40:$AZ40)&lt;&gt;$CQ40),COUNT($AW40:$AZ40)&amp;" custom hinges typed, "&amp;$CQ40&amp;" expected, ","")&amp;IF(AND(ISNUMBER($CA40),OR(N($CA40)&lt;34,N($CA40)&gt;48)),"lock "&amp;TEXT($CA40,"0.0")&amp;CHAR(34)&amp;" AFF outside 34-48"&amp;CHAR(34)&amp;" (ADA), ","")&amp;IF(AND(ISNUMBER($AV40),ISNUMBER($BL40),N($AV40)&lt;IF(N($BL40)&lt;=60,2,IF(N($BL40)&lt;=90,3,IF(N($BL40)&lt;=120,4,5)))),"fewer hinges than standard, ",""))</f>
        <v/>
      </c>
    </row>
    <row r="41" ht="15" customHeight="1">
      <c r="A41" s="77" t="n"/>
      <c r="B41" s="78" t="n"/>
      <c r="C41" s="78" t="n"/>
      <c r="D41" s="78" t="n"/>
      <c r="E41" s="78" t="n"/>
      <c r="F41" s="78" t="n"/>
      <c r="G41" s="78" t="n"/>
      <c r="H41" s="78" t="n"/>
      <c r="I41" s="78" t="n"/>
      <c r="J41" s="78" t="n"/>
      <c r="K41" s="78" t="n"/>
      <c r="L41" s="78" t="n"/>
      <c r="M41" s="78" t="n"/>
      <c r="N41" s="78" t="n"/>
      <c r="O41" s="78" t="n"/>
      <c r="P41" s="78" t="n"/>
      <c r="Q41" s="78" t="n"/>
      <c r="R41" s="78" t="n"/>
      <c r="S41" s="79" t="n"/>
      <c r="T41" s="79" t="n"/>
      <c r="U41" s="79" t="n"/>
      <c r="V41" s="79" t="n"/>
      <c r="W41" s="79" t="n"/>
      <c r="X41" s="79" t="n"/>
      <c r="Y41" s="79" t="n"/>
      <c r="Z41" s="79" t="n"/>
      <c r="AA41" s="79" t="n"/>
      <c r="AB41" s="79" t="n"/>
      <c r="AC41" s="79" t="n"/>
      <c r="AD41" s="79" t="n"/>
      <c r="AE41" s="79" t="n"/>
      <c r="AF41" s="79" t="n"/>
      <c r="AG41" s="79" t="n"/>
      <c r="AH41" s="80" t="n"/>
      <c r="AI41" s="80" t="n"/>
      <c r="AJ41" s="80" t="n"/>
      <c r="AK41" s="80" t="n"/>
      <c r="AL41" s="80" t="n"/>
      <c r="AM41" s="80" t="n"/>
      <c r="AN41" s="80" t="n"/>
      <c r="AO41" s="80" t="n"/>
      <c r="AP41" s="80" t="n"/>
      <c r="AQ41" s="80" t="n"/>
      <c r="AR41" s="80" t="n"/>
      <c r="AS41" s="80" t="n"/>
      <c r="AT41" s="81" t="n"/>
      <c r="AU41" s="81" t="n"/>
      <c r="AV41" s="81" t="n"/>
      <c r="AW41" s="82" t="n"/>
      <c r="AX41" s="82" t="n"/>
      <c r="AY41" s="82" t="n"/>
      <c r="AZ41" s="82" t="n"/>
      <c r="BA41" s="82" t="n"/>
      <c r="BB41" s="83" t="n"/>
      <c r="BC41" s="83" t="n"/>
      <c r="BD41" s="84">
        <f>IF($A41="","",IF($DJ41&lt;&gt;"","FIX",IF($DK41&lt;&gt;"","CHECK","OK")))</f>
        <v/>
      </c>
      <c r="BE41" s="85">
        <f>IF($A41="","",IF($DJ41&lt;&gt;"","FIX: "&amp;LEFT($DJ41,LEN($DJ41)-2)&amp;IF($DK41&lt;&gt;"","  ·  ",""),"")&amp;IF($DK41&lt;&gt;"","CHECK: "&amp;LEFT($DK41,LEN($DK41)-2),""))</f>
        <v/>
      </c>
      <c r="BF41" s="84">
        <f>IF(OR($A41="",$K41=""),"",$K41&amp;"'-"&amp;N($L41)&amp;CHAR(34)&amp;" x "&amp;$M41&amp;"'-"&amp;N($N41)&amp;CHAR(34))</f>
        <v/>
      </c>
      <c r="BG41" s="84">
        <f>IF(OR($A41="",$K41=""),"",$K41&amp;N($L41)&amp;$M41&amp;N($N41))</f>
        <v/>
      </c>
      <c r="BH41" s="84">
        <f>IF(OR($A41="",$K41=""),"",$K41*12+N($L41))</f>
        <v/>
      </c>
      <c r="BI41" s="84">
        <f>IF(OR($A41="",$M41=""),"",$M41*12+N($N41))</f>
        <v/>
      </c>
      <c r="BJ41" s="84">
        <f>IF($A41="","",IF(OR($C41="FRAME ONLY",$S41="BL"),0,IF($O41="Y",2,1)))</f>
        <v/>
      </c>
      <c r="BK41" s="86">
        <f>IF(OR(N($BJ41)=0,$BH41=""),"",($BH41-2*EdgeClr-IF($BJ41=2,MeetClr,0))/$BJ41)</f>
        <v/>
      </c>
      <c r="BL41" s="86">
        <f>IF(OR(N($BJ41)=0,$BI41=""),"",$BI41-HeadClr-Undercut)</f>
        <v/>
      </c>
      <c r="BM41" s="86">
        <f>IF($BH41="","",$BH41+2*FaceW+IF(N($Q41)&gt;0,($Q41+FaceW)*IF($R41="LR",2,1),0))</f>
        <v/>
      </c>
      <c r="BN41" s="86">
        <f>IF($BI41="","",$BI41+IF($AB41="Y",4,FaceW)+IF(N($P41)&gt;0,$P41+FaceW,0)+IF(OR($S41="4F",$S41="BL"),FaceW,0))</f>
        <v/>
      </c>
      <c r="BO41" s="86">
        <f>IF($BM41="","",$BM41+2*ROSide)</f>
        <v/>
      </c>
      <c r="BP41" s="86">
        <f>IF($BN41="","",$BN41+ROTop)</f>
        <v/>
      </c>
      <c r="BQ41" s="87">
        <f>IF(OR(N($BJ41)=0,$BH41=""),"",$BH41/$BJ41-ClearDeduct)</f>
        <v/>
      </c>
      <c r="BR41" s="84">
        <f>IF(N($CH41)=0,"",IF($CH41&gt;=180,"A · 3 HR",IF($CH41&gt;=90,"B · 1-1/2 HR",IF($CH41&gt;=60,"B · 1 HR",IF($CH41&gt;=45,"C · 3/4 HR","20 MIN")))))&amp;IF(AND(N($CH41)&gt;0,OR($I41="CORRIDOR",$I41="SMOKE BARRIER"))," · S","")</f>
        <v/>
      </c>
      <c r="BS41" s="84">
        <f>IF($CS41,"",IF($AV41&lt;&gt;"",$AV41,IF(OR($AC41="HGC",$AO41="HGC"),"CONT",IF(($BI41-HeadClr-Undercut)&lt;=60,2,IF(($BI41-HeadClr-Undercut)&lt;=90,3,IF(($BI41-HeadClr-Undercut)&lt;=120,4,5))))))</f>
        <v/>
      </c>
      <c r="BT41" s="84">
        <f>IF($CS41,"",IF($CT41,"CUSTOM (typed)",IF($CV41,$AT41&amp;" "&amp;$CU41&amp;CHAR(34)&amp;IF($CU41&lt;&gt;$BI41,IF(AND($BI41&lt;$CU41,$BI41-IF(N(VLOOKUP($AT41&amp;"|"&amp;$CU41,LocTable,7,FALSE))&gt;0,VLOOKUP($AT41&amp;"|"&amp;$CU41,LocTable,7,FALSE),VLOOKUP($AT41&amp;"|"&amp;$CU41,LocTable,6,FALSE))-$CR41-0.75&gt;=2.125)," cut down"," adj."),""),"ANSI/SDI A250.6")))</f>
        <v/>
      </c>
      <c r="BU41" s="88">
        <f>IF($CS41,"",IF($CT41,IF(N($AW41)&gt;0,N($AW41),""),IF(1&gt;$CQ41,"",IF($CQ41=1,$CW41,$CW41+($CX41-$CW41)*0/($CQ41-1)))))</f>
        <v/>
      </c>
      <c r="BV41" s="88">
        <f>IF($CS41,"",IF($CT41,IF(N($AX41)&gt;0,N($AX41),""),IF(2&gt;$CQ41,"",IF($CQ41=1,$CW41,$CW41+($CX41-$CW41)*1/($CQ41-1)))))</f>
        <v/>
      </c>
      <c r="BW41" s="88">
        <f>IF($CS41,"",IF($CT41,IF(N($AY41)&gt;0,N($AY41),""),IF(3&gt;$CQ41,"",IF($CQ41=1,$CW41,$CW41+($CX41-$CW41)*2/($CQ41-1)))))</f>
        <v/>
      </c>
      <c r="BX41" s="88">
        <f>IF($CS41,"",IF($CT41,IF(N($AZ41)&gt;0,N($AZ41),""),IF(4&gt;$CQ41,"",IF($CQ41=1,$CW41,$CW41+($CX41-$CW41)*3/($CQ41-1)))))</f>
        <v/>
      </c>
      <c r="BY41" s="88">
        <f>IF($CS41,"",IF($CT41,"",IF(5&gt;$CQ41,"",IF($CQ41=1,$CW41,$CW41+($CX41-$CW41)*4/($CQ41-1)))))</f>
        <v/>
      </c>
      <c r="BZ41" s="88">
        <f>IF(OR($CS41,$AP41="-",AND($AP41="",$AD41="")),"",IF(N($BA41)&gt;0,N($BA41),IF($CV41,IF(AND($BI41&lt;$CU41,$BI41-IF(N(VLOOKUP($AT41&amp;"|"&amp;$CU41,LocTable,7,FALSE))&gt;0,VLOOKUP($AT41&amp;"|"&amp;$CU41,LocTable,7,FALSE),VLOOKUP($AT41&amp;"|"&amp;$CU41,LocTable,6,FALSE))-$CR41-0.75&gt;=2.125),VLOOKUP($AT41&amp;"|"&amp;$CU41,LocTable,8,FALSE),VLOOKUP($AT41&amp;"|"&amp;$CU41,LocTable,8,FALSE)+($BI41-$CU41)),$BI41-LockAFF)))</f>
        <v/>
      </c>
      <c r="CA41" s="89">
        <f>IF($BZ41="","",$BI41-$BZ41)</f>
        <v/>
      </c>
      <c r="CB41" s="84">
        <f>IF(OR(NOT(AND($A41&lt;&gt;"",$C41&lt;&gt;"DOOR ONLY")),$BI41=""),"",IF(($BI41+IF(N($P41)&gt;0,$P41+FaceW,0))&lt;=90,3,IF(($BI41+IF(N($P41)&gt;0,$P41+FaceW,0))&lt;=114,4,5)))</f>
        <v/>
      </c>
      <c r="CC41" s="84">
        <f>IF($CB41="","",$CB41*(2+IF(N($Q41)&gt;0,IF($R41="LR",2,1),0)))</f>
        <v/>
      </c>
      <c r="CD41" s="84">
        <f>IF($CB41="","",(2+IF(N($Q41)&gt;0,IF($R41="LR",2,1),0)))</f>
        <v/>
      </c>
      <c r="CE41" s="84">
        <f>IF(N($BJ41)=0,"",IF(OR($AL41="",$AL41="FLUSH"),"FLUSH",IFERROR(LEFT($AL41,FIND("-",$AL41)-1),LEFT($AL41,2))))</f>
        <v/>
      </c>
      <c r="CF41" s="84">
        <f>IF($CE41="","",IFERROR(VALUE(MID($AL41,FIND("-",$AL41)+1,FIND(CHAR(34)&amp;"x",$AL41)-FIND("-",$AL41)-1)),0))</f>
        <v/>
      </c>
      <c r="CG41" s="84">
        <f>IF($CE41="","",IFERROR(VALUE(MID($AL41,FIND(CHAR(34)&amp;"x",$AL41)+2,FIND(CHAR(34),$AL41,FIND(CHAR(34)&amp;"x",$AL41)+2)-FIND(CHAR(34)&amp;"x",$AL41)-2)),0))</f>
        <v/>
      </c>
      <c r="CH41" s="90">
        <f>IF(OR($A41="",$H41="",$H41="NO LAB"),0,IFERROR(VALUE(LEFT($H41,FIND(" ",$H41)-1)),0))</f>
        <v/>
      </c>
      <c r="CI41" s="91">
        <f>IF(OR($A41="",$I41="",$I41="NON-RATED",N($J41)=0),"",IFERROR(VLOOKUP($I41&amp;"|"&amp;$J41,IBC,2,FALSE),"?"))</f>
        <v/>
      </c>
      <c r="CJ41" s="85">
        <f>IF(NOT(AND($A41&lt;&gt;"",$C41&lt;&gt;"DOOR ONLY")),"",TRIM(IFERROR(VLOOKUP($U41,CODES,2,FALSE),"")&amp;" "&amp;$BG41&amp;" "&amp;IFERROR(VLOOKUP($Z41,CODES,2,FALSE),"")&amp;" "&amp;IFERROR(VLOOKUP($X41,CODES,2,FALSE),"")&amp;" "&amp;IFERROR(VLOOKUP($S41,CODES,2,FALSE),"")&amp;IF(N($P41)&gt;0," w/TRANSOM "&amp;$P41&amp;CHAR(34),"")&amp;IF(N($Q41)&gt;0," w/SIDELITE "&amp;$Q41&amp;CHAR(34)&amp;" "&amp;IF($R41="","R",$R41),"")&amp;IF($Y41="","  |  "," | "&amp;IFERROR(VLOOKUP($Y41,CODES,2,FALSE),"")&amp;" | ")&amp;IFERROR(VLOOKUP($AC41,CODES,2,FALSE),"")&amp;" "&amp;IFERROR(VLOOKUP($AD41,CODES,2,FALSE),"")&amp;IF(OR($AE41="",$AE41="-"),""," "&amp;$AE41)&amp;IF(OR($AF41="",$AF41="-"),""," "&amp;$AF41)&amp;IF($AB41="Y"," 4"&amp;CHAR(34)&amp;" HEAD","")&amp;" "&amp;IFERROR(VLOOKUP($H41,CODES,2,FALSE),"")&amp;IF($CT41," | LOC "&amp;$CY41,"")))</f>
        <v/>
      </c>
      <c r="CK41" s="85">
        <f>IF(NOT(AND($A41&lt;&gt;"",N($BJ41)&gt;0)),"",TRIM(IFERROR(VLOOKUP($AH41,CODES,2,FALSE),"")&amp;IF($AI41=""," "," "&amp;$AI41&amp;"GA ")&amp;$BG41&amp;" "&amp;IF($AN41="",IFERROR(VLOOKUP($Z41,CODES,2,FALSE),""),IFERROR(VLOOKUP($AN41,CODES,2,FALSE),""))&amp;IF($BJ41=2," PAIR","")&amp;" DOOR | "&amp;IF($AL41="","?",$AL41)&amp;" | "&amp;IF($AO41="",IFERROR(VLOOKUP($AC41,CODES,2,FALSE),""),IFERROR(VLOOKUP($AO41,CODES,2,FALSE),""))&amp;" "&amp;IFERROR(VLOOKUP($AP41,CODES,2,FALSE),"")&amp;IF(OR($AQ41="",$AQ41="-"),""," SEAM "&amp;$AQ41)&amp;IF($AR41="Y"," ASTRAGAL","")&amp;IF($AJ41=""," "," "&amp;$AJ41)&amp;IF($AK41=""," "," "&amp;$AK41)&amp;IF(OR($AT41="",$AT41="ANSI/SDI",$AT41="CUSTOM LOC"),""," "&amp;$AT41)&amp;IF($AM41=""," "," SERIES "&amp;$AM41)&amp;" "&amp;IFERROR(VLOOKUP($H41,CODES,2,FALSE),"")&amp;IF($CT41," | LOC "&amp;$CZ41,"")))</f>
        <v/>
      </c>
      <c r="CL41" s="84">
        <f>IF(CP41="","",IF(COUNTIF($CP$6:CP41,CP41)=1,MAX($CL$5:CL40)+1,INDEX($CL$5:CL40,MATCH(CP41,$CP$5:CP40,0))))</f>
        <v/>
      </c>
      <c r="CM41" s="84">
        <f>IF(NOT(AND($A41&lt;&gt;"",$C41&lt;&gt;"DOOR ONLY")),"",MAX($CM$5:CM40)+1)</f>
        <v/>
      </c>
      <c r="CN41" s="84">
        <f>IF(NOT(AND($A41&lt;&gt;"",N($BJ41)&gt;0)),"",MAX($CN$5:CN40)+1)</f>
        <v/>
      </c>
      <c r="CO41" s="84">
        <f>IF($A41="","",MAX($CO$5:CO40)+1)</f>
        <v/>
      </c>
      <c r="CP41" s="84">
        <f>IF(OR($A41="",$BH41="",$BI41=""),"",$BG41&amp;"|"&amp;$O41&amp;"|"&amp;$AL41&amp;"|"&amp;$S41&amp;"|"&amp;$P41&amp;"|"&amp;$Q41&amp;$R41&amp;"|"&amp;$C41&amp;"|"&amp;$AB41)</f>
        <v/>
      </c>
      <c r="CQ41" s="84">
        <f>N($BS41)</f>
        <v/>
      </c>
      <c r="CR41" s="84">
        <f>IF(N($AU41)&gt;0,N($AU41),4.5)</f>
        <v/>
      </c>
      <c r="CS41" s="84">
        <f>OR($A41="",$BI41="",$S41="BL",AND($C41="FRAME ONLY",OR($AC41="",$AC41="BLK")))</f>
        <v/>
      </c>
      <c r="CT41" s="84">
        <f>AND(NOT($CS41),OR($AT41="CUSTOM LOC",N($AW41)+N($AX41)+N($AY41)+N($AZ41)+N($BA41)&gt;0))</f>
        <v/>
      </c>
      <c r="CU41" s="84">
        <f>IF($BI41="","",IF($BI41&lt;=80,80,IF($BI41&lt;=84,84,96)))</f>
        <v/>
      </c>
      <c r="CV41" s="84">
        <f>ISNUMBER(MATCH($AT41&amp;"|80",LocKeys,0))</f>
        <v/>
      </c>
      <c r="CW41" s="86">
        <f>IF($CS41,"",IF($CV41,VLOOKUP($AT41&amp;"|"&amp;$CU41,LocTable,4,FALSE),5))</f>
        <v/>
      </c>
      <c r="CX41" s="86">
        <f>IF($CS41,"",IF($CV41,IF(OR($BI41=$CU41,AND($BI41&lt;$CU41,$BI41-IF(N(VLOOKUP($AT41&amp;"|"&amp;$CU41,LocTable,7,FALSE))&gt;0,VLOOKUP($AT41&amp;"|"&amp;$CU41,LocTable,7,FALSE),VLOOKUP($AT41&amp;"|"&amp;$CU41,LocTable,6,FALSE))-$CR41-0.75&gt;=2.125)),IF(N(VLOOKUP($AT41&amp;"|"&amp;$CU41,LocTable,7,FALSE))&gt;0,VLOOKUP($AT41&amp;"|"&amp;$CU41,LocTable,7,FALSE),VLOOKUP($AT41&amp;"|"&amp;$CU41,LocTable,6,FALSE)),$BI41-($CU41-IF(N(VLOOKUP($AT41&amp;"|"&amp;$CU41,LocTable,7,FALSE))&gt;0,VLOOKUP($AT41&amp;"|"&amp;$CU41,LocTable,7,FALSE),VLOOKUP($AT41&amp;"|"&amp;$CU41,LocTable,6,FALSE)))),$BI41-10-$CR41))</f>
        <v/>
      </c>
      <c r="CY41" s="85">
        <f>IF($CS41,"",TRIM(IF(ISNUMBER($BU41),"A "&amp;TRIM(TEXT($BU41,"# ?/??"))&amp;CHAR(34)&amp;"  ","")&amp;IF(ISNUMBER($BV41),"B "&amp;TRIM(TEXT($BV41,"# ?/??"))&amp;CHAR(34)&amp;"  ","")&amp;IF(ISNUMBER($BW41),"C "&amp;TRIM(TEXT($BW41,"# ?/??"))&amp;CHAR(34)&amp;"  ","")&amp;IF(ISNUMBER($BX41),"D "&amp;TRIM(TEXT($BX41,"# ?/??"))&amp;CHAR(34)&amp;"  ","")&amp;IF(ISNUMBER($BY41),"F "&amp;TRIM(TEXT($BY41,"# ?/??"))&amp;CHAR(34)&amp;"  ","")&amp;IF(ISNUMBER($BZ41),"E "&amp;TRIM(TEXT($BZ41,"# ?/??"))&amp;CHAR(34)&amp;"  ","")))</f>
        <v/>
      </c>
      <c r="CZ41" s="85">
        <f>IF(OR($CS41,N($BJ41)=0),"",TRIM(IF(ISNUMBER($BU41),"A "&amp;TRIM(TEXT($BU41-HeadClr,"# ?/??"))&amp;CHAR(34)&amp;"  ","")&amp;IF(ISNUMBER($BV41),"B "&amp;TRIM(TEXT($BV41-HeadClr,"# ?/??"))&amp;CHAR(34)&amp;"  ","")&amp;IF(ISNUMBER($BW41),"C "&amp;TRIM(TEXT($BW41-HeadClr,"# ?/??"))&amp;CHAR(34)&amp;"  ","")&amp;IF(ISNUMBER($BX41),"D "&amp;TRIM(TEXT($BX41-HeadClr,"# ?/??"))&amp;CHAR(34)&amp;"  ","")&amp;IF(ISNUMBER($BY41),"F "&amp;TRIM(TEXT($BY41-HeadClr,"# ?/??"))&amp;CHAR(34)&amp;"  ","")&amp;IF(ISNUMBER($BZ41),"E "&amp;TRIM(TEXT($BZ41-HeadClr,"# ?/??"))&amp;CHAR(34)&amp;"  ","")))</f>
        <v/>
      </c>
      <c r="DA41" s="84">
        <f>IF($A41="","",IF($AN41="",IFERROR(VLOOKUP($Z41,CODES,2,FALSE),""),IFERROR(VLOOKUP($AN41,CODES,2,FALSE),"")))</f>
        <v/>
      </c>
      <c r="DB41" s="84">
        <f>IF($A41="","",IF($O41="Y","PR",IF(OR($Z41="L",$Z41="RR",LEFT($Z41,2)="L-",LEFT($Z41,3)="RR-"),"LH","RH")))</f>
        <v/>
      </c>
      <c r="DC41" s="84">
        <f>IF($A41="","","S.HM"&amp;IF(OR($C41="DOOR ONLY",$X41&lt;&gt;"KD"),"MASONRY","DRYWALL")&amp;IF($C41="DOOR ONLY","",$U41)&amp;IF(AND($C41&lt;&gt;"FRAME ONLY",OR(LEFT($AH41,3)="OAK",LEFT($AH41,3)="BIR",LEFT($AH41,3)="MAP",$AH41="PC",$AH41="MC",$AH41="SCLC",$AH41="P-LAM")),"WD","HM")&amp;"1.75")</f>
        <v/>
      </c>
      <c r="DD41" s="84">
        <f>IF($CJ41="","",IF($O41="Y",$CJ41,SUBSTITUTE($CJ41,$BG41&amp;" "&amp;IFERROR(VLOOKUP($Z41,CODES,2,FALSE),"")&amp;" ",$BG41&amp;" ")))</f>
        <v/>
      </c>
      <c r="DE41" s="84">
        <f>IF($CK41="","",IF($O41="Y",$CK41,SUBSTITUTE($CK41,$BG41&amp;" "&amp;IF($AN41="",IFERROR(VLOOKUP($Z41,CODES,2,FALSE),""),IFERROR(VLOOKUP($AN41,CODES,2,FALSE),""))&amp;" ",$BG41&amp;" ")))</f>
        <v/>
      </c>
      <c r="DF41" s="84">
        <f>IF($CJ41="","",$DC41&amp;"|"&amp;$DD41&amp;"|"&amp;$DB41&amp;"|"&amp;$AT41&amp;"|"&amp;$V41&amp;"|"&amp;$Y41&amp;"|"&amp;$AB41)</f>
        <v/>
      </c>
      <c r="DG41" s="84">
        <f>IF(DF41="","",IF(COUNTIF($DF$6:DF41,DF41)=1,MAX($DG$5:DG40)+1,INDEX($DG$5:DG40,MATCH(DF41,$DF$5:DF40,0))))</f>
        <v/>
      </c>
      <c r="DH41" s="84">
        <f>IF($CK41="","",$DC41&amp;"|"&amp;$DE41&amp;"|"&amp;$AI41&amp;"|"&amp;$BK41&amp;"|"&amp;$BL41)</f>
        <v/>
      </c>
      <c r="DI41" s="84">
        <f>IF(DH41="","",IF(COUNTIF($DH$6:DH41,DH41)=1,MAX($DI$5:DI40)+1,INDEX($DI$5:DI40,MATCH(DH41,$DH$5:DH40,0))))</f>
        <v/>
      </c>
      <c r="DJ41" s="84">
        <f>IF($A41="","",IF($B41="","qty, ","")&amp;IF($C41="","scope, ","")&amp;IF(OR($K41="",$M41=""),"size, ","")&amp;IF(AND($A41&lt;&gt;"",$C41&lt;&gt;"DOOR ONLY"),IF($U41="","jamb depth, ","")&amp;IF($X41="","construction, ","")&amp;IF($Y41="","anchor, ","")&amp;IF($S41="","frame type, ",""),"")&amp;IF(AND(N($BJ41)&gt;0,$Z41=""),"hand, ","")&amp;IF(N($BJ41)&gt;0,IF($AH41="","door material, ","")&amp;IF($AL41="","face type, ","")&amp;IF($AP41="","lock prep, ","")&amp;IF(AND($AO41="",$AC41=""),"hinge prep, ",""),"")&amp;IF(AND($CH41&gt;0,$AH41="FRP"),"FRP cannot carry a label, ","")&amp;IF(AND($O41="Y",OR($Z41="L",$Z41="R",$Z41="LR",$Z41="RR")),"pair marked but hand is single, ","")&amp;IF(AND($O41&lt;&gt;"Y",OR($Z41="PR",AND(LEN($Z41)&gt;1,ISNUMBER(SEARCH("-",$Z41))))),"pair hand on a single door, ","")&amp;IF(AND(ISNUMBER($CI41),$CH41&lt;N($CI41)),"wall needs a "&amp;$CI41&amp;" min door, ","")&amp;IF(AND($CH41&gt;=180,AND(OR($CE41="FG",$CE41="HG",$CE41="FNV",$CE41="FV"),N($CF41)*N($CG41)&gt;100)),"180 min lite over 100 sq in, ","")&amp;IF(N($BK41)&gt;48,"leaf wider than 4'-0"&amp;CHAR(34)&amp;", ","")&amp;IF(AND($CT41,COUNT($AW41:$AZ41)=0,$CQ41&gt;0),"CUSTOM LOC with no locations typed, ",""))</f>
        <v/>
      </c>
      <c r="DK41" s="84">
        <f>IF($A41="","",IF(AND($CH41&gt;0,AND($A41&lt;&gt;"",$C41&lt;&gt;"DOOR ONLY"),$X41="KD",$E41="EXTERIOR"),"KD label on an exterior opening, ","")&amp;IF(AND($E41="EXTERIOR",OR(AND(AND($A41&lt;&gt;"",$C41&lt;&gt;"DOOR ONLY"),$W41="CR"),AND(N($BJ41)&gt;0,$AH41="CR"))),"exterior in CR steel (G9?), ","")&amp;IF(AND(ISNUMBER($BQ41),N($BQ41)&lt;32),"clear width ~"&amp;TEXT($BQ41,"0.0")&amp;CHAR(34)&amp;" under 32"&amp;CHAR(34)&amp;" (ADA), ","")&amp;IF(AND($CH41=90,AND(OR($CE41="FG",$CE41="HG",$CE41="FNV",$CE41="FV"),N($CF41)*N($CG41)&gt;100)),"90 min lite over 100 sq in (stair/exit), ","")&amp;IF(AND($CH41&gt;0,AND($A41&lt;&gt;"",$C41&lt;&gt;"DOOR ONLY"),OR($AF41="",$AF41="-")),"rated: closer reinf.?, ","")&amp;IF(OR($I41="CORRIDOR",$I41="SMOKE BARRIER"),"S label + smoke gasketing, ","")&amp;IF($CI41="?","wall type/hr not in IBC table, ","")&amp;IF(AND(N($BJ41)&gt;0,$BB41=""),"no hardware set, ","")&amp;IF(AND($BB41&lt;&gt;"",ISNA(MATCH($BB41&amp;"",HWSets,0))),"set "&amp;$BB41&amp;" not on HW Sets, ","")&amp;IF(N($BL41)&gt;96,"leaf over 8'-0"&amp;CHAR(34)&amp;" - check listing, ","")&amp;IF(AND($CT41,COUNT($AW41:$AZ41)&gt;0,COUNT($AW41:$AZ41)&lt;&gt;$CQ41),COUNT($AW41:$AZ41)&amp;" custom hinges typed, "&amp;$CQ41&amp;" expected, ","")&amp;IF(AND(ISNUMBER($CA41),OR(N($CA41)&lt;34,N($CA41)&gt;48)),"lock "&amp;TEXT($CA41,"0.0")&amp;CHAR(34)&amp;" AFF outside 34-48"&amp;CHAR(34)&amp;" (ADA), ","")&amp;IF(AND(ISNUMBER($AV41),ISNUMBER($BL41),N($AV41)&lt;IF(N($BL41)&lt;=60,2,IF(N($BL41)&lt;=90,3,IF(N($BL41)&lt;=120,4,5)))),"fewer hinges than standard, ",""))</f>
        <v/>
      </c>
    </row>
    <row r="42" ht="15" customHeight="1">
      <c r="A42" s="77" t="n"/>
      <c r="B42" s="78" t="n"/>
      <c r="C42" s="78" t="n"/>
      <c r="D42" s="78" t="n"/>
      <c r="E42" s="78" t="n"/>
      <c r="F42" s="78" t="n"/>
      <c r="G42" s="78" t="n"/>
      <c r="H42" s="78" t="n"/>
      <c r="I42" s="78" t="n"/>
      <c r="J42" s="78" t="n"/>
      <c r="K42" s="78" t="n"/>
      <c r="L42" s="78" t="n"/>
      <c r="M42" s="78" t="n"/>
      <c r="N42" s="78" t="n"/>
      <c r="O42" s="78" t="n"/>
      <c r="P42" s="78" t="n"/>
      <c r="Q42" s="78" t="n"/>
      <c r="R42" s="78" t="n"/>
      <c r="S42" s="79" t="n"/>
      <c r="T42" s="79" t="n"/>
      <c r="U42" s="79" t="n"/>
      <c r="V42" s="79" t="n"/>
      <c r="W42" s="79" t="n"/>
      <c r="X42" s="79" t="n"/>
      <c r="Y42" s="79" t="n"/>
      <c r="Z42" s="79" t="n"/>
      <c r="AA42" s="79" t="n"/>
      <c r="AB42" s="79" t="n"/>
      <c r="AC42" s="79" t="n"/>
      <c r="AD42" s="79" t="n"/>
      <c r="AE42" s="79" t="n"/>
      <c r="AF42" s="79" t="n"/>
      <c r="AG42" s="79" t="n"/>
      <c r="AH42" s="80" t="n"/>
      <c r="AI42" s="80" t="n"/>
      <c r="AJ42" s="80" t="n"/>
      <c r="AK42" s="80" t="n"/>
      <c r="AL42" s="80" t="n"/>
      <c r="AM42" s="80" t="n"/>
      <c r="AN42" s="80" t="n"/>
      <c r="AO42" s="80" t="n"/>
      <c r="AP42" s="80" t="n"/>
      <c r="AQ42" s="80" t="n"/>
      <c r="AR42" s="80" t="n"/>
      <c r="AS42" s="80" t="n"/>
      <c r="AT42" s="81" t="n"/>
      <c r="AU42" s="81" t="n"/>
      <c r="AV42" s="81" t="n"/>
      <c r="AW42" s="82" t="n"/>
      <c r="AX42" s="82" t="n"/>
      <c r="AY42" s="82" t="n"/>
      <c r="AZ42" s="82" t="n"/>
      <c r="BA42" s="82" t="n"/>
      <c r="BB42" s="83" t="n"/>
      <c r="BC42" s="83" t="n"/>
      <c r="BD42" s="84">
        <f>IF($A42="","",IF($DJ42&lt;&gt;"","FIX",IF($DK42&lt;&gt;"","CHECK","OK")))</f>
        <v/>
      </c>
      <c r="BE42" s="85">
        <f>IF($A42="","",IF($DJ42&lt;&gt;"","FIX: "&amp;LEFT($DJ42,LEN($DJ42)-2)&amp;IF($DK42&lt;&gt;"","  ·  ",""),"")&amp;IF($DK42&lt;&gt;"","CHECK: "&amp;LEFT($DK42,LEN($DK42)-2),""))</f>
        <v/>
      </c>
      <c r="BF42" s="84">
        <f>IF(OR($A42="",$K42=""),"",$K42&amp;"'-"&amp;N($L42)&amp;CHAR(34)&amp;" x "&amp;$M42&amp;"'-"&amp;N($N42)&amp;CHAR(34))</f>
        <v/>
      </c>
      <c r="BG42" s="84">
        <f>IF(OR($A42="",$K42=""),"",$K42&amp;N($L42)&amp;$M42&amp;N($N42))</f>
        <v/>
      </c>
      <c r="BH42" s="84">
        <f>IF(OR($A42="",$K42=""),"",$K42*12+N($L42))</f>
        <v/>
      </c>
      <c r="BI42" s="84">
        <f>IF(OR($A42="",$M42=""),"",$M42*12+N($N42))</f>
        <v/>
      </c>
      <c r="BJ42" s="84">
        <f>IF($A42="","",IF(OR($C42="FRAME ONLY",$S42="BL"),0,IF($O42="Y",2,1)))</f>
        <v/>
      </c>
      <c r="BK42" s="86">
        <f>IF(OR(N($BJ42)=0,$BH42=""),"",($BH42-2*EdgeClr-IF($BJ42=2,MeetClr,0))/$BJ42)</f>
        <v/>
      </c>
      <c r="BL42" s="86">
        <f>IF(OR(N($BJ42)=0,$BI42=""),"",$BI42-HeadClr-Undercut)</f>
        <v/>
      </c>
      <c r="BM42" s="86">
        <f>IF($BH42="","",$BH42+2*FaceW+IF(N($Q42)&gt;0,($Q42+FaceW)*IF($R42="LR",2,1),0))</f>
        <v/>
      </c>
      <c r="BN42" s="86">
        <f>IF($BI42="","",$BI42+IF($AB42="Y",4,FaceW)+IF(N($P42)&gt;0,$P42+FaceW,0)+IF(OR($S42="4F",$S42="BL"),FaceW,0))</f>
        <v/>
      </c>
      <c r="BO42" s="86">
        <f>IF($BM42="","",$BM42+2*ROSide)</f>
        <v/>
      </c>
      <c r="BP42" s="86">
        <f>IF($BN42="","",$BN42+ROTop)</f>
        <v/>
      </c>
      <c r="BQ42" s="87">
        <f>IF(OR(N($BJ42)=0,$BH42=""),"",$BH42/$BJ42-ClearDeduct)</f>
        <v/>
      </c>
      <c r="BR42" s="84">
        <f>IF(N($CH42)=0,"",IF($CH42&gt;=180,"A · 3 HR",IF($CH42&gt;=90,"B · 1-1/2 HR",IF($CH42&gt;=60,"B · 1 HR",IF($CH42&gt;=45,"C · 3/4 HR","20 MIN")))))&amp;IF(AND(N($CH42)&gt;0,OR($I42="CORRIDOR",$I42="SMOKE BARRIER"))," · S","")</f>
        <v/>
      </c>
      <c r="BS42" s="84">
        <f>IF($CS42,"",IF($AV42&lt;&gt;"",$AV42,IF(OR($AC42="HGC",$AO42="HGC"),"CONT",IF(($BI42-HeadClr-Undercut)&lt;=60,2,IF(($BI42-HeadClr-Undercut)&lt;=90,3,IF(($BI42-HeadClr-Undercut)&lt;=120,4,5))))))</f>
        <v/>
      </c>
      <c r="BT42" s="84">
        <f>IF($CS42,"",IF($CT42,"CUSTOM (typed)",IF($CV42,$AT42&amp;" "&amp;$CU42&amp;CHAR(34)&amp;IF($CU42&lt;&gt;$BI42,IF(AND($BI42&lt;$CU42,$BI42-IF(N(VLOOKUP($AT42&amp;"|"&amp;$CU42,LocTable,7,FALSE))&gt;0,VLOOKUP($AT42&amp;"|"&amp;$CU42,LocTable,7,FALSE),VLOOKUP($AT42&amp;"|"&amp;$CU42,LocTable,6,FALSE))-$CR42-0.75&gt;=2.125)," cut down"," adj."),""),"ANSI/SDI A250.6")))</f>
        <v/>
      </c>
      <c r="BU42" s="88">
        <f>IF($CS42,"",IF($CT42,IF(N($AW42)&gt;0,N($AW42),""),IF(1&gt;$CQ42,"",IF($CQ42=1,$CW42,$CW42+($CX42-$CW42)*0/($CQ42-1)))))</f>
        <v/>
      </c>
      <c r="BV42" s="88">
        <f>IF($CS42,"",IF($CT42,IF(N($AX42)&gt;0,N($AX42),""),IF(2&gt;$CQ42,"",IF($CQ42=1,$CW42,$CW42+($CX42-$CW42)*1/($CQ42-1)))))</f>
        <v/>
      </c>
      <c r="BW42" s="88">
        <f>IF($CS42,"",IF($CT42,IF(N($AY42)&gt;0,N($AY42),""),IF(3&gt;$CQ42,"",IF($CQ42=1,$CW42,$CW42+($CX42-$CW42)*2/($CQ42-1)))))</f>
        <v/>
      </c>
      <c r="BX42" s="88">
        <f>IF($CS42,"",IF($CT42,IF(N($AZ42)&gt;0,N($AZ42),""),IF(4&gt;$CQ42,"",IF($CQ42=1,$CW42,$CW42+($CX42-$CW42)*3/($CQ42-1)))))</f>
        <v/>
      </c>
      <c r="BY42" s="88">
        <f>IF($CS42,"",IF($CT42,"",IF(5&gt;$CQ42,"",IF($CQ42=1,$CW42,$CW42+($CX42-$CW42)*4/($CQ42-1)))))</f>
        <v/>
      </c>
      <c r="BZ42" s="88">
        <f>IF(OR($CS42,$AP42="-",AND($AP42="",$AD42="")),"",IF(N($BA42)&gt;0,N($BA42),IF($CV42,IF(AND($BI42&lt;$CU42,$BI42-IF(N(VLOOKUP($AT42&amp;"|"&amp;$CU42,LocTable,7,FALSE))&gt;0,VLOOKUP($AT42&amp;"|"&amp;$CU42,LocTable,7,FALSE),VLOOKUP($AT42&amp;"|"&amp;$CU42,LocTable,6,FALSE))-$CR42-0.75&gt;=2.125),VLOOKUP($AT42&amp;"|"&amp;$CU42,LocTable,8,FALSE),VLOOKUP($AT42&amp;"|"&amp;$CU42,LocTable,8,FALSE)+($BI42-$CU42)),$BI42-LockAFF)))</f>
        <v/>
      </c>
      <c r="CA42" s="89">
        <f>IF($BZ42="","",$BI42-$BZ42)</f>
        <v/>
      </c>
      <c r="CB42" s="84">
        <f>IF(OR(NOT(AND($A42&lt;&gt;"",$C42&lt;&gt;"DOOR ONLY")),$BI42=""),"",IF(($BI42+IF(N($P42)&gt;0,$P42+FaceW,0))&lt;=90,3,IF(($BI42+IF(N($P42)&gt;0,$P42+FaceW,0))&lt;=114,4,5)))</f>
        <v/>
      </c>
      <c r="CC42" s="84">
        <f>IF($CB42="","",$CB42*(2+IF(N($Q42)&gt;0,IF($R42="LR",2,1),0)))</f>
        <v/>
      </c>
      <c r="CD42" s="84">
        <f>IF($CB42="","",(2+IF(N($Q42)&gt;0,IF($R42="LR",2,1),0)))</f>
        <v/>
      </c>
      <c r="CE42" s="84">
        <f>IF(N($BJ42)=0,"",IF(OR($AL42="",$AL42="FLUSH"),"FLUSH",IFERROR(LEFT($AL42,FIND("-",$AL42)-1),LEFT($AL42,2))))</f>
        <v/>
      </c>
      <c r="CF42" s="84">
        <f>IF($CE42="","",IFERROR(VALUE(MID($AL42,FIND("-",$AL42)+1,FIND(CHAR(34)&amp;"x",$AL42)-FIND("-",$AL42)-1)),0))</f>
        <v/>
      </c>
      <c r="CG42" s="84">
        <f>IF($CE42="","",IFERROR(VALUE(MID($AL42,FIND(CHAR(34)&amp;"x",$AL42)+2,FIND(CHAR(34),$AL42,FIND(CHAR(34)&amp;"x",$AL42)+2)-FIND(CHAR(34)&amp;"x",$AL42)-2)),0))</f>
        <v/>
      </c>
      <c r="CH42" s="90">
        <f>IF(OR($A42="",$H42="",$H42="NO LAB"),0,IFERROR(VALUE(LEFT($H42,FIND(" ",$H42)-1)),0))</f>
        <v/>
      </c>
      <c r="CI42" s="91">
        <f>IF(OR($A42="",$I42="",$I42="NON-RATED",N($J42)=0),"",IFERROR(VLOOKUP($I42&amp;"|"&amp;$J42,IBC,2,FALSE),"?"))</f>
        <v/>
      </c>
      <c r="CJ42" s="85">
        <f>IF(NOT(AND($A42&lt;&gt;"",$C42&lt;&gt;"DOOR ONLY")),"",TRIM(IFERROR(VLOOKUP($U42,CODES,2,FALSE),"")&amp;" "&amp;$BG42&amp;" "&amp;IFERROR(VLOOKUP($Z42,CODES,2,FALSE),"")&amp;" "&amp;IFERROR(VLOOKUP($X42,CODES,2,FALSE),"")&amp;" "&amp;IFERROR(VLOOKUP($S42,CODES,2,FALSE),"")&amp;IF(N($P42)&gt;0," w/TRANSOM "&amp;$P42&amp;CHAR(34),"")&amp;IF(N($Q42)&gt;0," w/SIDELITE "&amp;$Q42&amp;CHAR(34)&amp;" "&amp;IF($R42="","R",$R42),"")&amp;IF($Y42="","  |  "," | "&amp;IFERROR(VLOOKUP($Y42,CODES,2,FALSE),"")&amp;" | ")&amp;IFERROR(VLOOKUP($AC42,CODES,2,FALSE),"")&amp;" "&amp;IFERROR(VLOOKUP($AD42,CODES,2,FALSE),"")&amp;IF(OR($AE42="",$AE42="-"),""," "&amp;$AE42)&amp;IF(OR($AF42="",$AF42="-"),""," "&amp;$AF42)&amp;IF($AB42="Y"," 4"&amp;CHAR(34)&amp;" HEAD","")&amp;" "&amp;IFERROR(VLOOKUP($H42,CODES,2,FALSE),"")&amp;IF($CT42," | LOC "&amp;$CY42,"")))</f>
        <v/>
      </c>
      <c r="CK42" s="85">
        <f>IF(NOT(AND($A42&lt;&gt;"",N($BJ42)&gt;0)),"",TRIM(IFERROR(VLOOKUP($AH42,CODES,2,FALSE),"")&amp;IF($AI42=""," "," "&amp;$AI42&amp;"GA ")&amp;$BG42&amp;" "&amp;IF($AN42="",IFERROR(VLOOKUP($Z42,CODES,2,FALSE),""),IFERROR(VLOOKUP($AN42,CODES,2,FALSE),""))&amp;IF($BJ42=2," PAIR","")&amp;" DOOR | "&amp;IF($AL42="","?",$AL42)&amp;" | "&amp;IF($AO42="",IFERROR(VLOOKUP($AC42,CODES,2,FALSE),""),IFERROR(VLOOKUP($AO42,CODES,2,FALSE),""))&amp;" "&amp;IFERROR(VLOOKUP($AP42,CODES,2,FALSE),"")&amp;IF(OR($AQ42="",$AQ42="-"),""," SEAM "&amp;$AQ42)&amp;IF($AR42="Y"," ASTRAGAL","")&amp;IF($AJ42=""," "," "&amp;$AJ42)&amp;IF($AK42=""," "," "&amp;$AK42)&amp;IF(OR($AT42="",$AT42="ANSI/SDI",$AT42="CUSTOM LOC"),""," "&amp;$AT42)&amp;IF($AM42=""," "," SERIES "&amp;$AM42)&amp;" "&amp;IFERROR(VLOOKUP($H42,CODES,2,FALSE),"")&amp;IF($CT42," | LOC "&amp;$CZ42,"")))</f>
        <v/>
      </c>
      <c r="CL42" s="84">
        <f>IF(CP42="","",IF(COUNTIF($CP$6:CP42,CP42)=1,MAX($CL$5:CL41)+1,INDEX($CL$5:CL41,MATCH(CP42,$CP$5:CP41,0))))</f>
        <v/>
      </c>
      <c r="CM42" s="84">
        <f>IF(NOT(AND($A42&lt;&gt;"",$C42&lt;&gt;"DOOR ONLY")),"",MAX($CM$5:CM41)+1)</f>
        <v/>
      </c>
      <c r="CN42" s="84">
        <f>IF(NOT(AND($A42&lt;&gt;"",N($BJ42)&gt;0)),"",MAX($CN$5:CN41)+1)</f>
        <v/>
      </c>
      <c r="CO42" s="84">
        <f>IF($A42="","",MAX($CO$5:CO41)+1)</f>
        <v/>
      </c>
      <c r="CP42" s="84">
        <f>IF(OR($A42="",$BH42="",$BI42=""),"",$BG42&amp;"|"&amp;$O42&amp;"|"&amp;$AL42&amp;"|"&amp;$S42&amp;"|"&amp;$P42&amp;"|"&amp;$Q42&amp;$R42&amp;"|"&amp;$C42&amp;"|"&amp;$AB42)</f>
        <v/>
      </c>
      <c r="CQ42" s="84">
        <f>N($BS42)</f>
        <v/>
      </c>
      <c r="CR42" s="84">
        <f>IF(N($AU42)&gt;0,N($AU42),4.5)</f>
        <v/>
      </c>
      <c r="CS42" s="84">
        <f>OR($A42="",$BI42="",$S42="BL",AND($C42="FRAME ONLY",OR($AC42="",$AC42="BLK")))</f>
        <v/>
      </c>
      <c r="CT42" s="84">
        <f>AND(NOT($CS42),OR($AT42="CUSTOM LOC",N($AW42)+N($AX42)+N($AY42)+N($AZ42)+N($BA42)&gt;0))</f>
        <v/>
      </c>
      <c r="CU42" s="84">
        <f>IF($BI42="","",IF($BI42&lt;=80,80,IF($BI42&lt;=84,84,96)))</f>
        <v/>
      </c>
      <c r="CV42" s="84">
        <f>ISNUMBER(MATCH($AT42&amp;"|80",LocKeys,0))</f>
        <v/>
      </c>
      <c r="CW42" s="86">
        <f>IF($CS42,"",IF($CV42,VLOOKUP($AT42&amp;"|"&amp;$CU42,LocTable,4,FALSE),5))</f>
        <v/>
      </c>
      <c r="CX42" s="86">
        <f>IF($CS42,"",IF($CV42,IF(OR($BI42=$CU42,AND($BI42&lt;$CU42,$BI42-IF(N(VLOOKUP($AT42&amp;"|"&amp;$CU42,LocTable,7,FALSE))&gt;0,VLOOKUP($AT42&amp;"|"&amp;$CU42,LocTable,7,FALSE),VLOOKUP($AT42&amp;"|"&amp;$CU42,LocTable,6,FALSE))-$CR42-0.75&gt;=2.125)),IF(N(VLOOKUP($AT42&amp;"|"&amp;$CU42,LocTable,7,FALSE))&gt;0,VLOOKUP($AT42&amp;"|"&amp;$CU42,LocTable,7,FALSE),VLOOKUP($AT42&amp;"|"&amp;$CU42,LocTable,6,FALSE)),$BI42-($CU42-IF(N(VLOOKUP($AT42&amp;"|"&amp;$CU42,LocTable,7,FALSE))&gt;0,VLOOKUP($AT42&amp;"|"&amp;$CU42,LocTable,7,FALSE),VLOOKUP($AT42&amp;"|"&amp;$CU42,LocTable,6,FALSE)))),$BI42-10-$CR42))</f>
        <v/>
      </c>
      <c r="CY42" s="85">
        <f>IF($CS42,"",TRIM(IF(ISNUMBER($BU42),"A "&amp;TRIM(TEXT($BU42,"# ?/??"))&amp;CHAR(34)&amp;"  ","")&amp;IF(ISNUMBER($BV42),"B "&amp;TRIM(TEXT($BV42,"# ?/??"))&amp;CHAR(34)&amp;"  ","")&amp;IF(ISNUMBER($BW42),"C "&amp;TRIM(TEXT($BW42,"# ?/??"))&amp;CHAR(34)&amp;"  ","")&amp;IF(ISNUMBER($BX42),"D "&amp;TRIM(TEXT($BX42,"# ?/??"))&amp;CHAR(34)&amp;"  ","")&amp;IF(ISNUMBER($BY42),"F "&amp;TRIM(TEXT($BY42,"# ?/??"))&amp;CHAR(34)&amp;"  ","")&amp;IF(ISNUMBER($BZ42),"E "&amp;TRIM(TEXT($BZ42,"# ?/??"))&amp;CHAR(34)&amp;"  ","")))</f>
        <v/>
      </c>
      <c r="CZ42" s="85">
        <f>IF(OR($CS42,N($BJ42)=0),"",TRIM(IF(ISNUMBER($BU42),"A "&amp;TRIM(TEXT($BU42-HeadClr,"# ?/??"))&amp;CHAR(34)&amp;"  ","")&amp;IF(ISNUMBER($BV42),"B "&amp;TRIM(TEXT($BV42-HeadClr,"# ?/??"))&amp;CHAR(34)&amp;"  ","")&amp;IF(ISNUMBER($BW42),"C "&amp;TRIM(TEXT($BW42-HeadClr,"# ?/??"))&amp;CHAR(34)&amp;"  ","")&amp;IF(ISNUMBER($BX42),"D "&amp;TRIM(TEXT($BX42-HeadClr,"# ?/??"))&amp;CHAR(34)&amp;"  ","")&amp;IF(ISNUMBER($BY42),"F "&amp;TRIM(TEXT($BY42-HeadClr,"# ?/??"))&amp;CHAR(34)&amp;"  ","")&amp;IF(ISNUMBER($BZ42),"E "&amp;TRIM(TEXT($BZ42-HeadClr,"# ?/??"))&amp;CHAR(34)&amp;"  ","")))</f>
        <v/>
      </c>
      <c r="DA42" s="84">
        <f>IF($A42="","",IF($AN42="",IFERROR(VLOOKUP($Z42,CODES,2,FALSE),""),IFERROR(VLOOKUP($AN42,CODES,2,FALSE),"")))</f>
        <v/>
      </c>
      <c r="DB42" s="84">
        <f>IF($A42="","",IF($O42="Y","PR",IF(OR($Z42="L",$Z42="RR",LEFT($Z42,2)="L-",LEFT($Z42,3)="RR-"),"LH","RH")))</f>
        <v/>
      </c>
      <c r="DC42" s="84">
        <f>IF($A42="","","S.HM"&amp;IF(OR($C42="DOOR ONLY",$X42&lt;&gt;"KD"),"MASONRY","DRYWALL")&amp;IF($C42="DOOR ONLY","",$U42)&amp;IF(AND($C42&lt;&gt;"FRAME ONLY",OR(LEFT($AH42,3)="OAK",LEFT($AH42,3)="BIR",LEFT($AH42,3)="MAP",$AH42="PC",$AH42="MC",$AH42="SCLC",$AH42="P-LAM")),"WD","HM")&amp;"1.75")</f>
        <v/>
      </c>
      <c r="DD42" s="84">
        <f>IF($CJ42="","",IF($O42="Y",$CJ42,SUBSTITUTE($CJ42,$BG42&amp;" "&amp;IFERROR(VLOOKUP($Z42,CODES,2,FALSE),"")&amp;" ",$BG42&amp;" ")))</f>
        <v/>
      </c>
      <c r="DE42" s="84">
        <f>IF($CK42="","",IF($O42="Y",$CK42,SUBSTITUTE($CK42,$BG42&amp;" "&amp;IF($AN42="",IFERROR(VLOOKUP($Z42,CODES,2,FALSE),""),IFERROR(VLOOKUP($AN42,CODES,2,FALSE),""))&amp;" ",$BG42&amp;" ")))</f>
        <v/>
      </c>
      <c r="DF42" s="84">
        <f>IF($CJ42="","",$DC42&amp;"|"&amp;$DD42&amp;"|"&amp;$DB42&amp;"|"&amp;$AT42&amp;"|"&amp;$V42&amp;"|"&amp;$Y42&amp;"|"&amp;$AB42)</f>
        <v/>
      </c>
      <c r="DG42" s="84">
        <f>IF(DF42="","",IF(COUNTIF($DF$6:DF42,DF42)=1,MAX($DG$5:DG41)+1,INDEX($DG$5:DG41,MATCH(DF42,$DF$5:DF41,0))))</f>
        <v/>
      </c>
      <c r="DH42" s="84">
        <f>IF($CK42="","",$DC42&amp;"|"&amp;$DE42&amp;"|"&amp;$AI42&amp;"|"&amp;$BK42&amp;"|"&amp;$BL42)</f>
        <v/>
      </c>
      <c r="DI42" s="84">
        <f>IF(DH42="","",IF(COUNTIF($DH$6:DH42,DH42)=1,MAX($DI$5:DI41)+1,INDEX($DI$5:DI41,MATCH(DH42,$DH$5:DH41,0))))</f>
        <v/>
      </c>
      <c r="DJ42" s="84">
        <f>IF($A42="","",IF($B42="","qty, ","")&amp;IF($C42="","scope, ","")&amp;IF(OR($K42="",$M42=""),"size, ","")&amp;IF(AND($A42&lt;&gt;"",$C42&lt;&gt;"DOOR ONLY"),IF($U42="","jamb depth, ","")&amp;IF($X42="","construction, ","")&amp;IF($Y42="","anchor, ","")&amp;IF($S42="","frame type, ",""),"")&amp;IF(AND(N($BJ42)&gt;0,$Z42=""),"hand, ","")&amp;IF(N($BJ42)&gt;0,IF($AH42="","door material, ","")&amp;IF($AL42="","face type, ","")&amp;IF($AP42="","lock prep, ","")&amp;IF(AND($AO42="",$AC42=""),"hinge prep, ",""),"")&amp;IF(AND($CH42&gt;0,$AH42="FRP"),"FRP cannot carry a label, ","")&amp;IF(AND($O42="Y",OR($Z42="L",$Z42="R",$Z42="LR",$Z42="RR")),"pair marked but hand is single, ","")&amp;IF(AND($O42&lt;&gt;"Y",OR($Z42="PR",AND(LEN($Z42)&gt;1,ISNUMBER(SEARCH("-",$Z42))))),"pair hand on a single door, ","")&amp;IF(AND(ISNUMBER($CI42),$CH42&lt;N($CI42)),"wall needs a "&amp;$CI42&amp;" min door, ","")&amp;IF(AND($CH42&gt;=180,AND(OR($CE42="FG",$CE42="HG",$CE42="FNV",$CE42="FV"),N($CF42)*N($CG42)&gt;100)),"180 min lite over 100 sq in, ","")&amp;IF(N($BK42)&gt;48,"leaf wider than 4'-0"&amp;CHAR(34)&amp;", ","")&amp;IF(AND($CT42,COUNT($AW42:$AZ42)=0,$CQ42&gt;0),"CUSTOM LOC with no locations typed, ",""))</f>
        <v/>
      </c>
      <c r="DK42" s="84">
        <f>IF($A42="","",IF(AND($CH42&gt;0,AND($A42&lt;&gt;"",$C42&lt;&gt;"DOOR ONLY"),$X42="KD",$E42="EXTERIOR"),"KD label on an exterior opening, ","")&amp;IF(AND($E42="EXTERIOR",OR(AND(AND($A42&lt;&gt;"",$C42&lt;&gt;"DOOR ONLY"),$W42="CR"),AND(N($BJ42)&gt;0,$AH42="CR"))),"exterior in CR steel (G9?), ","")&amp;IF(AND(ISNUMBER($BQ42),N($BQ42)&lt;32),"clear width ~"&amp;TEXT($BQ42,"0.0")&amp;CHAR(34)&amp;" under 32"&amp;CHAR(34)&amp;" (ADA), ","")&amp;IF(AND($CH42=90,AND(OR($CE42="FG",$CE42="HG",$CE42="FNV",$CE42="FV"),N($CF42)*N($CG42)&gt;100)),"90 min lite over 100 sq in (stair/exit), ","")&amp;IF(AND($CH42&gt;0,AND($A42&lt;&gt;"",$C42&lt;&gt;"DOOR ONLY"),OR($AF42="",$AF42="-")),"rated: closer reinf.?, ","")&amp;IF(OR($I42="CORRIDOR",$I42="SMOKE BARRIER"),"S label + smoke gasketing, ","")&amp;IF($CI42="?","wall type/hr not in IBC table, ","")&amp;IF(AND(N($BJ42)&gt;0,$BB42=""),"no hardware set, ","")&amp;IF(AND($BB42&lt;&gt;"",ISNA(MATCH($BB42&amp;"",HWSets,0))),"set "&amp;$BB42&amp;" not on HW Sets, ","")&amp;IF(N($BL42)&gt;96,"leaf over 8'-0"&amp;CHAR(34)&amp;" - check listing, ","")&amp;IF(AND($CT42,COUNT($AW42:$AZ42)&gt;0,COUNT($AW42:$AZ42)&lt;&gt;$CQ42),COUNT($AW42:$AZ42)&amp;" custom hinges typed, "&amp;$CQ42&amp;" expected, ","")&amp;IF(AND(ISNUMBER($CA42),OR(N($CA42)&lt;34,N($CA42)&gt;48)),"lock "&amp;TEXT($CA42,"0.0")&amp;CHAR(34)&amp;" AFF outside 34-48"&amp;CHAR(34)&amp;" (ADA), ","")&amp;IF(AND(ISNUMBER($AV42),ISNUMBER($BL42),N($AV42)&lt;IF(N($BL42)&lt;=60,2,IF(N($BL42)&lt;=90,3,IF(N($BL42)&lt;=120,4,5)))),"fewer hinges than standard, ",""))</f>
        <v/>
      </c>
    </row>
    <row r="43" ht="15" customHeight="1">
      <c r="A43" s="77" t="n"/>
      <c r="B43" s="78" t="n"/>
      <c r="C43" s="78" t="n"/>
      <c r="D43" s="78" t="n"/>
      <c r="E43" s="78" t="n"/>
      <c r="F43" s="78" t="n"/>
      <c r="G43" s="78" t="n"/>
      <c r="H43" s="78" t="n"/>
      <c r="I43" s="78" t="n"/>
      <c r="J43" s="78" t="n"/>
      <c r="K43" s="78" t="n"/>
      <c r="L43" s="78" t="n"/>
      <c r="M43" s="78" t="n"/>
      <c r="N43" s="78" t="n"/>
      <c r="O43" s="78" t="n"/>
      <c r="P43" s="78" t="n"/>
      <c r="Q43" s="78" t="n"/>
      <c r="R43" s="78" t="n"/>
      <c r="S43" s="79" t="n"/>
      <c r="T43" s="79" t="n"/>
      <c r="U43" s="79" t="n"/>
      <c r="V43" s="79" t="n"/>
      <c r="W43" s="79" t="n"/>
      <c r="X43" s="79" t="n"/>
      <c r="Y43" s="79" t="n"/>
      <c r="Z43" s="79" t="n"/>
      <c r="AA43" s="79" t="n"/>
      <c r="AB43" s="79" t="n"/>
      <c r="AC43" s="79" t="n"/>
      <c r="AD43" s="79" t="n"/>
      <c r="AE43" s="79" t="n"/>
      <c r="AF43" s="79" t="n"/>
      <c r="AG43" s="79" t="n"/>
      <c r="AH43" s="80" t="n"/>
      <c r="AI43" s="80" t="n"/>
      <c r="AJ43" s="80" t="n"/>
      <c r="AK43" s="80" t="n"/>
      <c r="AL43" s="80" t="n"/>
      <c r="AM43" s="80" t="n"/>
      <c r="AN43" s="80" t="n"/>
      <c r="AO43" s="80" t="n"/>
      <c r="AP43" s="80" t="n"/>
      <c r="AQ43" s="80" t="n"/>
      <c r="AR43" s="80" t="n"/>
      <c r="AS43" s="80" t="n"/>
      <c r="AT43" s="81" t="n"/>
      <c r="AU43" s="81" t="n"/>
      <c r="AV43" s="81" t="n"/>
      <c r="AW43" s="82" t="n"/>
      <c r="AX43" s="82" t="n"/>
      <c r="AY43" s="82" t="n"/>
      <c r="AZ43" s="82" t="n"/>
      <c r="BA43" s="82" t="n"/>
      <c r="BB43" s="83" t="n"/>
      <c r="BC43" s="83" t="n"/>
      <c r="BD43" s="84">
        <f>IF($A43="","",IF($DJ43&lt;&gt;"","FIX",IF($DK43&lt;&gt;"","CHECK","OK")))</f>
        <v/>
      </c>
      <c r="BE43" s="85">
        <f>IF($A43="","",IF($DJ43&lt;&gt;"","FIX: "&amp;LEFT($DJ43,LEN($DJ43)-2)&amp;IF($DK43&lt;&gt;"","  ·  ",""),"")&amp;IF($DK43&lt;&gt;"","CHECK: "&amp;LEFT($DK43,LEN($DK43)-2),""))</f>
        <v/>
      </c>
      <c r="BF43" s="84">
        <f>IF(OR($A43="",$K43=""),"",$K43&amp;"'-"&amp;N($L43)&amp;CHAR(34)&amp;" x "&amp;$M43&amp;"'-"&amp;N($N43)&amp;CHAR(34))</f>
        <v/>
      </c>
      <c r="BG43" s="84">
        <f>IF(OR($A43="",$K43=""),"",$K43&amp;N($L43)&amp;$M43&amp;N($N43))</f>
        <v/>
      </c>
      <c r="BH43" s="84">
        <f>IF(OR($A43="",$K43=""),"",$K43*12+N($L43))</f>
        <v/>
      </c>
      <c r="BI43" s="84">
        <f>IF(OR($A43="",$M43=""),"",$M43*12+N($N43))</f>
        <v/>
      </c>
      <c r="BJ43" s="84">
        <f>IF($A43="","",IF(OR($C43="FRAME ONLY",$S43="BL"),0,IF($O43="Y",2,1)))</f>
        <v/>
      </c>
      <c r="BK43" s="86">
        <f>IF(OR(N($BJ43)=0,$BH43=""),"",($BH43-2*EdgeClr-IF($BJ43=2,MeetClr,0))/$BJ43)</f>
        <v/>
      </c>
      <c r="BL43" s="86">
        <f>IF(OR(N($BJ43)=0,$BI43=""),"",$BI43-HeadClr-Undercut)</f>
        <v/>
      </c>
      <c r="BM43" s="86">
        <f>IF($BH43="","",$BH43+2*FaceW+IF(N($Q43)&gt;0,($Q43+FaceW)*IF($R43="LR",2,1),0))</f>
        <v/>
      </c>
      <c r="BN43" s="86">
        <f>IF($BI43="","",$BI43+IF($AB43="Y",4,FaceW)+IF(N($P43)&gt;0,$P43+FaceW,0)+IF(OR($S43="4F",$S43="BL"),FaceW,0))</f>
        <v/>
      </c>
      <c r="BO43" s="86">
        <f>IF($BM43="","",$BM43+2*ROSide)</f>
        <v/>
      </c>
      <c r="BP43" s="86">
        <f>IF($BN43="","",$BN43+ROTop)</f>
        <v/>
      </c>
      <c r="BQ43" s="87">
        <f>IF(OR(N($BJ43)=0,$BH43=""),"",$BH43/$BJ43-ClearDeduct)</f>
        <v/>
      </c>
      <c r="BR43" s="84">
        <f>IF(N($CH43)=0,"",IF($CH43&gt;=180,"A · 3 HR",IF($CH43&gt;=90,"B · 1-1/2 HR",IF($CH43&gt;=60,"B · 1 HR",IF($CH43&gt;=45,"C · 3/4 HR","20 MIN")))))&amp;IF(AND(N($CH43)&gt;0,OR($I43="CORRIDOR",$I43="SMOKE BARRIER"))," · S","")</f>
        <v/>
      </c>
      <c r="BS43" s="84">
        <f>IF($CS43,"",IF($AV43&lt;&gt;"",$AV43,IF(OR($AC43="HGC",$AO43="HGC"),"CONT",IF(($BI43-HeadClr-Undercut)&lt;=60,2,IF(($BI43-HeadClr-Undercut)&lt;=90,3,IF(($BI43-HeadClr-Undercut)&lt;=120,4,5))))))</f>
        <v/>
      </c>
      <c r="BT43" s="84">
        <f>IF($CS43,"",IF($CT43,"CUSTOM (typed)",IF($CV43,$AT43&amp;" "&amp;$CU43&amp;CHAR(34)&amp;IF($CU43&lt;&gt;$BI43,IF(AND($BI43&lt;$CU43,$BI43-IF(N(VLOOKUP($AT43&amp;"|"&amp;$CU43,LocTable,7,FALSE))&gt;0,VLOOKUP($AT43&amp;"|"&amp;$CU43,LocTable,7,FALSE),VLOOKUP($AT43&amp;"|"&amp;$CU43,LocTable,6,FALSE))-$CR43-0.75&gt;=2.125)," cut down"," adj."),""),"ANSI/SDI A250.6")))</f>
        <v/>
      </c>
      <c r="BU43" s="88">
        <f>IF($CS43,"",IF($CT43,IF(N($AW43)&gt;0,N($AW43),""),IF(1&gt;$CQ43,"",IF($CQ43=1,$CW43,$CW43+($CX43-$CW43)*0/($CQ43-1)))))</f>
        <v/>
      </c>
      <c r="BV43" s="88">
        <f>IF($CS43,"",IF($CT43,IF(N($AX43)&gt;0,N($AX43),""),IF(2&gt;$CQ43,"",IF($CQ43=1,$CW43,$CW43+($CX43-$CW43)*1/($CQ43-1)))))</f>
        <v/>
      </c>
      <c r="BW43" s="88">
        <f>IF($CS43,"",IF($CT43,IF(N($AY43)&gt;0,N($AY43),""),IF(3&gt;$CQ43,"",IF($CQ43=1,$CW43,$CW43+($CX43-$CW43)*2/($CQ43-1)))))</f>
        <v/>
      </c>
      <c r="BX43" s="88">
        <f>IF($CS43,"",IF($CT43,IF(N($AZ43)&gt;0,N($AZ43),""),IF(4&gt;$CQ43,"",IF($CQ43=1,$CW43,$CW43+($CX43-$CW43)*3/($CQ43-1)))))</f>
        <v/>
      </c>
      <c r="BY43" s="88">
        <f>IF($CS43,"",IF($CT43,"",IF(5&gt;$CQ43,"",IF($CQ43=1,$CW43,$CW43+($CX43-$CW43)*4/($CQ43-1)))))</f>
        <v/>
      </c>
      <c r="BZ43" s="88">
        <f>IF(OR($CS43,$AP43="-",AND($AP43="",$AD43="")),"",IF(N($BA43)&gt;0,N($BA43),IF($CV43,IF(AND($BI43&lt;$CU43,$BI43-IF(N(VLOOKUP($AT43&amp;"|"&amp;$CU43,LocTable,7,FALSE))&gt;0,VLOOKUP($AT43&amp;"|"&amp;$CU43,LocTable,7,FALSE),VLOOKUP($AT43&amp;"|"&amp;$CU43,LocTable,6,FALSE))-$CR43-0.75&gt;=2.125),VLOOKUP($AT43&amp;"|"&amp;$CU43,LocTable,8,FALSE),VLOOKUP($AT43&amp;"|"&amp;$CU43,LocTable,8,FALSE)+($BI43-$CU43)),$BI43-LockAFF)))</f>
        <v/>
      </c>
      <c r="CA43" s="89">
        <f>IF($BZ43="","",$BI43-$BZ43)</f>
        <v/>
      </c>
      <c r="CB43" s="84">
        <f>IF(OR(NOT(AND($A43&lt;&gt;"",$C43&lt;&gt;"DOOR ONLY")),$BI43=""),"",IF(($BI43+IF(N($P43)&gt;0,$P43+FaceW,0))&lt;=90,3,IF(($BI43+IF(N($P43)&gt;0,$P43+FaceW,0))&lt;=114,4,5)))</f>
        <v/>
      </c>
      <c r="CC43" s="84">
        <f>IF($CB43="","",$CB43*(2+IF(N($Q43)&gt;0,IF($R43="LR",2,1),0)))</f>
        <v/>
      </c>
      <c r="CD43" s="84">
        <f>IF($CB43="","",(2+IF(N($Q43)&gt;0,IF($R43="LR",2,1),0)))</f>
        <v/>
      </c>
      <c r="CE43" s="84">
        <f>IF(N($BJ43)=0,"",IF(OR($AL43="",$AL43="FLUSH"),"FLUSH",IFERROR(LEFT($AL43,FIND("-",$AL43)-1),LEFT($AL43,2))))</f>
        <v/>
      </c>
      <c r="CF43" s="84">
        <f>IF($CE43="","",IFERROR(VALUE(MID($AL43,FIND("-",$AL43)+1,FIND(CHAR(34)&amp;"x",$AL43)-FIND("-",$AL43)-1)),0))</f>
        <v/>
      </c>
      <c r="CG43" s="84">
        <f>IF($CE43="","",IFERROR(VALUE(MID($AL43,FIND(CHAR(34)&amp;"x",$AL43)+2,FIND(CHAR(34),$AL43,FIND(CHAR(34)&amp;"x",$AL43)+2)-FIND(CHAR(34)&amp;"x",$AL43)-2)),0))</f>
        <v/>
      </c>
      <c r="CH43" s="90">
        <f>IF(OR($A43="",$H43="",$H43="NO LAB"),0,IFERROR(VALUE(LEFT($H43,FIND(" ",$H43)-1)),0))</f>
        <v/>
      </c>
      <c r="CI43" s="91">
        <f>IF(OR($A43="",$I43="",$I43="NON-RATED",N($J43)=0),"",IFERROR(VLOOKUP($I43&amp;"|"&amp;$J43,IBC,2,FALSE),"?"))</f>
        <v/>
      </c>
      <c r="CJ43" s="85">
        <f>IF(NOT(AND($A43&lt;&gt;"",$C43&lt;&gt;"DOOR ONLY")),"",TRIM(IFERROR(VLOOKUP($U43,CODES,2,FALSE),"")&amp;" "&amp;$BG43&amp;" "&amp;IFERROR(VLOOKUP($Z43,CODES,2,FALSE),"")&amp;" "&amp;IFERROR(VLOOKUP($X43,CODES,2,FALSE),"")&amp;" "&amp;IFERROR(VLOOKUP($S43,CODES,2,FALSE),"")&amp;IF(N($P43)&gt;0," w/TRANSOM "&amp;$P43&amp;CHAR(34),"")&amp;IF(N($Q43)&gt;0," w/SIDELITE "&amp;$Q43&amp;CHAR(34)&amp;" "&amp;IF($R43="","R",$R43),"")&amp;IF($Y43="","  |  "," | "&amp;IFERROR(VLOOKUP($Y43,CODES,2,FALSE),"")&amp;" | ")&amp;IFERROR(VLOOKUP($AC43,CODES,2,FALSE),"")&amp;" "&amp;IFERROR(VLOOKUP($AD43,CODES,2,FALSE),"")&amp;IF(OR($AE43="",$AE43="-"),""," "&amp;$AE43)&amp;IF(OR($AF43="",$AF43="-"),""," "&amp;$AF43)&amp;IF($AB43="Y"," 4"&amp;CHAR(34)&amp;" HEAD","")&amp;" "&amp;IFERROR(VLOOKUP($H43,CODES,2,FALSE),"")&amp;IF($CT43," | LOC "&amp;$CY43,"")))</f>
        <v/>
      </c>
      <c r="CK43" s="85">
        <f>IF(NOT(AND($A43&lt;&gt;"",N($BJ43)&gt;0)),"",TRIM(IFERROR(VLOOKUP($AH43,CODES,2,FALSE),"")&amp;IF($AI43=""," "," "&amp;$AI43&amp;"GA ")&amp;$BG43&amp;" "&amp;IF($AN43="",IFERROR(VLOOKUP($Z43,CODES,2,FALSE),""),IFERROR(VLOOKUP($AN43,CODES,2,FALSE),""))&amp;IF($BJ43=2," PAIR","")&amp;" DOOR | "&amp;IF($AL43="","?",$AL43)&amp;" | "&amp;IF($AO43="",IFERROR(VLOOKUP($AC43,CODES,2,FALSE),""),IFERROR(VLOOKUP($AO43,CODES,2,FALSE),""))&amp;" "&amp;IFERROR(VLOOKUP($AP43,CODES,2,FALSE),"")&amp;IF(OR($AQ43="",$AQ43="-"),""," SEAM "&amp;$AQ43)&amp;IF($AR43="Y"," ASTRAGAL","")&amp;IF($AJ43=""," "," "&amp;$AJ43)&amp;IF($AK43=""," "," "&amp;$AK43)&amp;IF(OR($AT43="",$AT43="ANSI/SDI",$AT43="CUSTOM LOC"),""," "&amp;$AT43)&amp;IF($AM43=""," "," SERIES "&amp;$AM43)&amp;" "&amp;IFERROR(VLOOKUP($H43,CODES,2,FALSE),"")&amp;IF($CT43," | LOC "&amp;$CZ43,"")))</f>
        <v/>
      </c>
      <c r="CL43" s="84">
        <f>IF(CP43="","",IF(COUNTIF($CP$6:CP43,CP43)=1,MAX($CL$5:CL42)+1,INDEX($CL$5:CL42,MATCH(CP43,$CP$5:CP42,0))))</f>
        <v/>
      </c>
      <c r="CM43" s="84">
        <f>IF(NOT(AND($A43&lt;&gt;"",$C43&lt;&gt;"DOOR ONLY")),"",MAX($CM$5:CM42)+1)</f>
        <v/>
      </c>
      <c r="CN43" s="84">
        <f>IF(NOT(AND($A43&lt;&gt;"",N($BJ43)&gt;0)),"",MAX($CN$5:CN42)+1)</f>
        <v/>
      </c>
      <c r="CO43" s="84">
        <f>IF($A43="","",MAX($CO$5:CO42)+1)</f>
        <v/>
      </c>
      <c r="CP43" s="84">
        <f>IF(OR($A43="",$BH43="",$BI43=""),"",$BG43&amp;"|"&amp;$O43&amp;"|"&amp;$AL43&amp;"|"&amp;$S43&amp;"|"&amp;$P43&amp;"|"&amp;$Q43&amp;$R43&amp;"|"&amp;$C43&amp;"|"&amp;$AB43)</f>
        <v/>
      </c>
      <c r="CQ43" s="84">
        <f>N($BS43)</f>
        <v/>
      </c>
      <c r="CR43" s="84">
        <f>IF(N($AU43)&gt;0,N($AU43),4.5)</f>
        <v/>
      </c>
      <c r="CS43" s="84">
        <f>OR($A43="",$BI43="",$S43="BL",AND($C43="FRAME ONLY",OR($AC43="",$AC43="BLK")))</f>
        <v/>
      </c>
      <c r="CT43" s="84">
        <f>AND(NOT($CS43),OR($AT43="CUSTOM LOC",N($AW43)+N($AX43)+N($AY43)+N($AZ43)+N($BA43)&gt;0))</f>
        <v/>
      </c>
      <c r="CU43" s="84">
        <f>IF($BI43="","",IF($BI43&lt;=80,80,IF($BI43&lt;=84,84,96)))</f>
        <v/>
      </c>
      <c r="CV43" s="84">
        <f>ISNUMBER(MATCH($AT43&amp;"|80",LocKeys,0))</f>
        <v/>
      </c>
      <c r="CW43" s="86">
        <f>IF($CS43,"",IF($CV43,VLOOKUP($AT43&amp;"|"&amp;$CU43,LocTable,4,FALSE),5))</f>
        <v/>
      </c>
      <c r="CX43" s="86">
        <f>IF($CS43,"",IF($CV43,IF(OR($BI43=$CU43,AND($BI43&lt;$CU43,$BI43-IF(N(VLOOKUP($AT43&amp;"|"&amp;$CU43,LocTable,7,FALSE))&gt;0,VLOOKUP($AT43&amp;"|"&amp;$CU43,LocTable,7,FALSE),VLOOKUP($AT43&amp;"|"&amp;$CU43,LocTable,6,FALSE))-$CR43-0.75&gt;=2.125)),IF(N(VLOOKUP($AT43&amp;"|"&amp;$CU43,LocTable,7,FALSE))&gt;0,VLOOKUP($AT43&amp;"|"&amp;$CU43,LocTable,7,FALSE),VLOOKUP($AT43&amp;"|"&amp;$CU43,LocTable,6,FALSE)),$BI43-($CU43-IF(N(VLOOKUP($AT43&amp;"|"&amp;$CU43,LocTable,7,FALSE))&gt;0,VLOOKUP($AT43&amp;"|"&amp;$CU43,LocTable,7,FALSE),VLOOKUP($AT43&amp;"|"&amp;$CU43,LocTable,6,FALSE)))),$BI43-10-$CR43))</f>
        <v/>
      </c>
      <c r="CY43" s="85">
        <f>IF($CS43,"",TRIM(IF(ISNUMBER($BU43),"A "&amp;TRIM(TEXT($BU43,"# ?/??"))&amp;CHAR(34)&amp;"  ","")&amp;IF(ISNUMBER($BV43),"B "&amp;TRIM(TEXT($BV43,"# ?/??"))&amp;CHAR(34)&amp;"  ","")&amp;IF(ISNUMBER($BW43),"C "&amp;TRIM(TEXT($BW43,"# ?/??"))&amp;CHAR(34)&amp;"  ","")&amp;IF(ISNUMBER($BX43),"D "&amp;TRIM(TEXT($BX43,"# ?/??"))&amp;CHAR(34)&amp;"  ","")&amp;IF(ISNUMBER($BY43),"F "&amp;TRIM(TEXT($BY43,"# ?/??"))&amp;CHAR(34)&amp;"  ","")&amp;IF(ISNUMBER($BZ43),"E "&amp;TRIM(TEXT($BZ43,"# ?/??"))&amp;CHAR(34)&amp;"  ","")))</f>
        <v/>
      </c>
      <c r="CZ43" s="85">
        <f>IF(OR($CS43,N($BJ43)=0),"",TRIM(IF(ISNUMBER($BU43),"A "&amp;TRIM(TEXT($BU43-HeadClr,"# ?/??"))&amp;CHAR(34)&amp;"  ","")&amp;IF(ISNUMBER($BV43),"B "&amp;TRIM(TEXT($BV43-HeadClr,"# ?/??"))&amp;CHAR(34)&amp;"  ","")&amp;IF(ISNUMBER($BW43),"C "&amp;TRIM(TEXT($BW43-HeadClr,"# ?/??"))&amp;CHAR(34)&amp;"  ","")&amp;IF(ISNUMBER($BX43),"D "&amp;TRIM(TEXT($BX43-HeadClr,"# ?/??"))&amp;CHAR(34)&amp;"  ","")&amp;IF(ISNUMBER($BY43),"F "&amp;TRIM(TEXT($BY43-HeadClr,"# ?/??"))&amp;CHAR(34)&amp;"  ","")&amp;IF(ISNUMBER($BZ43),"E "&amp;TRIM(TEXT($BZ43-HeadClr,"# ?/??"))&amp;CHAR(34)&amp;"  ","")))</f>
        <v/>
      </c>
      <c r="DA43" s="84">
        <f>IF($A43="","",IF($AN43="",IFERROR(VLOOKUP($Z43,CODES,2,FALSE),""),IFERROR(VLOOKUP($AN43,CODES,2,FALSE),"")))</f>
        <v/>
      </c>
      <c r="DB43" s="84">
        <f>IF($A43="","",IF($O43="Y","PR",IF(OR($Z43="L",$Z43="RR",LEFT($Z43,2)="L-",LEFT($Z43,3)="RR-"),"LH","RH")))</f>
        <v/>
      </c>
      <c r="DC43" s="84">
        <f>IF($A43="","","S.HM"&amp;IF(OR($C43="DOOR ONLY",$X43&lt;&gt;"KD"),"MASONRY","DRYWALL")&amp;IF($C43="DOOR ONLY","",$U43)&amp;IF(AND($C43&lt;&gt;"FRAME ONLY",OR(LEFT($AH43,3)="OAK",LEFT($AH43,3)="BIR",LEFT($AH43,3)="MAP",$AH43="PC",$AH43="MC",$AH43="SCLC",$AH43="P-LAM")),"WD","HM")&amp;"1.75")</f>
        <v/>
      </c>
      <c r="DD43" s="84">
        <f>IF($CJ43="","",IF($O43="Y",$CJ43,SUBSTITUTE($CJ43,$BG43&amp;" "&amp;IFERROR(VLOOKUP($Z43,CODES,2,FALSE),"")&amp;" ",$BG43&amp;" ")))</f>
        <v/>
      </c>
      <c r="DE43" s="84">
        <f>IF($CK43="","",IF($O43="Y",$CK43,SUBSTITUTE($CK43,$BG43&amp;" "&amp;IF($AN43="",IFERROR(VLOOKUP($Z43,CODES,2,FALSE),""),IFERROR(VLOOKUP($AN43,CODES,2,FALSE),""))&amp;" ",$BG43&amp;" ")))</f>
        <v/>
      </c>
      <c r="DF43" s="84">
        <f>IF($CJ43="","",$DC43&amp;"|"&amp;$DD43&amp;"|"&amp;$DB43&amp;"|"&amp;$AT43&amp;"|"&amp;$V43&amp;"|"&amp;$Y43&amp;"|"&amp;$AB43)</f>
        <v/>
      </c>
      <c r="DG43" s="84">
        <f>IF(DF43="","",IF(COUNTIF($DF$6:DF43,DF43)=1,MAX($DG$5:DG42)+1,INDEX($DG$5:DG42,MATCH(DF43,$DF$5:DF42,0))))</f>
        <v/>
      </c>
      <c r="DH43" s="84">
        <f>IF($CK43="","",$DC43&amp;"|"&amp;$DE43&amp;"|"&amp;$AI43&amp;"|"&amp;$BK43&amp;"|"&amp;$BL43)</f>
        <v/>
      </c>
      <c r="DI43" s="84">
        <f>IF(DH43="","",IF(COUNTIF($DH$6:DH43,DH43)=1,MAX($DI$5:DI42)+1,INDEX($DI$5:DI42,MATCH(DH43,$DH$5:DH42,0))))</f>
        <v/>
      </c>
      <c r="DJ43" s="84">
        <f>IF($A43="","",IF($B43="","qty, ","")&amp;IF($C43="","scope, ","")&amp;IF(OR($K43="",$M43=""),"size, ","")&amp;IF(AND($A43&lt;&gt;"",$C43&lt;&gt;"DOOR ONLY"),IF($U43="","jamb depth, ","")&amp;IF($X43="","construction, ","")&amp;IF($Y43="","anchor, ","")&amp;IF($S43="","frame type, ",""),"")&amp;IF(AND(N($BJ43)&gt;0,$Z43=""),"hand, ","")&amp;IF(N($BJ43)&gt;0,IF($AH43="","door material, ","")&amp;IF($AL43="","face type, ","")&amp;IF($AP43="","lock prep, ","")&amp;IF(AND($AO43="",$AC43=""),"hinge prep, ",""),"")&amp;IF(AND($CH43&gt;0,$AH43="FRP"),"FRP cannot carry a label, ","")&amp;IF(AND($O43="Y",OR($Z43="L",$Z43="R",$Z43="LR",$Z43="RR")),"pair marked but hand is single, ","")&amp;IF(AND($O43&lt;&gt;"Y",OR($Z43="PR",AND(LEN($Z43)&gt;1,ISNUMBER(SEARCH("-",$Z43))))),"pair hand on a single door, ","")&amp;IF(AND(ISNUMBER($CI43),$CH43&lt;N($CI43)),"wall needs a "&amp;$CI43&amp;" min door, ","")&amp;IF(AND($CH43&gt;=180,AND(OR($CE43="FG",$CE43="HG",$CE43="FNV",$CE43="FV"),N($CF43)*N($CG43)&gt;100)),"180 min lite over 100 sq in, ","")&amp;IF(N($BK43)&gt;48,"leaf wider than 4'-0"&amp;CHAR(34)&amp;", ","")&amp;IF(AND($CT43,COUNT($AW43:$AZ43)=0,$CQ43&gt;0),"CUSTOM LOC with no locations typed, ",""))</f>
        <v/>
      </c>
      <c r="DK43" s="84">
        <f>IF($A43="","",IF(AND($CH43&gt;0,AND($A43&lt;&gt;"",$C43&lt;&gt;"DOOR ONLY"),$X43="KD",$E43="EXTERIOR"),"KD label on an exterior opening, ","")&amp;IF(AND($E43="EXTERIOR",OR(AND(AND($A43&lt;&gt;"",$C43&lt;&gt;"DOOR ONLY"),$W43="CR"),AND(N($BJ43)&gt;0,$AH43="CR"))),"exterior in CR steel (G9?), ","")&amp;IF(AND(ISNUMBER($BQ43),N($BQ43)&lt;32),"clear width ~"&amp;TEXT($BQ43,"0.0")&amp;CHAR(34)&amp;" under 32"&amp;CHAR(34)&amp;" (ADA), ","")&amp;IF(AND($CH43=90,AND(OR($CE43="FG",$CE43="HG",$CE43="FNV",$CE43="FV"),N($CF43)*N($CG43)&gt;100)),"90 min lite over 100 sq in (stair/exit), ","")&amp;IF(AND($CH43&gt;0,AND($A43&lt;&gt;"",$C43&lt;&gt;"DOOR ONLY"),OR($AF43="",$AF43="-")),"rated: closer reinf.?, ","")&amp;IF(OR($I43="CORRIDOR",$I43="SMOKE BARRIER"),"S label + smoke gasketing, ","")&amp;IF($CI43="?","wall type/hr not in IBC table, ","")&amp;IF(AND(N($BJ43)&gt;0,$BB43=""),"no hardware set, ","")&amp;IF(AND($BB43&lt;&gt;"",ISNA(MATCH($BB43&amp;"",HWSets,0))),"set "&amp;$BB43&amp;" not on HW Sets, ","")&amp;IF(N($BL43)&gt;96,"leaf over 8'-0"&amp;CHAR(34)&amp;" - check listing, ","")&amp;IF(AND($CT43,COUNT($AW43:$AZ43)&gt;0,COUNT($AW43:$AZ43)&lt;&gt;$CQ43),COUNT($AW43:$AZ43)&amp;" custom hinges typed, "&amp;$CQ43&amp;" expected, ","")&amp;IF(AND(ISNUMBER($CA43),OR(N($CA43)&lt;34,N($CA43)&gt;48)),"lock "&amp;TEXT($CA43,"0.0")&amp;CHAR(34)&amp;" AFF outside 34-48"&amp;CHAR(34)&amp;" (ADA), ","")&amp;IF(AND(ISNUMBER($AV43),ISNUMBER($BL43),N($AV43)&lt;IF(N($BL43)&lt;=60,2,IF(N($BL43)&lt;=90,3,IF(N($BL43)&lt;=120,4,5)))),"fewer hinges than standard, ",""))</f>
        <v/>
      </c>
    </row>
    <row r="44" ht="15" customHeight="1">
      <c r="A44" s="77" t="n"/>
      <c r="B44" s="78" t="n"/>
      <c r="C44" s="78" t="n"/>
      <c r="D44" s="78" t="n"/>
      <c r="E44" s="78" t="n"/>
      <c r="F44" s="78" t="n"/>
      <c r="G44" s="78" t="n"/>
      <c r="H44" s="78" t="n"/>
      <c r="I44" s="78" t="n"/>
      <c r="J44" s="78" t="n"/>
      <c r="K44" s="78" t="n"/>
      <c r="L44" s="78" t="n"/>
      <c r="M44" s="78" t="n"/>
      <c r="N44" s="78" t="n"/>
      <c r="O44" s="78" t="n"/>
      <c r="P44" s="78" t="n"/>
      <c r="Q44" s="78" t="n"/>
      <c r="R44" s="78" t="n"/>
      <c r="S44" s="79" t="n"/>
      <c r="T44" s="79" t="n"/>
      <c r="U44" s="79" t="n"/>
      <c r="V44" s="79" t="n"/>
      <c r="W44" s="79" t="n"/>
      <c r="X44" s="79" t="n"/>
      <c r="Y44" s="79" t="n"/>
      <c r="Z44" s="79" t="n"/>
      <c r="AA44" s="79" t="n"/>
      <c r="AB44" s="79" t="n"/>
      <c r="AC44" s="79" t="n"/>
      <c r="AD44" s="79" t="n"/>
      <c r="AE44" s="79" t="n"/>
      <c r="AF44" s="79" t="n"/>
      <c r="AG44" s="79" t="n"/>
      <c r="AH44" s="80" t="n"/>
      <c r="AI44" s="80" t="n"/>
      <c r="AJ44" s="80" t="n"/>
      <c r="AK44" s="80" t="n"/>
      <c r="AL44" s="80" t="n"/>
      <c r="AM44" s="80" t="n"/>
      <c r="AN44" s="80" t="n"/>
      <c r="AO44" s="80" t="n"/>
      <c r="AP44" s="80" t="n"/>
      <c r="AQ44" s="80" t="n"/>
      <c r="AR44" s="80" t="n"/>
      <c r="AS44" s="80" t="n"/>
      <c r="AT44" s="81" t="n"/>
      <c r="AU44" s="81" t="n"/>
      <c r="AV44" s="81" t="n"/>
      <c r="AW44" s="82" t="n"/>
      <c r="AX44" s="82" t="n"/>
      <c r="AY44" s="82" t="n"/>
      <c r="AZ44" s="82" t="n"/>
      <c r="BA44" s="82" t="n"/>
      <c r="BB44" s="83" t="n"/>
      <c r="BC44" s="83" t="n"/>
      <c r="BD44" s="84">
        <f>IF($A44="","",IF($DJ44&lt;&gt;"","FIX",IF($DK44&lt;&gt;"","CHECK","OK")))</f>
        <v/>
      </c>
      <c r="BE44" s="85">
        <f>IF($A44="","",IF($DJ44&lt;&gt;"","FIX: "&amp;LEFT($DJ44,LEN($DJ44)-2)&amp;IF($DK44&lt;&gt;"","  ·  ",""),"")&amp;IF($DK44&lt;&gt;"","CHECK: "&amp;LEFT($DK44,LEN($DK44)-2),""))</f>
        <v/>
      </c>
      <c r="BF44" s="84">
        <f>IF(OR($A44="",$K44=""),"",$K44&amp;"'-"&amp;N($L44)&amp;CHAR(34)&amp;" x "&amp;$M44&amp;"'-"&amp;N($N44)&amp;CHAR(34))</f>
        <v/>
      </c>
      <c r="BG44" s="84">
        <f>IF(OR($A44="",$K44=""),"",$K44&amp;N($L44)&amp;$M44&amp;N($N44))</f>
        <v/>
      </c>
      <c r="BH44" s="84">
        <f>IF(OR($A44="",$K44=""),"",$K44*12+N($L44))</f>
        <v/>
      </c>
      <c r="BI44" s="84">
        <f>IF(OR($A44="",$M44=""),"",$M44*12+N($N44))</f>
        <v/>
      </c>
      <c r="BJ44" s="84">
        <f>IF($A44="","",IF(OR($C44="FRAME ONLY",$S44="BL"),0,IF($O44="Y",2,1)))</f>
        <v/>
      </c>
      <c r="BK44" s="86">
        <f>IF(OR(N($BJ44)=0,$BH44=""),"",($BH44-2*EdgeClr-IF($BJ44=2,MeetClr,0))/$BJ44)</f>
        <v/>
      </c>
      <c r="BL44" s="86">
        <f>IF(OR(N($BJ44)=0,$BI44=""),"",$BI44-HeadClr-Undercut)</f>
        <v/>
      </c>
      <c r="BM44" s="86">
        <f>IF($BH44="","",$BH44+2*FaceW+IF(N($Q44)&gt;0,($Q44+FaceW)*IF($R44="LR",2,1),0))</f>
        <v/>
      </c>
      <c r="BN44" s="86">
        <f>IF($BI44="","",$BI44+IF($AB44="Y",4,FaceW)+IF(N($P44)&gt;0,$P44+FaceW,0)+IF(OR($S44="4F",$S44="BL"),FaceW,0))</f>
        <v/>
      </c>
      <c r="BO44" s="86">
        <f>IF($BM44="","",$BM44+2*ROSide)</f>
        <v/>
      </c>
      <c r="BP44" s="86">
        <f>IF($BN44="","",$BN44+ROTop)</f>
        <v/>
      </c>
      <c r="BQ44" s="87">
        <f>IF(OR(N($BJ44)=0,$BH44=""),"",$BH44/$BJ44-ClearDeduct)</f>
        <v/>
      </c>
      <c r="BR44" s="84">
        <f>IF(N($CH44)=0,"",IF($CH44&gt;=180,"A · 3 HR",IF($CH44&gt;=90,"B · 1-1/2 HR",IF($CH44&gt;=60,"B · 1 HR",IF($CH44&gt;=45,"C · 3/4 HR","20 MIN")))))&amp;IF(AND(N($CH44)&gt;0,OR($I44="CORRIDOR",$I44="SMOKE BARRIER"))," · S","")</f>
        <v/>
      </c>
      <c r="BS44" s="84">
        <f>IF($CS44,"",IF($AV44&lt;&gt;"",$AV44,IF(OR($AC44="HGC",$AO44="HGC"),"CONT",IF(($BI44-HeadClr-Undercut)&lt;=60,2,IF(($BI44-HeadClr-Undercut)&lt;=90,3,IF(($BI44-HeadClr-Undercut)&lt;=120,4,5))))))</f>
        <v/>
      </c>
      <c r="BT44" s="84">
        <f>IF($CS44,"",IF($CT44,"CUSTOM (typed)",IF($CV44,$AT44&amp;" "&amp;$CU44&amp;CHAR(34)&amp;IF($CU44&lt;&gt;$BI44,IF(AND($BI44&lt;$CU44,$BI44-IF(N(VLOOKUP($AT44&amp;"|"&amp;$CU44,LocTable,7,FALSE))&gt;0,VLOOKUP($AT44&amp;"|"&amp;$CU44,LocTable,7,FALSE),VLOOKUP($AT44&amp;"|"&amp;$CU44,LocTable,6,FALSE))-$CR44-0.75&gt;=2.125)," cut down"," adj."),""),"ANSI/SDI A250.6")))</f>
        <v/>
      </c>
      <c r="BU44" s="88">
        <f>IF($CS44,"",IF($CT44,IF(N($AW44)&gt;0,N($AW44),""),IF(1&gt;$CQ44,"",IF($CQ44=1,$CW44,$CW44+($CX44-$CW44)*0/($CQ44-1)))))</f>
        <v/>
      </c>
      <c r="BV44" s="88">
        <f>IF($CS44,"",IF($CT44,IF(N($AX44)&gt;0,N($AX44),""),IF(2&gt;$CQ44,"",IF($CQ44=1,$CW44,$CW44+($CX44-$CW44)*1/($CQ44-1)))))</f>
        <v/>
      </c>
      <c r="BW44" s="88">
        <f>IF($CS44,"",IF($CT44,IF(N($AY44)&gt;0,N($AY44),""),IF(3&gt;$CQ44,"",IF($CQ44=1,$CW44,$CW44+($CX44-$CW44)*2/($CQ44-1)))))</f>
        <v/>
      </c>
      <c r="BX44" s="88">
        <f>IF($CS44,"",IF($CT44,IF(N($AZ44)&gt;0,N($AZ44),""),IF(4&gt;$CQ44,"",IF($CQ44=1,$CW44,$CW44+($CX44-$CW44)*3/($CQ44-1)))))</f>
        <v/>
      </c>
      <c r="BY44" s="88">
        <f>IF($CS44,"",IF($CT44,"",IF(5&gt;$CQ44,"",IF($CQ44=1,$CW44,$CW44+($CX44-$CW44)*4/($CQ44-1)))))</f>
        <v/>
      </c>
      <c r="BZ44" s="88">
        <f>IF(OR($CS44,$AP44="-",AND($AP44="",$AD44="")),"",IF(N($BA44)&gt;0,N($BA44),IF($CV44,IF(AND($BI44&lt;$CU44,$BI44-IF(N(VLOOKUP($AT44&amp;"|"&amp;$CU44,LocTable,7,FALSE))&gt;0,VLOOKUP($AT44&amp;"|"&amp;$CU44,LocTable,7,FALSE),VLOOKUP($AT44&amp;"|"&amp;$CU44,LocTable,6,FALSE))-$CR44-0.75&gt;=2.125),VLOOKUP($AT44&amp;"|"&amp;$CU44,LocTable,8,FALSE),VLOOKUP($AT44&amp;"|"&amp;$CU44,LocTable,8,FALSE)+($BI44-$CU44)),$BI44-LockAFF)))</f>
        <v/>
      </c>
      <c r="CA44" s="89">
        <f>IF($BZ44="","",$BI44-$BZ44)</f>
        <v/>
      </c>
      <c r="CB44" s="84">
        <f>IF(OR(NOT(AND($A44&lt;&gt;"",$C44&lt;&gt;"DOOR ONLY")),$BI44=""),"",IF(($BI44+IF(N($P44)&gt;0,$P44+FaceW,0))&lt;=90,3,IF(($BI44+IF(N($P44)&gt;0,$P44+FaceW,0))&lt;=114,4,5)))</f>
        <v/>
      </c>
      <c r="CC44" s="84">
        <f>IF($CB44="","",$CB44*(2+IF(N($Q44)&gt;0,IF($R44="LR",2,1),0)))</f>
        <v/>
      </c>
      <c r="CD44" s="84">
        <f>IF($CB44="","",(2+IF(N($Q44)&gt;0,IF($R44="LR",2,1),0)))</f>
        <v/>
      </c>
      <c r="CE44" s="84">
        <f>IF(N($BJ44)=0,"",IF(OR($AL44="",$AL44="FLUSH"),"FLUSH",IFERROR(LEFT($AL44,FIND("-",$AL44)-1),LEFT($AL44,2))))</f>
        <v/>
      </c>
      <c r="CF44" s="84">
        <f>IF($CE44="","",IFERROR(VALUE(MID($AL44,FIND("-",$AL44)+1,FIND(CHAR(34)&amp;"x",$AL44)-FIND("-",$AL44)-1)),0))</f>
        <v/>
      </c>
      <c r="CG44" s="84">
        <f>IF($CE44="","",IFERROR(VALUE(MID($AL44,FIND(CHAR(34)&amp;"x",$AL44)+2,FIND(CHAR(34),$AL44,FIND(CHAR(34)&amp;"x",$AL44)+2)-FIND(CHAR(34)&amp;"x",$AL44)-2)),0))</f>
        <v/>
      </c>
      <c r="CH44" s="90">
        <f>IF(OR($A44="",$H44="",$H44="NO LAB"),0,IFERROR(VALUE(LEFT($H44,FIND(" ",$H44)-1)),0))</f>
        <v/>
      </c>
      <c r="CI44" s="91">
        <f>IF(OR($A44="",$I44="",$I44="NON-RATED",N($J44)=0),"",IFERROR(VLOOKUP($I44&amp;"|"&amp;$J44,IBC,2,FALSE),"?"))</f>
        <v/>
      </c>
      <c r="CJ44" s="85">
        <f>IF(NOT(AND($A44&lt;&gt;"",$C44&lt;&gt;"DOOR ONLY")),"",TRIM(IFERROR(VLOOKUP($U44,CODES,2,FALSE),"")&amp;" "&amp;$BG44&amp;" "&amp;IFERROR(VLOOKUP($Z44,CODES,2,FALSE),"")&amp;" "&amp;IFERROR(VLOOKUP($X44,CODES,2,FALSE),"")&amp;" "&amp;IFERROR(VLOOKUP($S44,CODES,2,FALSE),"")&amp;IF(N($P44)&gt;0," w/TRANSOM "&amp;$P44&amp;CHAR(34),"")&amp;IF(N($Q44)&gt;0," w/SIDELITE "&amp;$Q44&amp;CHAR(34)&amp;" "&amp;IF($R44="","R",$R44),"")&amp;IF($Y44="","  |  "," | "&amp;IFERROR(VLOOKUP($Y44,CODES,2,FALSE),"")&amp;" | ")&amp;IFERROR(VLOOKUP($AC44,CODES,2,FALSE),"")&amp;" "&amp;IFERROR(VLOOKUP($AD44,CODES,2,FALSE),"")&amp;IF(OR($AE44="",$AE44="-"),""," "&amp;$AE44)&amp;IF(OR($AF44="",$AF44="-"),""," "&amp;$AF44)&amp;IF($AB44="Y"," 4"&amp;CHAR(34)&amp;" HEAD","")&amp;" "&amp;IFERROR(VLOOKUP($H44,CODES,2,FALSE),"")&amp;IF($CT44," | LOC "&amp;$CY44,"")))</f>
        <v/>
      </c>
      <c r="CK44" s="85">
        <f>IF(NOT(AND($A44&lt;&gt;"",N($BJ44)&gt;0)),"",TRIM(IFERROR(VLOOKUP($AH44,CODES,2,FALSE),"")&amp;IF($AI44=""," "," "&amp;$AI44&amp;"GA ")&amp;$BG44&amp;" "&amp;IF($AN44="",IFERROR(VLOOKUP($Z44,CODES,2,FALSE),""),IFERROR(VLOOKUP($AN44,CODES,2,FALSE),""))&amp;IF($BJ44=2," PAIR","")&amp;" DOOR | "&amp;IF($AL44="","?",$AL44)&amp;" | "&amp;IF($AO44="",IFERROR(VLOOKUP($AC44,CODES,2,FALSE),""),IFERROR(VLOOKUP($AO44,CODES,2,FALSE),""))&amp;" "&amp;IFERROR(VLOOKUP($AP44,CODES,2,FALSE),"")&amp;IF(OR($AQ44="",$AQ44="-"),""," SEAM "&amp;$AQ44)&amp;IF($AR44="Y"," ASTRAGAL","")&amp;IF($AJ44=""," "," "&amp;$AJ44)&amp;IF($AK44=""," "," "&amp;$AK44)&amp;IF(OR($AT44="",$AT44="ANSI/SDI",$AT44="CUSTOM LOC"),""," "&amp;$AT44)&amp;IF($AM44=""," "," SERIES "&amp;$AM44)&amp;" "&amp;IFERROR(VLOOKUP($H44,CODES,2,FALSE),"")&amp;IF($CT44," | LOC "&amp;$CZ44,"")))</f>
        <v/>
      </c>
      <c r="CL44" s="84">
        <f>IF(CP44="","",IF(COUNTIF($CP$6:CP44,CP44)=1,MAX($CL$5:CL43)+1,INDEX($CL$5:CL43,MATCH(CP44,$CP$5:CP43,0))))</f>
        <v/>
      </c>
      <c r="CM44" s="84">
        <f>IF(NOT(AND($A44&lt;&gt;"",$C44&lt;&gt;"DOOR ONLY")),"",MAX($CM$5:CM43)+1)</f>
        <v/>
      </c>
      <c r="CN44" s="84">
        <f>IF(NOT(AND($A44&lt;&gt;"",N($BJ44)&gt;0)),"",MAX($CN$5:CN43)+1)</f>
        <v/>
      </c>
      <c r="CO44" s="84">
        <f>IF($A44="","",MAX($CO$5:CO43)+1)</f>
        <v/>
      </c>
      <c r="CP44" s="84">
        <f>IF(OR($A44="",$BH44="",$BI44=""),"",$BG44&amp;"|"&amp;$O44&amp;"|"&amp;$AL44&amp;"|"&amp;$S44&amp;"|"&amp;$P44&amp;"|"&amp;$Q44&amp;$R44&amp;"|"&amp;$C44&amp;"|"&amp;$AB44)</f>
        <v/>
      </c>
      <c r="CQ44" s="84">
        <f>N($BS44)</f>
        <v/>
      </c>
      <c r="CR44" s="84">
        <f>IF(N($AU44)&gt;0,N($AU44),4.5)</f>
        <v/>
      </c>
      <c r="CS44" s="84">
        <f>OR($A44="",$BI44="",$S44="BL",AND($C44="FRAME ONLY",OR($AC44="",$AC44="BLK")))</f>
        <v/>
      </c>
      <c r="CT44" s="84">
        <f>AND(NOT($CS44),OR($AT44="CUSTOM LOC",N($AW44)+N($AX44)+N($AY44)+N($AZ44)+N($BA44)&gt;0))</f>
        <v/>
      </c>
      <c r="CU44" s="84">
        <f>IF($BI44="","",IF($BI44&lt;=80,80,IF($BI44&lt;=84,84,96)))</f>
        <v/>
      </c>
      <c r="CV44" s="84">
        <f>ISNUMBER(MATCH($AT44&amp;"|80",LocKeys,0))</f>
        <v/>
      </c>
      <c r="CW44" s="86">
        <f>IF($CS44,"",IF($CV44,VLOOKUP($AT44&amp;"|"&amp;$CU44,LocTable,4,FALSE),5))</f>
        <v/>
      </c>
      <c r="CX44" s="86">
        <f>IF($CS44,"",IF($CV44,IF(OR($BI44=$CU44,AND($BI44&lt;$CU44,$BI44-IF(N(VLOOKUP($AT44&amp;"|"&amp;$CU44,LocTable,7,FALSE))&gt;0,VLOOKUP($AT44&amp;"|"&amp;$CU44,LocTable,7,FALSE),VLOOKUP($AT44&amp;"|"&amp;$CU44,LocTable,6,FALSE))-$CR44-0.75&gt;=2.125)),IF(N(VLOOKUP($AT44&amp;"|"&amp;$CU44,LocTable,7,FALSE))&gt;0,VLOOKUP($AT44&amp;"|"&amp;$CU44,LocTable,7,FALSE),VLOOKUP($AT44&amp;"|"&amp;$CU44,LocTable,6,FALSE)),$BI44-($CU44-IF(N(VLOOKUP($AT44&amp;"|"&amp;$CU44,LocTable,7,FALSE))&gt;0,VLOOKUP($AT44&amp;"|"&amp;$CU44,LocTable,7,FALSE),VLOOKUP($AT44&amp;"|"&amp;$CU44,LocTable,6,FALSE)))),$BI44-10-$CR44))</f>
        <v/>
      </c>
      <c r="CY44" s="85">
        <f>IF($CS44,"",TRIM(IF(ISNUMBER($BU44),"A "&amp;TRIM(TEXT($BU44,"# ?/??"))&amp;CHAR(34)&amp;"  ","")&amp;IF(ISNUMBER($BV44),"B "&amp;TRIM(TEXT($BV44,"# ?/??"))&amp;CHAR(34)&amp;"  ","")&amp;IF(ISNUMBER($BW44),"C "&amp;TRIM(TEXT($BW44,"# ?/??"))&amp;CHAR(34)&amp;"  ","")&amp;IF(ISNUMBER($BX44),"D "&amp;TRIM(TEXT($BX44,"# ?/??"))&amp;CHAR(34)&amp;"  ","")&amp;IF(ISNUMBER($BY44),"F "&amp;TRIM(TEXT($BY44,"# ?/??"))&amp;CHAR(34)&amp;"  ","")&amp;IF(ISNUMBER($BZ44),"E "&amp;TRIM(TEXT($BZ44,"# ?/??"))&amp;CHAR(34)&amp;"  ","")))</f>
        <v/>
      </c>
      <c r="CZ44" s="85">
        <f>IF(OR($CS44,N($BJ44)=0),"",TRIM(IF(ISNUMBER($BU44),"A "&amp;TRIM(TEXT($BU44-HeadClr,"# ?/??"))&amp;CHAR(34)&amp;"  ","")&amp;IF(ISNUMBER($BV44),"B "&amp;TRIM(TEXT($BV44-HeadClr,"# ?/??"))&amp;CHAR(34)&amp;"  ","")&amp;IF(ISNUMBER($BW44),"C "&amp;TRIM(TEXT($BW44-HeadClr,"# ?/??"))&amp;CHAR(34)&amp;"  ","")&amp;IF(ISNUMBER($BX44),"D "&amp;TRIM(TEXT($BX44-HeadClr,"# ?/??"))&amp;CHAR(34)&amp;"  ","")&amp;IF(ISNUMBER($BY44),"F "&amp;TRIM(TEXT($BY44-HeadClr,"# ?/??"))&amp;CHAR(34)&amp;"  ","")&amp;IF(ISNUMBER($BZ44),"E "&amp;TRIM(TEXT($BZ44-HeadClr,"# ?/??"))&amp;CHAR(34)&amp;"  ","")))</f>
        <v/>
      </c>
      <c r="DA44" s="84">
        <f>IF($A44="","",IF($AN44="",IFERROR(VLOOKUP($Z44,CODES,2,FALSE),""),IFERROR(VLOOKUP($AN44,CODES,2,FALSE),"")))</f>
        <v/>
      </c>
      <c r="DB44" s="84">
        <f>IF($A44="","",IF($O44="Y","PR",IF(OR($Z44="L",$Z44="RR",LEFT($Z44,2)="L-",LEFT($Z44,3)="RR-"),"LH","RH")))</f>
        <v/>
      </c>
      <c r="DC44" s="84">
        <f>IF($A44="","","S.HM"&amp;IF(OR($C44="DOOR ONLY",$X44&lt;&gt;"KD"),"MASONRY","DRYWALL")&amp;IF($C44="DOOR ONLY","",$U44)&amp;IF(AND($C44&lt;&gt;"FRAME ONLY",OR(LEFT($AH44,3)="OAK",LEFT($AH44,3)="BIR",LEFT($AH44,3)="MAP",$AH44="PC",$AH44="MC",$AH44="SCLC",$AH44="P-LAM")),"WD","HM")&amp;"1.75")</f>
        <v/>
      </c>
      <c r="DD44" s="84">
        <f>IF($CJ44="","",IF($O44="Y",$CJ44,SUBSTITUTE($CJ44,$BG44&amp;" "&amp;IFERROR(VLOOKUP($Z44,CODES,2,FALSE),"")&amp;" ",$BG44&amp;" ")))</f>
        <v/>
      </c>
      <c r="DE44" s="84">
        <f>IF($CK44="","",IF($O44="Y",$CK44,SUBSTITUTE($CK44,$BG44&amp;" "&amp;IF($AN44="",IFERROR(VLOOKUP($Z44,CODES,2,FALSE),""),IFERROR(VLOOKUP($AN44,CODES,2,FALSE),""))&amp;" ",$BG44&amp;" ")))</f>
        <v/>
      </c>
      <c r="DF44" s="84">
        <f>IF($CJ44="","",$DC44&amp;"|"&amp;$DD44&amp;"|"&amp;$DB44&amp;"|"&amp;$AT44&amp;"|"&amp;$V44&amp;"|"&amp;$Y44&amp;"|"&amp;$AB44)</f>
        <v/>
      </c>
      <c r="DG44" s="84">
        <f>IF(DF44="","",IF(COUNTIF($DF$6:DF44,DF44)=1,MAX($DG$5:DG43)+1,INDEX($DG$5:DG43,MATCH(DF44,$DF$5:DF43,0))))</f>
        <v/>
      </c>
      <c r="DH44" s="84">
        <f>IF($CK44="","",$DC44&amp;"|"&amp;$DE44&amp;"|"&amp;$AI44&amp;"|"&amp;$BK44&amp;"|"&amp;$BL44)</f>
        <v/>
      </c>
      <c r="DI44" s="84">
        <f>IF(DH44="","",IF(COUNTIF($DH$6:DH44,DH44)=1,MAX($DI$5:DI43)+1,INDEX($DI$5:DI43,MATCH(DH44,$DH$5:DH43,0))))</f>
        <v/>
      </c>
      <c r="DJ44" s="84">
        <f>IF($A44="","",IF($B44="","qty, ","")&amp;IF($C44="","scope, ","")&amp;IF(OR($K44="",$M44=""),"size, ","")&amp;IF(AND($A44&lt;&gt;"",$C44&lt;&gt;"DOOR ONLY"),IF($U44="","jamb depth, ","")&amp;IF($X44="","construction, ","")&amp;IF($Y44="","anchor, ","")&amp;IF($S44="","frame type, ",""),"")&amp;IF(AND(N($BJ44)&gt;0,$Z44=""),"hand, ","")&amp;IF(N($BJ44)&gt;0,IF($AH44="","door material, ","")&amp;IF($AL44="","face type, ","")&amp;IF($AP44="","lock prep, ","")&amp;IF(AND($AO44="",$AC44=""),"hinge prep, ",""),"")&amp;IF(AND($CH44&gt;0,$AH44="FRP"),"FRP cannot carry a label, ","")&amp;IF(AND($O44="Y",OR($Z44="L",$Z44="R",$Z44="LR",$Z44="RR")),"pair marked but hand is single, ","")&amp;IF(AND($O44&lt;&gt;"Y",OR($Z44="PR",AND(LEN($Z44)&gt;1,ISNUMBER(SEARCH("-",$Z44))))),"pair hand on a single door, ","")&amp;IF(AND(ISNUMBER($CI44),$CH44&lt;N($CI44)),"wall needs a "&amp;$CI44&amp;" min door, ","")&amp;IF(AND($CH44&gt;=180,AND(OR($CE44="FG",$CE44="HG",$CE44="FNV",$CE44="FV"),N($CF44)*N($CG44)&gt;100)),"180 min lite over 100 sq in, ","")&amp;IF(N($BK44)&gt;48,"leaf wider than 4'-0"&amp;CHAR(34)&amp;", ","")&amp;IF(AND($CT44,COUNT($AW44:$AZ44)=0,$CQ44&gt;0),"CUSTOM LOC with no locations typed, ",""))</f>
        <v/>
      </c>
      <c r="DK44" s="84">
        <f>IF($A44="","",IF(AND($CH44&gt;0,AND($A44&lt;&gt;"",$C44&lt;&gt;"DOOR ONLY"),$X44="KD",$E44="EXTERIOR"),"KD label on an exterior opening, ","")&amp;IF(AND($E44="EXTERIOR",OR(AND(AND($A44&lt;&gt;"",$C44&lt;&gt;"DOOR ONLY"),$W44="CR"),AND(N($BJ44)&gt;0,$AH44="CR"))),"exterior in CR steel (G9?), ","")&amp;IF(AND(ISNUMBER($BQ44),N($BQ44)&lt;32),"clear width ~"&amp;TEXT($BQ44,"0.0")&amp;CHAR(34)&amp;" under 32"&amp;CHAR(34)&amp;" (ADA), ","")&amp;IF(AND($CH44=90,AND(OR($CE44="FG",$CE44="HG",$CE44="FNV",$CE44="FV"),N($CF44)*N($CG44)&gt;100)),"90 min lite over 100 sq in (stair/exit), ","")&amp;IF(AND($CH44&gt;0,AND($A44&lt;&gt;"",$C44&lt;&gt;"DOOR ONLY"),OR($AF44="",$AF44="-")),"rated: closer reinf.?, ","")&amp;IF(OR($I44="CORRIDOR",$I44="SMOKE BARRIER"),"S label + smoke gasketing, ","")&amp;IF($CI44="?","wall type/hr not in IBC table, ","")&amp;IF(AND(N($BJ44)&gt;0,$BB44=""),"no hardware set, ","")&amp;IF(AND($BB44&lt;&gt;"",ISNA(MATCH($BB44&amp;"",HWSets,0))),"set "&amp;$BB44&amp;" not on HW Sets, ","")&amp;IF(N($BL44)&gt;96,"leaf over 8'-0"&amp;CHAR(34)&amp;" - check listing, ","")&amp;IF(AND($CT44,COUNT($AW44:$AZ44)&gt;0,COUNT($AW44:$AZ44)&lt;&gt;$CQ44),COUNT($AW44:$AZ44)&amp;" custom hinges typed, "&amp;$CQ44&amp;" expected, ","")&amp;IF(AND(ISNUMBER($CA44),OR(N($CA44)&lt;34,N($CA44)&gt;48)),"lock "&amp;TEXT($CA44,"0.0")&amp;CHAR(34)&amp;" AFF outside 34-48"&amp;CHAR(34)&amp;" (ADA), ","")&amp;IF(AND(ISNUMBER($AV44),ISNUMBER($BL44),N($AV44)&lt;IF(N($BL44)&lt;=60,2,IF(N($BL44)&lt;=90,3,IF(N($BL44)&lt;=120,4,5)))),"fewer hinges than standard, ",""))</f>
        <v/>
      </c>
    </row>
    <row r="45" ht="15" customHeight="1">
      <c r="A45" s="92" t="n"/>
      <c r="B45" s="93" t="n"/>
      <c r="C45" s="93" t="n"/>
      <c r="D45" s="93" t="n"/>
      <c r="E45" s="93" t="n"/>
      <c r="F45" s="93" t="n"/>
      <c r="G45" s="93" t="n"/>
      <c r="H45" s="93" t="n"/>
      <c r="I45" s="93" t="n"/>
      <c r="J45" s="93" t="n"/>
      <c r="K45" s="93" t="n"/>
      <c r="L45" s="93" t="n"/>
      <c r="M45" s="93" t="n"/>
      <c r="N45" s="93" t="n"/>
      <c r="O45" s="93" t="n"/>
      <c r="P45" s="93" t="n"/>
      <c r="Q45" s="93" t="n"/>
      <c r="R45" s="93" t="n"/>
      <c r="S45" s="94" t="n"/>
      <c r="T45" s="94" t="n"/>
      <c r="U45" s="94" t="n"/>
      <c r="V45" s="94" t="n"/>
      <c r="W45" s="94" t="n"/>
      <c r="X45" s="94" t="n"/>
      <c r="Y45" s="94" t="n"/>
      <c r="Z45" s="94" t="n"/>
      <c r="AA45" s="94" t="n"/>
      <c r="AB45" s="94" t="n"/>
      <c r="AC45" s="94" t="n"/>
      <c r="AD45" s="94" t="n"/>
      <c r="AE45" s="94" t="n"/>
      <c r="AF45" s="94" t="n"/>
      <c r="AG45" s="94" t="n"/>
      <c r="AH45" s="95" t="n"/>
      <c r="AI45" s="95" t="n"/>
      <c r="AJ45" s="95" t="n"/>
      <c r="AK45" s="95" t="n"/>
      <c r="AL45" s="95" t="n"/>
      <c r="AM45" s="95" t="n"/>
      <c r="AN45" s="95" t="n"/>
      <c r="AO45" s="95" t="n"/>
      <c r="AP45" s="95" t="n"/>
      <c r="AQ45" s="95" t="n"/>
      <c r="AR45" s="95" t="n"/>
      <c r="AS45" s="95" t="n"/>
      <c r="AT45" s="96" t="n"/>
      <c r="AU45" s="96" t="n"/>
      <c r="AV45" s="96" t="n"/>
      <c r="AW45" s="97" t="n"/>
      <c r="AX45" s="97" t="n"/>
      <c r="AY45" s="97" t="n"/>
      <c r="AZ45" s="97" t="n"/>
      <c r="BA45" s="97" t="n"/>
      <c r="BB45" s="98" t="n"/>
      <c r="BC45" s="98" t="n"/>
      <c r="BD45" s="99">
        <f>IF($A45="","",IF($DJ45&lt;&gt;"","FIX",IF($DK45&lt;&gt;"","CHECK","OK")))</f>
        <v/>
      </c>
      <c r="BE45" s="100">
        <f>IF($A45="","",IF($DJ45&lt;&gt;"","FIX: "&amp;LEFT($DJ45,LEN($DJ45)-2)&amp;IF($DK45&lt;&gt;"","  ·  ",""),"")&amp;IF($DK45&lt;&gt;"","CHECK: "&amp;LEFT($DK45,LEN($DK45)-2),""))</f>
        <v/>
      </c>
      <c r="BF45" s="99">
        <f>IF(OR($A45="",$K45=""),"",$K45&amp;"'-"&amp;N($L45)&amp;CHAR(34)&amp;" x "&amp;$M45&amp;"'-"&amp;N($N45)&amp;CHAR(34))</f>
        <v/>
      </c>
      <c r="BG45" s="99">
        <f>IF(OR($A45="",$K45=""),"",$K45&amp;N($L45)&amp;$M45&amp;N($N45))</f>
        <v/>
      </c>
      <c r="BH45" s="99">
        <f>IF(OR($A45="",$K45=""),"",$K45*12+N($L45))</f>
        <v/>
      </c>
      <c r="BI45" s="99">
        <f>IF(OR($A45="",$M45=""),"",$M45*12+N($N45))</f>
        <v/>
      </c>
      <c r="BJ45" s="99">
        <f>IF($A45="","",IF(OR($C45="FRAME ONLY",$S45="BL"),0,IF($O45="Y",2,1)))</f>
        <v/>
      </c>
      <c r="BK45" s="101">
        <f>IF(OR(N($BJ45)=0,$BH45=""),"",($BH45-2*EdgeClr-IF($BJ45=2,MeetClr,0))/$BJ45)</f>
        <v/>
      </c>
      <c r="BL45" s="101">
        <f>IF(OR(N($BJ45)=0,$BI45=""),"",$BI45-HeadClr-Undercut)</f>
        <v/>
      </c>
      <c r="BM45" s="101">
        <f>IF($BH45="","",$BH45+2*FaceW+IF(N($Q45)&gt;0,($Q45+FaceW)*IF($R45="LR",2,1),0))</f>
        <v/>
      </c>
      <c r="BN45" s="101">
        <f>IF($BI45="","",$BI45+IF($AB45="Y",4,FaceW)+IF(N($P45)&gt;0,$P45+FaceW,0)+IF(OR($S45="4F",$S45="BL"),FaceW,0))</f>
        <v/>
      </c>
      <c r="BO45" s="101">
        <f>IF($BM45="","",$BM45+2*ROSide)</f>
        <v/>
      </c>
      <c r="BP45" s="101">
        <f>IF($BN45="","",$BN45+ROTop)</f>
        <v/>
      </c>
      <c r="BQ45" s="102">
        <f>IF(OR(N($BJ45)=0,$BH45=""),"",$BH45/$BJ45-ClearDeduct)</f>
        <v/>
      </c>
      <c r="BR45" s="99">
        <f>IF(N($CH45)=0,"",IF($CH45&gt;=180,"A · 3 HR",IF($CH45&gt;=90,"B · 1-1/2 HR",IF($CH45&gt;=60,"B · 1 HR",IF($CH45&gt;=45,"C · 3/4 HR","20 MIN")))))&amp;IF(AND(N($CH45)&gt;0,OR($I45="CORRIDOR",$I45="SMOKE BARRIER"))," · S","")</f>
        <v/>
      </c>
      <c r="BS45" s="99">
        <f>IF($CS45,"",IF($AV45&lt;&gt;"",$AV45,IF(OR($AC45="HGC",$AO45="HGC"),"CONT",IF(($BI45-HeadClr-Undercut)&lt;=60,2,IF(($BI45-HeadClr-Undercut)&lt;=90,3,IF(($BI45-HeadClr-Undercut)&lt;=120,4,5))))))</f>
        <v/>
      </c>
      <c r="BT45" s="99">
        <f>IF($CS45,"",IF($CT45,"CUSTOM (typed)",IF($CV45,$AT45&amp;" "&amp;$CU45&amp;CHAR(34)&amp;IF($CU45&lt;&gt;$BI45,IF(AND($BI45&lt;$CU45,$BI45-IF(N(VLOOKUP($AT45&amp;"|"&amp;$CU45,LocTable,7,FALSE))&gt;0,VLOOKUP($AT45&amp;"|"&amp;$CU45,LocTable,7,FALSE),VLOOKUP($AT45&amp;"|"&amp;$CU45,LocTable,6,FALSE))-$CR45-0.75&gt;=2.125)," cut down"," adj."),""),"ANSI/SDI A250.6")))</f>
        <v/>
      </c>
      <c r="BU45" s="103">
        <f>IF($CS45,"",IF($CT45,IF(N($AW45)&gt;0,N($AW45),""),IF(1&gt;$CQ45,"",IF($CQ45=1,$CW45,$CW45+($CX45-$CW45)*0/($CQ45-1)))))</f>
        <v/>
      </c>
      <c r="BV45" s="103">
        <f>IF($CS45,"",IF($CT45,IF(N($AX45)&gt;0,N($AX45),""),IF(2&gt;$CQ45,"",IF($CQ45=1,$CW45,$CW45+($CX45-$CW45)*1/($CQ45-1)))))</f>
        <v/>
      </c>
      <c r="BW45" s="103">
        <f>IF($CS45,"",IF($CT45,IF(N($AY45)&gt;0,N($AY45),""),IF(3&gt;$CQ45,"",IF($CQ45=1,$CW45,$CW45+($CX45-$CW45)*2/($CQ45-1)))))</f>
        <v/>
      </c>
      <c r="BX45" s="103">
        <f>IF($CS45,"",IF($CT45,IF(N($AZ45)&gt;0,N($AZ45),""),IF(4&gt;$CQ45,"",IF($CQ45=1,$CW45,$CW45+($CX45-$CW45)*3/($CQ45-1)))))</f>
        <v/>
      </c>
      <c r="BY45" s="103">
        <f>IF($CS45,"",IF($CT45,"",IF(5&gt;$CQ45,"",IF($CQ45=1,$CW45,$CW45+($CX45-$CW45)*4/($CQ45-1)))))</f>
        <v/>
      </c>
      <c r="BZ45" s="103">
        <f>IF(OR($CS45,$AP45="-",AND($AP45="",$AD45="")),"",IF(N($BA45)&gt;0,N($BA45),IF($CV45,IF(AND($BI45&lt;$CU45,$BI45-IF(N(VLOOKUP($AT45&amp;"|"&amp;$CU45,LocTable,7,FALSE))&gt;0,VLOOKUP($AT45&amp;"|"&amp;$CU45,LocTable,7,FALSE),VLOOKUP($AT45&amp;"|"&amp;$CU45,LocTable,6,FALSE))-$CR45-0.75&gt;=2.125),VLOOKUP($AT45&amp;"|"&amp;$CU45,LocTable,8,FALSE),VLOOKUP($AT45&amp;"|"&amp;$CU45,LocTable,8,FALSE)+($BI45-$CU45)),$BI45-LockAFF)))</f>
        <v/>
      </c>
      <c r="CA45" s="104">
        <f>IF($BZ45="","",$BI45-$BZ45)</f>
        <v/>
      </c>
      <c r="CB45" s="99">
        <f>IF(OR(NOT(AND($A45&lt;&gt;"",$C45&lt;&gt;"DOOR ONLY")),$BI45=""),"",IF(($BI45+IF(N($P45)&gt;0,$P45+FaceW,0))&lt;=90,3,IF(($BI45+IF(N($P45)&gt;0,$P45+FaceW,0))&lt;=114,4,5)))</f>
        <v/>
      </c>
      <c r="CC45" s="99">
        <f>IF($CB45="","",$CB45*(2+IF(N($Q45)&gt;0,IF($R45="LR",2,1),0)))</f>
        <v/>
      </c>
      <c r="CD45" s="99">
        <f>IF($CB45="","",(2+IF(N($Q45)&gt;0,IF($R45="LR",2,1),0)))</f>
        <v/>
      </c>
      <c r="CE45" s="99">
        <f>IF(N($BJ45)=0,"",IF(OR($AL45="",$AL45="FLUSH"),"FLUSH",IFERROR(LEFT($AL45,FIND("-",$AL45)-1),LEFT($AL45,2))))</f>
        <v/>
      </c>
      <c r="CF45" s="99">
        <f>IF($CE45="","",IFERROR(VALUE(MID($AL45,FIND("-",$AL45)+1,FIND(CHAR(34)&amp;"x",$AL45)-FIND("-",$AL45)-1)),0))</f>
        <v/>
      </c>
      <c r="CG45" s="99">
        <f>IF($CE45="","",IFERROR(VALUE(MID($AL45,FIND(CHAR(34)&amp;"x",$AL45)+2,FIND(CHAR(34),$AL45,FIND(CHAR(34)&amp;"x",$AL45)+2)-FIND(CHAR(34)&amp;"x",$AL45)-2)),0))</f>
        <v/>
      </c>
      <c r="CH45" s="105">
        <f>IF(OR($A45="",$H45="",$H45="NO LAB"),0,IFERROR(VALUE(LEFT($H45,FIND(" ",$H45)-1)),0))</f>
        <v/>
      </c>
      <c r="CI45" s="106">
        <f>IF(OR($A45="",$I45="",$I45="NON-RATED",N($J45)=0),"",IFERROR(VLOOKUP($I45&amp;"|"&amp;$J45,IBC,2,FALSE),"?"))</f>
        <v/>
      </c>
      <c r="CJ45" s="100">
        <f>IF(NOT(AND($A45&lt;&gt;"",$C45&lt;&gt;"DOOR ONLY")),"",TRIM(IFERROR(VLOOKUP($U45,CODES,2,FALSE),"")&amp;" "&amp;$BG45&amp;" "&amp;IFERROR(VLOOKUP($Z45,CODES,2,FALSE),"")&amp;" "&amp;IFERROR(VLOOKUP($X45,CODES,2,FALSE),"")&amp;" "&amp;IFERROR(VLOOKUP($S45,CODES,2,FALSE),"")&amp;IF(N($P45)&gt;0," w/TRANSOM "&amp;$P45&amp;CHAR(34),"")&amp;IF(N($Q45)&gt;0," w/SIDELITE "&amp;$Q45&amp;CHAR(34)&amp;" "&amp;IF($R45="","R",$R45),"")&amp;IF($Y45="","  |  "," | "&amp;IFERROR(VLOOKUP($Y45,CODES,2,FALSE),"")&amp;" | ")&amp;IFERROR(VLOOKUP($AC45,CODES,2,FALSE),"")&amp;" "&amp;IFERROR(VLOOKUP($AD45,CODES,2,FALSE),"")&amp;IF(OR($AE45="",$AE45="-"),""," "&amp;$AE45)&amp;IF(OR($AF45="",$AF45="-"),""," "&amp;$AF45)&amp;IF($AB45="Y"," 4"&amp;CHAR(34)&amp;" HEAD","")&amp;" "&amp;IFERROR(VLOOKUP($H45,CODES,2,FALSE),"")&amp;IF($CT45," | LOC "&amp;$CY45,"")))</f>
        <v/>
      </c>
      <c r="CK45" s="100">
        <f>IF(NOT(AND($A45&lt;&gt;"",N($BJ45)&gt;0)),"",TRIM(IFERROR(VLOOKUP($AH45,CODES,2,FALSE),"")&amp;IF($AI45=""," "," "&amp;$AI45&amp;"GA ")&amp;$BG45&amp;" "&amp;IF($AN45="",IFERROR(VLOOKUP($Z45,CODES,2,FALSE),""),IFERROR(VLOOKUP($AN45,CODES,2,FALSE),""))&amp;IF($BJ45=2," PAIR","")&amp;" DOOR | "&amp;IF($AL45="","?",$AL45)&amp;" | "&amp;IF($AO45="",IFERROR(VLOOKUP($AC45,CODES,2,FALSE),""),IFERROR(VLOOKUP($AO45,CODES,2,FALSE),""))&amp;" "&amp;IFERROR(VLOOKUP($AP45,CODES,2,FALSE),"")&amp;IF(OR($AQ45="",$AQ45="-"),""," SEAM "&amp;$AQ45)&amp;IF($AR45="Y"," ASTRAGAL","")&amp;IF($AJ45=""," "," "&amp;$AJ45)&amp;IF($AK45=""," "," "&amp;$AK45)&amp;IF(OR($AT45="",$AT45="ANSI/SDI",$AT45="CUSTOM LOC"),""," "&amp;$AT45)&amp;IF($AM45=""," "," SERIES "&amp;$AM45)&amp;" "&amp;IFERROR(VLOOKUP($H45,CODES,2,FALSE),"")&amp;IF($CT45," | LOC "&amp;$CZ45,"")))</f>
        <v/>
      </c>
      <c r="CL45" s="99">
        <f>IF(CP45="","",IF(COUNTIF($CP$6:CP45,CP45)=1,MAX($CL$5:CL44)+1,INDEX($CL$5:CL44,MATCH(CP45,$CP$5:CP44,0))))</f>
        <v/>
      </c>
      <c r="CM45" s="99">
        <f>IF(NOT(AND($A45&lt;&gt;"",$C45&lt;&gt;"DOOR ONLY")),"",MAX($CM$5:CM44)+1)</f>
        <v/>
      </c>
      <c r="CN45" s="99">
        <f>IF(NOT(AND($A45&lt;&gt;"",N($BJ45)&gt;0)),"",MAX($CN$5:CN44)+1)</f>
        <v/>
      </c>
      <c r="CO45" s="99">
        <f>IF($A45="","",MAX($CO$5:CO44)+1)</f>
        <v/>
      </c>
      <c r="CP45" s="99">
        <f>IF(OR($A45="",$BH45="",$BI45=""),"",$BG45&amp;"|"&amp;$O45&amp;"|"&amp;$AL45&amp;"|"&amp;$S45&amp;"|"&amp;$P45&amp;"|"&amp;$Q45&amp;$R45&amp;"|"&amp;$C45&amp;"|"&amp;$AB45)</f>
        <v/>
      </c>
      <c r="CQ45" s="99">
        <f>N($BS45)</f>
        <v/>
      </c>
      <c r="CR45" s="99">
        <f>IF(N($AU45)&gt;0,N($AU45),4.5)</f>
        <v/>
      </c>
      <c r="CS45" s="99">
        <f>OR($A45="",$BI45="",$S45="BL",AND($C45="FRAME ONLY",OR($AC45="",$AC45="BLK")))</f>
        <v/>
      </c>
      <c r="CT45" s="99">
        <f>AND(NOT($CS45),OR($AT45="CUSTOM LOC",N($AW45)+N($AX45)+N($AY45)+N($AZ45)+N($BA45)&gt;0))</f>
        <v/>
      </c>
      <c r="CU45" s="99">
        <f>IF($BI45="","",IF($BI45&lt;=80,80,IF($BI45&lt;=84,84,96)))</f>
        <v/>
      </c>
      <c r="CV45" s="99">
        <f>ISNUMBER(MATCH($AT45&amp;"|80",LocKeys,0))</f>
        <v/>
      </c>
      <c r="CW45" s="101">
        <f>IF($CS45,"",IF($CV45,VLOOKUP($AT45&amp;"|"&amp;$CU45,LocTable,4,FALSE),5))</f>
        <v/>
      </c>
      <c r="CX45" s="101">
        <f>IF($CS45,"",IF($CV45,IF(OR($BI45=$CU45,AND($BI45&lt;$CU45,$BI45-IF(N(VLOOKUP($AT45&amp;"|"&amp;$CU45,LocTable,7,FALSE))&gt;0,VLOOKUP($AT45&amp;"|"&amp;$CU45,LocTable,7,FALSE),VLOOKUP($AT45&amp;"|"&amp;$CU45,LocTable,6,FALSE))-$CR45-0.75&gt;=2.125)),IF(N(VLOOKUP($AT45&amp;"|"&amp;$CU45,LocTable,7,FALSE))&gt;0,VLOOKUP($AT45&amp;"|"&amp;$CU45,LocTable,7,FALSE),VLOOKUP($AT45&amp;"|"&amp;$CU45,LocTable,6,FALSE)),$BI45-($CU45-IF(N(VLOOKUP($AT45&amp;"|"&amp;$CU45,LocTable,7,FALSE))&gt;0,VLOOKUP($AT45&amp;"|"&amp;$CU45,LocTable,7,FALSE),VLOOKUP($AT45&amp;"|"&amp;$CU45,LocTable,6,FALSE)))),$BI45-10-$CR45))</f>
        <v/>
      </c>
      <c r="CY45" s="100">
        <f>IF($CS45,"",TRIM(IF(ISNUMBER($BU45),"A "&amp;TRIM(TEXT($BU45,"# ?/??"))&amp;CHAR(34)&amp;"  ","")&amp;IF(ISNUMBER($BV45),"B "&amp;TRIM(TEXT($BV45,"# ?/??"))&amp;CHAR(34)&amp;"  ","")&amp;IF(ISNUMBER($BW45),"C "&amp;TRIM(TEXT($BW45,"# ?/??"))&amp;CHAR(34)&amp;"  ","")&amp;IF(ISNUMBER($BX45),"D "&amp;TRIM(TEXT($BX45,"# ?/??"))&amp;CHAR(34)&amp;"  ","")&amp;IF(ISNUMBER($BY45),"F "&amp;TRIM(TEXT($BY45,"# ?/??"))&amp;CHAR(34)&amp;"  ","")&amp;IF(ISNUMBER($BZ45),"E "&amp;TRIM(TEXT($BZ45,"# ?/??"))&amp;CHAR(34)&amp;"  ","")))</f>
        <v/>
      </c>
      <c r="CZ45" s="100">
        <f>IF(OR($CS45,N($BJ45)=0),"",TRIM(IF(ISNUMBER($BU45),"A "&amp;TRIM(TEXT($BU45-HeadClr,"# ?/??"))&amp;CHAR(34)&amp;"  ","")&amp;IF(ISNUMBER($BV45),"B "&amp;TRIM(TEXT($BV45-HeadClr,"# ?/??"))&amp;CHAR(34)&amp;"  ","")&amp;IF(ISNUMBER($BW45),"C "&amp;TRIM(TEXT($BW45-HeadClr,"# ?/??"))&amp;CHAR(34)&amp;"  ","")&amp;IF(ISNUMBER($BX45),"D "&amp;TRIM(TEXT($BX45-HeadClr,"# ?/??"))&amp;CHAR(34)&amp;"  ","")&amp;IF(ISNUMBER($BY45),"F "&amp;TRIM(TEXT($BY45-HeadClr,"# ?/??"))&amp;CHAR(34)&amp;"  ","")&amp;IF(ISNUMBER($BZ45),"E "&amp;TRIM(TEXT($BZ45-HeadClr,"# ?/??"))&amp;CHAR(34)&amp;"  ","")))</f>
        <v/>
      </c>
      <c r="DA45" s="99">
        <f>IF($A45="","",IF($AN45="",IFERROR(VLOOKUP($Z45,CODES,2,FALSE),""),IFERROR(VLOOKUP($AN45,CODES,2,FALSE),"")))</f>
        <v/>
      </c>
      <c r="DB45" s="99">
        <f>IF($A45="","",IF($O45="Y","PR",IF(OR($Z45="L",$Z45="RR",LEFT($Z45,2)="L-",LEFT($Z45,3)="RR-"),"LH","RH")))</f>
        <v/>
      </c>
      <c r="DC45" s="99">
        <f>IF($A45="","","S.HM"&amp;IF(OR($C45="DOOR ONLY",$X45&lt;&gt;"KD"),"MASONRY","DRYWALL")&amp;IF($C45="DOOR ONLY","",$U45)&amp;IF(AND($C45&lt;&gt;"FRAME ONLY",OR(LEFT($AH45,3)="OAK",LEFT($AH45,3)="BIR",LEFT($AH45,3)="MAP",$AH45="PC",$AH45="MC",$AH45="SCLC",$AH45="P-LAM")),"WD","HM")&amp;"1.75")</f>
        <v/>
      </c>
      <c r="DD45" s="99">
        <f>IF($CJ45="","",IF($O45="Y",$CJ45,SUBSTITUTE($CJ45,$BG45&amp;" "&amp;IFERROR(VLOOKUP($Z45,CODES,2,FALSE),"")&amp;" ",$BG45&amp;" ")))</f>
        <v/>
      </c>
      <c r="DE45" s="99">
        <f>IF($CK45="","",IF($O45="Y",$CK45,SUBSTITUTE($CK45,$BG45&amp;" "&amp;IF($AN45="",IFERROR(VLOOKUP($Z45,CODES,2,FALSE),""),IFERROR(VLOOKUP($AN45,CODES,2,FALSE),""))&amp;" ",$BG45&amp;" ")))</f>
        <v/>
      </c>
      <c r="DF45" s="99">
        <f>IF($CJ45="","",$DC45&amp;"|"&amp;$DD45&amp;"|"&amp;$DB45&amp;"|"&amp;$AT45&amp;"|"&amp;$V45&amp;"|"&amp;$Y45&amp;"|"&amp;$AB45)</f>
        <v/>
      </c>
      <c r="DG45" s="99">
        <f>IF(DF45="","",IF(COUNTIF($DF$6:DF45,DF45)=1,MAX($DG$5:DG44)+1,INDEX($DG$5:DG44,MATCH(DF45,$DF$5:DF44,0))))</f>
        <v/>
      </c>
      <c r="DH45" s="99">
        <f>IF($CK45="","",$DC45&amp;"|"&amp;$DE45&amp;"|"&amp;$AI45&amp;"|"&amp;$BK45&amp;"|"&amp;$BL45)</f>
        <v/>
      </c>
      <c r="DI45" s="99">
        <f>IF(DH45="","",IF(COUNTIF($DH$6:DH45,DH45)=1,MAX($DI$5:DI44)+1,INDEX($DI$5:DI44,MATCH(DH45,$DH$5:DH44,0))))</f>
        <v/>
      </c>
      <c r="DJ45" s="99">
        <f>IF($A45="","",IF($B45="","qty, ","")&amp;IF($C45="","scope, ","")&amp;IF(OR($K45="",$M45=""),"size, ","")&amp;IF(AND($A45&lt;&gt;"",$C45&lt;&gt;"DOOR ONLY"),IF($U45="","jamb depth, ","")&amp;IF($X45="","construction, ","")&amp;IF($Y45="","anchor, ","")&amp;IF($S45="","frame type, ",""),"")&amp;IF(AND(N($BJ45)&gt;0,$Z45=""),"hand, ","")&amp;IF(N($BJ45)&gt;0,IF($AH45="","door material, ","")&amp;IF($AL45="","face type, ","")&amp;IF($AP45="","lock prep, ","")&amp;IF(AND($AO45="",$AC45=""),"hinge prep, ",""),"")&amp;IF(AND($CH45&gt;0,$AH45="FRP"),"FRP cannot carry a label, ","")&amp;IF(AND($O45="Y",OR($Z45="L",$Z45="R",$Z45="LR",$Z45="RR")),"pair marked but hand is single, ","")&amp;IF(AND($O45&lt;&gt;"Y",OR($Z45="PR",AND(LEN($Z45)&gt;1,ISNUMBER(SEARCH("-",$Z45))))),"pair hand on a single door, ","")&amp;IF(AND(ISNUMBER($CI45),$CH45&lt;N($CI45)),"wall needs a "&amp;$CI45&amp;" min door, ","")&amp;IF(AND($CH45&gt;=180,AND(OR($CE45="FG",$CE45="HG",$CE45="FNV",$CE45="FV"),N($CF45)*N($CG45)&gt;100)),"180 min lite over 100 sq in, ","")&amp;IF(N($BK45)&gt;48,"leaf wider than 4'-0"&amp;CHAR(34)&amp;", ","")&amp;IF(AND($CT45,COUNT($AW45:$AZ45)=0,$CQ45&gt;0),"CUSTOM LOC with no locations typed, ",""))</f>
        <v/>
      </c>
      <c r="DK45" s="99">
        <f>IF($A45="","",IF(AND($CH45&gt;0,AND($A45&lt;&gt;"",$C45&lt;&gt;"DOOR ONLY"),$X45="KD",$E45="EXTERIOR"),"KD label on an exterior opening, ","")&amp;IF(AND($E45="EXTERIOR",OR(AND(AND($A45&lt;&gt;"",$C45&lt;&gt;"DOOR ONLY"),$W45="CR"),AND(N($BJ45)&gt;0,$AH45="CR"))),"exterior in CR steel (G9?), ","")&amp;IF(AND(ISNUMBER($BQ45),N($BQ45)&lt;32),"clear width ~"&amp;TEXT($BQ45,"0.0")&amp;CHAR(34)&amp;" under 32"&amp;CHAR(34)&amp;" (ADA), ","")&amp;IF(AND($CH45=90,AND(OR($CE45="FG",$CE45="HG",$CE45="FNV",$CE45="FV"),N($CF45)*N($CG45)&gt;100)),"90 min lite over 100 sq in (stair/exit), ","")&amp;IF(AND($CH45&gt;0,AND($A45&lt;&gt;"",$C45&lt;&gt;"DOOR ONLY"),OR($AF45="",$AF45="-")),"rated: closer reinf.?, ","")&amp;IF(OR($I45="CORRIDOR",$I45="SMOKE BARRIER"),"S label + smoke gasketing, ","")&amp;IF($CI45="?","wall type/hr not in IBC table, ","")&amp;IF(AND(N($BJ45)&gt;0,$BB45=""),"no hardware set, ","")&amp;IF(AND($BB45&lt;&gt;"",ISNA(MATCH($BB45&amp;"",HWSets,0))),"set "&amp;$BB45&amp;" not on HW Sets, ","")&amp;IF(N($BL45)&gt;96,"leaf over 8'-0"&amp;CHAR(34)&amp;" - check listing, ","")&amp;IF(AND($CT45,COUNT($AW45:$AZ45)&gt;0,COUNT($AW45:$AZ45)&lt;&gt;$CQ45),COUNT($AW45:$AZ45)&amp;" custom hinges typed, "&amp;$CQ45&amp;" expected, ","")&amp;IF(AND(ISNUMBER($CA45),OR(N($CA45)&lt;34,N($CA45)&gt;48)),"lock "&amp;TEXT($CA45,"0.0")&amp;CHAR(34)&amp;" AFF outside 34-48"&amp;CHAR(34)&amp;" (ADA), ","")&amp;IF(AND(ISNUMBER($AV45),ISNUMBER($BL45),N($AV45)&lt;IF(N($BL45)&lt;=60,2,IF(N($BL45)&lt;=90,3,IF(N($BL45)&lt;=120,4,5)))),"fewer hinges than standard, ",""))</f>
        <v/>
      </c>
    </row>
    <row r="46" ht="15" customHeight="1">
      <c r="A46" s="77" t="n"/>
      <c r="B46" s="78" t="n"/>
      <c r="C46" s="78" t="n"/>
      <c r="D46" s="78" t="n"/>
      <c r="E46" s="78" t="n"/>
      <c r="F46" s="78" t="n"/>
      <c r="G46" s="78" t="n"/>
      <c r="H46" s="78" t="n"/>
      <c r="I46" s="78" t="n"/>
      <c r="J46" s="78" t="n"/>
      <c r="K46" s="78" t="n"/>
      <c r="L46" s="78" t="n"/>
      <c r="M46" s="78" t="n"/>
      <c r="N46" s="78" t="n"/>
      <c r="O46" s="78" t="n"/>
      <c r="P46" s="78" t="n"/>
      <c r="Q46" s="78" t="n"/>
      <c r="R46" s="78" t="n"/>
      <c r="S46" s="79" t="n"/>
      <c r="T46" s="79" t="n"/>
      <c r="U46" s="79" t="n"/>
      <c r="V46" s="79" t="n"/>
      <c r="W46" s="79" t="n"/>
      <c r="X46" s="79" t="n"/>
      <c r="Y46" s="79" t="n"/>
      <c r="Z46" s="79" t="n"/>
      <c r="AA46" s="79" t="n"/>
      <c r="AB46" s="79" t="n"/>
      <c r="AC46" s="79" t="n"/>
      <c r="AD46" s="79" t="n"/>
      <c r="AE46" s="79" t="n"/>
      <c r="AF46" s="79" t="n"/>
      <c r="AG46" s="79" t="n"/>
      <c r="AH46" s="80" t="n"/>
      <c r="AI46" s="80" t="n"/>
      <c r="AJ46" s="80" t="n"/>
      <c r="AK46" s="80" t="n"/>
      <c r="AL46" s="80" t="n"/>
      <c r="AM46" s="80" t="n"/>
      <c r="AN46" s="80" t="n"/>
      <c r="AO46" s="80" t="n"/>
      <c r="AP46" s="80" t="n"/>
      <c r="AQ46" s="80" t="n"/>
      <c r="AR46" s="80" t="n"/>
      <c r="AS46" s="80" t="n"/>
      <c r="AT46" s="81" t="n"/>
      <c r="AU46" s="81" t="n"/>
      <c r="AV46" s="81" t="n"/>
      <c r="AW46" s="82" t="n"/>
      <c r="AX46" s="82" t="n"/>
      <c r="AY46" s="82" t="n"/>
      <c r="AZ46" s="82" t="n"/>
      <c r="BA46" s="82" t="n"/>
      <c r="BB46" s="83" t="n"/>
      <c r="BC46" s="83" t="n"/>
      <c r="BD46" s="84">
        <f>IF($A46="","",IF($DJ46&lt;&gt;"","FIX",IF($DK46&lt;&gt;"","CHECK","OK")))</f>
        <v/>
      </c>
      <c r="BE46" s="85">
        <f>IF($A46="","",IF($DJ46&lt;&gt;"","FIX: "&amp;LEFT($DJ46,LEN($DJ46)-2)&amp;IF($DK46&lt;&gt;"","  ·  ",""),"")&amp;IF($DK46&lt;&gt;"","CHECK: "&amp;LEFT($DK46,LEN($DK46)-2),""))</f>
        <v/>
      </c>
      <c r="BF46" s="84">
        <f>IF(OR($A46="",$K46=""),"",$K46&amp;"'-"&amp;N($L46)&amp;CHAR(34)&amp;" x "&amp;$M46&amp;"'-"&amp;N($N46)&amp;CHAR(34))</f>
        <v/>
      </c>
      <c r="BG46" s="84">
        <f>IF(OR($A46="",$K46=""),"",$K46&amp;N($L46)&amp;$M46&amp;N($N46))</f>
        <v/>
      </c>
      <c r="BH46" s="84">
        <f>IF(OR($A46="",$K46=""),"",$K46*12+N($L46))</f>
        <v/>
      </c>
      <c r="BI46" s="84">
        <f>IF(OR($A46="",$M46=""),"",$M46*12+N($N46))</f>
        <v/>
      </c>
      <c r="BJ46" s="84">
        <f>IF($A46="","",IF(OR($C46="FRAME ONLY",$S46="BL"),0,IF($O46="Y",2,1)))</f>
        <v/>
      </c>
      <c r="BK46" s="86">
        <f>IF(OR(N($BJ46)=0,$BH46=""),"",($BH46-2*EdgeClr-IF($BJ46=2,MeetClr,0))/$BJ46)</f>
        <v/>
      </c>
      <c r="BL46" s="86">
        <f>IF(OR(N($BJ46)=0,$BI46=""),"",$BI46-HeadClr-Undercut)</f>
        <v/>
      </c>
      <c r="BM46" s="86">
        <f>IF($BH46="","",$BH46+2*FaceW+IF(N($Q46)&gt;0,($Q46+FaceW)*IF($R46="LR",2,1),0))</f>
        <v/>
      </c>
      <c r="BN46" s="86">
        <f>IF($BI46="","",$BI46+IF($AB46="Y",4,FaceW)+IF(N($P46)&gt;0,$P46+FaceW,0)+IF(OR($S46="4F",$S46="BL"),FaceW,0))</f>
        <v/>
      </c>
      <c r="BO46" s="86">
        <f>IF($BM46="","",$BM46+2*ROSide)</f>
        <v/>
      </c>
      <c r="BP46" s="86">
        <f>IF($BN46="","",$BN46+ROTop)</f>
        <v/>
      </c>
      <c r="BQ46" s="87">
        <f>IF(OR(N($BJ46)=0,$BH46=""),"",$BH46/$BJ46-ClearDeduct)</f>
        <v/>
      </c>
      <c r="BR46" s="84">
        <f>IF(N($CH46)=0,"",IF($CH46&gt;=180,"A · 3 HR",IF($CH46&gt;=90,"B · 1-1/2 HR",IF($CH46&gt;=60,"B · 1 HR",IF($CH46&gt;=45,"C · 3/4 HR","20 MIN")))))&amp;IF(AND(N($CH46)&gt;0,OR($I46="CORRIDOR",$I46="SMOKE BARRIER"))," · S","")</f>
        <v/>
      </c>
      <c r="BS46" s="84">
        <f>IF($CS46,"",IF($AV46&lt;&gt;"",$AV46,IF(OR($AC46="HGC",$AO46="HGC"),"CONT",IF(($BI46-HeadClr-Undercut)&lt;=60,2,IF(($BI46-HeadClr-Undercut)&lt;=90,3,IF(($BI46-HeadClr-Undercut)&lt;=120,4,5))))))</f>
        <v/>
      </c>
      <c r="BT46" s="84">
        <f>IF($CS46,"",IF($CT46,"CUSTOM (typed)",IF($CV46,$AT46&amp;" "&amp;$CU46&amp;CHAR(34)&amp;IF($CU46&lt;&gt;$BI46,IF(AND($BI46&lt;$CU46,$BI46-IF(N(VLOOKUP($AT46&amp;"|"&amp;$CU46,LocTable,7,FALSE))&gt;0,VLOOKUP($AT46&amp;"|"&amp;$CU46,LocTable,7,FALSE),VLOOKUP($AT46&amp;"|"&amp;$CU46,LocTable,6,FALSE))-$CR46-0.75&gt;=2.125)," cut down"," adj."),""),"ANSI/SDI A250.6")))</f>
        <v/>
      </c>
      <c r="BU46" s="88">
        <f>IF($CS46,"",IF($CT46,IF(N($AW46)&gt;0,N($AW46),""),IF(1&gt;$CQ46,"",IF($CQ46=1,$CW46,$CW46+($CX46-$CW46)*0/($CQ46-1)))))</f>
        <v/>
      </c>
      <c r="BV46" s="88">
        <f>IF($CS46,"",IF($CT46,IF(N($AX46)&gt;0,N($AX46),""),IF(2&gt;$CQ46,"",IF($CQ46=1,$CW46,$CW46+($CX46-$CW46)*1/($CQ46-1)))))</f>
        <v/>
      </c>
      <c r="BW46" s="88">
        <f>IF($CS46,"",IF($CT46,IF(N($AY46)&gt;0,N($AY46),""),IF(3&gt;$CQ46,"",IF($CQ46=1,$CW46,$CW46+($CX46-$CW46)*2/($CQ46-1)))))</f>
        <v/>
      </c>
      <c r="BX46" s="88">
        <f>IF($CS46,"",IF($CT46,IF(N($AZ46)&gt;0,N($AZ46),""),IF(4&gt;$CQ46,"",IF($CQ46=1,$CW46,$CW46+($CX46-$CW46)*3/($CQ46-1)))))</f>
        <v/>
      </c>
      <c r="BY46" s="88">
        <f>IF($CS46,"",IF($CT46,"",IF(5&gt;$CQ46,"",IF($CQ46=1,$CW46,$CW46+($CX46-$CW46)*4/($CQ46-1)))))</f>
        <v/>
      </c>
      <c r="BZ46" s="88">
        <f>IF(OR($CS46,$AP46="-",AND($AP46="",$AD46="")),"",IF(N($BA46)&gt;0,N($BA46),IF($CV46,IF(AND($BI46&lt;$CU46,$BI46-IF(N(VLOOKUP($AT46&amp;"|"&amp;$CU46,LocTable,7,FALSE))&gt;0,VLOOKUP($AT46&amp;"|"&amp;$CU46,LocTable,7,FALSE),VLOOKUP($AT46&amp;"|"&amp;$CU46,LocTable,6,FALSE))-$CR46-0.75&gt;=2.125),VLOOKUP($AT46&amp;"|"&amp;$CU46,LocTable,8,FALSE),VLOOKUP($AT46&amp;"|"&amp;$CU46,LocTable,8,FALSE)+($BI46-$CU46)),$BI46-LockAFF)))</f>
        <v/>
      </c>
      <c r="CA46" s="89">
        <f>IF($BZ46="","",$BI46-$BZ46)</f>
        <v/>
      </c>
      <c r="CB46" s="84">
        <f>IF(OR(NOT(AND($A46&lt;&gt;"",$C46&lt;&gt;"DOOR ONLY")),$BI46=""),"",IF(($BI46+IF(N($P46)&gt;0,$P46+FaceW,0))&lt;=90,3,IF(($BI46+IF(N($P46)&gt;0,$P46+FaceW,0))&lt;=114,4,5)))</f>
        <v/>
      </c>
      <c r="CC46" s="84">
        <f>IF($CB46="","",$CB46*(2+IF(N($Q46)&gt;0,IF($R46="LR",2,1),0)))</f>
        <v/>
      </c>
      <c r="CD46" s="84">
        <f>IF($CB46="","",(2+IF(N($Q46)&gt;0,IF($R46="LR",2,1),0)))</f>
        <v/>
      </c>
      <c r="CE46" s="84">
        <f>IF(N($BJ46)=0,"",IF(OR($AL46="",$AL46="FLUSH"),"FLUSH",IFERROR(LEFT($AL46,FIND("-",$AL46)-1),LEFT($AL46,2))))</f>
        <v/>
      </c>
      <c r="CF46" s="84">
        <f>IF($CE46="","",IFERROR(VALUE(MID($AL46,FIND("-",$AL46)+1,FIND(CHAR(34)&amp;"x",$AL46)-FIND("-",$AL46)-1)),0))</f>
        <v/>
      </c>
      <c r="CG46" s="84">
        <f>IF($CE46="","",IFERROR(VALUE(MID($AL46,FIND(CHAR(34)&amp;"x",$AL46)+2,FIND(CHAR(34),$AL46,FIND(CHAR(34)&amp;"x",$AL46)+2)-FIND(CHAR(34)&amp;"x",$AL46)-2)),0))</f>
        <v/>
      </c>
      <c r="CH46" s="90">
        <f>IF(OR($A46="",$H46="",$H46="NO LAB"),0,IFERROR(VALUE(LEFT($H46,FIND(" ",$H46)-1)),0))</f>
        <v/>
      </c>
      <c r="CI46" s="91">
        <f>IF(OR($A46="",$I46="",$I46="NON-RATED",N($J46)=0),"",IFERROR(VLOOKUP($I46&amp;"|"&amp;$J46,IBC,2,FALSE),"?"))</f>
        <v/>
      </c>
      <c r="CJ46" s="85">
        <f>IF(NOT(AND($A46&lt;&gt;"",$C46&lt;&gt;"DOOR ONLY")),"",TRIM(IFERROR(VLOOKUP($U46,CODES,2,FALSE),"")&amp;" "&amp;$BG46&amp;" "&amp;IFERROR(VLOOKUP($Z46,CODES,2,FALSE),"")&amp;" "&amp;IFERROR(VLOOKUP($X46,CODES,2,FALSE),"")&amp;" "&amp;IFERROR(VLOOKUP($S46,CODES,2,FALSE),"")&amp;IF(N($P46)&gt;0," w/TRANSOM "&amp;$P46&amp;CHAR(34),"")&amp;IF(N($Q46)&gt;0," w/SIDELITE "&amp;$Q46&amp;CHAR(34)&amp;" "&amp;IF($R46="","R",$R46),"")&amp;IF($Y46="","  |  "," | "&amp;IFERROR(VLOOKUP($Y46,CODES,2,FALSE),"")&amp;" | ")&amp;IFERROR(VLOOKUP($AC46,CODES,2,FALSE),"")&amp;" "&amp;IFERROR(VLOOKUP($AD46,CODES,2,FALSE),"")&amp;IF(OR($AE46="",$AE46="-"),""," "&amp;$AE46)&amp;IF(OR($AF46="",$AF46="-"),""," "&amp;$AF46)&amp;IF($AB46="Y"," 4"&amp;CHAR(34)&amp;" HEAD","")&amp;" "&amp;IFERROR(VLOOKUP($H46,CODES,2,FALSE),"")&amp;IF($CT46," | LOC "&amp;$CY46,"")))</f>
        <v/>
      </c>
      <c r="CK46" s="85">
        <f>IF(NOT(AND($A46&lt;&gt;"",N($BJ46)&gt;0)),"",TRIM(IFERROR(VLOOKUP($AH46,CODES,2,FALSE),"")&amp;IF($AI46=""," "," "&amp;$AI46&amp;"GA ")&amp;$BG46&amp;" "&amp;IF($AN46="",IFERROR(VLOOKUP($Z46,CODES,2,FALSE),""),IFERROR(VLOOKUP($AN46,CODES,2,FALSE),""))&amp;IF($BJ46=2," PAIR","")&amp;" DOOR | "&amp;IF($AL46="","?",$AL46)&amp;" | "&amp;IF($AO46="",IFERROR(VLOOKUP($AC46,CODES,2,FALSE),""),IFERROR(VLOOKUP($AO46,CODES,2,FALSE),""))&amp;" "&amp;IFERROR(VLOOKUP($AP46,CODES,2,FALSE),"")&amp;IF(OR($AQ46="",$AQ46="-"),""," SEAM "&amp;$AQ46)&amp;IF($AR46="Y"," ASTRAGAL","")&amp;IF($AJ46=""," "," "&amp;$AJ46)&amp;IF($AK46=""," "," "&amp;$AK46)&amp;IF(OR($AT46="",$AT46="ANSI/SDI",$AT46="CUSTOM LOC"),""," "&amp;$AT46)&amp;IF($AM46=""," "," SERIES "&amp;$AM46)&amp;" "&amp;IFERROR(VLOOKUP($H46,CODES,2,FALSE),"")&amp;IF($CT46," | LOC "&amp;$CZ46,"")))</f>
        <v/>
      </c>
      <c r="CL46" s="84">
        <f>IF(CP46="","",IF(COUNTIF($CP$6:CP46,CP46)=1,MAX($CL$5:CL45)+1,INDEX($CL$5:CL45,MATCH(CP46,$CP$5:CP45,0))))</f>
        <v/>
      </c>
      <c r="CM46" s="84">
        <f>IF(NOT(AND($A46&lt;&gt;"",$C46&lt;&gt;"DOOR ONLY")),"",MAX($CM$5:CM45)+1)</f>
        <v/>
      </c>
      <c r="CN46" s="84">
        <f>IF(NOT(AND($A46&lt;&gt;"",N($BJ46)&gt;0)),"",MAX($CN$5:CN45)+1)</f>
        <v/>
      </c>
      <c r="CO46" s="84">
        <f>IF($A46="","",MAX($CO$5:CO45)+1)</f>
        <v/>
      </c>
      <c r="CP46" s="84">
        <f>IF(OR($A46="",$BH46="",$BI46=""),"",$BG46&amp;"|"&amp;$O46&amp;"|"&amp;$AL46&amp;"|"&amp;$S46&amp;"|"&amp;$P46&amp;"|"&amp;$Q46&amp;$R46&amp;"|"&amp;$C46&amp;"|"&amp;$AB46)</f>
        <v/>
      </c>
      <c r="CQ46" s="84">
        <f>N($BS46)</f>
        <v/>
      </c>
      <c r="CR46" s="84">
        <f>IF(N($AU46)&gt;0,N($AU46),4.5)</f>
        <v/>
      </c>
      <c r="CS46" s="84">
        <f>OR($A46="",$BI46="",$S46="BL",AND($C46="FRAME ONLY",OR($AC46="",$AC46="BLK")))</f>
        <v/>
      </c>
      <c r="CT46" s="84">
        <f>AND(NOT($CS46),OR($AT46="CUSTOM LOC",N($AW46)+N($AX46)+N($AY46)+N($AZ46)+N($BA46)&gt;0))</f>
        <v/>
      </c>
      <c r="CU46" s="84">
        <f>IF($BI46="","",IF($BI46&lt;=80,80,IF($BI46&lt;=84,84,96)))</f>
        <v/>
      </c>
      <c r="CV46" s="84">
        <f>ISNUMBER(MATCH($AT46&amp;"|80",LocKeys,0))</f>
        <v/>
      </c>
      <c r="CW46" s="86">
        <f>IF($CS46,"",IF($CV46,VLOOKUP($AT46&amp;"|"&amp;$CU46,LocTable,4,FALSE),5))</f>
        <v/>
      </c>
      <c r="CX46" s="86">
        <f>IF($CS46,"",IF($CV46,IF(OR($BI46=$CU46,AND($BI46&lt;$CU46,$BI46-IF(N(VLOOKUP($AT46&amp;"|"&amp;$CU46,LocTable,7,FALSE))&gt;0,VLOOKUP($AT46&amp;"|"&amp;$CU46,LocTable,7,FALSE),VLOOKUP($AT46&amp;"|"&amp;$CU46,LocTable,6,FALSE))-$CR46-0.75&gt;=2.125)),IF(N(VLOOKUP($AT46&amp;"|"&amp;$CU46,LocTable,7,FALSE))&gt;0,VLOOKUP($AT46&amp;"|"&amp;$CU46,LocTable,7,FALSE),VLOOKUP($AT46&amp;"|"&amp;$CU46,LocTable,6,FALSE)),$BI46-($CU46-IF(N(VLOOKUP($AT46&amp;"|"&amp;$CU46,LocTable,7,FALSE))&gt;0,VLOOKUP($AT46&amp;"|"&amp;$CU46,LocTable,7,FALSE),VLOOKUP($AT46&amp;"|"&amp;$CU46,LocTable,6,FALSE)))),$BI46-10-$CR46))</f>
        <v/>
      </c>
      <c r="CY46" s="85">
        <f>IF($CS46,"",TRIM(IF(ISNUMBER($BU46),"A "&amp;TRIM(TEXT($BU46,"# ?/??"))&amp;CHAR(34)&amp;"  ","")&amp;IF(ISNUMBER($BV46),"B "&amp;TRIM(TEXT($BV46,"# ?/??"))&amp;CHAR(34)&amp;"  ","")&amp;IF(ISNUMBER($BW46),"C "&amp;TRIM(TEXT($BW46,"# ?/??"))&amp;CHAR(34)&amp;"  ","")&amp;IF(ISNUMBER($BX46),"D "&amp;TRIM(TEXT($BX46,"# ?/??"))&amp;CHAR(34)&amp;"  ","")&amp;IF(ISNUMBER($BY46),"F "&amp;TRIM(TEXT($BY46,"# ?/??"))&amp;CHAR(34)&amp;"  ","")&amp;IF(ISNUMBER($BZ46),"E "&amp;TRIM(TEXT($BZ46,"# ?/??"))&amp;CHAR(34)&amp;"  ","")))</f>
        <v/>
      </c>
      <c r="CZ46" s="85">
        <f>IF(OR($CS46,N($BJ46)=0),"",TRIM(IF(ISNUMBER($BU46),"A "&amp;TRIM(TEXT($BU46-HeadClr,"# ?/??"))&amp;CHAR(34)&amp;"  ","")&amp;IF(ISNUMBER($BV46),"B "&amp;TRIM(TEXT($BV46-HeadClr,"# ?/??"))&amp;CHAR(34)&amp;"  ","")&amp;IF(ISNUMBER($BW46),"C "&amp;TRIM(TEXT($BW46-HeadClr,"# ?/??"))&amp;CHAR(34)&amp;"  ","")&amp;IF(ISNUMBER($BX46),"D "&amp;TRIM(TEXT($BX46-HeadClr,"# ?/??"))&amp;CHAR(34)&amp;"  ","")&amp;IF(ISNUMBER($BY46),"F "&amp;TRIM(TEXT($BY46-HeadClr,"# ?/??"))&amp;CHAR(34)&amp;"  ","")&amp;IF(ISNUMBER($BZ46),"E "&amp;TRIM(TEXT($BZ46-HeadClr,"# ?/??"))&amp;CHAR(34)&amp;"  ","")))</f>
        <v/>
      </c>
      <c r="DA46" s="84">
        <f>IF($A46="","",IF($AN46="",IFERROR(VLOOKUP($Z46,CODES,2,FALSE),""),IFERROR(VLOOKUP($AN46,CODES,2,FALSE),"")))</f>
        <v/>
      </c>
      <c r="DB46" s="84">
        <f>IF($A46="","",IF($O46="Y","PR",IF(OR($Z46="L",$Z46="RR",LEFT($Z46,2)="L-",LEFT($Z46,3)="RR-"),"LH","RH")))</f>
        <v/>
      </c>
      <c r="DC46" s="84">
        <f>IF($A46="","","S.HM"&amp;IF(OR($C46="DOOR ONLY",$X46&lt;&gt;"KD"),"MASONRY","DRYWALL")&amp;IF($C46="DOOR ONLY","",$U46)&amp;IF(AND($C46&lt;&gt;"FRAME ONLY",OR(LEFT($AH46,3)="OAK",LEFT($AH46,3)="BIR",LEFT($AH46,3)="MAP",$AH46="PC",$AH46="MC",$AH46="SCLC",$AH46="P-LAM")),"WD","HM")&amp;"1.75")</f>
        <v/>
      </c>
      <c r="DD46" s="84">
        <f>IF($CJ46="","",IF($O46="Y",$CJ46,SUBSTITUTE($CJ46,$BG46&amp;" "&amp;IFERROR(VLOOKUP($Z46,CODES,2,FALSE),"")&amp;" ",$BG46&amp;" ")))</f>
        <v/>
      </c>
      <c r="DE46" s="84">
        <f>IF($CK46="","",IF($O46="Y",$CK46,SUBSTITUTE($CK46,$BG46&amp;" "&amp;IF($AN46="",IFERROR(VLOOKUP($Z46,CODES,2,FALSE),""),IFERROR(VLOOKUP($AN46,CODES,2,FALSE),""))&amp;" ",$BG46&amp;" ")))</f>
        <v/>
      </c>
      <c r="DF46" s="84">
        <f>IF($CJ46="","",$DC46&amp;"|"&amp;$DD46&amp;"|"&amp;$DB46&amp;"|"&amp;$AT46&amp;"|"&amp;$V46&amp;"|"&amp;$Y46&amp;"|"&amp;$AB46)</f>
        <v/>
      </c>
      <c r="DG46" s="84">
        <f>IF(DF46="","",IF(COUNTIF($DF$6:DF46,DF46)=1,MAX($DG$5:DG45)+1,INDEX($DG$5:DG45,MATCH(DF46,$DF$5:DF45,0))))</f>
        <v/>
      </c>
      <c r="DH46" s="84">
        <f>IF($CK46="","",$DC46&amp;"|"&amp;$DE46&amp;"|"&amp;$AI46&amp;"|"&amp;$BK46&amp;"|"&amp;$BL46)</f>
        <v/>
      </c>
      <c r="DI46" s="84">
        <f>IF(DH46="","",IF(COUNTIF($DH$6:DH46,DH46)=1,MAX($DI$5:DI45)+1,INDEX($DI$5:DI45,MATCH(DH46,$DH$5:DH45,0))))</f>
        <v/>
      </c>
      <c r="DJ46" s="84">
        <f>IF($A46="","",IF($B46="","qty, ","")&amp;IF($C46="","scope, ","")&amp;IF(OR($K46="",$M46=""),"size, ","")&amp;IF(AND($A46&lt;&gt;"",$C46&lt;&gt;"DOOR ONLY"),IF($U46="","jamb depth, ","")&amp;IF($X46="","construction, ","")&amp;IF($Y46="","anchor, ","")&amp;IF($S46="","frame type, ",""),"")&amp;IF(AND(N($BJ46)&gt;0,$Z46=""),"hand, ","")&amp;IF(N($BJ46)&gt;0,IF($AH46="","door material, ","")&amp;IF($AL46="","face type, ","")&amp;IF($AP46="","lock prep, ","")&amp;IF(AND($AO46="",$AC46=""),"hinge prep, ",""),"")&amp;IF(AND($CH46&gt;0,$AH46="FRP"),"FRP cannot carry a label, ","")&amp;IF(AND($O46="Y",OR($Z46="L",$Z46="R",$Z46="LR",$Z46="RR")),"pair marked but hand is single, ","")&amp;IF(AND($O46&lt;&gt;"Y",OR($Z46="PR",AND(LEN($Z46)&gt;1,ISNUMBER(SEARCH("-",$Z46))))),"pair hand on a single door, ","")&amp;IF(AND(ISNUMBER($CI46),$CH46&lt;N($CI46)),"wall needs a "&amp;$CI46&amp;" min door, ","")&amp;IF(AND($CH46&gt;=180,AND(OR($CE46="FG",$CE46="HG",$CE46="FNV",$CE46="FV"),N($CF46)*N($CG46)&gt;100)),"180 min lite over 100 sq in, ","")&amp;IF(N($BK46)&gt;48,"leaf wider than 4'-0"&amp;CHAR(34)&amp;", ","")&amp;IF(AND($CT46,COUNT($AW46:$AZ46)=0,$CQ46&gt;0),"CUSTOM LOC with no locations typed, ",""))</f>
        <v/>
      </c>
      <c r="DK46" s="84">
        <f>IF($A46="","",IF(AND($CH46&gt;0,AND($A46&lt;&gt;"",$C46&lt;&gt;"DOOR ONLY"),$X46="KD",$E46="EXTERIOR"),"KD label on an exterior opening, ","")&amp;IF(AND($E46="EXTERIOR",OR(AND(AND($A46&lt;&gt;"",$C46&lt;&gt;"DOOR ONLY"),$W46="CR"),AND(N($BJ46)&gt;0,$AH46="CR"))),"exterior in CR steel (G9?), ","")&amp;IF(AND(ISNUMBER($BQ46),N($BQ46)&lt;32),"clear width ~"&amp;TEXT($BQ46,"0.0")&amp;CHAR(34)&amp;" under 32"&amp;CHAR(34)&amp;" (ADA), ","")&amp;IF(AND($CH46=90,AND(OR($CE46="FG",$CE46="HG",$CE46="FNV",$CE46="FV"),N($CF46)*N($CG46)&gt;100)),"90 min lite over 100 sq in (stair/exit), ","")&amp;IF(AND($CH46&gt;0,AND($A46&lt;&gt;"",$C46&lt;&gt;"DOOR ONLY"),OR($AF46="",$AF46="-")),"rated: closer reinf.?, ","")&amp;IF(OR($I46="CORRIDOR",$I46="SMOKE BARRIER"),"S label + smoke gasketing, ","")&amp;IF($CI46="?","wall type/hr not in IBC table, ","")&amp;IF(AND(N($BJ46)&gt;0,$BB46=""),"no hardware set, ","")&amp;IF(AND($BB46&lt;&gt;"",ISNA(MATCH($BB46&amp;"",HWSets,0))),"set "&amp;$BB46&amp;" not on HW Sets, ","")&amp;IF(N($BL46)&gt;96,"leaf over 8'-0"&amp;CHAR(34)&amp;" - check listing, ","")&amp;IF(AND($CT46,COUNT($AW46:$AZ46)&gt;0,COUNT($AW46:$AZ46)&lt;&gt;$CQ46),COUNT($AW46:$AZ46)&amp;" custom hinges typed, "&amp;$CQ46&amp;" expected, ","")&amp;IF(AND(ISNUMBER($CA46),OR(N($CA46)&lt;34,N($CA46)&gt;48)),"lock "&amp;TEXT($CA46,"0.0")&amp;CHAR(34)&amp;" AFF outside 34-48"&amp;CHAR(34)&amp;" (ADA), ","")&amp;IF(AND(ISNUMBER($AV46),ISNUMBER($BL46),N($AV46)&lt;IF(N($BL46)&lt;=60,2,IF(N($BL46)&lt;=90,3,IF(N($BL46)&lt;=120,4,5)))),"fewer hinges than standard, ",""))</f>
        <v/>
      </c>
    </row>
    <row r="47" ht="15" customHeight="1">
      <c r="A47" s="77" t="n"/>
      <c r="B47" s="78" t="n"/>
      <c r="C47" s="78" t="n"/>
      <c r="D47" s="78" t="n"/>
      <c r="E47" s="78" t="n"/>
      <c r="F47" s="78" t="n"/>
      <c r="G47" s="78" t="n"/>
      <c r="H47" s="78" t="n"/>
      <c r="I47" s="78" t="n"/>
      <c r="J47" s="78" t="n"/>
      <c r="K47" s="78" t="n"/>
      <c r="L47" s="78" t="n"/>
      <c r="M47" s="78" t="n"/>
      <c r="N47" s="78" t="n"/>
      <c r="O47" s="78" t="n"/>
      <c r="P47" s="78" t="n"/>
      <c r="Q47" s="78" t="n"/>
      <c r="R47" s="78" t="n"/>
      <c r="S47" s="79" t="n"/>
      <c r="T47" s="79" t="n"/>
      <c r="U47" s="79" t="n"/>
      <c r="V47" s="79" t="n"/>
      <c r="W47" s="79" t="n"/>
      <c r="X47" s="79" t="n"/>
      <c r="Y47" s="79" t="n"/>
      <c r="Z47" s="79" t="n"/>
      <c r="AA47" s="79" t="n"/>
      <c r="AB47" s="79" t="n"/>
      <c r="AC47" s="79" t="n"/>
      <c r="AD47" s="79" t="n"/>
      <c r="AE47" s="79" t="n"/>
      <c r="AF47" s="79" t="n"/>
      <c r="AG47" s="79" t="n"/>
      <c r="AH47" s="80" t="n"/>
      <c r="AI47" s="80" t="n"/>
      <c r="AJ47" s="80" t="n"/>
      <c r="AK47" s="80" t="n"/>
      <c r="AL47" s="80" t="n"/>
      <c r="AM47" s="80" t="n"/>
      <c r="AN47" s="80" t="n"/>
      <c r="AO47" s="80" t="n"/>
      <c r="AP47" s="80" t="n"/>
      <c r="AQ47" s="80" t="n"/>
      <c r="AR47" s="80" t="n"/>
      <c r="AS47" s="80" t="n"/>
      <c r="AT47" s="81" t="n"/>
      <c r="AU47" s="81" t="n"/>
      <c r="AV47" s="81" t="n"/>
      <c r="AW47" s="82" t="n"/>
      <c r="AX47" s="82" t="n"/>
      <c r="AY47" s="82" t="n"/>
      <c r="AZ47" s="82" t="n"/>
      <c r="BA47" s="82" t="n"/>
      <c r="BB47" s="83" t="n"/>
      <c r="BC47" s="83" t="n"/>
      <c r="BD47" s="84">
        <f>IF($A47="","",IF($DJ47&lt;&gt;"","FIX",IF($DK47&lt;&gt;"","CHECK","OK")))</f>
        <v/>
      </c>
      <c r="BE47" s="85">
        <f>IF($A47="","",IF($DJ47&lt;&gt;"","FIX: "&amp;LEFT($DJ47,LEN($DJ47)-2)&amp;IF($DK47&lt;&gt;"","  ·  ",""),"")&amp;IF($DK47&lt;&gt;"","CHECK: "&amp;LEFT($DK47,LEN($DK47)-2),""))</f>
        <v/>
      </c>
      <c r="BF47" s="84">
        <f>IF(OR($A47="",$K47=""),"",$K47&amp;"'-"&amp;N($L47)&amp;CHAR(34)&amp;" x "&amp;$M47&amp;"'-"&amp;N($N47)&amp;CHAR(34))</f>
        <v/>
      </c>
      <c r="BG47" s="84">
        <f>IF(OR($A47="",$K47=""),"",$K47&amp;N($L47)&amp;$M47&amp;N($N47))</f>
        <v/>
      </c>
      <c r="BH47" s="84">
        <f>IF(OR($A47="",$K47=""),"",$K47*12+N($L47))</f>
        <v/>
      </c>
      <c r="BI47" s="84">
        <f>IF(OR($A47="",$M47=""),"",$M47*12+N($N47))</f>
        <v/>
      </c>
      <c r="BJ47" s="84">
        <f>IF($A47="","",IF(OR($C47="FRAME ONLY",$S47="BL"),0,IF($O47="Y",2,1)))</f>
        <v/>
      </c>
      <c r="BK47" s="86">
        <f>IF(OR(N($BJ47)=0,$BH47=""),"",($BH47-2*EdgeClr-IF($BJ47=2,MeetClr,0))/$BJ47)</f>
        <v/>
      </c>
      <c r="BL47" s="86">
        <f>IF(OR(N($BJ47)=0,$BI47=""),"",$BI47-HeadClr-Undercut)</f>
        <v/>
      </c>
      <c r="BM47" s="86">
        <f>IF($BH47="","",$BH47+2*FaceW+IF(N($Q47)&gt;0,($Q47+FaceW)*IF($R47="LR",2,1),0))</f>
        <v/>
      </c>
      <c r="BN47" s="86">
        <f>IF($BI47="","",$BI47+IF($AB47="Y",4,FaceW)+IF(N($P47)&gt;0,$P47+FaceW,0)+IF(OR($S47="4F",$S47="BL"),FaceW,0))</f>
        <v/>
      </c>
      <c r="BO47" s="86">
        <f>IF($BM47="","",$BM47+2*ROSide)</f>
        <v/>
      </c>
      <c r="BP47" s="86">
        <f>IF($BN47="","",$BN47+ROTop)</f>
        <v/>
      </c>
      <c r="BQ47" s="87">
        <f>IF(OR(N($BJ47)=0,$BH47=""),"",$BH47/$BJ47-ClearDeduct)</f>
        <v/>
      </c>
      <c r="BR47" s="84">
        <f>IF(N($CH47)=0,"",IF($CH47&gt;=180,"A · 3 HR",IF($CH47&gt;=90,"B · 1-1/2 HR",IF($CH47&gt;=60,"B · 1 HR",IF($CH47&gt;=45,"C · 3/4 HR","20 MIN")))))&amp;IF(AND(N($CH47)&gt;0,OR($I47="CORRIDOR",$I47="SMOKE BARRIER"))," · S","")</f>
        <v/>
      </c>
      <c r="BS47" s="84">
        <f>IF($CS47,"",IF($AV47&lt;&gt;"",$AV47,IF(OR($AC47="HGC",$AO47="HGC"),"CONT",IF(($BI47-HeadClr-Undercut)&lt;=60,2,IF(($BI47-HeadClr-Undercut)&lt;=90,3,IF(($BI47-HeadClr-Undercut)&lt;=120,4,5))))))</f>
        <v/>
      </c>
      <c r="BT47" s="84">
        <f>IF($CS47,"",IF($CT47,"CUSTOM (typed)",IF($CV47,$AT47&amp;" "&amp;$CU47&amp;CHAR(34)&amp;IF($CU47&lt;&gt;$BI47,IF(AND($BI47&lt;$CU47,$BI47-IF(N(VLOOKUP($AT47&amp;"|"&amp;$CU47,LocTable,7,FALSE))&gt;0,VLOOKUP($AT47&amp;"|"&amp;$CU47,LocTable,7,FALSE),VLOOKUP($AT47&amp;"|"&amp;$CU47,LocTable,6,FALSE))-$CR47-0.75&gt;=2.125)," cut down"," adj."),""),"ANSI/SDI A250.6")))</f>
        <v/>
      </c>
      <c r="BU47" s="88">
        <f>IF($CS47,"",IF($CT47,IF(N($AW47)&gt;0,N($AW47),""),IF(1&gt;$CQ47,"",IF($CQ47=1,$CW47,$CW47+($CX47-$CW47)*0/($CQ47-1)))))</f>
        <v/>
      </c>
      <c r="BV47" s="88">
        <f>IF($CS47,"",IF($CT47,IF(N($AX47)&gt;0,N($AX47),""),IF(2&gt;$CQ47,"",IF($CQ47=1,$CW47,$CW47+($CX47-$CW47)*1/($CQ47-1)))))</f>
        <v/>
      </c>
      <c r="BW47" s="88">
        <f>IF($CS47,"",IF($CT47,IF(N($AY47)&gt;0,N($AY47),""),IF(3&gt;$CQ47,"",IF($CQ47=1,$CW47,$CW47+($CX47-$CW47)*2/($CQ47-1)))))</f>
        <v/>
      </c>
      <c r="BX47" s="88">
        <f>IF($CS47,"",IF($CT47,IF(N($AZ47)&gt;0,N($AZ47),""),IF(4&gt;$CQ47,"",IF($CQ47=1,$CW47,$CW47+($CX47-$CW47)*3/($CQ47-1)))))</f>
        <v/>
      </c>
      <c r="BY47" s="88">
        <f>IF($CS47,"",IF($CT47,"",IF(5&gt;$CQ47,"",IF($CQ47=1,$CW47,$CW47+($CX47-$CW47)*4/($CQ47-1)))))</f>
        <v/>
      </c>
      <c r="BZ47" s="88">
        <f>IF(OR($CS47,$AP47="-",AND($AP47="",$AD47="")),"",IF(N($BA47)&gt;0,N($BA47),IF($CV47,IF(AND($BI47&lt;$CU47,$BI47-IF(N(VLOOKUP($AT47&amp;"|"&amp;$CU47,LocTable,7,FALSE))&gt;0,VLOOKUP($AT47&amp;"|"&amp;$CU47,LocTable,7,FALSE),VLOOKUP($AT47&amp;"|"&amp;$CU47,LocTable,6,FALSE))-$CR47-0.75&gt;=2.125),VLOOKUP($AT47&amp;"|"&amp;$CU47,LocTable,8,FALSE),VLOOKUP($AT47&amp;"|"&amp;$CU47,LocTable,8,FALSE)+($BI47-$CU47)),$BI47-LockAFF)))</f>
        <v/>
      </c>
      <c r="CA47" s="89">
        <f>IF($BZ47="","",$BI47-$BZ47)</f>
        <v/>
      </c>
      <c r="CB47" s="84">
        <f>IF(OR(NOT(AND($A47&lt;&gt;"",$C47&lt;&gt;"DOOR ONLY")),$BI47=""),"",IF(($BI47+IF(N($P47)&gt;0,$P47+FaceW,0))&lt;=90,3,IF(($BI47+IF(N($P47)&gt;0,$P47+FaceW,0))&lt;=114,4,5)))</f>
        <v/>
      </c>
      <c r="CC47" s="84">
        <f>IF($CB47="","",$CB47*(2+IF(N($Q47)&gt;0,IF($R47="LR",2,1),0)))</f>
        <v/>
      </c>
      <c r="CD47" s="84">
        <f>IF($CB47="","",(2+IF(N($Q47)&gt;0,IF($R47="LR",2,1),0)))</f>
        <v/>
      </c>
      <c r="CE47" s="84">
        <f>IF(N($BJ47)=0,"",IF(OR($AL47="",$AL47="FLUSH"),"FLUSH",IFERROR(LEFT($AL47,FIND("-",$AL47)-1),LEFT($AL47,2))))</f>
        <v/>
      </c>
      <c r="CF47" s="84">
        <f>IF($CE47="","",IFERROR(VALUE(MID($AL47,FIND("-",$AL47)+1,FIND(CHAR(34)&amp;"x",$AL47)-FIND("-",$AL47)-1)),0))</f>
        <v/>
      </c>
      <c r="CG47" s="84">
        <f>IF($CE47="","",IFERROR(VALUE(MID($AL47,FIND(CHAR(34)&amp;"x",$AL47)+2,FIND(CHAR(34),$AL47,FIND(CHAR(34)&amp;"x",$AL47)+2)-FIND(CHAR(34)&amp;"x",$AL47)-2)),0))</f>
        <v/>
      </c>
      <c r="CH47" s="90">
        <f>IF(OR($A47="",$H47="",$H47="NO LAB"),0,IFERROR(VALUE(LEFT($H47,FIND(" ",$H47)-1)),0))</f>
        <v/>
      </c>
      <c r="CI47" s="91">
        <f>IF(OR($A47="",$I47="",$I47="NON-RATED",N($J47)=0),"",IFERROR(VLOOKUP($I47&amp;"|"&amp;$J47,IBC,2,FALSE),"?"))</f>
        <v/>
      </c>
      <c r="CJ47" s="85">
        <f>IF(NOT(AND($A47&lt;&gt;"",$C47&lt;&gt;"DOOR ONLY")),"",TRIM(IFERROR(VLOOKUP($U47,CODES,2,FALSE),"")&amp;" "&amp;$BG47&amp;" "&amp;IFERROR(VLOOKUP($Z47,CODES,2,FALSE),"")&amp;" "&amp;IFERROR(VLOOKUP($X47,CODES,2,FALSE),"")&amp;" "&amp;IFERROR(VLOOKUP($S47,CODES,2,FALSE),"")&amp;IF(N($P47)&gt;0," w/TRANSOM "&amp;$P47&amp;CHAR(34),"")&amp;IF(N($Q47)&gt;0," w/SIDELITE "&amp;$Q47&amp;CHAR(34)&amp;" "&amp;IF($R47="","R",$R47),"")&amp;IF($Y47="","  |  "," | "&amp;IFERROR(VLOOKUP($Y47,CODES,2,FALSE),"")&amp;" | ")&amp;IFERROR(VLOOKUP($AC47,CODES,2,FALSE),"")&amp;" "&amp;IFERROR(VLOOKUP($AD47,CODES,2,FALSE),"")&amp;IF(OR($AE47="",$AE47="-"),""," "&amp;$AE47)&amp;IF(OR($AF47="",$AF47="-"),""," "&amp;$AF47)&amp;IF($AB47="Y"," 4"&amp;CHAR(34)&amp;" HEAD","")&amp;" "&amp;IFERROR(VLOOKUP($H47,CODES,2,FALSE),"")&amp;IF($CT47," | LOC "&amp;$CY47,"")))</f>
        <v/>
      </c>
      <c r="CK47" s="85">
        <f>IF(NOT(AND($A47&lt;&gt;"",N($BJ47)&gt;0)),"",TRIM(IFERROR(VLOOKUP($AH47,CODES,2,FALSE),"")&amp;IF($AI47=""," "," "&amp;$AI47&amp;"GA ")&amp;$BG47&amp;" "&amp;IF($AN47="",IFERROR(VLOOKUP($Z47,CODES,2,FALSE),""),IFERROR(VLOOKUP($AN47,CODES,2,FALSE),""))&amp;IF($BJ47=2," PAIR","")&amp;" DOOR | "&amp;IF($AL47="","?",$AL47)&amp;" | "&amp;IF($AO47="",IFERROR(VLOOKUP($AC47,CODES,2,FALSE),""),IFERROR(VLOOKUP($AO47,CODES,2,FALSE),""))&amp;" "&amp;IFERROR(VLOOKUP($AP47,CODES,2,FALSE),"")&amp;IF(OR($AQ47="",$AQ47="-"),""," SEAM "&amp;$AQ47)&amp;IF($AR47="Y"," ASTRAGAL","")&amp;IF($AJ47=""," "," "&amp;$AJ47)&amp;IF($AK47=""," "," "&amp;$AK47)&amp;IF(OR($AT47="",$AT47="ANSI/SDI",$AT47="CUSTOM LOC"),""," "&amp;$AT47)&amp;IF($AM47=""," "," SERIES "&amp;$AM47)&amp;" "&amp;IFERROR(VLOOKUP($H47,CODES,2,FALSE),"")&amp;IF($CT47," | LOC "&amp;$CZ47,"")))</f>
        <v/>
      </c>
      <c r="CL47" s="84">
        <f>IF(CP47="","",IF(COUNTIF($CP$6:CP47,CP47)=1,MAX($CL$5:CL46)+1,INDEX($CL$5:CL46,MATCH(CP47,$CP$5:CP46,0))))</f>
        <v/>
      </c>
      <c r="CM47" s="84">
        <f>IF(NOT(AND($A47&lt;&gt;"",$C47&lt;&gt;"DOOR ONLY")),"",MAX($CM$5:CM46)+1)</f>
        <v/>
      </c>
      <c r="CN47" s="84">
        <f>IF(NOT(AND($A47&lt;&gt;"",N($BJ47)&gt;0)),"",MAX($CN$5:CN46)+1)</f>
        <v/>
      </c>
      <c r="CO47" s="84">
        <f>IF($A47="","",MAX($CO$5:CO46)+1)</f>
        <v/>
      </c>
      <c r="CP47" s="84">
        <f>IF(OR($A47="",$BH47="",$BI47=""),"",$BG47&amp;"|"&amp;$O47&amp;"|"&amp;$AL47&amp;"|"&amp;$S47&amp;"|"&amp;$P47&amp;"|"&amp;$Q47&amp;$R47&amp;"|"&amp;$C47&amp;"|"&amp;$AB47)</f>
        <v/>
      </c>
      <c r="CQ47" s="84">
        <f>N($BS47)</f>
        <v/>
      </c>
      <c r="CR47" s="84">
        <f>IF(N($AU47)&gt;0,N($AU47),4.5)</f>
        <v/>
      </c>
      <c r="CS47" s="84">
        <f>OR($A47="",$BI47="",$S47="BL",AND($C47="FRAME ONLY",OR($AC47="",$AC47="BLK")))</f>
        <v/>
      </c>
      <c r="CT47" s="84">
        <f>AND(NOT($CS47),OR($AT47="CUSTOM LOC",N($AW47)+N($AX47)+N($AY47)+N($AZ47)+N($BA47)&gt;0))</f>
        <v/>
      </c>
      <c r="CU47" s="84">
        <f>IF($BI47="","",IF($BI47&lt;=80,80,IF($BI47&lt;=84,84,96)))</f>
        <v/>
      </c>
      <c r="CV47" s="84">
        <f>ISNUMBER(MATCH($AT47&amp;"|80",LocKeys,0))</f>
        <v/>
      </c>
      <c r="CW47" s="86">
        <f>IF($CS47,"",IF($CV47,VLOOKUP($AT47&amp;"|"&amp;$CU47,LocTable,4,FALSE),5))</f>
        <v/>
      </c>
      <c r="CX47" s="86">
        <f>IF($CS47,"",IF($CV47,IF(OR($BI47=$CU47,AND($BI47&lt;$CU47,$BI47-IF(N(VLOOKUP($AT47&amp;"|"&amp;$CU47,LocTable,7,FALSE))&gt;0,VLOOKUP($AT47&amp;"|"&amp;$CU47,LocTable,7,FALSE),VLOOKUP($AT47&amp;"|"&amp;$CU47,LocTable,6,FALSE))-$CR47-0.75&gt;=2.125)),IF(N(VLOOKUP($AT47&amp;"|"&amp;$CU47,LocTable,7,FALSE))&gt;0,VLOOKUP($AT47&amp;"|"&amp;$CU47,LocTable,7,FALSE),VLOOKUP($AT47&amp;"|"&amp;$CU47,LocTable,6,FALSE)),$BI47-($CU47-IF(N(VLOOKUP($AT47&amp;"|"&amp;$CU47,LocTable,7,FALSE))&gt;0,VLOOKUP($AT47&amp;"|"&amp;$CU47,LocTable,7,FALSE),VLOOKUP($AT47&amp;"|"&amp;$CU47,LocTable,6,FALSE)))),$BI47-10-$CR47))</f>
        <v/>
      </c>
      <c r="CY47" s="85">
        <f>IF($CS47,"",TRIM(IF(ISNUMBER($BU47),"A "&amp;TRIM(TEXT($BU47,"# ?/??"))&amp;CHAR(34)&amp;"  ","")&amp;IF(ISNUMBER($BV47),"B "&amp;TRIM(TEXT($BV47,"# ?/??"))&amp;CHAR(34)&amp;"  ","")&amp;IF(ISNUMBER($BW47),"C "&amp;TRIM(TEXT($BW47,"# ?/??"))&amp;CHAR(34)&amp;"  ","")&amp;IF(ISNUMBER($BX47),"D "&amp;TRIM(TEXT($BX47,"# ?/??"))&amp;CHAR(34)&amp;"  ","")&amp;IF(ISNUMBER($BY47),"F "&amp;TRIM(TEXT($BY47,"# ?/??"))&amp;CHAR(34)&amp;"  ","")&amp;IF(ISNUMBER($BZ47),"E "&amp;TRIM(TEXT($BZ47,"# ?/??"))&amp;CHAR(34)&amp;"  ","")))</f>
        <v/>
      </c>
      <c r="CZ47" s="85">
        <f>IF(OR($CS47,N($BJ47)=0),"",TRIM(IF(ISNUMBER($BU47),"A "&amp;TRIM(TEXT($BU47-HeadClr,"# ?/??"))&amp;CHAR(34)&amp;"  ","")&amp;IF(ISNUMBER($BV47),"B "&amp;TRIM(TEXT($BV47-HeadClr,"# ?/??"))&amp;CHAR(34)&amp;"  ","")&amp;IF(ISNUMBER($BW47),"C "&amp;TRIM(TEXT($BW47-HeadClr,"# ?/??"))&amp;CHAR(34)&amp;"  ","")&amp;IF(ISNUMBER($BX47),"D "&amp;TRIM(TEXT($BX47-HeadClr,"# ?/??"))&amp;CHAR(34)&amp;"  ","")&amp;IF(ISNUMBER($BY47),"F "&amp;TRIM(TEXT($BY47-HeadClr,"# ?/??"))&amp;CHAR(34)&amp;"  ","")&amp;IF(ISNUMBER($BZ47),"E "&amp;TRIM(TEXT($BZ47-HeadClr,"# ?/??"))&amp;CHAR(34)&amp;"  ","")))</f>
        <v/>
      </c>
      <c r="DA47" s="84">
        <f>IF($A47="","",IF($AN47="",IFERROR(VLOOKUP($Z47,CODES,2,FALSE),""),IFERROR(VLOOKUP($AN47,CODES,2,FALSE),"")))</f>
        <v/>
      </c>
      <c r="DB47" s="84">
        <f>IF($A47="","",IF($O47="Y","PR",IF(OR($Z47="L",$Z47="RR",LEFT($Z47,2)="L-",LEFT($Z47,3)="RR-"),"LH","RH")))</f>
        <v/>
      </c>
      <c r="DC47" s="84">
        <f>IF($A47="","","S.HM"&amp;IF(OR($C47="DOOR ONLY",$X47&lt;&gt;"KD"),"MASONRY","DRYWALL")&amp;IF($C47="DOOR ONLY","",$U47)&amp;IF(AND($C47&lt;&gt;"FRAME ONLY",OR(LEFT($AH47,3)="OAK",LEFT($AH47,3)="BIR",LEFT($AH47,3)="MAP",$AH47="PC",$AH47="MC",$AH47="SCLC",$AH47="P-LAM")),"WD","HM")&amp;"1.75")</f>
        <v/>
      </c>
      <c r="DD47" s="84">
        <f>IF($CJ47="","",IF($O47="Y",$CJ47,SUBSTITUTE($CJ47,$BG47&amp;" "&amp;IFERROR(VLOOKUP($Z47,CODES,2,FALSE),"")&amp;" ",$BG47&amp;" ")))</f>
        <v/>
      </c>
      <c r="DE47" s="84">
        <f>IF($CK47="","",IF($O47="Y",$CK47,SUBSTITUTE($CK47,$BG47&amp;" "&amp;IF($AN47="",IFERROR(VLOOKUP($Z47,CODES,2,FALSE),""),IFERROR(VLOOKUP($AN47,CODES,2,FALSE),""))&amp;" ",$BG47&amp;" ")))</f>
        <v/>
      </c>
      <c r="DF47" s="84">
        <f>IF($CJ47="","",$DC47&amp;"|"&amp;$DD47&amp;"|"&amp;$DB47&amp;"|"&amp;$AT47&amp;"|"&amp;$V47&amp;"|"&amp;$Y47&amp;"|"&amp;$AB47)</f>
        <v/>
      </c>
      <c r="DG47" s="84">
        <f>IF(DF47="","",IF(COUNTIF($DF$6:DF47,DF47)=1,MAX($DG$5:DG46)+1,INDEX($DG$5:DG46,MATCH(DF47,$DF$5:DF46,0))))</f>
        <v/>
      </c>
      <c r="DH47" s="84">
        <f>IF($CK47="","",$DC47&amp;"|"&amp;$DE47&amp;"|"&amp;$AI47&amp;"|"&amp;$BK47&amp;"|"&amp;$BL47)</f>
        <v/>
      </c>
      <c r="DI47" s="84">
        <f>IF(DH47="","",IF(COUNTIF($DH$6:DH47,DH47)=1,MAX($DI$5:DI46)+1,INDEX($DI$5:DI46,MATCH(DH47,$DH$5:DH46,0))))</f>
        <v/>
      </c>
      <c r="DJ47" s="84">
        <f>IF($A47="","",IF($B47="","qty, ","")&amp;IF($C47="","scope, ","")&amp;IF(OR($K47="",$M47=""),"size, ","")&amp;IF(AND($A47&lt;&gt;"",$C47&lt;&gt;"DOOR ONLY"),IF($U47="","jamb depth, ","")&amp;IF($X47="","construction, ","")&amp;IF($Y47="","anchor, ","")&amp;IF($S47="","frame type, ",""),"")&amp;IF(AND(N($BJ47)&gt;0,$Z47=""),"hand, ","")&amp;IF(N($BJ47)&gt;0,IF($AH47="","door material, ","")&amp;IF($AL47="","face type, ","")&amp;IF($AP47="","lock prep, ","")&amp;IF(AND($AO47="",$AC47=""),"hinge prep, ",""),"")&amp;IF(AND($CH47&gt;0,$AH47="FRP"),"FRP cannot carry a label, ","")&amp;IF(AND($O47="Y",OR($Z47="L",$Z47="R",$Z47="LR",$Z47="RR")),"pair marked but hand is single, ","")&amp;IF(AND($O47&lt;&gt;"Y",OR($Z47="PR",AND(LEN($Z47)&gt;1,ISNUMBER(SEARCH("-",$Z47))))),"pair hand on a single door, ","")&amp;IF(AND(ISNUMBER($CI47),$CH47&lt;N($CI47)),"wall needs a "&amp;$CI47&amp;" min door, ","")&amp;IF(AND($CH47&gt;=180,AND(OR($CE47="FG",$CE47="HG",$CE47="FNV",$CE47="FV"),N($CF47)*N($CG47)&gt;100)),"180 min lite over 100 sq in, ","")&amp;IF(N($BK47)&gt;48,"leaf wider than 4'-0"&amp;CHAR(34)&amp;", ","")&amp;IF(AND($CT47,COUNT($AW47:$AZ47)=0,$CQ47&gt;0),"CUSTOM LOC with no locations typed, ",""))</f>
        <v/>
      </c>
      <c r="DK47" s="84">
        <f>IF($A47="","",IF(AND($CH47&gt;0,AND($A47&lt;&gt;"",$C47&lt;&gt;"DOOR ONLY"),$X47="KD",$E47="EXTERIOR"),"KD label on an exterior opening, ","")&amp;IF(AND($E47="EXTERIOR",OR(AND(AND($A47&lt;&gt;"",$C47&lt;&gt;"DOOR ONLY"),$W47="CR"),AND(N($BJ47)&gt;0,$AH47="CR"))),"exterior in CR steel (G9?), ","")&amp;IF(AND(ISNUMBER($BQ47),N($BQ47)&lt;32),"clear width ~"&amp;TEXT($BQ47,"0.0")&amp;CHAR(34)&amp;" under 32"&amp;CHAR(34)&amp;" (ADA), ","")&amp;IF(AND($CH47=90,AND(OR($CE47="FG",$CE47="HG",$CE47="FNV",$CE47="FV"),N($CF47)*N($CG47)&gt;100)),"90 min lite over 100 sq in (stair/exit), ","")&amp;IF(AND($CH47&gt;0,AND($A47&lt;&gt;"",$C47&lt;&gt;"DOOR ONLY"),OR($AF47="",$AF47="-")),"rated: closer reinf.?, ","")&amp;IF(OR($I47="CORRIDOR",$I47="SMOKE BARRIER"),"S label + smoke gasketing, ","")&amp;IF($CI47="?","wall type/hr not in IBC table, ","")&amp;IF(AND(N($BJ47)&gt;0,$BB47=""),"no hardware set, ","")&amp;IF(AND($BB47&lt;&gt;"",ISNA(MATCH($BB47&amp;"",HWSets,0))),"set "&amp;$BB47&amp;" not on HW Sets, ","")&amp;IF(N($BL47)&gt;96,"leaf over 8'-0"&amp;CHAR(34)&amp;" - check listing, ","")&amp;IF(AND($CT47,COUNT($AW47:$AZ47)&gt;0,COUNT($AW47:$AZ47)&lt;&gt;$CQ47),COUNT($AW47:$AZ47)&amp;" custom hinges typed, "&amp;$CQ47&amp;" expected, ","")&amp;IF(AND(ISNUMBER($CA47),OR(N($CA47)&lt;34,N($CA47)&gt;48)),"lock "&amp;TEXT($CA47,"0.0")&amp;CHAR(34)&amp;" AFF outside 34-48"&amp;CHAR(34)&amp;" (ADA), ","")&amp;IF(AND(ISNUMBER($AV47),ISNUMBER($BL47),N($AV47)&lt;IF(N($BL47)&lt;=60,2,IF(N($BL47)&lt;=90,3,IF(N($BL47)&lt;=120,4,5)))),"fewer hinges than standard, ",""))</f>
        <v/>
      </c>
    </row>
    <row r="48" ht="15" customHeight="1">
      <c r="A48" s="77" t="n"/>
      <c r="B48" s="78" t="n"/>
      <c r="C48" s="78" t="n"/>
      <c r="D48" s="78" t="n"/>
      <c r="E48" s="78" t="n"/>
      <c r="F48" s="78" t="n"/>
      <c r="G48" s="78" t="n"/>
      <c r="H48" s="78" t="n"/>
      <c r="I48" s="78" t="n"/>
      <c r="J48" s="78" t="n"/>
      <c r="K48" s="78" t="n"/>
      <c r="L48" s="78" t="n"/>
      <c r="M48" s="78" t="n"/>
      <c r="N48" s="78" t="n"/>
      <c r="O48" s="78" t="n"/>
      <c r="P48" s="78" t="n"/>
      <c r="Q48" s="78" t="n"/>
      <c r="R48" s="78" t="n"/>
      <c r="S48" s="79" t="n"/>
      <c r="T48" s="79" t="n"/>
      <c r="U48" s="79" t="n"/>
      <c r="V48" s="79" t="n"/>
      <c r="W48" s="79" t="n"/>
      <c r="X48" s="79" t="n"/>
      <c r="Y48" s="79" t="n"/>
      <c r="Z48" s="79" t="n"/>
      <c r="AA48" s="79" t="n"/>
      <c r="AB48" s="79" t="n"/>
      <c r="AC48" s="79" t="n"/>
      <c r="AD48" s="79" t="n"/>
      <c r="AE48" s="79" t="n"/>
      <c r="AF48" s="79" t="n"/>
      <c r="AG48" s="79" t="n"/>
      <c r="AH48" s="80" t="n"/>
      <c r="AI48" s="80" t="n"/>
      <c r="AJ48" s="80" t="n"/>
      <c r="AK48" s="80" t="n"/>
      <c r="AL48" s="80" t="n"/>
      <c r="AM48" s="80" t="n"/>
      <c r="AN48" s="80" t="n"/>
      <c r="AO48" s="80" t="n"/>
      <c r="AP48" s="80" t="n"/>
      <c r="AQ48" s="80" t="n"/>
      <c r="AR48" s="80" t="n"/>
      <c r="AS48" s="80" t="n"/>
      <c r="AT48" s="81" t="n"/>
      <c r="AU48" s="81" t="n"/>
      <c r="AV48" s="81" t="n"/>
      <c r="AW48" s="82" t="n"/>
      <c r="AX48" s="82" t="n"/>
      <c r="AY48" s="82" t="n"/>
      <c r="AZ48" s="82" t="n"/>
      <c r="BA48" s="82" t="n"/>
      <c r="BB48" s="83" t="n"/>
      <c r="BC48" s="83" t="n"/>
      <c r="BD48" s="84">
        <f>IF($A48="","",IF($DJ48&lt;&gt;"","FIX",IF($DK48&lt;&gt;"","CHECK","OK")))</f>
        <v/>
      </c>
      <c r="BE48" s="85">
        <f>IF($A48="","",IF($DJ48&lt;&gt;"","FIX: "&amp;LEFT($DJ48,LEN($DJ48)-2)&amp;IF($DK48&lt;&gt;"","  ·  ",""),"")&amp;IF($DK48&lt;&gt;"","CHECK: "&amp;LEFT($DK48,LEN($DK48)-2),""))</f>
        <v/>
      </c>
      <c r="BF48" s="84">
        <f>IF(OR($A48="",$K48=""),"",$K48&amp;"'-"&amp;N($L48)&amp;CHAR(34)&amp;" x "&amp;$M48&amp;"'-"&amp;N($N48)&amp;CHAR(34))</f>
        <v/>
      </c>
      <c r="BG48" s="84">
        <f>IF(OR($A48="",$K48=""),"",$K48&amp;N($L48)&amp;$M48&amp;N($N48))</f>
        <v/>
      </c>
      <c r="BH48" s="84">
        <f>IF(OR($A48="",$K48=""),"",$K48*12+N($L48))</f>
        <v/>
      </c>
      <c r="BI48" s="84">
        <f>IF(OR($A48="",$M48=""),"",$M48*12+N($N48))</f>
        <v/>
      </c>
      <c r="BJ48" s="84">
        <f>IF($A48="","",IF(OR($C48="FRAME ONLY",$S48="BL"),0,IF($O48="Y",2,1)))</f>
        <v/>
      </c>
      <c r="BK48" s="86">
        <f>IF(OR(N($BJ48)=0,$BH48=""),"",($BH48-2*EdgeClr-IF($BJ48=2,MeetClr,0))/$BJ48)</f>
        <v/>
      </c>
      <c r="BL48" s="86">
        <f>IF(OR(N($BJ48)=0,$BI48=""),"",$BI48-HeadClr-Undercut)</f>
        <v/>
      </c>
      <c r="BM48" s="86">
        <f>IF($BH48="","",$BH48+2*FaceW+IF(N($Q48)&gt;0,($Q48+FaceW)*IF($R48="LR",2,1),0))</f>
        <v/>
      </c>
      <c r="BN48" s="86">
        <f>IF($BI48="","",$BI48+IF($AB48="Y",4,FaceW)+IF(N($P48)&gt;0,$P48+FaceW,0)+IF(OR($S48="4F",$S48="BL"),FaceW,0))</f>
        <v/>
      </c>
      <c r="BO48" s="86">
        <f>IF($BM48="","",$BM48+2*ROSide)</f>
        <v/>
      </c>
      <c r="BP48" s="86">
        <f>IF($BN48="","",$BN48+ROTop)</f>
        <v/>
      </c>
      <c r="BQ48" s="87">
        <f>IF(OR(N($BJ48)=0,$BH48=""),"",$BH48/$BJ48-ClearDeduct)</f>
        <v/>
      </c>
      <c r="BR48" s="84">
        <f>IF(N($CH48)=0,"",IF($CH48&gt;=180,"A · 3 HR",IF($CH48&gt;=90,"B · 1-1/2 HR",IF($CH48&gt;=60,"B · 1 HR",IF($CH48&gt;=45,"C · 3/4 HR","20 MIN")))))&amp;IF(AND(N($CH48)&gt;0,OR($I48="CORRIDOR",$I48="SMOKE BARRIER"))," · S","")</f>
        <v/>
      </c>
      <c r="BS48" s="84">
        <f>IF($CS48,"",IF($AV48&lt;&gt;"",$AV48,IF(OR($AC48="HGC",$AO48="HGC"),"CONT",IF(($BI48-HeadClr-Undercut)&lt;=60,2,IF(($BI48-HeadClr-Undercut)&lt;=90,3,IF(($BI48-HeadClr-Undercut)&lt;=120,4,5))))))</f>
        <v/>
      </c>
      <c r="BT48" s="84">
        <f>IF($CS48,"",IF($CT48,"CUSTOM (typed)",IF($CV48,$AT48&amp;" "&amp;$CU48&amp;CHAR(34)&amp;IF($CU48&lt;&gt;$BI48,IF(AND($BI48&lt;$CU48,$BI48-IF(N(VLOOKUP($AT48&amp;"|"&amp;$CU48,LocTable,7,FALSE))&gt;0,VLOOKUP($AT48&amp;"|"&amp;$CU48,LocTable,7,FALSE),VLOOKUP($AT48&amp;"|"&amp;$CU48,LocTable,6,FALSE))-$CR48-0.75&gt;=2.125)," cut down"," adj."),""),"ANSI/SDI A250.6")))</f>
        <v/>
      </c>
      <c r="BU48" s="88">
        <f>IF($CS48,"",IF($CT48,IF(N($AW48)&gt;0,N($AW48),""),IF(1&gt;$CQ48,"",IF($CQ48=1,$CW48,$CW48+($CX48-$CW48)*0/($CQ48-1)))))</f>
        <v/>
      </c>
      <c r="BV48" s="88">
        <f>IF($CS48,"",IF($CT48,IF(N($AX48)&gt;0,N($AX48),""),IF(2&gt;$CQ48,"",IF($CQ48=1,$CW48,$CW48+($CX48-$CW48)*1/($CQ48-1)))))</f>
        <v/>
      </c>
      <c r="BW48" s="88">
        <f>IF($CS48,"",IF($CT48,IF(N($AY48)&gt;0,N($AY48),""),IF(3&gt;$CQ48,"",IF($CQ48=1,$CW48,$CW48+($CX48-$CW48)*2/($CQ48-1)))))</f>
        <v/>
      </c>
      <c r="BX48" s="88">
        <f>IF($CS48,"",IF($CT48,IF(N($AZ48)&gt;0,N($AZ48),""),IF(4&gt;$CQ48,"",IF($CQ48=1,$CW48,$CW48+($CX48-$CW48)*3/($CQ48-1)))))</f>
        <v/>
      </c>
      <c r="BY48" s="88">
        <f>IF($CS48,"",IF($CT48,"",IF(5&gt;$CQ48,"",IF($CQ48=1,$CW48,$CW48+($CX48-$CW48)*4/($CQ48-1)))))</f>
        <v/>
      </c>
      <c r="BZ48" s="88">
        <f>IF(OR($CS48,$AP48="-",AND($AP48="",$AD48="")),"",IF(N($BA48)&gt;0,N($BA48),IF($CV48,IF(AND($BI48&lt;$CU48,$BI48-IF(N(VLOOKUP($AT48&amp;"|"&amp;$CU48,LocTable,7,FALSE))&gt;0,VLOOKUP($AT48&amp;"|"&amp;$CU48,LocTable,7,FALSE),VLOOKUP($AT48&amp;"|"&amp;$CU48,LocTable,6,FALSE))-$CR48-0.75&gt;=2.125),VLOOKUP($AT48&amp;"|"&amp;$CU48,LocTable,8,FALSE),VLOOKUP($AT48&amp;"|"&amp;$CU48,LocTable,8,FALSE)+($BI48-$CU48)),$BI48-LockAFF)))</f>
        <v/>
      </c>
      <c r="CA48" s="89">
        <f>IF($BZ48="","",$BI48-$BZ48)</f>
        <v/>
      </c>
      <c r="CB48" s="84">
        <f>IF(OR(NOT(AND($A48&lt;&gt;"",$C48&lt;&gt;"DOOR ONLY")),$BI48=""),"",IF(($BI48+IF(N($P48)&gt;0,$P48+FaceW,0))&lt;=90,3,IF(($BI48+IF(N($P48)&gt;0,$P48+FaceW,0))&lt;=114,4,5)))</f>
        <v/>
      </c>
      <c r="CC48" s="84">
        <f>IF($CB48="","",$CB48*(2+IF(N($Q48)&gt;0,IF($R48="LR",2,1),0)))</f>
        <v/>
      </c>
      <c r="CD48" s="84">
        <f>IF($CB48="","",(2+IF(N($Q48)&gt;0,IF($R48="LR",2,1),0)))</f>
        <v/>
      </c>
      <c r="CE48" s="84">
        <f>IF(N($BJ48)=0,"",IF(OR($AL48="",$AL48="FLUSH"),"FLUSH",IFERROR(LEFT($AL48,FIND("-",$AL48)-1),LEFT($AL48,2))))</f>
        <v/>
      </c>
      <c r="CF48" s="84">
        <f>IF($CE48="","",IFERROR(VALUE(MID($AL48,FIND("-",$AL48)+1,FIND(CHAR(34)&amp;"x",$AL48)-FIND("-",$AL48)-1)),0))</f>
        <v/>
      </c>
      <c r="CG48" s="84">
        <f>IF($CE48="","",IFERROR(VALUE(MID($AL48,FIND(CHAR(34)&amp;"x",$AL48)+2,FIND(CHAR(34),$AL48,FIND(CHAR(34)&amp;"x",$AL48)+2)-FIND(CHAR(34)&amp;"x",$AL48)-2)),0))</f>
        <v/>
      </c>
      <c r="CH48" s="90">
        <f>IF(OR($A48="",$H48="",$H48="NO LAB"),0,IFERROR(VALUE(LEFT($H48,FIND(" ",$H48)-1)),0))</f>
        <v/>
      </c>
      <c r="CI48" s="91">
        <f>IF(OR($A48="",$I48="",$I48="NON-RATED",N($J48)=0),"",IFERROR(VLOOKUP($I48&amp;"|"&amp;$J48,IBC,2,FALSE),"?"))</f>
        <v/>
      </c>
      <c r="CJ48" s="85">
        <f>IF(NOT(AND($A48&lt;&gt;"",$C48&lt;&gt;"DOOR ONLY")),"",TRIM(IFERROR(VLOOKUP($U48,CODES,2,FALSE),"")&amp;" "&amp;$BG48&amp;" "&amp;IFERROR(VLOOKUP($Z48,CODES,2,FALSE),"")&amp;" "&amp;IFERROR(VLOOKUP($X48,CODES,2,FALSE),"")&amp;" "&amp;IFERROR(VLOOKUP($S48,CODES,2,FALSE),"")&amp;IF(N($P48)&gt;0," w/TRANSOM "&amp;$P48&amp;CHAR(34),"")&amp;IF(N($Q48)&gt;0," w/SIDELITE "&amp;$Q48&amp;CHAR(34)&amp;" "&amp;IF($R48="","R",$R48),"")&amp;IF($Y48="","  |  "," | "&amp;IFERROR(VLOOKUP($Y48,CODES,2,FALSE),"")&amp;" | ")&amp;IFERROR(VLOOKUP($AC48,CODES,2,FALSE),"")&amp;" "&amp;IFERROR(VLOOKUP($AD48,CODES,2,FALSE),"")&amp;IF(OR($AE48="",$AE48="-"),""," "&amp;$AE48)&amp;IF(OR($AF48="",$AF48="-"),""," "&amp;$AF48)&amp;IF($AB48="Y"," 4"&amp;CHAR(34)&amp;" HEAD","")&amp;" "&amp;IFERROR(VLOOKUP($H48,CODES,2,FALSE),"")&amp;IF($CT48," | LOC "&amp;$CY48,"")))</f>
        <v/>
      </c>
      <c r="CK48" s="85">
        <f>IF(NOT(AND($A48&lt;&gt;"",N($BJ48)&gt;0)),"",TRIM(IFERROR(VLOOKUP($AH48,CODES,2,FALSE),"")&amp;IF($AI48=""," "," "&amp;$AI48&amp;"GA ")&amp;$BG48&amp;" "&amp;IF($AN48="",IFERROR(VLOOKUP($Z48,CODES,2,FALSE),""),IFERROR(VLOOKUP($AN48,CODES,2,FALSE),""))&amp;IF($BJ48=2," PAIR","")&amp;" DOOR | "&amp;IF($AL48="","?",$AL48)&amp;" | "&amp;IF($AO48="",IFERROR(VLOOKUP($AC48,CODES,2,FALSE),""),IFERROR(VLOOKUP($AO48,CODES,2,FALSE),""))&amp;" "&amp;IFERROR(VLOOKUP($AP48,CODES,2,FALSE),"")&amp;IF(OR($AQ48="",$AQ48="-"),""," SEAM "&amp;$AQ48)&amp;IF($AR48="Y"," ASTRAGAL","")&amp;IF($AJ48=""," "," "&amp;$AJ48)&amp;IF($AK48=""," "," "&amp;$AK48)&amp;IF(OR($AT48="",$AT48="ANSI/SDI",$AT48="CUSTOM LOC"),""," "&amp;$AT48)&amp;IF($AM48=""," "," SERIES "&amp;$AM48)&amp;" "&amp;IFERROR(VLOOKUP($H48,CODES,2,FALSE),"")&amp;IF($CT48," | LOC "&amp;$CZ48,"")))</f>
        <v/>
      </c>
      <c r="CL48" s="84">
        <f>IF(CP48="","",IF(COUNTIF($CP$6:CP48,CP48)=1,MAX($CL$5:CL47)+1,INDEX($CL$5:CL47,MATCH(CP48,$CP$5:CP47,0))))</f>
        <v/>
      </c>
      <c r="CM48" s="84">
        <f>IF(NOT(AND($A48&lt;&gt;"",$C48&lt;&gt;"DOOR ONLY")),"",MAX($CM$5:CM47)+1)</f>
        <v/>
      </c>
      <c r="CN48" s="84">
        <f>IF(NOT(AND($A48&lt;&gt;"",N($BJ48)&gt;0)),"",MAX($CN$5:CN47)+1)</f>
        <v/>
      </c>
      <c r="CO48" s="84">
        <f>IF($A48="","",MAX($CO$5:CO47)+1)</f>
        <v/>
      </c>
      <c r="CP48" s="84">
        <f>IF(OR($A48="",$BH48="",$BI48=""),"",$BG48&amp;"|"&amp;$O48&amp;"|"&amp;$AL48&amp;"|"&amp;$S48&amp;"|"&amp;$P48&amp;"|"&amp;$Q48&amp;$R48&amp;"|"&amp;$C48&amp;"|"&amp;$AB48)</f>
        <v/>
      </c>
      <c r="CQ48" s="84">
        <f>N($BS48)</f>
        <v/>
      </c>
      <c r="CR48" s="84">
        <f>IF(N($AU48)&gt;0,N($AU48),4.5)</f>
        <v/>
      </c>
      <c r="CS48" s="84">
        <f>OR($A48="",$BI48="",$S48="BL",AND($C48="FRAME ONLY",OR($AC48="",$AC48="BLK")))</f>
        <v/>
      </c>
      <c r="CT48" s="84">
        <f>AND(NOT($CS48),OR($AT48="CUSTOM LOC",N($AW48)+N($AX48)+N($AY48)+N($AZ48)+N($BA48)&gt;0))</f>
        <v/>
      </c>
      <c r="CU48" s="84">
        <f>IF($BI48="","",IF($BI48&lt;=80,80,IF($BI48&lt;=84,84,96)))</f>
        <v/>
      </c>
      <c r="CV48" s="84">
        <f>ISNUMBER(MATCH($AT48&amp;"|80",LocKeys,0))</f>
        <v/>
      </c>
      <c r="CW48" s="86">
        <f>IF($CS48,"",IF($CV48,VLOOKUP($AT48&amp;"|"&amp;$CU48,LocTable,4,FALSE),5))</f>
        <v/>
      </c>
      <c r="CX48" s="86">
        <f>IF($CS48,"",IF($CV48,IF(OR($BI48=$CU48,AND($BI48&lt;$CU48,$BI48-IF(N(VLOOKUP($AT48&amp;"|"&amp;$CU48,LocTable,7,FALSE))&gt;0,VLOOKUP($AT48&amp;"|"&amp;$CU48,LocTable,7,FALSE),VLOOKUP($AT48&amp;"|"&amp;$CU48,LocTable,6,FALSE))-$CR48-0.75&gt;=2.125)),IF(N(VLOOKUP($AT48&amp;"|"&amp;$CU48,LocTable,7,FALSE))&gt;0,VLOOKUP($AT48&amp;"|"&amp;$CU48,LocTable,7,FALSE),VLOOKUP($AT48&amp;"|"&amp;$CU48,LocTable,6,FALSE)),$BI48-($CU48-IF(N(VLOOKUP($AT48&amp;"|"&amp;$CU48,LocTable,7,FALSE))&gt;0,VLOOKUP($AT48&amp;"|"&amp;$CU48,LocTable,7,FALSE),VLOOKUP($AT48&amp;"|"&amp;$CU48,LocTable,6,FALSE)))),$BI48-10-$CR48))</f>
        <v/>
      </c>
      <c r="CY48" s="85">
        <f>IF($CS48,"",TRIM(IF(ISNUMBER($BU48),"A "&amp;TRIM(TEXT($BU48,"# ?/??"))&amp;CHAR(34)&amp;"  ","")&amp;IF(ISNUMBER($BV48),"B "&amp;TRIM(TEXT($BV48,"# ?/??"))&amp;CHAR(34)&amp;"  ","")&amp;IF(ISNUMBER($BW48),"C "&amp;TRIM(TEXT($BW48,"# ?/??"))&amp;CHAR(34)&amp;"  ","")&amp;IF(ISNUMBER($BX48),"D "&amp;TRIM(TEXT($BX48,"# ?/??"))&amp;CHAR(34)&amp;"  ","")&amp;IF(ISNUMBER($BY48),"F "&amp;TRIM(TEXT($BY48,"# ?/??"))&amp;CHAR(34)&amp;"  ","")&amp;IF(ISNUMBER($BZ48),"E "&amp;TRIM(TEXT($BZ48,"# ?/??"))&amp;CHAR(34)&amp;"  ","")))</f>
        <v/>
      </c>
      <c r="CZ48" s="85">
        <f>IF(OR($CS48,N($BJ48)=0),"",TRIM(IF(ISNUMBER($BU48),"A "&amp;TRIM(TEXT($BU48-HeadClr,"# ?/??"))&amp;CHAR(34)&amp;"  ","")&amp;IF(ISNUMBER($BV48),"B "&amp;TRIM(TEXT($BV48-HeadClr,"# ?/??"))&amp;CHAR(34)&amp;"  ","")&amp;IF(ISNUMBER($BW48),"C "&amp;TRIM(TEXT($BW48-HeadClr,"# ?/??"))&amp;CHAR(34)&amp;"  ","")&amp;IF(ISNUMBER($BX48),"D "&amp;TRIM(TEXT($BX48-HeadClr,"# ?/??"))&amp;CHAR(34)&amp;"  ","")&amp;IF(ISNUMBER($BY48),"F "&amp;TRIM(TEXT($BY48-HeadClr,"# ?/??"))&amp;CHAR(34)&amp;"  ","")&amp;IF(ISNUMBER($BZ48),"E "&amp;TRIM(TEXT($BZ48-HeadClr,"# ?/??"))&amp;CHAR(34)&amp;"  ","")))</f>
        <v/>
      </c>
      <c r="DA48" s="84">
        <f>IF($A48="","",IF($AN48="",IFERROR(VLOOKUP($Z48,CODES,2,FALSE),""),IFERROR(VLOOKUP($AN48,CODES,2,FALSE),"")))</f>
        <v/>
      </c>
      <c r="DB48" s="84">
        <f>IF($A48="","",IF($O48="Y","PR",IF(OR($Z48="L",$Z48="RR",LEFT($Z48,2)="L-",LEFT($Z48,3)="RR-"),"LH","RH")))</f>
        <v/>
      </c>
      <c r="DC48" s="84">
        <f>IF($A48="","","S.HM"&amp;IF(OR($C48="DOOR ONLY",$X48&lt;&gt;"KD"),"MASONRY","DRYWALL")&amp;IF($C48="DOOR ONLY","",$U48)&amp;IF(AND($C48&lt;&gt;"FRAME ONLY",OR(LEFT($AH48,3)="OAK",LEFT($AH48,3)="BIR",LEFT($AH48,3)="MAP",$AH48="PC",$AH48="MC",$AH48="SCLC",$AH48="P-LAM")),"WD","HM")&amp;"1.75")</f>
        <v/>
      </c>
      <c r="DD48" s="84">
        <f>IF($CJ48="","",IF($O48="Y",$CJ48,SUBSTITUTE($CJ48,$BG48&amp;" "&amp;IFERROR(VLOOKUP($Z48,CODES,2,FALSE),"")&amp;" ",$BG48&amp;" ")))</f>
        <v/>
      </c>
      <c r="DE48" s="84">
        <f>IF($CK48="","",IF($O48="Y",$CK48,SUBSTITUTE($CK48,$BG48&amp;" "&amp;IF($AN48="",IFERROR(VLOOKUP($Z48,CODES,2,FALSE),""),IFERROR(VLOOKUP($AN48,CODES,2,FALSE),""))&amp;" ",$BG48&amp;" ")))</f>
        <v/>
      </c>
      <c r="DF48" s="84">
        <f>IF($CJ48="","",$DC48&amp;"|"&amp;$DD48&amp;"|"&amp;$DB48&amp;"|"&amp;$AT48&amp;"|"&amp;$V48&amp;"|"&amp;$Y48&amp;"|"&amp;$AB48)</f>
        <v/>
      </c>
      <c r="DG48" s="84">
        <f>IF(DF48="","",IF(COUNTIF($DF$6:DF48,DF48)=1,MAX($DG$5:DG47)+1,INDEX($DG$5:DG47,MATCH(DF48,$DF$5:DF47,0))))</f>
        <v/>
      </c>
      <c r="DH48" s="84">
        <f>IF($CK48="","",$DC48&amp;"|"&amp;$DE48&amp;"|"&amp;$AI48&amp;"|"&amp;$BK48&amp;"|"&amp;$BL48)</f>
        <v/>
      </c>
      <c r="DI48" s="84">
        <f>IF(DH48="","",IF(COUNTIF($DH$6:DH48,DH48)=1,MAX($DI$5:DI47)+1,INDEX($DI$5:DI47,MATCH(DH48,$DH$5:DH47,0))))</f>
        <v/>
      </c>
      <c r="DJ48" s="84">
        <f>IF($A48="","",IF($B48="","qty, ","")&amp;IF($C48="","scope, ","")&amp;IF(OR($K48="",$M48=""),"size, ","")&amp;IF(AND($A48&lt;&gt;"",$C48&lt;&gt;"DOOR ONLY"),IF($U48="","jamb depth, ","")&amp;IF($X48="","construction, ","")&amp;IF($Y48="","anchor, ","")&amp;IF($S48="","frame type, ",""),"")&amp;IF(AND(N($BJ48)&gt;0,$Z48=""),"hand, ","")&amp;IF(N($BJ48)&gt;0,IF($AH48="","door material, ","")&amp;IF($AL48="","face type, ","")&amp;IF($AP48="","lock prep, ","")&amp;IF(AND($AO48="",$AC48=""),"hinge prep, ",""),"")&amp;IF(AND($CH48&gt;0,$AH48="FRP"),"FRP cannot carry a label, ","")&amp;IF(AND($O48="Y",OR($Z48="L",$Z48="R",$Z48="LR",$Z48="RR")),"pair marked but hand is single, ","")&amp;IF(AND($O48&lt;&gt;"Y",OR($Z48="PR",AND(LEN($Z48)&gt;1,ISNUMBER(SEARCH("-",$Z48))))),"pair hand on a single door, ","")&amp;IF(AND(ISNUMBER($CI48),$CH48&lt;N($CI48)),"wall needs a "&amp;$CI48&amp;" min door, ","")&amp;IF(AND($CH48&gt;=180,AND(OR($CE48="FG",$CE48="HG",$CE48="FNV",$CE48="FV"),N($CF48)*N($CG48)&gt;100)),"180 min lite over 100 sq in, ","")&amp;IF(N($BK48)&gt;48,"leaf wider than 4'-0"&amp;CHAR(34)&amp;", ","")&amp;IF(AND($CT48,COUNT($AW48:$AZ48)=0,$CQ48&gt;0),"CUSTOM LOC with no locations typed, ",""))</f>
        <v/>
      </c>
      <c r="DK48" s="84">
        <f>IF($A48="","",IF(AND($CH48&gt;0,AND($A48&lt;&gt;"",$C48&lt;&gt;"DOOR ONLY"),$X48="KD",$E48="EXTERIOR"),"KD label on an exterior opening, ","")&amp;IF(AND($E48="EXTERIOR",OR(AND(AND($A48&lt;&gt;"",$C48&lt;&gt;"DOOR ONLY"),$W48="CR"),AND(N($BJ48)&gt;0,$AH48="CR"))),"exterior in CR steel (G9?), ","")&amp;IF(AND(ISNUMBER($BQ48),N($BQ48)&lt;32),"clear width ~"&amp;TEXT($BQ48,"0.0")&amp;CHAR(34)&amp;" under 32"&amp;CHAR(34)&amp;" (ADA), ","")&amp;IF(AND($CH48=90,AND(OR($CE48="FG",$CE48="HG",$CE48="FNV",$CE48="FV"),N($CF48)*N($CG48)&gt;100)),"90 min lite over 100 sq in (stair/exit), ","")&amp;IF(AND($CH48&gt;0,AND($A48&lt;&gt;"",$C48&lt;&gt;"DOOR ONLY"),OR($AF48="",$AF48="-")),"rated: closer reinf.?, ","")&amp;IF(OR($I48="CORRIDOR",$I48="SMOKE BARRIER"),"S label + smoke gasketing, ","")&amp;IF($CI48="?","wall type/hr not in IBC table, ","")&amp;IF(AND(N($BJ48)&gt;0,$BB48=""),"no hardware set, ","")&amp;IF(AND($BB48&lt;&gt;"",ISNA(MATCH($BB48&amp;"",HWSets,0))),"set "&amp;$BB48&amp;" not on HW Sets, ","")&amp;IF(N($BL48)&gt;96,"leaf over 8'-0"&amp;CHAR(34)&amp;" - check listing, ","")&amp;IF(AND($CT48,COUNT($AW48:$AZ48)&gt;0,COUNT($AW48:$AZ48)&lt;&gt;$CQ48),COUNT($AW48:$AZ48)&amp;" custom hinges typed, "&amp;$CQ48&amp;" expected, ","")&amp;IF(AND(ISNUMBER($CA48),OR(N($CA48)&lt;34,N($CA48)&gt;48)),"lock "&amp;TEXT($CA48,"0.0")&amp;CHAR(34)&amp;" AFF outside 34-48"&amp;CHAR(34)&amp;" (ADA), ","")&amp;IF(AND(ISNUMBER($AV48),ISNUMBER($BL48),N($AV48)&lt;IF(N($BL48)&lt;=60,2,IF(N($BL48)&lt;=90,3,IF(N($BL48)&lt;=120,4,5)))),"fewer hinges than standard, ",""))</f>
        <v/>
      </c>
    </row>
    <row r="49" ht="15" customHeight="1">
      <c r="A49" s="77" t="n"/>
      <c r="B49" s="78" t="n"/>
      <c r="C49" s="78" t="n"/>
      <c r="D49" s="78" t="n"/>
      <c r="E49" s="78" t="n"/>
      <c r="F49" s="78" t="n"/>
      <c r="G49" s="78" t="n"/>
      <c r="H49" s="78" t="n"/>
      <c r="I49" s="78" t="n"/>
      <c r="J49" s="78" t="n"/>
      <c r="K49" s="78" t="n"/>
      <c r="L49" s="78" t="n"/>
      <c r="M49" s="78" t="n"/>
      <c r="N49" s="78" t="n"/>
      <c r="O49" s="78" t="n"/>
      <c r="P49" s="78" t="n"/>
      <c r="Q49" s="78" t="n"/>
      <c r="R49" s="78" t="n"/>
      <c r="S49" s="79" t="n"/>
      <c r="T49" s="79" t="n"/>
      <c r="U49" s="79" t="n"/>
      <c r="V49" s="79" t="n"/>
      <c r="W49" s="79" t="n"/>
      <c r="X49" s="79" t="n"/>
      <c r="Y49" s="79" t="n"/>
      <c r="Z49" s="79" t="n"/>
      <c r="AA49" s="79" t="n"/>
      <c r="AB49" s="79" t="n"/>
      <c r="AC49" s="79" t="n"/>
      <c r="AD49" s="79" t="n"/>
      <c r="AE49" s="79" t="n"/>
      <c r="AF49" s="79" t="n"/>
      <c r="AG49" s="79" t="n"/>
      <c r="AH49" s="80" t="n"/>
      <c r="AI49" s="80" t="n"/>
      <c r="AJ49" s="80" t="n"/>
      <c r="AK49" s="80" t="n"/>
      <c r="AL49" s="80" t="n"/>
      <c r="AM49" s="80" t="n"/>
      <c r="AN49" s="80" t="n"/>
      <c r="AO49" s="80" t="n"/>
      <c r="AP49" s="80" t="n"/>
      <c r="AQ49" s="80" t="n"/>
      <c r="AR49" s="80" t="n"/>
      <c r="AS49" s="80" t="n"/>
      <c r="AT49" s="81" t="n"/>
      <c r="AU49" s="81" t="n"/>
      <c r="AV49" s="81" t="n"/>
      <c r="AW49" s="82" t="n"/>
      <c r="AX49" s="82" t="n"/>
      <c r="AY49" s="82" t="n"/>
      <c r="AZ49" s="82" t="n"/>
      <c r="BA49" s="82" t="n"/>
      <c r="BB49" s="83" t="n"/>
      <c r="BC49" s="83" t="n"/>
      <c r="BD49" s="84">
        <f>IF($A49="","",IF($DJ49&lt;&gt;"","FIX",IF($DK49&lt;&gt;"","CHECK","OK")))</f>
        <v/>
      </c>
      <c r="BE49" s="85">
        <f>IF($A49="","",IF($DJ49&lt;&gt;"","FIX: "&amp;LEFT($DJ49,LEN($DJ49)-2)&amp;IF($DK49&lt;&gt;"","  ·  ",""),"")&amp;IF($DK49&lt;&gt;"","CHECK: "&amp;LEFT($DK49,LEN($DK49)-2),""))</f>
        <v/>
      </c>
      <c r="BF49" s="84">
        <f>IF(OR($A49="",$K49=""),"",$K49&amp;"'-"&amp;N($L49)&amp;CHAR(34)&amp;" x "&amp;$M49&amp;"'-"&amp;N($N49)&amp;CHAR(34))</f>
        <v/>
      </c>
      <c r="BG49" s="84">
        <f>IF(OR($A49="",$K49=""),"",$K49&amp;N($L49)&amp;$M49&amp;N($N49))</f>
        <v/>
      </c>
      <c r="BH49" s="84">
        <f>IF(OR($A49="",$K49=""),"",$K49*12+N($L49))</f>
        <v/>
      </c>
      <c r="BI49" s="84">
        <f>IF(OR($A49="",$M49=""),"",$M49*12+N($N49))</f>
        <v/>
      </c>
      <c r="BJ49" s="84">
        <f>IF($A49="","",IF(OR($C49="FRAME ONLY",$S49="BL"),0,IF($O49="Y",2,1)))</f>
        <v/>
      </c>
      <c r="BK49" s="86">
        <f>IF(OR(N($BJ49)=0,$BH49=""),"",($BH49-2*EdgeClr-IF($BJ49=2,MeetClr,0))/$BJ49)</f>
        <v/>
      </c>
      <c r="BL49" s="86">
        <f>IF(OR(N($BJ49)=0,$BI49=""),"",$BI49-HeadClr-Undercut)</f>
        <v/>
      </c>
      <c r="BM49" s="86">
        <f>IF($BH49="","",$BH49+2*FaceW+IF(N($Q49)&gt;0,($Q49+FaceW)*IF($R49="LR",2,1),0))</f>
        <v/>
      </c>
      <c r="BN49" s="86">
        <f>IF($BI49="","",$BI49+IF($AB49="Y",4,FaceW)+IF(N($P49)&gt;0,$P49+FaceW,0)+IF(OR($S49="4F",$S49="BL"),FaceW,0))</f>
        <v/>
      </c>
      <c r="BO49" s="86">
        <f>IF($BM49="","",$BM49+2*ROSide)</f>
        <v/>
      </c>
      <c r="BP49" s="86">
        <f>IF($BN49="","",$BN49+ROTop)</f>
        <v/>
      </c>
      <c r="BQ49" s="87">
        <f>IF(OR(N($BJ49)=0,$BH49=""),"",$BH49/$BJ49-ClearDeduct)</f>
        <v/>
      </c>
      <c r="BR49" s="84">
        <f>IF(N($CH49)=0,"",IF($CH49&gt;=180,"A · 3 HR",IF($CH49&gt;=90,"B · 1-1/2 HR",IF($CH49&gt;=60,"B · 1 HR",IF($CH49&gt;=45,"C · 3/4 HR","20 MIN")))))&amp;IF(AND(N($CH49)&gt;0,OR($I49="CORRIDOR",$I49="SMOKE BARRIER"))," · S","")</f>
        <v/>
      </c>
      <c r="BS49" s="84">
        <f>IF($CS49,"",IF($AV49&lt;&gt;"",$AV49,IF(OR($AC49="HGC",$AO49="HGC"),"CONT",IF(($BI49-HeadClr-Undercut)&lt;=60,2,IF(($BI49-HeadClr-Undercut)&lt;=90,3,IF(($BI49-HeadClr-Undercut)&lt;=120,4,5))))))</f>
        <v/>
      </c>
      <c r="BT49" s="84">
        <f>IF($CS49,"",IF($CT49,"CUSTOM (typed)",IF($CV49,$AT49&amp;" "&amp;$CU49&amp;CHAR(34)&amp;IF($CU49&lt;&gt;$BI49,IF(AND($BI49&lt;$CU49,$BI49-IF(N(VLOOKUP($AT49&amp;"|"&amp;$CU49,LocTable,7,FALSE))&gt;0,VLOOKUP($AT49&amp;"|"&amp;$CU49,LocTable,7,FALSE),VLOOKUP($AT49&amp;"|"&amp;$CU49,LocTable,6,FALSE))-$CR49-0.75&gt;=2.125)," cut down"," adj."),""),"ANSI/SDI A250.6")))</f>
        <v/>
      </c>
      <c r="BU49" s="88">
        <f>IF($CS49,"",IF($CT49,IF(N($AW49)&gt;0,N($AW49),""),IF(1&gt;$CQ49,"",IF($CQ49=1,$CW49,$CW49+($CX49-$CW49)*0/($CQ49-1)))))</f>
        <v/>
      </c>
      <c r="BV49" s="88">
        <f>IF($CS49,"",IF($CT49,IF(N($AX49)&gt;0,N($AX49),""),IF(2&gt;$CQ49,"",IF($CQ49=1,$CW49,$CW49+($CX49-$CW49)*1/($CQ49-1)))))</f>
        <v/>
      </c>
      <c r="BW49" s="88">
        <f>IF($CS49,"",IF($CT49,IF(N($AY49)&gt;0,N($AY49),""),IF(3&gt;$CQ49,"",IF($CQ49=1,$CW49,$CW49+($CX49-$CW49)*2/($CQ49-1)))))</f>
        <v/>
      </c>
      <c r="BX49" s="88">
        <f>IF($CS49,"",IF($CT49,IF(N($AZ49)&gt;0,N($AZ49),""),IF(4&gt;$CQ49,"",IF($CQ49=1,$CW49,$CW49+($CX49-$CW49)*3/($CQ49-1)))))</f>
        <v/>
      </c>
      <c r="BY49" s="88">
        <f>IF($CS49,"",IF($CT49,"",IF(5&gt;$CQ49,"",IF($CQ49=1,$CW49,$CW49+($CX49-$CW49)*4/($CQ49-1)))))</f>
        <v/>
      </c>
      <c r="BZ49" s="88">
        <f>IF(OR($CS49,$AP49="-",AND($AP49="",$AD49="")),"",IF(N($BA49)&gt;0,N($BA49),IF($CV49,IF(AND($BI49&lt;$CU49,$BI49-IF(N(VLOOKUP($AT49&amp;"|"&amp;$CU49,LocTable,7,FALSE))&gt;0,VLOOKUP($AT49&amp;"|"&amp;$CU49,LocTable,7,FALSE),VLOOKUP($AT49&amp;"|"&amp;$CU49,LocTable,6,FALSE))-$CR49-0.75&gt;=2.125),VLOOKUP($AT49&amp;"|"&amp;$CU49,LocTable,8,FALSE),VLOOKUP($AT49&amp;"|"&amp;$CU49,LocTable,8,FALSE)+($BI49-$CU49)),$BI49-LockAFF)))</f>
        <v/>
      </c>
      <c r="CA49" s="89">
        <f>IF($BZ49="","",$BI49-$BZ49)</f>
        <v/>
      </c>
      <c r="CB49" s="84">
        <f>IF(OR(NOT(AND($A49&lt;&gt;"",$C49&lt;&gt;"DOOR ONLY")),$BI49=""),"",IF(($BI49+IF(N($P49)&gt;0,$P49+FaceW,0))&lt;=90,3,IF(($BI49+IF(N($P49)&gt;0,$P49+FaceW,0))&lt;=114,4,5)))</f>
        <v/>
      </c>
      <c r="CC49" s="84">
        <f>IF($CB49="","",$CB49*(2+IF(N($Q49)&gt;0,IF($R49="LR",2,1),0)))</f>
        <v/>
      </c>
      <c r="CD49" s="84">
        <f>IF($CB49="","",(2+IF(N($Q49)&gt;0,IF($R49="LR",2,1),0)))</f>
        <v/>
      </c>
      <c r="CE49" s="84">
        <f>IF(N($BJ49)=0,"",IF(OR($AL49="",$AL49="FLUSH"),"FLUSH",IFERROR(LEFT($AL49,FIND("-",$AL49)-1),LEFT($AL49,2))))</f>
        <v/>
      </c>
      <c r="CF49" s="84">
        <f>IF($CE49="","",IFERROR(VALUE(MID($AL49,FIND("-",$AL49)+1,FIND(CHAR(34)&amp;"x",$AL49)-FIND("-",$AL49)-1)),0))</f>
        <v/>
      </c>
      <c r="CG49" s="84">
        <f>IF($CE49="","",IFERROR(VALUE(MID($AL49,FIND(CHAR(34)&amp;"x",$AL49)+2,FIND(CHAR(34),$AL49,FIND(CHAR(34)&amp;"x",$AL49)+2)-FIND(CHAR(34)&amp;"x",$AL49)-2)),0))</f>
        <v/>
      </c>
      <c r="CH49" s="90">
        <f>IF(OR($A49="",$H49="",$H49="NO LAB"),0,IFERROR(VALUE(LEFT($H49,FIND(" ",$H49)-1)),0))</f>
        <v/>
      </c>
      <c r="CI49" s="91">
        <f>IF(OR($A49="",$I49="",$I49="NON-RATED",N($J49)=0),"",IFERROR(VLOOKUP($I49&amp;"|"&amp;$J49,IBC,2,FALSE),"?"))</f>
        <v/>
      </c>
      <c r="CJ49" s="85">
        <f>IF(NOT(AND($A49&lt;&gt;"",$C49&lt;&gt;"DOOR ONLY")),"",TRIM(IFERROR(VLOOKUP($U49,CODES,2,FALSE),"")&amp;" "&amp;$BG49&amp;" "&amp;IFERROR(VLOOKUP($Z49,CODES,2,FALSE),"")&amp;" "&amp;IFERROR(VLOOKUP($X49,CODES,2,FALSE),"")&amp;" "&amp;IFERROR(VLOOKUP($S49,CODES,2,FALSE),"")&amp;IF(N($P49)&gt;0," w/TRANSOM "&amp;$P49&amp;CHAR(34),"")&amp;IF(N($Q49)&gt;0," w/SIDELITE "&amp;$Q49&amp;CHAR(34)&amp;" "&amp;IF($R49="","R",$R49),"")&amp;IF($Y49="","  |  "," | "&amp;IFERROR(VLOOKUP($Y49,CODES,2,FALSE),"")&amp;" | ")&amp;IFERROR(VLOOKUP($AC49,CODES,2,FALSE),"")&amp;" "&amp;IFERROR(VLOOKUP($AD49,CODES,2,FALSE),"")&amp;IF(OR($AE49="",$AE49="-"),""," "&amp;$AE49)&amp;IF(OR($AF49="",$AF49="-"),""," "&amp;$AF49)&amp;IF($AB49="Y"," 4"&amp;CHAR(34)&amp;" HEAD","")&amp;" "&amp;IFERROR(VLOOKUP($H49,CODES,2,FALSE),"")&amp;IF($CT49," | LOC "&amp;$CY49,"")))</f>
        <v/>
      </c>
      <c r="CK49" s="85">
        <f>IF(NOT(AND($A49&lt;&gt;"",N($BJ49)&gt;0)),"",TRIM(IFERROR(VLOOKUP($AH49,CODES,2,FALSE),"")&amp;IF($AI49=""," "," "&amp;$AI49&amp;"GA ")&amp;$BG49&amp;" "&amp;IF($AN49="",IFERROR(VLOOKUP($Z49,CODES,2,FALSE),""),IFERROR(VLOOKUP($AN49,CODES,2,FALSE),""))&amp;IF($BJ49=2," PAIR","")&amp;" DOOR | "&amp;IF($AL49="","?",$AL49)&amp;" | "&amp;IF($AO49="",IFERROR(VLOOKUP($AC49,CODES,2,FALSE),""),IFERROR(VLOOKUP($AO49,CODES,2,FALSE),""))&amp;" "&amp;IFERROR(VLOOKUP($AP49,CODES,2,FALSE),"")&amp;IF(OR($AQ49="",$AQ49="-"),""," SEAM "&amp;$AQ49)&amp;IF($AR49="Y"," ASTRAGAL","")&amp;IF($AJ49=""," "," "&amp;$AJ49)&amp;IF($AK49=""," "," "&amp;$AK49)&amp;IF(OR($AT49="",$AT49="ANSI/SDI",$AT49="CUSTOM LOC"),""," "&amp;$AT49)&amp;IF($AM49=""," "," SERIES "&amp;$AM49)&amp;" "&amp;IFERROR(VLOOKUP($H49,CODES,2,FALSE),"")&amp;IF($CT49," | LOC "&amp;$CZ49,"")))</f>
        <v/>
      </c>
      <c r="CL49" s="84">
        <f>IF(CP49="","",IF(COUNTIF($CP$6:CP49,CP49)=1,MAX($CL$5:CL48)+1,INDEX($CL$5:CL48,MATCH(CP49,$CP$5:CP48,0))))</f>
        <v/>
      </c>
      <c r="CM49" s="84">
        <f>IF(NOT(AND($A49&lt;&gt;"",$C49&lt;&gt;"DOOR ONLY")),"",MAX($CM$5:CM48)+1)</f>
        <v/>
      </c>
      <c r="CN49" s="84">
        <f>IF(NOT(AND($A49&lt;&gt;"",N($BJ49)&gt;0)),"",MAX($CN$5:CN48)+1)</f>
        <v/>
      </c>
      <c r="CO49" s="84">
        <f>IF($A49="","",MAX($CO$5:CO48)+1)</f>
        <v/>
      </c>
      <c r="CP49" s="84">
        <f>IF(OR($A49="",$BH49="",$BI49=""),"",$BG49&amp;"|"&amp;$O49&amp;"|"&amp;$AL49&amp;"|"&amp;$S49&amp;"|"&amp;$P49&amp;"|"&amp;$Q49&amp;$R49&amp;"|"&amp;$C49&amp;"|"&amp;$AB49)</f>
        <v/>
      </c>
      <c r="CQ49" s="84">
        <f>N($BS49)</f>
        <v/>
      </c>
      <c r="CR49" s="84">
        <f>IF(N($AU49)&gt;0,N($AU49),4.5)</f>
        <v/>
      </c>
      <c r="CS49" s="84">
        <f>OR($A49="",$BI49="",$S49="BL",AND($C49="FRAME ONLY",OR($AC49="",$AC49="BLK")))</f>
        <v/>
      </c>
      <c r="CT49" s="84">
        <f>AND(NOT($CS49),OR($AT49="CUSTOM LOC",N($AW49)+N($AX49)+N($AY49)+N($AZ49)+N($BA49)&gt;0))</f>
        <v/>
      </c>
      <c r="CU49" s="84">
        <f>IF($BI49="","",IF($BI49&lt;=80,80,IF($BI49&lt;=84,84,96)))</f>
        <v/>
      </c>
      <c r="CV49" s="84">
        <f>ISNUMBER(MATCH($AT49&amp;"|80",LocKeys,0))</f>
        <v/>
      </c>
      <c r="CW49" s="86">
        <f>IF($CS49,"",IF($CV49,VLOOKUP($AT49&amp;"|"&amp;$CU49,LocTable,4,FALSE),5))</f>
        <v/>
      </c>
      <c r="CX49" s="86">
        <f>IF($CS49,"",IF($CV49,IF(OR($BI49=$CU49,AND($BI49&lt;$CU49,$BI49-IF(N(VLOOKUP($AT49&amp;"|"&amp;$CU49,LocTable,7,FALSE))&gt;0,VLOOKUP($AT49&amp;"|"&amp;$CU49,LocTable,7,FALSE),VLOOKUP($AT49&amp;"|"&amp;$CU49,LocTable,6,FALSE))-$CR49-0.75&gt;=2.125)),IF(N(VLOOKUP($AT49&amp;"|"&amp;$CU49,LocTable,7,FALSE))&gt;0,VLOOKUP($AT49&amp;"|"&amp;$CU49,LocTable,7,FALSE),VLOOKUP($AT49&amp;"|"&amp;$CU49,LocTable,6,FALSE)),$BI49-($CU49-IF(N(VLOOKUP($AT49&amp;"|"&amp;$CU49,LocTable,7,FALSE))&gt;0,VLOOKUP($AT49&amp;"|"&amp;$CU49,LocTable,7,FALSE),VLOOKUP($AT49&amp;"|"&amp;$CU49,LocTable,6,FALSE)))),$BI49-10-$CR49))</f>
        <v/>
      </c>
      <c r="CY49" s="85">
        <f>IF($CS49,"",TRIM(IF(ISNUMBER($BU49),"A "&amp;TRIM(TEXT($BU49,"# ?/??"))&amp;CHAR(34)&amp;"  ","")&amp;IF(ISNUMBER($BV49),"B "&amp;TRIM(TEXT($BV49,"# ?/??"))&amp;CHAR(34)&amp;"  ","")&amp;IF(ISNUMBER($BW49),"C "&amp;TRIM(TEXT($BW49,"# ?/??"))&amp;CHAR(34)&amp;"  ","")&amp;IF(ISNUMBER($BX49),"D "&amp;TRIM(TEXT($BX49,"# ?/??"))&amp;CHAR(34)&amp;"  ","")&amp;IF(ISNUMBER($BY49),"F "&amp;TRIM(TEXT($BY49,"# ?/??"))&amp;CHAR(34)&amp;"  ","")&amp;IF(ISNUMBER($BZ49),"E "&amp;TRIM(TEXT($BZ49,"# ?/??"))&amp;CHAR(34)&amp;"  ","")))</f>
        <v/>
      </c>
      <c r="CZ49" s="85">
        <f>IF(OR($CS49,N($BJ49)=0),"",TRIM(IF(ISNUMBER($BU49),"A "&amp;TRIM(TEXT($BU49-HeadClr,"# ?/??"))&amp;CHAR(34)&amp;"  ","")&amp;IF(ISNUMBER($BV49),"B "&amp;TRIM(TEXT($BV49-HeadClr,"# ?/??"))&amp;CHAR(34)&amp;"  ","")&amp;IF(ISNUMBER($BW49),"C "&amp;TRIM(TEXT($BW49-HeadClr,"# ?/??"))&amp;CHAR(34)&amp;"  ","")&amp;IF(ISNUMBER($BX49),"D "&amp;TRIM(TEXT($BX49-HeadClr,"# ?/??"))&amp;CHAR(34)&amp;"  ","")&amp;IF(ISNUMBER($BY49),"F "&amp;TRIM(TEXT($BY49-HeadClr,"# ?/??"))&amp;CHAR(34)&amp;"  ","")&amp;IF(ISNUMBER($BZ49),"E "&amp;TRIM(TEXT($BZ49-HeadClr,"# ?/??"))&amp;CHAR(34)&amp;"  ","")))</f>
        <v/>
      </c>
      <c r="DA49" s="84">
        <f>IF($A49="","",IF($AN49="",IFERROR(VLOOKUP($Z49,CODES,2,FALSE),""),IFERROR(VLOOKUP($AN49,CODES,2,FALSE),"")))</f>
        <v/>
      </c>
      <c r="DB49" s="84">
        <f>IF($A49="","",IF($O49="Y","PR",IF(OR($Z49="L",$Z49="RR",LEFT($Z49,2)="L-",LEFT($Z49,3)="RR-"),"LH","RH")))</f>
        <v/>
      </c>
      <c r="DC49" s="84">
        <f>IF($A49="","","S.HM"&amp;IF(OR($C49="DOOR ONLY",$X49&lt;&gt;"KD"),"MASONRY","DRYWALL")&amp;IF($C49="DOOR ONLY","",$U49)&amp;IF(AND($C49&lt;&gt;"FRAME ONLY",OR(LEFT($AH49,3)="OAK",LEFT($AH49,3)="BIR",LEFT($AH49,3)="MAP",$AH49="PC",$AH49="MC",$AH49="SCLC",$AH49="P-LAM")),"WD","HM")&amp;"1.75")</f>
        <v/>
      </c>
      <c r="DD49" s="84">
        <f>IF($CJ49="","",IF($O49="Y",$CJ49,SUBSTITUTE($CJ49,$BG49&amp;" "&amp;IFERROR(VLOOKUP($Z49,CODES,2,FALSE),"")&amp;" ",$BG49&amp;" ")))</f>
        <v/>
      </c>
      <c r="DE49" s="84">
        <f>IF($CK49="","",IF($O49="Y",$CK49,SUBSTITUTE($CK49,$BG49&amp;" "&amp;IF($AN49="",IFERROR(VLOOKUP($Z49,CODES,2,FALSE),""),IFERROR(VLOOKUP($AN49,CODES,2,FALSE),""))&amp;" ",$BG49&amp;" ")))</f>
        <v/>
      </c>
      <c r="DF49" s="84">
        <f>IF($CJ49="","",$DC49&amp;"|"&amp;$DD49&amp;"|"&amp;$DB49&amp;"|"&amp;$AT49&amp;"|"&amp;$V49&amp;"|"&amp;$Y49&amp;"|"&amp;$AB49)</f>
        <v/>
      </c>
      <c r="DG49" s="84">
        <f>IF(DF49="","",IF(COUNTIF($DF$6:DF49,DF49)=1,MAX($DG$5:DG48)+1,INDEX($DG$5:DG48,MATCH(DF49,$DF$5:DF48,0))))</f>
        <v/>
      </c>
      <c r="DH49" s="84">
        <f>IF($CK49="","",$DC49&amp;"|"&amp;$DE49&amp;"|"&amp;$AI49&amp;"|"&amp;$BK49&amp;"|"&amp;$BL49)</f>
        <v/>
      </c>
      <c r="DI49" s="84">
        <f>IF(DH49="","",IF(COUNTIF($DH$6:DH49,DH49)=1,MAX($DI$5:DI48)+1,INDEX($DI$5:DI48,MATCH(DH49,$DH$5:DH48,0))))</f>
        <v/>
      </c>
      <c r="DJ49" s="84">
        <f>IF($A49="","",IF($B49="","qty, ","")&amp;IF($C49="","scope, ","")&amp;IF(OR($K49="",$M49=""),"size, ","")&amp;IF(AND($A49&lt;&gt;"",$C49&lt;&gt;"DOOR ONLY"),IF($U49="","jamb depth, ","")&amp;IF($X49="","construction, ","")&amp;IF($Y49="","anchor, ","")&amp;IF($S49="","frame type, ",""),"")&amp;IF(AND(N($BJ49)&gt;0,$Z49=""),"hand, ","")&amp;IF(N($BJ49)&gt;0,IF($AH49="","door material, ","")&amp;IF($AL49="","face type, ","")&amp;IF($AP49="","lock prep, ","")&amp;IF(AND($AO49="",$AC49=""),"hinge prep, ",""),"")&amp;IF(AND($CH49&gt;0,$AH49="FRP"),"FRP cannot carry a label, ","")&amp;IF(AND($O49="Y",OR($Z49="L",$Z49="R",$Z49="LR",$Z49="RR")),"pair marked but hand is single, ","")&amp;IF(AND($O49&lt;&gt;"Y",OR($Z49="PR",AND(LEN($Z49)&gt;1,ISNUMBER(SEARCH("-",$Z49))))),"pair hand on a single door, ","")&amp;IF(AND(ISNUMBER($CI49),$CH49&lt;N($CI49)),"wall needs a "&amp;$CI49&amp;" min door, ","")&amp;IF(AND($CH49&gt;=180,AND(OR($CE49="FG",$CE49="HG",$CE49="FNV",$CE49="FV"),N($CF49)*N($CG49)&gt;100)),"180 min lite over 100 sq in, ","")&amp;IF(N($BK49)&gt;48,"leaf wider than 4'-0"&amp;CHAR(34)&amp;", ","")&amp;IF(AND($CT49,COUNT($AW49:$AZ49)=0,$CQ49&gt;0),"CUSTOM LOC with no locations typed, ",""))</f>
        <v/>
      </c>
      <c r="DK49" s="84">
        <f>IF($A49="","",IF(AND($CH49&gt;0,AND($A49&lt;&gt;"",$C49&lt;&gt;"DOOR ONLY"),$X49="KD",$E49="EXTERIOR"),"KD label on an exterior opening, ","")&amp;IF(AND($E49="EXTERIOR",OR(AND(AND($A49&lt;&gt;"",$C49&lt;&gt;"DOOR ONLY"),$W49="CR"),AND(N($BJ49)&gt;0,$AH49="CR"))),"exterior in CR steel (G9?), ","")&amp;IF(AND(ISNUMBER($BQ49),N($BQ49)&lt;32),"clear width ~"&amp;TEXT($BQ49,"0.0")&amp;CHAR(34)&amp;" under 32"&amp;CHAR(34)&amp;" (ADA), ","")&amp;IF(AND($CH49=90,AND(OR($CE49="FG",$CE49="HG",$CE49="FNV",$CE49="FV"),N($CF49)*N($CG49)&gt;100)),"90 min lite over 100 sq in (stair/exit), ","")&amp;IF(AND($CH49&gt;0,AND($A49&lt;&gt;"",$C49&lt;&gt;"DOOR ONLY"),OR($AF49="",$AF49="-")),"rated: closer reinf.?, ","")&amp;IF(OR($I49="CORRIDOR",$I49="SMOKE BARRIER"),"S label + smoke gasketing, ","")&amp;IF($CI49="?","wall type/hr not in IBC table, ","")&amp;IF(AND(N($BJ49)&gt;0,$BB49=""),"no hardware set, ","")&amp;IF(AND($BB49&lt;&gt;"",ISNA(MATCH($BB49&amp;"",HWSets,0))),"set "&amp;$BB49&amp;" not on HW Sets, ","")&amp;IF(N($BL49)&gt;96,"leaf over 8'-0"&amp;CHAR(34)&amp;" - check listing, ","")&amp;IF(AND($CT49,COUNT($AW49:$AZ49)&gt;0,COUNT($AW49:$AZ49)&lt;&gt;$CQ49),COUNT($AW49:$AZ49)&amp;" custom hinges typed, "&amp;$CQ49&amp;" expected, ","")&amp;IF(AND(ISNUMBER($CA49),OR(N($CA49)&lt;34,N($CA49)&gt;48)),"lock "&amp;TEXT($CA49,"0.0")&amp;CHAR(34)&amp;" AFF outside 34-48"&amp;CHAR(34)&amp;" (ADA), ","")&amp;IF(AND(ISNUMBER($AV49),ISNUMBER($BL49),N($AV49)&lt;IF(N($BL49)&lt;=60,2,IF(N($BL49)&lt;=90,3,IF(N($BL49)&lt;=120,4,5)))),"fewer hinges than standard, ",""))</f>
        <v/>
      </c>
    </row>
    <row r="50" ht="15" customHeight="1">
      <c r="A50" s="92" t="n"/>
      <c r="B50" s="93" t="n"/>
      <c r="C50" s="93" t="n"/>
      <c r="D50" s="93" t="n"/>
      <c r="E50" s="93" t="n"/>
      <c r="F50" s="93" t="n"/>
      <c r="G50" s="93" t="n"/>
      <c r="H50" s="93" t="n"/>
      <c r="I50" s="93" t="n"/>
      <c r="J50" s="93" t="n"/>
      <c r="K50" s="93" t="n"/>
      <c r="L50" s="93" t="n"/>
      <c r="M50" s="93" t="n"/>
      <c r="N50" s="93" t="n"/>
      <c r="O50" s="93" t="n"/>
      <c r="P50" s="93" t="n"/>
      <c r="Q50" s="93" t="n"/>
      <c r="R50" s="93" t="n"/>
      <c r="S50" s="94" t="n"/>
      <c r="T50" s="94" t="n"/>
      <c r="U50" s="94" t="n"/>
      <c r="V50" s="94" t="n"/>
      <c r="W50" s="94" t="n"/>
      <c r="X50" s="94" t="n"/>
      <c r="Y50" s="94" t="n"/>
      <c r="Z50" s="94" t="n"/>
      <c r="AA50" s="94" t="n"/>
      <c r="AB50" s="94" t="n"/>
      <c r="AC50" s="94" t="n"/>
      <c r="AD50" s="94" t="n"/>
      <c r="AE50" s="94" t="n"/>
      <c r="AF50" s="94" t="n"/>
      <c r="AG50" s="94" t="n"/>
      <c r="AH50" s="95" t="n"/>
      <c r="AI50" s="95" t="n"/>
      <c r="AJ50" s="95" t="n"/>
      <c r="AK50" s="95" t="n"/>
      <c r="AL50" s="95" t="n"/>
      <c r="AM50" s="95" t="n"/>
      <c r="AN50" s="95" t="n"/>
      <c r="AO50" s="95" t="n"/>
      <c r="AP50" s="95" t="n"/>
      <c r="AQ50" s="95" t="n"/>
      <c r="AR50" s="95" t="n"/>
      <c r="AS50" s="95" t="n"/>
      <c r="AT50" s="96" t="n"/>
      <c r="AU50" s="96" t="n"/>
      <c r="AV50" s="96" t="n"/>
      <c r="AW50" s="97" t="n"/>
      <c r="AX50" s="97" t="n"/>
      <c r="AY50" s="97" t="n"/>
      <c r="AZ50" s="97" t="n"/>
      <c r="BA50" s="97" t="n"/>
      <c r="BB50" s="98" t="n"/>
      <c r="BC50" s="98" t="n"/>
      <c r="BD50" s="99">
        <f>IF($A50="","",IF($DJ50&lt;&gt;"","FIX",IF($DK50&lt;&gt;"","CHECK","OK")))</f>
        <v/>
      </c>
      <c r="BE50" s="100">
        <f>IF($A50="","",IF($DJ50&lt;&gt;"","FIX: "&amp;LEFT($DJ50,LEN($DJ50)-2)&amp;IF($DK50&lt;&gt;"","  ·  ",""),"")&amp;IF($DK50&lt;&gt;"","CHECK: "&amp;LEFT($DK50,LEN($DK50)-2),""))</f>
        <v/>
      </c>
      <c r="BF50" s="99">
        <f>IF(OR($A50="",$K50=""),"",$K50&amp;"'-"&amp;N($L50)&amp;CHAR(34)&amp;" x "&amp;$M50&amp;"'-"&amp;N($N50)&amp;CHAR(34))</f>
        <v/>
      </c>
      <c r="BG50" s="99">
        <f>IF(OR($A50="",$K50=""),"",$K50&amp;N($L50)&amp;$M50&amp;N($N50))</f>
        <v/>
      </c>
      <c r="BH50" s="99">
        <f>IF(OR($A50="",$K50=""),"",$K50*12+N($L50))</f>
        <v/>
      </c>
      <c r="BI50" s="99">
        <f>IF(OR($A50="",$M50=""),"",$M50*12+N($N50))</f>
        <v/>
      </c>
      <c r="BJ50" s="99">
        <f>IF($A50="","",IF(OR($C50="FRAME ONLY",$S50="BL"),0,IF($O50="Y",2,1)))</f>
        <v/>
      </c>
      <c r="BK50" s="101">
        <f>IF(OR(N($BJ50)=0,$BH50=""),"",($BH50-2*EdgeClr-IF($BJ50=2,MeetClr,0))/$BJ50)</f>
        <v/>
      </c>
      <c r="BL50" s="101">
        <f>IF(OR(N($BJ50)=0,$BI50=""),"",$BI50-HeadClr-Undercut)</f>
        <v/>
      </c>
      <c r="BM50" s="101">
        <f>IF($BH50="","",$BH50+2*FaceW+IF(N($Q50)&gt;0,($Q50+FaceW)*IF($R50="LR",2,1),0))</f>
        <v/>
      </c>
      <c r="BN50" s="101">
        <f>IF($BI50="","",$BI50+IF($AB50="Y",4,FaceW)+IF(N($P50)&gt;0,$P50+FaceW,0)+IF(OR($S50="4F",$S50="BL"),FaceW,0))</f>
        <v/>
      </c>
      <c r="BO50" s="101">
        <f>IF($BM50="","",$BM50+2*ROSide)</f>
        <v/>
      </c>
      <c r="BP50" s="101">
        <f>IF($BN50="","",$BN50+ROTop)</f>
        <v/>
      </c>
      <c r="BQ50" s="102">
        <f>IF(OR(N($BJ50)=0,$BH50=""),"",$BH50/$BJ50-ClearDeduct)</f>
        <v/>
      </c>
      <c r="BR50" s="99">
        <f>IF(N($CH50)=0,"",IF($CH50&gt;=180,"A · 3 HR",IF($CH50&gt;=90,"B · 1-1/2 HR",IF($CH50&gt;=60,"B · 1 HR",IF($CH50&gt;=45,"C · 3/4 HR","20 MIN")))))&amp;IF(AND(N($CH50)&gt;0,OR($I50="CORRIDOR",$I50="SMOKE BARRIER"))," · S","")</f>
        <v/>
      </c>
      <c r="BS50" s="99">
        <f>IF($CS50,"",IF($AV50&lt;&gt;"",$AV50,IF(OR($AC50="HGC",$AO50="HGC"),"CONT",IF(($BI50-HeadClr-Undercut)&lt;=60,2,IF(($BI50-HeadClr-Undercut)&lt;=90,3,IF(($BI50-HeadClr-Undercut)&lt;=120,4,5))))))</f>
        <v/>
      </c>
      <c r="BT50" s="99">
        <f>IF($CS50,"",IF($CT50,"CUSTOM (typed)",IF($CV50,$AT50&amp;" "&amp;$CU50&amp;CHAR(34)&amp;IF($CU50&lt;&gt;$BI50,IF(AND($BI50&lt;$CU50,$BI50-IF(N(VLOOKUP($AT50&amp;"|"&amp;$CU50,LocTable,7,FALSE))&gt;0,VLOOKUP($AT50&amp;"|"&amp;$CU50,LocTable,7,FALSE),VLOOKUP($AT50&amp;"|"&amp;$CU50,LocTable,6,FALSE))-$CR50-0.75&gt;=2.125)," cut down"," adj."),""),"ANSI/SDI A250.6")))</f>
        <v/>
      </c>
      <c r="BU50" s="103">
        <f>IF($CS50,"",IF($CT50,IF(N($AW50)&gt;0,N($AW50),""),IF(1&gt;$CQ50,"",IF($CQ50=1,$CW50,$CW50+($CX50-$CW50)*0/($CQ50-1)))))</f>
        <v/>
      </c>
      <c r="BV50" s="103">
        <f>IF($CS50,"",IF($CT50,IF(N($AX50)&gt;0,N($AX50),""),IF(2&gt;$CQ50,"",IF($CQ50=1,$CW50,$CW50+($CX50-$CW50)*1/($CQ50-1)))))</f>
        <v/>
      </c>
      <c r="BW50" s="103">
        <f>IF($CS50,"",IF($CT50,IF(N($AY50)&gt;0,N($AY50),""),IF(3&gt;$CQ50,"",IF($CQ50=1,$CW50,$CW50+($CX50-$CW50)*2/($CQ50-1)))))</f>
        <v/>
      </c>
      <c r="BX50" s="103">
        <f>IF($CS50,"",IF($CT50,IF(N($AZ50)&gt;0,N($AZ50),""),IF(4&gt;$CQ50,"",IF($CQ50=1,$CW50,$CW50+($CX50-$CW50)*3/($CQ50-1)))))</f>
        <v/>
      </c>
      <c r="BY50" s="103">
        <f>IF($CS50,"",IF($CT50,"",IF(5&gt;$CQ50,"",IF($CQ50=1,$CW50,$CW50+($CX50-$CW50)*4/($CQ50-1)))))</f>
        <v/>
      </c>
      <c r="BZ50" s="103">
        <f>IF(OR($CS50,$AP50="-",AND($AP50="",$AD50="")),"",IF(N($BA50)&gt;0,N($BA50),IF($CV50,IF(AND($BI50&lt;$CU50,$BI50-IF(N(VLOOKUP($AT50&amp;"|"&amp;$CU50,LocTable,7,FALSE))&gt;0,VLOOKUP($AT50&amp;"|"&amp;$CU50,LocTable,7,FALSE),VLOOKUP($AT50&amp;"|"&amp;$CU50,LocTable,6,FALSE))-$CR50-0.75&gt;=2.125),VLOOKUP($AT50&amp;"|"&amp;$CU50,LocTable,8,FALSE),VLOOKUP($AT50&amp;"|"&amp;$CU50,LocTable,8,FALSE)+($BI50-$CU50)),$BI50-LockAFF)))</f>
        <v/>
      </c>
      <c r="CA50" s="104">
        <f>IF($BZ50="","",$BI50-$BZ50)</f>
        <v/>
      </c>
      <c r="CB50" s="99">
        <f>IF(OR(NOT(AND($A50&lt;&gt;"",$C50&lt;&gt;"DOOR ONLY")),$BI50=""),"",IF(($BI50+IF(N($P50)&gt;0,$P50+FaceW,0))&lt;=90,3,IF(($BI50+IF(N($P50)&gt;0,$P50+FaceW,0))&lt;=114,4,5)))</f>
        <v/>
      </c>
      <c r="CC50" s="99">
        <f>IF($CB50="","",$CB50*(2+IF(N($Q50)&gt;0,IF($R50="LR",2,1),0)))</f>
        <v/>
      </c>
      <c r="CD50" s="99">
        <f>IF($CB50="","",(2+IF(N($Q50)&gt;0,IF($R50="LR",2,1),0)))</f>
        <v/>
      </c>
      <c r="CE50" s="99">
        <f>IF(N($BJ50)=0,"",IF(OR($AL50="",$AL50="FLUSH"),"FLUSH",IFERROR(LEFT($AL50,FIND("-",$AL50)-1),LEFT($AL50,2))))</f>
        <v/>
      </c>
      <c r="CF50" s="99">
        <f>IF($CE50="","",IFERROR(VALUE(MID($AL50,FIND("-",$AL50)+1,FIND(CHAR(34)&amp;"x",$AL50)-FIND("-",$AL50)-1)),0))</f>
        <v/>
      </c>
      <c r="CG50" s="99">
        <f>IF($CE50="","",IFERROR(VALUE(MID($AL50,FIND(CHAR(34)&amp;"x",$AL50)+2,FIND(CHAR(34),$AL50,FIND(CHAR(34)&amp;"x",$AL50)+2)-FIND(CHAR(34)&amp;"x",$AL50)-2)),0))</f>
        <v/>
      </c>
      <c r="CH50" s="105">
        <f>IF(OR($A50="",$H50="",$H50="NO LAB"),0,IFERROR(VALUE(LEFT($H50,FIND(" ",$H50)-1)),0))</f>
        <v/>
      </c>
      <c r="CI50" s="106">
        <f>IF(OR($A50="",$I50="",$I50="NON-RATED",N($J50)=0),"",IFERROR(VLOOKUP($I50&amp;"|"&amp;$J50,IBC,2,FALSE),"?"))</f>
        <v/>
      </c>
      <c r="CJ50" s="100">
        <f>IF(NOT(AND($A50&lt;&gt;"",$C50&lt;&gt;"DOOR ONLY")),"",TRIM(IFERROR(VLOOKUP($U50,CODES,2,FALSE),"")&amp;" "&amp;$BG50&amp;" "&amp;IFERROR(VLOOKUP($Z50,CODES,2,FALSE),"")&amp;" "&amp;IFERROR(VLOOKUP($X50,CODES,2,FALSE),"")&amp;" "&amp;IFERROR(VLOOKUP($S50,CODES,2,FALSE),"")&amp;IF(N($P50)&gt;0," w/TRANSOM "&amp;$P50&amp;CHAR(34),"")&amp;IF(N($Q50)&gt;0," w/SIDELITE "&amp;$Q50&amp;CHAR(34)&amp;" "&amp;IF($R50="","R",$R50),"")&amp;IF($Y50="","  |  "," | "&amp;IFERROR(VLOOKUP($Y50,CODES,2,FALSE),"")&amp;" | ")&amp;IFERROR(VLOOKUP($AC50,CODES,2,FALSE),"")&amp;" "&amp;IFERROR(VLOOKUP($AD50,CODES,2,FALSE),"")&amp;IF(OR($AE50="",$AE50="-"),""," "&amp;$AE50)&amp;IF(OR($AF50="",$AF50="-"),""," "&amp;$AF50)&amp;IF($AB50="Y"," 4"&amp;CHAR(34)&amp;" HEAD","")&amp;" "&amp;IFERROR(VLOOKUP($H50,CODES,2,FALSE),"")&amp;IF($CT50," | LOC "&amp;$CY50,"")))</f>
        <v/>
      </c>
      <c r="CK50" s="100">
        <f>IF(NOT(AND($A50&lt;&gt;"",N($BJ50)&gt;0)),"",TRIM(IFERROR(VLOOKUP($AH50,CODES,2,FALSE),"")&amp;IF($AI50=""," "," "&amp;$AI50&amp;"GA ")&amp;$BG50&amp;" "&amp;IF($AN50="",IFERROR(VLOOKUP($Z50,CODES,2,FALSE),""),IFERROR(VLOOKUP($AN50,CODES,2,FALSE),""))&amp;IF($BJ50=2," PAIR","")&amp;" DOOR | "&amp;IF($AL50="","?",$AL50)&amp;" | "&amp;IF($AO50="",IFERROR(VLOOKUP($AC50,CODES,2,FALSE),""),IFERROR(VLOOKUP($AO50,CODES,2,FALSE),""))&amp;" "&amp;IFERROR(VLOOKUP($AP50,CODES,2,FALSE),"")&amp;IF(OR($AQ50="",$AQ50="-"),""," SEAM "&amp;$AQ50)&amp;IF($AR50="Y"," ASTRAGAL","")&amp;IF($AJ50=""," "," "&amp;$AJ50)&amp;IF($AK50=""," "," "&amp;$AK50)&amp;IF(OR($AT50="",$AT50="ANSI/SDI",$AT50="CUSTOM LOC"),""," "&amp;$AT50)&amp;IF($AM50=""," "," SERIES "&amp;$AM50)&amp;" "&amp;IFERROR(VLOOKUP($H50,CODES,2,FALSE),"")&amp;IF($CT50," | LOC "&amp;$CZ50,"")))</f>
        <v/>
      </c>
      <c r="CL50" s="99">
        <f>IF(CP50="","",IF(COUNTIF($CP$6:CP50,CP50)=1,MAX($CL$5:CL49)+1,INDEX($CL$5:CL49,MATCH(CP50,$CP$5:CP49,0))))</f>
        <v/>
      </c>
      <c r="CM50" s="99">
        <f>IF(NOT(AND($A50&lt;&gt;"",$C50&lt;&gt;"DOOR ONLY")),"",MAX($CM$5:CM49)+1)</f>
        <v/>
      </c>
      <c r="CN50" s="99">
        <f>IF(NOT(AND($A50&lt;&gt;"",N($BJ50)&gt;0)),"",MAX($CN$5:CN49)+1)</f>
        <v/>
      </c>
      <c r="CO50" s="99">
        <f>IF($A50="","",MAX($CO$5:CO49)+1)</f>
        <v/>
      </c>
      <c r="CP50" s="99">
        <f>IF(OR($A50="",$BH50="",$BI50=""),"",$BG50&amp;"|"&amp;$O50&amp;"|"&amp;$AL50&amp;"|"&amp;$S50&amp;"|"&amp;$P50&amp;"|"&amp;$Q50&amp;$R50&amp;"|"&amp;$C50&amp;"|"&amp;$AB50)</f>
        <v/>
      </c>
      <c r="CQ50" s="99">
        <f>N($BS50)</f>
        <v/>
      </c>
      <c r="CR50" s="99">
        <f>IF(N($AU50)&gt;0,N($AU50),4.5)</f>
        <v/>
      </c>
      <c r="CS50" s="99">
        <f>OR($A50="",$BI50="",$S50="BL",AND($C50="FRAME ONLY",OR($AC50="",$AC50="BLK")))</f>
        <v/>
      </c>
      <c r="CT50" s="99">
        <f>AND(NOT($CS50),OR($AT50="CUSTOM LOC",N($AW50)+N($AX50)+N($AY50)+N($AZ50)+N($BA50)&gt;0))</f>
        <v/>
      </c>
      <c r="CU50" s="99">
        <f>IF($BI50="","",IF($BI50&lt;=80,80,IF($BI50&lt;=84,84,96)))</f>
        <v/>
      </c>
      <c r="CV50" s="99">
        <f>ISNUMBER(MATCH($AT50&amp;"|80",LocKeys,0))</f>
        <v/>
      </c>
      <c r="CW50" s="101">
        <f>IF($CS50,"",IF($CV50,VLOOKUP($AT50&amp;"|"&amp;$CU50,LocTable,4,FALSE),5))</f>
        <v/>
      </c>
      <c r="CX50" s="101">
        <f>IF($CS50,"",IF($CV50,IF(OR($BI50=$CU50,AND($BI50&lt;$CU50,$BI50-IF(N(VLOOKUP($AT50&amp;"|"&amp;$CU50,LocTable,7,FALSE))&gt;0,VLOOKUP($AT50&amp;"|"&amp;$CU50,LocTable,7,FALSE),VLOOKUP($AT50&amp;"|"&amp;$CU50,LocTable,6,FALSE))-$CR50-0.75&gt;=2.125)),IF(N(VLOOKUP($AT50&amp;"|"&amp;$CU50,LocTable,7,FALSE))&gt;0,VLOOKUP($AT50&amp;"|"&amp;$CU50,LocTable,7,FALSE),VLOOKUP($AT50&amp;"|"&amp;$CU50,LocTable,6,FALSE)),$BI50-($CU50-IF(N(VLOOKUP($AT50&amp;"|"&amp;$CU50,LocTable,7,FALSE))&gt;0,VLOOKUP($AT50&amp;"|"&amp;$CU50,LocTable,7,FALSE),VLOOKUP($AT50&amp;"|"&amp;$CU50,LocTable,6,FALSE)))),$BI50-10-$CR50))</f>
        <v/>
      </c>
      <c r="CY50" s="100">
        <f>IF($CS50,"",TRIM(IF(ISNUMBER($BU50),"A "&amp;TRIM(TEXT($BU50,"# ?/??"))&amp;CHAR(34)&amp;"  ","")&amp;IF(ISNUMBER($BV50),"B "&amp;TRIM(TEXT($BV50,"# ?/??"))&amp;CHAR(34)&amp;"  ","")&amp;IF(ISNUMBER($BW50),"C "&amp;TRIM(TEXT($BW50,"# ?/??"))&amp;CHAR(34)&amp;"  ","")&amp;IF(ISNUMBER($BX50),"D "&amp;TRIM(TEXT($BX50,"# ?/??"))&amp;CHAR(34)&amp;"  ","")&amp;IF(ISNUMBER($BY50),"F "&amp;TRIM(TEXT($BY50,"# ?/??"))&amp;CHAR(34)&amp;"  ","")&amp;IF(ISNUMBER($BZ50),"E "&amp;TRIM(TEXT($BZ50,"# ?/??"))&amp;CHAR(34)&amp;"  ","")))</f>
        <v/>
      </c>
      <c r="CZ50" s="100">
        <f>IF(OR($CS50,N($BJ50)=0),"",TRIM(IF(ISNUMBER($BU50),"A "&amp;TRIM(TEXT($BU50-HeadClr,"# ?/??"))&amp;CHAR(34)&amp;"  ","")&amp;IF(ISNUMBER($BV50),"B "&amp;TRIM(TEXT($BV50-HeadClr,"# ?/??"))&amp;CHAR(34)&amp;"  ","")&amp;IF(ISNUMBER($BW50),"C "&amp;TRIM(TEXT($BW50-HeadClr,"# ?/??"))&amp;CHAR(34)&amp;"  ","")&amp;IF(ISNUMBER($BX50),"D "&amp;TRIM(TEXT($BX50-HeadClr,"# ?/??"))&amp;CHAR(34)&amp;"  ","")&amp;IF(ISNUMBER($BY50),"F "&amp;TRIM(TEXT($BY50-HeadClr,"# ?/??"))&amp;CHAR(34)&amp;"  ","")&amp;IF(ISNUMBER($BZ50),"E "&amp;TRIM(TEXT($BZ50-HeadClr,"# ?/??"))&amp;CHAR(34)&amp;"  ","")))</f>
        <v/>
      </c>
      <c r="DA50" s="99">
        <f>IF($A50="","",IF($AN50="",IFERROR(VLOOKUP($Z50,CODES,2,FALSE),""),IFERROR(VLOOKUP($AN50,CODES,2,FALSE),"")))</f>
        <v/>
      </c>
      <c r="DB50" s="99">
        <f>IF($A50="","",IF($O50="Y","PR",IF(OR($Z50="L",$Z50="RR",LEFT($Z50,2)="L-",LEFT($Z50,3)="RR-"),"LH","RH")))</f>
        <v/>
      </c>
      <c r="DC50" s="99">
        <f>IF($A50="","","S.HM"&amp;IF(OR($C50="DOOR ONLY",$X50&lt;&gt;"KD"),"MASONRY","DRYWALL")&amp;IF($C50="DOOR ONLY","",$U50)&amp;IF(AND($C50&lt;&gt;"FRAME ONLY",OR(LEFT($AH50,3)="OAK",LEFT($AH50,3)="BIR",LEFT($AH50,3)="MAP",$AH50="PC",$AH50="MC",$AH50="SCLC",$AH50="P-LAM")),"WD","HM")&amp;"1.75")</f>
        <v/>
      </c>
      <c r="DD50" s="99">
        <f>IF($CJ50="","",IF($O50="Y",$CJ50,SUBSTITUTE($CJ50,$BG50&amp;" "&amp;IFERROR(VLOOKUP($Z50,CODES,2,FALSE),"")&amp;" ",$BG50&amp;" ")))</f>
        <v/>
      </c>
      <c r="DE50" s="99">
        <f>IF($CK50="","",IF($O50="Y",$CK50,SUBSTITUTE($CK50,$BG50&amp;" "&amp;IF($AN50="",IFERROR(VLOOKUP($Z50,CODES,2,FALSE),""),IFERROR(VLOOKUP($AN50,CODES,2,FALSE),""))&amp;" ",$BG50&amp;" ")))</f>
        <v/>
      </c>
      <c r="DF50" s="99">
        <f>IF($CJ50="","",$DC50&amp;"|"&amp;$DD50&amp;"|"&amp;$DB50&amp;"|"&amp;$AT50&amp;"|"&amp;$V50&amp;"|"&amp;$Y50&amp;"|"&amp;$AB50)</f>
        <v/>
      </c>
      <c r="DG50" s="99">
        <f>IF(DF50="","",IF(COUNTIF($DF$6:DF50,DF50)=1,MAX($DG$5:DG49)+1,INDEX($DG$5:DG49,MATCH(DF50,$DF$5:DF49,0))))</f>
        <v/>
      </c>
      <c r="DH50" s="99">
        <f>IF($CK50="","",$DC50&amp;"|"&amp;$DE50&amp;"|"&amp;$AI50&amp;"|"&amp;$BK50&amp;"|"&amp;$BL50)</f>
        <v/>
      </c>
      <c r="DI50" s="99">
        <f>IF(DH50="","",IF(COUNTIF($DH$6:DH50,DH50)=1,MAX($DI$5:DI49)+1,INDEX($DI$5:DI49,MATCH(DH50,$DH$5:DH49,0))))</f>
        <v/>
      </c>
      <c r="DJ50" s="99">
        <f>IF($A50="","",IF($B50="","qty, ","")&amp;IF($C50="","scope, ","")&amp;IF(OR($K50="",$M50=""),"size, ","")&amp;IF(AND($A50&lt;&gt;"",$C50&lt;&gt;"DOOR ONLY"),IF($U50="","jamb depth, ","")&amp;IF($X50="","construction, ","")&amp;IF($Y50="","anchor, ","")&amp;IF($S50="","frame type, ",""),"")&amp;IF(AND(N($BJ50)&gt;0,$Z50=""),"hand, ","")&amp;IF(N($BJ50)&gt;0,IF($AH50="","door material, ","")&amp;IF($AL50="","face type, ","")&amp;IF($AP50="","lock prep, ","")&amp;IF(AND($AO50="",$AC50=""),"hinge prep, ",""),"")&amp;IF(AND($CH50&gt;0,$AH50="FRP"),"FRP cannot carry a label, ","")&amp;IF(AND($O50="Y",OR($Z50="L",$Z50="R",$Z50="LR",$Z50="RR")),"pair marked but hand is single, ","")&amp;IF(AND($O50&lt;&gt;"Y",OR($Z50="PR",AND(LEN($Z50)&gt;1,ISNUMBER(SEARCH("-",$Z50))))),"pair hand on a single door, ","")&amp;IF(AND(ISNUMBER($CI50),$CH50&lt;N($CI50)),"wall needs a "&amp;$CI50&amp;" min door, ","")&amp;IF(AND($CH50&gt;=180,AND(OR($CE50="FG",$CE50="HG",$CE50="FNV",$CE50="FV"),N($CF50)*N($CG50)&gt;100)),"180 min lite over 100 sq in, ","")&amp;IF(N($BK50)&gt;48,"leaf wider than 4'-0"&amp;CHAR(34)&amp;", ","")&amp;IF(AND($CT50,COUNT($AW50:$AZ50)=0,$CQ50&gt;0),"CUSTOM LOC with no locations typed, ",""))</f>
        <v/>
      </c>
      <c r="DK50" s="99">
        <f>IF($A50="","",IF(AND($CH50&gt;0,AND($A50&lt;&gt;"",$C50&lt;&gt;"DOOR ONLY"),$X50="KD",$E50="EXTERIOR"),"KD label on an exterior opening, ","")&amp;IF(AND($E50="EXTERIOR",OR(AND(AND($A50&lt;&gt;"",$C50&lt;&gt;"DOOR ONLY"),$W50="CR"),AND(N($BJ50)&gt;0,$AH50="CR"))),"exterior in CR steel (G9?), ","")&amp;IF(AND(ISNUMBER($BQ50),N($BQ50)&lt;32),"clear width ~"&amp;TEXT($BQ50,"0.0")&amp;CHAR(34)&amp;" under 32"&amp;CHAR(34)&amp;" (ADA), ","")&amp;IF(AND($CH50=90,AND(OR($CE50="FG",$CE50="HG",$CE50="FNV",$CE50="FV"),N($CF50)*N($CG50)&gt;100)),"90 min lite over 100 sq in (stair/exit), ","")&amp;IF(AND($CH50&gt;0,AND($A50&lt;&gt;"",$C50&lt;&gt;"DOOR ONLY"),OR($AF50="",$AF50="-")),"rated: closer reinf.?, ","")&amp;IF(OR($I50="CORRIDOR",$I50="SMOKE BARRIER"),"S label + smoke gasketing, ","")&amp;IF($CI50="?","wall type/hr not in IBC table, ","")&amp;IF(AND(N($BJ50)&gt;0,$BB50=""),"no hardware set, ","")&amp;IF(AND($BB50&lt;&gt;"",ISNA(MATCH($BB50&amp;"",HWSets,0))),"set "&amp;$BB50&amp;" not on HW Sets, ","")&amp;IF(N($BL50)&gt;96,"leaf over 8'-0"&amp;CHAR(34)&amp;" - check listing, ","")&amp;IF(AND($CT50,COUNT($AW50:$AZ50)&gt;0,COUNT($AW50:$AZ50)&lt;&gt;$CQ50),COUNT($AW50:$AZ50)&amp;" custom hinges typed, "&amp;$CQ50&amp;" expected, ","")&amp;IF(AND(ISNUMBER($CA50),OR(N($CA50)&lt;34,N($CA50)&gt;48)),"lock "&amp;TEXT($CA50,"0.0")&amp;CHAR(34)&amp;" AFF outside 34-48"&amp;CHAR(34)&amp;" (ADA), ","")&amp;IF(AND(ISNUMBER($AV50),ISNUMBER($BL50),N($AV50)&lt;IF(N($BL50)&lt;=60,2,IF(N($BL50)&lt;=90,3,IF(N($BL50)&lt;=120,4,5)))),"fewer hinges than standard, ",""))</f>
        <v/>
      </c>
    </row>
    <row r="51" ht="15" customHeight="1">
      <c r="A51" s="77" t="n"/>
      <c r="B51" s="78" t="n"/>
      <c r="C51" s="78" t="n"/>
      <c r="D51" s="78" t="n"/>
      <c r="E51" s="78" t="n"/>
      <c r="F51" s="78" t="n"/>
      <c r="G51" s="78" t="n"/>
      <c r="H51" s="78" t="n"/>
      <c r="I51" s="78" t="n"/>
      <c r="J51" s="78" t="n"/>
      <c r="K51" s="78" t="n"/>
      <c r="L51" s="78" t="n"/>
      <c r="M51" s="78" t="n"/>
      <c r="N51" s="78" t="n"/>
      <c r="O51" s="78" t="n"/>
      <c r="P51" s="78" t="n"/>
      <c r="Q51" s="78" t="n"/>
      <c r="R51" s="78" t="n"/>
      <c r="S51" s="79" t="n"/>
      <c r="T51" s="79" t="n"/>
      <c r="U51" s="79" t="n"/>
      <c r="V51" s="79" t="n"/>
      <c r="W51" s="79" t="n"/>
      <c r="X51" s="79" t="n"/>
      <c r="Y51" s="79" t="n"/>
      <c r="Z51" s="79" t="n"/>
      <c r="AA51" s="79" t="n"/>
      <c r="AB51" s="79" t="n"/>
      <c r="AC51" s="79" t="n"/>
      <c r="AD51" s="79" t="n"/>
      <c r="AE51" s="79" t="n"/>
      <c r="AF51" s="79" t="n"/>
      <c r="AG51" s="79" t="n"/>
      <c r="AH51" s="80" t="n"/>
      <c r="AI51" s="80" t="n"/>
      <c r="AJ51" s="80" t="n"/>
      <c r="AK51" s="80" t="n"/>
      <c r="AL51" s="80" t="n"/>
      <c r="AM51" s="80" t="n"/>
      <c r="AN51" s="80" t="n"/>
      <c r="AO51" s="80" t="n"/>
      <c r="AP51" s="80" t="n"/>
      <c r="AQ51" s="80" t="n"/>
      <c r="AR51" s="80" t="n"/>
      <c r="AS51" s="80" t="n"/>
      <c r="AT51" s="81" t="n"/>
      <c r="AU51" s="81" t="n"/>
      <c r="AV51" s="81" t="n"/>
      <c r="AW51" s="82" t="n"/>
      <c r="AX51" s="82" t="n"/>
      <c r="AY51" s="82" t="n"/>
      <c r="AZ51" s="82" t="n"/>
      <c r="BA51" s="82" t="n"/>
      <c r="BB51" s="83" t="n"/>
      <c r="BC51" s="83" t="n"/>
      <c r="BD51" s="84">
        <f>IF($A51="","",IF($DJ51&lt;&gt;"","FIX",IF($DK51&lt;&gt;"","CHECK","OK")))</f>
        <v/>
      </c>
      <c r="BE51" s="85">
        <f>IF($A51="","",IF($DJ51&lt;&gt;"","FIX: "&amp;LEFT($DJ51,LEN($DJ51)-2)&amp;IF($DK51&lt;&gt;"","  ·  ",""),"")&amp;IF($DK51&lt;&gt;"","CHECK: "&amp;LEFT($DK51,LEN($DK51)-2),""))</f>
        <v/>
      </c>
      <c r="BF51" s="84">
        <f>IF(OR($A51="",$K51=""),"",$K51&amp;"'-"&amp;N($L51)&amp;CHAR(34)&amp;" x "&amp;$M51&amp;"'-"&amp;N($N51)&amp;CHAR(34))</f>
        <v/>
      </c>
      <c r="BG51" s="84">
        <f>IF(OR($A51="",$K51=""),"",$K51&amp;N($L51)&amp;$M51&amp;N($N51))</f>
        <v/>
      </c>
      <c r="BH51" s="84">
        <f>IF(OR($A51="",$K51=""),"",$K51*12+N($L51))</f>
        <v/>
      </c>
      <c r="BI51" s="84">
        <f>IF(OR($A51="",$M51=""),"",$M51*12+N($N51))</f>
        <v/>
      </c>
      <c r="BJ51" s="84">
        <f>IF($A51="","",IF(OR($C51="FRAME ONLY",$S51="BL"),0,IF($O51="Y",2,1)))</f>
        <v/>
      </c>
      <c r="BK51" s="86">
        <f>IF(OR(N($BJ51)=0,$BH51=""),"",($BH51-2*EdgeClr-IF($BJ51=2,MeetClr,0))/$BJ51)</f>
        <v/>
      </c>
      <c r="BL51" s="86">
        <f>IF(OR(N($BJ51)=0,$BI51=""),"",$BI51-HeadClr-Undercut)</f>
        <v/>
      </c>
      <c r="BM51" s="86">
        <f>IF($BH51="","",$BH51+2*FaceW+IF(N($Q51)&gt;0,($Q51+FaceW)*IF($R51="LR",2,1),0))</f>
        <v/>
      </c>
      <c r="BN51" s="86">
        <f>IF($BI51="","",$BI51+IF($AB51="Y",4,FaceW)+IF(N($P51)&gt;0,$P51+FaceW,0)+IF(OR($S51="4F",$S51="BL"),FaceW,0))</f>
        <v/>
      </c>
      <c r="BO51" s="86">
        <f>IF($BM51="","",$BM51+2*ROSide)</f>
        <v/>
      </c>
      <c r="BP51" s="86">
        <f>IF($BN51="","",$BN51+ROTop)</f>
        <v/>
      </c>
      <c r="BQ51" s="87">
        <f>IF(OR(N($BJ51)=0,$BH51=""),"",$BH51/$BJ51-ClearDeduct)</f>
        <v/>
      </c>
      <c r="BR51" s="84">
        <f>IF(N($CH51)=0,"",IF($CH51&gt;=180,"A · 3 HR",IF($CH51&gt;=90,"B · 1-1/2 HR",IF($CH51&gt;=60,"B · 1 HR",IF($CH51&gt;=45,"C · 3/4 HR","20 MIN")))))&amp;IF(AND(N($CH51)&gt;0,OR($I51="CORRIDOR",$I51="SMOKE BARRIER"))," · S","")</f>
        <v/>
      </c>
      <c r="BS51" s="84">
        <f>IF($CS51,"",IF($AV51&lt;&gt;"",$AV51,IF(OR($AC51="HGC",$AO51="HGC"),"CONT",IF(($BI51-HeadClr-Undercut)&lt;=60,2,IF(($BI51-HeadClr-Undercut)&lt;=90,3,IF(($BI51-HeadClr-Undercut)&lt;=120,4,5))))))</f>
        <v/>
      </c>
      <c r="BT51" s="84">
        <f>IF($CS51,"",IF($CT51,"CUSTOM (typed)",IF($CV51,$AT51&amp;" "&amp;$CU51&amp;CHAR(34)&amp;IF($CU51&lt;&gt;$BI51,IF(AND($BI51&lt;$CU51,$BI51-IF(N(VLOOKUP($AT51&amp;"|"&amp;$CU51,LocTable,7,FALSE))&gt;0,VLOOKUP($AT51&amp;"|"&amp;$CU51,LocTable,7,FALSE),VLOOKUP($AT51&amp;"|"&amp;$CU51,LocTable,6,FALSE))-$CR51-0.75&gt;=2.125)," cut down"," adj."),""),"ANSI/SDI A250.6")))</f>
        <v/>
      </c>
      <c r="BU51" s="88">
        <f>IF($CS51,"",IF($CT51,IF(N($AW51)&gt;0,N($AW51),""),IF(1&gt;$CQ51,"",IF($CQ51=1,$CW51,$CW51+($CX51-$CW51)*0/($CQ51-1)))))</f>
        <v/>
      </c>
      <c r="BV51" s="88">
        <f>IF($CS51,"",IF($CT51,IF(N($AX51)&gt;0,N($AX51),""),IF(2&gt;$CQ51,"",IF($CQ51=1,$CW51,$CW51+($CX51-$CW51)*1/($CQ51-1)))))</f>
        <v/>
      </c>
      <c r="BW51" s="88">
        <f>IF($CS51,"",IF($CT51,IF(N($AY51)&gt;0,N($AY51),""),IF(3&gt;$CQ51,"",IF($CQ51=1,$CW51,$CW51+($CX51-$CW51)*2/($CQ51-1)))))</f>
        <v/>
      </c>
      <c r="BX51" s="88">
        <f>IF($CS51,"",IF($CT51,IF(N($AZ51)&gt;0,N($AZ51),""),IF(4&gt;$CQ51,"",IF($CQ51=1,$CW51,$CW51+($CX51-$CW51)*3/($CQ51-1)))))</f>
        <v/>
      </c>
      <c r="BY51" s="88">
        <f>IF($CS51,"",IF($CT51,"",IF(5&gt;$CQ51,"",IF($CQ51=1,$CW51,$CW51+($CX51-$CW51)*4/($CQ51-1)))))</f>
        <v/>
      </c>
      <c r="BZ51" s="88">
        <f>IF(OR($CS51,$AP51="-",AND($AP51="",$AD51="")),"",IF(N($BA51)&gt;0,N($BA51),IF($CV51,IF(AND($BI51&lt;$CU51,$BI51-IF(N(VLOOKUP($AT51&amp;"|"&amp;$CU51,LocTable,7,FALSE))&gt;0,VLOOKUP($AT51&amp;"|"&amp;$CU51,LocTable,7,FALSE),VLOOKUP($AT51&amp;"|"&amp;$CU51,LocTable,6,FALSE))-$CR51-0.75&gt;=2.125),VLOOKUP($AT51&amp;"|"&amp;$CU51,LocTable,8,FALSE),VLOOKUP($AT51&amp;"|"&amp;$CU51,LocTable,8,FALSE)+($BI51-$CU51)),$BI51-LockAFF)))</f>
        <v/>
      </c>
      <c r="CA51" s="89">
        <f>IF($BZ51="","",$BI51-$BZ51)</f>
        <v/>
      </c>
      <c r="CB51" s="84">
        <f>IF(OR(NOT(AND($A51&lt;&gt;"",$C51&lt;&gt;"DOOR ONLY")),$BI51=""),"",IF(($BI51+IF(N($P51)&gt;0,$P51+FaceW,0))&lt;=90,3,IF(($BI51+IF(N($P51)&gt;0,$P51+FaceW,0))&lt;=114,4,5)))</f>
        <v/>
      </c>
      <c r="CC51" s="84">
        <f>IF($CB51="","",$CB51*(2+IF(N($Q51)&gt;0,IF($R51="LR",2,1),0)))</f>
        <v/>
      </c>
      <c r="CD51" s="84">
        <f>IF($CB51="","",(2+IF(N($Q51)&gt;0,IF($R51="LR",2,1),0)))</f>
        <v/>
      </c>
      <c r="CE51" s="84">
        <f>IF(N($BJ51)=0,"",IF(OR($AL51="",$AL51="FLUSH"),"FLUSH",IFERROR(LEFT($AL51,FIND("-",$AL51)-1),LEFT($AL51,2))))</f>
        <v/>
      </c>
      <c r="CF51" s="84">
        <f>IF($CE51="","",IFERROR(VALUE(MID($AL51,FIND("-",$AL51)+1,FIND(CHAR(34)&amp;"x",$AL51)-FIND("-",$AL51)-1)),0))</f>
        <v/>
      </c>
      <c r="CG51" s="84">
        <f>IF($CE51="","",IFERROR(VALUE(MID($AL51,FIND(CHAR(34)&amp;"x",$AL51)+2,FIND(CHAR(34),$AL51,FIND(CHAR(34)&amp;"x",$AL51)+2)-FIND(CHAR(34)&amp;"x",$AL51)-2)),0))</f>
        <v/>
      </c>
      <c r="CH51" s="90">
        <f>IF(OR($A51="",$H51="",$H51="NO LAB"),0,IFERROR(VALUE(LEFT($H51,FIND(" ",$H51)-1)),0))</f>
        <v/>
      </c>
      <c r="CI51" s="91">
        <f>IF(OR($A51="",$I51="",$I51="NON-RATED",N($J51)=0),"",IFERROR(VLOOKUP($I51&amp;"|"&amp;$J51,IBC,2,FALSE),"?"))</f>
        <v/>
      </c>
      <c r="CJ51" s="85">
        <f>IF(NOT(AND($A51&lt;&gt;"",$C51&lt;&gt;"DOOR ONLY")),"",TRIM(IFERROR(VLOOKUP($U51,CODES,2,FALSE),"")&amp;" "&amp;$BG51&amp;" "&amp;IFERROR(VLOOKUP($Z51,CODES,2,FALSE),"")&amp;" "&amp;IFERROR(VLOOKUP($X51,CODES,2,FALSE),"")&amp;" "&amp;IFERROR(VLOOKUP($S51,CODES,2,FALSE),"")&amp;IF(N($P51)&gt;0," w/TRANSOM "&amp;$P51&amp;CHAR(34),"")&amp;IF(N($Q51)&gt;0," w/SIDELITE "&amp;$Q51&amp;CHAR(34)&amp;" "&amp;IF($R51="","R",$R51),"")&amp;IF($Y51="","  |  "," | "&amp;IFERROR(VLOOKUP($Y51,CODES,2,FALSE),"")&amp;" | ")&amp;IFERROR(VLOOKUP($AC51,CODES,2,FALSE),"")&amp;" "&amp;IFERROR(VLOOKUP($AD51,CODES,2,FALSE),"")&amp;IF(OR($AE51="",$AE51="-"),""," "&amp;$AE51)&amp;IF(OR($AF51="",$AF51="-"),""," "&amp;$AF51)&amp;IF($AB51="Y"," 4"&amp;CHAR(34)&amp;" HEAD","")&amp;" "&amp;IFERROR(VLOOKUP($H51,CODES,2,FALSE),"")&amp;IF($CT51," | LOC "&amp;$CY51,"")))</f>
        <v/>
      </c>
      <c r="CK51" s="85">
        <f>IF(NOT(AND($A51&lt;&gt;"",N($BJ51)&gt;0)),"",TRIM(IFERROR(VLOOKUP($AH51,CODES,2,FALSE),"")&amp;IF($AI51=""," "," "&amp;$AI51&amp;"GA ")&amp;$BG51&amp;" "&amp;IF($AN51="",IFERROR(VLOOKUP($Z51,CODES,2,FALSE),""),IFERROR(VLOOKUP($AN51,CODES,2,FALSE),""))&amp;IF($BJ51=2," PAIR","")&amp;" DOOR | "&amp;IF($AL51="","?",$AL51)&amp;" | "&amp;IF($AO51="",IFERROR(VLOOKUP($AC51,CODES,2,FALSE),""),IFERROR(VLOOKUP($AO51,CODES,2,FALSE),""))&amp;" "&amp;IFERROR(VLOOKUP($AP51,CODES,2,FALSE),"")&amp;IF(OR($AQ51="",$AQ51="-"),""," SEAM "&amp;$AQ51)&amp;IF($AR51="Y"," ASTRAGAL","")&amp;IF($AJ51=""," "," "&amp;$AJ51)&amp;IF($AK51=""," "," "&amp;$AK51)&amp;IF(OR($AT51="",$AT51="ANSI/SDI",$AT51="CUSTOM LOC"),""," "&amp;$AT51)&amp;IF($AM51=""," "," SERIES "&amp;$AM51)&amp;" "&amp;IFERROR(VLOOKUP($H51,CODES,2,FALSE),"")&amp;IF($CT51," | LOC "&amp;$CZ51,"")))</f>
        <v/>
      </c>
      <c r="CL51" s="84">
        <f>IF(CP51="","",IF(COUNTIF($CP$6:CP51,CP51)=1,MAX($CL$5:CL50)+1,INDEX($CL$5:CL50,MATCH(CP51,$CP$5:CP50,0))))</f>
        <v/>
      </c>
      <c r="CM51" s="84">
        <f>IF(NOT(AND($A51&lt;&gt;"",$C51&lt;&gt;"DOOR ONLY")),"",MAX($CM$5:CM50)+1)</f>
        <v/>
      </c>
      <c r="CN51" s="84">
        <f>IF(NOT(AND($A51&lt;&gt;"",N($BJ51)&gt;0)),"",MAX($CN$5:CN50)+1)</f>
        <v/>
      </c>
      <c r="CO51" s="84">
        <f>IF($A51="","",MAX($CO$5:CO50)+1)</f>
        <v/>
      </c>
      <c r="CP51" s="84">
        <f>IF(OR($A51="",$BH51="",$BI51=""),"",$BG51&amp;"|"&amp;$O51&amp;"|"&amp;$AL51&amp;"|"&amp;$S51&amp;"|"&amp;$P51&amp;"|"&amp;$Q51&amp;$R51&amp;"|"&amp;$C51&amp;"|"&amp;$AB51)</f>
        <v/>
      </c>
      <c r="CQ51" s="84">
        <f>N($BS51)</f>
        <v/>
      </c>
      <c r="CR51" s="84">
        <f>IF(N($AU51)&gt;0,N($AU51),4.5)</f>
        <v/>
      </c>
      <c r="CS51" s="84">
        <f>OR($A51="",$BI51="",$S51="BL",AND($C51="FRAME ONLY",OR($AC51="",$AC51="BLK")))</f>
        <v/>
      </c>
      <c r="CT51" s="84">
        <f>AND(NOT($CS51),OR($AT51="CUSTOM LOC",N($AW51)+N($AX51)+N($AY51)+N($AZ51)+N($BA51)&gt;0))</f>
        <v/>
      </c>
      <c r="CU51" s="84">
        <f>IF($BI51="","",IF($BI51&lt;=80,80,IF($BI51&lt;=84,84,96)))</f>
        <v/>
      </c>
      <c r="CV51" s="84">
        <f>ISNUMBER(MATCH($AT51&amp;"|80",LocKeys,0))</f>
        <v/>
      </c>
      <c r="CW51" s="86">
        <f>IF($CS51,"",IF($CV51,VLOOKUP($AT51&amp;"|"&amp;$CU51,LocTable,4,FALSE),5))</f>
        <v/>
      </c>
      <c r="CX51" s="86">
        <f>IF($CS51,"",IF($CV51,IF(OR($BI51=$CU51,AND($BI51&lt;$CU51,$BI51-IF(N(VLOOKUP($AT51&amp;"|"&amp;$CU51,LocTable,7,FALSE))&gt;0,VLOOKUP($AT51&amp;"|"&amp;$CU51,LocTable,7,FALSE),VLOOKUP($AT51&amp;"|"&amp;$CU51,LocTable,6,FALSE))-$CR51-0.75&gt;=2.125)),IF(N(VLOOKUP($AT51&amp;"|"&amp;$CU51,LocTable,7,FALSE))&gt;0,VLOOKUP($AT51&amp;"|"&amp;$CU51,LocTable,7,FALSE),VLOOKUP($AT51&amp;"|"&amp;$CU51,LocTable,6,FALSE)),$BI51-($CU51-IF(N(VLOOKUP($AT51&amp;"|"&amp;$CU51,LocTable,7,FALSE))&gt;0,VLOOKUP($AT51&amp;"|"&amp;$CU51,LocTable,7,FALSE),VLOOKUP($AT51&amp;"|"&amp;$CU51,LocTable,6,FALSE)))),$BI51-10-$CR51))</f>
        <v/>
      </c>
      <c r="CY51" s="85">
        <f>IF($CS51,"",TRIM(IF(ISNUMBER($BU51),"A "&amp;TRIM(TEXT($BU51,"# ?/??"))&amp;CHAR(34)&amp;"  ","")&amp;IF(ISNUMBER($BV51),"B "&amp;TRIM(TEXT($BV51,"# ?/??"))&amp;CHAR(34)&amp;"  ","")&amp;IF(ISNUMBER($BW51),"C "&amp;TRIM(TEXT($BW51,"# ?/??"))&amp;CHAR(34)&amp;"  ","")&amp;IF(ISNUMBER($BX51),"D "&amp;TRIM(TEXT($BX51,"# ?/??"))&amp;CHAR(34)&amp;"  ","")&amp;IF(ISNUMBER($BY51),"F "&amp;TRIM(TEXT($BY51,"# ?/??"))&amp;CHAR(34)&amp;"  ","")&amp;IF(ISNUMBER($BZ51),"E "&amp;TRIM(TEXT($BZ51,"# ?/??"))&amp;CHAR(34)&amp;"  ","")))</f>
        <v/>
      </c>
      <c r="CZ51" s="85">
        <f>IF(OR($CS51,N($BJ51)=0),"",TRIM(IF(ISNUMBER($BU51),"A "&amp;TRIM(TEXT($BU51-HeadClr,"# ?/??"))&amp;CHAR(34)&amp;"  ","")&amp;IF(ISNUMBER($BV51),"B "&amp;TRIM(TEXT($BV51-HeadClr,"# ?/??"))&amp;CHAR(34)&amp;"  ","")&amp;IF(ISNUMBER($BW51),"C "&amp;TRIM(TEXT($BW51-HeadClr,"# ?/??"))&amp;CHAR(34)&amp;"  ","")&amp;IF(ISNUMBER($BX51),"D "&amp;TRIM(TEXT($BX51-HeadClr,"# ?/??"))&amp;CHAR(34)&amp;"  ","")&amp;IF(ISNUMBER($BY51),"F "&amp;TRIM(TEXT($BY51-HeadClr,"# ?/??"))&amp;CHAR(34)&amp;"  ","")&amp;IF(ISNUMBER($BZ51),"E "&amp;TRIM(TEXT($BZ51-HeadClr,"# ?/??"))&amp;CHAR(34)&amp;"  ","")))</f>
        <v/>
      </c>
      <c r="DA51" s="84">
        <f>IF($A51="","",IF($AN51="",IFERROR(VLOOKUP($Z51,CODES,2,FALSE),""),IFERROR(VLOOKUP($AN51,CODES,2,FALSE),"")))</f>
        <v/>
      </c>
      <c r="DB51" s="84">
        <f>IF($A51="","",IF($O51="Y","PR",IF(OR($Z51="L",$Z51="RR",LEFT($Z51,2)="L-",LEFT($Z51,3)="RR-"),"LH","RH")))</f>
        <v/>
      </c>
      <c r="DC51" s="84">
        <f>IF($A51="","","S.HM"&amp;IF(OR($C51="DOOR ONLY",$X51&lt;&gt;"KD"),"MASONRY","DRYWALL")&amp;IF($C51="DOOR ONLY","",$U51)&amp;IF(AND($C51&lt;&gt;"FRAME ONLY",OR(LEFT($AH51,3)="OAK",LEFT($AH51,3)="BIR",LEFT($AH51,3)="MAP",$AH51="PC",$AH51="MC",$AH51="SCLC",$AH51="P-LAM")),"WD","HM")&amp;"1.75")</f>
        <v/>
      </c>
      <c r="DD51" s="84">
        <f>IF($CJ51="","",IF($O51="Y",$CJ51,SUBSTITUTE($CJ51,$BG51&amp;" "&amp;IFERROR(VLOOKUP($Z51,CODES,2,FALSE),"")&amp;" ",$BG51&amp;" ")))</f>
        <v/>
      </c>
      <c r="DE51" s="84">
        <f>IF($CK51="","",IF($O51="Y",$CK51,SUBSTITUTE($CK51,$BG51&amp;" "&amp;IF($AN51="",IFERROR(VLOOKUP($Z51,CODES,2,FALSE),""),IFERROR(VLOOKUP($AN51,CODES,2,FALSE),""))&amp;" ",$BG51&amp;" ")))</f>
        <v/>
      </c>
      <c r="DF51" s="84">
        <f>IF($CJ51="","",$DC51&amp;"|"&amp;$DD51&amp;"|"&amp;$DB51&amp;"|"&amp;$AT51&amp;"|"&amp;$V51&amp;"|"&amp;$Y51&amp;"|"&amp;$AB51)</f>
        <v/>
      </c>
      <c r="DG51" s="84">
        <f>IF(DF51="","",IF(COUNTIF($DF$6:DF51,DF51)=1,MAX($DG$5:DG50)+1,INDEX($DG$5:DG50,MATCH(DF51,$DF$5:DF50,0))))</f>
        <v/>
      </c>
      <c r="DH51" s="84">
        <f>IF($CK51="","",$DC51&amp;"|"&amp;$DE51&amp;"|"&amp;$AI51&amp;"|"&amp;$BK51&amp;"|"&amp;$BL51)</f>
        <v/>
      </c>
      <c r="DI51" s="84">
        <f>IF(DH51="","",IF(COUNTIF($DH$6:DH51,DH51)=1,MAX($DI$5:DI50)+1,INDEX($DI$5:DI50,MATCH(DH51,$DH$5:DH50,0))))</f>
        <v/>
      </c>
      <c r="DJ51" s="84">
        <f>IF($A51="","",IF($B51="","qty, ","")&amp;IF($C51="","scope, ","")&amp;IF(OR($K51="",$M51=""),"size, ","")&amp;IF(AND($A51&lt;&gt;"",$C51&lt;&gt;"DOOR ONLY"),IF($U51="","jamb depth, ","")&amp;IF($X51="","construction, ","")&amp;IF($Y51="","anchor, ","")&amp;IF($S51="","frame type, ",""),"")&amp;IF(AND(N($BJ51)&gt;0,$Z51=""),"hand, ","")&amp;IF(N($BJ51)&gt;0,IF($AH51="","door material, ","")&amp;IF($AL51="","face type, ","")&amp;IF($AP51="","lock prep, ","")&amp;IF(AND($AO51="",$AC51=""),"hinge prep, ",""),"")&amp;IF(AND($CH51&gt;0,$AH51="FRP"),"FRP cannot carry a label, ","")&amp;IF(AND($O51="Y",OR($Z51="L",$Z51="R",$Z51="LR",$Z51="RR")),"pair marked but hand is single, ","")&amp;IF(AND($O51&lt;&gt;"Y",OR($Z51="PR",AND(LEN($Z51)&gt;1,ISNUMBER(SEARCH("-",$Z51))))),"pair hand on a single door, ","")&amp;IF(AND(ISNUMBER($CI51),$CH51&lt;N($CI51)),"wall needs a "&amp;$CI51&amp;" min door, ","")&amp;IF(AND($CH51&gt;=180,AND(OR($CE51="FG",$CE51="HG",$CE51="FNV",$CE51="FV"),N($CF51)*N($CG51)&gt;100)),"180 min lite over 100 sq in, ","")&amp;IF(N($BK51)&gt;48,"leaf wider than 4'-0"&amp;CHAR(34)&amp;", ","")&amp;IF(AND($CT51,COUNT($AW51:$AZ51)=0,$CQ51&gt;0),"CUSTOM LOC with no locations typed, ",""))</f>
        <v/>
      </c>
      <c r="DK51" s="84">
        <f>IF($A51="","",IF(AND($CH51&gt;0,AND($A51&lt;&gt;"",$C51&lt;&gt;"DOOR ONLY"),$X51="KD",$E51="EXTERIOR"),"KD label on an exterior opening, ","")&amp;IF(AND($E51="EXTERIOR",OR(AND(AND($A51&lt;&gt;"",$C51&lt;&gt;"DOOR ONLY"),$W51="CR"),AND(N($BJ51)&gt;0,$AH51="CR"))),"exterior in CR steel (G9?), ","")&amp;IF(AND(ISNUMBER($BQ51),N($BQ51)&lt;32),"clear width ~"&amp;TEXT($BQ51,"0.0")&amp;CHAR(34)&amp;" under 32"&amp;CHAR(34)&amp;" (ADA), ","")&amp;IF(AND($CH51=90,AND(OR($CE51="FG",$CE51="HG",$CE51="FNV",$CE51="FV"),N($CF51)*N($CG51)&gt;100)),"90 min lite over 100 sq in (stair/exit), ","")&amp;IF(AND($CH51&gt;0,AND($A51&lt;&gt;"",$C51&lt;&gt;"DOOR ONLY"),OR($AF51="",$AF51="-")),"rated: closer reinf.?, ","")&amp;IF(OR($I51="CORRIDOR",$I51="SMOKE BARRIER"),"S label + smoke gasketing, ","")&amp;IF($CI51="?","wall type/hr not in IBC table, ","")&amp;IF(AND(N($BJ51)&gt;0,$BB51=""),"no hardware set, ","")&amp;IF(AND($BB51&lt;&gt;"",ISNA(MATCH($BB51&amp;"",HWSets,0))),"set "&amp;$BB51&amp;" not on HW Sets, ","")&amp;IF(N($BL51)&gt;96,"leaf over 8'-0"&amp;CHAR(34)&amp;" - check listing, ","")&amp;IF(AND($CT51,COUNT($AW51:$AZ51)&gt;0,COUNT($AW51:$AZ51)&lt;&gt;$CQ51),COUNT($AW51:$AZ51)&amp;" custom hinges typed, "&amp;$CQ51&amp;" expected, ","")&amp;IF(AND(ISNUMBER($CA51),OR(N($CA51)&lt;34,N($CA51)&gt;48)),"lock "&amp;TEXT($CA51,"0.0")&amp;CHAR(34)&amp;" AFF outside 34-48"&amp;CHAR(34)&amp;" (ADA), ","")&amp;IF(AND(ISNUMBER($AV51),ISNUMBER($BL51),N($AV51)&lt;IF(N($BL51)&lt;=60,2,IF(N($BL51)&lt;=90,3,IF(N($BL51)&lt;=120,4,5)))),"fewer hinges than standard, ",""))</f>
        <v/>
      </c>
    </row>
    <row r="52" ht="15" customHeight="1">
      <c r="A52" s="77" t="n"/>
      <c r="B52" s="78" t="n"/>
      <c r="C52" s="78" t="n"/>
      <c r="D52" s="78" t="n"/>
      <c r="E52" s="78" t="n"/>
      <c r="F52" s="78" t="n"/>
      <c r="G52" s="78" t="n"/>
      <c r="H52" s="78" t="n"/>
      <c r="I52" s="78" t="n"/>
      <c r="J52" s="78" t="n"/>
      <c r="K52" s="78" t="n"/>
      <c r="L52" s="78" t="n"/>
      <c r="M52" s="78" t="n"/>
      <c r="N52" s="78" t="n"/>
      <c r="O52" s="78" t="n"/>
      <c r="P52" s="78" t="n"/>
      <c r="Q52" s="78" t="n"/>
      <c r="R52" s="78" t="n"/>
      <c r="S52" s="79" t="n"/>
      <c r="T52" s="79" t="n"/>
      <c r="U52" s="79" t="n"/>
      <c r="V52" s="79" t="n"/>
      <c r="W52" s="79" t="n"/>
      <c r="X52" s="79" t="n"/>
      <c r="Y52" s="79" t="n"/>
      <c r="Z52" s="79" t="n"/>
      <c r="AA52" s="79" t="n"/>
      <c r="AB52" s="79" t="n"/>
      <c r="AC52" s="79" t="n"/>
      <c r="AD52" s="79" t="n"/>
      <c r="AE52" s="79" t="n"/>
      <c r="AF52" s="79" t="n"/>
      <c r="AG52" s="79" t="n"/>
      <c r="AH52" s="80" t="n"/>
      <c r="AI52" s="80" t="n"/>
      <c r="AJ52" s="80" t="n"/>
      <c r="AK52" s="80" t="n"/>
      <c r="AL52" s="80" t="n"/>
      <c r="AM52" s="80" t="n"/>
      <c r="AN52" s="80" t="n"/>
      <c r="AO52" s="80" t="n"/>
      <c r="AP52" s="80" t="n"/>
      <c r="AQ52" s="80" t="n"/>
      <c r="AR52" s="80" t="n"/>
      <c r="AS52" s="80" t="n"/>
      <c r="AT52" s="81" t="n"/>
      <c r="AU52" s="81" t="n"/>
      <c r="AV52" s="81" t="n"/>
      <c r="AW52" s="82" t="n"/>
      <c r="AX52" s="82" t="n"/>
      <c r="AY52" s="82" t="n"/>
      <c r="AZ52" s="82" t="n"/>
      <c r="BA52" s="82" t="n"/>
      <c r="BB52" s="83" t="n"/>
      <c r="BC52" s="83" t="n"/>
      <c r="BD52" s="84">
        <f>IF($A52="","",IF($DJ52&lt;&gt;"","FIX",IF($DK52&lt;&gt;"","CHECK","OK")))</f>
        <v/>
      </c>
      <c r="BE52" s="85">
        <f>IF($A52="","",IF($DJ52&lt;&gt;"","FIX: "&amp;LEFT($DJ52,LEN($DJ52)-2)&amp;IF($DK52&lt;&gt;"","  ·  ",""),"")&amp;IF($DK52&lt;&gt;"","CHECK: "&amp;LEFT($DK52,LEN($DK52)-2),""))</f>
        <v/>
      </c>
      <c r="BF52" s="84">
        <f>IF(OR($A52="",$K52=""),"",$K52&amp;"'-"&amp;N($L52)&amp;CHAR(34)&amp;" x "&amp;$M52&amp;"'-"&amp;N($N52)&amp;CHAR(34))</f>
        <v/>
      </c>
      <c r="BG52" s="84">
        <f>IF(OR($A52="",$K52=""),"",$K52&amp;N($L52)&amp;$M52&amp;N($N52))</f>
        <v/>
      </c>
      <c r="BH52" s="84">
        <f>IF(OR($A52="",$K52=""),"",$K52*12+N($L52))</f>
        <v/>
      </c>
      <c r="BI52" s="84">
        <f>IF(OR($A52="",$M52=""),"",$M52*12+N($N52))</f>
        <v/>
      </c>
      <c r="BJ52" s="84">
        <f>IF($A52="","",IF(OR($C52="FRAME ONLY",$S52="BL"),0,IF($O52="Y",2,1)))</f>
        <v/>
      </c>
      <c r="BK52" s="86">
        <f>IF(OR(N($BJ52)=0,$BH52=""),"",($BH52-2*EdgeClr-IF($BJ52=2,MeetClr,0))/$BJ52)</f>
        <v/>
      </c>
      <c r="BL52" s="86">
        <f>IF(OR(N($BJ52)=0,$BI52=""),"",$BI52-HeadClr-Undercut)</f>
        <v/>
      </c>
      <c r="BM52" s="86">
        <f>IF($BH52="","",$BH52+2*FaceW+IF(N($Q52)&gt;0,($Q52+FaceW)*IF($R52="LR",2,1),0))</f>
        <v/>
      </c>
      <c r="BN52" s="86">
        <f>IF($BI52="","",$BI52+IF($AB52="Y",4,FaceW)+IF(N($P52)&gt;0,$P52+FaceW,0)+IF(OR($S52="4F",$S52="BL"),FaceW,0))</f>
        <v/>
      </c>
      <c r="BO52" s="86">
        <f>IF($BM52="","",$BM52+2*ROSide)</f>
        <v/>
      </c>
      <c r="BP52" s="86">
        <f>IF($BN52="","",$BN52+ROTop)</f>
        <v/>
      </c>
      <c r="BQ52" s="87">
        <f>IF(OR(N($BJ52)=0,$BH52=""),"",$BH52/$BJ52-ClearDeduct)</f>
        <v/>
      </c>
      <c r="BR52" s="84">
        <f>IF(N($CH52)=0,"",IF($CH52&gt;=180,"A · 3 HR",IF($CH52&gt;=90,"B · 1-1/2 HR",IF($CH52&gt;=60,"B · 1 HR",IF($CH52&gt;=45,"C · 3/4 HR","20 MIN")))))&amp;IF(AND(N($CH52)&gt;0,OR($I52="CORRIDOR",$I52="SMOKE BARRIER"))," · S","")</f>
        <v/>
      </c>
      <c r="BS52" s="84">
        <f>IF($CS52,"",IF($AV52&lt;&gt;"",$AV52,IF(OR($AC52="HGC",$AO52="HGC"),"CONT",IF(($BI52-HeadClr-Undercut)&lt;=60,2,IF(($BI52-HeadClr-Undercut)&lt;=90,3,IF(($BI52-HeadClr-Undercut)&lt;=120,4,5))))))</f>
        <v/>
      </c>
      <c r="BT52" s="84">
        <f>IF($CS52,"",IF($CT52,"CUSTOM (typed)",IF($CV52,$AT52&amp;" "&amp;$CU52&amp;CHAR(34)&amp;IF($CU52&lt;&gt;$BI52,IF(AND($BI52&lt;$CU52,$BI52-IF(N(VLOOKUP($AT52&amp;"|"&amp;$CU52,LocTable,7,FALSE))&gt;0,VLOOKUP($AT52&amp;"|"&amp;$CU52,LocTable,7,FALSE),VLOOKUP($AT52&amp;"|"&amp;$CU52,LocTable,6,FALSE))-$CR52-0.75&gt;=2.125)," cut down"," adj."),""),"ANSI/SDI A250.6")))</f>
        <v/>
      </c>
      <c r="BU52" s="88">
        <f>IF($CS52,"",IF($CT52,IF(N($AW52)&gt;0,N($AW52),""),IF(1&gt;$CQ52,"",IF($CQ52=1,$CW52,$CW52+($CX52-$CW52)*0/($CQ52-1)))))</f>
        <v/>
      </c>
      <c r="BV52" s="88">
        <f>IF($CS52,"",IF($CT52,IF(N($AX52)&gt;0,N($AX52),""),IF(2&gt;$CQ52,"",IF($CQ52=1,$CW52,$CW52+($CX52-$CW52)*1/($CQ52-1)))))</f>
        <v/>
      </c>
      <c r="BW52" s="88">
        <f>IF($CS52,"",IF($CT52,IF(N($AY52)&gt;0,N($AY52),""),IF(3&gt;$CQ52,"",IF($CQ52=1,$CW52,$CW52+($CX52-$CW52)*2/($CQ52-1)))))</f>
        <v/>
      </c>
      <c r="BX52" s="88">
        <f>IF($CS52,"",IF($CT52,IF(N($AZ52)&gt;0,N($AZ52),""),IF(4&gt;$CQ52,"",IF($CQ52=1,$CW52,$CW52+($CX52-$CW52)*3/($CQ52-1)))))</f>
        <v/>
      </c>
      <c r="BY52" s="88">
        <f>IF($CS52,"",IF($CT52,"",IF(5&gt;$CQ52,"",IF($CQ52=1,$CW52,$CW52+($CX52-$CW52)*4/($CQ52-1)))))</f>
        <v/>
      </c>
      <c r="BZ52" s="88">
        <f>IF(OR($CS52,$AP52="-",AND($AP52="",$AD52="")),"",IF(N($BA52)&gt;0,N($BA52),IF($CV52,IF(AND($BI52&lt;$CU52,$BI52-IF(N(VLOOKUP($AT52&amp;"|"&amp;$CU52,LocTable,7,FALSE))&gt;0,VLOOKUP($AT52&amp;"|"&amp;$CU52,LocTable,7,FALSE),VLOOKUP($AT52&amp;"|"&amp;$CU52,LocTable,6,FALSE))-$CR52-0.75&gt;=2.125),VLOOKUP($AT52&amp;"|"&amp;$CU52,LocTable,8,FALSE),VLOOKUP($AT52&amp;"|"&amp;$CU52,LocTable,8,FALSE)+($BI52-$CU52)),$BI52-LockAFF)))</f>
        <v/>
      </c>
      <c r="CA52" s="89">
        <f>IF($BZ52="","",$BI52-$BZ52)</f>
        <v/>
      </c>
      <c r="CB52" s="84">
        <f>IF(OR(NOT(AND($A52&lt;&gt;"",$C52&lt;&gt;"DOOR ONLY")),$BI52=""),"",IF(($BI52+IF(N($P52)&gt;0,$P52+FaceW,0))&lt;=90,3,IF(($BI52+IF(N($P52)&gt;0,$P52+FaceW,0))&lt;=114,4,5)))</f>
        <v/>
      </c>
      <c r="CC52" s="84">
        <f>IF($CB52="","",$CB52*(2+IF(N($Q52)&gt;0,IF($R52="LR",2,1),0)))</f>
        <v/>
      </c>
      <c r="CD52" s="84">
        <f>IF($CB52="","",(2+IF(N($Q52)&gt;0,IF($R52="LR",2,1),0)))</f>
        <v/>
      </c>
      <c r="CE52" s="84">
        <f>IF(N($BJ52)=0,"",IF(OR($AL52="",$AL52="FLUSH"),"FLUSH",IFERROR(LEFT($AL52,FIND("-",$AL52)-1),LEFT($AL52,2))))</f>
        <v/>
      </c>
      <c r="CF52" s="84">
        <f>IF($CE52="","",IFERROR(VALUE(MID($AL52,FIND("-",$AL52)+1,FIND(CHAR(34)&amp;"x",$AL52)-FIND("-",$AL52)-1)),0))</f>
        <v/>
      </c>
      <c r="CG52" s="84">
        <f>IF($CE52="","",IFERROR(VALUE(MID($AL52,FIND(CHAR(34)&amp;"x",$AL52)+2,FIND(CHAR(34),$AL52,FIND(CHAR(34)&amp;"x",$AL52)+2)-FIND(CHAR(34)&amp;"x",$AL52)-2)),0))</f>
        <v/>
      </c>
      <c r="CH52" s="90">
        <f>IF(OR($A52="",$H52="",$H52="NO LAB"),0,IFERROR(VALUE(LEFT($H52,FIND(" ",$H52)-1)),0))</f>
        <v/>
      </c>
      <c r="CI52" s="91">
        <f>IF(OR($A52="",$I52="",$I52="NON-RATED",N($J52)=0),"",IFERROR(VLOOKUP($I52&amp;"|"&amp;$J52,IBC,2,FALSE),"?"))</f>
        <v/>
      </c>
      <c r="CJ52" s="85">
        <f>IF(NOT(AND($A52&lt;&gt;"",$C52&lt;&gt;"DOOR ONLY")),"",TRIM(IFERROR(VLOOKUP($U52,CODES,2,FALSE),"")&amp;" "&amp;$BG52&amp;" "&amp;IFERROR(VLOOKUP($Z52,CODES,2,FALSE),"")&amp;" "&amp;IFERROR(VLOOKUP($X52,CODES,2,FALSE),"")&amp;" "&amp;IFERROR(VLOOKUP($S52,CODES,2,FALSE),"")&amp;IF(N($P52)&gt;0," w/TRANSOM "&amp;$P52&amp;CHAR(34),"")&amp;IF(N($Q52)&gt;0," w/SIDELITE "&amp;$Q52&amp;CHAR(34)&amp;" "&amp;IF($R52="","R",$R52),"")&amp;IF($Y52="","  |  "," | "&amp;IFERROR(VLOOKUP($Y52,CODES,2,FALSE),"")&amp;" | ")&amp;IFERROR(VLOOKUP($AC52,CODES,2,FALSE),"")&amp;" "&amp;IFERROR(VLOOKUP($AD52,CODES,2,FALSE),"")&amp;IF(OR($AE52="",$AE52="-"),""," "&amp;$AE52)&amp;IF(OR($AF52="",$AF52="-"),""," "&amp;$AF52)&amp;IF($AB52="Y"," 4"&amp;CHAR(34)&amp;" HEAD","")&amp;" "&amp;IFERROR(VLOOKUP($H52,CODES,2,FALSE),"")&amp;IF($CT52," | LOC "&amp;$CY52,"")))</f>
        <v/>
      </c>
      <c r="CK52" s="85">
        <f>IF(NOT(AND($A52&lt;&gt;"",N($BJ52)&gt;0)),"",TRIM(IFERROR(VLOOKUP($AH52,CODES,2,FALSE),"")&amp;IF($AI52=""," "," "&amp;$AI52&amp;"GA ")&amp;$BG52&amp;" "&amp;IF($AN52="",IFERROR(VLOOKUP($Z52,CODES,2,FALSE),""),IFERROR(VLOOKUP($AN52,CODES,2,FALSE),""))&amp;IF($BJ52=2," PAIR","")&amp;" DOOR | "&amp;IF($AL52="","?",$AL52)&amp;" | "&amp;IF($AO52="",IFERROR(VLOOKUP($AC52,CODES,2,FALSE),""),IFERROR(VLOOKUP($AO52,CODES,2,FALSE),""))&amp;" "&amp;IFERROR(VLOOKUP($AP52,CODES,2,FALSE),"")&amp;IF(OR($AQ52="",$AQ52="-"),""," SEAM "&amp;$AQ52)&amp;IF($AR52="Y"," ASTRAGAL","")&amp;IF($AJ52=""," "," "&amp;$AJ52)&amp;IF($AK52=""," "," "&amp;$AK52)&amp;IF(OR($AT52="",$AT52="ANSI/SDI",$AT52="CUSTOM LOC"),""," "&amp;$AT52)&amp;IF($AM52=""," "," SERIES "&amp;$AM52)&amp;" "&amp;IFERROR(VLOOKUP($H52,CODES,2,FALSE),"")&amp;IF($CT52," | LOC "&amp;$CZ52,"")))</f>
        <v/>
      </c>
      <c r="CL52" s="84">
        <f>IF(CP52="","",IF(COUNTIF($CP$6:CP52,CP52)=1,MAX($CL$5:CL51)+1,INDEX($CL$5:CL51,MATCH(CP52,$CP$5:CP51,0))))</f>
        <v/>
      </c>
      <c r="CM52" s="84">
        <f>IF(NOT(AND($A52&lt;&gt;"",$C52&lt;&gt;"DOOR ONLY")),"",MAX($CM$5:CM51)+1)</f>
        <v/>
      </c>
      <c r="CN52" s="84">
        <f>IF(NOT(AND($A52&lt;&gt;"",N($BJ52)&gt;0)),"",MAX($CN$5:CN51)+1)</f>
        <v/>
      </c>
      <c r="CO52" s="84">
        <f>IF($A52="","",MAX($CO$5:CO51)+1)</f>
        <v/>
      </c>
      <c r="CP52" s="84">
        <f>IF(OR($A52="",$BH52="",$BI52=""),"",$BG52&amp;"|"&amp;$O52&amp;"|"&amp;$AL52&amp;"|"&amp;$S52&amp;"|"&amp;$P52&amp;"|"&amp;$Q52&amp;$R52&amp;"|"&amp;$C52&amp;"|"&amp;$AB52)</f>
        <v/>
      </c>
      <c r="CQ52" s="84">
        <f>N($BS52)</f>
        <v/>
      </c>
      <c r="CR52" s="84">
        <f>IF(N($AU52)&gt;0,N($AU52),4.5)</f>
        <v/>
      </c>
      <c r="CS52" s="84">
        <f>OR($A52="",$BI52="",$S52="BL",AND($C52="FRAME ONLY",OR($AC52="",$AC52="BLK")))</f>
        <v/>
      </c>
      <c r="CT52" s="84">
        <f>AND(NOT($CS52),OR($AT52="CUSTOM LOC",N($AW52)+N($AX52)+N($AY52)+N($AZ52)+N($BA52)&gt;0))</f>
        <v/>
      </c>
      <c r="CU52" s="84">
        <f>IF($BI52="","",IF($BI52&lt;=80,80,IF($BI52&lt;=84,84,96)))</f>
        <v/>
      </c>
      <c r="CV52" s="84">
        <f>ISNUMBER(MATCH($AT52&amp;"|80",LocKeys,0))</f>
        <v/>
      </c>
      <c r="CW52" s="86">
        <f>IF($CS52,"",IF($CV52,VLOOKUP($AT52&amp;"|"&amp;$CU52,LocTable,4,FALSE),5))</f>
        <v/>
      </c>
      <c r="CX52" s="86">
        <f>IF($CS52,"",IF($CV52,IF(OR($BI52=$CU52,AND($BI52&lt;$CU52,$BI52-IF(N(VLOOKUP($AT52&amp;"|"&amp;$CU52,LocTable,7,FALSE))&gt;0,VLOOKUP($AT52&amp;"|"&amp;$CU52,LocTable,7,FALSE),VLOOKUP($AT52&amp;"|"&amp;$CU52,LocTable,6,FALSE))-$CR52-0.75&gt;=2.125)),IF(N(VLOOKUP($AT52&amp;"|"&amp;$CU52,LocTable,7,FALSE))&gt;0,VLOOKUP($AT52&amp;"|"&amp;$CU52,LocTable,7,FALSE),VLOOKUP($AT52&amp;"|"&amp;$CU52,LocTable,6,FALSE)),$BI52-($CU52-IF(N(VLOOKUP($AT52&amp;"|"&amp;$CU52,LocTable,7,FALSE))&gt;0,VLOOKUP($AT52&amp;"|"&amp;$CU52,LocTable,7,FALSE),VLOOKUP($AT52&amp;"|"&amp;$CU52,LocTable,6,FALSE)))),$BI52-10-$CR52))</f>
        <v/>
      </c>
      <c r="CY52" s="85">
        <f>IF($CS52,"",TRIM(IF(ISNUMBER($BU52),"A "&amp;TRIM(TEXT($BU52,"# ?/??"))&amp;CHAR(34)&amp;"  ","")&amp;IF(ISNUMBER($BV52),"B "&amp;TRIM(TEXT($BV52,"# ?/??"))&amp;CHAR(34)&amp;"  ","")&amp;IF(ISNUMBER($BW52),"C "&amp;TRIM(TEXT($BW52,"# ?/??"))&amp;CHAR(34)&amp;"  ","")&amp;IF(ISNUMBER($BX52),"D "&amp;TRIM(TEXT($BX52,"# ?/??"))&amp;CHAR(34)&amp;"  ","")&amp;IF(ISNUMBER($BY52),"F "&amp;TRIM(TEXT($BY52,"# ?/??"))&amp;CHAR(34)&amp;"  ","")&amp;IF(ISNUMBER($BZ52),"E "&amp;TRIM(TEXT($BZ52,"# ?/??"))&amp;CHAR(34)&amp;"  ","")))</f>
        <v/>
      </c>
      <c r="CZ52" s="85">
        <f>IF(OR($CS52,N($BJ52)=0),"",TRIM(IF(ISNUMBER($BU52),"A "&amp;TRIM(TEXT($BU52-HeadClr,"# ?/??"))&amp;CHAR(34)&amp;"  ","")&amp;IF(ISNUMBER($BV52),"B "&amp;TRIM(TEXT($BV52-HeadClr,"# ?/??"))&amp;CHAR(34)&amp;"  ","")&amp;IF(ISNUMBER($BW52),"C "&amp;TRIM(TEXT($BW52-HeadClr,"# ?/??"))&amp;CHAR(34)&amp;"  ","")&amp;IF(ISNUMBER($BX52),"D "&amp;TRIM(TEXT($BX52-HeadClr,"# ?/??"))&amp;CHAR(34)&amp;"  ","")&amp;IF(ISNUMBER($BY52),"F "&amp;TRIM(TEXT($BY52-HeadClr,"# ?/??"))&amp;CHAR(34)&amp;"  ","")&amp;IF(ISNUMBER($BZ52),"E "&amp;TRIM(TEXT($BZ52-HeadClr,"# ?/??"))&amp;CHAR(34)&amp;"  ","")))</f>
        <v/>
      </c>
      <c r="DA52" s="84">
        <f>IF($A52="","",IF($AN52="",IFERROR(VLOOKUP($Z52,CODES,2,FALSE),""),IFERROR(VLOOKUP($AN52,CODES,2,FALSE),"")))</f>
        <v/>
      </c>
      <c r="DB52" s="84">
        <f>IF($A52="","",IF($O52="Y","PR",IF(OR($Z52="L",$Z52="RR",LEFT($Z52,2)="L-",LEFT($Z52,3)="RR-"),"LH","RH")))</f>
        <v/>
      </c>
      <c r="DC52" s="84">
        <f>IF($A52="","","S.HM"&amp;IF(OR($C52="DOOR ONLY",$X52&lt;&gt;"KD"),"MASONRY","DRYWALL")&amp;IF($C52="DOOR ONLY","",$U52)&amp;IF(AND($C52&lt;&gt;"FRAME ONLY",OR(LEFT($AH52,3)="OAK",LEFT($AH52,3)="BIR",LEFT($AH52,3)="MAP",$AH52="PC",$AH52="MC",$AH52="SCLC",$AH52="P-LAM")),"WD","HM")&amp;"1.75")</f>
        <v/>
      </c>
      <c r="DD52" s="84">
        <f>IF($CJ52="","",IF($O52="Y",$CJ52,SUBSTITUTE($CJ52,$BG52&amp;" "&amp;IFERROR(VLOOKUP($Z52,CODES,2,FALSE),"")&amp;" ",$BG52&amp;" ")))</f>
        <v/>
      </c>
      <c r="DE52" s="84">
        <f>IF($CK52="","",IF($O52="Y",$CK52,SUBSTITUTE($CK52,$BG52&amp;" "&amp;IF($AN52="",IFERROR(VLOOKUP($Z52,CODES,2,FALSE),""),IFERROR(VLOOKUP($AN52,CODES,2,FALSE),""))&amp;" ",$BG52&amp;" ")))</f>
        <v/>
      </c>
      <c r="DF52" s="84">
        <f>IF($CJ52="","",$DC52&amp;"|"&amp;$DD52&amp;"|"&amp;$DB52&amp;"|"&amp;$AT52&amp;"|"&amp;$V52&amp;"|"&amp;$Y52&amp;"|"&amp;$AB52)</f>
        <v/>
      </c>
      <c r="DG52" s="84">
        <f>IF(DF52="","",IF(COUNTIF($DF$6:DF52,DF52)=1,MAX($DG$5:DG51)+1,INDEX($DG$5:DG51,MATCH(DF52,$DF$5:DF51,0))))</f>
        <v/>
      </c>
      <c r="DH52" s="84">
        <f>IF($CK52="","",$DC52&amp;"|"&amp;$DE52&amp;"|"&amp;$AI52&amp;"|"&amp;$BK52&amp;"|"&amp;$BL52)</f>
        <v/>
      </c>
      <c r="DI52" s="84">
        <f>IF(DH52="","",IF(COUNTIF($DH$6:DH52,DH52)=1,MAX($DI$5:DI51)+1,INDEX($DI$5:DI51,MATCH(DH52,$DH$5:DH51,0))))</f>
        <v/>
      </c>
      <c r="DJ52" s="84">
        <f>IF($A52="","",IF($B52="","qty, ","")&amp;IF($C52="","scope, ","")&amp;IF(OR($K52="",$M52=""),"size, ","")&amp;IF(AND($A52&lt;&gt;"",$C52&lt;&gt;"DOOR ONLY"),IF($U52="","jamb depth, ","")&amp;IF($X52="","construction, ","")&amp;IF($Y52="","anchor, ","")&amp;IF($S52="","frame type, ",""),"")&amp;IF(AND(N($BJ52)&gt;0,$Z52=""),"hand, ","")&amp;IF(N($BJ52)&gt;0,IF($AH52="","door material, ","")&amp;IF($AL52="","face type, ","")&amp;IF($AP52="","lock prep, ","")&amp;IF(AND($AO52="",$AC52=""),"hinge prep, ",""),"")&amp;IF(AND($CH52&gt;0,$AH52="FRP"),"FRP cannot carry a label, ","")&amp;IF(AND($O52="Y",OR($Z52="L",$Z52="R",$Z52="LR",$Z52="RR")),"pair marked but hand is single, ","")&amp;IF(AND($O52&lt;&gt;"Y",OR($Z52="PR",AND(LEN($Z52)&gt;1,ISNUMBER(SEARCH("-",$Z52))))),"pair hand on a single door, ","")&amp;IF(AND(ISNUMBER($CI52),$CH52&lt;N($CI52)),"wall needs a "&amp;$CI52&amp;" min door, ","")&amp;IF(AND($CH52&gt;=180,AND(OR($CE52="FG",$CE52="HG",$CE52="FNV",$CE52="FV"),N($CF52)*N($CG52)&gt;100)),"180 min lite over 100 sq in, ","")&amp;IF(N($BK52)&gt;48,"leaf wider than 4'-0"&amp;CHAR(34)&amp;", ","")&amp;IF(AND($CT52,COUNT($AW52:$AZ52)=0,$CQ52&gt;0),"CUSTOM LOC with no locations typed, ",""))</f>
        <v/>
      </c>
      <c r="DK52" s="84">
        <f>IF($A52="","",IF(AND($CH52&gt;0,AND($A52&lt;&gt;"",$C52&lt;&gt;"DOOR ONLY"),$X52="KD",$E52="EXTERIOR"),"KD label on an exterior opening, ","")&amp;IF(AND($E52="EXTERIOR",OR(AND(AND($A52&lt;&gt;"",$C52&lt;&gt;"DOOR ONLY"),$W52="CR"),AND(N($BJ52)&gt;0,$AH52="CR"))),"exterior in CR steel (G9?), ","")&amp;IF(AND(ISNUMBER($BQ52),N($BQ52)&lt;32),"clear width ~"&amp;TEXT($BQ52,"0.0")&amp;CHAR(34)&amp;" under 32"&amp;CHAR(34)&amp;" (ADA), ","")&amp;IF(AND($CH52=90,AND(OR($CE52="FG",$CE52="HG",$CE52="FNV",$CE52="FV"),N($CF52)*N($CG52)&gt;100)),"90 min lite over 100 sq in (stair/exit), ","")&amp;IF(AND($CH52&gt;0,AND($A52&lt;&gt;"",$C52&lt;&gt;"DOOR ONLY"),OR($AF52="",$AF52="-")),"rated: closer reinf.?, ","")&amp;IF(OR($I52="CORRIDOR",$I52="SMOKE BARRIER"),"S label + smoke gasketing, ","")&amp;IF($CI52="?","wall type/hr not in IBC table, ","")&amp;IF(AND(N($BJ52)&gt;0,$BB52=""),"no hardware set, ","")&amp;IF(AND($BB52&lt;&gt;"",ISNA(MATCH($BB52&amp;"",HWSets,0))),"set "&amp;$BB52&amp;" not on HW Sets, ","")&amp;IF(N($BL52)&gt;96,"leaf over 8'-0"&amp;CHAR(34)&amp;" - check listing, ","")&amp;IF(AND($CT52,COUNT($AW52:$AZ52)&gt;0,COUNT($AW52:$AZ52)&lt;&gt;$CQ52),COUNT($AW52:$AZ52)&amp;" custom hinges typed, "&amp;$CQ52&amp;" expected, ","")&amp;IF(AND(ISNUMBER($CA52),OR(N($CA52)&lt;34,N($CA52)&gt;48)),"lock "&amp;TEXT($CA52,"0.0")&amp;CHAR(34)&amp;" AFF outside 34-48"&amp;CHAR(34)&amp;" (ADA), ","")&amp;IF(AND(ISNUMBER($AV52),ISNUMBER($BL52),N($AV52)&lt;IF(N($BL52)&lt;=60,2,IF(N($BL52)&lt;=90,3,IF(N($BL52)&lt;=120,4,5)))),"fewer hinges than standard, ",""))</f>
        <v/>
      </c>
    </row>
    <row r="53" ht="15" customHeight="1">
      <c r="A53" s="77" t="n"/>
      <c r="B53" s="78" t="n"/>
      <c r="C53" s="78" t="n"/>
      <c r="D53" s="78" t="n"/>
      <c r="E53" s="78" t="n"/>
      <c r="F53" s="78" t="n"/>
      <c r="G53" s="78" t="n"/>
      <c r="H53" s="78" t="n"/>
      <c r="I53" s="78" t="n"/>
      <c r="J53" s="78" t="n"/>
      <c r="K53" s="78" t="n"/>
      <c r="L53" s="78" t="n"/>
      <c r="M53" s="78" t="n"/>
      <c r="N53" s="78" t="n"/>
      <c r="O53" s="78" t="n"/>
      <c r="P53" s="78" t="n"/>
      <c r="Q53" s="78" t="n"/>
      <c r="R53" s="78" t="n"/>
      <c r="S53" s="79" t="n"/>
      <c r="T53" s="79" t="n"/>
      <c r="U53" s="79" t="n"/>
      <c r="V53" s="79" t="n"/>
      <c r="W53" s="79" t="n"/>
      <c r="X53" s="79" t="n"/>
      <c r="Y53" s="79" t="n"/>
      <c r="Z53" s="79" t="n"/>
      <c r="AA53" s="79" t="n"/>
      <c r="AB53" s="79" t="n"/>
      <c r="AC53" s="79" t="n"/>
      <c r="AD53" s="79" t="n"/>
      <c r="AE53" s="79" t="n"/>
      <c r="AF53" s="79" t="n"/>
      <c r="AG53" s="79" t="n"/>
      <c r="AH53" s="80" t="n"/>
      <c r="AI53" s="80" t="n"/>
      <c r="AJ53" s="80" t="n"/>
      <c r="AK53" s="80" t="n"/>
      <c r="AL53" s="80" t="n"/>
      <c r="AM53" s="80" t="n"/>
      <c r="AN53" s="80" t="n"/>
      <c r="AO53" s="80" t="n"/>
      <c r="AP53" s="80" t="n"/>
      <c r="AQ53" s="80" t="n"/>
      <c r="AR53" s="80" t="n"/>
      <c r="AS53" s="80" t="n"/>
      <c r="AT53" s="81" t="n"/>
      <c r="AU53" s="81" t="n"/>
      <c r="AV53" s="81" t="n"/>
      <c r="AW53" s="82" t="n"/>
      <c r="AX53" s="82" t="n"/>
      <c r="AY53" s="82" t="n"/>
      <c r="AZ53" s="82" t="n"/>
      <c r="BA53" s="82" t="n"/>
      <c r="BB53" s="83" t="n"/>
      <c r="BC53" s="83" t="n"/>
      <c r="BD53" s="84">
        <f>IF($A53="","",IF($DJ53&lt;&gt;"","FIX",IF($DK53&lt;&gt;"","CHECK","OK")))</f>
        <v/>
      </c>
      <c r="BE53" s="85">
        <f>IF($A53="","",IF($DJ53&lt;&gt;"","FIX: "&amp;LEFT($DJ53,LEN($DJ53)-2)&amp;IF($DK53&lt;&gt;"","  ·  ",""),"")&amp;IF($DK53&lt;&gt;"","CHECK: "&amp;LEFT($DK53,LEN($DK53)-2),""))</f>
        <v/>
      </c>
      <c r="BF53" s="84">
        <f>IF(OR($A53="",$K53=""),"",$K53&amp;"'-"&amp;N($L53)&amp;CHAR(34)&amp;" x "&amp;$M53&amp;"'-"&amp;N($N53)&amp;CHAR(34))</f>
        <v/>
      </c>
      <c r="BG53" s="84">
        <f>IF(OR($A53="",$K53=""),"",$K53&amp;N($L53)&amp;$M53&amp;N($N53))</f>
        <v/>
      </c>
      <c r="BH53" s="84">
        <f>IF(OR($A53="",$K53=""),"",$K53*12+N($L53))</f>
        <v/>
      </c>
      <c r="BI53" s="84">
        <f>IF(OR($A53="",$M53=""),"",$M53*12+N($N53))</f>
        <v/>
      </c>
      <c r="BJ53" s="84">
        <f>IF($A53="","",IF(OR($C53="FRAME ONLY",$S53="BL"),0,IF($O53="Y",2,1)))</f>
        <v/>
      </c>
      <c r="BK53" s="86">
        <f>IF(OR(N($BJ53)=0,$BH53=""),"",($BH53-2*EdgeClr-IF($BJ53=2,MeetClr,0))/$BJ53)</f>
        <v/>
      </c>
      <c r="BL53" s="86">
        <f>IF(OR(N($BJ53)=0,$BI53=""),"",$BI53-HeadClr-Undercut)</f>
        <v/>
      </c>
      <c r="BM53" s="86">
        <f>IF($BH53="","",$BH53+2*FaceW+IF(N($Q53)&gt;0,($Q53+FaceW)*IF($R53="LR",2,1),0))</f>
        <v/>
      </c>
      <c r="BN53" s="86">
        <f>IF($BI53="","",$BI53+IF($AB53="Y",4,FaceW)+IF(N($P53)&gt;0,$P53+FaceW,0)+IF(OR($S53="4F",$S53="BL"),FaceW,0))</f>
        <v/>
      </c>
      <c r="BO53" s="86">
        <f>IF($BM53="","",$BM53+2*ROSide)</f>
        <v/>
      </c>
      <c r="BP53" s="86">
        <f>IF($BN53="","",$BN53+ROTop)</f>
        <v/>
      </c>
      <c r="BQ53" s="87">
        <f>IF(OR(N($BJ53)=0,$BH53=""),"",$BH53/$BJ53-ClearDeduct)</f>
        <v/>
      </c>
      <c r="BR53" s="84">
        <f>IF(N($CH53)=0,"",IF($CH53&gt;=180,"A · 3 HR",IF($CH53&gt;=90,"B · 1-1/2 HR",IF($CH53&gt;=60,"B · 1 HR",IF($CH53&gt;=45,"C · 3/4 HR","20 MIN")))))&amp;IF(AND(N($CH53)&gt;0,OR($I53="CORRIDOR",$I53="SMOKE BARRIER"))," · S","")</f>
        <v/>
      </c>
      <c r="BS53" s="84">
        <f>IF($CS53,"",IF($AV53&lt;&gt;"",$AV53,IF(OR($AC53="HGC",$AO53="HGC"),"CONT",IF(($BI53-HeadClr-Undercut)&lt;=60,2,IF(($BI53-HeadClr-Undercut)&lt;=90,3,IF(($BI53-HeadClr-Undercut)&lt;=120,4,5))))))</f>
        <v/>
      </c>
      <c r="BT53" s="84">
        <f>IF($CS53,"",IF($CT53,"CUSTOM (typed)",IF($CV53,$AT53&amp;" "&amp;$CU53&amp;CHAR(34)&amp;IF($CU53&lt;&gt;$BI53,IF(AND($BI53&lt;$CU53,$BI53-IF(N(VLOOKUP($AT53&amp;"|"&amp;$CU53,LocTable,7,FALSE))&gt;0,VLOOKUP($AT53&amp;"|"&amp;$CU53,LocTable,7,FALSE),VLOOKUP($AT53&amp;"|"&amp;$CU53,LocTable,6,FALSE))-$CR53-0.75&gt;=2.125)," cut down"," adj."),""),"ANSI/SDI A250.6")))</f>
        <v/>
      </c>
      <c r="BU53" s="88">
        <f>IF($CS53,"",IF($CT53,IF(N($AW53)&gt;0,N($AW53),""),IF(1&gt;$CQ53,"",IF($CQ53=1,$CW53,$CW53+($CX53-$CW53)*0/($CQ53-1)))))</f>
        <v/>
      </c>
      <c r="BV53" s="88">
        <f>IF($CS53,"",IF($CT53,IF(N($AX53)&gt;0,N($AX53),""),IF(2&gt;$CQ53,"",IF($CQ53=1,$CW53,$CW53+($CX53-$CW53)*1/($CQ53-1)))))</f>
        <v/>
      </c>
      <c r="BW53" s="88">
        <f>IF($CS53,"",IF($CT53,IF(N($AY53)&gt;0,N($AY53),""),IF(3&gt;$CQ53,"",IF($CQ53=1,$CW53,$CW53+($CX53-$CW53)*2/($CQ53-1)))))</f>
        <v/>
      </c>
      <c r="BX53" s="88">
        <f>IF($CS53,"",IF($CT53,IF(N($AZ53)&gt;0,N($AZ53),""),IF(4&gt;$CQ53,"",IF($CQ53=1,$CW53,$CW53+($CX53-$CW53)*3/($CQ53-1)))))</f>
        <v/>
      </c>
      <c r="BY53" s="88">
        <f>IF($CS53,"",IF($CT53,"",IF(5&gt;$CQ53,"",IF($CQ53=1,$CW53,$CW53+($CX53-$CW53)*4/($CQ53-1)))))</f>
        <v/>
      </c>
      <c r="BZ53" s="88">
        <f>IF(OR($CS53,$AP53="-",AND($AP53="",$AD53="")),"",IF(N($BA53)&gt;0,N($BA53),IF($CV53,IF(AND($BI53&lt;$CU53,$BI53-IF(N(VLOOKUP($AT53&amp;"|"&amp;$CU53,LocTable,7,FALSE))&gt;0,VLOOKUP($AT53&amp;"|"&amp;$CU53,LocTable,7,FALSE),VLOOKUP($AT53&amp;"|"&amp;$CU53,LocTable,6,FALSE))-$CR53-0.75&gt;=2.125),VLOOKUP($AT53&amp;"|"&amp;$CU53,LocTable,8,FALSE),VLOOKUP($AT53&amp;"|"&amp;$CU53,LocTable,8,FALSE)+($BI53-$CU53)),$BI53-LockAFF)))</f>
        <v/>
      </c>
      <c r="CA53" s="89">
        <f>IF($BZ53="","",$BI53-$BZ53)</f>
        <v/>
      </c>
      <c r="CB53" s="84">
        <f>IF(OR(NOT(AND($A53&lt;&gt;"",$C53&lt;&gt;"DOOR ONLY")),$BI53=""),"",IF(($BI53+IF(N($P53)&gt;0,$P53+FaceW,0))&lt;=90,3,IF(($BI53+IF(N($P53)&gt;0,$P53+FaceW,0))&lt;=114,4,5)))</f>
        <v/>
      </c>
      <c r="CC53" s="84">
        <f>IF($CB53="","",$CB53*(2+IF(N($Q53)&gt;0,IF($R53="LR",2,1),0)))</f>
        <v/>
      </c>
      <c r="CD53" s="84">
        <f>IF($CB53="","",(2+IF(N($Q53)&gt;0,IF($R53="LR",2,1),0)))</f>
        <v/>
      </c>
      <c r="CE53" s="84">
        <f>IF(N($BJ53)=0,"",IF(OR($AL53="",$AL53="FLUSH"),"FLUSH",IFERROR(LEFT($AL53,FIND("-",$AL53)-1),LEFT($AL53,2))))</f>
        <v/>
      </c>
      <c r="CF53" s="84">
        <f>IF($CE53="","",IFERROR(VALUE(MID($AL53,FIND("-",$AL53)+1,FIND(CHAR(34)&amp;"x",$AL53)-FIND("-",$AL53)-1)),0))</f>
        <v/>
      </c>
      <c r="CG53" s="84">
        <f>IF($CE53="","",IFERROR(VALUE(MID($AL53,FIND(CHAR(34)&amp;"x",$AL53)+2,FIND(CHAR(34),$AL53,FIND(CHAR(34)&amp;"x",$AL53)+2)-FIND(CHAR(34)&amp;"x",$AL53)-2)),0))</f>
        <v/>
      </c>
      <c r="CH53" s="90">
        <f>IF(OR($A53="",$H53="",$H53="NO LAB"),0,IFERROR(VALUE(LEFT($H53,FIND(" ",$H53)-1)),0))</f>
        <v/>
      </c>
      <c r="CI53" s="91">
        <f>IF(OR($A53="",$I53="",$I53="NON-RATED",N($J53)=0),"",IFERROR(VLOOKUP($I53&amp;"|"&amp;$J53,IBC,2,FALSE),"?"))</f>
        <v/>
      </c>
      <c r="CJ53" s="85">
        <f>IF(NOT(AND($A53&lt;&gt;"",$C53&lt;&gt;"DOOR ONLY")),"",TRIM(IFERROR(VLOOKUP($U53,CODES,2,FALSE),"")&amp;" "&amp;$BG53&amp;" "&amp;IFERROR(VLOOKUP($Z53,CODES,2,FALSE),"")&amp;" "&amp;IFERROR(VLOOKUP($X53,CODES,2,FALSE),"")&amp;" "&amp;IFERROR(VLOOKUP($S53,CODES,2,FALSE),"")&amp;IF(N($P53)&gt;0," w/TRANSOM "&amp;$P53&amp;CHAR(34),"")&amp;IF(N($Q53)&gt;0," w/SIDELITE "&amp;$Q53&amp;CHAR(34)&amp;" "&amp;IF($R53="","R",$R53),"")&amp;IF($Y53="","  |  "," | "&amp;IFERROR(VLOOKUP($Y53,CODES,2,FALSE),"")&amp;" | ")&amp;IFERROR(VLOOKUP($AC53,CODES,2,FALSE),"")&amp;" "&amp;IFERROR(VLOOKUP($AD53,CODES,2,FALSE),"")&amp;IF(OR($AE53="",$AE53="-"),""," "&amp;$AE53)&amp;IF(OR($AF53="",$AF53="-"),""," "&amp;$AF53)&amp;IF($AB53="Y"," 4"&amp;CHAR(34)&amp;" HEAD","")&amp;" "&amp;IFERROR(VLOOKUP($H53,CODES,2,FALSE),"")&amp;IF($CT53," | LOC "&amp;$CY53,"")))</f>
        <v/>
      </c>
      <c r="CK53" s="85">
        <f>IF(NOT(AND($A53&lt;&gt;"",N($BJ53)&gt;0)),"",TRIM(IFERROR(VLOOKUP($AH53,CODES,2,FALSE),"")&amp;IF($AI53=""," "," "&amp;$AI53&amp;"GA ")&amp;$BG53&amp;" "&amp;IF($AN53="",IFERROR(VLOOKUP($Z53,CODES,2,FALSE),""),IFERROR(VLOOKUP($AN53,CODES,2,FALSE),""))&amp;IF($BJ53=2," PAIR","")&amp;" DOOR | "&amp;IF($AL53="","?",$AL53)&amp;" | "&amp;IF($AO53="",IFERROR(VLOOKUP($AC53,CODES,2,FALSE),""),IFERROR(VLOOKUP($AO53,CODES,2,FALSE),""))&amp;" "&amp;IFERROR(VLOOKUP($AP53,CODES,2,FALSE),"")&amp;IF(OR($AQ53="",$AQ53="-"),""," SEAM "&amp;$AQ53)&amp;IF($AR53="Y"," ASTRAGAL","")&amp;IF($AJ53=""," "," "&amp;$AJ53)&amp;IF($AK53=""," "," "&amp;$AK53)&amp;IF(OR($AT53="",$AT53="ANSI/SDI",$AT53="CUSTOM LOC"),""," "&amp;$AT53)&amp;IF($AM53=""," "," SERIES "&amp;$AM53)&amp;" "&amp;IFERROR(VLOOKUP($H53,CODES,2,FALSE),"")&amp;IF($CT53," | LOC "&amp;$CZ53,"")))</f>
        <v/>
      </c>
      <c r="CL53" s="84">
        <f>IF(CP53="","",IF(COUNTIF($CP$6:CP53,CP53)=1,MAX($CL$5:CL52)+1,INDEX($CL$5:CL52,MATCH(CP53,$CP$5:CP52,0))))</f>
        <v/>
      </c>
      <c r="CM53" s="84">
        <f>IF(NOT(AND($A53&lt;&gt;"",$C53&lt;&gt;"DOOR ONLY")),"",MAX($CM$5:CM52)+1)</f>
        <v/>
      </c>
      <c r="CN53" s="84">
        <f>IF(NOT(AND($A53&lt;&gt;"",N($BJ53)&gt;0)),"",MAX($CN$5:CN52)+1)</f>
        <v/>
      </c>
      <c r="CO53" s="84">
        <f>IF($A53="","",MAX($CO$5:CO52)+1)</f>
        <v/>
      </c>
      <c r="CP53" s="84">
        <f>IF(OR($A53="",$BH53="",$BI53=""),"",$BG53&amp;"|"&amp;$O53&amp;"|"&amp;$AL53&amp;"|"&amp;$S53&amp;"|"&amp;$P53&amp;"|"&amp;$Q53&amp;$R53&amp;"|"&amp;$C53&amp;"|"&amp;$AB53)</f>
        <v/>
      </c>
      <c r="CQ53" s="84">
        <f>N($BS53)</f>
        <v/>
      </c>
      <c r="CR53" s="84">
        <f>IF(N($AU53)&gt;0,N($AU53),4.5)</f>
        <v/>
      </c>
      <c r="CS53" s="84">
        <f>OR($A53="",$BI53="",$S53="BL",AND($C53="FRAME ONLY",OR($AC53="",$AC53="BLK")))</f>
        <v/>
      </c>
      <c r="CT53" s="84">
        <f>AND(NOT($CS53),OR($AT53="CUSTOM LOC",N($AW53)+N($AX53)+N($AY53)+N($AZ53)+N($BA53)&gt;0))</f>
        <v/>
      </c>
      <c r="CU53" s="84">
        <f>IF($BI53="","",IF($BI53&lt;=80,80,IF($BI53&lt;=84,84,96)))</f>
        <v/>
      </c>
      <c r="CV53" s="84">
        <f>ISNUMBER(MATCH($AT53&amp;"|80",LocKeys,0))</f>
        <v/>
      </c>
      <c r="CW53" s="86">
        <f>IF($CS53,"",IF($CV53,VLOOKUP($AT53&amp;"|"&amp;$CU53,LocTable,4,FALSE),5))</f>
        <v/>
      </c>
      <c r="CX53" s="86">
        <f>IF($CS53,"",IF($CV53,IF(OR($BI53=$CU53,AND($BI53&lt;$CU53,$BI53-IF(N(VLOOKUP($AT53&amp;"|"&amp;$CU53,LocTable,7,FALSE))&gt;0,VLOOKUP($AT53&amp;"|"&amp;$CU53,LocTable,7,FALSE),VLOOKUP($AT53&amp;"|"&amp;$CU53,LocTable,6,FALSE))-$CR53-0.75&gt;=2.125)),IF(N(VLOOKUP($AT53&amp;"|"&amp;$CU53,LocTable,7,FALSE))&gt;0,VLOOKUP($AT53&amp;"|"&amp;$CU53,LocTable,7,FALSE),VLOOKUP($AT53&amp;"|"&amp;$CU53,LocTable,6,FALSE)),$BI53-($CU53-IF(N(VLOOKUP($AT53&amp;"|"&amp;$CU53,LocTable,7,FALSE))&gt;0,VLOOKUP($AT53&amp;"|"&amp;$CU53,LocTable,7,FALSE),VLOOKUP($AT53&amp;"|"&amp;$CU53,LocTable,6,FALSE)))),$BI53-10-$CR53))</f>
        <v/>
      </c>
      <c r="CY53" s="85">
        <f>IF($CS53,"",TRIM(IF(ISNUMBER($BU53),"A "&amp;TRIM(TEXT($BU53,"# ?/??"))&amp;CHAR(34)&amp;"  ","")&amp;IF(ISNUMBER($BV53),"B "&amp;TRIM(TEXT($BV53,"# ?/??"))&amp;CHAR(34)&amp;"  ","")&amp;IF(ISNUMBER($BW53),"C "&amp;TRIM(TEXT($BW53,"# ?/??"))&amp;CHAR(34)&amp;"  ","")&amp;IF(ISNUMBER($BX53),"D "&amp;TRIM(TEXT($BX53,"# ?/??"))&amp;CHAR(34)&amp;"  ","")&amp;IF(ISNUMBER($BY53),"F "&amp;TRIM(TEXT($BY53,"# ?/??"))&amp;CHAR(34)&amp;"  ","")&amp;IF(ISNUMBER($BZ53),"E "&amp;TRIM(TEXT($BZ53,"# ?/??"))&amp;CHAR(34)&amp;"  ","")))</f>
        <v/>
      </c>
      <c r="CZ53" s="85">
        <f>IF(OR($CS53,N($BJ53)=0),"",TRIM(IF(ISNUMBER($BU53),"A "&amp;TRIM(TEXT($BU53-HeadClr,"# ?/??"))&amp;CHAR(34)&amp;"  ","")&amp;IF(ISNUMBER($BV53),"B "&amp;TRIM(TEXT($BV53-HeadClr,"# ?/??"))&amp;CHAR(34)&amp;"  ","")&amp;IF(ISNUMBER($BW53),"C "&amp;TRIM(TEXT($BW53-HeadClr,"# ?/??"))&amp;CHAR(34)&amp;"  ","")&amp;IF(ISNUMBER($BX53),"D "&amp;TRIM(TEXT($BX53-HeadClr,"# ?/??"))&amp;CHAR(34)&amp;"  ","")&amp;IF(ISNUMBER($BY53),"F "&amp;TRIM(TEXT($BY53-HeadClr,"# ?/??"))&amp;CHAR(34)&amp;"  ","")&amp;IF(ISNUMBER($BZ53),"E "&amp;TRIM(TEXT($BZ53-HeadClr,"# ?/??"))&amp;CHAR(34)&amp;"  ","")))</f>
        <v/>
      </c>
      <c r="DA53" s="84">
        <f>IF($A53="","",IF($AN53="",IFERROR(VLOOKUP($Z53,CODES,2,FALSE),""),IFERROR(VLOOKUP($AN53,CODES,2,FALSE),"")))</f>
        <v/>
      </c>
      <c r="DB53" s="84">
        <f>IF($A53="","",IF($O53="Y","PR",IF(OR($Z53="L",$Z53="RR",LEFT($Z53,2)="L-",LEFT($Z53,3)="RR-"),"LH","RH")))</f>
        <v/>
      </c>
      <c r="DC53" s="84">
        <f>IF($A53="","","S.HM"&amp;IF(OR($C53="DOOR ONLY",$X53&lt;&gt;"KD"),"MASONRY","DRYWALL")&amp;IF($C53="DOOR ONLY","",$U53)&amp;IF(AND($C53&lt;&gt;"FRAME ONLY",OR(LEFT($AH53,3)="OAK",LEFT($AH53,3)="BIR",LEFT($AH53,3)="MAP",$AH53="PC",$AH53="MC",$AH53="SCLC",$AH53="P-LAM")),"WD","HM")&amp;"1.75")</f>
        <v/>
      </c>
      <c r="DD53" s="84">
        <f>IF($CJ53="","",IF($O53="Y",$CJ53,SUBSTITUTE($CJ53,$BG53&amp;" "&amp;IFERROR(VLOOKUP($Z53,CODES,2,FALSE),"")&amp;" ",$BG53&amp;" ")))</f>
        <v/>
      </c>
      <c r="DE53" s="84">
        <f>IF($CK53="","",IF($O53="Y",$CK53,SUBSTITUTE($CK53,$BG53&amp;" "&amp;IF($AN53="",IFERROR(VLOOKUP($Z53,CODES,2,FALSE),""),IFERROR(VLOOKUP($AN53,CODES,2,FALSE),""))&amp;" ",$BG53&amp;" ")))</f>
        <v/>
      </c>
      <c r="DF53" s="84">
        <f>IF($CJ53="","",$DC53&amp;"|"&amp;$DD53&amp;"|"&amp;$DB53&amp;"|"&amp;$AT53&amp;"|"&amp;$V53&amp;"|"&amp;$Y53&amp;"|"&amp;$AB53)</f>
        <v/>
      </c>
      <c r="DG53" s="84">
        <f>IF(DF53="","",IF(COUNTIF($DF$6:DF53,DF53)=1,MAX($DG$5:DG52)+1,INDEX($DG$5:DG52,MATCH(DF53,$DF$5:DF52,0))))</f>
        <v/>
      </c>
      <c r="DH53" s="84">
        <f>IF($CK53="","",$DC53&amp;"|"&amp;$DE53&amp;"|"&amp;$AI53&amp;"|"&amp;$BK53&amp;"|"&amp;$BL53)</f>
        <v/>
      </c>
      <c r="DI53" s="84">
        <f>IF(DH53="","",IF(COUNTIF($DH$6:DH53,DH53)=1,MAX($DI$5:DI52)+1,INDEX($DI$5:DI52,MATCH(DH53,$DH$5:DH52,0))))</f>
        <v/>
      </c>
      <c r="DJ53" s="84">
        <f>IF($A53="","",IF($B53="","qty, ","")&amp;IF($C53="","scope, ","")&amp;IF(OR($K53="",$M53=""),"size, ","")&amp;IF(AND($A53&lt;&gt;"",$C53&lt;&gt;"DOOR ONLY"),IF($U53="","jamb depth, ","")&amp;IF($X53="","construction, ","")&amp;IF($Y53="","anchor, ","")&amp;IF($S53="","frame type, ",""),"")&amp;IF(AND(N($BJ53)&gt;0,$Z53=""),"hand, ","")&amp;IF(N($BJ53)&gt;0,IF($AH53="","door material, ","")&amp;IF($AL53="","face type, ","")&amp;IF($AP53="","lock prep, ","")&amp;IF(AND($AO53="",$AC53=""),"hinge prep, ",""),"")&amp;IF(AND($CH53&gt;0,$AH53="FRP"),"FRP cannot carry a label, ","")&amp;IF(AND($O53="Y",OR($Z53="L",$Z53="R",$Z53="LR",$Z53="RR")),"pair marked but hand is single, ","")&amp;IF(AND($O53&lt;&gt;"Y",OR($Z53="PR",AND(LEN($Z53)&gt;1,ISNUMBER(SEARCH("-",$Z53))))),"pair hand on a single door, ","")&amp;IF(AND(ISNUMBER($CI53),$CH53&lt;N($CI53)),"wall needs a "&amp;$CI53&amp;" min door, ","")&amp;IF(AND($CH53&gt;=180,AND(OR($CE53="FG",$CE53="HG",$CE53="FNV",$CE53="FV"),N($CF53)*N($CG53)&gt;100)),"180 min lite over 100 sq in, ","")&amp;IF(N($BK53)&gt;48,"leaf wider than 4'-0"&amp;CHAR(34)&amp;", ","")&amp;IF(AND($CT53,COUNT($AW53:$AZ53)=0,$CQ53&gt;0),"CUSTOM LOC with no locations typed, ",""))</f>
        <v/>
      </c>
      <c r="DK53" s="84">
        <f>IF($A53="","",IF(AND($CH53&gt;0,AND($A53&lt;&gt;"",$C53&lt;&gt;"DOOR ONLY"),$X53="KD",$E53="EXTERIOR"),"KD label on an exterior opening, ","")&amp;IF(AND($E53="EXTERIOR",OR(AND(AND($A53&lt;&gt;"",$C53&lt;&gt;"DOOR ONLY"),$W53="CR"),AND(N($BJ53)&gt;0,$AH53="CR"))),"exterior in CR steel (G9?), ","")&amp;IF(AND(ISNUMBER($BQ53),N($BQ53)&lt;32),"clear width ~"&amp;TEXT($BQ53,"0.0")&amp;CHAR(34)&amp;" under 32"&amp;CHAR(34)&amp;" (ADA), ","")&amp;IF(AND($CH53=90,AND(OR($CE53="FG",$CE53="HG",$CE53="FNV",$CE53="FV"),N($CF53)*N($CG53)&gt;100)),"90 min lite over 100 sq in (stair/exit), ","")&amp;IF(AND($CH53&gt;0,AND($A53&lt;&gt;"",$C53&lt;&gt;"DOOR ONLY"),OR($AF53="",$AF53="-")),"rated: closer reinf.?, ","")&amp;IF(OR($I53="CORRIDOR",$I53="SMOKE BARRIER"),"S label + smoke gasketing, ","")&amp;IF($CI53="?","wall type/hr not in IBC table, ","")&amp;IF(AND(N($BJ53)&gt;0,$BB53=""),"no hardware set, ","")&amp;IF(AND($BB53&lt;&gt;"",ISNA(MATCH($BB53&amp;"",HWSets,0))),"set "&amp;$BB53&amp;" not on HW Sets, ","")&amp;IF(N($BL53)&gt;96,"leaf over 8'-0"&amp;CHAR(34)&amp;" - check listing, ","")&amp;IF(AND($CT53,COUNT($AW53:$AZ53)&gt;0,COUNT($AW53:$AZ53)&lt;&gt;$CQ53),COUNT($AW53:$AZ53)&amp;" custom hinges typed, "&amp;$CQ53&amp;" expected, ","")&amp;IF(AND(ISNUMBER($CA53),OR(N($CA53)&lt;34,N($CA53)&gt;48)),"lock "&amp;TEXT($CA53,"0.0")&amp;CHAR(34)&amp;" AFF outside 34-48"&amp;CHAR(34)&amp;" (ADA), ","")&amp;IF(AND(ISNUMBER($AV53),ISNUMBER($BL53),N($AV53)&lt;IF(N($BL53)&lt;=60,2,IF(N($BL53)&lt;=90,3,IF(N($BL53)&lt;=120,4,5)))),"fewer hinges than standard, ",""))</f>
        <v/>
      </c>
    </row>
    <row r="54" ht="15" customHeight="1">
      <c r="A54" s="77" t="n"/>
      <c r="B54" s="78" t="n"/>
      <c r="C54" s="78" t="n"/>
      <c r="D54" s="78" t="n"/>
      <c r="E54" s="78" t="n"/>
      <c r="F54" s="78" t="n"/>
      <c r="G54" s="78" t="n"/>
      <c r="H54" s="78" t="n"/>
      <c r="I54" s="78" t="n"/>
      <c r="J54" s="78" t="n"/>
      <c r="K54" s="78" t="n"/>
      <c r="L54" s="78" t="n"/>
      <c r="M54" s="78" t="n"/>
      <c r="N54" s="78" t="n"/>
      <c r="O54" s="78" t="n"/>
      <c r="P54" s="78" t="n"/>
      <c r="Q54" s="78" t="n"/>
      <c r="R54" s="78" t="n"/>
      <c r="S54" s="79" t="n"/>
      <c r="T54" s="79" t="n"/>
      <c r="U54" s="79" t="n"/>
      <c r="V54" s="79" t="n"/>
      <c r="W54" s="79" t="n"/>
      <c r="X54" s="79" t="n"/>
      <c r="Y54" s="79" t="n"/>
      <c r="Z54" s="79" t="n"/>
      <c r="AA54" s="79" t="n"/>
      <c r="AB54" s="79" t="n"/>
      <c r="AC54" s="79" t="n"/>
      <c r="AD54" s="79" t="n"/>
      <c r="AE54" s="79" t="n"/>
      <c r="AF54" s="79" t="n"/>
      <c r="AG54" s="79" t="n"/>
      <c r="AH54" s="80" t="n"/>
      <c r="AI54" s="80" t="n"/>
      <c r="AJ54" s="80" t="n"/>
      <c r="AK54" s="80" t="n"/>
      <c r="AL54" s="80" t="n"/>
      <c r="AM54" s="80" t="n"/>
      <c r="AN54" s="80" t="n"/>
      <c r="AO54" s="80" t="n"/>
      <c r="AP54" s="80" t="n"/>
      <c r="AQ54" s="80" t="n"/>
      <c r="AR54" s="80" t="n"/>
      <c r="AS54" s="80" t="n"/>
      <c r="AT54" s="81" t="n"/>
      <c r="AU54" s="81" t="n"/>
      <c r="AV54" s="81" t="n"/>
      <c r="AW54" s="82" t="n"/>
      <c r="AX54" s="82" t="n"/>
      <c r="AY54" s="82" t="n"/>
      <c r="AZ54" s="82" t="n"/>
      <c r="BA54" s="82" t="n"/>
      <c r="BB54" s="83" t="n"/>
      <c r="BC54" s="83" t="n"/>
      <c r="BD54" s="84">
        <f>IF($A54="","",IF($DJ54&lt;&gt;"","FIX",IF($DK54&lt;&gt;"","CHECK","OK")))</f>
        <v/>
      </c>
      <c r="BE54" s="85">
        <f>IF($A54="","",IF($DJ54&lt;&gt;"","FIX: "&amp;LEFT($DJ54,LEN($DJ54)-2)&amp;IF($DK54&lt;&gt;"","  ·  ",""),"")&amp;IF($DK54&lt;&gt;"","CHECK: "&amp;LEFT($DK54,LEN($DK54)-2),""))</f>
        <v/>
      </c>
      <c r="BF54" s="84">
        <f>IF(OR($A54="",$K54=""),"",$K54&amp;"'-"&amp;N($L54)&amp;CHAR(34)&amp;" x "&amp;$M54&amp;"'-"&amp;N($N54)&amp;CHAR(34))</f>
        <v/>
      </c>
      <c r="BG54" s="84">
        <f>IF(OR($A54="",$K54=""),"",$K54&amp;N($L54)&amp;$M54&amp;N($N54))</f>
        <v/>
      </c>
      <c r="BH54" s="84">
        <f>IF(OR($A54="",$K54=""),"",$K54*12+N($L54))</f>
        <v/>
      </c>
      <c r="BI54" s="84">
        <f>IF(OR($A54="",$M54=""),"",$M54*12+N($N54))</f>
        <v/>
      </c>
      <c r="BJ54" s="84">
        <f>IF($A54="","",IF(OR($C54="FRAME ONLY",$S54="BL"),0,IF($O54="Y",2,1)))</f>
        <v/>
      </c>
      <c r="BK54" s="86">
        <f>IF(OR(N($BJ54)=0,$BH54=""),"",($BH54-2*EdgeClr-IF($BJ54=2,MeetClr,0))/$BJ54)</f>
        <v/>
      </c>
      <c r="BL54" s="86">
        <f>IF(OR(N($BJ54)=0,$BI54=""),"",$BI54-HeadClr-Undercut)</f>
        <v/>
      </c>
      <c r="BM54" s="86">
        <f>IF($BH54="","",$BH54+2*FaceW+IF(N($Q54)&gt;0,($Q54+FaceW)*IF($R54="LR",2,1),0))</f>
        <v/>
      </c>
      <c r="BN54" s="86">
        <f>IF($BI54="","",$BI54+IF($AB54="Y",4,FaceW)+IF(N($P54)&gt;0,$P54+FaceW,0)+IF(OR($S54="4F",$S54="BL"),FaceW,0))</f>
        <v/>
      </c>
      <c r="BO54" s="86">
        <f>IF($BM54="","",$BM54+2*ROSide)</f>
        <v/>
      </c>
      <c r="BP54" s="86">
        <f>IF($BN54="","",$BN54+ROTop)</f>
        <v/>
      </c>
      <c r="BQ54" s="87">
        <f>IF(OR(N($BJ54)=0,$BH54=""),"",$BH54/$BJ54-ClearDeduct)</f>
        <v/>
      </c>
      <c r="BR54" s="84">
        <f>IF(N($CH54)=0,"",IF($CH54&gt;=180,"A · 3 HR",IF($CH54&gt;=90,"B · 1-1/2 HR",IF($CH54&gt;=60,"B · 1 HR",IF($CH54&gt;=45,"C · 3/4 HR","20 MIN")))))&amp;IF(AND(N($CH54)&gt;0,OR($I54="CORRIDOR",$I54="SMOKE BARRIER"))," · S","")</f>
        <v/>
      </c>
      <c r="BS54" s="84">
        <f>IF($CS54,"",IF($AV54&lt;&gt;"",$AV54,IF(OR($AC54="HGC",$AO54="HGC"),"CONT",IF(($BI54-HeadClr-Undercut)&lt;=60,2,IF(($BI54-HeadClr-Undercut)&lt;=90,3,IF(($BI54-HeadClr-Undercut)&lt;=120,4,5))))))</f>
        <v/>
      </c>
      <c r="BT54" s="84">
        <f>IF($CS54,"",IF($CT54,"CUSTOM (typed)",IF($CV54,$AT54&amp;" "&amp;$CU54&amp;CHAR(34)&amp;IF($CU54&lt;&gt;$BI54,IF(AND($BI54&lt;$CU54,$BI54-IF(N(VLOOKUP($AT54&amp;"|"&amp;$CU54,LocTable,7,FALSE))&gt;0,VLOOKUP($AT54&amp;"|"&amp;$CU54,LocTable,7,FALSE),VLOOKUP($AT54&amp;"|"&amp;$CU54,LocTable,6,FALSE))-$CR54-0.75&gt;=2.125)," cut down"," adj."),""),"ANSI/SDI A250.6")))</f>
        <v/>
      </c>
      <c r="BU54" s="88">
        <f>IF($CS54,"",IF($CT54,IF(N($AW54)&gt;0,N($AW54),""),IF(1&gt;$CQ54,"",IF($CQ54=1,$CW54,$CW54+($CX54-$CW54)*0/($CQ54-1)))))</f>
        <v/>
      </c>
      <c r="BV54" s="88">
        <f>IF($CS54,"",IF($CT54,IF(N($AX54)&gt;0,N($AX54),""),IF(2&gt;$CQ54,"",IF($CQ54=1,$CW54,$CW54+($CX54-$CW54)*1/($CQ54-1)))))</f>
        <v/>
      </c>
      <c r="BW54" s="88">
        <f>IF($CS54,"",IF($CT54,IF(N($AY54)&gt;0,N($AY54),""),IF(3&gt;$CQ54,"",IF($CQ54=1,$CW54,$CW54+($CX54-$CW54)*2/($CQ54-1)))))</f>
        <v/>
      </c>
      <c r="BX54" s="88">
        <f>IF($CS54,"",IF($CT54,IF(N($AZ54)&gt;0,N($AZ54),""),IF(4&gt;$CQ54,"",IF($CQ54=1,$CW54,$CW54+($CX54-$CW54)*3/($CQ54-1)))))</f>
        <v/>
      </c>
      <c r="BY54" s="88">
        <f>IF($CS54,"",IF($CT54,"",IF(5&gt;$CQ54,"",IF($CQ54=1,$CW54,$CW54+($CX54-$CW54)*4/($CQ54-1)))))</f>
        <v/>
      </c>
      <c r="BZ54" s="88">
        <f>IF(OR($CS54,$AP54="-",AND($AP54="",$AD54="")),"",IF(N($BA54)&gt;0,N($BA54),IF($CV54,IF(AND($BI54&lt;$CU54,$BI54-IF(N(VLOOKUP($AT54&amp;"|"&amp;$CU54,LocTable,7,FALSE))&gt;0,VLOOKUP($AT54&amp;"|"&amp;$CU54,LocTable,7,FALSE),VLOOKUP($AT54&amp;"|"&amp;$CU54,LocTable,6,FALSE))-$CR54-0.75&gt;=2.125),VLOOKUP($AT54&amp;"|"&amp;$CU54,LocTable,8,FALSE),VLOOKUP($AT54&amp;"|"&amp;$CU54,LocTable,8,FALSE)+($BI54-$CU54)),$BI54-LockAFF)))</f>
        <v/>
      </c>
      <c r="CA54" s="89">
        <f>IF($BZ54="","",$BI54-$BZ54)</f>
        <v/>
      </c>
      <c r="CB54" s="84">
        <f>IF(OR(NOT(AND($A54&lt;&gt;"",$C54&lt;&gt;"DOOR ONLY")),$BI54=""),"",IF(($BI54+IF(N($P54)&gt;0,$P54+FaceW,0))&lt;=90,3,IF(($BI54+IF(N($P54)&gt;0,$P54+FaceW,0))&lt;=114,4,5)))</f>
        <v/>
      </c>
      <c r="CC54" s="84">
        <f>IF($CB54="","",$CB54*(2+IF(N($Q54)&gt;0,IF($R54="LR",2,1),0)))</f>
        <v/>
      </c>
      <c r="CD54" s="84">
        <f>IF($CB54="","",(2+IF(N($Q54)&gt;0,IF($R54="LR",2,1),0)))</f>
        <v/>
      </c>
      <c r="CE54" s="84">
        <f>IF(N($BJ54)=0,"",IF(OR($AL54="",$AL54="FLUSH"),"FLUSH",IFERROR(LEFT($AL54,FIND("-",$AL54)-1),LEFT($AL54,2))))</f>
        <v/>
      </c>
      <c r="CF54" s="84">
        <f>IF($CE54="","",IFERROR(VALUE(MID($AL54,FIND("-",$AL54)+1,FIND(CHAR(34)&amp;"x",$AL54)-FIND("-",$AL54)-1)),0))</f>
        <v/>
      </c>
      <c r="CG54" s="84">
        <f>IF($CE54="","",IFERROR(VALUE(MID($AL54,FIND(CHAR(34)&amp;"x",$AL54)+2,FIND(CHAR(34),$AL54,FIND(CHAR(34)&amp;"x",$AL54)+2)-FIND(CHAR(34)&amp;"x",$AL54)-2)),0))</f>
        <v/>
      </c>
      <c r="CH54" s="90">
        <f>IF(OR($A54="",$H54="",$H54="NO LAB"),0,IFERROR(VALUE(LEFT($H54,FIND(" ",$H54)-1)),0))</f>
        <v/>
      </c>
      <c r="CI54" s="91">
        <f>IF(OR($A54="",$I54="",$I54="NON-RATED",N($J54)=0),"",IFERROR(VLOOKUP($I54&amp;"|"&amp;$J54,IBC,2,FALSE),"?"))</f>
        <v/>
      </c>
      <c r="CJ54" s="85">
        <f>IF(NOT(AND($A54&lt;&gt;"",$C54&lt;&gt;"DOOR ONLY")),"",TRIM(IFERROR(VLOOKUP($U54,CODES,2,FALSE),"")&amp;" "&amp;$BG54&amp;" "&amp;IFERROR(VLOOKUP($Z54,CODES,2,FALSE),"")&amp;" "&amp;IFERROR(VLOOKUP($X54,CODES,2,FALSE),"")&amp;" "&amp;IFERROR(VLOOKUP($S54,CODES,2,FALSE),"")&amp;IF(N($P54)&gt;0," w/TRANSOM "&amp;$P54&amp;CHAR(34),"")&amp;IF(N($Q54)&gt;0," w/SIDELITE "&amp;$Q54&amp;CHAR(34)&amp;" "&amp;IF($R54="","R",$R54),"")&amp;IF($Y54="","  |  "," | "&amp;IFERROR(VLOOKUP($Y54,CODES,2,FALSE),"")&amp;" | ")&amp;IFERROR(VLOOKUP($AC54,CODES,2,FALSE),"")&amp;" "&amp;IFERROR(VLOOKUP($AD54,CODES,2,FALSE),"")&amp;IF(OR($AE54="",$AE54="-"),""," "&amp;$AE54)&amp;IF(OR($AF54="",$AF54="-"),""," "&amp;$AF54)&amp;IF($AB54="Y"," 4"&amp;CHAR(34)&amp;" HEAD","")&amp;" "&amp;IFERROR(VLOOKUP($H54,CODES,2,FALSE),"")&amp;IF($CT54," | LOC "&amp;$CY54,"")))</f>
        <v/>
      </c>
      <c r="CK54" s="85">
        <f>IF(NOT(AND($A54&lt;&gt;"",N($BJ54)&gt;0)),"",TRIM(IFERROR(VLOOKUP($AH54,CODES,2,FALSE),"")&amp;IF($AI54=""," "," "&amp;$AI54&amp;"GA ")&amp;$BG54&amp;" "&amp;IF($AN54="",IFERROR(VLOOKUP($Z54,CODES,2,FALSE),""),IFERROR(VLOOKUP($AN54,CODES,2,FALSE),""))&amp;IF($BJ54=2," PAIR","")&amp;" DOOR | "&amp;IF($AL54="","?",$AL54)&amp;" | "&amp;IF($AO54="",IFERROR(VLOOKUP($AC54,CODES,2,FALSE),""),IFERROR(VLOOKUP($AO54,CODES,2,FALSE),""))&amp;" "&amp;IFERROR(VLOOKUP($AP54,CODES,2,FALSE),"")&amp;IF(OR($AQ54="",$AQ54="-"),""," SEAM "&amp;$AQ54)&amp;IF($AR54="Y"," ASTRAGAL","")&amp;IF($AJ54=""," "," "&amp;$AJ54)&amp;IF($AK54=""," "," "&amp;$AK54)&amp;IF(OR($AT54="",$AT54="ANSI/SDI",$AT54="CUSTOM LOC"),""," "&amp;$AT54)&amp;IF($AM54=""," "," SERIES "&amp;$AM54)&amp;" "&amp;IFERROR(VLOOKUP($H54,CODES,2,FALSE),"")&amp;IF($CT54," | LOC "&amp;$CZ54,"")))</f>
        <v/>
      </c>
      <c r="CL54" s="84">
        <f>IF(CP54="","",IF(COUNTIF($CP$6:CP54,CP54)=1,MAX($CL$5:CL53)+1,INDEX($CL$5:CL53,MATCH(CP54,$CP$5:CP53,0))))</f>
        <v/>
      </c>
      <c r="CM54" s="84">
        <f>IF(NOT(AND($A54&lt;&gt;"",$C54&lt;&gt;"DOOR ONLY")),"",MAX($CM$5:CM53)+1)</f>
        <v/>
      </c>
      <c r="CN54" s="84">
        <f>IF(NOT(AND($A54&lt;&gt;"",N($BJ54)&gt;0)),"",MAX($CN$5:CN53)+1)</f>
        <v/>
      </c>
      <c r="CO54" s="84">
        <f>IF($A54="","",MAX($CO$5:CO53)+1)</f>
        <v/>
      </c>
      <c r="CP54" s="84">
        <f>IF(OR($A54="",$BH54="",$BI54=""),"",$BG54&amp;"|"&amp;$O54&amp;"|"&amp;$AL54&amp;"|"&amp;$S54&amp;"|"&amp;$P54&amp;"|"&amp;$Q54&amp;$R54&amp;"|"&amp;$C54&amp;"|"&amp;$AB54)</f>
        <v/>
      </c>
      <c r="CQ54" s="84">
        <f>N($BS54)</f>
        <v/>
      </c>
      <c r="CR54" s="84">
        <f>IF(N($AU54)&gt;0,N($AU54),4.5)</f>
        <v/>
      </c>
      <c r="CS54" s="84">
        <f>OR($A54="",$BI54="",$S54="BL",AND($C54="FRAME ONLY",OR($AC54="",$AC54="BLK")))</f>
        <v/>
      </c>
      <c r="CT54" s="84">
        <f>AND(NOT($CS54),OR($AT54="CUSTOM LOC",N($AW54)+N($AX54)+N($AY54)+N($AZ54)+N($BA54)&gt;0))</f>
        <v/>
      </c>
      <c r="CU54" s="84">
        <f>IF($BI54="","",IF($BI54&lt;=80,80,IF($BI54&lt;=84,84,96)))</f>
        <v/>
      </c>
      <c r="CV54" s="84">
        <f>ISNUMBER(MATCH($AT54&amp;"|80",LocKeys,0))</f>
        <v/>
      </c>
      <c r="CW54" s="86">
        <f>IF($CS54,"",IF($CV54,VLOOKUP($AT54&amp;"|"&amp;$CU54,LocTable,4,FALSE),5))</f>
        <v/>
      </c>
      <c r="CX54" s="86">
        <f>IF($CS54,"",IF($CV54,IF(OR($BI54=$CU54,AND($BI54&lt;$CU54,$BI54-IF(N(VLOOKUP($AT54&amp;"|"&amp;$CU54,LocTable,7,FALSE))&gt;0,VLOOKUP($AT54&amp;"|"&amp;$CU54,LocTable,7,FALSE),VLOOKUP($AT54&amp;"|"&amp;$CU54,LocTable,6,FALSE))-$CR54-0.75&gt;=2.125)),IF(N(VLOOKUP($AT54&amp;"|"&amp;$CU54,LocTable,7,FALSE))&gt;0,VLOOKUP($AT54&amp;"|"&amp;$CU54,LocTable,7,FALSE),VLOOKUP($AT54&amp;"|"&amp;$CU54,LocTable,6,FALSE)),$BI54-($CU54-IF(N(VLOOKUP($AT54&amp;"|"&amp;$CU54,LocTable,7,FALSE))&gt;0,VLOOKUP($AT54&amp;"|"&amp;$CU54,LocTable,7,FALSE),VLOOKUP($AT54&amp;"|"&amp;$CU54,LocTable,6,FALSE)))),$BI54-10-$CR54))</f>
        <v/>
      </c>
      <c r="CY54" s="85">
        <f>IF($CS54,"",TRIM(IF(ISNUMBER($BU54),"A "&amp;TRIM(TEXT($BU54,"# ?/??"))&amp;CHAR(34)&amp;"  ","")&amp;IF(ISNUMBER($BV54),"B "&amp;TRIM(TEXT($BV54,"# ?/??"))&amp;CHAR(34)&amp;"  ","")&amp;IF(ISNUMBER($BW54),"C "&amp;TRIM(TEXT($BW54,"# ?/??"))&amp;CHAR(34)&amp;"  ","")&amp;IF(ISNUMBER($BX54),"D "&amp;TRIM(TEXT($BX54,"# ?/??"))&amp;CHAR(34)&amp;"  ","")&amp;IF(ISNUMBER($BY54),"F "&amp;TRIM(TEXT($BY54,"# ?/??"))&amp;CHAR(34)&amp;"  ","")&amp;IF(ISNUMBER($BZ54),"E "&amp;TRIM(TEXT($BZ54,"# ?/??"))&amp;CHAR(34)&amp;"  ","")))</f>
        <v/>
      </c>
      <c r="CZ54" s="85">
        <f>IF(OR($CS54,N($BJ54)=0),"",TRIM(IF(ISNUMBER($BU54),"A "&amp;TRIM(TEXT($BU54-HeadClr,"# ?/??"))&amp;CHAR(34)&amp;"  ","")&amp;IF(ISNUMBER($BV54),"B "&amp;TRIM(TEXT($BV54-HeadClr,"# ?/??"))&amp;CHAR(34)&amp;"  ","")&amp;IF(ISNUMBER($BW54),"C "&amp;TRIM(TEXT($BW54-HeadClr,"# ?/??"))&amp;CHAR(34)&amp;"  ","")&amp;IF(ISNUMBER($BX54),"D "&amp;TRIM(TEXT($BX54-HeadClr,"# ?/??"))&amp;CHAR(34)&amp;"  ","")&amp;IF(ISNUMBER($BY54),"F "&amp;TRIM(TEXT($BY54-HeadClr,"# ?/??"))&amp;CHAR(34)&amp;"  ","")&amp;IF(ISNUMBER($BZ54),"E "&amp;TRIM(TEXT($BZ54-HeadClr,"# ?/??"))&amp;CHAR(34)&amp;"  ","")))</f>
        <v/>
      </c>
      <c r="DA54" s="84">
        <f>IF($A54="","",IF($AN54="",IFERROR(VLOOKUP($Z54,CODES,2,FALSE),""),IFERROR(VLOOKUP($AN54,CODES,2,FALSE),"")))</f>
        <v/>
      </c>
      <c r="DB54" s="84">
        <f>IF($A54="","",IF($O54="Y","PR",IF(OR($Z54="L",$Z54="RR",LEFT($Z54,2)="L-",LEFT($Z54,3)="RR-"),"LH","RH")))</f>
        <v/>
      </c>
      <c r="DC54" s="84">
        <f>IF($A54="","","S.HM"&amp;IF(OR($C54="DOOR ONLY",$X54&lt;&gt;"KD"),"MASONRY","DRYWALL")&amp;IF($C54="DOOR ONLY","",$U54)&amp;IF(AND($C54&lt;&gt;"FRAME ONLY",OR(LEFT($AH54,3)="OAK",LEFT($AH54,3)="BIR",LEFT($AH54,3)="MAP",$AH54="PC",$AH54="MC",$AH54="SCLC",$AH54="P-LAM")),"WD","HM")&amp;"1.75")</f>
        <v/>
      </c>
      <c r="DD54" s="84">
        <f>IF($CJ54="","",IF($O54="Y",$CJ54,SUBSTITUTE($CJ54,$BG54&amp;" "&amp;IFERROR(VLOOKUP($Z54,CODES,2,FALSE),"")&amp;" ",$BG54&amp;" ")))</f>
        <v/>
      </c>
      <c r="DE54" s="84">
        <f>IF($CK54="","",IF($O54="Y",$CK54,SUBSTITUTE($CK54,$BG54&amp;" "&amp;IF($AN54="",IFERROR(VLOOKUP($Z54,CODES,2,FALSE),""),IFERROR(VLOOKUP($AN54,CODES,2,FALSE),""))&amp;" ",$BG54&amp;" ")))</f>
        <v/>
      </c>
      <c r="DF54" s="84">
        <f>IF($CJ54="","",$DC54&amp;"|"&amp;$DD54&amp;"|"&amp;$DB54&amp;"|"&amp;$AT54&amp;"|"&amp;$V54&amp;"|"&amp;$Y54&amp;"|"&amp;$AB54)</f>
        <v/>
      </c>
      <c r="DG54" s="84">
        <f>IF(DF54="","",IF(COUNTIF($DF$6:DF54,DF54)=1,MAX($DG$5:DG53)+1,INDEX($DG$5:DG53,MATCH(DF54,$DF$5:DF53,0))))</f>
        <v/>
      </c>
      <c r="DH54" s="84">
        <f>IF($CK54="","",$DC54&amp;"|"&amp;$DE54&amp;"|"&amp;$AI54&amp;"|"&amp;$BK54&amp;"|"&amp;$BL54)</f>
        <v/>
      </c>
      <c r="DI54" s="84">
        <f>IF(DH54="","",IF(COUNTIF($DH$6:DH54,DH54)=1,MAX($DI$5:DI53)+1,INDEX($DI$5:DI53,MATCH(DH54,$DH$5:DH53,0))))</f>
        <v/>
      </c>
      <c r="DJ54" s="84">
        <f>IF($A54="","",IF($B54="","qty, ","")&amp;IF($C54="","scope, ","")&amp;IF(OR($K54="",$M54=""),"size, ","")&amp;IF(AND($A54&lt;&gt;"",$C54&lt;&gt;"DOOR ONLY"),IF($U54="","jamb depth, ","")&amp;IF($X54="","construction, ","")&amp;IF($Y54="","anchor, ","")&amp;IF($S54="","frame type, ",""),"")&amp;IF(AND(N($BJ54)&gt;0,$Z54=""),"hand, ","")&amp;IF(N($BJ54)&gt;0,IF($AH54="","door material, ","")&amp;IF($AL54="","face type, ","")&amp;IF($AP54="","lock prep, ","")&amp;IF(AND($AO54="",$AC54=""),"hinge prep, ",""),"")&amp;IF(AND($CH54&gt;0,$AH54="FRP"),"FRP cannot carry a label, ","")&amp;IF(AND($O54="Y",OR($Z54="L",$Z54="R",$Z54="LR",$Z54="RR")),"pair marked but hand is single, ","")&amp;IF(AND($O54&lt;&gt;"Y",OR($Z54="PR",AND(LEN($Z54)&gt;1,ISNUMBER(SEARCH("-",$Z54))))),"pair hand on a single door, ","")&amp;IF(AND(ISNUMBER($CI54),$CH54&lt;N($CI54)),"wall needs a "&amp;$CI54&amp;" min door, ","")&amp;IF(AND($CH54&gt;=180,AND(OR($CE54="FG",$CE54="HG",$CE54="FNV",$CE54="FV"),N($CF54)*N($CG54)&gt;100)),"180 min lite over 100 sq in, ","")&amp;IF(N($BK54)&gt;48,"leaf wider than 4'-0"&amp;CHAR(34)&amp;", ","")&amp;IF(AND($CT54,COUNT($AW54:$AZ54)=0,$CQ54&gt;0),"CUSTOM LOC with no locations typed, ",""))</f>
        <v/>
      </c>
      <c r="DK54" s="84">
        <f>IF($A54="","",IF(AND($CH54&gt;0,AND($A54&lt;&gt;"",$C54&lt;&gt;"DOOR ONLY"),$X54="KD",$E54="EXTERIOR"),"KD label on an exterior opening, ","")&amp;IF(AND($E54="EXTERIOR",OR(AND(AND($A54&lt;&gt;"",$C54&lt;&gt;"DOOR ONLY"),$W54="CR"),AND(N($BJ54)&gt;0,$AH54="CR"))),"exterior in CR steel (G9?), ","")&amp;IF(AND(ISNUMBER($BQ54),N($BQ54)&lt;32),"clear width ~"&amp;TEXT($BQ54,"0.0")&amp;CHAR(34)&amp;" under 32"&amp;CHAR(34)&amp;" (ADA), ","")&amp;IF(AND($CH54=90,AND(OR($CE54="FG",$CE54="HG",$CE54="FNV",$CE54="FV"),N($CF54)*N($CG54)&gt;100)),"90 min lite over 100 sq in (stair/exit), ","")&amp;IF(AND($CH54&gt;0,AND($A54&lt;&gt;"",$C54&lt;&gt;"DOOR ONLY"),OR($AF54="",$AF54="-")),"rated: closer reinf.?, ","")&amp;IF(OR($I54="CORRIDOR",$I54="SMOKE BARRIER"),"S label + smoke gasketing, ","")&amp;IF($CI54="?","wall type/hr not in IBC table, ","")&amp;IF(AND(N($BJ54)&gt;0,$BB54=""),"no hardware set, ","")&amp;IF(AND($BB54&lt;&gt;"",ISNA(MATCH($BB54&amp;"",HWSets,0))),"set "&amp;$BB54&amp;" not on HW Sets, ","")&amp;IF(N($BL54)&gt;96,"leaf over 8'-0"&amp;CHAR(34)&amp;" - check listing, ","")&amp;IF(AND($CT54,COUNT($AW54:$AZ54)&gt;0,COUNT($AW54:$AZ54)&lt;&gt;$CQ54),COUNT($AW54:$AZ54)&amp;" custom hinges typed, "&amp;$CQ54&amp;" expected, ","")&amp;IF(AND(ISNUMBER($CA54),OR(N($CA54)&lt;34,N($CA54)&gt;48)),"lock "&amp;TEXT($CA54,"0.0")&amp;CHAR(34)&amp;" AFF outside 34-48"&amp;CHAR(34)&amp;" (ADA), ","")&amp;IF(AND(ISNUMBER($AV54),ISNUMBER($BL54),N($AV54)&lt;IF(N($BL54)&lt;=60,2,IF(N($BL54)&lt;=90,3,IF(N($BL54)&lt;=120,4,5)))),"fewer hinges than standard, ",""))</f>
        <v/>
      </c>
    </row>
    <row r="55" ht="15" customHeight="1">
      <c r="A55" s="92" t="n"/>
      <c r="B55" s="93" t="n"/>
      <c r="C55" s="93" t="n"/>
      <c r="D55" s="93" t="n"/>
      <c r="E55" s="93" t="n"/>
      <c r="F55" s="93" t="n"/>
      <c r="G55" s="93" t="n"/>
      <c r="H55" s="93" t="n"/>
      <c r="I55" s="93" t="n"/>
      <c r="J55" s="93" t="n"/>
      <c r="K55" s="93" t="n"/>
      <c r="L55" s="93" t="n"/>
      <c r="M55" s="93" t="n"/>
      <c r="N55" s="93" t="n"/>
      <c r="O55" s="93" t="n"/>
      <c r="P55" s="93" t="n"/>
      <c r="Q55" s="93" t="n"/>
      <c r="R55" s="93" t="n"/>
      <c r="S55" s="94" t="n"/>
      <c r="T55" s="94" t="n"/>
      <c r="U55" s="94" t="n"/>
      <c r="V55" s="94" t="n"/>
      <c r="W55" s="94" t="n"/>
      <c r="X55" s="94" t="n"/>
      <c r="Y55" s="94" t="n"/>
      <c r="Z55" s="94" t="n"/>
      <c r="AA55" s="94" t="n"/>
      <c r="AB55" s="94" t="n"/>
      <c r="AC55" s="94" t="n"/>
      <c r="AD55" s="94" t="n"/>
      <c r="AE55" s="94" t="n"/>
      <c r="AF55" s="94" t="n"/>
      <c r="AG55" s="94" t="n"/>
      <c r="AH55" s="95" t="n"/>
      <c r="AI55" s="95" t="n"/>
      <c r="AJ55" s="95" t="n"/>
      <c r="AK55" s="95" t="n"/>
      <c r="AL55" s="95" t="n"/>
      <c r="AM55" s="95" t="n"/>
      <c r="AN55" s="95" t="n"/>
      <c r="AO55" s="95" t="n"/>
      <c r="AP55" s="95" t="n"/>
      <c r="AQ55" s="95" t="n"/>
      <c r="AR55" s="95" t="n"/>
      <c r="AS55" s="95" t="n"/>
      <c r="AT55" s="96" t="n"/>
      <c r="AU55" s="96" t="n"/>
      <c r="AV55" s="96" t="n"/>
      <c r="AW55" s="97" t="n"/>
      <c r="AX55" s="97" t="n"/>
      <c r="AY55" s="97" t="n"/>
      <c r="AZ55" s="97" t="n"/>
      <c r="BA55" s="97" t="n"/>
      <c r="BB55" s="98" t="n"/>
      <c r="BC55" s="98" t="n"/>
      <c r="BD55" s="99">
        <f>IF($A55="","",IF($DJ55&lt;&gt;"","FIX",IF($DK55&lt;&gt;"","CHECK","OK")))</f>
        <v/>
      </c>
      <c r="BE55" s="100">
        <f>IF($A55="","",IF($DJ55&lt;&gt;"","FIX: "&amp;LEFT($DJ55,LEN($DJ55)-2)&amp;IF($DK55&lt;&gt;"","  ·  ",""),"")&amp;IF($DK55&lt;&gt;"","CHECK: "&amp;LEFT($DK55,LEN($DK55)-2),""))</f>
        <v/>
      </c>
      <c r="BF55" s="99">
        <f>IF(OR($A55="",$K55=""),"",$K55&amp;"'-"&amp;N($L55)&amp;CHAR(34)&amp;" x "&amp;$M55&amp;"'-"&amp;N($N55)&amp;CHAR(34))</f>
        <v/>
      </c>
      <c r="BG55" s="99">
        <f>IF(OR($A55="",$K55=""),"",$K55&amp;N($L55)&amp;$M55&amp;N($N55))</f>
        <v/>
      </c>
      <c r="BH55" s="99">
        <f>IF(OR($A55="",$K55=""),"",$K55*12+N($L55))</f>
        <v/>
      </c>
      <c r="BI55" s="99">
        <f>IF(OR($A55="",$M55=""),"",$M55*12+N($N55))</f>
        <v/>
      </c>
      <c r="BJ55" s="99">
        <f>IF($A55="","",IF(OR($C55="FRAME ONLY",$S55="BL"),0,IF($O55="Y",2,1)))</f>
        <v/>
      </c>
      <c r="BK55" s="101">
        <f>IF(OR(N($BJ55)=0,$BH55=""),"",($BH55-2*EdgeClr-IF($BJ55=2,MeetClr,0))/$BJ55)</f>
        <v/>
      </c>
      <c r="BL55" s="101">
        <f>IF(OR(N($BJ55)=0,$BI55=""),"",$BI55-HeadClr-Undercut)</f>
        <v/>
      </c>
      <c r="BM55" s="101">
        <f>IF($BH55="","",$BH55+2*FaceW+IF(N($Q55)&gt;0,($Q55+FaceW)*IF($R55="LR",2,1),0))</f>
        <v/>
      </c>
      <c r="BN55" s="101">
        <f>IF($BI55="","",$BI55+IF($AB55="Y",4,FaceW)+IF(N($P55)&gt;0,$P55+FaceW,0)+IF(OR($S55="4F",$S55="BL"),FaceW,0))</f>
        <v/>
      </c>
      <c r="BO55" s="101">
        <f>IF($BM55="","",$BM55+2*ROSide)</f>
        <v/>
      </c>
      <c r="BP55" s="101">
        <f>IF($BN55="","",$BN55+ROTop)</f>
        <v/>
      </c>
      <c r="BQ55" s="102">
        <f>IF(OR(N($BJ55)=0,$BH55=""),"",$BH55/$BJ55-ClearDeduct)</f>
        <v/>
      </c>
      <c r="BR55" s="99">
        <f>IF(N($CH55)=0,"",IF($CH55&gt;=180,"A · 3 HR",IF($CH55&gt;=90,"B · 1-1/2 HR",IF($CH55&gt;=60,"B · 1 HR",IF($CH55&gt;=45,"C · 3/4 HR","20 MIN")))))&amp;IF(AND(N($CH55)&gt;0,OR($I55="CORRIDOR",$I55="SMOKE BARRIER"))," · S","")</f>
        <v/>
      </c>
      <c r="BS55" s="99">
        <f>IF($CS55,"",IF($AV55&lt;&gt;"",$AV55,IF(OR($AC55="HGC",$AO55="HGC"),"CONT",IF(($BI55-HeadClr-Undercut)&lt;=60,2,IF(($BI55-HeadClr-Undercut)&lt;=90,3,IF(($BI55-HeadClr-Undercut)&lt;=120,4,5))))))</f>
        <v/>
      </c>
      <c r="BT55" s="99">
        <f>IF($CS55,"",IF($CT55,"CUSTOM (typed)",IF($CV55,$AT55&amp;" "&amp;$CU55&amp;CHAR(34)&amp;IF($CU55&lt;&gt;$BI55,IF(AND($BI55&lt;$CU55,$BI55-IF(N(VLOOKUP($AT55&amp;"|"&amp;$CU55,LocTable,7,FALSE))&gt;0,VLOOKUP($AT55&amp;"|"&amp;$CU55,LocTable,7,FALSE),VLOOKUP($AT55&amp;"|"&amp;$CU55,LocTable,6,FALSE))-$CR55-0.75&gt;=2.125)," cut down"," adj."),""),"ANSI/SDI A250.6")))</f>
        <v/>
      </c>
      <c r="BU55" s="103">
        <f>IF($CS55,"",IF($CT55,IF(N($AW55)&gt;0,N($AW55),""),IF(1&gt;$CQ55,"",IF($CQ55=1,$CW55,$CW55+($CX55-$CW55)*0/($CQ55-1)))))</f>
        <v/>
      </c>
      <c r="BV55" s="103">
        <f>IF($CS55,"",IF($CT55,IF(N($AX55)&gt;0,N($AX55),""),IF(2&gt;$CQ55,"",IF($CQ55=1,$CW55,$CW55+($CX55-$CW55)*1/($CQ55-1)))))</f>
        <v/>
      </c>
      <c r="BW55" s="103">
        <f>IF($CS55,"",IF($CT55,IF(N($AY55)&gt;0,N($AY55),""),IF(3&gt;$CQ55,"",IF($CQ55=1,$CW55,$CW55+($CX55-$CW55)*2/($CQ55-1)))))</f>
        <v/>
      </c>
      <c r="BX55" s="103">
        <f>IF($CS55,"",IF($CT55,IF(N($AZ55)&gt;0,N($AZ55),""),IF(4&gt;$CQ55,"",IF($CQ55=1,$CW55,$CW55+($CX55-$CW55)*3/($CQ55-1)))))</f>
        <v/>
      </c>
      <c r="BY55" s="103">
        <f>IF($CS55,"",IF($CT55,"",IF(5&gt;$CQ55,"",IF($CQ55=1,$CW55,$CW55+($CX55-$CW55)*4/($CQ55-1)))))</f>
        <v/>
      </c>
      <c r="BZ55" s="103">
        <f>IF(OR($CS55,$AP55="-",AND($AP55="",$AD55="")),"",IF(N($BA55)&gt;0,N($BA55),IF($CV55,IF(AND($BI55&lt;$CU55,$BI55-IF(N(VLOOKUP($AT55&amp;"|"&amp;$CU55,LocTable,7,FALSE))&gt;0,VLOOKUP($AT55&amp;"|"&amp;$CU55,LocTable,7,FALSE),VLOOKUP($AT55&amp;"|"&amp;$CU55,LocTable,6,FALSE))-$CR55-0.75&gt;=2.125),VLOOKUP($AT55&amp;"|"&amp;$CU55,LocTable,8,FALSE),VLOOKUP($AT55&amp;"|"&amp;$CU55,LocTable,8,FALSE)+($BI55-$CU55)),$BI55-LockAFF)))</f>
        <v/>
      </c>
      <c r="CA55" s="104">
        <f>IF($BZ55="","",$BI55-$BZ55)</f>
        <v/>
      </c>
      <c r="CB55" s="99">
        <f>IF(OR(NOT(AND($A55&lt;&gt;"",$C55&lt;&gt;"DOOR ONLY")),$BI55=""),"",IF(($BI55+IF(N($P55)&gt;0,$P55+FaceW,0))&lt;=90,3,IF(($BI55+IF(N($P55)&gt;0,$P55+FaceW,0))&lt;=114,4,5)))</f>
        <v/>
      </c>
      <c r="CC55" s="99">
        <f>IF($CB55="","",$CB55*(2+IF(N($Q55)&gt;0,IF($R55="LR",2,1),0)))</f>
        <v/>
      </c>
      <c r="CD55" s="99">
        <f>IF($CB55="","",(2+IF(N($Q55)&gt;0,IF($R55="LR",2,1),0)))</f>
        <v/>
      </c>
      <c r="CE55" s="99">
        <f>IF(N($BJ55)=0,"",IF(OR($AL55="",$AL55="FLUSH"),"FLUSH",IFERROR(LEFT($AL55,FIND("-",$AL55)-1),LEFT($AL55,2))))</f>
        <v/>
      </c>
      <c r="CF55" s="99">
        <f>IF($CE55="","",IFERROR(VALUE(MID($AL55,FIND("-",$AL55)+1,FIND(CHAR(34)&amp;"x",$AL55)-FIND("-",$AL55)-1)),0))</f>
        <v/>
      </c>
      <c r="CG55" s="99">
        <f>IF($CE55="","",IFERROR(VALUE(MID($AL55,FIND(CHAR(34)&amp;"x",$AL55)+2,FIND(CHAR(34),$AL55,FIND(CHAR(34)&amp;"x",$AL55)+2)-FIND(CHAR(34)&amp;"x",$AL55)-2)),0))</f>
        <v/>
      </c>
      <c r="CH55" s="105">
        <f>IF(OR($A55="",$H55="",$H55="NO LAB"),0,IFERROR(VALUE(LEFT($H55,FIND(" ",$H55)-1)),0))</f>
        <v/>
      </c>
      <c r="CI55" s="106">
        <f>IF(OR($A55="",$I55="",$I55="NON-RATED",N($J55)=0),"",IFERROR(VLOOKUP($I55&amp;"|"&amp;$J55,IBC,2,FALSE),"?"))</f>
        <v/>
      </c>
      <c r="CJ55" s="100">
        <f>IF(NOT(AND($A55&lt;&gt;"",$C55&lt;&gt;"DOOR ONLY")),"",TRIM(IFERROR(VLOOKUP($U55,CODES,2,FALSE),"")&amp;" "&amp;$BG55&amp;" "&amp;IFERROR(VLOOKUP($Z55,CODES,2,FALSE),"")&amp;" "&amp;IFERROR(VLOOKUP($X55,CODES,2,FALSE),"")&amp;" "&amp;IFERROR(VLOOKUP($S55,CODES,2,FALSE),"")&amp;IF(N($P55)&gt;0," w/TRANSOM "&amp;$P55&amp;CHAR(34),"")&amp;IF(N($Q55)&gt;0," w/SIDELITE "&amp;$Q55&amp;CHAR(34)&amp;" "&amp;IF($R55="","R",$R55),"")&amp;IF($Y55="","  |  "," | "&amp;IFERROR(VLOOKUP($Y55,CODES,2,FALSE),"")&amp;" | ")&amp;IFERROR(VLOOKUP($AC55,CODES,2,FALSE),"")&amp;" "&amp;IFERROR(VLOOKUP($AD55,CODES,2,FALSE),"")&amp;IF(OR($AE55="",$AE55="-"),""," "&amp;$AE55)&amp;IF(OR($AF55="",$AF55="-"),""," "&amp;$AF55)&amp;IF($AB55="Y"," 4"&amp;CHAR(34)&amp;" HEAD","")&amp;" "&amp;IFERROR(VLOOKUP($H55,CODES,2,FALSE),"")&amp;IF($CT55," | LOC "&amp;$CY55,"")))</f>
        <v/>
      </c>
      <c r="CK55" s="100">
        <f>IF(NOT(AND($A55&lt;&gt;"",N($BJ55)&gt;0)),"",TRIM(IFERROR(VLOOKUP($AH55,CODES,2,FALSE),"")&amp;IF($AI55=""," "," "&amp;$AI55&amp;"GA ")&amp;$BG55&amp;" "&amp;IF($AN55="",IFERROR(VLOOKUP($Z55,CODES,2,FALSE),""),IFERROR(VLOOKUP($AN55,CODES,2,FALSE),""))&amp;IF($BJ55=2," PAIR","")&amp;" DOOR | "&amp;IF($AL55="","?",$AL55)&amp;" | "&amp;IF($AO55="",IFERROR(VLOOKUP($AC55,CODES,2,FALSE),""),IFERROR(VLOOKUP($AO55,CODES,2,FALSE),""))&amp;" "&amp;IFERROR(VLOOKUP($AP55,CODES,2,FALSE),"")&amp;IF(OR($AQ55="",$AQ55="-"),""," SEAM "&amp;$AQ55)&amp;IF($AR55="Y"," ASTRAGAL","")&amp;IF($AJ55=""," "," "&amp;$AJ55)&amp;IF($AK55=""," "," "&amp;$AK55)&amp;IF(OR($AT55="",$AT55="ANSI/SDI",$AT55="CUSTOM LOC"),""," "&amp;$AT55)&amp;IF($AM55=""," "," SERIES "&amp;$AM55)&amp;" "&amp;IFERROR(VLOOKUP($H55,CODES,2,FALSE),"")&amp;IF($CT55," | LOC "&amp;$CZ55,"")))</f>
        <v/>
      </c>
      <c r="CL55" s="99">
        <f>IF(CP55="","",IF(COUNTIF($CP$6:CP55,CP55)=1,MAX($CL$5:CL54)+1,INDEX($CL$5:CL54,MATCH(CP55,$CP$5:CP54,0))))</f>
        <v/>
      </c>
      <c r="CM55" s="99">
        <f>IF(NOT(AND($A55&lt;&gt;"",$C55&lt;&gt;"DOOR ONLY")),"",MAX($CM$5:CM54)+1)</f>
        <v/>
      </c>
      <c r="CN55" s="99">
        <f>IF(NOT(AND($A55&lt;&gt;"",N($BJ55)&gt;0)),"",MAX($CN$5:CN54)+1)</f>
        <v/>
      </c>
      <c r="CO55" s="99">
        <f>IF($A55="","",MAX($CO$5:CO54)+1)</f>
        <v/>
      </c>
      <c r="CP55" s="99">
        <f>IF(OR($A55="",$BH55="",$BI55=""),"",$BG55&amp;"|"&amp;$O55&amp;"|"&amp;$AL55&amp;"|"&amp;$S55&amp;"|"&amp;$P55&amp;"|"&amp;$Q55&amp;$R55&amp;"|"&amp;$C55&amp;"|"&amp;$AB55)</f>
        <v/>
      </c>
      <c r="CQ55" s="99">
        <f>N($BS55)</f>
        <v/>
      </c>
      <c r="CR55" s="99">
        <f>IF(N($AU55)&gt;0,N($AU55),4.5)</f>
        <v/>
      </c>
      <c r="CS55" s="99">
        <f>OR($A55="",$BI55="",$S55="BL",AND($C55="FRAME ONLY",OR($AC55="",$AC55="BLK")))</f>
        <v/>
      </c>
      <c r="CT55" s="99">
        <f>AND(NOT($CS55),OR($AT55="CUSTOM LOC",N($AW55)+N($AX55)+N($AY55)+N($AZ55)+N($BA55)&gt;0))</f>
        <v/>
      </c>
      <c r="CU55" s="99">
        <f>IF($BI55="","",IF($BI55&lt;=80,80,IF($BI55&lt;=84,84,96)))</f>
        <v/>
      </c>
      <c r="CV55" s="99">
        <f>ISNUMBER(MATCH($AT55&amp;"|80",LocKeys,0))</f>
        <v/>
      </c>
      <c r="CW55" s="101">
        <f>IF($CS55,"",IF($CV55,VLOOKUP($AT55&amp;"|"&amp;$CU55,LocTable,4,FALSE),5))</f>
        <v/>
      </c>
      <c r="CX55" s="101">
        <f>IF($CS55,"",IF($CV55,IF(OR($BI55=$CU55,AND($BI55&lt;$CU55,$BI55-IF(N(VLOOKUP($AT55&amp;"|"&amp;$CU55,LocTable,7,FALSE))&gt;0,VLOOKUP($AT55&amp;"|"&amp;$CU55,LocTable,7,FALSE),VLOOKUP($AT55&amp;"|"&amp;$CU55,LocTable,6,FALSE))-$CR55-0.75&gt;=2.125)),IF(N(VLOOKUP($AT55&amp;"|"&amp;$CU55,LocTable,7,FALSE))&gt;0,VLOOKUP($AT55&amp;"|"&amp;$CU55,LocTable,7,FALSE),VLOOKUP($AT55&amp;"|"&amp;$CU55,LocTable,6,FALSE)),$BI55-($CU55-IF(N(VLOOKUP($AT55&amp;"|"&amp;$CU55,LocTable,7,FALSE))&gt;0,VLOOKUP($AT55&amp;"|"&amp;$CU55,LocTable,7,FALSE),VLOOKUP($AT55&amp;"|"&amp;$CU55,LocTable,6,FALSE)))),$BI55-10-$CR55))</f>
        <v/>
      </c>
      <c r="CY55" s="100">
        <f>IF($CS55,"",TRIM(IF(ISNUMBER($BU55),"A "&amp;TRIM(TEXT($BU55,"# ?/??"))&amp;CHAR(34)&amp;"  ","")&amp;IF(ISNUMBER($BV55),"B "&amp;TRIM(TEXT($BV55,"# ?/??"))&amp;CHAR(34)&amp;"  ","")&amp;IF(ISNUMBER($BW55),"C "&amp;TRIM(TEXT($BW55,"# ?/??"))&amp;CHAR(34)&amp;"  ","")&amp;IF(ISNUMBER($BX55),"D "&amp;TRIM(TEXT($BX55,"# ?/??"))&amp;CHAR(34)&amp;"  ","")&amp;IF(ISNUMBER($BY55),"F "&amp;TRIM(TEXT($BY55,"# ?/??"))&amp;CHAR(34)&amp;"  ","")&amp;IF(ISNUMBER($BZ55),"E "&amp;TRIM(TEXT($BZ55,"# ?/??"))&amp;CHAR(34)&amp;"  ","")))</f>
        <v/>
      </c>
      <c r="CZ55" s="100">
        <f>IF(OR($CS55,N($BJ55)=0),"",TRIM(IF(ISNUMBER($BU55),"A "&amp;TRIM(TEXT($BU55-HeadClr,"# ?/??"))&amp;CHAR(34)&amp;"  ","")&amp;IF(ISNUMBER($BV55),"B "&amp;TRIM(TEXT($BV55-HeadClr,"# ?/??"))&amp;CHAR(34)&amp;"  ","")&amp;IF(ISNUMBER($BW55),"C "&amp;TRIM(TEXT($BW55-HeadClr,"# ?/??"))&amp;CHAR(34)&amp;"  ","")&amp;IF(ISNUMBER($BX55),"D "&amp;TRIM(TEXT($BX55-HeadClr,"# ?/??"))&amp;CHAR(34)&amp;"  ","")&amp;IF(ISNUMBER($BY55),"F "&amp;TRIM(TEXT($BY55-HeadClr,"# ?/??"))&amp;CHAR(34)&amp;"  ","")&amp;IF(ISNUMBER($BZ55),"E "&amp;TRIM(TEXT($BZ55-HeadClr,"# ?/??"))&amp;CHAR(34)&amp;"  ","")))</f>
        <v/>
      </c>
      <c r="DA55" s="99">
        <f>IF($A55="","",IF($AN55="",IFERROR(VLOOKUP($Z55,CODES,2,FALSE),""),IFERROR(VLOOKUP($AN55,CODES,2,FALSE),"")))</f>
        <v/>
      </c>
      <c r="DB55" s="99">
        <f>IF($A55="","",IF($O55="Y","PR",IF(OR($Z55="L",$Z55="RR",LEFT($Z55,2)="L-",LEFT($Z55,3)="RR-"),"LH","RH")))</f>
        <v/>
      </c>
      <c r="DC55" s="99">
        <f>IF($A55="","","S.HM"&amp;IF(OR($C55="DOOR ONLY",$X55&lt;&gt;"KD"),"MASONRY","DRYWALL")&amp;IF($C55="DOOR ONLY","",$U55)&amp;IF(AND($C55&lt;&gt;"FRAME ONLY",OR(LEFT($AH55,3)="OAK",LEFT($AH55,3)="BIR",LEFT($AH55,3)="MAP",$AH55="PC",$AH55="MC",$AH55="SCLC",$AH55="P-LAM")),"WD","HM")&amp;"1.75")</f>
        <v/>
      </c>
      <c r="DD55" s="99">
        <f>IF($CJ55="","",IF($O55="Y",$CJ55,SUBSTITUTE($CJ55,$BG55&amp;" "&amp;IFERROR(VLOOKUP($Z55,CODES,2,FALSE),"")&amp;" ",$BG55&amp;" ")))</f>
        <v/>
      </c>
      <c r="DE55" s="99">
        <f>IF($CK55="","",IF($O55="Y",$CK55,SUBSTITUTE($CK55,$BG55&amp;" "&amp;IF($AN55="",IFERROR(VLOOKUP($Z55,CODES,2,FALSE),""),IFERROR(VLOOKUP($AN55,CODES,2,FALSE),""))&amp;" ",$BG55&amp;" ")))</f>
        <v/>
      </c>
      <c r="DF55" s="99">
        <f>IF($CJ55="","",$DC55&amp;"|"&amp;$DD55&amp;"|"&amp;$DB55&amp;"|"&amp;$AT55&amp;"|"&amp;$V55&amp;"|"&amp;$Y55&amp;"|"&amp;$AB55)</f>
        <v/>
      </c>
      <c r="DG55" s="99">
        <f>IF(DF55="","",IF(COUNTIF($DF$6:DF55,DF55)=1,MAX($DG$5:DG54)+1,INDEX($DG$5:DG54,MATCH(DF55,$DF$5:DF54,0))))</f>
        <v/>
      </c>
      <c r="DH55" s="99">
        <f>IF($CK55="","",$DC55&amp;"|"&amp;$DE55&amp;"|"&amp;$AI55&amp;"|"&amp;$BK55&amp;"|"&amp;$BL55)</f>
        <v/>
      </c>
      <c r="DI55" s="99">
        <f>IF(DH55="","",IF(COUNTIF($DH$6:DH55,DH55)=1,MAX($DI$5:DI54)+1,INDEX($DI$5:DI54,MATCH(DH55,$DH$5:DH54,0))))</f>
        <v/>
      </c>
      <c r="DJ55" s="99">
        <f>IF($A55="","",IF($B55="","qty, ","")&amp;IF($C55="","scope, ","")&amp;IF(OR($K55="",$M55=""),"size, ","")&amp;IF(AND($A55&lt;&gt;"",$C55&lt;&gt;"DOOR ONLY"),IF($U55="","jamb depth, ","")&amp;IF($X55="","construction, ","")&amp;IF($Y55="","anchor, ","")&amp;IF($S55="","frame type, ",""),"")&amp;IF(AND(N($BJ55)&gt;0,$Z55=""),"hand, ","")&amp;IF(N($BJ55)&gt;0,IF($AH55="","door material, ","")&amp;IF($AL55="","face type, ","")&amp;IF($AP55="","lock prep, ","")&amp;IF(AND($AO55="",$AC55=""),"hinge prep, ",""),"")&amp;IF(AND($CH55&gt;0,$AH55="FRP"),"FRP cannot carry a label, ","")&amp;IF(AND($O55="Y",OR($Z55="L",$Z55="R",$Z55="LR",$Z55="RR")),"pair marked but hand is single, ","")&amp;IF(AND($O55&lt;&gt;"Y",OR($Z55="PR",AND(LEN($Z55)&gt;1,ISNUMBER(SEARCH("-",$Z55))))),"pair hand on a single door, ","")&amp;IF(AND(ISNUMBER($CI55),$CH55&lt;N($CI55)),"wall needs a "&amp;$CI55&amp;" min door, ","")&amp;IF(AND($CH55&gt;=180,AND(OR($CE55="FG",$CE55="HG",$CE55="FNV",$CE55="FV"),N($CF55)*N($CG55)&gt;100)),"180 min lite over 100 sq in, ","")&amp;IF(N($BK55)&gt;48,"leaf wider than 4'-0"&amp;CHAR(34)&amp;", ","")&amp;IF(AND($CT55,COUNT($AW55:$AZ55)=0,$CQ55&gt;0),"CUSTOM LOC with no locations typed, ",""))</f>
        <v/>
      </c>
      <c r="DK55" s="99">
        <f>IF($A55="","",IF(AND($CH55&gt;0,AND($A55&lt;&gt;"",$C55&lt;&gt;"DOOR ONLY"),$X55="KD",$E55="EXTERIOR"),"KD label on an exterior opening, ","")&amp;IF(AND($E55="EXTERIOR",OR(AND(AND($A55&lt;&gt;"",$C55&lt;&gt;"DOOR ONLY"),$W55="CR"),AND(N($BJ55)&gt;0,$AH55="CR"))),"exterior in CR steel (G9?), ","")&amp;IF(AND(ISNUMBER($BQ55),N($BQ55)&lt;32),"clear width ~"&amp;TEXT($BQ55,"0.0")&amp;CHAR(34)&amp;" under 32"&amp;CHAR(34)&amp;" (ADA), ","")&amp;IF(AND($CH55=90,AND(OR($CE55="FG",$CE55="HG",$CE55="FNV",$CE55="FV"),N($CF55)*N($CG55)&gt;100)),"90 min lite over 100 sq in (stair/exit), ","")&amp;IF(AND($CH55&gt;0,AND($A55&lt;&gt;"",$C55&lt;&gt;"DOOR ONLY"),OR($AF55="",$AF55="-")),"rated: closer reinf.?, ","")&amp;IF(OR($I55="CORRIDOR",$I55="SMOKE BARRIER"),"S label + smoke gasketing, ","")&amp;IF($CI55="?","wall type/hr not in IBC table, ","")&amp;IF(AND(N($BJ55)&gt;0,$BB55=""),"no hardware set, ","")&amp;IF(AND($BB55&lt;&gt;"",ISNA(MATCH($BB55&amp;"",HWSets,0))),"set "&amp;$BB55&amp;" not on HW Sets, ","")&amp;IF(N($BL55)&gt;96,"leaf over 8'-0"&amp;CHAR(34)&amp;" - check listing, ","")&amp;IF(AND($CT55,COUNT($AW55:$AZ55)&gt;0,COUNT($AW55:$AZ55)&lt;&gt;$CQ55),COUNT($AW55:$AZ55)&amp;" custom hinges typed, "&amp;$CQ55&amp;" expected, ","")&amp;IF(AND(ISNUMBER($CA55),OR(N($CA55)&lt;34,N($CA55)&gt;48)),"lock "&amp;TEXT($CA55,"0.0")&amp;CHAR(34)&amp;" AFF outside 34-48"&amp;CHAR(34)&amp;" (ADA), ","")&amp;IF(AND(ISNUMBER($AV55),ISNUMBER($BL55),N($AV55)&lt;IF(N($BL55)&lt;=60,2,IF(N($BL55)&lt;=90,3,IF(N($BL55)&lt;=120,4,5)))),"fewer hinges than standard, ",""))</f>
        <v/>
      </c>
    </row>
    <row r="56" ht="15" customHeight="1">
      <c r="A56" s="77" t="n"/>
      <c r="B56" s="78" t="n"/>
      <c r="C56" s="78" t="n"/>
      <c r="D56" s="78" t="n"/>
      <c r="E56" s="78" t="n"/>
      <c r="F56" s="78" t="n"/>
      <c r="G56" s="78" t="n"/>
      <c r="H56" s="78" t="n"/>
      <c r="I56" s="78" t="n"/>
      <c r="J56" s="78" t="n"/>
      <c r="K56" s="78" t="n"/>
      <c r="L56" s="78" t="n"/>
      <c r="M56" s="78" t="n"/>
      <c r="N56" s="78" t="n"/>
      <c r="O56" s="78" t="n"/>
      <c r="P56" s="78" t="n"/>
      <c r="Q56" s="78" t="n"/>
      <c r="R56" s="78" t="n"/>
      <c r="S56" s="79" t="n"/>
      <c r="T56" s="79" t="n"/>
      <c r="U56" s="79" t="n"/>
      <c r="V56" s="79" t="n"/>
      <c r="W56" s="79" t="n"/>
      <c r="X56" s="79" t="n"/>
      <c r="Y56" s="79" t="n"/>
      <c r="Z56" s="79" t="n"/>
      <c r="AA56" s="79" t="n"/>
      <c r="AB56" s="79" t="n"/>
      <c r="AC56" s="79" t="n"/>
      <c r="AD56" s="79" t="n"/>
      <c r="AE56" s="79" t="n"/>
      <c r="AF56" s="79" t="n"/>
      <c r="AG56" s="79" t="n"/>
      <c r="AH56" s="80" t="n"/>
      <c r="AI56" s="80" t="n"/>
      <c r="AJ56" s="80" t="n"/>
      <c r="AK56" s="80" t="n"/>
      <c r="AL56" s="80" t="n"/>
      <c r="AM56" s="80" t="n"/>
      <c r="AN56" s="80" t="n"/>
      <c r="AO56" s="80" t="n"/>
      <c r="AP56" s="80" t="n"/>
      <c r="AQ56" s="80" t="n"/>
      <c r="AR56" s="80" t="n"/>
      <c r="AS56" s="80" t="n"/>
      <c r="AT56" s="81" t="n"/>
      <c r="AU56" s="81" t="n"/>
      <c r="AV56" s="81" t="n"/>
      <c r="AW56" s="82" t="n"/>
      <c r="AX56" s="82" t="n"/>
      <c r="AY56" s="82" t="n"/>
      <c r="AZ56" s="82" t="n"/>
      <c r="BA56" s="82" t="n"/>
      <c r="BB56" s="83" t="n"/>
      <c r="BC56" s="83" t="n"/>
      <c r="BD56" s="84">
        <f>IF($A56="","",IF($DJ56&lt;&gt;"","FIX",IF($DK56&lt;&gt;"","CHECK","OK")))</f>
        <v/>
      </c>
      <c r="BE56" s="85">
        <f>IF($A56="","",IF($DJ56&lt;&gt;"","FIX: "&amp;LEFT($DJ56,LEN($DJ56)-2)&amp;IF($DK56&lt;&gt;"","  ·  ",""),"")&amp;IF($DK56&lt;&gt;"","CHECK: "&amp;LEFT($DK56,LEN($DK56)-2),""))</f>
        <v/>
      </c>
      <c r="BF56" s="84">
        <f>IF(OR($A56="",$K56=""),"",$K56&amp;"'-"&amp;N($L56)&amp;CHAR(34)&amp;" x "&amp;$M56&amp;"'-"&amp;N($N56)&amp;CHAR(34))</f>
        <v/>
      </c>
      <c r="BG56" s="84">
        <f>IF(OR($A56="",$K56=""),"",$K56&amp;N($L56)&amp;$M56&amp;N($N56))</f>
        <v/>
      </c>
      <c r="BH56" s="84">
        <f>IF(OR($A56="",$K56=""),"",$K56*12+N($L56))</f>
        <v/>
      </c>
      <c r="BI56" s="84">
        <f>IF(OR($A56="",$M56=""),"",$M56*12+N($N56))</f>
        <v/>
      </c>
      <c r="BJ56" s="84">
        <f>IF($A56="","",IF(OR($C56="FRAME ONLY",$S56="BL"),0,IF($O56="Y",2,1)))</f>
        <v/>
      </c>
      <c r="BK56" s="86">
        <f>IF(OR(N($BJ56)=0,$BH56=""),"",($BH56-2*EdgeClr-IF($BJ56=2,MeetClr,0))/$BJ56)</f>
        <v/>
      </c>
      <c r="BL56" s="86">
        <f>IF(OR(N($BJ56)=0,$BI56=""),"",$BI56-HeadClr-Undercut)</f>
        <v/>
      </c>
      <c r="BM56" s="86">
        <f>IF($BH56="","",$BH56+2*FaceW+IF(N($Q56)&gt;0,($Q56+FaceW)*IF($R56="LR",2,1),0))</f>
        <v/>
      </c>
      <c r="BN56" s="86">
        <f>IF($BI56="","",$BI56+IF($AB56="Y",4,FaceW)+IF(N($P56)&gt;0,$P56+FaceW,0)+IF(OR($S56="4F",$S56="BL"),FaceW,0))</f>
        <v/>
      </c>
      <c r="BO56" s="86">
        <f>IF($BM56="","",$BM56+2*ROSide)</f>
        <v/>
      </c>
      <c r="BP56" s="86">
        <f>IF($BN56="","",$BN56+ROTop)</f>
        <v/>
      </c>
      <c r="BQ56" s="87">
        <f>IF(OR(N($BJ56)=0,$BH56=""),"",$BH56/$BJ56-ClearDeduct)</f>
        <v/>
      </c>
      <c r="BR56" s="84">
        <f>IF(N($CH56)=0,"",IF($CH56&gt;=180,"A · 3 HR",IF($CH56&gt;=90,"B · 1-1/2 HR",IF($CH56&gt;=60,"B · 1 HR",IF($CH56&gt;=45,"C · 3/4 HR","20 MIN")))))&amp;IF(AND(N($CH56)&gt;0,OR($I56="CORRIDOR",$I56="SMOKE BARRIER"))," · S","")</f>
        <v/>
      </c>
      <c r="BS56" s="84">
        <f>IF($CS56,"",IF($AV56&lt;&gt;"",$AV56,IF(OR($AC56="HGC",$AO56="HGC"),"CONT",IF(($BI56-HeadClr-Undercut)&lt;=60,2,IF(($BI56-HeadClr-Undercut)&lt;=90,3,IF(($BI56-HeadClr-Undercut)&lt;=120,4,5))))))</f>
        <v/>
      </c>
      <c r="BT56" s="84">
        <f>IF($CS56,"",IF($CT56,"CUSTOM (typed)",IF($CV56,$AT56&amp;" "&amp;$CU56&amp;CHAR(34)&amp;IF($CU56&lt;&gt;$BI56,IF(AND($BI56&lt;$CU56,$BI56-IF(N(VLOOKUP($AT56&amp;"|"&amp;$CU56,LocTable,7,FALSE))&gt;0,VLOOKUP($AT56&amp;"|"&amp;$CU56,LocTable,7,FALSE),VLOOKUP($AT56&amp;"|"&amp;$CU56,LocTable,6,FALSE))-$CR56-0.75&gt;=2.125)," cut down"," adj."),""),"ANSI/SDI A250.6")))</f>
        <v/>
      </c>
      <c r="BU56" s="88">
        <f>IF($CS56,"",IF($CT56,IF(N($AW56)&gt;0,N($AW56),""),IF(1&gt;$CQ56,"",IF($CQ56=1,$CW56,$CW56+($CX56-$CW56)*0/($CQ56-1)))))</f>
        <v/>
      </c>
      <c r="BV56" s="88">
        <f>IF($CS56,"",IF($CT56,IF(N($AX56)&gt;0,N($AX56),""),IF(2&gt;$CQ56,"",IF($CQ56=1,$CW56,$CW56+($CX56-$CW56)*1/($CQ56-1)))))</f>
        <v/>
      </c>
      <c r="BW56" s="88">
        <f>IF($CS56,"",IF($CT56,IF(N($AY56)&gt;0,N($AY56),""),IF(3&gt;$CQ56,"",IF($CQ56=1,$CW56,$CW56+($CX56-$CW56)*2/($CQ56-1)))))</f>
        <v/>
      </c>
      <c r="BX56" s="88">
        <f>IF($CS56,"",IF($CT56,IF(N($AZ56)&gt;0,N($AZ56),""),IF(4&gt;$CQ56,"",IF($CQ56=1,$CW56,$CW56+($CX56-$CW56)*3/($CQ56-1)))))</f>
        <v/>
      </c>
      <c r="BY56" s="88">
        <f>IF($CS56,"",IF($CT56,"",IF(5&gt;$CQ56,"",IF($CQ56=1,$CW56,$CW56+($CX56-$CW56)*4/($CQ56-1)))))</f>
        <v/>
      </c>
      <c r="BZ56" s="88">
        <f>IF(OR($CS56,$AP56="-",AND($AP56="",$AD56="")),"",IF(N($BA56)&gt;0,N($BA56),IF($CV56,IF(AND($BI56&lt;$CU56,$BI56-IF(N(VLOOKUP($AT56&amp;"|"&amp;$CU56,LocTable,7,FALSE))&gt;0,VLOOKUP($AT56&amp;"|"&amp;$CU56,LocTable,7,FALSE),VLOOKUP($AT56&amp;"|"&amp;$CU56,LocTable,6,FALSE))-$CR56-0.75&gt;=2.125),VLOOKUP($AT56&amp;"|"&amp;$CU56,LocTable,8,FALSE),VLOOKUP($AT56&amp;"|"&amp;$CU56,LocTable,8,FALSE)+($BI56-$CU56)),$BI56-LockAFF)))</f>
        <v/>
      </c>
      <c r="CA56" s="89">
        <f>IF($BZ56="","",$BI56-$BZ56)</f>
        <v/>
      </c>
      <c r="CB56" s="84">
        <f>IF(OR(NOT(AND($A56&lt;&gt;"",$C56&lt;&gt;"DOOR ONLY")),$BI56=""),"",IF(($BI56+IF(N($P56)&gt;0,$P56+FaceW,0))&lt;=90,3,IF(($BI56+IF(N($P56)&gt;0,$P56+FaceW,0))&lt;=114,4,5)))</f>
        <v/>
      </c>
      <c r="CC56" s="84">
        <f>IF($CB56="","",$CB56*(2+IF(N($Q56)&gt;0,IF($R56="LR",2,1),0)))</f>
        <v/>
      </c>
      <c r="CD56" s="84">
        <f>IF($CB56="","",(2+IF(N($Q56)&gt;0,IF($R56="LR",2,1),0)))</f>
        <v/>
      </c>
      <c r="CE56" s="84">
        <f>IF(N($BJ56)=0,"",IF(OR($AL56="",$AL56="FLUSH"),"FLUSH",IFERROR(LEFT($AL56,FIND("-",$AL56)-1),LEFT($AL56,2))))</f>
        <v/>
      </c>
      <c r="CF56" s="84">
        <f>IF($CE56="","",IFERROR(VALUE(MID($AL56,FIND("-",$AL56)+1,FIND(CHAR(34)&amp;"x",$AL56)-FIND("-",$AL56)-1)),0))</f>
        <v/>
      </c>
      <c r="CG56" s="84">
        <f>IF($CE56="","",IFERROR(VALUE(MID($AL56,FIND(CHAR(34)&amp;"x",$AL56)+2,FIND(CHAR(34),$AL56,FIND(CHAR(34)&amp;"x",$AL56)+2)-FIND(CHAR(34)&amp;"x",$AL56)-2)),0))</f>
        <v/>
      </c>
      <c r="CH56" s="90">
        <f>IF(OR($A56="",$H56="",$H56="NO LAB"),0,IFERROR(VALUE(LEFT($H56,FIND(" ",$H56)-1)),0))</f>
        <v/>
      </c>
      <c r="CI56" s="91">
        <f>IF(OR($A56="",$I56="",$I56="NON-RATED",N($J56)=0),"",IFERROR(VLOOKUP($I56&amp;"|"&amp;$J56,IBC,2,FALSE),"?"))</f>
        <v/>
      </c>
      <c r="CJ56" s="85">
        <f>IF(NOT(AND($A56&lt;&gt;"",$C56&lt;&gt;"DOOR ONLY")),"",TRIM(IFERROR(VLOOKUP($U56,CODES,2,FALSE),"")&amp;" "&amp;$BG56&amp;" "&amp;IFERROR(VLOOKUP($Z56,CODES,2,FALSE),"")&amp;" "&amp;IFERROR(VLOOKUP($X56,CODES,2,FALSE),"")&amp;" "&amp;IFERROR(VLOOKUP($S56,CODES,2,FALSE),"")&amp;IF(N($P56)&gt;0," w/TRANSOM "&amp;$P56&amp;CHAR(34),"")&amp;IF(N($Q56)&gt;0," w/SIDELITE "&amp;$Q56&amp;CHAR(34)&amp;" "&amp;IF($R56="","R",$R56),"")&amp;IF($Y56="","  |  "," | "&amp;IFERROR(VLOOKUP($Y56,CODES,2,FALSE),"")&amp;" | ")&amp;IFERROR(VLOOKUP($AC56,CODES,2,FALSE),"")&amp;" "&amp;IFERROR(VLOOKUP($AD56,CODES,2,FALSE),"")&amp;IF(OR($AE56="",$AE56="-"),""," "&amp;$AE56)&amp;IF(OR($AF56="",$AF56="-"),""," "&amp;$AF56)&amp;IF($AB56="Y"," 4"&amp;CHAR(34)&amp;" HEAD","")&amp;" "&amp;IFERROR(VLOOKUP($H56,CODES,2,FALSE),"")&amp;IF($CT56," | LOC "&amp;$CY56,"")))</f>
        <v/>
      </c>
      <c r="CK56" s="85">
        <f>IF(NOT(AND($A56&lt;&gt;"",N($BJ56)&gt;0)),"",TRIM(IFERROR(VLOOKUP($AH56,CODES,2,FALSE),"")&amp;IF($AI56=""," "," "&amp;$AI56&amp;"GA ")&amp;$BG56&amp;" "&amp;IF($AN56="",IFERROR(VLOOKUP($Z56,CODES,2,FALSE),""),IFERROR(VLOOKUP($AN56,CODES,2,FALSE),""))&amp;IF($BJ56=2," PAIR","")&amp;" DOOR | "&amp;IF($AL56="","?",$AL56)&amp;" | "&amp;IF($AO56="",IFERROR(VLOOKUP($AC56,CODES,2,FALSE),""),IFERROR(VLOOKUP($AO56,CODES,2,FALSE),""))&amp;" "&amp;IFERROR(VLOOKUP($AP56,CODES,2,FALSE),"")&amp;IF(OR($AQ56="",$AQ56="-"),""," SEAM "&amp;$AQ56)&amp;IF($AR56="Y"," ASTRAGAL","")&amp;IF($AJ56=""," "," "&amp;$AJ56)&amp;IF($AK56=""," "," "&amp;$AK56)&amp;IF(OR($AT56="",$AT56="ANSI/SDI",$AT56="CUSTOM LOC"),""," "&amp;$AT56)&amp;IF($AM56=""," "," SERIES "&amp;$AM56)&amp;" "&amp;IFERROR(VLOOKUP($H56,CODES,2,FALSE),"")&amp;IF($CT56," | LOC "&amp;$CZ56,"")))</f>
        <v/>
      </c>
      <c r="CL56" s="84">
        <f>IF(CP56="","",IF(COUNTIF($CP$6:CP56,CP56)=1,MAX($CL$5:CL55)+1,INDEX($CL$5:CL55,MATCH(CP56,$CP$5:CP55,0))))</f>
        <v/>
      </c>
      <c r="CM56" s="84">
        <f>IF(NOT(AND($A56&lt;&gt;"",$C56&lt;&gt;"DOOR ONLY")),"",MAX($CM$5:CM55)+1)</f>
        <v/>
      </c>
      <c r="CN56" s="84">
        <f>IF(NOT(AND($A56&lt;&gt;"",N($BJ56)&gt;0)),"",MAX($CN$5:CN55)+1)</f>
        <v/>
      </c>
      <c r="CO56" s="84">
        <f>IF($A56="","",MAX($CO$5:CO55)+1)</f>
        <v/>
      </c>
      <c r="CP56" s="84">
        <f>IF(OR($A56="",$BH56="",$BI56=""),"",$BG56&amp;"|"&amp;$O56&amp;"|"&amp;$AL56&amp;"|"&amp;$S56&amp;"|"&amp;$P56&amp;"|"&amp;$Q56&amp;$R56&amp;"|"&amp;$C56&amp;"|"&amp;$AB56)</f>
        <v/>
      </c>
      <c r="CQ56" s="84">
        <f>N($BS56)</f>
        <v/>
      </c>
      <c r="CR56" s="84">
        <f>IF(N($AU56)&gt;0,N($AU56),4.5)</f>
        <v/>
      </c>
      <c r="CS56" s="84">
        <f>OR($A56="",$BI56="",$S56="BL",AND($C56="FRAME ONLY",OR($AC56="",$AC56="BLK")))</f>
        <v/>
      </c>
      <c r="CT56" s="84">
        <f>AND(NOT($CS56),OR($AT56="CUSTOM LOC",N($AW56)+N($AX56)+N($AY56)+N($AZ56)+N($BA56)&gt;0))</f>
        <v/>
      </c>
      <c r="CU56" s="84">
        <f>IF($BI56="","",IF($BI56&lt;=80,80,IF($BI56&lt;=84,84,96)))</f>
        <v/>
      </c>
      <c r="CV56" s="84">
        <f>ISNUMBER(MATCH($AT56&amp;"|80",LocKeys,0))</f>
        <v/>
      </c>
      <c r="CW56" s="86">
        <f>IF($CS56,"",IF($CV56,VLOOKUP($AT56&amp;"|"&amp;$CU56,LocTable,4,FALSE),5))</f>
        <v/>
      </c>
      <c r="CX56" s="86">
        <f>IF($CS56,"",IF($CV56,IF(OR($BI56=$CU56,AND($BI56&lt;$CU56,$BI56-IF(N(VLOOKUP($AT56&amp;"|"&amp;$CU56,LocTable,7,FALSE))&gt;0,VLOOKUP($AT56&amp;"|"&amp;$CU56,LocTable,7,FALSE),VLOOKUP($AT56&amp;"|"&amp;$CU56,LocTable,6,FALSE))-$CR56-0.75&gt;=2.125)),IF(N(VLOOKUP($AT56&amp;"|"&amp;$CU56,LocTable,7,FALSE))&gt;0,VLOOKUP($AT56&amp;"|"&amp;$CU56,LocTable,7,FALSE),VLOOKUP($AT56&amp;"|"&amp;$CU56,LocTable,6,FALSE)),$BI56-($CU56-IF(N(VLOOKUP($AT56&amp;"|"&amp;$CU56,LocTable,7,FALSE))&gt;0,VLOOKUP($AT56&amp;"|"&amp;$CU56,LocTable,7,FALSE),VLOOKUP($AT56&amp;"|"&amp;$CU56,LocTable,6,FALSE)))),$BI56-10-$CR56))</f>
        <v/>
      </c>
      <c r="CY56" s="85">
        <f>IF($CS56,"",TRIM(IF(ISNUMBER($BU56),"A "&amp;TRIM(TEXT($BU56,"# ?/??"))&amp;CHAR(34)&amp;"  ","")&amp;IF(ISNUMBER($BV56),"B "&amp;TRIM(TEXT($BV56,"# ?/??"))&amp;CHAR(34)&amp;"  ","")&amp;IF(ISNUMBER($BW56),"C "&amp;TRIM(TEXT($BW56,"# ?/??"))&amp;CHAR(34)&amp;"  ","")&amp;IF(ISNUMBER($BX56),"D "&amp;TRIM(TEXT($BX56,"# ?/??"))&amp;CHAR(34)&amp;"  ","")&amp;IF(ISNUMBER($BY56),"F "&amp;TRIM(TEXT($BY56,"# ?/??"))&amp;CHAR(34)&amp;"  ","")&amp;IF(ISNUMBER($BZ56),"E "&amp;TRIM(TEXT($BZ56,"# ?/??"))&amp;CHAR(34)&amp;"  ","")))</f>
        <v/>
      </c>
      <c r="CZ56" s="85">
        <f>IF(OR($CS56,N($BJ56)=0),"",TRIM(IF(ISNUMBER($BU56),"A "&amp;TRIM(TEXT($BU56-HeadClr,"# ?/??"))&amp;CHAR(34)&amp;"  ","")&amp;IF(ISNUMBER($BV56),"B "&amp;TRIM(TEXT($BV56-HeadClr,"# ?/??"))&amp;CHAR(34)&amp;"  ","")&amp;IF(ISNUMBER($BW56),"C "&amp;TRIM(TEXT($BW56-HeadClr,"# ?/??"))&amp;CHAR(34)&amp;"  ","")&amp;IF(ISNUMBER($BX56),"D "&amp;TRIM(TEXT($BX56-HeadClr,"# ?/??"))&amp;CHAR(34)&amp;"  ","")&amp;IF(ISNUMBER($BY56),"F "&amp;TRIM(TEXT($BY56-HeadClr,"# ?/??"))&amp;CHAR(34)&amp;"  ","")&amp;IF(ISNUMBER($BZ56),"E "&amp;TRIM(TEXT($BZ56-HeadClr,"# ?/??"))&amp;CHAR(34)&amp;"  ","")))</f>
        <v/>
      </c>
      <c r="DA56" s="84">
        <f>IF($A56="","",IF($AN56="",IFERROR(VLOOKUP($Z56,CODES,2,FALSE),""),IFERROR(VLOOKUP($AN56,CODES,2,FALSE),"")))</f>
        <v/>
      </c>
      <c r="DB56" s="84">
        <f>IF($A56="","",IF($O56="Y","PR",IF(OR($Z56="L",$Z56="RR",LEFT($Z56,2)="L-",LEFT($Z56,3)="RR-"),"LH","RH")))</f>
        <v/>
      </c>
      <c r="DC56" s="84">
        <f>IF($A56="","","S.HM"&amp;IF(OR($C56="DOOR ONLY",$X56&lt;&gt;"KD"),"MASONRY","DRYWALL")&amp;IF($C56="DOOR ONLY","",$U56)&amp;IF(AND($C56&lt;&gt;"FRAME ONLY",OR(LEFT($AH56,3)="OAK",LEFT($AH56,3)="BIR",LEFT($AH56,3)="MAP",$AH56="PC",$AH56="MC",$AH56="SCLC",$AH56="P-LAM")),"WD","HM")&amp;"1.75")</f>
        <v/>
      </c>
      <c r="DD56" s="84">
        <f>IF($CJ56="","",IF($O56="Y",$CJ56,SUBSTITUTE($CJ56,$BG56&amp;" "&amp;IFERROR(VLOOKUP($Z56,CODES,2,FALSE),"")&amp;" ",$BG56&amp;" ")))</f>
        <v/>
      </c>
      <c r="DE56" s="84">
        <f>IF($CK56="","",IF($O56="Y",$CK56,SUBSTITUTE($CK56,$BG56&amp;" "&amp;IF($AN56="",IFERROR(VLOOKUP($Z56,CODES,2,FALSE),""),IFERROR(VLOOKUP($AN56,CODES,2,FALSE),""))&amp;" ",$BG56&amp;" ")))</f>
        <v/>
      </c>
      <c r="DF56" s="84">
        <f>IF($CJ56="","",$DC56&amp;"|"&amp;$DD56&amp;"|"&amp;$DB56&amp;"|"&amp;$AT56&amp;"|"&amp;$V56&amp;"|"&amp;$Y56&amp;"|"&amp;$AB56)</f>
        <v/>
      </c>
      <c r="DG56" s="84">
        <f>IF(DF56="","",IF(COUNTIF($DF$6:DF56,DF56)=1,MAX($DG$5:DG55)+1,INDEX($DG$5:DG55,MATCH(DF56,$DF$5:DF55,0))))</f>
        <v/>
      </c>
      <c r="DH56" s="84">
        <f>IF($CK56="","",$DC56&amp;"|"&amp;$DE56&amp;"|"&amp;$AI56&amp;"|"&amp;$BK56&amp;"|"&amp;$BL56)</f>
        <v/>
      </c>
      <c r="DI56" s="84">
        <f>IF(DH56="","",IF(COUNTIF($DH$6:DH56,DH56)=1,MAX($DI$5:DI55)+1,INDEX($DI$5:DI55,MATCH(DH56,$DH$5:DH55,0))))</f>
        <v/>
      </c>
      <c r="DJ56" s="84">
        <f>IF($A56="","",IF($B56="","qty, ","")&amp;IF($C56="","scope, ","")&amp;IF(OR($K56="",$M56=""),"size, ","")&amp;IF(AND($A56&lt;&gt;"",$C56&lt;&gt;"DOOR ONLY"),IF($U56="","jamb depth, ","")&amp;IF($X56="","construction, ","")&amp;IF($Y56="","anchor, ","")&amp;IF($S56="","frame type, ",""),"")&amp;IF(AND(N($BJ56)&gt;0,$Z56=""),"hand, ","")&amp;IF(N($BJ56)&gt;0,IF($AH56="","door material, ","")&amp;IF($AL56="","face type, ","")&amp;IF($AP56="","lock prep, ","")&amp;IF(AND($AO56="",$AC56=""),"hinge prep, ",""),"")&amp;IF(AND($CH56&gt;0,$AH56="FRP"),"FRP cannot carry a label, ","")&amp;IF(AND($O56="Y",OR($Z56="L",$Z56="R",$Z56="LR",$Z56="RR")),"pair marked but hand is single, ","")&amp;IF(AND($O56&lt;&gt;"Y",OR($Z56="PR",AND(LEN($Z56)&gt;1,ISNUMBER(SEARCH("-",$Z56))))),"pair hand on a single door, ","")&amp;IF(AND(ISNUMBER($CI56),$CH56&lt;N($CI56)),"wall needs a "&amp;$CI56&amp;" min door, ","")&amp;IF(AND($CH56&gt;=180,AND(OR($CE56="FG",$CE56="HG",$CE56="FNV",$CE56="FV"),N($CF56)*N($CG56)&gt;100)),"180 min lite over 100 sq in, ","")&amp;IF(N($BK56)&gt;48,"leaf wider than 4'-0"&amp;CHAR(34)&amp;", ","")&amp;IF(AND($CT56,COUNT($AW56:$AZ56)=0,$CQ56&gt;0),"CUSTOM LOC with no locations typed, ",""))</f>
        <v/>
      </c>
      <c r="DK56" s="84">
        <f>IF($A56="","",IF(AND($CH56&gt;0,AND($A56&lt;&gt;"",$C56&lt;&gt;"DOOR ONLY"),$X56="KD",$E56="EXTERIOR"),"KD label on an exterior opening, ","")&amp;IF(AND($E56="EXTERIOR",OR(AND(AND($A56&lt;&gt;"",$C56&lt;&gt;"DOOR ONLY"),$W56="CR"),AND(N($BJ56)&gt;0,$AH56="CR"))),"exterior in CR steel (G9?), ","")&amp;IF(AND(ISNUMBER($BQ56),N($BQ56)&lt;32),"clear width ~"&amp;TEXT($BQ56,"0.0")&amp;CHAR(34)&amp;" under 32"&amp;CHAR(34)&amp;" (ADA), ","")&amp;IF(AND($CH56=90,AND(OR($CE56="FG",$CE56="HG",$CE56="FNV",$CE56="FV"),N($CF56)*N($CG56)&gt;100)),"90 min lite over 100 sq in (stair/exit), ","")&amp;IF(AND($CH56&gt;0,AND($A56&lt;&gt;"",$C56&lt;&gt;"DOOR ONLY"),OR($AF56="",$AF56="-")),"rated: closer reinf.?, ","")&amp;IF(OR($I56="CORRIDOR",$I56="SMOKE BARRIER"),"S label + smoke gasketing, ","")&amp;IF($CI56="?","wall type/hr not in IBC table, ","")&amp;IF(AND(N($BJ56)&gt;0,$BB56=""),"no hardware set, ","")&amp;IF(AND($BB56&lt;&gt;"",ISNA(MATCH($BB56&amp;"",HWSets,0))),"set "&amp;$BB56&amp;" not on HW Sets, ","")&amp;IF(N($BL56)&gt;96,"leaf over 8'-0"&amp;CHAR(34)&amp;" - check listing, ","")&amp;IF(AND($CT56,COUNT($AW56:$AZ56)&gt;0,COUNT($AW56:$AZ56)&lt;&gt;$CQ56),COUNT($AW56:$AZ56)&amp;" custom hinges typed, "&amp;$CQ56&amp;" expected, ","")&amp;IF(AND(ISNUMBER($CA56),OR(N($CA56)&lt;34,N($CA56)&gt;48)),"lock "&amp;TEXT($CA56,"0.0")&amp;CHAR(34)&amp;" AFF outside 34-48"&amp;CHAR(34)&amp;" (ADA), ","")&amp;IF(AND(ISNUMBER($AV56),ISNUMBER($BL56),N($AV56)&lt;IF(N($BL56)&lt;=60,2,IF(N($BL56)&lt;=90,3,IF(N($BL56)&lt;=120,4,5)))),"fewer hinges than standard, ",""))</f>
        <v/>
      </c>
    </row>
    <row r="57" ht="15" customHeight="1">
      <c r="A57" s="77" t="n"/>
      <c r="B57" s="78" t="n"/>
      <c r="C57" s="78" t="n"/>
      <c r="D57" s="78" t="n"/>
      <c r="E57" s="78" t="n"/>
      <c r="F57" s="78" t="n"/>
      <c r="G57" s="78" t="n"/>
      <c r="H57" s="78" t="n"/>
      <c r="I57" s="78" t="n"/>
      <c r="J57" s="78" t="n"/>
      <c r="K57" s="78" t="n"/>
      <c r="L57" s="78" t="n"/>
      <c r="M57" s="78" t="n"/>
      <c r="N57" s="78" t="n"/>
      <c r="O57" s="78" t="n"/>
      <c r="P57" s="78" t="n"/>
      <c r="Q57" s="78" t="n"/>
      <c r="R57" s="78" t="n"/>
      <c r="S57" s="79" t="n"/>
      <c r="T57" s="79" t="n"/>
      <c r="U57" s="79" t="n"/>
      <c r="V57" s="79" t="n"/>
      <c r="W57" s="79" t="n"/>
      <c r="X57" s="79" t="n"/>
      <c r="Y57" s="79" t="n"/>
      <c r="Z57" s="79" t="n"/>
      <c r="AA57" s="79" t="n"/>
      <c r="AB57" s="79" t="n"/>
      <c r="AC57" s="79" t="n"/>
      <c r="AD57" s="79" t="n"/>
      <c r="AE57" s="79" t="n"/>
      <c r="AF57" s="79" t="n"/>
      <c r="AG57" s="79" t="n"/>
      <c r="AH57" s="80" t="n"/>
      <c r="AI57" s="80" t="n"/>
      <c r="AJ57" s="80" t="n"/>
      <c r="AK57" s="80" t="n"/>
      <c r="AL57" s="80" t="n"/>
      <c r="AM57" s="80" t="n"/>
      <c r="AN57" s="80" t="n"/>
      <c r="AO57" s="80" t="n"/>
      <c r="AP57" s="80" t="n"/>
      <c r="AQ57" s="80" t="n"/>
      <c r="AR57" s="80" t="n"/>
      <c r="AS57" s="80" t="n"/>
      <c r="AT57" s="81" t="n"/>
      <c r="AU57" s="81" t="n"/>
      <c r="AV57" s="81" t="n"/>
      <c r="AW57" s="82" t="n"/>
      <c r="AX57" s="82" t="n"/>
      <c r="AY57" s="82" t="n"/>
      <c r="AZ57" s="82" t="n"/>
      <c r="BA57" s="82" t="n"/>
      <c r="BB57" s="83" t="n"/>
      <c r="BC57" s="83" t="n"/>
      <c r="BD57" s="84">
        <f>IF($A57="","",IF($DJ57&lt;&gt;"","FIX",IF($DK57&lt;&gt;"","CHECK","OK")))</f>
        <v/>
      </c>
      <c r="BE57" s="85">
        <f>IF($A57="","",IF($DJ57&lt;&gt;"","FIX: "&amp;LEFT($DJ57,LEN($DJ57)-2)&amp;IF($DK57&lt;&gt;"","  ·  ",""),"")&amp;IF($DK57&lt;&gt;"","CHECK: "&amp;LEFT($DK57,LEN($DK57)-2),""))</f>
        <v/>
      </c>
      <c r="BF57" s="84">
        <f>IF(OR($A57="",$K57=""),"",$K57&amp;"'-"&amp;N($L57)&amp;CHAR(34)&amp;" x "&amp;$M57&amp;"'-"&amp;N($N57)&amp;CHAR(34))</f>
        <v/>
      </c>
      <c r="BG57" s="84">
        <f>IF(OR($A57="",$K57=""),"",$K57&amp;N($L57)&amp;$M57&amp;N($N57))</f>
        <v/>
      </c>
      <c r="BH57" s="84">
        <f>IF(OR($A57="",$K57=""),"",$K57*12+N($L57))</f>
        <v/>
      </c>
      <c r="BI57" s="84">
        <f>IF(OR($A57="",$M57=""),"",$M57*12+N($N57))</f>
        <v/>
      </c>
      <c r="BJ57" s="84">
        <f>IF($A57="","",IF(OR($C57="FRAME ONLY",$S57="BL"),0,IF($O57="Y",2,1)))</f>
        <v/>
      </c>
      <c r="BK57" s="86">
        <f>IF(OR(N($BJ57)=0,$BH57=""),"",($BH57-2*EdgeClr-IF($BJ57=2,MeetClr,0))/$BJ57)</f>
        <v/>
      </c>
      <c r="BL57" s="86">
        <f>IF(OR(N($BJ57)=0,$BI57=""),"",$BI57-HeadClr-Undercut)</f>
        <v/>
      </c>
      <c r="BM57" s="86">
        <f>IF($BH57="","",$BH57+2*FaceW+IF(N($Q57)&gt;0,($Q57+FaceW)*IF($R57="LR",2,1),0))</f>
        <v/>
      </c>
      <c r="BN57" s="86">
        <f>IF($BI57="","",$BI57+IF($AB57="Y",4,FaceW)+IF(N($P57)&gt;0,$P57+FaceW,0)+IF(OR($S57="4F",$S57="BL"),FaceW,0))</f>
        <v/>
      </c>
      <c r="BO57" s="86">
        <f>IF($BM57="","",$BM57+2*ROSide)</f>
        <v/>
      </c>
      <c r="BP57" s="86">
        <f>IF($BN57="","",$BN57+ROTop)</f>
        <v/>
      </c>
      <c r="BQ57" s="87">
        <f>IF(OR(N($BJ57)=0,$BH57=""),"",$BH57/$BJ57-ClearDeduct)</f>
        <v/>
      </c>
      <c r="BR57" s="84">
        <f>IF(N($CH57)=0,"",IF($CH57&gt;=180,"A · 3 HR",IF($CH57&gt;=90,"B · 1-1/2 HR",IF($CH57&gt;=60,"B · 1 HR",IF($CH57&gt;=45,"C · 3/4 HR","20 MIN")))))&amp;IF(AND(N($CH57)&gt;0,OR($I57="CORRIDOR",$I57="SMOKE BARRIER"))," · S","")</f>
        <v/>
      </c>
      <c r="BS57" s="84">
        <f>IF($CS57,"",IF($AV57&lt;&gt;"",$AV57,IF(OR($AC57="HGC",$AO57="HGC"),"CONT",IF(($BI57-HeadClr-Undercut)&lt;=60,2,IF(($BI57-HeadClr-Undercut)&lt;=90,3,IF(($BI57-HeadClr-Undercut)&lt;=120,4,5))))))</f>
        <v/>
      </c>
      <c r="BT57" s="84">
        <f>IF($CS57,"",IF($CT57,"CUSTOM (typed)",IF($CV57,$AT57&amp;" "&amp;$CU57&amp;CHAR(34)&amp;IF($CU57&lt;&gt;$BI57,IF(AND($BI57&lt;$CU57,$BI57-IF(N(VLOOKUP($AT57&amp;"|"&amp;$CU57,LocTable,7,FALSE))&gt;0,VLOOKUP($AT57&amp;"|"&amp;$CU57,LocTable,7,FALSE),VLOOKUP($AT57&amp;"|"&amp;$CU57,LocTable,6,FALSE))-$CR57-0.75&gt;=2.125)," cut down"," adj."),""),"ANSI/SDI A250.6")))</f>
        <v/>
      </c>
      <c r="BU57" s="88">
        <f>IF($CS57,"",IF($CT57,IF(N($AW57)&gt;0,N($AW57),""),IF(1&gt;$CQ57,"",IF($CQ57=1,$CW57,$CW57+($CX57-$CW57)*0/($CQ57-1)))))</f>
        <v/>
      </c>
      <c r="BV57" s="88">
        <f>IF($CS57,"",IF($CT57,IF(N($AX57)&gt;0,N($AX57),""),IF(2&gt;$CQ57,"",IF($CQ57=1,$CW57,$CW57+($CX57-$CW57)*1/($CQ57-1)))))</f>
        <v/>
      </c>
      <c r="BW57" s="88">
        <f>IF($CS57,"",IF($CT57,IF(N($AY57)&gt;0,N($AY57),""),IF(3&gt;$CQ57,"",IF($CQ57=1,$CW57,$CW57+($CX57-$CW57)*2/($CQ57-1)))))</f>
        <v/>
      </c>
      <c r="BX57" s="88">
        <f>IF($CS57,"",IF($CT57,IF(N($AZ57)&gt;0,N($AZ57),""),IF(4&gt;$CQ57,"",IF($CQ57=1,$CW57,$CW57+($CX57-$CW57)*3/($CQ57-1)))))</f>
        <v/>
      </c>
      <c r="BY57" s="88">
        <f>IF($CS57,"",IF($CT57,"",IF(5&gt;$CQ57,"",IF($CQ57=1,$CW57,$CW57+($CX57-$CW57)*4/($CQ57-1)))))</f>
        <v/>
      </c>
      <c r="BZ57" s="88">
        <f>IF(OR($CS57,$AP57="-",AND($AP57="",$AD57="")),"",IF(N($BA57)&gt;0,N($BA57),IF($CV57,IF(AND($BI57&lt;$CU57,$BI57-IF(N(VLOOKUP($AT57&amp;"|"&amp;$CU57,LocTable,7,FALSE))&gt;0,VLOOKUP($AT57&amp;"|"&amp;$CU57,LocTable,7,FALSE),VLOOKUP($AT57&amp;"|"&amp;$CU57,LocTable,6,FALSE))-$CR57-0.75&gt;=2.125),VLOOKUP($AT57&amp;"|"&amp;$CU57,LocTable,8,FALSE),VLOOKUP($AT57&amp;"|"&amp;$CU57,LocTable,8,FALSE)+($BI57-$CU57)),$BI57-LockAFF)))</f>
        <v/>
      </c>
      <c r="CA57" s="89">
        <f>IF($BZ57="","",$BI57-$BZ57)</f>
        <v/>
      </c>
      <c r="CB57" s="84">
        <f>IF(OR(NOT(AND($A57&lt;&gt;"",$C57&lt;&gt;"DOOR ONLY")),$BI57=""),"",IF(($BI57+IF(N($P57)&gt;0,$P57+FaceW,0))&lt;=90,3,IF(($BI57+IF(N($P57)&gt;0,$P57+FaceW,0))&lt;=114,4,5)))</f>
        <v/>
      </c>
      <c r="CC57" s="84">
        <f>IF($CB57="","",$CB57*(2+IF(N($Q57)&gt;0,IF($R57="LR",2,1),0)))</f>
        <v/>
      </c>
      <c r="CD57" s="84">
        <f>IF($CB57="","",(2+IF(N($Q57)&gt;0,IF($R57="LR",2,1),0)))</f>
        <v/>
      </c>
      <c r="CE57" s="84">
        <f>IF(N($BJ57)=0,"",IF(OR($AL57="",$AL57="FLUSH"),"FLUSH",IFERROR(LEFT($AL57,FIND("-",$AL57)-1),LEFT($AL57,2))))</f>
        <v/>
      </c>
      <c r="CF57" s="84">
        <f>IF($CE57="","",IFERROR(VALUE(MID($AL57,FIND("-",$AL57)+1,FIND(CHAR(34)&amp;"x",$AL57)-FIND("-",$AL57)-1)),0))</f>
        <v/>
      </c>
      <c r="CG57" s="84">
        <f>IF($CE57="","",IFERROR(VALUE(MID($AL57,FIND(CHAR(34)&amp;"x",$AL57)+2,FIND(CHAR(34),$AL57,FIND(CHAR(34)&amp;"x",$AL57)+2)-FIND(CHAR(34)&amp;"x",$AL57)-2)),0))</f>
        <v/>
      </c>
      <c r="CH57" s="90">
        <f>IF(OR($A57="",$H57="",$H57="NO LAB"),0,IFERROR(VALUE(LEFT($H57,FIND(" ",$H57)-1)),0))</f>
        <v/>
      </c>
      <c r="CI57" s="91">
        <f>IF(OR($A57="",$I57="",$I57="NON-RATED",N($J57)=0),"",IFERROR(VLOOKUP($I57&amp;"|"&amp;$J57,IBC,2,FALSE),"?"))</f>
        <v/>
      </c>
      <c r="CJ57" s="85">
        <f>IF(NOT(AND($A57&lt;&gt;"",$C57&lt;&gt;"DOOR ONLY")),"",TRIM(IFERROR(VLOOKUP($U57,CODES,2,FALSE),"")&amp;" "&amp;$BG57&amp;" "&amp;IFERROR(VLOOKUP($Z57,CODES,2,FALSE),"")&amp;" "&amp;IFERROR(VLOOKUP($X57,CODES,2,FALSE),"")&amp;" "&amp;IFERROR(VLOOKUP($S57,CODES,2,FALSE),"")&amp;IF(N($P57)&gt;0," w/TRANSOM "&amp;$P57&amp;CHAR(34),"")&amp;IF(N($Q57)&gt;0," w/SIDELITE "&amp;$Q57&amp;CHAR(34)&amp;" "&amp;IF($R57="","R",$R57),"")&amp;IF($Y57="","  |  "," | "&amp;IFERROR(VLOOKUP($Y57,CODES,2,FALSE),"")&amp;" | ")&amp;IFERROR(VLOOKUP($AC57,CODES,2,FALSE),"")&amp;" "&amp;IFERROR(VLOOKUP($AD57,CODES,2,FALSE),"")&amp;IF(OR($AE57="",$AE57="-"),""," "&amp;$AE57)&amp;IF(OR($AF57="",$AF57="-"),""," "&amp;$AF57)&amp;IF($AB57="Y"," 4"&amp;CHAR(34)&amp;" HEAD","")&amp;" "&amp;IFERROR(VLOOKUP($H57,CODES,2,FALSE),"")&amp;IF($CT57," | LOC "&amp;$CY57,"")))</f>
        <v/>
      </c>
      <c r="CK57" s="85">
        <f>IF(NOT(AND($A57&lt;&gt;"",N($BJ57)&gt;0)),"",TRIM(IFERROR(VLOOKUP($AH57,CODES,2,FALSE),"")&amp;IF($AI57=""," "," "&amp;$AI57&amp;"GA ")&amp;$BG57&amp;" "&amp;IF($AN57="",IFERROR(VLOOKUP($Z57,CODES,2,FALSE),""),IFERROR(VLOOKUP($AN57,CODES,2,FALSE),""))&amp;IF($BJ57=2," PAIR","")&amp;" DOOR | "&amp;IF($AL57="","?",$AL57)&amp;" | "&amp;IF($AO57="",IFERROR(VLOOKUP($AC57,CODES,2,FALSE),""),IFERROR(VLOOKUP($AO57,CODES,2,FALSE),""))&amp;" "&amp;IFERROR(VLOOKUP($AP57,CODES,2,FALSE),"")&amp;IF(OR($AQ57="",$AQ57="-"),""," SEAM "&amp;$AQ57)&amp;IF($AR57="Y"," ASTRAGAL","")&amp;IF($AJ57=""," "," "&amp;$AJ57)&amp;IF($AK57=""," "," "&amp;$AK57)&amp;IF(OR($AT57="",$AT57="ANSI/SDI",$AT57="CUSTOM LOC"),""," "&amp;$AT57)&amp;IF($AM57=""," "," SERIES "&amp;$AM57)&amp;" "&amp;IFERROR(VLOOKUP($H57,CODES,2,FALSE),"")&amp;IF($CT57," | LOC "&amp;$CZ57,"")))</f>
        <v/>
      </c>
      <c r="CL57" s="84">
        <f>IF(CP57="","",IF(COUNTIF($CP$6:CP57,CP57)=1,MAX($CL$5:CL56)+1,INDEX($CL$5:CL56,MATCH(CP57,$CP$5:CP56,0))))</f>
        <v/>
      </c>
      <c r="CM57" s="84">
        <f>IF(NOT(AND($A57&lt;&gt;"",$C57&lt;&gt;"DOOR ONLY")),"",MAX($CM$5:CM56)+1)</f>
        <v/>
      </c>
      <c r="CN57" s="84">
        <f>IF(NOT(AND($A57&lt;&gt;"",N($BJ57)&gt;0)),"",MAX($CN$5:CN56)+1)</f>
        <v/>
      </c>
      <c r="CO57" s="84">
        <f>IF($A57="","",MAX($CO$5:CO56)+1)</f>
        <v/>
      </c>
      <c r="CP57" s="84">
        <f>IF(OR($A57="",$BH57="",$BI57=""),"",$BG57&amp;"|"&amp;$O57&amp;"|"&amp;$AL57&amp;"|"&amp;$S57&amp;"|"&amp;$P57&amp;"|"&amp;$Q57&amp;$R57&amp;"|"&amp;$C57&amp;"|"&amp;$AB57)</f>
        <v/>
      </c>
      <c r="CQ57" s="84">
        <f>N($BS57)</f>
        <v/>
      </c>
      <c r="CR57" s="84">
        <f>IF(N($AU57)&gt;0,N($AU57),4.5)</f>
        <v/>
      </c>
      <c r="CS57" s="84">
        <f>OR($A57="",$BI57="",$S57="BL",AND($C57="FRAME ONLY",OR($AC57="",$AC57="BLK")))</f>
        <v/>
      </c>
      <c r="CT57" s="84">
        <f>AND(NOT($CS57),OR($AT57="CUSTOM LOC",N($AW57)+N($AX57)+N($AY57)+N($AZ57)+N($BA57)&gt;0))</f>
        <v/>
      </c>
      <c r="CU57" s="84">
        <f>IF($BI57="","",IF($BI57&lt;=80,80,IF($BI57&lt;=84,84,96)))</f>
        <v/>
      </c>
      <c r="CV57" s="84">
        <f>ISNUMBER(MATCH($AT57&amp;"|80",LocKeys,0))</f>
        <v/>
      </c>
      <c r="CW57" s="86">
        <f>IF($CS57,"",IF($CV57,VLOOKUP($AT57&amp;"|"&amp;$CU57,LocTable,4,FALSE),5))</f>
        <v/>
      </c>
      <c r="CX57" s="86">
        <f>IF($CS57,"",IF($CV57,IF(OR($BI57=$CU57,AND($BI57&lt;$CU57,$BI57-IF(N(VLOOKUP($AT57&amp;"|"&amp;$CU57,LocTable,7,FALSE))&gt;0,VLOOKUP($AT57&amp;"|"&amp;$CU57,LocTable,7,FALSE),VLOOKUP($AT57&amp;"|"&amp;$CU57,LocTable,6,FALSE))-$CR57-0.75&gt;=2.125)),IF(N(VLOOKUP($AT57&amp;"|"&amp;$CU57,LocTable,7,FALSE))&gt;0,VLOOKUP($AT57&amp;"|"&amp;$CU57,LocTable,7,FALSE),VLOOKUP($AT57&amp;"|"&amp;$CU57,LocTable,6,FALSE)),$BI57-($CU57-IF(N(VLOOKUP($AT57&amp;"|"&amp;$CU57,LocTable,7,FALSE))&gt;0,VLOOKUP($AT57&amp;"|"&amp;$CU57,LocTable,7,FALSE),VLOOKUP($AT57&amp;"|"&amp;$CU57,LocTable,6,FALSE)))),$BI57-10-$CR57))</f>
        <v/>
      </c>
      <c r="CY57" s="85">
        <f>IF($CS57,"",TRIM(IF(ISNUMBER($BU57),"A "&amp;TRIM(TEXT($BU57,"# ?/??"))&amp;CHAR(34)&amp;"  ","")&amp;IF(ISNUMBER($BV57),"B "&amp;TRIM(TEXT($BV57,"# ?/??"))&amp;CHAR(34)&amp;"  ","")&amp;IF(ISNUMBER($BW57),"C "&amp;TRIM(TEXT($BW57,"# ?/??"))&amp;CHAR(34)&amp;"  ","")&amp;IF(ISNUMBER($BX57),"D "&amp;TRIM(TEXT($BX57,"# ?/??"))&amp;CHAR(34)&amp;"  ","")&amp;IF(ISNUMBER($BY57),"F "&amp;TRIM(TEXT($BY57,"# ?/??"))&amp;CHAR(34)&amp;"  ","")&amp;IF(ISNUMBER($BZ57),"E "&amp;TRIM(TEXT($BZ57,"# ?/??"))&amp;CHAR(34)&amp;"  ","")))</f>
        <v/>
      </c>
      <c r="CZ57" s="85">
        <f>IF(OR($CS57,N($BJ57)=0),"",TRIM(IF(ISNUMBER($BU57),"A "&amp;TRIM(TEXT($BU57-HeadClr,"# ?/??"))&amp;CHAR(34)&amp;"  ","")&amp;IF(ISNUMBER($BV57),"B "&amp;TRIM(TEXT($BV57-HeadClr,"# ?/??"))&amp;CHAR(34)&amp;"  ","")&amp;IF(ISNUMBER($BW57),"C "&amp;TRIM(TEXT($BW57-HeadClr,"# ?/??"))&amp;CHAR(34)&amp;"  ","")&amp;IF(ISNUMBER($BX57),"D "&amp;TRIM(TEXT($BX57-HeadClr,"# ?/??"))&amp;CHAR(34)&amp;"  ","")&amp;IF(ISNUMBER($BY57),"F "&amp;TRIM(TEXT($BY57-HeadClr,"# ?/??"))&amp;CHAR(34)&amp;"  ","")&amp;IF(ISNUMBER($BZ57),"E "&amp;TRIM(TEXT($BZ57-HeadClr,"# ?/??"))&amp;CHAR(34)&amp;"  ","")))</f>
        <v/>
      </c>
      <c r="DA57" s="84">
        <f>IF($A57="","",IF($AN57="",IFERROR(VLOOKUP($Z57,CODES,2,FALSE),""),IFERROR(VLOOKUP($AN57,CODES,2,FALSE),"")))</f>
        <v/>
      </c>
      <c r="DB57" s="84">
        <f>IF($A57="","",IF($O57="Y","PR",IF(OR($Z57="L",$Z57="RR",LEFT($Z57,2)="L-",LEFT($Z57,3)="RR-"),"LH","RH")))</f>
        <v/>
      </c>
      <c r="DC57" s="84">
        <f>IF($A57="","","S.HM"&amp;IF(OR($C57="DOOR ONLY",$X57&lt;&gt;"KD"),"MASONRY","DRYWALL")&amp;IF($C57="DOOR ONLY","",$U57)&amp;IF(AND($C57&lt;&gt;"FRAME ONLY",OR(LEFT($AH57,3)="OAK",LEFT($AH57,3)="BIR",LEFT($AH57,3)="MAP",$AH57="PC",$AH57="MC",$AH57="SCLC",$AH57="P-LAM")),"WD","HM")&amp;"1.75")</f>
        <v/>
      </c>
      <c r="DD57" s="84">
        <f>IF($CJ57="","",IF($O57="Y",$CJ57,SUBSTITUTE($CJ57,$BG57&amp;" "&amp;IFERROR(VLOOKUP($Z57,CODES,2,FALSE),"")&amp;" ",$BG57&amp;" ")))</f>
        <v/>
      </c>
      <c r="DE57" s="84">
        <f>IF($CK57="","",IF($O57="Y",$CK57,SUBSTITUTE($CK57,$BG57&amp;" "&amp;IF($AN57="",IFERROR(VLOOKUP($Z57,CODES,2,FALSE),""),IFERROR(VLOOKUP($AN57,CODES,2,FALSE),""))&amp;" ",$BG57&amp;" ")))</f>
        <v/>
      </c>
      <c r="DF57" s="84">
        <f>IF($CJ57="","",$DC57&amp;"|"&amp;$DD57&amp;"|"&amp;$DB57&amp;"|"&amp;$AT57&amp;"|"&amp;$V57&amp;"|"&amp;$Y57&amp;"|"&amp;$AB57)</f>
        <v/>
      </c>
      <c r="DG57" s="84">
        <f>IF(DF57="","",IF(COUNTIF($DF$6:DF57,DF57)=1,MAX($DG$5:DG56)+1,INDEX($DG$5:DG56,MATCH(DF57,$DF$5:DF56,0))))</f>
        <v/>
      </c>
      <c r="DH57" s="84">
        <f>IF($CK57="","",$DC57&amp;"|"&amp;$DE57&amp;"|"&amp;$AI57&amp;"|"&amp;$BK57&amp;"|"&amp;$BL57)</f>
        <v/>
      </c>
      <c r="DI57" s="84">
        <f>IF(DH57="","",IF(COUNTIF($DH$6:DH57,DH57)=1,MAX($DI$5:DI56)+1,INDEX($DI$5:DI56,MATCH(DH57,$DH$5:DH56,0))))</f>
        <v/>
      </c>
      <c r="DJ57" s="84">
        <f>IF($A57="","",IF($B57="","qty, ","")&amp;IF($C57="","scope, ","")&amp;IF(OR($K57="",$M57=""),"size, ","")&amp;IF(AND($A57&lt;&gt;"",$C57&lt;&gt;"DOOR ONLY"),IF($U57="","jamb depth, ","")&amp;IF($X57="","construction, ","")&amp;IF($Y57="","anchor, ","")&amp;IF($S57="","frame type, ",""),"")&amp;IF(AND(N($BJ57)&gt;0,$Z57=""),"hand, ","")&amp;IF(N($BJ57)&gt;0,IF($AH57="","door material, ","")&amp;IF($AL57="","face type, ","")&amp;IF($AP57="","lock prep, ","")&amp;IF(AND($AO57="",$AC57=""),"hinge prep, ",""),"")&amp;IF(AND($CH57&gt;0,$AH57="FRP"),"FRP cannot carry a label, ","")&amp;IF(AND($O57="Y",OR($Z57="L",$Z57="R",$Z57="LR",$Z57="RR")),"pair marked but hand is single, ","")&amp;IF(AND($O57&lt;&gt;"Y",OR($Z57="PR",AND(LEN($Z57)&gt;1,ISNUMBER(SEARCH("-",$Z57))))),"pair hand on a single door, ","")&amp;IF(AND(ISNUMBER($CI57),$CH57&lt;N($CI57)),"wall needs a "&amp;$CI57&amp;" min door, ","")&amp;IF(AND($CH57&gt;=180,AND(OR($CE57="FG",$CE57="HG",$CE57="FNV",$CE57="FV"),N($CF57)*N($CG57)&gt;100)),"180 min lite over 100 sq in, ","")&amp;IF(N($BK57)&gt;48,"leaf wider than 4'-0"&amp;CHAR(34)&amp;", ","")&amp;IF(AND($CT57,COUNT($AW57:$AZ57)=0,$CQ57&gt;0),"CUSTOM LOC with no locations typed, ",""))</f>
        <v/>
      </c>
      <c r="DK57" s="84">
        <f>IF($A57="","",IF(AND($CH57&gt;0,AND($A57&lt;&gt;"",$C57&lt;&gt;"DOOR ONLY"),$X57="KD",$E57="EXTERIOR"),"KD label on an exterior opening, ","")&amp;IF(AND($E57="EXTERIOR",OR(AND(AND($A57&lt;&gt;"",$C57&lt;&gt;"DOOR ONLY"),$W57="CR"),AND(N($BJ57)&gt;0,$AH57="CR"))),"exterior in CR steel (G9?), ","")&amp;IF(AND(ISNUMBER($BQ57),N($BQ57)&lt;32),"clear width ~"&amp;TEXT($BQ57,"0.0")&amp;CHAR(34)&amp;" under 32"&amp;CHAR(34)&amp;" (ADA), ","")&amp;IF(AND($CH57=90,AND(OR($CE57="FG",$CE57="HG",$CE57="FNV",$CE57="FV"),N($CF57)*N($CG57)&gt;100)),"90 min lite over 100 sq in (stair/exit), ","")&amp;IF(AND($CH57&gt;0,AND($A57&lt;&gt;"",$C57&lt;&gt;"DOOR ONLY"),OR($AF57="",$AF57="-")),"rated: closer reinf.?, ","")&amp;IF(OR($I57="CORRIDOR",$I57="SMOKE BARRIER"),"S label + smoke gasketing, ","")&amp;IF($CI57="?","wall type/hr not in IBC table, ","")&amp;IF(AND(N($BJ57)&gt;0,$BB57=""),"no hardware set, ","")&amp;IF(AND($BB57&lt;&gt;"",ISNA(MATCH($BB57&amp;"",HWSets,0))),"set "&amp;$BB57&amp;" not on HW Sets, ","")&amp;IF(N($BL57)&gt;96,"leaf over 8'-0"&amp;CHAR(34)&amp;" - check listing, ","")&amp;IF(AND($CT57,COUNT($AW57:$AZ57)&gt;0,COUNT($AW57:$AZ57)&lt;&gt;$CQ57),COUNT($AW57:$AZ57)&amp;" custom hinges typed, "&amp;$CQ57&amp;" expected, ","")&amp;IF(AND(ISNUMBER($CA57),OR(N($CA57)&lt;34,N($CA57)&gt;48)),"lock "&amp;TEXT($CA57,"0.0")&amp;CHAR(34)&amp;" AFF outside 34-48"&amp;CHAR(34)&amp;" (ADA), ","")&amp;IF(AND(ISNUMBER($AV57),ISNUMBER($BL57),N($AV57)&lt;IF(N($BL57)&lt;=60,2,IF(N($BL57)&lt;=90,3,IF(N($BL57)&lt;=120,4,5)))),"fewer hinges than standard, ",""))</f>
        <v/>
      </c>
    </row>
    <row r="58" ht="15" customHeight="1">
      <c r="A58" s="77" t="n"/>
      <c r="B58" s="78" t="n"/>
      <c r="C58" s="78" t="n"/>
      <c r="D58" s="78" t="n"/>
      <c r="E58" s="78" t="n"/>
      <c r="F58" s="78" t="n"/>
      <c r="G58" s="78" t="n"/>
      <c r="H58" s="78" t="n"/>
      <c r="I58" s="78" t="n"/>
      <c r="J58" s="78" t="n"/>
      <c r="K58" s="78" t="n"/>
      <c r="L58" s="78" t="n"/>
      <c r="M58" s="78" t="n"/>
      <c r="N58" s="78" t="n"/>
      <c r="O58" s="78" t="n"/>
      <c r="P58" s="78" t="n"/>
      <c r="Q58" s="78" t="n"/>
      <c r="R58" s="78" t="n"/>
      <c r="S58" s="79" t="n"/>
      <c r="T58" s="79" t="n"/>
      <c r="U58" s="79" t="n"/>
      <c r="V58" s="79" t="n"/>
      <c r="W58" s="79" t="n"/>
      <c r="X58" s="79" t="n"/>
      <c r="Y58" s="79" t="n"/>
      <c r="Z58" s="79" t="n"/>
      <c r="AA58" s="79" t="n"/>
      <c r="AB58" s="79" t="n"/>
      <c r="AC58" s="79" t="n"/>
      <c r="AD58" s="79" t="n"/>
      <c r="AE58" s="79" t="n"/>
      <c r="AF58" s="79" t="n"/>
      <c r="AG58" s="79" t="n"/>
      <c r="AH58" s="80" t="n"/>
      <c r="AI58" s="80" t="n"/>
      <c r="AJ58" s="80" t="n"/>
      <c r="AK58" s="80" t="n"/>
      <c r="AL58" s="80" t="n"/>
      <c r="AM58" s="80" t="n"/>
      <c r="AN58" s="80" t="n"/>
      <c r="AO58" s="80" t="n"/>
      <c r="AP58" s="80" t="n"/>
      <c r="AQ58" s="80" t="n"/>
      <c r="AR58" s="80" t="n"/>
      <c r="AS58" s="80" t="n"/>
      <c r="AT58" s="81" t="n"/>
      <c r="AU58" s="81" t="n"/>
      <c r="AV58" s="81" t="n"/>
      <c r="AW58" s="82" t="n"/>
      <c r="AX58" s="82" t="n"/>
      <c r="AY58" s="82" t="n"/>
      <c r="AZ58" s="82" t="n"/>
      <c r="BA58" s="82" t="n"/>
      <c r="BB58" s="83" t="n"/>
      <c r="BC58" s="83" t="n"/>
      <c r="BD58" s="84">
        <f>IF($A58="","",IF($DJ58&lt;&gt;"","FIX",IF($DK58&lt;&gt;"","CHECK","OK")))</f>
        <v/>
      </c>
      <c r="BE58" s="85">
        <f>IF($A58="","",IF($DJ58&lt;&gt;"","FIX: "&amp;LEFT($DJ58,LEN($DJ58)-2)&amp;IF($DK58&lt;&gt;"","  ·  ",""),"")&amp;IF($DK58&lt;&gt;"","CHECK: "&amp;LEFT($DK58,LEN($DK58)-2),""))</f>
        <v/>
      </c>
      <c r="BF58" s="84">
        <f>IF(OR($A58="",$K58=""),"",$K58&amp;"'-"&amp;N($L58)&amp;CHAR(34)&amp;" x "&amp;$M58&amp;"'-"&amp;N($N58)&amp;CHAR(34))</f>
        <v/>
      </c>
      <c r="BG58" s="84">
        <f>IF(OR($A58="",$K58=""),"",$K58&amp;N($L58)&amp;$M58&amp;N($N58))</f>
        <v/>
      </c>
      <c r="BH58" s="84">
        <f>IF(OR($A58="",$K58=""),"",$K58*12+N($L58))</f>
        <v/>
      </c>
      <c r="BI58" s="84">
        <f>IF(OR($A58="",$M58=""),"",$M58*12+N($N58))</f>
        <v/>
      </c>
      <c r="BJ58" s="84">
        <f>IF($A58="","",IF(OR($C58="FRAME ONLY",$S58="BL"),0,IF($O58="Y",2,1)))</f>
        <v/>
      </c>
      <c r="BK58" s="86">
        <f>IF(OR(N($BJ58)=0,$BH58=""),"",($BH58-2*EdgeClr-IF($BJ58=2,MeetClr,0))/$BJ58)</f>
        <v/>
      </c>
      <c r="BL58" s="86">
        <f>IF(OR(N($BJ58)=0,$BI58=""),"",$BI58-HeadClr-Undercut)</f>
        <v/>
      </c>
      <c r="BM58" s="86">
        <f>IF($BH58="","",$BH58+2*FaceW+IF(N($Q58)&gt;0,($Q58+FaceW)*IF($R58="LR",2,1),0))</f>
        <v/>
      </c>
      <c r="BN58" s="86">
        <f>IF($BI58="","",$BI58+IF($AB58="Y",4,FaceW)+IF(N($P58)&gt;0,$P58+FaceW,0)+IF(OR($S58="4F",$S58="BL"),FaceW,0))</f>
        <v/>
      </c>
      <c r="BO58" s="86">
        <f>IF($BM58="","",$BM58+2*ROSide)</f>
        <v/>
      </c>
      <c r="BP58" s="86">
        <f>IF($BN58="","",$BN58+ROTop)</f>
        <v/>
      </c>
      <c r="BQ58" s="87">
        <f>IF(OR(N($BJ58)=0,$BH58=""),"",$BH58/$BJ58-ClearDeduct)</f>
        <v/>
      </c>
      <c r="BR58" s="84">
        <f>IF(N($CH58)=0,"",IF($CH58&gt;=180,"A · 3 HR",IF($CH58&gt;=90,"B · 1-1/2 HR",IF($CH58&gt;=60,"B · 1 HR",IF($CH58&gt;=45,"C · 3/4 HR","20 MIN")))))&amp;IF(AND(N($CH58)&gt;0,OR($I58="CORRIDOR",$I58="SMOKE BARRIER"))," · S","")</f>
        <v/>
      </c>
      <c r="BS58" s="84">
        <f>IF($CS58,"",IF($AV58&lt;&gt;"",$AV58,IF(OR($AC58="HGC",$AO58="HGC"),"CONT",IF(($BI58-HeadClr-Undercut)&lt;=60,2,IF(($BI58-HeadClr-Undercut)&lt;=90,3,IF(($BI58-HeadClr-Undercut)&lt;=120,4,5))))))</f>
        <v/>
      </c>
      <c r="BT58" s="84">
        <f>IF($CS58,"",IF($CT58,"CUSTOM (typed)",IF($CV58,$AT58&amp;" "&amp;$CU58&amp;CHAR(34)&amp;IF($CU58&lt;&gt;$BI58,IF(AND($BI58&lt;$CU58,$BI58-IF(N(VLOOKUP($AT58&amp;"|"&amp;$CU58,LocTable,7,FALSE))&gt;0,VLOOKUP($AT58&amp;"|"&amp;$CU58,LocTable,7,FALSE),VLOOKUP($AT58&amp;"|"&amp;$CU58,LocTable,6,FALSE))-$CR58-0.75&gt;=2.125)," cut down"," adj."),""),"ANSI/SDI A250.6")))</f>
        <v/>
      </c>
      <c r="BU58" s="88">
        <f>IF($CS58,"",IF($CT58,IF(N($AW58)&gt;0,N($AW58),""),IF(1&gt;$CQ58,"",IF($CQ58=1,$CW58,$CW58+($CX58-$CW58)*0/($CQ58-1)))))</f>
        <v/>
      </c>
      <c r="BV58" s="88">
        <f>IF($CS58,"",IF($CT58,IF(N($AX58)&gt;0,N($AX58),""),IF(2&gt;$CQ58,"",IF($CQ58=1,$CW58,$CW58+($CX58-$CW58)*1/($CQ58-1)))))</f>
        <v/>
      </c>
      <c r="BW58" s="88">
        <f>IF($CS58,"",IF($CT58,IF(N($AY58)&gt;0,N($AY58),""),IF(3&gt;$CQ58,"",IF($CQ58=1,$CW58,$CW58+($CX58-$CW58)*2/($CQ58-1)))))</f>
        <v/>
      </c>
      <c r="BX58" s="88">
        <f>IF($CS58,"",IF($CT58,IF(N($AZ58)&gt;0,N($AZ58),""),IF(4&gt;$CQ58,"",IF($CQ58=1,$CW58,$CW58+($CX58-$CW58)*3/($CQ58-1)))))</f>
        <v/>
      </c>
      <c r="BY58" s="88">
        <f>IF($CS58,"",IF($CT58,"",IF(5&gt;$CQ58,"",IF($CQ58=1,$CW58,$CW58+($CX58-$CW58)*4/($CQ58-1)))))</f>
        <v/>
      </c>
      <c r="BZ58" s="88">
        <f>IF(OR($CS58,$AP58="-",AND($AP58="",$AD58="")),"",IF(N($BA58)&gt;0,N($BA58),IF($CV58,IF(AND($BI58&lt;$CU58,$BI58-IF(N(VLOOKUP($AT58&amp;"|"&amp;$CU58,LocTable,7,FALSE))&gt;0,VLOOKUP($AT58&amp;"|"&amp;$CU58,LocTable,7,FALSE),VLOOKUP($AT58&amp;"|"&amp;$CU58,LocTable,6,FALSE))-$CR58-0.75&gt;=2.125),VLOOKUP($AT58&amp;"|"&amp;$CU58,LocTable,8,FALSE),VLOOKUP($AT58&amp;"|"&amp;$CU58,LocTable,8,FALSE)+($BI58-$CU58)),$BI58-LockAFF)))</f>
        <v/>
      </c>
      <c r="CA58" s="89">
        <f>IF($BZ58="","",$BI58-$BZ58)</f>
        <v/>
      </c>
      <c r="CB58" s="84">
        <f>IF(OR(NOT(AND($A58&lt;&gt;"",$C58&lt;&gt;"DOOR ONLY")),$BI58=""),"",IF(($BI58+IF(N($P58)&gt;0,$P58+FaceW,0))&lt;=90,3,IF(($BI58+IF(N($P58)&gt;0,$P58+FaceW,0))&lt;=114,4,5)))</f>
        <v/>
      </c>
      <c r="CC58" s="84">
        <f>IF($CB58="","",$CB58*(2+IF(N($Q58)&gt;0,IF($R58="LR",2,1),0)))</f>
        <v/>
      </c>
      <c r="CD58" s="84">
        <f>IF($CB58="","",(2+IF(N($Q58)&gt;0,IF($R58="LR",2,1),0)))</f>
        <v/>
      </c>
      <c r="CE58" s="84">
        <f>IF(N($BJ58)=0,"",IF(OR($AL58="",$AL58="FLUSH"),"FLUSH",IFERROR(LEFT($AL58,FIND("-",$AL58)-1),LEFT($AL58,2))))</f>
        <v/>
      </c>
      <c r="CF58" s="84">
        <f>IF($CE58="","",IFERROR(VALUE(MID($AL58,FIND("-",$AL58)+1,FIND(CHAR(34)&amp;"x",$AL58)-FIND("-",$AL58)-1)),0))</f>
        <v/>
      </c>
      <c r="CG58" s="84">
        <f>IF($CE58="","",IFERROR(VALUE(MID($AL58,FIND(CHAR(34)&amp;"x",$AL58)+2,FIND(CHAR(34),$AL58,FIND(CHAR(34)&amp;"x",$AL58)+2)-FIND(CHAR(34)&amp;"x",$AL58)-2)),0))</f>
        <v/>
      </c>
      <c r="CH58" s="90">
        <f>IF(OR($A58="",$H58="",$H58="NO LAB"),0,IFERROR(VALUE(LEFT($H58,FIND(" ",$H58)-1)),0))</f>
        <v/>
      </c>
      <c r="CI58" s="91">
        <f>IF(OR($A58="",$I58="",$I58="NON-RATED",N($J58)=0),"",IFERROR(VLOOKUP($I58&amp;"|"&amp;$J58,IBC,2,FALSE),"?"))</f>
        <v/>
      </c>
      <c r="CJ58" s="85">
        <f>IF(NOT(AND($A58&lt;&gt;"",$C58&lt;&gt;"DOOR ONLY")),"",TRIM(IFERROR(VLOOKUP($U58,CODES,2,FALSE),"")&amp;" "&amp;$BG58&amp;" "&amp;IFERROR(VLOOKUP($Z58,CODES,2,FALSE),"")&amp;" "&amp;IFERROR(VLOOKUP($X58,CODES,2,FALSE),"")&amp;" "&amp;IFERROR(VLOOKUP($S58,CODES,2,FALSE),"")&amp;IF(N($P58)&gt;0," w/TRANSOM "&amp;$P58&amp;CHAR(34),"")&amp;IF(N($Q58)&gt;0," w/SIDELITE "&amp;$Q58&amp;CHAR(34)&amp;" "&amp;IF($R58="","R",$R58),"")&amp;IF($Y58="","  |  "," | "&amp;IFERROR(VLOOKUP($Y58,CODES,2,FALSE),"")&amp;" | ")&amp;IFERROR(VLOOKUP($AC58,CODES,2,FALSE),"")&amp;" "&amp;IFERROR(VLOOKUP($AD58,CODES,2,FALSE),"")&amp;IF(OR($AE58="",$AE58="-"),""," "&amp;$AE58)&amp;IF(OR($AF58="",$AF58="-"),""," "&amp;$AF58)&amp;IF($AB58="Y"," 4"&amp;CHAR(34)&amp;" HEAD","")&amp;" "&amp;IFERROR(VLOOKUP($H58,CODES,2,FALSE),"")&amp;IF($CT58," | LOC "&amp;$CY58,"")))</f>
        <v/>
      </c>
      <c r="CK58" s="85">
        <f>IF(NOT(AND($A58&lt;&gt;"",N($BJ58)&gt;0)),"",TRIM(IFERROR(VLOOKUP($AH58,CODES,2,FALSE),"")&amp;IF($AI58=""," "," "&amp;$AI58&amp;"GA ")&amp;$BG58&amp;" "&amp;IF($AN58="",IFERROR(VLOOKUP($Z58,CODES,2,FALSE),""),IFERROR(VLOOKUP($AN58,CODES,2,FALSE),""))&amp;IF($BJ58=2," PAIR","")&amp;" DOOR | "&amp;IF($AL58="","?",$AL58)&amp;" | "&amp;IF($AO58="",IFERROR(VLOOKUP($AC58,CODES,2,FALSE),""),IFERROR(VLOOKUP($AO58,CODES,2,FALSE),""))&amp;" "&amp;IFERROR(VLOOKUP($AP58,CODES,2,FALSE),"")&amp;IF(OR($AQ58="",$AQ58="-"),""," SEAM "&amp;$AQ58)&amp;IF($AR58="Y"," ASTRAGAL","")&amp;IF($AJ58=""," "," "&amp;$AJ58)&amp;IF($AK58=""," "," "&amp;$AK58)&amp;IF(OR($AT58="",$AT58="ANSI/SDI",$AT58="CUSTOM LOC"),""," "&amp;$AT58)&amp;IF($AM58=""," "," SERIES "&amp;$AM58)&amp;" "&amp;IFERROR(VLOOKUP($H58,CODES,2,FALSE),"")&amp;IF($CT58," | LOC "&amp;$CZ58,"")))</f>
        <v/>
      </c>
      <c r="CL58" s="84">
        <f>IF(CP58="","",IF(COUNTIF($CP$6:CP58,CP58)=1,MAX($CL$5:CL57)+1,INDEX($CL$5:CL57,MATCH(CP58,$CP$5:CP57,0))))</f>
        <v/>
      </c>
      <c r="CM58" s="84">
        <f>IF(NOT(AND($A58&lt;&gt;"",$C58&lt;&gt;"DOOR ONLY")),"",MAX($CM$5:CM57)+1)</f>
        <v/>
      </c>
      <c r="CN58" s="84">
        <f>IF(NOT(AND($A58&lt;&gt;"",N($BJ58)&gt;0)),"",MAX($CN$5:CN57)+1)</f>
        <v/>
      </c>
      <c r="CO58" s="84">
        <f>IF($A58="","",MAX($CO$5:CO57)+1)</f>
        <v/>
      </c>
      <c r="CP58" s="84">
        <f>IF(OR($A58="",$BH58="",$BI58=""),"",$BG58&amp;"|"&amp;$O58&amp;"|"&amp;$AL58&amp;"|"&amp;$S58&amp;"|"&amp;$P58&amp;"|"&amp;$Q58&amp;$R58&amp;"|"&amp;$C58&amp;"|"&amp;$AB58)</f>
        <v/>
      </c>
      <c r="CQ58" s="84">
        <f>N($BS58)</f>
        <v/>
      </c>
      <c r="CR58" s="84">
        <f>IF(N($AU58)&gt;0,N($AU58),4.5)</f>
        <v/>
      </c>
      <c r="CS58" s="84">
        <f>OR($A58="",$BI58="",$S58="BL",AND($C58="FRAME ONLY",OR($AC58="",$AC58="BLK")))</f>
        <v/>
      </c>
      <c r="CT58" s="84">
        <f>AND(NOT($CS58),OR($AT58="CUSTOM LOC",N($AW58)+N($AX58)+N($AY58)+N($AZ58)+N($BA58)&gt;0))</f>
        <v/>
      </c>
      <c r="CU58" s="84">
        <f>IF($BI58="","",IF($BI58&lt;=80,80,IF($BI58&lt;=84,84,96)))</f>
        <v/>
      </c>
      <c r="CV58" s="84">
        <f>ISNUMBER(MATCH($AT58&amp;"|80",LocKeys,0))</f>
        <v/>
      </c>
      <c r="CW58" s="86">
        <f>IF($CS58,"",IF($CV58,VLOOKUP($AT58&amp;"|"&amp;$CU58,LocTable,4,FALSE),5))</f>
        <v/>
      </c>
      <c r="CX58" s="86">
        <f>IF($CS58,"",IF($CV58,IF(OR($BI58=$CU58,AND($BI58&lt;$CU58,$BI58-IF(N(VLOOKUP($AT58&amp;"|"&amp;$CU58,LocTable,7,FALSE))&gt;0,VLOOKUP($AT58&amp;"|"&amp;$CU58,LocTable,7,FALSE),VLOOKUP($AT58&amp;"|"&amp;$CU58,LocTable,6,FALSE))-$CR58-0.75&gt;=2.125)),IF(N(VLOOKUP($AT58&amp;"|"&amp;$CU58,LocTable,7,FALSE))&gt;0,VLOOKUP($AT58&amp;"|"&amp;$CU58,LocTable,7,FALSE),VLOOKUP($AT58&amp;"|"&amp;$CU58,LocTable,6,FALSE)),$BI58-($CU58-IF(N(VLOOKUP($AT58&amp;"|"&amp;$CU58,LocTable,7,FALSE))&gt;0,VLOOKUP($AT58&amp;"|"&amp;$CU58,LocTable,7,FALSE),VLOOKUP($AT58&amp;"|"&amp;$CU58,LocTable,6,FALSE)))),$BI58-10-$CR58))</f>
        <v/>
      </c>
      <c r="CY58" s="85">
        <f>IF($CS58,"",TRIM(IF(ISNUMBER($BU58),"A "&amp;TRIM(TEXT($BU58,"# ?/??"))&amp;CHAR(34)&amp;"  ","")&amp;IF(ISNUMBER($BV58),"B "&amp;TRIM(TEXT($BV58,"# ?/??"))&amp;CHAR(34)&amp;"  ","")&amp;IF(ISNUMBER($BW58),"C "&amp;TRIM(TEXT($BW58,"# ?/??"))&amp;CHAR(34)&amp;"  ","")&amp;IF(ISNUMBER($BX58),"D "&amp;TRIM(TEXT($BX58,"# ?/??"))&amp;CHAR(34)&amp;"  ","")&amp;IF(ISNUMBER($BY58),"F "&amp;TRIM(TEXT($BY58,"# ?/??"))&amp;CHAR(34)&amp;"  ","")&amp;IF(ISNUMBER($BZ58),"E "&amp;TRIM(TEXT($BZ58,"# ?/??"))&amp;CHAR(34)&amp;"  ","")))</f>
        <v/>
      </c>
      <c r="CZ58" s="85">
        <f>IF(OR($CS58,N($BJ58)=0),"",TRIM(IF(ISNUMBER($BU58),"A "&amp;TRIM(TEXT($BU58-HeadClr,"# ?/??"))&amp;CHAR(34)&amp;"  ","")&amp;IF(ISNUMBER($BV58),"B "&amp;TRIM(TEXT($BV58-HeadClr,"# ?/??"))&amp;CHAR(34)&amp;"  ","")&amp;IF(ISNUMBER($BW58),"C "&amp;TRIM(TEXT($BW58-HeadClr,"# ?/??"))&amp;CHAR(34)&amp;"  ","")&amp;IF(ISNUMBER($BX58),"D "&amp;TRIM(TEXT($BX58-HeadClr,"# ?/??"))&amp;CHAR(34)&amp;"  ","")&amp;IF(ISNUMBER($BY58),"F "&amp;TRIM(TEXT($BY58-HeadClr,"# ?/??"))&amp;CHAR(34)&amp;"  ","")&amp;IF(ISNUMBER($BZ58),"E "&amp;TRIM(TEXT($BZ58-HeadClr,"# ?/??"))&amp;CHAR(34)&amp;"  ","")))</f>
        <v/>
      </c>
      <c r="DA58" s="84">
        <f>IF($A58="","",IF($AN58="",IFERROR(VLOOKUP($Z58,CODES,2,FALSE),""),IFERROR(VLOOKUP($AN58,CODES,2,FALSE),"")))</f>
        <v/>
      </c>
      <c r="DB58" s="84">
        <f>IF($A58="","",IF($O58="Y","PR",IF(OR($Z58="L",$Z58="RR",LEFT($Z58,2)="L-",LEFT($Z58,3)="RR-"),"LH","RH")))</f>
        <v/>
      </c>
      <c r="DC58" s="84">
        <f>IF($A58="","","S.HM"&amp;IF(OR($C58="DOOR ONLY",$X58&lt;&gt;"KD"),"MASONRY","DRYWALL")&amp;IF($C58="DOOR ONLY","",$U58)&amp;IF(AND($C58&lt;&gt;"FRAME ONLY",OR(LEFT($AH58,3)="OAK",LEFT($AH58,3)="BIR",LEFT($AH58,3)="MAP",$AH58="PC",$AH58="MC",$AH58="SCLC",$AH58="P-LAM")),"WD","HM")&amp;"1.75")</f>
        <v/>
      </c>
      <c r="DD58" s="84">
        <f>IF($CJ58="","",IF($O58="Y",$CJ58,SUBSTITUTE($CJ58,$BG58&amp;" "&amp;IFERROR(VLOOKUP($Z58,CODES,2,FALSE),"")&amp;" ",$BG58&amp;" ")))</f>
        <v/>
      </c>
      <c r="DE58" s="84">
        <f>IF($CK58="","",IF($O58="Y",$CK58,SUBSTITUTE($CK58,$BG58&amp;" "&amp;IF($AN58="",IFERROR(VLOOKUP($Z58,CODES,2,FALSE),""),IFERROR(VLOOKUP($AN58,CODES,2,FALSE),""))&amp;" ",$BG58&amp;" ")))</f>
        <v/>
      </c>
      <c r="DF58" s="84">
        <f>IF($CJ58="","",$DC58&amp;"|"&amp;$DD58&amp;"|"&amp;$DB58&amp;"|"&amp;$AT58&amp;"|"&amp;$V58&amp;"|"&amp;$Y58&amp;"|"&amp;$AB58)</f>
        <v/>
      </c>
      <c r="DG58" s="84">
        <f>IF(DF58="","",IF(COUNTIF($DF$6:DF58,DF58)=1,MAX($DG$5:DG57)+1,INDEX($DG$5:DG57,MATCH(DF58,$DF$5:DF57,0))))</f>
        <v/>
      </c>
      <c r="DH58" s="84">
        <f>IF($CK58="","",$DC58&amp;"|"&amp;$DE58&amp;"|"&amp;$AI58&amp;"|"&amp;$BK58&amp;"|"&amp;$BL58)</f>
        <v/>
      </c>
      <c r="DI58" s="84">
        <f>IF(DH58="","",IF(COUNTIF($DH$6:DH58,DH58)=1,MAX($DI$5:DI57)+1,INDEX($DI$5:DI57,MATCH(DH58,$DH$5:DH57,0))))</f>
        <v/>
      </c>
      <c r="DJ58" s="84">
        <f>IF($A58="","",IF($B58="","qty, ","")&amp;IF($C58="","scope, ","")&amp;IF(OR($K58="",$M58=""),"size, ","")&amp;IF(AND($A58&lt;&gt;"",$C58&lt;&gt;"DOOR ONLY"),IF($U58="","jamb depth, ","")&amp;IF($X58="","construction, ","")&amp;IF($Y58="","anchor, ","")&amp;IF($S58="","frame type, ",""),"")&amp;IF(AND(N($BJ58)&gt;0,$Z58=""),"hand, ","")&amp;IF(N($BJ58)&gt;0,IF($AH58="","door material, ","")&amp;IF($AL58="","face type, ","")&amp;IF($AP58="","lock prep, ","")&amp;IF(AND($AO58="",$AC58=""),"hinge prep, ",""),"")&amp;IF(AND($CH58&gt;0,$AH58="FRP"),"FRP cannot carry a label, ","")&amp;IF(AND($O58="Y",OR($Z58="L",$Z58="R",$Z58="LR",$Z58="RR")),"pair marked but hand is single, ","")&amp;IF(AND($O58&lt;&gt;"Y",OR($Z58="PR",AND(LEN($Z58)&gt;1,ISNUMBER(SEARCH("-",$Z58))))),"pair hand on a single door, ","")&amp;IF(AND(ISNUMBER($CI58),$CH58&lt;N($CI58)),"wall needs a "&amp;$CI58&amp;" min door, ","")&amp;IF(AND($CH58&gt;=180,AND(OR($CE58="FG",$CE58="HG",$CE58="FNV",$CE58="FV"),N($CF58)*N($CG58)&gt;100)),"180 min lite over 100 sq in, ","")&amp;IF(N($BK58)&gt;48,"leaf wider than 4'-0"&amp;CHAR(34)&amp;", ","")&amp;IF(AND($CT58,COUNT($AW58:$AZ58)=0,$CQ58&gt;0),"CUSTOM LOC with no locations typed, ",""))</f>
        <v/>
      </c>
      <c r="DK58" s="84">
        <f>IF($A58="","",IF(AND($CH58&gt;0,AND($A58&lt;&gt;"",$C58&lt;&gt;"DOOR ONLY"),$X58="KD",$E58="EXTERIOR"),"KD label on an exterior opening, ","")&amp;IF(AND($E58="EXTERIOR",OR(AND(AND($A58&lt;&gt;"",$C58&lt;&gt;"DOOR ONLY"),$W58="CR"),AND(N($BJ58)&gt;0,$AH58="CR"))),"exterior in CR steel (G9?), ","")&amp;IF(AND(ISNUMBER($BQ58),N($BQ58)&lt;32),"clear width ~"&amp;TEXT($BQ58,"0.0")&amp;CHAR(34)&amp;" under 32"&amp;CHAR(34)&amp;" (ADA), ","")&amp;IF(AND($CH58=90,AND(OR($CE58="FG",$CE58="HG",$CE58="FNV",$CE58="FV"),N($CF58)*N($CG58)&gt;100)),"90 min lite over 100 sq in (stair/exit), ","")&amp;IF(AND($CH58&gt;0,AND($A58&lt;&gt;"",$C58&lt;&gt;"DOOR ONLY"),OR($AF58="",$AF58="-")),"rated: closer reinf.?, ","")&amp;IF(OR($I58="CORRIDOR",$I58="SMOKE BARRIER"),"S label + smoke gasketing, ","")&amp;IF($CI58="?","wall type/hr not in IBC table, ","")&amp;IF(AND(N($BJ58)&gt;0,$BB58=""),"no hardware set, ","")&amp;IF(AND($BB58&lt;&gt;"",ISNA(MATCH($BB58&amp;"",HWSets,0))),"set "&amp;$BB58&amp;" not on HW Sets, ","")&amp;IF(N($BL58)&gt;96,"leaf over 8'-0"&amp;CHAR(34)&amp;" - check listing, ","")&amp;IF(AND($CT58,COUNT($AW58:$AZ58)&gt;0,COUNT($AW58:$AZ58)&lt;&gt;$CQ58),COUNT($AW58:$AZ58)&amp;" custom hinges typed, "&amp;$CQ58&amp;" expected, ","")&amp;IF(AND(ISNUMBER($CA58),OR(N($CA58)&lt;34,N($CA58)&gt;48)),"lock "&amp;TEXT($CA58,"0.0")&amp;CHAR(34)&amp;" AFF outside 34-48"&amp;CHAR(34)&amp;" (ADA), ","")&amp;IF(AND(ISNUMBER($AV58),ISNUMBER($BL58),N($AV58)&lt;IF(N($BL58)&lt;=60,2,IF(N($BL58)&lt;=90,3,IF(N($BL58)&lt;=120,4,5)))),"fewer hinges than standard, ",""))</f>
        <v/>
      </c>
    </row>
    <row r="59" ht="15" customHeight="1">
      <c r="A59" s="77" t="n"/>
      <c r="B59" s="78" t="n"/>
      <c r="C59" s="78" t="n"/>
      <c r="D59" s="78" t="n"/>
      <c r="E59" s="78" t="n"/>
      <c r="F59" s="78" t="n"/>
      <c r="G59" s="78" t="n"/>
      <c r="H59" s="78" t="n"/>
      <c r="I59" s="78" t="n"/>
      <c r="J59" s="78" t="n"/>
      <c r="K59" s="78" t="n"/>
      <c r="L59" s="78" t="n"/>
      <c r="M59" s="78" t="n"/>
      <c r="N59" s="78" t="n"/>
      <c r="O59" s="78" t="n"/>
      <c r="P59" s="78" t="n"/>
      <c r="Q59" s="78" t="n"/>
      <c r="R59" s="78" t="n"/>
      <c r="S59" s="79" t="n"/>
      <c r="T59" s="79" t="n"/>
      <c r="U59" s="79" t="n"/>
      <c r="V59" s="79" t="n"/>
      <c r="W59" s="79" t="n"/>
      <c r="X59" s="79" t="n"/>
      <c r="Y59" s="79" t="n"/>
      <c r="Z59" s="79" t="n"/>
      <c r="AA59" s="79" t="n"/>
      <c r="AB59" s="79" t="n"/>
      <c r="AC59" s="79" t="n"/>
      <c r="AD59" s="79" t="n"/>
      <c r="AE59" s="79" t="n"/>
      <c r="AF59" s="79" t="n"/>
      <c r="AG59" s="79" t="n"/>
      <c r="AH59" s="80" t="n"/>
      <c r="AI59" s="80" t="n"/>
      <c r="AJ59" s="80" t="n"/>
      <c r="AK59" s="80" t="n"/>
      <c r="AL59" s="80" t="n"/>
      <c r="AM59" s="80" t="n"/>
      <c r="AN59" s="80" t="n"/>
      <c r="AO59" s="80" t="n"/>
      <c r="AP59" s="80" t="n"/>
      <c r="AQ59" s="80" t="n"/>
      <c r="AR59" s="80" t="n"/>
      <c r="AS59" s="80" t="n"/>
      <c r="AT59" s="81" t="n"/>
      <c r="AU59" s="81" t="n"/>
      <c r="AV59" s="81" t="n"/>
      <c r="AW59" s="82" t="n"/>
      <c r="AX59" s="82" t="n"/>
      <c r="AY59" s="82" t="n"/>
      <c r="AZ59" s="82" t="n"/>
      <c r="BA59" s="82" t="n"/>
      <c r="BB59" s="83" t="n"/>
      <c r="BC59" s="83" t="n"/>
      <c r="BD59" s="84">
        <f>IF($A59="","",IF($DJ59&lt;&gt;"","FIX",IF($DK59&lt;&gt;"","CHECK","OK")))</f>
        <v/>
      </c>
      <c r="BE59" s="85">
        <f>IF($A59="","",IF($DJ59&lt;&gt;"","FIX: "&amp;LEFT($DJ59,LEN($DJ59)-2)&amp;IF($DK59&lt;&gt;"","  ·  ",""),"")&amp;IF($DK59&lt;&gt;"","CHECK: "&amp;LEFT($DK59,LEN($DK59)-2),""))</f>
        <v/>
      </c>
      <c r="BF59" s="84">
        <f>IF(OR($A59="",$K59=""),"",$K59&amp;"'-"&amp;N($L59)&amp;CHAR(34)&amp;" x "&amp;$M59&amp;"'-"&amp;N($N59)&amp;CHAR(34))</f>
        <v/>
      </c>
      <c r="BG59" s="84">
        <f>IF(OR($A59="",$K59=""),"",$K59&amp;N($L59)&amp;$M59&amp;N($N59))</f>
        <v/>
      </c>
      <c r="BH59" s="84">
        <f>IF(OR($A59="",$K59=""),"",$K59*12+N($L59))</f>
        <v/>
      </c>
      <c r="BI59" s="84">
        <f>IF(OR($A59="",$M59=""),"",$M59*12+N($N59))</f>
        <v/>
      </c>
      <c r="BJ59" s="84">
        <f>IF($A59="","",IF(OR($C59="FRAME ONLY",$S59="BL"),0,IF($O59="Y",2,1)))</f>
        <v/>
      </c>
      <c r="BK59" s="86">
        <f>IF(OR(N($BJ59)=0,$BH59=""),"",($BH59-2*EdgeClr-IF($BJ59=2,MeetClr,0))/$BJ59)</f>
        <v/>
      </c>
      <c r="BL59" s="86">
        <f>IF(OR(N($BJ59)=0,$BI59=""),"",$BI59-HeadClr-Undercut)</f>
        <v/>
      </c>
      <c r="BM59" s="86">
        <f>IF($BH59="","",$BH59+2*FaceW+IF(N($Q59)&gt;0,($Q59+FaceW)*IF($R59="LR",2,1),0))</f>
        <v/>
      </c>
      <c r="BN59" s="86">
        <f>IF($BI59="","",$BI59+IF($AB59="Y",4,FaceW)+IF(N($P59)&gt;0,$P59+FaceW,0)+IF(OR($S59="4F",$S59="BL"),FaceW,0))</f>
        <v/>
      </c>
      <c r="BO59" s="86">
        <f>IF($BM59="","",$BM59+2*ROSide)</f>
        <v/>
      </c>
      <c r="BP59" s="86">
        <f>IF($BN59="","",$BN59+ROTop)</f>
        <v/>
      </c>
      <c r="BQ59" s="87">
        <f>IF(OR(N($BJ59)=0,$BH59=""),"",$BH59/$BJ59-ClearDeduct)</f>
        <v/>
      </c>
      <c r="BR59" s="84">
        <f>IF(N($CH59)=0,"",IF($CH59&gt;=180,"A · 3 HR",IF($CH59&gt;=90,"B · 1-1/2 HR",IF($CH59&gt;=60,"B · 1 HR",IF($CH59&gt;=45,"C · 3/4 HR","20 MIN")))))&amp;IF(AND(N($CH59)&gt;0,OR($I59="CORRIDOR",$I59="SMOKE BARRIER"))," · S","")</f>
        <v/>
      </c>
      <c r="BS59" s="84">
        <f>IF($CS59,"",IF($AV59&lt;&gt;"",$AV59,IF(OR($AC59="HGC",$AO59="HGC"),"CONT",IF(($BI59-HeadClr-Undercut)&lt;=60,2,IF(($BI59-HeadClr-Undercut)&lt;=90,3,IF(($BI59-HeadClr-Undercut)&lt;=120,4,5))))))</f>
        <v/>
      </c>
      <c r="BT59" s="84">
        <f>IF($CS59,"",IF($CT59,"CUSTOM (typed)",IF($CV59,$AT59&amp;" "&amp;$CU59&amp;CHAR(34)&amp;IF($CU59&lt;&gt;$BI59,IF(AND($BI59&lt;$CU59,$BI59-IF(N(VLOOKUP($AT59&amp;"|"&amp;$CU59,LocTable,7,FALSE))&gt;0,VLOOKUP($AT59&amp;"|"&amp;$CU59,LocTable,7,FALSE),VLOOKUP($AT59&amp;"|"&amp;$CU59,LocTable,6,FALSE))-$CR59-0.75&gt;=2.125)," cut down"," adj."),""),"ANSI/SDI A250.6")))</f>
        <v/>
      </c>
      <c r="BU59" s="88">
        <f>IF($CS59,"",IF($CT59,IF(N($AW59)&gt;0,N($AW59),""),IF(1&gt;$CQ59,"",IF($CQ59=1,$CW59,$CW59+($CX59-$CW59)*0/($CQ59-1)))))</f>
        <v/>
      </c>
      <c r="BV59" s="88">
        <f>IF($CS59,"",IF($CT59,IF(N($AX59)&gt;0,N($AX59),""),IF(2&gt;$CQ59,"",IF($CQ59=1,$CW59,$CW59+($CX59-$CW59)*1/($CQ59-1)))))</f>
        <v/>
      </c>
      <c r="BW59" s="88">
        <f>IF($CS59,"",IF($CT59,IF(N($AY59)&gt;0,N($AY59),""),IF(3&gt;$CQ59,"",IF($CQ59=1,$CW59,$CW59+($CX59-$CW59)*2/($CQ59-1)))))</f>
        <v/>
      </c>
      <c r="BX59" s="88">
        <f>IF($CS59,"",IF($CT59,IF(N($AZ59)&gt;0,N($AZ59),""),IF(4&gt;$CQ59,"",IF($CQ59=1,$CW59,$CW59+($CX59-$CW59)*3/($CQ59-1)))))</f>
        <v/>
      </c>
      <c r="BY59" s="88">
        <f>IF($CS59,"",IF($CT59,"",IF(5&gt;$CQ59,"",IF($CQ59=1,$CW59,$CW59+($CX59-$CW59)*4/($CQ59-1)))))</f>
        <v/>
      </c>
      <c r="BZ59" s="88">
        <f>IF(OR($CS59,$AP59="-",AND($AP59="",$AD59="")),"",IF(N($BA59)&gt;0,N($BA59),IF($CV59,IF(AND($BI59&lt;$CU59,$BI59-IF(N(VLOOKUP($AT59&amp;"|"&amp;$CU59,LocTable,7,FALSE))&gt;0,VLOOKUP($AT59&amp;"|"&amp;$CU59,LocTable,7,FALSE),VLOOKUP($AT59&amp;"|"&amp;$CU59,LocTable,6,FALSE))-$CR59-0.75&gt;=2.125),VLOOKUP($AT59&amp;"|"&amp;$CU59,LocTable,8,FALSE),VLOOKUP($AT59&amp;"|"&amp;$CU59,LocTable,8,FALSE)+($BI59-$CU59)),$BI59-LockAFF)))</f>
        <v/>
      </c>
      <c r="CA59" s="89">
        <f>IF($BZ59="","",$BI59-$BZ59)</f>
        <v/>
      </c>
      <c r="CB59" s="84">
        <f>IF(OR(NOT(AND($A59&lt;&gt;"",$C59&lt;&gt;"DOOR ONLY")),$BI59=""),"",IF(($BI59+IF(N($P59)&gt;0,$P59+FaceW,0))&lt;=90,3,IF(($BI59+IF(N($P59)&gt;0,$P59+FaceW,0))&lt;=114,4,5)))</f>
        <v/>
      </c>
      <c r="CC59" s="84">
        <f>IF($CB59="","",$CB59*(2+IF(N($Q59)&gt;0,IF($R59="LR",2,1),0)))</f>
        <v/>
      </c>
      <c r="CD59" s="84">
        <f>IF($CB59="","",(2+IF(N($Q59)&gt;0,IF($R59="LR",2,1),0)))</f>
        <v/>
      </c>
      <c r="CE59" s="84">
        <f>IF(N($BJ59)=0,"",IF(OR($AL59="",$AL59="FLUSH"),"FLUSH",IFERROR(LEFT($AL59,FIND("-",$AL59)-1),LEFT($AL59,2))))</f>
        <v/>
      </c>
      <c r="CF59" s="84">
        <f>IF($CE59="","",IFERROR(VALUE(MID($AL59,FIND("-",$AL59)+1,FIND(CHAR(34)&amp;"x",$AL59)-FIND("-",$AL59)-1)),0))</f>
        <v/>
      </c>
      <c r="CG59" s="84">
        <f>IF($CE59="","",IFERROR(VALUE(MID($AL59,FIND(CHAR(34)&amp;"x",$AL59)+2,FIND(CHAR(34),$AL59,FIND(CHAR(34)&amp;"x",$AL59)+2)-FIND(CHAR(34)&amp;"x",$AL59)-2)),0))</f>
        <v/>
      </c>
      <c r="CH59" s="90">
        <f>IF(OR($A59="",$H59="",$H59="NO LAB"),0,IFERROR(VALUE(LEFT($H59,FIND(" ",$H59)-1)),0))</f>
        <v/>
      </c>
      <c r="CI59" s="91">
        <f>IF(OR($A59="",$I59="",$I59="NON-RATED",N($J59)=0),"",IFERROR(VLOOKUP($I59&amp;"|"&amp;$J59,IBC,2,FALSE),"?"))</f>
        <v/>
      </c>
      <c r="CJ59" s="85">
        <f>IF(NOT(AND($A59&lt;&gt;"",$C59&lt;&gt;"DOOR ONLY")),"",TRIM(IFERROR(VLOOKUP($U59,CODES,2,FALSE),"")&amp;" "&amp;$BG59&amp;" "&amp;IFERROR(VLOOKUP($Z59,CODES,2,FALSE),"")&amp;" "&amp;IFERROR(VLOOKUP($X59,CODES,2,FALSE),"")&amp;" "&amp;IFERROR(VLOOKUP($S59,CODES,2,FALSE),"")&amp;IF(N($P59)&gt;0," w/TRANSOM "&amp;$P59&amp;CHAR(34),"")&amp;IF(N($Q59)&gt;0," w/SIDELITE "&amp;$Q59&amp;CHAR(34)&amp;" "&amp;IF($R59="","R",$R59),"")&amp;IF($Y59="","  |  "," | "&amp;IFERROR(VLOOKUP($Y59,CODES,2,FALSE),"")&amp;" | ")&amp;IFERROR(VLOOKUP($AC59,CODES,2,FALSE),"")&amp;" "&amp;IFERROR(VLOOKUP($AD59,CODES,2,FALSE),"")&amp;IF(OR($AE59="",$AE59="-"),""," "&amp;$AE59)&amp;IF(OR($AF59="",$AF59="-"),""," "&amp;$AF59)&amp;IF($AB59="Y"," 4"&amp;CHAR(34)&amp;" HEAD","")&amp;" "&amp;IFERROR(VLOOKUP($H59,CODES,2,FALSE),"")&amp;IF($CT59," | LOC "&amp;$CY59,"")))</f>
        <v/>
      </c>
      <c r="CK59" s="85">
        <f>IF(NOT(AND($A59&lt;&gt;"",N($BJ59)&gt;0)),"",TRIM(IFERROR(VLOOKUP($AH59,CODES,2,FALSE),"")&amp;IF($AI59=""," "," "&amp;$AI59&amp;"GA ")&amp;$BG59&amp;" "&amp;IF($AN59="",IFERROR(VLOOKUP($Z59,CODES,2,FALSE),""),IFERROR(VLOOKUP($AN59,CODES,2,FALSE),""))&amp;IF($BJ59=2," PAIR","")&amp;" DOOR | "&amp;IF($AL59="","?",$AL59)&amp;" | "&amp;IF($AO59="",IFERROR(VLOOKUP($AC59,CODES,2,FALSE),""),IFERROR(VLOOKUP($AO59,CODES,2,FALSE),""))&amp;" "&amp;IFERROR(VLOOKUP($AP59,CODES,2,FALSE),"")&amp;IF(OR($AQ59="",$AQ59="-"),""," SEAM "&amp;$AQ59)&amp;IF($AR59="Y"," ASTRAGAL","")&amp;IF($AJ59=""," "," "&amp;$AJ59)&amp;IF($AK59=""," "," "&amp;$AK59)&amp;IF(OR($AT59="",$AT59="ANSI/SDI",$AT59="CUSTOM LOC"),""," "&amp;$AT59)&amp;IF($AM59=""," "," SERIES "&amp;$AM59)&amp;" "&amp;IFERROR(VLOOKUP($H59,CODES,2,FALSE),"")&amp;IF($CT59," | LOC "&amp;$CZ59,"")))</f>
        <v/>
      </c>
      <c r="CL59" s="84">
        <f>IF(CP59="","",IF(COUNTIF($CP$6:CP59,CP59)=1,MAX($CL$5:CL58)+1,INDEX($CL$5:CL58,MATCH(CP59,$CP$5:CP58,0))))</f>
        <v/>
      </c>
      <c r="CM59" s="84">
        <f>IF(NOT(AND($A59&lt;&gt;"",$C59&lt;&gt;"DOOR ONLY")),"",MAX($CM$5:CM58)+1)</f>
        <v/>
      </c>
      <c r="CN59" s="84">
        <f>IF(NOT(AND($A59&lt;&gt;"",N($BJ59)&gt;0)),"",MAX($CN$5:CN58)+1)</f>
        <v/>
      </c>
      <c r="CO59" s="84">
        <f>IF($A59="","",MAX($CO$5:CO58)+1)</f>
        <v/>
      </c>
      <c r="CP59" s="84">
        <f>IF(OR($A59="",$BH59="",$BI59=""),"",$BG59&amp;"|"&amp;$O59&amp;"|"&amp;$AL59&amp;"|"&amp;$S59&amp;"|"&amp;$P59&amp;"|"&amp;$Q59&amp;$R59&amp;"|"&amp;$C59&amp;"|"&amp;$AB59)</f>
        <v/>
      </c>
      <c r="CQ59" s="84">
        <f>N($BS59)</f>
        <v/>
      </c>
      <c r="CR59" s="84">
        <f>IF(N($AU59)&gt;0,N($AU59),4.5)</f>
        <v/>
      </c>
      <c r="CS59" s="84">
        <f>OR($A59="",$BI59="",$S59="BL",AND($C59="FRAME ONLY",OR($AC59="",$AC59="BLK")))</f>
        <v/>
      </c>
      <c r="CT59" s="84">
        <f>AND(NOT($CS59),OR($AT59="CUSTOM LOC",N($AW59)+N($AX59)+N($AY59)+N($AZ59)+N($BA59)&gt;0))</f>
        <v/>
      </c>
      <c r="CU59" s="84">
        <f>IF($BI59="","",IF($BI59&lt;=80,80,IF($BI59&lt;=84,84,96)))</f>
        <v/>
      </c>
      <c r="CV59" s="84">
        <f>ISNUMBER(MATCH($AT59&amp;"|80",LocKeys,0))</f>
        <v/>
      </c>
      <c r="CW59" s="86">
        <f>IF($CS59,"",IF($CV59,VLOOKUP($AT59&amp;"|"&amp;$CU59,LocTable,4,FALSE),5))</f>
        <v/>
      </c>
      <c r="CX59" s="86">
        <f>IF($CS59,"",IF($CV59,IF(OR($BI59=$CU59,AND($BI59&lt;$CU59,$BI59-IF(N(VLOOKUP($AT59&amp;"|"&amp;$CU59,LocTable,7,FALSE))&gt;0,VLOOKUP($AT59&amp;"|"&amp;$CU59,LocTable,7,FALSE),VLOOKUP($AT59&amp;"|"&amp;$CU59,LocTable,6,FALSE))-$CR59-0.75&gt;=2.125)),IF(N(VLOOKUP($AT59&amp;"|"&amp;$CU59,LocTable,7,FALSE))&gt;0,VLOOKUP($AT59&amp;"|"&amp;$CU59,LocTable,7,FALSE),VLOOKUP($AT59&amp;"|"&amp;$CU59,LocTable,6,FALSE)),$BI59-($CU59-IF(N(VLOOKUP($AT59&amp;"|"&amp;$CU59,LocTable,7,FALSE))&gt;0,VLOOKUP($AT59&amp;"|"&amp;$CU59,LocTable,7,FALSE),VLOOKUP($AT59&amp;"|"&amp;$CU59,LocTable,6,FALSE)))),$BI59-10-$CR59))</f>
        <v/>
      </c>
      <c r="CY59" s="85">
        <f>IF($CS59,"",TRIM(IF(ISNUMBER($BU59),"A "&amp;TRIM(TEXT($BU59,"# ?/??"))&amp;CHAR(34)&amp;"  ","")&amp;IF(ISNUMBER($BV59),"B "&amp;TRIM(TEXT($BV59,"# ?/??"))&amp;CHAR(34)&amp;"  ","")&amp;IF(ISNUMBER($BW59),"C "&amp;TRIM(TEXT($BW59,"# ?/??"))&amp;CHAR(34)&amp;"  ","")&amp;IF(ISNUMBER($BX59),"D "&amp;TRIM(TEXT($BX59,"# ?/??"))&amp;CHAR(34)&amp;"  ","")&amp;IF(ISNUMBER($BY59),"F "&amp;TRIM(TEXT($BY59,"# ?/??"))&amp;CHAR(34)&amp;"  ","")&amp;IF(ISNUMBER($BZ59),"E "&amp;TRIM(TEXT($BZ59,"# ?/??"))&amp;CHAR(34)&amp;"  ","")))</f>
        <v/>
      </c>
      <c r="CZ59" s="85">
        <f>IF(OR($CS59,N($BJ59)=0),"",TRIM(IF(ISNUMBER($BU59),"A "&amp;TRIM(TEXT($BU59-HeadClr,"# ?/??"))&amp;CHAR(34)&amp;"  ","")&amp;IF(ISNUMBER($BV59),"B "&amp;TRIM(TEXT($BV59-HeadClr,"# ?/??"))&amp;CHAR(34)&amp;"  ","")&amp;IF(ISNUMBER($BW59),"C "&amp;TRIM(TEXT($BW59-HeadClr,"# ?/??"))&amp;CHAR(34)&amp;"  ","")&amp;IF(ISNUMBER($BX59),"D "&amp;TRIM(TEXT($BX59-HeadClr,"# ?/??"))&amp;CHAR(34)&amp;"  ","")&amp;IF(ISNUMBER($BY59),"F "&amp;TRIM(TEXT($BY59-HeadClr,"# ?/??"))&amp;CHAR(34)&amp;"  ","")&amp;IF(ISNUMBER($BZ59),"E "&amp;TRIM(TEXT($BZ59-HeadClr,"# ?/??"))&amp;CHAR(34)&amp;"  ","")))</f>
        <v/>
      </c>
      <c r="DA59" s="84">
        <f>IF($A59="","",IF($AN59="",IFERROR(VLOOKUP($Z59,CODES,2,FALSE),""),IFERROR(VLOOKUP($AN59,CODES,2,FALSE),"")))</f>
        <v/>
      </c>
      <c r="DB59" s="84">
        <f>IF($A59="","",IF($O59="Y","PR",IF(OR($Z59="L",$Z59="RR",LEFT($Z59,2)="L-",LEFT($Z59,3)="RR-"),"LH","RH")))</f>
        <v/>
      </c>
      <c r="DC59" s="84">
        <f>IF($A59="","","S.HM"&amp;IF(OR($C59="DOOR ONLY",$X59&lt;&gt;"KD"),"MASONRY","DRYWALL")&amp;IF($C59="DOOR ONLY","",$U59)&amp;IF(AND($C59&lt;&gt;"FRAME ONLY",OR(LEFT($AH59,3)="OAK",LEFT($AH59,3)="BIR",LEFT($AH59,3)="MAP",$AH59="PC",$AH59="MC",$AH59="SCLC",$AH59="P-LAM")),"WD","HM")&amp;"1.75")</f>
        <v/>
      </c>
      <c r="DD59" s="84">
        <f>IF($CJ59="","",IF($O59="Y",$CJ59,SUBSTITUTE($CJ59,$BG59&amp;" "&amp;IFERROR(VLOOKUP($Z59,CODES,2,FALSE),"")&amp;" ",$BG59&amp;" ")))</f>
        <v/>
      </c>
      <c r="DE59" s="84">
        <f>IF($CK59="","",IF($O59="Y",$CK59,SUBSTITUTE($CK59,$BG59&amp;" "&amp;IF($AN59="",IFERROR(VLOOKUP($Z59,CODES,2,FALSE),""),IFERROR(VLOOKUP($AN59,CODES,2,FALSE),""))&amp;" ",$BG59&amp;" ")))</f>
        <v/>
      </c>
      <c r="DF59" s="84">
        <f>IF($CJ59="","",$DC59&amp;"|"&amp;$DD59&amp;"|"&amp;$DB59&amp;"|"&amp;$AT59&amp;"|"&amp;$V59&amp;"|"&amp;$Y59&amp;"|"&amp;$AB59)</f>
        <v/>
      </c>
      <c r="DG59" s="84">
        <f>IF(DF59="","",IF(COUNTIF($DF$6:DF59,DF59)=1,MAX($DG$5:DG58)+1,INDEX($DG$5:DG58,MATCH(DF59,$DF$5:DF58,0))))</f>
        <v/>
      </c>
      <c r="DH59" s="84">
        <f>IF($CK59="","",$DC59&amp;"|"&amp;$DE59&amp;"|"&amp;$AI59&amp;"|"&amp;$BK59&amp;"|"&amp;$BL59)</f>
        <v/>
      </c>
      <c r="DI59" s="84">
        <f>IF(DH59="","",IF(COUNTIF($DH$6:DH59,DH59)=1,MAX($DI$5:DI58)+1,INDEX($DI$5:DI58,MATCH(DH59,$DH$5:DH58,0))))</f>
        <v/>
      </c>
      <c r="DJ59" s="84">
        <f>IF($A59="","",IF($B59="","qty, ","")&amp;IF($C59="","scope, ","")&amp;IF(OR($K59="",$M59=""),"size, ","")&amp;IF(AND($A59&lt;&gt;"",$C59&lt;&gt;"DOOR ONLY"),IF($U59="","jamb depth, ","")&amp;IF($X59="","construction, ","")&amp;IF($Y59="","anchor, ","")&amp;IF($S59="","frame type, ",""),"")&amp;IF(AND(N($BJ59)&gt;0,$Z59=""),"hand, ","")&amp;IF(N($BJ59)&gt;0,IF($AH59="","door material, ","")&amp;IF($AL59="","face type, ","")&amp;IF($AP59="","lock prep, ","")&amp;IF(AND($AO59="",$AC59=""),"hinge prep, ",""),"")&amp;IF(AND($CH59&gt;0,$AH59="FRP"),"FRP cannot carry a label, ","")&amp;IF(AND($O59="Y",OR($Z59="L",$Z59="R",$Z59="LR",$Z59="RR")),"pair marked but hand is single, ","")&amp;IF(AND($O59&lt;&gt;"Y",OR($Z59="PR",AND(LEN($Z59)&gt;1,ISNUMBER(SEARCH("-",$Z59))))),"pair hand on a single door, ","")&amp;IF(AND(ISNUMBER($CI59),$CH59&lt;N($CI59)),"wall needs a "&amp;$CI59&amp;" min door, ","")&amp;IF(AND($CH59&gt;=180,AND(OR($CE59="FG",$CE59="HG",$CE59="FNV",$CE59="FV"),N($CF59)*N($CG59)&gt;100)),"180 min lite over 100 sq in, ","")&amp;IF(N($BK59)&gt;48,"leaf wider than 4'-0"&amp;CHAR(34)&amp;", ","")&amp;IF(AND($CT59,COUNT($AW59:$AZ59)=0,$CQ59&gt;0),"CUSTOM LOC with no locations typed, ",""))</f>
        <v/>
      </c>
      <c r="DK59" s="84">
        <f>IF($A59="","",IF(AND($CH59&gt;0,AND($A59&lt;&gt;"",$C59&lt;&gt;"DOOR ONLY"),$X59="KD",$E59="EXTERIOR"),"KD label on an exterior opening, ","")&amp;IF(AND($E59="EXTERIOR",OR(AND(AND($A59&lt;&gt;"",$C59&lt;&gt;"DOOR ONLY"),$W59="CR"),AND(N($BJ59)&gt;0,$AH59="CR"))),"exterior in CR steel (G9?), ","")&amp;IF(AND(ISNUMBER($BQ59),N($BQ59)&lt;32),"clear width ~"&amp;TEXT($BQ59,"0.0")&amp;CHAR(34)&amp;" under 32"&amp;CHAR(34)&amp;" (ADA), ","")&amp;IF(AND($CH59=90,AND(OR($CE59="FG",$CE59="HG",$CE59="FNV",$CE59="FV"),N($CF59)*N($CG59)&gt;100)),"90 min lite over 100 sq in (stair/exit), ","")&amp;IF(AND($CH59&gt;0,AND($A59&lt;&gt;"",$C59&lt;&gt;"DOOR ONLY"),OR($AF59="",$AF59="-")),"rated: closer reinf.?, ","")&amp;IF(OR($I59="CORRIDOR",$I59="SMOKE BARRIER"),"S label + smoke gasketing, ","")&amp;IF($CI59="?","wall type/hr not in IBC table, ","")&amp;IF(AND(N($BJ59)&gt;0,$BB59=""),"no hardware set, ","")&amp;IF(AND($BB59&lt;&gt;"",ISNA(MATCH($BB59&amp;"",HWSets,0))),"set "&amp;$BB59&amp;" not on HW Sets, ","")&amp;IF(N($BL59)&gt;96,"leaf over 8'-0"&amp;CHAR(34)&amp;" - check listing, ","")&amp;IF(AND($CT59,COUNT($AW59:$AZ59)&gt;0,COUNT($AW59:$AZ59)&lt;&gt;$CQ59),COUNT($AW59:$AZ59)&amp;" custom hinges typed, "&amp;$CQ59&amp;" expected, ","")&amp;IF(AND(ISNUMBER($CA59),OR(N($CA59)&lt;34,N($CA59)&gt;48)),"lock "&amp;TEXT($CA59,"0.0")&amp;CHAR(34)&amp;" AFF outside 34-48"&amp;CHAR(34)&amp;" (ADA), ","")&amp;IF(AND(ISNUMBER($AV59),ISNUMBER($BL59),N($AV59)&lt;IF(N($BL59)&lt;=60,2,IF(N($BL59)&lt;=90,3,IF(N($BL59)&lt;=120,4,5)))),"fewer hinges than standard, ",""))</f>
        <v/>
      </c>
    </row>
    <row r="60" ht="15" customHeight="1">
      <c r="A60" s="92" t="n"/>
      <c r="B60" s="93" t="n"/>
      <c r="C60" s="93" t="n"/>
      <c r="D60" s="93" t="n"/>
      <c r="E60" s="93" t="n"/>
      <c r="F60" s="93" t="n"/>
      <c r="G60" s="93" t="n"/>
      <c r="H60" s="93" t="n"/>
      <c r="I60" s="93" t="n"/>
      <c r="J60" s="93" t="n"/>
      <c r="K60" s="93" t="n"/>
      <c r="L60" s="93" t="n"/>
      <c r="M60" s="93" t="n"/>
      <c r="N60" s="93" t="n"/>
      <c r="O60" s="93" t="n"/>
      <c r="P60" s="93" t="n"/>
      <c r="Q60" s="93" t="n"/>
      <c r="R60" s="93" t="n"/>
      <c r="S60" s="94" t="n"/>
      <c r="T60" s="94" t="n"/>
      <c r="U60" s="94" t="n"/>
      <c r="V60" s="94" t="n"/>
      <c r="W60" s="94" t="n"/>
      <c r="X60" s="94" t="n"/>
      <c r="Y60" s="94" t="n"/>
      <c r="Z60" s="94" t="n"/>
      <c r="AA60" s="94" t="n"/>
      <c r="AB60" s="94" t="n"/>
      <c r="AC60" s="94" t="n"/>
      <c r="AD60" s="94" t="n"/>
      <c r="AE60" s="94" t="n"/>
      <c r="AF60" s="94" t="n"/>
      <c r="AG60" s="94" t="n"/>
      <c r="AH60" s="95" t="n"/>
      <c r="AI60" s="95" t="n"/>
      <c r="AJ60" s="95" t="n"/>
      <c r="AK60" s="95" t="n"/>
      <c r="AL60" s="95" t="n"/>
      <c r="AM60" s="95" t="n"/>
      <c r="AN60" s="95" t="n"/>
      <c r="AO60" s="95" t="n"/>
      <c r="AP60" s="95" t="n"/>
      <c r="AQ60" s="95" t="n"/>
      <c r="AR60" s="95" t="n"/>
      <c r="AS60" s="95" t="n"/>
      <c r="AT60" s="96" t="n"/>
      <c r="AU60" s="96" t="n"/>
      <c r="AV60" s="96" t="n"/>
      <c r="AW60" s="97" t="n"/>
      <c r="AX60" s="97" t="n"/>
      <c r="AY60" s="97" t="n"/>
      <c r="AZ60" s="97" t="n"/>
      <c r="BA60" s="97" t="n"/>
      <c r="BB60" s="98" t="n"/>
      <c r="BC60" s="98" t="n"/>
      <c r="BD60" s="99">
        <f>IF($A60="","",IF($DJ60&lt;&gt;"","FIX",IF($DK60&lt;&gt;"","CHECK","OK")))</f>
        <v/>
      </c>
      <c r="BE60" s="100">
        <f>IF($A60="","",IF($DJ60&lt;&gt;"","FIX: "&amp;LEFT($DJ60,LEN($DJ60)-2)&amp;IF($DK60&lt;&gt;"","  ·  ",""),"")&amp;IF($DK60&lt;&gt;"","CHECK: "&amp;LEFT($DK60,LEN($DK60)-2),""))</f>
        <v/>
      </c>
      <c r="BF60" s="99">
        <f>IF(OR($A60="",$K60=""),"",$K60&amp;"'-"&amp;N($L60)&amp;CHAR(34)&amp;" x "&amp;$M60&amp;"'-"&amp;N($N60)&amp;CHAR(34))</f>
        <v/>
      </c>
      <c r="BG60" s="99">
        <f>IF(OR($A60="",$K60=""),"",$K60&amp;N($L60)&amp;$M60&amp;N($N60))</f>
        <v/>
      </c>
      <c r="BH60" s="99">
        <f>IF(OR($A60="",$K60=""),"",$K60*12+N($L60))</f>
        <v/>
      </c>
      <c r="BI60" s="99">
        <f>IF(OR($A60="",$M60=""),"",$M60*12+N($N60))</f>
        <v/>
      </c>
      <c r="BJ60" s="99">
        <f>IF($A60="","",IF(OR($C60="FRAME ONLY",$S60="BL"),0,IF($O60="Y",2,1)))</f>
        <v/>
      </c>
      <c r="BK60" s="101">
        <f>IF(OR(N($BJ60)=0,$BH60=""),"",($BH60-2*EdgeClr-IF($BJ60=2,MeetClr,0))/$BJ60)</f>
        <v/>
      </c>
      <c r="BL60" s="101">
        <f>IF(OR(N($BJ60)=0,$BI60=""),"",$BI60-HeadClr-Undercut)</f>
        <v/>
      </c>
      <c r="BM60" s="101">
        <f>IF($BH60="","",$BH60+2*FaceW+IF(N($Q60)&gt;0,($Q60+FaceW)*IF($R60="LR",2,1),0))</f>
        <v/>
      </c>
      <c r="BN60" s="101">
        <f>IF($BI60="","",$BI60+IF($AB60="Y",4,FaceW)+IF(N($P60)&gt;0,$P60+FaceW,0)+IF(OR($S60="4F",$S60="BL"),FaceW,0))</f>
        <v/>
      </c>
      <c r="BO60" s="101">
        <f>IF($BM60="","",$BM60+2*ROSide)</f>
        <v/>
      </c>
      <c r="BP60" s="101">
        <f>IF($BN60="","",$BN60+ROTop)</f>
        <v/>
      </c>
      <c r="BQ60" s="102">
        <f>IF(OR(N($BJ60)=0,$BH60=""),"",$BH60/$BJ60-ClearDeduct)</f>
        <v/>
      </c>
      <c r="BR60" s="99">
        <f>IF(N($CH60)=0,"",IF($CH60&gt;=180,"A · 3 HR",IF($CH60&gt;=90,"B · 1-1/2 HR",IF($CH60&gt;=60,"B · 1 HR",IF($CH60&gt;=45,"C · 3/4 HR","20 MIN")))))&amp;IF(AND(N($CH60)&gt;0,OR($I60="CORRIDOR",$I60="SMOKE BARRIER"))," · S","")</f>
        <v/>
      </c>
      <c r="BS60" s="99">
        <f>IF($CS60,"",IF($AV60&lt;&gt;"",$AV60,IF(OR($AC60="HGC",$AO60="HGC"),"CONT",IF(($BI60-HeadClr-Undercut)&lt;=60,2,IF(($BI60-HeadClr-Undercut)&lt;=90,3,IF(($BI60-HeadClr-Undercut)&lt;=120,4,5))))))</f>
        <v/>
      </c>
      <c r="BT60" s="99">
        <f>IF($CS60,"",IF($CT60,"CUSTOM (typed)",IF($CV60,$AT60&amp;" "&amp;$CU60&amp;CHAR(34)&amp;IF($CU60&lt;&gt;$BI60,IF(AND($BI60&lt;$CU60,$BI60-IF(N(VLOOKUP($AT60&amp;"|"&amp;$CU60,LocTable,7,FALSE))&gt;0,VLOOKUP($AT60&amp;"|"&amp;$CU60,LocTable,7,FALSE),VLOOKUP($AT60&amp;"|"&amp;$CU60,LocTable,6,FALSE))-$CR60-0.75&gt;=2.125)," cut down"," adj."),""),"ANSI/SDI A250.6")))</f>
        <v/>
      </c>
      <c r="BU60" s="103">
        <f>IF($CS60,"",IF($CT60,IF(N($AW60)&gt;0,N($AW60),""),IF(1&gt;$CQ60,"",IF($CQ60=1,$CW60,$CW60+($CX60-$CW60)*0/($CQ60-1)))))</f>
        <v/>
      </c>
      <c r="BV60" s="103">
        <f>IF($CS60,"",IF($CT60,IF(N($AX60)&gt;0,N($AX60),""),IF(2&gt;$CQ60,"",IF($CQ60=1,$CW60,$CW60+($CX60-$CW60)*1/($CQ60-1)))))</f>
        <v/>
      </c>
      <c r="BW60" s="103">
        <f>IF($CS60,"",IF($CT60,IF(N($AY60)&gt;0,N($AY60),""),IF(3&gt;$CQ60,"",IF($CQ60=1,$CW60,$CW60+($CX60-$CW60)*2/($CQ60-1)))))</f>
        <v/>
      </c>
      <c r="BX60" s="103">
        <f>IF($CS60,"",IF($CT60,IF(N($AZ60)&gt;0,N($AZ60),""),IF(4&gt;$CQ60,"",IF($CQ60=1,$CW60,$CW60+($CX60-$CW60)*3/($CQ60-1)))))</f>
        <v/>
      </c>
      <c r="BY60" s="103">
        <f>IF($CS60,"",IF($CT60,"",IF(5&gt;$CQ60,"",IF($CQ60=1,$CW60,$CW60+($CX60-$CW60)*4/($CQ60-1)))))</f>
        <v/>
      </c>
      <c r="BZ60" s="103">
        <f>IF(OR($CS60,$AP60="-",AND($AP60="",$AD60="")),"",IF(N($BA60)&gt;0,N($BA60),IF($CV60,IF(AND($BI60&lt;$CU60,$BI60-IF(N(VLOOKUP($AT60&amp;"|"&amp;$CU60,LocTable,7,FALSE))&gt;0,VLOOKUP($AT60&amp;"|"&amp;$CU60,LocTable,7,FALSE),VLOOKUP($AT60&amp;"|"&amp;$CU60,LocTable,6,FALSE))-$CR60-0.75&gt;=2.125),VLOOKUP($AT60&amp;"|"&amp;$CU60,LocTable,8,FALSE),VLOOKUP($AT60&amp;"|"&amp;$CU60,LocTable,8,FALSE)+($BI60-$CU60)),$BI60-LockAFF)))</f>
        <v/>
      </c>
      <c r="CA60" s="104">
        <f>IF($BZ60="","",$BI60-$BZ60)</f>
        <v/>
      </c>
      <c r="CB60" s="99">
        <f>IF(OR(NOT(AND($A60&lt;&gt;"",$C60&lt;&gt;"DOOR ONLY")),$BI60=""),"",IF(($BI60+IF(N($P60)&gt;0,$P60+FaceW,0))&lt;=90,3,IF(($BI60+IF(N($P60)&gt;0,$P60+FaceW,0))&lt;=114,4,5)))</f>
        <v/>
      </c>
      <c r="CC60" s="99">
        <f>IF($CB60="","",$CB60*(2+IF(N($Q60)&gt;0,IF($R60="LR",2,1),0)))</f>
        <v/>
      </c>
      <c r="CD60" s="99">
        <f>IF($CB60="","",(2+IF(N($Q60)&gt;0,IF($R60="LR",2,1),0)))</f>
        <v/>
      </c>
      <c r="CE60" s="99">
        <f>IF(N($BJ60)=0,"",IF(OR($AL60="",$AL60="FLUSH"),"FLUSH",IFERROR(LEFT($AL60,FIND("-",$AL60)-1),LEFT($AL60,2))))</f>
        <v/>
      </c>
      <c r="CF60" s="99">
        <f>IF($CE60="","",IFERROR(VALUE(MID($AL60,FIND("-",$AL60)+1,FIND(CHAR(34)&amp;"x",$AL60)-FIND("-",$AL60)-1)),0))</f>
        <v/>
      </c>
      <c r="CG60" s="99">
        <f>IF($CE60="","",IFERROR(VALUE(MID($AL60,FIND(CHAR(34)&amp;"x",$AL60)+2,FIND(CHAR(34),$AL60,FIND(CHAR(34)&amp;"x",$AL60)+2)-FIND(CHAR(34)&amp;"x",$AL60)-2)),0))</f>
        <v/>
      </c>
      <c r="CH60" s="105">
        <f>IF(OR($A60="",$H60="",$H60="NO LAB"),0,IFERROR(VALUE(LEFT($H60,FIND(" ",$H60)-1)),0))</f>
        <v/>
      </c>
      <c r="CI60" s="106">
        <f>IF(OR($A60="",$I60="",$I60="NON-RATED",N($J60)=0),"",IFERROR(VLOOKUP($I60&amp;"|"&amp;$J60,IBC,2,FALSE),"?"))</f>
        <v/>
      </c>
      <c r="CJ60" s="100">
        <f>IF(NOT(AND($A60&lt;&gt;"",$C60&lt;&gt;"DOOR ONLY")),"",TRIM(IFERROR(VLOOKUP($U60,CODES,2,FALSE),"")&amp;" "&amp;$BG60&amp;" "&amp;IFERROR(VLOOKUP($Z60,CODES,2,FALSE),"")&amp;" "&amp;IFERROR(VLOOKUP($X60,CODES,2,FALSE),"")&amp;" "&amp;IFERROR(VLOOKUP($S60,CODES,2,FALSE),"")&amp;IF(N($P60)&gt;0," w/TRANSOM "&amp;$P60&amp;CHAR(34),"")&amp;IF(N($Q60)&gt;0," w/SIDELITE "&amp;$Q60&amp;CHAR(34)&amp;" "&amp;IF($R60="","R",$R60),"")&amp;IF($Y60="","  |  "," | "&amp;IFERROR(VLOOKUP($Y60,CODES,2,FALSE),"")&amp;" | ")&amp;IFERROR(VLOOKUP($AC60,CODES,2,FALSE),"")&amp;" "&amp;IFERROR(VLOOKUP($AD60,CODES,2,FALSE),"")&amp;IF(OR($AE60="",$AE60="-"),""," "&amp;$AE60)&amp;IF(OR($AF60="",$AF60="-"),""," "&amp;$AF60)&amp;IF($AB60="Y"," 4"&amp;CHAR(34)&amp;" HEAD","")&amp;" "&amp;IFERROR(VLOOKUP($H60,CODES,2,FALSE),"")&amp;IF($CT60," | LOC "&amp;$CY60,"")))</f>
        <v/>
      </c>
      <c r="CK60" s="100">
        <f>IF(NOT(AND($A60&lt;&gt;"",N($BJ60)&gt;0)),"",TRIM(IFERROR(VLOOKUP($AH60,CODES,2,FALSE),"")&amp;IF($AI60=""," "," "&amp;$AI60&amp;"GA ")&amp;$BG60&amp;" "&amp;IF($AN60="",IFERROR(VLOOKUP($Z60,CODES,2,FALSE),""),IFERROR(VLOOKUP($AN60,CODES,2,FALSE),""))&amp;IF($BJ60=2," PAIR","")&amp;" DOOR | "&amp;IF($AL60="","?",$AL60)&amp;" | "&amp;IF($AO60="",IFERROR(VLOOKUP($AC60,CODES,2,FALSE),""),IFERROR(VLOOKUP($AO60,CODES,2,FALSE),""))&amp;" "&amp;IFERROR(VLOOKUP($AP60,CODES,2,FALSE),"")&amp;IF(OR($AQ60="",$AQ60="-"),""," SEAM "&amp;$AQ60)&amp;IF($AR60="Y"," ASTRAGAL","")&amp;IF($AJ60=""," "," "&amp;$AJ60)&amp;IF($AK60=""," "," "&amp;$AK60)&amp;IF(OR($AT60="",$AT60="ANSI/SDI",$AT60="CUSTOM LOC"),""," "&amp;$AT60)&amp;IF($AM60=""," "," SERIES "&amp;$AM60)&amp;" "&amp;IFERROR(VLOOKUP($H60,CODES,2,FALSE),"")&amp;IF($CT60," | LOC "&amp;$CZ60,"")))</f>
        <v/>
      </c>
      <c r="CL60" s="99">
        <f>IF(CP60="","",IF(COUNTIF($CP$6:CP60,CP60)=1,MAX($CL$5:CL59)+1,INDEX($CL$5:CL59,MATCH(CP60,$CP$5:CP59,0))))</f>
        <v/>
      </c>
      <c r="CM60" s="99">
        <f>IF(NOT(AND($A60&lt;&gt;"",$C60&lt;&gt;"DOOR ONLY")),"",MAX($CM$5:CM59)+1)</f>
        <v/>
      </c>
      <c r="CN60" s="99">
        <f>IF(NOT(AND($A60&lt;&gt;"",N($BJ60)&gt;0)),"",MAX($CN$5:CN59)+1)</f>
        <v/>
      </c>
      <c r="CO60" s="99">
        <f>IF($A60="","",MAX($CO$5:CO59)+1)</f>
        <v/>
      </c>
      <c r="CP60" s="99">
        <f>IF(OR($A60="",$BH60="",$BI60=""),"",$BG60&amp;"|"&amp;$O60&amp;"|"&amp;$AL60&amp;"|"&amp;$S60&amp;"|"&amp;$P60&amp;"|"&amp;$Q60&amp;$R60&amp;"|"&amp;$C60&amp;"|"&amp;$AB60)</f>
        <v/>
      </c>
      <c r="CQ60" s="99">
        <f>N($BS60)</f>
        <v/>
      </c>
      <c r="CR60" s="99">
        <f>IF(N($AU60)&gt;0,N($AU60),4.5)</f>
        <v/>
      </c>
      <c r="CS60" s="99">
        <f>OR($A60="",$BI60="",$S60="BL",AND($C60="FRAME ONLY",OR($AC60="",$AC60="BLK")))</f>
        <v/>
      </c>
      <c r="CT60" s="99">
        <f>AND(NOT($CS60),OR($AT60="CUSTOM LOC",N($AW60)+N($AX60)+N($AY60)+N($AZ60)+N($BA60)&gt;0))</f>
        <v/>
      </c>
      <c r="CU60" s="99">
        <f>IF($BI60="","",IF($BI60&lt;=80,80,IF($BI60&lt;=84,84,96)))</f>
        <v/>
      </c>
      <c r="CV60" s="99">
        <f>ISNUMBER(MATCH($AT60&amp;"|80",LocKeys,0))</f>
        <v/>
      </c>
      <c r="CW60" s="101">
        <f>IF($CS60,"",IF($CV60,VLOOKUP($AT60&amp;"|"&amp;$CU60,LocTable,4,FALSE),5))</f>
        <v/>
      </c>
      <c r="CX60" s="101">
        <f>IF($CS60,"",IF($CV60,IF(OR($BI60=$CU60,AND($BI60&lt;$CU60,$BI60-IF(N(VLOOKUP($AT60&amp;"|"&amp;$CU60,LocTable,7,FALSE))&gt;0,VLOOKUP($AT60&amp;"|"&amp;$CU60,LocTable,7,FALSE),VLOOKUP($AT60&amp;"|"&amp;$CU60,LocTable,6,FALSE))-$CR60-0.75&gt;=2.125)),IF(N(VLOOKUP($AT60&amp;"|"&amp;$CU60,LocTable,7,FALSE))&gt;0,VLOOKUP($AT60&amp;"|"&amp;$CU60,LocTable,7,FALSE),VLOOKUP($AT60&amp;"|"&amp;$CU60,LocTable,6,FALSE)),$BI60-($CU60-IF(N(VLOOKUP($AT60&amp;"|"&amp;$CU60,LocTable,7,FALSE))&gt;0,VLOOKUP($AT60&amp;"|"&amp;$CU60,LocTable,7,FALSE),VLOOKUP($AT60&amp;"|"&amp;$CU60,LocTable,6,FALSE)))),$BI60-10-$CR60))</f>
        <v/>
      </c>
      <c r="CY60" s="100">
        <f>IF($CS60,"",TRIM(IF(ISNUMBER($BU60),"A "&amp;TRIM(TEXT($BU60,"# ?/??"))&amp;CHAR(34)&amp;"  ","")&amp;IF(ISNUMBER($BV60),"B "&amp;TRIM(TEXT($BV60,"# ?/??"))&amp;CHAR(34)&amp;"  ","")&amp;IF(ISNUMBER($BW60),"C "&amp;TRIM(TEXT($BW60,"# ?/??"))&amp;CHAR(34)&amp;"  ","")&amp;IF(ISNUMBER($BX60),"D "&amp;TRIM(TEXT($BX60,"# ?/??"))&amp;CHAR(34)&amp;"  ","")&amp;IF(ISNUMBER($BY60),"F "&amp;TRIM(TEXT($BY60,"# ?/??"))&amp;CHAR(34)&amp;"  ","")&amp;IF(ISNUMBER($BZ60),"E "&amp;TRIM(TEXT($BZ60,"# ?/??"))&amp;CHAR(34)&amp;"  ","")))</f>
        <v/>
      </c>
      <c r="CZ60" s="100">
        <f>IF(OR($CS60,N($BJ60)=0),"",TRIM(IF(ISNUMBER($BU60),"A "&amp;TRIM(TEXT($BU60-HeadClr,"# ?/??"))&amp;CHAR(34)&amp;"  ","")&amp;IF(ISNUMBER($BV60),"B "&amp;TRIM(TEXT($BV60-HeadClr,"# ?/??"))&amp;CHAR(34)&amp;"  ","")&amp;IF(ISNUMBER($BW60),"C "&amp;TRIM(TEXT($BW60-HeadClr,"# ?/??"))&amp;CHAR(34)&amp;"  ","")&amp;IF(ISNUMBER($BX60),"D "&amp;TRIM(TEXT($BX60-HeadClr,"# ?/??"))&amp;CHAR(34)&amp;"  ","")&amp;IF(ISNUMBER($BY60),"F "&amp;TRIM(TEXT($BY60-HeadClr,"# ?/??"))&amp;CHAR(34)&amp;"  ","")&amp;IF(ISNUMBER($BZ60),"E "&amp;TRIM(TEXT($BZ60-HeadClr,"# ?/??"))&amp;CHAR(34)&amp;"  ","")))</f>
        <v/>
      </c>
      <c r="DA60" s="99">
        <f>IF($A60="","",IF($AN60="",IFERROR(VLOOKUP($Z60,CODES,2,FALSE),""),IFERROR(VLOOKUP($AN60,CODES,2,FALSE),"")))</f>
        <v/>
      </c>
      <c r="DB60" s="99">
        <f>IF($A60="","",IF($O60="Y","PR",IF(OR($Z60="L",$Z60="RR",LEFT($Z60,2)="L-",LEFT($Z60,3)="RR-"),"LH","RH")))</f>
        <v/>
      </c>
      <c r="DC60" s="99">
        <f>IF($A60="","","S.HM"&amp;IF(OR($C60="DOOR ONLY",$X60&lt;&gt;"KD"),"MASONRY","DRYWALL")&amp;IF($C60="DOOR ONLY","",$U60)&amp;IF(AND($C60&lt;&gt;"FRAME ONLY",OR(LEFT($AH60,3)="OAK",LEFT($AH60,3)="BIR",LEFT($AH60,3)="MAP",$AH60="PC",$AH60="MC",$AH60="SCLC",$AH60="P-LAM")),"WD","HM")&amp;"1.75")</f>
        <v/>
      </c>
      <c r="DD60" s="99">
        <f>IF($CJ60="","",IF($O60="Y",$CJ60,SUBSTITUTE($CJ60,$BG60&amp;" "&amp;IFERROR(VLOOKUP($Z60,CODES,2,FALSE),"")&amp;" ",$BG60&amp;" ")))</f>
        <v/>
      </c>
      <c r="DE60" s="99">
        <f>IF($CK60="","",IF($O60="Y",$CK60,SUBSTITUTE($CK60,$BG60&amp;" "&amp;IF($AN60="",IFERROR(VLOOKUP($Z60,CODES,2,FALSE),""),IFERROR(VLOOKUP($AN60,CODES,2,FALSE),""))&amp;" ",$BG60&amp;" ")))</f>
        <v/>
      </c>
      <c r="DF60" s="99">
        <f>IF($CJ60="","",$DC60&amp;"|"&amp;$DD60&amp;"|"&amp;$DB60&amp;"|"&amp;$AT60&amp;"|"&amp;$V60&amp;"|"&amp;$Y60&amp;"|"&amp;$AB60)</f>
        <v/>
      </c>
      <c r="DG60" s="99">
        <f>IF(DF60="","",IF(COUNTIF($DF$6:DF60,DF60)=1,MAX($DG$5:DG59)+1,INDEX($DG$5:DG59,MATCH(DF60,$DF$5:DF59,0))))</f>
        <v/>
      </c>
      <c r="DH60" s="99">
        <f>IF($CK60="","",$DC60&amp;"|"&amp;$DE60&amp;"|"&amp;$AI60&amp;"|"&amp;$BK60&amp;"|"&amp;$BL60)</f>
        <v/>
      </c>
      <c r="DI60" s="99">
        <f>IF(DH60="","",IF(COUNTIF($DH$6:DH60,DH60)=1,MAX($DI$5:DI59)+1,INDEX($DI$5:DI59,MATCH(DH60,$DH$5:DH59,0))))</f>
        <v/>
      </c>
      <c r="DJ60" s="99">
        <f>IF($A60="","",IF($B60="","qty, ","")&amp;IF($C60="","scope, ","")&amp;IF(OR($K60="",$M60=""),"size, ","")&amp;IF(AND($A60&lt;&gt;"",$C60&lt;&gt;"DOOR ONLY"),IF($U60="","jamb depth, ","")&amp;IF($X60="","construction, ","")&amp;IF($Y60="","anchor, ","")&amp;IF($S60="","frame type, ",""),"")&amp;IF(AND(N($BJ60)&gt;0,$Z60=""),"hand, ","")&amp;IF(N($BJ60)&gt;0,IF($AH60="","door material, ","")&amp;IF($AL60="","face type, ","")&amp;IF($AP60="","lock prep, ","")&amp;IF(AND($AO60="",$AC60=""),"hinge prep, ",""),"")&amp;IF(AND($CH60&gt;0,$AH60="FRP"),"FRP cannot carry a label, ","")&amp;IF(AND($O60="Y",OR($Z60="L",$Z60="R",$Z60="LR",$Z60="RR")),"pair marked but hand is single, ","")&amp;IF(AND($O60&lt;&gt;"Y",OR($Z60="PR",AND(LEN($Z60)&gt;1,ISNUMBER(SEARCH("-",$Z60))))),"pair hand on a single door, ","")&amp;IF(AND(ISNUMBER($CI60),$CH60&lt;N($CI60)),"wall needs a "&amp;$CI60&amp;" min door, ","")&amp;IF(AND($CH60&gt;=180,AND(OR($CE60="FG",$CE60="HG",$CE60="FNV",$CE60="FV"),N($CF60)*N($CG60)&gt;100)),"180 min lite over 100 sq in, ","")&amp;IF(N($BK60)&gt;48,"leaf wider than 4'-0"&amp;CHAR(34)&amp;", ","")&amp;IF(AND($CT60,COUNT($AW60:$AZ60)=0,$CQ60&gt;0),"CUSTOM LOC with no locations typed, ",""))</f>
        <v/>
      </c>
      <c r="DK60" s="99">
        <f>IF($A60="","",IF(AND($CH60&gt;0,AND($A60&lt;&gt;"",$C60&lt;&gt;"DOOR ONLY"),$X60="KD",$E60="EXTERIOR"),"KD label on an exterior opening, ","")&amp;IF(AND($E60="EXTERIOR",OR(AND(AND($A60&lt;&gt;"",$C60&lt;&gt;"DOOR ONLY"),$W60="CR"),AND(N($BJ60)&gt;0,$AH60="CR"))),"exterior in CR steel (G9?), ","")&amp;IF(AND(ISNUMBER($BQ60),N($BQ60)&lt;32),"clear width ~"&amp;TEXT($BQ60,"0.0")&amp;CHAR(34)&amp;" under 32"&amp;CHAR(34)&amp;" (ADA), ","")&amp;IF(AND($CH60=90,AND(OR($CE60="FG",$CE60="HG",$CE60="FNV",$CE60="FV"),N($CF60)*N($CG60)&gt;100)),"90 min lite over 100 sq in (stair/exit), ","")&amp;IF(AND($CH60&gt;0,AND($A60&lt;&gt;"",$C60&lt;&gt;"DOOR ONLY"),OR($AF60="",$AF60="-")),"rated: closer reinf.?, ","")&amp;IF(OR($I60="CORRIDOR",$I60="SMOKE BARRIER"),"S label + smoke gasketing, ","")&amp;IF($CI60="?","wall type/hr not in IBC table, ","")&amp;IF(AND(N($BJ60)&gt;0,$BB60=""),"no hardware set, ","")&amp;IF(AND($BB60&lt;&gt;"",ISNA(MATCH($BB60&amp;"",HWSets,0))),"set "&amp;$BB60&amp;" not on HW Sets, ","")&amp;IF(N($BL60)&gt;96,"leaf over 8'-0"&amp;CHAR(34)&amp;" - check listing, ","")&amp;IF(AND($CT60,COUNT($AW60:$AZ60)&gt;0,COUNT($AW60:$AZ60)&lt;&gt;$CQ60),COUNT($AW60:$AZ60)&amp;" custom hinges typed, "&amp;$CQ60&amp;" expected, ","")&amp;IF(AND(ISNUMBER($CA60),OR(N($CA60)&lt;34,N($CA60)&gt;48)),"lock "&amp;TEXT($CA60,"0.0")&amp;CHAR(34)&amp;" AFF outside 34-48"&amp;CHAR(34)&amp;" (ADA), ","")&amp;IF(AND(ISNUMBER($AV60),ISNUMBER($BL60),N($AV60)&lt;IF(N($BL60)&lt;=60,2,IF(N($BL60)&lt;=90,3,IF(N($BL60)&lt;=120,4,5)))),"fewer hinges than standard, ",""))</f>
        <v/>
      </c>
    </row>
    <row r="61" ht="15" customHeight="1">
      <c r="A61" s="77" t="n"/>
      <c r="B61" s="78" t="n"/>
      <c r="C61" s="78" t="n"/>
      <c r="D61" s="78" t="n"/>
      <c r="E61" s="78" t="n"/>
      <c r="F61" s="78" t="n"/>
      <c r="G61" s="78" t="n"/>
      <c r="H61" s="78" t="n"/>
      <c r="I61" s="78" t="n"/>
      <c r="J61" s="78" t="n"/>
      <c r="K61" s="78" t="n"/>
      <c r="L61" s="78" t="n"/>
      <c r="M61" s="78" t="n"/>
      <c r="N61" s="78" t="n"/>
      <c r="O61" s="78" t="n"/>
      <c r="P61" s="78" t="n"/>
      <c r="Q61" s="78" t="n"/>
      <c r="R61" s="78" t="n"/>
      <c r="S61" s="79" t="n"/>
      <c r="T61" s="79" t="n"/>
      <c r="U61" s="79" t="n"/>
      <c r="V61" s="79" t="n"/>
      <c r="W61" s="79" t="n"/>
      <c r="X61" s="79" t="n"/>
      <c r="Y61" s="79" t="n"/>
      <c r="Z61" s="79" t="n"/>
      <c r="AA61" s="79" t="n"/>
      <c r="AB61" s="79" t="n"/>
      <c r="AC61" s="79" t="n"/>
      <c r="AD61" s="79" t="n"/>
      <c r="AE61" s="79" t="n"/>
      <c r="AF61" s="79" t="n"/>
      <c r="AG61" s="79" t="n"/>
      <c r="AH61" s="80" t="n"/>
      <c r="AI61" s="80" t="n"/>
      <c r="AJ61" s="80" t="n"/>
      <c r="AK61" s="80" t="n"/>
      <c r="AL61" s="80" t="n"/>
      <c r="AM61" s="80" t="n"/>
      <c r="AN61" s="80" t="n"/>
      <c r="AO61" s="80" t="n"/>
      <c r="AP61" s="80" t="n"/>
      <c r="AQ61" s="80" t="n"/>
      <c r="AR61" s="80" t="n"/>
      <c r="AS61" s="80" t="n"/>
      <c r="AT61" s="81" t="n"/>
      <c r="AU61" s="81" t="n"/>
      <c r="AV61" s="81" t="n"/>
      <c r="AW61" s="82" t="n"/>
      <c r="AX61" s="82" t="n"/>
      <c r="AY61" s="82" t="n"/>
      <c r="AZ61" s="82" t="n"/>
      <c r="BA61" s="82" t="n"/>
      <c r="BB61" s="83" t="n"/>
      <c r="BC61" s="83" t="n"/>
      <c r="BD61" s="84">
        <f>IF($A61="","",IF($DJ61&lt;&gt;"","FIX",IF($DK61&lt;&gt;"","CHECK","OK")))</f>
        <v/>
      </c>
      <c r="BE61" s="85">
        <f>IF($A61="","",IF($DJ61&lt;&gt;"","FIX: "&amp;LEFT($DJ61,LEN($DJ61)-2)&amp;IF($DK61&lt;&gt;"","  ·  ",""),"")&amp;IF($DK61&lt;&gt;"","CHECK: "&amp;LEFT($DK61,LEN($DK61)-2),""))</f>
        <v/>
      </c>
      <c r="BF61" s="84">
        <f>IF(OR($A61="",$K61=""),"",$K61&amp;"'-"&amp;N($L61)&amp;CHAR(34)&amp;" x "&amp;$M61&amp;"'-"&amp;N($N61)&amp;CHAR(34))</f>
        <v/>
      </c>
      <c r="BG61" s="84">
        <f>IF(OR($A61="",$K61=""),"",$K61&amp;N($L61)&amp;$M61&amp;N($N61))</f>
        <v/>
      </c>
      <c r="BH61" s="84">
        <f>IF(OR($A61="",$K61=""),"",$K61*12+N($L61))</f>
        <v/>
      </c>
      <c r="BI61" s="84">
        <f>IF(OR($A61="",$M61=""),"",$M61*12+N($N61))</f>
        <v/>
      </c>
      <c r="BJ61" s="84">
        <f>IF($A61="","",IF(OR($C61="FRAME ONLY",$S61="BL"),0,IF($O61="Y",2,1)))</f>
        <v/>
      </c>
      <c r="BK61" s="86">
        <f>IF(OR(N($BJ61)=0,$BH61=""),"",($BH61-2*EdgeClr-IF($BJ61=2,MeetClr,0))/$BJ61)</f>
        <v/>
      </c>
      <c r="BL61" s="86">
        <f>IF(OR(N($BJ61)=0,$BI61=""),"",$BI61-HeadClr-Undercut)</f>
        <v/>
      </c>
      <c r="BM61" s="86">
        <f>IF($BH61="","",$BH61+2*FaceW+IF(N($Q61)&gt;0,($Q61+FaceW)*IF($R61="LR",2,1),0))</f>
        <v/>
      </c>
      <c r="BN61" s="86">
        <f>IF($BI61="","",$BI61+IF($AB61="Y",4,FaceW)+IF(N($P61)&gt;0,$P61+FaceW,0)+IF(OR($S61="4F",$S61="BL"),FaceW,0))</f>
        <v/>
      </c>
      <c r="BO61" s="86">
        <f>IF($BM61="","",$BM61+2*ROSide)</f>
        <v/>
      </c>
      <c r="BP61" s="86">
        <f>IF($BN61="","",$BN61+ROTop)</f>
        <v/>
      </c>
      <c r="BQ61" s="87">
        <f>IF(OR(N($BJ61)=0,$BH61=""),"",$BH61/$BJ61-ClearDeduct)</f>
        <v/>
      </c>
      <c r="BR61" s="84">
        <f>IF(N($CH61)=0,"",IF($CH61&gt;=180,"A · 3 HR",IF($CH61&gt;=90,"B · 1-1/2 HR",IF($CH61&gt;=60,"B · 1 HR",IF($CH61&gt;=45,"C · 3/4 HR","20 MIN")))))&amp;IF(AND(N($CH61)&gt;0,OR($I61="CORRIDOR",$I61="SMOKE BARRIER"))," · S","")</f>
        <v/>
      </c>
      <c r="BS61" s="84">
        <f>IF($CS61,"",IF($AV61&lt;&gt;"",$AV61,IF(OR($AC61="HGC",$AO61="HGC"),"CONT",IF(($BI61-HeadClr-Undercut)&lt;=60,2,IF(($BI61-HeadClr-Undercut)&lt;=90,3,IF(($BI61-HeadClr-Undercut)&lt;=120,4,5))))))</f>
        <v/>
      </c>
      <c r="BT61" s="84">
        <f>IF($CS61,"",IF($CT61,"CUSTOM (typed)",IF($CV61,$AT61&amp;" "&amp;$CU61&amp;CHAR(34)&amp;IF($CU61&lt;&gt;$BI61,IF(AND($BI61&lt;$CU61,$BI61-IF(N(VLOOKUP($AT61&amp;"|"&amp;$CU61,LocTable,7,FALSE))&gt;0,VLOOKUP($AT61&amp;"|"&amp;$CU61,LocTable,7,FALSE),VLOOKUP($AT61&amp;"|"&amp;$CU61,LocTable,6,FALSE))-$CR61-0.75&gt;=2.125)," cut down"," adj."),""),"ANSI/SDI A250.6")))</f>
        <v/>
      </c>
      <c r="BU61" s="88">
        <f>IF($CS61,"",IF($CT61,IF(N($AW61)&gt;0,N($AW61),""),IF(1&gt;$CQ61,"",IF($CQ61=1,$CW61,$CW61+($CX61-$CW61)*0/($CQ61-1)))))</f>
        <v/>
      </c>
      <c r="BV61" s="88">
        <f>IF($CS61,"",IF($CT61,IF(N($AX61)&gt;0,N($AX61),""),IF(2&gt;$CQ61,"",IF($CQ61=1,$CW61,$CW61+($CX61-$CW61)*1/($CQ61-1)))))</f>
        <v/>
      </c>
      <c r="BW61" s="88">
        <f>IF($CS61,"",IF($CT61,IF(N($AY61)&gt;0,N($AY61),""),IF(3&gt;$CQ61,"",IF($CQ61=1,$CW61,$CW61+($CX61-$CW61)*2/($CQ61-1)))))</f>
        <v/>
      </c>
      <c r="BX61" s="88">
        <f>IF($CS61,"",IF($CT61,IF(N($AZ61)&gt;0,N($AZ61),""),IF(4&gt;$CQ61,"",IF($CQ61=1,$CW61,$CW61+($CX61-$CW61)*3/($CQ61-1)))))</f>
        <v/>
      </c>
      <c r="BY61" s="88">
        <f>IF($CS61,"",IF($CT61,"",IF(5&gt;$CQ61,"",IF($CQ61=1,$CW61,$CW61+($CX61-$CW61)*4/($CQ61-1)))))</f>
        <v/>
      </c>
      <c r="BZ61" s="88">
        <f>IF(OR($CS61,$AP61="-",AND($AP61="",$AD61="")),"",IF(N($BA61)&gt;0,N($BA61),IF($CV61,IF(AND($BI61&lt;$CU61,$BI61-IF(N(VLOOKUP($AT61&amp;"|"&amp;$CU61,LocTable,7,FALSE))&gt;0,VLOOKUP($AT61&amp;"|"&amp;$CU61,LocTable,7,FALSE),VLOOKUP($AT61&amp;"|"&amp;$CU61,LocTable,6,FALSE))-$CR61-0.75&gt;=2.125),VLOOKUP($AT61&amp;"|"&amp;$CU61,LocTable,8,FALSE),VLOOKUP($AT61&amp;"|"&amp;$CU61,LocTable,8,FALSE)+($BI61-$CU61)),$BI61-LockAFF)))</f>
        <v/>
      </c>
      <c r="CA61" s="89">
        <f>IF($BZ61="","",$BI61-$BZ61)</f>
        <v/>
      </c>
      <c r="CB61" s="84">
        <f>IF(OR(NOT(AND($A61&lt;&gt;"",$C61&lt;&gt;"DOOR ONLY")),$BI61=""),"",IF(($BI61+IF(N($P61)&gt;0,$P61+FaceW,0))&lt;=90,3,IF(($BI61+IF(N($P61)&gt;0,$P61+FaceW,0))&lt;=114,4,5)))</f>
        <v/>
      </c>
      <c r="CC61" s="84">
        <f>IF($CB61="","",$CB61*(2+IF(N($Q61)&gt;0,IF($R61="LR",2,1),0)))</f>
        <v/>
      </c>
      <c r="CD61" s="84">
        <f>IF($CB61="","",(2+IF(N($Q61)&gt;0,IF($R61="LR",2,1),0)))</f>
        <v/>
      </c>
      <c r="CE61" s="84">
        <f>IF(N($BJ61)=0,"",IF(OR($AL61="",$AL61="FLUSH"),"FLUSH",IFERROR(LEFT($AL61,FIND("-",$AL61)-1),LEFT($AL61,2))))</f>
        <v/>
      </c>
      <c r="CF61" s="84">
        <f>IF($CE61="","",IFERROR(VALUE(MID($AL61,FIND("-",$AL61)+1,FIND(CHAR(34)&amp;"x",$AL61)-FIND("-",$AL61)-1)),0))</f>
        <v/>
      </c>
      <c r="CG61" s="84">
        <f>IF($CE61="","",IFERROR(VALUE(MID($AL61,FIND(CHAR(34)&amp;"x",$AL61)+2,FIND(CHAR(34),$AL61,FIND(CHAR(34)&amp;"x",$AL61)+2)-FIND(CHAR(34)&amp;"x",$AL61)-2)),0))</f>
        <v/>
      </c>
      <c r="CH61" s="90">
        <f>IF(OR($A61="",$H61="",$H61="NO LAB"),0,IFERROR(VALUE(LEFT($H61,FIND(" ",$H61)-1)),0))</f>
        <v/>
      </c>
      <c r="CI61" s="91">
        <f>IF(OR($A61="",$I61="",$I61="NON-RATED",N($J61)=0),"",IFERROR(VLOOKUP($I61&amp;"|"&amp;$J61,IBC,2,FALSE),"?"))</f>
        <v/>
      </c>
      <c r="CJ61" s="85">
        <f>IF(NOT(AND($A61&lt;&gt;"",$C61&lt;&gt;"DOOR ONLY")),"",TRIM(IFERROR(VLOOKUP($U61,CODES,2,FALSE),"")&amp;" "&amp;$BG61&amp;" "&amp;IFERROR(VLOOKUP($Z61,CODES,2,FALSE),"")&amp;" "&amp;IFERROR(VLOOKUP($X61,CODES,2,FALSE),"")&amp;" "&amp;IFERROR(VLOOKUP($S61,CODES,2,FALSE),"")&amp;IF(N($P61)&gt;0," w/TRANSOM "&amp;$P61&amp;CHAR(34),"")&amp;IF(N($Q61)&gt;0," w/SIDELITE "&amp;$Q61&amp;CHAR(34)&amp;" "&amp;IF($R61="","R",$R61),"")&amp;IF($Y61="","  |  "," | "&amp;IFERROR(VLOOKUP($Y61,CODES,2,FALSE),"")&amp;" | ")&amp;IFERROR(VLOOKUP($AC61,CODES,2,FALSE),"")&amp;" "&amp;IFERROR(VLOOKUP($AD61,CODES,2,FALSE),"")&amp;IF(OR($AE61="",$AE61="-"),""," "&amp;$AE61)&amp;IF(OR($AF61="",$AF61="-"),""," "&amp;$AF61)&amp;IF($AB61="Y"," 4"&amp;CHAR(34)&amp;" HEAD","")&amp;" "&amp;IFERROR(VLOOKUP($H61,CODES,2,FALSE),"")&amp;IF($CT61," | LOC "&amp;$CY61,"")))</f>
        <v/>
      </c>
      <c r="CK61" s="85">
        <f>IF(NOT(AND($A61&lt;&gt;"",N($BJ61)&gt;0)),"",TRIM(IFERROR(VLOOKUP($AH61,CODES,2,FALSE),"")&amp;IF($AI61=""," "," "&amp;$AI61&amp;"GA ")&amp;$BG61&amp;" "&amp;IF($AN61="",IFERROR(VLOOKUP($Z61,CODES,2,FALSE),""),IFERROR(VLOOKUP($AN61,CODES,2,FALSE),""))&amp;IF($BJ61=2," PAIR","")&amp;" DOOR | "&amp;IF($AL61="","?",$AL61)&amp;" | "&amp;IF($AO61="",IFERROR(VLOOKUP($AC61,CODES,2,FALSE),""),IFERROR(VLOOKUP($AO61,CODES,2,FALSE),""))&amp;" "&amp;IFERROR(VLOOKUP($AP61,CODES,2,FALSE),"")&amp;IF(OR($AQ61="",$AQ61="-"),""," SEAM "&amp;$AQ61)&amp;IF($AR61="Y"," ASTRAGAL","")&amp;IF($AJ61=""," "," "&amp;$AJ61)&amp;IF($AK61=""," "," "&amp;$AK61)&amp;IF(OR($AT61="",$AT61="ANSI/SDI",$AT61="CUSTOM LOC"),""," "&amp;$AT61)&amp;IF($AM61=""," "," SERIES "&amp;$AM61)&amp;" "&amp;IFERROR(VLOOKUP($H61,CODES,2,FALSE),"")&amp;IF($CT61," | LOC "&amp;$CZ61,"")))</f>
        <v/>
      </c>
      <c r="CL61" s="84">
        <f>IF(CP61="","",IF(COUNTIF($CP$6:CP61,CP61)=1,MAX($CL$5:CL60)+1,INDEX($CL$5:CL60,MATCH(CP61,$CP$5:CP60,0))))</f>
        <v/>
      </c>
      <c r="CM61" s="84">
        <f>IF(NOT(AND($A61&lt;&gt;"",$C61&lt;&gt;"DOOR ONLY")),"",MAX($CM$5:CM60)+1)</f>
        <v/>
      </c>
      <c r="CN61" s="84">
        <f>IF(NOT(AND($A61&lt;&gt;"",N($BJ61)&gt;0)),"",MAX($CN$5:CN60)+1)</f>
        <v/>
      </c>
      <c r="CO61" s="84">
        <f>IF($A61="","",MAX($CO$5:CO60)+1)</f>
        <v/>
      </c>
      <c r="CP61" s="84">
        <f>IF(OR($A61="",$BH61="",$BI61=""),"",$BG61&amp;"|"&amp;$O61&amp;"|"&amp;$AL61&amp;"|"&amp;$S61&amp;"|"&amp;$P61&amp;"|"&amp;$Q61&amp;$R61&amp;"|"&amp;$C61&amp;"|"&amp;$AB61)</f>
        <v/>
      </c>
      <c r="CQ61" s="84">
        <f>N($BS61)</f>
        <v/>
      </c>
      <c r="CR61" s="84">
        <f>IF(N($AU61)&gt;0,N($AU61),4.5)</f>
        <v/>
      </c>
      <c r="CS61" s="84">
        <f>OR($A61="",$BI61="",$S61="BL",AND($C61="FRAME ONLY",OR($AC61="",$AC61="BLK")))</f>
        <v/>
      </c>
      <c r="CT61" s="84">
        <f>AND(NOT($CS61),OR($AT61="CUSTOM LOC",N($AW61)+N($AX61)+N($AY61)+N($AZ61)+N($BA61)&gt;0))</f>
        <v/>
      </c>
      <c r="CU61" s="84">
        <f>IF($BI61="","",IF($BI61&lt;=80,80,IF($BI61&lt;=84,84,96)))</f>
        <v/>
      </c>
      <c r="CV61" s="84">
        <f>ISNUMBER(MATCH($AT61&amp;"|80",LocKeys,0))</f>
        <v/>
      </c>
      <c r="CW61" s="86">
        <f>IF($CS61,"",IF($CV61,VLOOKUP($AT61&amp;"|"&amp;$CU61,LocTable,4,FALSE),5))</f>
        <v/>
      </c>
      <c r="CX61" s="86">
        <f>IF($CS61,"",IF($CV61,IF(OR($BI61=$CU61,AND($BI61&lt;$CU61,$BI61-IF(N(VLOOKUP($AT61&amp;"|"&amp;$CU61,LocTable,7,FALSE))&gt;0,VLOOKUP($AT61&amp;"|"&amp;$CU61,LocTable,7,FALSE),VLOOKUP($AT61&amp;"|"&amp;$CU61,LocTable,6,FALSE))-$CR61-0.75&gt;=2.125)),IF(N(VLOOKUP($AT61&amp;"|"&amp;$CU61,LocTable,7,FALSE))&gt;0,VLOOKUP($AT61&amp;"|"&amp;$CU61,LocTable,7,FALSE),VLOOKUP($AT61&amp;"|"&amp;$CU61,LocTable,6,FALSE)),$BI61-($CU61-IF(N(VLOOKUP($AT61&amp;"|"&amp;$CU61,LocTable,7,FALSE))&gt;0,VLOOKUP($AT61&amp;"|"&amp;$CU61,LocTable,7,FALSE),VLOOKUP($AT61&amp;"|"&amp;$CU61,LocTable,6,FALSE)))),$BI61-10-$CR61))</f>
        <v/>
      </c>
      <c r="CY61" s="85">
        <f>IF($CS61,"",TRIM(IF(ISNUMBER($BU61),"A "&amp;TRIM(TEXT($BU61,"# ?/??"))&amp;CHAR(34)&amp;"  ","")&amp;IF(ISNUMBER($BV61),"B "&amp;TRIM(TEXT($BV61,"# ?/??"))&amp;CHAR(34)&amp;"  ","")&amp;IF(ISNUMBER($BW61),"C "&amp;TRIM(TEXT($BW61,"# ?/??"))&amp;CHAR(34)&amp;"  ","")&amp;IF(ISNUMBER($BX61),"D "&amp;TRIM(TEXT($BX61,"# ?/??"))&amp;CHAR(34)&amp;"  ","")&amp;IF(ISNUMBER($BY61),"F "&amp;TRIM(TEXT($BY61,"# ?/??"))&amp;CHAR(34)&amp;"  ","")&amp;IF(ISNUMBER($BZ61),"E "&amp;TRIM(TEXT($BZ61,"# ?/??"))&amp;CHAR(34)&amp;"  ","")))</f>
        <v/>
      </c>
      <c r="CZ61" s="85">
        <f>IF(OR($CS61,N($BJ61)=0),"",TRIM(IF(ISNUMBER($BU61),"A "&amp;TRIM(TEXT($BU61-HeadClr,"# ?/??"))&amp;CHAR(34)&amp;"  ","")&amp;IF(ISNUMBER($BV61),"B "&amp;TRIM(TEXT($BV61-HeadClr,"# ?/??"))&amp;CHAR(34)&amp;"  ","")&amp;IF(ISNUMBER($BW61),"C "&amp;TRIM(TEXT($BW61-HeadClr,"# ?/??"))&amp;CHAR(34)&amp;"  ","")&amp;IF(ISNUMBER($BX61),"D "&amp;TRIM(TEXT($BX61-HeadClr,"# ?/??"))&amp;CHAR(34)&amp;"  ","")&amp;IF(ISNUMBER($BY61),"F "&amp;TRIM(TEXT($BY61-HeadClr,"# ?/??"))&amp;CHAR(34)&amp;"  ","")&amp;IF(ISNUMBER($BZ61),"E "&amp;TRIM(TEXT($BZ61-HeadClr,"# ?/??"))&amp;CHAR(34)&amp;"  ","")))</f>
        <v/>
      </c>
      <c r="DA61" s="84">
        <f>IF($A61="","",IF($AN61="",IFERROR(VLOOKUP($Z61,CODES,2,FALSE),""),IFERROR(VLOOKUP($AN61,CODES,2,FALSE),"")))</f>
        <v/>
      </c>
      <c r="DB61" s="84">
        <f>IF($A61="","",IF($O61="Y","PR",IF(OR($Z61="L",$Z61="RR",LEFT($Z61,2)="L-",LEFT($Z61,3)="RR-"),"LH","RH")))</f>
        <v/>
      </c>
      <c r="DC61" s="84">
        <f>IF($A61="","","S.HM"&amp;IF(OR($C61="DOOR ONLY",$X61&lt;&gt;"KD"),"MASONRY","DRYWALL")&amp;IF($C61="DOOR ONLY","",$U61)&amp;IF(AND($C61&lt;&gt;"FRAME ONLY",OR(LEFT($AH61,3)="OAK",LEFT($AH61,3)="BIR",LEFT($AH61,3)="MAP",$AH61="PC",$AH61="MC",$AH61="SCLC",$AH61="P-LAM")),"WD","HM")&amp;"1.75")</f>
        <v/>
      </c>
      <c r="DD61" s="84">
        <f>IF($CJ61="","",IF($O61="Y",$CJ61,SUBSTITUTE($CJ61,$BG61&amp;" "&amp;IFERROR(VLOOKUP($Z61,CODES,2,FALSE),"")&amp;" ",$BG61&amp;" ")))</f>
        <v/>
      </c>
      <c r="DE61" s="84">
        <f>IF($CK61="","",IF($O61="Y",$CK61,SUBSTITUTE($CK61,$BG61&amp;" "&amp;IF($AN61="",IFERROR(VLOOKUP($Z61,CODES,2,FALSE),""),IFERROR(VLOOKUP($AN61,CODES,2,FALSE),""))&amp;" ",$BG61&amp;" ")))</f>
        <v/>
      </c>
      <c r="DF61" s="84">
        <f>IF($CJ61="","",$DC61&amp;"|"&amp;$DD61&amp;"|"&amp;$DB61&amp;"|"&amp;$AT61&amp;"|"&amp;$V61&amp;"|"&amp;$Y61&amp;"|"&amp;$AB61)</f>
        <v/>
      </c>
      <c r="DG61" s="84">
        <f>IF(DF61="","",IF(COUNTIF($DF$6:DF61,DF61)=1,MAX($DG$5:DG60)+1,INDEX($DG$5:DG60,MATCH(DF61,$DF$5:DF60,0))))</f>
        <v/>
      </c>
      <c r="DH61" s="84">
        <f>IF($CK61="","",$DC61&amp;"|"&amp;$DE61&amp;"|"&amp;$AI61&amp;"|"&amp;$BK61&amp;"|"&amp;$BL61)</f>
        <v/>
      </c>
      <c r="DI61" s="84">
        <f>IF(DH61="","",IF(COUNTIF($DH$6:DH61,DH61)=1,MAX($DI$5:DI60)+1,INDEX($DI$5:DI60,MATCH(DH61,$DH$5:DH60,0))))</f>
        <v/>
      </c>
      <c r="DJ61" s="84">
        <f>IF($A61="","",IF($B61="","qty, ","")&amp;IF($C61="","scope, ","")&amp;IF(OR($K61="",$M61=""),"size, ","")&amp;IF(AND($A61&lt;&gt;"",$C61&lt;&gt;"DOOR ONLY"),IF($U61="","jamb depth, ","")&amp;IF($X61="","construction, ","")&amp;IF($Y61="","anchor, ","")&amp;IF($S61="","frame type, ",""),"")&amp;IF(AND(N($BJ61)&gt;0,$Z61=""),"hand, ","")&amp;IF(N($BJ61)&gt;0,IF($AH61="","door material, ","")&amp;IF($AL61="","face type, ","")&amp;IF($AP61="","lock prep, ","")&amp;IF(AND($AO61="",$AC61=""),"hinge prep, ",""),"")&amp;IF(AND($CH61&gt;0,$AH61="FRP"),"FRP cannot carry a label, ","")&amp;IF(AND($O61="Y",OR($Z61="L",$Z61="R",$Z61="LR",$Z61="RR")),"pair marked but hand is single, ","")&amp;IF(AND($O61&lt;&gt;"Y",OR($Z61="PR",AND(LEN($Z61)&gt;1,ISNUMBER(SEARCH("-",$Z61))))),"pair hand on a single door, ","")&amp;IF(AND(ISNUMBER($CI61),$CH61&lt;N($CI61)),"wall needs a "&amp;$CI61&amp;" min door, ","")&amp;IF(AND($CH61&gt;=180,AND(OR($CE61="FG",$CE61="HG",$CE61="FNV",$CE61="FV"),N($CF61)*N($CG61)&gt;100)),"180 min lite over 100 sq in, ","")&amp;IF(N($BK61)&gt;48,"leaf wider than 4'-0"&amp;CHAR(34)&amp;", ","")&amp;IF(AND($CT61,COUNT($AW61:$AZ61)=0,$CQ61&gt;0),"CUSTOM LOC with no locations typed, ",""))</f>
        <v/>
      </c>
      <c r="DK61" s="84">
        <f>IF($A61="","",IF(AND($CH61&gt;0,AND($A61&lt;&gt;"",$C61&lt;&gt;"DOOR ONLY"),$X61="KD",$E61="EXTERIOR"),"KD label on an exterior opening, ","")&amp;IF(AND($E61="EXTERIOR",OR(AND(AND($A61&lt;&gt;"",$C61&lt;&gt;"DOOR ONLY"),$W61="CR"),AND(N($BJ61)&gt;0,$AH61="CR"))),"exterior in CR steel (G9?), ","")&amp;IF(AND(ISNUMBER($BQ61),N($BQ61)&lt;32),"clear width ~"&amp;TEXT($BQ61,"0.0")&amp;CHAR(34)&amp;" under 32"&amp;CHAR(34)&amp;" (ADA), ","")&amp;IF(AND($CH61=90,AND(OR($CE61="FG",$CE61="HG",$CE61="FNV",$CE61="FV"),N($CF61)*N($CG61)&gt;100)),"90 min lite over 100 sq in (stair/exit), ","")&amp;IF(AND($CH61&gt;0,AND($A61&lt;&gt;"",$C61&lt;&gt;"DOOR ONLY"),OR($AF61="",$AF61="-")),"rated: closer reinf.?, ","")&amp;IF(OR($I61="CORRIDOR",$I61="SMOKE BARRIER"),"S label + smoke gasketing, ","")&amp;IF($CI61="?","wall type/hr not in IBC table, ","")&amp;IF(AND(N($BJ61)&gt;0,$BB61=""),"no hardware set, ","")&amp;IF(AND($BB61&lt;&gt;"",ISNA(MATCH($BB61&amp;"",HWSets,0))),"set "&amp;$BB61&amp;" not on HW Sets, ","")&amp;IF(N($BL61)&gt;96,"leaf over 8'-0"&amp;CHAR(34)&amp;" - check listing, ","")&amp;IF(AND($CT61,COUNT($AW61:$AZ61)&gt;0,COUNT($AW61:$AZ61)&lt;&gt;$CQ61),COUNT($AW61:$AZ61)&amp;" custom hinges typed, "&amp;$CQ61&amp;" expected, ","")&amp;IF(AND(ISNUMBER($CA61),OR(N($CA61)&lt;34,N($CA61)&gt;48)),"lock "&amp;TEXT($CA61,"0.0")&amp;CHAR(34)&amp;" AFF outside 34-48"&amp;CHAR(34)&amp;" (ADA), ","")&amp;IF(AND(ISNUMBER($AV61),ISNUMBER($BL61),N($AV61)&lt;IF(N($BL61)&lt;=60,2,IF(N($BL61)&lt;=90,3,IF(N($BL61)&lt;=120,4,5)))),"fewer hinges than standard, ",""))</f>
        <v/>
      </c>
    </row>
    <row r="62" ht="15" customHeight="1">
      <c r="A62" s="77" t="n"/>
      <c r="B62" s="78" t="n"/>
      <c r="C62" s="78" t="n"/>
      <c r="D62" s="78" t="n"/>
      <c r="E62" s="78" t="n"/>
      <c r="F62" s="78" t="n"/>
      <c r="G62" s="78" t="n"/>
      <c r="H62" s="78" t="n"/>
      <c r="I62" s="78" t="n"/>
      <c r="J62" s="78" t="n"/>
      <c r="K62" s="78" t="n"/>
      <c r="L62" s="78" t="n"/>
      <c r="M62" s="78" t="n"/>
      <c r="N62" s="78" t="n"/>
      <c r="O62" s="78" t="n"/>
      <c r="P62" s="78" t="n"/>
      <c r="Q62" s="78" t="n"/>
      <c r="R62" s="78" t="n"/>
      <c r="S62" s="79" t="n"/>
      <c r="T62" s="79" t="n"/>
      <c r="U62" s="79" t="n"/>
      <c r="V62" s="79" t="n"/>
      <c r="W62" s="79" t="n"/>
      <c r="X62" s="79" t="n"/>
      <c r="Y62" s="79" t="n"/>
      <c r="Z62" s="79" t="n"/>
      <c r="AA62" s="79" t="n"/>
      <c r="AB62" s="79" t="n"/>
      <c r="AC62" s="79" t="n"/>
      <c r="AD62" s="79" t="n"/>
      <c r="AE62" s="79" t="n"/>
      <c r="AF62" s="79" t="n"/>
      <c r="AG62" s="79" t="n"/>
      <c r="AH62" s="80" t="n"/>
      <c r="AI62" s="80" t="n"/>
      <c r="AJ62" s="80" t="n"/>
      <c r="AK62" s="80" t="n"/>
      <c r="AL62" s="80" t="n"/>
      <c r="AM62" s="80" t="n"/>
      <c r="AN62" s="80" t="n"/>
      <c r="AO62" s="80" t="n"/>
      <c r="AP62" s="80" t="n"/>
      <c r="AQ62" s="80" t="n"/>
      <c r="AR62" s="80" t="n"/>
      <c r="AS62" s="80" t="n"/>
      <c r="AT62" s="81" t="n"/>
      <c r="AU62" s="81" t="n"/>
      <c r="AV62" s="81" t="n"/>
      <c r="AW62" s="82" t="n"/>
      <c r="AX62" s="82" t="n"/>
      <c r="AY62" s="82" t="n"/>
      <c r="AZ62" s="82" t="n"/>
      <c r="BA62" s="82" t="n"/>
      <c r="BB62" s="83" t="n"/>
      <c r="BC62" s="83" t="n"/>
      <c r="BD62" s="84">
        <f>IF($A62="","",IF($DJ62&lt;&gt;"","FIX",IF($DK62&lt;&gt;"","CHECK","OK")))</f>
        <v/>
      </c>
      <c r="BE62" s="85">
        <f>IF($A62="","",IF($DJ62&lt;&gt;"","FIX: "&amp;LEFT($DJ62,LEN($DJ62)-2)&amp;IF($DK62&lt;&gt;"","  ·  ",""),"")&amp;IF($DK62&lt;&gt;"","CHECK: "&amp;LEFT($DK62,LEN($DK62)-2),""))</f>
        <v/>
      </c>
      <c r="BF62" s="84">
        <f>IF(OR($A62="",$K62=""),"",$K62&amp;"'-"&amp;N($L62)&amp;CHAR(34)&amp;" x "&amp;$M62&amp;"'-"&amp;N($N62)&amp;CHAR(34))</f>
        <v/>
      </c>
      <c r="BG62" s="84">
        <f>IF(OR($A62="",$K62=""),"",$K62&amp;N($L62)&amp;$M62&amp;N($N62))</f>
        <v/>
      </c>
      <c r="BH62" s="84">
        <f>IF(OR($A62="",$K62=""),"",$K62*12+N($L62))</f>
        <v/>
      </c>
      <c r="BI62" s="84">
        <f>IF(OR($A62="",$M62=""),"",$M62*12+N($N62))</f>
        <v/>
      </c>
      <c r="BJ62" s="84">
        <f>IF($A62="","",IF(OR($C62="FRAME ONLY",$S62="BL"),0,IF($O62="Y",2,1)))</f>
        <v/>
      </c>
      <c r="BK62" s="86">
        <f>IF(OR(N($BJ62)=0,$BH62=""),"",($BH62-2*EdgeClr-IF($BJ62=2,MeetClr,0))/$BJ62)</f>
        <v/>
      </c>
      <c r="BL62" s="86">
        <f>IF(OR(N($BJ62)=0,$BI62=""),"",$BI62-HeadClr-Undercut)</f>
        <v/>
      </c>
      <c r="BM62" s="86">
        <f>IF($BH62="","",$BH62+2*FaceW+IF(N($Q62)&gt;0,($Q62+FaceW)*IF($R62="LR",2,1),0))</f>
        <v/>
      </c>
      <c r="BN62" s="86">
        <f>IF($BI62="","",$BI62+IF($AB62="Y",4,FaceW)+IF(N($P62)&gt;0,$P62+FaceW,0)+IF(OR($S62="4F",$S62="BL"),FaceW,0))</f>
        <v/>
      </c>
      <c r="BO62" s="86">
        <f>IF($BM62="","",$BM62+2*ROSide)</f>
        <v/>
      </c>
      <c r="BP62" s="86">
        <f>IF($BN62="","",$BN62+ROTop)</f>
        <v/>
      </c>
      <c r="BQ62" s="87">
        <f>IF(OR(N($BJ62)=0,$BH62=""),"",$BH62/$BJ62-ClearDeduct)</f>
        <v/>
      </c>
      <c r="BR62" s="84">
        <f>IF(N($CH62)=0,"",IF($CH62&gt;=180,"A · 3 HR",IF($CH62&gt;=90,"B · 1-1/2 HR",IF($CH62&gt;=60,"B · 1 HR",IF($CH62&gt;=45,"C · 3/4 HR","20 MIN")))))&amp;IF(AND(N($CH62)&gt;0,OR($I62="CORRIDOR",$I62="SMOKE BARRIER"))," · S","")</f>
        <v/>
      </c>
      <c r="BS62" s="84">
        <f>IF($CS62,"",IF($AV62&lt;&gt;"",$AV62,IF(OR($AC62="HGC",$AO62="HGC"),"CONT",IF(($BI62-HeadClr-Undercut)&lt;=60,2,IF(($BI62-HeadClr-Undercut)&lt;=90,3,IF(($BI62-HeadClr-Undercut)&lt;=120,4,5))))))</f>
        <v/>
      </c>
      <c r="BT62" s="84">
        <f>IF($CS62,"",IF($CT62,"CUSTOM (typed)",IF($CV62,$AT62&amp;" "&amp;$CU62&amp;CHAR(34)&amp;IF($CU62&lt;&gt;$BI62,IF(AND($BI62&lt;$CU62,$BI62-IF(N(VLOOKUP($AT62&amp;"|"&amp;$CU62,LocTable,7,FALSE))&gt;0,VLOOKUP($AT62&amp;"|"&amp;$CU62,LocTable,7,FALSE),VLOOKUP($AT62&amp;"|"&amp;$CU62,LocTable,6,FALSE))-$CR62-0.75&gt;=2.125)," cut down"," adj."),""),"ANSI/SDI A250.6")))</f>
        <v/>
      </c>
      <c r="BU62" s="88">
        <f>IF($CS62,"",IF($CT62,IF(N($AW62)&gt;0,N($AW62),""),IF(1&gt;$CQ62,"",IF($CQ62=1,$CW62,$CW62+($CX62-$CW62)*0/($CQ62-1)))))</f>
        <v/>
      </c>
      <c r="BV62" s="88">
        <f>IF($CS62,"",IF($CT62,IF(N($AX62)&gt;0,N($AX62),""),IF(2&gt;$CQ62,"",IF($CQ62=1,$CW62,$CW62+($CX62-$CW62)*1/($CQ62-1)))))</f>
        <v/>
      </c>
      <c r="BW62" s="88">
        <f>IF($CS62,"",IF($CT62,IF(N($AY62)&gt;0,N($AY62),""),IF(3&gt;$CQ62,"",IF($CQ62=1,$CW62,$CW62+($CX62-$CW62)*2/($CQ62-1)))))</f>
        <v/>
      </c>
      <c r="BX62" s="88">
        <f>IF($CS62,"",IF($CT62,IF(N($AZ62)&gt;0,N($AZ62),""),IF(4&gt;$CQ62,"",IF($CQ62=1,$CW62,$CW62+($CX62-$CW62)*3/($CQ62-1)))))</f>
        <v/>
      </c>
      <c r="BY62" s="88">
        <f>IF($CS62,"",IF($CT62,"",IF(5&gt;$CQ62,"",IF($CQ62=1,$CW62,$CW62+($CX62-$CW62)*4/($CQ62-1)))))</f>
        <v/>
      </c>
      <c r="BZ62" s="88">
        <f>IF(OR($CS62,$AP62="-",AND($AP62="",$AD62="")),"",IF(N($BA62)&gt;0,N($BA62),IF($CV62,IF(AND($BI62&lt;$CU62,$BI62-IF(N(VLOOKUP($AT62&amp;"|"&amp;$CU62,LocTable,7,FALSE))&gt;0,VLOOKUP($AT62&amp;"|"&amp;$CU62,LocTable,7,FALSE),VLOOKUP($AT62&amp;"|"&amp;$CU62,LocTable,6,FALSE))-$CR62-0.75&gt;=2.125),VLOOKUP($AT62&amp;"|"&amp;$CU62,LocTable,8,FALSE),VLOOKUP($AT62&amp;"|"&amp;$CU62,LocTable,8,FALSE)+($BI62-$CU62)),$BI62-LockAFF)))</f>
        <v/>
      </c>
      <c r="CA62" s="89">
        <f>IF($BZ62="","",$BI62-$BZ62)</f>
        <v/>
      </c>
      <c r="CB62" s="84">
        <f>IF(OR(NOT(AND($A62&lt;&gt;"",$C62&lt;&gt;"DOOR ONLY")),$BI62=""),"",IF(($BI62+IF(N($P62)&gt;0,$P62+FaceW,0))&lt;=90,3,IF(($BI62+IF(N($P62)&gt;0,$P62+FaceW,0))&lt;=114,4,5)))</f>
        <v/>
      </c>
      <c r="CC62" s="84">
        <f>IF($CB62="","",$CB62*(2+IF(N($Q62)&gt;0,IF($R62="LR",2,1),0)))</f>
        <v/>
      </c>
      <c r="CD62" s="84">
        <f>IF($CB62="","",(2+IF(N($Q62)&gt;0,IF($R62="LR",2,1),0)))</f>
        <v/>
      </c>
      <c r="CE62" s="84">
        <f>IF(N($BJ62)=0,"",IF(OR($AL62="",$AL62="FLUSH"),"FLUSH",IFERROR(LEFT($AL62,FIND("-",$AL62)-1),LEFT($AL62,2))))</f>
        <v/>
      </c>
      <c r="CF62" s="84">
        <f>IF($CE62="","",IFERROR(VALUE(MID($AL62,FIND("-",$AL62)+1,FIND(CHAR(34)&amp;"x",$AL62)-FIND("-",$AL62)-1)),0))</f>
        <v/>
      </c>
      <c r="CG62" s="84">
        <f>IF($CE62="","",IFERROR(VALUE(MID($AL62,FIND(CHAR(34)&amp;"x",$AL62)+2,FIND(CHAR(34),$AL62,FIND(CHAR(34)&amp;"x",$AL62)+2)-FIND(CHAR(34)&amp;"x",$AL62)-2)),0))</f>
        <v/>
      </c>
      <c r="CH62" s="90">
        <f>IF(OR($A62="",$H62="",$H62="NO LAB"),0,IFERROR(VALUE(LEFT($H62,FIND(" ",$H62)-1)),0))</f>
        <v/>
      </c>
      <c r="CI62" s="91">
        <f>IF(OR($A62="",$I62="",$I62="NON-RATED",N($J62)=0),"",IFERROR(VLOOKUP($I62&amp;"|"&amp;$J62,IBC,2,FALSE),"?"))</f>
        <v/>
      </c>
      <c r="CJ62" s="85">
        <f>IF(NOT(AND($A62&lt;&gt;"",$C62&lt;&gt;"DOOR ONLY")),"",TRIM(IFERROR(VLOOKUP($U62,CODES,2,FALSE),"")&amp;" "&amp;$BG62&amp;" "&amp;IFERROR(VLOOKUP($Z62,CODES,2,FALSE),"")&amp;" "&amp;IFERROR(VLOOKUP($X62,CODES,2,FALSE),"")&amp;" "&amp;IFERROR(VLOOKUP($S62,CODES,2,FALSE),"")&amp;IF(N($P62)&gt;0," w/TRANSOM "&amp;$P62&amp;CHAR(34),"")&amp;IF(N($Q62)&gt;0," w/SIDELITE "&amp;$Q62&amp;CHAR(34)&amp;" "&amp;IF($R62="","R",$R62),"")&amp;IF($Y62="","  |  "," | "&amp;IFERROR(VLOOKUP($Y62,CODES,2,FALSE),"")&amp;" | ")&amp;IFERROR(VLOOKUP($AC62,CODES,2,FALSE),"")&amp;" "&amp;IFERROR(VLOOKUP($AD62,CODES,2,FALSE),"")&amp;IF(OR($AE62="",$AE62="-"),""," "&amp;$AE62)&amp;IF(OR($AF62="",$AF62="-"),""," "&amp;$AF62)&amp;IF($AB62="Y"," 4"&amp;CHAR(34)&amp;" HEAD","")&amp;" "&amp;IFERROR(VLOOKUP($H62,CODES,2,FALSE),"")&amp;IF($CT62," | LOC "&amp;$CY62,"")))</f>
        <v/>
      </c>
      <c r="CK62" s="85">
        <f>IF(NOT(AND($A62&lt;&gt;"",N($BJ62)&gt;0)),"",TRIM(IFERROR(VLOOKUP($AH62,CODES,2,FALSE),"")&amp;IF($AI62=""," "," "&amp;$AI62&amp;"GA ")&amp;$BG62&amp;" "&amp;IF($AN62="",IFERROR(VLOOKUP($Z62,CODES,2,FALSE),""),IFERROR(VLOOKUP($AN62,CODES,2,FALSE),""))&amp;IF($BJ62=2," PAIR","")&amp;" DOOR | "&amp;IF($AL62="","?",$AL62)&amp;" | "&amp;IF($AO62="",IFERROR(VLOOKUP($AC62,CODES,2,FALSE),""),IFERROR(VLOOKUP($AO62,CODES,2,FALSE),""))&amp;" "&amp;IFERROR(VLOOKUP($AP62,CODES,2,FALSE),"")&amp;IF(OR($AQ62="",$AQ62="-"),""," SEAM "&amp;$AQ62)&amp;IF($AR62="Y"," ASTRAGAL","")&amp;IF($AJ62=""," "," "&amp;$AJ62)&amp;IF($AK62=""," "," "&amp;$AK62)&amp;IF(OR($AT62="",$AT62="ANSI/SDI",$AT62="CUSTOM LOC"),""," "&amp;$AT62)&amp;IF($AM62=""," "," SERIES "&amp;$AM62)&amp;" "&amp;IFERROR(VLOOKUP($H62,CODES,2,FALSE),"")&amp;IF($CT62," | LOC "&amp;$CZ62,"")))</f>
        <v/>
      </c>
      <c r="CL62" s="84">
        <f>IF(CP62="","",IF(COUNTIF($CP$6:CP62,CP62)=1,MAX($CL$5:CL61)+1,INDEX($CL$5:CL61,MATCH(CP62,$CP$5:CP61,0))))</f>
        <v/>
      </c>
      <c r="CM62" s="84">
        <f>IF(NOT(AND($A62&lt;&gt;"",$C62&lt;&gt;"DOOR ONLY")),"",MAX($CM$5:CM61)+1)</f>
        <v/>
      </c>
      <c r="CN62" s="84">
        <f>IF(NOT(AND($A62&lt;&gt;"",N($BJ62)&gt;0)),"",MAX($CN$5:CN61)+1)</f>
        <v/>
      </c>
      <c r="CO62" s="84">
        <f>IF($A62="","",MAX($CO$5:CO61)+1)</f>
        <v/>
      </c>
      <c r="CP62" s="84">
        <f>IF(OR($A62="",$BH62="",$BI62=""),"",$BG62&amp;"|"&amp;$O62&amp;"|"&amp;$AL62&amp;"|"&amp;$S62&amp;"|"&amp;$P62&amp;"|"&amp;$Q62&amp;$R62&amp;"|"&amp;$C62&amp;"|"&amp;$AB62)</f>
        <v/>
      </c>
      <c r="CQ62" s="84">
        <f>N($BS62)</f>
        <v/>
      </c>
      <c r="CR62" s="84">
        <f>IF(N($AU62)&gt;0,N($AU62),4.5)</f>
        <v/>
      </c>
      <c r="CS62" s="84">
        <f>OR($A62="",$BI62="",$S62="BL",AND($C62="FRAME ONLY",OR($AC62="",$AC62="BLK")))</f>
        <v/>
      </c>
      <c r="CT62" s="84">
        <f>AND(NOT($CS62),OR($AT62="CUSTOM LOC",N($AW62)+N($AX62)+N($AY62)+N($AZ62)+N($BA62)&gt;0))</f>
        <v/>
      </c>
      <c r="CU62" s="84">
        <f>IF($BI62="","",IF($BI62&lt;=80,80,IF($BI62&lt;=84,84,96)))</f>
        <v/>
      </c>
      <c r="CV62" s="84">
        <f>ISNUMBER(MATCH($AT62&amp;"|80",LocKeys,0))</f>
        <v/>
      </c>
      <c r="CW62" s="86">
        <f>IF($CS62,"",IF($CV62,VLOOKUP($AT62&amp;"|"&amp;$CU62,LocTable,4,FALSE),5))</f>
        <v/>
      </c>
      <c r="CX62" s="86">
        <f>IF($CS62,"",IF($CV62,IF(OR($BI62=$CU62,AND($BI62&lt;$CU62,$BI62-IF(N(VLOOKUP($AT62&amp;"|"&amp;$CU62,LocTable,7,FALSE))&gt;0,VLOOKUP($AT62&amp;"|"&amp;$CU62,LocTable,7,FALSE),VLOOKUP($AT62&amp;"|"&amp;$CU62,LocTable,6,FALSE))-$CR62-0.75&gt;=2.125)),IF(N(VLOOKUP($AT62&amp;"|"&amp;$CU62,LocTable,7,FALSE))&gt;0,VLOOKUP($AT62&amp;"|"&amp;$CU62,LocTable,7,FALSE),VLOOKUP($AT62&amp;"|"&amp;$CU62,LocTable,6,FALSE)),$BI62-($CU62-IF(N(VLOOKUP($AT62&amp;"|"&amp;$CU62,LocTable,7,FALSE))&gt;0,VLOOKUP($AT62&amp;"|"&amp;$CU62,LocTable,7,FALSE),VLOOKUP($AT62&amp;"|"&amp;$CU62,LocTable,6,FALSE)))),$BI62-10-$CR62))</f>
        <v/>
      </c>
      <c r="CY62" s="85">
        <f>IF($CS62,"",TRIM(IF(ISNUMBER($BU62),"A "&amp;TRIM(TEXT($BU62,"# ?/??"))&amp;CHAR(34)&amp;"  ","")&amp;IF(ISNUMBER($BV62),"B "&amp;TRIM(TEXT($BV62,"# ?/??"))&amp;CHAR(34)&amp;"  ","")&amp;IF(ISNUMBER($BW62),"C "&amp;TRIM(TEXT($BW62,"# ?/??"))&amp;CHAR(34)&amp;"  ","")&amp;IF(ISNUMBER($BX62),"D "&amp;TRIM(TEXT($BX62,"# ?/??"))&amp;CHAR(34)&amp;"  ","")&amp;IF(ISNUMBER($BY62),"F "&amp;TRIM(TEXT($BY62,"# ?/??"))&amp;CHAR(34)&amp;"  ","")&amp;IF(ISNUMBER($BZ62),"E "&amp;TRIM(TEXT($BZ62,"# ?/??"))&amp;CHAR(34)&amp;"  ","")))</f>
        <v/>
      </c>
      <c r="CZ62" s="85">
        <f>IF(OR($CS62,N($BJ62)=0),"",TRIM(IF(ISNUMBER($BU62),"A "&amp;TRIM(TEXT($BU62-HeadClr,"# ?/??"))&amp;CHAR(34)&amp;"  ","")&amp;IF(ISNUMBER($BV62),"B "&amp;TRIM(TEXT($BV62-HeadClr,"# ?/??"))&amp;CHAR(34)&amp;"  ","")&amp;IF(ISNUMBER($BW62),"C "&amp;TRIM(TEXT($BW62-HeadClr,"# ?/??"))&amp;CHAR(34)&amp;"  ","")&amp;IF(ISNUMBER($BX62),"D "&amp;TRIM(TEXT($BX62-HeadClr,"# ?/??"))&amp;CHAR(34)&amp;"  ","")&amp;IF(ISNUMBER($BY62),"F "&amp;TRIM(TEXT($BY62-HeadClr,"# ?/??"))&amp;CHAR(34)&amp;"  ","")&amp;IF(ISNUMBER($BZ62),"E "&amp;TRIM(TEXT($BZ62-HeadClr,"# ?/??"))&amp;CHAR(34)&amp;"  ","")))</f>
        <v/>
      </c>
      <c r="DA62" s="84">
        <f>IF($A62="","",IF($AN62="",IFERROR(VLOOKUP($Z62,CODES,2,FALSE),""),IFERROR(VLOOKUP($AN62,CODES,2,FALSE),"")))</f>
        <v/>
      </c>
      <c r="DB62" s="84">
        <f>IF($A62="","",IF($O62="Y","PR",IF(OR($Z62="L",$Z62="RR",LEFT($Z62,2)="L-",LEFT($Z62,3)="RR-"),"LH","RH")))</f>
        <v/>
      </c>
      <c r="DC62" s="84">
        <f>IF($A62="","","S.HM"&amp;IF(OR($C62="DOOR ONLY",$X62&lt;&gt;"KD"),"MASONRY","DRYWALL")&amp;IF($C62="DOOR ONLY","",$U62)&amp;IF(AND($C62&lt;&gt;"FRAME ONLY",OR(LEFT($AH62,3)="OAK",LEFT($AH62,3)="BIR",LEFT($AH62,3)="MAP",$AH62="PC",$AH62="MC",$AH62="SCLC",$AH62="P-LAM")),"WD","HM")&amp;"1.75")</f>
        <v/>
      </c>
      <c r="DD62" s="84">
        <f>IF($CJ62="","",IF($O62="Y",$CJ62,SUBSTITUTE($CJ62,$BG62&amp;" "&amp;IFERROR(VLOOKUP($Z62,CODES,2,FALSE),"")&amp;" ",$BG62&amp;" ")))</f>
        <v/>
      </c>
      <c r="DE62" s="84">
        <f>IF($CK62="","",IF($O62="Y",$CK62,SUBSTITUTE($CK62,$BG62&amp;" "&amp;IF($AN62="",IFERROR(VLOOKUP($Z62,CODES,2,FALSE),""),IFERROR(VLOOKUP($AN62,CODES,2,FALSE),""))&amp;" ",$BG62&amp;" ")))</f>
        <v/>
      </c>
      <c r="DF62" s="84">
        <f>IF($CJ62="","",$DC62&amp;"|"&amp;$DD62&amp;"|"&amp;$DB62&amp;"|"&amp;$AT62&amp;"|"&amp;$V62&amp;"|"&amp;$Y62&amp;"|"&amp;$AB62)</f>
        <v/>
      </c>
      <c r="DG62" s="84">
        <f>IF(DF62="","",IF(COUNTIF($DF$6:DF62,DF62)=1,MAX($DG$5:DG61)+1,INDEX($DG$5:DG61,MATCH(DF62,$DF$5:DF61,0))))</f>
        <v/>
      </c>
      <c r="DH62" s="84">
        <f>IF($CK62="","",$DC62&amp;"|"&amp;$DE62&amp;"|"&amp;$AI62&amp;"|"&amp;$BK62&amp;"|"&amp;$BL62)</f>
        <v/>
      </c>
      <c r="DI62" s="84">
        <f>IF(DH62="","",IF(COUNTIF($DH$6:DH62,DH62)=1,MAX($DI$5:DI61)+1,INDEX($DI$5:DI61,MATCH(DH62,$DH$5:DH61,0))))</f>
        <v/>
      </c>
      <c r="DJ62" s="84">
        <f>IF($A62="","",IF($B62="","qty, ","")&amp;IF($C62="","scope, ","")&amp;IF(OR($K62="",$M62=""),"size, ","")&amp;IF(AND($A62&lt;&gt;"",$C62&lt;&gt;"DOOR ONLY"),IF($U62="","jamb depth, ","")&amp;IF($X62="","construction, ","")&amp;IF($Y62="","anchor, ","")&amp;IF($S62="","frame type, ",""),"")&amp;IF(AND(N($BJ62)&gt;0,$Z62=""),"hand, ","")&amp;IF(N($BJ62)&gt;0,IF($AH62="","door material, ","")&amp;IF($AL62="","face type, ","")&amp;IF($AP62="","lock prep, ","")&amp;IF(AND($AO62="",$AC62=""),"hinge prep, ",""),"")&amp;IF(AND($CH62&gt;0,$AH62="FRP"),"FRP cannot carry a label, ","")&amp;IF(AND($O62="Y",OR($Z62="L",$Z62="R",$Z62="LR",$Z62="RR")),"pair marked but hand is single, ","")&amp;IF(AND($O62&lt;&gt;"Y",OR($Z62="PR",AND(LEN($Z62)&gt;1,ISNUMBER(SEARCH("-",$Z62))))),"pair hand on a single door, ","")&amp;IF(AND(ISNUMBER($CI62),$CH62&lt;N($CI62)),"wall needs a "&amp;$CI62&amp;" min door, ","")&amp;IF(AND($CH62&gt;=180,AND(OR($CE62="FG",$CE62="HG",$CE62="FNV",$CE62="FV"),N($CF62)*N($CG62)&gt;100)),"180 min lite over 100 sq in, ","")&amp;IF(N($BK62)&gt;48,"leaf wider than 4'-0"&amp;CHAR(34)&amp;", ","")&amp;IF(AND($CT62,COUNT($AW62:$AZ62)=0,$CQ62&gt;0),"CUSTOM LOC with no locations typed, ",""))</f>
        <v/>
      </c>
      <c r="DK62" s="84">
        <f>IF($A62="","",IF(AND($CH62&gt;0,AND($A62&lt;&gt;"",$C62&lt;&gt;"DOOR ONLY"),$X62="KD",$E62="EXTERIOR"),"KD label on an exterior opening, ","")&amp;IF(AND($E62="EXTERIOR",OR(AND(AND($A62&lt;&gt;"",$C62&lt;&gt;"DOOR ONLY"),$W62="CR"),AND(N($BJ62)&gt;0,$AH62="CR"))),"exterior in CR steel (G9?), ","")&amp;IF(AND(ISNUMBER($BQ62),N($BQ62)&lt;32),"clear width ~"&amp;TEXT($BQ62,"0.0")&amp;CHAR(34)&amp;" under 32"&amp;CHAR(34)&amp;" (ADA), ","")&amp;IF(AND($CH62=90,AND(OR($CE62="FG",$CE62="HG",$CE62="FNV",$CE62="FV"),N($CF62)*N($CG62)&gt;100)),"90 min lite over 100 sq in (stair/exit), ","")&amp;IF(AND($CH62&gt;0,AND($A62&lt;&gt;"",$C62&lt;&gt;"DOOR ONLY"),OR($AF62="",$AF62="-")),"rated: closer reinf.?, ","")&amp;IF(OR($I62="CORRIDOR",$I62="SMOKE BARRIER"),"S label + smoke gasketing, ","")&amp;IF($CI62="?","wall type/hr not in IBC table, ","")&amp;IF(AND(N($BJ62)&gt;0,$BB62=""),"no hardware set, ","")&amp;IF(AND($BB62&lt;&gt;"",ISNA(MATCH($BB62&amp;"",HWSets,0))),"set "&amp;$BB62&amp;" not on HW Sets, ","")&amp;IF(N($BL62)&gt;96,"leaf over 8'-0"&amp;CHAR(34)&amp;" - check listing, ","")&amp;IF(AND($CT62,COUNT($AW62:$AZ62)&gt;0,COUNT($AW62:$AZ62)&lt;&gt;$CQ62),COUNT($AW62:$AZ62)&amp;" custom hinges typed, "&amp;$CQ62&amp;" expected, ","")&amp;IF(AND(ISNUMBER($CA62),OR(N($CA62)&lt;34,N($CA62)&gt;48)),"lock "&amp;TEXT($CA62,"0.0")&amp;CHAR(34)&amp;" AFF outside 34-48"&amp;CHAR(34)&amp;" (ADA), ","")&amp;IF(AND(ISNUMBER($AV62),ISNUMBER($BL62),N($AV62)&lt;IF(N($BL62)&lt;=60,2,IF(N($BL62)&lt;=90,3,IF(N($BL62)&lt;=120,4,5)))),"fewer hinges than standard, ",""))</f>
        <v/>
      </c>
    </row>
    <row r="63" ht="15" customHeight="1">
      <c r="A63" s="77" t="n"/>
      <c r="B63" s="78" t="n"/>
      <c r="C63" s="78" t="n"/>
      <c r="D63" s="78" t="n"/>
      <c r="E63" s="78" t="n"/>
      <c r="F63" s="78" t="n"/>
      <c r="G63" s="78" t="n"/>
      <c r="H63" s="78" t="n"/>
      <c r="I63" s="78" t="n"/>
      <c r="J63" s="78" t="n"/>
      <c r="K63" s="78" t="n"/>
      <c r="L63" s="78" t="n"/>
      <c r="M63" s="78" t="n"/>
      <c r="N63" s="78" t="n"/>
      <c r="O63" s="78" t="n"/>
      <c r="P63" s="78" t="n"/>
      <c r="Q63" s="78" t="n"/>
      <c r="R63" s="78" t="n"/>
      <c r="S63" s="79" t="n"/>
      <c r="T63" s="79" t="n"/>
      <c r="U63" s="79" t="n"/>
      <c r="V63" s="79" t="n"/>
      <c r="W63" s="79" t="n"/>
      <c r="X63" s="79" t="n"/>
      <c r="Y63" s="79" t="n"/>
      <c r="Z63" s="79" t="n"/>
      <c r="AA63" s="79" t="n"/>
      <c r="AB63" s="79" t="n"/>
      <c r="AC63" s="79" t="n"/>
      <c r="AD63" s="79" t="n"/>
      <c r="AE63" s="79" t="n"/>
      <c r="AF63" s="79" t="n"/>
      <c r="AG63" s="79" t="n"/>
      <c r="AH63" s="80" t="n"/>
      <c r="AI63" s="80" t="n"/>
      <c r="AJ63" s="80" t="n"/>
      <c r="AK63" s="80" t="n"/>
      <c r="AL63" s="80" t="n"/>
      <c r="AM63" s="80" t="n"/>
      <c r="AN63" s="80" t="n"/>
      <c r="AO63" s="80" t="n"/>
      <c r="AP63" s="80" t="n"/>
      <c r="AQ63" s="80" t="n"/>
      <c r="AR63" s="80" t="n"/>
      <c r="AS63" s="80" t="n"/>
      <c r="AT63" s="81" t="n"/>
      <c r="AU63" s="81" t="n"/>
      <c r="AV63" s="81" t="n"/>
      <c r="AW63" s="82" t="n"/>
      <c r="AX63" s="82" t="n"/>
      <c r="AY63" s="82" t="n"/>
      <c r="AZ63" s="82" t="n"/>
      <c r="BA63" s="82" t="n"/>
      <c r="BB63" s="83" t="n"/>
      <c r="BC63" s="83" t="n"/>
      <c r="BD63" s="84">
        <f>IF($A63="","",IF($DJ63&lt;&gt;"","FIX",IF($DK63&lt;&gt;"","CHECK","OK")))</f>
        <v/>
      </c>
      <c r="BE63" s="85">
        <f>IF($A63="","",IF($DJ63&lt;&gt;"","FIX: "&amp;LEFT($DJ63,LEN($DJ63)-2)&amp;IF($DK63&lt;&gt;"","  ·  ",""),"")&amp;IF($DK63&lt;&gt;"","CHECK: "&amp;LEFT($DK63,LEN($DK63)-2),""))</f>
        <v/>
      </c>
      <c r="BF63" s="84">
        <f>IF(OR($A63="",$K63=""),"",$K63&amp;"'-"&amp;N($L63)&amp;CHAR(34)&amp;" x "&amp;$M63&amp;"'-"&amp;N($N63)&amp;CHAR(34))</f>
        <v/>
      </c>
      <c r="BG63" s="84">
        <f>IF(OR($A63="",$K63=""),"",$K63&amp;N($L63)&amp;$M63&amp;N($N63))</f>
        <v/>
      </c>
      <c r="BH63" s="84">
        <f>IF(OR($A63="",$K63=""),"",$K63*12+N($L63))</f>
        <v/>
      </c>
      <c r="BI63" s="84">
        <f>IF(OR($A63="",$M63=""),"",$M63*12+N($N63))</f>
        <v/>
      </c>
      <c r="BJ63" s="84">
        <f>IF($A63="","",IF(OR($C63="FRAME ONLY",$S63="BL"),0,IF($O63="Y",2,1)))</f>
        <v/>
      </c>
      <c r="BK63" s="86">
        <f>IF(OR(N($BJ63)=0,$BH63=""),"",($BH63-2*EdgeClr-IF($BJ63=2,MeetClr,0))/$BJ63)</f>
        <v/>
      </c>
      <c r="BL63" s="86">
        <f>IF(OR(N($BJ63)=0,$BI63=""),"",$BI63-HeadClr-Undercut)</f>
        <v/>
      </c>
      <c r="BM63" s="86">
        <f>IF($BH63="","",$BH63+2*FaceW+IF(N($Q63)&gt;0,($Q63+FaceW)*IF($R63="LR",2,1),0))</f>
        <v/>
      </c>
      <c r="BN63" s="86">
        <f>IF($BI63="","",$BI63+IF($AB63="Y",4,FaceW)+IF(N($P63)&gt;0,$P63+FaceW,0)+IF(OR($S63="4F",$S63="BL"),FaceW,0))</f>
        <v/>
      </c>
      <c r="BO63" s="86">
        <f>IF($BM63="","",$BM63+2*ROSide)</f>
        <v/>
      </c>
      <c r="BP63" s="86">
        <f>IF($BN63="","",$BN63+ROTop)</f>
        <v/>
      </c>
      <c r="BQ63" s="87">
        <f>IF(OR(N($BJ63)=0,$BH63=""),"",$BH63/$BJ63-ClearDeduct)</f>
        <v/>
      </c>
      <c r="BR63" s="84">
        <f>IF(N($CH63)=0,"",IF($CH63&gt;=180,"A · 3 HR",IF($CH63&gt;=90,"B · 1-1/2 HR",IF($CH63&gt;=60,"B · 1 HR",IF($CH63&gt;=45,"C · 3/4 HR","20 MIN")))))&amp;IF(AND(N($CH63)&gt;0,OR($I63="CORRIDOR",$I63="SMOKE BARRIER"))," · S","")</f>
        <v/>
      </c>
      <c r="BS63" s="84">
        <f>IF($CS63,"",IF($AV63&lt;&gt;"",$AV63,IF(OR($AC63="HGC",$AO63="HGC"),"CONT",IF(($BI63-HeadClr-Undercut)&lt;=60,2,IF(($BI63-HeadClr-Undercut)&lt;=90,3,IF(($BI63-HeadClr-Undercut)&lt;=120,4,5))))))</f>
        <v/>
      </c>
      <c r="BT63" s="84">
        <f>IF($CS63,"",IF($CT63,"CUSTOM (typed)",IF($CV63,$AT63&amp;" "&amp;$CU63&amp;CHAR(34)&amp;IF($CU63&lt;&gt;$BI63,IF(AND($BI63&lt;$CU63,$BI63-IF(N(VLOOKUP($AT63&amp;"|"&amp;$CU63,LocTable,7,FALSE))&gt;0,VLOOKUP($AT63&amp;"|"&amp;$CU63,LocTable,7,FALSE),VLOOKUP($AT63&amp;"|"&amp;$CU63,LocTable,6,FALSE))-$CR63-0.75&gt;=2.125)," cut down"," adj."),""),"ANSI/SDI A250.6")))</f>
        <v/>
      </c>
      <c r="BU63" s="88">
        <f>IF($CS63,"",IF($CT63,IF(N($AW63)&gt;0,N($AW63),""),IF(1&gt;$CQ63,"",IF($CQ63=1,$CW63,$CW63+($CX63-$CW63)*0/($CQ63-1)))))</f>
        <v/>
      </c>
      <c r="BV63" s="88">
        <f>IF($CS63,"",IF($CT63,IF(N($AX63)&gt;0,N($AX63),""),IF(2&gt;$CQ63,"",IF($CQ63=1,$CW63,$CW63+($CX63-$CW63)*1/($CQ63-1)))))</f>
        <v/>
      </c>
      <c r="BW63" s="88">
        <f>IF($CS63,"",IF($CT63,IF(N($AY63)&gt;0,N($AY63),""),IF(3&gt;$CQ63,"",IF($CQ63=1,$CW63,$CW63+($CX63-$CW63)*2/($CQ63-1)))))</f>
        <v/>
      </c>
      <c r="BX63" s="88">
        <f>IF($CS63,"",IF($CT63,IF(N($AZ63)&gt;0,N($AZ63),""),IF(4&gt;$CQ63,"",IF($CQ63=1,$CW63,$CW63+($CX63-$CW63)*3/($CQ63-1)))))</f>
        <v/>
      </c>
      <c r="BY63" s="88">
        <f>IF($CS63,"",IF($CT63,"",IF(5&gt;$CQ63,"",IF($CQ63=1,$CW63,$CW63+($CX63-$CW63)*4/($CQ63-1)))))</f>
        <v/>
      </c>
      <c r="BZ63" s="88">
        <f>IF(OR($CS63,$AP63="-",AND($AP63="",$AD63="")),"",IF(N($BA63)&gt;0,N($BA63),IF($CV63,IF(AND($BI63&lt;$CU63,$BI63-IF(N(VLOOKUP($AT63&amp;"|"&amp;$CU63,LocTable,7,FALSE))&gt;0,VLOOKUP($AT63&amp;"|"&amp;$CU63,LocTable,7,FALSE),VLOOKUP($AT63&amp;"|"&amp;$CU63,LocTable,6,FALSE))-$CR63-0.75&gt;=2.125),VLOOKUP($AT63&amp;"|"&amp;$CU63,LocTable,8,FALSE),VLOOKUP($AT63&amp;"|"&amp;$CU63,LocTable,8,FALSE)+($BI63-$CU63)),$BI63-LockAFF)))</f>
        <v/>
      </c>
      <c r="CA63" s="89">
        <f>IF($BZ63="","",$BI63-$BZ63)</f>
        <v/>
      </c>
      <c r="CB63" s="84">
        <f>IF(OR(NOT(AND($A63&lt;&gt;"",$C63&lt;&gt;"DOOR ONLY")),$BI63=""),"",IF(($BI63+IF(N($P63)&gt;0,$P63+FaceW,0))&lt;=90,3,IF(($BI63+IF(N($P63)&gt;0,$P63+FaceW,0))&lt;=114,4,5)))</f>
        <v/>
      </c>
      <c r="CC63" s="84">
        <f>IF($CB63="","",$CB63*(2+IF(N($Q63)&gt;0,IF($R63="LR",2,1),0)))</f>
        <v/>
      </c>
      <c r="CD63" s="84">
        <f>IF($CB63="","",(2+IF(N($Q63)&gt;0,IF($R63="LR",2,1),0)))</f>
        <v/>
      </c>
      <c r="CE63" s="84">
        <f>IF(N($BJ63)=0,"",IF(OR($AL63="",$AL63="FLUSH"),"FLUSH",IFERROR(LEFT($AL63,FIND("-",$AL63)-1),LEFT($AL63,2))))</f>
        <v/>
      </c>
      <c r="CF63" s="84">
        <f>IF($CE63="","",IFERROR(VALUE(MID($AL63,FIND("-",$AL63)+1,FIND(CHAR(34)&amp;"x",$AL63)-FIND("-",$AL63)-1)),0))</f>
        <v/>
      </c>
      <c r="CG63" s="84">
        <f>IF($CE63="","",IFERROR(VALUE(MID($AL63,FIND(CHAR(34)&amp;"x",$AL63)+2,FIND(CHAR(34),$AL63,FIND(CHAR(34)&amp;"x",$AL63)+2)-FIND(CHAR(34)&amp;"x",$AL63)-2)),0))</f>
        <v/>
      </c>
      <c r="CH63" s="90">
        <f>IF(OR($A63="",$H63="",$H63="NO LAB"),0,IFERROR(VALUE(LEFT($H63,FIND(" ",$H63)-1)),0))</f>
        <v/>
      </c>
      <c r="CI63" s="91">
        <f>IF(OR($A63="",$I63="",$I63="NON-RATED",N($J63)=0),"",IFERROR(VLOOKUP($I63&amp;"|"&amp;$J63,IBC,2,FALSE),"?"))</f>
        <v/>
      </c>
      <c r="CJ63" s="85">
        <f>IF(NOT(AND($A63&lt;&gt;"",$C63&lt;&gt;"DOOR ONLY")),"",TRIM(IFERROR(VLOOKUP($U63,CODES,2,FALSE),"")&amp;" "&amp;$BG63&amp;" "&amp;IFERROR(VLOOKUP($Z63,CODES,2,FALSE),"")&amp;" "&amp;IFERROR(VLOOKUP($X63,CODES,2,FALSE),"")&amp;" "&amp;IFERROR(VLOOKUP($S63,CODES,2,FALSE),"")&amp;IF(N($P63)&gt;0," w/TRANSOM "&amp;$P63&amp;CHAR(34),"")&amp;IF(N($Q63)&gt;0," w/SIDELITE "&amp;$Q63&amp;CHAR(34)&amp;" "&amp;IF($R63="","R",$R63),"")&amp;IF($Y63="","  |  "," | "&amp;IFERROR(VLOOKUP($Y63,CODES,2,FALSE),"")&amp;" | ")&amp;IFERROR(VLOOKUP($AC63,CODES,2,FALSE),"")&amp;" "&amp;IFERROR(VLOOKUP($AD63,CODES,2,FALSE),"")&amp;IF(OR($AE63="",$AE63="-"),""," "&amp;$AE63)&amp;IF(OR($AF63="",$AF63="-"),""," "&amp;$AF63)&amp;IF($AB63="Y"," 4"&amp;CHAR(34)&amp;" HEAD","")&amp;" "&amp;IFERROR(VLOOKUP($H63,CODES,2,FALSE),"")&amp;IF($CT63," | LOC "&amp;$CY63,"")))</f>
        <v/>
      </c>
      <c r="CK63" s="85">
        <f>IF(NOT(AND($A63&lt;&gt;"",N($BJ63)&gt;0)),"",TRIM(IFERROR(VLOOKUP($AH63,CODES,2,FALSE),"")&amp;IF($AI63=""," "," "&amp;$AI63&amp;"GA ")&amp;$BG63&amp;" "&amp;IF($AN63="",IFERROR(VLOOKUP($Z63,CODES,2,FALSE),""),IFERROR(VLOOKUP($AN63,CODES,2,FALSE),""))&amp;IF($BJ63=2," PAIR","")&amp;" DOOR | "&amp;IF($AL63="","?",$AL63)&amp;" | "&amp;IF($AO63="",IFERROR(VLOOKUP($AC63,CODES,2,FALSE),""),IFERROR(VLOOKUP($AO63,CODES,2,FALSE),""))&amp;" "&amp;IFERROR(VLOOKUP($AP63,CODES,2,FALSE),"")&amp;IF(OR($AQ63="",$AQ63="-"),""," SEAM "&amp;$AQ63)&amp;IF($AR63="Y"," ASTRAGAL","")&amp;IF($AJ63=""," "," "&amp;$AJ63)&amp;IF($AK63=""," "," "&amp;$AK63)&amp;IF(OR($AT63="",$AT63="ANSI/SDI",$AT63="CUSTOM LOC"),""," "&amp;$AT63)&amp;IF($AM63=""," "," SERIES "&amp;$AM63)&amp;" "&amp;IFERROR(VLOOKUP($H63,CODES,2,FALSE),"")&amp;IF($CT63," | LOC "&amp;$CZ63,"")))</f>
        <v/>
      </c>
      <c r="CL63" s="84">
        <f>IF(CP63="","",IF(COUNTIF($CP$6:CP63,CP63)=1,MAX($CL$5:CL62)+1,INDEX($CL$5:CL62,MATCH(CP63,$CP$5:CP62,0))))</f>
        <v/>
      </c>
      <c r="CM63" s="84">
        <f>IF(NOT(AND($A63&lt;&gt;"",$C63&lt;&gt;"DOOR ONLY")),"",MAX($CM$5:CM62)+1)</f>
        <v/>
      </c>
      <c r="CN63" s="84">
        <f>IF(NOT(AND($A63&lt;&gt;"",N($BJ63)&gt;0)),"",MAX($CN$5:CN62)+1)</f>
        <v/>
      </c>
      <c r="CO63" s="84">
        <f>IF($A63="","",MAX($CO$5:CO62)+1)</f>
        <v/>
      </c>
      <c r="CP63" s="84">
        <f>IF(OR($A63="",$BH63="",$BI63=""),"",$BG63&amp;"|"&amp;$O63&amp;"|"&amp;$AL63&amp;"|"&amp;$S63&amp;"|"&amp;$P63&amp;"|"&amp;$Q63&amp;$R63&amp;"|"&amp;$C63&amp;"|"&amp;$AB63)</f>
        <v/>
      </c>
      <c r="CQ63" s="84">
        <f>N($BS63)</f>
        <v/>
      </c>
      <c r="CR63" s="84">
        <f>IF(N($AU63)&gt;0,N($AU63),4.5)</f>
        <v/>
      </c>
      <c r="CS63" s="84">
        <f>OR($A63="",$BI63="",$S63="BL",AND($C63="FRAME ONLY",OR($AC63="",$AC63="BLK")))</f>
        <v/>
      </c>
      <c r="CT63" s="84">
        <f>AND(NOT($CS63),OR($AT63="CUSTOM LOC",N($AW63)+N($AX63)+N($AY63)+N($AZ63)+N($BA63)&gt;0))</f>
        <v/>
      </c>
      <c r="CU63" s="84">
        <f>IF($BI63="","",IF($BI63&lt;=80,80,IF($BI63&lt;=84,84,96)))</f>
        <v/>
      </c>
      <c r="CV63" s="84">
        <f>ISNUMBER(MATCH($AT63&amp;"|80",LocKeys,0))</f>
        <v/>
      </c>
      <c r="CW63" s="86">
        <f>IF($CS63,"",IF($CV63,VLOOKUP($AT63&amp;"|"&amp;$CU63,LocTable,4,FALSE),5))</f>
        <v/>
      </c>
      <c r="CX63" s="86">
        <f>IF($CS63,"",IF($CV63,IF(OR($BI63=$CU63,AND($BI63&lt;$CU63,$BI63-IF(N(VLOOKUP($AT63&amp;"|"&amp;$CU63,LocTable,7,FALSE))&gt;0,VLOOKUP($AT63&amp;"|"&amp;$CU63,LocTable,7,FALSE),VLOOKUP($AT63&amp;"|"&amp;$CU63,LocTable,6,FALSE))-$CR63-0.75&gt;=2.125)),IF(N(VLOOKUP($AT63&amp;"|"&amp;$CU63,LocTable,7,FALSE))&gt;0,VLOOKUP($AT63&amp;"|"&amp;$CU63,LocTable,7,FALSE),VLOOKUP($AT63&amp;"|"&amp;$CU63,LocTable,6,FALSE)),$BI63-($CU63-IF(N(VLOOKUP($AT63&amp;"|"&amp;$CU63,LocTable,7,FALSE))&gt;0,VLOOKUP($AT63&amp;"|"&amp;$CU63,LocTable,7,FALSE),VLOOKUP($AT63&amp;"|"&amp;$CU63,LocTable,6,FALSE)))),$BI63-10-$CR63))</f>
        <v/>
      </c>
      <c r="CY63" s="85">
        <f>IF($CS63,"",TRIM(IF(ISNUMBER($BU63),"A "&amp;TRIM(TEXT($BU63,"# ?/??"))&amp;CHAR(34)&amp;"  ","")&amp;IF(ISNUMBER($BV63),"B "&amp;TRIM(TEXT($BV63,"# ?/??"))&amp;CHAR(34)&amp;"  ","")&amp;IF(ISNUMBER($BW63),"C "&amp;TRIM(TEXT($BW63,"# ?/??"))&amp;CHAR(34)&amp;"  ","")&amp;IF(ISNUMBER($BX63),"D "&amp;TRIM(TEXT($BX63,"# ?/??"))&amp;CHAR(34)&amp;"  ","")&amp;IF(ISNUMBER($BY63),"F "&amp;TRIM(TEXT($BY63,"# ?/??"))&amp;CHAR(34)&amp;"  ","")&amp;IF(ISNUMBER($BZ63),"E "&amp;TRIM(TEXT($BZ63,"# ?/??"))&amp;CHAR(34)&amp;"  ","")))</f>
        <v/>
      </c>
      <c r="CZ63" s="85">
        <f>IF(OR($CS63,N($BJ63)=0),"",TRIM(IF(ISNUMBER($BU63),"A "&amp;TRIM(TEXT($BU63-HeadClr,"# ?/??"))&amp;CHAR(34)&amp;"  ","")&amp;IF(ISNUMBER($BV63),"B "&amp;TRIM(TEXT($BV63-HeadClr,"# ?/??"))&amp;CHAR(34)&amp;"  ","")&amp;IF(ISNUMBER($BW63),"C "&amp;TRIM(TEXT($BW63-HeadClr,"# ?/??"))&amp;CHAR(34)&amp;"  ","")&amp;IF(ISNUMBER($BX63),"D "&amp;TRIM(TEXT($BX63-HeadClr,"# ?/??"))&amp;CHAR(34)&amp;"  ","")&amp;IF(ISNUMBER($BY63),"F "&amp;TRIM(TEXT($BY63-HeadClr,"# ?/??"))&amp;CHAR(34)&amp;"  ","")&amp;IF(ISNUMBER($BZ63),"E "&amp;TRIM(TEXT($BZ63-HeadClr,"# ?/??"))&amp;CHAR(34)&amp;"  ","")))</f>
        <v/>
      </c>
      <c r="DA63" s="84">
        <f>IF($A63="","",IF($AN63="",IFERROR(VLOOKUP($Z63,CODES,2,FALSE),""),IFERROR(VLOOKUP($AN63,CODES,2,FALSE),"")))</f>
        <v/>
      </c>
      <c r="DB63" s="84">
        <f>IF($A63="","",IF($O63="Y","PR",IF(OR($Z63="L",$Z63="RR",LEFT($Z63,2)="L-",LEFT($Z63,3)="RR-"),"LH","RH")))</f>
        <v/>
      </c>
      <c r="DC63" s="84">
        <f>IF($A63="","","S.HM"&amp;IF(OR($C63="DOOR ONLY",$X63&lt;&gt;"KD"),"MASONRY","DRYWALL")&amp;IF($C63="DOOR ONLY","",$U63)&amp;IF(AND($C63&lt;&gt;"FRAME ONLY",OR(LEFT($AH63,3)="OAK",LEFT($AH63,3)="BIR",LEFT($AH63,3)="MAP",$AH63="PC",$AH63="MC",$AH63="SCLC",$AH63="P-LAM")),"WD","HM")&amp;"1.75")</f>
        <v/>
      </c>
      <c r="DD63" s="84">
        <f>IF($CJ63="","",IF($O63="Y",$CJ63,SUBSTITUTE($CJ63,$BG63&amp;" "&amp;IFERROR(VLOOKUP($Z63,CODES,2,FALSE),"")&amp;" ",$BG63&amp;" ")))</f>
        <v/>
      </c>
      <c r="DE63" s="84">
        <f>IF($CK63="","",IF($O63="Y",$CK63,SUBSTITUTE($CK63,$BG63&amp;" "&amp;IF($AN63="",IFERROR(VLOOKUP($Z63,CODES,2,FALSE),""),IFERROR(VLOOKUP($AN63,CODES,2,FALSE),""))&amp;" ",$BG63&amp;" ")))</f>
        <v/>
      </c>
      <c r="DF63" s="84">
        <f>IF($CJ63="","",$DC63&amp;"|"&amp;$DD63&amp;"|"&amp;$DB63&amp;"|"&amp;$AT63&amp;"|"&amp;$V63&amp;"|"&amp;$Y63&amp;"|"&amp;$AB63)</f>
        <v/>
      </c>
      <c r="DG63" s="84">
        <f>IF(DF63="","",IF(COUNTIF($DF$6:DF63,DF63)=1,MAX($DG$5:DG62)+1,INDEX($DG$5:DG62,MATCH(DF63,$DF$5:DF62,0))))</f>
        <v/>
      </c>
      <c r="DH63" s="84">
        <f>IF($CK63="","",$DC63&amp;"|"&amp;$DE63&amp;"|"&amp;$AI63&amp;"|"&amp;$BK63&amp;"|"&amp;$BL63)</f>
        <v/>
      </c>
      <c r="DI63" s="84">
        <f>IF(DH63="","",IF(COUNTIF($DH$6:DH63,DH63)=1,MAX($DI$5:DI62)+1,INDEX($DI$5:DI62,MATCH(DH63,$DH$5:DH62,0))))</f>
        <v/>
      </c>
      <c r="DJ63" s="84">
        <f>IF($A63="","",IF($B63="","qty, ","")&amp;IF($C63="","scope, ","")&amp;IF(OR($K63="",$M63=""),"size, ","")&amp;IF(AND($A63&lt;&gt;"",$C63&lt;&gt;"DOOR ONLY"),IF($U63="","jamb depth, ","")&amp;IF($X63="","construction, ","")&amp;IF($Y63="","anchor, ","")&amp;IF($S63="","frame type, ",""),"")&amp;IF(AND(N($BJ63)&gt;0,$Z63=""),"hand, ","")&amp;IF(N($BJ63)&gt;0,IF($AH63="","door material, ","")&amp;IF($AL63="","face type, ","")&amp;IF($AP63="","lock prep, ","")&amp;IF(AND($AO63="",$AC63=""),"hinge prep, ",""),"")&amp;IF(AND($CH63&gt;0,$AH63="FRP"),"FRP cannot carry a label, ","")&amp;IF(AND($O63="Y",OR($Z63="L",$Z63="R",$Z63="LR",$Z63="RR")),"pair marked but hand is single, ","")&amp;IF(AND($O63&lt;&gt;"Y",OR($Z63="PR",AND(LEN($Z63)&gt;1,ISNUMBER(SEARCH("-",$Z63))))),"pair hand on a single door, ","")&amp;IF(AND(ISNUMBER($CI63),$CH63&lt;N($CI63)),"wall needs a "&amp;$CI63&amp;" min door, ","")&amp;IF(AND($CH63&gt;=180,AND(OR($CE63="FG",$CE63="HG",$CE63="FNV",$CE63="FV"),N($CF63)*N($CG63)&gt;100)),"180 min lite over 100 sq in, ","")&amp;IF(N($BK63)&gt;48,"leaf wider than 4'-0"&amp;CHAR(34)&amp;", ","")&amp;IF(AND($CT63,COUNT($AW63:$AZ63)=0,$CQ63&gt;0),"CUSTOM LOC with no locations typed, ",""))</f>
        <v/>
      </c>
      <c r="DK63" s="84">
        <f>IF($A63="","",IF(AND($CH63&gt;0,AND($A63&lt;&gt;"",$C63&lt;&gt;"DOOR ONLY"),$X63="KD",$E63="EXTERIOR"),"KD label on an exterior opening, ","")&amp;IF(AND($E63="EXTERIOR",OR(AND(AND($A63&lt;&gt;"",$C63&lt;&gt;"DOOR ONLY"),$W63="CR"),AND(N($BJ63)&gt;0,$AH63="CR"))),"exterior in CR steel (G9?), ","")&amp;IF(AND(ISNUMBER($BQ63),N($BQ63)&lt;32),"clear width ~"&amp;TEXT($BQ63,"0.0")&amp;CHAR(34)&amp;" under 32"&amp;CHAR(34)&amp;" (ADA), ","")&amp;IF(AND($CH63=90,AND(OR($CE63="FG",$CE63="HG",$CE63="FNV",$CE63="FV"),N($CF63)*N($CG63)&gt;100)),"90 min lite over 100 sq in (stair/exit), ","")&amp;IF(AND($CH63&gt;0,AND($A63&lt;&gt;"",$C63&lt;&gt;"DOOR ONLY"),OR($AF63="",$AF63="-")),"rated: closer reinf.?, ","")&amp;IF(OR($I63="CORRIDOR",$I63="SMOKE BARRIER"),"S label + smoke gasketing, ","")&amp;IF($CI63="?","wall type/hr not in IBC table, ","")&amp;IF(AND(N($BJ63)&gt;0,$BB63=""),"no hardware set, ","")&amp;IF(AND($BB63&lt;&gt;"",ISNA(MATCH($BB63&amp;"",HWSets,0))),"set "&amp;$BB63&amp;" not on HW Sets, ","")&amp;IF(N($BL63)&gt;96,"leaf over 8'-0"&amp;CHAR(34)&amp;" - check listing, ","")&amp;IF(AND($CT63,COUNT($AW63:$AZ63)&gt;0,COUNT($AW63:$AZ63)&lt;&gt;$CQ63),COUNT($AW63:$AZ63)&amp;" custom hinges typed, "&amp;$CQ63&amp;" expected, ","")&amp;IF(AND(ISNUMBER($CA63),OR(N($CA63)&lt;34,N($CA63)&gt;48)),"lock "&amp;TEXT($CA63,"0.0")&amp;CHAR(34)&amp;" AFF outside 34-48"&amp;CHAR(34)&amp;" (ADA), ","")&amp;IF(AND(ISNUMBER($AV63),ISNUMBER($BL63),N($AV63)&lt;IF(N($BL63)&lt;=60,2,IF(N($BL63)&lt;=90,3,IF(N($BL63)&lt;=120,4,5)))),"fewer hinges than standard, ",""))</f>
        <v/>
      </c>
    </row>
    <row r="64" ht="15" customHeight="1">
      <c r="A64" s="77" t="n"/>
      <c r="B64" s="78" t="n"/>
      <c r="C64" s="78" t="n"/>
      <c r="D64" s="78" t="n"/>
      <c r="E64" s="78" t="n"/>
      <c r="F64" s="78" t="n"/>
      <c r="G64" s="78" t="n"/>
      <c r="H64" s="78" t="n"/>
      <c r="I64" s="78" t="n"/>
      <c r="J64" s="78" t="n"/>
      <c r="K64" s="78" t="n"/>
      <c r="L64" s="78" t="n"/>
      <c r="M64" s="78" t="n"/>
      <c r="N64" s="78" t="n"/>
      <c r="O64" s="78" t="n"/>
      <c r="P64" s="78" t="n"/>
      <c r="Q64" s="78" t="n"/>
      <c r="R64" s="78" t="n"/>
      <c r="S64" s="79" t="n"/>
      <c r="T64" s="79" t="n"/>
      <c r="U64" s="79" t="n"/>
      <c r="V64" s="79" t="n"/>
      <c r="W64" s="79" t="n"/>
      <c r="X64" s="79" t="n"/>
      <c r="Y64" s="79" t="n"/>
      <c r="Z64" s="79" t="n"/>
      <c r="AA64" s="79" t="n"/>
      <c r="AB64" s="79" t="n"/>
      <c r="AC64" s="79" t="n"/>
      <c r="AD64" s="79" t="n"/>
      <c r="AE64" s="79" t="n"/>
      <c r="AF64" s="79" t="n"/>
      <c r="AG64" s="79" t="n"/>
      <c r="AH64" s="80" t="n"/>
      <c r="AI64" s="80" t="n"/>
      <c r="AJ64" s="80" t="n"/>
      <c r="AK64" s="80" t="n"/>
      <c r="AL64" s="80" t="n"/>
      <c r="AM64" s="80" t="n"/>
      <c r="AN64" s="80" t="n"/>
      <c r="AO64" s="80" t="n"/>
      <c r="AP64" s="80" t="n"/>
      <c r="AQ64" s="80" t="n"/>
      <c r="AR64" s="80" t="n"/>
      <c r="AS64" s="80" t="n"/>
      <c r="AT64" s="81" t="n"/>
      <c r="AU64" s="81" t="n"/>
      <c r="AV64" s="81" t="n"/>
      <c r="AW64" s="82" t="n"/>
      <c r="AX64" s="82" t="n"/>
      <c r="AY64" s="82" t="n"/>
      <c r="AZ64" s="82" t="n"/>
      <c r="BA64" s="82" t="n"/>
      <c r="BB64" s="83" t="n"/>
      <c r="BC64" s="83" t="n"/>
      <c r="BD64" s="84">
        <f>IF($A64="","",IF($DJ64&lt;&gt;"","FIX",IF($DK64&lt;&gt;"","CHECK","OK")))</f>
        <v/>
      </c>
      <c r="BE64" s="85">
        <f>IF($A64="","",IF($DJ64&lt;&gt;"","FIX: "&amp;LEFT($DJ64,LEN($DJ64)-2)&amp;IF($DK64&lt;&gt;"","  ·  ",""),"")&amp;IF($DK64&lt;&gt;"","CHECK: "&amp;LEFT($DK64,LEN($DK64)-2),""))</f>
        <v/>
      </c>
      <c r="BF64" s="84">
        <f>IF(OR($A64="",$K64=""),"",$K64&amp;"'-"&amp;N($L64)&amp;CHAR(34)&amp;" x "&amp;$M64&amp;"'-"&amp;N($N64)&amp;CHAR(34))</f>
        <v/>
      </c>
      <c r="BG64" s="84">
        <f>IF(OR($A64="",$K64=""),"",$K64&amp;N($L64)&amp;$M64&amp;N($N64))</f>
        <v/>
      </c>
      <c r="BH64" s="84">
        <f>IF(OR($A64="",$K64=""),"",$K64*12+N($L64))</f>
        <v/>
      </c>
      <c r="BI64" s="84">
        <f>IF(OR($A64="",$M64=""),"",$M64*12+N($N64))</f>
        <v/>
      </c>
      <c r="BJ64" s="84">
        <f>IF($A64="","",IF(OR($C64="FRAME ONLY",$S64="BL"),0,IF($O64="Y",2,1)))</f>
        <v/>
      </c>
      <c r="BK64" s="86">
        <f>IF(OR(N($BJ64)=0,$BH64=""),"",($BH64-2*EdgeClr-IF($BJ64=2,MeetClr,0))/$BJ64)</f>
        <v/>
      </c>
      <c r="BL64" s="86">
        <f>IF(OR(N($BJ64)=0,$BI64=""),"",$BI64-HeadClr-Undercut)</f>
        <v/>
      </c>
      <c r="BM64" s="86">
        <f>IF($BH64="","",$BH64+2*FaceW+IF(N($Q64)&gt;0,($Q64+FaceW)*IF($R64="LR",2,1),0))</f>
        <v/>
      </c>
      <c r="BN64" s="86">
        <f>IF($BI64="","",$BI64+IF($AB64="Y",4,FaceW)+IF(N($P64)&gt;0,$P64+FaceW,0)+IF(OR($S64="4F",$S64="BL"),FaceW,0))</f>
        <v/>
      </c>
      <c r="BO64" s="86">
        <f>IF($BM64="","",$BM64+2*ROSide)</f>
        <v/>
      </c>
      <c r="BP64" s="86">
        <f>IF($BN64="","",$BN64+ROTop)</f>
        <v/>
      </c>
      <c r="BQ64" s="87">
        <f>IF(OR(N($BJ64)=0,$BH64=""),"",$BH64/$BJ64-ClearDeduct)</f>
        <v/>
      </c>
      <c r="BR64" s="84">
        <f>IF(N($CH64)=0,"",IF($CH64&gt;=180,"A · 3 HR",IF($CH64&gt;=90,"B · 1-1/2 HR",IF($CH64&gt;=60,"B · 1 HR",IF($CH64&gt;=45,"C · 3/4 HR","20 MIN")))))&amp;IF(AND(N($CH64)&gt;0,OR($I64="CORRIDOR",$I64="SMOKE BARRIER"))," · S","")</f>
        <v/>
      </c>
      <c r="BS64" s="84">
        <f>IF($CS64,"",IF($AV64&lt;&gt;"",$AV64,IF(OR($AC64="HGC",$AO64="HGC"),"CONT",IF(($BI64-HeadClr-Undercut)&lt;=60,2,IF(($BI64-HeadClr-Undercut)&lt;=90,3,IF(($BI64-HeadClr-Undercut)&lt;=120,4,5))))))</f>
        <v/>
      </c>
      <c r="BT64" s="84">
        <f>IF($CS64,"",IF($CT64,"CUSTOM (typed)",IF($CV64,$AT64&amp;" "&amp;$CU64&amp;CHAR(34)&amp;IF($CU64&lt;&gt;$BI64,IF(AND($BI64&lt;$CU64,$BI64-IF(N(VLOOKUP($AT64&amp;"|"&amp;$CU64,LocTable,7,FALSE))&gt;0,VLOOKUP($AT64&amp;"|"&amp;$CU64,LocTable,7,FALSE),VLOOKUP($AT64&amp;"|"&amp;$CU64,LocTable,6,FALSE))-$CR64-0.75&gt;=2.125)," cut down"," adj."),""),"ANSI/SDI A250.6")))</f>
        <v/>
      </c>
      <c r="BU64" s="88">
        <f>IF($CS64,"",IF($CT64,IF(N($AW64)&gt;0,N($AW64),""),IF(1&gt;$CQ64,"",IF($CQ64=1,$CW64,$CW64+($CX64-$CW64)*0/($CQ64-1)))))</f>
        <v/>
      </c>
      <c r="BV64" s="88">
        <f>IF($CS64,"",IF($CT64,IF(N($AX64)&gt;0,N($AX64),""),IF(2&gt;$CQ64,"",IF($CQ64=1,$CW64,$CW64+($CX64-$CW64)*1/($CQ64-1)))))</f>
        <v/>
      </c>
      <c r="BW64" s="88">
        <f>IF($CS64,"",IF($CT64,IF(N($AY64)&gt;0,N($AY64),""),IF(3&gt;$CQ64,"",IF($CQ64=1,$CW64,$CW64+($CX64-$CW64)*2/($CQ64-1)))))</f>
        <v/>
      </c>
      <c r="BX64" s="88">
        <f>IF($CS64,"",IF($CT64,IF(N($AZ64)&gt;0,N($AZ64),""),IF(4&gt;$CQ64,"",IF($CQ64=1,$CW64,$CW64+($CX64-$CW64)*3/($CQ64-1)))))</f>
        <v/>
      </c>
      <c r="BY64" s="88">
        <f>IF($CS64,"",IF($CT64,"",IF(5&gt;$CQ64,"",IF($CQ64=1,$CW64,$CW64+($CX64-$CW64)*4/($CQ64-1)))))</f>
        <v/>
      </c>
      <c r="BZ64" s="88">
        <f>IF(OR($CS64,$AP64="-",AND($AP64="",$AD64="")),"",IF(N($BA64)&gt;0,N($BA64),IF($CV64,IF(AND($BI64&lt;$CU64,$BI64-IF(N(VLOOKUP($AT64&amp;"|"&amp;$CU64,LocTable,7,FALSE))&gt;0,VLOOKUP($AT64&amp;"|"&amp;$CU64,LocTable,7,FALSE),VLOOKUP($AT64&amp;"|"&amp;$CU64,LocTable,6,FALSE))-$CR64-0.75&gt;=2.125),VLOOKUP($AT64&amp;"|"&amp;$CU64,LocTable,8,FALSE),VLOOKUP($AT64&amp;"|"&amp;$CU64,LocTable,8,FALSE)+($BI64-$CU64)),$BI64-LockAFF)))</f>
        <v/>
      </c>
      <c r="CA64" s="89">
        <f>IF($BZ64="","",$BI64-$BZ64)</f>
        <v/>
      </c>
      <c r="CB64" s="84">
        <f>IF(OR(NOT(AND($A64&lt;&gt;"",$C64&lt;&gt;"DOOR ONLY")),$BI64=""),"",IF(($BI64+IF(N($P64)&gt;0,$P64+FaceW,0))&lt;=90,3,IF(($BI64+IF(N($P64)&gt;0,$P64+FaceW,0))&lt;=114,4,5)))</f>
        <v/>
      </c>
      <c r="CC64" s="84">
        <f>IF($CB64="","",$CB64*(2+IF(N($Q64)&gt;0,IF($R64="LR",2,1),0)))</f>
        <v/>
      </c>
      <c r="CD64" s="84">
        <f>IF($CB64="","",(2+IF(N($Q64)&gt;0,IF($R64="LR",2,1),0)))</f>
        <v/>
      </c>
      <c r="CE64" s="84">
        <f>IF(N($BJ64)=0,"",IF(OR($AL64="",$AL64="FLUSH"),"FLUSH",IFERROR(LEFT($AL64,FIND("-",$AL64)-1),LEFT($AL64,2))))</f>
        <v/>
      </c>
      <c r="CF64" s="84">
        <f>IF($CE64="","",IFERROR(VALUE(MID($AL64,FIND("-",$AL64)+1,FIND(CHAR(34)&amp;"x",$AL64)-FIND("-",$AL64)-1)),0))</f>
        <v/>
      </c>
      <c r="CG64" s="84">
        <f>IF($CE64="","",IFERROR(VALUE(MID($AL64,FIND(CHAR(34)&amp;"x",$AL64)+2,FIND(CHAR(34),$AL64,FIND(CHAR(34)&amp;"x",$AL64)+2)-FIND(CHAR(34)&amp;"x",$AL64)-2)),0))</f>
        <v/>
      </c>
      <c r="CH64" s="90">
        <f>IF(OR($A64="",$H64="",$H64="NO LAB"),0,IFERROR(VALUE(LEFT($H64,FIND(" ",$H64)-1)),0))</f>
        <v/>
      </c>
      <c r="CI64" s="91">
        <f>IF(OR($A64="",$I64="",$I64="NON-RATED",N($J64)=0),"",IFERROR(VLOOKUP($I64&amp;"|"&amp;$J64,IBC,2,FALSE),"?"))</f>
        <v/>
      </c>
      <c r="CJ64" s="85">
        <f>IF(NOT(AND($A64&lt;&gt;"",$C64&lt;&gt;"DOOR ONLY")),"",TRIM(IFERROR(VLOOKUP($U64,CODES,2,FALSE),"")&amp;" "&amp;$BG64&amp;" "&amp;IFERROR(VLOOKUP($Z64,CODES,2,FALSE),"")&amp;" "&amp;IFERROR(VLOOKUP($X64,CODES,2,FALSE),"")&amp;" "&amp;IFERROR(VLOOKUP($S64,CODES,2,FALSE),"")&amp;IF(N($P64)&gt;0," w/TRANSOM "&amp;$P64&amp;CHAR(34),"")&amp;IF(N($Q64)&gt;0," w/SIDELITE "&amp;$Q64&amp;CHAR(34)&amp;" "&amp;IF($R64="","R",$R64),"")&amp;IF($Y64="","  |  "," | "&amp;IFERROR(VLOOKUP($Y64,CODES,2,FALSE),"")&amp;" | ")&amp;IFERROR(VLOOKUP($AC64,CODES,2,FALSE),"")&amp;" "&amp;IFERROR(VLOOKUP($AD64,CODES,2,FALSE),"")&amp;IF(OR($AE64="",$AE64="-"),""," "&amp;$AE64)&amp;IF(OR($AF64="",$AF64="-"),""," "&amp;$AF64)&amp;IF($AB64="Y"," 4"&amp;CHAR(34)&amp;" HEAD","")&amp;" "&amp;IFERROR(VLOOKUP($H64,CODES,2,FALSE),"")&amp;IF($CT64," | LOC "&amp;$CY64,"")))</f>
        <v/>
      </c>
      <c r="CK64" s="85">
        <f>IF(NOT(AND($A64&lt;&gt;"",N($BJ64)&gt;0)),"",TRIM(IFERROR(VLOOKUP($AH64,CODES,2,FALSE),"")&amp;IF($AI64=""," "," "&amp;$AI64&amp;"GA ")&amp;$BG64&amp;" "&amp;IF($AN64="",IFERROR(VLOOKUP($Z64,CODES,2,FALSE),""),IFERROR(VLOOKUP($AN64,CODES,2,FALSE),""))&amp;IF($BJ64=2," PAIR","")&amp;" DOOR | "&amp;IF($AL64="","?",$AL64)&amp;" | "&amp;IF($AO64="",IFERROR(VLOOKUP($AC64,CODES,2,FALSE),""),IFERROR(VLOOKUP($AO64,CODES,2,FALSE),""))&amp;" "&amp;IFERROR(VLOOKUP($AP64,CODES,2,FALSE),"")&amp;IF(OR($AQ64="",$AQ64="-"),""," SEAM "&amp;$AQ64)&amp;IF($AR64="Y"," ASTRAGAL","")&amp;IF($AJ64=""," "," "&amp;$AJ64)&amp;IF($AK64=""," "," "&amp;$AK64)&amp;IF(OR($AT64="",$AT64="ANSI/SDI",$AT64="CUSTOM LOC"),""," "&amp;$AT64)&amp;IF($AM64=""," "," SERIES "&amp;$AM64)&amp;" "&amp;IFERROR(VLOOKUP($H64,CODES,2,FALSE),"")&amp;IF($CT64," | LOC "&amp;$CZ64,"")))</f>
        <v/>
      </c>
      <c r="CL64" s="84">
        <f>IF(CP64="","",IF(COUNTIF($CP$6:CP64,CP64)=1,MAX($CL$5:CL63)+1,INDEX($CL$5:CL63,MATCH(CP64,$CP$5:CP63,0))))</f>
        <v/>
      </c>
      <c r="CM64" s="84">
        <f>IF(NOT(AND($A64&lt;&gt;"",$C64&lt;&gt;"DOOR ONLY")),"",MAX($CM$5:CM63)+1)</f>
        <v/>
      </c>
      <c r="CN64" s="84">
        <f>IF(NOT(AND($A64&lt;&gt;"",N($BJ64)&gt;0)),"",MAX($CN$5:CN63)+1)</f>
        <v/>
      </c>
      <c r="CO64" s="84">
        <f>IF($A64="","",MAX($CO$5:CO63)+1)</f>
        <v/>
      </c>
      <c r="CP64" s="84">
        <f>IF(OR($A64="",$BH64="",$BI64=""),"",$BG64&amp;"|"&amp;$O64&amp;"|"&amp;$AL64&amp;"|"&amp;$S64&amp;"|"&amp;$P64&amp;"|"&amp;$Q64&amp;$R64&amp;"|"&amp;$C64&amp;"|"&amp;$AB64)</f>
        <v/>
      </c>
      <c r="CQ64" s="84">
        <f>N($BS64)</f>
        <v/>
      </c>
      <c r="CR64" s="84">
        <f>IF(N($AU64)&gt;0,N($AU64),4.5)</f>
        <v/>
      </c>
      <c r="CS64" s="84">
        <f>OR($A64="",$BI64="",$S64="BL",AND($C64="FRAME ONLY",OR($AC64="",$AC64="BLK")))</f>
        <v/>
      </c>
      <c r="CT64" s="84">
        <f>AND(NOT($CS64),OR($AT64="CUSTOM LOC",N($AW64)+N($AX64)+N($AY64)+N($AZ64)+N($BA64)&gt;0))</f>
        <v/>
      </c>
      <c r="CU64" s="84">
        <f>IF($BI64="","",IF($BI64&lt;=80,80,IF($BI64&lt;=84,84,96)))</f>
        <v/>
      </c>
      <c r="CV64" s="84">
        <f>ISNUMBER(MATCH($AT64&amp;"|80",LocKeys,0))</f>
        <v/>
      </c>
      <c r="CW64" s="86">
        <f>IF($CS64,"",IF($CV64,VLOOKUP($AT64&amp;"|"&amp;$CU64,LocTable,4,FALSE),5))</f>
        <v/>
      </c>
      <c r="CX64" s="86">
        <f>IF($CS64,"",IF($CV64,IF(OR($BI64=$CU64,AND($BI64&lt;$CU64,$BI64-IF(N(VLOOKUP($AT64&amp;"|"&amp;$CU64,LocTable,7,FALSE))&gt;0,VLOOKUP($AT64&amp;"|"&amp;$CU64,LocTable,7,FALSE),VLOOKUP($AT64&amp;"|"&amp;$CU64,LocTable,6,FALSE))-$CR64-0.75&gt;=2.125)),IF(N(VLOOKUP($AT64&amp;"|"&amp;$CU64,LocTable,7,FALSE))&gt;0,VLOOKUP($AT64&amp;"|"&amp;$CU64,LocTable,7,FALSE),VLOOKUP($AT64&amp;"|"&amp;$CU64,LocTable,6,FALSE)),$BI64-($CU64-IF(N(VLOOKUP($AT64&amp;"|"&amp;$CU64,LocTable,7,FALSE))&gt;0,VLOOKUP($AT64&amp;"|"&amp;$CU64,LocTable,7,FALSE),VLOOKUP($AT64&amp;"|"&amp;$CU64,LocTable,6,FALSE)))),$BI64-10-$CR64))</f>
        <v/>
      </c>
      <c r="CY64" s="85">
        <f>IF($CS64,"",TRIM(IF(ISNUMBER($BU64),"A "&amp;TRIM(TEXT($BU64,"# ?/??"))&amp;CHAR(34)&amp;"  ","")&amp;IF(ISNUMBER($BV64),"B "&amp;TRIM(TEXT($BV64,"# ?/??"))&amp;CHAR(34)&amp;"  ","")&amp;IF(ISNUMBER($BW64),"C "&amp;TRIM(TEXT($BW64,"# ?/??"))&amp;CHAR(34)&amp;"  ","")&amp;IF(ISNUMBER($BX64),"D "&amp;TRIM(TEXT($BX64,"# ?/??"))&amp;CHAR(34)&amp;"  ","")&amp;IF(ISNUMBER($BY64),"F "&amp;TRIM(TEXT($BY64,"# ?/??"))&amp;CHAR(34)&amp;"  ","")&amp;IF(ISNUMBER($BZ64),"E "&amp;TRIM(TEXT($BZ64,"# ?/??"))&amp;CHAR(34)&amp;"  ","")))</f>
        <v/>
      </c>
      <c r="CZ64" s="85">
        <f>IF(OR($CS64,N($BJ64)=0),"",TRIM(IF(ISNUMBER($BU64),"A "&amp;TRIM(TEXT($BU64-HeadClr,"# ?/??"))&amp;CHAR(34)&amp;"  ","")&amp;IF(ISNUMBER($BV64),"B "&amp;TRIM(TEXT($BV64-HeadClr,"# ?/??"))&amp;CHAR(34)&amp;"  ","")&amp;IF(ISNUMBER($BW64),"C "&amp;TRIM(TEXT($BW64-HeadClr,"# ?/??"))&amp;CHAR(34)&amp;"  ","")&amp;IF(ISNUMBER($BX64),"D "&amp;TRIM(TEXT($BX64-HeadClr,"# ?/??"))&amp;CHAR(34)&amp;"  ","")&amp;IF(ISNUMBER($BY64),"F "&amp;TRIM(TEXT($BY64-HeadClr,"# ?/??"))&amp;CHAR(34)&amp;"  ","")&amp;IF(ISNUMBER($BZ64),"E "&amp;TRIM(TEXT($BZ64-HeadClr,"# ?/??"))&amp;CHAR(34)&amp;"  ","")))</f>
        <v/>
      </c>
      <c r="DA64" s="84">
        <f>IF($A64="","",IF($AN64="",IFERROR(VLOOKUP($Z64,CODES,2,FALSE),""),IFERROR(VLOOKUP($AN64,CODES,2,FALSE),"")))</f>
        <v/>
      </c>
      <c r="DB64" s="84">
        <f>IF($A64="","",IF($O64="Y","PR",IF(OR($Z64="L",$Z64="RR",LEFT($Z64,2)="L-",LEFT($Z64,3)="RR-"),"LH","RH")))</f>
        <v/>
      </c>
      <c r="DC64" s="84">
        <f>IF($A64="","","S.HM"&amp;IF(OR($C64="DOOR ONLY",$X64&lt;&gt;"KD"),"MASONRY","DRYWALL")&amp;IF($C64="DOOR ONLY","",$U64)&amp;IF(AND($C64&lt;&gt;"FRAME ONLY",OR(LEFT($AH64,3)="OAK",LEFT($AH64,3)="BIR",LEFT($AH64,3)="MAP",$AH64="PC",$AH64="MC",$AH64="SCLC",$AH64="P-LAM")),"WD","HM")&amp;"1.75")</f>
        <v/>
      </c>
      <c r="DD64" s="84">
        <f>IF($CJ64="","",IF($O64="Y",$CJ64,SUBSTITUTE($CJ64,$BG64&amp;" "&amp;IFERROR(VLOOKUP($Z64,CODES,2,FALSE),"")&amp;" ",$BG64&amp;" ")))</f>
        <v/>
      </c>
      <c r="DE64" s="84">
        <f>IF($CK64="","",IF($O64="Y",$CK64,SUBSTITUTE($CK64,$BG64&amp;" "&amp;IF($AN64="",IFERROR(VLOOKUP($Z64,CODES,2,FALSE),""),IFERROR(VLOOKUP($AN64,CODES,2,FALSE),""))&amp;" ",$BG64&amp;" ")))</f>
        <v/>
      </c>
      <c r="DF64" s="84">
        <f>IF($CJ64="","",$DC64&amp;"|"&amp;$DD64&amp;"|"&amp;$DB64&amp;"|"&amp;$AT64&amp;"|"&amp;$V64&amp;"|"&amp;$Y64&amp;"|"&amp;$AB64)</f>
        <v/>
      </c>
      <c r="DG64" s="84">
        <f>IF(DF64="","",IF(COUNTIF($DF$6:DF64,DF64)=1,MAX($DG$5:DG63)+1,INDEX($DG$5:DG63,MATCH(DF64,$DF$5:DF63,0))))</f>
        <v/>
      </c>
      <c r="DH64" s="84">
        <f>IF($CK64="","",$DC64&amp;"|"&amp;$DE64&amp;"|"&amp;$AI64&amp;"|"&amp;$BK64&amp;"|"&amp;$BL64)</f>
        <v/>
      </c>
      <c r="DI64" s="84">
        <f>IF(DH64="","",IF(COUNTIF($DH$6:DH64,DH64)=1,MAX($DI$5:DI63)+1,INDEX($DI$5:DI63,MATCH(DH64,$DH$5:DH63,0))))</f>
        <v/>
      </c>
      <c r="DJ64" s="84">
        <f>IF($A64="","",IF($B64="","qty, ","")&amp;IF($C64="","scope, ","")&amp;IF(OR($K64="",$M64=""),"size, ","")&amp;IF(AND($A64&lt;&gt;"",$C64&lt;&gt;"DOOR ONLY"),IF($U64="","jamb depth, ","")&amp;IF($X64="","construction, ","")&amp;IF($Y64="","anchor, ","")&amp;IF($S64="","frame type, ",""),"")&amp;IF(AND(N($BJ64)&gt;0,$Z64=""),"hand, ","")&amp;IF(N($BJ64)&gt;0,IF($AH64="","door material, ","")&amp;IF($AL64="","face type, ","")&amp;IF($AP64="","lock prep, ","")&amp;IF(AND($AO64="",$AC64=""),"hinge prep, ",""),"")&amp;IF(AND($CH64&gt;0,$AH64="FRP"),"FRP cannot carry a label, ","")&amp;IF(AND($O64="Y",OR($Z64="L",$Z64="R",$Z64="LR",$Z64="RR")),"pair marked but hand is single, ","")&amp;IF(AND($O64&lt;&gt;"Y",OR($Z64="PR",AND(LEN($Z64)&gt;1,ISNUMBER(SEARCH("-",$Z64))))),"pair hand on a single door, ","")&amp;IF(AND(ISNUMBER($CI64),$CH64&lt;N($CI64)),"wall needs a "&amp;$CI64&amp;" min door, ","")&amp;IF(AND($CH64&gt;=180,AND(OR($CE64="FG",$CE64="HG",$CE64="FNV",$CE64="FV"),N($CF64)*N($CG64)&gt;100)),"180 min lite over 100 sq in, ","")&amp;IF(N($BK64)&gt;48,"leaf wider than 4'-0"&amp;CHAR(34)&amp;", ","")&amp;IF(AND($CT64,COUNT($AW64:$AZ64)=0,$CQ64&gt;0),"CUSTOM LOC with no locations typed, ",""))</f>
        <v/>
      </c>
      <c r="DK64" s="84">
        <f>IF($A64="","",IF(AND($CH64&gt;0,AND($A64&lt;&gt;"",$C64&lt;&gt;"DOOR ONLY"),$X64="KD",$E64="EXTERIOR"),"KD label on an exterior opening, ","")&amp;IF(AND($E64="EXTERIOR",OR(AND(AND($A64&lt;&gt;"",$C64&lt;&gt;"DOOR ONLY"),$W64="CR"),AND(N($BJ64)&gt;0,$AH64="CR"))),"exterior in CR steel (G9?), ","")&amp;IF(AND(ISNUMBER($BQ64),N($BQ64)&lt;32),"clear width ~"&amp;TEXT($BQ64,"0.0")&amp;CHAR(34)&amp;" under 32"&amp;CHAR(34)&amp;" (ADA), ","")&amp;IF(AND($CH64=90,AND(OR($CE64="FG",$CE64="HG",$CE64="FNV",$CE64="FV"),N($CF64)*N($CG64)&gt;100)),"90 min lite over 100 sq in (stair/exit), ","")&amp;IF(AND($CH64&gt;0,AND($A64&lt;&gt;"",$C64&lt;&gt;"DOOR ONLY"),OR($AF64="",$AF64="-")),"rated: closer reinf.?, ","")&amp;IF(OR($I64="CORRIDOR",$I64="SMOKE BARRIER"),"S label + smoke gasketing, ","")&amp;IF($CI64="?","wall type/hr not in IBC table, ","")&amp;IF(AND(N($BJ64)&gt;0,$BB64=""),"no hardware set, ","")&amp;IF(AND($BB64&lt;&gt;"",ISNA(MATCH($BB64&amp;"",HWSets,0))),"set "&amp;$BB64&amp;" not on HW Sets, ","")&amp;IF(N($BL64)&gt;96,"leaf over 8'-0"&amp;CHAR(34)&amp;" - check listing, ","")&amp;IF(AND($CT64,COUNT($AW64:$AZ64)&gt;0,COUNT($AW64:$AZ64)&lt;&gt;$CQ64),COUNT($AW64:$AZ64)&amp;" custom hinges typed, "&amp;$CQ64&amp;" expected, ","")&amp;IF(AND(ISNUMBER($CA64),OR(N($CA64)&lt;34,N($CA64)&gt;48)),"lock "&amp;TEXT($CA64,"0.0")&amp;CHAR(34)&amp;" AFF outside 34-48"&amp;CHAR(34)&amp;" (ADA), ","")&amp;IF(AND(ISNUMBER($AV64),ISNUMBER($BL64),N($AV64)&lt;IF(N($BL64)&lt;=60,2,IF(N($BL64)&lt;=90,3,IF(N($BL64)&lt;=120,4,5)))),"fewer hinges than standard, ",""))</f>
        <v/>
      </c>
    </row>
    <row r="65" ht="15" customHeight="1">
      <c r="A65" s="92" t="n"/>
      <c r="B65" s="93" t="n"/>
      <c r="C65" s="93" t="n"/>
      <c r="D65" s="93" t="n"/>
      <c r="E65" s="93" t="n"/>
      <c r="F65" s="93" t="n"/>
      <c r="G65" s="93" t="n"/>
      <c r="H65" s="93" t="n"/>
      <c r="I65" s="93" t="n"/>
      <c r="J65" s="93" t="n"/>
      <c r="K65" s="93" t="n"/>
      <c r="L65" s="93" t="n"/>
      <c r="M65" s="93" t="n"/>
      <c r="N65" s="93" t="n"/>
      <c r="O65" s="93" t="n"/>
      <c r="P65" s="93" t="n"/>
      <c r="Q65" s="93" t="n"/>
      <c r="R65" s="93" t="n"/>
      <c r="S65" s="94" t="n"/>
      <c r="T65" s="94" t="n"/>
      <c r="U65" s="94" t="n"/>
      <c r="V65" s="94" t="n"/>
      <c r="W65" s="94" t="n"/>
      <c r="X65" s="94" t="n"/>
      <c r="Y65" s="94" t="n"/>
      <c r="Z65" s="94" t="n"/>
      <c r="AA65" s="94" t="n"/>
      <c r="AB65" s="94" t="n"/>
      <c r="AC65" s="94" t="n"/>
      <c r="AD65" s="94" t="n"/>
      <c r="AE65" s="94" t="n"/>
      <c r="AF65" s="94" t="n"/>
      <c r="AG65" s="94" t="n"/>
      <c r="AH65" s="95" t="n"/>
      <c r="AI65" s="95" t="n"/>
      <c r="AJ65" s="95" t="n"/>
      <c r="AK65" s="95" t="n"/>
      <c r="AL65" s="95" t="n"/>
      <c r="AM65" s="95" t="n"/>
      <c r="AN65" s="95" t="n"/>
      <c r="AO65" s="95" t="n"/>
      <c r="AP65" s="95" t="n"/>
      <c r="AQ65" s="95" t="n"/>
      <c r="AR65" s="95" t="n"/>
      <c r="AS65" s="95" t="n"/>
      <c r="AT65" s="96" t="n"/>
      <c r="AU65" s="96" t="n"/>
      <c r="AV65" s="96" t="n"/>
      <c r="AW65" s="97" t="n"/>
      <c r="AX65" s="97" t="n"/>
      <c r="AY65" s="97" t="n"/>
      <c r="AZ65" s="97" t="n"/>
      <c r="BA65" s="97" t="n"/>
      <c r="BB65" s="98" t="n"/>
      <c r="BC65" s="98" t="n"/>
      <c r="BD65" s="99">
        <f>IF($A65="","",IF($DJ65&lt;&gt;"","FIX",IF($DK65&lt;&gt;"","CHECK","OK")))</f>
        <v/>
      </c>
      <c r="BE65" s="100">
        <f>IF($A65="","",IF($DJ65&lt;&gt;"","FIX: "&amp;LEFT($DJ65,LEN($DJ65)-2)&amp;IF($DK65&lt;&gt;"","  ·  ",""),"")&amp;IF($DK65&lt;&gt;"","CHECK: "&amp;LEFT($DK65,LEN($DK65)-2),""))</f>
        <v/>
      </c>
      <c r="BF65" s="99">
        <f>IF(OR($A65="",$K65=""),"",$K65&amp;"'-"&amp;N($L65)&amp;CHAR(34)&amp;" x "&amp;$M65&amp;"'-"&amp;N($N65)&amp;CHAR(34))</f>
        <v/>
      </c>
      <c r="BG65" s="99">
        <f>IF(OR($A65="",$K65=""),"",$K65&amp;N($L65)&amp;$M65&amp;N($N65))</f>
        <v/>
      </c>
      <c r="BH65" s="99">
        <f>IF(OR($A65="",$K65=""),"",$K65*12+N($L65))</f>
        <v/>
      </c>
      <c r="BI65" s="99">
        <f>IF(OR($A65="",$M65=""),"",$M65*12+N($N65))</f>
        <v/>
      </c>
      <c r="BJ65" s="99">
        <f>IF($A65="","",IF(OR($C65="FRAME ONLY",$S65="BL"),0,IF($O65="Y",2,1)))</f>
        <v/>
      </c>
      <c r="BK65" s="101">
        <f>IF(OR(N($BJ65)=0,$BH65=""),"",($BH65-2*EdgeClr-IF($BJ65=2,MeetClr,0))/$BJ65)</f>
        <v/>
      </c>
      <c r="BL65" s="101">
        <f>IF(OR(N($BJ65)=0,$BI65=""),"",$BI65-HeadClr-Undercut)</f>
        <v/>
      </c>
      <c r="BM65" s="101">
        <f>IF($BH65="","",$BH65+2*FaceW+IF(N($Q65)&gt;0,($Q65+FaceW)*IF($R65="LR",2,1),0))</f>
        <v/>
      </c>
      <c r="BN65" s="101">
        <f>IF($BI65="","",$BI65+IF($AB65="Y",4,FaceW)+IF(N($P65)&gt;0,$P65+FaceW,0)+IF(OR($S65="4F",$S65="BL"),FaceW,0))</f>
        <v/>
      </c>
      <c r="BO65" s="101">
        <f>IF($BM65="","",$BM65+2*ROSide)</f>
        <v/>
      </c>
      <c r="BP65" s="101">
        <f>IF($BN65="","",$BN65+ROTop)</f>
        <v/>
      </c>
      <c r="BQ65" s="102">
        <f>IF(OR(N($BJ65)=0,$BH65=""),"",$BH65/$BJ65-ClearDeduct)</f>
        <v/>
      </c>
      <c r="BR65" s="99">
        <f>IF(N($CH65)=0,"",IF($CH65&gt;=180,"A · 3 HR",IF($CH65&gt;=90,"B · 1-1/2 HR",IF($CH65&gt;=60,"B · 1 HR",IF($CH65&gt;=45,"C · 3/4 HR","20 MIN")))))&amp;IF(AND(N($CH65)&gt;0,OR($I65="CORRIDOR",$I65="SMOKE BARRIER"))," · S","")</f>
        <v/>
      </c>
      <c r="BS65" s="99">
        <f>IF($CS65,"",IF($AV65&lt;&gt;"",$AV65,IF(OR($AC65="HGC",$AO65="HGC"),"CONT",IF(($BI65-HeadClr-Undercut)&lt;=60,2,IF(($BI65-HeadClr-Undercut)&lt;=90,3,IF(($BI65-HeadClr-Undercut)&lt;=120,4,5))))))</f>
        <v/>
      </c>
      <c r="BT65" s="99">
        <f>IF($CS65,"",IF($CT65,"CUSTOM (typed)",IF($CV65,$AT65&amp;" "&amp;$CU65&amp;CHAR(34)&amp;IF($CU65&lt;&gt;$BI65,IF(AND($BI65&lt;$CU65,$BI65-IF(N(VLOOKUP($AT65&amp;"|"&amp;$CU65,LocTable,7,FALSE))&gt;0,VLOOKUP($AT65&amp;"|"&amp;$CU65,LocTable,7,FALSE),VLOOKUP($AT65&amp;"|"&amp;$CU65,LocTable,6,FALSE))-$CR65-0.75&gt;=2.125)," cut down"," adj."),""),"ANSI/SDI A250.6")))</f>
        <v/>
      </c>
      <c r="BU65" s="103">
        <f>IF($CS65,"",IF($CT65,IF(N($AW65)&gt;0,N($AW65),""),IF(1&gt;$CQ65,"",IF($CQ65=1,$CW65,$CW65+($CX65-$CW65)*0/($CQ65-1)))))</f>
        <v/>
      </c>
      <c r="BV65" s="103">
        <f>IF($CS65,"",IF($CT65,IF(N($AX65)&gt;0,N($AX65),""),IF(2&gt;$CQ65,"",IF($CQ65=1,$CW65,$CW65+($CX65-$CW65)*1/($CQ65-1)))))</f>
        <v/>
      </c>
      <c r="BW65" s="103">
        <f>IF($CS65,"",IF($CT65,IF(N($AY65)&gt;0,N($AY65),""),IF(3&gt;$CQ65,"",IF($CQ65=1,$CW65,$CW65+($CX65-$CW65)*2/($CQ65-1)))))</f>
        <v/>
      </c>
      <c r="BX65" s="103">
        <f>IF($CS65,"",IF($CT65,IF(N($AZ65)&gt;0,N($AZ65),""),IF(4&gt;$CQ65,"",IF($CQ65=1,$CW65,$CW65+($CX65-$CW65)*3/($CQ65-1)))))</f>
        <v/>
      </c>
      <c r="BY65" s="103">
        <f>IF($CS65,"",IF($CT65,"",IF(5&gt;$CQ65,"",IF($CQ65=1,$CW65,$CW65+($CX65-$CW65)*4/($CQ65-1)))))</f>
        <v/>
      </c>
      <c r="BZ65" s="103">
        <f>IF(OR($CS65,$AP65="-",AND($AP65="",$AD65="")),"",IF(N($BA65)&gt;0,N($BA65),IF($CV65,IF(AND($BI65&lt;$CU65,$BI65-IF(N(VLOOKUP($AT65&amp;"|"&amp;$CU65,LocTable,7,FALSE))&gt;0,VLOOKUP($AT65&amp;"|"&amp;$CU65,LocTable,7,FALSE),VLOOKUP($AT65&amp;"|"&amp;$CU65,LocTable,6,FALSE))-$CR65-0.75&gt;=2.125),VLOOKUP($AT65&amp;"|"&amp;$CU65,LocTable,8,FALSE),VLOOKUP($AT65&amp;"|"&amp;$CU65,LocTable,8,FALSE)+($BI65-$CU65)),$BI65-LockAFF)))</f>
        <v/>
      </c>
      <c r="CA65" s="104">
        <f>IF($BZ65="","",$BI65-$BZ65)</f>
        <v/>
      </c>
      <c r="CB65" s="99">
        <f>IF(OR(NOT(AND($A65&lt;&gt;"",$C65&lt;&gt;"DOOR ONLY")),$BI65=""),"",IF(($BI65+IF(N($P65)&gt;0,$P65+FaceW,0))&lt;=90,3,IF(($BI65+IF(N($P65)&gt;0,$P65+FaceW,0))&lt;=114,4,5)))</f>
        <v/>
      </c>
      <c r="CC65" s="99">
        <f>IF($CB65="","",$CB65*(2+IF(N($Q65)&gt;0,IF($R65="LR",2,1),0)))</f>
        <v/>
      </c>
      <c r="CD65" s="99">
        <f>IF($CB65="","",(2+IF(N($Q65)&gt;0,IF($R65="LR",2,1),0)))</f>
        <v/>
      </c>
      <c r="CE65" s="99">
        <f>IF(N($BJ65)=0,"",IF(OR($AL65="",$AL65="FLUSH"),"FLUSH",IFERROR(LEFT($AL65,FIND("-",$AL65)-1),LEFT($AL65,2))))</f>
        <v/>
      </c>
      <c r="CF65" s="99">
        <f>IF($CE65="","",IFERROR(VALUE(MID($AL65,FIND("-",$AL65)+1,FIND(CHAR(34)&amp;"x",$AL65)-FIND("-",$AL65)-1)),0))</f>
        <v/>
      </c>
      <c r="CG65" s="99">
        <f>IF($CE65="","",IFERROR(VALUE(MID($AL65,FIND(CHAR(34)&amp;"x",$AL65)+2,FIND(CHAR(34),$AL65,FIND(CHAR(34)&amp;"x",$AL65)+2)-FIND(CHAR(34)&amp;"x",$AL65)-2)),0))</f>
        <v/>
      </c>
      <c r="CH65" s="105">
        <f>IF(OR($A65="",$H65="",$H65="NO LAB"),0,IFERROR(VALUE(LEFT($H65,FIND(" ",$H65)-1)),0))</f>
        <v/>
      </c>
      <c r="CI65" s="106">
        <f>IF(OR($A65="",$I65="",$I65="NON-RATED",N($J65)=0),"",IFERROR(VLOOKUP($I65&amp;"|"&amp;$J65,IBC,2,FALSE),"?"))</f>
        <v/>
      </c>
      <c r="CJ65" s="100">
        <f>IF(NOT(AND($A65&lt;&gt;"",$C65&lt;&gt;"DOOR ONLY")),"",TRIM(IFERROR(VLOOKUP($U65,CODES,2,FALSE),"")&amp;" "&amp;$BG65&amp;" "&amp;IFERROR(VLOOKUP($Z65,CODES,2,FALSE),"")&amp;" "&amp;IFERROR(VLOOKUP($X65,CODES,2,FALSE),"")&amp;" "&amp;IFERROR(VLOOKUP($S65,CODES,2,FALSE),"")&amp;IF(N($P65)&gt;0," w/TRANSOM "&amp;$P65&amp;CHAR(34),"")&amp;IF(N($Q65)&gt;0," w/SIDELITE "&amp;$Q65&amp;CHAR(34)&amp;" "&amp;IF($R65="","R",$R65),"")&amp;IF($Y65="","  |  "," | "&amp;IFERROR(VLOOKUP($Y65,CODES,2,FALSE),"")&amp;" | ")&amp;IFERROR(VLOOKUP($AC65,CODES,2,FALSE),"")&amp;" "&amp;IFERROR(VLOOKUP($AD65,CODES,2,FALSE),"")&amp;IF(OR($AE65="",$AE65="-"),""," "&amp;$AE65)&amp;IF(OR($AF65="",$AF65="-"),""," "&amp;$AF65)&amp;IF($AB65="Y"," 4"&amp;CHAR(34)&amp;" HEAD","")&amp;" "&amp;IFERROR(VLOOKUP($H65,CODES,2,FALSE),"")&amp;IF($CT65," | LOC "&amp;$CY65,"")))</f>
        <v/>
      </c>
      <c r="CK65" s="100">
        <f>IF(NOT(AND($A65&lt;&gt;"",N($BJ65)&gt;0)),"",TRIM(IFERROR(VLOOKUP($AH65,CODES,2,FALSE),"")&amp;IF($AI65=""," "," "&amp;$AI65&amp;"GA ")&amp;$BG65&amp;" "&amp;IF($AN65="",IFERROR(VLOOKUP($Z65,CODES,2,FALSE),""),IFERROR(VLOOKUP($AN65,CODES,2,FALSE),""))&amp;IF($BJ65=2," PAIR","")&amp;" DOOR | "&amp;IF($AL65="","?",$AL65)&amp;" | "&amp;IF($AO65="",IFERROR(VLOOKUP($AC65,CODES,2,FALSE),""),IFERROR(VLOOKUP($AO65,CODES,2,FALSE),""))&amp;" "&amp;IFERROR(VLOOKUP($AP65,CODES,2,FALSE),"")&amp;IF(OR($AQ65="",$AQ65="-"),""," SEAM "&amp;$AQ65)&amp;IF($AR65="Y"," ASTRAGAL","")&amp;IF($AJ65=""," "," "&amp;$AJ65)&amp;IF($AK65=""," "," "&amp;$AK65)&amp;IF(OR($AT65="",$AT65="ANSI/SDI",$AT65="CUSTOM LOC"),""," "&amp;$AT65)&amp;IF($AM65=""," "," SERIES "&amp;$AM65)&amp;" "&amp;IFERROR(VLOOKUP($H65,CODES,2,FALSE),"")&amp;IF($CT65," | LOC "&amp;$CZ65,"")))</f>
        <v/>
      </c>
      <c r="CL65" s="99">
        <f>IF(CP65="","",IF(COUNTIF($CP$6:CP65,CP65)=1,MAX($CL$5:CL64)+1,INDEX($CL$5:CL64,MATCH(CP65,$CP$5:CP64,0))))</f>
        <v/>
      </c>
      <c r="CM65" s="99">
        <f>IF(NOT(AND($A65&lt;&gt;"",$C65&lt;&gt;"DOOR ONLY")),"",MAX($CM$5:CM64)+1)</f>
        <v/>
      </c>
      <c r="CN65" s="99">
        <f>IF(NOT(AND($A65&lt;&gt;"",N($BJ65)&gt;0)),"",MAX($CN$5:CN64)+1)</f>
        <v/>
      </c>
      <c r="CO65" s="99">
        <f>IF($A65="","",MAX($CO$5:CO64)+1)</f>
        <v/>
      </c>
      <c r="CP65" s="99">
        <f>IF(OR($A65="",$BH65="",$BI65=""),"",$BG65&amp;"|"&amp;$O65&amp;"|"&amp;$AL65&amp;"|"&amp;$S65&amp;"|"&amp;$P65&amp;"|"&amp;$Q65&amp;$R65&amp;"|"&amp;$C65&amp;"|"&amp;$AB65)</f>
        <v/>
      </c>
      <c r="CQ65" s="99">
        <f>N($BS65)</f>
        <v/>
      </c>
      <c r="CR65" s="99">
        <f>IF(N($AU65)&gt;0,N($AU65),4.5)</f>
        <v/>
      </c>
      <c r="CS65" s="99">
        <f>OR($A65="",$BI65="",$S65="BL",AND($C65="FRAME ONLY",OR($AC65="",$AC65="BLK")))</f>
        <v/>
      </c>
      <c r="CT65" s="99">
        <f>AND(NOT($CS65),OR($AT65="CUSTOM LOC",N($AW65)+N($AX65)+N($AY65)+N($AZ65)+N($BA65)&gt;0))</f>
        <v/>
      </c>
      <c r="CU65" s="99">
        <f>IF($BI65="","",IF($BI65&lt;=80,80,IF($BI65&lt;=84,84,96)))</f>
        <v/>
      </c>
      <c r="CV65" s="99">
        <f>ISNUMBER(MATCH($AT65&amp;"|80",LocKeys,0))</f>
        <v/>
      </c>
      <c r="CW65" s="101">
        <f>IF($CS65,"",IF($CV65,VLOOKUP($AT65&amp;"|"&amp;$CU65,LocTable,4,FALSE),5))</f>
        <v/>
      </c>
      <c r="CX65" s="101">
        <f>IF($CS65,"",IF($CV65,IF(OR($BI65=$CU65,AND($BI65&lt;$CU65,$BI65-IF(N(VLOOKUP($AT65&amp;"|"&amp;$CU65,LocTable,7,FALSE))&gt;0,VLOOKUP($AT65&amp;"|"&amp;$CU65,LocTable,7,FALSE),VLOOKUP($AT65&amp;"|"&amp;$CU65,LocTable,6,FALSE))-$CR65-0.75&gt;=2.125)),IF(N(VLOOKUP($AT65&amp;"|"&amp;$CU65,LocTable,7,FALSE))&gt;0,VLOOKUP($AT65&amp;"|"&amp;$CU65,LocTable,7,FALSE),VLOOKUP($AT65&amp;"|"&amp;$CU65,LocTable,6,FALSE)),$BI65-($CU65-IF(N(VLOOKUP($AT65&amp;"|"&amp;$CU65,LocTable,7,FALSE))&gt;0,VLOOKUP($AT65&amp;"|"&amp;$CU65,LocTable,7,FALSE),VLOOKUP($AT65&amp;"|"&amp;$CU65,LocTable,6,FALSE)))),$BI65-10-$CR65))</f>
        <v/>
      </c>
      <c r="CY65" s="100">
        <f>IF($CS65,"",TRIM(IF(ISNUMBER($BU65),"A "&amp;TRIM(TEXT($BU65,"# ?/??"))&amp;CHAR(34)&amp;"  ","")&amp;IF(ISNUMBER($BV65),"B "&amp;TRIM(TEXT($BV65,"# ?/??"))&amp;CHAR(34)&amp;"  ","")&amp;IF(ISNUMBER($BW65),"C "&amp;TRIM(TEXT($BW65,"# ?/??"))&amp;CHAR(34)&amp;"  ","")&amp;IF(ISNUMBER($BX65),"D "&amp;TRIM(TEXT($BX65,"# ?/??"))&amp;CHAR(34)&amp;"  ","")&amp;IF(ISNUMBER($BY65),"F "&amp;TRIM(TEXT($BY65,"# ?/??"))&amp;CHAR(34)&amp;"  ","")&amp;IF(ISNUMBER($BZ65),"E "&amp;TRIM(TEXT($BZ65,"# ?/??"))&amp;CHAR(34)&amp;"  ","")))</f>
        <v/>
      </c>
      <c r="CZ65" s="100">
        <f>IF(OR($CS65,N($BJ65)=0),"",TRIM(IF(ISNUMBER($BU65),"A "&amp;TRIM(TEXT($BU65-HeadClr,"# ?/??"))&amp;CHAR(34)&amp;"  ","")&amp;IF(ISNUMBER($BV65),"B "&amp;TRIM(TEXT($BV65-HeadClr,"# ?/??"))&amp;CHAR(34)&amp;"  ","")&amp;IF(ISNUMBER($BW65),"C "&amp;TRIM(TEXT($BW65-HeadClr,"# ?/??"))&amp;CHAR(34)&amp;"  ","")&amp;IF(ISNUMBER($BX65),"D "&amp;TRIM(TEXT($BX65-HeadClr,"# ?/??"))&amp;CHAR(34)&amp;"  ","")&amp;IF(ISNUMBER($BY65),"F "&amp;TRIM(TEXT($BY65-HeadClr,"# ?/??"))&amp;CHAR(34)&amp;"  ","")&amp;IF(ISNUMBER($BZ65),"E "&amp;TRIM(TEXT($BZ65-HeadClr,"# ?/??"))&amp;CHAR(34)&amp;"  ","")))</f>
        <v/>
      </c>
      <c r="DA65" s="99">
        <f>IF($A65="","",IF($AN65="",IFERROR(VLOOKUP($Z65,CODES,2,FALSE),""),IFERROR(VLOOKUP($AN65,CODES,2,FALSE),"")))</f>
        <v/>
      </c>
      <c r="DB65" s="99">
        <f>IF($A65="","",IF($O65="Y","PR",IF(OR($Z65="L",$Z65="RR",LEFT($Z65,2)="L-",LEFT($Z65,3)="RR-"),"LH","RH")))</f>
        <v/>
      </c>
      <c r="DC65" s="99">
        <f>IF($A65="","","S.HM"&amp;IF(OR($C65="DOOR ONLY",$X65&lt;&gt;"KD"),"MASONRY","DRYWALL")&amp;IF($C65="DOOR ONLY","",$U65)&amp;IF(AND($C65&lt;&gt;"FRAME ONLY",OR(LEFT($AH65,3)="OAK",LEFT($AH65,3)="BIR",LEFT($AH65,3)="MAP",$AH65="PC",$AH65="MC",$AH65="SCLC",$AH65="P-LAM")),"WD","HM")&amp;"1.75")</f>
        <v/>
      </c>
      <c r="DD65" s="99">
        <f>IF($CJ65="","",IF($O65="Y",$CJ65,SUBSTITUTE($CJ65,$BG65&amp;" "&amp;IFERROR(VLOOKUP($Z65,CODES,2,FALSE),"")&amp;" ",$BG65&amp;" ")))</f>
        <v/>
      </c>
      <c r="DE65" s="99">
        <f>IF($CK65="","",IF($O65="Y",$CK65,SUBSTITUTE($CK65,$BG65&amp;" "&amp;IF($AN65="",IFERROR(VLOOKUP($Z65,CODES,2,FALSE),""),IFERROR(VLOOKUP($AN65,CODES,2,FALSE),""))&amp;" ",$BG65&amp;" ")))</f>
        <v/>
      </c>
      <c r="DF65" s="99">
        <f>IF($CJ65="","",$DC65&amp;"|"&amp;$DD65&amp;"|"&amp;$DB65&amp;"|"&amp;$AT65&amp;"|"&amp;$V65&amp;"|"&amp;$Y65&amp;"|"&amp;$AB65)</f>
        <v/>
      </c>
      <c r="DG65" s="99">
        <f>IF(DF65="","",IF(COUNTIF($DF$6:DF65,DF65)=1,MAX($DG$5:DG64)+1,INDEX($DG$5:DG64,MATCH(DF65,$DF$5:DF64,0))))</f>
        <v/>
      </c>
      <c r="DH65" s="99">
        <f>IF($CK65="","",$DC65&amp;"|"&amp;$DE65&amp;"|"&amp;$AI65&amp;"|"&amp;$BK65&amp;"|"&amp;$BL65)</f>
        <v/>
      </c>
      <c r="DI65" s="99">
        <f>IF(DH65="","",IF(COUNTIF($DH$6:DH65,DH65)=1,MAX($DI$5:DI64)+1,INDEX($DI$5:DI64,MATCH(DH65,$DH$5:DH64,0))))</f>
        <v/>
      </c>
      <c r="DJ65" s="99">
        <f>IF($A65="","",IF($B65="","qty, ","")&amp;IF($C65="","scope, ","")&amp;IF(OR($K65="",$M65=""),"size, ","")&amp;IF(AND($A65&lt;&gt;"",$C65&lt;&gt;"DOOR ONLY"),IF($U65="","jamb depth, ","")&amp;IF($X65="","construction, ","")&amp;IF($Y65="","anchor, ","")&amp;IF($S65="","frame type, ",""),"")&amp;IF(AND(N($BJ65)&gt;0,$Z65=""),"hand, ","")&amp;IF(N($BJ65)&gt;0,IF($AH65="","door material, ","")&amp;IF($AL65="","face type, ","")&amp;IF($AP65="","lock prep, ","")&amp;IF(AND($AO65="",$AC65=""),"hinge prep, ",""),"")&amp;IF(AND($CH65&gt;0,$AH65="FRP"),"FRP cannot carry a label, ","")&amp;IF(AND($O65="Y",OR($Z65="L",$Z65="R",$Z65="LR",$Z65="RR")),"pair marked but hand is single, ","")&amp;IF(AND($O65&lt;&gt;"Y",OR($Z65="PR",AND(LEN($Z65)&gt;1,ISNUMBER(SEARCH("-",$Z65))))),"pair hand on a single door, ","")&amp;IF(AND(ISNUMBER($CI65),$CH65&lt;N($CI65)),"wall needs a "&amp;$CI65&amp;" min door, ","")&amp;IF(AND($CH65&gt;=180,AND(OR($CE65="FG",$CE65="HG",$CE65="FNV",$CE65="FV"),N($CF65)*N($CG65)&gt;100)),"180 min lite over 100 sq in, ","")&amp;IF(N($BK65)&gt;48,"leaf wider than 4'-0"&amp;CHAR(34)&amp;", ","")&amp;IF(AND($CT65,COUNT($AW65:$AZ65)=0,$CQ65&gt;0),"CUSTOM LOC with no locations typed, ",""))</f>
        <v/>
      </c>
      <c r="DK65" s="99">
        <f>IF($A65="","",IF(AND($CH65&gt;0,AND($A65&lt;&gt;"",$C65&lt;&gt;"DOOR ONLY"),$X65="KD",$E65="EXTERIOR"),"KD label on an exterior opening, ","")&amp;IF(AND($E65="EXTERIOR",OR(AND(AND($A65&lt;&gt;"",$C65&lt;&gt;"DOOR ONLY"),$W65="CR"),AND(N($BJ65)&gt;0,$AH65="CR"))),"exterior in CR steel (G9?), ","")&amp;IF(AND(ISNUMBER($BQ65),N($BQ65)&lt;32),"clear width ~"&amp;TEXT($BQ65,"0.0")&amp;CHAR(34)&amp;" under 32"&amp;CHAR(34)&amp;" (ADA), ","")&amp;IF(AND($CH65=90,AND(OR($CE65="FG",$CE65="HG",$CE65="FNV",$CE65="FV"),N($CF65)*N($CG65)&gt;100)),"90 min lite over 100 sq in (stair/exit), ","")&amp;IF(AND($CH65&gt;0,AND($A65&lt;&gt;"",$C65&lt;&gt;"DOOR ONLY"),OR($AF65="",$AF65="-")),"rated: closer reinf.?, ","")&amp;IF(OR($I65="CORRIDOR",$I65="SMOKE BARRIER"),"S label + smoke gasketing, ","")&amp;IF($CI65="?","wall type/hr not in IBC table, ","")&amp;IF(AND(N($BJ65)&gt;0,$BB65=""),"no hardware set, ","")&amp;IF(AND($BB65&lt;&gt;"",ISNA(MATCH($BB65&amp;"",HWSets,0))),"set "&amp;$BB65&amp;" not on HW Sets, ","")&amp;IF(N($BL65)&gt;96,"leaf over 8'-0"&amp;CHAR(34)&amp;" - check listing, ","")&amp;IF(AND($CT65,COUNT($AW65:$AZ65)&gt;0,COUNT($AW65:$AZ65)&lt;&gt;$CQ65),COUNT($AW65:$AZ65)&amp;" custom hinges typed, "&amp;$CQ65&amp;" expected, ","")&amp;IF(AND(ISNUMBER($CA65),OR(N($CA65)&lt;34,N($CA65)&gt;48)),"lock "&amp;TEXT($CA65,"0.0")&amp;CHAR(34)&amp;" AFF outside 34-48"&amp;CHAR(34)&amp;" (ADA), ","")&amp;IF(AND(ISNUMBER($AV65),ISNUMBER($BL65),N($AV65)&lt;IF(N($BL65)&lt;=60,2,IF(N($BL65)&lt;=90,3,IF(N($BL65)&lt;=120,4,5)))),"fewer hinges than standard, ",""))</f>
        <v/>
      </c>
    </row>
    <row r="66" ht="15" customHeight="1">
      <c r="A66" s="77" t="n"/>
      <c r="B66" s="78" t="n"/>
      <c r="C66" s="78" t="n"/>
      <c r="D66" s="78" t="n"/>
      <c r="E66" s="78" t="n"/>
      <c r="F66" s="78" t="n"/>
      <c r="G66" s="78" t="n"/>
      <c r="H66" s="78" t="n"/>
      <c r="I66" s="78" t="n"/>
      <c r="J66" s="78" t="n"/>
      <c r="K66" s="78" t="n"/>
      <c r="L66" s="78" t="n"/>
      <c r="M66" s="78" t="n"/>
      <c r="N66" s="78" t="n"/>
      <c r="O66" s="78" t="n"/>
      <c r="P66" s="78" t="n"/>
      <c r="Q66" s="78" t="n"/>
      <c r="R66" s="78" t="n"/>
      <c r="S66" s="79" t="n"/>
      <c r="T66" s="79" t="n"/>
      <c r="U66" s="79" t="n"/>
      <c r="V66" s="79" t="n"/>
      <c r="W66" s="79" t="n"/>
      <c r="X66" s="79" t="n"/>
      <c r="Y66" s="79" t="n"/>
      <c r="Z66" s="79" t="n"/>
      <c r="AA66" s="79" t="n"/>
      <c r="AB66" s="79" t="n"/>
      <c r="AC66" s="79" t="n"/>
      <c r="AD66" s="79" t="n"/>
      <c r="AE66" s="79" t="n"/>
      <c r="AF66" s="79" t="n"/>
      <c r="AG66" s="79" t="n"/>
      <c r="AH66" s="80" t="n"/>
      <c r="AI66" s="80" t="n"/>
      <c r="AJ66" s="80" t="n"/>
      <c r="AK66" s="80" t="n"/>
      <c r="AL66" s="80" t="n"/>
      <c r="AM66" s="80" t="n"/>
      <c r="AN66" s="80" t="n"/>
      <c r="AO66" s="80" t="n"/>
      <c r="AP66" s="80" t="n"/>
      <c r="AQ66" s="80" t="n"/>
      <c r="AR66" s="80" t="n"/>
      <c r="AS66" s="80" t="n"/>
      <c r="AT66" s="81" t="n"/>
      <c r="AU66" s="81" t="n"/>
      <c r="AV66" s="81" t="n"/>
      <c r="AW66" s="82" t="n"/>
      <c r="AX66" s="82" t="n"/>
      <c r="AY66" s="82" t="n"/>
      <c r="AZ66" s="82" t="n"/>
      <c r="BA66" s="82" t="n"/>
      <c r="BB66" s="83" t="n"/>
      <c r="BC66" s="83" t="n"/>
      <c r="BD66" s="84">
        <f>IF($A66="","",IF($DJ66&lt;&gt;"","FIX",IF($DK66&lt;&gt;"","CHECK","OK")))</f>
        <v/>
      </c>
      <c r="BE66" s="85">
        <f>IF($A66="","",IF($DJ66&lt;&gt;"","FIX: "&amp;LEFT($DJ66,LEN($DJ66)-2)&amp;IF($DK66&lt;&gt;"","  ·  ",""),"")&amp;IF($DK66&lt;&gt;"","CHECK: "&amp;LEFT($DK66,LEN($DK66)-2),""))</f>
        <v/>
      </c>
      <c r="BF66" s="84">
        <f>IF(OR($A66="",$K66=""),"",$K66&amp;"'-"&amp;N($L66)&amp;CHAR(34)&amp;" x "&amp;$M66&amp;"'-"&amp;N($N66)&amp;CHAR(34))</f>
        <v/>
      </c>
      <c r="BG66" s="84">
        <f>IF(OR($A66="",$K66=""),"",$K66&amp;N($L66)&amp;$M66&amp;N($N66))</f>
        <v/>
      </c>
      <c r="BH66" s="84">
        <f>IF(OR($A66="",$K66=""),"",$K66*12+N($L66))</f>
        <v/>
      </c>
      <c r="BI66" s="84">
        <f>IF(OR($A66="",$M66=""),"",$M66*12+N($N66))</f>
        <v/>
      </c>
      <c r="BJ66" s="84">
        <f>IF($A66="","",IF(OR($C66="FRAME ONLY",$S66="BL"),0,IF($O66="Y",2,1)))</f>
        <v/>
      </c>
      <c r="BK66" s="86">
        <f>IF(OR(N($BJ66)=0,$BH66=""),"",($BH66-2*EdgeClr-IF($BJ66=2,MeetClr,0))/$BJ66)</f>
        <v/>
      </c>
      <c r="BL66" s="86">
        <f>IF(OR(N($BJ66)=0,$BI66=""),"",$BI66-HeadClr-Undercut)</f>
        <v/>
      </c>
      <c r="BM66" s="86">
        <f>IF($BH66="","",$BH66+2*FaceW+IF(N($Q66)&gt;0,($Q66+FaceW)*IF($R66="LR",2,1),0))</f>
        <v/>
      </c>
      <c r="BN66" s="86">
        <f>IF($BI66="","",$BI66+IF($AB66="Y",4,FaceW)+IF(N($P66)&gt;0,$P66+FaceW,0)+IF(OR($S66="4F",$S66="BL"),FaceW,0))</f>
        <v/>
      </c>
      <c r="BO66" s="86">
        <f>IF($BM66="","",$BM66+2*ROSide)</f>
        <v/>
      </c>
      <c r="BP66" s="86">
        <f>IF($BN66="","",$BN66+ROTop)</f>
        <v/>
      </c>
      <c r="BQ66" s="87">
        <f>IF(OR(N($BJ66)=0,$BH66=""),"",$BH66/$BJ66-ClearDeduct)</f>
        <v/>
      </c>
      <c r="BR66" s="84">
        <f>IF(N($CH66)=0,"",IF($CH66&gt;=180,"A · 3 HR",IF($CH66&gt;=90,"B · 1-1/2 HR",IF($CH66&gt;=60,"B · 1 HR",IF($CH66&gt;=45,"C · 3/4 HR","20 MIN")))))&amp;IF(AND(N($CH66)&gt;0,OR($I66="CORRIDOR",$I66="SMOKE BARRIER"))," · S","")</f>
        <v/>
      </c>
      <c r="BS66" s="84">
        <f>IF($CS66,"",IF($AV66&lt;&gt;"",$AV66,IF(OR($AC66="HGC",$AO66="HGC"),"CONT",IF(($BI66-HeadClr-Undercut)&lt;=60,2,IF(($BI66-HeadClr-Undercut)&lt;=90,3,IF(($BI66-HeadClr-Undercut)&lt;=120,4,5))))))</f>
        <v/>
      </c>
      <c r="BT66" s="84">
        <f>IF($CS66,"",IF($CT66,"CUSTOM (typed)",IF($CV66,$AT66&amp;" "&amp;$CU66&amp;CHAR(34)&amp;IF($CU66&lt;&gt;$BI66,IF(AND($BI66&lt;$CU66,$BI66-IF(N(VLOOKUP($AT66&amp;"|"&amp;$CU66,LocTable,7,FALSE))&gt;0,VLOOKUP($AT66&amp;"|"&amp;$CU66,LocTable,7,FALSE),VLOOKUP($AT66&amp;"|"&amp;$CU66,LocTable,6,FALSE))-$CR66-0.75&gt;=2.125)," cut down"," adj."),""),"ANSI/SDI A250.6")))</f>
        <v/>
      </c>
      <c r="BU66" s="88">
        <f>IF($CS66,"",IF($CT66,IF(N($AW66)&gt;0,N($AW66),""),IF(1&gt;$CQ66,"",IF($CQ66=1,$CW66,$CW66+($CX66-$CW66)*0/($CQ66-1)))))</f>
        <v/>
      </c>
      <c r="BV66" s="88">
        <f>IF($CS66,"",IF($CT66,IF(N($AX66)&gt;0,N($AX66),""),IF(2&gt;$CQ66,"",IF($CQ66=1,$CW66,$CW66+($CX66-$CW66)*1/($CQ66-1)))))</f>
        <v/>
      </c>
      <c r="BW66" s="88">
        <f>IF($CS66,"",IF($CT66,IF(N($AY66)&gt;0,N($AY66),""),IF(3&gt;$CQ66,"",IF($CQ66=1,$CW66,$CW66+($CX66-$CW66)*2/($CQ66-1)))))</f>
        <v/>
      </c>
      <c r="BX66" s="88">
        <f>IF($CS66,"",IF($CT66,IF(N($AZ66)&gt;0,N($AZ66),""),IF(4&gt;$CQ66,"",IF($CQ66=1,$CW66,$CW66+($CX66-$CW66)*3/($CQ66-1)))))</f>
        <v/>
      </c>
      <c r="BY66" s="88">
        <f>IF($CS66,"",IF($CT66,"",IF(5&gt;$CQ66,"",IF($CQ66=1,$CW66,$CW66+($CX66-$CW66)*4/($CQ66-1)))))</f>
        <v/>
      </c>
      <c r="BZ66" s="88">
        <f>IF(OR($CS66,$AP66="-",AND($AP66="",$AD66="")),"",IF(N($BA66)&gt;0,N($BA66),IF($CV66,IF(AND($BI66&lt;$CU66,$BI66-IF(N(VLOOKUP($AT66&amp;"|"&amp;$CU66,LocTable,7,FALSE))&gt;0,VLOOKUP($AT66&amp;"|"&amp;$CU66,LocTable,7,FALSE),VLOOKUP($AT66&amp;"|"&amp;$CU66,LocTable,6,FALSE))-$CR66-0.75&gt;=2.125),VLOOKUP($AT66&amp;"|"&amp;$CU66,LocTable,8,FALSE),VLOOKUP($AT66&amp;"|"&amp;$CU66,LocTable,8,FALSE)+($BI66-$CU66)),$BI66-LockAFF)))</f>
        <v/>
      </c>
      <c r="CA66" s="89">
        <f>IF($BZ66="","",$BI66-$BZ66)</f>
        <v/>
      </c>
      <c r="CB66" s="84">
        <f>IF(OR(NOT(AND($A66&lt;&gt;"",$C66&lt;&gt;"DOOR ONLY")),$BI66=""),"",IF(($BI66+IF(N($P66)&gt;0,$P66+FaceW,0))&lt;=90,3,IF(($BI66+IF(N($P66)&gt;0,$P66+FaceW,0))&lt;=114,4,5)))</f>
        <v/>
      </c>
      <c r="CC66" s="84">
        <f>IF($CB66="","",$CB66*(2+IF(N($Q66)&gt;0,IF($R66="LR",2,1),0)))</f>
        <v/>
      </c>
      <c r="CD66" s="84">
        <f>IF($CB66="","",(2+IF(N($Q66)&gt;0,IF($R66="LR",2,1),0)))</f>
        <v/>
      </c>
      <c r="CE66" s="84">
        <f>IF(N($BJ66)=0,"",IF(OR($AL66="",$AL66="FLUSH"),"FLUSH",IFERROR(LEFT($AL66,FIND("-",$AL66)-1),LEFT($AL66,2))))</f>
        <v/>
      </c>
      <c r="CF66" s="84">
        <f>IF($CE66="","",IFERROR(VALUE(MID($AL66,FIND("-",$AL66)+1,FIND(CHAR(34)&amp;"x",$AL66)-FIND("-",$AL66)-1)),0))</f>
        <v/>
      </c>
      <c r="CG66" s="84">
        <f>IF($CE66="","",IFERROR(VALUE(MID($AL66,FIND(CHAR(34)&amp;"x",$AL66)+2,FIND(CHAR(34),$AL66,FIND(CHAR(34)&amp;"x",$AL66)+2)-FIND(CHAR(34)&amp;"x",$AL66)-2)),0))</f>
        <v/>
      </c>
      <c r="CH66" s="90">
        <f>IF(OR($A66="",$H66="",$H66="NO LAB"),0,IFERROR(VALUE(LEFT($H66,FIND(" ",$H66)-1)),0))</f>
        <v/>
      </c>
      <c r="CI66" s="91">
        <f>IF(OR($A66="",$I66="",$I66="NON-RATED",N($J66)=0),"",IFERROR(VLOOKUP($I66&amp;"|"&amp;$J66,IBC,2,FALSE),"?"))</f>
        <v/>
      </c>
      <c r="CJ66" s="85">
        <f>IF(NOT(AND($A66&lt;&gt;"",$C66&lt;&gt;"DOOR ONLY")),"",TRIM(IFERROR(VLOOKUP($U66,CODES,2,FALSE),"")&amp;" "&amp;$BG66&amp;" "&amp;IFERROR(VLOOKUP($Z66,CODES,2,FALSE),"")&amp;" "&amp;IFERROR(VLOOKUP($X66,CODES,2,FALSE),"")&amp;" "&amp;IFERROR(VLOOKUP($S66,CODES,2,FALSE),"")&amp;IF(N($P66)&gt;0," w/TRANSOM "&amp;$P66&amp;CHAR(34),"")&amp;IF(N($Q66)&gt;0," w/SIDELITE "&amp;$Q66&amp;CHAR(34)&amp;" "&amp;IF($R66="","R",$R66),"")&amp;IF($Y66="","  |  "," | "&amp;IFERROR(VLOOKUP($Y66,CODES,2,FALSE),"")&amp;" | ")&amp;IFERROR(VLOOKUP($AC66,CODES,2,FALSE),"")&amp;" "&amp;IFERROR(VLOOKUP($AD66,CODES,2,FALSE),"")&amp;IF(OR($AE66="",$AE66="-"),""," "&amp;$AE66)&amp;IF(OR($AF66="",$AF66="-"),""," "&amp;$AF66)&amp;IF($AB66="Y"," 4"&amp;CHAR(34)&amp;" HEAD","")&amp;" "&amp;IFERROR(VLOOKUP($H66,CODES,2,FALSE),"")&amp;IF($CT66," | LOC "&amp;$CY66,"")))</f>
        <v/>
      </c>
      <c r="CK66" s="85">
        <f>IF(NOT(AND($A66&lt;&gt;"",N($BJ66)&gt;0)),"",TRIM(IFERROR(VLOOKUP($AH66,CODES,2,FALSE),"")&amp;IF($AI66=""," "," "&amp;$AI66&amp;"GA ")&amp;$BG66&amp;" "&amp;IF($AN66="",IFERROR(VLOOKUP($Z66,CODES,2,FALSE),""),IFERROR(VLOOKUP($AN66,CODES,2,FALSE),""))&amp;IF($BJ66=2," PAIR","")&amp;" DOOR | "&amp;IF($AL66="","?",$AL66)&amp;" | "&amp;IF($AO66="",IFERROR(VLOOKUP($AC66,CODES,2,FALSE),""),IFERROR(VLOOKUP($AO66,CODES,2,FALSE),""))&amp;" "&amp;IFERROR(VLOOKUP($AP66,CODES,2,FALSE),"")&amp;IF(OR($AQ66="",$AQ66="-"),""," SEAM "&amp;$AQ66)&amp;IF($AR66="Y"," ASTRAGAL","")&amp;IF($AJ66=""," "," "&amp;$AJ66)&amp;IF($AK66=""," "," "&amp;$AK66)&amp;IF(OR($AT66="",$AT66="ANSI/SDI",$AT66="CUSTOM LOC"),""," "&amp;$AT66)&amp;IF($AM66=""," "," SERIES "&amp;$AM66)&amp;" "&amp;IFERROR(VLOOKUP($H66,CODES,2,FALSE),"")&amp;IF($CT66," | LOC "&amp;$CZ66,"")))</f>
        <v/>
      </c>
      <c r="CL66" s="84">
        <f>IF(CP66="","",IF(COUNTIF($CP$6:CP66,CP66)=1,MAX($CL$5:CL65)+1,INDEX($CL$5:CL65,MATCH(CP66,$CP$5:CP65,0))))</f>
        <v/>
      </c>
      <c r="CM66" s="84">
        <f>IF(NOT(AND($A66&lt;&gt;"",$C66&lt;&gt;"DOOR ONLY")),"",MAX($CM$5:CM65)+1)</f>
        <v/>
      </c>
      <c r="CN66" s="84">
        <f>IF(NOT(AND($A66&lt;&gt;"",N($BJ66)&gt;0)),"",MAX($CN$5:CN65)+1)</f>
        <v/>
      </c>
      <c r="CO66" s="84">
        <f>IF($A66="","",MAX($CO$5:CO65)+1)</f>
        <v/>
      </c>
      <c r="CP66" s="84">
        <f>IF(OR($A66="",$BH66="",$BI66=""),"",$BG66&amp;"|"&amp;$O66&amp;"|"&amp;$AL66&amp;"|"&amp;$S66&amp;"|"&amp;$P66&amp;"|"&amp;$Q66&amp;$R66&amp;"|"&amp;$C66&amp;"|"&amp;$AB66)</f>
        <v/>
      </c>
      <c r="CQ66" s="84">
        <f>N($BS66)</f>
        <v/>
      </c>
      <c r="CR66" s="84">
        <f>IF(N($AU66)&gt;0,N($AU66),4.5)</f>
        <v/>
      </c>
      <c r="CS66" s="84">
        <f>OR($A66="",$BI66="",$S66="BL",AND($C66="FRAME ONLY",OR($AC66="",$AC66="BLK")))</f>
        <v/>
      </c>
      <c r="CT66" s="84">
        <f>AND(NOT($CS66),OR($AT66="CUSTOM LOC",N($AW66)+N($AX66)+N($AY66)+N($AZ66)+N($BA66)&gt;0))</f>
        <v/>
      </c>
      <c r="CU66" s="84">
        <f>IF($BI66="","",IF($BI66&lt;=80,80,IF($BI66&lt;=84,84,96)))</f>
        <v/>
      </c>
      <c r="CV66" s="84">
        <f>ISNUMBER(MATCH($AT66&amp;"|80",LocKeys,0))</f>
        <v/>
      </c>
      <c r="CW66" s="86">
        <f>IF($CS66,"",IF($CV66,VLOOKUP($AT66&amp;"|"&amp;$CU66,LocTable,4,FALSE),5))</f>
        <v/>
      </c>
      <c r="CX66" s="86">
        <f>IF($CS66,"",IF($CV66,IF(OR($BI66=$CU66,AND($BI66&lt;$CU66,$BI66-IF(N(VLOOKUP($AT66&amp;"|"&amp;$CU66,LocTable,7,FALSE))&gt;0,VLOOKUP($AT66&amp;"|"&amp;$CU66,LocTable,7,FALSE),VLOOKUP($AT66&amp;"|"&amp;$CU66,LocTable,6,FALSE))-$CR66-0.75&gt;=2.125)),IF(N(VLOOKUP($AT66&amp;"|"&amp;$CU66,LocTable,7,FALSE))&gt;0,VLOOKUP($AT66&amp;"|"&amp;$CU66,LocTable,7,FALSE),VLOOKUP($AT66&amp;"|"&amp;$CU66,LocTable,6,FALSE)),$BI66-($CU66-IF(N(VLOOKUP($AT66&amp;"|"&amp;$CU66,LocTable,7,FALSE))&gt;0,VLOOKUP($AT66&amp;"|"&amp;$CU66,LocTable,7,FALSE),VLOOKUP($AT66&amp;"|"&amp;$CU66,LocTable,6,FALSE)))),$BI66-10-$CR66))</f>
        <v/>
      </c>
      <c r="CY66" s="85">
        <f>IF($CS66,"",TRIM(IF(ISNUMBER($BU66),"A "&amp;TRIM(TEXT($BU66,"# ?/??"))&amp;CHAR(34)&amp;"  ","")&amp;IF(ISNUMBER($BV66),"B "&amp;TRIM(TEXT($BV66,"# ?/??"))&amp;CHAR(34)&amp;"  ","")&amp;IF(ISNUMBER($BW66),"C "&amp;TRIM(TEXT($BW66,"# ?/??"))&amp;CHAR(34)&amp;"  ","")&amp;IF(ISNUMBER($BX66),"D "&amp;TRIM(TEXT($BX66,"# ?/??"))&amp;CHAR(34)&amp;"  ","")&amp;IF(ISNUMBER($BY66),"F "&amp;TRIM(TEXT($BY66,"# ?/??"))&amp;CHAR(34)&amp;"  ","")&amp;IF(ISNUMBER($BZ66),"E "&amp;TRIM(TEXT($BZ66,"# ?/??"))&amp;CHAR(34)&amp;"  ","")))</f>
        <v/>
      </c>
      <c r="CZ66" s="85">
        <f>IF(OR($CS66,N($BJ66)=0),"",TRIM(IF(ISNUMBER($BU66),"A "&amp;TRIM(TEXT($BU66-HeadClr,"# ?/??"))&amp;CHAR(34)&amp;"  ","")&amp;IF(ISNUMBER($BV66),"B "&amp;TRIM(TEXT($BV66-HeadClr,"# ?/??"))&amp;CHAR(34)&amp;"  ","")&amp;IF(ISNUMBER($BW66),"C "&amp;TRIM(TEXT($BW66-HeadClr,"# ?/??"))&amp;CHAR(34)&amp;"  ","")&amp;IF(ISNUMBER($BX66),"D "&amp;TRIM(TEXT($BX66-HeadClr,"# ?/??"))&amp;CHAR(34)&amp;"  ","")&amp;IF(ISNUMBER($BY66),"F "&amp;TRIM(TEXT($BY66-HeadClr,"# ?/??"))&amp;CHAR(34)&amp;"  ","")&amp;IF(ISNUMBER($BZ66),"E "&amp;TRIM(TEXT($BZ66-HeadClr,"# ?/??"))&amp;CHAR(34)&amp;"  ","")))</f>
        <v/>
      </c>
      <c r="DA66" s="84">
        <f>IF($A66="","",IF($AN66="",IFERROR(VLOOKUP($Z66,CODES,2,FALSE),""),IFERROR(VLOOKUP($AN66,CODES,2,FALSE),"")))</f>
        <v/>
      </c>
      <c r="DB66" s="84">
        <f>IF($A66="","",IF($O66="Y","PR",IF(OR($Z66="L",$Z66="RR",LEFT($Z66,2)="L-",LEFT($Z66,3)="RR-"),"LH","RH")))</f>
        <v/>
      </c>
      <c r="DC66" s="84">
        <f>IF($A66="","","S.HM"&amp;IF(OR($C66="DOOR ONLY",$X66&lt;&gt;"KD"),"MASONRY","DRYWALL")&amp;IF($C66="DOOR ONLY","",$U66)&amp;IF(AND($C66&lt;&gt;"FRAME ONLY",OR(LEFT($AH66,3)="OAK",LEFT($AH66,3)="BIR",LEFT($AH66,3)="MAP",$AH66="PC",$AH66="MC",$AH66="SCLC",$AH66="P-LAM")),"WD","HM")&amp;"1.75")</f>
        <v/>
      </c>
      <c r="DD66" s="84">
        <f>IF($CJ66="","",IF($O66="Y",$CJ66,SUBSTITUTE($CJ66,$BG66&amp;" "&amp;IFERROR(VLOOKUP($Z66,CODES,2,FALSE),"")&amp;" ",$BG66&amp;" ")))</f>
        <v/>
      </c>
      <c r="DE66" s="84">
        <f>IF($CK66="","",IF($O66="Y",$CK66,SUBSTITUTE($CK66,$BG66&amp;" "&amp;IF($AN66="",IFERROR(VLOOKUP($Z66,CODES,2,FALSE),""),IFERROR(VLOOKUP($AN66,CODES,2,FALSE),""))&amp;" ",$BG66&amp;" ")))</f>
        <v/>
      </c>
      <c r="DF66" s="84">
        <f>IF($CJ66="","",$DC66&amp;"|"&amp;$DD66&amp;"|"&amp;$DB66&amp;"|"&amp;$AT66&amp;"|"&amp;$V66&amp;"|"&amp;$Y66&amp;"|"&amp;$AB66)</f>
        <v/>
      </c>
      <c r="DG66" s="84">
        <f>IF(DF66="","",IF(COUNTIF($DF$6:DF66,DF66)=1,MAX($DG$5:DG65)+1,INDEX($DG$5:DG65,MATCH(DF66,$DF$5:DF65,0))))</f>
        <v/>
      </c>
      <c r="DH66" s="84">
        <f>IF($CK66="","",$DC66&amp;"|"&amp;$DE66&amp;"|"&amp;$AI66&amp;"|"&amp;$BK66&amp;"|"&amp;$BL66)</f>
        <v/>
      </c>
      <c r="DI66" s="84">
        <f>IF(DH66="","",IF(COUNTIF($DH$6:DH66,DH66)=1,MAX($DI$5:DI65)+1,INDEX($DI$5:DI65,MATCH(DH66,$DH$5:DH65,0))))</f>
        <v/>
      </c>
      <c r="DJ66" s="84">
        <f>IF($A66="","",IF($B66="","qty, ","")&amp;IF($C66="","scope, ","")&amp;IF(OR($K66="",$M66=""),"size, ","")&amp;IF(AND($A66&lt;&gt;"",$C66&lt;&gt;"DOOR ONLY"),IF($U66="","jamb depth, ","")&amp;IF($X66="","construction, ","")&amp;IF($Y66="","anchor, ","")&amp;IF($S66="","frame type, ",""),"")&amp;IF(AND(N($BJ66)&gt;0,$Z66=""),"hand, ","")&amp;IF(N($BJ66)&gt;0,IF($AH66="","door material, ","")&amp;IF($AL66="","face type, ","")&amp;IF($AP66="","lock prep, ","")&amp;IF(AND($AO66="",$AC66=""),"hinge prep, ",""),"")&amp;IF(AND($CH66&gt;0,$AH66="FRP"),"FRP cannot carry a label, ","")&amp;IF(AND($O66="Y",OR($Z66="L",$Z66="R",$Z66="LR",$Z66="RR")),"pair marked but hand is single, ","")&amp;IF(AND($O66&lt;&gt;"Y",OR($Z66="PR",AND(LEN($Z66)&gt;1,ISNUMBER(SEARCH("-",$Z66))))),"pair hand on a single door, ","")&amp;IF(AND(ISNUMBER($CI66),$CH66&lt;N($CI66)),"wall needs a "&amp;$CI66&amp;" min door, ","")&amp;IF(AND($CH66&gt;=180,AND(OR($CE66="FG",$CE66="HG",$CE66="FNV",$CE66="FV"),N($CF66)*N($CG66)&gt;100)),"180 min lite over 100 sq in, ","")&amp;IF(N($BK66)&gt;48,"leaf wider than 4'-0"&amp;CHAR(34)&amp;", ","")&amp;IF(AND($CT66,COUNT($AW66:$AZ66)=0,$CQ66&gt;0),"CUSTOM LOC with no locations typed, ",""))</f>
        <v/>
      </c>
      <c r="DK66" s="84">
        <f>IF($A66="","",IF(AND($CH66&gt;0,AND($A66&lt;&gt;"",$C66&lt;&gt;"DOOR ONLY"),$X66="KD",$E66="EXTERIOR"),"KD label on an exterior opening, ","")&amp;IF(AND($E66="EXTERIOR",OR(AND(AND($A66&lt;&gt;"",$C66&lt;&gt;"DOOR ONLY"),$W66="CR"),AND(N($BJ66)&gt;0,$AH66="CR"))),"exterior in CR steel (G9?), ","")&amp;IF(AND(ISNUMBER($BQ66),N($BQ66)&lt;32),"clear width ~"&amp;TEXT($BQ66,"0.0")&amp;CHAR(34)&amp;" under 32"&amp;CHAR(34)&amp;" (ADA), ","")&amp;IF(AND($CH66=90,AND(OR($CE66="FG",$CE66="HG",$CE66="FNV",$CE66="FV"),N($CF66)*N($CG66)&gt;100)),"90 min lite over 100 sq in (stair/exit), ","")&amp;IF(AND($CH66&gt;0,AND($A66&lt;&gt;"",$C66&lt;&gt;"DOOR ONLY"),OR($AF66="",$AF66="-")),"rated: closer reinf.?, ","")&amp;IF(OR($I66="CORRIDOR",$I66="SMOKE BARRIER"),"S label + smoke gasketing, ","")&amp;IF($CI66="?","wall type/hr not in IBC table, ","")&amp;IF(AND(N($BJ66)&gt;0,$BB66=""),"no hardware set, ","")&amp;IF(AND($BB66&lt;&gt;"",ISNA(MATCH($BB66&amp;"",HWSets,0))),"set "&amp;$BB66&amp;" not on HW Sets, ","")&amp;IF(N($BL66)&gt;96,"leaf over 8'-0"&amp;CHAR(34)&amp;" - check listing, ","")&amp;IF(AND($CT66,COUNT($AW66:$AZ66)&gt;0,COUNT($AW66:$AZ66)&lt;&gt;$CQ66),COUNT($AW66:$AZ66)&amp;" custom hinges typed, "&amp;$CQ66&amp;" expected, ","")&amp;IF(AND(ISNUMBER($CA66),OR(N($CA66)&lt;34,N($CA66)&gt;48)),"lock "&amp;TEXT($CA66,"0.0")&amp;CHAR(34)&amp;" AFF outside 34-48"&amp;CHAR(34)&amp;" (ADA), ","")&amp;IF(AND(ISNUMBER($AV66),ISNUMBER($BL66),N($AV66)&lt;IF(N($BL66)&lt;=60,2,IF(N($BL66)&lt;=90,3,IF(N($BL66)&lt;=120,4,5)))),"fewer hinges than standard, ",""))</f>
        <v/>
      </c>
    </row>
    <row r="67" ht="15" customHeight="1">
      <c r="A67" s="77" t="n"/>
      <c r="B67" s="78" t="n"/>
      <c r="C67" s="78" t="n"/>
      <c r="D67" s="78" t="n"/>
      <c r="E67" s="78" t="n"/>
      <c r="F67" s="78" t="n"/>
      <c r="G67" s="78" t="n"/>
      <c r="H67" s="78" t="n"/>
      <c r="I67" s="78" t="n"/>
      <c r="J67" s="78" t="n"/>
      <c r="K67" s="78" t="n"/>
      <c r="L67" s="78" t="n"/>
      <c r="M67" s="78" t="n"/>
      <c r="N67" s="78" t="n"/>
      <c r="O67" s="78" t="n"/>
      <c r="P67" s="78" t="n"/>
      <c r="Q67" s="78" t="n"/>
      <c r="R67" s="78" t="n"/>
      <c r="S67" s="79" t="n"/>
      <c r="T67" s="79" t="n"/>
      <c r="U67" s="79" t="n"/>
      <c r="V67" s="79" t="n"/>
      <c r="W67" s="79" t="n"/>
      <c r="X67" s="79" t="n"/>
      <c r="Y67" s="79" t="n"/>
      <c r="Z67" s="79" t="n"/>
      <c r="AA67" s="79" t="n"/>
      <c r="AB67" s="79" t="n"/>
      <c r="AC67" s="79" t="n"/>
      <c r="AD67" s="79" t="n"/>
      <c r="AE67" s="79" t="n"/>
      <c r="AF67" s="79" t="n"/>
      <c r="AG67" s="79" t="n"/>
      <c r="AH67" s="80" t="n"/>
      <c r="AI67" s="80" t="n"/>
      <c r="AJ67" s="80" t="n"/>
      <c r="AK67" s="80" t="n"/>
      <c r="AL67" s="80" t="n"/>
      <c r="AM67" s="80" t="n"/>
      <c r="AN67" s="80" t="n"/>
      <c r="AO67" s="80" t="n"/>
      <c r="AP67" s="80" t="n"/>
      <c r="AQ67" s="80" t="n"/>
      <c r="AR67" s="80" t="n"/>
      <c r="AS67" s="80" t="n"/>
      <c r="AT67" s="81" t="n"/>
      <c r="AU67" s="81" t="n"/>
      <c r="AV67" s="81" t="n"/>
      <c r="AW67" s="82" t="n"/>
      <c r="AX67" s="82" t="n"/>
      <c r="AY67" s="82" t="n"/>
      <c r="AZ67" s="82" t="n"/>
      <c r="BA67" s="82" t="n"/>
      <c r="BB67" s="83" t="n"/>
      <c r="BC67" s="83" t="n"/>
      <c r="BD67" s="84">
        <f>IF($A67="","",IF($DJ67&lt;&gt;"","FIX",IF($DK67&lt;&gt;"","CHECK","OK")))</f>
        <v/>
      </c>
      <c r="BE67" s="85">
        <f>IF($A67="","",IF($DJ67&lt;&gt;"","FIX: "&amp;LEFT($DJ67,LEN($DJ67)-2)&amp;IF($DK67&lt;&gt;"","  ·  ",""),"")&amp;IF($DK67&lt;&gt;"","CHECK: "&amp;LEFT($DK67,LEN($DK67)-2),""))</f>
        <v/>
      </c>
      <c r="BF67" s="84">
        <f>IF(OR($A67="",$K67=""),"",$K67&amp;"'-"&amp;N($L67)&amp;CHAR(34)&amp;" x "&amp;$M67&amp;"'-"&amp;N($N67)&amp;CHAR(34))</f>
        <v/>
      </c>
      <c r="BG67" s="84">
        <f>IF(OR($A67="",$K67=""),"",$K67&amp;N($L67)&amp;$M67&amp;N($N67))</f>
        <v/>
      </c>
      <c r="BH67" s="84">
        <f>IF(OR($A67="",$K67=""),"",$K67*12+N($L67))</f>
        <v/>
      </c>
      <c r="BI67" s="84">
        <f>IF(OR($A67="",$M67=""),"",$M67*12+N($N67))</f>
        <v/>
      </c>
      <c r="BJ67" s="84">
        <f>IF($A67="","",IF(OR($C67="FRAME ONLY",$S67="BL"),0,IF($O67="Y",2,1)))</f>
        <v/>
      </c>
      <c r="BK67" s="86">
        <f>IF(OR(N($BJ67)=0,$BH67=""),"",($BH67-2*EdgeClr-IF($BJ67=2,MeetClr,0))/$BJ67)</f>
        <v/>
      </c>
      <c r="BL67" s="86">
        <f>IF(OR(N($BJ67)=0,$BI67=""),"",$BI67-HeadClr-Undercut)</f>
        <v/>
      </c>
      <c r="BM67" s="86">
        <f>IF($BH67="","",$BH67+2*FaceW+IF(N($Q67)&gt;0,($Q67+FaceW)*IF($R67="LR",2,1),0))</f>
        <v/>
      </c>
      <c r="BN67" s="86">
        <f>IF($BI67="","",$BI67+IF($AB67="Y",4,FaceW)+IF(N($P67)&gt;0,$P67+FaceW,0)+IF(OR($S67="4F",$S67="BL"),FaceW,0))</f>
        <v/>
      </c>
      <c r="BO67" s="86">
        <f>IF($BM67="","",$BM67+2*ROSide)</f>
        <v/>
      </c>
      <c r="BP67" s="86">
        <f>IF($BN67="","",$BN67+ROTop)</f>
        <v/>
      </c>
      <c r="BQ67" s="87">
        <f>IF(OR(N($BJ67)=0,$BH67=""),"",$BH67/$BJ67-ClearDeduct)</f>
        <v/>
      </c>
      <c r="BR67" s="84">
        <f>IF(N($CH67)=0,"",IF($CH67&gt;=180,"A · 3 HR",IF($CH67&gt;=90,"B · 1-1/2 HR",IF($CH67&gt;=60,"B · 1 HR",IF($CH67&gt;=45,"C · 3/4 HR","20 MIN")))))&amp;IF(AND(N($CH67)&gt;0,OR($I67="CORRIDOR",$I67="SMOKE BARRIER"))," · S","")</f>
        <v/>
      </c>
      <c r="BS67" s="84">
        <f>IF($CS67,"",IF($AV67&lt;&gt;"",$AV67,IF(OR($AC67="HGC",$AO67="HGC"),"CONT",IF(($BI67-HeadClr-Undercut)&lt;=60,2,IF(($BI67-HeadClr-Undercut)&lt;=90,3,IF(($BI67-HeadClr-Undercut)&lt;=120,4,5))))))</f>
        <v/>
      </c>
      <c r="BT67" s="84">
        <f>IF($CS67,"",IF($CT67,"CUSTOM (typed)",IF($CV67,$AT67&amp;" "&amp;$CU67&amp;CHAR(34)&amp;IF($CU67&lt;&gt;$BI67,IF(AND($BI67&lt;$CU67,$BI67-IF(N(VLOOKUP($AT67&amp;"|"&amp;$CU67,LocTable,7,FALSE))&gt;0,VLOOKUP($AT67&amp;"|"&amp;$CU67,LocTable,7,FALSE),VLOOKUP($AT67&amp;"|"&amp;$CU67,LocTable,6,FALSE))-$CR67-0.75&gt;=2.125)," cut down"," adj."),""),"ANSI/SDI A250.6")))</f>
        <v/>
      </c>
      <c r="BU67" s="88">
        <f>IF($CS67,"",IF($CT67,IF(N($AW67)&gt;0,N($AW67),""),IF(1&gt;$CQ67,"",IF($CQ67=1,$CW67,$CW67+($CX67-$CW67)*0/($CQ67-1)))))</f>
        <v/>
      </c>
      <c r="BV67" s="88">
        <f>IF($CS67,"",IF($CT67,IF(N($AX67)&gt;0,N($AX67),""),IF(2&gt;$CQ67,"",IF($CQ67=1,$CW67,$CW67+($CX67-$CW67)*1/($CQ67-1)))))</f>
        <v/>
      </c>
      <c r="BW67" s="88">
        <f>IF($CS67,"",IF($CT67,IF(N($AY67)&gt;0,N($AY67),""),IF(3&gt;$CQ67,"",IF($CQ67=1,$CW67,$CW67+($CX67-$CW67)*2/($CQ67-1)))))</f>
        <v/>
      </c>
      <c r="BX67" s="88">
        <f>IF($CS67,"",IF($CT67,IF(N($AZ67)&gt;0,N($AZ67),""),IF(4&gt;$CQ67,"",IF($CQ67=1,$CW67,$CW67+($CX67-$CW67)*3/($CQ67-1)))))</f>
        <v/>
      </c>
      <c r="BY67" s="88">
        <f>IF($CS67,"",IF($CT67,"",IF(5&gt;$CQ67,"",IF($CQ67=1,$CW67,$CW67+($CX67-$CW67)*4/($CQ67-1)))))</f>
        <v/>
      </c>
      <c r="BZ67" s="88">
        <f>IF(OR($CS67,$AP67="-",AND($AP67="",$AD67="")),"",IF(N($BA67)&gt;0,N($BA67),IF($CV67,IF(AND($BI67&lt;$CU67,$BI67-IF(N(VLOOKUP($AT67&amp;"|"&amp;$CU67,LocTable,7,FALSE))&gt;0,VLOOKUP($AT67&amp;"|"&amp;$CU67,LocTable,7,FALSE),VLOOKUP($AT67&amp;"|"&amp;$CU67,LocTable,6,FALSE))-$CR67-0.75&gt;=2.125),VLOOKUP($AT67&amp;"|"&amp;$CU67,LocTable,8,FALSE),VLOOKUP($AT67&amp;"|"&amp;$CU67,LocTable,8,FALSE)+($BI67-$CU67)),$BI67-LockAFF)))</f>
        <v/>
      </c>
      <c r="CA67" s="89">
        <f>IF($BZ67="","",$BI67-$BZ67)</f>
        <v/>
      </c>
      <c r="CB67" s="84">
        <f>IF(OR(NOT(AND($A67&lt;&gt;"",$C67&lt;&gt;"DOOR ONLY")),$BI67=""),"",IF(($BI67+IF(N($P67)&gt;0,$P67+FaceW,0))&lt;=90,3,IF(($BI67+IF(N($P67)&gt;0,$P67+FaceW,0))&lt;=114,4,5)))</f>
        <v/>
      </c>
      <c r="CC67" s="84">
        <f>IF($CB67="","",$CB67*(2+IF(N($Q67)&gt;0,IF($R67="LR",2,1),0)))</f>
        <v/>
      </c>
      <c r="CD67" s="84">
        <f>IF($CB67="","",(2+IF(N($Q67)&gt;0,IF($R67="LR",2,1),0)))</f>
        <v/>
      </c>
      <c r="CE67" s="84">
        <f>IF(N($BJ67)=0,"",IF(OR($AL67="",$AL67="FLUSH"),"FLUSH",IFERROR(LEFT($AL67,FIND("-",$AL67)-1),LEFT($AL67,2))))</f>
        <v/>
      </c>
      <c r="CF67" s="84">
        <f>IF($CE67="","",IFERROR(VALUE(MID($AL67,FIND("-",$AL67)+1,FIND(CHAR(34)&amp;"x",$AL67)-FIND("-",$AL67)-1)),0))</f>
        <v/>
      </c>
      <c r="CG67" s="84">
        <f>IF($CE67="","",IFERROR(VALUE(MID($AL67,FIND(CHAR(34)&amp;"x",$AL67)+2,FIND(CHAR(34),$AL67,FIND(CHAR(34)&amp;"x",$AL67)+2)-FIND(CHAR(34)&amp;"x",$AL67)-2)),0))</f>
        <v/>
      </c>
      <c r="CH67" s="90">
        <f>IF(OR($A67="",$H67="",$H67="NO LAB"),0,IFERROR(VALUE(LEFT($H67,FIND(" ",$H67)-1)),0))</f>
        <v/>
      </c>
      <c r="CI67" s="91">
        <f>IF(OR($A67="",$I67="",$I67="NON-RATED",N($J67)=0),"",IFERROR(VLOOKUP($I67&amp;"|"&amp;$J67,IBC,2,FALSE),"?"))</f>
        <v/>
      </c>
      <c r="CJ67" s="85">
        <f>IF(NOT(AND($A67&lt;&gt;"",$C67&lt;&gt;"DOOR ONLY")),"",TRIM(IFERROR(VLOOKUP($U67,CODES,2,FALSE),"")&amp;" "&amp;$BG67&amp;" "&amp;IFERROR(VLOOKUP($Z67,CODES,2,FALSE),"")&amp;" "&amp;IFERROR(VLOOKUP($X67,CODES,2,FALSE),"")&amp;" "&amp;IFERROR(VLOOKUP($S67,CODES,2,FALSE),"")&amp;IF(N($P67)&gt;0," w/TRANSOM "&amp;$P67&amp;CHAR(34),"")&amp;IF(N($Q67)&gt;0," w/SIDELITE "&amp;$Q67&amp;CHAR(34)&amp;" "&amp;IF($R67="","R",$R67),"")&amp;IF($Y67="","  |  "," | "&amp;IFERROR(VLOOKUP($Y67,CODES,2,FALSE),"")&amp;" | ")&amp;IFERROR(VLOOKUP($AC67,CODES,2,FALSE),"")&amp;" "&amp;IFERROR(VLOOKUP($AD67,CODES,2,FALSE),"")&amp;IF(OR($AE67="",$AE67="-"),""," "&amp;$AE67)&amp;IF(OR($AF67="",$AF67="-"),""," "&amp;$AF67)&amp;IF($AB67="Y"," 4"&amp;CHAR(34)&amp;" HEAD","")&amp;" "&amp;IFERROR(VLOOKUP($H67,CODES,2,FALSE),"")&amp;IF($CT67," | LOC "&amp;$CY67,"")))</f>
        <v/>
      </c>
      <c r="CK67" s="85">
        <f>IF(NOT(AND($A67&lt;&gt;"",N($BJ67)&gt;0)),"",TRIM(IFERROR(VLOOKUP($AH67,CODES,2,FALSE),"")&amp;IF($AI67=""," "," "&amp;$AI67&amp;"GA ")&amp;$BG67&amp;" "&amp;IF($AN67="",IFERROR(VLOOKUP($Z67,CODES,2,FALSE),""),IFERROR(VLOOKUP($AN67,CODES,2,FALSE),""))&amp;IF($BJ67=2," PAIR","")&amp;" DOOR | "&amp;IF($AL67="","?",$AL67)&amp;" | "&amp;IF($AO67="",IFERROR(VLOOKUP($AC67,CODES,2,FALSE),""),IFERROR(VLOOKUP($AO67,CODES,2,FALSE),""))&amp;" "&amp;IFERROR(VLOOKUP($AP67,CODES,2,FALSE),"")&amp;IF(OR($AQ67="",$AQ67="-"),""," SEAM "&amp;$AQ67)&amp;IF($AR67="Y"," ASTRAGAL","")&amp;IF($AJ67=""," "," "&amp;$AJ67)&amp;IF($AK67=""," "," "&amp;$AK67)&amp;IF(OR($AT67="",$AT67="ANSI/SDI",$AT67="CUSTOM LOC"),""," "&amp;$AT67)&amp;IF($AM67=""," "," SERIES "&amp;$AM67)&amp;" "&amp;IFERROR(VLOOKUP($H67,CODES,2,FALSE),"")&amp;IF($CT67," | LOC "&amp;$CZ67,"")))</f>
        <v/>
      </c>
      <c r="CL67" s="84">
        <f>IF(CP67="","",IF(COUNTIF($CP$6:CP67,CP67)=1,MAX($CL$5:CL66)+1,INDEX($CL$5:CL66,MATCH(CP67,$CP$5:CP66,0))))</f>
        <v/>
      </c>
      <c r="CM67" s="84">
        <f>IF(NOT(AND($A67&lt;&gt;"",$C67&lt;&gt;"DOOR ONLY")),"",MAX($CM$5:CM66)+1)</f>
        <v/>
      </c>
      <c r="CN67" s="84">
        <f>IF(NOT(AND($A67&lt;&gt;"",N($BJ67)&gt;0)),"",MAX($CN$5:CN66)+1)</f>
        <v/>
      </c>
      <c r="CO67" s="84">
        <f>IF($A67="","",MAX($CO$5:CO66)+1)</f>
        <v/>
      </c>
      <c r="CP67" s="84">
        <f>IF(OR($A67="",$BH67="",$BI67=""),"",$BG67&amp;"|"&amp;$O67&amp;"|"&amp;$AL67&amp;"|"&amp;$S67&amp;"|"&amp;$P67&amp;"|"&amp;$Q67&amp;$R67&amp;"|"&amp;$C67&amp;"|"&amp;$AB67)</f>
        <v/>
      </c>
      <c r="CQ67" s="84">
        <f>N($BS67)</f>
        <v/>
      </c>
      <c r="CR67" s="84">
        <f>IF(N($AU67)&gt;0,N($AU67),4.5)</f>
        <v/>
      </c>
      <c r="CS67" s="84">
        <f>OR($A67="",$BI67="",$S67="BL",AND($C67="FRAME ONLY",OR($AC67="",$AC67="BLK")))</f>
        <v/>
      </c>
      <c r="CT67" s="84">
        <f>AND(NOT($CS67),OR($AT67="CUSTOM LOC",N($AW67)+N($AX67)+N($AY67)+N($AZ67)+N($BA67)&gt;0))</f>
        <v/>
      </c>
      <c r="CU67" s="84">
        <f>IF($BI67="","",IF($BI67&lt;=80,80,IF($BI67&lt;=84,84,96)))</f>
        <v/>
      </c>
      <c r="CV67" s="84">
        <f>ISNUMBER(MATCH($AT67&amp;"|80",LocKeys,0))</f>
        <v/>
      </c>
      <c r="CW67" s="86">
        <f>IF($CS67,"",IF($CV67,VLOOKUP($AT67&amp;"|"&amp;$CU67,LocTable,4,FALSE),5))</f>
        <v/>
      </c>
      <c r="CX67" s="86">
        <f>IF($CS67,"",IF($CV67,IF(OR($BI67=$CU67,AND($BI67&lt;$CU67,$BI67-IF(N(VLOOKUP($AT67&amp;"|"&amp;$CU67,LocTable,7,FALSE))&gt;0,VLOOKUP($AT67&amp;"|"&amp;$CU67,LocTable,7,FALSE),VLOOKUP($AT67&amp;"|"&amp;$CU67,LocTable,6,FALSE))-$CR67-0.75&gt;=2.125)),IF(N(VLOOKUP($AT67&amp;"|"&amp;$CU67,LocTable,7,FALSE))&gt;0,VLOOKUP($AT67&amp;"|"&amp;$CU67,LocTable,7,FALSE),VLOOKUP($AT67&amp;"|"&amp;$CU67,LocTable,6,FALSE)),$BI67-($CU67-IF(N(VLOOKUP($AT67&amp;"|"&amp;$CU67,LocTable,7,FALSE))&gt;0,VLOOKUP($AT67&amp;"|"&amp;$CU67,LocTable,7,FALSE),VLOOKUP($AT67&amp;"|"&amp;$CU67,LocTable,6,FALSE)))),$BI67-10-$CR67))</f>
        <v/>
      </c>
      <c r="CY67" s="85">
        <f>IF($CS67,"",TRIM(IF(ISNUMBER($BU67),"A "&amp;TRIM(TEXT($BU67,"# ?/??"))&amp;CHAR(34)&amp;"  ","")&amp;IF(ISNUMBER($BV67),"B "&amp;TRIM(TEXT($BV67,"# ?/??"))&amp;CHAR(34)&amp;"  ","")&amp;IF(ISNUMBER($BW67),"C "&amp;TRIM(TEXT($BW67,"# ?/??"))&amp;CHAR(34)&amp;"  ","")&amp;IF(ISNUMBER($BX67),"D "&amp;TRIM(TEXT($BX67,"# ?/??"))&amp;CHAR(34)&amp;"  ","")&amp;IF(ISNUMBER($BY67),"F "&amp;TRIM(TEXT($BY67,"# ?/??"))&amp;CHAR(34)&amp;"  ","")&amp;IF(ISNUMBER($BZ67),"E "&amp;TRIM(TEXT($BZ67,"# ?/??"))&amp;CHAR(34)&amp;"  ","")))</f>
        <v/>
      </c>
      <c r="CZ67" s="85">
        <f>IF(OR($CS67,N($BJ67)=0),"",TRIM(IF(ISNUMBER($BU67),"A "&amp;TRIM(TEXT($BU67-HeadClr,"# ?/??"))&amp;CHAR(34)&amp;"  ","")&amp;IF(ISNUMBER($BV67),"B "&amp;TRIM(TEXT($BV67-HeadClr,"# ?/??"))&amp;CHAR(34)&amp;"  ","")&amp;IF(ISNUMBER($BW67),"C "&amp;TRIM(TEXT($BW67-HeadClr,"# ?/??"))&amp;CHAR(34)&amp;"  ","")&amp;IF(ISNUMBER($BX67),"D "&amp;TRIM(TEXT($BX67-HeadClr,"# ?/??"))&amp;CHAR(34)&amp;"  ","")&amp;IF(ISNUMBER($BY67),"F "&amp;TRIM(TEXT($BY67-HeadClr,"# ?/??"))&amp;CHAR(34)&amp;"  ","")&amp;IF(ISNUMBER($BZ67),"E "&amp;TRIM(TEXT($BZ67-HeadClr,"# ?/??"))&amp;CHAR(34)&amp;"  ","")))</f>
        <v/>
      </c>
      <c r="DA67" s="84">
        <f>IF($A67="","",IF($AN67="",IFERROR(VLOOKUP($Z67,CODES,2,FALSE),""),IFERROR(VLOOKUP($AN67,CODES,2,FALSE),"")))</f>
        <v/>
      </c>
      <c r="DB67" s="84">
        <f>IF($A67="","",IF($O67="Y","PR",IF(OR($Z67="L",$Z67="RR",LEFT($Z67,2)="L-",LEFT($Z67,3)="RR-"),"LH","RH")))</f>
        <v/>
      </c>
      <c r="DC67" s="84">
        <f>IF($A67="","","S.HM"&amp;IF(OR($C67="DOOR ONLY",$X67&lt;&gt;"KD"),"MASONRY","DRYWALL")&amp;IF($C67="DOOR ONLY","",$U67)&amp;IF(AND($C67&lt;&gt;"FRAME ONLY",OR(LEFT($AH67,3)="OAK",LEFT($AH67,3)="BIR",LEFT($AH67,3)="MAP",$AH67="PC",$AH67="MC",$AH67="SCLC",$AH67="P-LAM")),"WD","HM")&amp;"1.75")</f>
        <v/>
      </c>
      <c r="DD67" s="84">
        <f>IF($CJ67="","",IF($O67="Y",$CJ67,SUBSTITUTE($CJ67,$BG67&amp;" "&amp;IFERROR(VLOOKUP($Z67,CODES,2,FALSE),"")&amp;" ",$BG67&amp;" ")))</f>
        <v/>
      </c>
      <c r="DE67" s="84">
        <f>IF($CK67="","",IF($O67="Y",$CK67,SUBSTITUTE($CK67,$BG67&amp;" "&amp;IF($AN67="",IFERROR(VLOOKUP($Z67,CODES,2,FALSE),""),IFERROR(VLOOKUP($AN67,CODES,2,FALSE),""))&amp;" ",$BG67&amp;" ")))</f>
        <v/>
      </c>
      <c r="DF67" s="84">
        <f>IF($CJ67="","",$DC67&amp;"|"&amp;$DD67&amp;"|"&amp;$DB67&amp;"|"&amp;$AT67&amp;"|"&amp;$V67&amp;"|"&amp;$Y67&amp;"|"&amp;$AB67)</f>
        <v/>
      </c>
      <c r="DG67" s="84">
        <f>IF(DF67="","",IF(COUNTIF($DF$6:DF67,DF67)=1,MAX($DG$5:DG66)+1,INDEX($DG$5:DG66,MATCH(DF67,$DF$5:DF66,0))))</f>
        <v/>
      </c>
      <c r="DH67" s="84">
        <f>IF($CK67="","",$DC67&amp;"|"&amp;$DE67&amp;"|"&amp;$AI67&amp;"|"&amp;$BK67&amp;"|"&amp;$BL67)</f>
        <v/>
      </c>
      <c r="DI67" s="84">
        <f>IF(DH67="","",IF(COUNTIF($DH$6:DH67,DH67)=1,MAX($DI$5:DI66)+1,INDEX($DI$5:DI66,MATCH(DH67,$DH$5:DH66,0))))</f>
        <v/>
      </c>
      <c r="DJ67" s="84">
        <f>IF($A67="","",IF($B67="","qty, ","")&amp;IF($C67="","scope, ","")&amp;IF(OR($K67="",$M67=""),"size, ","")&amp;IF(AND($A67&lt;&gt;"",$C67&lt;&gt;"DOOR ONLY"),IF($U67="","jamb depth, ","")&amp;IF($X67="","construction, ","")&amp;IF($Y67="","anchor, ","")&amp;IF($S67="","frame type, ",""),"")&amp;IF(AND(N($BJ67)&gt;0,$Z67=""),"hand, ","")&amp;IF(N($BJ67)&gt;0,IF($AH67="","door material, ","")&amp;IF($AL67="","face type, ","")&amp;IF($AP67="","lock prep, ","")&amp;IF(AND($AO67="",$AC67=""),"hinge prep, ",""),"")&amp;IF(AND($CH67&gt;0,$AH67="FRP"),"FRP cannot carry a label, ","")&amp;IF(AND($O67="Y",OR($Z67="L",$Z67="R",$Z67="LR",$Z67="RR")),"pair marked but hand is single, ","")&amp;IF(AND($O67&lt;&gt;"Y",OR($Z67="PR",AND(LEN($Z67)&gt;1,ISNUMBER(SEARCH("-",$Z67))))),"pair hand on a single door, ","")&amp;IF(AND(ISNUMBER($CI67),$CH67&lt;N($CI67)),"wall needs a "&amp;$CI67&amp;" min door, ","")&amp;IF(AND($CH67&gt;=180,AND(OR($CE67="FG",$CE67="HG",$CE67="FNV",$CE67="FV"),N($CF67)*N($CG67)&gt;100)),"180 min lite over 100 sq in, ","")&amp;IF(N($BK67)&gt;48,"leaf wider than 4'-0"&amp;CHAR(34)&amp;", ","")&amp;IF(AND($CT67,COUNT($AW67:$AZ67)=0,$CQ67&gt;0),"CUSTOM LOC with no locations typed, ",""))</f>
        <v/>
      </c>
      <c r="DK67" s="84">
        <f>IF($A67="","",IF(AND($CH67&gt;0,AND($A67&lt;&gt;"",$C67&lt;&gt;"DOOR ONLY"),$X67="KD",$E67="EXTERIOR"),"KD label on an exterior opening, ","")&amp;IF(AND($E67="EXTERIOR",OR(AND(AND($A67&lt;&gt;"",$C67&lt;&gt;"DOOR ONLY"),$W67="CR"),AND(N($BJ67)&gt;0,$AH67="CR"))),"exterior in CR steel (G9?), ","")&amp;IF(AND(ISNUMBER($BQ67),N($BQ67)&lt;32),"clear width ~"&amp;TEXT($BQ67,"0.0")&amp;CHAR(34)&amp;" under 32"&amp;CHAR(34)&amp;" (ADA), ","")&amp;IF(AND($CH67=90,AND(OR($CE67="FG",$CE67="HG",$CE67="FNV",$CE67="FV"),N($CF67)*N($CG67)&gt;100)),"90 min lite over 100 sq in (stair/exit), ","")&amp;IF(AND($CH67&gt;0,AND($A67&lt;&gt;"",$C67&lt;&gt;"DOOR ONLY"),OR($AF67="",$AF67="-")),"rated: closer reinf.?, ","")&amp;IF(OR($I67="CORRIDOR",$I67="SMOKE BARRIER"),"S label + smoke gasketing, ","")&amp;IF($CI67="?","wall type/hr not in IBC table, ","")&amp;IF(AND(N($BJ67)&gt;0,$BB67=""),"no hardware set, ","")&amp;IF(AND($BB67&lt;&gt;"",ISNA(MATCH($BB67&amp;"",HWSets,0))),"set "&amp;$BB67&amp;" not on HW Sets, ","")&amp;IF(N($BL67)&gt;96,"leaf over 8'-0"&amp;CHAR(34)&amp;" - check listing, ","")&amp;IF(AND($CT67,COUNT($AW67:$AZ67)&gt;0,COUNT($AW67:$AZ67)&lt;&gt;$CQ67),COUNT($AW67:$AZ67)&amp;" custom hinges typed, "&amp;$CQ67&amp;" expected, ","")&amp;IF(AND(ISNUMBER($CA67),OR(N($CA67)&lt;34,N($CA67)&gt;48)),"lock "&amp;TEXT($CA67,"0.0")&amp;CHAR(34)&amp;" AFF outside 34-48"&amp;CHAR(34)&amp;" (ADA), ","")&amp;IF(AND(ISNUMBER($AV67),ISNUMBER($BL67),N($AV67)&lt;IF(N($BL67)&lt;=60,2,IF(N($BL67)&lt;=90,3,IF(N($BL67)&lt;=120,4,5)))),"fewer hinges than standard, ",""))</f>
        <v/>
      </c>
    </row>
    <row r="68" ht="15" customHeight="1">
      <c r="A68" s="77" t="n"/>
      <c r="B68" s="78" t="n"/>
      <c r="C68" s="78" t="n"/>
      <c r="D68" s="78" t="n"/>
      <c r="E68" s="78" t="n"/>
      <c r="F68" s="78" t="n"/>
      <c r="G68" s="78" t="n"/>
      <c r="H68" s="78" t="n"/>
      <c r="I68" s="78" t="n"/>
      <c r="J68" s="78" t="n"/>
      <c r="K68" s="78" t="n"/>
      <c r="L68" s="78" t="n"/>
      <c r="M68" s="78" t="n"/>
      <c r="N68" s="78" t="n"/>
      <c r="O68" s="78" t="n"/>
      <c r="P68" s="78" t="n"/>
      <c r="Q68" s="78" t="n"/>
      <c r="R68" s="78" t="n"/>
      <c r="S68" s="79" t="n"/>
      <c r="T68" s="79" t="n"/>
      <c r="U68" s="79" t="n"/>
      <c r="V68" s="79" t="n"/>
      <c r="W68" s="79" t="n"/>
      <c r="X68" s="79" t="n"/>
      <c r="Y68" s="79" t="n"/>
      <c r="Z68" s="79" t="n"/>
      <c r="AA68" s="79" t="n"/>
      <c r="AB68" s="79" t="n"/>
      <c r="AC68" s="79" t="n"/>
      <c r="AD68" s="79" t="n"/>
      <c r="AE68" s="79" t="n"/>
      <c r="AF68" s="79" t="n"/>
      <c r="AG68" s="79" t="n"/>
      <c r="AH68" s="80" t="n"/>
      <c r="AI68" s="80" t="n"/>
      <c r="AJ68" s="80" t="n"/>
      <c r="AK68" s="80" t="n"/>
      <c r="AL68" s="80" t="n"/>
      <c r="AM68" s="80" t="n"/>
      <c r="AN68" s="80" t="n"/>
      <c r="AO68" s="80" t="n"/>
      <c r="AP68" s="80" t="n"/>
      <c r="AQ68" s="80" t="n"/>
      <c r="AR68" s="80" t="n"/>
      <c r="AS68" s="80" t="n"/>
      <c r="AT68" s="81" t="n"/>
      <c r="AU68" s="81" t="n"/>
      <c r="AV68" s="81" t="n"/>
      <c r="AW68" s="82" t="n"/>
      <c r="AX68" s="82" t="n"/>
      <c r="AY68" s="82" t="n"/>
      <c r="AZ68" s="82" t="n"/>
      <c r="BA68" s="82" t="n"/>
      <c r="BB68" s="83" t="n"/>
      <c r="BC68" s="83" t="n"/>
      <c r="BD68" s="84">
        <f>IF($A68="","",IF($DJ68&lt;&gt;"","FIX",IF($DK68&lt;&gt;"","CHECK","OK")))</f>
        <v/>
      </c>
      <c r="BE68" s="85">
        <f>IF($A68="","",IF($DJ68&lt;&gt;"","FIX: "&amp;LEFT($DJ68,LEN($DJ68)-2)&amp;IF($DK68&lt;&gt;"","  ·  ",""),"")&amp;IF($DK68&lt;&gt;"","CHECK: "&amp;LEFT($DK68,LEN($DK68)-2),""))</f>
        <v/>
      </c>
      <c r="BF68" s="84">
        <f>IF(OR($A68="",$K68=""),"",$K68&amp;"'-"&amp;N($L68)&amp;CHAR(34)&amp;" x "&amp;$M68&amp;"'-"&amp;N($N68)&amp;CHAR(34))</f>
        <v/>
      </c>
      <c r="BG68" s="84">
        <f>IF(OR($A68="",$K68=""),"",$K68&amp;N($L68)&amp;$M68&amp;N($N68))</f>
        <v/>
      </c>
      <c r="BH68" s="84">
        <f>IF(OR($A68="",$K68=""),"",$K68*12+N($L68))</f>
        <v/>
      </c>
      <c r="BI68" s="84">
        <f>IF(OR($A68="",$M68=""),"",$M68*12+N($N68))</f>
        <v/>
      </c>
      <c r="BJ68" s="84">
        <f>IF($A68="","",IF(OR($C68="FRAME ONLY",$S68="BL"),0,IF($O68="Y",2,1)))</f>
        <v/>
      </c>
      <c r="BK68" s="86">
        <f>IF(OR(N($BJ68)=0,$BH68=""),"",($BH68-2*EdgeClr-IF($BJ68=2,MeetClr,0))/$BJ68)</f>
        <v/>
      </c>
      <c r="BL68" s="86">
        <f>IF(OR(N($BJ68)=0,$BI68=""),"",$BI68-HeadClr-Undercut)</f>
        <v/>
      </c>
      <c r="BM68" s="86">
        <f>IF($BH68="","",$BH68+2*FaceW+IF(N($Q68)&gt;0,($Q68+FaceW)*IF($R68="LR",2,1),0))</f>
        <v/>
      </c>
      <c r="BN68" s="86">
        <f>IF($BI68="","",$BI68+IF($AB68="Y",4,FaceW)+IF(N($P68)&gt;0,$P68+FaceW,0)+IF(OR($S68="4F",$S68="BL"),FaceW,0))</f>
        <v/>
      </c>
      <c r="BO68" s="86">
        <f>IF($BM68="","",$BM68+2*ROSide)</f>
        <v/>
      </c>
      <c r="BP68" s="86">
        <f>IF($BN68="","",$BN68+ROTop)</f>
        <v/>
      </c>
      <c r="BQ68" s="87">
        <f>IF(OR(N($BJ68)=0,$BH68=""),"",$BH68/$BJ68-ClearDeduct)</f>
        <v/>
      </c>
      <c r="BR68" s="84">
        <f>IF(N($CH68)=0,"",IF($CH68&gt;=180,"A · 3 HR",IF($CH68&gt;=90,"B · 1-1/2 HR",IF($CH68&gt;=60,"B · 1 HR",IF($CH68&gt;=45,"C · 3/4 HR","20 MIN")))))&amp;IF(AND(N($CH68)&gt;0,OR($I68="CORRIDOR",$I68="SMOKE BARRIER"))," · S","")</f>
        <v/>
      </c>
      <c r="BS68" s="84">
        <f>IF($CS68,"",IF($AV68&lt;&gt;"",$AV68,IF(OR($AC68="HGC",$AO68="HGC"),"CONT",IF(($BI68-HeadClr-Undercut)&lt;=60,2,IF(($BI68-HeadClr-Undercut)&lt;=90,3,IF(($BI68-HeadClr-Undercut)&lt;=120,4,5))))))</f>
        <v/>
      </c>
      <c r="BT68" s="84">
        <f>IF($CS68,"",IF($CT68,"CUSTOM (typed)",IF($CV68,$AT68&amp;" "&amp;$CU68&amp;CHAR(34)&amp;IF($CU68&lt;&gt;$BI68,IF(AND($BI68&lt;$CU68,$BI68-IF(N(VLOOKUP($AT68&amp;"|"&amp;$CU68,LocTable,7,FALSE))&gt;0,VLOOKUP($AT68&amp;"|"&amp;$CU68,LocTable,7,FALSE),VLOOKUP($AT68&amp;"|"&amp;$CU68,LocTable,6,FALSE))-$CR68-0.75&gt;=2.125)," cut down"," adj."),""),"ANSI/SDI A250.6")))</f>
        <v/>
      </c>
      <c r="BU68" s="88">
        <f>IF($CS68,"",IF($CT68,IF(N($AW68)&gt;0,N($AW68),""),IF(1&gt;$CQ68,"",IF($CQ68=1,$CW68,$CW68+($CX68-$CW68)*0/($CQ68-1)))))</f>
        <v/>
      </c>
      <c r="BV68" s="88">
        <f>IF($CS68,"",IF($CT68,IF(N($AX68)&gt;0,N($AX68),""),IF(2&gt;$CQ68,"",IF($CQ68=1,$CW68,$CW68+($CX68-$CW68)*1/($CQ68-1)))))</f>
        <v/>
      </c>
      <c r="BW68" s="88">
        <f>IF($CS68,"",IF($CT68,IF(N($AY68)&gt;0,N($AY68),""),IF(3&gt;$CQ68,"",IF($CQ68=1,$CW68,$CW68+($CX68-$CW68)*2/($CQ68-1)))))</f>
        <v/>
      </c>
      <c r="BX68" s="88">
        <f>IF($CS68,"",IF($CT68,IF(N($AZ68)&gt;0,N($AZ68),""),IF(4&gt;$CQ68,"",IF($CQ68=1,$CW68,$CW68+($CX68-$CW68)*3/($CQ68-1)))))</f>
        <v/>
      </c>
      <c r="BY68" s="88">
        <f>IF($CS68,"",IF($CT68,"",IF(5&gt;$CQ68,"",IF($CQ68=1,$CW68,$CW68+($CX68-$CW68)*4/($CQ68-1)))))</f>
        <v/>
      </c>
      <c r="BZ68" s="88">
        <f>IF(OR($CS68,$AP68="-",AND($AP68="",$AD68="")),"",IF(N($BA68)&gt;0,N($BA68),IF($CV68,IF(AND($BI68&lt;$CU68,$BI68-IF(N(VLOOKUP($AT68&amp;"|"&amp;$CU68,LocTable,7,FALSE))&gt;0,VLOOKUP($AT68&amp;"|"&amp;$CU68,LocTable,7,FALSE),VLOOKUP($AT68&amp;"|"&amp;$CU68,LocTable,6,FALSE))-$CR68-0.75&gt;=2.125),VLOOKUP($AT68&amp;"|"&amp;$CU68,LocTable,8,FALSE),VLOOKUP($AT68&amp;"|"&amp;$CU68,LocTable,8,FALSE)+($BI68-$CU68)),$BI68-LockAFF)))</f>
        <v/>
      </c>
      <c r="CA68" s="89">
        <f>IF($BZ68="","",$BI68-$BZ68)</f>
        <v/>
      </c>
      <c r="CB68" s="84">
        <f>IF(OR(NOT(AND($A68&lt;&gt;"",$C68&lt;&gt;"DOOR ONLY")),$BI68=""),"",IF(($BI68+IF(N($P68)&gt;0,$P68+FaceW,0))&lt;=90,3,IF(($BI68+IF(N($P68)&gt;0,$P68+FaceW,0))&lt;=114,4,5)))</f>
        <v/>
      </c>
      <c r="CC68" s="84">
        <f>IF($CB68="","",$CB68*(2+IF(N($Q68)&gt;0,IF($R68="LR",2,1),0)))</f>
        <v/>
      </c>
      <c r="CD68" s="84">
        <f>IF($CB68="","",(2+IF(N($Q68)&gt;0,IF($R68="LR",2,1),0)))</f>
        <v/>
      </c>
      <c r="CE68" s="84">
        <f>IF(N($BJ68)=0,"",IF(OR($AL68="",$AL68="FLUSH"),"FLUSH",IFERROR(LEFT($AL68,FIND("-",$AL68)-1),LEFT($AL68,2))))</f>
        <v/>
      </c>
      <c r="CF68" s="84">
        <f>IF($CE68="","",IFERROR(VALUE(MID($AL68,FIND("-",$AL68)+1,FIND(CHAR(34)&amp;"x",$AL68)-FIND("-",$AL68)-1)),0))</f>
        <v/>
      </c>
      <c r="CG68" s="84">
        <f>IF($CE68="","",IFERROR(VALUE(MID($AL68,FIND(CHAR(34)&amp;"x",$AL68)+2,FIND(CHAR(34),$AL68,FIND(CHAR(34)&amp;"x",$AL68)+2)-FIND(CHAR(34)&amp;"x",$AL68)-2)),0))</f>
        <v/>
      </c>
      <c r="CH68" s="90">
        <f>IF(OR($A68="",$H68="",$H68="NO LAB"),0,IFERROR(VALUE(LEFT($H68,FIND(" ",$H68)-1)),0))</f>
        <v/>
      </c>
      <c r="CI68" s="91">
        <f>IF(OR($A68="",$I68="",$I68="NON-RATED",N($J68)=0),"",IFERROR(VLOOKUP($I68&amp;"|"&amp;$J68,IBC,2,FALSE),"?"))</f>
        <v/>
      </c>
      <c r="CJ68" s="85">
        <f>IF(NOT(AND($A68&lt;&gt;"",$C68&lt;&gt;"DOOR ONLY")),"",TRIM(IFERROR(VLOOKUP($U68,CODES,2,FALSE),"")&amp;" "&amp;$BG68&amp;" "&amp;IFERROR(VLOOKUP($Z68,CODES,2,FALSE),"")&amp;" "&amp;IFERROR(VLOOKUP($X68,CODES,2,FALSE),"")&amp;" "&amp;IFERROR(VLOOKUP($S68,CODES,2,FALSE),"")&amp;IF(N($P68)&gt;0," w/TRANSOM "&amp;$P68&amp;CHAR(34),"")&amp;IF(N($Q68)&gt;0," w/SIDELITE "&amp;$Q68&amp;CHAR(34)&amp;" "&amp;IF($R68="","R",$R68),"")&amp;IF($Y68="","  |  "," | "&amp;IFERROR(VLOOKUP($Y68,CODES,2,FALSE),"")&amp;" | ")&amp;IFERROR(VLOOKUP($AC68,CODES,2,FALSE),"")&amp;" "&amp;IFERROR(VLOOKUP($AD68,CODES,2,FALSE),"")&amp;IF(OR($AE68="",$AE68="-"),""," "&amp;$AE68)&amp;IF(OR($AF68="",$AF68="-"),""," "&amp;$AF68)&amp;IF($AB68="Y"," 4"&amp;CHAR(34)&amp;" HEAD","")&amp;" "&amp;IFERROR(VLOOKUP($H68,CODES,2,FALSE),"")&amp;IF($CT68," | LOC "&amp;$CY68,"")))</f>
        <v/>
      </c>
      <c r="CK68" s="85">
        <f>IF(NOT(AND($A68&lt;&gt;"",N($BJ68)&gt;0)),"",TRIM(IFERROR(VLOOKUP($AH68,CODES,2,FALSE),"")&amp;IF($AI68=""," "," "&amp;$AI68&amp;"GA ")&amp;$BG68&amp;" "&amp;IF($AN68="",IFERROR(VLOOKUP($Z68,CODES,2,FALSE),""),IFERROR(VLOOKUP($AN68,CODES,2,FALSE),""))&amp;IF($BJ68=2," PAIR","")&amp;" DOOR | "&amp;IF($AL68="","?",$AL68)&amp;" | "&amp;IF($AO68="",IFERROR(VLOOKUP($AC68,CODES,2,FALSE),""),IFERROR(VLOOKUP($AO68,CODES,2,FALSE),""))&amp;" "&amp;IFERROR(VLOOKUP($AP68,CODES,2,FALSE),"")&amp;IF(OR($AQ68="",$AQ68="-"),""," SEAM "&amp;$AQ68)&amp;IF($AR68="Y"," ASTRAGAL","")&amp;IF($AJ68=""," "," "&amp;$AJ68)&amp;IF($AK68=""," "," "&amp;$AK68)&amp;IF(OR($AT68="",$AT68="ANSI/SDI",$AT68="CUSTOM LOC"),""," "&amp;$AT68)&amp;IF($AM68=""," "," SERIES "&amp;$AM68)&amp;" "&amp;IFERROR(VLOOKUP($H68,CODES,2,FALSE),"")&amp;IF($CT68," | LOC "&amp;$CZ68,"")))</f>
        <v/>
      </c>
      <c r="CL68" s="84">
        <f>IF(CP68="","",IF(COUNTIF($CP$6:CP68,CP68)=1,MAX($CL$5:CL67)+1,INDEX($CL$5:CL67,MATCH(CP68,$CP$5:CP67,0))))</f>
        <v/>
      </c>
      <c r="CM68" s="84">
        <f>IF(NOT(AND($A68&lt;&gt;"",$C68&lt;&gt;"DOOR ONLY")),"",MAX($CM$5:CM67)+1)</f>
        <v/>
      </c>
      <c r="CN68" s="84">
        <f>IF(NOT(AND($A68&lt;&gt;"",N($BJ68)&gt;0)),"",MAX($CN$5:CN67)+1)</f>
        <v/>
      </c>
      <c r="CO68" s="84">
        <f>IF($A68="","",MAX($CO$5:CO67)+1)</f>
        <v/>
      </c>
      <c r="CP68" s="84">
        <f>IF(OR($A68="",$BH68="",$BI68=""),"",$BG68&amp;"|"&amp;$O68&amp;"|"&amp;$AL68&amp;"|"&amp;$S68&amp;"|"&amp;$P68&amp;"|"&amp;$Q68&amp;$R68&amp;"|"&amp;$C68&amp;"|"&amp;$AB68)</f>
        <v/>
      </c>
      <c r="CQ68" s="84">
        <f>N($BS68)</f>
        <v/>
      </c>
      <c r="CR68" s="84">
        <f>IF(N($AU68)&gt;0,N($AU68),4.5)</f>
        <v/>
      </c>
      <c r="CS68" s="84">
        <f>OR($A68="",$BI68="",$S68="BL",AND($C68="FRAME ONLY",OR($AC68="",$AC68="BLK")))</f>
        <v/>
      </c>
      <c r="CT68" s="84">
        <f>AND(NOT($CS68),OR($AT68="CUSTOM LOC",N($AW68)+N($AX68)+N($AY68)+N($AZ68)+N($BA68)&gt;0))</f>
        <v/>
      </c>
      <c r="CU68" s="84">
        <f>IF($BI68="","",IF($BI68&lt;=80,80,IF($BI68&lt;=84,84,96)))</f>
        <v/>
      </c>
      <c r="CV68" s="84">
        <f>ISNUMBER(MATCH($AT68&amp;"|80",LocKeys,0))</f>
        <v/>
      </c>
      <c r="CW68" s="86">
        <f>IF($CS68,"",IF($CV68,VLOOKUP($AT68&amp;"|"&amp;$CU68,LocTable,4,FALSE),5))</f>
        <v/>
      </c>
      <c r="CX68" s="86">
        <f>IF($CS68,"",IF($CV68,IF(OR($BI68=$CU68,AND($BI68&lt;$CU68,$BI68-IF(N(VLOOKUP($AT68&amp;"|"&amp;$CU68,LocTable,7,FALSE))&gt;0,VLOOKUP($AT68&amp;"|"&amp;$CU68,LocTable,7,FALSE),VLOOKUP($AT68&amp;"|"&amp;$CU68,LocTable,6,FALSE))-$CR68-0.75&gt;=2.125)),IF(N(VLOOKUP($AT68&amp;"|"&amp;$CU68,LocTable,7,FALSE))&gt;0,VLOOKUP($AT68&amp;"|"&amp;$CU68,LocTable,7,FALSE),VLOOKUP($AT68&amp;"|"&amp;$CU68,LocTable,6,FALSE)),$BI68-($CU68-IF(N(VLOOKUP($AT68&amp;"|"&amp;$CU68,LocTable,7,FALSE))&gt;0,VLOOKUP($AT68&amp;"|"&amp;$CU68,LocTable,7,FALSE),VLOOKUP($AT68&amp;"|"&amp;$CU68,LocTable,6,FALSE)))),$BI68-10-$CR68))</f>
        <v/>
      </c>
      <c r="CY68" s="85">
        <f>IF($CS68,"",TRIM(IF(ISNUMBER($BU68),"A "&amp;TRIM(TEXT($BU68,"# ?/??"))&amp;CHAR(34)&amp;"  ","")&amp;IF(ISNUMBER($BV68),"B "&amp;TRIM(TEXT($BV68,"# ?/??"))&amp;CHAR(34)&amp;"  ","")&amp;IF(ISNUMBER($BW68),"C "&amp;TRIM(TEXT($BW68,"# ?/??"))&amp;CHAR(34)&amp;"  ","")&amp;IF(ISNUMBER($BX68),"D "&amp;TRIM(TEXT($BX68,"# ?/??"))&amp;CHAR(34)&amp;"  ","")&amp;IF(ISNUMBER($BY68),"F "&amp;TRIM(TEXT($BY68,"# ?/??"))&amp;CHAR(34)&amp;"  ","")&amp;IF(ISNUMBER($BZ68),"E "&amp;TRIM(TEXT($BZ68,"# ?/??"))&amp;CHAR(34)&amp;"  ","")))</f>
        <v/>
      </c>
      <c r="CZ68" s="85">
        <f>IF(OR($CS68,N($BJ68)=0),"",TRIM(IF(ISNUMBER($BU68),"A "&amp;TRIM(TEXT($BU68-HeadClr,"# ?/??"))&amp;CHAR(34)&amp;"  ","")&amp;IF(ISNUMBER($BV68),"B "&amp;TRIM(TEXT($BV68-HeadClr,"# ?/??"))&amp;CHAR(34)&amp;"  ","")&amp;IF(ISNUMBER($BW68),"C "&amp;TRIM(TEXT($BW68-HeadClr,"# ?/??"))&amp;CHAR(34)&amp;"  ","")&amp;IF(ISNUMBER($BX68),"D "&amp;TRIM(TEXT($BX68-HeadClr,"# ?/??"))&amp;CHAR(34)&amp;"  ","")&amp;IF(ISNUMBER($BY68),"F "&amp;TRIM(TEXT($BY68-HeadClr,"# ?/??"))&amp;CHAR(34)&amp;"  ","")&amp;IF(ISNUMBER($BZ68),"E "&amp;TRIM(TEXT($BZ68-HeadClr,"# ?/??"))&amp;CHAR(34)&amp;"  ","")))</f>
        <v/>
      </c>
      <c r="DA68" s="84">
        <f>IF($A68="","",IF($AN68="",IFERROR(VLOOKUP($Z68,CODES,2,FALSE),""),IFERROR(VLOOKUP($AN68,CODES,2,FALSE),"")))</f>
        <v/>
      </c>
      <c r="DB68" s="84">
        <f>IF($A68="","",IF($O68="Y","PR",IF(OR($Z68="L",$Z68="RR",LEFT($Z68,2)="L-",LEFT($Z68,3)="RR-"),"LH","RH")))</f>
        <v/>
      </c>
      <c r="DC68" s="84">
        <f>IF($A68="","","S.HM"&amp;IF(OR($C68="DOOR ONLY",$X68&lt;&gt;"KD"),"MASONRY","DRYWALL")&amp;IF($C68="DOOR ONLY","",$U68)&amp;IF(AND($C68&lt;&gt;"FRAME ONLY",OR(LEFT($AH68,3)="OAK",LEFT($AH68,3)="BIR",LEFT($AH68,3)="MAP",$AH68="PC",$AH68="MC",$AH68="SCLC",$AH68="P-LAM")),"WD","HM")&amp;"1.75")</f>
        <v/>
      </c>
      <c r="DD68" s="84">
        <f>IF($CJ68="","",IF($O68="Y",$CJ68,SUBSTITUTE($CJ68,$BG68&amp;" "&amp;IFERROR(VLOOKUP($Z68,CODES,2,FALSE),"")&amp;" ",$BG68&amp;" ")))</f>
        <v/>
      </c>
      <c r="DE68" s="84">
        <f>IF($CK68="","",IF($O68="Y",$CK68,SUBSTITUTE($CK68,$BG68&amp;" "&amp;IF($AN68="",IFERROR(VLOOKUP($Z68,CODES,2,FALSE),""),IFERROR(VLOOKUP($AN68,CODES,2,FALSE),""))&amp;" ",$BG68&amp;" ")))</f>
        <v/>
      </c>
      <c r="DF68" s="84">
        <f>IF($CJ68="","",$DC68&amp;"|"&amp;$DD68&amp;"|"&amp;$DB68&amp;"|"&amp;$AT68&amp;"|"&amp;$V68&amp;"|"&amp;$Y68&amp;"|"&amp;$AB68)</f>
        <v/>
      </c>
      <c r="DG68" s="84">
        <f>IF(DF68="","",IF(COUNTIF($DF$6:DF68,DF68)=1,MAX($DG$5:DG67)+1,INDEX($DG$5:DG67,MATCH(DF68,$DF$5:DF67,0))))</f>
        <v/>
      </c>
      <c r="DH68" s="84">
        <f>IF($CK68="","",$DC68&amp;"|"&amp;$DE68&amp;"|"&amp;$AI68&amp;"|"&amp;$BK68&amp;"|"&amp;$BL68)</f>
        <v/>
      </c>
      <c r="DI68" s="84">
        <f>IF(DH68="","",IF(COUNTIF($DH$6:DH68,DH68)=1,MAX($DI$5:DI67)+1,INDEX($DI$5:DI67,MATCH(DH68,$DH$5:DH67,0))))</f>
        <v/>
      </c>
      <c r="DJ68" s="84">
        <f>IF($A68="","",IF($B68="","qty, ","")&amp;IF($C68="","scope, ","")&amp;IF(OR($K68="",$M68=""),"size, ","")&amp;IF(AND($A68&lt;&gt;"",$C68&lt;&gt;"DOOR ONLY"),IF($U68="","jamb depth, ","")&amp;IF($X68="","construction, ","")&amp;IF($Y68="","anchor, ","")&amp;IF($S68="","frame type, ",""),"")&amp;IF(AND(N($BJ68)&gt;0,$Z68=""),"hand, ","")&amp;IF(N($BJ68)&gt;0,IF($AH68="","door material, ","")&amp;IF($AL68="","face type, ","")&amp;IF($AP68="","lock prep, ","")&amp;IF(AND($AO68="",$AC68=""),"hinge prep, ",""),"")&amp;IF(AND($CH68&gt;0,$AH68="FRP"),"FRP cannot carry a label, ","")&amp;IF(AND($O68="Y",OR($Z68="L",$Z68="R",$Z68="LR",$Z68="RR")),"pair marked but hand is single, ","")&amp;IF(AND($O68&lt;&gt;"Y",OR($Z68="PR",AND(LEN($Z68)&gt;1,ISNUMBER(SEARCH("-",$Z68))))),"pair hand on a single door, ","")&amp;IF(AND(ISNUMBER($CI68),$CH68&lt;N($CI68)),"wall needs a "&amp;$CI68&amp;" min door, ","")&amp;IF(AND($CH68&gt;=180,AND(OR($CE68="FG",$CE68="HG",$CE68="FNV",$CE68="FV"),N($CF68)*N($CG68)&gt;100)),"180 min lite over 100 sq in, ","")&amp;IF(N($BK68)&gt;48,"leaf wider than 4'-0"&amp;CHAR(34)&amp;", ","")&amp;IF(AND($CT68,COUNT($AW68:$AZ68)=0,$CQ68&gt;0),"CUSTOM LOC with no locations typed, ",""))</f>
        <v/>
      </c>
      <c r="DK68" s="84">
        <f>IF($A68="","",IF(AND($CH68&gt;0,AND($A68&lt;&gt;"",$C68&lt;&gt;"DOOR ONLY"),$X68="KD",$E68="EXTERIOR"),"KD label on an exterior opening, ","")&amp;IF(AND($E68="EXTERIOR",OR(AND(AND($A68&lt;&gt;"",$C68&lt;&gt;"DOOR ONLY"),$W68="CR"),AND(N($BJ68)&gt;0,$AH68="CR"))),"exterior in CR steel (G9?), ","")&amp;IF(AND(ISNUMBER($BQ68),N($BQ68)&lt;32),"clear width ~"&amp;TEXT($BQ68,"0.0")&amp;CHAR(34)&amp;" under 32"&amp;CHAR(34)&amp;" (ADA), ","")&amp;IF(AND($CH68=90,AND(OR($CE68="FG",$CE68="HG",$CE68="FNV",$CE68="FV"),N($CF68)*N($CG68)&gt;100)),"90 min lite over 100 sq in (stair/exit), ","")&amp;IF(AND($CH68&gt;0,AND($A68&lt;&gt;"",$C68&lt;&gt;"DOOR ONLY"),OR($AF68="",$AF68="-")),"rated: closer reinf.?, ","")&amp;IF(OR($I68="CORRIDOR",$I68="SMOKE BARRIER"),"S label + smoke gasketing, ","")&amp;IF($CI68="?","wall type/hr not in IBC table, ","")&amp;IF(AND(N($BJ68)&gt;0,$BB68=""),"no hardware set, ","")&amp;IF(AND($BB68&lt;&gt;"",ISNA(MATCH($BB68&amp;"",HWSets,0))),"set "&amp;$BB68&amp;" not on HW Sets, ","")&amp;IF(N($BL68)&gt;96,"leaf over 8'-0"&amp;CHAR(34)&amp;" - check listing, ","")&amp;IF(AND($CT68,COUNT($AW68:$AZ68)&gt;0,COUNT($AW68:$AZ68)&lt;&gt;$CQ68),COUNT($AW68:$AZ68)&amp;" custom hinges typed, "&amp;$CQ68&amp;" expected, ","")&amp;IF(AND(ISNUMBER($CA68),OR(N($CA68)&lt;34,N($CA68)&gt;48)),"lock "&amp;TEXT($CA68,"0.0")&amp;CHAR(34)&amp;" AFF outside 34-48"&amp;CHAR(34)&amp;" (ADA), ","")&amp;IF(AND(ISNUMBER($AV68),ISNUMBER($BL68),N($AV68)&lt;IF(N($BL68)&lt;=60,2,IF(N($BL68)&lt;=90,3,IF(N($BL68)&lt;=120,4,5)))),"fewer hinges than standard, ",""))</f>
        <v/>
      </c>
    </row>
    <row r="69" ht="15" customHeight="1">
      <c r="A69" s="77" t="n"/>
      <c r="B69" s="78" t="n"/>
      <c r="C69" s="78" t="n"/>
      <c r="D69" s="78" t="n"/>
      <c r="E69" s="78" t="n"/>
      <c r="F69" s="78" t="n"/>
      <c r="G69" s="78" t="n"/>
      <c r="H69" s="78" t="n"/>
      <c r="I69" s="78" t="n"/>
      <c r="J69" s="78" t="n"/>
      <c r="K69" s="78" t="n"/>
      <c r="L69" s="78" t="n"/>
      <c r="M69" s="78" t="n"/>
      <c r="N69" s="78" t="n"/>
      <c r="O69" s="78" t="n"/>
      <c r="P69" s="78" t="n"/>
      <c r="Q69" s="78" t="n"/>
      <c r="R69" s="78" t="n"/>
      <c r="S69" s="79" t="n"/>
      <c r="T69" s="79" t="n"/>
      <c r="U69" s="79" t="n"/>
      <c r="V69" s="79" t="n"/>
      <c r="W69" s="79" t="n"/>
      <c r="X69" s="79" t="n"/>
      <c r="Y69" s="79" t="n"/>
      <c r="Z69" s="79" t="n"/>
      <c r="AA69" s="79" t="n"/>
      <c r="AB69" s="79" t="n"/>
      <c r="AC69" s="79" t="n"/>
      <c r="AD69" s="79" t="n"/>
      <c r="AE69" s="79" t="n"/>
      <c r="AF69" s="79" t="n"/>
      <c r="AG69" s="79" t="n"/>
      <c r="AH69" s="80" t="n"/>
      <c r="AI69" s="80" t="n"/>
      <c r="AJ69" s="80" t="n"/>
      <c r="AK69" s="80" t="n"/>
      <c r="AL69" s="80" t="n"/>
      <c r="AM69" s="80" t="n"/>
      <c r="AN69" s="80" t="n"/>
      <c r="AO69" s="80" t="n"/>
      <c r="AP69" s="80" t="n"/>
      <c r="AQ69" s="80" t="n"/>
      <c r="AR69" s="80" t="n"/>
      <c r="AS69" s="80" t="n"/>
      <c r="AT69" s="81" t="n"/>
      <c r="AU69" s="81" t="n"/>
      <c r="AV69" s="81" t="n"/>
      <c r="AW69" s="82" t="n"/>
      <c r="AX69" s="82" t="n"/>
      <c r="AY69" s="82" t="n"/>
      <c r="AZ69" s="82" t="n"/>
      <c r="BA69" s="82" t="n"/>
      <c r="BB69" s="83" t="n"/>
      <c r="BC69" s="83" t="n"/>
      <c r="BD69" s="84">
        <f>IF($A69="","",IF($DJ69&lt;&gt;"","FIX",IF($DK69&lt;&gt;"","CHECK","OK")))</f>
        <v/>
      </c>
      <c r="BE69" s="85">
        <f>IF($A69="","",IF($DJ69&lt;&gt;"","FIX: "&amp;LEFT($DJ69,LEN($DJ69)-2)&amp;IF($DK69&lt;&gt;"","  ·  ",""),"")&amp;IF($DK69&lt;&gt;"","CHECK: "&amp;LEFT($DK69,LEN($DK69)-2),""))</f>
        <v/>
      </c>
      <c r="BF69" s="84">
        <f>IF(OR($A69="",$K69=""),"",$K69&amp;"'-"&amp;N($L69)&amp;CHAR(34)&amp;" x "&amp;$M69&amp;"'-"&amp;N($N69)&amp;CHAR(34))</f>
        <v/>
      </c>
      <c r="BG69" s="84">
        <f>IF(OR($A69="",$K69=""),"",$K69&amp;N($L69)&amp;$M69&amp;N($N69))</f>
        <v/>
      </c>
      <c r="BH69" s="84">
        <f>IF(OR($A69="",$K69=""),"",$K69*12+N($L69))</f>
        <v/>
      </c>
      <c r="BI69" s="84">
        <f>IF(OR($A69="",$M69=""),"",$M69*12+N($N69))</f>
        <v/>
      </c>
      <c r="BJ69" s="84">
        <f>IF($A69="","",IF(OR($C69="FRAME ONLY",$S69="BL"),0,IF($O69="Y",2,1)))</f>
        <v/>
      </c>
      <c r="BK69" s="86">
        <f>IF(OR(N($BJ69)=0,$BH69=""),"",($BH69-2*EdgeClr-IF($BJ69=2,MeetClr,0))/$BJ69)</f>
        <v/>
      </c>
      <c r="BL69" s="86">
        <f>IF(OR(N($BJ69)=0,$BI69=""),"",$BI69-HeadClr-Undercut)</f>
        <v/>
      </c>
      <c r="BM69" s="86">
        <f>IF($BH69="","",$BH69+2*FaceW+IF(N($Q69)&gt;0,($Q69+FaceW)*IF($R69="LR",2,1),0))</f>
        <v/>
      </c>
      <c r="BN69" s="86">
        <f>IF($BI69="","",$BI69+IF($AB69="Y",4,FaceW)+IF(N($P69)&gt;0,$P69+FaceW,0)+IF(OR($S69="4F",$S69="BL"),FaceW,0))</f>
        <v/>
      </c>
      <c r="BO69" s="86">
        <f>IF($BM69="","",$BM69+2*ROSide)</f>
        <v/>
      </c>
      <c r="BP69" s="86">
        <f>IF($BN69="","",$BN69+ROTop)</f>
        <v/>
      </c>
      <c r="BQ69" s="87">
        <f>IF(OR(N($BJ69)=0,$BH69=""),"",$BH69/$BJ69-ClearDeduct)</f>
        <v/>
      </c>
      <c r="BR69" s="84">
        <f>IF(N($CH69)=0,"",IF($CH69&gt;=180,"A · 3 HR",IF($CH69&gt;=90,"B · 1-1/2 HR",IF($CH69&gt;=60,"B · 1 HR",IF($CH69&gt;=45,"C · 3/4 HR","20 MIN")))))&amp;IF(AND(N($CH69)&gt;0,OR($I69="CORRIDOR",$I69="SMOKE BARRIER"))," · S","")</f>
        <v/>
      </c>
      <c r="BS69" s="84">
        <f>IF($CS69,"",IF($AV69&lt;&gt;"",$AV69,IF(OR($AC69="HGC",$AO69="HGC"),"CONT",IF(($BI69-HeadClr-Undercut)&lt;=60,2,IF(($BI69-HeadClr-Undercut)&lt;=90,3,IF(($BI69-HeadClr-Undercut)&lt;=120,4,5))))))</f>
        <v/>
      </c>
      <c r="BT69" s="84">
        <f>IF($CS69,"",IF($CT69,"CUSTOM (typed)",IF($CV69,$AT69&amp;" "&amp;$CU69&amp;CHAR(34)&amp;IF($CU69&lt;&gt;$BI69,IF(AND($BI69&lt;$CU69,$BI69-IF(N(VLOOKUP($AT69&amp;"|"&amp;$CU69,LocTable,7,FALSE))&gt;0,VLOOKUP($AT69&amp;"|"&amp;$CU69,LocTable,7,FALSE),VLOOKUP($AT69&amp;"|"&amp;$CU69,LocTable,6,FALSE))-$CR69-0.75&gt;=2.125)," cut down"," adj."),""),"ANSI/SDI A250.6")))</f>
        <v/>
      </c>
      <c r="BU69" s="88">
        <f>IF($CS69,"",IF($CT69,IF(N($AW69)&gt;0,N($AW69),""),IF(1&gt;$CQ69,"",IF($CQ69=1,$CW69,$CW69+($CX69-$CW69)*0/($CQ69-1)))))</f>
        <v/>
      </c>
      <c r="BV69" s="88">
        <f>IF($CS69,"",IF($CT69,IF(N($AX69)&gt;0,N($AX69),""),IF(2&gt;$CQ69,"",IF($CQ69=1,$CW69,$CW69+($CX69-$CW69)*1/($CQ69-1)))))</f>
        <v/>
      </c>
      <c r="BW69" s="88">
        <f>IF($CS69,"",IF($CT69,IF(N($AY69)&gt;0,N($AY69),""),IF(3&gt;$CQ69,"",IF($CQ69=1,$CW69,$CW69+($CX69-$CW69)*2/($CQ69-1)))))</f>
        <v/>
      </c>
      <c r="BX69" s="88">
        <f>IF($CS69,"",IF($CT69,IF(N($AZ69)&gt;0,N($AZ69),""),IF(4&gt;$CQ69,"",IF($CQ69=1,$CW69,$CW69+($CX69-$CW69)*3/($CQ69-1)))))</f>
        <v/>
      </c>
      <c r="BY69" s="88">
        <f>IF($CS69,"",IF($CT69,"",IF(5&gt;$CQ69,"",IF($CQ69=1,$CW69,$CW69+($CX69-$CW69)*4/($CQ69-1)))))</f>
        <v/>
      </c>
      <c r="BZ69" s="88">
        <f>IF(OR($CS69,$AP69="-",AND($AP69="",$AD69="")),"",IF(N($BA69)&gt;0,N($BA69),IF($CV69,IF(AND($BI69&lt;$CU69,$BI69-IF(N(VLOOKUP($AT69&amp;"|"&amp;$CU69,LocTable,7,FALSE))&gt;0,VLOOKUP($AT69&amp;"|"&amp;$CU69,LocTable,7,FALSE),VLOOKUP($AT69&amp;"|"&amp;$CU69,LocTable,6,FALSE))-$CR69-0.75&gt;=2.125),VLOOKUP($AT69&amp;"|"&amp;$CU69,LocTable,8,FALSE),VLOOKUP($AT69&amp;"|"&amp;$CU69,LocTable,8,FALSE)+($BI69-$CU69)),$BI69-LockAFF)))</f>
        <v/>
      </c>
      <c r="CA69" s="89">
        <f>IF($BZ69="","",$BI69-$BZ69)</f>
        <v/>
      </c>
      <c r="CB69" s="84">
        <f>IF(OR(NOT(AND($A69&lt;&gt;"",$C69&lt;&gt;"DOOR ONLY")),$BI69=""),"",IF(($BI69+IF(N($P69)&gt;0,$P69+FaceW,0))&lt;=90,3,IF(($BI69+IF(N($P69)&gt;0,$P69+FaceW,0))&lt;=114,4,5)))</f>
        <v/>
      </c>
      <c r="CC69" s="84">
        <f>IF($CB69="","",$CB69*(2+IF(N($Q69)&gt;0,IF($R69="LR",2,1),0)))</f>
        <v/>
      </c>
      <c r="CD69" s="84">
        <f>IF($CB69="","",(2+IF(N($Q69)&gt;0,IF($R69="LR",2,1),0)))</f>
        <v/>
      </c>
      <c r="CE69" s="84">
        <f>IF(N($BJ69)=0,"",IF(OR($AL69="",$AL69="FLUSH"),"FLUSH",IFERROR(LEFT($AL69,FIND("-",$AL69)-1),LEFT($AL69,2))))</f>
        <v/>
      </c>
      <c r="CF69" s="84">
        <f>IF($CE69="","",IFERROR(VALUE(MID($AL69,FIND("-",$AL69)+1,FIND(CHAR(34)&amp;"x",$AL69)-FIND("-",$AL69)-1)),0))</f>
        <v/>
      </c>
      <c r="CG69" s="84">
        <f>IF($CE69="","",IFERROR(VALUE(MID($AL69,FIND(CHAR(34)&amp;"x",$AL69)+2,FIND(CHAR(34),$AL69,FIND(CHAR(34)&amp;"x",$AL69)+2)-FIND(CHAR(34)&amp;"x",$AL69)-2)),0))</f>
        <v/>
      </c>
      <c r="CH69" s="90">
        <f>IF(OR($A69="",$H69="",$H69="NO LAB"),0,IFERROR(VALUE(LEFT($H69,FIND(" ",$H69)-1)),0))</f>
        <v/>
      </c>
      <c r="CI69" s="91">
        <f>IF(OR($A69="",$I69="",$I69="NON-RATED",N($J69)=0),"",IFERROR(VLOOKUP($I69&amp;"|"&amp;$J69,IBC,2,FALSE),"?"))</f>
        <v/>
      </c>
      <c r="CJ69" s="85">
        <f>IF(NOT(AND($A69&lt;&gt;"",$C69&lt;&gt;"DOOR ONLY")),"",TRIM(IFERROR(VLOOKUP($U69,CODES,2,FALSE),"")&amp;" "&amp;$BG69&amp;" "&amp;IFERROR(VLOOKUP($Z69,CODES,2,FALSE),"")&amp;" "&amp;IFERROR(VLOOKUP($X69,CODES,2,FALSE),"")&amp;" "&amp;IFERROR(VLOOKUP($S69,CODES,2,FALSE),"")&amp;IF(N($P69)&gt;0," w/TRANSOM "&amp;$P69&amp;CHAR(34),"")&amp;IF(N($Q69)&gt;0," w/SIDELITE "&amp;$Q69&amp;CHAR(34)&amp;" "&amp;IF($R69="","R",$R69),"")&amp;IF($Y69="","  |  "," | "&amp;IFERROR(VLOOKUP($Y69,CODES,2,FALSE),"")&amp;" | ")&amp;IFERROR(VLOOKUP($AC69,CODES,2,FALSE),"")&amp;" "&amp;IFERROR(VLOOKUP($AD69,CODES,2,FALSE),"")&amp;IF(OR($AE69="",$AE69="-"),""," "&amp;$AE69)&amp;IF(OR($AF69="",$AF69="-"),""," "&amp;$AF69)&amp;IF($AB69="Y"," 4"&amp;CHAR(34)&amp;" HEAD","")&amp;" "&amp;IFERROR(VLOOKUP($H69,CODES,2,FALSE),"")&amp;IF($CT69," | LOC "&amp;$CY69,"")))</f>
        <v/>
      </c>
      <c r="CK69" s="85">
        <f>IF(NOT(AND($A69&lt;&gt;"",N($BJ69)&gt;0)),"",TRIM(IFERROR(VLOOKUP($AH69,CODES,2,FALSE),"")&amp;IF($AI69=""," "," "&amp;$AI69&amp;"GA ")&amp;$BG69&amp;" "&amp;IF($AN69="",IFERROR(VLOOKUP($Z69,CODES,2,FALSE),""),IFERROR(VLOOKUP($AN69,CODES,2,FALSE),""))&amp;IF($BJ69=2," PAIR","")&amp;" DOOR | "&amp;IF($AL69="","?",$AL69)&amp;" | "&amp;IF($AO69="",IFERROR(VLOOKUP($AC69,CODES,2,FALSE),""),IFERROR(VLOOKUP($AO69,CODES,2,FALSE),""))&amp;" "&amp;IFERROR(VLOOKUP($AP69,CODES,2,FALSE),"")&amp;IF(OR($AQ69="",$AQ69="-"),""," SEAM "&amp;$AQ69)&amp;IF($AR69="Y"," ASTRAGAL","")&amp;IF($AJ69=""," "," "&amp;$AJ69)&amp;IF($AK69=""," "," "&amp;$AK69)&amp;IF(OR($AT69="",$AT69="ANSI/SDI",$AT69="CUSTOM LOC"),""," "&amp;$AT69)&amp;IF($AM69=""," "," SERIES "&amp;$AM69)&amp;" "&amp;IFERROR(VLOOKUP($H69,CODES,2,FALSE),"")&amp;IF($CT69," | LOC "&amp;$CZ69,"")))</f>
        <v/>
      </c>
      <c r="CL69" s="84">
        <f>IF(CP69="","",IF(COUNTIF($CP$6:CP69,CP69)=1,MAX($CL$5:CL68)+1,INDEX($CL$5:CL68,MATCH(CP69,$CP$5:CP68,0))))</f>
        <v/>
      </c>
      <c r="CM69" s="84">
        <f>IF(NOT(AND($A69&lt;&gt;"",$C69&lt;&gt;"DOOR ONLY")),"",MAX($CM$5:CM68)+1)</f>
        <v/>
      </c>
      <c r="CN69" s="84">
        <f>IF(NOT(AND($A69&lt;&gt;"",N($BJ69)&gt;0)),"",MAX($CN$5:CN68)+1)</f>
        <v/>
      </c>
      <c r="CO69" s="84">
        <f>IF($A69="","",MAX($CO$5:CO68)+1)</f>
        <v/>
      </c>
      <c r="CP69" s="84">
        <f>IF(OR($A69="",$BH69="",$BI69=""),"",$BG69&amp;"|"&amp;$O69&amp;"|"&amp;$AL69&amp;"|"&amp;$S69&amp;"|"&amp;$P69&amp;"|"&amp;$Q69&amp;$R69&amp;"|"&amp;$C69&amp;"|"&amp;$AB69)</f>
        <v/>
      </c>
      <c r="CQ69" s="84">
        <f>N($BS69)</f>
        <v/>
      </c>
      <c r="CR69" s="84">
        <f>IF(N($AU69)&gt;0,N($AU69),4.5)</f>
        <v/>
      </c>
      <c r="CS69" s="84">
        <f>OR($A69="",$BI69="",$S69="BL",AND($C69="FRAME ONLY",OR($AC69="",$AC69="BLK")))</f>
        <v/>
      </c>
      <c r="CT69" s="84">
        <f>AND(NOT($CS69),OR($AT69="CUSTOM LOC",N($AW69)+N($AX69)+N($AY69)+N($AZ69)+N($BA69)&gt;0))</f>
        <v/>
      </c>
      <c r="CU69" s="84">
        <f>IF($BI69="","",IF($BI69&lt;=80,80,IF($BI69&lt;=84,84,96)))</f>
        <v/>
      </c>
      <c r="CV69" s="84">
        <f>ISNUMBER(MATCH($AT69&amp;"|80",LocKeys,0))</f>
        <v/>
      </c>
      <c r="CW69" s="86">
        <f>IF($CS69,"",IF($CV69,VLOOKUP($AT69&amp;"|"&amp;$CU69,LocTable,4,FALSE),5))</f>
        <v/>
      </c>
      <c r="CX69" s="86">
        <f>IF($CS69,"",IF($CV69,IF(OR($BI69=$CU69,AND($BI69&lt;$CU69,$BI69-IF(N(VLOOKUP($AT69&amp;"|"&amp;$CU69,LocTable,7,FALSE))&gt;0,VLOOKUP($AT69&amp;"|"&amp;$CU69,LocTable,7,FALSE),VLOOKUP($AT69&amp;"|"&amp;$CU69,LocTable,6,FALSE))-$CR69-0.75&gt;=2.125)),IF(N(VLOOKUP($AT69&amp;"|"&amp;$CU69,LocTable,7,FALSE))&gt;0,VLOOKUP($AT69&amp;"|"&amp;$CU69,LocTable,7,FALSE),VLOOKUP($AT69&amp;"|"&amp;$CU69,LocTable,6,FALSE)),$BI69-($CU69-IF(N(VLOOKUP($AT69&amp;"|"&amp;$CU69,LocTable,7,FALSE))&gt;0,VLOOKUP($AT69&amp;"|"&amp;$CU69,LocTable,7,FALSE),VLOOKUP($AT69&amp;"|"&amp;$CU69,LocTable,6,FALSE)))),$BI69-10-$CR69))</f>
        <v/>
      </c>
      <c r="CY69" s="85">
        <f>IF($CS69,"",TRIM(IF(ISNUMBER($BU69),"A "&amp;TRIM(TEXT($BU69,"# ?/??"))&amp;CHAR(34)&amp;"  ","")&amp;IF(ISNUMBER($BV69),"B "&amp;TRIM(TEXT($BV69,"# ?/??"))&amp;CHAR(34)&amp;"  ","")&amp;IF(ISNUMBER($BW69),"C "&amp;TRIM(TEXT($BW69,"# ?/??"))&amp;CHAR(34)&amp;"  ","")&amp;IF(ISNUMBER($BX69),"D "&amp;TRIM(TEXT($BX69,"# ?/??"))&amp;CHAR(34)&amp;"  ","")&amp;IF(ISNUMBER($BY69),"F "&amp;TRIM(TEXT($BY69,"# ?/??"))&amp;CHAR(34)&amp;"  ","")&amp;IF(ISNUMBER($BZ69),"E "&amp;TRIM(TEXT($BZ69,"# ?/??"))&amp;CHAR(34)&amp;"  ","")))</f>
        <v/>
      </c>
      <c r="CZ69" s="85">
        <f>IF(OR($CS69,N($BJ69)=0),"",TRIM(IF(ISNUMBER($BU69),"A "&amp;TRIM(TEXT($BU69-HeadClr,"# ?/??"))&amp;CHAR(34)&amp;"  ","")&amp;IF(ISNUMBER($BV69),"B "&amp;TRIM(TEXT($BV69-HeadClr,"# ?/??"))&amp;CHAR(34)&amp;"  ","")&amp;IF(ISNUMBER($BW69),"C "&amp;TRIM(TEXT($BW69-HeadClr,"# ?/??"))&amp;CHAR(34)&amp;"  ","")&amp;IF(ISNUMBER($BX69),"D "&amp;TRIM(TEXT($BX69-HeadClr,"# ?/??"))&amp;CHAR(34)&amp;"  ","")&amp;IF(ISNUMBER($BY69),"F "&amp;TRIM(TEXT($BY69-HeadClr,"# ?/??"))&amp;CHAR(34)&amp;"  ","")&amp;IF(ISNUMBER($BZ69),"E "&amp;TRIM(TEXT($BZ69-HeadClr,"# ?/??"))&amp;CHAR(34)&amp;"  ","")))</f>
        <v/>
      </c>
      <c r="DA69" s="84">
        <f>IF($A69="","",IF($AN69="",IFERROR(VLOOKUP($Z69,CODES,2,FALSE),""),IFERROR(VLOOKUP($AN69,CODES,2,FALSE),"")))</f>
        <v/>
      </c>
      <c r="DB69" s="84">
        <f>IF($A69="","",IF($O69="Y","PR",IF(OR($Z69="L",$Z69="RR",LEFT($Z69,2)="L-",LEFT($Z69,3)="RR-"),"LH","RH")))</f>
        <v/>
      </c>
      <c r="DC69" s="84">
        <f>IF($A69="","","S.HM"&amp;IF(OR($C69="DOOR ONLY",$X69&lt;&gt;"KD"),"MASONRY","DRYWALL")&amp;IF($C69="DOOR ONLY","",$U69)&amp;IF(AND($C69&lt;&gt;"FRAME ONLY",OR(LEFT($AH69,3)="OAK",LEFT($AH69,3)="BIR",LEFT($AH69,3)="MAP",$AH69="PC",$AH69="MC",$AH69="SCLC",$AH69="P-LAM")),"WD","HM")&amp;"1.75")</f>
        <v/>
      </c>
      <c r="DD69" s="84">
        <f>IF($CJ69="","",IF($O69="Y",$CJ69,SUBSTITUTE($CJ69,$BG69&amp;" "&amp;IFERROR(VLOOKUP($Z69,CODES,2,FALSE),"")&amp;" ",$BG69&amp;" ")))</f>
        <v/>
      </c>
      <c r="DE69" s="84">
        <f>IF($CK69="","",IF($O69="Y",$CK69,SUBSTITUTE($CK69,$BG69&amp;" "&amp;IF($AN69="",IFERROR(VLOOKUP($Z69,CODES,2,FALSE),""),IFERROR(VLOOKUP($AN69,CODES,2,FALSE),""))&amp;" ",$BG69&amp;" ")))</f>
        <v/>
      </c>
      <c r="DF69" s="84">
        <f>IF($CJ69="","",$DC69&amp;"|"&amp;$DD69&amp;"|"&amp;$DB69&amp;"|"&amp;$AT69&amp;"|"&amp;$V69&amp;"|"&amp;$Y69&amp;"|"&amp;$AB69)</f>
        <v/>
      </c>
      <c r="DG69" s="84">
        <f>IF(DF69="","",IF(COUNTIF($DF$6:DF69,DF69)=1,MAX($DG$5:DG68)+1,INDEX($DG$5:DG68,MATCH(DF69,$DF$5:DF68,0))))</f>
        <v/>
      </c>
      <c r="DH69" s="84">
        <f>IF($CK69="","",$DC69&amp;"|"&amp;$DE69&amp;"|"&amp;$AI69&amp;"|"&amp;$BK69&amp;"|"&amp;$BL69)</f>
        <v/>
      </c>
      <c r="DI69" s="84">
        <f>IF(DH69="","",IF(COUNTIF($DH$6:DH69,DH69)=1,MAX($DI$5:DI68)+1,INDEX($DI$5:DI68,MATCH(DH69,$DH$5:DH68,0))))</f>
        <v/>
      </c>
      <c r="DJ69" s="84">
        <f>IF($A69="","",IF($B69="","qty, ","")&amp;IF($C69="","scope, ","")&amp;IF(OR($K69="",$M69=""),"size, ","")&amp;IF(AND($A69&lt;&gt;"",$C69&lt;&gt;"DOOR ONLY"),IF($U69="","jamb depth, ","")&amp;IF($X69="","construction, ","")&amp;IF($Y69="","anchor, ","")&amp;IF($S69="","frame type, ",""),"")&amp;IF(AND(N($BJ69)&gt;0,$Z69=""),"hand, ","")&amp;IF(N($BJ69)&gt;0,IF($AH69="","door material, ","")&amp;IF($AL69="","face type, ","")&amp;IF($AP69="","lock prep, ","")&amp;IF(AND($AO69="",$AC69=""),"hinge prep, ",""),"")&amp;IF(AND($CH69&gt;0,$AH69="FRP"),"FRP cannot carry a label, ","")&amp;IF(AND($O69="Y",OR($Z69="L",$Z69="R",$Z69="LR",$Z69="RR")),"pair marked but hand is single, ","")&amp;IF(AND($O69&lt;&gt;"Y",OR($Z69="PR",AND(LEN($Z69)&gt;1,ISNUMBER(SEARCH("-",$Z69))))),"pair hand on a single door, ","")&amp;IF(AND(ISNUMBER($CI69),$CH69&lt;N($CI69)),"wall needs a "&amp;$CI69&amp;" min door, ","")&amp;IF(AND($CH69&gt;=180,AND(OR($CE69="FG",$CE69="HG",$CE69="FNV",$CE69="FV"),N($CF69)*N($CG69)&gt;100)),"180 min lite over 100 sq in, ","")&amp;IF(N($BK69)&gt;48,"leaf wider than 4'-0"&amp;CHAR(34)&amp;", ","")&amp;IF(AND($CT69,COUNT($AW69:$AZ69)=0,$CQ69&gt;0),"CUSTOM LOC with no locations typed, ",""))</f>
        <v/>
      </c>
      <c r="DK69" s="84">
        <f>IF($A69="","",IF(AND($CH69&gt;0,AND($A69&lt;&gt;"",$C69&lt;&gt;"DOOR ONLY"),$X69="KD",$E69="EXTERIOR"),"KD label on an exterior opening, ","")&amp;IF(AND($E69="EXTERIOR",OR(AND(AND($A69&lt;&gt;"",$C69&lt;&gt;"DOOR ONLY"),$W69="CR"),AND(N($BJ69)&gt;0,$AH69="CR"))),"exterior in CR steel (G9?), ","")&amp;IF(AND(ISNUMBER($BQ69),N($BQ69)&lt;32),"clear width ~"&amp;TEXT($BQ69,"0.0")&amp;CHAR(34)&amp;" under 32"&amp;CHAR(34)&amp;" (ADA), ","")&amp;IF(AND($CH69=90,AND(OR($CE69="FG",$CE69="HG",$CE69="FNV",$CE69="FV"),N($CF69)*N($CG69)&gt;100)),"90 min lite over 100 sq in (stair/exit), ","")&amp;IF(AND($CH69&gt;0,AND($A69&lt;&gt;"",$C69&lt;&gt;"DOOR ONLY"),OR($AF69="",$AF69="-")),"rated: closer reinf.?, ","")&amp;IF(OR($I69="CORRIDOR",$I69="SMOKE BARRIER"),"S label + smoke gasketing, ","")&amp;IF($CI69="?","wall type/hr not in IBC table, ","")&amp;IF(AND(N($BJ69)&gt;0,$BB69=""),"no hardware set, ","")&amp;IF(AND($BB69&lt;&gt;"",ISNA(MATCH($BB69&amp;"",HWSets,0))),"set "&amp;$BB69&amp;" not on HW Sets, ","")&amp;IF(N($BL69)&gt;96,"leaf over 8'-0"&amp;CHAR(34)&amp;" - check listing, ","")&amp;IF(AND($CT69,COUNT($AW69:$AZ69)&gt;0,COUNT($AW69:$AZ69)&lt;&gt;$CQ69),COUNT($AW69:$AZ69)&amp;" custom hinges typed, "&amp;$CQ69&amp;" expected, ","")&amp;IF(AND(ISNUMBER($CA69),OR(N($CA69)&lt;34,N($CA69)&gt;48)),"lock "&amp;TEXT($CA69,"0.0")&amp;CHAR(34)&amp;" AFF outside 34-48"&amp;CHAR(34)&amp;" (ADA), ","")&amp;IF(AND(ISNUMBER($AV69),ISNUMBER($BL69),N($AV69)&lt;IF(N($BL69)&lt;=60,2,IF(N($BL69)&lt;=90,3,IF(N($BL69)&lt;=120,4,5)))),"fewer hinges than standard, ",""))</f>
        <v/>
      </c>
    </row>
    <row r="70" ht="15" customHeight="1">
      <c r="A70" s="92" t="n"/>
      <c r="B70" s="93" t="n"/>
      <c r="C70" s="93" t="n"/>
      <c r="D70" s="93" t="n"/>
      <c r="E70" s="93" t="n"/>
      <c r="F70" s="93" t="n"/>
      <c r="G70" s="93" t="n"/>
      <c r="H70" s="93" t="n"/>
      <c r="I70" s="93" t="n"/>
      <c r="J70" s="93" t="n"/>
      <c r="K70" s="93" t="n"/>
      <c r="L70" s="93" t="n"/>
      <c r="M70" s="93" t="n"/>
      <c r="N70" s="93" t="n"/>
      <c r="O70" s="93" t="n"/>
      <c r="P70" s="93" t="n"/>
      <c r="Q70" s="93" t="n"/>
      <c r="R70" s="93" t="n"/>
      <c r="S70" s="94" t="n"/>
      <c r="T70" s="94" t="n"/>
      <c r="U70" s="94" t="n"/>
      <c r="V70" s="94" t="n"/>
      <c r="W70" s="94" t="n"/>
      <c r="X70" s="94" t="n"/>
      <c r="Y70" s="94" t="n"/>
      <c r="Z70" s="94" t="n"/>
      <c r="AA70" s="94" t="n"/>
      <c r="AB70" s="94" t="n"/>
      <c r="AC70" s="94" t="n"/>
      <c r="AD70" s="94" t="n"/>
      <c r="AE70" s="94" t="n"/>
      <c r="AF70" s="94" t="n"/>
      <c r="AG70" s="94" t="n"/>
      <c r="AH70" s="95" t="n"/>
      <c r="AI70" s="95" t="n"/>
      <c r="AJ70" s="95" t="n"/>
      <c r="AK70" s="95" t="n"/>
      <c r="AL70" s="95" t="n"/>
      <c r="AM70" s="95" t="n"/>
      <c r="AN70" s="95" t="n"/>
      <c r="AO70" s="95" t="n"/>
      <c r="AP70" s="95" t="n"/>
      <c r="AQ70" s="95" t="n"/>
      <c r="AR70" s="95" t="n"/>
      <c r="AS70" s="95" t="n"/>
      <c r="AT70" s="96" t="n"/>
      <c r="AU70" s="96" t="n"/>
      <c r="AV70" s="96" t="n"/>
      <c r="AW70" s="97" t="n"/>
      <c r="AX70" s="97" t="n"/>
      <c r="AY70" s="97" t="n"/>
      <c r="AZ70" s="97" t="n"/>
      <c r="BA70" s="97" t="n"/>
      <c r="BB70" s="98" t="n"/>
      <c r="BC70" s="98" t="n"/>
      <c r="BD70" s="99">
        <f>IF($A70="","",IF($DJ70&lt;&gt;"","FIX",IF($DK70&lt;&gt;"","CHECK","OK")))</f>
        <v/>
      </c>
      <c r="BE70" s="100">
        <f>IF($A70="","",IF($DJ70&lt;&gt;"","FIX: "&amp;LEFT($DJ70,LEN($DJ70)-2)&amp;IF($DK70&lt;&gt;"","  ·  ",""),"")&amp;IF($DK70&lt;&gt;"","CHECK: "&amp;LEFT($DK70,LEN($DK70)-2),""))</f>
        <v/>
      </c>
      <c r="BF70" s="99">
        <f>IF(OR($A70="",$K70=""),"",$K70&amp;"'-"&amp;N($L70)&amp;CHAR(34)&amp;" x "&amp;$M70&amp;"'-"&amp;N($N70)&amp;CHAR(34))</f>
        <v/>
      </c>
      <c r="BG70" s="99">
        <f>IF(OR($A70="",$K70=""),"",$K70&amp;N($L70)&amp;$M70&amp;N($N70))</f>
        <v/>
      </c>
      <c r="BH70" s="99">
        <f>IF(OR($A70="",$K70=""),"",$K70*12+N($L70))</f>
        <v/>
      </c>
      <c r="BI70" s="99">
        <f>IF(OR($A70="",$M70=""),"",$M70*12+N($N70))</f>
        <v/>
      </c>
      <c r="BJ70" s="99">
        <f>IF($A70="","",IF(OR($C70="FRAME ONLY",$S70="BL"),0,IF($O70="Y",2,1)))</f>
        <v/>
      </c>
      <c r="BK70" s="101">
        <f>IF(OR(N($BJ70)=0,$BH70=""),"",($BH70-2*EdgeClr-IF($BJ70=2,MeetClr,0))/$BJ70)</f>
        <v/>
      </c>
      <c r="BL70" s="101">
        <f>IF(OR(N($BJ70)=0,$BI70=""),"",$BI70-HeadClr-Undercut)</f>
        <v/>
      </c>
      <c r="BM70" s="101">
        <f>IF($BH70="","",$BH70+2*FaceW+IF(N($Q70)&gt;0,($Q70+FaceW)*IF($R70="LR",2,1),0))</f>
        <v/>
      </c>
      <c r="BN70" s="101">
        <f>IF($BI70="","",$BI70+IF($AB70="Y",4,FaceW)+IF(N($P70)&gt;0,$P70+FaceW,0)+IF(OR($S70="4F",$S70="BL"),FaceW,0))</f>
        <v/>
      </c>
      <c r="BO70" s="101">
        <f>IF($BM70="","",$BM70+2*ROSide)</f>
        <v/>
      </c>
      <c r="BP70" s="101">
        <f>IF($BN70="","",$BN70+ROTop)</f>
        <v/>
      </c>
      <c r="BQ70" s="102">
        <f>IF(OR(N($BJ70)=0,$BH70=""),"",$BH70/$BJ70-ClearDeduct)</f>
        <v/>
      </c>
      <c r="BR70" s="99">
        <f>IF(N($CH70)=0,"",IF($CH70&gt;=180,"A · 3 HR",IF($CH70&gt;=90,"B · 1-1/2 HR",IF($CH70&gt;=60,"B · 1 HR",IF($CH70&gt;=45,"C · 3/4 HR","20 MIN")))))&amp;IF(AND(N($CH70)&gt;0,OR($I70="CORRIDOR",$I70="SMOKE BARRIER"))," · S","")</f>
        <v/>
      </c>
      <c r="BS70" s="99">
        <f>IF($CS70,"",IF($AV70&lt;&gt;"",$AV70,IF(OR($AC70="HGC",$AO70="HGC"),"CONT",IF(($BI70-HeadClr-Undercut)&lt;=60,2,IF(($BI70-HeadClr-Undercut)&lt;=90,3,IF(($BI70-HeadClr-Undercut)&lt;=120,4,5))))))</f>
        <v/>
      </c>
      <c r="BT70" s="99">
        <f>IF($CS70,"",IF($CT70,"CUSTOM (typed)",IF($CV70,$AT70&amp;" "&amp;$CU70&amp;CHAR(34)&amp;IF($CU70&lt;&gt;$BI70,IF(AND($BI70&lt;$CU70,$BI70-IF(N(VLOOKUP($AT70&amp;"|"&amp;$CU70,LocTable,7,FALSE))&gt;0,VLOOKUP($AT70&amp;"|"&amp;$CU70,LocTable,7,FALSE),VLOOKUP($AT70&amp;"|"&amp;$CU70,LocTable,6,FALSE))-$CR70-0.75&gt;=2.125)," cut down"," adj."),""),"ANSI/SDI A250.6")))</f>
        <v/>
      </c>
      <c r="BU70" s="103">
        <f>IF($CS70,"",IF($CT70,IF(N($AW70)&gt;0,N($AW70),""),IF(1&gt;$CQ70,"",IF($CQ70=1,$CW70,$CW70+($CX70-$CW70)*0/($CQ70-1)))))</f>
        <v/>
      </c>
      <c r="BV70" s="103">
        <f>IF($CS70,"",IF($CT70,IF(N($AX70)&gt;0,N($AX70),""),IF(2&gt;$CQ70,"",IF($CQ70=1,$CW70,$CW70+($CX70-$CW70)*1/($CQ70-1)))))</f>
        <v/>
      </c>
      <c r="BW70" s="103">
        <f>IF($CS70,"",IF($CT70,IF(N($AY70)&gt;0,N($AY70),""),IF(3&gt;$CQ70,"",IF($CQ70=1,$CW70,$CW70+($CX70-$CW70)*2/($CQ70-1)))))</f>
        <v/>
      </c>
      <c r="BX70" s="103">
        <f>IF($CS70,"",IF($CT70,IF(N($AZ70)&gt;0,N($AZ70),""),IF(4&gt;$CQ70,"",IF($CQ70=1,$CW70,$CW70+($CX70-$CW70)*3/($CQ70-1)))))</f>
        <v/>
      </c>
      <c r="BY70" s="103">
        <f>IF($CS70,"",IF($CT70,"",IF(5&gt;$CQ70,"",IF($CQ70=1,$CW70,$CW70+($CX70-$CW70)*4/($CQ70-1)))))</f>
        <v/>
      </c>
      <c r="BZ70" s="103">
        <f>IF(OR($CS70,$AP70="-",AND($AP70="",$AD70="")),"",IF(N($BA70)&gt;0,N($BA70),IF($CV70,IF(AND($BI70&lt;$CU70,$BI70-IF(N(VLOOKUP($AT70&amp;"|"&amp;$CU70,LocTable,7,FALSE))&gt;0,VLOOKUP($AT70&amp;"|"&amp;$CU70,LocTable,7,FALSE),VLOOKUP($AT70&amp;"|"&amp;$CU70,LocTable,6,FALSE))-$CR70-0.75&gt;=2.125),VLOOKUP($AT70&amp;"|"&amp;$CU70,LocTable,8,FALSE),VLOOKUP($AT70&amp;"|"&amp;$CU70,LocTable,8,FALSE)+($BI70-$CU70)),$BI70-LockAFF)))</f>
        <v/>
      </c>
      <c r="CA70" s="104">
        <f>IF($BZ70="","",$BI70-$BZ70)</f>
        <v/>
      </c>
      <c r="CB70" s="99">
        <f>IF(OR(NOT(AND($A70&lt;&gt;"",$C70&lt;&gt;"DOOR ONLY")),$BI70=""),"",IF(($BI70+IF(N($P70)&gt;0,$P70+FaceW,0))&lt;=90,3,IF(($BI70+IF(N($P70)&gt;0,$P70+FaceW,0))&lt;=114,4,5)))</f>
        <v/>
      </c>
      <c r="CC70" s="99">
        <f>IF($CB70="","",$CB70*(2+IF(N($Q70)&gt;0,IF($R70="LR",2,1),0)))</f>
        <v/>
      </c>
      <c r="CD70" s="99">
        <f>IF($CB70="","",(2+IF(N($Q70)&gt;0,IF($R70="LR",2,1),0)))</f>
        <v/>
      </c>
      <c r="CE70" s="99">
        <f>IF(N($BJ70)=0,"",IF(OR($AL70="",$AL70="FLUSH"),"FLUSH",IFERROR(LEFT($AL70,FIND("-",$AL70)-1),LEFT($AL70,2))))</f>
        <v/>
      </c>
      <c r="CF70" s="99">
        <f>IF($CE70="","",IFERROR(VALUE(MID($AL70,FIND("-",$AL70)+1,FIND(CHAR(34)&amp;"x",$AL70)-FIND("-",$AL70)-1)),0))</f>
        <v/>
      </c>
      <c r="CG70" s="99">
        <f>IF($CE70="","",IFERROR(VALUE(MID($AL70,FIND(CHAR(34)&amp;"x",$AL70)+2,FIND(CHAR(34),$AL70,FIND(CHAR(34)&amp;"x",$AL70)+2)-FIND(CHAR(34)&amp;"x",$AL70)-2)),0))</f>
        <v/>
      </c>
      <c r="CH70" s="105">
        <f>IF(OR($A70="",$H70="",$H70="NO LAB"),0,IFERROR(VALUE(LEFT($H70,FIND(" ",$H70)-1)),0))</f>
        <v/>
      </c>
      <c r="CI70" s="106">
        <f>IF(OR($A70="",$I70="",$I70="NON-RATED",N($J70)=0),"",IFERROR(VLOOKUP($I70&amp;"|"&amp;$J70,IBC,2,FALSE),"?"))</f>
        <v/>
      </c>
      <c r="CJ70" s="100">
        <f>IF(NOT(AND($A70&lt;&gt;"",$C70&lt;&gt;"DOOR ONLY")),"",TRIM(IFERROR(VLOOKUP($U70,CODES,2,FALSE),"")&amp;" "&amp;$BG70&amp;" "&amp;IFERROR(VLOOKUP($Z70,CODES,2,FALSE),"")&amp;" "&amp;IFERROR(VLOOKUP($X70,CODES,2,FALSE),"")&amp;" "&amp;IFERROR(VLOOKUP($S70,CODES,2,FALSE),"")&amp;IF(N($P70)&gt;0," w/TRANSOM "&amp;$P70&amp;CHAR(34),"")&amp;IF(N($Q70)&gt;0," w/SIDELITE "&amp;$Q70&amp;CHAR(34)&amp;" "&amp;IF($R70="","R",$R70),"")&amp;IF($Y70="","  |  "," | "&amp;IFERROR(VLOOKUP($Y70,CODES,2,FALSE),"")&amp;" | ")&amp;IFERROR(VLOOKUP($AC70,CODES,2,FALSE),"")&amp;" "&amp;IFERROR(VLOOKUP($AD70,CODES,2,FALSE),"")&amp;IF(OR($AE70="",$AE70="-"),""," "&amp;$AE70)&amp;IF(OR($AF70="",$AF70="-"),""," "&amp;$AF70)&amp;IF($AB70="Y"," 4"&amp;CHAR(34)&amp;" HEAD","")&amp;" "&amp;IFERROR(VLOOKUP($H70,CODES,2,FALSE),"")&amp;IF($CT70," | LOC "&amp;$CY70,"")))</f>
        <v/>
      </c>
      <c r="CK70" s="100">
        <f>IF(NOT(AND($A70&lt;&gt;"",N($BJ70)&gt;0)),"",TRIM(IFERROR(VLOOKUP($AH70,CODES,2,FALSE),"")&amp;IF($AI70=""," "," "&amp;$AI70&amp;"GA ")&amp;$BG70&amp;" "&amp;IF($AN70="",IFERROR(VLOOKUP($Z70,CODES,2,FALSE),""),IFERROR(VLOOKUP($AN70,CODES,2,FALSE),""))&amp;IF($BJ70=2," PAIR","")&amp;" DOOR | "&amp;IF($AL70="","?",$AL70)&amp;" | "&amp;IF($AO70="",IFERROR(VLOOKUP($AC70,CODES,2,FALSE),""),IFERROR(VLOOKUP($AO70,CODES,2,FALSE),""))&amp;" "&amp;IFERROR(VLOOKUP($AP70,CODES,2,FALSE),"")&amp;IF(OR($AQ70="",$AQ70="-"),""," SEAM "&amp;$AQ70)&amp;IF($AR70="Y"," ASTRAGAL","")&amp;IF($AJ70=""," "," "&amp;$AJ70)&amp;IF($AK70=""," "," "&amp;$AK70)&amp;IF(OR($AT70="",$AT70="ANSI/SDI",$AT70="CUSTOM LOC"),""," "&amp;$AT70)&amp;IF($AM70=""," "," SERIES "&amp;$AM70)&amp;" "&amp;IFERROR(VLOOKUP($H70,CODES,2,FALSE),"")&amp;IF($CT70," | LOC "&amp;$CZ70,"")))</f>
        <v/>
      </c>
      <c r="CL70" s="99">
        <f>IF(CP70="","",IF(COUNTIF($CP$6:CP70,CP70)=1,MAX($CL$5:CL69)+1,INDEX($CL$5:CL69,MATCH(CP70,$CP$5:CP69,0))))</f>
        <v/>
      </c>
      <c r="CM70" s="99">
        <f>IF(NOT(AND($A70&lt;&gt;"",$C70&lt;&gt;"DOOR ONLY")),"",MAX($CM$5:CM69)+1)</f>
        <v/>
      </c>
      <c r="CN70" s="99">
        <f>IF(NOT(AND($A70&lt;&gt;"",N($BJ70)&gt;0)),"",MAX($CN$5:CN69)+1)</f>
        <v/>
      </c>
      <c r="CO70" s="99">
        <f>IF($A70="","",MAX($CO$5:CO69)+1)</f>
        <v/>
      </c>
      <c r="CP70" s="99">
        <f>IF(OR($A70="",$BH70="",$BI70=""),"",$BG70&amp;"|"&amp;$O70&amp;"|"&amp;$AL70&amp;"|"&amp;$S70&amp;"|"&amp;$P70&amp;"|"&amp;$Q70&amp;$R70&amp;"|"&amp;$C70&amp;"|"&amp;$AB70)</f>
        <v/>
      </c>
      <c r="CQ70" s="99">
        <f>N($BS70)</f>
        <v/>
      </c>
      <c r="CR70" s="99">
        <f>IF(N($AU70)&gt;0,N($AU70),4.5)</f>
        <v/>
      </c>
      <c r="CS70" s="99">
        <f>OR($A70="",$BI70="",$S70="BL",AND($C70="FRAME ONLY",OR($AC70="",$AC70="BLK")))</f>
        <v/>
      </c>
      <c r="CT70" s="99">
        <f>AND(NOT($CS70),OR($AT70="CUSTOM LOC",N($AW70)+N($AX70)+N($AY70)+N($AZ70)+N($BA70)&gt;0))</f>
        <v/>
      </c>
      <c r="CU70" s="99">
        <f>IF($BI70="","",IF($BI70&lt;=80,80,IF($BI70&lt;=84,84,96)))</f>
        <v/>
      </c>
      <c r="CV70" s="99">
        <f>ISNUMBER(MATCH($AT70&amp;"|80",LocKeys,0))</f>
        <v/>
      </c>
      <c r="CW70" s="101">
        <f>IF($CS70,"",IF($CV70,VLOOKUP($AT70&amp;"|"&amp;$CU70,LocTable,4,FALSE),5))</f>
        <v/>
      </c>
      <c r="CX70" s="101">
        <f>IF($CS70,"",IF($CV70,IF(OR($BI70=$CU70,AND($BI70&lt;$CU70,$BI70-IF(N(VLOOKUP($AT70&amp;"|"&amp;$CU70,LocTable,7,FALSE))&gt;0,VLOOKUP($AT70&amp;"|"&amp;$CU70,LocTable,7,FALSE),VLOOKUP($AT70&amp;"|"&amp;$CU70,LocTable,6,FALSE))-$CR70-0.75&gt;=2.125)),IF(N(VLOOKUP($AT70&amp;"|"&amp;$CU70,LocTable,7,FALSE))&gt;0,VLOOKUP($AT70&amp;"|"&amp;$CU70,LocTable,7,FALSE),VLOOKUP($AT70&amp;"|"&amp;$CU70,LocTable,6,FALSE)),$BI70-($CU70-IF(N(VLOOKUP($AT70&amp;"|"&amp;$CU70,LocTable,7,FALSE))&gt;0,VLOOKUP($AT70&amp;"|"&amp;$CU70,LocTable,7,FALSE),VLOOKUP($AT70&amp;"|"&amp;$CU70,LocTable,6,FALSE)))),$BI70-10-$CR70))</f>
        <v/>
      </c>
      <c r="CY70" s="100">
        <f>IF($CS70,"",TRIM(IF(ISNUMBER($BU70),"A "&amp;TRIM(TEXT($BU70,"# ?/??"))&amp;CHAR(34)&amp;"  ","")&amp;IF(ISNUMBER($BV70),"B "&amp;TRIM(TEXT($BV70,"# ?/??"))&amp;CHAR(34)&amp;"  ","")&amp;IF(ISNUMBER($BW70),"C "&amp;TRIM(TEXT($BW70,"# ?/??"))&amp;CHAR(34)&amp;"  ","")&amp;IF(ISNUMBER($BX70),"D "&amp;TRIM(TEXT($BX70,"# ?/??"))&amp;CHAR(34)&amp;"  ","")&amp;IF(ISNUMBER($BY70),"F "&amp;TRIM(TEXT($BY70,"# ?/??"))&amp;CHAR(34)&amp;"  ","")&amp;IF(ISNUMBER($BZ70),"E "&amp;TRIM(TEXT($BZ70,"# ?/??"))&amp;CHAR(34)&amp;"  ","")))</f>
        <v/>
      </c>
      <c r="CZ70" s="100">
        <f>IF(OR($CS70,N($BJ70)=0),"",TRIM(IF(ISNUMBER($BU70),"A "&amp;TRIM(TEXT($BU70-HeadClr,"# ?/??"))&amp;CHAR(34)&amp;"  ","")&amp;IF(ISNUMBER($BV70),"B "&amp;TRIM(TEXT($BV70-HeadClr,"# ?/??"))&amp;CHAR(34)&amp;"  ","")&amp;IF(ISNUMBER($BW70),"C "&amp;TRIM(TEXT($BW70-HeadClr,"# ?/??"))&amp;CHAR(34)&amp;"  ","")&amp;IF(ISNUMBER($BX70),"D "&amp;TRIM(TEXT($BX70-HeadClr,"# ?/??"))&amp;CHAR(34)&amp;"  ","")&amp;IF(ISNUMBER($BY70),"F "&amp;TRIM(TEXT($BY70-HeadClr,"# ?/??"))&amp;CHAR(34)&amp;"  ","")&amp;IF(ISNUMBER($BZ70),"E "&amp;TRIM(TEXT($BZ70-HeadClr,"# ?/??"))&amp;CHAR(34)&amp;"  ","")))</f>
        <v/>
      </c>
      <c r="DA70" s="99">
        <f>IF($A70="","",IF($AN70="",IFERROR(VLOOKUP($Z70,CODES,2,FALSE),""),IFERROR(VLOOKUP($AN70,CODES,2,FALSE),"")))</f>
        <v/>
      </c>
      <c r="DB70" s="99">
        <f>IF($A70="","",IF($O70="Y","PR",IF(OR($Z70="L",$Z70="RR",LEFT($Z70,2)="L-",LEFT($Z70,3)="RR-"),"LH","RH")))</f>
        <v/>
      </c>
      <c r="DC70" s="99">
        <f>IF($A70="","","S.HM"&amp;IF(OR($C70="DOOR ONLY",$X70&lt;&gt;"KD"),"MASONRY","DRYWALL")&amp;IF($C70="DOOR ONLY","",$U70)&amp;IF(AND($C70&lt;&gt;"FRAME ONLY",OR(LEFT($AH70,3)="OAK",LEFT($AH70,3)="BIR",LEFT($AH70,3)="MAP",$AH70="PC",$AH70="MC",$AH70="SCLC",$AH70="P-LAM")),"WD","HM")&amp;"1.75")</f>
        <v/>
      </c>
      <c r="DD70" s="99">
        <f>IF($CJ70="","",IF($O70="Y",$CJ70,SUBSTITUTE($CJ70,$BG70&amp;" "&amp;IFERROR(VLOOKUP($Z70,CODES,2,FALSE),"")&amp;" ",$BG70&amp;" ")))</f>
        <v/>
      </c>
      <c r="DE70" s="99">
        <f>IF($CK70="","",IF($O70="Y",$CK70,SUBSTITUTE($CK70,$BG70&amp;" "&amp;IF($AN70="",IFERROR(VLOOKUP($Z70,CODES,2,FALSE),""),IFERROR(VLOOKUP($AN70,CODES,2,FALSE),""))&amp;" ",$BG70&amp;" ")))</f>
        <v/>
      </c>
      <c r="DF70" s="99">
        <f>IF($CJ70="","",$DC70&amp;"|"&amp;$DD70&amp;"|"&amp;$DB70&amp;"|"&amp;$AT70&amp;"|"&amp;$V70&amp;"|"&amp;$Y70&amp;"|"&amp;$AB70)</f>
        <v/>
      </c>
      <c r="DG70" s="99">
        <f>IF(DF70="","",IF(COUNTIF($DF$6:DF70,DF70)=1,MAX($DG$5:DG69)+1,INDEX($DG$5:DG69,MATCH(DF70,$DF$5:DF69,0))))</f>
        <v/>
      </c>
      <c r="DH70" s="99">
        <f>IF($CK70="","",$DC70&amp;"|"&amp;$DE70&amp;"|"&amp;$AI70&amp;"|"&amp;$BK70&amp;"|"&amp;$BL70)</f>
        <v/>
      </c>
      <c r="DI70" s="99">
        <f>IF(DH70="","",IF(COUNTIF($DH$6:DH70,DH70)=1,MAX($DI$5:DI69)+1,INDEX($DI$5:DI69,MATCH(DH70,$DH$5:DH69,0))))</f>
        <v/>
      </c>
      <c r="DJ70" s="99">
        <f>IF($A70="","",IF($B70="","qty, ","")&amp;IF($C70="","scope, ","")&amp;IF(OR($K70="",$M70=""),"size, ","")&amp;IF(AND($A70&lt;&gt;"",$C70&lt;&gt;"DOOR ONLY"),IF($U70="","jamb depth, ","")&amp;IF($X70="","construction, ","")&amp;IF($Y70="","anchor, ","")&amp;IF($S70="","frame type, ",""),"")&amp;IF(AND(N($BJ70)&gt;0,$Z70=""),"hand, ","")&amp;IF(N($BJ70)&gt;0,IF($AH70="","door material, ","")&amp;IF($AL70="","face type, ","")&amp;IF($AP70="","lock prep, ","")&amp;IF(AND($AO70="",$AC70=""),"hinge prep, ",""),"")&amp;IF(AND($CH70&gt;0,$AH70="FRP"),"FRP cannot carry a label, ","")&amp;IF(AND($O70="Y",OR($Z70="L",$Z70="R",$Z70="LR",$Z70="RR")),"pair marked but hand is single, ","")&amp;IF(AND($O70&lt;&gt;"Y",OR($Z70="PR",AND(LEN($Z70)&gt;1,ISNUMBER(SEARCH("-",$Z70))))),"pair hand on a single door, ","")&amp;IF(AND(ISNUMBER($CI70),$CH70&lt;N($CI70)),"wall needs a "&amp;$CI70&amp;" min door, ","")&amp;IF(AND($CH70&gt;=180,AND(OR($CE70="FG",$CE70="HG",$CE70="FNV",$CE70="FV"),N($CF70)*N($CG70)&gt;100)),"180 min lite over 100 sq in, ","")&amp;IF(N($BK70)&gt;48,"leaf wider than 4'-0"&amp;CHAR(34)&amp;", ","")&amp;IF(AND($CT70,COUNT($AW70:$AZ70)=0,$CQ70&gt;0),"CUSTOM LOC with no locations typed, ",""))</f>
        <v/>
      </c>
      <c r="DK70" s="99">
        <f>IF($A70="","",IF(AND($CH70&gt;0,AND($A70&lt;&gt;"",$C70&lt;&gt;"DOOR ONLY"),$X70="KD",$E70="EXTERIOR"),"KD label on an exterior opening, ","")&amp;IF(AND($E70="EXTERIOR",OR(AND(AND($A70&lt;&gt;"",$C70&lt;&gt;"DOOR ONLY"),$W70="CR"),AND(N($BJ70)&gt;0,$AH70="CR"))),"exterior in CR steel (G9?), ","")&amp;IF(AND(ISNUMBER($BQ70),N($BQ70)&lt;32),"clear width ~"&amp;TEXT($BQ70,"0.0")&amp;CHAR(34)&amp;" under 32"&amp;CHAR(34)&amp;" (ADA), ","")&amp;IF(AND($CH70=90,AND(OR($CE70="FG",$CE70="HG",$CE70="FNV",$CE70="FV"),N($CF70)*N($CG70)&gt;100)),"90 min lite over 100 sq in (stair/exit), ","")&amp;IF(AND($CH70&gt;0,AND($A70&lt;&gt;"",$C70&lt;&gt;"DOOR ONLY"),OR($AF70="",$AF70="-")),"rated: closer reinf.?, ","")&amp;IF(OR($I70="CORRIDOR",$I70="SMOKE BARRIER"),"S label + smoke gasketing, ","")&amp;IF($CI70="?","wall type/hr not in IBC table, ","")&amp;IF(AND(N($BJ70)&gt;0,$BB70=""),"no hardware set, ","")&amp;IF(AND($BB70&lt;&gt;"",ISNA(MATCH($BB70&amp;"",HWSets,0))),"set "&amp;$BB70&amp;" not on HW Sets, ","")&amp;IF(N($BL70)&gt;96,"leaf over 8'-0"&amp;CHAR(34)&amp;" - check listing, ","")&amp;IF(AND($CT70,COUNT($AW70:$AZ70)&gt;0,COUNT($AW70:$AZ70)&lt;&gt;$CQ70),COUNT($AW70:$AZ70)&amp;" custom hinges typed, "&amp;$CQ70&amp;" expected, ","")&amp;IF(AND(ISNUMBER($CA70),OR(N($CA70)&lt;34,N($CA70)&gt;48)),"lock "&amp;TEXT($CA70,"0.0")&amp;CHAR(34)&amp;" AFF outside 34-48"&amp;CHAR(34)&amp;" (ADA), ","")&amp;IF(AND(ISNUMBER($AV70),ISNUMBER($BL70),N($AV70)&lt;IF(N($BL70)&lt;=60,2,IF(N($BL70)&lt;=90,3,IF(N($BL70)&lt;=120,4,5)))),"fewer hinges than standard, ",""))</f>
        <v/>
      </c>
    </row>
    <row r="71" ht="15" customHeight="1">
      <c r="A71" s="77" t="n"/>
      <c r="B71" s="78" t="n"/>
      <c r="C71" s="78" t="n"/>
      <c r="D71" s="78" t="n"/>
      <c r="E71" s="78" t="n"/>
      <c r="F71" s="78" t="n"/>
      <c r="G71" s="78" t="n"/>
      <c r="H71" s="78" t="n"/>
      <c r="I71" s="78" t="n"/>
      <c r="J71" s="78" t="n"/>
      <c r="K71" s="78" t="n"/>
      <c r="L71" s="78" t="n"/>
      <c r="M71" s="78" t="n"/>
      <c r="N71" s="78" t="n"/>
      <c r="O71" s="78" t="n"/>
      <c r="P71" s="78" t="n"/>
      <c r="Q71" s="78" t="n"/>
      <c r="R71" s="78" t="n"/>
      <c r="S71" s="79" t="n"/>
      <c r="T71" s="79" t="n"/>
      <c r="U71" s="79" t="n"/>
      <c r="V71" s="79" t="n"/>
      <c r="W71" s="79" t="n"/>
      <c r="X71" s="79" t="n"/>
      <c r="Y71" s="79" t="n"/>
      <c r="Z71" s="79" t="n"/>
      <c r="AA71" s="79" t="n"/>
      <c r="AB71" s="79" t="n"/>
      <c r="AC71" s="79" t="n"/>
      <c r="AD71" s="79" t="n"/>
      <c r="AE71" s="79" t="n"/>
      <c r="AF71" s="79" t="n"/>
      <c r="AG71" s="79" t="n"/>
      <c r="AH71" s="80" t="n"/>
      <c r="AI71" s="80" t="n"/>
      <c r="AJ71" s="80" t="n"/>
      <c r="AK71" s="80" t="n"/>
      <c r="AL71" s="80" t="n"/>
      <c r="AM71" s="80" t="n"/>
      <c r="AN71" s="80" t="n"/>
      <c r="AO71" s="80" t="n"/>
      <c r="AP71" s="80" t="n"/>
      <c r="AQ71" s="80" t="n"/>
      <c r="AR71" s="80" t="n"/>
      <c r="AS71" s="80" t="n"/>
      <c r="AT71" s="81" t="n"/>
      <c r="AU71" s="81" t="n"/>
      <c r="AV71" s="81" t="n"/>
      <c r="AW71" s="82" t="n"/>
      <c r="AX71" s="82" t="n"/>
      <c r="AY71" s="82" t="n"/>
      <c r="AZ71" s="82" t="n"/>
      <c r="BA71" s="82" t="n"/>
      <c r="BB71" s="83" t="n"/>
      <c r="BC71" s="83" t="n"/>
      <c r="BD71" s="84">
        <f>IF($A71="","",IF($DJ71&lt;&gt;"","FIX",IF($DK71&lt;&gt;"","CHECK","OK")))</f>
        <v/>
      </c>
      <c r="BE71" s="85">
        <f>IF($A71="","",IF($DJ71&lt;&gt;"","FIX: "&amp;LEFT($DJ71,LEN($DJ71)-2)&amp;IF($DK71&lt;&gt;"","  ·  ",""),"")&amp;IF($DK71&lt;&gt;"","CHECK: "&amp;LEFT($DK71,LEN($DK71)-2),""))</f>
        <v/>
      </c>
      <c r="BF71" s="84">
        <f>IF(OR($A71="",$K71=""),"",$K71&amp;"'-"&amp;N($L71)&amp;CHAR(34)&amp;" x "&amp;$M71&amp;"'-"&amp;N($N71)&amp;CHAR(34))</f>
        <v/>
      </c>
      <c r="BG71" s="84">
        <f>IF(OR($A71="",$K71=""),"",$K71&amp;N($L71)&amp;$M71&amp;N($N71))</f>
        <v/>
      </c>
      <c r="BH71" s="84">
        <f>IF(OR($A71="",$K71=""),"",$K71*12+N($L71))</f>
        <v/>
      </c>
      <c r="BI71" s="84">
        <f>IF(OR($A71="",$M71=""),"",$M71*12+N($N71))</f>
        <v/>
      </c>
      <c r="BJ71" s="84">
        <f>IF($A71="","",IF(OR($C71="FRAME ONLY",$S71="BL"),0,IF($O71="Y",2,1)))</f>
        <v/>
      </c>
      <c r="BK71" s="86">
        <f>IF(OR(N($BJ71)=0,$BH71=""),"",($BH71-2*EdgeClr-IF($BJ71=2,MeetClr,0))/$BJ71)</f>
        <v/>
      </c>
      <c r="BL71" s="86">
        <f>IF(OR(N($BJ71)=0,$BI71=""),"",$BI71-HeadClr-Undercut)</f>
        <v/>
      </c>
      <c r="BM71" s="86">
        <f>IF($BH71="","",$BH71+2*FaceW+IF(N($Q71)&gt;0,($Q71+FaceW)*IF($R71="LR",2,1),0))</f>
        <v/>
      </c>
      <c r="BN71" s="86">
        <f>IF($BI71="","",$BI71+IF($AB71="Y",4,FaceW)+IF(N($P71)&gt;0,$P71+FaceW,0)+IF(OR($S71="4F",$S71="BL"),FaceW,0))</f>
        <v/>
      </c>
      <c r="BO71" s="86">
        <f>IF($BM71="","",$BM71+2*ROSide)</f>
        <v/>
      </c>
      <c r="BP71" s="86">
        <f>IF($BN71="","",$BN71+ROTop)</f>
        <v/>
      </c>
      <c r="BQ71" s="87">
        <f>IF(OR(N($BJ71)=0,$BH71=""),"",$BH71/$BJ71-ClearDeduct)</f>
        <v/>
      </c>
      <c r="BR71" s="84">
        <f>IF(N($CH71)=0,"",IF($CH71&gt;=180,"A · 3 HR",IF($CH71&gt;=90,"B · 1-1/2 HR",IF($CH71&gt;=60,"B · 1 HR",IF($CH71&gt;=45,"C · 3/4 HR","20 MIN")))))&amp;IF(AND(N($CH71)&gt;0,OR($I71="CORRIDOR",$I71="SMOKE BARRIER"))," · S","")</f>
        <v/>
      </c>
      <c r="BS71" s="84">
        <f>IF($CS71,"",IF($AV71&lt;&gt;"",$AV71,IF(OR($AC71="HGC",$AO71="HGC"),"CONT",IF(($BI71-HeadClr-Undercut)&lt;=60,2,IF(($BI71-HeadClr-Undercut)&lt;=90,3,IF(($BI71-HeadClr-Undercut)&lt;=120,4,5))))))</f>
        <v/>
      </c>
      <c r="BT71" s="84">
        <f>IF($CS71,"",IF($CT71,"CUSTOM (typed)",IF($CV71,$AT71&amp;" "&amp;$CU71&amp;CHAR(34)&amp;IF($CU71&lt;&gt;$BI71,IF(AND($BI71&lt;$CU71,$BI71-IF(N(VLOOKUP($AT71&amp;"|"&amp;$CU71,LocTable,7,FALSE))&gt;0,VLOOKUP($AT71&amp;"|"&amp;$CU71,LocTable,7,FALSE),VLOOKUP($AT71&amp;"|"&amp;$CU71,LocTable,6,FALSE))-$CR71-0.75&gt;=2.125)," cut down"," adj."),""),"ANSI/SDI A250.6")))</f>
        <v/>
      </c>
      <c r="BU71" s="88">
        <f>IF($CS71,"",IF($CT71,IF(N($AW71)&gt;0,N($AW71),""),IF(1&gt;$CQ71,"",IF($CQ71=1,$CW71,$CW71+($CX71-$CW71)*0/($CQ71-1)))))</f>
        <v/>
      </c>
      <c r="BV71" s="88">
        <f>IF($CS71,"",IF($CT71,IF(N($AX71)&gt;0,N($AX71),""),IF(2&gt;$CQ71,"",IF($CQ71=1,$CW71,$CW71+($CX71-$CW71)*1/($CQ71-1)))))</f>
        <v/>
      </c>
      <c r="BW71" s="88">
        <f>IF($CS71,"",IF($CT71,IF(N($AY71)&gt;0,N($AY71),""),IF(3&gt;$CQ71,"",IF($CQ71=1,$CW71,$CW71+($CX71-$CW71)*2/($CQ71-1)))))</f>
        <v/>
      </c>
      <c r="BX71" s="88">
        <f>IF($CS71,"",IF($CT71,IF(N($AZ71)&gt;0,N($AZ71),""),IF(4&gt;$CQ71,"",IF($CQ71=1,$CW71,$CW71+($CX71-$CW71)*3/($CQ71-1)))))</f>
        <v/>
      </c>
      <c r="BY71" s="88">
        <f>IF($CS71,"",IF($CT71,"",IF(5&gt;$CQ71,"",IF($CQ71=1,$CW71,$CW71+($CX71-$CW71)*4/($CQ71-1)))))</f>
        <v/>
      </c>
      <c r="BZ71" s="88">
        <f>IF(OR($CS71,$AP71="-",AND($AP71="",$AD71="")),"",IF(N($BA71)&gt;0,N($BA71),IF($CV71,IF(AND($BI71&lt;$CU71,$BI71-IF(N(VLOOKUP($AT71&amp;"|"&amp;$CU71,LocTable,7,FALSE))&gt;0,VLOOKUP($AT71&amp;"|"&amp;$CU71,LocTable,7,FALSE),VLOOKUP($AT71&amp;"|"&amp;$CU71,LocTable,6,FALSE))-$CR71-0.75&gt;=2.125),VLOOKUP($AT71&amp;"|"&amp;$CU71,LocTable,8,FALSE),VLOOKUP($AT71&amp;"|"&amp;$CU71,LocTable,8,FALSE)+($BI71-$CU71)),$BI71-LockAFF)))</f>
        <v/>
      </c>
      <c r="CA71" s="89">
        <f>IF($BZ71="","",$BI71-$BZ71)</f>
        <v/>
      </c>
      <c r="CB71" s="84">
        <f>IF(OR(NOT(AND($A71&lt;&gt;"",$C71&lt;&gt;"DOOR ONLY")),$BI71=""),"",IF(($BI71+IF(N($P71)&gt;0,$P71+FaceW,0))&lt;=90,3,IF(($BI71+IF(N($P71)&gt;0,$P71+FaceW,0))&lt;=114,4,5)))</f>
        <v/>
      </c>
      <c r="CC71" s="84">
        <f>IF($CB71="","",$CB71*(2+IF(N($Q71)&gt;0,IF($R71="LR",2,1),0)))</f>
        <v/>
      </c>
      <c r="CD71" s="84">
        <f>IF($CB71="","",(2+IF(N($Q71)&gt;0,IF($R71="LR",2,1),0)))</f>
        <v/>
      </c>
      <c r="CE71" s="84">
        <f>IF(N($BJ71)=0,"",IF(OR($AL71="",$AL71="FLUSH"),"FLUSH",IFERROR(LEFT($AL71,FIND("-",$AL71)-1),LEFT($AL71,2))))</f>
        <v/>
      </c>
      <c r="CF71" s="84">
        <f>IF($CE71="","",IFERROR(VALUE(MID($AL71,FIND("-",$AL71)+1,FIND(CHAR(34)&amp;"x",$AL71)-FIND("-",$AL71)-1)),0))</f>
        <v/>
      </c>
      <c r="CG71" s="84">
        <f>IF($CE71="","",IFERROR(VALUE(MID($AL71,FIND(CHAR(34)&amp;"x",$AL71)+2,FIND(CHAR(34),$AL71,FIND(CHAR(34)&amp;"x",$AL71)+2)-FIND(CHAR(34)&amp;"x",$AL71)-2)),0))</f>
        <v/>
      </c>
      <c r="CH71" s="90">
        <f>IF(OR($A71="",$H71="",$H71="NO LAB"),0,IFERROR(VALUE(LEFT($H71,FIND(" ",$H71)-1)),0))</f>
        <v/>
      </c>
      <c r="CI71" s="91">
        <f>IF(OR($A71="",$I71="",$I71="NON-RATED",N($J71)=0),"",IFERROR(VLOOKUP($I71&amp;"|"&amp;$J71,IBC,2,FALSE),"?"))</f>
        <v/>
      </c>
      <c r="CJ71" s="85">
        <f>IF(NOT(AND($A71&lt;&gt;"",$C71&lt;&gt;"DOOR ONLY")),"",TRIM(IFERROR(VLOOKUP($U71,CODES,2,FALSE),"")&amp;" "&amp;$BG71&amp;" "&amp;IFERROR(VLOOKUP($Z71,CODES,2,FALSE),"")&amp;" "&amp;IFERROR(VLOOKUP($X71,CODES,2,FALSE),"")&amp;" "&amp;IFERROR(VLOOKUP($S71,CODES,2,FALSE),"")&amp;IF(N($P71)&gt;0," w/TRANSOM "&amp;$P71&amp;CHAR(34),"")&amp;IF(N($Q71)&gt;0," w/SIDELITE "&amp;$Q71&amp;CHAR(34)&amp;" "&amp;IF($R71="","R",$R71),"")&amp;IF($Y71="","  |  "," | "&amp;IFERROR(VLOOKUP($Y71,CODES,2,FALSE),"")&amp;" | ")&amp;IFERROR(VLOOKUP($AC71,CODES,2,FALSE),"")&amp;" "&amp;IFERROR(VLOOKUP($AD71,CODES,2,FALSE),"")&amp;IF(OR($AE71="",$AE71="-"),""," "&amp;$AE71)&amp;IF(OR($AF71="",$AF71="-"),""," "&amp;$AF71)&amp;IF($AB71="Y"," 4"&amp;CHAR(34)&amp;" HEAD","")&amp;" "&amp;IFERROR(VLOOKUP($H71,CODES,2,FALSE),"")&amp;IF($CT71," | LOC "&amp;$CY71,"")))</f>
        <v/>
      </c>
      <c r="CK71" s="85">
        <f>IF(NOT(AND($A71&lt;&gt;"",N($BJ71)&gt;0)),"",TRIM(IFERROR(VLOOKUP($AH71,CODES,2,FALSE),"")&amp;IF($AI71=""," "," "&amp;$AI71&amp;"GA ")&amp;$BG71&amp;" "&amp;IF($AN71="",IFERROR(VLOOKUP($Z71,CODES,2,FALSE),""),IFERROR(VLOOKUP($AN71,CODES,2,FALSE),""))&amp;IF($BJ71=2," PAIR","")&amp;" DOOR | "&amp;IF($AL71="","?",$AL71)&amp;" | "&amp;IF($AO71="",IFERROR(VLOOKUP($AC71,CODES,2,FALSE),""),IFERROR(VLOOKUP($AO71,CODES,2,FALSE),""))&amp;" "&amp;IFERROR(VLOOKUP($AP71,CODES,2,FALSE),"")&amp;IF(OR($AQ71="",$AQ71="-"),""," SEAM "&amp;$AQ71)&amp;IF($AR71="Y"," ASTRAGAL","")&amp;IF($AJ71=""," "," "&amp;$AJ71)&amp;IF($AK71=""," "," "&amp;$AK71)&amp;IF(OR($AT71="",$AT71="ANSI/SDI",$AT71="CUSTOM LOC"),""," "&amp;$AT71)&amp;IF($AM71=""," "," SERIES "&amp;$AM71)&amp;" "&amp;IFERROR(VLOOKUP($H71,CODES,2,FALSE),"")&amp;IF($CT71," | LOC "&amp;$CZ71,"")))</f>
        <v/>
      </c>
      <c r="CL71" s="84">
        <f>IF(CP71="","",IF(COUNTIF($CP$6:CP71,CP71)=1,MAX($CL$5:CL70)+1,INDEX($CL$5:CL70,MATCH(CP71,$CP$5:CP70,0))))</f>
        <v/>
      </c>
      <c r="CM71" s="84">
        <f>IF(NOT(AND($A71&lt;&gt;"",$C71&lt;&gt;"DOOR ONLY")),"",MAX($CM$5:CM70)+1)</f>
        <v/>
      </c>
      <c r="CN71" s="84">
        <f>IF(NOT(AND($A71&lt;&gt;"",N($BJ71)&gt;0)),"",MAX($CN$5:CN70)+1)</f>
        <v/>
      </c>
      <c r="CO71" s="84">
        <f>IF($A71="","",MAX($CO$5:CO70)+1)</f>
        <v/>
      </c>
      <c r="CP71" s="84">
        <f>IF(OR($A71="",$BH71="",$BI71=""),"",$BG71&amp;"|"&amp;$O71&amp;"|"&amp;$AL71&amp;"|"&amp;$S71&amp;"|"&amp;$P71&amp;"|"&amp;$Q71&amp;$R71&amp;"|"&amp;$C71&amp;"|"&amp;$AB71)</f>
        <v/>
      </c>
      <c r="CQ71" s="84">
        <f>N($BS71)</f>
        <v/>
      </c>
      <c r="CR71" s="84">
        <f>IF(N($AU71)&gt;0,N($AU71),4.5)</f>
        <v/>
      </c>
      <c r="CS71" s="84">
        <f>OR($A71="",$BI71="",$S71="BL",AND($C71="FRAME ONLY",OR($AC71="",$AC71="BLK")))</f>
        <v/>
      </c>
      <c r="CT71" s="84">
        <f>AND(NOT($CS71),OR($AT71="CUSTOM LOC",N($AW71)+N($AX71)+N($AY71)+N($AZ71)+N($BA71)&gt;0))</f>
        <v/>
      </c>
      <c r="CU71" s="84">
        <f>IF($BI71="","",IF($BI71&lt;=80,80,IF($BI71&lt;=84,84,96)))</f>
        <v/>
      </c>
      <c r="CV71" s="84">
        <f>ISNUMBER(MATCH($AT71&amp;"|80",LocKeys,0))</f>
        <v/>
      </c>
      <c r="CW71" s="86">
        <f>IF($CS71,"",IF($CV71,VLOOKUP($AT71&amp;"|"&amp;$CU71,LocTable,4,FALSE),5))</f>
        <v/>
      </c>
      <c r="CX71" s="86">
        <f>IF($CS71,"",IF($CV71,IF(OR($BI71=$CU71,AND($BI71&lt;$CU71,$BI71-IF(N(VLOOKUP($AT71&amp;"|"&amp;$CU71,LocTable,7,FALSE))&gt;0,VLOOKUP($AT71&amp;"|"&amp;$CU71,LocTable,7,FALSE),VLOOKUP($AT71&amp;"|"&amp;$CU71,LocTable,6,FALSE))-$CR71-0.75&gt;=2.125)),IF(N(VLOOKUP($AT71&amp;"|"&amp;$CU71,LocTable,7,FALSE))&gt;0,VLOOKUP($AT71&amp;"|"&amp;$CU71,LocTable,7,FALSE),VLOOKUP($AT71&amp;"|"&amp;$CU71,LocTable,6,FALSE)),$BI71-($CU71-IF(N(VLOOKUP($AT71&amp;"|"&amp;$CU71,LocTable,7,FALSE))&gt;0,VLOOKUP($AT71&amp;"|"&amp;$CU71,LocTable,7,FALSE),VLOOKUP($AT71&amp;"|"&amp;$CU71,LocTable,6,FALSE)))),$BI71-10-$CR71))</f>
        <v/>
      </c>
      <c r="CY71" s="85">
        <f>IF($CS71,"",TRIM(IF(ISNUMBER($BU71),"A "&amp;TRIM(TEXT($BU71,"# ?/??"))&amp;CHAR(34)&amp;"  ","")&amp;IF(ISNUMBER($BV71),"B "&amp;TRIM(TEXT($BV71,"# ?/??"))&amp;CHAR(34)&amp;"  ","")&amp;IF(ISNUMBER($BW71),"C "&amp;TRIM(TEXT($BW71,"# ?/??"))&amp;CHAR(34)&amp;"  ","")&amp;IF(ISNUMBER($BX71),"D "&amp;TRIM(TEXT($BX71,"# ?/??"))&amp;CHAR(34)&amp;"  ","")&amp;IF(ISNUMBER($BY71),"F "&amp;TRIM(TEXT($BY71,"# ?/??"))&amp;CHAR(34)&amp;"  ","")&amp;IF(ISNUMBER($BZ71),"E "&amp;TRIM(TEXT($BZ71,"# ?/??"))&amp;CHAR(34)&amp;"  ","")))</f>
        <v/>
      </c>
      <c r="CZ71" s="85">
        <f>IF(OR($CS71,N($BJ71)=0),"",TRIM(IF(ISNUMBER($BU71),"A "&amp;TRIM(TEXT($BU71-HeadClr,"# ?/??"))&amp;CHAR(34)&amp;"  ","")&amp;IF(ISNUMBER($BV71),"B "&amp;TRIM(TEXT($BV71-HeadClr,"# ?/??"))&amp;CHAR(34)&amp;"  ","")&amp;IF(ISNUMBER($BW71),"C "&amp;TRIM(TEXT($BW71-HeadClr,"# ?/??"))&amp;CHAR(34)&amp;"  ","")&amp;IF(ISNUMBER($BX71),"D "&amp;TRIM(TEXT($BX71-HeadClr,"# ?/??"))&amp;CHAR(34)&amp;"  ","")&amp;IF(ISNUMBER($BY71),"F "&amp;TRIM(TEXT($BY71-HeadClr,"# ?/??"))&amp;CHAR(34)&amp;"  ","")&amp;IF(ISNUMBER($BZ71),"E "&amp;TRIM(TEXT($BZ71-HeadClr,"# ?/??"))&amp;CHAR(34)&amp;"  ","")))</f>
        <v/>
      </c>
      <c r="DA71" s="84">
        <f>IF($A71="","",IF($AN71="",IFERROR(VLOOKUP($Z71,CODES,2,FALSE),""),IFERROR(VLOOKUP($AN71,CODES,2,FALSE),"")))</f>
        <v/>
      </c>
      <c r="DB71" s="84">
        <f>IF($A71="","",IF($O71="Y","PR",IF(OR($Z71="L",$Z71="RR",LEFT($Z71,2)="L-",LEFT($Z71,3)="RR-"),"LH","RH")))</f>
        <v/>
      </c>
      <c r="DC71" s="84">
        <f>IF($A71="","","S.HM"&amp;IF(OR($C71="DOOR ONLY",$X71&lt;&gt;"KD"),"MASONRY","DRYWALL")&amp;IF($C71="DOOR ONLY","",$U71)&amp;IF(AND($C71&lt;&gt;"FRAME ONLY",OR(LEFT($AH71,3)="OAK",LEFT($AH71,3)="BIR",LEFT($AH71,3)="MAP",$AH71="PC",$AH71="MC",$AH71="SCLC",$AH71="P-LAM")),"WD","HM")&amp;"1.75")</f>
        <v/>
      </c>
      <c r="DD71" s="84">
        <f>IF($CJ71="","",IF($O71="Y",$CJ71,SUBSTITUTE($CJ71,$BG71&amp;" "&amp;IFERROR(VLOOKUP($Z71,CODES,2,FALSE),"")&amp;" ",$BG71&amp;" ")))</f>
        <v/>
      </c>
      <c r="DE71" s="84">
        <f>IF($CK71="","",IF($O71="Y",$CK71,SUBSTITUTE($CK71,$BG71&amp;" "&amp;IF($AN71="",IFERROR(VLOOKUP($Z71,CODES,2,FALSE),""),IFERROR(VLOOKUP($AN71,CODES,2,FALSE),""))&amp;" ",$BG71&amp;" ")))</f>
        <v/>
      </c>
      <c r="DF71" s="84">
        <f>IF($CJ71="","",$DC71&amp;"|"&amp;$DD71&amp;"|"&amp;$DB71&amp;"|"&amp;$AT71&amp;"|"&amp;$V71&amp;"|"&amp;$Y71&amp;"|"&amp;$AB71)</f>
        <v/>
      </c>
      <c r="DG71" s="84">
        <f>IF(DF71="","",IF(COUNTIF($DF$6:DF71,DF71)=1,MAX($DG$5:DG70)+1,INDEX($DG$5:DG70,MATCH(DF71,$DF$5:DF70,0))))</f>
        <v/>
      </c>
      <c r="DH71" s="84">
        <f>IF($CK71="","",$DC71&amp;"|"&amp;$DE71&amp;"|"&amp;$AI71&amp;"|"&amp;$BK71&amp;"|"&amp;$BL71)</f>
        <v/>
      </c>
      <c r="DI71" s="84">
        <f>IF(DH71="","",IF(COUNTIF($DH$6:DH71,DH71)=1,MAX($DI$5:DI70)+1,INDEX($DI$5:DI70,MATCH(DH71,$DH$5:DH70,0))))</f>
        <v/>
      </c>
      <c r="DJ71" s="84">
        <f>IF($A71="","",IF($B71="","qty, ","")&amp;IF($C71="","scope, ","")&amp;IF(OR($K71="",$M71=""),"size, ","")&amp;IF(AND($A71&lt;&gt;"",$C71&lt;&gt;"DOOR ONLY"),IF($U71="","jamb depth, ","")&amp;IF($X71="","construction, ","")&amp;IF($Y71="","anchor, ","")&amp;IF($S71="","frame type, ",""),"")&amp;IF(AND(N($BJ71)&gt;0,$Z71=""),"hand, ","")&amp;IF(N($BJ71)&gt;0,IF($AH71="","door material, ","")&amp;IF($AL71="","face type, ","")&amp;IF($AP71="","lock prep, ","")&amp;IF(AND($AO71="",$AC71=""),"hinge prep, ",""),"")&amp;IF(AND($CH71&gt;0,$AH71="FRP"),"FRP cannot carry a label, ","")&amp;IF(AND($O71="Y",OR($Z71="L",$Z71="R",$Z71="LR",$Z71="RR")),"pair marked but hand is single, ","")&amp;IF(AND($O71&lt;&gt;"Y",OR($Z71="PR",AND(LEN($Z71)&gt;1,ISNUMBER(SEARCH("-",$Z71))))),"pair hand on a single door, ","")&amp;IF(AND(ISNUMBER($CI71),$CH71&lt;N($CI71)),"wall needs a "&amp;$CI71&amp;" min door, ","")&amp;IF(AND($CH71&gt;=180,AND(OR($CE71="FG",$CE71="HG",$CE71="FNV",$CE71="FV"),N($CF71)*N($CG71)&gt;100)),"180 min lite over 100 sq in, ","")&amp;IF(N($BK71)&gt;48,"leaf wider than 4'-0"&amp;CHAR(34)&amp;", ","")&amp;IF(AND($CT71,COUNT($AW71:$AZ71)=0,$CQ71&gt;0),"CUSTOM LOC with no locations typed, ",""))</f>
        <v/>
      </c>
      <c r="DK71" s="84">
        <f>IF($A71="","",IF(AND($CH71&gt;0,AND($A71&lt;&gt;"",$C71&lt;&gt;"DOOR ONLY"),$X71="KD",$E71="EXTERIOR"),"KD label on an exterior opening, ","")&amp;IF(AND($E71="EXTERIOR",OR(AND(AND($A71&lt;&gt;"",$C71&lt;&gt;"DOOR ONLY"),$W71="CR"),AND(N($BJ71)&gt;0,$AH71="CR"))),"exterior in CR steel (G9?), ","")&amp;IF(AND(ISNUMBER($BQ71),N($BQ71)&lt;32),"clear width ~"&amp;TEXT($BQ71,"0.0")&amp;CHAR(34)&amp;" under 32"&amp;CHAR(34)&amp;" (ADA), ","")&amp;IF(AND($CH71=90,AND(OR($CE71="FG",$CE71="HG",$CE71="FNV",$CE71="FV"),N($CF71)*N($CG71)&gt;100)),"90 min lite over 100 sq in (stair/exit), ","")&amp;IF(AND($CH71&gt;0,AND($A71&lt;&gt;"",$C71&lt;&gt;"DOOR ONLY"),OR($AF71="",$AF71="-")),"rated: closer reinf.?, ","")&amp;IF(OR($I71="CORRIDOR",$I71="SMOKE BARRIER"),"S label + smoke gasketing, ","")&amp;IF($CI71="?","wall type/hr not in IBC table, ","")&amp;IF(AND(N($BJ71)&gt;0,$BB71=""),"no hardware set, ","")&amp;IF(AND($BB71&lt;&gt;"",ISNA(MATCH($BB71&amp;"",HWSets,0))),"set "&amp;$BB71&amp;" not on HW Sets, ","")&amp;IF(N($BL71)&gt;96,"leaf over 8'-0"&amp;CHAR(34)&amp;" - check listing, ","")&amp;IF(AND($CT71,COUNT($AW71:$AZ71)&gt;0,COUNT($AW71:$AZ71)&lt;&gt;$CQ71),COUNT($AW71:$AZ71)&amp;" custom hinges typed, "&amp;$CQ71&amp;" expected, ","")&amp;IF(AND(ISNUMBER($CA71),OR(N($CA71)&lt;34,N($CA71)&gt;48)),"lock "&amp;TEXT($CA71,"0.0")&amp;CHAR(34)&amp;" AFF outside 34-48"&amp;CHAR(34)&amp;" (ADA), ","")&amp;IF(AND(ISNUMBER($AV71),ISNUMBER($BL71),N($AV71)&lt;IF(N($BL71)&lt;=60,2,IF(N($BL71)&lt;=90,3,IF(N($BL71)&lt;=120,4,5)))),"fewer hinges than standard, ",""))</f>
        <v/>
      </c>
    </row>
    <row r="72" ht="15" customHeight="1">
      <c r="A72" s="77" t="n"/>
      <c r="B72" s="78" t="n"/>
      <c r="C72" s="78" t="n"/>
      <c r="D72" s="78" t="n"/>
      <c r="E72" s="78" t="n"/>
      <c r="F72" s="78" t="n"/>
      <c r="G72" s="78" t="n"/>
      <c r="H72" s="78" t="n"/>
      <c r="I72" s="78" t="n"/>
      <c r="J72" s="78" t="n"/>
      <c r="K72" s="78" t="n"/>
      <c r="L72" s="78" t="n"/>
      <c r="M72" s="78" t="n"/>
      <c r="N72" s="78" t="n"/>
      <c r="O72" s="78" t="n"/>
      <c r="P72" s="78" t="n"/>
      <c r="Q72" s="78" t="n"/>
      <c r="R72" s="78" t="n"/>
      <c r="S72" s="79" t="n"/>
      <c r="T72" s="79" t="n"/>
      <c r="U72" s="79" t="n"/>
      <c r="V72" s="79" t="n"/>
      <c r="W72" s="79" t="n"/>
      <c r="X72" s="79" t="n"/>
      <c r="Y72" s="79" t="n"/>
      <c r="Z72" s="79" t="n"/>
      <c r="AA72" s="79" t="n"/>
      <c r="AB72" s="79" t="n"/>
      <c r="AC72" s="79" t="n"/>
      <c r="AD72" s="79" t="n"/>
      <c r="AE72" s="79" t="n"/>
      <c r="AF72" s="79" t="n"/>
      <c r="AG72" s="79" t="n"/>
      <c r="AH72" s="80" t="n"/>
      <c r="AI72" s="80" t="n"/>
      <c r="AJ72" s="80" t="n"/>
      <c r="AK72" s="80" t="n"/>
      <c r="AL72" s="80" t="n"/>
      <c r="AM72" s="80" t="n"/>
      <c r="AN72" s="80" t="n"/>
      <c r="AO72" s="80" t="n"/>
      <c r="AP72" s="80" t="n"/>
      <c r="AQ72" s="80" t="n"/>
      <c r="AR72" s="80" t="n"/>
      <c r="AS72" s="80" t="n"/>
      <c r="AT72" s="81" t="n"/>
      <c r="AU72" s="81" t="n"/>
      <c r="AV72" s="81" t="n"/>
      <c r="AW72" s="82" t="n"/>
      <c r="AX72" s="82" t="n"/>
      <c r="AY72" s="82" t="n"/>
      <c r="AZ72" s="82" t="n"/>
      <c r="BA72" s="82" t="n"/>
      <c r="BB72" s="83" t="n"/>
      <c r="BC72" s="83" t="n"/>
      <c r="BD72" s="84">
        <f>IF($A72="","",IF($DJ72&lt;&gt;"","FIX",IF($DK72&lt;&gt;"","CHECK","OK")))</f>
        <v/>
      </c>
      <c r="BE72" s="85">
        <f>IF($A72="","",IF($DJ72&lt;&gt;"","FIX: "&amp;LEFT($DJ72,LEN($DJ72)-2)&amp;IF($DK72&lt;&gt;"","  ·  ",""),"")&amp;IF($DK72&lt;&gt;"","CHECK: "&amp;LEFT($DK72,LEN($DK72)-2),""))</f>
        <v/>
      </c>
      <c r="BF72" s="84">
        <f>IF(OR($A72="",$K72=""),"",$K72&amp;"'-"&amp;N($L72)&amp;CHAR(34)&amp;" x "&amp;$M72&amp;"'-"&amp;N($N72)&amp;CHAR(34))</f>
        <v/>
      </c>
      <c r="BG72" s="84">
        <f>IF(OR($A72="",$K72=""),"",$K72&amp;N($L72)&amp;$M72&amp;N($N72))</f>
        <v/>
      </c>
      <c r="BH72" s="84">
        <f>IF(OR($A72="",$K72=""),"",$K72*12+N($L72))</f>
        <v/>
      </c>
      <c r="BI72" s="84">
        <f>IF(OR($A72="",$M72=""),"",$M72*12+N($N72))</f>
        <v/>
      </c>
      <c r="BJ72" s="84">
        <f>IF($A72="","",IF(OR($C72="FRAME ONLY",$S72="BL"),0,IF($O72="Y",2,1)))</f>
        <v/>
      </c>
      <c r="BK72" s="86">
        <f>IF(OR(N($BJ72)=0,$BH72=""),"",($BH72-2*EdgeClr-IF($BJ72=2,MeetClr,0))/$BJ72)</f>
        <v/>
      </c>
      <c r="BL72" s="86">
        <f>IF(OR(N($BJ72)=0,$BI72=""),"",$BI72-HeadClr-Undercut)</f>
        <v/>
      </c>
      <c r="BM72" s="86">
        <f>IF($BH72="","",$BH72+2*FaceW+IF(N($Q72)&gt;0,($Q72+FaceW)*IF($R72="LR",2,1),0))</f>
        <v/>
      </c>
      <c r="BN72" s="86">
        <f>IF($BI72="","",$BI72+IF($AB72="Y",4,FaceW)+IF(N($P72)&gt;0,$P72+FaceW,0)+IF(OR($S72="4F",$S72="BL"),FaceW,0))</f>
        <v/>
      </c>
      <c r="BO72" s="86">
        <f>IF($BM72="","",$BM72+2*ROSide)</f>
        <v/>
      </c>
      <c r="BP72" s="86">
        <f>IF($BN72="","",$BN72+ROTop)</f>
        <v/>
      </c>
      <c r="BQ72" s="87">
        <f>IF(OR(N($BJ72)=0,$BH72=""),"",$BH72/$BJ72-ClearDeduct)</f>
        <v/>
      </c>
      <c r="BR72" s="84">
        <f>IF(N($CH72)=0,"",IF($CH72&gt;=180,"A · 3 HR",IF($CH72&gt;=90,"B · 1-1/2 HR",IF($CH72&gt;=60,"B · 1 HR",IF($CH72&gt;=45,"C · 3/4 HR","20 MIN")))))&amp;IF(AND(N($CH72)&gt;0,OR($I72="CORRIDOR",$I72="SMOKE BARRIER"))," · S","")</f>
        <v/>
      </c>
      <c r="BS72" s="84">
        <f>IF($CS72,"",IF($AV72&lt;&gt;"",$AV72,IF(OR($AC72="HGC",$AO72="HGC"),"CONT",IF(($BI72-HeadClr-Undercut)&lt;=60,2,IF(($BI72-HeadClr-Undercut)&lt;=90,3,IF(($BI72-HeadClr-Undercut)&lt;=120,4,5))))))</f>
        <v/>
      </c>
      <c r="BT72" s="84">
        <f>IF($CS72,"",IF($CT72,"CUSTOM (typed)",IF($CV72,$AT72&amp;" "&amp;$CU72&amp;CHAR(34)&amp;IF($CU72&lt;&gt;$BI72,IF(AND($BI72&lt;$CU72,$BI72-IF(N(VLOOKUP($AT72&amp;"|"&amp;$CU72,LocTable,7,FALSE))&gt;0,VLOOKUP($AT72&amp;"|"&amp;$CU72,LocTable,7,FALSE),VLOOKUP($AT72&amp;"|"&amp;$CU72,LocTable,6,FALSE))-$CR72-0.75&gt;=2.125)," cut down"," adj."),""),"ANSI/SDI A250.6")))</f>
        <v/>
      </c>
      <c r="BU72" s="88">
        <f>IF($CS72,"",IF($CT72,IF(N($AW72)&gt;0,N($AW72),""),IF(1&gt;$CQ72,"",IF($CQ72=1,$CW72,$CW72+($CX72-$CW72)*0/($CQ72-1)))))</f>
        <v/>
      </c>
      <c r="BV72" s="88">
        <f>IF($CS72,"",IF($CT72,IF(N($AX72)&gt;0,N($AX72),""),IF(2&gt;$CQ72,"",IF($CQ72=1,$CW72,$CW72+($CX72-$CW72)*1/($CQ72-1)))))</f>
        <v/>
      </c>
      <c r="BW72" s="88">
        <f>IF($CS72,"",IF($CT72,IF(N($AY72)&gt;0,N($AY72),""),IF(3&gt;$CQ72,"",IF($CQ72=1,$CW72,$CW72+($CX72-$CW72)*2/($CQ72-1)))))</f>
        <v/>
      </c>
      <c r="BX72" s="88">
        <f>IF($CS72,"",IF($CT72,IF(N($AZ72)&gt;0,N($AZ72),""),IF(4&gt;$CQ72,"",IF($CQ72=1,$CW72,$CW72+($CX72-$CW72)*3/($CQ72-1)))))</f>
        <v/>
      </c>
      <c r="BY72" s="88">
        <f>IF($CS72,"",IF($CT72,"",IF(5&gt;$CQ72,"",IF($CQ72=1,$CW72,$CW72+($CX72-$CW72)*4/($CQ72-1)))))</f>
        <v/>
      </c>
      <c r="BZ72" s="88">
        <f>IF(OR($CS72,$AP72="-",AND($AP72="",$AD72="")),"",IF(N($BA72)&gt;0,N($BA72),IF($CV72,IF(AND($BI72&lt;$CU72,$BI72-IF(N(VLOOKUP($AT72&amp;"|"&amp;$CU72,LocTable,7,FALSE))&gt;0,VLOOKUP($AT72&amp;"|"&amp;$CU72,LocTable,7,FALSE),VLOOKUP($AT72&amp;"|"&amp;$CU72,LocTable,6,FALSE))-$CR72-0.75&gt;=2.125),VLOOKUP($AT72&amp;"|"&amp;$CU72,LocTable,8,FALSE),VLOOKUP($AT72&amp;"|"&amp;$CU72,LocTable,8,FALSE)+($BI72-$CU72)),$BI72-LockAFF)))</f>
        <v/>
      </c>
      <c r="CA72" s="89">
        <f>IF($BZ72="","",$BI72-$BZ72)</f>
        <v/>
      </c>
      <c r="CB72" s="84">
        <f>IF(OR(NOT(AND($A72&lt;&gt;"",$C72&lt;&gt;"DOOR ONLY")),$BI72=""),"",IF(($BI72+IF(N($P72)&gt;0,$P72+FaceW,0))&lt;=90,3,IF(($BI72+IF(N($P72)&gt;0,$P72+FaceW,0))&lt;=114,4,5)))</f>
        <v/>
      </c>
      <c r="CC72" s="84">
        <f>IF($CB72="","",$CB72*(2+IF(N($Q72)&gt;0,IF($R72="LR",2,1),0)))</f>
        <v/>
      </c>
      <c r="CD72" s="84">
        <f>IF($CB72="","",(2+IF(N($Q72)&gt;0,IF($R72="LR",2,1),0)))</f>
        <v/>
      </c>
      <c r="CE72" s="84">
        <f>IF(N($BJ72)=0,"",IF(OR($AL72="",$AL72="FLUSH"),"FLUSH",IFERROR(LEFT($AL72,FIND("-",$AL72)-1),LEFT($AL72,2))))</f>
        <v/>
      </c>
      <c r="CF72" s="84">
        <f>IF($CE72="","",IFERROR(VALUE(MID($AL72,FIND("-",$AL72)+1,FIND(CHAR(34)&amp;"x",$AL72)-FIND("-",$AL72)-1)),0))</f>
        <v/>
      </c>
      <c r="CG72" s="84">
        <f>IF($CE72="","",IFERROR(VALUE(MID($AL72,FIND(CHAR(34)&amp;"x",$AL72)+2,FIND(CHAR(34),$AL72,FIND(CHAR(34)&amp;"x",$AL72)+2)-FIND(CHAR(34)&amp;"x",$AL72)-2)),0))</f>
        <v/>
      </c>
      <c r="CH72" s="90">
        <f>IF(OR($A72="",$H72="",$H72="NO LAB"),0,IFERROR(VALUE(LEFT($H72,FIND(" ",$H72)-1)),0))</f>
        <v/>
      </c>
      <c r="CI72" s="91">
        <f>IF(OR($A72="",$I72="",$I72="NON-RATED",N($J72)=0),"",IFERROR(VLOOKUP($I72&amp;"|"&amp;$J72,IBC,2,FALSE),"?"))</f>
        <v/>
      </c>
      <c r="CJ72" s="85">
        <f>IF(NOT(AND($A72&lt;&gt;"",$C72&lt;&gt;"DOOR ONLY")),"",TRIM(IFERROR(VLOOKUP($U72,CODES,2,FALSE),"")&amp;" "&amp;$BG72&amp;" "&amp;IFERROR(VLOOKUP($Z72,CODES,2,FALSE),"")&amp;" "&amp;IFERROR(VLOOKUP($X72,CODES,2,FALSE),"")&amp;" "&amp;IFERROR(VLOOKUP($S72,CODES,2,FALSE),"")&amp;IF(N($P72)&gt;0," w/TRANSOM "&amp;$P72&amp;CHAR(34),"")&amp;IF(N($Q72)&gt;0," w/SIDELITE "&amp;$Q72&amp;CHAR(34)&amp;" "&amp;IF($R72="","R",$R72),"")&amp;IF($Y72="","  |  "," | "&amp;IFERROR(VLOOKUP($Y72,CODES,2,FALSE),"")&amp;" | ")&amp;IFERROR(VLOOKUP($AC72,CODES,2,FALSE),"")&amp;" "&amp;IFERROR(VLOOKUP($AD72,CODES,2,FALSE),"")&amp;IF(OR($AE72="",$AE72="-"),""," "&amp;$AE72)&amp;IF(OR($AF72="",$AF72="-"),""," "&amp;$AF72)&amp;IF($AB72="Y"," 4"&amp;CHAR(34)&amp;" HEAD","")&amp;" "&amp;IFERROR(VLOOKUP($H72,CODES,2,FALSE),"")&amp;IF($CT72," | LOC "&amp;$CY72,"")))</f>
        <v/>
      </c>
      <c r="CK72" s="85">
        <f>IF(NOT(AND($A72&lt;&gt;"",N($BJ72)&gt;0)),"",TRIM(IFERROR(VLOOKUP($AH72,CODES,2,FALSE),"")&amp;IF($AI72=""," "," "&amp;$AI72&amp;"GA ")&amp;$BG72&amp;" "&amp;IF($AN72="",IFERROR(VLOOKUP($Z72,CODES,2,FALSE),""),IFERROR(VLOOKUP($AN72,CODES,2,FALSE),""))&amp;IF($BJ72=2," PAIR","")&amp;" DOOR | "&amp;IF($AL72="","?",$AL72)&amp;" | "&amp;IF($AO72="",IFERROR(VLOOKUP($AC72,CODES,2,FALSE),""),IFERROR(VLOOKUP($AO72,CODES,2,FALSE),""))&amp;" "&amp;IFERROR(VLOOKUP($AP72,CODES,2,FALSE),"")&amp;IF(OR($AQ72="",$AQ72="-"),""," SEAM "&amp;$AQ72)&amp;IF($AR72="Y"," ASTRAGAL","")&amp;IF($AJ72=""," "," "&amp;$AJ72)&amp;IF($AK72=""," "," "&amp;$AK72)&amp;IF(OR($AT72="",$AT72="ANSI/SDI",$AT72="CUSTOM LOC"),""," "&amp;$AT72)&amp;IF($AM72=""," "," SERIES "&amp;$AM72)&amp;" "&amp;IFERROR(VLOOKUP($H72,CODES,2,FALSE),"")&amp;IF($CT72," | LOC "&amp;$CZ72,"")))</f>
        <v/>
      </c>
      <c r="CL72" s="84">
        <f>IF(CP72="","",IF(COUNTIF($CP$6:CP72,CP72)=1,MAX($CL$5:CL71)+1,INDEX($CL$5:CL71,MATCH(CP72,$CP$5:CP71,0))))</f>
        <v/>
      </c>
      <c r="CM72" s="84">
        <f>IF(NOT(AND($A72&lt;&gt;"",$C72&lt;&gt;"DOOR ONLY")),"",MAX($CM$5:CM71)+1)</f>
        <v/>
      </c>
      <c r="CN72" s="84">
        <f>IF(NOT(AND($A72&lt;&gt;"",N($BJ72)&gt;0)),"",MAX($CN$5:CN71)+1)</f>
        <v/>
      </c>
      <c r="CO72" s="84">
        <f>IF($A72="","",MAX($CO$5:CO71)+1)</f>
        <v/>
      </c>
      <c r="CP72" s="84">
        <f>IF(OR($A72="",$BH72="",$BI72=""),"",$BG72&amp;"|"&amp;$O72&amp;"|"&amp;$AL72&amp;"|"&amp;$S72&amp;"|"&amp;$P72&amp;"|"&amp;$Q72&amp;$R72&amp;"|"&amp;$C72&amp;"|"&amp;$AB72)</f>
        <v/>
      </c>
      <c r="CQ72" s="84">
        <f>N($BS72)</f>
        <v/>
      </c>
      <c r="CR72" s="84">
        <f>IF(N($AU72)&gt;0,N($AU72),4.5)</f>
        <v/>
      </c>
      <c r="CS72" s="84">
        <f>OR($A72="",$BI72="",$S72="BL",AND($C72="FRAME ONLY",OR($AC72="",$AC72="BLK")))</f>
        <v/>
      </c>
      <c r="CT72" s="84">
        <f>AND(NOT($CS72),OR($AT72="CUSTOM LOC",N($AW72)+N($AX72)+N($AY72)+N($AZ72)+N($BA72)&gt;0))</f>
        <v/>
      </c>
      <c r="CU72" s="84">
        <f>IF($BI72="","",IF($BI72&lt;=80,80,IF($BI72&lt;=84,84,96)))</f>
        <v/>
      </c>
      <c r="CV72" s="84">
        <f>ISNUMBER(MATCH($AT72&amp;"|80",LocKeys,0))</f>
        <v/>
      </c>
      <c r="CW72" s="86">
        <f>IF($CS72,"",IF($CV72,VLOOKUP($AT72&amp;"|"&amp;$CU72,LocTable,4,FALSE),5))</f>
        <v/>
      </c>
      <c r="CX72" s="86">
        <f>IF($CS72,"",IF($CV72,IF(OR($BI72=$CU72,AND($BI72&lt;$CU72,$BI72-IF(N(VLOOKUP($AT72&amp;"|"&amp;$CU72,LocTable,7,FALSE))&gt;0,VLOOKUP($AT72&amp;"|"&amp;$CU72,LocTable,7,FALSE),VLOOKUP($AT72&amp;"|"&amp;$CU72,LocTable,6,FALSE))-$CR72-0.75&gt;=2.125)),IF(N(VLOOKUP($AT72&amp;"|"&amp;$CU72,LocTable,7,FALSE))&gt;0,VLOOKUP($AT72&amp;"|"&amp;$CU72,LocTable,7,FALSE),VLOOKUP($AT72&amp;"|"&amp;$CU72,LocTable,6,FALSE)),$BI72-($CU72-IF(N(VLOOKUP($AT72&amp;"|"&amp;$CU72,LocTable,7,FALSE))&gt;0,VLOOKUP($AT72&amp;"|"&amp;$CU72,LocTable,7,FALSE),VLOOKUP($AT72&amp;"|"&amp;$CU72,LocTable,6,FALSE)))),$BI72-10-$CR72))</f>
        <v/>
      </c>
      <c r="CY72" s="85">
        <f>IF($CS72,"",TRIM(IF(ISNUMBER($BU72),"A "&amp;TRIM(TEXT($BU72,"# ?/??"))&amp;CHAR(34)&amp;"  ","")&amp;IF(ISNUMBER($BV72),"B "&amp;TRIM(TEXT($BV72,"# ?/??"))&amp;CHAR(34)&amp;"  ","")&amp;IF(ISNUMBER($BW72),"C "&amp;TRIM(TEXT($BW72,"# ?/??"))&amp;CHAR(34)&amp;"  ","")&amp;IF(ISNUMBER($BX72),"D "&amp;TRIM(TEXT($BX72,"# ?/??"))&amp;CHAR(34)&amp;"  ","")&amp;IF(ISNUMBER($BY72),"F "&amp;TRIM(TEXT($BY72,"# ?/??"))&amp;CHAR(34)&amp;"  ","")&amp;IF(ISNUMBER($BZ72),"E "&amp;TRIM(TEXT($BZ72,"# ?/??"))&amp;CHAR(34)&amp;"  ","")))</f>
        <v/>
      </c>
      <c r="CZ72" s="85">
        <f>IF(OR($CS72,N($BJ72)=0),"",TRIM(IF(ISNUMBER($BU72),"A "&amp;TRIM(TEXT($BU72-HeadClr,"# ?/??"))&amp;CHAR(34)&amp;"  ","")&amp;IF(ISNUMBER($BV72),"B "&amp;TRIM(TEXT($BV72-HeadClr,"# ?/??"))&amp;CHAR(34)&amp;"  ","")&amp;IF(ISNUMBER($BW72),"C "&amp;TRIM(TEXT($BW72-HeadClr,"# ?/??"))&amp;CHAR(34)&amp;"  ","")&amp;IF(ISNUMBER($BX72),"D "&amp;TRIM(TEXT($BX72-HeadClr,"# ?/??"))&amp;CHAR(34)&amp;"  ","")&amp;IF(ISNUMBER($BY72),"F "&amp;TRIM(TEXT($BY72-HeadClr,"# ?/??"))&amp;CHAR(34)&amp;"  ","")&amp;IF(ISNUMBER($BZ72),"E "&amp;TRIM(TEXT($BZ72-HeadClr,"# ?/??"))&amp;CHAR(34)&amp;"  ","")))</f>
        <v/>
      </c>
      <c r="DA72" s="84">
        <f>IF($A72="","",IF($AN72="",IFERROR(VLOOKUP($Z72,CODES,2,FALSE),""),IFERROR(VLOOKUP($AN72,CODES,2,FALSE),"")))</f>
        <v/>
      </c>
      <c r="DB72" s="84">
        <f>IF($A72="","",IF($O72="Y","PR",IF(OR($Z72="L",$Z72="RR",LEFT($Z72,2)="L-",LEFT($Z72,3)="RR-"),"LH","RH")))</f>
        <v/>
      </c>
      <c r="DC72" s="84">
        <f>IF($A72="","","S.HM"&amp;IF(OR($C72="DOOR ONLY",$X72&lt;&gt;"KD"),"MASONRY","DRYWALL")&amp;IF($C72="DOOR ONLY","",$U72)&amp;IF(AND($C72&lt;&gt;"FRAME ONLY",OR(LEFT($AH72,3)="OAK",LEFT($AH72,3)="BIR",LEFT($AH72,3)="MAP",$AH72="PC",$AH72="MC",$AH72="SCLC",$AH72="P-LAM")),"WD","HM")&amp;"1.75")</f>
        <v/>
      </c>
      <c r="DD72" s="84">
        <f>IF($CJ72="","",IF($O72="Y",$CJ72,SUBSTITUTE($CJ72,$BG72&amp;" "&amp;IFERROR(VLOOKUP($Z72,CODES,2,FALSE),"")&amp;" ",$BG72&amp;" ")))</f>
        <v/>
      </c>
      <c r="DE72" s="84">
        <f>IF($CK72="","",IF($O72="Y",$CK72,SUBSTITUTE($CK72,$BG72&amp;" "&amp;IF($AN72="",IFERROR(VLOOKUP($Z72,CODES,2,FALSE),""),IFERROR(VLOOKUP($AN72,CODES,2,FALSE),""))&amp;" ",$BG72&amp;" ")))</f>
        <v/>
      </c>
      <c r="DF72" s="84">
        <f>IF($CJ72="","",$DC72&amp;"|"&amp;$DD72&amp;"|"&amp;$DB72&amp;"|"&amp;$AT72&amp;"|"&amp;$V72&amp;"|"&amp;$Y72&amp;"|"&amp;$AB72)</f>
        <v/>
      </c>
      <c r="DG72" s="84">
        <f>IF(DF72="","",IF(COUNTIF($DF$6:DF72,DF72)=1,MAX($DG$5:DG71)+1,INDEX($DG$5:DG71,MATCH(DF72,$DF$5:DF71,0))))</f>
        <v/>
      </c>
      <c r="DH72" s="84">
        <f>IF($CK72="","",$DC72&amp;"|"&amp;$DE72&amp;"|"&amp;$AI72&amp;"|"&amp;$BK72&amp;"|"&amp;$BL72)</f>
        <v/>
      </c>
      <c r="DI72" s="84">
        <f>IF(DH72="","",IF(COUNTIF($DH$6:DH72,DH72)=1,MAX($DI$5:DI71)+1,INDEX($DI$5:DI71,MATCH(DH72,$DH$5:DH71,0))))</f>
        <v/>
      </c>
      <c r="DJ72" s="84">
        <f>IF($A72="","",IF($B72="","qty, ","")&amp;IF($C72="","scope, ","")&amp;IF(OR($K72="",$M72=""),"size, ","")&amp;IF(AND($A72&lt;&gt;"",$C72&lt;&gt;"DOOR ONLY"),IF($U72="","jamb depth, ","")&amp;IF($X72="","construction, ","")&amp;IF($Y72="","anchor, ","")&amp;IF($S72="","frame type, ",""),"")&amp;IF(AND(N($BJ72)&gt;0,$Z72=""),"hand, ","")&amp;IF(N($BJ72)&gt;0,IF($AH72="","door material, ","")&amp;IF($AL72="","face type, ","")&amp;IF($AP72="","lock prep, ","")&amp;IF(AND($AO72="",$AC72=""),"hinge prep, ",""),"")&amp;IF(AND($CH72&gt;0,$AH72="FRP"),"FRP cannot carry a label, ","")&amp;IF(AND($O72="Y",OR($Z72="L",$Z72="R",$Z72="LR",$Z72="RR")),"pair marked but hand is single, ","")&amp;IF(AND($O72&lt;&gt;"Y",OR($Z72="PR",AND(LEN($Z72)&gt;1,ISNUMBER(SEARCH("-",$Z72))))),"pair hand on a single door, ","")&amp;IF(AND(ISNUMBER($CI72),$CH72&lt;N($CI72)),"wall needs a "&amp;$CI72&amp;" min door, ","")&amp;IF(AND($CH72&gt;=180,AND(OR($CE72="FG",$CE72="HG",$CE72="FNV",$CE72="FV"),N($CF72)*N($CG72)&gt;100)),"180 min lite over 100 sq in, ","")&amp;IF(N($BK72)&gt;48,"leaf wider than 4'-0"&amp;CHAR(34)&amp;", ","")&amp;IF(AND($CT72,COUNT($AW72:$AZ72)=0,$CQ72&gt;0),"CUSTOM LOC with no locations typed, ",""))</f>
        <v/>
      </c>
      <c r="DK72" s="84">
        <f>IF($A72="","",IF(AND($CH72&gt;0,AND($A72&lt;&gt;"",$C72&lt;&gt;"DOOR ONLY"),$X72="KD",$E72="EXTERIOR"),"KD label on an exterior opening, ","")&amp;IF(AND($E72="EXTERIOR",OR(AND(AND($A72&lt;&gt;"",$C72&lt;&gt;"DOOR ONLY"),$W72="CR"),AND(N($BJ72)&gt;0,$AH72="CR"))),"exterior in CR steel (G9?), ","")&amp;IF(AND(ISNUMBER($BQ72),N($BQ72)&lt;32),"clear width ~"&amp;TEXT($BQ72,"0.0")&amp;CHAR(34)&amp;" under 32"&amp;CHAR(34)&amp;" (ADA), ","")&amp;IF(AND($CH72=90,AND(OR($CE72="FG",$CE72="HG",$CE72="FNV",$CE72="FV"),N($CF72)*N($CG72)&gt;100)),"90 min lite over 100 sq in (stair/exit), ","")&amp;IF(AND($CH72&gt;0,AND($A72&lt;&gt;"",$C72&lt;&gt;"DOOR ONLY"),OR($AF72="",$AF72="-")),"rated: closer reinf.?, ","")&amp;IF(OR($I72="CORRIDOR",$I72="SMOKE BARRIER"),"S label + smoke gasketing, ","")&amp;IF($CI72="?","wall type/hr not in IBC table, ","")&amp;IF(AND(N($BJ72)&gt;0,$BB72=""),"no hardware set, ","")&amp;IF(AND($BB72&lt;&gt;"",ISNA(MATCH($BB72&amp;"",HWSets,0))),"set "&amp;$BB72&amp;" not on HW Sets, ","")&amp;IF(N($BL72)&gt;96,"leaf over 8'-0"&amp;CHAR(34)&amp;" - check listing, ","")&amp;IF(AND($CT72,COUNT($AW72:$AZ72)&gt;0,COUNT($AW72:$AZ72)&lt;&gt;$CQ72),COUNT($AW72:$AZ72)&amp;" custom hinges typed, "&amp;$CQ72&amp;" expected, ","")&amp;IF(AND(ISNUMBER($CA72),OR(N($CA72)&lt;34,N($CA72)&gt;48)),"lock "&amp;TEXT($CA72,"0.0")&amp;CHAR(34)&amp;" AFF outside 34-48"&amp;CHAR(34)&amp;" (ADA), ","")&amp;IF(AND(ISNUMBER($AV72),ISNUMBER($BL72),N($AV72)&lt;IF(N($BL72)&lt;=60,2,IF(N($BL72)&lt;=90,3,IF(N($BL72)&lt;=120,4,5)))),"fewer hinges than standard, ",""))</f>
        <v/>
      </c>
    </row>
    <row r="73" ht="15" customHeight="1">
      <c r="A73" s="77" t="n"/>
      <c r="B73" s="78" t="n"/>
      <c r="C73" s="78" t="n"/>
      <c r="D73" s="78" t="n"/>
      <c r="E73" s="78" t="n"/>
      <c r="F73" s="78" t="n"/>
      <c r="G73" s="78" t="n"/>
      <c r="H73" s="78" t="n"/>
      <c r="I73" s="78" t="n"/>
      <c r="J73" s="78" t="n"/>
      <c r="K73" s="78" t="n"/>
      <c r="L73" s="78" t="n"/>
      <c r="M73" s="78" t="n"/>
      <c r="N73" s="78" t="n"/>
      <c r="O73" s="78" t="n"/>
      <c r="P73" s="78" t="n"/>
      <c r="Q73" s="78" t="n"/>
      <c r="R73" s="78" t="n"/>
      <c r="S73" s="79" t="n"/>
      <c r="T73" s="79" t="n"/>
      <c r="U73" s="79" t="n"/>
      <c r="V73" s="79" t="n"/>
      <c r="W73" s="79" t="n"/>
      <c r="X73" s="79" t="n"/>
      <c r="Y73" s="79" t="n"/>
      <c r="Z73" s="79" t="n"/>
      <c r="AA73" s="79" t="n"/>
      <c r="AB73" s="79" t="n"/>
      <c r="AC73" s="79" t="n"/>
      <c r="AD73" s="79" t="n"/>
      <c r="AE73" s="79" t="n"/>
      <c r="AF73" s="79" t="n"/>
      <c r="AG73" s="79" t="n"/>
      <c r="AH73" s="80" t="n"/>
      <c r="AI73" s="80" t="n"/>
      <c r="AJ73" s="80" t="n"/>
      <c r="AK73" s="80" t="n"/>
      <c r="AL73" s="80" t="n"/>
      <c r="AM73" s="80" t="n"/>
      <c r="AN73" s="80" t="n"/>
      <c r="AO73" s="80" t="n"/>
      <c r="AP73" s="80" t="n"/>
      <c r="AQ73" s="80" t="n"/>
      <c r="AR73" s="80" t="n"/>
      <c r="AS73" s="80" t="n"/>
      <c r="AT73" s="81" t="n"/>
      <c r="AU73" s="81" t="n"/>
      <c r="AV73" s="81" t="n"/>
      <c r="AW73" s="82" t="n"/>
      <c r="AX73" s="82" t="n"/>
      <c r="AY73" s="82" t="n"/>
      <c r="AZ73" s="82" t="n"/>
      <c r="BA73" s="82" t="n"/>
      <c r="BB73" s="83" t="n"/>
      <c r="BC73" s="83" t="n"/>
      <c r="BD73" s="84">
        <f>IF($A73="","",IF($DJ73&lt;&gt;"","FIX",IF($DK73&lt;&gt;"","CHECK","OK")))</f>
        <v/>
      </c>
      <c r="BE73" s="85">
        <f>IF($A73="","",IF($DJ73&lt;&gt;"","FIX: "&amp;LEFT($DJ73,LEN($DJ73)-2)&amp;IF($DK73&lt;&gt;"","  ·  ",""),"")&amp;IF($DK73&lt;&gt;"","CHECK: "&amp;LEFT($DK73,LEN($DK73)-2),""))</f>
        <v/>
      </c>
      <c r="BF73" s="84">
        <f>IF(OR($A73="",$K73=""),"",$K73&amp;"'-"&amp;N($L73)&amp;CHAR(34)&amp;" x "&amp;$M73&amp;"'-"&amp;N($N73)&amp;CHAR(34))</f>
        <v/>
      </c>
      <c r="BG73" s="84">
        <f>IF(OR($A73="",$K73=""),"",$K73&amp;N($L73)&amp;$M73&amp;N($N73))</f>
        <v/>
      </c>
      <c r="BH73" s="84">
        <f>IF(OR($A73="",$K73=""),"",$K73*12+N($L73))</f>
        <v/>
      </c>
      <c r="BI73" s="84">
        <f>IF(OR($A73="",$M73=""),"",$M73*12+N($N73))</f>
        <v/>
      </c>
      <c r="BJ73" s="84">
        <f>IF($A73="","",IF(OR($C73="FRAME ONLY",$S73="BL"),0,IF($O73="Y",2,1)))</f>
        <v/>
      </c>
      <c r="BK73" s="86">
        <f>IF(OR(N($BJ73)=0,$BH73=""),"",($BH73-2*EdgeClr-IF($BJ73=2,MeetClr,0))/$BJ73)</f>
        <v/>
      </c>
      <c r="BL73" s="86">
        <f>IF(OR(N($BJ73)=0,$BI73=""),"",$BI73-HeadClr-Undercut)</f>
        <v/>
      </c>
      <c r="BM73" s="86">
        <f>IF($BH73="","",$BH73+2*FaceW+IF(N($Q73)&gt;0,($Q73+FaceW)*IF($R73="LR",2,1),0))</f>
        <v/>
      </c>
      <c r="BN73" s="86">
        <f>IF($BI73="","",$BI73+IF($AB73="Y",4,FaceW)+IF(N($P73)&gt;0,$P73+FaceW,0)+IF(OR($S73="4F",$S73="BL"),FaceW,0))</f>
        <v/>
      </c>
      <c r="BO73" s="86">
        <f>IF($BM73="","",$BM73+2*ROSide)</f>
        <v/>
      </c>
      <c r="BP73" s="86">
        <f>IF($BN73="","",$BN73+ROTop)</f>
        <v/>
      </c>
      <c r="BQ73" s="87">
        <f>IF(OR(N($BJ73)=0,$BH73=""),"",$BH73/$BJ73-ClearDeduct)</f>
        <v/>
      </c>
      <c r="BR73" s="84">
        <f>IF(N($CH73)=0,"",IF($CH73&gt;=180,"A · 3 HR",IF($CH73&gt;=90,"B · 1-1/2 HR",IF($CH73&gt;=60,"B · 1 HR",IF($CH73&gt;=45,"C · 3/4 HR","20 MIN")))))&amp;IF(AND(N($CH73)&gt;0,OR($I73="CORRIDOR",$I73="SMOKE BARRIER"))," · S","")</f>
        <v/>
      </c>
      <c r="BS73" s="84">
        <f>IF($CS73,"",IF($AV73&lt;&gt;"",$AV73,IF(OR($AC73="HGC",$AO73="HGC"),"CONT",IF(($BI73-HeadClr-Undercut)&lt;=60,2,IF(($BI73-HeadClr-Undercut)&lt;=90,3,IF(($BI73-HeadClr-Undercut)&lt;=120,4,5))))))</f>
        <v/>
      </c>
      <c r="BT73" s="84">
        <f>IF($CS73,"",IF($CT73,"CUSTOM (typed)",IF($CV73,$AT73&amp;" "&amp;$CU73&amp;CHAR(34)&amp;IF($CU73&lt;&gt;$BI73,IF(AND($BI73&lt;$CU73,$BI73-IF(N(VLOOKUP($AT73&amp;"|"&amp;$CU73,LocTable,7,FALSE))&gt;0,VLOOKUP($AT73&amp;"|"&amp;$CU73,LocTable,7,FALSE),VLOOKUP($AT73&amp;"|"&amp;$CU73,LocTable,6,FALSE))-$CR73-0.75&gt;=2.125)," cut down"," adj."),""),"ANSI/SDI A250.6")))</f>
        <v/>
      </c>
      <c r="BU73" s="88">
        <f>IF($CS73,"",IF($CT73,IF(N($AW73)&gt;0,N($AW73),""),IF(1&gt;$CQ73,"",IF($CQ73=1,$CW73,$CW73+($CX73-$CW73)*0/($CQ73-1)))))</f>
        <v/>
      </c>
      <c r="BV73" s="88">
        <f>IF($CS73,"",IF($CT73,IF(N($AX73)&gt;0,N($AX73),""),IF(2&gt;$CQ73,"",IF($CQ73=1,$CW73,$CW73+($CX73-$CW73)*1/($CQ73-1)))))</f>
        <v/>
      </c>
      <c r="BW73" s="88">
        <f>IF($CS73,"",IF($CT73,IF(N($AY73)&gt;0,N($AY73),""),IF(3&gt;$CQ73,"",IF($CQ73=1,$CW73,$CW73+($CX73-$CW73)*2/($CQ73-1)))))</f>
        <v/>
      </c>
      <c r="BX73" s="88">
        <f>IF($CS73,"",IF($CT73,IF(N($AZ73)&gt;0,N($AZ73),""),IF(4&gt;$CQ73,"",IF($CQ73=1,$CW73,$CW73+($CX73-$CW73)*3/($CQ73-1)))))</f>
        <v/>
      </c>
      <c r="BY73" s="88">
        <f>IF($CS73,"",IF($CT73,"",IF(5&gt;$CQ73,"",IF($CQ73=1,$CW73,$CW73+($CX73-$CW73)*4/($CQ73-1)))))</f>
        <v/>
      </c>
      <c r="BZ73" s="88">
        <f>IF(OR($CS73,$AP73="-",AND($AP73="",$AD73="")),"",IF(N($BA73)&gt;0,N($BA73),IF($CV73,IF(AND($BI73&lt;$CU73,$BI73-IF(N(VLOOKUP($AT73&amp;"|"&amp;$CU73,LocTable,7,FALSE))&gt;0,VLOOKUP($AT73&amp;"|"&amp;$CU73,LocTable,7,FALSE),VLOOKUP($AT73&amp;"|"&amp;$CU73,LocTable,6,FALSE))-$CR73-0.75&gt;=2.125),VLOOKUP($AT73&amp;"|"&amp;$CU73,LocTable,8,FALSE),VLOOKUP($AT73&amp;"|"&amp;$CU73,LocTable,8,FALSE)+($BI73-$CU73)),$BI73-LockAFF)))</f>
        <v/>
      </c>
      <c r="CA73" s="89">
        <f>IF($BZ73="","",$BI73-$BZ73)</f>
        <v/>
      </c>
      <c r="CB73" s="84">
        <f>IF(OR(NOT(AND($A73&lt;&gt;"",$C73&lt;&gt;"DOOR ONLY")),$BI73=""),"",IF(($BI73+IF(N($P73)&gt;0,$P73+FaceW,0))&lt;=90,3,IF(($BI73+IF(N($P73)&gt;0,$P73+FaceW,0))&lt;=114,4,5)))</f>
        <v/>
      </c>
      <c r="CC73" s="84">
        <f>IF($CB73="","",$CB73*(2+IF(N($Q73)&gt;0,IF($R73="LR",2,1),0)))</f>
        <v/>
      </c>
      <c r="CD73" s="84">
        <f>IF($CB73="","",(2+IF(N($Q73)&gt;0,IF($R73="LR",2,1),0)))</f>
        <v/>
      </c>
      <c r="CE73" s="84">
        <f>IF(N($BJ73)=0,"",IF(OR($AL73="",$AL73="FLUSH"),"FLUSH",IFERROR(LEFT($AL73,FIND("-",$AL73)-1),LEFT($AL73,2))))</f>
        <v/>
      </c>
      <c r="CF73" s="84">
        <f>IF($CE73="","",IFERROR(VALUE(MID($AL73,FIND("-",$AL73)+1,FIND(CHAR(34)&amp;"x",$AL73)-FIND("-",$AL73)-1)),0))</f>
        <v/>
      </c>
      <c r="CG73" s="84">
        <f>IF($CE73="","",IFERROR(VALUE(MID($AL73,FIND(CHAR(34)&amp;"x",$AL73)+2,FIND(CHAR(34),$AL73,FIND(CHAR(34)&amp;"x",$AL73)+2)-FIND(CHAR(34)&amp;"x",$AL73)-2)),0))</f>
        <v/>
      </c>
      <c r="CH73" s="90">
        <f>IF(OR($A73="",$H73="",$H73="NO LAB"),0,IFERROR(VALUE(LEFT($H73,FIND(" ",$H73)-1)),0))</f>
        <v/>
      </c>
      <c r="CI73" s="91">
        <f>IF(OR($A73="",$I73="",$I73="NON-RATED",N($J73)=0),"",IFERROR(VLOOKUP($I73&amp;"|"&amp;$J73,IBC,2,FALSE),"?"))</f>
        <v/>
      </c>
      <c r="CJ73" s="85">
        <f>IF(NOT(AND($A73&lt;&gt;"",$C73&lt;&gt;"DOOR ONLY")),"",TRIM(IFERROR(VLOOKUP($U73,CODES,2,FALSE),"")&amp;" "&amp;$BG73&amp;" "&amp;IFERROR(VLOOKUP($Z73,CODES,2,FALSE),"")&amp;" "&amp;IFERROR(VLOOKUP($X73,CODES,2,FALSE),"")&amp;" "&amp;IFERROR(VLOOKUP($S73,CODES,2,FALSE),"")&amp;IF(N($P73)&gt;0," w/TRANSOM "&amp;$P73&amp;CHAR(34),"")&amp;IF(N($Q73)&gt;0," w/SIDELITE "&amp;$Q73&amp;CHAR(34)&amp;" "&amp;IF($R73="","R",$R73),"")&amp;IF($Y73="","  |  "," | "&amp;IFERROR(VLOOKUP($Y73,CODES,2,FALSE),"")&amp;" | ")&amp;IFERROR(VLOOKUP($AC73,CODES,2,FALSE),"")&amp;" "&amp;IFERROR(VLOOKUP($AD73,CODES,2,FALSE),"")&amp;IF(OR($AE73="",$AE73="-"),""," "&amp;$AE73)&amp;IF(OR($AF73="",$AF73="-"),""," "&amp;$AF73)&amp;IF($AB73="Y"," 4"&amp;CHAR(34)&amp;" HEAD","")&amp;" "&amp;IFERROR(VLOOKUP($H73,CODES,2,FALSE),"")&amp;IF($CT73," | LOC "&amp;$CY73,"")))</f>
        <v/>
      </c>
      <c r="CK73" s="85">
        <f>IF(NOT(AND($A73&lt;&gt;"",N($BJ73)&gt;0)),"",TRIM(IFERROR(VLOOKUP($AH73,CODES,2,FALSE),"")&amp;IF($AI73=""," "," "&amp;$AI73&amp;"GA ")&amp;$BG73&amp;" "&amp;IF($AN73="",IFERROR(VLOOKUP($Z73,CODES,2,FALSE),""),IFERROR(VLOOKUP($AN73,CODES,2,FALSE),""))&amp;IF($BJ73=2," PAIR","")&amp;" DOOR | "&amp;IF($AL73="","?",$AL73)&amp;" | "&amp;IF($AO73="",IFERROR(VLOOKUP($AC73,CODES,2,FALSE),""),IFERROR(VLOOKUP($AO73,CODES,2,FALSE),""))&amp;" "&amp;IFERROR(VLOOKUP($AP73,CODES,2,FALSE),"")&amp;IF(OR($AQ73="",$AQ73="-"),""," SEAM "&amp;$AQ73)&amp;IF($AR73="Y"," ASTRAGAL","")&amp;IF($AJ73=""," "," "&amp;$AJ73)&amp;IF($AK73=""," "," "&amp;$AK73)&amp;IF(OR($AT73="",$AT73="ANSI/SDI",$AT73="CUSTOM LOC"),""," "&amp;$AT73)&amp;IF($AM73=""," "," SERIES "&amp;$AM73)&amp;" "&amp;IFERROR(VLOOKUP($H73,CODES,2,FALSE),"")&amp;IF($CT73," | LOC "&amp;$CZ73,"")))</f>
        <v/>
      </c>
      <c r="CL73" s="84">
        <f>IF(CP73="","",IF(COUNTIF($CP$6:CP73,CP73)=1,MAX($CL$5:CL72)+1,INDEX($CL$5:CL72,MATCH(CP73,$CP$5:CP72,0))))</f>
        <v/>
      </c>
      <c r="CM73" s="84">
        <f>IF(NOT(AND($A73&lt;&gt;"",$C73&lt;&gt;"DOOR ONLY")),"",MAX($CM$5:CM72)+1)</f>
        <v/>
      </c>
      <c r="CN73" s="84">
        <f>IF(NOT(AND($A73&lt;&gt;"",N($BJ73)&gt;0)),"",MAX($CN$5:CN72)+1)</f>
        <v/>
      </c>
      <c r="CO73" s="84">
        <f>IF($A73="","",MAX($CO$5:CO72)+1)</f>
        <v/>
      </c>
      <c r="CP73" s="84">
        <f>IF(OR($A73="",$BH73="",$BI73=""),"",$BG73&amp;"|"&amp;$O73&amp;"|"&amp;$AL73&amp;"|"&amp;$S73&amp;"|"&amp;$P73&amp;"|"&amp;$Q73&amp;$R73&amp;"|"&amp;$C73&amp;"|"&amp;$AB73)</f>
        <v/>
      </c>
      <c r="CQ73" s="84">
        <f>N($BS73)</f>
        <v/>
      </c>
      <c r="CR73" s="84">
        <f>IF(N($AU73)&gt;0,N($AU73),4.5)</f>
        <v/>
      </c>
      <c r="CS73" s="84">
        <f>OR($A73="",$BI73="",$S73="BL",AND($C73="FRAME ONLY",OR($AC73="",$AC73="BLK")))</f>
        <v/>
      </c>
      <c r="CT73" s="84">
        <f>AND(NOT($CS73),OR($AT73="CUSTOM LOC",N($AW73)+N($AX73)+N($AY73)+N($AZ73)+N($BA73)&gt;0))</f>
        <v/>
      </c>
      <c r="CU73" s="84">
        <f>IF($BI73="","",IF($BI73&lt;=80,80,IF($BI73&lt;=84,84,96)))</f>
        <v/>
      </c>
      <c r="CV73" s="84">
        <f>ISNUMBER(MATCH($AT73&amp;"|80",LocKeys,0))</f>
        <v/>
      </c>
      <c r="CW73" s="86">
        <f>IF($CS73,"",IF($CV73,VLOOKUP($AT73&amp;"|"&amp;$CU73,LocTable,4,FALSE),5))</f>
        <v/>
      </c>
      <c r="CX73" s="86">
        <f>IF($CS73,"",IF($CV73,IF(OR($BI73=$CU73,AND($BI73&lt;$CU73,$BI73-IF(N(VLOOKUP($AT73&amp;"|"&amp;$CU73,LocTable,7,FALSE))&gt;0,VLOOKUP($AT73&amp;"|"&amp;$CU73,LocTable,7,FALSE),VLOOKUP($AT73&amp;"|"&amp;$CU73,LocTable,6,FALSE))-$CR73-0.75&gt;=2.125)),IF(N(VLOOKUP($AT73&amp;"|"&amp;$CU73,LocTable,7,FALSE))&gt;0,VLOOKUP($AT73&amp;"|"&amp;$CU73,LocTable,7,FALSE),VLOOKUP($AT73&amp;"|"&amp;$CU73,LocTable,6,FALSE)),$BI73-($CU73-IF(N(VLOOKUP($AT73&amp;"|"&amp;$CU73,LocTable,7,FALSE))&gt;0,VLOOKUP($AT73&amp;"|"&amp;$CU73,LocTable,7,FALSE),VLOOKUP($AT73&amp;"|"&amp;$CU73,LocTable,6,FALSE)))),$BI73-10-$CR73))</f>
        <v/>
      </c>
      <c r="CY73" s="85">
        <f>IF($CS73,"",TRIM(IF(ISNUMBER($BU73),"A "&amp;TRIM(TEXT($BU73,"# ?/??"))&amp;CHAR(34)&amp;"  ","")&amp;IF(ISNUMBER($BV73),"B "&amp;TRIM(TEXT($BV73,"# ?/??"))&amp;CHAR(34)&amp;"  ","")&amp;IF(ISNUMBER($BW73),"C "&amp;TRIM(TEXT($BW73,"# ?/??"))&amp;CHAR(34)&amp;"  ","")&amp;IF(ISNUMBER($BX73),"D "&amp;TRIM(TEXT($BX73,"# ?/??"))&amp;CHAR(34)&amp;"  ","")&amp;IF(ISNUMBER($BY73),"F "&amp;TRIM(TEXT($BY73,"# ?/??"))&amp;CHAR(34)&amp;"  ","")&amp;IF(ISNUMBER($BZ73),"E "&amp;TRIM(TEXT($BZ73,"# ?/??"))&amp;CHAR(34)&amp;"  ","")))</f>
        <v/>
      </c>
      <c r="CZ73" s="85">
        <f>IF(OR($CS73,N($BJ73)=0),"",TRIM(IF(ISNUMBER($BU73),"A "&amp;TRIM(TEXT($BU73-HeadClr,"# ?/??"))&amp;CHAR(34)&amp;"  ","")&amp;IF(ISNUMBER($BV73),"B "&amp;TRIM(TEXT($BV73-HeadClr,"# ?/??"))&amp;CHAR(34)&amp;"  ","")&amp;IF(ISNUMBER($BW73),"C "&amp;TRIM(TEXT($BW73-HeadClr,"# ?/??"))&amp;CHAR(34)&amp;"  ","")&amp;IF(ISNUMBER($BX73),"D "&amp;TRIM(TEXT($BX73-HeadClr,"# ?/??"))&amp;CHAR(34)&amp;"  ","")&amp;IF(ISNUMBER($BY73),"F "&amp;TRIM(TEXT($BY73-HeadClr,"# ?/??"))&amp;CHAR(34)&amp;"  ","")&amp;IF(ISNUMBER($BZ73),"E "&amp;TRIM(TEXT($BZ73-HeadClr,"# ?/??"))&amp;CHAR(34)&amp;"  ","")))</f>
        <v/>
      </c>
      <c r="DA73" s="84">
        <f>IF($A73="","",IF($AN73="",IFERROR(VLOOKUP($Z73,CODES,2,FALSE),""),IFERROR(VLOOKUP($AN73,CODES,2,FALSE),"")))</f>
        <v/>
      </c>
      <c r="DB73" s="84">
        <f>IF($A73="","",IF($O73="Y","PR",IF(OR($Z73="L",$Z73="RR",LEFT($Z73,2)="L-",LEFT($Z73,3)="RR-"),"LH","RH")))</f>
        <v/>
      </c>
      <c r="DC73" s="84">
        <f>IF($A73="","","S.HM"&amp;IF(OR($C73="DOOR ONLY",$X73&lt;&gt;"KD"),"MASONRY","DRYWALL")&amp;IF($C73="DOOR ONLY","",$U73)&amp;IF(AND($C73&lt;&gt;"FRAME ONLY",OR(LEFT($AH73,3)="OAK",LEFT($AH73,3)="BIR",LEFT($AH73,3)="MAP",$AH73="PC",$AH73="MC",$AH73="SCLC",$AH73="P-LAM")),"WD","HM")&amp;"1.75")</f>
        <v/>
      </c>
      <c r="DD73" s="84">
        <f>IF($CJ73="","",IF($O73="Y",$CJ73,SUBSTITUTE($CJ73,$BG73&amp;" "&amp;IFERROR(VLOOKUP($Z73,CODES,2,FALSE),"")&amp;" ",$BG73&amp;" ")))</f>
        <v/>
      </c>
      <c r="DE73" s="84">
        <f>IF($CK73="","",IF($O73="Y",$CK73,SUBSTITUTE($CK73,$BG73&amp;" "&amp;IF($AN73="",IFERROR(VLOOKUP($Z73,CODES,2,FALSE),""),IFERROR(VLOOKUP($AN73,CODES,2,FALSE),""))&amp;" ",$BG73&amp;" ")))</f>
        <v/>
      </c>
      <c r="DF73" s="84">
        <f>IF($CJ73="","",$DC73&amp;"|"&amp;$DD73&amp;"|"&amp;$DB73&amp;"|"&amp;$AT73&amp;"|"&amp;$V73&amp;"|"&amp;$Y73&amp;"|"&amp;$AB73)</f>
        <v/>
      </c>
      <c r="DG73" s="84">
        <f>IF(DF73="","",IF(COUNTIF($DF$6:DF73,DF73)=1,MAX($DG$5:DG72)+1,INDEX($DG$5:DG72,MATCH(DF73,$DF$5:DF72,0))))</f>
        <v/>
      </c>
      <c r="DH73" s="84">
        <f>IF($CK73="","",$DC73&amp;"|"&amp;$DE73&amp;"|"&amp;$AI73&amp;"|"&amp;$BK73&amp;"|"&amp;$BL73)</f>
        <v/>
      </c>
      <c r="DI73" s="84">
        <f>IF(DH73="","",IF(COUNTIF($DH$6:DH73,DH73)=1,MAX($DI$5:DI72)+1,INDEX($DI$5:DI72,MATCH(DH73,$DH$5:DH72,0))))</f>
        <v/>
      </c>
      <c r="DJ73" s="84">
        <f>IF($A73="","",IF($B73="","qty, ","")&amp;IF($C73="","scope, ","")&amp;IF(OR($K73="",$M73=""),"size, ","")&amp;IF(AND($A73&lt;&gt;"",$C73&lt;&gt;"DOOR ONLY"),IF($U73="","jamb depth, ","")&amp;IF($X73="","construction, ","")&amp;IF($Y73="","anchor, ","")&amp;IF($S73="","frame type, ",""),"")&amp;IF(AND(N($BJ73)&gt;0,$Z73=""),"hand, ","")&amp;IF(N($BJ73)&gt;0,IF($AH73="","door material, ","")&amp;IF($AL73="","face type, ","")&amp;IF($AP73="","lock prep, ","")&amp;IF(AND($AO73="",$AC73=""),"hinge prep, ",""),"")&amp;IF(AND($CH73&gt;0,$AH73="FRP"),"FRP cannot carry a label, ","")&amp;IF(AND($O73="Y",OR($Z73="L",$Z73="R",$Z73="LR",$Z73="RR")),"pair marked but hand is single, ","")&amp;IF(AND($O73&lt;&gt;"Y",OR($Z73="PR",AND(LEN($Z73)&gt;1,ISNUMBER(SEARCH("-",$Z73))))),"pair hand on a single door, ","")&amp;IF(AND(ISNUMBER($CI73),$CH73&lt;N($CI73)),"wall needs a "&amp;$CI73&amp;" min door, ","")&amp;IF(AND($CH73&gt;=180,AND(OR($CE73="FG",$CE73="HG",$CE73="FNV",$CE73="FV"),N($CF73)*N($CG73)&gt;100)),"180 min lite over 100 sq in, ","")&amp;IF(N($BK73)&gt;48,"leaf wider than 4'-0"&amp;CHAR(34)&amp;", ","")&amp;IF(AND($CT73,COUNT($AW73:$AZ73)=0,$CQ73&gt;0),"CUSTOM LOC with no locations typed, ",""))</f>
        <v/>
      </c>
      <c r="DK73" s="84">
        <f>IF($A73="","",IF(AND($CH73&gt;0,AND($A73&lt;&gt;"",$C73&lt;&gt;"DOOR ONLY"),$X73="KD",$E73="EXTERIOR"),"KD label on an exterior opening, ","")&amp;IF(AND($E73="EXTERIOR",OR(AND(AND($A73&lt;&gt;"",$C73&lt;&gt;"DOOR ONLY"),$W73="CR"),AND(N($BJ73)&gt;0,$AH73="CR"))),"exterior in CR steel (G9?), ","")&amp;IF(AND(ISNUMBER($BQ73),N($BQ73)&lt;32),"clear width ~"&amp;TEXT($BQ73,"0.0")&amp;CHAR(34)&amp;" under 32"&amp;CHAR(34)&amp;" (ADA), ","")&amp;IF(AND($CH73=90,AND(OR($CE73="FG",$CE73="HG",$CE73="FNV",$CE73="FV"),N($CF73)*N($CG73)&gt;100)),"90 min lite over 100 sq in (stair/exit), ","")&amp;IF(AND($CH73&gt;0,AND($A73&lt;&gt;"",$C73&lt;&gt;"DOOR ONLY"),OR($AF73="",$AF73="-")),"rated: closer reinf.?, ","")&amp;IF(OR($I73="CORRIDOR",$I73="SMOKE BARRIER"),"S label + smoke gasketing, ","")&amp;IF($CI73="?","wall type/hr not in IBC table, ","")&amp;IF(AND(N($BJ73)&gt;0,$BB73=""),"no hardware set, ","")&amp;IF(AND($BB73&lt;&gt;"",ISNA(MATCH($BB73&amp;"",HWSets,0))),"set "&amp;$BB73&amp;" not on HW Sets, ","")&amp;IF(N($BL73)&gt;96,"leaf over 8'-0"&amp;CHAR(34)&amp;" - check listing, ","")&amp;IF(AND($CT73,COUNT($AW73:$AZ73)&gt;0,COUNT($AW73:$AZ73)&lt;&gt;$CQ73),COUNT($AW73:$AZ73)&amp;" custom hinges typed, "&amp;$CQ73&amp;" expected, ","")&amp;IF(AND(ISNUMBER($CA73),OR(N($CA73)&lt;34,N($CA73)&gt;48)),"lock "&amp;TEXT($CA73,"0.0")&amp;CHAR(34)&amp;" AFF outside 34-48"&amp;CHAR(34)&amp;" (ADA), ","")&amp;IF(AND(ISNUMBER($AV73),ISNUMBER($BL73),N($AV73)&lt;IF(N($BL73)&lt;=60,2,IF(N($BL73)&lt;=90,3,IF(N($BL73)&lt;=120,4,5)))),"fewer hinges than standard, ",""))</f>
        <v/>
      </c>
    </row>
    <row r="74" ht="15" customHeight="1">
      <c r="A74" s="77" t="n"/>
      <c r="B74" s="78" t="n"/>
      <c r="C74" s="78" t="n"/>
      <c r="D74" s="78" t="n"/>
      <c r="E74" s="78" t="n"/>
      <c r="F74" s="78" t="n"/>
      <c r="G74" s="78" t="n"/>
      <c r="H74" s="78" t="n"/>
      <c r="I74" s="78" t="n"/>
      <c r="J74" s="78" t="n"/>
      <c r="K74" s="78" t="n"/>
      <c r="L74" s="78" t="n"/>
      <c r="M74" s="78" t="n"/>
      <c r="N74" s="78" t="n"/>
      <c r="O74" s="78" t="n"/>
      <c r="P74" s="78" t="n"/>
      <c r="Q74" s="78" t="n"/>
      <c r="R74" s="78" t="n"/>
      <c r="S74" s="79" t="n"/>
      <c r="T74" s="79" t="n"/>
      <c r="U74" s="79" t="n"/>
      <c r="V74" s="79" t="n"/>
      <c r="W74" s="79" t="n"/>
      <c r="X74" s="79" t="n"/>
      <c r="Y74" s="79" t="n"/>
      <c r="Z74" s="79" t="n"/>
      <c r="AA74" s="79" t="n"/>
      <c r="AB74" s="79" t="n"/>
      <c r="AC74" s="79" t="n"/>
      <c r="AD74" s="79" t="n"/>
      <c r="AE74" s="79" t="n"/>
      <c r="AF74" s="79" t="n"/>
      <c r="AG74" s="79" t="n"/>
      <c r="AH74" s="80" t="n"/>
      <c r="AI74" s="80" t="n"/>
      <c r="AJ74" s="80" t="n"/>
      <c r="AK74" s="80" t="n"/>
      <c r="AL74" s="80" t="n"/>
      <c r="AM74" s="80" t="n"/>
      <c r="AN74" s="80" t="n"/>
      <c r="AO74" s="80" t="n"/>
      <c r="AP74" s="80" t="n"/>
      <c r="AQ74" s="80" t="n"/>
      <c r="AR74" s="80" t="n"/>
      <c r="AS74" s="80" t="n"/>
      <c r="AT74" s="81" t="n"/>
      <c r="AU74" s="81" t="n"/>
      <c r="AV74" s="81" t="n"/>
      <c r="AW74" s="82" t="n"/>
      <c r="AX74" s="82" t="n"/>
      <c r="AY74" s="82" t="n"/>
      <c r="AZ74" s="82" t="n"/>
      <c r="BA74" s="82" t="n"/>
      <c r="BB74" s="83" t="n"/>
      <c r="BC74" s="83" t="n"/>
      <c r="BD74" s="84">
        <f>IF($A74="","",IF($DJ74&lt;&gt;"","FIX",IF($DK74&lt;&gt;"","CHECK","OK")))</f>
        <v/>
      </c>
      <c r="BE74" s="85">
        <f>IF($A74="","",IF($DJ74&lt;&gt;"","FIX: "&amp;LEFT($DJ74,LEN($DJ74)-2)&amp;IF($DK74&lt;&gt;"","  ·  ",""),"")&amp;IF($DK74&lt;&gt;"","CHECK: "&amp;LEFT($DK74,LEN($DK74)-2),""))</f>
        <v/>
      </c>
      <c r="BF74" s="84">
        <f>IF(OR($A74="",$K74=""),"",$K74&amp;"'-"&amp;N($L74)&amp;CHAR(34)&amp;" x "&amp;$M74&amp;"'-"&amp;N($N74)&amp;CHAR(34))</f>
        <v/>
      </c>
      <c r="BG74" s="84">
        <f>IF(OR($A74="",$K74=""),"",$K74&amp;N($L74)&amp;$M74&amp;N($N74))</f>
        <v/>
      </c>
      <c r="BH74" s="84">
        <f>IF(OR($A74="",$K74=""),"",$K74*12+N($L74))</f>
        <v/>
      </c>
      <c r="BI74" s="84">
        <f>IF(OR($A74="",$M74=""),"",$M74*12+N($N74))</f>
        <v/>
      </c>
      <c r="BJ74" s="84">
        <f>IF($A74="","",IF(OR($C74="FRAME ONLY",$S74="BL"),0,IF($O74="Y",2,1)))</f>
        <v/>
      </c>
      <c r="BK74" s="86">
        <f>IF(OR(N($BJ74)=0,$BH74=""),"",($BH74-2*EdgeClr-IF($BJ74=2,MeetClr,0))/$BJ74)</f>
        <v/>
      </c>
      <c r="BL74" s="86">
        <f>IF(OR(N($BJ74)=0,$BI74=""),"",$BI74-HeadClr-Undercut)</f>
        <v/>
      </c>
      <c r="BM74" s="86">
        <f>IF($BH74="","",$BH74+2*FaceW+IF(N($Q74)&gt;0,($Q74+FaceW)*IF($R74="LR",2,1),0))</f>
        <v/>
      </c>
      <c r="BN74" s="86">
        <f>IF($BI74="","",$BI74+IF($AB74="Y",4,FaceW)+IF(N($P74)&gt;0,$P74+FaceW,0)+IF(OR($S74="4F",$S74="BL"),FaceW,0))</f>
        <v/>
      </c>
      <c r="BO74" s="86">
        <f>IF($BM74="","",$BM74+2*ROSide)</f>
        <v/>
      </c>
      <c r="BP74" s="86">
        <f>IF($BN74="","",$BN74+ROTop)</f>
        <v/>
      </c>
      <c r="BQ74" s="87">
        <f>IF(OR(N($BJ74)=0,$BH74=""),"",$BH74/$BJ74-ClearDeduct)</f>
        <v/>
      </c>
      <c r="BR74" s="84">
        <f>IF(N($CH74)=0,"",IF($CH74&gt;=180,"A · 3 HR",IF($CH74&gt;=90,"B · 1-1/2 HR",IF($CH74&gt;=60,"B · 1 HR",IF($CH74&gt;=45,"C · 3/4 HR","20 MIN")))))&amp;IF(AND(N($CH74)&gt;0,OR($I74="CORRIDOR",$I74="SMOKE BARRIER"))," · S","")</f>
        <v/>
      </c>
      <c r="BS74" s="84">
        <f>IF($CS74,"",IF($AV74&lt;&gt;"",$AV74,IF(OR($AC74="HGC",$AO74="HGC"),"CONT",IF(($BI74-HeadClr-Undercut)&lt;=60,2,IF(($BI74-HeadClr-Undercut)&lt;=90,3,IF(($BI74-HeadClr-Undercut)&lt;=120,4,5))))))</f>
        <v/>
      </c>
      <c r="BT74" s="84">
        <f>IF($CS74,"",IF($CT74,"CUSTOM (typed)",IF($CV74,$AT74&amp;" "&amp;$CU74&amp;CHAR(34)&amp;IF($CU74&lt;&gt;$BI74,IF(AND($BI74&lt;$CU74,$BI74-IF(N(VLOOKUP($AT74&amp;"|"&amp;$CU74,LocTable,7,FALSE))&gt;0,VLOOKUP($AT74&amp;"|"&amp;$CU74,LocTable,7,FALSE),VLOOKUP($AT74&amp;"|"&amp;$CU74,LocTable,6,FALSE))-$CR74-0.75&gt;=2.125)," cut down"," adj."),""),"ANSI/SDI A250.6")))</f>
        <v/>
      </c>
      <c r="BU74" s="88">
        <f>IF($CS74,"",IF($CT74,IF(N($AW74)&gt;0,N($AW74),""),IF(1&gt;$CQ74,"",IF($CQ74=1,$CW74,$CW74+($CX74-$CW74)*0/($CQ74-1)))))</f>
        <v/>
      </c>
      <c r="BV74" s="88">
        <f>IF($CS74,"",IF($CT74,IF(N($AX74)&gt;0,N($AX74),""),IF(2&gt;$CQ74,"",IF($CQ74=1,$CW74,$CW74+($CX74-$CW74)*1/($CQ74-1)))))</f>
        <v/>
      </c>
      <c r="BW74" s="88">
        <f>IF($CS74,"",IF($CT74,IF(N($AY74)&gt;0,N($AY74),""),IF(3&gt;$CQ74,"",IF($CQ74=1,$CW74,$CW74+($CX74-$CW74)*2/($CQ74-1)))))</f>
        <v/>
      </c>
      <c r="BX74" s="88">
        <f>IF($CS74,"",IF($CT74,IF(N($AZ74)&gt;0,N($AZ74),""),IF(4&gt;$CQ74,"",IF($CQ74=1,$CW74,$CW74+($CX74-$CW74)*3/($CQ74-1)))))</f>
        <v/>
      </c>
      <c r="BY74" s="88">
        <f>IF($CS74,"",IF($CT74,"",IF(5&gt;$CQ74,"",IF($CQ74=1,$CW74,$CW74+($CX74-$CW74)*4/($CQ74-1)))))</f>
        <v/>
      </c>
      <c r="BZ74" s="88">
        <f>IF(OR($CS74,$AP74="-",AND($AP74="",$AD74="")),"",IF(N($BA74)&gt;0,N($BA74),IF($CV74,IF(AND($BI74&lt;$CU74,$BI74-IF(N(VLOOKUP($AT74&amp;"|"&amp;$CU74,LocTable,7,FALSE))&gt;0,VLOOKUP($AT74&amp;"|"&amp;$CU74,LocTable,7,FALSE),VLOOKUP($AT74&amp;"|"&amp;$CU74,LocTable,6,FALSE))-$CR74-0.75&gt;=2.125),VLOOKUP($AT74&amp;"|"&amp;$CU74,LocTable,8,FALSE),VLOOKUP($AT74&amp;"|"&amp;$CU74,LocTable,8,FALSE)+($BI74-$CU74)),$BI74-LockAFF)))</f>
        <v/>
      </c>
      <c r="CA74" s="89">
        <f>IF($BZ74="","",$BI74-$BZ74)</f>
        <v/>
      </c>
      <c r="CB74" s="84">
        <f>IF(OR(NOT(AND($A74&lt;&gt;"",$C74&lt;&gt;"DOOR ONLY")),$BI74=""),"",IF(($BI74+IF(N($P74)&gt;0,$P74+FaceW,0))&lt;=90,3,IF(($BI74+IF(N($P74)&gt;0,$P74+FaceW,0))&lt;=114,4,5)))</f>
        <v/>
      </c>
      <c r="CC74" s="84">
        <f>IF($CB74="","",$CB74*(2+IF(N($Q74)&gt;0,IF($R74="LR",2,1),0)))</f>
        <v/>
      </c>
      <c r="CD74" s="84">
        <f>IF($CB74="","",(2+IF(N($Q74)&gt;0,IF($R74="LR",2,1),0)))</f>
        <v/>
      </c>
      <c r="CE74" s="84">
        <f>IF(N($BJ74)=0,"",IF(OR($AL74="",$AL74="FLUSH"),"FLUSH",IFERROR(LEFT($AL74,FIND("-",$AL74)-1),LEFT($AL74,2))))</f>
        <v/>
      </c>
      <c r="CF74" s="84">
        <f>IF($CE74="","",IFERROR(VALUE(MID($AL74,FIND("-",$AL74)+1,FIND(CHAR(34)&amp;"x",$AL74)-FIND("-",$AL74)-1)),0))</f>
        <v/>
      </c>
      <c r="CG74" s="84">
        <f>IF($CE74="","",IFERROR(VALUE(MID($AL74,FIND(CHAR(34)&amp;"x",$AL74)+2,FIND(CHAR(34),$AL74,FIND(CHAR(34)&amp;"x",$AL74)+2)-FIND(CHAR(34)&amp;"x",$AL74)-2)),0))</f>
        <v/>
      </c>
      <c r="CH74" s="90">
        <f>IF(OR($A74="",$H74="",$H74="NO LAB"),0,IFERROR(VALUE(LEFT($H74,FIND(" ",$H74)-1)),0))</f>
        <v/>
      </c>
      <c r="CI74" s="91">
        <f>IF(OR($A74="",$I74="",$I74="NON-RATED",N($J74)=0),"",IFERROR(VLOOKUP($I74&amp;"|"&amp;$J74,IBC,2,FALSE),"?"))</f>
        <v/>
      </c>
      <c r="CJ74" s="85">
        <f>IF(NOT(AND($A74&lt;&gt;"",$C74&lt;&gt;"DOOR ONLY")),"",TRIM(IFERROR(VLOOKUP($U74,CODES,2,FALSE),"")&amp;" "&amp;$BG74&amp;" "&amp;IFERROR(VLOOKUP($Z74,CODES,2,FALSE),"")&amp;" "&amp;IFERROR(VLOOKUP($X74,CODES,2,FALSE),"")&amp;" "&amp;IFERROR(VLOOKUP($S74,CODES,2,FALSE),"")&amp;IF(N($P74)&gt;0," w/TRANSOM "&amp;$P74&amp;CHAR(34),"")&amp;IF(N($Q74)&gt;0," w/SIDELITE "&amp;$Q74&amp;CHAR(34)&amp;" "&amp;IF($R74="","R",$R74),"")&amp;IF($Y74="","  |  "," | "&amp;IFERROR(VLOOKUP($Y74,CODES,2,FALSE),"")&amp;" | ")&amp;IFERROR(VLOOKUP($AC74,CODES,2,FALSE),"")&amp;" "&amp;IFERROR(VLOOKUP($AD74,CODES,2,FALSE),"")&amp;IF(OR($AE74="",$AE74="-"),""," "&amp;$AE74)&amp;IF(OR($AF74="",$AF74="-"),""," "&amp;$AF74)&amp;IF($AB74="Y"," 4"&amp;CHAR(34)&amp;" HEAD","")&amp;" "&amp;IFERROR(VLOOKUP($H74,CODES,2,FALSE),"")&amp;IF($CT74," | LOC "&amp;$CY74,"")))</f>
        <v/>
      </c>
      <c r="CK74" s="85">
        <f>IF(NOT(AND($A74&lt;&gt;"",N($BJ74)&gt;0)),"",TRIM(IFERROR(VLOOKUP($AH74,CODES,2,FALSE),"")&amp;IF($AI74=""," "," "&amp;$AI74&amp;"GA ")&amp;$BG74&amp;" "&amp;IF($AN74="",IFERROR(VLOOKUP($Z74,CODES,2,FALSE),""),IFERROR(VLOOKUP($AN74,CODES,2,FALSE),""))&amp;IF($BJ74=2," PAIR","")&amp;" DOOR | "&amp;IF($AL74="","?",$AL74)&amp;" | "&amp;IF($AO74="",IFERROR(VLOOKUP($AC74,CODES,2,FALSE),""),IFERROR(VLOOKUP($AO74,CODES,2,FALSE),""))&amp;" "&amp;IFERROR(VLOOKUP($AP74,CODES,2,FALSE),"")&amp;IF(OR($AQ74="",$AQ74="-"),""," SEAM "&amp;$AQ74)&amp;IF($AR74="Y"," ASTRAGAL","")&amp;IF($AJ74=""," "," "&amp;$AJ74)&amp;IF($AK74=""," "," "&amp;$AK74)&amp;IF(OR($AT74="",$AT74="ANSI/SDI",$AT74="CUSTOM LOC"),""," "&amp;$AT74)&amp;IF($AM74=""," "," SERIES "&amp;$AM74)&amp;" "&amp;IFERROR(VLOOKUP($H74,CODES,2,FALSE),"")&amp;IF($CT74," | LOC "&amp;$CZ74,"")))</f>
        <v/>
      </c>
      <c r="CL74" s="84">
        <f>IF(CP74="","",IF(COUNTIF($CP$6:CP74,CP74)=1,MAX($CL$5:CL73)+1,INDEX($CL$5:CL73,MATCH(CP74,$CP$5:CP73,0))))</f>
        <v/>
      </c>
      <c r="CM74" s="84">
        <f>IF(NOT(AND($A74&lt;&gt;"",$C74&lt;&gt;"DOOR ONLY")),"",MAX($CM$5:CM73)+1)</f>
        <v/>
      </c>
      <c r="CN74" s="84">
        <f>IF(NOT(AND($A74&lt;&gt;"",N($BJ74)&gt;0)),"",MAX($CN$5:CN73)+1)</f>
        <v/>
      </c>
      <c r="CO74" s="84">
        <f>IF($A74="","",MAX($CO$5:CO73)+1)</f>
        <v/>
      </c>
      <c r="CP74" s="84">
        <f>IF(OR($A74="",$BH74="",$BI74=""),"",$BG74&amp;"|"&amp;$O74&amp;"|"&amp;$AL74&amp;"|"&amp;$S74&amp;"|"&amp;$P74&amp;"|"&amp;$Q74&amp;$R74&amp;"|"&amp;$C74&amp;"|"&amp;$AB74)</f>
        <v/>
      </c>
      <c r="CQ74" s="84">
        <f>N($BS74)</f>
        <v/>
      </c>
      <c r="CR74" s="84">
        <f>IF(N($AU74)&gt;0,N($AU74),4.5)</f>
        <v/>
      </c>
      <c r="CS74" s="84">
        <f>OR($A74="",$BI74="",$S74="BL",AND($C74="FRAME ONLY",OR($AC74="",$AC74="BLK")))</f>
        <v/>
      </c>
      <c r="CT74" s="84">
        <f>AND(NOT($CS74),OR($AT74="CUSTOM LOC",N($AW74)+N($AX74)+N($AY74)+N($AZ74)+N($BA74)&gt;0))</f>
        <v/>
      </c>
      <c r="CU74" s="84">
        <f>IF($BI74="","",IF($BI74&lt;=80,80,IF($BI74&lt;=84,84,96)))</f>
        <v/>
      </c>
      <c r="CV74" s="84">
        <f>ISNUMBER(MATCH($AT74&amp;"|80",LocKeys,0))</f>
        <v/>
      </c>
      <c r="CW74" s="86">
        <f>IF($CS74,"",IF($CV74,VLOOKUP($AT74&amp;"|"&amp;$CU74,LocTable,4,FALSE),5))</f>
        <v/>
      </c>
      <c r="CX74" s="86">
        <f>IF($CS74,"",IF($CV74,IF(OR($BI74=$CU74,AND($BI74&lt;$CU74,$BI74-IF(N(VLOOKUP($AT74&amp;"|"&amp;$CU74,LocTable,7,FALSE))&gt;0,VLOOKUP($AT74&amp;"|"&amp;$CU74,LocTable,7,FALSE),VLOOKUP($AT74&amp;"|"&amp;$CU74,LocTable,6,FALSE))-$CR74-0.75&gt;=2.125)),IF(N(VLOOKUP($AT74&amp;"|"&amp;$CU74,LocTable,7,FALSE))&gt;0,VLOOKUP($AT74&amp;"|"&amp;$CU74,LocTable,7,FALSE),VLOOKUP($AT74&amp;"|"&amp;$CU74,LocTable,6,FALSE)),$BI74-($CU74-IF(N(VLOOKUP($AT74&amp;"|"&amp;$CU74,LocTable,7,FALSE))&gt;0,VLOOKUP($AT74&amp;"|"&amp;$CU74,LocTable,7,FALSE),VLOOKUP($AT74&amp;"|"&amp;$CU74,LocTable,6,FALSE)))),$BI74-10-$CR74))</f>
        <v/>
      </c>
      <c r="CY74" s="85">
        <f>IF($CS74,"",TRIM(IF(ISNUMBER($BU74),"A "&amp;TRIM(TEXT($BU74,"# ?/??"))&amp;CHAR(34)&amp;"  ","")&amp;IF(ISNUMBER($BV74),"B "&amp;TRIM(TEXT($BV74,"# ?/??"))&amp;CHAR(34)&amp;"  ","")&amp;IF(ISNUMBER($BW74),"C "&amp;TRIM(TEXT($BW74,"# ?/??"))&amp;CHAR(34)&amp;"  ","")&amp;IF(ISNUMBER($BX74),"D "&amp;TRIM(TEXT($BX74,"# ?/??"))&amp;CHAR(34)&amp;"  ","")&amp;IF(ISNUMBER($BY74),"F "&amp;TRIM(TEXT($BY74,"# ?/??"))&amp;CHAR(34)&amp;"  ","")&amp;IF(ISNUMBER($BZ74),"E "&amp;TRIM(TEXT($BZ74,"# ?/??"))&amp;CHAR(34)&amp;"  ","")))</f>
        <v/>
      </c>
      <c r="CZ74" s="85">
        <f>IF(OR($CS74,N($BJ74)=0),"",TRIM(IF(ISNUMBER($BU74),"A "&amp;TRIM(TEXT($BU74-HeadClr,"# ?/??"))&amp;CHAR(34)&amp;"  ","")&amp;IF(ISNUMBER($BV74),"B "&amp;TRIM(TEXT($BV74-HeadClr,"# ?/??"))&amp;CHAR(34)&amp;"  ","")&amp;IF(ISNUMBER($BW74),"C "&amp;TRIM(TEXT($BW74-HeadClr,"# ?/??"))&amp;CHAR(34)&amp;"  ","")&amp;IF(ISNUMBER($BX74),"D "&amp;TRIM(TEXT($BX74-HeadClr,"# ?/??"))&amp;CHAR(34)&amp;"  ","")&amp;IF(ISNUMBER($BY74),"F "&amp;TRIM(TEXT($BY74-HeadClr,"# ?/??"))&amp;CHAR(34)&amp;"  ","")&amp;IF(ISNUMBER($BZ74),"E "&amp;TRIM(TEXT($BZ74-HeadClr,"# ?/??"))&amp;CHAR(34)&amp;"  ","")))</f>
        <v/>
      </c>
      <c r="DA74" s="84">
        <f>IF($A74="","",IF($AN74="",IFERROR(VLOOKUP($Z74,CODES,2,FALSE),""),IFERROR(VLOOKUP($AN74,CODES,2,FALSE),"")))</f>
        <v/>
      </c>
      <c r="DB74" s="84">
        <f>IF($A74="","",IF($O74="Y","PR",IF(OR($Z74="L",$Z74="RR",LEFT($Z74,2)="L-",LEFT($Z74,3)="RR-"),"LH","RH")))</f>
        <v/>
      </c>
      <c r="DC74" s="84">
        <f>IF($A74="","","S.HM"&amp;IF(OR($C74="DOOR ONLY",$X74&lt;&gt;"KD"),"MASONRY","DRYWALL")&amp;IF($C74="DOOR ONLY","",$U74)&amp;IF(AND($C74&lt;&gt;"FRAME ONLY",OR(LEFT($AH74,3)="OAK",LEFT($AH74,3)="BIR",LEFT($AH74,3)="MAP",$AH74="PC",$AH74="MC",$AH74="SCLC",$AH74="P-LAM")),"WD","HM")&amp;"1.75")</f>
        <v/>
      </c>
      <c r="DD74" s="84">
        <f>IF($CJ74="","",IF($O74="Y",$CJ74,SUBSTITUTE($CJ74,$BG74&amp;" "&amp;IFERROR(VLOOKUP($Z74,CODES,2,FALSE),"")&amp;" ",$BG74&amp;" ")))</f>
        <v/>
      </c>
      <c r="DE74" s="84">
        <f>IF($CK74="","",IF($O74="Y",$CK74,SUBSTITUTE($CK74,$BG74&amp;" "&amp;IF($AN74="",IFERROR(VLOOKUP($Z74,CODES,2,FALSE),""),IFERROR(VLOOKUP($AN74,CODES,2,FALSE),""))&amp;" ",$BG74&amp;" ")))</f>
        <v/>
      </c>
      <c r="DF74" s="84">
        <f>IF($CJ74="","",$DC74&amp;"|"&amp;$DD74&amp;"|"&amp;$DB74&amp;"|"&amp;$AT74&amp;"|"&amp;$V74&amp;"|"&amp;$Y74&amp;"|"&amp;$AB74)</f>
        <v/>
      </c>
      <c r="DG74" s="84">
        <f>IF(DF74="","",IF(COUNTIF($DF$6:DF74,DF74)=1,MAX($DG$5:DG73)+1,INDEX($DG$5:DG73,MATCH(DF74,$DF$5:DF73,0))))</f>
        <v/>
      </c>
      <c r="DH74" s="84">
        <f>IF($CK74="","",$DC74&amp;"|"&amp;$DE74&amp;"|"&amp;$AI74&amp;"|"&amp;$BK74&amp;"|"&amp;$BL74)</f>
        <v/>
      </c>
      <c r="DI74" s="84">
        <f>IF(DH74="","",IF(COUNTIF($DH$6:DH74,DH74)=1,MAX($DI$5:DI73)+1,INDEX($DI$5:DI73,MATCH(DH74,$DH$5:DH73,0))))</f>
        <v/>
      </c>
      <c r="DJ74" s="84">
        <f>IF($A74="","",IF($B74="","qty, ","")&amp;IF($C74="","scope, ","")&amp;IF(OR($K74="",$M74=""),"size, ","")&amp;IF(AND($A74&lt;&gt;"",$C74&lt;&gt;"DOOR ONLY"),IF($U74="","jamb depth, ","")&amp;IF($X74="","construction, ","")&amp;IF($Y74="","anchor, ","")&amp;IF($S74="","frame type, ",""),"")&amp;IF(AND(N($BJ74)&gt;0,$Z74=""),"hand, ","")&amp;IF(N($BJ74)&gt;0,IF($AH74="","door material, ","")&amp;IF($AL74="","face type, ","")&amp;IF($AP74="","lock prep, ","")&amp;IF(AND($AO74="",$AC74=""),"hinge prep, ",""),"")&amp;IF(AND($CH74&gt;0,$AH74="FRP"),"FRP cannot carry a label, ","")&amp;IF(AND($O74="Y",OR($Z74="L",$Z74="R",$Z74="LR",$Z74="RR")),"pair marked but hand is single, ","")&amp;IF(AND($O74&lt;&gt;"Y",OR($Z74="PR",AND(LEN($Z74)&gt;1,ISNUMBER(SEARCH("-",$Z74))))),"pair hand on a single door, ","")&amp;IF(AND(ISNUMBER($CI74),$CH74&lt;N($CI74)),"wall needs a "&amp;$CI74&amp;" min door, ","")&amp;IF(AND($CH74&gt;=180,AND(OR($CE74="FG",$CE74="HG",$CE74="FNV",$CE74="FV"),N($CF74)*N($CG74)&gt;100)),"180 min lite over 100 sq in, ","")&amp;IF(N($BK74)&gt;48,"leaf wider than 4'-0"&amp;CHAR(34)&amp;", ","")&amp;IF(AND($CT74,COUNT($AW74:$AZ74)=0,$CQ74&gt;0),"CUSTOM LOC with no locations typed, ",""))</f>
        <v/>
      </c>
      <c r="DK74" s="84">
        <f>IF($A74="","",IF(AND($CH74&gt;0,AND($A74&lt;&gt;"",$C74&lt;&gt;"DOOR ONLY"),$X74="KD",$E74="EXTERIOR"),"KD label on an exterior opening, ","")&amp;IF(AND($E74="EXTERIOR",OR(AND(AND($A74&lt;&gt;"",$C74&lt;&gt;"DOOR ONLY"),$W74="CR"),AND(N($BJ74)&gt;0,$AH74="CR"))),"exterior in CR steel (G9?), ","")&amp;IF(AND(ISNUMBER($BQ74),N($BQ74)&lt;32),"clear width ~"&amp;TEXT($BQ74,"0.0")&amp;CHAR(34)&amp;" under 32"&amp;CHAR(34)&amp;" (ADA), ","")&amp;IF(AND($CH74=90,AND(OR($CE74="FG",$CE74="HG",$CE74="FNV",$CE74="FV"),N($CF74)*N($CG74)&gt;100)),"90 min lite over 100 sq in (stair/exit), ","")&amp;IF(AND($CH74&gt;0,AND($A74&lt;&gt;"",$C74&lt;&gt;"DOOR ONLY"),OR($AF74="",$AF74="-")),"rated: closer reinf.?, ","")&amp;IF(OR($I74="CORRIDOR",$I74="SMOKE BARRIER"),"S label + smoke gasketing, ","")&amp;IF($CI74="?","wall type/hr not in IBC table, ","")&amp;IF(AND(N($BJ74)&gt;0,$BB74=""),"no hardware set, ","")&amp;IF(AND($BB74&lt;&gt;"",ISNA(MATCH($BB74&amp;"",HWSets,0))),"set "&amp;$BB74&amp;" not on HW Sets, ","")&amp;IF(N($BL74)&gt;96,"leaf over 8'-0"&amp;CHAR(34)&amp;" - check listing, ","")&amp;IF(AND($CT74,COUNT($AW74:$AZ74)&gt;0,COUNT($AW74:$AZ74)&lt;&gt;$CQ74),COUNT($AW74:$AZ74)&amp;" custom hinges typed, "&amp;$CQ74&amp;" expected, ","")&amp;IF(AND(ISNUMBER($CA74),OR(N($CA74)&lt;34,N($CA74)&gt;48)),"lock "&amp;TEXT($CA74,"0.0")&amp;CHAR(34)&amp;" AFF outside 34-48"&amp;CHAR(34)&amp;" (ADA), ","")&amp;IF(AND(ISNUMBER($AV74),ISNUMBER($BL74),N($AV74)&lt;IF(N($BL74)&lt;=60,2,IF(N($BL74)&lt;=90,3,IF(N($BL74)&lt;=120,4,5)))),"fewer hinges than standard, ",""))</f>
        <v/>
      </c>
    </row>
    <row r="75" ht="15" customHeight="1">
      <c r="A75" s="92" t="n"/>
      <c r="B75" s="93" t="n"/>
      <c r="C75" s="93" t="n"/>
      <c r="D75" s="93" t="n"/>
      <c r="E75" s="93" t="n"/>
      <c r="F75" s="93" t="n"/>
      <c r="G75" s="93" t="n"/>
      <c r="H75" s="93" t="n"/>
      <c r="I75" s="93" t="n"/>
      <c r="J75" s="93" t="n"/>
      <c r="K75" s="93" t="n"/>
      <c r="L75" s="93" t="n"/>
      <c r="M75" s="93" t="n"/>
      <c r="N75" s="93" t="n"/>
      <c r="O75" s="93" t="n"/>
      <c r="P75" s="93" t="n"/>
      <c r="Q75" s="93" t="n"/>
      <c r="R75" s="93" t="n"/>
      <c r="S75" s="94" t="n"/>
      <c r="T75" s="94" t="n"/>
      <c r="U75" s="94" t="n"/>
      <c r="V75" s="94" t="n"/>
      <c r="W75" s="94" t="n"/>
      <c r="X75" s="94" t="n"/>
      <c r="Y75" s="94" t="n"/>
      <c r="Z75" s="94" t="n"/>
      <c r="AA75" s="94" t="n"/>
      <c r="AB75" s="94" t="n"/>
      <c r="AC75" s="94" t="n"/>
      <c r="AD75" s="94" t="n"/>
      <c r="AE75" s="94" t="n"/>
      <c r="AF75" s="94" t="n"/>
      <c r="AG75" s="94" t="n"/>
      <c r="AH75" s="95" t="n"/>
      <c r="AI75" s="95" t="n"/>
      <c r="AJ75" s="95" t="n"/>
      <c r="AK75" s="95" t="n"/>
      <c r="AL75" s="95" t="n"/>
      <c r="AM75" s="95" t="n"/>
      <c r="AN75" s="95" t="n"/>
      <c r="AO75" s="95" t="n"/>
      <c r="AP75" s="95" t="n"/>
      <c r="AQ75" s="95" t="n"/>
      <c r="AR75" s="95" t="n"/>
      <c r="AS75" s="95" t="n"/>
      <c r="AT75" s="96" t="n"/>
      <c r="AU75" s="96" t="n"/>
      <c r="AV75" s="96" t="n"/>
      <c r="AW75" s="97" t="n"/>
      <c r="AX75" s="97" t="n"/>
      <c r="AY75" s="97" t="n"/>
      <c r="AZ75" s="97" t="n"/>
      <c r="BA75" s="97" t="n"/>
      <c r="BB75" s="98" t="n"/>
      <c r="BC75" s="98" t="n"/>
      <c r="BD75" s="99">
        <f>IF($A75="","",IF($DJ75&lt;&gt;"","FIX",IF($DK75&lt;&gt;"","CHECK","OK")))</f>
        <v/>
      </c>
      <c r="BE75" s="100">
        <f>IF($A75="","",IF($DJ75&lt;&gt;"","FIX: "&amp;LEFT($DJ75,LEN($DJ75)-2)&amp;IF($DK75&lt;&gt;"","  ·  ",""),"")&amp;IF($DK75&lt;&gt;"","CHECK: "&amp;LEFT($DK75,LEN($DK75)-2),""))</f>
        <v/>
      </c>
      <c r="BF75" s="99">
        <f>IF(OR($A75="",$K75=""),"",$K75&amp;"'-"&amp;N($L75)&amp;CHAR(34)&amp;" x "&amp;$M75&amp;"'-"&amp;N($N75)&amp;CHAR(34))</f>
        <v/>
      </c>
      <c r="BG75" s="99">
        <f>IF(OR($A75="",$K75=""),"",$K75&amp;N($L75)&amp;$M75&amp;N($N75))</f>
        <v/>
      </c>
      <c r="BH75" s="99">
        <f>IF(OR($A75="",$K75=""),"",$K75*12+N($L75))</f>
        <v/>
      </c>
      <c r="BI75" s="99">
        <f>IF(OR($A75="",$M75=""),"",$M75*12+N($N75))</f>
        <v/>
      </c>
      <c r="BJ75" s="99">
        <f>IF($A75="","",IF(OR($C75="FRAME ONLY",$S75="BL"),0,IF($O75="Y",2,1)))</f>
        <v/>
      </c>
      <c r="BK75" s="101">
        <f>IF(OR(N($BJ75)=0,$BH75=""),"",($BH75-2*EdgeClr-IF($BJ75=2,MeetClr,0))/$BJ75)</f>
        <v/>
      </c>
      <c r="BL75" s="101">
        <f>IF(OR(N($BJ75)=0,$BI75=""),"",$BI75-HeadClr-Undercut)</f>
        <v/>
      </c>
      <c r="BM75" s="101">
        <f>IF($BH75="","",$BH75+2*FaceW+IF(N($Q75)&gt;0,($Q75+FaceW)*IF($R75="LR",2,1),0))</f>
        <v/>
      </c>
      <c r="BN75" s="101">
        <f>IF($BI75="","",$BI75+IF($AB75="Y",4,FaceW)+IF(N($P75)&gt;0,$P75+FaceW,0)+IF(OR($S75="4F",$S75="BL"),FaceW,0))</f>
        <v/>
      </c>
      <c r="BO75" s="101">
        <f>IF($BM75="","",$BM75+2*ROSide)</f>
        <v/>
      </c>
      <c r="BP75" s="101">
        <f>IF($BN75="","",$BN75+ROTop)</f>
        <v/>
      </c>
      <c r="BQ75" s="102">
        <f>IF(OR(N($BJ75)=0,$BH75=""),"",$BH75/$BJ75-ClearDeduct)</f>
        <v/>
      </c>
      <c r="BR75" s="99">
        <f>IF(N($CH75)=0,"",IF($CH75&gt;=180,"A · 3 HR",IF($CH75&gt;=90,"B · 1-1/2 HR",IF($CH75&gt;=60,"B · 1 HR",IF($CH75&gt;=45,"C · 3/4 HR","20 MIN")))))&amp;IF(AND(N($CH75)&gt;0,OR($I75="CORRIDOR",$I75="SMOKE BARRIER"))," · S","")</f>
        <v/>
      </c>
      <c r="BS75" s="99">
        <f>IF($CS75,"",IF($AV75&lt;&gt;"",$AV75,IF(OR($AC75="HGC",$AO75="HGC"),"CONT",IF(($BI75-HeadClr-Undercut)&lt;=60,2,IF(($BI75-HeadClr-Undercut)&lt;=90,3,IF(($BI75-HeadClr-Undercut)&lt;=120,4,5))))))</f>
        <v/>
      </c>
      <c r="BT75" s="99">
        <f>IF($CS75,"",IF($CT75,"CUSTOM (typed)",IF($CV75,$AT75&amp;" "&amp;$CU75&amp;CHAR(34)&amp;IF($CU75&lt;&gt;$BI75,IF(AND($BI75&lt;$CU75,$BI75-IF(N(VLOOKUP($AT75&amp;"|"&amp;$CU75,LocTable,7,FALSE))&gt;0,VLOOKUP($AT75&amp;"|"&amp;$CU75,LocTable,7,FALSE),VLOOKUP($AT75&amp;"|"&amp;$CU75,LocTable,6,FALSE))-$CR75-0.75&gt;=2.125)," cut down"," adj."),""),"ANSI/SDI A250.6")))</f>
        <v/>
      </c>
      <c r="BU75" s="103">
        <f>IF($CS75,"",IF($CT75,IF(N($AW75)&gt;0,N($AW75),""),IF(1&gt;$CQ75,"",IF($CQ75=1,$CW75,$CW75+($CX75-$CW75)*0/($CQ75-1)))))</f>
        <v/>
      </c>
      <c r="BV75" s="103">
        <f>IF($CS75,"",IF($CT75,IF(N($AX75)&gt;0,N($AX75),""),IF(2&gt;$CQ75,"",IF($CQ75=1,$CW75,$CW75+($CX75-$CW75)*1/($CQ75-1)))))</f>
        <v/>
      </c>
      <c r="BW75" s="103">
        <f>IF($CS75,"",IF($CT75,IF(N($AY75)&gt;0,N($AY75),""),IF(3&gt;$CQ75,"",IF($CQ75=1,$CW75,$CW75+($CX75-$CW75)*2/($CQ75-1)))))</f>
        <v/>
      </c>
      <c r="BX75" s="103">
        <f>IF($CS75,"",IF($CT75,IF(N($AZ75)&gt;0,N($AZ75),""),IF(4&gt;$CQ75,"",IF($CQ75=1,$CW75,$CW75+($CX75-$CW75)*3/($CQ75-1)))))</f>
        <v/>
      </c>
      <c r="BY75" s="103">
        <f>IF($CS75,"",IF($CT75,"",IF(5&gt;$CQ75,"",IF($CQ75=1,$CW75,$CW75+($CX75-$CW75)*4/($CQ75-1)))))</f>
        <v/>
      </c>
      <c r="BZ75" s="103">
        <f>IF(OR($CS75,$AP75="-",AND($AP75="",$AD75="")),"",IF(N($BA75)&gt;0,N($BA75),IF($CV75,IF(AND($BI75&lt;$CU75,$BI75-IF(N(VLOOKUP($AT75&amp;"|"&amp;$CU75,LocTable,7,FALSE))&gt;0,VLOOKUP($AT75&amp;"|"&amp;$CU75,LocTable,7,FALSE),VLOOKUP($AT75&amp;"|"&amp;$CU75,LocTable,6,FALSE))-$CR75-0.75&gt;=2.125),VLOOKUP($AT75&amp;"|"&amp;$CU75,LocTable,8,FALSE),VLOOKUP($AT75&amp;"|"&amp;$CU75,LocTable,8,FALSE)+($BI75-$CU75)),$BI75-LockAFF)))</f>
        <v/>
      </c>
      <c r="CA75" s="104">
        <f>IF($BZ75="","",$BI75-$BZ75)</f>
        <v/>
      </c>
      <c r="CB75" s="99">
        <f>IF(OR(NOT(AND($A75&lt;&gt;"",$C75&lt;&gt;"DOOR ONLY")),$BI75=""),"",IF(($BI75+IF(N($P75)&gt;0,$P75+FaceW,0))&lt;=90,3,IF(($BI75+IF(N($P75)&gt;0,$P75+FaceW,0))&lt;=114,4,5)))</f>
        <v/>
      </c>
      <c r="CC75" s="99">
        <f>IF($CB75="","",$CB75*(2+IF(N($Q75)&gt;0,IF($R75="LR",2,1),0)))</f>
        <v/>
      </c>
      <c r="CD75" s="99">
        <f>IF($CB75="","",(2+IF(N($Q75)&gt;0,IF($R75="LR",2,1),0)))</f>
        <v/>
      </c>
      <c r="CE75" s="99">
        <f>IF(N($BJ75)=0,"",IF(OR($AL75="",$AL75="FLUSH"),"FLUSH",IFERROR(LEFT($AL75,FIND("-",$AL75)-1),LEFT($AL75,2))))</f>
        <v/>
      </c>
      <c r="CF75" s="99">
        <f>IF($CE75="","",IFERROR(VALUE(MID($AL75,FIND("-",$AL75)+1,FIND(CHAR(34)&amp;"x",$AL75)-FIND("-",$AL75)-1)),0))</f>
        <v/>
      </c>
      <c r="CG75" s="99">
        <f>IF($CE75="","",IFERROR(VALUE(MID($AL75,FIND(CHAR(34)&amp;"x",$AL75)+2,FIND(CHAR(34),$AL75,FIND(CHAR(34)&amp;"x",$AL75)+2)-FIND(CHAR(34)&amp;"x",$AL75)-2)),0))</f>
        <v/>
      </c>
      <c r="CH75" s="105">
        <f>IF(OR($A75="",$H75="",$H75="NO LAB"),0,IFERROR(VALUE(LEFT($H75,FIND(" ",$H75)-1)),0))</f>
        <v/>
      </c>
      <c r="CI75" s="106">
        <f>IF(OR($A75="",$I75="",$I75="NON-RATED",N($J75)=0),"",IFERROR(VLOOKUP($I75&amp;"|"&amp;$J75,IBC,2,FALSE),"?"))</f>
        <v/>
      </c>
      <c r="CJ75" s="100">
        <f>IF(NOT(AND($A75&lt;&gt;"",$C75&lt;&gt;"DOOR ONLY")),"",TRIM(IFERROR(VLOOKUP($U75,CODES,2,FALSE),"")&amp;" "&amp;$BG75&amp;" "&amp;IFERROR(VLOOKUP($Z75,CODES,2,FALSE),"")&amp;" "&amp;IFERROR(VLOOKUP($X75,CODES,2,FALSE),"")&amp;" "&amp;IFERROR(VLOOKUP($S75,CODES,2,FALSE),"")&amp;IF(N($P75)&gt;0," w/TRANSOM "&amp;$P75&amp;CHAR(34),"")&amp;IF(N($Q75)&gt;0," w/SIDELITE "&amp;$Q75&amp;CHAR(34)&amp;" "&amp;IF($R75="","R",$R75),"")&amp;IF($Y75="","  |  "," | "&amp;IFERROR(VLOOKUP($Y75,CODES,2,FALSE),"")&amp;" | ")&amp;IFERROR(VLOOKUP($AC75,CODES,2,FALSE),"")&amp;" "&amp;IFERROR(VLOOKUP($AD75,CODES,2,FALSE),"")&amp;IF(OR($AE75="",$AE75="-"),""," "&amp;$AE75)&amp;IF(OR($AF75="",$AF75="-"),""," "&amp;$AF75)&amp;IF($AB75="Y"," 4"&amp;CHAR(34)&amp;" HEAD","")&amp;" "&amp;IFERROR(VLOOKUP($H75,CODES,2,FALSE),"")&amp;IF($CT75," | LOC "&amp;$CY75,"")))</f>
        <v/>
      </c>
      <c r="CK75" s="100">
        <f>IF(NOT(AND($A75&lt;&gt;"",N($BJ75)&gt;0)),"",TRIM(IFERROR(VLOOKUP($AH75,CODES,2,FALSE),"")&amp;IF($AI75=""," "," "&amp;$AI75&amp;"GA ")&amp;$BG75&amp;" "&amp;IF($AN75="",IFERROR(VLOOKUP($Z75,CODES,2,FALSE),""),IFERROR(VLOOKUP($AN75,CODES,2,FALSE),""))&amp;IF($BJ75=2," PAIR","")&amp;" DOOR | "&amp;IF($AL75="","?",$AL75)&amp;" | "&amp;IF($AO75="",IFERROR(VLOOKUP($AC75,CODES,2,FALSE),""),IFERROR(VLOOKUP($AO75,CODES,2,FALSE),""))&amp;" "&amp;IFERROR(VLOOKUP($AP75,CODES,2,FALSE),"")&amp;IF(OR($AQ75="",$AQ75="-"),""," SEAM "&amp;$AQ75)&amp;IF($AR75="Y"," ASTRAGAL","")&amp;IF($AJ75=""," "," "&amp;$AJ75)&amp;IF($AK75=""," "," "&amp;$AK75)&amp;IF(OR($AT75="",$AT75="ANSI/SDI",$AT75="CUSTOM LOC"),""," "&amp;$AT75)&amp;IF($AM75=""," "," SERIES "&amp;$AM75)&amp;" "&amp;IFERROR(VLOOKUP($H75,CODES,2,FALSE),"")&amp;IF($CT75," | LOC "&amp;$CZ75,"")))</f>
        <v/>
      </c>
      <c r="CL75" s="99">
        <f>IF(CP75="","",IF(COUNTIF($CP$6:CP75,CP75)=1,MAX($CL$5:CL74)+1,INDEX($CL$5:CL74,MATCH(CP75,$CP$5:CP74,0))))</f>
        <v/>
      </c>
      <c r="CM75" s="99">
        <f>IF(NOT(AND($A75&lt;&gt;"",$C75&lt;&gt;"DOOR ONLY")),"",MAX($CM$5:CM74)+1)</f>
        <v/>
      </c>
      <c r="CN75" s="99">
        <f>IF(NOT(AND($A75&lt;&gt;"",N($BJ75)&gt;0)),"",MAX($CN$5:CN74)+1)</f>
        <v/>
      </c>
      <c r="CO75" s="99">
        <f>IF($A75="","",MAX($CO$5:CO74)+1)</f>
        <v/>
      </c>
      <c r="CP75" s="99">
        <f>IF(OR($A75="",$BH75="",$BI75=""),"",$BG75&amp;"|"&amp;$O75&amp;"|"&amp;$AL75&amp;"|"&amp;$S75&amp;"|"&amp;$P75&amp;"|"&amp;$Q75&amp;$R75&amp;"|"&amp;$C75&amp;"|"&amp;$AB75)</f>
        <v/>
      </c>
      <c r="CQ75" s="99">
        <f>N($BS75)</f>
        <v/>
      </c>
      <c r="CR75" s="99">
        <f>IF(N($AU75)&gt;0,N($AU75),4.5)</f>
        <v/>
      </c>
      <c r="CS75" s="99">
        <f>OR($A75="",$BI75="",$S75="BL",AND($C75="FRAME ONLY",OR($AC75="",$AC75="BLK")))</f>
        <v/>
      </c>
      <c r="CT75" s="99">
        <f>AND(NOT($CS75),OR($AT75="CUSTOM LOC",N($AW75)+N($AX75)+N($AY75)+N($AZ75)+N($BA75)&gt;0))</f>
        <v/>
      </c>
      <c r="CU75" s="99">
        <f>IF($BI75="","",IF($BI75&lt;=80,80,IF($BI75&lt;=84,84,96)))</f>
        <v/>
      </c>
      <c r="CV75" s="99">
        <f>ISNUMBER(MATCH($AT75&amp;"|80",LocKeys,0))</f>
        <v/>
      </c>
      <c r="CW75" s="101">
        <f>IF($CS75,"",IF($CV75,VLOOKUP($AT75&amp;"|"&amp;$CU75,LocTable,4,FALSE),5))</f>
        <v/>
      </c>
      <c r="CX75" s="101">
        <f>IF($CS75,"",IF($CV75,IF(OR($BI75=$CU75,AND($BI75&lt;$CU75,$BI75-IF(N(VLOOKUP($AT75&amp;"|"&amp;$CU75,LocTable,7,FALSE))&gt;0,VLOOKUP($AT75&amp;"|"&amp;$CU75,LocTable,7,FALSE),VLOOKUP($AT75&amp;"|"&amp;$CU75,LocTable,6,FALSE))-$CR75-0.75&gt;=2.125)),IF(N(VLOOKUP($AT75&amp;"|"&amp;$CU75,LocTable,7,FALSE))&gt;0,VLOOKUP($AT75&amp;"|"&amp;$CU75,LocTable,7,FALSE),VLOOKUP($AT75&amp;"|"&amp;$CU75,LocTable,6,FALSE)),$BI75-($CU75-IF(N(VLOOKUP($AT75&amp;"|"&amp;$CU75,LocTable,7,FALSE))&gt;0,VLOOKUP($AT75&amp;"|"&amp;$CU75,LocTable,7,FALSE),VLOOKUP($AT75&amp;"|"&amp;$CU75,LocTable,6,FALSE)))),$BI75-10-$CR75))</f>
        <v/>
      </c>
      <c r="CY75" s="100">
        <f>IF($CS75,"",TRIM(IF(ISNUMBER($BU75),"A "&amp;TRIM(TEXT($BU75,"# ?/??"))&amp;CHAR(34)&amp;"  ","")&amp;IF(ISNUMBER($BV75),"B "&amp;TRIM(TEXT($BV75,"# ?/??"))&amp;CHAR(34)&amp;"  ","")&amp;IF(ISNUMBER($BW75),"C "&amp;TRIM(TEXT($BW75,"# ?/??"))&amp;CHAR(34)&amp;"  ","")&amp;IF(ISNUMBER($BX75),"D "&amp;TRIM(TEXT($BX75,"# ?/??"))&amp;CHAR(34)&amp;"  ","")&amp;IF(ISNUMBER($BY75),"F "&amp;TRIM(TEXT($BY75,"# ?/??"))&amp;CHAR(34)&amp;"  ","")&amp;IF(ISNUMBER($BZ75),"E "&amp;TRIM(TEXT($BZ75,"# ?/??"))&amp;CHAR(34)&amp;"  ","")))</f>
        <v/>
      </c>
      <c r="CZ75" s="100">
        <f>IF(OR($CS75,N($BJ75)=0),"",TRIM(IF(ISNUMBER($BU75),"A "&amp;TRIM(TEXT($BU75-HeadClr,"# ?/??"))&amp;CHAR(34)&amp;"  ","")&amp;IF(ISNUMBER($BV75),"B "&amp;TRIM(TEXT($BV75-HeadClr,"# ?/??"))&amp;CHAR(34)&amp;"  ","")&amp;IF(ISNUMBER($BW75),"C "&amp;TRIM(TEXT($BW75-HeadClr,"# ?/??"))&amp;CHAR(34)&amp;"  ","")&amp;IF(ISNUMBER($BX75),"D "&amp;TRIM(TEXT($BX75-HeadClr,"# ?/??"))&amp;CHAR(34)&amp;"  ","")&amp;IF(ISNUMBER($BY75),"F "&amp;TRIM(TEXT($BY75-HeadClr,"# ?/??"))&amp;CHAR(34)&amp;"  ","")&amp;IF(ISNUMBER($BZ75),"E "&amp;TRIM(TEXT($BZ75-HeadClr,"# ?/??"))&amp;CHAR(34)&amp;"  ","")))</f>
        <v/>
      </c>
      <c r="DA75" s="99">
        <f>IF($A75="","",IF($AN75="",IFERROR(VLOOKUP($Z75,CODES,2,FALSE),""),IFERROR(VLOOKUP($AN75,CODES,2,FALSE),"")))</f>
        <v/>
      </c>
      <c r="DB75" s="99">
        <f>IF($A75="","",IF($O75="Y","PR",IF(OR($Z75="L",$Z75="RR",LEFT($Z75,2)="L-",LEFT($Z75,3)="RR-"),"LH","RH")))</f>
        <v/>
      </c>
      <c r="DC75" s="99">
        <f>IF($A75="","","S.HM"&amp;IF(OR($C75="DOOR ONLY",$X75&lt;&gt;"KD"),"MASONRY","DRYWALL")&amp;IF($C75="DOOR ONLY","",$U75)&amp;IF(AND($C75&lt;&gt;"FRAME ONLY",OR(LEFT($AH75,3)="OAK",LEFT($AH75,3)="BIR",LEFT($AH75,3)="MAP",$AH75="PC",$AH75="MC",$AH75="SCLC",$AH75="P-LAM")),"WD","HM")&amp;"1.75")</f>
        <v/>
      </c>
      <c r="DD75" s="99">
        <f>IF($CJ75="","",IF($O75="Y",$CJ75,SUBSTITUTE($CJ75,$BG75&amp;" "&amp;IFERROR(VLOOKUP($Z75,CODES,2,FALSE),"")&amp;" ",$BG75&amp;" ")))</f>
        <v/>
      </c>
      <c r="DE75" s="99">
        <f>IF($CK75="","",IF($O75="Y",$CK75,SUBSTITUTE($CK75,$BG75&amp;" "&amp;IF($AN75="",IFERROR(VLOOKUP($Z75,CODES,2,FALSE),""),IFERROR(VLOOKUP($AN75,CODES,2,FALSE),""))&amp;" ",$BG75&amp;" ")))</f>
        <v/>
      </c>
      <c r="DF75" s="99">
        <f>IF($CJ75="","",$DC75&amp;"|"&amp;$DD75&amp;"|"&amp;$DB75&amp;"|"&amp;$AT75&amp;"|"&amp;$V75&amp;"|"&amp;$Y75&amp;"|"&amp;$AB75)</f>
        <v/>
      </c>
      <c r="DG75" s="99">
        <f>IF(DF75="","",IF(COUNTIF($DF$6:DF75,DF75)=1,MAX($DG$5:DG74)+1,INDEX($DG$5:DG74,MATCH(DF75,$DF$5:DF74,0))))</f>
        <v/>
      </c>
      <c r="DH75" s="99">
        <f>IF($CK75="","",$DC75&amp;"|"&amp;$DE75&amp;"|"&amp;$AI75&amp;"|"&amp;$BK75&amp;"|"&amp;$BL75)</f>
        <v/>
      </c>
      <c r="DI75" s="99">
        <f>IF(DH75="","",IF(COUNTIF($DH$6:DH75,DH75)=1,MAX($DI$5:DI74)+1,INDEX($DI$5:DI74,MATCH(DH75,$DH$5:DH74,0))))</f>
        <v/>
      </c>
      <c r="DJ75" s="99">
        <f>IF($A75="","",IF($B75="","qty, ","")&amp;IF($C75="","scope, ","")&amp;IF(OR($K75="",$M75=""),"size, ","")&amp;IF(AND($A75&lt;&gt;"",$C75&lt;&gt;"DOOR ONLY"),IF($U75="","jamb depth, ","")&amp;IF($X75="","construction, ","")&amp;IF($Y75="","anchor, ","")&amp;IF($S75="","frame type, ",""),"")&amp;IF(AND(N($BJ75)&gt;0,$Z75=""),"hand, ","")&amp;IF(N($BJ75)&gt;0,IF($AH75="","door material, ","")&amp;IF($AL75="","face type, ","")&amp;IF($AP75="","lock prep, ","")&amp;IF(AND($AO75="",$AC75=""),"hinge prep, ",""),"")&amp;IF(AND($CH75&gt;0,$AH75="FRP"),"FRP cannot carry a label, ","")&amp;IF(AND($O75="Y",OR($Z75="L",$Z75="R",$Z75="LR",$Z75="RR")),"pair marked but hand is single, ","")&amp;IF(AND($O75&lt;&gt;"Y",OR($Z75="PR",AND(LEN($Z75)&gt;1,ISNUMBER(SEARCH("-",$Z75))))),"pair hand on a single door, ","")&amp;IF(AND(ISNUMBER($CI75),$CH75&lt;N($CI75)),"wall needs a "&amp;$CI75&amp;" min door, ","")&amp;IF(AND($CH75&gt;=180,AND(OR($CE75="FG",$CE75="HG",$CE75="FNV",$CE75="FV"),N($CF75)*N($CG75)&gt;100)),"180 min lite over 100 sq in, ","")&amp;IF(N($BK75)&gt;48,"leaf wider than 4'-0"&amp;CHAR(34)&amp;", ","")&amp;IF(AND($CT75,COUNT($AW75:$AZ75)=0,$CQ75&gt;0),"CUSTOM LOC with no locations typed, ",""))</f>
        <v/>
      </c>
      <c r="DK75" s="99">
        <f>IF($A75="","",IF(AND($CH75&gt;0,AND($A75&lt;&gt;"",$C75&lt;&gt;"DOOR ONLY"),$X75="KD",$E75="EXTERIOR"),"KD label on an exterior opening, ","")&amp;IF(AND($E75="EXTERIOR",OR(AND(AND($A75&lt;&gt;"",$C75&lt;&gt;"DOOR ONLY"),$W75="CR"),AND(N($BJ75)&gt;0,$AH75="CR"))),"exterior in CR steel (G9?), ","")&amp;IF(AND(ISNUMBER($BQ75),N($BQ75)&lt;32),"clear width ~"&amp;TEXT($BQ75,"0.0")&amp;CHAR(34)&amp;" under 32"&amp;CHAR(34)&amp;" (ADA), ","")&amp;IF(AND($CH75=90,AND(OR($CE75="FG",$CE75="HG",$CE75="FNV",$CE75="FV"),N($CF75)*N($CG75)&gt;100)),"90 min lite over 100 sq in (stair/exit), ","")&amp;IF(AND($CH75&gt;0,AND($A75&lt;&gt;"",$C75&lt;&gt;"DOOR ONLY"),OR($AF75="",$AF75="-")),"rated: closer reinf.?, ","")&amp;IF(OR($I75="CORRIDOR",$I75="SMOKE BARRIER"),"S label + smoke gasketing, ","")&amp;IF($CI75="?","wall type/hr not in IBC table, ","")&amp;IF(AND(N($BJ75)&gt;0,$BB75=""),"no hardware set, ","")&amp;IF(AND($BB75&lt;&gt;"",ISNA(MATCH($BB75&amp;"",HWSets,0))),"set "&amp;$BB75&amp;" not on HW Sets, ","")&amp;IF(N($BL75)&gt;96,"leaf over 8'-0"&amp;CHAR(34)&amp;" - check listing, ","")&amp;IF(AND($CT75,COUNT($AW75:$AZ75)&gt;0,COUNT($AW75:$AZ75)&lt;&gt;$CQ75),COUNT($AW75:$AZ75)&amp;" custom hinges typed, "&amp;$CQ75&amp;" expected, ","")&amp;IF(AND(ISNUMBER($CA75),OR(N($CA75)&lt;34,N($CA75)&gt;48)),"lock "&amp;TEXT($CA75,"0.0")&amp;CHAR(34)&amp;" AFF outside 34-48"&amp;CHAR(34)&amp;" (ADA), ","")&amp;IF(AND(ISNUMBER($AV75),ISNUMBER($BL75),N($AV75)&lt;IF(N($BL75)&lt;=60,2,IF(N($BL75)&lt;=90,3,IF(N($BL75)&lt;=120,4,5)))),"fewer hinges than standard, ",""))</f>
        <v/>
      </c>
    </row>
    <row r="76" ht="15" customHeight="1">
      <c r="A76" s="77" t="n"/>
      <c r="B76" s="78" t="n"/>
      <c r="C76" s="78" t="n"/>
      <c r="D76" s="78" t="n"/>
      <c r="E76" s="78" t="n"/>
      <c r="F76" s="78" t="n"/>
      <c r="G76" s="78" t="n"/>
      <c r="H76" s="78" t="n"/>
      <c r="I76" s="78" t="n"/>
      <c r="J76" s="78" t="n"/>
      <c r="K76" s="78" t="n"/>
      <c r="L76" s="78" t="n"/>
      <c r="M76" s="78" t="n"/>
      <c r="N76" s="78" t="n"/>
      <c r="O76" s="78" t="n"/>
      <c r="P76" s="78" t="n"/>
      <c r="Q76" s="78" t="n"/>
      <c r="R76" s="78" t="n"/>
      <c r="S76" s="79" t="n"/>
      <c r="T76" s="79" t="n"/>
      <c r="U76" s="79" t="n"/>
      <c r="V76" s="79" t="n"/>
      <c r="W76" s="79" t="n"/>
      <c r="X76" s="79" t="n"/>
      <c r="Y76" s="79" t="n"/>
      <c r="Z76" s="79" t="n"/>
      <c r="AA76" s="79" t="n"/>
      <c r="AB76" s="79" t="n"/>
      <c r="AC76" s="79" t="n"/>
      <c r="AD76" s="79" t="n"/>
      <c r="AE76" s="79" t="n"/>
      <c r="AF76" s="79" t="n"/>
      <c r="AG76" s="79" t="n"/>
      <c r="AH76" s="80" t="n"/>
      <c r="AI76" s="80" t="n"/>
      <c r="AJ76" s="80" t="n"/>
      <c r="AK76" s="80" t="n"/>
      <c r="AL76" s="80" t="n"/>
      <c r="AM76" s="80" t="n"/>
      <c r="AN76" s="80" t="n"/>
      <c r="AO76" s="80" t="n"/>
      <c r="AP76" s="80" t="n"/>
      <c r="AQ76" s="80" t="n"/>
      <c r="AR76" s="80" t="n"/>
      <c r="AS76" s="80" t="n"/>
      <c r="AT76" s="81" t="n"/>
      <c r="AU76" s="81" t="n"/>
      <c r="AV76" s="81" t="n"/>
      <c r="AW76" s="82" t="n"/>
      <c r="AX76" s="82" t="n"/>
      <c r="AY76" s="82" t="n"/>
      <c r="AZ76" s="82" t="n"/>
      <c r="BA76" s="82" t="n"/>
      <c r="BB76" s="83" t="n"/>
      <c r="BC76" s="83" t="n"/>
      <c r="BD76" s="84">
        <f>IF($A76="","",IF($DJ76&lt;&gt;"","FIX",IF($DK76&lt;&gt;"","CHECK","OK")))</f>
        <v/>
      </c>
      <c r="BE76" s="85">
        <f>IF($A76="","",IF($DJ76&lt;&gt;"","FIX: "&amp;LEFT($DJ76,LEN($DJ76)-2)&amp;IF($DK76&lt;&gt;"","  ·  ",""),"")&amp;IF($DK76&lt;&gt;"","CHECK: "&amp;LEFT($DK76,LEN($DK76)-2),""))</f>
        <v/>
      </c>
      <c r="BF76" s="84">
        <f>IF(OR($A76="",$K76=""),"",$K76&amp;"'-"&amp;N($L76)&amp;CHAR(34)&amp;" x "&amp;$M76&amp;"'-"&amp;N($N76)&amp;CHAR(34))</f>
        <v/>
      </c>
      <c r="BG76" s="84">
        <f>IF(OR($A76="",$K76=""),"",$K76&amp;N($L76)&amp;$M76&amp;N($N76))</f>
        <v/>
      </c>
      <c r="BH76" s="84">
        <f>IF(OR($A76="",$K76=""),"",$K76*12+N($L76))</f>
        <v/>
      </c>
      <c r="BI76" s="84">
        <f>IF(OR($A76="",$M76=""),"",$M76*12+N($N76))</f>
        <v/>
      </c>
      <c r="BJ76" s="84">
        <f>IF($A76="","",IF(OR($C76="FRAME ONLY",$S76="BL"),0,IF($O76="Y",2,1)))</f>
        <v/>
      </c>
      <c r="BK76" s="86">
        <f>IF(OR(N($BJ76)=0,$BH76=""),"",($BH76-2*EdgeClr-IF($BJ76=2,MeetClr,0))/$BJ76)</f>
        <v/>
      </c>
      <c r="BL76" s="86">
        <f>IF(OR(N($BJ76)=0,$BI76=""),"",$BI76-HeadClr-Undercut)</f>
        <v/>
      </c>
      <c r="BM76" s="86">
        <f>IF($BH76="","",$BH76+2*FaceW+IF(N($Q76)&gt;0,($Q76+FaceW)*IF($R76="LR",2,1),0))</f>
        <v/>
      </c>
      <c r="BN76" s="86">
        <f>IF($BI76="","",$BI76+IF($AB76="Y",4,FaceW)+IF(N($P76)&gt;0,$P76+FaceW,0)+IF(OR($S76="4F",$S76="BL"),FaceW,0))</f>
        <v/>
      </c>
      <c r="BO76" s="86">
        <f>IF($BM76="","",$BM76+2*ROSide)</f>
        <v/>
      </c>
      <c r="BP76" s="86">
        <f>IF($BN76="","",$BN76+ROTop)</f>
        <v/>
      </c>
      <c r="BQ76" s="87">
        <f>IF(OR(N($BJ76)=0,$BH76=""),"",$BH76/$BJ76-ClearDeduct)</f>
        <v/>
      </c>
      <c r="BR76" s="84">
        <f>IF(N($CH76)=0,"",IF($CH76&gt;=180,"A · 3 HR",IF($CH76&gt;=90,"B · 1-1/2 HR",IF($CH76&gt;=60,"B · 1 HR",IF($CH76&gt;=45,"C · 3/4 HR","20 MIN")))))&amp;IF(AND(N($CH76)&gt;0,OR($I76="CORRIDOR",$I76="SMOKE BARRIER"))," · S","")</f>
        <v/>
      </c>
      <c r="BS76" s="84">
        <f>IF($CS76,"",IF($AV76&lt;&gt;"",$AV76,IF(OR($AC76="HGC",$AO76="HGC"),"CONT",IF(($BI76-HeadClr-Undercut)&lt;=60,2,IF(($BI76-HeadClr-Undercut)&lt;=90,3,IF(($BI76-HeadClr-Undercut)&lt;=120,4,5))))))</f>
        <v/>
      </c>
      <c r="BT76" s="84">
        <f>IF($CS76,"",IF($CT76,"CUSTOM (typed)",IF($CV76,$AT76&amp;" "&amp;$CU76&amp;CHAR(34)&amp;IF($CU76&lt;&gt;$BI76,IF(AND($BI76&lt;$CU76,$BI76-IF(N(VLOOKUP($AT76&amp;"|"&amp;$CU76,LocTable,7,FALSE))&gt;0,VLOOKUP($AT76&amp;"|"&amp;$CU76,LocTable,7,FALSE),VLOOKUP($AT76&amp;"|"&amp;$CU76,LocTable,6,FALSE))-$CR76-0.75&gt;=2.125)," cut down"," adj."),""),"ANSI/SDI A250.6")))</f>
        <v/>
      </c>
      <c r="BU76" s="88">
        <f>IF($CS76,"",IF($CT76,IF(N($AW76)&gt;0,N($AW76),""),IF(1&gt;$CQ76,"",IF($CQ76=1,$CW76,$CW76+($CX76-$CW76)*0/($CQ76-1)))))</f>
        <v/>
      </c>
      <c r="BV76" s="88">
        <f>IF($CS76,"",IF($CT76,IF(N($AX76)&gt;0,N($AX76),""),IF(2&gt;$CQ76,"",IF($CQ76=1,$CW76,$CW76+($CX76-$CW76)*1/($CQ76-1)))))</f>
        <v/>
      </c>
      <c r="BW76" s="88">
        <f>IF($CS76,"",IF($CT76,IF(N($AY76)&gt;0,N($AY76),""),IF(3&gt;$CQ76,"",IF($CQ76=1,$CW76,$CW76+($CX76-$CW76)*2/($CQ76-1)))))</f>
        <v/>
      </c>
      <c r="BX76" s="88">
        <f>IF($CS76,"",IF($CT76,IF(N($AZ76)&gt;0,N($AZ76),""),IF(4&gt;$CQ76,"",IF($CQ76=1,$CW76,$CW76+($CX76-$CW76)*3/($CQ76-1)))))</f>
        <v/>
      </c>
      <c r="BY76" s="88">
        <f>IF($CS76,"",IF($CT76,"",IF(5&gt;$CQ76,"",IF($CQ76=1,$CW76,$CW76+($CX76-$CW76)*4/($CQ76-1)))))</f>
        <v/>
      </c>
      <c r="BZ76" s="88">
        <f>IF(OR($CS76,$AP76="-",AND($AP76="",$AD76="")),"",IF(N($BA76)&gt;0,N($BA76),IF($CV76,IF(AND($BI76&lt;$CU76,$BI76-IF(N(VLOOKUP($AT76&amp;"|"&amp;$CU76,LocTable,7,FALSE))&gt;0,VLOOKUP($AT76&amp;"|"&amp;$CU76,LocTable,7,FALSE),VLOOKUP($AT76&amp;"|"&amp;$CU76,LocTable,6,FALSE))-$CR76-0.75&gt;=2.125),VLOOKUP($AT76&amp;"|"&amp;$CU76,LocTable,8,FALSE),VLOOKUP($AT76&amp;"|"&amp;$CU76,LocTable,8,FALSE)+($BI76-$CU76)),$BI76-LockAFF)))</f>
        <v/>
      </c>
      <c r="CA76" s="89">
        <f>IF($BZ76="","",$BI76-$BZ76)</f>
        <v/>
      </c>
      <c r="CB76" s="84">
        <f>IF(OR(NOT(AND($A76&lt;&gt;"",$C76&lt;&gt;"DOOR ONLY")),$BI76=""),"",IF(($BI76+IF(N($P76)&gt;0,$P76+FaceW,0))&lt;=90,3,IF(($BI76+IF(N($P76)&gt;0,$P76+FaceW,0))&lt;=114,4,5)))</f>
        <v/>
      </c>
      <c r="CC76" s="84">
        <f>IF($CB76="","",$CB76*(2+IF(N($Q76)&gt;0,IF($R76="LR",2,1),0)))</f>
        <v/>
      </c>
      <c r="CD76" s="84">
        <f>IF($CB76="","",(2+IF(N($Q76)&gt;0,IF($R76="LR",2,1),0)))</f>
        <v/>
      </c>
      <c r="CE76" s="84">
        <f>IF(N($BJ76)=0,"",IF(OR($AL76="",$AL76="FLUSH"),"FLUSH",IFERROR(LEFT($AL76,FIND("-",$AL76)-1),LEFT($AL76,2))))</f>
        <v/>
      </c>
      <c r="CF76" s="84">
        <f>IF($CE76="","",IFERROR(VALUE(MID($AL76,FIND("-",$AL76)+1,FIND(CHAR(34)&amp;"x",$AL76)-FIND("-",$AL76)-1)),0))</f>
        <v/>
      </c>
      <c r="CG76" s="84">
        <f>IF($CE76="","",IFERROR(VALUE(MID($AL76,FIND(CHAR(34)&amp;"x",$AL76)+2,FIND(CHAR(34),$AL76,FIND(CHAR(34)&amp;"x",$AL76)+2)-FIND(CHAR(34)&amp;"x",$AL76)-2)),0))</f>
        <v/>
      </c>
      <c r="CH76" s="90">
        <f>IF(OR($A76="",$H76="",$H76="NO LAB"),0,IFERROR(VALUE(LEFT($H76,FIND(" ",$H76)-1)),0))</f>
        <v/>
      </c>
      <c r="CI76" s="91">
        <f>IF(OR($A76="",$I76="",$I76="NON-RATED",N($J76)=0),"",IFERROR(VLOOKUP($I76&amp;"|"&amp;$J76,IBC,2,FALSE),"?"))</f>
        <v/>
      </c>
      <c r="CJ76" s="85">
        <f>IF(NOT(AND($A76&lt;&gt;"",$C76&lt;&gt;"DOOR ONLY")),"",TRIM(IFERROR(VLOOKUP($U76,CODES,2,FALSE),"")&amp;" "&amp;$BG76&amp;" "&amp;IFERROR(VLOOKUP($Z76,CODES,2,FALSE),"")&amp;" "&amp;IFERROR(VLOOKUP($X76,CODES,2,FALSE),"")&amp;" "&amp;IFERROR(VLOOKUP($S76,CODES,2,FALSE),"")&amp;IF(N($P76)&gt;0," w/TRANSOM "&amp;$P76&amp;CHAR(34),"")&amp;IF(N($Q76)&gt;0," w/SIDELITE "&amp;$Q76&amp;CHAR(34)&amp;" "&amp;IF($R76="","R",$R76),"")&amp;IF($Y76="","  |  "," | "&amp;IFERROR(VLOOKUP($Y76,CODES,2,FALSE),"")&amp;" | ")&amp;IFERROR(VLOOKUP($AC76,CODES,2,FALSE),"")&amp;" "&amp;IFERROR(VLOOKUP($AD76,CODES,2,FALSE),"")&amp;IF(OR($AE76="",$AE76="-"),""," "&amp;$AE76)&amp;IF(OR($AF76="",$AF76="-"),""," "&amp;$AF76)&amp;IF($AB76="Y"," 4"&amp;CHAR(34)&amp;" HEAD","")&amp;" "&amp;IFERROR(VLOOKUP($H76,CODES,2,FALSE),"")&amp;IF($CT76," | LOC "&amp;$CY76,"")))</f>
        <v/>
      </c>
      <c r="CK76" s="85">
        <f>IF(NOT(AND($A76&lt;&gt;"",N($BJ76)&gt;0)),"",TRIM(IFERROR(VLOOKUP($AH76,CODES,2,FALSE),"")&amp;IF($AI76=""," "," "&amp;$AI76&amp;"GA ")&amp;$BG76&amp;" "&amp;IF($AN76="",IFERROR(VLOOKUP($Z76,CODES,2,FALSE),""),IFERROR(VLOOKUP($AN76,CODES,2,FALSE),""))&amp;IF($BJ76=2," PAIR","")&amp;" DOOR | "&amp;IF($AL76="","?",$AL76)&amp;" | "&amp;IF($AO76="",IFERROR(VLOOKUP($AC76,CODES,2,FALSE),""),IFERROR(VLOOKUP($AO76,CODES,2,FALSE),""))&amp;" "&amp;IFERROR(VLOOKUP($AP76,CODES,2,FALSE),"")&amp;IF(OR($AQ76="",$AQ76="-"),""," SEAM "&amp;$AQ76)&amp;IF($AR76="Y"," ASTRAGAL","")&amp;IF($AJ76=""," "," "&amp;$AJ76)&amp;IF($AK76=""," "," "&amp;$AK76)&amp;IF(OR($AT76="",$AT76="ANSI/SDI",$AT76="CUSTOM LOC"),""," "&amp;$AT76)&amp;IF($AM76=""," "," SERIES "&amp;$AM76)&amp;" "&amp;IFERROR(VLOOKUP($H76,CODES,2,FALSE),"")&amp;IF($CT76," | LOC "&amp;$CZ76,"")))</f>
        <v/>
      </c>
      <c r="CL76" s="84">
        <f>IF(CP76="","",IF(COUNTIF($CP$6:CP76,CP76)=1,MAX($CL$5:CL75)+1,INDEX($CL$5:CL75,MATCH(CP76,$CP$5:CP75,0))))</f>
        <v/>
      </c>
      <c r="CM76" s="84">
        <f>IF(NOT(AND($A76&lt;&gt;"",$C76&lt;&gt;"DOOR ONLY")),"",MAX($CM$5:CM75)+1)</f>
        <v/>
      </c>
      <c r="CN76" s="84">
        <f>IF(NOT(AND($A76&lt;&gt;"",N($BJ76)&gt;0)),"",MAX($CN$5:CN75)+1)</f>
        <v/>
      </c>
      <c r="CO76" s="84">
        <f>IF($A76="","",MAX($CO$5:CO75)+1)</f>
        <v/>
      </c>
      <c r="CP76" s="84">
        <f>IF(OR($A76="",$BH76="",$BI76=""),"",$BG76&amp;"|"&amp;$O76&amp;"|"&amp;$AL76&amp;"|"&amp;$S76&amp;"|"&amp;$P76&amp;"|"&amp;$Q76&amp;$R76&amp;"|"&amp;$C76&amp;"|"&amp;$AB76)</f>
        <v/>
      </c>
      <c r="CQ76" s="84">
        <f>N($BS76)</f>
        <v/>
      </c>
      <c r="CR76" s="84">
        <f>IF(N($AU76)&gt;0,N($AU76),4.5)</f>
        <v/>
      </c>
      <c r="CS76" s="84">
        <f>OR($A76="",$BI76="",$S76="BL",AND($C76="FRAME ONLY",OR($AC76="",$AC76="BLK")))</f>
        <v/>
      </c>
      <c r="CT76" s="84">
        <f>AND(NOT($CS76),OR($AT76="CUSTOM LOC",N($AW76)+N($AX76)+N($AY76)+N($AZ76)+N($BA76)&gt;0))</f>
        <v/>
      </c>
      <c r="CU76" s="84">
        <f>IF($BI76="","",IF($BI76&lt;=80,80,IF($BI76&lt;=84,84,96)))</f>
        <v/>
      </c>
      <c r="CV76" s="84">
        <f>ISNUMBER(MATCH($AT76&amp;"|80",LocKeys,0))</f>
        <v/>
      </c>
      <c r="CW76" s="86">
        <f>IF($CS76,"",IF($CV76,VLOOKUP($AT76&amp;"|"&amp;$CU76,LocTable,4,FALSE),5))</f>
        <v/>
      </c>
      <c r="CX76" s="86">
        <f>IF($CS76,"",IF($CV76,IF(OR($BI76=$CU76,AND($BI76&lt;$CU76,$BI76-IF(N(VLOOKUP($AT76&amp;"|"&amp;$CU76,LocTable,7,FALSE))&gt;0,VLOOKUP($AT76&amp;"|"&amp;$CU76,LocTable,7,FALSE),VLOOKUP($AT76&amp;"|"&amp;$CU76,LocTable,6,FALSE))-$CR76-0.75&gt;=2.125)),IF(N(VLOOKUP($AT76&amp;"|"&amp;$CU76,LocTable,7,FALSE))&gt;0,VLOOKUP($AT76&amp;"|"&amp;$CU76,LocTable,7,FALSE),VLOOKUP($AT76&amp;"|"&amp;$CU76,LocTable,6,FALSE)),$BI76-($CU76-IF(N(VLOOKUP($AT76&amp;"|"&amp;$CU76,LocTable,7,FALSE))&gt;0,VLOOKUP($AT76&amp;"|"&amp;$CU76,LocTable,7,FALSE),VLOOKUP($AT76&amp;"|"&amp;$CU76,LocTable,6,FALSE)))),$BI76-10-$CR76))</f>
        <v/>
      </c>
      <c r="CY76" s="85">
        <f>IF($CS76,"",TRIM(IF(ISNUMBER($BU76),"A "&amp;TRIM(TEXT($BU76,"# ?/??"))&amp;CHAR(34)&amp;"  ","")&amp;IF(ISNUMBER($BV76),"B "&amp;TRIM(TEXT($BV76,"# ?/??"))&amp;CHAR(34)&amp;"  ","")&amp;IF(ISNUMBER($BW76),"C "&amp;TRIM(TEXT($BW76,"# ?/??"))&amp;CHAR(34)&amp;"  ","")&amp;IF(ISNUMBER($BX76),"D "&amp;TRIM(TEXT($BX76,"# ?/??"))&amp;CHAR(34)&amp;"  ","")&amp;IF(ISNUMBER($BY76),"F "&amp;TRIM(TEXT($BY76,"# ?/??"))&amp;CHAR(34)&amp;"  ","")&amp;IF(ISNUMBER($BZ76),"E "&amp;TRIM(TEXT($BZ76,"# ?/??"))&amp;CHAR(34)&amp;"  ","")))</f>
        <v/>
      </c>
      <c r="CZ76" s="85">
        <f>IF(OR($CS76,N($BJ76)=0),"",TRIM(IF(ISNUMBER($BU76),"A "&amp;TRIM(TEXT($BU76-HeadClr,"# ?/??"))&amp;CHAR(34)&amp;"  ","")&amp;IF(ISNUMBER($BV76),"B "&amp;TRIM(TEXT($BV76-HeadClr,"# ?/??"))&amp;CHAR(34)&amp;"  ","")&amp;IF(ISNUMBER($BW76),"C "&amp;TRIM(TEXT($BW76-HeadClr,"# ?/??"))&amp;CHAR(34)&amp;"  ","")&amp;IF(ISNUMBER($BX76),"D "&amp;TRIM(TEXT($BX76-HeadClr,"# ?/??"))&amp;CHAR(34)&amp;"  ","")&amp;IF(ISNUMBER($BY76),"F "&amp;TRIM(TEXT($BY76-HeadClr,"# ?/??"))&amp;CHAR(34)&amp;"  ","")&amp;IF(ISNUMBER($BZ76),"E "&amp;TRIM(TEXT($BZ76-HeadClr,"# ?/??"))&amp;CHAR(34)&amp;"  ","")))</f>
        <v/>
      </c>
      <c r="DA76" s="84">
        <f>IF($A76="","",IF($AN76="",IFERROR(VLOOKUP($Z76,CODES,2,FALSE),""),IFERROR(VLOOKUP($AN76,CODES,2,FALSE),"")))</f>
        <v/>
      </c>
      <c r="DB76" s="84">
        <f>IF($A76="","",IF($O76="Y","PR",IF(OR($Z76="L",$Z76="RR",LEFT($Z76,2)="L-",LEFT($Z76,3)="RR-"),"LH","RH")))</f>
        <v/>
      </c>
      <c r="DC76" s="84">
        <f>IF($A76="","","S.HM"&amp;IF(OR($C76="DOOR ONLY",$X76&lt;&gt;"KD"),"MASONRY","DRYWALL")&amp;IF($C76="DOOR ONLY","",$U76)&amp;IF(AND($C76&lt;&gt;"FRAME ONLY",OR(LEFT($AH76,3)="OAK",LEFT($AH76,3)="BIR",LEFT($AH76,3)="MAP",$AH76="PC",$AH76="MC",$AH76="SCLC",$AH76="P-LAM")),"WD","HM")&amp;"1.75")</f>
        <v/>
      </c>
      <c r="DD76" s="84">
        <f>IF($CJ76="","",IF($O76="Y",$CJ76,SUBSTITUTE($CJ76,$BG76&amp;" "&amp;IFERROR(VLOOKUP($Z76,CODES,2,FALSE),"")&amp;" ",$BG76&amp;" ")))</f>
        <v/>
      </c>
      <c r="DE76" s="84">
        <f>IF($CK76="","",IF($O76="Y",$CK76,SUBSTITUTE($CK76,$BG76&amp;" "&amp;IF($AN76="",IFERROR(VLOOKUP($Z76,CODES,2,FALSE),""),IFERROR(VLOOKUP($AN76,CODES,2,FALSE),""))&amp;" ",$BG76&amp;" ")))</f>
        <v/>
      </c>
      <c r="DF76" s="84">
        <f>IF($CJ76="","",$DC76&amp;"|"&amp;$DD76&amp;"|"&amp;$DB76&amp;"|"&amp;$AT76&amp;"|"&amp;$V76&amp;"|"&amp;$Y76&amp;"|"&amp;$AB76)</f>
        <v/>
      </c>
      <c r="DG76" s="84">
        <f>IF(DF76="","",IF(COUNTIF($DF$6:DF76,DF76)=1,MAX($DG$5:DG75)+1,INDEX($DG$5:DG75,MATCH(DF76,$DF$5:DF75,0))))</f>
        <v/>
      </c>
      <c r="DH76" s="84">
        <f>IF($CK76="","",$DC76&amp;"|"&amp;$DE76&amp;"|"&amp;$AI76&amp;"|"&amp;$BK76&amp;"|"&amp;$BL76)</f>
        <v/>
      </c>
      <c r="DI76" s="84">
        <f>IF(DH76="","",IF(COUNTIF($DH$6:DH76,DH76)=1,MAX($DI$5:DI75)+1,INDEX($DI$5:DI75,MATCH(DH76,$DH$5:DH75,0))))</f>
        <v/>
      </c>
      <c r="DJ76" s="84">
        <f>IF($A76="","",IF($B76="","qty, ","")&amp;IF($C76="","scope, ","")&amp;IF(OR($K76="",$M76=""),"size, ","")&amp;IF(AND($A76&lt;&gt;"",$C76&lt;&gt;"DOOR ONLY"),IF($U76="","jamb depth, ","")&amp;IF($X76="","construction, ","")&amp;IF($Y76="","anchor, ","")&amp;IF($S76="","frame type, ",""),"")&amp;IF(AND(N($BJ76)&gt;0,$Z76=""),"hand, ","")&amp;IF(N($BJ76)&gt;0,IF($AH76="","door material, ","")&amp;IF($AL76="","face type, ","")&amp;IF($AP76="","lock prep, ","")&amp;IF(AND($AO76="",$AC76=""),"hinge prep, ",""),"")&amp;IF(AND($CH76&gt;0,$AH76="FRP"),"FRP cannot carry a label, ","")&amp;IF(AND($O76="Y",OR($Z76="L",$Z76="R",$Z76="LR",$Z76="RR")),"pair marked but hand is single, ","")&amp;IF(AND($O76&lt;&gt;"Y",OR($Z76="PR",AND(LEN($Z76)&gt;1,ISNUMBER(SEARCH("-",$Z76))))),"pair hand on a single door, ","")&amp;IF(AND(ISNUMBER($CI76),$CH76&lt;N($CI76)),"wall needs a "&amp;$CI76&amp;" min door, ","")&amp;IF(AND($CH76&gt;=180,AND(OR($CE76="FG",$CE76="HG",$CE76="FNV",$CE76="FV"),N($CF76)*N($CG76)&gt;100)),"180 min lite over 100 sq in, ","")&amp;IF(N($BK76)&gt;48,"leaf wider than 4'-0"&amp;CHAR(34)&amp;", ","")&amp;IF(AND($CT76,COUNT($AW76:$AZ76)=0,$CQ76&gt;0),"CUSTOM LOC with no locations typed, ",""))</f>
        <v/>
      </c>
      <c r="DK76" s="84">
        <f>IF($A76="","",IF(AND($CH76&gt;0,AND($A76&lt;&gt;"",$C76&lt;&gt;"DOOR ONLY"),$X76="KD",$E76="EXTERIOR"),"KD label on an exterior opening, ","")&amp;IF(AND($E76="EXTERIOR",OR(AND(AND($A76&lt;&gt;"",$C76&lt;&gt;"DOOR ONLY"),$W76="CR"),AND(N($BJ76)&gt;0,$AH76="CR"))),"exterior in CR steel (G9?), ","")&amp;IF(AND(ISNUMBER($BQ76),N($BQ76)&lt;32),"clear width ~"&amp;TEXT($BQ76,"0.0")&amp;CHAR(34)&amp;" under 32"&amp;CHAR(34)&amp;" (ADA), ","")&amp;IF(AND($CH76=90,AND(OR($CE76="FG",$CE76="HG",$CE76="FNV",$CE76="FV"),N($CF76)*N($CG76)&gt;100)),"90 min lite over 100 sq in (stair/exit), ","")&amp;IF(AND($CH76&gt;0,AND($A76&lt;&gt;"",$C76&lt;&gt;"DOOR ONLY"),OR($AF76="",$AF76="-")),"rated: closer reinf.?, ","")&amp;IF(OR($I76="CORRIDOR",$I76="SMOKE BARRIER"),"S label + smoke gasketing, ","")&amp;IF($CI76="?","wall type/hr not in IBC table, ","")&amp;IF(AND(N($BJ76)&gt;0,$BB76=""),"no hardware set, ","")&amp;IF(AND($BB76&lt;&gt;"",ISNA(MATCH($BB76&amp;"",HWSets,0))),"set "&amp;$BB76&amp;" not on HW Sets, ","")&amp;IF(N($BL76)&gt;96,"leaf over 8'-0"&amp;CHAR(34)&amp;" - check listing, ","")&amp;IF(AND($CT76,COUNT($AW76:$AZ76)&gt;0,COUNT($AW76:$AZ76)&lt;&gt;$CQ76),COUNT($AW76:$AZ76)&amp;" custom hinges typed, "&amp;$CQ76&amp;" expected, ","")&amp;IF(AND(ISNUMBER($CA76),OR(N($CA76)&lt;34,N($CA76)&gt;48)),"lock "&amp;TEXT($CA76,"0.0")&amp;CHAR(34)&amp;" AFF outside 34-48"&amp;CHAR(34)&amp;" (ADA), ","")&amp;IF(AND(ISNUMBER($AV76),ISNUMBER($BL76),N($AV76)&lt;IF(N($BL76)&lt;=60,2,IF(N($BL76)&lt;=90,3,IF(N($BL76)&lt;=120,4,5)))),"fewer hinges than standard, ",""))</f>
        <v/>
      </c>
    </row>
    <row r="77" ht="15" customHeight="1">
      <c r="A77" s="77" t="n"/>
      <c r="B77" s="78" t="n"/>
      <c r="C77" s="78" t="n"/>
      <c r="D77" s="78" t="n"/>
      <c r="E77" s="78" t="n"/>
      <c r="F77" s="78" t="n"/>
      <c r="G77" s="78" t="n"/>
      <c r="H77" s="78" t="n"/>
      <c r="I77" s="78" t="n"/>
      <c r="J77" s="78" t="n"/>
      <c r="K77" s="78" t="n"/>
      <c r="L77" s="78" t="n"/>
      <c r="M77" s="78" t="n"/>
      <c r="N77" s="78" t="n"/>
      <c r="O77" s="78" t="n"/>
      <c r="P77" s="78" t="n"/>
      <c r="Q77" s="78" t="n"/>
      <c r="R77" s="78" t="n"/>
      <c r="S77" s="79" t="n"/>
      <c r="T77" s="79" t="n"/>
      <c r="U77" s="79" t="n"/>
      <c r="V77" s="79" t="n"/>
      <c r="W77" s="79" t="n"/>
      <c r="X77" s="79" t="n"/>
      <c r="Y77" s="79" t="n"/>
      <c r="Z77" s="79" t="n"/>
      <c r="AA77" s="79" t="n"/>
      <c r="AB77" s="79" t="n"/>
      <c r="AC77" s="79" t="n"/>
      <c r="AD77" s="79" t="n"/>
      <c r="AE77" s="79" t="n"/>
      <c r="AF77" s="79" t="n"/>
      <c r="AG77" s="79" t="n"/>
      <c r="AH77" s="80" t="n"/>
      <c r="AI77" s="80" t="n"/>
      <c r="AJ77" s="80" t="n"/>
      <c r="AK77" s="80" t="n"/>
      <c r="AL77" s="80" t="n"/>
      <c r="AM77" s="80" t="n"/>
      <c r="AN77" s="80" t="n"/>
      <c r="AO77" s="80" t="n"/>
      <c r="AP77" s="80" t="n"/>
      <c r="AQ77" s="80" t="n"/>
      <c r="AR77" s="80" t="n"/>
      <c r="AS77" s="80" t="n"/>
      <c r="AT77" s="81" t="n"/>
      <c r="AU77" s="81" t="n"/>
      <c r="AV77" s="81" t="n"/>
      <c r="AW77" s="82" t="n"/>
      <c r="AX77" s="82" t="n"/>
      <c r="AY77" s="82" t="n"/>
      <c r="AZ77" s="82" t="n"/>
      <c r="BA77" s="82" t="n"/>
      <c r="BB77" s="83" t="n"/>
      <c r="BC77" s="83" t="n"/>
      <c r="BD77" s="84">
        <f>IF($A77="","",IF($DJ77&lt;&gt;"","FIX",IF($DK77&lt;&gt;"","CHECK","OK")))</f>
        <v/>
      </c>
      <c r="BE77" s="85">
        <f>IF($A77="","",IF($DJ77&lt;&gt;"","FIX: "&amp;LEFT($DJ77,LEN($DJ77)-2)&amp;IF($DK77&lt;&gt;"","  ·  ",""),"")&amp;IF($DK77&lt;&gt;"","CHECK: "&amp;LEFT($DK77,LEN($DK77)-2),""))</f>
        <v/>
      </c>
      <c r="BF77" s="84">
        <f>IF(OR($A77="",$K77=""),"",$K77&amp;"'-"&amp;N($L77)&amp;CHAR(34)&amp;" x "&amp;$M77&amp;"'-"&amp;N($N77)&amp;CHAR(34))</f>
        <v/>
      </c>
      <c r="BG77" s="84">
        <f>IF(OR($A77="",$K77=""),"",$K77&amp;N($L77)&amp;$M77&amp;N($N77))</f>
        <v/>
      </c>
      <c r="BH77" s="84">
        <f>IF(OR($A77="",$K77=""),"",$K77*12+N($L77))</f>
        <v/>
      </c>
      <c r="BI77" s="84">
        <f>IF(OR($A77="",$M77=""),"",$M77*12+N($N77))</f>
        <v/>
      </c>
      <c r="BJ77" s="84">
        <f>IF($A77="","",IF(OR($C77="FRAME ONLY",$S77="BL"),0,IF($O77="Y",2,1)))</f>
        <v/>
      </c>
      <c r="BK77" s="86">
        <f>IF(OR(N($BJ77)=0,$BH77=""),"",($BH77-2*EdgeClr-IF($BJ77=2,MeetClr,0))/$BJ77)</f>
        <v/>
      </c>
      <c r="BL77" s="86">
        <f>IF(OR(N($BJ77)=0,$BI77=""),"",$BI77-HeadClr-Undercut)</f>
        <v/>
      </c>
      <c r="BM77" s="86">
        <f>IF($BH77="","",$BH77+2*FaceW+IF(N($Q77)&gt;0,($Q77+FaceW)*IF($R77="LR",2,1),0))</f>
        <v/>
      </c>
      <c r="BN77" s="86">
        <f>IF($BI77="","",$BI77+IF($AB77="Y",4,FaceW)+IF(N($P77)&gt;0,$P77+FaceW,0)+IF(OR($S77="4F",$S77="BL"),FaceW,0))</f>
        <v/>
      </c>
      <c r="BO77" s="86">
        <f>IF($BM77="","",$BM77+2*ROSide)</f>
        <v/>
      </c>
      <c r="BP77" s="86">
        <f>IF($BN77="","",$BN77+ROTop)</f>
        <v/>
      </c>
      <c r="BQ77" s="87">
        <f>IF(OR(N($BJ77)=0,$BH77=""),"",$BH77/$BJ77-ClearDeduct)</f>
        <v/>
      </c>
      <c r="BR77" s="84">
        <f>IF(N($CH77)=0,"",IF($CH77&gt;=180,"A · 3 HR",IF($CH77&gt;=90,"B · 1-1/2 HR",IF($CH77&gt;=60,"B · 1 HR",IF($CH77&gt;=45,"C · 3/4 HR","20 MIN")))))&amp;IF(AND(N($CH77)&gt;0,OR($I77="CORRIDOR",$I77="SMOKE BARRIER"))," · S","")</f>
        <v/>
      </c>
      <c r="BS77" s="84">
        <f>IF($CS77,"",IF($AV77&lt;&gt;"",$AV77,IF(OR($AC77="HGC",$AO77="HGC"),"CONT",IF(($BI77-HeadClr-Undercut)&lt;=60,2,IF(($BI77-HeadClr-Undercut)&lt;=90,3,IF(($BI77-HeadClr-Undercut)&lt;=120,4,5))))))</f>
        <v/>
      </c>
      <c r="BT77" s="84">
        <f>IF($CS77,"",IF($CT77,"CUSTOM (typed)",IF($CV77,$AT77&amp;" "&amp;$CU77&amp;CHAR(34)&amp;IF($CU77&lt;&gt;$BI77,IF(AND($BI77&lt;$CU77,$BI77-IF(N(VLOOKUP($AT77&amp;"|"&amp;$CU77,LocTable,7,FALSE))&gt;0,VLOOKUP($AT77&amp;"|"&amp;$CU77,LocTable,7,FALSE),VLOOKUP($AT77&amp;"|"&amp;$CU77,LocTable,6,FALSE))-$CR77-0.75&gt;=2.125)," cut down"," adj."),""),"ANSI/SDI A250.6")))</f>
        <v/>
      </c>
      <c r="BU77" s="88">
        <f>IF($CS77,"",IF($CT77,IF(N($AW77)&gt;0,N($AW77),""),IF(1&gt;$CQ77,"",IF($CQ77=1,$CW77,$CW77+($CX77-$CW77)*0/($CQ77-1)))))</f>
        <v/>
      </c>
      <c r="BV77" s="88">
        <f>IF($CS77,"",IF($CT77,IF(N($AX77)&gt;0,N($AX77),""),IF(2&gt;$CQ77,"",IF($CQ77=1,$CW77,$CW77+($CX77-$CW77)*1/($CQ77-1)))))</f>
        <v/>
      </c>
      <c r="BW77" s="88">
        <f>IF($CS77,"",IF($CT77,IF(N($AY77)&gt;0,N($AY77),""),IF(3&gt;$CQ77,"",IF($CQ77=1,$CW77,$CW77+($CX77-$CW77)*2/($CQ77-1)))))</f>
        <v/>
      </c>
      <c r="BX77" s="88">
        <f>IF($CS77,"",IF($CT77,IF(N($AZ77)&gt;0,N($AZ77),""),IF(4&gt;$CQ77,"",IF($CQ77=1,$CW77,$CW77+($CX77-$CW77)*3/($CQ77-1)))))</f>
        <v/>
      </c>
      <c r="BY77" s="88">
        <f>IF($CS77,"",IF($CT77,"",IF(5&gt;$CQ77,"",IF($CQ77=1,$CW77,$CW77+($CX77-$CW77)*4/($CQ77-1)))))</f>
        <v/>
      </c>
      <c r="BZ77" s="88">
        <f>IF(OR($CS77,$AP77="-",AND($AP77="",$AD77="")),"",IF(N($BA77)&gt;0,N($BA77),IF($CV77,IF(AND($BI77&lt;$CU77,$BI77-IF(N(VLOOKUP($AT77&amp;"|"&amp;$CU77,LocTable,7,FALSE))&gt;0,VLOOKUP($AT77&amp;"|"&amp;$CU77,LocTable,7,FALSE),VLOOKUP($AT77&amp;"|"&amp;$CU77,LocTable,6,FALSE))-$CR77-0.75&gt;=2.125),VLOOKUP($AT77&amp;"|"&amp;$CU77,LocTable,8,FALSE),VLOOKUP($AT77&amp;"|"&amp;$CU77,LocTable,8,FALSE)+($BI77-$CU77)),$BI77-LockAFF)))</f>
        <v/>
      </c>
      <c r="CA77" s="89">
        <f>IF($BZ77="","",$BI77-$BZ77)</f>
        <v/>
      </c>
      <c r="CB77" s="84">
        <f>IF(OR(NOT(AND($A77&lt;&gt;"",$C77&lt;&gt;"DOOR ONLY")),$BI77=""),"",IF(($BI77+IF(N($P77)&gt;0,$P77+FaceW,0))&lt;=90,3,IF(($BI77+IF(N($P77)&gt;0,$P77+FaceW,0))&lt;=114,4,5)))</f>
        <v/>
      </c>
      <c r="CC77" s="84">
        <f>IF($CB77="","",$CB77*(2+IF(N($Q77)&gt;0,IF($R77="LR",2,1),0)))</f>
        <v/>
      </c>
      <c r="CD77" s="84">
        <f>IF($CB77="","",(2+IF(N($Q77)&gt;0,IF($R77="LR",2,1),0)))</f>
        <v/>
      </c>
      <c r="CE77" s="84">
        <f>IF(N($BJ77)=0,"",IF(OR($AL77="",$AL77="FLUSH"),"FLUSH",IFERROR(LEFT($AL77,FIND("-",$AL77)-1),LEFT($AL77,2))))</f>
        <v/>
      </c>
      <c r="CF77" s="84">
        <f>IF($CE77="","",IFERROR(VALUE(MID($AL77,FIND("-",$AL77)+1,FIND(CHAR(34)&amp;"x",$AL77)-FIND("-",$AL77)-1)),0))</f>
        <v/>
      </c>
      <c r="CG77" s="84">
        <f>IF($CE77="","",IFERROR(VALUE(MID($AL77,FIND(CHAR(34)&amp;"x",$AL77)+2,FIND(CHAR(34),$AL77,FIND(CHAR(34)&amp;"x",$AL77)+2)-FIND(CHAR(34)&amp;"x",$AL77)-2)),0))</f>
        <v/>
      </c>
      <c r="CH77" s="90">
        <f>IF(OR($A77="",$H77="",$H77="NO LAB"),0,IFERROR(VALUE(LEFT($H77,FIND(" ",$H77)-1)),0))</f>
        <v/>
      </c>
      <c r="CI77" s="91">
        <f>IF(OR($A77="",$I77="",$I77="NON-RATED",N($J77)=0),"",IFERROR(VLOOKUP($I77&amp;"|"&amp;$J77,IBC,2,FALSE),"?"))</f>
        <v/>
      </c>
      <c r="CJ77" s="85">
        <f>IF(NOT(AND($A77&lt;&gt;"",$C77&lt;&gt;"DOOR ONLY")),"",TRIM(IFERROR(VLOOKUP($U77,CODES,2,FALSE),"")&amp;" "&amp;$BG77&amp;" "&amp;IFERROR(VLOOKUP($Z77,CODES,2,FALSE),"")&amp;" "&amp;IFERROR(VLOOKUP($X77,CODES,2,FALSE),"")&amp;" "&amp;IFERROR(VLOOKUP($S77,CODES,2,FALSE),"")&amp;IF(N($P77)&gt;0," w/TRANSOM "&amp;$P77&amp;CHAR(34),"")&amp;IF(N($Q77)&gt;0," w/SIDELITE "&amp;$Q77&amp;CHAR(34)&amp;" "&amp;IF($R77="","R",$R77),"")&amp;IF($Y77="","  |  "," | "&amp;IFERROR(VLOOKUP($Y77,CODES,2,FALSE),"")&amp;" | ")&amp;IFERROR(VLOOKUP($AC77,CODES,2,FALSE),"")&amp;" "&amp;IFERROR(VLOOKUP($AD77,CODES,2,FALSE),"")&amp;IF(OR($AE77="",$AE77="-"),""," "&amp;$AE77)&amp;IF(OR($AF77="",$AF77="-"),""," "&amp;$AF77)&amp;IF($AB77="Y"," 4"&amp;CHAR(34)&amp;" HEAD","")&amp;" "&amp;IFERROR(VLOOKUP($H77,CODES,2,FALSE),"")&amp;IF($CT77," | LOC "&amp;$CY77,"")))</f>
        <v/>
      </c>
      <c r="CK77" s="85">
        <f>IF(NOT(AND($A77&lt;&gt;"",N($BJ77)&gt;0)),"",TRIM(IFERROR(VLOOKUP($AH77,CODES,2,FALSE),"")&amp;IF($AI77=""," "," "&amp;$AI77&amp;"GA ")&amp;$BG77&amp;" "&amp;IF($AN77="",IFERROR(VLOOKUP($Z77,CODES,2,FALSE),""),IFERROR(VLOOKUP($AN77,CODES,2,FALSE),""))&amp;IF($BJ77=2," PAIR","")&amp;" DOOR | "&amp;IF($AL77="","?",$AL77)&amp;" | "&amp;IF($AO77="",IFERROR(VLOOKUP($AC77,CODES,2,FALSE),""),IFERROR(VLOOKUP($AO77,CODES,2,FALSE),""))&amp;" "&amp;IFERROR(VLOOKUP($AP77,CODES,2,FALSE),"")&amp;IF(OR($AQ77="",$AQ77="-"),""," SEAM "&amp;$AQ77)&amp;IF($AR77="Y"," ASTRAGAL","")&amp;IF($AJ77=""," "," "&amp;$AJ77)&amp;IF($AK77=""," "," "&amp;$AK77)&amp;IF(OR($AT77="",$AT77="ANSI/SDI",$AT77="CUSTOM LOC"),""," "&amp;$AT77)&amp;IF($AM77=""," "," SERIES "&amp;$AM77)&amp;" "&amp;IFERROR(VLOOKUP($H77,CODES,2,FALSE),"")&amp;IF($CT77," | LOC "&amp;$CZ77,"")))</f>
        <v/>
      </c>
      <c r="CL77" s="84">
        <f>IF(CP77="","",IF(COUNTIF($CP$6:CP77,CP77)=1,MAX($CL$5:CL76)+1,INDEX($CL$5:CL76,MATCH(CP77,$CP$5:CP76,0))))</f>
        <v/>
      </c>
      <c r="CM77" s="84">
        <f>IF(NOT(AND($A77&lt;&gt;"",$C77&lt;&gt;"DOOR ONLY")),"",MAX($CM$5:CM76)+1)</f>
        <v/>
      </c>
      <c r="CN77" s="84">
        <f>IF(NOT(AND($A77&lt;&gt;"",N($BJ77)&gt;0)),"",MAX($CN$5:CN76)+1)</f>
        <v/>
      </c>
      <c r="CO77" s="84">
        <f>IF($A77="","",MAX($CO$5:CO76)+1)</f>
        <v/>
      </c>
      <c r="CP77" s="84">
        <f>IF(OR($A77="",$BH77="",$BI77=""),"",$BG77&amp;"|"&amp;$O77&amp;"|"&amp;$AL77&amp;"|"&amp;$S77&amp;"|"&amp;$P77&amp;"|"&amp;$Q77&amp;$R77&amp;"|"&amp;$C77&amp;"|"&amp;$AB77)</f>
        <v/>
      </c>
      <c r="CQ77" s="84">
        <f>N($BS77)</f>
        <v/>
      </c>
      <c r="CR77" s="84">
        <f>IF(N($AU77)&gt;0,N($AU77),4.5)</f>
        <v/>
      </c>
      <c r="CS77" s="84">
        <f>OR($A77="",$BI77="",$S77="BL",AND($C77="FRAME ONLY",OR($AC77="",$AC77="BLK")))</f>
        <v/>
      </c>
      <c r="CT77" s="84">
        <f>AND(NOT($CS77),OR($AT77="CUSTOM LOC",N($AW77)+N($AX77)+N($AY77)+N($AZ77)+N($BA77)&gt;0))</f>
        <v/>
      </c>
      <c r="CU77" s="84">
        <f>IF($BI77="","",IF($BI77&lt;=80,80,IF($BI77&lt;=84,84,96)))</f>
        <v/>
      </c>
      <c r="CV77" s="84">
        <f>ISNUMBER(MATCH($AT77&amp;"|80",LocKeys,0))</f>
        <v/>
      </c>
      <c r="CW77" s="86">
        <f>IF($CS77,"",IF($CV77,VLOOKUP($AT77&amp;"|"&amp;$CU77,LocTable,4,FALSE),5))</f>
        <v/>
      </c>
      <c r="CX77" s="86">
        <f>IF($CS77,"",IF($CV77,IF(OR($BI77=$CU77,AND($BI77&lt;$CU77,$BI77-IF(N(VLOOKUP($AT77&amp;"|"&amp;$CU77,LocTable,7,FALSE))&gt;0,VLOOKUP($AT77&amp;"|"&amp;$CU77,LocTable,7,FALSE),VLOOKUP($AT77&amp;"|"&amp;$CU77,LocTable,6,FALSE))-$CR77-0.75&gt;=2.125)),IF(N(VLOOKUP($AT77&amp;"|"&amp;$CU77,LocTable,7,FALSE))&gt;0,VLOOKUP($AT77&amp;"|"&amp;$CU77,LocTable,7,FALSE),VLOOKUP($AT77&amp;"|"&amp;$CU77,LocTable,6,FALSE)),$BI77-($CU77-IF(N(VLOOKUP($AT77&amp;"|"&amp;$CU77,LocTable,7,FALSE))&gt;0,VLOOKUP($AT77&amp;"|"&amp;$CU77,LocTable,7,FALSE),VLOOKUP($AT77&amp;"|"&amp;$CU77,LocTable,6,FALSE)))),$BI77-10-$CR77))</f>
        <v/>
      </c>
      <c r="CY77" s="85">
        <f>IF($CS77,"",TRIM(IF(ISNUMBER($BU77),"A "&amp;TRIM(TEXT($BU77,"# ?/??"))&amp;CHAR(34)&amp;"  ","")&amp;IF(ISNUMBER($BV77),"B "&amp;TRIM(TEXT($BV77,"# ?/??"))&amp;CHAR(34)&amp;"  ","")&amp;IF(ISNUMBER($BW77),"C "&amp;TRIM(TEXT($BW77,"# ?/??"))&amp;CHAR(34)&amp;"  ","")&amp;IF(ISNUMBER($BX77),"D "&amp;TRIM(TEXT($BX77,"# ?/??"))&amp;CHAR(34)&amp;"  ","")&amp;IF(ISNUMBER($BY77),"F "&amp;TRIM(TEXT($BY77,"# ?/??"))&amp;CHAR(34)&amp;"  ","")&amp;IF(ISNUMBER($BZ77),"E "&amp;TRIM(TEXT($BZ77,"# ?/??"))&amp;CHAR(34)&amp;"  ","")))</f>
        <v/>
      </c>
      <c r="CZ77" s="85">
        <f>IF(OR($CS77,N($BJ77)=0),"",TRIM(IF(ISNUMBER($BU77),"A "&amp;TRIM(TEXT($BU77-HeadClr,"# ?/??"))&amp;CHAR(34)&amp;"  ","")&amp;IF(ISNUMBER($BV77),"B "&amp;TRIM(TEXT($BV77-HeadClr,"# ?/??"))&amp;CHAR(34)&amp;"  ","")&amp;IF(ISNUMBER($BW77),"C "&amp;TRIM(TEXT($BW77-HeadClr,"# ?/??"))&amp;CHAR(34)&amp;"  ","")&amp;IF(ISNUMBER($BX77),"D "&amp;TRIM(TEXT($BX77-HeadClr,"# ?/??"))&amp;CHAR(34)&amp;"  ","")&amp;IF(ISNUMBER($BY77),"F "&amp;TRIM(TEXT($BY77-HeadClr,"# ?/??"))&amp;CHAR(34)&amp;"  ","")&amp;IF(ISNUMBER($BZ77),"E "&amp;TRIM(TEXT($BZ77-HeadClr,"# ?/??"))&amp;CHAR(34)&amp;"  ","")))</f>
        <v/>
      </c>
      <c r="DA77" s="84">
        <f>IF($A77="","",IF($AN77="",IFERROR(VLOOKUP($Z77,CODES,2,FALSE),""),IFERROR(VLOOKUP($AN77,CODES,2,FALSE),"")))</f>
        <v/>
      </c>
      <c r="DB77" s="84">
        <f>IF($A77="","",IF($O77="Y","PR",IF(OR($Z77="L",$Z77="RR",LEFT($Z77,2)="L-",LEFT($Z77,3)="RR-"),"LH","RH")))</f>
        <v/>
      </c>
      <c r="DC77" s="84">
        <f>IF($A77="","","S.HM"&amp;IF(OR($C77="DOOR ONLY",$X77&lt;&gt;"KD"),"MASONRY","DRYWALL")&amp;IF($C77="DOOR ONLY","",$U77)&amp;IF(AND($C77&lt;&gt;"FRAME ONLY",OR(LEFT($AH77,3)="OAK",LEFT($AH77,3)="BIR",LEFT($AH77,3)="MAP",$AH77="PC",$AH77="MC",$AH77="SCLC",$AH77="P-LAM")),"WD","HM")&amp;"1.75")</f>
        <v/>
      </c>
      <c r="DD77" s="84">
        <f>IF($CJ77="","",IF($O77="Y",$CJ77,SUBSTITUTE($CJ77,$BG77&amp;" "&amp;IFERROR(VLOOKUP($Z77,CODES,2,FALSE),"")&amp;" ",$BG77&amp;" ")))</f>
        <v/>
      </c>
      <c r="DE77" s="84">
        <f>IF($CK77="","",IF($O77="Y",$CK77,SUBSTITUTE($CK77,$BG77&amp;" "&amp;IF($AN77="",IFERROR(VLOOKUP($Z77,CODES,2,FALSE),""),IFERROR(VLOOKUP($AN77,CODES,2,FALSE),""))&amp;" ",$BG77&amp;" ")))</f>
        <v/>
      </c>
      <c r="DF77" s="84">
        <f>IF($CJ77="","",$DC77&amp;"|"&amp;$DD77&amp;"|"&amp;$DB77&amp;"|"&amp;$AT77&amp;"|"&amp;$V77&amp;"|"&amp;$Y77&amp;"|"&amp;$AB77)</f>
        <v/>
      </c>
      <c r="DG77" s="84">
        <f>IF(DF77="","",IF(COUNTIF($DF$6:DF77,DF77)=1,MAX($DG$5:DG76)+1,INDEX($DG$5:DG76,MATCH(DF77,$DF$5:DF76,0))))</f>
        <v/>
      </c>
      <c r="DH77" s="84">
        <f>IF($CK77="","",$DC77&amp;"|"&amp;$DE77&amp;"|"&amp;$AI77&amp;"|"&amp;$BK77&amp;"|"&amp;$BL77)</f>
        <v/>
      </c>
      <c r="DI77" s="84">
        <f>IF(DH77="","",IF(COUNTIF($DH$6:DH77,DH77)=1,MAX($DI$5:DI76)+1,INDEX($DI$5:DI76,MATCH(DH77,$DH$5:DH76,0))))</f>
        <v/>
      </c>
      <c r="DJ77" s="84">
        <f>IF($A77="","",IF($B77="","qty, ","")&amp;IF($C77="","scope, ","")&amp;IF(OR($K77="",$M77=""),"size, ","")&amp;IF(AND($A77&lt;&gt;"",$C77&lt;&gt;"DOOR ONLY"),IF($U77="","jamb depth, ","")&amp;IF($X77="","construction, ","")&amp;IF($Y77="","anchor, ","")&amp;IF($S77="","frame type, ",""),"")&amp;IF(AND(N($BJ77)&gt;0,$Z77=""),"hand, ","")&amp;IF(N($BJ77)&gt;0,IF($AH77="","door material, ","")&amp;IF($AL77="","face type, ","")&amp;IF($AP77="","lock prep, ","")&amp;IF(AND($AO77="",$AC77=""),"hinge prep, ",""),"")&amp;IF(AND($CH77&gt;0,$AH77="FRP"),"FRP cannot carry a label, ","")&amp;IF(AND($O77="Y",OR($Z77="L",$Z77="R",$Z77="LR",$Z77="RR")),"pair marked but hand is single, ","")&amp;IF(AND($O77&lt;&gt;"Y",OR($Z77="PR",AND(LEN($Z77)&gt;1,ISNUMBER(SEARCH("-",$Z77))))),"pair hand on a single door, ","")&amp;IF(AND(ISNUMBER($CI77),$CH77&lt;N($CI77)),"wall needs a "&amp;$CI77&amp;" min door, ","")&amp;IF(AND($CH77&gt;=180,AND(OR($CE77="FG",$CE77="HG",$CE77="FNV",$CE77="FV"),N($CF77)*N($CG77)&gt;100)),"180 min lite over 100 sq in, ","")&amp;IF(N($BK77)&gt;48,"leaf wider than 4'-0"&amp;CHAR(34)&amp;", ","")&amp;IF(AND($CT77,COUNT($AW77:$AZ77)=0,$CQ77&gt;0),"CUSTOM LOC with no locations typed, ",""))</f>
        <v/>
      </c>
      <c r="DK77" s="84">
        <f>IF($A77="","",IF(AND($CH77&gt;0,AND($A77&lt;&gt;"",$C77&lt;&gt;"DOOR ONLY"),$X77="KD",$E77="EXTERIOR"),"KD label on an exterior opening, ","")&amp;IF(AND($E77="EXTERIOR",OR(AND(AND($A77&lt;&gt;"",$C77&lt;&gt;"DOOR ONLY"),$W77="CR"),AND(N($BJ77)&gt;0,$AH77="CR"))),"exterior in CR steel (G9?), ","")&amp;IF(AND(ISNUMBER($BQ77),N($BQ77)&lt;32),"clear width ~"&amp;TEXT($BQ77,"0.0")&amp;CHAR(34)&amp;" under 32"&amp;CHAR(34)&amp;" (ADA), ","")&amp;IF(AND($CH77=90,AND(OR($CE77="FG",$CE77="HG",$CE77="FNV",$CE77="FV"),N($CF77)*N($CG77)&gt;100)),"90 min lite over 100 sq in (stair/exit), ","")&amp;IF(AND($CH77&gt;0,AND($A77&lt;&gt;"",$C77&lt;&gt;"DOOR ONLY"),OR($AF77="",$AF77="-")),"rated: closer reinf.?, ","")&amp;IF(OR($I77="CORRIDOR",$I77="SMOKE BARRIER"),"S label + smoke gasketing, ","")&amp;IF($CI77="?","wall type/hr not in IBC table, ","")&amp;IF(AND(N($BJ77)&gt;0,$BB77=""),"no hardware set, ","")&amp;IF(AND($BB77&lt;&gt;"",ISNA(MATCH($BB77&amp;"",HWSets,0))),"set "&amp;$BB77&amp;" not on HW Sets, ","")&amp;IF(N($BL77)&gt;96,"leaf over 8'-0"&amp;CHAR(34)&amp;" - check listing, ","")&amp;IF(AND($CT77,COUNT($AW77:$AZ77)&gt;0,COUNT($AW77:$AZ77)&lt;&gt;$CQ77),COUNT($AW77:$AZ77)&amp;" custom hinges typed, "&amp;$CQ77&amp;" expected, ","")&amp;IF(AND(ISNUMBER($CA77),OR(N($CA77)&lt;34,N($CA77)&gt;48)),"lock "&amp;TEXT($CA77,"0.0")&amp;CHAR(34)&amp;" AFF outside 34-48"&amp;CHAR(34)&amp;" (ADA), ","")&amp;IF(AND(ISNUMBER($AV77),ISNUMBER($BL77),N($AV77)&lt;IF(N($BL77)&lt;=60,2,IF(N($BL77)&lt;=90,3,IF(N($BL77)&lt;=120,4,5)))),"fewer hinges than standard, ",""))</f>
        <v/>
      </c>
    </row>
    <row r="78" ht="15" customHeight="1">
      <c r="A78" s="77" t="n"/>
      <c r="B78" s="78" t="n"/>
      <c r="C78" s="78" t="n"/>
      <c r="D78" s="78" t="n"/>
      <c r="E78" s="78" t="n"/>
      <c r="F78" s="78" t="n"/>
      <c r="G78" s="78" t="n"/>
      <c r="H78" s="78" t="n"/>
      <c r="I78" s="78" t="n"/>
      <c r="J78" s="78" t="n"/>
      <c r="K78" s="78" t="n"/>
      <c r="L78" s="78" t="n"/>
      <c r="M78" s="78" t="n"/>
      <c r="N78" s="78" t="n"/>
      <c r="O78" s="78" t="n"/>
      <c r="P78" s="78" t="n"/>
      <c r="Q78" s="78" t="n"/>
      <c r="R78" s="78" t="n"/>
      <c r="S78" s="79" t="n"/>
      <c r="T78" s="79" t="n"/>
      <c r="U78" s="79" t="n"/>
      <c r="V78" s="79" t="n"/>
      <c r="W78" s="79" t="n"/>
      <c r="X78" s="79" t="n"/>
      <c r="Y78" s="79" t="n"/>
      <c r="Z78" s="79" t="n"/>
      <c r="AA78" s="79" t="n"/>
      <c r="AB78" s="79" t="n"/>
      <c r="AC78" s="79" t="n"/>
      <c r="AD78" s="79" t="n"/>
      <c r="AE78" s="79" t="n"/>
      <c r="AF78" s="79" t="n"/>
      <c r="AG78" s="79" t="n"/>
      <c r="AH78" s="80" t="n"/>
      <c r="AI78" s="80" t="n"/>
      <c r="AJ78" s="80" t="n"/>
      <c r="AK78" s="80" t="n"/>
      <c r="AL78" s="80" t="n"/>
      <c r="AM78" s="80" t="n"/>
      <c r="AN78" s="80" t="n"/>
      <c r="AO78" s="80" t="n"/>
      <c r="AP78" s="80" t="n"/>
      <c r="AQ78" s="80" t="n"/>
      <c r="AR78" s="80" t="n"/>
      <c r="AS78" s="80" t="n"/>
      <c r="AT78" s="81" t="n"/>
      <c r="AU78" s="81" t="n"/>
      <c r="AV78" s="81" t="n"/>
      <c r="AW78" s="82" t="n"/>
      <c r="AX78" s="82" t="n"/>
      <c r="AY78" s="82" t="n"/>
      <c r="AZ78" s="82" t="n"/>
      <c r="BA78" s="82" t="n"/>
      <c r="BB78" s="83" t="n"/>
      <c r="BC78" s="83" t="n"/>
      <c r="BD78" s="84">
        <f>IF($A78="","",IF($DJ78&lt;&gt;"","FIX",IF($DK78&lt;&gt;"","CHECK","OK")))</f>
        <v/>
      </c>
      <c r="BE78" s="85">
        <f>IF($A78="","",IF($DJ78&lt;&gt;"","FIX: "&amp;LEFT($DJ78,LEN($DJ78)-2)&amp;IF($DK78&lt;&gt;"","  ·  ",""),"")&amp;IF($DK78&lt;&gt;"","CHECK: "&amp;LEFT($DK78,LEN($DK78)-2),""))</f>
        <v/>
      </c>
      <c r="BF78" s="84">
        <f>IF(OR($A78="",$K78=""),"",$K78&amp;"'-"&amp;N($L78)&amp;CHAR(34)&amp;" x "&amp;$M78&amp;"'-"&amp;N($N78)&amp;CHAR(34))</f>
        <v/>
      </c>
      <c r="BG78" s="84">
        <f>IF(OR($A78="",$K78=""),"",$K78&amp;N($L78)&amp;$M78&amp;N($N78))</f>
        <v/>
      </c>
      <c r="BH78" s="84">
        <f>IF(OR($A78="",$K78=""),"",$K78*12+N($L78))</f>
        <v/>
      </c>
      <c r="BI78" s="84">
        <f>IF(OR($A78="",$M78=""),"",$M78*12+N($N78))</f>
        <v/>
      </c>
      <c r="BJ78" s="84">
        <f>IF($A78="","",IF(OR($C78="FRAME ONLY",$S78="BL"),0,IF($O78="Y",2,1)))</f>
        <v/>
      </c>
      <c r="BK78" s="86">
        <f>IF(OR(N($BJ78)=0,$BH78=""),"",($BH78-2*EdgeClr-IF($BJ78=2,MeetClr,0))/$BJ78)</f>
        <v/>
      </c>
      <c r="BL78" s="86">
        <f>IF(OR(N($BJ78)=0,$BI78=""),"",$BI78-HeadClr-Undercut)</f>
        <v/>
      </c>
      <c r="BM78" s="86">
        <f>IF($BH78="","",$BH78+2*FaceW+IF(N($Q78)&gt;0,($Q78+FaceW)*IF($R78="LR",2,1),0))</f>
        <v/>
      </c>
      <c r="BN78" s="86">
        <f>IF($BI78="","",$BI78+IF($AB78="Y",4,FaceW)+IF(N($P78)&gt;0,$P78+FaceW,0)+IF(OR($S78="4F",$S78="BL"),FaceW,0))</f>
        <v/>
      </c>
      <c r="BO78" s="86">
        <f>IF($BM78="","",$BM78+2*ROSide)</f>
        <v/>
      </c>
      <c r="BP78" s="86">
        <f>IF($BN78="","",$BN78+ROTop)</f>
        <v/>
      </c>
      <c r="BQ78" s="87">
        <f>IF(OR(N($BJ78)=0,$BH78=""),"",$BH78/$BJ78-ClearDeduct)</f>
        <v/>
      </c>
      <c r="BR78" s="84">
        <f>IF(N($CH78)=0,"",IF($CH78&gt;=180,"A · 3 HR",IF($CH78&gt;=90,"B · 1-1/2 HR",IF($CH78&gt;=60,"B · 1 HR",IF($CH78&gt;=45,"C · 3/4 HR","20 MIN")))))&amp;IF(AND(N($CH78)&gt;0,OR($I78="CORRIDOR",$I78="SMOKE BARRIER"))," · S","")</f>
        <v/>
      </c>
      <c r="BS78" s="84">
        <f>IF($CS78,"",IF($AV78&lt;&gt;"",$AV78,IF(OR($AC78="HGC",$AO78="HGC"),"CONT",IF(($BI78-HeadClr-Undercut)&lt;=60,2,IF(($BI78-HeadClr-Undercut)&lt;=90,3,IF(($BI78-HeadClr-Undercut)&lt;=120,4,5))))))</f>
        <v/>
      </c>
      <c r="BT78" s="84">
        <f>IF($CS78,"",IF($CT78,"CUSTOM (typed)",IF($CV78,$AT78&amp;" "&amp;$CU78&amp;CHAR(34)&amp;IF($CU78&lt;&gt;$BI78,IF(AND($BI78&lt;$CU78,$BI78-IF(N(VLOOKUP($AT78&amp;"|"&amp;$CU78,LocTable,7,FALSE))&gt;0,VLOOKUP($AT78&amp;"|"&amp;$CU78,LocTable,7,FALSE),VLOOKUP($AT78&amp;"|"&amp;$CU78,LocTable,6,FALSE))-$CR78-0.75&gt;=2.125)," cut down"," adj."),""),"ANSI/SDI A250.6")))</f>
        <v/>
      </c>
      <c r="BU78" s="88">
        <f>IF($CS78,"",IF($CT78,IF(N($AW78)&gt;0,N($AW78),""),IF(1&gt;$CQ78,"",IF($CQ78=1,$CW78,$CW78+($CX78-$CW78)*0/($CQ78-1)))))</f>
        <v/>
      </c>
      <c r="BV78" s="88">
        <f>IF($CS78,"",IF($CT78,IF(N($AX78)&gt;0,N($AX78),""),IF(2&gt;$CQ78,"",IF($CQ78=1,$CW78,$CW78+($CX78-$CW78)*1/($CQ78-1)))))</f>
        <v/>
      </c>
      <c r="BW78" s="88">
        <f>IF($CS78,"",IF($CT78,IF(N($AY78)&gt;0,N($AY78),""),IF(3&gt;$CQ78,"",IF($CQ78=1,$CW78,$CW78+($CX78-$CW78)*2/($CQ78-1)))))</f>
        <v/>
      </c>
      <c r="BX78" s="88">
        <f>IF($CS78,"",IF($CT78,IF(N($AZ78)&gt;0,N($AZ78),""),IF(4&gt;$CQ78,"",IF($CQ78=1,$CW78,$CW78+($CX78-$CW78)*3/($CQ78-1)))))</f>
        <v/>
      </c>
      <c r="BY78" s="88">
        <f>IF($CS78,"",IF($CT78,"",IF(5&gt;$CQ78,"",IF($CQ78=1,$CW78,$CW78+($CX78-$CW78)*4/($CQ78-1)))))</f>
        <v/>
      </c>
      <c r="BZ78" s="88">
        <f>IF(OR($CS78,$AP78="-",AND($AP78="",$AD78="")),"",IF(N($BA78)&gt;0,N($BA78),IF($CV78,IF(AND($BI78&lt;$CU78,$BI78-IF(N(VLOOKUP($AT78&amp;"|"&amp;$CU78,LocTable,7,FALSE))&gt;0,VLOOKUP($AT78&amp;"|"&amp;$CU78,LocTable,7,FALSE),VLOOKUP($AT78&amp;"|"&amp;$CU78,LocTable,6,FALSE))-$CR78-0.75&gt;=2.125),VLOOKUP($AT78&amp;"|"&amp;$CU78,LocTable,8,FALSE),VLOOKUP($AT78&amp;"|"&amp;$CU78,LocTable,8,FALSE)+($BI78-$CU78)),$BI78-LockAFF)))</f>
        <v/>
      </c>
      <c r="CA78" s="89">
        <f>IF($BZ78="","",$BI78-$BZ78)</f>
        <v/>
      </c>
      <c r="CB78" s="84">
        <f>IF(OR(NOT(AND($A78&lt;&gt;"",$C78&lt;&gt;"DOOR ONLY")),$BI78=""),"",IF(($BI78+IF(N($P78)&gt;0,$P78+FaceW,0))&lt;=90,3,IF(($BI78+IF(N($P78)&gt;0,$P78+FaceW,0))&lt;=114,4,5)))</f>
        <v/>
      </c>
      <c r="CC78" s="84">
        <f>IF($CB78="","",$CB78*(2+IF(N($Q78)&gt;0,IF($R78="LR",2,1),0)))</f>
        <v/>
      </c>
      <c r="CD78" s="84">
        <f>IF($CB78="","",(2+IF(N($Q78)&gt;0,IF($R78="LR",2,1),0)))</f>
        <v/>
      </c>
      <c r="CE78" s="84">
        <f>IF(N($BJ78)=0,"",IF(OR($AL78="",$AL78="FLUSH"),"FLUSH",IFERROR(LEFT($AL78,FIND("-",$AL78)-1),LEFT($AL78,2))))</f>
        <v/>
      </c>
      <c r="CF78" s="84">
        <f>IF($CE78="","",IFERROR(VALUE(MID($AL78,FIND("-",$AL78)+1,FIND(CHAR(34)&amp;"x",$AL78)-FIND("-",$AL78)-1)),0))</f>
        <v/>
      </c>
      <c r="CG78" s="84">
        <f>IF($CE78="","",IFERROR(VALUE(MID($AL78,FIND(CHAR(34)&amp;"x",$AL78)+2,FIND(CHAR(34),$AL78,FIND(CHAR(34)&amp;"x",$AL78)+2)-FIND(CHAR(34)&amp;"x",$AL78)-2)),0))</f>
        <v/>
      </c>
      <c r="CH78" s="90">
        <f>IF(OR($A78="",$H78="",$H78="NO LAB"),0,IFERROR(VALUE(LEFT($H78,FIND(" ",$H78)-1)),0))</f>
        <v/>
      </c>
      <c r="CI78" s="91">
        <f>IF(OR($A78="",$I78="",$I78="NON-RATED",N($J78)=0),"",IFERROR(VLOOKUP($I78&amp;"|"&amp;$J78,IBC,2,FALSE),"?"))</f>
        <v/>
      </c>
      <c r="CJ78" s="85">
        <f>IF(NOT(AND($A78&lt;&gt;"",$C78&lt;&gt;"DOOR ONLY")),"",TRIM(IFERROR(VLOOKUP($U78,CODES,2,FALSE),"")&amp;" "&amp;$BG78&amp;" "&amp;IFERROR(VLOOKUP($Z78,CODES,2,FALSE),"")&amp;" "&amp;IFERROR(VLOOKUP($X78,CODES,2,FALSE),"")&amp;" "&amp;IFERROR(VLOOKUP($S78,CODES,2,FALSE),"")&amp;IF(N($P78)&gt;0," w/TRANSOM "&amp;$P78&amp;CHAR(34),"")&amp;IF(N($Q78)&gt;0," w/SIDELITE "&amp;$Q78&amp;CHAR(34)&amp;" "&amp;IF($R78="","R",$R78),"")&amp;IF($Y78="","  |  "," | "&amp;IFERROR(VLOOKUP($Y78,CODES,2,FALSE),"")&amp;" | ")&amp;IFERROR(VLOOKUP($AC78,CODES,2,FALSE),"")&amp;" "&amp;IFERROR(VLOOKUP($AD78,CODES,2,FALSE),"")&amp;IF(OR($AE78="",$AE78="-"),""," "&amp;$AE78)&amp;IF(OR($AF78="",$AF78="-"),""," "&amp;$AF78)&amp;IF($AB78="Y"," 4"&amp;CHAR(34)&amp;" HEAD","")&amp;" "&amp;IFERROR(VLOOKUP($H78,CODES,2,FALSE),"")&amp;IF($CT78," | LOC "&amp;$CY78,"")))</f>
        <v/>
      </c>
      <c r="CK78" s="85">
        <f>IF(NOT(AND($A78&lt;&gt;"",N($BJ78)&gt;0)),"",TRIM(IFERROR(VLOOKUP($AH78,CODES,2,FALSE),"")&amp;IF($AI78=""," "," "&amp;$AI78&amp;"GA ")&amp;$BG78&amp;" "&amp;IF($AN78="",IFERROR(VLOOKUP($Z78,CODES,2,FALSE),""),IFERROR(VLOOKUP($AN78,CODES,2,FALSE),""))&amp;IF($BJ78=2," PAIR","")&amp;" DOOR | "&amp;IF($AL78="","?",$AL78)&amp;" | "&amp;IF($AO78="",IFERROR(VLOOKUP($AC78,CODES,2,FALSE),""),IFERROR(VLOOKUP($AO78,CODES,2,FALSE),""))&amp;" "&amp;IFERROR(VLOOKUP($AP78,CODES,2,FALSE),"")&amp;IF(OR($AQ78="",$AQ78="-"),""," SEAM "&amp;$AQ78)&amp;IF($AR78="Y"," ASTRAGAL","")&amp;IF($AJ78=""," "," "&amp;$AJ78)&amp;IF($AK78=""," "," "&amp;$AK78)&amp;IF(OR($AT78="",$AT78="ANSI/SDI",$AT78="CUSTOM LOC"),""," "&amp;$AT78)&amp;IF($AM78=""," "," SERIES "&amp;$AM78)&amp;" "&amp;IFERROR(VLOOKUP($H78,CODES,2,FALSE),"")&amp;IF($CT78," | LOC "&amp;$CZ78,"")))</f>
        <v/>
      </c>
      <c r="CL78" s="84">
        <f>IF(CP78="","",IF(COUNTIF($CP$6:CP78,CP78)=1,MAX($CL$5:CL77)+1,INDEX($CL$5:CL77,MATCH(CP78,$CP$5:CP77,0))))</f>
        <v/>
      </c>
      <c r="CM78" s="84">
        <f>IF(NOT(AND($A78&lt;&gt;"",$C78&lt;&gt;"DOOR ONLY")),"",MAX($CM$5:CM77)+1)</f>
        <v/>
      </c>
      <c r="CN78" s="84">
        <f>IF(NOT(AND($A78&lt;&gt;"",N($BJ78)&gt;0)),"",MAX($CN$5:CN77)+1)</f>
        <v/>
      </c>
      <c r="CO78" s="84">
        <f>IF($A78="","",MAX($CO$5:CO77)+1)</f>
        <v/>
      </c>
      <c r="CP78" s="84">
        <f>IF(OR($A78="",$BH78="",$BI78=""),"",$BG78&amp;"|"&amp;$O78&amp;"|"&amp;$AL78&amp;"|"&amp;$S78&amp;"|"&amp;$P78&amp;"|"&amp;$Q78&amp;$R78&amp;"|"&amp;$C78&amp;"|"&amp;$AB78)</f>
        <v/>
      </c>
      <c r="CQ78" s="84">
        <f>N($BS78)</f>
        <v/>
      </c>
      <c r="CR78" s="84">
        <f>IF(N($AU78)&gt;0,N($AU78),4.5)</f>
        <v/>
      </c>
      <c r="CS78" s="84">
        <f>OR($A78="",$BI78="",$S78="BL",AND($C78="FRAME ONLY",OR($AC78="",$AC78="BLK")))</f>
        <v/>
      </c>
      <c r="CT78" s="84">
        <f>AND(NOT($CS78),OR($AT78="CUSTOM LOC",N($AW78)+N($AX78)+N($AY78)+N($AZ78)+N($BA78)&gt;0))</f>
        <v/>
      </c>
      <c r="CU78" s="84">
        <f>IF($BI78="","",IF($BI78&lt;=80,80,IF($BI78&lt;=84,84,96)))</f>
        <v/>
      </c>
      <c r="CV78" s="84">
        <f>ISNUMBER(MATCH($AT78&amp;"|80",LocKeys,0))</f>
        <v/>
      </c>
      <c r="CW78" s="86">
        <f>IF($CS78,"",IF($CV78,VLOOKUP($AT78&amp;"|"&amp;$CU78,LocTable,4,FALSE),5))</f>
        <v/>
      </c>
      <c r="CX78" s="86">
        <f>IF($CS78,"",IF($CV78,IF(OR($BI78=$CU78,AND($BI78&lt;$CU78,$BI78-IF(N(VLOOKUP($AT78&amp;"|"&amp;$CU78,LocTable,7,FALSE))&gt;0,VLOOKUP($AT78&amp;"|"&amp;$CU78,LocTable,7,FALSE),VLOOKUP($AT78&amp;"|"&amp;$CU78,LocTable,6,FALSE))-$CR78-0.75&gt;=2.125)),IF(N(VLOOKUP($AT78&amp;"|"&amp;$CU78,LocTable,7,FALSE))&gt;0,VLOOKUP($AT78&amp;"|"&amp;$CU78,LocTable,7,FALSE),VLOOKUP($AT78&amp;"|"&amp;$CU78,LocTable,6,FALSE)),$BI78-($CU78-IF(N(VLOOKUP($AT78&amp;"|"&amp;$CU78,LocTable,7,FALSE))&gt;0,VLOOKUP($AT78&amp;"|"&amp;$CU78,LocTable,7,FALSE),VLOOKUP($AT78&amp;"|"&amp;$CU78,LocTable,6,FALSE)))),$BI78-10-$CR78))</f>
        <v/>
      </c>
      <c r="CY78" s="85">
        <f>IF($CS78,"",TRIM(IF(ISNUMBER($BU78),"A "&amp;TRIM(TEXT($BU78,"# ?/??"))&amp;CHAR(34)&amp;"  ","")&amp;IF(ISNUMBER($BV78),"B "&amp;TRIM(TEXT($BV78,"# ?/??"))&amp;CHAR(34)&amp;"  ","")&amp;IF(ISNUMBER($BW78),"C "&amp;TRIM(TEXT($BW78,"# ?/??"))&amp;CHAR(34)&amp;"  ","")&amp;IF(ISNUMBER($BX78),"D "&amp;TRIM(TEXT($BX78,"# ?/??"))&amp;CHAR(34)&amp;"  ","")&amp;IF(ISNUMBER($BY78),"F "&amp;TRIM(TEXT($BY78,"# ?/??"))&amp;CHAR(34)&amp;"  ","")&amp;IF(ISNUMBER($BZ78),"E "&amp;TRIM(TEXT($BZ78,"# ?/??"))&amp;CHAR(34)&amp;"  ","")))</f>
        <v/>
      </c>
      <c r="CZ78" s="85">
        <f>IF(OR($CS78,N($BJ78)=0),"",TRIM(IF(ISNUMBER($BU78),"A "&amp;TRIM(TEXT($BU78-HeadClr,"# ?/??"))&amp;CHAR(34)&amp;"  ","")&amp;IF(ISNUMBER($BV78),"B "&amp;TRIM(TEXT($BV78-HeadClr,"# ?/??"))&amp;CHAR(34)&amp;"  ","")&amp;IF(ISNUMBER($BW78),"C "&amp;TRIM(TEXT($BW78-HeadClr,"# ?/??"))&amp;CHAR(34)&amp;"  ","")&amp;IF(ISNUMBER($BX78),"D "&amp;TRIM(TEXT($BX78-HeadClr,"# ?/??"))&amp;CHAR(34)&amp;"  ","")&amp;IF(ISNUMBER($BY78),"F "&amp;TRIM(TEXT($BY78-HeadClr,"# ?/??"))&amp;CHAR(34)&amp;"  ","")&amp;IF(ISNUMBER($BZ78),"E "&amp;TRIM(TEXT($BZ78-HeadClr,"# ?/??"))&amp;CHAR(34)&amp;"  ","")))</f>
        <v/>
      </c>
      <c r="DA78" s="84">
        <f>IF($A78="","",IF($AN78="",IFERROR(VLOOKUP($Z78,CODES,2,FALSE),""),IFERROR(VLOOKUP($AN78,CODES,2,FALSE),"")))</f>
        <v/>
      </c>
      <c r="DB78" s="84">
        <f>IF($A78="","",IF($O78="Y","PR",IF(OR($Z78="L",$Z78="RR",LEFT($Z78,2)="L-",LEFT($Z78,3)="RR-"),"LH","RH")))</f>
        <v/>
      </c>
      <c r="DC78" s="84">
        <f>IF($A78="","","S.HM"&amp;IF(OR($C78="DOOR ONLY",$X78&lt;&gt;"KD"),"MASONRY","DRYWALL")&amp;IF($C78="DOOR ONLY","",$U78)&amp;IF(AND($C78&lt;&gt;"FRAME ONLY",OR(LEFT($AH78,3)="OAK",LEFT($AH78,3)="BIR",LEFT($AH78,3)="MAP",$AH78="PC",$AH78="MC",$AH78="SCLC",$AH78="P-LAM")),"WD","HM")&amp;"1.75")</f>
        <v/>
      </c>
      <c r="DD78" s="84">
        <f>IF($CJ78="","",IF($O78="Y",$CJ78,SUBSTITUTE($CJ78,$BG78&amp;" "&amp;IFERROR(VLOOKUP($Z78,CODES,2,FALSE),"")&amp;" ",$BG78&amp;" ")))</f>
        <v/>
      </c>
      <c r="DE78" s="84">
        <f>IF($CK78="","",IF($O78="Y",$CK78,SUBSTITUTE($CK78,$BG78&amp;" "&amp;IF($AN78="",IFERROR(VLOOKUP($Z78,CODES,2,FALSE),""),IFERROR(VLOOKUP($AN78,CODES,2,FALSE),""))&amp;" ",$BG78&amp;" ")))</f>
        <v/>
      </c>
      <c r="DF78" s="84">
        <f>IF($CJ78="","",$DC78&amp;"|"&amp;$DD78&amp;"|"&amp;$DB78&amp;"|"&amp;$AT78&amp;"|"&amp;$V78&amp;"|"&amp;$Y78&amp;"|"&amp;$AB78)</f>
        <v/>
      </c>
      <c r="DG78" s="84">
        <f>IF(DF78="","",IF(COUNTIF($DF$6:DF78,DF78)=1,MAX($DG$5:DG77)+1,INDEX($DG$5:DG77,MATCH(DF78,$DF$5:DF77,0))))</f>
        <v/>
      </c>
      <c r="DH78" s="84">
        <f>IF($CK78="","",$DC78&amp;"|"&amp;$DE78&amp;"|"&amp;$AI78&amp;"|"&amp;$BK78&amp;"|"&amp;$BL78)</f>
        <v/>
      </c>
      <c r="DI78" s="84">
        <f>IF(DH78="","",IF(COUNTIF($DH$6:DH78,DH78)=1,MAX($DI$5:DI77)+1,INDEX($DI$5:DI77,MATCH(DH78,$DH$5:DH77,0))))</f>
        <v/>
      </c>
      <c r="DJ78" s="84">
        <f>IF($A78="","",IF($B78="","qty, ","")&amp;IF($C78="","scope, ","")&amp;IF(OR($K78="",$M78=""),"size, ","")&amp;IF(AND($A78&lt;&gt;"",$C78&lt;&gt;"DOOR ONLY"),IF($U78="","jamb depth, ","")&amp;IF($X78="","construction, ","")&amp;IF($Y78="","anchor, ","")&amp;IF($S78="","frame type, ",""),"")&amp;IF(AND(N($BJ78)&gt;0,$Z78=""),"hand, ","")&amp;IF(N($BJ78)&gt;0,IF($AH78="","door material, ","")&amp;IF($AL78="","face type, ","")&amp;IF($AP78="","lock prep, ","")&amp;IF(AND($AO78="",$AC78=""),"hinge prep, ",""),"")&amp;IF(AND($CH78&gt;0,$AH78="FRP"),"FRP cannot carry a label, ","")&amp;IF(AND($O78="Y",OR($Z78="L",$Z78="R",$Z78="LR",$Z78="RR")),"pair marked but hand is single, ","")&amp;IF(AND($O78&lt;&gt;"Y",OR($Z78="PR",AND(LEN($Z78)&gt;1,ISNUMBER(SEARCH("-",$Z78))))),"pair hand on a single door, ","")&amp;IF(AND(ISNUMBER($CI78),$CH78&lt;N($CI78)),"wall needs a "&amp;$CI78&amp;" min door, ","")&amp;IF(AND($CH78&gt;=180,AND(OR($CE78="FG",$CE78="HG",$CE78="FNV",$CE78="FV"),N($CF78)*N($CG78)&gt;100)),"180 min lite over 100 sq in, ","")&amp;IF(N($BK78)&gt;48,"leaf wider than 4'-0"&amp;CHAR(34)&amp;", ","")&amp;IF(AND($CT78,COUNT($AW78:$AZ78)=0,$CQ78&gt;0),"CUSTOM LOC with no locations typed, ",""))</f>
        <v/>
      </c>
      <c r="DK78" s="84">
        <f>IF($A78="","",IF(AND($CH78&gt;0,AND($A78&lt;&gt;"",$C78&lt;&gt;"DOOR ONLY"),$X78="KD",$E78="EXTERIOR"),"KD label on an exterior opening, ","")&amp;IF(AND($E78="EXTERIOR",OR(AND(AND($A78&lt;&gt;"",$C78&lt;&gt;"DOOR ONLY"),$W78="CR"),AND(N($BJ78)&gt;0,$AH78="CR"))),"exterior in CR steel (G9?), ","")&amp;IF(AND(ISNUMBER($BQ78),N($BQ78)&lt;32),"clear width ~"&amp;TEXT($BQ78,"0.0")&amp;CHAR(34)&amp;" under 32"&amp;CHAR(34)&amp;" (ADA), ","")&amp;IF(AND($CH78=90,AND(OR($CE78="FG",$CE78="HG",$CE78="FNV",$CE78="FV"),N($CF78)*N($CG78)&gt;100)),"90 min lite over 100 sq in (stair/exit), ","")&amp;IF(AND($CH78&gt;0,AND($A78&lt;&gt;"",$C78&lt;&gt;"DOOR ONLY"),OR($AF78="",$AF78="-")),"rated: closer reinf.?, ","")&amp;IF(OR($I78="CORRIDOR",$I78="SMOKE BARRIER"),"S label + smoke gasketing, ","")&amp;IF($CI78="?","wall type/hr not in IBC table, ","")&amp;IF(AND(N($BJ78)&gt;0,$BB78=""),"no hardware set, ","")&amp;IF(AND($BB78&lt;&gt;"",ISNA(MATCH($BB78&amp;"",HWSets,0))),"set "&amp;$BB78&amp;" not on HW Sets, ","")&amp;IF(N($BL78)&gt;96,"leaf over 8'-0"&amp;CHAR(34)&amp;" - check listing, ","")&amp;IF(AND($CT78,COUNT($AW78:$AZ78)&gt;0,COUNT($AW78:$AZ78)&lt;&gt;$CQ78),COUNT($AW78:$AZ78)&amp;" custom hinges typed, "&amp;$CQ78&amp;" expected, ","")&amp;IF(AND(ISNUMBER($CA78),OR(N($CA78)&lt;34,N($CA78)&gt;48)),"lock "&amp;TEXT($CA78,"0.0")&amp;CHAR(34)&amp;" AFF outside 34-48"&amp;CHAR(34)&amp;" (ADA), ","")&amp;IF(AND(ISNUMBER($AV78),ISNUMBER($BL78),N($AV78)&lt;IF(N($BL78)&lt;=60,2,IF(N($BL78)&lt;=90,3,IF(N($BL78)&lt;=120,4,5)))),"fewer hinges than standard, ",""))</f>
        <v/>
      </c>
    </row>
    <row r="79" ht="15" customHeight="1">
      <c r="A79" s="77" t="n"/>
      <c r="B79" s="78" t="n"/>
      <c r="C79" s="78" t="n"/>
      <c r="D79" s="78" t="n"/>
      <c r="E79" s="78" t="n"/>
      <c r="F79" s="78" t="n"/>
      <c r="G79" s="78" t="n"/>
      <c r="H79" s="78" t="n"/>
      <c r="I79" s="78" t="n"/>
      <c r="J79" s="78" t="n"/>
      <c r="K79" s="78" t="n"/>
      <c r="L79" s="78" t="n"/>
      <c r="M79" s="78" t="n"/>
      <c r="N79" s="78" t="n"/>
      <c r="O79" s="78" t="n"/>
      <c r="P79" s="78" t="n"/>
      <c r="Q79" s="78" t="n"/>
      <c r="R79" s="78" t="n"/>
      <c r="S79" s="79" t="n"/>
      <c r="T79" s="79" t="n"/>
      <c r="U79" s="79" t="n"/>
      <c r="V79" s="79" t="n"/>
      <c r="W79" s="79" t="n"/>
      <c r="X79" s="79" t="n"/>
      <c r="Y79" s="79" t="n"/>
      <c r="Z79" s="79" t="n"/>
      <c r="AA79" s="79" t="n"/>
      <c r="AB79" s="79" t="n"/>
      <c r="AC79" s="79" t="n"/>
      <c r="AD79" s="79" t="n"/>
      <c r="AE79" s="79" t="n"/>
      <c r="AF79" s="79" t="n"/>
      <c r="AG79" s="79" t="n"/>
      <c r="AH79" s="80" t="n"/>
      <c r="AI79" s="80" t="n"/>
      <c r="AJ79" s="80" t="n"/>
      <c r="AK79" s="80" t="n"/>
      <c r="AL79" s="80" t="n"/>
      <c r="AM79" s="80" t="n"/>
      <c r="AN79" s="80" t="n"/>
      <c r="AO79" s="80" t="n"/>
      <c r="AP79" s="80" t="n"/>
      <c r="AQ79" s="80" t="n"/>
      <c r="AR79" s="80" t="n"/>
      <c r="AS79" s="80" t="n"/>
      <c r="AT79" s="81" t="n"/>
      <c r="AU79" s="81" t="n"/>
      <c r="AV79" s="81" t="n"/>
      <c r="AW79" s="82" t="n"/>
      <c r="AX79" s="82" t="n"/>
      <c r="AY79" s="82" t="n"/>
      <c r="AZ79" s="82" t="n"/>
      <c r="BA79" s="82" t="n"/>
      <c r="BB79" s="83" t="n"/>
      <c r="BC79" s="83" t="n"/>
      <c r="BD79" s="84">
        <f>IF($A79="","",IF($DJ79&lt;&gt;"","FIX",IF($DK79&lt;&gt;"","CHECK","OK")))</f>
        <v/>
      </c>
      <c r="BE79" s="85">
        <f>IF($A79="","",IF($DJ79&lt;&gt;"","FIX: "&amp;LEFT($DJ79,LEN($DJ79)-2)&amp;IF($DK79&lt;&gt;"","  ·  ",""),"")&amp;IF($DK79&lt;&gt;"","CHECK: "&amp;LEFT($DK79,LEN($DK79)-2),""))</f>
        <v/>
      </c>
      <c r="BF79" s="84">
        <f>IF(OR($A79="",$K79=""),"",$K79&amp;"'-"&amp;N($L79)&amp;CHAR(34)&amp;" x "&amp;$M79&amp;"'-"&amp;N($N79)&amp;CHAR(34))</f>
        <v/>
      </c>
      <c r="BG79" s="84">
        <f>IF(OR($A79="",$K79=""),"",$K79&amp;N($L79)&amp;$M79&amp;N($N79))</f>
        <v/>
      </c>
      <c r="BH79" s="84">
        <f>IF(OR($A79="",$K79=""),"",$K79*12+N($L79))</f>
        <v/>
      </c>
      <c r="BI79" s="84">
        <f>IF(OR($A79="",$M79=""),"",$M79*12+N($N79))</f>
        <v/>
      </c>
      <c r="BJ79" s="84">
        <f>IF($A79="","",IF(OR($C79="FRAME ONLY",$S79="BL"),0,IF($O79="Y",2,1)))</f>
        <v/>
      </c>
      <c r="BK79" s="86">
        <f>IF(OR(N($BJ79)=0,$BH79=""),"",($BH79-2*EdgeClr-IF($BJ79=2,MeetClr,0))/$BJ79)</f>
        <v/>
      </c>
      <c r="BL79" s="86">
        <f>IF(OR(N($BJ79)=0,$BI79=""),"",$BI79-HeadClr-Undercut)</f>
        <v/>
      </c>
      <c r="BM79" s="86">
        <f>IF($BH79="","",$BH79+2*FaceW+IF(N($Q79)&gt;0,($Q79+FaceW)*IF($R79="LR",2,1),0))</f>
        <v/>
      </c>
      <c r="BN79" s="86">
        <f>IF($BI79="","",$BI79+IF($AB79="Y",4,FaceW)+IF(N($P79)&gt;0,$P79+FaceW,0)+IF(OR($S79="4F",$S79="BL"),FaceW,0))</f>
        <v/>
      </c>
      <c r="BO79" s="86">
        <f>IF($BM79="","",$BM79+2*ROSide)</f>
        <v/>
      </c>
      <c r="BP79" s="86">
        <f>IF($BN79="","",$BN79+ROTop)</f>
        <v/>
      </c>
      <c r="BQ79" s="87">
        <f>IF(OR(N($BJ79)=0,$BH79=""),"",$BH79/$BJ79-ClearDeduct)</f>
        <v/>
      </c>
      <c r="BR79" s="84">
        <f>IF(N($CH79)=0,"",IF($CH79&gt;=180,"A · 3 HR",IF($CH79&gt;=90,"B · 1-1/2 HR",IF($CH79&gt;=60,"B · 1 HR",IF($CH79&gt;=45,"C · 3/4 HR","20 MIN")))))&amp;IF(AND(N($CH79)&gt;0,OR($I79="CORRIDOR",$I79="SMOKE BARRIER"))," · S","")</f>
        <v/>
      </c>
      <c r="BS79" s="84">
        <f>IF($CS79,"",IF($AV79&lt;&gt;"",$AV79,IF(OR($AC79="HGC",$AO79="HGC"),"CONT",IF(($BI79-HeadClr-Undercut)&lt;=60,2,IF(($BI79-HeadClr-Undercut)&lt;=90,3,IF(($BI79-HeadClr-Undercut)&lt;=120,4,5))))))</f>
        <v/>
      </c>
      <c r="BT79" s="84">
        <f>IF($CS79,"",IF($CT79,"CUSTOM (typed)",IF($CV79,$AT79&amp;" "&amp;$CU79&amp;CHAR(34)&amp;IF($CU79&lt;&gt;$BI79,IF(AND($BI79&lt;$CU79,$BI79-IF(N(VLOOKUP($AT79&amp;"|"&amp;$CU79,LocTable,7,FALSE))&gt;0,VLOOKUP($AT79&amp;"|"&amp;$CU79,LocTable,7,FALSE),VLOOKUP($AT79&amp;"|"&amp;$CU79,LocTable,6,FALSE))-$CR79-0.75&gt;=2.125)," cut down"," adj."),""),"ANSI/SDI A250.6")))</f>
        <v/>
      </c>
      <c r="BU79" s="88">
        <f>IF($CS79,"",IF($CT79,IF(N($AW79)&gt;0,N($AW79),""),IF(1&gt;$CQ79,"",IF($CQ79=1,$CW79,$CW79+($CX79-$CW79)*0/($CQ79-1)))))</f>
        <v/>
      </c>
      <c r="BV79" s="88">
        <f>IF($CS79,"",IF($CT79,IF(N($AX79)&gt;0,N($AX79),""),IF(2&gt;$CQ79,"",IF($CQ79=1,$CW79,$CW79+($CX79-$CW79)*1/($CQ79-1)))))</f>
        <v/>
      </c>
      <c r="BW79" s="88">
        <f>IF($CS79,"",IF($CT79,IF(N($AY79)&gt;0,N($AY79),""),IF(3&gt;$CQ79,"",IF($CQ79=1,$CW79,$CW79+($CX79-$CW79)*2/($CQ79-1)))))</f>
        <v/>
      </c>
      <c r="BX79" s="88">
        <f>IF($CS79,"",IF($CT79,IF(N($AZ79)&gt;0,N($AZ79),""),IF(4&gt;$CQ79,"",IF($CQ79=1,$CW79,$CW79+($CX79-$CW79)*3/($CQ79-1)))))</f>
        <v/>
      </c>
      <c r="BY79" s="88">
        <f>IF($CS79,"",IF($CT79,"",IF(5&gt;$CQ79,"",IF($CQ79=1,$CW79,$CW79+($CX79-$CW79)*4/($CQ79-1)))))</f>
        <v/>
      </c>
      <c r="BZ79" s="88">
        <f>IF(OR($CS79,$AP79="-",AND($AP79="",$AD79="")),"",IF(N($BA79)&gt;0,N($BA79),IF($CV79,IF(AND($BI79&lt;$CU79,$BI79-IF(N(VLOOKUP($AT79&amp;"|"&amp;$CU79,LocTable,7,FALSE))&gt;0,VLOOKUP($AT79&amp;"|"&amp;$CU79,LocTable,7,FALSE),VLOOKUP($AT79&amp;"|"&amp;$CU79,LocTable,6,FALSE))-$CR79-0.75&gt;=2.125),VLOOKUP($AT79&amp;"|"&amp;$CU79,LocTable,8,FALSE),VLOOKUP($AT79&amp;"|"&amp;$CU79,LocTable,8,FALSE)+($BI79-$CU79)),$BI79-LockAFF)))</f>
        <v/>
      </c>
      <c r="CA79" s="89">
        <f>IF($BZ79="","",$BI79-$BZ79)</f>
        <v/>
      </c>
      <c r="CB79" s="84">
        <f>IF(OR(NOT(AND($A79&lt;&gt;"",$C79&lt;&gt;"DOOR ONLY")),$BI79=""),"",IF(($BI79+IF(N($P79)&gt;0,$P79+FaceW,0))&lt;=90,3,IF(($BI79+IF(N($P79)&gt;0,$P79+FaceW,0))&lt;=114,4,5)))</f>
        <v/>
      </c>
      <c r="CC79" s="84">
        <f>IF($CB79="","",$CB79*(2+IF(N($Q79)&gt;0,IF($R79="LR",2,1),0)))</f>
        <v/>
      </c>
      <c r="CD79" s="84">
        <f>IF($CB79="","",(2+IF(N($Q79)&gt;0,IF($R79="LR",2,1),0)))</f>
        <v/>
      </c>
      <c r="CE79" s="84">
        <f>IF(N($BJ79)=0,"",IF(OR($AL79="",$AL79="FLUSH"),"FLUSH",IFERROR(LEFT($AL79,FIND("-",$AL79)-1),LEFT($AL79,2))))</f>
        <v/>
      </c>
      <c r="CF79" s="84">
        <f>IF($CE79="","",IFERROR(VALUE(MID($AL79,FIND("-",$AL79)+1,FIND(CHAR(34)&amp;"x",$AL79)-FIND("-",$AL79)-1)),0))</f>
        <v/>
      </c>
      <c r="CG79" s="84">
        <f>IF($CE79="","",IFERROR(VALUE(MID($AL79,FIND(CHAR(34)&amp;"x",$AL79)+2,FIND(CHAR(34),$AL79,FIND(CHAR(34)&amp;"x",$AL79)+2)-FIND(CHAR(34)&amp;"x",$AL79)-2)),0))</f>
        <v/>
      </c>
      <c r="CH79" s="90">
        <f>IF(OR($A79="",$H79="",$H79="NO LAB"),0,IFERROR(VALUE(LEFT($H79,FIND(" ",$H79)-1)),0))</f>
        <v/>
      </c>
      <c r="CI79" s="91">
        <f>IF(OR($A79="",$I79="",$I79="NON-RATED",N($J79)=0),"",IFERROR(VLOOKUP($I79&amp;"|"&amp;$J79,IBC,2,FALSE),"?"))</f>
        <v/>
      </c>
      <c r="CJ79" s="85">
        <f>IF(NOT(AND($A79&lt;&gt;"",$C79&lt;&gt;"DOOR ONLY")),"",TRIM(IFERROR(VLOOKUP($U79,CODES,2,FALSE),"")&amp;" "&amp;$BG79&amp;" "&amp;IFERROR(VLOOKUP($Z79,CODES,2,FALSE),"")&amp;" "&amp;IFERROR(VLOOKUP($X79,CODES,2,FALSE),"")&amp;" "&amp;IFERROR(VLOOKUP($S79,CODES,2,FALSE),"")&amp;IF(N($P79)&gt;0," w/TRANSOM "&amp;$P79&amp;CHAR(34),"")&amp;IF(N($Q79)&gt;0," w/SIDELITE "&amp;$Q79&amp;CHAR(34)&amp;" "&amp;IF($R79="","R",$R79),"")&amp;IF($Y79="","  |  "," | "&amp;IFERROR(VLOOKUP($Y79,CODES,2,FALSE),"")&amp;" | ")&amp;IFERROR(VLOOKUP($AC79,CODES,2,FALSE),"")&amp;" "&amp;IFERROR(VLOOKUP($AD79,CODES,2,FALSE),"")&amp;IF(OR($AE79="",$AE79="-"),""," "&amp;$AE79)&amp;IF(OR($AF79="",$AF79="-"),""," "&amp;$AF79)&amp;IF($AB79="Y"," 4"&amp;CHAR(34)&amp;" HEAD","")&amp;" "&amp;IFERROR(VLOOKUP($H79,CODES,2,FALSE),"")&amp;IF($CT79," | LOC "&amp;$CY79,"")))</f>
        <v/>
      </c>
      <c r="CK79" s="85">
        <f>IF(NOT(AND($A79&lt;&gt;"",N($BJ79)&gt;0)),"",TRIM(IFERROR(VLOOKUP($AH79,CODES,2,FALSE),"")&amp;IF($AI79=""," "," "&amp;$AI79&amp;"GA ")&amp;$BG79&amp;" "&amp;IF($AN79="",IFERROR(VLOOKUP($Z79,CODES,2,FALSE),""),IFERROR(VLOOKUP($AN79,CODES,2,FALSE),""))&amp;IF($BJ79=2," PAIR","")&amp;" DOOR | "&amp;IF($AL79="","?",$AL79)&amp;" | "&amp;IF($AO79="",IFERROR(VLOOKUP($AC79,CODES,2,FALSE),""),IFERROR(VLOOKUP($AO79,CODES,2,FALSE),""))&amp;" "&amp;IFERROR(VLOOKUP($AP79,CODES,2,FALSE),"")&amp;IF(OR($AQ79="",$AQ79="-"),""," SEAM "&amp;$AQ79)&amp;IF($AR79="Y"," ASTRAGAL","")&amp;IF($AJ79=""," "," "&amp;$AJ79)&amp;IF($AK79=""," "," "&amp;$AK79)&amp;IF(OR($AT79="",$AT79="ANSI/SDI",$AT79="CUSTOM LOC"),""," "&amp;$AT79)&amp;IF($AM79=""," "," SERIES "&amp;$AM79)&amp;" "&amp;IFERROR(VLOOKUP($H79,CODES,2,FALSE),"")&amp;IF($CT79," | LOC "&amp;$CZ79,"")))</f>
        <v/>
      </c>
      <c r="CL79" s="84">
        <f>IF(CP79="","",IF(COUNTIF($CP$6:CP79,CP79)=1,MAX($CL$5:CL78)+1,INDEX($CL$5:CL78,MATCH(CP79,$CP$5:CP78,0))))</f>
        <v/>
      </c>
      <c r="CM79" s="84">
        <f>IF(NOT(AND($A79&lt;&gt;"",$C79&lt;&gt;"DOOR ONLY")),"",MAX($CM$5:CM78)+1)</f>
        <v/>
      </c>
      <c r="CN79" s="84">
        <f>IF(NOT(AND($A79&lt;&gt;"",N($BJ79)&gt;0)),"",MAX($CN$5:CN78)+1)</f>
        <v/>
      </c>
      <c r="CO79" s="84">
        <f>IF($A79="","",MAX($CO$5:CO78)+1)</f>
        <v/>
      </c>
      <c r="CP79" s="84">
        <f>IF(OR($A79="",$BH79="",$BI79=""),"",$BG79&amp;"|"&amp;$O79&amp;"|"&amp;$AL79&amp;"|"&amp;$S79&amp;"|"&amp;$P79&amp;"|"&amp;$Q79&amp;$R79&amp;"|"&amp;$C79&amp;"|"&amp;$AB79)</f>
        <v/>
      </c>
      <c r="CQ79" s="84">
        <f>N($BS79)</f>
        <v/>
      </c>
      <c r="CR79" s="84">
        <f>IF(N($AU79)&gt;0,N($AU79),4.5)</f>
        <v/>
      </c>
      <c r="CS79" s="84">
        <f>OR($A79="",$BI79="",$S79="BL",AND($C79="FRAME ONLY",OR($AC79="",$AC79="BLK")))</f>
        <v/>
      </c>
      <c r="CT79" s="84">
        <f>AND(NOT($CS79),OR($AT79="CUSTOM LOC",N($AW79)+N($AX79)+N($AY79)+N($AZ79)+N($BA79)&gt;0))</f>
        <v/>
      </c>
      <c r="CU79" s="84">
        <f>IF($BI79="","",IF($BI79&lt;=80,80,IF($BI79&lt;=84,84,96)))</f>
        <v/>
      </c>
      <c r="CV79" s="84">
        <f>ISNUMBER(MATCH($AT79&amp;"|80",LocKeys,0))</f>
        <v/>
      </c>
      <c r="CW79" s="86">
        <f>IF($CS79,"",IF($CV79,VLOOKUP($AT79&amp;"|"&amp;$CU79,LocTable,4,FALSE),5))</f>
        <v/>
      </c>
      <c r="CX79" s="86">
        <f>IF($CS79,"",IF($CV79,IF(OR($BI79=$CU79,AND($BI79&lt;$CU79,$BI79-IF(N(VLOOKUP($AT79&amp;"|"&amp;$CU79,LocTable,7,FALSE))&gt;0,VLOOKUP($AT79&amp;"|"&amp;$CU79,LocTable,7,FALSE),VLOOKUP($AT79&amp;"|"&amp;$CU79,LocTable,6,FALSE))-$CR79-0.75&gt;=2.125)),IF(N(VLOOKUP($AT79&amp;"|"&amp;$CU79,LocTable,7,FALSE))&gt;0,VLOOKUP($AT79&amp;"|"&amp;$CU79,LocTable,7,FALSE),VLOOKUP($AT79&amp;"|"&amp;$CU79,LocTable,6,FALSE)),$BI79-($CU79-IF(N(VLOOKUP($AT79&amp;"|"&amp;$CU79,LocTable,7,FALSE))&gt;0,VLOOKUP($AT79&amp;"|"&amp;$CU79,LocTable,7,FALSE),VLOOKUP($AT79&amp;"|"&amp;$CU79,LocTable,6,FALSE)))),$BI79-10-$CR79))</f>
        <v/>
      </c>
      <c r="CY79" s="85">
        <f>IF($CS79,"",TRIM(IF(ISNUMBER($BU79),"A "&amp;TRIM(TEXT($BU79,"# ?/??"))&amp;CHAR(34)&amp;"  ","")&amp;IF(ISNUMBER($BV79),"B "&amp;TRIM(TEXT($BV79,"# ?/??"))&amp;CHAR(34)&amp;"  ","")&amp;IF(ISNUMBER($BW79),"C "&amp;TRIM(TEXT($BW79,"# ?/??"))&amp;CHAR(34)&amp;"  ","")&amp;IF(ISNUMBER($BX79),"D "&amp;TRIM(TEXT($BX79,"# ?/??"))&amp;CHAR(34)&amp;"  ","")&amp;IF(ISNUMBER($BY79),"F "&amp;TRIM(TEXT($BY79,"# ?/??"))&amp;CHAR(34)&amp;"  ","")&amp;IF(ISNUMBER($BZ79),"E "&amp;TRIM(TEXT($BZ79,"# ?/??"))&amp;CHAR(34)&amp;"  ","")))</f>
        <v/>
      </c>
      <c r="CZ79" s="85">
        <f>IF(OR($CS79,N($BJ79)=0),"",TRIM(IF(ISNUMBER($BU79),"A "&amp;TRIM(TEXT($BU79-HeadClr,"# ?/??"))&amp;CHAR(34)&amp;"  ","")&amp;IF(ISNUMBER($BV79),"B "&amp;TRIM(TEXT($BV79-HeadClr,"# ?/??"))&amp;CHAR(34)&amp;"  ","")&amp;IF(ISNUMBER($BW79),"C "&amp;TRIM(TEXT($BW79-HeadClr,"# ?/??"))&amp;CHAR(34)&amp;"  ","")&amp;IF(ISNUMBER($BX79),"D "&amp;TRIM(TEXT($BX79-HeadClr,"# ?/??"))&amp;CHAR(34)&amp;"  ","")&amp;IF(ISNUMBER($BY79),"F "&amp;TRIM(TEXT($BY79-HeadClr,"# ?/??"))&amp;CHAR(34)&amp;"  ","")&amp;IF(ISNUMBER($BZ79),"E "&amp;TRIM(TEXT($BZ79-HeadClr,"# ?/??"))&amp;CHAR(34)&amp;"  ","")))</f>
        <v/>
      </c>
      <c r="DA79" s="84">
        <f>IF($A79="","",IF($AN79="",IFERROR(VLOOKUP($Z79,CODES,2,FALSE),""),IFERROR(VLOOKUP($AN79,CODES,2,FALSE),"")))</f>
        <v/>
      </c>
      <c r="DB79" s="84">
        <f>IF($A79="","",IF($O79="Y","PR",IF(OR($Z79="L",$Z79="RR",LEFT($Z79,2)="L-",LEFT($Z79,3)="RR-"),"LH","RH")))</f>
        <v/>
      </c>
      <c r="DC79" s="84">
        <f>IF($A79="","","S.HM"&amp;IF(OR($C79="DOOR ONLY",$X79&lt;&gt;"KD"),"MASONRY","DRYWALL")&amp;IF($C79="DOOR ONLY","",$U79)&amp;IF(AND($C79&lt;&gt;"FRAME ONLY",OR(LEFT($AH79,3)="OAK",LEFT($AH79,3)="BIR",LEFT($AH79,3)="MAP",$AH79="PC",$AH79="MC",$AH79="SCLC",$AH79="P-LAM")),"WD","HM")&amp;"1.75")</f>
        <v/>
      </c>
      <c r="DD79" s="84">
        <f>IF($CJ79="","",IF($O79="Y",$CJ79,SUBSTITUTE($CJ79,$BG79&amp;" "&amp;IFERROR(VLOOKUP($Z79,CODES,2,FALSE),"")&amp;" ",$BG79&amp;" ")))</f>
        <v/>
      </c>
      <c r="DE79" s="84">
        <f>IF($CK79="","",IF($O79="Y",$CK79,SUBSTITUTE($CK79,$BG79&amp;" "&amp;IF($AN79="",IFERROR(VLOOKUP($Z79,CODES,2,FALSE),""),IFERROR(VLOOKUP($AN79,CODES,2,FALSE),""))&amp;" ",$BG79&amp;" ")))</f>
        <v/>
      </c>
      <c r="DF79" s="84">
        <f>IF($CJ79="","",$DC79&amp;"|"&amp;$DD79&amp;"|"&amp;$DB79&amp;"|"&amp;$AT79&amp;"|"&amp;$V79&amp;"|"&amp;$Y79&amp;"|"&amp;$AB79)</f>
        <v/>
      </c>
      <c r="DG79" s="84">
        <f>IF(DF79="","",IF(COUNTIF($DF$6:DF79,DF79)=1,MAX($DG$5:DG78)+1,INDEX($DG$5:DG78,MATCH(DF79,$DF$5:DF78,0))))</f>
        <v/>
      </c>
      <c r="DH79" s="84">
        <f>IF($CK79="","",$DC79&amp;"|"&amp;$DE79&amp;"|"&amp;$AI79&amp;"|"&amp;$BK79&amp;"|"&amp;$BL79)</f>
        <v/>
      </c>
      <c r="DI79" s="84">
        <f>IF(DH79="","",IF(COUNTIF($DH$6:DH79,DH79)=1,MAX($DI$5:DI78)+1,INDEX($DI$5:DI78,MATCH(DH79,$DH$5:DH78,0))))</f>
        <v/>
      </c>
      <c r="DJ79" s="84">
        <f>IF($A79="","",IF($B79="","qty, ","")&amp;IF($C79="","scope, ","")&amp;IF(OR($K79="",$M79=""),"size, ","")&amp;IF(AND($A79&lt;&gt;"",$C79&lt;&gt;"DOOR ONLY"),IF($U79="","jamb depth, ","")&amp;IF($X79="","construction, ","")&amp;IF($Y79="","anchor, ","")&amp;IF($S79="","frame type, ",""),"")&amp;IF(AND(N($BJ79)&gt;0,$Z79=""),"hand, ","")&amp;IF(N($BJ79)&gt;0,IF($AH79="","door material, ","")&amp;IF($AL79="","face type, ","")&amp;IF($AP79="","lock prep, ","")&amp;IF(AND($AO79="",$AC79=""),"hinge prep, ",""),"")&amp;IF(AND($CH79&gt;0,$AH79="FRP"),"FRP cannot carry a label, ","")&amp;IF(AND($O79="Y",OR($Z79="L",$Z79="R",$Z79="LR",$Z79="RR")),"pair marked but hand is single, ","")&amp;IF(AND($O79&lt;&gt;"Y",OR($Z79="PR",AND(LEN($Z79)&gt;1,ISNUMBER(SEARCH("-",$Z79))))),"pair hand on a single door, ","")&amp;IF(AND(ISNUMBER($CI79),$CH79&lt;N($CI79)),"wall needs a "&amp;$CI79&amp;" min door, ","")&amp;IF(AND($CH79&gt;=180,AND(OR($CE79="FG",$CE79="HG",$CE79="FNV",$CE79="FV"),N($CF79)*N($CG79)&gt;100)),"180 min lite over 100 sq in, ","")&amp;IF(N($BK79)&gt;48,"leaf wider than 4'-0"&amp;CHAR(34)&amp;", ","")&amp;IF(AND($CT79,COUNT($AW79:$AZ79)=0,$CQ79&gt;0),"CUSTOM LOC with no locations typed, ",""))</f>
        <v/>
      </c>
      <c r="DK79" s="84">
        <f>IF($A79="","",IF(AND($CH79&gt;0,AND($A79&lt;&gt;"",$C79&lt;&gt;"DOOR ONLY"),$X79="KD",$E79="EXTERIOR"),"KD label on an exterior opening, ","")&amp;IF(AND($E79="EXTERIOR",OR(AND(AND($A79&lt;&gt;"",$C79&lt;&gt;"DOOR ONLY"),$W79="CR"),AND(N($BJ79)&gt;0,$AH79="CR"))),"exterior in CR steel (G9?), ","")&amp;IF(AND(ISNUMBER($BQ79),N($BQ79)&lt;32),"clear width ~"&amp;TEXT($BQ79,"0.0")&amp;CHAR(34)&amp;" under 32"&amp;CHAR(34)&amp;" (ADA), ","")&amp;IF(AND($CH79=90,AND(OR($CE79="FG",$CE79="HG",$CE79="FNV",$CE79="FV"),N($CF79)*N($CG79)&gt;100)),"90 min lite over 100 sq in (stair/exit), ","")&amp;IF(AND($CH79&gt;0,AND($A79&lt;&gt;"",$C79&lt;&gt;"DOOR ONLY"),OR($AF79="",$AF79="-")),"rated: closer reinf.?, ","")&amp;IF(OR($I79="CORRIDOR",$I79="SMOKE BARRIER"),"S label + smoke gasketing, ","")&amp;IF($CI79="?","wall type/hr not in IBC table, ","")&amp;IF(AND(N($BJ79)&gt;0,$BB79=""),"no hardware set, ","")&amp;IF(AND($BB79&lt;&gt;"",ISNA(MATCH($BB79&amp;"",HWSets,0))),"set "&amp;$BB79&amp;" not on HW Sets, ","")&amp;IF(N($BL79)&gt;96,"leaf over 8'-0"&amp;CHAR(34)&amp;" - check listing, ","")&amp;IF(AND($CT79,COUNT($AW79:$AZ79)&gt;0,COUNT($AW79:$AZ79)&lt;&gt;$CQ79),COUNT($AW79:$AZ79)&amp;" custom hinges typed, "&amp;$CQ79&amp;" expected, ","")&amp;IF(AND(ISNUMBER($CA79),OR(N($CA79)&lt;34,N($CA79)&gt;48)),"lock "&amp;TEXT($CA79,"0.0")&amp;CHAR(34)&amp;" AFF outside 34-48"&amp;CHAR(34)&amp;" (ADA), ","")&amp;IF(AND(ISNUMBER($AV79),ISNUMBER($BL79),N($AV79)&lt;IF(N($BL79)&lt;=60,2,IF(N($BL79)&lt;=90,3,IF(N($BL79)&lt;=120,4,5)))),"fewer hinges than standard, ",""))</f>
        <v/>
      </c>
    </row>
    <row r="80" ht="15" customHeight="1">
      <c r="A80" s="92" t="n"/>
      <c r="B80" s="93" t="n"/>
      <c r="C80" s="93" t="n"/>
      <c r="D80" s="93" t="n"/>
      <c r="E80" s="93" t="n"/>
      <c r="F80" s="93" t="n"/>
      <c r="G80" s="93" t="n"/>
      <c r="H80" s="93" t="n"/>
      <c r="I80" s="93" t="n"/>
      <c r="J80" s="93" t="n"/>
      <c r="K80" s="93" t="n"/>
      <c r="L80" s="93" t="n"/>
      <c r="M80" s="93" t="n"/>
      <c r="N80" s="93" t="n"/>
      <c r="O80" s="93" t="n"/>
      <c r="P80" s="93" t="n"/>
      <c r="Q80" s="93" t="n"/>
      <c r="R80" s="93" t="n"/>
      <c r="S80" s="94" t="n"/>
      <c r="T80" s="94" t="n"/>
      <c r="U80" s="94" t="n"/>
      <c r="V80" s="94" t="n"/>
      <c r="W80" s="94" t="n"/>
      <c r="X80" s="94" t="n"/>
      <c r="Y80" s="94" t="n"/>
      <c r="Z80" s="94" t="n"/>
      <c r="AA80" s="94" t="n"/>
      <c r="AB80" s="94" t="n"/>
      <c r="AC80" s="94" t="n"/>
      <c r="AD80" s="94" t="n"/>
      <c r="AE80" s="94" t="n"/>
      <c r="AF80" s="94" t="n"/>
      <c r="AG80" s="94" t="n"/>
      <c r="AH80" s="95" t="n"/>
      <c r="AI80" s="95" t="n"/>
      <c r="AJ80" s="95" t="n"/>
      <c r="AK80" s="95" t="n"/>
      <c r="AL80" s="95" t="n"/>
      <c r="AM80" s="95" t="n"/>
      <c r="AN80" s="95" t="n"/>
      <c r="AO80" s="95" t="n"/>
      <c r="AP80" s="95" t="n"/>
      <c r="AQ80" s="95" t="n"/>
      <c r="AR80" s="95" t="n"/>
      <c r="AS80" s="95" t="n"/>
      <c r="AT80" s="96" t="n"/>
      <c r="AU80" s="96" t="n"/>
      <c r="AV80" s="96" t="n"/>
      <c r="AW80" s="97" t="n"/>
      <c r="AX80" s="97" t="n"/>
      <c r="AY80" s="97" t="n"/>
      <c r="AZ80" s="97" t="n"/>
      <c r="BA80" s="97" t="n"/>
      <c r="BB80" s="98" t="n"/>
      <c r="BC80" s="98" t="n"/>
      <c r="BD80" s="99">
        <f>IF($A80="","",IF($DJ80&lt;&gt;"","FIX",IF($DK80&lt;&gt;"","CHECK","OK")))</f>
        <v/>
      </c>
      <c r="BE80" s="100">
        <f>IF($A80="","",IF($DJ80&lt;&gt;"","FIX: "&amp;LEFT($DJ80,LEN($DJ80)-2)&amp;IF($DK80&lt;&gt;"","  ·  ",""),"")&amp;IF($DK80&lt;&gt;"","CHECK: "&amp;LEFT($DK80,LEN($DK80)-2),""))</f>
        <v/>
      </c>
      <c r="BF80" s="99">
        <f>IF(OR($A80="",$K80=""),"",$K80&amp;"'-"&amp;N($L80)&amp;CHAR(34)&amp;" x "&amp;$M80&amp;"'-"&amp;N($N80)&amp;CHAR(34))</f>
        <v/>
      </c>
      <c r="BG80" s="99">
        <f>IF(OR($A80="",$K80=""),"",$K80&amp;N($L80)&amp;$M80&amp;N($N80))</f>
        <v/>
      </c>
      <c r="BH80" s="99">
        <f>IF(OR($A80="",$K80=""),"",$K80*12+N($L80))</f>
        <v/>
      </c>
      <c r="BI80" s="99">
        <f>IF(OR($A80="",$M80=""),"",$M80*12+N($N80))</f>
        <v/>
      </c>
      <c r="BJ80" s="99">
        <f>IF($A80="","",IF(OR($C80="FRAME ONLY",$S80="BL"),0,IF($O80="Y",2,1)))</f>
        <v/>
      </c>
      <c r="BK80" s="101">
        <f>IF(OR(N($BJ80)=0,$BH80=""),"",($BH80-2*EdgeClr-IF($BJ80=2,MeetClr,0))/$BJ80)</f>
        <v/>
      </c>
      <c r="BL80" s="101">
        <f>IF(OR(N($BJ80)=0,$BI80=""),"",$BI80-HeadClr-Undercut)</f>
        <v/>
      </c>
      <c r="BM80" s="101">
        <f>IF($BH80="","",$BH80+2*FaceW+IF(N($Q80)&gt;0,($Q80+FaceW)*IF($R80="LR",2,1),0))</f>
        <v/>
      </c>
      <c r="BN80" s="101">
        <f>IF($BI80="","",$BI80+IF($AB80="Y",4,FaceW)+IF(N($P80)&gt;0,$P80+FaceW,0)+IF(OR($S80="4F",$S80="BL"),FaceW,0))</f>
        <v/>
      </c>
      <c r="BO80" s="101">
        <f>IF($BM80="","",$BM80+2*ROSide)</f>
        <v/>
      </c>
      <c r="BP80" s="101">
        <f>IF($BN80="","",$BN80+ROTop)</f>
        <v/>
      </c>
      <c r="BQ80" s="102">
        <f>IF(OR(N($BJ80)=0,$BH80=""),"",$BH80/$BJ80-ClearDeduct)</f>
        <v/>
      </c>
      <c r="BR80" s="99">
        <f>IF(N($CH80)=0,"",IF($CH80&gt;=180,"A · 3 HR",IF($CH80&gt;=90,"B · 1-1/2 HR",IF($CH80&gt;=60,"B · 1 HR",IF($CH80&gt;=45,"C · 3/4 HR","20 MIN")))))&amp;IF(AND(N($CH80)&gt;0,OR($I80="CORRIDOR",$I80="SMOKE BARRIER"))," · S","")</f>
        <v/>
      </c>
      <c r="BS80" s="99">
        <f>IF($CS80,"",IF($AV80&lt;&gt;"",$AV80,IF(OR($AC80="HGC",$AO80="HGC"),"CONT",IF(($BI80-HeadClr-Undercut)&lt;=60,2,IF(($BI80-HeadClr-Undercut)&lt;=90,3,IF(($BI80-HeadClr-Undercut)&lt;=120,4,5))))))</f>
        <v/>
      </c>
      <c r="BT80" s="99">
        <f>IF($CS80,"",IF($CT80,"CUSTOM (typed)",IF($CV80,$AT80&amp;" "&amp;$CU80&amp;CHAR(34)&amp;IF($CU80&lt;&gt;$BI80,IF(AND($BI80&lt;$CU80,$BI80-IF(N(VLOOKUP($AT80&amp;"|"&amp;$CU80,LocTable,7,FALSE))&gt;0,VLOOKUP($AT80&amp;"|"&amp;$CU80,LocTable,7,FALSE),VLOOKUP($AT80&amp;"|"&amp;$CU80,LocTable,6,FALSE))-$CR80-0.75&gt;=2.125)," cut down"," adj."),""),"ANSI/SDI A250.6")))</f>
        <v/>
      </c>
      <c r="BU80" s="103">
        <f>IF($CS80,"",IF($CT80,IF(N($AW80)&gt;0,N($AW80),""),IF(1&gt;$CQ80,"",IF($CQ80=1,$CW80,$CW80+($CX80-$CW80)*0/($CQ80-1)))))</f>
        <v/>
      </c>
      <c r="BV80" s="103">
        <f>IF($CS80,"",IF($CT80,IF(N($AX80)&gt;0,N($AX80),""),IF(2&gt;$CQ80,"",IF($CQ80=1,$CW80,$CW80+($CX80-$CW80)*1/($CQ80-1)))))</f>
        <v/>
      </c>
      <c r="BW80" s="103">
        <f>IF($CS80,"",IF($CT80,IF(N($AY80)&gt;0,N($AY80),""),IF(3&gt;$CQ80,"",IF($CQ80=1,$CW80,$CW80+($CX80-$CW80)*2/($CQ80-1)))))</f>
        <v/>
      </c>
      <c r="BX80" s="103">
        <f>IF($CS80,"",IF($CT80,IF(N($AZ80)&gt;0,N($AZ80),""),IF(4&gt;$CQ80,"",IF($CQ80=1,$CW80,$CW80+($CX80-$CW80)*3/($CQ80-1)))))</f>
        <v/>
      </c>
      <c r="BY80" s="103">
        <f>IF($CS80,"",IF($CT80,"",IF(5&gt;$CQ80,"",IF($CQ80=1,$CW80,$CW80+($CX80-$CW80)*4/($CQ80-1)))))</f>
        <v/>
      </c>
      <c r="BZ80" s="103">
        <f>IF(OR($CS80,$AP80="-",AND($AP80="",$AD80="")),"",IF(N($BA80)&gt;0,N($BA80),IF($CV80,IF(AND($BI80&lt;$CU80,$BI80-IF(N(VLOOKUP($AT80&amp;"|"&amp;$CU80,LocTable,7,FALSE))&gt;0,VLOOKUP($AT80&amp;"|"&amp;$CU80,LocTable,7,FALSE),VLOOKUP($AT80&amp;"|"&amp;$CU80,LocTable,6,FALSE))-$CR80-0.75&gt;=2.125),VLOOKUP($AT80&amp;"|"&amp;$CU80,LocTable,8,FALSE),VLOOKUP($AT80&amp;"|"&amp;$CU80,LocTable,8,FALSE)+($BI80-$CU80)),$BI80-LockAFF)))</f>
        <v/>
      </c>
      <c r="CA80" s="104">
        <f>IF($BZ80="","",$BI80-$BZ80)</f>
        <v/>
      </c>
      <c r="CB80" s="99">
        <f>IF(OR(NOT(AND($A80&lt;&gt;"",$C80&lt;&gt;"DOOR ONLY")),$BI80=""),"",IF(($BI80+IF(N($P80)&gt;0,$P80+FaceW,0))&lt;=90,3,IF(($BI80+IF(N($P80)&gt;0,$P80+FaceW,0))&lt;=114,4,5)))</f>
        <v/>
      </c>
      <c r="CC80" s="99">
        <f>IF($CB80="","",$CB80*(2+IF(N($Q80)&gt;0,IF($R80="LR",2,1),0)))</f>
        <v/>
      </c>
      <c r="CD80" s="99">
        <f>IF($CB80="","",(2+IF(N($Q80)&gt;0,IF($R80="LR",2,1),0)))</f>
        <v/>
      </c>
      <c r="CE80" s="99">
        <f>IF(N($BJ80)=0,"",IF(OR($AL80="",$AL80="FLUSH"),"FLUSH",IFERROR(LEFT($AL80,FIND("-",$AL80)-1),LEFT($AL80,2))))</f>
        <v/>
      </c>
      <c r="CF80" s="99">
        <f>IF($CE80="","",IFERROR(VALUE(MID($AL80,FIND("-",$AL80)+1,FIND(CHAR(34)&amp;"x",$AL80)-FIND("-",$AL80)-1)),0))</f>
        <v/>
      </c>
      <c r="CG80" s="99">
        <f>IF($CE80="","",IFERROR(VALUE(MID($AL80,FIND(CHAR(34)&amp;"x",$AL80)+2,FIND(CHAR(34),$AL80,FIND(CHAR(34)&amp;"x",$AL80)+2)-FIND(CHAR(34)&amp;"x",$AL80)-2)),0))</f>
        <v/>
      </c>
      <c r="CH80" s="105">
        <f>IF(OR($A80="",$H80="",$H80="NO LAB"),0,IFERROR(VALUE(LEFT($H80,FIND(" ",$H80)-1)),0))</f>
        <v/>
      </c>
      <c r="CI80" s="106">
        <f>IF(OR($A80="",$I80="",$I80="NON-RATED",N($J80)=0),"",IFERROR(VLOOKUP($I80&amp;"|"&amp;$J80,IBC,2,FALSE),"?"))</f>
        <v/>
      </c>
      <c r="CJ80" s="100">
        <f>IF(NOT(AND($A80&lt;&gt;"",$C80&lt;&gt;"DOOR ONLY")),"",TRIM(IFERROR(VLOOKUP($U80,CODES,2,FALSE),"")&amp;" "&amp;$BG80&amp;" "&amp;IFERROR(VLOOKUP($Z80,CODES,2,FALSE),"")&amp;" "&amp;IFERROR(VLOOKUP($X80,CODES,2,FALSE),"")&amp;" "&amp;IFERROR(VLOOKUP($S80,CODES,2,FALSE),"")&amp;IF(N($P80)&gt;0," w/TRANSOM "&amp;$P80&amp;CHAR(34),"")&amp;IF(N($Q80)&gt;0," w/SIDELITE "&amp;$Q80&amp;CHAR(34)&amp;" "&amp;IF($R80="","R",$R80),"")&amp;IF($Y80="","  |  "," | "&amp;IFERROR(VLOOKUP($Y80,CODES,2,FALSE),"")&amp;" | ")&amp;IFERROR(VLOOKUP($AC80,CODES,2,FALSE),"")&amp;" "&amp;IFERROR(VLOOKUP($AD80,CODES,2,FALSE),"")&amp;IF(OR($AE80="",$AE80="-"),""," "&amp;$AE80)&amp;IF(OR($AF80="",$AF80="-"),""," "&amp;$AF80)&amp;IF($AB80="Y"," 4"&amp;CHAR(34)&amp;" HEAD","")&amp;" "&amp;IFERROR(VLOOKUP($H80,CODES,2,FALSE),"")&amp;IF($CT80," | LOC "&amp;$CY80,"")))</f>
        <v/>
      </c>
      <c r="CK80" s="100">
        <f>IF(NOT(AND($A80&lt;&gt;"",N($BJ80)&gt;0)),"",TRIM(IFERROR(VLOOKUP($AH80,CODES,2,FALSE),"")&amp;IF($AI80=""," "," "&amp;$AI80&amp;"GA ")&amp;$BG80&amp;" "&amp;IF($AN80="",IFERROR(VLOOKUP($Z80,CODES,2,FALSE),""),IFERROR(VLOOKUP($AN80,CODES,2,FALSE),""))&amp;IF($BJ80=2," PAIR","")&amp;" DOOR | "&amp;IF($AL80="","?",$AL80)&amp;" | "&amp;IF($AO80="",IFERROR(VLOOKUP($AC80,CODES,2,FALSE),""),IFERROR(VLOOKUP($AO80,CODES,2,FALSE),""))&amp;" "&amp;IFERROR(VLOOKUP($AP80,CODES,2,FALSE),"")&amp;IF(OR($AQ80="",$AQ80="-"),""," SEAM "&amp;$AQ80)&amp;IF($AR80="Y"," ASTRAGAL","")&amp;IF($AJ80=""," "," "&amp;$AJ80)&amp;IF($AK80=""," "," "&amp;$AK80)&amp;IF(OR($AT80="",$AT80="ANSI/SDI",$AT80="CUSTOM LOC"),""," "&amp;$AT80)&amp;IF($AM80=""," "," SERIES "&amp;$AM80)&amp;" "&amp;IFERROR(VLOOKUP($H80,CODES,2,FALSE),"")&amp;IF($CT80," | LOC "&amp;$CZ80,"")))</f>
        <v/>
      </c>
      <c r="CL80" s="99">
        <f>IF(CP80="","",IF(COUNTIF($CP$6:CP80,CP80)=1,MAX($CL$5:CL79)+1,INDEX($CL$5:CL79,MATCH(CP80,$CP$5:CP79,0))))</f>
        <v/>
      </c>
      <c r="CM80" s="99">
        <f>IF(NOT(AND($A80&lt;&gt;"",$C80&lt;&gt;"DOOR ONLY")),"",MAX($CM$5:CM79)+1)</f>
        <v/>
      </c>
      <c r="CN80" s="99">
        <f>IF(NOT(AND($A80&lt;&gt;"",N($BJ80)&gt;0)),"",MAX($CN$5:CN79)+1)</f>
        <v/>
      </c>
      <c r="CO80" s="99">
        <f>IF($A80="","",MAX($CO$5:CO79)+1)</f>
        <v/>
      </c>
      <c r="CP80" s="99">
        <f>IF(OR($A80="",$BH80="",$BI80=""),"",$BG80&amp;"|"&amp;$O80&amp;"|"&amp;$AL80&amp;"|"&amp;$S80&amp;"|"&amp;$P80&amp;"|"&amp;$Q80&amp;$R80&amp;"|"&amp;$C80&amp;"|"&amp;$AB80)</f>
        <v/>
      </c>
      <c r="CQ80" s="99">
        <f>N($BS80)</f>
        <v/>
      </c>
      <c r="CR80" s="99">
        <f>IF(N($AU80)&gt;0,N($AU80),4.5)</f>
        <v/>
      </c>
      <c r="CS80" s="99">
        <f>OR($A80="",$BI80="",$S80="BL",AND($C80="FRAME ONLY",OR($AC80="",$AC80="BLK")))</f>
        <v/>
      </c>
      <c r="CT80" s="99">
        <f>AND(NOT($CS80),OR($AT80="CUSTOM LOC",N($AW80)+N($AX80)+N($AY80)+N($AZ80)+N($BA80)&gt;0))</f>
        <v/>
      </c>
      <c r="CU80" s="99">
        <f>IF($BI80="","",IF($BI80&lt;=80,80,IF($BI80&lt;=84,84,96)))</f>
        <v/>
      </c>
      <c r="CV80" s="99">
        <f>ISNUMBER(MATCH($AT80&amp;"|80",LocKeys,0))</f>
        <v/>
      </c>
      <c r="CW80" s="101">
        <f>IF($CS80,"",IF($CV80,VLOOKUP($AT80&amp;"|"&amp;$CU80,LocTable,4,FALSE),5))</f>
        <v/>
      </c>
      <c r="CX80" s="101">
        <f>IF($CS80,"",IF($CV80,IF(OR($BI80=$CU80,AND($BI80&lt;$CU80,$BI80-IF(N(VLOOKUP($AT80&amp;"|"&amp;$CU80,LocTable,7,FALSE))&gt;0,VLOOKUP($AT80&amp;"|"&amp;$CU80,LocTable,7,FALSE),VLOOKUP($AT80&amp;"|"&amp;$CU80,LocTable,6,FALSE))-$CR80-0.75&gt;=2.125)),IF(N(VLOOKUP($AT80&amp;"|"&amp;$CU80,LocTable,7,FALSE))&gt;0,VLOOKUP($AT80&amp;"|"&amp;$CU80,LocTable,7,FALSE),VLOOKUP($AT80&amp;"|"&amp;$CU80,LocTable,6,FALSE)),$BI80-($CU80-IF(N(VLOOKUP($AT80&amp;"|"&amp;$CU80,LocTable,7,FALSE))&gt;0,VLOOKUP($AT80&amp;"|"&amp;$CU80,LocTable,7,FALSE),VLOOKUP($AT80&amp;"|"&amp;$CU80,LocTable,6,FALSE)))),$BI80-10-$CR80))</f>
        <v/>
      </c>
      <c r="CY80" s="100">
        <f>IF($CS80,"",TRIM(IF(ISNUMBER($BU80),"A "&amp;TRIM(TEXT($BU80,"# ?/??"))&amp;CHAR(34)&amp;"  ","")&amp;IF(ISNUMBER($BV80),"B "&amp;TRIM(TEXT($BV80,"# ?/??"))&amp;CHAR(34)&amp;"  ","")&amp;IF(ISNUMBER($BW80),"C "&amp;TRIM(TEXT($BW80,"# ?/??"))&amp;CHAR(34)&amp;"  ","")&amp;IF(ISNUMBER($BX80),"D "&amp;TRIM(TEXT($BX80,"# ?/??"))&amp;CHAR(34)&amp;"  ","")&amp;IF(ISNUMBER($BY80),"F "&amp;TRIM(TEXT($BY80,"# ?/??"))&amp;CHAR(34)&amp;"  ","")&amp;IF(ISNUMBER($BZ80),"E "&amp;TRIM(TEXT($BZ80,"# ?/??"))&amp;CHAR(34)&amp;"  ","")))</f>
        <v/>
      </c>
      <c r="CZ80" s="100">
        <f>IF(OR($CS80,N($BJ80)=0),"",TRIM(IF(ISNUMBER($BU80),"A "&amp;TRIM(TEXT($BU80-HeadClr,"# ?/??"))&amp;CHAR(34)&amp;"  ","")&amp;IF(ISNUMBER($BV80),"B "&amp;TRIM(TEXT($BV80-HeadClr,"# ?/??"))&amp;CHAR(34)&amp;"  ","")&amp;IF(ISNUMBER($BW80),"C "&amp;TRIM(TEXT($BW80-HeadClr,"# ?/??"))&amp;CHAR(34)&amp;"  ","")&amp;IF(ISNUMBER($BX80),"D "&amp;TRIM(TEXT($BX80-HeadClr,"# ?/??"))&amp;CHAR(34)&amp;"  ","")&amp;IF(ISNUMBER($BY80),"F "&amp;TRIM(TEXT($BY80-HeadClr,"# ?/??"))&amp;CHAR(34)&amp;"  ","")&amp;IF(ISNUMBER($BZ80),"E "&amp;TRIM(TEXT($BZ80-HeadClr,"# ?/??"))&amp;CHAR(34)&amp;"  ","")))</f>
        <v/>
      </c>
      <c r="DA80" s="99">
        <f>IF($A80="","",IF($AN80="",IFERROR(VLOOKUP($Z80,CODES,2,FALSE),""),IFERROR(VLOOKUP($AN80,CODES,2,FALSE),"")))</f>
        <v/>
      </c>
      <c r="DB80" s="99">
        <f>IF($A80="","",IF($O80="Y","PR",IF(OR($Z80="L",$Z80="RR",LEFT($Z80,2)="L-",LEFT($Z80,3)="RR-"),"LH","RH")))</f>
        <v/>
      </c>
      <c r="DC80" s="99">
        <f>IF($A80="","","S.HM"&amp;IF(OR($C80="DOOR ONLY",$X80&lt;&gt;"KD"),"MASONRY","DRYWALL")&amp;IF($C80="DOOR ONLY","",$U80)&amp;IF(AND($C80&lt;&gt;"FRAME ONLY",OR(LEFT($AH80,3)="OAK",LEFT($AH80,3)="BIR",LEFT($AH80,3)="MAP",$AH80="PC",$AH80="MC",$AH80="SCLC",$AH80="P-LAM")),"WD","HM")&amp;"1.75")</f>
        <v/>
      </c>
      <c r="DD80" s="99">
        <f>IF($CJ80="","",IF($O80="Y",$CJ80,SUBSTITUTE($CJ80,$BG80&amp;" "&amp;IFERROR(VLOOKUP($Z80,CODES,2,FALSE),"")&amp;" ",$BG80&amp;" ")))</f>
        <v/>
      </c>
      <c r="DE80" s="99">
        <f>IF($CK80="","",IF($O80="Y",$CK80,SUBSTITUTE($CK80,$BG80&amp;" "&amp;IF($AN80="",IFERROR(VLOOKUP($Z80,CODES,2,FALSE),""),IFERROR(VLOOKUP($AN80,CODES,2,FALSE),""))&amp;" ",$BG80&amp;" ")))</f>
        <v/>
      </c>
      <c r="DF80" s="99">
        <f>IF($CJ80="","",$DC80&amp;"|"&amp;$DD80&amp;"|"&amp;$DB80&amp;"|"&amp;$AT80&amp;"|"&amp;$V80&amp;"|"&amp;$Y80&amp;"|"&amp;$AB80)</f>
        <v/>
      </c>
      <c r="DG80" s="99">
        <f>IF(DF80="","",IF(COUNTIF($DF$6:DF80,DF80)=1,MAX($DG$5:DG79)+1,INDEX($DG$5:DG79,MATCH(DF80,$DF$5:DF79,0))))</f>
        <v/>
      </c>
      <c r="DH80" s="99">
        <f>IF($CK80="","",$DC80&amp;"|"&amp;$DE80&amp;"|"&amp;$AI80&amp;"|"&amp;$BK80&amp;"|"&amp;$BL80)</f>
        <v/>
      </c>
      <c r="DI80" s="99">
        <f>IF(DH80="","",IF(COUNTIF($DH$6:DH80,DH80)=1,MAX($DI$5:DI79)+1,INDEX($DI$5:DI79,MATCH(DH80,$DH$5:DH79,0))))</f>
        <v/>
      </c>
      <c r="DJ80" s="99">
        <f>IF($A80="","",IF($B80="","qty, ","")&amp;IF($C80="","scope, ","")&amp;IF(OR($K80="",$M80=""),"size, ","")&amp;IF(AND($A80&lt;&gt;"",$C80&lt;&gt;"DOOR ONLY"),IF($U80="","jamb depth, ","")&amp;IF($X80="","construction, ","")&amp;IF($Y80="","anchor, ","")&amp;IF($S80="","frame type, ",""),"")&amp;IF(AND(N($BJ80)&gt;0,$Z80=""),"hand, ","")&amp;IF(N($BJ80)&gt;0,IF($AH80="","door material, ","")&amp;IF($AL80="","face type, ","")&amp;IF($AP80="","lock prep, ","")&amp;IF(AND($AO80="",$AC80=""),"hinge prep, ",""),"")&amp;IF(AND($CH80&gt;0,$AH80="FRP"),"FRP cannot carry a label, ","")&amp;IF(AND($O80="Y",OR($Z80="L",$Z80="R",$Z80="LR",$Z80="RR")),"pair marked but hand is single, ","")&amp;IF(AND($O80&lt;&gt;"Y",OR($Z80="PR",AND(LEN($Z80)&gt;1,ISNUMBER(SEARCH("-",$Z80))))),"pair hand on a single door, ","")&amp;IF(AND(ISNUMBER($CI80),$CH80&lt;N($CI80)),"wall needs a "&amp;$CI80&amp;" min door, ","")&amp;IF(AND($CH80&gt;=180,AND(OR($CE80="FG",$CE80="HG",$CE80="FNV",$CE80="FV"),N($CF80)*N($CG80)&gt;100)),"180 min lite over 100 sq in, ","")&amp;IF(N($BK80)&gt;48,"leaf wider than 4'-0"&amp;CHAR(34)&amp;", ","")&amp;IF(AND($CT80,COUNT($AW80:$AZ80)=0,$CQ80&gt;0),"CUSTOM LOC with no locations typed, ",""))</f>
        <v/>
      </c>
      <c r="DK80" s="99">
        <f>IF($A80="","",IF(AND($CH80&gt;0,AND($A80&lt;&gt;"",$C80&lt;&gt;"DOOR ONLY"),$X80="KD",$E80="EXTERIOR"),"KD label on an exterior opening, ","")&amp;IF(AND($E80="EXTERIOR",OR(AND(AND($A80&lt;&gt;"",$C80&lt;&gt;"DOOR ONLY"),$W80="CR"),AND(N($BJ80)&gt;0,$AH80="CR"))),"exterior in CR steel (G9?), ","")&amp;IF(AND(ISNUMBER($BQ80),N($BQ80)&lt;32),"clear width ~"&amp;TEXT($BQ80,"0.0")&amp;CHAR(34)&amp;" under 32"&amp;CHAR(34)&amp;" (ADA), ","")&amp;IF(AND($CH80=90,AND(OR($CE80="FG",$CE80="HG",$CE80="FNV",$CE80="FV"),N($CF80)*N($CG80)&gt;100)),"90 min lite over 100 sq in (stair/exit), ","")&amp;IF(AND($CH80&gt;0,AND($A80&lt;&gt;"",$C80&lt;&gt;"DOOR ONLY"),OR($AF80="",$AF80="-")),"rated: closer reinf.?, ","")&amp;IF(OR($I80="CORRIDOR",$I80="SMOKE BARRIER"),"S label + smoke gasketing, ","")&amp;IF($CI80="?","wall type/hr not in IBC table, ","")&amp;IF(AND(N($BJ80)&gt;0,$BB80=""),"no hardware set, ","")&amp;IF(AND($BB80&lt;&gt;"",ISNA(MATCH($BB80&amp;"",HWSets,0))),"set "&amp;$BB80&amp;" not on HW Sets, ","")&amp;IF(N($BL80)&gt;96,"leaf over 8'-0"&amp;CHAR(34)&amp;" - check listing, ","")&amp;IF(AND($CT80,COUNT($AW80:$AZ80)&gt;0,COUNT($AW80:$AZ80)&lt;&gt;$CQ80),COUNT($AW80:$AZ80)&amp;" custom hinges typed, "&amp;$CQ80&amp;" expected, ","")&amp;IF(AND(ISNUMBER($CA80),OR(N($CA80)&lt;34,N($CA80)&gt;48)),"lock "&amp;TEXT($CA80,"0.0")&amp;CHAR(34)&amp;" AFF outside 34-48"&amp;CHAR(34)&amp;" (ADA), ","")&amp;IF(AND(ISNUMBER($AV80),ISNUMBER($BL80),N($AV80)&lt;IF(N($BL80)&lt;=60,2,IF(N($BL80)&lt;=90,3,IF(N($BL80)&lt;=120,4,5)))),"fewer hinges than standard, ",""))</f>
        <v/>
      </c>
    </row>
    <row r="81" ht="15" customHeight="1">
      <c r="A81" s="77" t="n"/>
      <c r="B81" s="78" t="n"/>
      <c r="C81" s="78" t="n"/>
      <c r="D81" s="78" t="n"/>
      <c r="E81" s="78" t="n"/>
      <c r="F81" s="78" t="n"/>
      <c r="G81" s="78" t="n"/>
      <c r="H81" s="78" t="n"/>
      <c r="I81" s="78" t="n"/>
      <c r="J81" s="78" t="n"/>
      <c r="K81" s="78" t="n"/>
      <c r="L81" s="78" t="n"/>
      <c r="M81" s="78" t="n"/>
      <c r="N81" s="78" t="n"/>
      <c r="O81" s="78" t="n"/>
      <c r="P81" s="78" t="n"/>
      <c r="Q81" s="78" t="n"/>
      <c r="R81" s="78" t="n"/>
      <c r="S81" s="79" t="n"/>
      <c r="T81" s="79" t="n"/>
      <c r="U81" s="79" t="n"/>
      <c r="V81" s="79" t="n"/>
      <c r="W81" s="79" t="n"/>
      <c r="X81" s="79" t="n"/>
      <c r="Y81" s="79" t="n"/>
      <c r="Z81" s="79" t="n"/>
      <c r="AA81" s="79" t="n"/>
      <c r="AB81" s="79" t="n"/>
      <c r="AC81" s="79" t="n"/>
      <c r="AD81" s="79" t="n"/>
      <c r="AE81" s="79" t="n"/>
      <c r="AF81" s="79" t="n"/>
      <c r="AG81" s="79" t="n"/>
      <c r="AH81" s="80" t="n"/>
      <c r="AI81" s="80" t="n"/>
      <c r="AJ81" s="80" t="n"/>
      <c r="AK81" s="80" t="n"/>
      <c r="AL81" s="80" t="n"/>
      <c r="AM81" s="80" t="n"/>
      <c r="AN81" s="80" t="n"/>
      <c r="AO81" s="80" t="n"/>
      <c r="AP81" s="80" t="n"/>
      <c r="AQ81" s="80" t="n"/>
      <c r="AR81" s="80" t="n"/>
      <c r="AS81" s="80" t="n"/>
      <c r="AT81" s="81" t="n"/>
      <c r="AU81" s="81" t="n"/>
      <c r="AV81" s="81" t="n"/>
      <c r="AW81" s="82" t="n"/>
      <c r="AX81" s="82" t="n"/>
      <c r="AY81" s="82" t="n"/>
      <c r="AZ81" s="82" t="n"/>
      <c r="BA81" s="82" t="n"/>
      <c r="BB81" s="83" t="n"/>
      <c r="BC81" s="83" t="n"/>
      <c r="BD81" s="84">
        <f>IF($A81="","",IF($DJ81&lt;&gt;"","FIX",IF($DK81&lt;&gt;"","CHECK","OK")))</f>
        <v/>
      </c>
      <c r="BE81" s="85">
        <f>IF($A81="","",IF($DJ81&lt;&gt;"","FIX: "&amp;LEFT($DJ81,LEN($DJ81)-2)&amp;IF($DK81&lt;&gt;"","  ·  ",""),"")&amp;IF($DK81&lt;&gt;"","CHECK: "&amp;LEFT($DK81,LEN($DK81)-2),""))</f>
        <v/>
      </c>
      <c r="BF81" s="84">
        <f>IF(OR($A81="",$K81=""),"",$K81&amp;"'-"&amp;N($L81)&amp;CHAR(34)&amp;" x "&amp;$M81&amp;"'-"&amp;N($N81)&amp;CHAR(34))</f>
        <v/>
      </c>
      <c r="BG81" s="84">
        <f>IF(OR($A81="",$K81=""),"",$K81&amp;N($L81)&amp;$M81&amp;N($N81))</f>
        <v/>
      </c>
      <c r="BH81" s="84">
        <f>IF(OR($A81="",$K81=""),"",$K81*12+N($L81))</f>
        <v/>
      </c>
      <c r="BI81" s="84">
        <f>IF(OR($A81="",$M81=""),"",$M81*12+N($N81))</f>
        <v/>
      </c>
      <c r="BJ81" s="84">
        <f>IF($A81="","",IF(OR($C81="FRAME ONLY",$S81="BL"),0,IF($O81="Y",2,1)))</f>
        <v/>
      </c>
      <c r="BK81" s="86">
        <f>IF(OR(N($BJ81)=0,$BH81=""),"",($BH81-2*EdgeClr-IF($BJ81=2,MeetClr,0))/$BJ81)</f>
        <v/>
      </c>
      <c r="BL81" s="86">
        <f>IF(OR(N($BJ81)=0,$BI81=""),"",$BI81-HeadClr-Undercut)</f>
        <v/>
      </c>
      <c r="BM81" s="86">
        <f>IF($BH81="","",$BH81+2*FaceW+IF(N($Q81)&gt;0,($Q81+FaceW)*IF($R81="LR",2,1),0))</f>
        <v/>
      </c>
      <c r="BN81" s="86">
        <f>IF($BI81="","",$BI81+IF($AB81="Y",4,FaceW)+IF(N($P81)&gt;0,$P81+FaceW,0)+IF(OR($S81="4F",$S81="BL"),FaceW,0))</f>
        <v/>
      </c>
      <c r="BO81" s="86">
        <f>IF($BM81="","",$BM81+2*ROSide)</f>
        <v/>
      </c>
      <c r="BP81" s="86">
        <f>IF($BN81="","",$BN81+ROTop)</f>
        <v/>
      </c>
      <c r="BQ81" s="87">
        <f>IF(OR(N($BJ81)=0,$BH81=""),"",$BH81/$BJ81-ClearDeduct)</f>
        <v/>
      </c>
      <c r="BR81" s="84">
        <f>IF(N($CH81)=0,"",IF($CH81&gt;=180,"A · 3 HR",IF($CH81&gt;=90,"B · 1-1/2 HR",IF($CH81&gt;=60,"B · 1 HR",IF($CH81&gt;=45,"C · 3/4 HR","20 MIN")))))&amp;IF(AND(N($CH81)&gt;0,OR($I81="CORRIDOR",$I81="SMOKE BARRIER"))," · S","")</f>
        <v/>
      </c>
      <c r="BS81" s="84">
        <f>IF($CS81,"",IF($AV81&lt;&gt;"",$AV81,IF(OR($AC81="HGC",$AO81="HGC"),"CONT",IF(($BI81-HeadClr-Undercut)&lt;=60,2,IF(($BI81-HeadClr-Undercut)&lt;=90,3,IF(($BI81-HeadClr-Undercut)&lt;=120,4,5))))))</f>
        <v/>
      </c>
      <c r="BT81" s="84">
        <f>IF($CS81,"",IF($CT81,"CUSTOM (typed)",IF($CV81,$AT81&amp;" "&amp;$CU81&amp;CHAR(34)&amp;IF($CU81&lt;&gt;$BI81,IF(AND($BI81&lt;$CU81,$BI81-IF(N(VLOOKUP($AT81&amp;"|"&amp;$CU81,LocTable,7,FALSE))&gt;0,VLOOKUP($AT81&amp;"|"&amp;$CU81,LocTable,7,FALSE),VLOOKUP($AT81&amp;"|"&amp;$CU81,LocTable,6,FALSE))-$CR81-0.75&gt;=2.125)," cut down"," adj."),""),"ANSI/SDI A250.6")))</f>
        <v/>
      </c>
      <c r="BU81" s="88">
        <f>IF($CS81,"",IF($CT81,IF(N($AW81)&gt;0,N($AW81),""),IF(1&gt;$CQ81,"",IF($CQ81=1,$CW81,$CW81+($CX81-$CW81)*0/($CQ81-1)))))</f>
        <v/>
      </c>
      <c r="BV81" s="88">
        <f>IF($CS81,"",IF($CT81,IF(N($AX81)&gt;0,N($AX81),""),IF(2&gt;$CQ81,"",IF($CQ81=1,$CW81,$CW81+($CX81-$CW81)*1/($CQ81-1)))))</f>
        <v/>
      </c>
      <c r="BW81" s="88">
        <f>IF($CS81,"",IF($CT81,IF(N($AY81)&gt;0,N($AY81),""),IF(3&gt;$CQ81,"",IF($CQ81=1,$CW81,$CW81+($CX81-$CW81)*2/($CQ81-1)))))</f>
        <v/>
      </c>
      <c r="BX81" s="88">
        <f>IF($CS81,"",IF($CT81,IF(N($AZ81)&gt;0,N($AZ81),""),IF(4&gt;$CQ81,"",IF($CQ81=1,$CW81,$CW81+($CX81-$CW81)*3/($CQ81-1)))))</f>
        <v/>
      </c>
      <c r="BY81" s="88">
        <f>IF($CS81,"",IF($CT81,"",IF(5&gt;$CQ81,"",IF($CQ81=1,$CW81,$CW81+($CX81-$CW81)*4/($CQ81-1)))))</f>
        <v/>
      </c>
      <c r="BZ81" s="88">
        <f>IF(OR($CS81,$AP81="-",AND($AP81="",$AD81="")),"",IF(N($BA81)&gt;0,N($BA81),IF($CV81,IF(AND($BI81&lt;$CU81,$BI81-IF(N(VLOOKUP($AT81&amp;"|"&amp;$CU81,LocTable,7,FALSE))&gt;0,VLOOKUP($AT81&amp;"|"&amp;$CU81,LocTable,7,FALSE),VLOOKUP($AT81&amp;"|"&amp;$CU81,LocTable,6,FALSE))-$CR81-0.75&gt;=2.125),VLOOKUP($AT81&amp;"|"&amp;$CU81,LocTable,8,FALSE),VLOOKUP($AT81&amp;"|"&amp;$CU81,LocTable,8,FALSE)+($BI81-$CU81)),$BI81-LockAFF)))</f>
        <v/>
      </c>
      <c r="CA81" s="89">
        <f>IF($BZ81="","",$BI81-$BZ81)</f>
        <v/>
      </c>
      <c r="CB81" s="84">
        <f>IF(OR(NOT(AND($A81&lt;&gt;"",$C81&lt;&gt;"DOOR ONLY")),$BI81=""),"",IF(($BI81+IF(N($P81)&gt;0,$P81+FaceW,0))&lt;=90,3,IF(($BI81+IF(N($P81)&gt;0,$P81+FaceW,0))&lt;=114,4,5)))</f>
        <v/>
      </c>
      <c r="CC81" s="84">
        <f>IF($CB81="","",$CB81*(2+IF(N($Q81)&gt;0,IF($R81="LR",2,1),0)))</f>
        <v/>
      </c>
      <c r="CD81" s="84">
        <f>IF($CB81="","",(2+IF(N($Q81)&gt;0,IF($R81="LR",2,1),0)))</f>
        <v/>
      </c>
      <c r="CE81" s="84">
        <f>IF(N($BJ81)=0,"",IF(OR($AL81="",$AL81="FLUSH"),"FLUSH",IFERROR(LEFT($AL81,FIND("-",$AL81)-1),LEFT($AL81,2))))</f>
        <v/>
      </c>
      <c r="CF81" s="84">
        <f>IF($CE81="","",IFERROR(VALUE(MID($AL81,FIND("-",$AL81)+1,FIND(CHAR(34)&amp;"x",$AL81)-FIND("-",$AL81)-1)),0))</f>
        <v/>
      </c>
      <c r="CG81" s="84">
        <f>IF($CE81="","",IFERROR(VALUE(MID($AL81,FIND(CHAR(34)&amp;"x",$AL81)+2,FIND(CHAR(34),$AL81,FIND(CHAR(34)&amp;"x",$AL81)+2)-FIND(CHAR(34)&amp;"x",$AL81)-2)),0))</f>
        <v/>
      </c>
      <c r="CH81" s="90">
        <f>IF(OR($A81="",$H81="",$H81="NO LAB"),0,IFERROR(VALUE(LEFT($H81,FIND(" ",$H81)-1)),0))</f>
        <v/>
      </c>
      <c r="CI81" s="91">
        <f>IF(OR($A81="",$I81="",$I81="NON-RATED",N($J81)=0),"",IFERROR(VLOOKUP($I81&amp;"|"&amp;$J81,IBC,2,FALSE),"?"))</f>
        <v/>
      </c>
      <c r="CJ81" s="85">
        <f>IF(NOT(AND($A81&lt;&gt;"",$C81&lt;&gt;"DOOR ONLY")),"",TRIM(IFERROR(VLOOKUP($U81,CODES,2,FALSE),"")&amp;" "&amp;$BG81&amp;" "&amp;IFERROR(VLOOKUP($Z81,CODES,2,FALSE),"")&amp;" "&amp;IFERROR(VLOOKUP($X81,CODES,2,FALSE),"")&amp;" "&amp;IFERROR(VLOOKUP($S81,CODES,2,FALSE),"")&amp;IF(N($P81)&gt;0," w/TRANSOM "&amp;$P81&amp;CHAR(34),"")&amp;IF(N($Q81)&gt;0," w/SIDELITE "&amp;$Q81&amp;CHAR(34)&amp;" "&amp;IF($R81="","R",$R81),"")&amp;IF($Y81="","  |  "," | "&amp;IFERROR(VLOOKUP($Y81,CODES,2,FALSE),"")&amp;" | ")&amp;IFERROR(VLOOKUP($AC81,CODES,2,FALSE),"")&amp;" "&amp;IFERROR(VLOOKUP($AD81,CODES,2,FALSE),"")&amp;IF(OR($AE81="",$AE81="-"),""," "&amp;$AE81)&amp;IF(OR($AF81="",$AF81="-"),""," "&amp;$AF81)&amp;IF($AB81="Y"," 4"&amp;CHAR(34)&amp;" HEAD","")&amp;" "&amp;IFERROR(VLOOKUP($H81,CODES,2,FALSE),"")&amp;IF($CT81," | LOC "&amp;$CY81,"")))</f>
        <v/>
      </c>
      <c r="CK81" s="85">
        <f>IF(NOT(AND($A81&lt;&gt;"",N($BJ81)&gt;0)),"",TRIM(IFERROR(VLOOKUP($AH81,CODES,2,FALSE),"")&amp;IF($AI81=""," "," "&amp;$AI81&amp;"GA ")&amp;$BG81&amp;" "&amp;IF($AN81="",IFERROR(VLOOKUP($Z81,CODES,2,FALSE),""),IFERROR(VLOOKUP($AN81,CODES,2,FALSE),""))&amp;IF($BJ81=2," PAIR","")&amp;" DOOR | "&amp;IF($AL81="","?",$AL81)&amp;" | "&amp;IF($AO81="",IFERROR(VLOOKUP($AC81,CODES,2,FALSE),""),IFERROR(VLOOKUP($AO81,CODES,2,FALSE),""))&amp;" "&amp;IFERROR(VLOOKUP($AP81,CODES,2,FALSE),"")&amp;IF(OR($AQ81="",$AQ81="-"),""," SEAM "&amp;$AQ81)&amp;IF($AR81="Y"," ASTRAGAL","")&amp;IF($AJ81=""," "," "&amp;$AJ81)&amp;IF($AK81=""," "," "&amp;$AK81)&amp;IF(OR($AT81="",$AT81="ANSI/SDI",$AT81="CUSTOM LOC"),""," "&amp;$AT81)&amp;IF($AM81=""," "," SERIES "&amp;$AM81)&amp;" "&amp;IFERROR(VLOOKUP($H81,CODES,2,FALSE),"")&amp;IF($CT81," | LOC "&amp;$CZ81,"")))</f>
        <v/>
      </c>
      <c r="CL81" s="84">
        <f>IF(CP81="","",IF(COUNTIF($CP$6:CP81,CP81)=1,MAX($CL$5:CL80)+1,INDEX($CL$5:CL80,MATCH(CP81,$CP$5:CP80,0))))</f>
        <v/>
      </c>
      <c r="CM81" s="84">
        <f>IF(NOT(AND($A81&lt;&gt;"",$C81&lt;&gt;"DOOR ONLY")),"",MAX($CM$5:CM80)+1)</f>
        <v/>
      </c>
      <c r="CN81" s="84">
        <f>IF(NOT(AND($A81&lt;&gt;"",N($BJ81)&gt;0)),"",MAX($CN$5:CN80)+1)</f>
        <v/>
      </c>
      <c r="CO81" s="84">
        <f>IF($A81="","",MAX($CO$5:CO80)+1)</f>
        <v/>
      </c>
      <c r="CP81" s="84">
        <f>IF(OR($A81="",$BH81="",$BI81=""),"",$BG81&amp;"|"&amp;$O81&amp;"|"&amp;$AL81&amp;"|"&amp;$S81&amp;"|"&amp;$P81&amp;"|"&amp;$Q81&amp;$R81&amp;"|"&amp;$C81&amp;"|"&amp;$AB81)</f>
        <v/>
      </c>
      <c r="CQ81" s="84">
        <f>N($BS81)</f>
        <v/>
      </c>
      <c r="CR81" s="84">
        <f>IF(N($AU81)&gt;0,N($AU81),4.5)</f>
        <v/>
      </c>
      <c r="CS81" s="84">
        <f>OR($A81="",$BI81="",$S81="BL",AND($C81="FRAME ONLY",OR($AC81="",$AC81="BLK")))</f>
        <v/>
      </c>
      <c r="CT81" s="84">
        <f>AND(NOT($CS81),OR($AT81="CUSTOM LOC",N($AW81)+N($AX81)+N($AY81)+N($AZ81)+N($BA81)&gt;0))</f>
        <v/>
      </c>
      <c r="CU81" s="84">
        <f>IF($BI81="","",IF($BI81&lt;=80,80,IF($BI81&lt;=84,84,96)))</f>
        <v/>
      </c>
      <c r="CV81" s="84">
        <f>ISNUMBER(MATCH($AT81&amp;"|80",LocKeys,0))</f>
        <v/>
      </c>
      <c r="CW81" s="86">
        <f>IF($CS81,"",IF($CV81,VLOOKUP($AT81&amp;"|"&amp;$CU81,LocTable,4,FALSE),5))</f>
        <v/>
      </c>
      <c r="CX81" s="86">
        <f>IF($CS81,"",IF($CV81,IF(OR($BI81=$CU81,AND($BI81&lt;$CU81,$BI81-IF(N(VLOOKUP($AT81&amp;"|"&amp;$CU81,LocTable,7,FALSE))&gt;0,VLOOKUP($AT81&amp;"|"&amp;$CU81,LocTable,7,FALSE),VLOOKUP($AT81&amp;"|"&amp;$CU81,LocTable,6,FALSE))-$CR81-0.75&gt;=2.125)),IF(N(VLOOKUP($AT81&amp;"|"&amp;$CU81,LocTable,7,FALSE))&gt;0,VLOOKUP($AT81&amp;"|"&amp;$CU81,LocTable,7,FALSE),VLOOKUP($AT81&amp;"|"&amp;$CU81,LocTable,6,FALSE)),$BI81-($CU81-IF(N(VLOOKUP($AT81&amp;"|"&amp;$CU81,LocTable,7,FALSE))&gt;0,VLOOKUP($AT81&amp;"|"&amp;$CU81,LocTable,7,FALSE),VLOOKUP($AT81&amp;"|"&amp;$CU81,LocTable,6,FALSE)))),$BI81-10-$CR81))</f>
        <v/>
      </c>
      <c r="CY81" s="85">
        <f>IF($CS81,"",TRIM(IF(ISNUMBER($BU81),"A "&amp;TRIM(TEXT($BU81,"# ?/??"))&amp;CHAR(34)&amp;"  ","")&amp;IF(ISNUMBER($BV81),"B "&amp;TRIM(TEXT($BV81,"# ?/??"))&amp;CHAR(34)&amp;"  ","")&amp;IF(ISNUMBER($BW81),"C "&amp;TRIM(TEXT($BW81,"# ?/??"))&amp;CHAR(34)&amp;"  ","")&amp;IF(ISNUMBER($BX81),"D "&amp;TRIM(TEXT($BX81,"# ?/??"))&amp;CHAR(34)&amp;"  ","")&amp;IF(ISNUMBER($BY81),"F "&amp;TRIM(TEXT($BY81,"# ?/??"))&amp;CHAR(34)&amp;"  ","")&amp;IF(ISNUMBER($BZ81),"E "&amp;TRIM(TEXT($BZ81,"# ?/??"))&amp;CHAR(34)&amp;"  ","")))</f>
        <v/>
      </c>
      <c r="CZ81" s="85">
        <f>IF(OR($CS81,N($BJ81)=0),"",TRIM(IF(ISNUMBER($BU81),"A "&amp;TRIM(TEXT($BU81-HeadClr,"# ?/??"))&amp;CHAR(34)&amp;"  ","")&amp;IF(ISNUMBER($BV81),"B "&amp;TRIM(TEXT($BV81-HeadClr,"# ?/??"))&amp;CHAR(34)&amp;"  ","")&amp;IF(ISNUMBER($BW81),"C "&amp;TRIM(TEXT($BW81-HeadClr,"# ?/??"))&amp;CHAR(34)&amp;"  ","")&amp;IF(ISNUMBER($BX81),"D "&amp;TRIM(TEXT($BX81-HeadClr,"# ?/??"))&amp;CHAR(34)&amp;"  ","")&amp;IF(ISNUMBER($BY81),"F "&amp;TRIM(TEXT($BY81-HeadClr,"# ?/??"))&amp;CHAR(34)&amp;"  ","")&amp;IF(ISNUMBER($BZ81),"E "&amp;TRIM(TEXT($BZ81-HeadClr,"# ?/??"))&amp;CHAR(34)&amp;"  ","")))</f>
        <v/>
      </c>
      <c r="DA81" s="84">
        <f>IF($A81="","",IF($AN81="",IFERROR(VLOOKUP($Z81,CODES,2,FALSE),""),IFERROR(VLOOKUP($AN81,CODES,2,FALSE),"")))</f>
        <v/>
      </c>
      <c r="DB81" s="84">
        <f>IF($A81="","",IF($O81="Y","PR",IF(OR($Z81="L",$Z81="RR",LEFT($Z81,2)="L-",LEFT($Z81,3)="RR-"),"LH","RH")))</f>
        <v/>
      </c>
      <c r="DC81" s="84">
        <f>IF($A81="","","S.HM"&amp;IF(OR($C81="DOOR ONLY",$X81&lt;&gt;"KD"),"MASONRY","DRYWALL")&amp;IF($C81="DOOR ONLY","",$U81)&amp;IF(AND($C81&lt;&gt;"FRAME ONLY",OR(LEFT($AH81,3)="OAK",LEFT($AH81,3)="BIR",LEFT($AH81,3)="MAP",$AH81="PC",$AH81="MC",$AH81="SCLC",$AH81="P-LAM")),"WD","HM")&amp;"1.75")</f>
        <v/>
      </c>
      <c r="DD81" s="84">
        <f>IF($CJ81="","",IF($O81="Y",$CJ81,SUBSTITUTE($CJ81,$BG81&amp;" "&amp;IFERROR(VLOOKUP($Z81,CODES,2,FALSE),"")&amp;" ",$BG81&amp;" ")))</f>
        <v/>
      </c>
      <c r="DE81" s="84">
        <f>IF($CK81="","",IF($O81="Y",$CK81,SUBSTITUTE($CK81,$BG81&amp;" "&amp;IF($AN81="",IFERROR(VLOOKUP($Z81,CODES,2,FALSE),""),IFERROR(VLOOKUP($AN81,CODES,2,FALSE),""))&amp;" ",$BG81&amp;" ")))</f>
        <v/>
      </c>
      <c r="DF81" s="84">
        <f>IF($CJ81="","",$DC81&amp;"|"&amp;$DD81&amp;"|"&amp;$DB81&amp;"|"&amp;$AT81&amp;"|"&amp;$V81&amp;"|"&amp;$Y81&amp;"|"&amp;$AB81)</f>
        <v/>
      </c>
      <c r="DG81" s="84">
        <f>IF(DF81="","",IF(COUNTIF($DF$6:DF81,DF81)=1,MAX($DG$5:DG80)+1,INDEX($DG$5:DG80,MATCH(DF81,$DF$5:DF80,0))))</f>
        <v/>
      </c>
      <c r="DH81" s="84">
        <f>IF($CK81="","",$DC81&amp;"|"&amp;$DE81&amp;"|"&amp;$AI81&amp;"|"&amp;$BK81&amp;"|"&amp;$BL81)</f>
        <v/>
      </c>
      <c r="DI81" s="84">
        <f>IF(DH81="","",IF(COUNTIF($DH$6:DH81,DH81)=1,MAX($DI$5:DI80)+1,INDEX($DI$5:DI80,MATCH(DH81,$DH$5:DH80,0))))</f>
        <v/>
      </c>
      <c r="DJ81" s="84">
        <f>IF($A81="","",IF($B81="","qty, ","")&amp;IF($C81="","scope, ","")&amp;IF(OR($K81="",$M81=""),"size, ","")&amp;IF(AND($A81&lt;&gt;"",$C81&lt;&gt;"DOOR ONLY"),IF($U81="","jamb depth, ","")&amp;IF($X81="","construction, ","")&amp;IF($Y81="","anchor, ","")&amp;IF($S81="","frame type, ",""),"")&amp;IF(AND(N($BJ81)&gt;0,$Z81=""),"hand, ","")&amp;IF(N($BJ81)&gt;0,IF($AH81="","door material, ","")&amp;IF($AL81="","face type, ","")&amp;IF($AP81="","lock prep, ","")&amp;IF(AND($AO81="",$AC81=""),"hinge prep, ",""),"")&amp;IF(AND($CH81&gt;0,$AH81="FRP"),"FRP cannot carry a label, ","")&amp;IF(AND($O81="Y",OR($Z81="L",$Z81="R",$Z81="LR",$Z81="RR")),"pair marked but hand is single, ","")&amp;IF(AND($O81&lt;&gt;"Y",OR($Z81="PR",AND(LEN($Z81)&gt;1,ISNUMBER(SEARCH("-",$Z81))))),"pair hand on a single door, ","")&amp;IF(AND(ISNUMBER($CI81),$CH81&lt;N($CI81)),"wall needs a "&amp;$CI81&amp;" min door, ","")&amp;IF(AND($CH81&gt;=180,AND(OR($CE81="FG",$CE81="HG",$CE81="FNV",$CE81="FV"),N($CF81)*N($CG81)&gt;100)),"180 min lite over 100 sq in, ","")&amp;IF(N($BK81)&gt;48,"leaf wider than 4'-0"&amp;CHAR(34)&amp;", ","")&amp;IF(AND($CT81,COUNT($AW81:$AZ81)=0,$CQ81&gt;0),"CUSTOM LOC with no locations typed, ",""))</f>
        <v/>
      </c>
      <c r="DK81" s="84">
        <f>IF($A81="","",IF(AND($CH81&gt;0,AND($A81&lt;&gt;"",$C81&lt;&gt;"DOOR ONLY"),$X81="KD",$E81="EXTERIOR"),"KD label on an exterior opening, ","")&amp;IF(AND($E81="EXTERIOR",OR(AND(AND($A81&lt;&gt;"",$C81&lt;&gt;"DOOR ONLY"),$W81="CR"),AND(N($BJ81)&gt;0,$AH81="CR"))),"exterior in CR steel (G9?), ","")&amp;IF(AND(ISNUMBER($BQ81),N($BQ81)&lt;32),"clear width ~"&amp;TEXT($BQ81,"0.0")&amp;CHAR(34)&amp;" under 32"&amp;CHAR(34)&amp;" (ADA), ","")&amp;IF(AND($CH81=90,AND(OR($CE81="FG",$CE81="HG",$CE81="FNV",$CE81="FV"),N($CF81)*N($CG81)&gt;100)),"90 min lite over 100 sq in (stair/exit), ","")&amp;IF(AND($CH81&gt;0,AND($A81&lt;&gt;"",$C81&lt;&gt;"DOOR ONLY"),OR($AF81="",$AF81="-")),"rated: closer reinf.?, ","")&amp;IF(OR($I81="CORRIDOR",$I81="SMOKE BARRIER"),"S label + smoke gasketing, ","")&amp;IF($CI81="?","wall type/hr not in IBC table, ","")&amp;IF(AND(N($BJ81)&gt;0,$BB81=""),"no hardware set, ","")&amp;IF(AND($BB81&lt;&gt;"",ISNA(MATCH($BB81&amp;"",HWSets,0))),"set "&amp;$BB81&amp;" not on HW Sets, ","")&amp;IF(N($BL81)&gt;96,"leaf over 8'-0"&amp;CHAR(34)&amp;" - check listing, ","")&amp;IF(AND($CT81,COUNT($AW81:$AZ81)&gt;0,COUNT($AW81:$AZ81)&lt;&gt;$CQ81),COUNT($AW81:$AZ81)&amp;" custom hinges typed, "&amp;$CQ81&amp;" expected, ","")&amp;IF(AND(ISNUMBER($CA81),OR(N($CA81)&lt;34,N($CA81)&gt;48)),"lock "&amp;TEXT($CA81,"0.0")&amp;CHAR(34)&amp;" AFF outside 34-48"&amp;CHAR(34)&amp;" (ADA), ","")&amp;IF(AND(ISNUMBER($AV81),ISNUMBER($BL81),N($AV81)&lt;IF(N($BL81)&lt;=60,2,IF(N($BL81)&lt;=90,3,IF(N($BL81)&lt;=120,4,5)))),"fewer hinges than standard, ",""))</f>
        <v/>
      </c>
    </row>
    <row r="82" ht="15" customHeight="1">
      <c r="A82" s="77" t="n"/>
      <c r="B82" s="78" t="n"/>
      <c r="C82" s="78" t="n"/>
      <c r="D82" s="78" t="n"/>
      <c r="E82" s="78" t="n"/>
      <c r="F82" s="78" t="n"/>
      <c r="G82" s="78" t="n"/>
      <c r="H82" s="78" t="n"/>
      <c r="I82" s="78" t="n"/>
      <c r="J82" s="78" t="n"/>
      <c r="K82" s="78" t="n"/>
      <c r="L82" s="78" t="n"/>
      <c r="M82" s="78" t="n"/>
      <c r="N82" s="78" t="n"/>
      <c r="O82" s="78" t="n"/>
      <c r="P82" s="78" t="n"/>
      <c r="Q82" s="78" t="n"/>
      <c r="R82" s="78" t="n"/>
      <c r="S82" s="79" t="n"/>
      <c r="T82" s="79" t="n"/>
      <c r="U82" s="79" t="n"/>
      <c r="V82" s="79" t="n"/>
      <c r="W82" s="79" t="n"/>
      <c r="X82" s="79" t="n"/>
      <c r="Y82" s="79" t="n"/>
      <c r="Z82" s="79" t="n"/>
      <c r="AA82" s="79" t="n"/>
      <c r="AB82" s="79" t="n"/>
      <c r="AC82" s="79" t="n"/>
      <c r="AD82" s="79" t="n"/>
      <c r="AE82" s="79" t="n"/>
      <c r="AF82" s="79" t="n"/>
      <c r="AG82" s="79" t="n"/>
      <c r="AH82" s="80" t="n"/>
      <c r="AI82" s="80" t="n"/>
      <c r="AJ82" s="80" t="n"/>
      <c r="AK82" s="80" t="n"/>
      <c r="AL82" s="80" t="n"/>
      <c r="AM82" s="80" t="n"/>
      <c r="AN82" s="80" t="n"/>
      <c r="AO82" s="80" t="n"/>
      <c r="AP82" s="80" t="n"/>
      <c r="AQ82" s="80" t="n"/>
      <c r="AR82" s="80" t="n"/>
      <c r="AS82" s="80" t="n"/>
      <c r="AT82" s="81" t="n"/>
      <c r="AU82" s="81" t="n"/>
      <c r="AV82" s="81" t="n"/>
      <c r="AW82" s="82" t="n"/>
      <c r="AX82" s="82" t="n"/>
      <c r="AY82" s="82" t="n"/>
      <c r="AZ82" s="82" t="n"/>
      <c r="BA82" s="82" t="n"/>
      <c r="BB82" s="83" t="n"/>
      <c r="BC82" s="83" t="n"/>
      <c r="BD82" s="84">
        <f>IF($A82="","",IF($DJ82&lt;&gt;"","FIX",IF($DK82&lt;&gt;"","CHECK","OK")))</f>
        <v/>
      </c>
      <c r="BE82" s="85">
        <f>IF($A82="","",IF($DJ82&lt;&gt;"","FIX: "&amp;LEFT($DJ82,LEN($DJ82)-2)&amp;IF($DK82&lt;&gt;"","  ·  ",""),"")&amp;IF($DK82&lt;&gt;"","CHECK: "&amp;LEFT($DK82,LEN($DK82)-2),""))</f>
        <v/>
      </c>
      <c r="BF82" s="84">
        <f>IF(OR($A82="",$K82=""),"",$K82&amp;"'-"&amp;N($L82)&amp;CHAR(34)&amp;" x "&amp;$M82&amp;"'-"&amp;N($N82)&amp;CHAR(34))</f>
        <v/>
      </c>
      <c r="BG82" s="84">
        <f>IF(OR($A82="",$K82=""),"",$K82&amp;N($L82)&amp;$M82&amp;N($N82))</f>
        <v/>
      </c>
      <c r="BH82" s="84">
        <f>IF(OR($A82="",$K82=""),"",$K82*12+N($L82))</f>
        <v/>
      </c>
      <c r="BI82" s="84">
        <f>IF(OR($A82="",$M82=""),"",$M82*12+N($N82))</f>
        <v/>
      </c>
      <c r="BJ82" s="84">
        <f>IF($A82="","",IF(OR($C82="FRAME ONLY",$S82="BL"),0,IF($O82="Y",2,1)))</f>
        <v/>
      </c>
      <c r="BK82" s="86">
        <f>IF(OR(N($BJ82)=0,$BH82=""),"",($BH82-2*EdgeClr-IF($BJ82=2,MeetClr,0))/$BJ82)</f>
        <v/>
      </c>
      <c r="BL82" s="86">
        <f>IF(OR(N($BJ82)=0,$BI82=""),"",$BI82-HeadClr-Undercut)</f>
        <v/>
      </c>
      <c r="BM82" s="86">
        <f>IF($BH82="","",$BH82+2*FaceW+IF(N($Q82)&gt;0,($Q82+FaceW)*IF($R82="LR",2,1),0))</f>
        <v/>
      </c>
      <c r="BN82" s="86">
        <f>IF($BI82="","",$BI82+IF($AB82="Y",4,FaceW)+IF(N($P82)&gt;0,$P82+FaceW,0)+IF(OR($S82="4F",$S82="BL"),FaceW,0))</f>
        <v/>
      </c>
      <c r="BO82" s="86">
        <f>IF($BM82="","",$BM82+2*ROSide)</f>
        <v/>
      </c>
      <c r="BP82" s="86">
        <f>IF($BN82="","",$BN82+ROTop)</f>
        <v/>
      </c>
      <c r="BQ82" s="87">
        <f>IF(OR(N($BJ82)=0,$BH82=""),"",$BH82/$BJ82-ClearDeduct)</f>
        <v/>
      </c>
      <c r="BR82" s="84">
        <f>IF(N($CH82)=0,"",IF($CH82&gt;=180,"A · 3 HR",IF($CH82&gt;=90,"B · 1-1/2 HR",IF($CH82&gt;=60,"B · 1 HR",IF($CH82&gt;=45,"C · 3/4 HR","20 MIN")))))&amp;IF(AND(N($CH82)&gt;0,OR($I82="CORRIDOR",$I82="SMOKE BARRIER"))," · S","")</f>
        <v/>
      </c>
      <c r="BS82" s="84">
        <f>IF($CS82,"",IF($AV82&lt;&gt;"",$AV82,IF(OR($AC82="HGC",$AO82="HGC"),"CONT",IF(($BI82-HeadClr-Undercut)&lt;=60,2,IF(($BI82-HeadClr-Undercut)&lt;=90,3,IF(($BI82-HeadClr-Undercut)&lt;=120,4,5))))))</f>
        <v/>
      </c>
      <c r="BT82" s="84">
        <f>IF($CS82,"",IF($CT82,"CUSTOM (typed)",IF($CV82,$AT82&amp;" "&amp;$CU82&amp;CHAR(34)&amp;IF($CU82&lt;&gt;$BI82,IF(AND($BI82&lt;$CU82,$BI82-IF(N(VLOOKUP($AT82&amp;"|"&amp;$CU82,LocTable,7,FALSE))&gt;0,VLOOKUP($AT82&amp;"|"&amp;$CU82,LocTable,7,FALSE),VLOOKUP($AT82&amp;"|"&amp;$CU82,LocTable,6,FALSE))-$CR82-0.75&gt;=2.125)," cut down"," adj."),""),"ANSI/SDI A250.6")))</f>
        <v/>
      </c>
      <c r="BU82" s="88">
        <f>IF($CS82,"",IF($CT82,IF(N($AW82)&gt;0,N($AW82),""),IF(1&gt;$CQ82,"",IF($CQ82=1,$CW82,$CW82+($CX82-$CW82)*0/($CQ82-1)))))</f>
        <v/>
      </c>
      <c r="BV82" s="88">
        <f>IF($CS82,"",IF($CT82,IF(N($AX82)&gt;0,N($AX82),""),IF(2&gt;$CQ82,"",IF($CQ82=1,$CW82,$CW82+($CX82-$CW82)*1/($CQ82-1)))))</f>
        <v/>
      </c>
      <c r="BW82" s="88">
        <f>IF($CS82,"",IF($CT82,IF(N($AY82)&gt;0,N($AY82),""),IF(3&gt;$CQ82,"",IF($CQ82=1,$CW82,$CW82+($CX82-$CW82)*2/($CQ82-1)))))</f>
        <v/>
      </c>
      <c r="BX82" s="88">
        <f>IF($CS82,"",IF($CT82,IF(N($AZ82)&gt;0,N($AZ82),""),IF(4&gt;$CQ82,"",IF($CQ82=1,$CW82,$CW82+($CX82-$CW82)*3/($CQ82-1)))))</f>
        <v/>
      </c>
      <c r="BY82" s="88">
        <f>IF($CS82,"",IF($CT82,"",IF(5&gt;$CQ82,"",IF($CQ82=1,$CW82,$CW82+($CX82-$CW82)*4/($CQ82-1)))))</f>
        <v/>
      </c>
      <c r="BZ82" s="88">
        <f>IF(OR($CS82,$AP82="-",AND($AP82="",$AD82="")),"",IF(N($BA82)&gt;0,N($BA82),IF($CV82,IF(AND($BI82&lt;$CU82,$BI82-IF(N(VLOOKUP($AT82&amp;"|"&amp;$CU82,LocTable,7,FALSE))&gt;0,VLOOKUP($AT82&amp;"|"&amp;$CU82,LocTable,7,FALSE),VLOOKUP($AT82&amp;"|"&amp;$CU82,LocTable,6,FALSE))-$CR82-0.75&gt;=2.125),VLOOKUP($AT82&amp;"|"&amp;$CU82,LocTable,8,FALSE),VLOOKUP($AT82&amp;"|"&amp;$CU82,LocTable,8,FALSE)+($BI82-$CU82)),$BI82-LockAFF)))</f>
        <v/>
      </c>
      <c r="CA82" s="89">
        <f>IF($BZ82="","",$BI82-$BZ82)</f>
        <v/>
      </c>
      <c r="CB82" s="84">
        <f>IF(OR(NOT(AND($A82&lt;&gt;"",$C82&lt;&gt;"DOOR ONLY")),$BI82=""),"",IF(($BI82+IF(N($P82)&gt;0,$P82+FaceW,0))&lt;=90,3,IF(($BI82+IF(N($P82)&gt;0,$P82+FaceW,0))&lt;=114,4,5)))</f>
        <v/>
      </c>
      <c r="CC82" s="84">
        <f>IF($CB82="","",$CB82*(2+IF(N($Q82)&gt;0,IF($R82="LR",2,1),0)))</f>
        <v/>
      </c>
      <c r="CD82" s="84">
        <f>IF($CB82="","",(2+IF(N($Q82)&gt;0,IF($R82="LR",2,1),0)))</f>
        <v/>
      </c>
      <c r="CE82" s="84">
        <f>IF(N($BJ82)=0,"",IF(OR($AL82="",$AL82="FLUSH"),"FLUSH",IFERROR(LEFT($AL82,FIND("-",$AL82)-1),LEFT($AL82,2))))</f>
        <v/>
      </c>
      <c r="CF82" s="84">
        <f>IF($CE82="","",IFERROR(VALUE(MID($AL82,FIND("-",$AL82)+1,FIND(CHAR(34)&amp;"x",$AL82)-FIND("-",$AL82)-1)),0))</f>
        <v/>
      </c>
      <c r="CG82" s="84">
        <f>IF($CE82="","",IFERROR(VALUE(MID($AL82,FIND(CHAR(34)&amp;"x",$AL82)+2,FIND(CHAR(34),$AL82,FIND(CHAR(34)&amp;"x",$AL82)+2)-FIND(CHAR(34)&amp;"x",$AL82)-2)),0))</f>
        <v/>
      </c>
      <c r="CH82" s="90">
        <f>IF(OR($A82="",$H82="",$H82="NO LAB"),0,IFERROR(VALUE(LEFT($H82,FIND(" ",$H82)-1)),0))</f>
        <v/>
      </c>
      <c r="CI82" s="91">
        <f>IF(OR($A82="",$I82="",$I82="NON-RATED",N($J82)=0),"",IFERROR(VLOOKUP($I82&amp;"|"&amp;$J82,IBC,2,FALSE),"?"))</f>
        <v/>
      </c>
      <c r="CJ82" s="85">
        <f>IF(NOT(AND($A82&lt;&gt;"",$C82&lt;&gt;"DOOR ONLY")),"",TRIM(IFERROR(VLOOKUP($U82,CODES,2,FALSE),"")&amp;" "&amp;$BG82&amp;" "&amp;IFERROR(VLOOKUP($Z82,CODES,2,FALSE),"")&amp;" "&amp;IFERROR(VLOOKUP($X82,CODES,2,FALSE),"")&amp;" "&amp;IFERROR(VLOOKUP($S82,CODES,2,FALSE),"")&amp;IF(N($P82)&gt;0," w/TRANSOM "&amp;$P82&amp;CHAR(34),"")&amp;IF(N($Q82)&gt;0," w/SIDELITE "&amp;$Q82&amp;CHAR(34)&amp;" "&amp;IF($R82="","R",$R82),"")&amp;IF($Y82="","  |  "," | "&amp;IFERROR(VLOOKUP($Y82,CODES,2,FALSE),"")&amp;" | ")&amp;IFERROR(VLOOKUP($AC82,CODES,2,FALSE),"")&amp;" "&amp;IFERROR(VLOOKUP($AD82,CODES,2,FALSE),"")&amp;IF(OR($AE82="",$AE82="-"),""," "&amp;$AE82)&amp;IF(OR($AF82="",$AF82="-"),""," "&amp;$AF82)&amp;IF($AB82="Y"," 4"&amp;CHAR(34)&amp;" HEAD","")&amp;" "&amp;IFERROR(VLOOKUP($H82,CODES,2,FALSE),"")&amp;IF($CT82," | LOC "&amp;$CY82,"")))</f>
        <v/>
      </c>
      <c r="CK82" s="85">
        <f>IF(NOT(AND($A82&lt;&gt;"",N($BJ82)&gt;0)),"",TRIM(IFERROR(VLOOKUP($AH82,CODES,2,FALSE),"")&amp;IF($AI82=""," "," "&amp;$AI82&amp;"GA ")&amp;$BG82&amp;" "&amp;IF($AN82="",IFERROR(VLOOKUP($Z82,CODES,2,FALSE),""),IFERROR(VLOOKUP($AN82,CODES,2,FALSE),""))&amp;IF($BJ82=2," PAIR","")&amp;" DOOR | "&amp;IF($AL82="","?",$AL82)&amp;" | "&amp;IF($AO82="",IFERROR(VLOOKUP($AC82,CODES,2,FALSE),""),IFERROR(VLOOKUP($AO82,CODES,2,FALSE),""))&amp;" "&amp;IFERROR(VLOOKUP($AP82,CODES,2,FALSE),"")&amp;IF(OR($AQ82="",$AQ82="-"),""," SEAM "&amp;$AQ82)&amp;IF($AR82="Y"," ASTRAGAL","")&amp;IF($AJ82=""," "," "&amp;$AJ82)&amp;IF($AK82=""," "," "&amp;$AK82)&amp;IF(OR($AT82="",$AT82="ANSI/SDI",$AT82="CUSTOM LOC"),""," "&amp;$AT82)&amp;IF($AM82=""," "," SERIES "&amp;$AM82)&amp;" "&amp;IFERROR(VLOOKUP($H82,CODES,2,FALSE),"")&amp;IF($CT82," | LOC "&amp;$CZ82,"")))</f>
        <v/>
      </c>
      <c r="CL82" s="84">
        <f>IF(CP82="","",IF(COUNTIF($CP$6:CP82,CP82)=1,MAX($CL$5:CL81)+1,INDEX($CL$5:CL81,MATCH(CP82,$CP$5:CP81,0))))</f>
        <v/>
      </c>
      <c r="CM82" s="84">
        <f>IF(NOT(AND($A82&lt;&gt;"",$C82&lt;&gt;"DOOR ONLY")),"",MAX($CM$5:CM81)+1)</f>
        <v/>
      </c>
      <c r="CN82" s="84">
        <f>IF(NOT(AND($A82&lt;&gt;"",N($BJ82)&gt;0)),"",MAX($CN$5:CN81)+1)</f>
        <v/>
      </c>
      <c r="CO82" s="84">
        <f>IF($A82="","",MAX($CO$5:CO81)+1)</f>
        <v/>
      </c>
      <c r="CP82" s="84">
        <f>IF(OR($A82="",$BH82="",$BI82=""),"",$BG82&amp;"|"&amp;$O82&amp;"|"&amp;$AL82&amp;"|"&amp;$S82&amp;"|"&amp;$P82&amp;"|"&amp;$Q82&amp;$R82&amp;"|"&amp;$C82&amp;"|"&amp;$AB82)</f>
        <v/>
      </c>
      <c r="CQ82" s="84">
        <f>N($BS82)</f>
        <v/>
      </c>
      <c r="CR82" s="84">
        <f>IF(N($AU82)&gt;0,N($AU82),4.5)</f>
        <v/>
      </c>
      <c r="CS82" s="84">
        <f>OR($A82="",$BI82="",$S82="BL",AND($C82="FRAME ONLY",OR($AC82="",$AC82="BLK")))</f>
        <v/>
      </c>
      <c r="CT82" s="84">
        <f>AND(NOT($CS82),OR($AT82="CUSTOM LOC",N($AW82)+N($AX82)+N($AY82)+N($AZ82)+N($BA82)&gt;0))</f>
        <v/>
      </c>
      <c r="CU82" s="84">
        <f>IF($BI82="","",IF($BI82&lt;=80,80,IF($BI82&lt;=84,84,96)))</f>
        <v/>
      </c>
      <c r="CV82" s="84">
        <f>ISNUMBER(MATCH($AT82&amp;"|80",LocKeys,0))</f>
        <v/>
      </c>
      <c r="CW82" s="86">
        <f>IF($CS82,"",IF($CV82,VLOOKUP($AT82&amp;"|"&amp;$CU82,LocTable,4,FALSE),5))</f>
        <v/>
      </c>
      <c r="CX82" s="86">
        <f>IF($CS82,"",IF($CV82,IF(OR($BI82=$CU82,AND($BI82&lt;$CU82,$BI82-IF(N(VLOOKUP($AT82&amp;"|"&amp;$CU82,LocTable,7,FALSE))&gt;0,VLOOKUP($AT82&amp;"|"&amp;$CU82,LocTable,7,FALSE),VLOOKUP($AT82&amp;"|"&amp;$CU82,LocTable,6,FALSE))-$CR82-0.75&gt;=2.125)),IF(N(VLOOKUP($AT82&amp;"|"&amp;$CU82,LocTable,7,FALSE))&gt;0,VLOOKUP($AT82&amp;"|"&amp;$CU82,LocTable,7,FALSE),VLOOKUP($AT82&amp;"|"&amp;$CU82,LocTable,6,FALSE)),$BI82-($CU82-IF(N(VLOOKUP($AT82&amp;"|"&amp;$CU82,LocTable,7,FALSE))&gt;0,VLOOKUP($AT82&amp;"|"&amp;$CU82,LocTable,7,FALSE),VLOOKUP($AT82&amp;"|"&amp;$CU82,LocTable,6,FALSE)))),$BI82-10-$CR82))</f>
        <v/>
      </c>
      <c r="CY82" s="85">
        <f>IF($CS82,"",TRIM(IF(ISNUMBER($BU82),"A "&amp;TRIM(TEXT($BU82,"# ?/??"))&amp;CHAR(34)&amp;"  ","")&amp;IF(ISNUMBER($BV82),"B "&amp;TRIM(TEXT($BV82,"# ?/??"))&amp;CHAR(34)&amp;"  ","")&amp;IF(ISNUMBER($BW82),"C "&amp;TRIM(TEXT($BW82,"# ?/??"))&amp;CHAR(34)&amp;"  ","")&amp;IF(ISNUMBER($BX82),"D "&amp;TRIM(TEXT($BX82,"# ?/??"))&amp;CHAR(34)&amp;"  ","")&amp;IF(ISNUMBER($BY82),"F "&amp;TRIM(TEXT($BY82,"# ?/??"))&amp;CHAR(34)&amp;"  ","")&amp;IF(ISNUMBER($BZ82),"E "&amp;TRIM(TEXT($BZ82,"# ?/??"))&amp;CHAR(34)&amp;"  ","")))</f>
        <v/>
      </c>
      <c r="CZ82" s="85">
        <f>IF(OR($CS82,N($BJ82)=0),"",TRIM(IF(ISNUMBER($BU82),"A "&amp;TRIM(TEXT($BU82-HeadClr,"# ?/??"))&amp;CHAR(34)&amp;"  ","")&amp;IF(ISNUMBER($BV82),"B "&amp;TRIM(TEXT($BV82-HeadClr,"# ?/??"))&amp;CHAR(34)&amp;"  ","")&amp;IF(ISNUMBER($BW82),"C "&amp;TRIM(TEXT($BW82-HeadClr,"# ?/??"))&amp;CHAR(34)&amp;"  ","")&amp;IF(ISNUMBER($BX82),"D "&amp;TRIM(TEXT($BX82-HeadClr,"# ?/??"))&amp;CHAR(34)&amp;"  ","")&amp;IF(ISNUMBER($BY82),"F "&amp;TRIM(TEXT($BY82-HeadClr,"# ?/??"))&amp;CHAR(34)&amp;"  ","")&amp;IF(ISNUMBER($BZ82),"E "&amp;TRIM(TEXT($BZ82-HeadClr,"# ?/??"))&amp;CHAR(34)&amp;"  ","")))</f>
        <v/>
      </c>
      <c r="DA82" s="84">
        <f>IF($A82="","",IF($AN82="",IFERROR(VLOOKUP($Z82,CODES,2,FALSE),""),IFERROR(VLOOKUP($AN82,CODES,2,FALSE),"")))</f>
        <v/>
      </c>
      <c r="DB82" s="84">
        <f>IF($A82="","",IF($O82="Y","PR",IF(OR($Z82="L",$Z82="RR",LEFT($Z82,2)="L-",LEFT($Z82,3)="RR-"),"LH","RH")))</f>
        <v/>
      </c>
      <c r="DC82" s="84">
        <f>IF($A82="","","S.HM"&amp;IF(OR($C82="DOOR ONLY",$X82&lt;&gt;"KD"),"MASONRY","DRYWALL")&amp;IF($C82="DOOR ONLY","",$U82)&amp;IF(AND($C82&lt;&gt;"FRAME ONLY",OR(LEFT($AH82,3)="OAK",LEFT($AH82,3)="BIR",LEFT($AH82,3)="MAP",$AH82="PC",$AH82="MC",$AH82="SCLC",$AH82="P-LAM")),"WD","HM")&amp;"1.75")</f>
        <v/>
      </c>
      <c r="DD82" s="84">
        <f>IF($CJ82="","",IF($O82="Y",$CJ82,SUBSTITUTE($CJ82,$BG82&amp;" "&amp;IFERROR(VLOOKUP($Z82,CODES,2,FALSE),"")&amp;" ",$BG82&amp;" ")))</f>
        <v/>
      </c>
      <c r="DE82" s="84">
        <f>IF($CK82="","",IF($O82="Y",$CK82,SUBSTITUTE($CK82,$BG82&amp;" "&amp;IF($AN82="",IFERROR(VLOOKUP($Z82,CODES,2,FALSE),""),IFERROR(VLOOKUP($AN82,CODES,2,FALSE),""))&amp;" ",$BG82&amp;" ")))</f>
        <v/>
      </c>
      <c r="DF82" s="84">
        <f>IF($CJ82="","",$DC82&amp;"|"&amp;$DD82&amp;"|"&amp;$DB82&amp;"|"&amp;$AT82&amp;"|"&amp;$V82&amp;"|"&amp;$Y82&amp;"|"&amp;$AB82)</f>
        <v/>
      </c>
      <c r="DG82" s="84">
        <f>IF(DF82="","",IF(COUNTIF($DF$6:DF82,DF82)=1,MAX($DG$5:DG81)+1,INDEX($DG$5:DG81,MATCH(DF82,$DF$5:DF81,0))))</f>
        <v/>
      </c>
      <c r="DH82" s="84">
        <f>IF($CK82="","",$DC82&amp;"|"&amp;$DE82&amp;"|"&amp;$AI82&amp;"|"&amp;$BK82&amp;"|"&amp;$BL82)</f>
        <v/>
      </c>
      <c r="DI82" s="84">
        <f>IF(DH82="","",IF(COUNTIF($DH$6:DH82,DH82)=1,MAX($DI$5:DI81)+1,INDEX($DI$5:DI81,MATCH(DH82,$DH$5:DH81,0))))</f>
        <v/>
      </c>
      <c r="DJ82" s="84">
        <f>IF($A82="","",IF($B82="","qty, ","")&amp;IF($C82="","scope, ","")&amp;IF(OR($K82="",$M82=""),"size, ","")&amp;IF(AND($A82&lt;&gt;"",$C82&lt;&gt;"DOOR ONLY"),IF($U82="","jamb depth, ","")&amp;IF($X82="","construction, ","")&amp;IF($Y82="","anchor, ","")&amp;IF($S82="","frame type, ",""),"")&amp;IF(AND(N($BJ82)&gt;0,$Z82=""),"hand, ","")&amp;IF(N($BJ82)&gt;0,IF($AH82="","door material, ","")&amp;IF($AL82="","face type, ","")&amp;IF($AP82="","lock prep, ","")&amp;IF(AND($AO82="",$AC82=""),"hinge prep, ",""),"")&amp;IF(AND($CH82&gt;0,$AH82="FRP"),"FRP cannot carry a label, ","")&amp;IF(AND($O82="Y",OR($Z82="L",$Z82="R",$Z82="LR",$Z82="RR")),"pair marked but hand is single, ","")&amp;IF(AND($O82&lt;&gt;"Y",OR($Z82="PR",AND(LEN($Z82)&gt;1,ISNUMBER(SEARCH("-",$Z82))))),"pair hand on a single door, ","")&amp;IF(AND(ISNUMBER($CI82),$CH82&lt;N($CI82)),"wall needs a "&amp;$CI82&amp;" min door, ","")&amp;IF(AND($CH82&gt;=180,AND(OR($CE82="FG",$CE82="HG",$CE82="FNV",$CE82="FV"),N($CF82)*N($CG82)&gt;100)),"180 min lite over 100 sq in, ","")&amp;IF(N($BK82)&gt;48,"leaf wider than 4'-0"&amp;CHAR(34)&amp;", ","")&amp;IF(AND($CT82,COUNT($AW82:$AZ82)=0,$CQ82&gt;0),"CUSTOM LOC with no locations typed, ",""))</f>
        <v/>
      </c>
      <c r="DK82" s="84">
        <f>IF($A82="","",IF(AND($CH82&gt;0,AND($A82&lt;&gt;"",$C82&lt;&gt;"DOOR ONLY"),$X82="KD",$E82="EXTERIOR"),"KD label on an exterior opening, ","")&amp;IF(AND($E82="EXTERIOR",OR(AND(AND($A82&lt;&gt;"",$C82&lt;&gt;"DOOR ONLY"),$W82="CR"),AND(N($BJ82)&gt;0,$AH82="CR"))),"exterior in CR steel (G9?), ","")&amp;IF(AND(ISNUMBER($BQ82),N($BQ82)&lt;32),"clear width ~"&amp;TEXT($BQ82,"0.0")&amp;CHAR(34)&amp;" under 32"&amp;CHAR(34)&amp;" (ADA), ","")&amp;IF(AND($CH82=90,AND(OR($CE82="FG",$CE82="HG",$CE82="FNV",$CE82="FV"),N($CF82)*N($CG82)&gt;100)),"90 min lite over 100 sq in (stair/exit), ","")&amp;IF(AND($CH82&gt;0,AND($A82&lt;&gt;"",$C82&lt;&gt;"DOOR ONLY"),OR($AF82="",$AF82="-")),"rated: closer reinf.?, ","")&amp;IF(OR($I82="CORRIDOR",$I82="SMOKE BARRIER"),"S label + smoke gasketing, ","")&amp;IF($CI82="?","wall type/hr not in IBC table, ","")&amp;IF(AND(N($BJ82)&gt;0,$BB82=""),"no hardware set, ","")&amp;IF(AND($BB82&lt;&gt;"",ISNA(MATCH($BB82&amp;"",HWSets,0))),"set "&amp;$BB82&amp;" not on HW Sets, ","")&amp;IF(N($BL82)&gt;96,"leaf over 8'-0"&amp;CHAR(34)&amp;" - check listing, ","")&amp;IF(AND($CT82,COUNT($AW82:$AZ82)&gt;0,COUNT($AW82:$AZ82)&lt;&gt;$CQ82),COUNT($AW82:$AZ82)&amp;" custom hinges typed, "&amp;$CQ82&amp;" expected, ","")&amp;IF(AND(ISNUMBER($CA82),OR(N($CA82)&lt;34,N($CA82)&gt;48)),"lock "&amp;TEXT($CA82,"0.0")&amp;CHAR(34)&amp;" AFF outside 34-48"&amp;CHAR(34)&amp;" (ADA), ","")&amp;IF(AND(ISNUMBER($AV82),ISNUMBER($BL82),N($AV82)&lt;IF(N($BL82)&lt;=60,2,IF(N($BL82)&lt;=90,3,IF(N($BL82)&lt;=120,4,5)))),"fewer hinges than standard, ",""))</f>
        <v/>
      </c>
    </row>
    <row r="83" ht="15" customHeight="1">
      <c r="A83" s="77" t="n"/>
      <c r="B83" s="78" t="n"/>
      <c r="C83" s="78" t="n"/>
      <c r="D83" s="78" t="n"/>
      <c r="E83" s="78" t="n"/>
      <c r="F83" s="78" t="n"/>
      <c r="G83" s="78" t="n"/>
      <c r="H83" s="78" t="n"/>
      <c r="I83" s="78" t="n"/>
      <c r="J83" s="78" t="n"/>
      <c r="K83" s="78" t="n"/>
      <c r="L83" s="78" t="n"/>
      <c r="M83" s="78" t="n"/>
      <c r="N83" s="78" t="n"/>
      <c r="O83" s="78" t="n"/>
      <c r="P83" s="78" t="n"/>
      <c r="Q83" s="78" t="n"/>
      <c r="R83" s="78" t="n"/>
      <c r="S83" s="79" t="n"/>
      <c r="T83" s="79" t="n"/>
      <c r="U83" s="79" t="n"/>
      <c r="V83" s="79" t="n"/>
      <c r="W83" s="79" t="n"/>
      <c r="X83" s="79" t="n"/>
      <c r="Y83" s="79" t="n"/>
      <c r="Z83" s="79" t="n"/>
      <c r="AA83" s="79" t="n"/>
      <c r="AB83" s="79" t="n"/>
      <c r="AC83" s="79" t="n"/>
      <c r="AD83" s="79" t="n"/>
      <c r="AE83" s="79" t="n"/>
      <c r="AF83" s="79" t="n"/>
      <c r="AG83" s="79" t="n"/>
      <c r="AH83" s="80" t="n"/>
      <c r="AI83" s="80" t="n"/>
      <c r="AJ83" s="80" t="n"/>
      <c r="AK83" s="80" t="n"/>
      <c r="AL83" s="80" t="n"/>
      <c r="AM83" s="80" t="n"/>
      <c r="AN83" s="80" t="n"/>
      <c r="AO83" s="80" t="n"/>
      <c r="AP83" s="80" t="n"/>
      <c r="AQ83" s="80" t="n"/>
      <c r="AR83" s="80" t="n"/>
      <c r="AS83" s="80" t="n"/>
      <c r="AT83" s="81" t="n"/>
      <c r="AU83" s="81" t="n"/>
      <c r="AV83" s="81" t="n"/>
      <c r="AW83" s="82" t="n"/>
      <c r="AX83" s="82" t="n"/>
      <c r="AY83" s="82" t="n"/>
      <c r="AZ83" s="82" t="n"/>
      <c r="BA83" s="82" t="n"/>
      <c r="BB83" s="83" t="n"/>
      <c r="BC83" s="83" t="n"/>
      <c r="BD83" s="84">
        <f>IF($A83="","",IF($DJ83&lt;&gt;"","FIX",IF($DK83&lt;&gt;"","CHECK","OK")))</f>
        <v/>
      </c>
      <c r="BE83" s="85">
        <f>IF($A83="","",IF($DJ83&lt;&gt;"","FIX: "&amp;LEFT($DJ83,LEN($DJ83)-2)&amp;IF($DK83&lt;&gt;"","  ·  ",""),"")&amp;IF($DK83&lt;&gt;"","CHECK: "&amp;LEFT($DK83,LEN($DK83)-2),""))</f>
        <v/>
      </c>
      <c r="BF83" s="84">
        <f>IF(OR($A83="",$K83=""),"",$K83&amp;"'-"&amp;N($L83)&amp;CHAR(34)&amp;" x "&amp;$M83&amp;"'-"&amp;N($N83)&amp;CHAR(34))</f>
        <v/>
      </c>
      <c r="BG83" s="84">
        <f>IF(OR($A83="",$K83=""),"",$K83&amp;N($L83)&amp;$M83&amp;N($N83))</f>
        <v/>
      </c>
      <c r="BH83" s="84">
        <f>IF(OR($A83="",$K83=""),"",$K83*12+N($L83))</f>
        <v/>
      </c>
      <c r="BI83" s="84">
        <f>IF(OR($A83="",$M83=""),"",$M83*12+N($N83))</f>
        <v/>
      </c>
      <c r="BJ83" s="84">
        <f>IF($A83="","",IF(OR($C83="FRAME ONLY",$S83="BL"),0,IF($O83="Y",2,1)))</f>
        <v/>
      </c>
      <c r="BK83" s="86">
        <f>IF(OR(N($BJ83)=0,$BH83=""),"",($BH83-2*EdgeClr-IF($BJ83=2,MeetClr,0))/$BJ83)</f>
        <v/>
      </c>
      <c r="BL83" s="86">
        <f>IF(OR(N($BJ83)=0,$BI83=""),"",$BI83-HeadClr-Undercut)</f>
        <v/>
      </c>
      <c r="BM83" s="86">
        <f>IF($BH83="","",$BH83+2*FaceW+IF(N($Q83)&gt;0,($Q83+FaceW)*IF($R83="LR",2,1),0))</f>
        <v/>
      </c>
      <c r="BN83" s="86">
        <f>IF($BI83="","",$BI83+IF($AB83="Y",4,FaceW)+IF(N($P83)&gt;0,$P83+FaceW,0)+IF(OR($S83="4F",$S83="BL"),FaceW,0))</f>
        <v/>
      </c>
      <c r="BO83" s="86">
        <f>IF($BM83="","",$BM83+2*ROSide)</f>
        <v/>
      </c>
      <c r="BP83" s="86">
        <f>IF($BN83="","",$BN83+ROTop)</f>
        <v/>
      </c>
      <c r="BQ83" s="87">
        <f>IF(OR(N($BJ83)=0,$BH83=""),"",$BH83/$BJ83-ClearDeduct)</f>
        <v/>
      </c>
      <c r="BR83" s="84">
        <f>IF(N($CH83)=0,"",IF($CH83&gt;=180,"A · 3 HR",IF($CH83&gt;=90,"B · 1-1/2 HR",IF($CH83&gt;=60,"B · 1 HR",IF($CH83&gt;=45,"C · 3/4 HR","20 MIN")))))&amp;IF(AND(N($CH83)&gt;0,OR($I83="CORRIDOR",$I83="SMOKE BARRIER"))," · S","")</f>
        <v/>
      </c>
      <c r="BS83" s="84">
        <f>IF($CS83,"",IF($AV83&lt;&gt;"",$AV83,IF(OR($AC83="HGC",$AO83="HGC"),"CONT",IF(($BI83-HeadClr-Undercut)&lt;=60,2,IF(($BI83-HeadClr-Undercut)&lt;=90,3,IF(($BI83-HeadClr-Undercut)&lt;=120,4,5))))))</f>
        <v/>
      </c>
      <c r="BT83" s="84">
        <f>IF($CS83,"",IF($CT83,"CUSTOM (typed)",IF($CV83,$AT83&amp;" "&amp;$CU83&amp;CHAR(34)&amp;IF($CU83&lt;&gt;$BI83,IF(AND($BI83&lt;$CU83,$BI83-IF(N(VLOOKUP($AT83&amp;"|"&amp;$CU83,LocTable,7,FALSE))&gt;0,VLOOKUP($AT83&amp;"|"&amp;$CU83,LocTable,7,FALSE),VLOOKUP($AT83&amp;"|"&amp;$CU83,LocTable,6,FALSE))-$CR83-0.75&gt;=2.125)," cut down"," adj."),""),"ANSI/SDI A250.6")))</f>
        <v/>
      </c>
      <c r="BU83" s="88">
        <f>IF($CS83,"",IF($CT83,IF(N($AW83)&gt;0,N($AW83),""),IF(1&gt;$CQ83,"",IF($CQ83=1,$CW83,$CW83+($CX83-$CW83)*0/($CQ83-1)))))</f>
        <v/>
      </c>
      <c r="BV83" s="88">
        <f>IF($CS83,"",IF($CT83,IF(N($AX83)&gt;0,N($AX83),""),IF(2&gt;$CQ83,"",IF($CQ83=1,$CW83,$CW83+($CX83-$CW83)*1/($CQ83-1)))))</f>
        <v/>
      </c>
      <c r="BW83" s="88">
        <f>IF($CS83,"",IF($CT83,IF(N($AY83)&gt;0,N($AY83),""),IF(3&gt;$CQ83,"",IF($CQ83=1,$CW83,$CW83+($CX83-$CW83)*2/($CQ83-1)))))</f>
        <v/>
      </c>
      <c r="BX83" s="88">
        <f>IF($CS83,"",IF($CT83,IF(N($AZ83)&gt;0,N($AZ83),""),IF(4&gt;$CQ83,"",IF($CQ83=1,$CW83,$CW83+($CX83-$CW83)*3/($CQ83-1)))))</f>
        <v/>
      </c>
      <c r="BY83" s="88">
        <f>IF($CS83,"",IF($CT83,"",IF(5&gt;$CQ83,"",IF($CQ83=1,$CW83,$CW83+($CX83-$CW83)*4/($CQ83-1)))))</f>
        <v/>
      </c>
      <c r="BZ83" s="88">
        <f>IF(OR($CS83,$AP83="-",AND($AP83="",$AD83="")),"",IF(N($BA83)&gt;0,N($BA83),IF($CV83,IF(AND($BI83&lt;$CU83,$BI83-IF(N(VLOOKUP($AT83&amp;"|"&amp;$CU83,LocTable,7,FALSE))&gt;0,VLOOKUP($AT83&amp;"|"&amp;$CU83,LocTable,7,FALSE),VLOOKUP($AT83&amp;"|"&amp;$CU83,LocTable,6,FALSE))-$CR83-0.75&gt;=2.125),VLOOKUP($AT83&amp;"|"&amp;$CU83,LocTable,8,FALSE),VLOOKUP($AT83&amp;"|"&amp;$CU83,LocTable,8,FALSE)+($BI83-$CU83)),$BI83-LockAFF)))</f>
        <v/>
      </c>
      <c r="CA83" s="89">
        <f>IF($BZ83="","",$BI83-$BZ83)</f>
        <v/>
      </c>
      <c r="CB83" s="84">
        <f>IF(OR(NOT(AND($A83&lt;&gt;"",$C83&lt;&gt;"DOOR ONLY")),$BI83=""),"",IF(($BI83+IF(N($P83)&gt;0,$P83+FaceW,0))&lt;=90,3,IF(($BI83+IF(N($P83)&gt;0,$P83+FaceW,0))&lt;=114,4,5)))</f>
        <v/>
      </c>
      <c r="CC83" s="84">
        <f>IF($CB83="","",$CB83*(2+IF(N($Q83)&gt;0,IF($R83="LR",2,1),0)))</f>
        <v/>
      </c>
      <c r="CD83" s="84">
        <f>IF($CB83="","",(2+IF(N($Q83)&gt;0,IF($R83="LR",2,1),0)))</f>
        <v/>
      </c>
      <c r="CE83" s="84">
        <f>IF(N($BJ83)=0,"",IF(OR($AL83="",$AL83="FLUSH"),"FLUSH",IFERROR(LEFT($AL83,FIND("-",$AL83)-1),LEFT($AL83,2))))</f>
        <v/>
      </c>
      <c r="CF83" s="84">
        <f>IF($CE83="","",IFERROR(VALUE(MID($AL83,FIND("-",$AL83)+1,FIND(CHAR(34)&amp;"x",$AL83)-FIND("-",$AL83)-1)),0))</f>
        <v/>
      </c>
      <c r="CG83" s="84">
        <f>IF($CE83="","",IFERROR(VALUE(MID($AL83,FIND(CHAR(34)&amp;"x",$AL83)+2,FIND(CHAR(34),$AL83,FIND(CHAR(34)&amp;"x",$AL83)+2)-FIND(CHAR(34)&amp;"x",$AL83)-2)),0))</f>
        <v/>
      </c>
      <c r="CH83" s="90">
        <f>IF(OR($A83="",$H83="",$H83="NO LAB"),0,IFERROR(VALUE(LEFT($H83,FIND(" ",$H83)-1)),0))</f>
        <v/>
      </c>
      <c r="CI83" s="91">
        <f>IF(OR($A83="",$I83="",$I83="NON-RATED",N($J83)=0),"",IFERROR(VLOOKUP($I83&amp;"|"&amp;$J83,IBC,2,FALSE),"?"))</f>
        <v/>
      </c>
      <c r="CJ83" s="85">
        <f>IF(NOT(AND($A83&lt;&gt;"",$C83&lt;&gt;"DOOR ONLY")),"",TRIM(IFERROR(VLOOKUP($U83,CODES,2,FALSE),"")&amp;" "&amp;$BG83&amp;" "&amp;IFERROR(VLOOKUP($Z83,CODES,2,FALSE),"")&amp;" "&amp;IFERROR(VLOOKUP($X83,CODES,2,FALSE),"")&amp;" "&amp;IFERROR(VLOOKUP($S83,CODES,2,FALSE),"")&amp;IF(N($P83)&gt;0," w/TRANSOM "&amp;$P83&amp;CHAR(34),"")&amp;IF(N($Q83)&gt;0," w/SIDELITE "&amp;$Q83&amp;CHAR(34)&amp;" "&amp;IF($R83="","R",$R83),"")&amp;IF($Y83="","  |  "," | "&amp;IFERROR(VLOOKUP($Y83,CODES,2,FALSE),"")&amp;" | ")&amp;IFERROR(VLOOKUP($AC83,CODES,2,FALSE),"")&amp;" "&amp;IFERROR(VLOOKUP($AD83,CODES,2,FALSE),"")&amp;IF(OR($AE83="",$AE83="-"),""," "&amp;$AE83)&amp;IF(OR($AF83="",$AF83="-"),""," "&amp;$AF83)&amp;IF($AB83="Y"," 4"&amp;CHAR(34)&amp;" HEAD","")&amp;" "&amp;IFERROR(VLOOKUP($H83,CODES,2,FALSE),"")&amp;IF($CT83," | LOC "&amp;$CY83,"")))</f>
        <v/>
      </c>
      <c r="CK83" s="85">
        <f>IF(NOT(AND($A83&lt;&gt;"",N($BJ83)&gt;0)),"",TRIM(IFERROR(VLOOKUP($AH83,CODES,2,FALSE),"")&amp;IF($AI83=""," "," "&amp;$AI83&amp;"GA ")&amp;$BG83&amp;" "&amp;IF($AN83="",IFERROR(VLOOKUP($Z83,CODES,2,FALSE),""),IFERROR(VLOOKUP($AN83,CODES,2,FALSE),""))&amp;IF($BJ83=2," PAIR","")&amp;" DOOR | "&amp;IF($AL83="","?",$AL83)&amp;" | "&amp;IF($AO83="",IFERROR(VLOOKUP($AC83,CODES,2,FALSE),""),IFERROR(VLOOKUP($AO83,CODES,2,FALSE),""))&amp;" "&amp;IFERROR(VLOOKUP($AP83,CODES,2,FALSE),"")&amp;IF(OR($AQ83="",$AQ83="-"),""," SEAM "&amp;$AQ83)&amp;IF($AR83="Y"," ASTRAGAL","")&amp;IF($AJ83=""," "," "&amp;$AJ83)&amp;IF($AK83=""," "," "&amp;$AK83)&amp;IF(OR($AT83="",$AT83="ANSI/SDI",$AT83="CUSTOM LOC"),""," "&amp;$AT83)&amp;IF($AM83=""," "," SERIES "&amp;$AM83)&amp;" "&amp;IFERROR(VLOOKUP($H83,CODES,2,FALSE),"")&amp;IF($CT83," | LOC "&amp;$CZ83,"")))</f>
        <v/>
      </c>
      <c r="CL83" s="84">
        <f>IF(CP83="","",IF(COUNTIF($CP$6:CP83,CP83)=1,MAX($CL$5:CL82)+1,INDEX($CL$5:CL82,MATCH(CP83,$CP$5:CP82,0))))</f>
        <v/>
      </c>
      <c r="CM83" s="84">
        <f>IF(NOT(AND($A83&lt;&gt;"",$C83&lt;&gt;"DOOR ONLY")),"",MAX($CM$5:CM82)+1)</f>
        <v/>
      </c>
      <c r="CN83" s="84">
        <f>IF(NOT(AND($A83&lt;&gt;"",N($BJ83)&gt;0)),"",MAX($CN$5:CN82)+1)</f>
        <v/>
      </c>
      <c r="CO83" s="84">
        <f>IF($A83="","",MAX($CO$5:CO82)+1)</f>
        <v/>
      </c>
      <c r="CP83" s="84">
        <f>IF(OR($A83="",$BH83="",$BI83=""),"",$BG83&amp;"|"&amp;$O83&amp;"|"&amp;$AL83&amp;"|"&amp;$S83&amp;"|"&amp;$P83&amp;"|"&amp;$Q83&amp;$R83&amp;"|"&amp;$C83&amp;"|"&amp;$AB83)</f>
        <v/>
      </c>
      <c r="CQ83" s="84">
        <f>N($BS83)</f>
        <v/>
      </c>
      <c r="CR83" s="84">
        <f>IF(N($AU83)&gt;0,N($AU83),4.5)</f>
        <v/>
      </c>
      <c r="CS83" s="84">
        <f>OR($A83="",$BI83="",$S83="BL",AND($C83="FRAME ONLY",OR($AC83="",$AC83="BLK")))</f>
        <v/>
      </c>
      <c r="CT83" s="84">
        <f>AND(NOT($CS83),OR($AT83="CUSTOM LOC",N($AW83)+N($AX83)+N($AY83)+N($AZ83)+N($BA83)&gt;0))</f>
        <v/>
      </c>
      <c r="CU83" s="84">
        <f>IF($BI83="","",IF($BI83&lt;=80,80,IF($BI83&lt;=84,84,96)))</f>
        <v/>
      </c>
      <c r="CV83" s="84">
        <f>ISNUMBER(MATCH($AT83&amp;"|80",LocKeys,0))</f>
        <v/>
      </c>
      <c r="CW83" s="86">
        <f>IF($CS83,"",IF($CV83,VLOOKUP($AT83&amp;"|"&amp;$CU83,LocTable,4,FALSE),5))</f>
        <v/>
      </c>
      <c r="CX83" s="86">
        <f>IF($CS83,"",IF($CV83,IF(OR($BI83=$CU83,AND($BI83&lt;$CU83,$BI83-IF(N(VLOOKUP($AT83&amp;"|"&amp;$CU83,LocTable,7,FALSE))&gt;0,VLOOKUP($AT83&amp;"|"&amp;$CU83,LocTable,7,FALSE),VLOOKUP($AT83&amp;"|"&amp;$CU83,LocTable,6,FALSE))-$CR83-0.75&gt;=2.125)),IF(N(VLOOKUP($AT83&amp;"|"&amp;$CU83,LocTable,7,FALSE))&gt;0,VLOOKUP($AT83&amp;"|"&amp;$CU83,LocTable,7,FALSE),VLOOKUP($AT83&amp;"|"&amp;$CU83,LocTable,6,FALSE)),$BI83-($CU83-IF(N(VLOOKUP($AT83&amp;"|"&amp;$CU83,LocTable,7,FALSE))&gt;0,VLOOKUP($AT83&amp;"|"&amp;$CU83,LocTable,7,FALSE),VLOOKUP($AT83&amp;"|"&amp;$CU83,LocTable,6,FALSE)))),$BI83-10-$CR83))</f>
        <v/>
      </c>
      <c r="CY83" s="85">
        <f>IF($CS83,"",TRIM(IF(ISNUMBER($BU83),"A "&amp;TRIM(TEXT($BU83,"# ?/??"))&amp;CHAR(34)&amp;"  ","")&amp;IF(ISNUMBER($BV83),"B "&amp;TRIM(TEXT($BV83,"# ?/??"))&amp;CHAR(34)&amp;"  ","")&amp;IF(ISNUMBER($BW83),"C "&amp;TRIM(TEXT($BW83,"# ?/??"))&amp;CHAR(34)&amp;"  ","")&amp;IF(ISNUMBER($BX83),"D "&amp;TRIM(TEXT($BX83,"# ?/??"))&amp;CHAR(34)&amp;"  ","")&amp;IF(ISNUMBER($BY83),"F "&amp;TRIM(TEXT($BY83,"# ?/??"))&amp;CHAR(34)&amp;"  ","")&amp;IF(ISNUMBER($BZ83),"E "&amp;TRIM(TEXT($BZ83,"# ?/??"))&amp;CHAR(34)&amp;"  ","")))</f>
        <v/>
      </c>
      <c r="CZ83" s="85">
        <f>IF(OR($CS83,N($BJ83)=0),"",TRIM(IF(ISNUMBER($BU83),"A "&amp;TRIM(TEXT($BU83-HeadClr,"# ?/??"))&amp;CHAR(34)&amp;"  ","")&amp;IF(ISNUMBER($BV83),"B "&amp;TRIM(TEXT($BV83-HeadClr,"# ?/??"))&amp;CHAR(34)&amp;"  ","")&amp;IF(ISNUMBER($BW83),"C "&amp;TRIM(TEXT($BW83-HeadClr,"# ?/??"))&amp;CHAR(34)&amp;"  ","")&amp;IF(ISNUMBER($BX83),"D "&amp;TRIM(TEXT($BX83-HeadClr,"# ?/??"))&amp;CHAR(34)&amp;"  ","")&amp;IF(ISNUMBER($BY83),"F "&amp;TRIM(TEXT($BY83-HeadClr,"# ?/??"))&amp;CHAR(34)&amp;"  ","")&amp;IF(ISNUMBER($BZ83),"E "&amp;TRIM(TEXT($BZ83-HeadClr,"# ?/??"))&amp;CHAR(34)&amp;"  ","")))</f>
        <v/>
      </c>
      <c r="DA83" s="84">
        <f>IF($A83="","",IF($AN83="",IFERROR(VLOOKUP($Z83,CODES,2,FALSE),""),IFERROR(VLOOKUP($AN83,CODES,2,FALSE),"")))</f>
        <v/>
      </c>
      <c r="DB83" s="84">
        <f>IF($A83="","",IF($O83="Y","PR",IF(OR($Z83="L",$Z83="RR",LEFT($Z83,2)="L-",LEFT($Z83,3)="RR-"),"LH","RH")))</f>
        <v/>
      </c>
      <c r="DC83" s="84">
        <f>IF($A83="","","S.HM"&amp;IF(OR($C83="DOOR ONLY",$X83&lt;&gt;"KD"),"MASONRY","DRYWALL")&amp;IF($C83="DOOR ONLY","",$U83)&amp;IF(AND($C83&lt;&gt;"FRAME ONLY",OR(LEFT($AH83,3)="OAK",LEFT($AH83,3)="BIR",LEFT($AH83,3)="MAP",$AH83="PC",$AH83="MC",$AH83="SCLC",$AH83="P-LAM")),"WD","HM")&amp;"1.75")</f>
        <v/>
      </c>
      <c r="DD83" s="84">
        <f>IF($CJ83="","",IF($O83="Y",$CJ83,SUBSTITUTE($CJ83,$BG83&amp;" "&amp;IFERROR(VLOOKUP($Z83,CODES,2,FALSE),"")&amp;" ",$BG83&amp;" ")))</f>
        <v/>
      </c>
      <c r="DE83" s="84">
        <f>IF($CK83="","",IF($O83="Y",$CK83,SUBSTITUTE($CK83,$BG83&amp;" "&amp;IF($AN83="",IFERROR(VLOOKUP($Z83,CODES,2,FALSE),""),IFERROR(VLOOKUP($AN83,CODES,2,FALSE),""))&amp;" ",$BG83&amp;" ")))</f>
        <v/>
      </c>
      <c r="DF83" s="84">
        <f>IF($CJ83="","",$DC83&amp;"|"&amp;$DD83&amp;"|"&amp;$DB83&amp;"|"&amp;$AT83&amp;"|"&amp;$V83&amp;"|"&amp;$Y83&amp;"|"&amp;$AB83)</f>
        <v/>
      </c>
      <c r="DG83" s="84">
        <f>IF(DF83="","",IF(COUNTIF($DF$6:DF83,DF83)=1,MAX($DG$5:DG82)+1,INDEX($DG$5:DG82,MATCH(DF83,$DF$5:DF82,0))))</f>
        <v/>
      </c>
      <c r="DH83" s="84">
        <f>IF($CK83="","",$DC83&amp;"|"&amp;$DE83&amp;"|"&amp;$AI83&amp;"|"&amp;$BK83&amp;"|"&amp;$BL83)</f>
        <v/>
      </c>
      <c r="DI83" s="84">
        <f>IF(DH83="","",IF(COUNTIF($DH$6:DH83,DH83)=1,MAX($DI$5:DI82)+1,INDEX($DI$5:DI82,MATCH(DH83,$DH$5:DH82,0))))</f>
        <v/>
      </c>
      <c r="DJ83" s="84">
        <f>IF($A83="","",IF($B83="","qty, ","")&amp;IF($C83="","scope, ","")&amp;IF(OR($K83="",$M83=""),"size, ","")&amp;IF(AND($A83&lt;&gt;"",$C83&lt;&gt;"DOOR ONLY"),IF($U83="","jamb depth, ","")&amp;IF($X83="","construction, ","")&amp;IF($Y83="","anchor, ","")&amp;IF($S83="","frame type, ",""),"")&amp;IF(AND(N($BJ83)&gt;0,$Z83=""),"hand, ","")&amp;IF(N($BJ83)&gt;0,IF($AH83="","door material, ","")&amp;IF($AL83="","face type, ","")&amp;IF($AP83="","lock prep, ","")&amp;IF(AND($AO83="",$AC83=""),"hinge prep, ",""),"")&amp;IF(AND($CH83&gt;0,$AH83="FRP"),"FRP cannot carry a label, ","")&amp;IF(AND($O83="Y",OR($Z83="L",$Z83="R",$Z83="LR",$Z83="RR")),"pair marked but hand is single, ","")&amp;IF(AND($O83&lt;&gt;"Y",OR($Z83="PR",AND(LEN($Z83)&gt;1,ISNUMBER(SEARCH("-",$Z83))))),"pair hand on a single door, ","")&amp;IF(AND(ISNUMBER($CI83),$CH83&lt;N($CI83)),"wall needs a "&amp;$CI83&amp;" min door, ","")&amp;IF(AND($CH83&gt;=180,AND(OR($CE83="FG",$CE83="HG",$CE83="FNV",$CE83="FV"),N($CF83)*N($CG83)&gt;100)),"180 min lite over 100 sq in, ","")&amp;IF(N($BK83)&gt;48,"leaf wider than 4'-0"&amp;CHAR(34)&amp;", ","")&amp;IF(AND($CT83,COUNT($AW83:$AZ83)=0,$CQ83&gt;0),"CUSTOM LOC with no locations typed, ",""))</f>
        <v/>
      </c>
      <c r="DK83" s="84">
        <f>IF($A83="","",IF(AND($CH83&gt;0,AND($A83&lt;&gt;"",$C83&lt;&gt;"DOOR ONLY"),$X83="KD",$E83="EXTERIOR"),"KD label on an exterior opening, ","")&amp;IF(AND($E83="EXTERIOR",OR(AND(AND($A83&lt;&gt;"",$C83&lt;&gt;"DOOR ONLY"),$W83="CR"),AND(N($BJ83)&gt;0,$AH83="CR"))),"exterior in CR steel (G9?), ","")&amp;IF(AND(ISNUMBER($BQ83),N($BQ83)&lt;32),"clear width ~"&amp;TEXT($BQ83,"0.0")&amp;CHAR(34)&amp;" under 32"&amp;CHAR(34)&amp;" (ADA), ","")&amp;IF(AND($CH83=90,AND(OR($CE83="FG",$CE83="HG",$CE83="FNV",$CE83="FV"),N($CF83)*N($CG83)&gt;100)),"90 min lite over 100 sq in (stair/exit), ","")&amp;IF(AND($CH83&gt;0,AND($A83&lt;&gt;"",$C83&lt;&gt;"DOOR ONLY"),OR($AF83="",$AF83="-")),"rated: closer reinf.?, ","")&amp;IF(OR($I83="CORRIDOR",$I83="SMOKE BARRIER"),"S label + smoke gasketing, ","")&amp;IF($CI83="?","wall type/hr not in IBC table, ","")&amp;IF(AND(N($BJ83)&gt;0,$BB83=""),"no hardware set, ","")&amp;IF(AND($BB83&lt;&gt;"",ISNA(MATCH($BB83&amp;"",HWSets,0))),"set "&amp;$BB83&amp;" not on HW Sets, ","")&amp;IF(N($BL83)&gt;96,"leaf over 8'-0"&amp;CHAR(34)&amp;" - check listing, ","")&amp;IF(AND($CT83,COUNT($AW83:$AZ83)&gt;0,COUNT($AW83:$AZ83)&lt;&gt;$CQ83),COUNT($AW83:$AZ83)&amp;" custom hinges typed, "&amp;$CQ83&amp;" expected, ","")&amp;IF(AND(ISNUMBER($CA83),OR(N($CA83)&lt;34,N($CA83)&gt;48)),"lock "&amp;TEXT($CA83,"0.0")&amp;CHAR(34)&amp;" AFF outside 34-48"&amp;CHAR(34)&amp;" (ADA), ","")&amp;IF(AND(ISNUMBER($AV83),ISNUMBER($BL83),N($AV83)&lt;IF(N($BL83)&lt;=60,2,IF(N($BL83)&lt;=90,3,IF(N($BL83)&lt;=120,4,5)))),"fewer hinges than standard, ",""))</f>
        <v/>
      </c>
    </row>
    <row r="84" ht="15" customHeight="1">
      <c r="A84" s="77" t="n"/>
      <c r="B84" s="78" t="n"/>
      <c r="C84" s="78" t="n"/>
      <c r="D84" s="78" t="n"/>
      <c r="E84" s="78" t="n"/>
      <c r="F84" s="78" t="n"/>
      <c r="G84" s="78" t="n"/>
      <c r="H84" s="78" t="n"/>
      <c r="I84" s="78" t="n"/>
      <c r="J84" s="78" t="n"/>
      <c r="K84" s="78" t="n"/>
      <c r="L84" s="78" t="n"/>
      <c r="M84" s="78" t="n"/>
      <c r="N84" s="78" t="n"/>
      <c r="O84" s="78" t="n"/>
      <c r="P84" s="78" t="n"/>
      <c r="Q84" s="78" t="n"/>
      <c r="R84" s="78" t="n"/>
      <c r="S84" s="79" t="n"/>
      <c r="T84" s="79" t="n"/>
      <c r="U84" s="79" t="n"/>
      <c r="V84" s="79" t="n"/>
      <c r="W84" s="79" t="n"/>
      <c r="X84" s="79" t="n"/>
      <c r="Y84" s="79" t="n"/>
      <c r="Z84" s="79" t="n"/>
      <c r="AA84" s="79" t="n"/>
      <c r="AB84" s="79" t="n"/>
      <c r="AC84" s="79" t="n"/>
      <c r="AD84" s="79" t="n"/>
      <c r="AE84" s="79" t="n"/>
      <c r="AF84" s="79" t="n"/>
      <c r="AG84" s="79" t="n"/>
      <c r="AH84" s="80" t="n"/>
      <c r="AI84" s="80" t="n"/>
      <c r="AJ84" s="80" t="n"/>
      <c r="AK84" s="80" t="n"/>
      <c r="AL84" s="80" t="n"/>
      <c r="AM84" s="80" t="n"/>
      <c r="AN84" s="80" t="n"/>
      <c r="AO84" s="80" t="n"/>
      <c r="AP84" s="80" t="n"/>
      <c r="AQ84" s="80" t="n"/>
      <c r="AR84" s="80" t="n"/>
      <c r="AS84" s="80" t="n"/>
      <c r="AT84" s="81" t="n"/>
      <c r="AU84" s="81" t="n"/>
      <c r="AV84" s="81" t="n"/>
      <c r="AW84" s="82" t="n"/>
      <c r="AX84" s="82" t="n"/>
      <c r="AY84" s="82" t="n"/>
      <c r="AZ84" s="82" t="n"/>
      <c r="BA84" s="82" t="n"/>
      <c r="BB84" s="83" t="n"/>
      <c r="BC84" s="83" t="n"/>
      <c r="BD84" s="84">
        <f>IF($A84="","",IF($DJ84&lt;&gt;"","FIX",IF($DK84&lt;&gt;"","CHECK","OK")))</f>
        <v/>
      </c>
      <c r="BE84" s="85">
        <f>IF($A84="","",IF($DJ84&lt;&gt;"","FIX: "&amp;LEFT($DJ84,LEN($DJ84)-2)&amp;IF($DK84&lt;&gt;"","  ·  ",""),"")&amp;IF($DK84&lt;&gt;"","CHECK: "&amp;LEFT($DK84,LEN($DK84)-2),""))</f>
        <v/>
      </c>
      <c r="BF84" s="84">
        <f>IF(OR($A84="",$K84=""),"",$K84&amp;"'-"&amp;N($L84)&amp;CHAR(34)&amp;" x "&amp;$M84&amp;"'-"&amp;N($N84)&amp;CHAR(34))</f>
        <v/>
      </c>
      <c r="BG84" s="84">
        <f>IF(OR($A84="",$K84=""),"",$K84&amp;N($L84)&amp;$M84&amp;N($N84))</f>
        <v/>
      </c>
      <c r="BH84" s="84">
        <f>IF(OR($A84="",$K84=""),"",$K84*12+N($L84))</f>
        <v/>
      </c>
      <c r="BI84" s="84">
        <f>IF(OR($A84="",$M84=""),"",$M84*12+N($N84))</f>
        <v/>
      </c>
      <c r="BJ84" s="84">
        <f>IF($A84="","",IF(OR($C84="FRAME ONLY",$S84="BL"),0,IF($O84="Y",2,1)))</f>
        <v/>
      </c>
      <c r="BK84" s="86">
        <f>IF(OR(N($BJ84)=0,$BH84=""),"",($BH84-2*EdgeClr-IF($BJ84=2,MeetClr,0))/$BJ84)</f>
        <v/>
      </c>
      <c r="BL84" s="86">
        <f>IF(OR(N($BJ84)=0,$BI84=""),"",$BI84-HeadClr-Undercut)</f>
        <v/>
      </c>
      <c r="BM84" s="86">
        <f>IF($BH84="","",$BH84+2*FaceW+IF(N($Q84)&gt;0,($Q84+FaceW)*IF($R84="LR",2,1),0))</f>
        <v/>
      </c>
      <c r="BN84" s="86">
        <f>IF($BI84="","",$BI84+IF($AB84="Y",4,FaceW)+IF(N($P84)&gt;0,$P84+FaceW,0)+IF(OR($S84="4F",$S84="BL"),FaceW,0))</f>
        <v/>
      </c>
      <c r="BO84" s="86">
        <f>IF($BM84="","",$BM84+2*ROSide)</f>
        <v/>
      </c>
      <c r="BP84" s="86">
        <f>IF($BN84="","",$BN84+ROTop)</f>
        <v/>
      </c>
      <c r="BQ84" s="87">
        <f>IF(OR(N($BJ84)=0,$BH84=""),"",$BH84/$BJ84-ClearDeduct)</f>
        <v/>
      </c>
      <c r="BR84" s="84">
        <f>IF(N($CH84)=0,"",IF($CH84&gt;=180,"A · 3 HR",IF($CH84&gt;=90,"B · 1-1/2 HR",IF($CH84&gt;=60,"B · 1 HR",IF($CH84&gt;=45,"C · 3/4 HR","20 MIN")))))&amp;IF(AND(N($CH84)&gt;0,OR($I84="CORRIDOR",$I84="SMOKE BARRIER"))," · S","")</f>
        <v/>
      </c>
      <c r="BS84" s="84">
        <f>IF($CS84,"",IF($AV84&lt;&gt;"",$AV84,IF(OR($AC84="HGC",$AO84="HGC"),"CONT",IF(($BI84-HeadClr-Undercut)&lt;=60,2,IF(($BI84-HeadClr-Undercut)&lt;=90,3,IF(($BI84-HeadClr-Undercut)&lt;=120,4,5))))))</f>
        <v/>
      </c>
      <c r="BT84" s="84">
        <f>IF($CS84,"",IF($CT84,"CUSTOM (typed)",IF($CV84,$AT84&amp;" "&amp;$CU84&amp;CHAR(34)&amp;IF($CU84&lt;&gt;$BI84,IF(AND($BI84&lt;$CU84,$BI84-IF(N(VLOOKUP($AT84&amp;"|"&amp;$CU84,LocTable,7,FALSE))&gt;0,VLOOKUP($AT84&amp;"|"&amp;$CU84,LocTable,7,FALSE),VLOOKUP($AT84&amp;"|"&amp;$CU84,LocTable,6,FALSE))-$CR84-0.75&gt;=2.125)," cut down"," adj."),""),"ANSI/SDI A250.6")))</f>
        <v/>
      </c>
      <c r="BU84" s="88">
        <f>IF($CS84,"",IF($CT84,IF(N($AW84)&gt;0,N($AW84),""),IF(1&gt;$CQ84,"",IF($CQ84=1,$CW84,$CW84+($CX84-$CW84)*0/($CQ84-1)))))</f>
        <v/>
      </c>
      <c r="BV84" s="88">
        <f>IF($CS84,"",IF($CT84,IF(N($AX84)&gt;0,N($AX84),""),IF(2&gt;$CQ84,"",IF($CQ84=1,$CW84,$CW84+($CX84-$CW84)*1/($CQ84-1)))))</f>
        <v/>
      </c>
      <c r="BW84" s="88">
        <f>IF($CS84,"",IF($CT84,IF(N($AY84)&gt;0,N($AY84),""),IF(3&gt;$CQ84,"",IF($CQ84=1,$CW84,$CW84+($CX84-$CW84)*2/($CQ84-1)))))</f>
        <v/>
      </c>
      <c r="BX84" s="88">
        <f>IF($CS84,"",IF($CT84,IF(N($AZ84)&gt;0,N($AZ84),""),IF(4&gt;$CQ84,"",IF($CQ84=1,$CW84,$CW84+($CX84-$CW84)*3/($CQ84-1)))))</f>
        <v/>
      </c>
      <c r="BY84" s="88">
        <f>IF($CS84,"",IF($CT84,"",IF(5&gt;$CQ84,"",IF($CQ84=1,$CW84,$CW84+($CX84-$CW84)*4/($CQ84-1)))))</f>
        <v/>
      </c>
      <c r="BZ84" s="88">
        <f>IF(OR($CS84,$AP84="-",AND($AP84="",$AD84="")),"",IF(N($BA84)&gt;0,N($BA84),IF($CV84,IF(AND($BI84&lt;$CU84,$BI84-IF(N(VLOOKUP($AT84&amp;"|"&amp;$CU84,LocTable,7,FALSE))&gt;0,VLOOKUP($AT84&amp;"|"&amp;$CU84,LocTable,7,FALSE),VLOOKUP($AT84&amp;"|"&amp;$CU84,LocTable,6,FALSE))-$CR84-0.75&gt;=2.125),VLOOKUP($AT84&amp;"|"&amp;$CU84,LocTable,8,FALSE),VLOOKUP($AT84&amp;"|"&amp;$CU84,LocTable,8,FALSE)+($BI84-$CU84)),$BI84-LockAFF)))</f>
        <v/>
      </c>
      <c r="CA84" s="89">
        <f>IF($BZ84="","",$BI84-$BZ84)</f>
        <v/>
      </c>
      <c r="CB84" s="84">
        <f>IF(OR(NOT(AND($A84&lt;&gt;"",$C84&lt;&gt;"DOOR ONLY")),$BI84=""),"",IF(($BI84+IF(N($P84)&gt;0,$P84+FaceW,0))&lt;=90,3,IF(($BI84+IF(N($P84)&gt;0,$P84+FaceW,0))&lt;=114,4,5)))</f>
        <v/>
      </c>
      <c r="CC84" s="84">
        <f>IF($CB84="","",$CB84*(2+IF(N($Q84)&gt;0,IF($R84="LR",2,1),0)))</f>
        <v/>
      </c>
      <c r="CD84" s="84">
        <f>IF($CB84="","",(2+IF(N($Q84)&gt;0,IF($R84="LR",2,1),0)))</f>
        <v/>
      </c>
      <c r="CE84" s="84">
        <f>IF(N($BJ84)=0,"",IF(OR($AL84="",$AL84="FLUSH"),"FLUSH",IFERROR(LEFT($AL84,FIND("-",$AL84)-1),LEFT($AL84,2))))</f>
        <v/>
      </c>
      <c r="CF84" s="84">
        <f>IF($CE84="","",IFERROR(VALUE(MID($AL84,FIND("-",$AL84)+1,FIND(CHAR(34)&amp;"x",$AL84)-FIND("-",$AL84)-1)),0))</f>
        <v/>
      </c>
      <c r="CG84" s="84">
        <f>IF($CE84="","",IFERROR(VALUE(MID($AL84,FIND(CHAR(34)&amp;"x",$AL84)+2,FIND(CHAR(34),$AL84,FIND(CHAR(34)&amp;"x",$AL84)+2)-FIND(CHAR(34)&amp;"x",$AL84)-2)),0))</f>
        <v/>
      </c>
      <c r="CH84" s="90">
        <f>IF(OR($A84="",$H84="",$H84="NO LAB"),0,IFERROR(VALUE(LEFT($H84,FIND(" ",$H84)-1)),0))</f>
        <v/>
      </c>
      <c r="CI84" s="91">
        <f>IF(OR($A84="",$I84="",$I84="NON-RATED",N($J84)=0),"",IFERROR(VLOOKUP($I84&amp;"|"&amp;$J84,IBC,2,FALSE),"?"))</f>
        <v/>
      </c>
      <c r="CJ84" s="85">
        <f>IF(NOT(AND($A84&lt;&gt;"",$C84&lt;&gt;"DOOR ONLY")),"",TRIM(IFERROR(VLOOKUP($U84,CODES,2,FALSE),"")&amp;" "&amp;$BG84&amp;" "&amp;IFERROR(VLOOKUP($Z84,CODES,2,FALSE),"")&amp;" "&amp;IFERROR(VLOOKUP($X84,CODES,2,FALSE),"")&amp;" "&amp;IFERROR(VLOOKUP($S84,CODES,2,FALSE),"")&amp;IF(N($P84)&gt;0," w/TRANSOM "&amp;$P84&amp;CHAR(34),"")&amp;IF(N($Q84)&gt;0," w/SIDELITE "&amp;$Q84&amp;CHAR(34)&amp;" "&amp;IF($R84="","R",$R84),"")&amp;IF($Y84="","  |  "," | "&amp;IFERROR(VLOOKUP($Y84,CODES,2,FALSE),"")&amp;" | ")&amp;IFERROR(VLOOKUP($AC84,CODES,2,FALSE),"")&amp;" "&amp;IFERROR(VLOOKUP($AD84,CODES,2,FALSE),"")&amp;IF(OR($AE84="",$AE84="-"),""," "&amp;$AE84)&amp;IF(OR($AF84="",$AF84="-"),""," "&amp;$AF84)&amp;IF($AB84="Y"," 4"&amp;CHAR(34)&amp;" HEAD","")&amp;" "&amp;IFERROR(VLOOKUP($H84,CODES,2,FALSE),"")&amp;IF($CT84," | LOC "&amp;$CY84,"")))</f>
        <v/>
      </c>
      <c r="CK84" s="85">
        <f>IF(NOT(AND($A84&lt;&gt;"",N($BJ84)&gt;0)),"",TRIM(IFERROR(VLOOKUP($AH84,CODES,2,FALSE),"")&amp;IF($AI84=""," "," "&amp;$AI84&amp;"GA ")&amp;$BG84&amp;" "&amp;IF($AN84="",IFERROR(VLOOKUP($Z84,CODES,2,FALSE),""),IFERROR(VLOOKUP($AN84,CODES,2,FALSE),""))&amp;IF($BJ84=2," PAIR","")&amp;" DOOR | "&amp;IF($AL84="","?",$AL84)&amp;" | "&amp;IF($AO84="",IFERROR(VLOOKUP($AC84,CODES,2,FALSE),""),IFERROR(VLOOKUP($AO84,CODES,2,FALSE),""))&amp;" "&amp;IFERROR(VLOOKUP($AP84,CODES,2,FALSE),"")&amp;IF(OR($AQ84="",$AQ84="-"),""," SEAM "&amp;$AQ84)&amp;IF($AR84="Y"," ASTRAGAL","")&amp;IF($AJ84=""," "," "&amp;$AJ84)&amp;IF($AK84=""," "," "&amp;$AK84)&amp;IF(OR($AT84="",$AT84="ANSI/SDI",$AT84="CUSTOM LOC"),""," "&amp;$AT84)&amp;IF($AM84=""," "," SERIES "&amp;$AM84)&amp;" "&amp;IFERROR(VLOOKUP($H84,CODES,2,FALSE),"")&amp;IF($CT84," | LOC "&amp;$CZ84,"")))</f>
        <v/>
      </c>
      <c r="CL84" s="84">
        <f>IF(CP84="","",IF(COUNTIF($CP$6:CP84,CP84)=1,MAX($CL$5:CL83)+1,INDEX($CL$5:CL83,MATCH(CP84,$CP$5:CP83,0))))</f>
        <v/>
      </c>
      <c r="CM84" s="84">
        <f>IF(NOT(AND($A84&lt;&gt;"",$C84&lt;&gt;"DOOR ONLY")),"",MAX($CM$5:CM83)+1)</f>
        <v/>
      </c>
      <c r="CN84" s="84">
        <f>IF(NOT(AND($A84&lt;&gt;"",N($BJ84)&gt;0)),"",MAX($CN$5:CN83)+1)</f>
        <v/>
      </c>
      <c r="CO84" s="84">
        <f>IF($A84="","",MAX($CO$5:CO83)+1)</f>
        <v/>
      </c>
      <c r="CP84" s="84">
        <f>IF(OR($A84="",$BH84="",$BI84=""),"",$BG84&amp;"|"&amp;$O84&amp;"|"&amp;$AL84&amp;"|"&amp;$S84&amp;"|"&amp;$P84&amp;"|"&amp;$Q84&amp;$R84&amp;"|"&amp;$C84&amp;"|"&amp;$AB84)</f>
        <v/>
      </c>
      <c r="CQ84" s="84">
        <f>N($BS84)</f>
        <v/>
      </c>
      <c r="CR84" s="84">
        <f>IF(N($AU84)&gt;0,N($AU84),4.5)</f>
        <v/>
      </c>
      <c r="CS84" s="84">
        <f>OR($A84="",$BI84="",$S84="BL",AND($C84="FRAME ONLY",OR($AC84="",$AC84="BLK")))</f>
        <v/>
      </c>
      <c r="CT84" s="84">
        <f>AND(NOT($CS84),OR($AT84="CUSTOM LOC",N($AW84)+N($AX84)+N($AY84)+N($AZ84)+N($BA84)&gt;0))</f>
        <v/>
      </c>
      <c r="CU84" s="84">
        <f>IF($BI84="","",IF($BI84&lt;=80,80,IF($BI84&lt;=84,84,96)))</f>
        <v/>
      </c>
      <c r="CV84" s="84">
        <f>ISNUMBER(MATCH($AT84&amp;"|80",LocKeys,0))</f>
        <v/>
      </c>
      <c r="CW84" s="86">
        <f>IF($CS84,"",IF($CV84,VLOOKUP($AT84&amp;"|"&amp;$CU84,LocTable,4,FALSE),5))</f>
        <v/>
      </c>
      <c r="CX84" s="86">
        <f>IF($CS84,"",IF($CV84,IF(OR($BI84=$CU84,AND($BI84&lt;$CU84,$BI84-IF(N(VLOOKUP($AT84&amp;"|"&amp;$CU84,LocTable,7,FALSE))&gt;0,VLOOKUP($AT84&amp;"|"&amp;$CU84,LocTable,7,FALSE),VLOOKUP($AT84&amp;"|"&amp;$CU84,LocTable,6,FALSE))-$CR84-0.75&gt;=2.125)),IF(N(VLOOKUP($AT84&amp;"|"&amp;$CU84,LocTable,7,FALSE))&gt;0,VLOOKUP($AT84&amp;"|"&amp;$CU84,LocTable,7,FALSE),VLOOKUP($AT84&amp;"|"&amp;$CU84,LocTable,6,FALSE)),$BI84-($CU84-IF(N(VLOOKUP($AT84&amp;"|"&amp;$CU84,LocTable,7,FALSE))&gt;0,VLOOKUP($AT84&amp;"|"&amp;$CU84,LocTable,7,FALSE),VLOOKUP($AT84&amp;"|"&amp;$CU84,LocTable,6,FALSE)))),$BI84-10-$CR84))</f>
        <v/>
      </c>
      <c r="CY84" s="85">
        <f>IF($CS84,"",TRIM(IF(ISNUMBER($BU84),"A "&amp;TRIM(TEXT($BU84,"# ?/??"))&amp;CHAR(34)&amp;"  ","")&amp;IF(ISNUMBER($BV84),"B "&amp;TRIM(TEXT($BV84,"# ?/??"))&amp;CHAR(34)&amp;"  ","")&amp;IF(ISNUMBER($BW84),"C "&amp;TRIM(TEXT($BW84,"# ?/??"))&amp;CHAR(34)&amp;"  ","")&amp;IF(ISNUMBER($BX84),"D "&amp;TRIM(TEXT($BX84,"# ?/??"))&amp;CHAR(34)&amp;"  ","")&amp;IF(ISNUMBER($BY84),"F "&amp;TRIM(TEXT($BY84,"# ?/??"))&amp;CHAR(34)&amp;"  ","")&amp;IF(ISNUMBER($BZ84),"E "&amp;TRIM(TEXT($BZ84,"# ?/??"))&amp;CHAR(34)&amp;"  ","")))</f>
        <v/>
      </c>
      <c r="CZ84" s="85">
        <f>IF(OR($CS84,N($BJ84)=0),"",TRIM(IF(ISNUMBER($BU84),"A "&amp;TRIM(TEXT($BU84-HeadClr,"# ?/??"))&amp;CHAR(34)&amp;"  ","")&amp;IF(ISNUMBER($BV84),"B "&amp;TRIM(TEXT($BV84-HeadClr,"# ?/??"))&amp;CHAR(34)&amp;"  ","")&amp;IF(ISNUMBER($BW84),"C "&amp;TRIM(TEXT($BW84-HeadClr,"# ?/??"))&amp;CHAR(34)&amp;"  ","")&amp;IF(ISNUMBER($BX84),"D "&amp;TRIM(TEXT($BX84-HeadClr,"# ?/??"))&amp;CHAR(34)&amp;"  ","")&amp;IF(ISNUMBER($BY84),"F "&amp;TRIM(TEXT($BY84-HeadClr,"# ?/??"))&amp;CHAR(34)&amp;"  ","")&amp;IF(ISNUMBER($BZ84),"E "&amp;TRIM(TEXT($BZ84-HeadClr,"# ?/??"))&amp;CHAR(34)&amp;"  ","")))</f>
        <v/>
      </c>
      <c r="DA84" s="84">
        <f>IF($A84="","",IF($AN84="",IFERROR(VLOOKUP($Z84,CODES,2,FALSE),""),IFERROR(VLOOKUP($AN84,CODES,2,FALSE),"")))</f>
        <v/>
      </c>
      <c r="DB84" s="84">
        <f>IF($A84="","",IF($O84="Y","PR",IF(OR($Z84="L",$Z84="RR",LEFT($Z84,2)="L-",LEFT($Z84,3)="RR-"),"LH","RH")))</f>
        <v/>
      </c>
      <c r="DC84" s="84">
        <f>IF($A84="","","S.HM"&amp;IF(OR($C84="DOOR ONLY",$X84&lt;&gt;"KD"),"MASONRY","DRYWALL")&amp;IF($C84="DOOR ONLY","",$U84)&amp;IF(AND($C84&lt;&gt;"FRAME ONLY",OR(LEFT($AH84,3)="OAK",LEFT($AH84,3)="BIR",LEFT($AH84,3)="MAP",$AH84="PC",$AH84="MC",$AH84="SCLC",$AH84="P-LAM")),"WD","HM")&amp;"1.75")</f>
        <v/>
      </c>
      <c r="DD84" s="84">
        <f>IF($CJ84="","",IF($O84="Y",$CJ84,SUBSTITUTE($CJ84,$BG84&amp;" "&amp;IFERROR(VLOOKUP($Z84,CODES,2,FALSE),"")&amp;" ",$BG84&amp;" ")))</f>
        <v/>
      </c>
      <c r="DE84" s="84">
        <f>IF($CK84="","",IF($O84="Y",$CK84,SUBSTITUTE($CK84,$BG84&amp;" "&amp;IF($AN84="",IFERROR(VLOOKUP($Z84,CODES,2,FALSE),""),IFERROR(VLOOKUP($AN84,CODES,2,FALSE),""))&amp;" ",$BG84&amp;" ")))</f>
        <v/>
      </c>
      <c r="DF84" s="84">
        <f>IF($CJ84="","",$DC84&amp;"|"&amp;$DD84&amp;"|"&amp;$DB84&amp;"|"&amp;$AT84&amp;"|"&amp;$V84&amp;"|"&amp;$Y84&amp;"|"&amp;$AB84)</f>
        <v/>
      </c>
      <c r="DG84" s="84">
        <f>IF(DF84="","",IF(COUNTIF($DF$6:DF84,DF84)=1,MAX($DG$5:DG83)+1,INDEX($DG$5:DG83,MATCH(DF84,$DF$5:DF83,0))))</f>
        <v/>
      </c>
      <c r="DH84" s="84">
        <f>IF($CK84="","",$DC84&amp;"|"&amp;$DE84&amp;"|"&amp;$AI84&amp;"|"&amp;$BK84&amp;"|"&amp;$BL84)</f>
        <v/>
      </c>
      <c r="DI84" s="84">
        <f>IF(DH84="","",IF(COUNTIF($DH$6:DH84,DH84)=1,MAX($DI$5:DI83)+1,INDEX($DI$5:DI83,MATCH(DH84,$DH$5:DH83,0))))</f>
        <v/>
      </c>
      <c r="DJ84" s="84">
        <f>IF($A84="","",IF($B84="","qty, ","")&amp;IF($C84="","scope, ","")&amp;IF(OR($K84="",$M84=""),"size, ","")&amp;IF(AND($A84&lt;&gt;"",$C84&lt;&gt;"DOOR ONLY"),IF($U84="","jamb depth, ","")&amp;IF($X84="","construction, ","")&amp;IF($Y84="","anchor, ","")&amp;IF($S84="","frame type, ",""),"")&amp;IF(AND(N($BJ84)&gt;0,$Z84=""),"hand, ","")&amp;IF(N($BJ84)&gt;0,IF($AH84="","door material, ","")&amp;IF($AL84="","face type, ","")&amp;IF($AP84="","lock prep, ","")&amp;IF(AND($AO84="",$AC84=""),"hinge prep, ",""),"")&amp;IF(AND($CH84&gt;0,$AH84="FRP"),"FRP cannot carry a label, ","")&amp;IF(AND($O84="Y",OR($Z84="L",$Z84="R",$Z84="LR",$Z84="RR")),"pair marked but hand is single, ","")&amp;IF(AND($O84&lt;&gt;"Y",OR($Z84="PR",AND(LEN($Z84)&gt;1,ISNUMBER(SEARCH("-",$Z84))))),"pair hand on a single door, ","")&amp;IF(AND(ISNUMBER($CI84),$CH84&lt;N($CI84)),"wall needs a "&amp;$CI84&amp;" min door, ","")&amp;IF(AND($CH84&gt;=180,AND(OR($CE84="FG",$CE84="HG",$CE84="FNV",$CE84="FV"),N($CF84)*N($CG84)&gt;100)),"180 min lite over 100 sq in, ","")&amp;IF(N($BK84)&gt;48,"leaf wider than 4'-0"&amp;CHAR(34)&amp;", ","")&amp;IF(AND($CT84,COUNT($AW84:$AZ84)=0,$CQ84&gt;0),"CUSTOM LOC with no locations typed, ",""))</f>
        <v/>
      </c>
      <c r="DK84" s="84">
        <f>IF($A84="","",IF(AND($CH84&gt;0,AND($A84&lt;&gt;"",$C84&lt;&gt;"DOOR ONLY"),$X84="KD",$E84="EXTERIOR"),"KD label on an exterior opening, ","")&amp;IF(AND($E84="EXTERIOR",OR(AND(AND($A84&lt;&gt;"",$C84&lt;&gt;"DOOR ONLY"),$W84="CR"),AND(N($BJ84)&gt;0,$AH84="CR"))),"exterior in CR steel (G9?), ","")&amp;IF(AND(ISNUMBER($BQ84),N($BQ84)&lt;32),"clear width ~"&amp;TEXT($BQ84,"0.0")&amp;CHAR(34)&amp;" under 32"&amp;CHAR(34)&amp;" (ADA), ","")&amp;IF(AND($CH84=90,AND(OR($CE84="FG",$CE84="HG",$CE84="FNV",$CE84="FV"),N($CF84)*N($CG84)&gt;100)),"90 min lite over 100 sq in (stair/exit), ","")&amp;IF(AND($CH84&gt;0,AND($A84&lt;&gt;"",$C84&lt;&gt;"DOOR ONLY"),OR($AF84="",$AF84="-")),"rated: closer reinf.?, ","")&amp;IF(OR($I84="CORRIDOR",$I84="SMOKE BARRIER"),"S label + smoke gasketing, ","")&amp;IF($CI84="?","wall type/hr not in IBC table, ","")&amp;IF(AND(N($BJ84)&gt;0,$BB84=""),"no hardware set, ","")&amp;IF(AND($BB84&lt;&gt;"",ISNA(MATCH($BB84&amp;"",HWSets,0))),"set "&amp;$BB84&amp;" not on HW Sets, ","")&amp;IF(N($BL84)&gt;96,"leaf over 8'-0"&amp;CHAR(34)&amp;" - check listing, ","")&amp;IF(AND($CT84,COUNT($AW84:$AZ84)&gt;0,COUNT($AW84:$AZ84)&lt;&gt;$CQ84),COUNT($AW84:$AZ84)&amp;" custom hinges typed, "&amp;$CQ84&amp;" expected, ","")&amp;IF(AND(ISNUMBER($CA84),OR(N($CA84)&lt;34,N($CA84)&gt;48)),"lock "&amp;TEXT($CA84,"0.0")&amp;CHAR(34)&amp;" AFF outside 34-48"&amp;CHAR(34)&amp;" (ADA), ","")&amp;IF(AND(ISNUMBER($AV84),ISNUMBER($BL84),N($AV84)&lt;IF(N($BL84)&lt;=60,2,IF(N($BL84)&lt;=90,3,IF(N($BL84)&lt;=120,4,5)))),"fewer hinges than standard, ",""))</f>
        <v/>
      </c>
    </row>
    <row r="85" ht="15" customHeight="1">
      <c r="A85" s="92" t="n"/>
      <c r="B85" s="93" t="n"/>
      <c r="C85" s="93" t="n"/>
      <c r="D85" s="93" t="n"/>
      <c r="E85" s="93" t="n"/>
      <c r="F85" s="93" t="n"/>
      <c r="G85" s="93" t="n"/>
      <c r="H85" s="93" t="n"/>
      <c r="I85" s="93" t="n"/>
      <c r="J85" s="93" t="n"/>
      <c r="K85" s="93" t="n"/>
      <c r="L85" s="93" t="n"/>
      <c r="M85" s="93" t="n"/>
      <c r="N85" s="93" t="n"/>
      <c r="O85" s="93" t="n"/>
      <c r="P85" s="93" t="n"/>
      <c r="Q85" s="93" t="n"/>
      <c r="R85" s="93" t="n"/>
      <c r="S85" s="94" t="n"/>
      <c r="T85" s="94" t="n"/>
      <c r="U85" s="94" t="n"/>
      <c r="V85" s="94" t="n"/>
      <c r="W85" s="94" t="n"/>
      <c r="X85" s="94" t="n"/>
      <c r="Y85" s="94" t="n"/>
      <c r="Z85" s="94" t="n"/>
      <c r="AA85" s="94" t="n"/>
      <c r="AB85" s="94" t="n"/>
      <c r="AC85" s="94" t="n"/>
      <c r="AD85" s="94" t="n"/>
      <c r="AE85" s="94" t="n"/>
      <c r="AF85" s="94" t="n"/>
      <c r="AG85" s="94" t="n"/>
      <c r="AH85" s="95" t="n"/>
      <c r="AI85" s="95" t="n"/>
      <c r="AJ85" s="95" t="n"/>
      <c r="AK85" s="95" t="n"/>
      <c r="AL85" s="95" t="n"/>
      <c r="AM85" s="95" t="n"/>
      <c r="AN85" s="95" t="n"/>
      <c r="AO85" s="95" t="n"/>
      <c r="AP85" s="95" t="n"/>
      <c r="AQ85" s="95" t="n"/>
      <c r="AR85" s="95" t="n"/>
      <c r="AS85" s="95" t="n"/>
      <c r="AT85" s="96" t="n"/>
      <c r="AU85" s="96" t="n"/>
      <c r="AV85" s="96" t="n"/>
      <c r="AW85" s="97" t="n"/>
      <c r="AX85" s="97" t="n"/>
      <c r="AY85" s="97" t="n"/>
      <c r="AZ85" s="97" t="n"/>
      <c r="BA85" s="97" t="n"/>
      <c r="BB85" s="98" t="n"/>
      <c r="BC85" s="98" t="n"/>
      <c r="BD85" s="99">
        <f>IF($A85="","",IF($DJ85&lt;&gt;"","FIX",IF($DK85&lt;&gt;"","CHECK","OK")))</f>
        <v/>
      </c>
      <c r="BE85" s="100">
        <f>IF($A85="","",IF($DJ85&lt;&gt;"","FIX: "&amp;LEFT($DJ85,LEN($DJ85)-2)&amp;IF($DK85&lt;&gt;"","  ·  ",""),"")&amp;IF($DK85&lt;&gt;"","CHECK: "&amp;LEFT($DK85,LEN($DK85)-2),""))</f>
        <v/>
      </c>
      <c r="BF85" s="99">
        <f>IF(OR($A85="",$K85=""),"",$K85&amp;"'-"&amp;N($L85)&amp;CHAR(34)&amp;" x "&amp;$M85&amp;"'-"&amp;N($N85)&amp;CHAR(34))</f>
        <v/>
      </c>
      <c r="BG85" s="99">
        <f>IF(OR($A85="",$K85=""),"",$K85&amp;N($L85)&amp;$M85&amp;N($N85))</f>
        <v/>
      </c>
      <c r="BH85" s="99">
        <f>IF(OR($A85="",$K85=""),"",$K85*12+N($L85))</f>
        <v/>
      </c>
      <c r="BI85" s="99">
        <f>IF(OR($A85="",$M85=""),"",$M85*12+N($N85))</f>
        <v/>
      </c>
      <c r="BJ85" s="99">
        <f>IF($A85="","",IF(OR($C85="FRAME ONLY",$S85="BL"),0,IF($O85="Y",2,1)))</f>
        <v/>
      </c>
      <c r="BK85" s="101">
        <f>IF(OR(N($BJ85)=0,$BH85=""),"",($BH85-2*EdgeClr-IF($BJ85=2,MeetClr,0))/$BJ85)</f>
        <v/>
      </c>
      <c r="BL85" s="101">
        <f>IF(OR(N($BJ85)=0,$BI85=""),"",$BI85-HeadClr-Undercut)</f>
        <v/>
      </c>
      <c r="BM85" s="101">
        <f>IF($BH85="","",$BH85+2*FaceW+IF(N($Q85)&gt;0,($Q85+FaceW)*IF($R85="LR",2,1),0))</f>
        <v/>
      </c>
      <c r="BN85" s="101">
        <f>IF($BI85="","",$BI85+IF($AB85="Y",4,FaceW)+IF(N($P85)&gt;0,$P85+FaceW,0)+IF(OR($S85="4F",$S85="BL"),FaceW,0))</f>
        <v/>
      </c>
      <c r="BO85" s="101">
        <f>IF($BM85="","",$BM85+2*ROSide)</f>
        <v/>
      </c>
      <c r="BP85" s="101">
        <f>IF($BN85="","",$BN85+ROTop)</f>
        <v/>
      </c>
      <c r="BQ85" s="102">
        <f>IF(OR(N($BJ85)=0,$BH85=""),"",$BH85/$BJ85-ClearDeduct)</f>
        <v/>
      </c>
      <c r="BR85" s="99">
        <f>IF(N($CH85)=0,"",IF($CH85&gt;=180,"A · 3 HR",IF($CH85&gt;=90,"B · 1-1/2 HR",IF($CH85&gt;=60,"B · 1 HR",IF($CH85&gt;=45,"C · 3/4 HR","20 MIN")))))&amp;IF(AND(N($CH85)&gt;0,OR($I85="CORRIDOR",$I85="SMOKE BARRIER"))," · S","")</f>
        <v/>
      </c>
      <c r="BS85" s="99">
        <f>IF($CS85,"",IF($AV85&lt;&gt;"",$AV85,IF(OR($AC85="HGC",$AO85="HGC"),"CONT",IF(($BI85-HeadClr-Undercut)&lt;=60,2,IF(($BI85-HeadClr-Undercut)&lt;=90,3,IF(($BI85-HeadClr-Undercut)&lt;=120,4,5))))))</f>
        <v/>
      </c>
      <c r="BT85" s="99">
        <f>IF($CS85,"",IF($CT85,"CUSTOM (typed)",IF($CV85,$AT85&amp;" "&amp;$CU85&amp;CHAR(34)&amp;IF($CU85&lt;&gt;$BI85,IF(AND($BI85&lt;$CU85,$BI85-IF(N(VLOOKUP($AT85&amp;"|"&amp;$CU85,LocTable,7,FALSE))&gt;0,VLOOKUP($AT85&amp;"|"&amp;$CU85,LocTable,7,FALSE),VLOOKUP($AT85&amp;"|"&amp;$CU85,LocTable,6,FALSE))-$CR85-0.75&gt;=2.125)," cut down"," adj."),""),"ANSI/SDI A250.6")))</f>
        <v/>
      </c>
      <c r="BU85" s="103">
        <f>IF($CS85,"",IF($CT85,IF(N($AW85)&gt;0,N($AW85),""),IF(1&gt;$CQ85,"",IF($CQ85=1,$CW85,$CW85+($CX85-$CW85)*0/($CQ85-1)))))</f>
        <v/>
      </c>
      <c r="BV85" s="103">
        <f>IF($CS85,"",IF($CT85,IF(N($AX85)&gt;0,N($AX85),""),IF(2&gt;$CQ85,"",IF($CQ85=1,$CW85,$CW85+($CX85-$CW85)*1/($CQ85-1)))))</f>
        <v/>
      </c>
      <c r="BW85" s="103">
        <f>IF($CS85,"",IF($CT85,IF(N($AY85)&gt;0,N($AY85),""),IF(3&gt;$CQ85,"",IF($CQ85=1,$CW85,$CW85+($CX85-$CW85)*2/($CQ85-1)))))</f>
        <v/>
      </c>
      <c r="BX85" s="103">
        <f>IF($CS85,"",IF($CT85,IF(N($AZ85)&gt;0,N($AZ85),""),IF(4&gt;$CQ85,"",IF($CQ85=1,$CW85,$CW85+($CX85-$CW85)*3/($CQ85-1)))))</f>
        <v/>
      </c>
      <c r="BY85" s="103">
        <f>IF($CS85,"",IF($CT85,"",IF(5&gt;$CQ85,"",IF($CQ85=1,$CW85,$CW85+($CX85-$CW85)*4/($CQ85-1)))))</f>
        <v/>
      </c>
      <c r="BZ85" s="103">
        <f>IF(OR($CS85,$AP85="-",AND($AP85="",$AD85="")),"",IF(N($BA85)&gt;0,N($BA85),IF($CV85,IF(AND($BI85&lt;$CU85,$BI85-IF(N(VLOOKUP($AT85&amp;"|"&amp;$CU85,LocTable,7,FALSE))&gt;0,VLOOKUP($AT85&amp;"|"&amp;$CU85,LocTable,7,FALSE),VLOOKUP($AT85&amp;"|"&amp;$CU85,LocTable,6,FALSE))-$CR85-0.75&gt;=2.125),VLOOKUP($AT85&amp;"|"&amp;$CU85,LocTable,8,FALSE),VLOOKUP($AT85&amp;"|"&amp;$CU85,LocTable,8,FALSE)+($BI85-$CU85)),$BI85-LockAFF)))</f>
        <v/>
      </c>
      <c r="CA85" s="104">
        <f>IF($BZ85="","",$BI85-$BZ85)</f>
        <v/>
      </c>
      <c r="CB85" s="99">
        <f>IF(OR(NOT(AND($A85&lt;&gt;"",$C85&lt;&gt;"DOOR ONLY")),$BI85=""),"",IF(($BI85+IF(N($P85)&gt;0,$P85+FaceW,0))&lt;=90,3,IF(($BI85+IF(N($P85)&gt;0,$P85+FaceW,0))&lt;=114,4,5)))</f>
        <v/>
      </c>
      <c r="CC85" s="99">
        <f>IF($CB85="","",$CB85*(2+IF(N($Q85)&gt;0,IF($R85="LR",2,1),0)))</f>
        <v/>
      </c>
      <c r="CD85" s="99">
        <f>IF($CB85="","",(2+IF(N($Q85)&gt;0,IF($R85="LR",2,1),0)))</f>
        <v/>
      </c>
      <c r="CE85" s="99">
        <f>IF(N($BJ85)=0,"",IF(OR($AL85="",$AL85="FLUSH"),"FLUSH",IFERROR(LEFT($AL85,FIND("-",$AL85)-1),LEFT($AL85,2))))</f>
        <v/>
      </c>
      <c r="CF85" s="99">
        <f>IF($CE85="","",IFERROR(VALUE(MID($AL85,FIND("-",$AL85)+1,FIND(CHAR(34)&amp;"x",$AL85)-FIND("-",$AL85)-1)),0))</f>
        <v/>
      </c>
      <c r="CG85" s="99">
        <f>IF($CE85="","",IFERROR(VALUE(MID($AL85,FIND(CHAR(34)&amp;"x",$AL85)+2,FIND(CHAR(34),$AL85,FIND(CHAR(34)&amp;"x",$AL85)+2)-FIND(CHAR(34)&amp;"x",$AL85)-2)),0))</f>
        <v/>
      </c>
      <c r="CH85" s="105">
        <f>IF(OR($A85="",$H85="",$H85="NO LAB"),0,IFERROR(VALUE(LEFT($H85,FIND(" ",$H85)-1)),0))</f>
        <v/>
      </c>
      <c r="CI85" s="106">
        <f>IF(OR($A85="",$I85="",$I85="NON-RATED",N($J85)=0),"",IFERROR(VLOOKUP($I85&amp;"|"&amp;$J85,IBC,2,FALSE),"?"))</f>
        <v/>
      </c>
      <c r="CJ85" s="100">
        <f>IF(NOT(AND($A85&lt;&gt;"",$C85&lt;&gt;"DOOR ONLY")),"",TRIM(IFERROR(VLOOKUP($U85,CODES,2,FALSE),"")&amp;" "&amp;$BG85&amp;" "&amp;IFERROR(VLOOKUP($Z85,CODES,2,FALSE),"")&amp;" "&amp;IFERROR(VLOOKUP($X85,CODES,2,FALSE),"")&amp;" "&amp;IFERROR(VLOOKUP($S85,CODES,2,FALSE),"")&amp;IF(N($P85)&gt;0," w/TRANSOM "&amp;$P85&amp;CHAR(34),"")&amp;IF(N($Q85)&gt;0," w/SIDELITE "&amp;$Q85&amp;CHAR(34)&amp;" "&amp;IF($R85="","R",$R85),"")&amp;IF($Y85="","  |  "," | "&amp;IFERROR(VLOOKUP($Y85,CODES,2,FALSE),"")&amp;" | ")&amp;IFERROR(VLOOKUP($AC85,CODES,2,FALSE),"")&amp;" "&amp;IFERROR(VLOOKUP($AD85,CODES,2,FALSE),"")&amp;IF(OR($AE85="",$AE85="-"),""," "&amp;$AE85)&amp;IF(OR($AF85="",$AF85="-"),""," "&amp;$AF85)&amp;IF($AB85="Y"," 4"&amp;CHAR(34)&amp;" HEAD","")&amp;" "&amp;IFERROR(VLOOKUP($H85,CODES,2,FALSE),"")&amp;IF($CT85," | LOC "&amp;$CY85,"")))</f>
        <v/>
      </c>
      <c r="CK85" s="100">
        <f>IF(NOT(AND($A85&lt;&gt;"",N($BJ85)&gt;0)),"",TRIM(IFERROR(VLOOKUP($AH85,CODES,2,FALSE),"")&amp;IF($AI85=""," "," "&amp;$AI85&amp;"GA ")&amp;$BG85&amp;" "&amp;IF($AN85="",IFERROR(VLOOKUP($Z85,CODES,2,FALSE),""),IFERROR(VLOOKUP($AN85,CODES,2,FALSE),""))&amp;IF($BJ85=2," PAIR","")&amp;" DOOR | "&amp;IF($AL85="","?",$AL85)&amp;" | "&amp;IF($AO85="",IFERROR(VLOOKUP($AC85,CODES,2,FALSE),""),IFERROR(VLOOKUP($AO85,CODES,2,FALSE),""))&amp;" "&amp;IFERROR(VLOOKUP($AP85,CODES,2,FALSE),"")&amp;IF(OR($AQ85="",$AQ85="-"),""," SEAM "&amp;$AQ85)&amp;IF($AR85="Y"," ASTRAGAL","")&amp;IF($AJ85=""," "," "&amp;$AJ85)&amp;IF($AK85=""," "," "&amp;$AK85)&amp;IF(OR($AT85="",$AT85="ANSI/SDI",$AT85="CUSTOM LOC"),""," "&amp;$AT85)&amp;IF($AM85=""," "," SERIES "&amp;$AM85)&amp;" "&amp;IFERROR(VLOOKUP($H85,CODES,2,FALSE),"")&amp;IF($CT85," | LOC "&amp;$CZ85,"")))</f>
        <v/>
      </c>
      <c r="CL85" s="99">
        <f>IF(CP85="","",IF(COUNTIF($CP$6:CP85,CP85)=1,MAX($CL$5:CL84)+1,INDEX($CL$5:CL84,MATCH(CP85,$CP$5:CP84,0))))</f>
        <v/>
      </c>
      <c r="CM85" s="99">
        <f>IF(NOT(AND($A85&lt;&gt;"",$C85&lt;&gt;"DOOR ONLY")),"",MAX($CM$5:CM84)+1)</f>
        <v/>
      </c>
      <c r="CN85" s="99">
        <f>IF(NOT(AND($A85&lt;&gt;"",N($BJ85)&gt;0)),"",MAX($CN$5:CN84)+1)</f>
        <v/>
      </c>
      <c r="CO85" s="99">
        <f>IF($A85="","",MAX($CO$5:CO84)+1)</f>
        <v/>
      </c>
      <c r="CP85" s="99">
        <f>IF(OR($A85="",$BH85="",$BI85=""),"",$BG85&amp;"|"&amp;$O85&amp;"|"&amp;$AL85&amp;"|"&amp;$S85&amp;"|"&amp;$P85&amp;"|"&amp;$Q85&amp;$R85&amp;"|"&amp;$C85&amp;"|"&amp;$AB85)</f>
        <v/>
      </c>
      <c r="CQ85" s="99">
        <f>N($BS85)</f>
        <v/>
      </c>
      <c r="CR85" s="99">
        <f>IF(N($AU85)&gt;0,N($AU85),4.5)</f>
        <v/>
      </c>
      <c r="CS85" s="99">
        <f>OR($A85="",$BI85="",$S85="BL",AND($C85="FRAME ONLY",OR($AC85="",$AC85="BLK")))</f>
        <v/>
      </c>
      <c r="CT85" s="99">
        <f>AND(NOT($CS85),OR($AT85="CUSTOM LOC",N($AW85)+N($AX85)+N($AY85)+N($AZ85)+N($BA85)&gt;0))</f>
        <v/>
      </c>
      <c r="CU85" s="99">
        <f>IF($BI85="","",IF($BI85&lt;=80,80,IF($BI85&lt;=84,84,96)))</f>
        <v/>
      </c>
      <c r="CV85" s="99">
        <f>ISNUMBER(MATCH($AT85&amp;"|80",LocKeys,0))</f>
        <v/>
      </c>
      <c r="CW85" s="101">
        <f>IF($CS85,"",IF($CV85,VLOOKUP($AT85&amp;"|"&amp;$CU85,LocTable,4,FALSE),5))</f>
        <v/>
      </c>
      <c r="CX85" s="101">
        <f>IF($CS85,"",IF($CV85,IF(OR($BI85=$CU85,AND($BI85&lt;$CU85,$BI85-IF(N(VLOOKUP($AT85&amp;"|"&amp;$CU85,LocTable,7,FALSE))&gt;0,VLOOKUP($AT85&amp;"|"&amp;$CU85,LocTable,7,FALSE),VLOOKUP($AT85&amp;"|"&amp;$CU85,LocTable,6,FALSE))-$CR85-0.75&gt;=2.125)),IF(N(VLOOKUP($AT85&amp;"|"&amp;$CU85,LocTable,7,FALSE))&gt;0,VLOOKUP($AT85&amp;"|"&amp;$CU85,LocTable,7,FALSE),VLOOKUP($AT85&amp;"|"&amp;$CU85,LocTable,6,FALSE)),$BI85-($CU85-IF(N(VLOOKUP($AT85&amp;"|"&amp;$CU85,LocTable,7,FALSE))&gt;0,VLOOKUP($AT85&amp;"|"&amp;$CU85,LocTable,7,FALSE),VLOOKUP($AT85&amp;"|"&amp;$CU85,LocTable,6,FALSE)))),$BI85-10-$CR85))</f>
        <v/>
      </c>
      <c r="CY85" s="100">
        <f>IF($CS85,"",TRIM(IF(ISNUMBER($BU85),"A "&amp;TRIM(TEXT($BU85,"# ?/??"))&amp;CHAR(34)&amp;"  ","")&amp;IF(ISNUMBER($BV85),"B "&amp;TRIM(TEXT($BV85,"# ?/??"))&amp;CHAR(34)&amp;"  ","")&amp;IF(ISNUMBER($BW85),"C "&amp;TRIM(TEXT($BW85,"# ?/??"))&amp;CHAR(34)&amp;"  ","")&amp;IF(ISNUMBER($BX85),"D "&amp;TRIM(TEXT($BX85,"# ?/??"))&amp;CHAR(34)&amp;"  ","")&amp;IF(ISNUMBER($BY85),"F "&amp;TRIM(TEXT($BY85,"# ?/??"))&amp;CHAR(34)&amp;"  ","")&amp;IF(ISNUMBER($BZ85),"E "&amp;TRIM(TEXT($BZ85,"# ?/??"))&amp;CHAR(34)&amp;"  ","")))</f>
        <v/>
      </c>
      <c r="CZ85" s="100">
        <f>IF(OR($CS85,N($BJ85)=0),"",TRIM(IF(ISNUMBER($BU85),"A "&amp;TRIM(TEXT($BU85-HeadClr,"# ?/??"))&amp;CHAR(34)&amp;"  ","")&amp;IF(ISNUMBER($BV85),"B "&amp;TRIM(TEXT($BV85-HeadClr,"# ?/??"))&amp;CHAR(34)&amp;"  ","")&amp;IF(ISNUMBER($BW85),"C "&amp;TRIM(TEXT($BW85-HeadClr,"# ?/??"))&amp;CHAR(34)&amp;"  ","")&amp;IF(ISNUMBER($BX85),"D "&amp;TRIM(TEXT($BX85-HeadClr,"# ?/??"))&amp;CHAR(34)&amp;"  ","")&amp;IF(ISNUMBER($BY85),"F "&amp;TRIM(TEXT($BY85-HeadClr,"# ?/??"))&amp;CHAR(34)&amp;"  ","")&amp;IF(ISNUMBER($BZ85),"E "&amp;TRIM(TEXT($BZ85-HeadClr,"# ?/??"))&amp;CHAR(34)&amp;"  ","")))</f>
        <v/>
      </c>
      <c r="DA85" s="99">
        <f>IF($A85="","",IF($AN85="",IFERROR(VLOOKUP($Z85,CODES,2,FALSE),""),IFERROR(VLOOKUP($AN85,CODES,2,FALSE),"")))</f>
        <v/>
      </c>
      <c r="DB85" s="99">
        <f>IF($A85="","",IF($O85="Y","PR",IF(OR($Z85="L",$Z85="RR",LEFT($Z85,2)="L-",LEFT($Z85,3)="RR-"),"LH","RH")))</f>
        <v/>
      </c>
      <c r="DC85" s="99">
        <f>IF($A85="","","S.HM"&amp;IF(OR($C85="DOOR ONLY",$X85&lt;&gt;"KD"),"MASONRY","DRYWALL")&amp;IF($C85="DOOR ONLY","",$U85)&amp;IF(AND($C85&lt;&gt;"FRAME ONLY",OR(LEFT($AH85,3)="OAK",LEFT($AH85,3)="BIR",LEFT($AH85,3)="MAP",$AH85="PC",$AH85="MC",$AH85="SCLC",$AH85="P-LAM")),"WD","HM")&amp;"1.75")</f>
        <v/>
      </c>
      <c r="DD85" s="99">
        <f>IF($CJ85="","",IF($O85="Y",$CJ85,SUBSTITUTE($CJ85,$BG85&amp;" "&amp;IFERROR(VLOOKUP($Z85,CODES,2,FALSE),"")&amp;" ",$BG85&amp;" ")))</f>
        <v/>
      </c>
      <c r="DE85" s="99">
        <f>IF($CK85="","",IF($O85="Y",$CK85,SUBSTITUTE($CK85,$BG85&amp;" "&amp;IF($AN85="",IFERROR(VLOOKUP($Z85,CODES,2,FALSE),""),IFERROR(VLOOKUP($AN85,CODES,2,FALSE),""))&amp;" ",$BG85&amp;" ")))</f>
        <v/>
      </c>
      <c r="DF85" s="99">
        <f>IF($CJ85="","",$DC85&amp;"|"&amp;$DD85&amp;"|"&amp;$DB85&amp;"|"&amp;$AT85&amp;"|"&amp;$V85&amp;"|"&amp;$Y85&amp;"|"&amp;$AB85)</f>
        <v/>
      </c>
      <c r="DG85" s="99">
        <f>IF(DF85="","",IF(COUNTIF($DF$6:DF85,DF85)=1,MAX($DG$5:DG84)+1,INDEX($DG$5:DG84,MATCH(DF85,$DF$5:DF84,0))))</f>
        <v/>
      </c>
      <c r="DH85" s="99">
        <f>IF($CK85="","",$DC85&amp;"|"&amp;$DE85&amp;"|"&amp;$AI85&amp;"|"&amp;$BK85&amp;"|"&amp;$BL85)</f>
        <v/>
      </c>
      <c r="DI85" s="99">
        <f>IF(DH85="","",IF(COUNTIF($DH$6:DH85,DH85)=1,MAX($DI$5:DI84)+1,INDEX($DI$5:DI84,MATCH(DH85,$DH$5:DH84,0))))</f>
        <v/>
      </c>
      <c r="DJ85" s="99">
        <f>IF($A85="","",IF($B85="","qty, ","")&amp;IF($C85="","scope, ","")&amp;IF(OR($K85="",$M85=""),"size, ","")&amp;IF(AND($A85&lt;&gt;"",$C85&lt;&gt;"DOOR ONLY"),IF($U85="","jamb depth, ","")&amp;IF($X85="","construction, ","")&amp;IF($Y85="","anchor, ","")&amp;IF($S85="","frame type, ",""),"")&amp;IF(AND(N($BJ85)&gt;0,$Z85=""),"hand, ","")&amp;IF(N($BJ85)&gt;0,IF($AH85="","door material, ","")&amp;IF($AL85="","face type, ","")&amp;IF($AP85="","lock prep, ","")&amp;IF(AND($AO85="",$AC85=""),"hinge prep, ",""),"")&amp;IF(AND($CH85&gt;0,$AH85="FRP"),"FRP cannot carry a label, ","")&amp;IF(AND($O85="Y",OR($Z85="L",$Z85="R",$Z85="LR",$Z85="RR")),"pair marked but hand is single, ","")&amp;IF(AND($O85&lt;&gt;"Y",OR($Z85="PR",AND(LEN($Z85)&gt;1,ISNUMBER(SEARCH("-",$Z85))))),"pair hand on a single door, ","")&amp;IF(AND(ISNUMBER($CI85),$CH85&lt;N($CI85)),"wall needs a "&amp;$CI85&amp;" min door, ","")&amp;IF(AND($CH85&gt;=180,AND(OR($CE85="FG",$CE85="HG",$CE85="FNV",$CE85="FV"),N($CF85)*N($CG85)&gt;100)),"180 min lite over 100 sq in, ","")&amp;IF(N($BK85)&gt;48,"leaf wider than 4'-0"&amp;CHAR(34)&amp;", ","")&amp;IF(AND($CT85,COUNT($AW85:$AZ85)=0,$CQ85&gt;0),"CUSTOM LOC with no locations typed, ",""))</f>
        <v/>
      </c>
      <c r="DK85" s="99">
        <f>IF($A85="","",IF(AND($CH85&gt;0,AND($A85&lt;&gt;"",$C85&lt;&gt;"DOOR ONLY"),$X85="KD",$E85="EXTERIOR"),"KD label on an exterior opening, ","")&amp;IF(AND($E85="EXTERIOR",OR(AND(AND($A85&lt;&gt;"",$C85&lt;&gt;"DOOR ONLY"),$W85="CR"),AND(N($BJ85)&gt;0,$AH85="CR"))),"exterior in CR steel (G9?), ","")&amp;IF(AND(ISNUMBER($BQ85),N($BQ85)&lt;32),"clear width ~"&amp;TEXT($BQ85,"0.0")&amp;CHAR(34)&amp;" under 32"&amp;CHAR(34)&amp;" (ADA), ","")&amp;IF(AND($CH85=90,AND(OR($CE85="FG",$CE85="HG",$CE85="FNV",$CE85="FV"),N($CF85)*N($CG85)&gt;100)),"90 min lite over 100 sq in (stair/exit), ","")&amp;IF(AND($CH85&gt;0,AND($A85&lt;&gt;"",$C85&lt;&gt;"DOOR ONLY"),OR($AF85="",$AF85="-")),"rated: closer reinf.?, ","")&amp;IF(OR($I85="CORRIDOR",$I85="SMOKE BARRIER"),"S label + smoke gasketing, ","")&amp;IF($CI85="?","wall type/hr not in IBC table, ","")&amp;IF(AND(N($BJ85)&gt;0,$BB85=""),"no hardware set, ","")&amp;IF(AND($BB85&lt;&gt;"",ISNA(MATCH($BB85&amp;"",HWSets,0))),"set "&amp;$BB85&amp;" not on HW Sets, ","")&amp;IF(N($BL85)&gt;96,"leaf over 8'-0"&amp;CHAR(34)&amp;" - check listing, ","")&amp;IF(AND($CT85,COUNT($AW85:$AZ85)&gt;0,COUNT($AW85:$AZ85)&lt;&gt;$CQ85),COUNT($AW85:$AZ85)&amp;" custom hinges typed, "&amp;$CQ85&amp;" expected, ","")&amp;IF(AND(ISNUMBER($CA85),OR(N($CA85)&lt;34,N($CA85)&gt;48)),"lock "&amp;TEXT($CA85,"0.0")&amp;CHAR(34)&amp;" AFF outside 34-48"&amp;CHAR(34)&amp;" (ADA), ","")&amp;IF(AND(ISNUMBER($AV85),ISNUMBER($BL85),N($AV85)&lt;IF(N($BL85)&lt;=60,2,IF(N($BL85)&lt;=90,3,IF(N($BL85)&lt;=120,4,5)))),"fewer hinges than standard, ",""))</f>
        <v/>
      </c>
    </row>
    <row r="86" ht="15" customHeight="1">
      <c r="A86" s="77" t="n"/>
      <c r="B86" s="78" t="n"/>
      <c r="C86" s="78" t="n"/>
      <c r="D86" s="78" t="n"/>
      <c r="E86" s="78" t="n"/>
      <c r="F86" s="78" t="n"/>
      <c r="G86" s="78" t="n"/>
      <c r="H86" s="78" t="n"/>
      <c r="I86" s="78" t="n"/>
      <c r="J86" s="78" t="n"/>
      <c r="K86" s="78" t="n"/>
      <c r="L86" s="78" t="n"/>
      <c r="M86" s="78" t="n"/>
      <c r="N86" s="78" t="n"/>
      <c r="O86" s="78" t="n"/>
      <c r="P86" s="78" t="n"/>
      <c r="Q86" s="78" t="n"/>
      <c r="R86" s="78" t="n"/>
      <c r="S86" s="79" t="n"/>
      <c r="T86" s="79" t="n"/>
      <c r="U86" s="79" t="n"/>
      <c r="V86" s="79" t="n"/>
      <c r="W86" s="79" t="n"/>
      <c r="X86" s="79" t="n"/>
      <c r="Y86" s="79" t="n"/>
      <c r="Z86" s="79" t="n"/>
      <c r="AA86" s="79" t="n"/>
      <c r="AB86" s="79" t="n"/>
      <c r="AC86" s="79" t="n"/>
      <c r="AD86" s="79" t="n"/>
      <c r="AE86" s="79" t="n"/>
      <c r="AF86" s="79" t="n"/>
      <c r="AG86" s="79" t="n"/>
      <c r="AH86" s="80" t="n"/>
      <c r="AI86" s="80" t="n"/>
      <c r="AJ86" s="80" t="n"/>
      <c r="AK86" s="80" t="n"/>
      <c r="AL86" s="80" t="n"/>
      <c r="AM86" s="80" t="n"/>
      <c r="AN86" s="80" t="n"/>
      <c r="AO86" s="80" t="n"/>
      <c r="AP86" s="80" t="n"/>
      <c r="AQ86" s="80" t="n"/>
      <c r="AR86" s="80" t="n"/>
      <c r="AS86" s="80" t="n"/>
      <c r="AT86" s="81" t="n"/>
      <c r="AU86" s="81" t="n"/>
      <c r="AV86" s="81" t="n"/>
      <c r="AW86" s="82" t="n"/>
      <c r="AX86" s="82" t="n"/>
      <c r="AY86" s="82" t="n"/>
      <c r="AZ86" s="82" t="n"/>
      <c r="BA86" s="82" t="n"/>
      <c r="BB86" s="83" t="n"/>
      <c r="BC86" s="83" t="n"/>
      <c r="BD86" s="84">
        <f>IF($A86="","",IF($DJ86&lt;&gt;"","FIX",IF($DK86&lt;&gt;"","CHECK","OK")))</f>
        <v/>
      </c>
      <c r="BE86" s="85">
        <f>IF($A86="","",IF($DJ86&lt;&gt;"","FIX: "&amp;LEFT($DJ86,LEN($DJ86)-2)&amp;IF($DK86&lt;&gt;"","  ·  ",""),"")&amp;IF($DK86&lt;&gt;"","CHECK: "&amp;LEFT($DK86,LEN($DK86)-2),""))</f>
        <v/>
      </c>
      <c r="BF86" s="84">
        <f>IF(OR($A86="",$K86=""),"",$K86&amp;"'-"&amp;N($L86)&amp;CHAR(34)&amp;" x "&amp;$M86&amp;"'-"&amp;N($N86)&amp;CHAR(34))</f>
        <v/>
      </c>
      <c r="BG86" s="84">
        <f>IF(OR($A86="",$K86=""),"",$K86&amp;N($L86)&amp;$M86&amp;N($N86))</f>
        <v/>
      </c>
      <c r="BH86" s="84">
        <f>IF(OR($A86="",$K86=""),"",$K86*12+N($L86))</f>
        <v/>
      </c>
      <c r="BI86" s="84">
        <f>IF(OR($A86="",$M86=""),"",$M86*12+N($N86))</f>
        <v/>
      </c>
      <c r="BJ86" s="84">
        <f>IF($A86="","",IF(OR($C86="FRAME ONLY",$S86="BL"),0,IF($O86="Y",2,1)))</f>
        <v/>
      </c>
      <c r="BK86" s="86">
        <f>IF(OR(N($BJ86)=0,$BH86=""),"",($BH86-2*EdgeClr-IF($BJ86=2,MeetClr,0))/$BJ86)</f>
        <v/>
      </c>
      <c r="BL86" s="86">
        <f>IF(OR(N($BJ86)=0,$BI86=""),"",$BI86-HeadClr-Undercut)</f>
        <v/>
      </c>
      <c r="BM86" s="86">
        <f>IF($BH86="","",$BH86+2*FaceW+IF(N($Q86)&gt;0,($Q86+FaceW)*IF($R86="LR",2,1),0))</f>
        <v/>
      </c>
      <c r="BN86" s="86">
        <f>IF($BI86="","",$BI86+IF($AB86="Y",4,FaceW)+IF(N($P86)&gt;0,$P86+FaceW,0)+IF(OR($S86="4F",$S86="BL"),FaceW,0))</f>
        <v/>
      </c>
      <c r="BO86" s="86">
        <f>IF($BM86="","",$BM86+2*ROSide)</f>
        <v/>
      </c>
      <c r="BP86" s="86">
        <f>IF($BN86="","",$BN86+ROTop)</f>
        <v/>
      </c>
      <c r="BQ86" s="87">
        <f>IF(OR(N($BJ86)=0,$BH86=""),"",$BH86/$BJ86-ClearDeduct)</f>
        <v/>
      </c>
      <c r="BR86" s="84">
        <f>IF(N($CH86)=0,"",IF($CH86&gt;=180,"A · 3 HR",IF($CH86&gt;=90,"B · 1-1/2 HR",IF($CH86&gt;=60,"B · 1 HR",IF($CH86&gt;=45,"C · 3/4 HR","20 MIN")))))&amp;IF(AND(N($CH86)&gt;0,OR($I86="CORRIDOR",$I86="SMOKE BARRIER"))," · S","")</f>
        <v/>
      </c>
      <c r="BS86" s="84">
        <f>IF($CS86,"",IF($AV86&lt;&gt;"",$AV86,IF(OR($AC86="HGC",$AO86="HGC"),"CONT",IF(($BI86-HeadClr-Undercut)&lt;=60,2,IF(($BI86-HeadClr-Undercut)&lt;=90,3,IF(($BI86-HeadClr-Undercut)&lt;=120,4,5))))))</f>
        <v/>
      </c>
      <c r="BT86" s="84">
        <f>IF($CS86,"",IF($CT86,"CUSTOM (typed)",IF($CV86,$AT86&amp;" "&amp;$CU86&amp;CHAR(34)&amp;IF($CU86&lt;&gt;$BI86,IF(AND($BI86&lt;$CU86,$BI86-IF(N(VLOOKUP($AT86&amp;"|"&amp;$CU86,LocTable,7,FALSE))&gt;0,VLOOKUP($AT86&amp;"|"&amp;$CU86,LocTable,7,FALSE),VLOOKUP($AT86&amp;"|"&amp;$CU86,LocTable,6,FALSE))-$CR86-0.75&gt;=2.125)," cut down"," adj."),""),"ANSI/SDI A250.6")))</f>
        <v/>
      </c>
      <c r="BU86" s="88">
        <f>IF($CS86,"",IF($CT86,IF(N($AW86)&gt;0,N($AW86),""),IF(1&gt;$CQ86,"",IF($CQ86=1,$CW86,$CW86+($CX86-$CW86)*0/($CQ86-1)))))</f>
        <v/>
      </c>
      <c r="BV86" s="88">
        <f>IF($CS86,"",IF($CT86,IF(N($AX86)&gt;0,N($AX86),""),IF(2&gt;$CQ86,"",IF($CQ86=1,$CW86,$CW86+($CX86-$CW86)*1/($CQ86-1)))))</f>
        <v/>
      </c>
      <c r="BW86" s="88">
        <f>IF($CS86,"",IF($CT86,IF(N($AY86)&gt;0,N($AY86),""),IF(3&gt;$CQ86,"",IF($CQ86=1,$CW86,$CW86+($CX86-$CW86)*2/($CQ86-1)))))</f>
        <v/>
      </c>
      <c r="BX86" s="88">
        <f>IF($CS86,"",IF($CT86,IF(N($AZ86)&gt;0,N($AZ86),""),IF(4&gt;$CQ86,"",IF($CQ86=1,$CW86,$CW86+($CX86-$CW86)*3/($CQ86-1)))))</f>
        <v/>
      </c>
      <c r="BY86" s="88">
        <f>IF($CS86,"",IF($CT86,"",IF(5&gt;$CQ86,"",IF($CQ86=1,$CW86,$CW86+($CX86-$CW86)*4/($CQ86-1)))))</f>
        <v/>
      </c>
      <c r="BZ86" s="88">
        <f>IF(OR($CS86,$AP86="-",AND($AP86="",$AD86="")),"",IF(N($BA86)&gt;0,N($BA86),IF($CV86,IF(AND($BI86&lt;$CU86,$BI86-IF(N(VLOOKUP($AT86&amp;"|"&amp;$CU86,LocTable,7,FALSE))&gt;0,VLOOKUP($AT86&amp;"|"&amp;$CU86,LocTable,7,FALSE),VLOOKUP($AT86&amp;"|"&amp;$CU86,LocTable,6,FALSE))-$CR86-0.75&gt;=2.125),VLOOKUP($AT86&amp;"|"&amp;$CU86,LocTable,8,FALSE),VLOOKUP($AT86&amp;"|"&amp;$CU86,LocTable,8,FALSE)+($BI86-$CU86)),$BI86-LockAFF)))</f>
        <v/>
      </c>
      <c r="CA86" s="89">
        <f>IF($BZ86="","",$BI86-$BZ86)</f>
        <v/>
      </c>
      <c r="CB86" s="84">
        <f>IF(OR(NOT(AND($A86&lt;&gt;"",$C86&lt;&gt;"DOOR ONLY")),$BI86=""),"",IF(($BI86+IF(N($P86)&gt;0,$P86+FaceW,0))&lt;=90,3,IF(($BI86+IF(N($P86)&gt;0,$P86+FaceW,0))&lt;=114,4,5)))</f>
        <v/>
      </c>
      <c r="CC86" s="84">
        <f>IF($CB86="","",$CB86*(2+IF(N($Q86)&gt;0,IF($R86="LR",2,1),0)))</f>
        <v/>
      </c>
      <c r="CD86" s="84">
        <f>IF($CB86="","",(2+IF(N($Q86)&gt;0,IF($R86="LR",2,1),0)))</f>
        <v/>
      </c>
      <c r="CE86" s="84">
        <f>IF(N($BJ86)=0,"",IF(OR($AL86="",$AL86="FLUSH"),"FLUSH",IFERROR(LEFT($AL86,FIND("-",$AL86)-1),LEFT($AL86,2))))</f>
        <v/>
      </c>
      <c r="CF86" s="84">
        <f>IF($CE86="","",IFERROR(VALUE(MID($AL86,FIND("-",$AL86)+1,FIND(CHAR(34)&amp;"x",$AL86)-FIND("-",$AL86)-1)),0))</f>
        <v/>
      </c>
      <c r="CG86" s="84">
        <f>IF($CE86="","",IFERROR(VALUE(MID($AL86,FIND(CHAR(34)&amp;"x",$AL86)+2,FIND(CHAR(34),$AL86,FIND(CHAR(34)&amp;"x",$AL86)+2)-FIND(CHAR(34)&amp;"x",$AL86)-2)),0))</f>
        <v/>
      </c>
      <c r="CH86" s="90">
        <f>IF(OR($A86="",$H86="",$H86="NO LAB"),0,IFERROR(VALUE(LEFT($H86,FIND(" ",$H86)-1)),0))</f>
        <v/>
      </c>
      <c r="CI86" s="91">
        <f>IF(OR($A86="",$I86="",$I86="NON-RATED",N($J86)=0),"",IFERROR(VLOOKUP($I86&amp;"|"&amp;$J86,IBC,2,FALSE),"?"))</f>
        <v/>
      </c>
      <c r="CJ86" s="85">
        <f>IF(NOT(AND($A86&lt;&gt;"",$C86&lt;&gt;"DOOR ONLY")),"",TRIM(IFERROR(VLOOKUP($U86,CODES,2,FALSE),"")&amp;" "&amp;$BG86&amp;" "&amp;IFERROR(VLOOKUP($Z86,CODES,2,FALSE),"")&amp;" "&amp;IFERROR(VLOOKUP($X86,CODES,2,FALSE),"")&amp;" "&amp;IFERROR(VLOOKUP($S86,CODES,2,FALSE),"")&amp;IF(N($P86)&gt;0," w/TRANSOM "&amp;$P86&amp;CHAR(34),"")&amp;IF(N($Q86)&gt;0," w/SIDELITE "&amp;$Q86&amp;CHAR(34)&amp;" "&amp;IF($R86="","R",$R86),"")&amp;IF($Y86="","  |  "," | "&amp;IFERROR(VLOOKUP($Y86,CODES,2,FALSE),"")&amp;" | ")&amp;IFERROR(VLOOKUP($AC86,CODES,2,FALSE),"")&amp;" "&amp;IFERROR(VLOOKUP($AD86,CODES,2,FALSE),"")&amp;IF(OR($AE86="",$AE86="-"),""," "&amp;$AE86)&amp;IF(OR($AF86="",$AF86="-"),""," "&amp;$AF86)&amp;IF($AB86="Y"," 4"&amp;CHAR(34)&amp;" HEAD","")&amp;" "&amp;IFERROR(VLOOKUP($H86,CODES,2,FALSE),"")&amp;IF($CT86," | LOC "&amp;$CY86,"")))</f>
        <v/>
      </c>
      <c r="CK86" s="85">
        <f>IF(NOT(AND($A86&lt;&gt;"",N($BJ86)&gt;0)),"",TRIM(IFERROR(VLOOKUP($AH86,CODES,2,FALSE),"")&amp;IF($AI86=""," "," "&amp;$AI86&amp;"GA ")&amp;$BG86&amp;" "&amp;IF($AN86="",IFERROR(VLOOKUP($Z86,CODES,2,FALSE),""),IFERROR(VLOOKUP($AN86,CODES,2,FALSE),""))&amp;IF($BJ86=2," PAIR","")&amp;" DOOR | "&amp;IF($AL86="","?",$AL86)&amp;" | "&amp;IF($AO86="",IFERROR(VLOOKUP($AC86,CODES,2,FALSE),""),IFERROR(VLOOKUP($AO86,CODES,2,FALSE),""))&amp;" "&amp;IFERROR(VLOOKUP($AP86,CODES,2,FALSE),"")&amp;IF(OR($AQ86="",$AQ86="-"),""," SEAM "&amp;$AQ86)&amp;IF($AR86="Y"," ASTRAGAL","")&amp;IF($AJ86=""," "," "&amp;$AJ86)&amp;IF($AK86=""," "," "&amp;$AK86)&amp;IF(OR($AT86="",$AT86="ANSI/SDI",$AT86="CUSTOM LOC"),""," "&amp;$AT86)&amp;IF($AM86=""," "," SERIES "&amp;$AM86)&amp;" "&amp;IFERROR(VLOOKUP($H86,CODES,2,FALSE),"")&amp;IF($CT86," | LOC "&amp;$CZ86,"")))</f>
        <v/>
      </c>
      <c r="CL86" s="84">
        <f>IF(CP86="","",IF(COUNTIF($CP$6:CP86,CP86)=1,MAX($CL$5:CL85)+1,INDEX($CL$5:CL85,MATCH(CP86,$CP$5:CP85,0))))</f>
        <v/>
      </c>
      <c r="CM86" s="84">
        <f>IF(NOT(AND($A86&lt;&gt;"",$C86&lt;&gt;"DOOR ONLY")),"",MAX($CM$5:CM85)+1)</f>
        <v/>
      </c>
      <c r="CN86" s="84">
        <f>IF(NOT(AND($A86&lt;&gt;"",N($BJ86)&gt;0)),"",MAX($CN$5:CN85)+1)</f>
        <v/>
      </c>
      <c r="CO86" s="84">
        <f>IF($A86="","",MAX($CO$5:CO85)+1)</f>
        <v/>
      </c>
      <c r="CP86" s="84">
        <f>IF(OR($A86="",$BH86="",$BI86=""),"",$BG86&amp;"|"&amp;$O86&amp;"|"&amp;$AL86&amp;"|"&amp;$S86&amp;"|"&amp;$P86&amp;"|"&amp;$Q86&amp;$R86&amp;"|"&amp;$C86&amp;"|"&amp;$AB86)</f>
        <v/>
      </c>
      <c r="CQ86" s="84">
        <f>N($BS86)</f>
        <v/>
      </c>
      <c r="CR86" s="84">
        <f>IF(N($AU86)&gt;0,N($AU86),4.5)</f>
        <v/>
      </c>
      <c r="CS86" s="84">
        <f>OR($A86="",$BI86="",$S86="BL",AND($C86="FRAME ONLY",OR($AC86="",$AC86="BLK")))</f>
        <v/>
      </c>
      <c r="CT86" s="84">
        <f>AND(NOT($CS86),OR($AT86="CUSTOM LOC",N($AW86)+N($AX86)+N($AY86)+N($AZ86)+N($BA86)&gt;0))</f>
        <v/>
      </c>
      <c r="CU86" s="84">
        <f>IF($BI86="","",IF($BI86&lt;=80,80,IF($BI86&lt;=84,84,96)))</f>
        <v/>
      </c>
      <c r="CV86" s="84">
        <f>ISNUMBER(MATCH($AT86&amp;"|80",LocKeys,0))</f>
        <v/>
      </c>
      <c r="CW86" s="86">
        <f>IF($CS86,"",IF($CV86,VLOOKUP($AT86&amp;"|"&amp;$CU86,LocTable,4,FALSE),5))</f>
        <v/>
      </c>
      <c r="CX86" s="86">
        <f>IF($CS86,"",IF($CV86,IF(OR($BI86=$CU86,AND($BI86&lt;$CU86,$BI86-IF(N(VLOOKUP($AT86&amp;"|"&amp;$CU86,LocTable,7,FALSE))&gt;0,VLOOKUP($AT86&amp;"|"&amp;$CU86,LocTable,7,FALSE),VLOOKUP($AT86&amp;"|"&amp;$CU86,LocTable,6,FALSE))-$CR86-0.75&gt;=2.125)),IF(N(VLOOKUP($AT86&amp;"|"&amp;$CU86,LocTable,7,FALSE))&gt;0,VLOOKUP($AT86&amp;"|"&amp;$CU86,LocTable,7,FALSE),VLOOKUP($AT86&amp;"|"&amp;$CU86,LocTable,6,FALSE)),$BI86-($CU86-IF(N(VLOOKUP($AT86&amp;"|"&amp;$CU86,LocTable,7,FALSE))&gt;0,VLOOKUP($AT86&amp;"|"&amp;$CU86,LocTable,7,FALSE),VLOOKUP($AT86&amp;"|"&amp;$CU86,LocTable,6,FALSE)))),$BI86-10-$CR86))</f>
        <v/>
      </c>
      <c r="CY86" s="85">
        <f>IF($CS86,"",TRIM(IF(ISNUMBER($BU86),"A "&amp;TRIM(TEXT($BU86,"# ?/??"))&amp;CHAR(34)&amp;"  ","")&amp;IF(ISNUMBER($BV86),"B "&amp;TRIM(TEXT($BV86,"# ?/??"))&amp;CHAR(34)&amp;"  ","")&amp;IF(ISNUMBER($BW86),"C "&amp;TRIM(TEXT($BW86,"# ?/??"))&amp;CHAR(34)&amp;"  ","")&amp;IF(ISNUMBER($BX86),"D "&amp;TRIM(TEXT($BX86,"# ?/??"))&amp;CHAR(34)&amp;"  ","")&amp;IF(ISNUMBER($BY86),"F "&amp;TRIM(TEXT($BY86,"# ?/??"))&amp;CHAR(34)&amp;"  ","")&amp;IF(ISNUMBER($BZ86),"E "&amp;TRIM(TEXT($BZ86,"# ?/??"))&amp;CHAR(34)&amp;"  ","")))</f>
        <v/>
      </c>
      <c r="CZ86" s="85">
        <f>IF(OR($CS86,N($BJ86)=0),"",TRIM(IF(ISNUMBER($BU86),"A "&amp;TRIM(TEXT($BU86-HeadClr,"# ?/??"))&amp;CHAR(34)&amp;"  ","")&amp;IF(ISNUMBER($BV86),"B "&amp;TRIM(TEXT($BV86-HeadClr,"# ?/??"))&amp;CHAR(34)&amp;"  ","")&amp;IF(ISNUMBER($BW86),"C "&amp;TRIM(TEXT($BW86-HeadClr,"# ?/??"))&amp;CHAR(34)&amp;"  ","")&amp;IF(ISNUMBER($BX86),"D "&amp;TRIM(TEXT($BX86-HeadClr,"# ?/??"))&amp;CHAR(34)&amp;"  ","")&amp;IF(ISNUMBER($BY86),"F "&amp;TRIM(TEXT($BY86-HeadClr,"# ?/??"))&amp;CHAR(34)&amp;"  ","")&amp;IF(ISNUMBER($BZ86),"E "&amp;TRIM(TEXT($BZ86-HeadClr,"# ?/??"))&amp;CHAR(34)&amp;"  ","")))</f>
        <v/>
      </c>
      <c r="DA86" s="84">
        <f>IF($A86="","",IF($AN86="",IFERROR(VLOOKUP($Z86,CODES,2,FALSE),""),IFERROR(VLOOKUP($AN86,CODES,2,FALSE),"")))</f>
        <v/>
      </c>
      <c r="DB86" s="84">
        <f>IF($A86="","",IF($O86="Y","PR",IF(OR($Z86="L",$Z86="RR",LEFT($Z86,2)="L-",LEFT($Z86,3)="RR-"),"LH","RH")))</f>
        <v/>
      </c>
      <c r="DC86" s="84">
        <f>IF($A86="","","S.HM"&amp;IF(OR($C86="DOOR ONLY",$X86&lt;&gt;"KD"),"MASONRY","DRYWALL")&amp;IF($C86="DOOR ONLY","",$U86)&amp;IF(AND($C86&lt;&gt;"FRAME ONLY",OR(LEFT($AH86,3)="OAK",LEFT($AH86,3)="BIR",LEFT($AH86,3)="MAP",$AH86="PC",$AH86="MC",$AH86="SCLC",$AH86="P-LAM")),"WD","HM")&amp;"1.75")</f>
        <v/>
      </c>
      <c r="DD86" s="84">
        <f>IF($CJ86="","",IF($O86="Y",$CJ86,SUBSTITUTE($CJ86,$BG86&amp;" "&amp;IFERROR(VLOOKUP($Z86,CODES,2,FALSE),"")&amp;" ",$BG86&amp;" ")))</f>
        <v/>
      </c>
      <c r="DE86" s="84">
        <f>IF($CK86="","",IF($O86="Y",$CK86,SUBSTITUTE($CK86,$BG86&amp;" "&amp;IF($AN86="",IFERROR(VLOOKUP($Z86,CODES,2,FALSE),""),IFERROR(VLOOKUP($AN86,CODES,2,FALSE),""))&amp;" ",$BG86&amp;" ")))</f>
        <v/>
      </c>
      <c r="DF86" s="84">
        <f>IF($CJ86="","",$DC86&amp;"|"&amp;$DD86&amp;"|"&amp;$DB86&amp;"|"&amp;$AT86&amp;"|"&amp;$V86&amp;"|"&amp;$Y86&amp;"|"&amp;$AB86)</f>
        <v/>
      </c>
      <c r="DG86" s="84">
        <f>IF(DF86="","",IF(COUNTIF($DF$6:DF86,DF86)=1,MAX($DG$5:DG85)+1,INDEX($DG$5:DG85,MATCH(DF86,$DF$5:DF85,0))))</f>
        <v/>
      </c>
      <c r="DH86" s="84">
        <f>IF($CK86="","",$DC86&amp;"|"&amp;$DE86&amp;"|"&amp;$AI86&amp;"|"&amp;$BK86&amp;"|"&amp;$BL86)</f>
        <v/>
      </c>
      <c r="DI86" s="84">
        <f>IF(DH86="","",IF(COUNTIF($DH$6:DH86,DH86)=1,MAX($DI$5:DI85)+1,INDEX($DI$5:DI85,MATCH(DH86,$DH$5:DH85,0))))</f>
        <v/>
      </c>
      <c r="DJ86" s="84">
        <f>IF($A86="","",IF($B86="","qty, ","")&amp;IF($C86="","scope, ","")&amp;IF(OR($K86="",$M86=""),"size, ","")&amp;IF(AND($A86&lt;&gt;"",$C86&lt;&gt;"DOOR ONLY"),IF($U86="","jamb depth, ","")&amp;IF($X86="","construction, ","")&amp;IF($Y86="","anchor, ","")&amp;IF($S86="","frame type, ",""),"")&amp;IF(AND(N($BJ86)&gt;0,$Z86=""),"hand, ","")&amp;IF(N($BJ86)&gt;0,IF($AH86="","door material, ","")&amp;IF($AL86="","face type, ","")&amp;IF($AP86="","lock prep, ","")&amp;IF(AND($AO86="",$AC86=""),"hinge prep, ",""),"")&amp;IF(AND($CH86&gt;0,$AH86="FRP"),"FRP cannot carry a label, ","")&amp;IF(AND($O86="Y",OR($Z86="L",$Z86="R",$Z86="LR",$Z86="RR")),"pair marked but hand is single, ","")&amp;IF(AND($O86&lt;&gt;"Y",OR($Z86="PR",AND(LEN($Z86)&gt;1,ISNUMBER(SEARCH("-",$Z86))))),"pair hand on a single door, ","")&amp;IF(AND(ISNUMBER($CI86),$CH86&lt;N($CI86)),"wall needs a "&amp;$CI86&amp;" min door, ","")&amp;IF(AND($CH86&gt;=180,AND(OR($CE86="FG",$CE86="HG",$CE86="FNV",$CE86="FV"),N($CF86)*N($CG86)&gt;100)),"180 min lite over 100 sq in, ","")&amp;IF(N($BK86)&gt;48,"leaf wider than 4'-0"&amp;CHAR(34)&amp;", ","")&amp;IF(AND($CT86,COUNT($AW86:$AZ86)=0,$CQ86&gt;0),"CUSTOM LOC with no locations typed, ",""))</f>
        <v/>
      </c>
      <c r="DK86" s="84">
        <f>IF($A86="","",IF(AND($CH86&gt;0,AND($A86&lt;&gt;"",$C86&lt;&gt;"DOOR ONLY"),$X86="KD",$E86="EXTERIOR"),"KD label on an exterior opening, ","")&amp;IF(AND($E86="EXTERIOR",OR(AND(AND($A86&lt;&gt;"",$C86&lt;&gt;"DOOR ONLY"),$W86="CR"),AND(N($BJ86)&gt;0,$AH86="CR"))),"exterior in CR steel (G9?), ","")&amp;IF(AND(ISNUMBER($BQ86),N($BQ86)&lt;32),"clear width ~"&amp;TEXT($BQ86,"0.0")&amp;CHAR(34)&amp;" under 32"&amp;CHAR(34)&amp;" (ADA), ","")&amp;IF(AND($CH86=90,AND(OR($CE86="FG",$CE86="HG",$CE86="FNV",$CE86="FV"),N($CF86)*N($CG86)&gt;100)),"90 min lite over 100 sq in (stair/exit), ","")&amp;IF(AND($CH86&gt;0,AND($A86&lt;&gt;"",$C86&lt;&gt;"DOOR ONLY"),OR($AF86="",$AF86="-")),"rated: closer reinf.?, ","")&amp;IF(OR($I86="CORRIDOR",$I86="SMOKE BARRIER"),"S label + smoke gasketing, ","")&amp;IF($CI86="?","wall type/hr not in IBC table, ","")&amp;IF(AND(N($BJ86)&gt;0,$BB86=""),"no hardware set, ","")&amp;IF(AND($BB86&lt;&gt;"",ISNA(MATCH($BB86&amp;"",HWSets,0))),"set "&amp;$BB86&amp;" not on HW Sets, ","")&amp;IF(N($BL86)&gt;96,"leaf over 8'-0"&amp;CHAR(34)&amp;" - check listing, ","")&amp;IF(AND($CT86,COUNT($AW86:$AZ86)&gt;0,COUNT($AW86:$AZ86)&lt;&gt;$CQ86),COUNT($AW86:$AZ86)&amp;" custom hinges typed, "&amp;$CQ86&amp;" expected, ","")&amp;IF(AND(ISNUMBER($CA86),OR(N($CA86)&lt;34,N($CA86)&gt;48)),"lock "&amp;TEXT($CA86,"0.0")&amp;CHAR(34)&amp;" AFF outside 34-48"&amp;CHAR(34)&amp;" (ADA), ","")&amp;IF(AND(ISNUMBER($AV86),ISNUMBER($BL86),N($AV86)&lt;IF(N($BL86)&lt;=60,2,IF(N($BL86)&lt;=90,3,IF(N($BL86)&lt;=120,4,5)))),"fewer hinges than standard, ",""))</f>
        <v/>
      </c>
    </row>
    <row r="87" ht="15" customHeight="1">
      <c r="A87" s="77" t="n"/>
      <c r="B87" s="78" t="n"/>
      <c r="C87" s="78" t="n"/>
      <c r="D87" s="78" t="n"/>
      <c r="E87" s="78" t="n"/>
      <c r="F87" s="78" t="n"/>
      <c r="G87" s="78" t="n"/>
      <c r="H87" s="78" t="n"/>
      <c r="I87" s="78" t="n"/>
      <c r="J87" s="78" t="n"/>
      <c r="K87" s="78" t="n"/>
      <c r="L87" s="78" t="n"/>
      <c r="M87" s="78" t="n"/>
      <c r="N87" s="78" t="n"/>
      <c r="O87" s="78" t="n"/>
      <c r="P87" s="78" t="n"/>
      <c r="Q87" s="78" t="n"/>
      <c r="R87" s="78" t="n"/>
      <c r="S87" s="79" t="n"/>
      <c r="T87" s="79" t="n"/>
      <c r="U87" s="79" t="n"/>
      <c r="V87" s="79" t="n"/>
      <c r="W87" s="79" t="n"/>
      <c r="X87" s="79" t="n"/>
      <c r="Y87" s="79" t="n"/>
      <c r="Z87" s="79" t="n"/>
      <c r="AA87" s="79" t="n"/>
      <c r="AB87" s="79" t="n"/>
      <c r="AC87" s="79" t="n"/>
      <c r="AD87" s="79" t="n"/>
      <c r="AE87" s="79" t="n"/>
      <c r="AF87" s="79" t="n"/>
      <c r="AG87" s="79" t="n"/>
      <c r="AH87" s="80" t="n"/>
      <c r="AI87" s="80" t="n"/>
      <c r="AJ87" s="80" t="n"/>
      <c r="AK87" s="80" t="n"/>
      <c r="AL87" s="80" t="n"/>
      <c r="AM87" s="80" t="n"/>
      <c r="AN87" s="80" t="n"/>
      <c r="AO87" s="80" t="n"/>
      <c r="AP87" s="80" t="n"/>
      <c r="AQ87" s="80" t="n"/>
      <c r="AR87" s="80" t="n"/>
      <c r="AS87" s="80" t="n"/>
      <c r="AT87" s="81" t="n"/>
      <c r="AU87" s="81" t="n"/>
      <c r="AV87" s="81" t="n"/>
      <c r="AW87" s="82" t="n"/>
      <c r="AX87" s="82" t="n"/>
      <c r="AY87" s="82" t="n"/>
      <c r="AZ87" s="82" t="n"/>
      <c r="BA87" s="82" t="n"/>
      <c r="BB87" s="83" t="n"/>
      <c r="BC87" s="83" t="n"/>
      <c r="BD87" s="84">
        <f>IF($A87="","",IF($DJ87&lt;&gt;"","FIX",IF($DK87&lt;&gt;"","CHECK","OK")))</f>
        <v/>
      </c>
      <c r="BE87" s="85">
        <f>IF($A87="","",IF($DJ87&lt;&gt;"","FIX: "&amp;LEFT($DJ87,LEN($DJ87)-2)&amp;IF($DK87&lt;&gt;"","  ·  ",""),"")&amp;IF($DK87&lt;&gt;"","CHECK: "&amp;LEFT($DK87,LEN($DK87)-2),""))</f>
        <v/>
      </c>
      <c r="BF87" s="84">
        <f>IF(OR($A87="",$K87=""),"",$K87&amp;"'-"&amp;N($L87)&amp;CHAR(34)&amp;" x "&amp;$M87&amp;"'-"&amp;N($N87)&amp;CHAR(34))</f>
        <v/>
      </c>
      <c r="BG87" s="84">
        <f>IF(OR($A87="",$K87=""),"",$K87&amp;N($L87)&amp;$M87&amp;N($N87))</f>
        <v/>
      </c>
      <c r="BH87" s="84">
        <f>IF(OR($A87="",$K87=""),"",$K87*12+N($L87))</f>
        <v/>
      </c>
      <c r="BI87" s="84">
        <f>IF(OR($A87="",$M87=""),"",$M87*12+N($N87))</f>
        <v/>
      </c>
      <c r="BJ87" s="84">
        <f>IF($A87="","",IF(OR($C87="FRAME ONLY",$S87="BL"),0,IF($O87="Y",2,1)))</f>
        <v/>
      </c>
      <c r="BK87" s="86">
        <f>IF(OR(N($BJ87)=0,$BH87=""),"",($BH87-2*EdgeClr-IF($BJ87=2,MeetClr,0))/$BJ87)</f>
        <v/>
      </c>
      <c r="BL87" s="86">
        <f>IF(OR(N($BJ87)=0,$BI87=""),"",$BI87-HeadClr-Undercut)</f>
        <v/>
      </c>
      <c r="BM87" s="86">
        <f>IF($BH87="","",$BH87+2*FaceW+IF(N($Q87)&gt;0,($Q87+FaceW)*IF($R87="LR",2,1),0))</f>
        <v/>
      </c>
      <c r="BN87" s="86">
        <f>IF($BI87="","",$BI87+IF($AB87="Y",4,FaceW)+IF(N($P87)&gt;0,$P87+FaceW,0)+IF(OR($S87="4F",$S87="BL"),FaceW,0))</f>
        <v/>
      </c>
      <c r="BO87" s="86">
        <f>IF($BM87="","",$BM87+2*ROSide)</f>
        <v/>
      </c>
      <c r="BP87" s="86">
        <f>IF($BN87="","",$BN87+ROTop)</f>
        <v/>
      </c>
      <c r="BQ87" s="87">
        <f>IF(OR(N($BJ87)=0,$BH87=""),"",$BH87/$BJ87-ClearDeduct)</f>
        <v/>
      </c>
      <c r="BR87" s="84">
        <f>IF(N($CH87)=0,"",IF($CH87&gt;=180,"A · 3 HR",IF($CH87&gt;=90,"B · 1-1/2 HR",IF($CH87&gt;=60,"B · 1 HR",IF($CH87&gt;=45,"C · 3/4 HR","20 MIN")))))&amp;IF(AND(N($CH87)&gt;0,OR($I87="CORRIDOR",$I87="SMOKE BARRIER"))," · S","")</f>
        <v/>
      </c>
      <c r="BS87" s="84">
        <f>IF($CS87,"",IF($AV87&lt;&gt;"",$AV87,IF(OR($AC87="HGC",$AO87="HGC"),"CONT",IF(($BI87-HeadClr-Undercut)&lt;=60,2,IF(($BI87-HeadClr-Undercut)&lt;=90,3,IF(($BI87-HeadClr-Undercut)&lt;=120,4,5))))))</f>
        <v/>
      </c>
      <c r="BT87" s="84">
        <f>IF($CS87,"",IF($CT87,"CUSTOM (typed)",IF($CV87,$AT87&amp;" "&amp;$CU87&amp;CHAR(34)&amp;IF($CU87&lt;&gt;$BI87,IF(AND($BI87&lt;$CU87,$BI87-IF(N(VLOOKUP($AT87&amp;"|"&amp;$CU87,LocTable,7,FALSE))&gt;0,VLOOKUP($AT87&amp;"|"&amp;$CU87,LocTable,7,FALSE),VLOOKUP($AT87&amp;"|"&amp;$CU87,LocTable,6,FALSE))-$CR87-0.75&gt;=2.125)," cut down"," adj."),""),"ANSI/SDI A250.6")))</f>
        <v/>
      </c>
      <c r="BU87" s="88">
        <f>IF($CS87,"",IF($CT87,IF(N($AW87)&gt;0,N($AW87),""),IF(1&gt;$CQ87,"",IF($CQ87=1,$CW87,$CW87+($CX87-$CW87)*0/($CQ87-1)))))</f>
        <v/>
      </c>
      <c r="BV87" s="88">
        <f>IF($CS87,"",IF($CT87,IF(N($AX87)&gt;0,N($AX87),""),IF(2&gt;$CQ87,"",IF($CQ87=1,$CW87,$CW87+($CX87-$CW87)*1/($CQ87-1)))))</f>
        <v/>
      </c>
      <c r="BW87" s="88">
        <f>IF($CS87,"",IF($CT87,IF(N($AY87)&gt;0,N($AY87),""),IF(3&gt;$CQ87,"",IF($CQ87=1,$CW87,$CW87+($CX87-$CW87)*2/($CQ87-1)))))</f>
        <v/>
      </c>
      <c r="BX87" s="88">
        <f>IF($CS87,"",IF($CT87,IF(N($AZ87)&gt;0,N($AZ87),""),IF(4&gt;$CQ87,"",IF($CQ87=1,$CW87,$CW87+($CX87-$CW87)*3/($CQ87-1)))))</f>
        <v/>
      </c>
      <c r="BY87" s="88">
        <f>IF($CS87,"",IF($CT87,"",IF(5&gt;$CQ87,"",IF($CQ87=1,$CW87,$CW87+($CX87-$CW87)*4/($CQ87-1)))))</f>
        <v/>
      </c>
      <c r="BZ87" s="88">
        <f>IF(OR($CS87,$AP87="-",AND($AP87="",$AD87="")),"",IF(N($BA87)&gt;0,N($BA87),IF($CV87,IF(AND($BI87&lt;$CU87,$BI87-IF(N(VLOOKUP($AT87&amp;"|"&amp;$CU87,LocTable,7,FALSE))&gt;0,VLOOKUP($AT87&amp;"|"&amp;$CU87,LocTable,7,FALSE),VLOOKUP($AT87&amp;"|"&amp;$CU87,LocTable,6,FALSE))-$CR87-0.75&gt;=2.125),VLOOKUP($AT87&amp;"|"&amp;$CU87,LocTable,8,FALSE),VLOOKUP($AT87&amp;"|"&amp;$CU87,LocTable,8,FALSE)+($BI87-$CU87)),$BI87-LockAFF)))</f>
        <v/>
      </c>
      <c r="CA87" s="89">
        <f>IF($BZ87="","",$BI87-$BZ87)</f>
        <v/>
      </c>
      <c r="CB87" s="84">
        <f>IF(OR(NOT(AND($A87&lt;&gt;"",$C87&lt;&gt;"DOOR ONLY")),$BI87=""),"",IF(($BI87+IF(N($P87)&gt;0,$P87+FaceW,0))&lt;=90,3,IF(($BI87+IF(N($P87)&gt;0,$P87+FaceW,0))&lt;=114,4,5)))</f>
        <v/>
      </c>
      <c r="CC87" s="84">
        <f>IF($CB87="","",$CB87*(2+IF(N($Q87)&gt;0,IF($R87="LR",2,1),0)))</f>
        <v/>
      </c>
      <c r="CD87" s="84">
        <f>IF($CB87="","",(2+IF(N($Q87)&gt;0,IF($R87="LR",2,1),0)))</f>
        <v/>
      </c>
      <c r="CE87" s="84">
        <f>IF(N($BJ87)=0,"",IF(OR($AL87="",$AL87="FLUSH"),"FLUSH",IFERROR(LEFT($AL87,FIND("-",$AL87)-1),LEFT($AL87,2))))</f>
        <v/>
      </c>
      <c r="CF87" s="84">
        <f>IF($CE87="","",IFERROR(VALUE(MID($AL87,FIND("-",$AL87)+1,FIND(CHAR(34)&amp;"x",$AL87)-FIND("-",$AL87)-1)),0))</f>
        <v/>
      </c>
      <c r="CG87" s="84">
        <f>IF($CE87="","",IFERROR(VALUE(MID($AL87,FIND(CHAR(34)&amp;"x",$AL87)+2,FIND(CHAR(34),$AL87,FIND(CHAR(34)&amp;"x",$AL87)+2)-FIND(CHAR(34)&amp;"x",$AL87)-2)),0))</f>
        <v/>
      </c>
      <c r="CH87" s="90">
        <f>IF(OR($A87="",$H87="",$H87="NO LAB"),0,IFERROR(VALUE(LEFT($H87,FIND(" ",$H87)-1)),0))</f>
        <v/>
      </c>
      <c r="CI87" s="91">
        <f>IF(OR($A87="",$I87="",$I87="NON-RATED",N($J87)=0),"",IFERROR(VLOOKUP($I87&amp;"|"&amp;$J87,IBC,2,FALSE),"?"))</f>
        <v/>
      </c>
      <c r="CJ87" s="85">
        <f>IF(NOT(AND($A87&lt;&gt;"",$C87&lt;&gt;"DOOR ONLY")),"",TRIM(IFERROR(VLOOKUP($U87,CODES,2,FALSE),"")&amp;" "&amp;$BG87&amp;" "&amp;IFERROR(VLOOKUP($Z87,CODES,2,FALSE),"")&amp;" "&amp;IFERROR(VLOOKUP($X87,CODES,2,FALSE),"")&amp;" "&amp;IFERROR(VLOOKUP($S87,CODES,2,FALSE),"")&amp;IF(N($P87)&gt;0," w/TRANSOM "&amp;$P87&amp;CHAR(34),"")&amp;IF(N($Q87)&gt;0," w/SIDELITE "&amp;$Q87&amp;CHAR(34)&amp;" "&amp;IF($R87="","R",$R87),"")&amp;IF($Y87="","  |  "," | "&amp;IFERROR(VLOOKUP($Y87,CODES,2,FALSE),"")&amp;" | ")&amp;IFERROR(VLOOKUP($AC87,CODES,2,FALSE),"")&amp;" "&amp;IFERROR(VLOOKUP($AD87,CODES,2,FALSE),"")&amp;IF(OR($AE87="",$AE87="-"),""," "&amp;$AE87)&amp;IF(OR($AF87="",$AF87="-"),""," "&amp;$AF87)&amp;IF($AB87="Y"," 4"&amp;CHAR(34)&amp;" HEAD","")&amp;" "&amp;IFERROR(VLOOKUP($H87,CODES,2,FALSE),"")&amp;IF($CT87," | LOC "&amp;$CY87,"")))</f>
        <v/>
      </c>
      <c r="CK87" s="85">
        <f>IF(NOT(AND($A87&lt;&gt;"",N($BJ87)&gt;0)),"",TRIM(IFERROR(VLOOKUP($AH87,CODES,2,FALSE),"")&amp;IF($AI87=""," "," "&amp;$AI87&amp;"GA ")&amp;$BG87&amp;" "&amp;IF($AN87="",IFERROR(VLOOKUP($Z87,CODES,2,FALSE),""),IFERROR(VLOOKUP($AN87,CODES,2,FALSE),""))&amp;IF($BJ87=2," PAIR","")&amp;" DOOR | "&amp;IF($AL87="","?",$AL87)&amp;" | "&amp;IF($AO87="",IFERROR(VLOOKUP($AC87,CODES,2,FALSE),""),IFERROR(VLOOKUP($AO87,CODES,2,FALSE),""))&amp;" "&amp;IFERROR(VLOOKUP($AP87,CODES,2,FALSE),"")&amp;IF(OR($AQ87="",$AQ87="-"),""," SEAM "&amp;$AQ87)&amp;IF($AR87="Y"," ASTRAGAL","")&amp;IF($AJ87=""," "," "&amp;$AJ87)&amp;IF($AK87=""," "," "&amp;$AK87)&amp;IF(OR($AT87="",$AT87="ANSI/SDI",$AT87="CUSTOM LOC"),""," "&amp;$AT87)&amp;IF($AM87=""," "," SERIES "&amp;$AM87)&amp;" "&amp;IFERROR(VLOOKUP($H87,CODES,2,FALSE),"")&amp;IF($CT87," | LOC "&amp;$CZ87,"")))</f>
        <v/>
      </c>
      <c r="CL87" s="84">
        <f>IF(CP87="","",IF(COUNTIF($CP$6:CP87,CP87)=1,MAX($CL$5:CL86)+1,INDEX($CL$5:CL86,MATCH(CP87,$CP$5:CP86,0))))</f>
        <v/>
      </c>
      <c r="CM87" s="84">
        <f>IF(NOT(AND($A87&lt;&gt;"",$C87&lt;&gt;"DOOR ONLY")),"",MAX($CM$5:CM86)+1)</f>
        <v/>
      </c>
      <c r="CN87" s="84">
        <f>IF(NOT(AND($A87&lt;&gt;"",N($BJ87)&gt;0)),"",MAX($CN$5:CN86)+1)</f>
        <v/>
      </c>
      <c r="CO87" s="84">
        <f>IF($A87="","",MAX($CO$5:CO86)+1)</f>
        <v/>
      </c>
      <c r="CP87" s="84">
        <f>IF(OR($A87="",$BH87="",$BI87=""),"",$BG87&amp;"|"&amp;$O87&amp;"|"&amp;$AL87&amp;"|"&amp;$S87&amp;"|"&amp;$P87&amp;"|"&amp;$Q87&amp;$R87&amp;"|"&amp;$C87&amp;"|"&amp;$AB87)</f>
        <v/>
      </c>
      <c r="CQ87" s="84">
        <f>N($BS87)</f>
        <v/>
      </c>
      <c r="CR87" s="84">
        <f>IF(N($AU87)&gt;0,N($AU87),4.5)</f>
        <v/>
      </c>
      <c r="CS87" s="84">
        <f>OR($A87="",$BI87="",$S87="BL",AND($C87="FRAME ONLY",OR($AC87="",$AC87="BLK")))</f>
        <v/>
      </c>
      <c r="CT87" s="84">
        <f>AND(NOT($CS87),OR($AT87="CUSTOM LOC",N($AW87)+N($AX87)+N($AY87)+N($AZ87)+N($BA87)&gt;0))</f>
        <v/>
      </c>
      <c r="CU87" s="84">
        <f>IF($BI87="","",IF($BI87&lt;=80,80,IF($BI87&lt;=84,84,96)))</f>
        <v/>
      </c>
      <c r="CV87" s="84">
        <f>ISNUMBER(MATCH($AT87&amp;"|80",LocKeys,0))</f>
        <v/>
      </c>
      <c r="CW87" s="86">
        <f>IF($CS87,"",IF($CV87,VLOOKUP($AT87&amp;"|"&amp;$CU87,LocTable,4,FALSE),5))</f>
        <v/>
      </c>
      <c r="CX87" s="86">
        <f>IF($CS87,"",IF($CV87,IF(OR($BI87=$CU87,AND($BI87&lt;$CU87,$BI87-IF(N(VLOOKUP($AT87&amp;"|"&amp;$CU87,LocTable,7,FALSE))&gt;0,VLOOKUP($AT87&amp;"|"&amp;$CU87,LocTable,7,FALSE),VLOOKUP($AT87&amp;"|"&amp;$CU87,LocTable,6,FALSE))-$CR87-0.75&gt;=2.125)),IF(N(VLOOKUP($AT87&amp;"|"&amp;$CU87,LocTable,7,FALSE))&gt;0,VLOOKUP($AT87&amp;"|"&amp;$CU87,LocTable,7,FALSE),VLOOKUP($AT87&amp;"|"&amp;$CU87,LocTable,6,FALSE)),$BI87-($CU87-IF(N(VLOOKUP($AT87&amp;"|"&amp;$CU87,LocTable,7,FALSE))&gt;0,VLOOKUP($AT87&amp;"|"&amp;$CU87,LocTable,7,FALSE),VLOOKUP($AT87&amp;"|"&amp;$CU87,LocTable,6,FALSE)))),$BI87-10-$CR87))</f>
        <v/>
      </c>
      <c r="CY87" s="85">
        <f>IF($CS87,"",TRIM(IF(ISNUMBER($BU87),"A "&amp;TRIM(TEXT($BU87,"# ?/??"))&amp;CHAR(34)&amp;"  ","")&amp;IF(ISNUMBER($BV87),"B "&amp;TRIM(TEXT($BV87,"# ?/??"))&amp;CHAR(34)&amp;"  ","")&amp;IF(ISNUMBER($BW87),"C "&amp;TRIM(TEXT($BW87,"# ?/??"))&amp;CHAR(34)&amp;"  ","")&amp;IF(ISNUMBER($BX87),"D "&amp;TRIM(TEXT($BX87,"# ?/??"))&amp;CHAR(34)&amp;"  ","")&amp;IF(ISNUMBER($BY87),"F "&amp;TRIM(TEXT($BY87,"# ?/??"))&amp;CHAR(34)&amp;"  ","")&amp;IF(ISNUMBER($BZ87),"E "&amp;TRIM(TEXT($BZ87,"# ?/??"))&amp;CHAR(34)&amp;"  ","")))</f>
        <v/>
      </c>
      <c r="CZ87" s="85">
        <f>IF(OR($CS87,N($BJ87)=0),"",TRIM(IF(ISNUMBER($BU87),"A "&amp;TRIM(TEXT($BU87-HeadClr,"# ?/??"))&amp;CHAR(34)&amp;"  ","")&amp;IF(ISNUMBER($BV87),"B "&amp;TRIM(TEXT($BV87-HeadClr,"# ?/??"))&amp;CHAR(34)&amp;"  ","")&amp;IF(ISNUMBER($BW87),"C "&amp;TRIM(TEXT($BW87-HeadClr,"# ?/??"))&amp;CHAR(34)&amp;"  ","")&amp;IF(ISNUMBER($BX87),"D "&amp;TRIM(TEXT($BX87-HeadClr,"# ?/??"))&amp;CHAR(34)&amp;"  ","")&amp;IF(ISNUMBER($BY87),"F "&amp;TRIM(TEXT($BY87-HeadClr,"# ?/??"))&amp;CHAR(34)&amp;"  ","")&amp;IF(ISNUMBER($BZ87),"E "&amp;TRIM(TEXT($BZ87-HeadClr,"# ?/??"))&amp;CHAR(34)&amp;"  ","")))</f>
        <v/>
      </c>
      <c r="DA87" s="84">
        <f>IF($A87="","",IF($AN87="",IFERROR(VLOOKUP($Z87,CODES,2,FALSE),""),IFERROR(VLOOKUP($AN87,CODES,2,FALSE),"")))</f>
        <v/>
      </c>
      <c r="DB87" s="84">
        <f>IF($A87="","",IF($O87="Y","PR",IF(OR($Z87="L",$Z87="RR",LEFT($Z87,2)="L-",LEFT($Z87,3)="RR-"),"LH","RH")))</f>
        <v/>
      </c>
      <c r="DC87" s="84">
        <f>IF($A87="","","S.HM"&amp;IF(OR($C87="DOOR ONLY",$X87&lt;&gt;"KD"),"MASONRY","DRYWALL")&amp;IF($C87="DOOR ONLY","",$U87)&amp;IF(AND($C87&lt;&gt;"FRAME ONLY",OR(LEFT($AH87,3)="OAK",LEFT($AH87,3)="BIR",LEFT($AH87,3)="MAP",$AH87="PC",$AH87="MC",$AH87="SCLC",$AH87="P-LAM")),"WD","HM")&amp;"1.75")</f>
        <v/>
      </c>
      <c r="DD87" s="84">
        <f>IF($CJ87="","",IF($O87="Y",$CJ87,SUBSTITUTE($CJ87,$BG87&amp;" "&amp;IFERROR(VLOOKUP($Z87,CODES,2,FALSE),"")&amp;" ",$BG87&amp;" ")))</f>
        <v/>
      </c>
      <c r="DE87" s="84">
        <f>IF($CK87="","",IF($O87="Y",$CK87,SUBSTITUTE($CK87,$BG87&amp;" "&amp;IF($AN87="",IFERROR(VLOOKUP($Z87,CODES,2,FALSE),""),IFERROR(VLOOKUP($AN87,CODES,2,FALSE),""))&amp;" ",$BG87&amp;" ")))</f>
        <v/>
      </c>
      <c r="DF87" s="84">
        <f>IF($CJ87="","",$DC87&amp;"|"&amp;$DD87&amp;"|"&amp;$DB87&amp;"|"&amp;$AT87&amp;"|"&amp;$V87&amp;"|"&amp;$Y87&amp;"|"&amp;$AB87)</f>
        <v/>
      </c>
      <c r="DG87" s="84">
        <f>IF(DF87="","",IF(COUNTIF($DF$6:DF87,DF87)=1,MAX($DG$5:DG86)+1,INDEX($DG$5:DG86,MATCH(DF87,$DF$5:DF86,0))))</f>
        <v/>
      </c>
      <c r="DH87" s="84">
        <f>IF($CK87="","",$DC87&amp;"|"&amp;$DE87&amp;"|"&amp;$AI87&amp;"|"&amp;$BK87&amp;"|"&amp;$BL87)</f>
        <v/>
      </c>
      <c r="DI87" s="84">
        <f>IF(DH87="","",IF(COUNTIF($DH$6:DH87,DH87)=1,MAX($DI$5:DI86)+1,INDEX($DI$5:DI86,MATCH(DH87,$DH$5:DH86,0))))</f>
        <v/>
      </c>
      <c r="DJ87" s="84">
        <f>IF($A87="","",IF($B87="","qty, ","")&amp;IF($C87="","scope, ","")&amp;IF(OR($K87="",$M87=""),"size, ","")&amp;IF(AND($A87&lt;&gt;"",$C87&lt;&gt;"DOOR ONLY"),IF($U87="","jamb depth, ","")&amp;IF($X87="","construction, ","")&amp;IF($Y87="","anchor, ","")&amp;IF($S87="","frame type, ",""),"")&amp;IF(AND(N($BJ87)&gt;0,$Z87=""),"hand, ","")&amp;IF(N($BJ87)&gt;0,IF($AH87="","door material, ","")&amp;IF($AL87="","face type, ","")&amp;IF($AP87="","lock prep, ","")&amp;IF(AND($AO87="",$AC87=""),"hinge prep, ",""),"")&amp;IF(AND($CH87&gt;0,$AH87="FRP"),"FRP cannot carry a label, ","")&amp;IF(AND($O87="Y",OR($Z87="L",$Z87="R",$Z87="LR",$Z87="RR")),"pair marked but hand is single, ","")&amp;IF(AND($O87&lt;&gt;"Y",OR($Z87="PR",AND(LEN($Z87)&gt;1,ISNUMBER(SEARCH("-",$Z87))))),"pair hand on a single door, ","")&amp;IF(AND(ISNUMBER($CI87),$CH87&lt;N($CI87)),"wall needs a "&amp;$CI87&amp;" min door, ","")&amp;IF(AND($CH87&gt;=180,AND(OR($CE87="FG",$CE87="HG",$CE87="FNV",$CE87="FV"),N($CF87)*N($CG87)&gt;100)),"180 min lite over 100 sq in, ","")&amp;IF(N($BK87)&gt;48,"leaf wider than 4'-0"&amp;CHAR(34)&amp;", ","")&amp;IF(AND($CT87,COUNT($AW87:$AZ87)=0,$CQ87&gt;0),"CUSTOM LOC with no locations typed, ",""))</f>
        <v/>
      </c>
      <c r="DK87" s="84">
        <f>IF($A87="","",IF(AND($CH87&gt;0,AND($A87&lt;&gt;"",$C87&lt;&gt;"DOOR ONLY"),$X87="KD",$E87="EXTERIOR"),"KD label on an exterior opening, ","")&amp;IF(AND($E87="EXTERIOR",OR(AND(AND($A87&lt;&gt;"",$C87&lt;&gt;"DOOR ONLY"),$W87="CR"),AND(N($BJ87)&gt;0,$AH87="CR"))),"exterior in CR steel (G9?), ","")&amp;IF(AND(ISNUMBER($BQ87),N($BQ87)&lt;32),"clear width ~"&amp;TEXT($BQ87,"0.0")&amp;CHAR(34)&amp;" under 32"&amp;CHAR(34)&amp;" (ADA), ","")&amp;IF(AND($CH87=90,AND(OR($CE87="FG",$CE87="HG",$CE87="FNV",$CE87="FV"),N($CF87)*N($CG87)&gt;100)),"90 min lite over 100 sq in (stair/exit), ","")&amp;IF(AND($CH87&gt;0,AND($A87&lt;&gt;"",$C87&lt;&gt;"DOOR ONLY"),OR($AF87="",$AF87="-")),"rated: closer reinf.?, ","")&amp;IF(OR($I87="CORRIDOR",$I87="SMOKE BARRIER"),"S label + smoke gasketing, ","")&amp;IF($CI87="?","wall type/hr not in IBC table, ","")&amp;IF(AND(N($BJ87)&gt;0,$BB87=""),"no hardware set, ","")&amp;IF(AND($BB87&lt;&gt;"",ISNA(MATCH($BB87&amp;"",HWSets,0))),"set "&amp;$BB87&amp;" not on HW Sets, ","")&amp;IF(N($BL87)&gt;96,"leaf over 8'-0"&amp;CHAR(34)&amp;" - check listing, ","")&amp;IF(AND($CT87,COUNT($AW87:$AZ87)&gt;0,COUNT($AW87:$AZ87)&lt;&gt;$CQ87),COUNT($AW87:$AZ87)&amp;" custom hinges typed, "&amp;$CQ87&amp;" expected, ","")&amp;IF(AND(ISNUMBER($CA87),OR(N($CA87)&lt;34,N($CA87)&gt;48)),"lock "&amp;TEXT($CA87,"0.0")&amp;CHAR(34)&amp;" AFF outside 34-48"&amp;CHAR(34)&amp;" (ADA), ","")&amp;IF(AND(ISNUMBER($AV87),ISNUMBER($BL87),N($AV87)&lt;IF(N($BL87)&lt;=60,2,IF(N($BL87)&lt;=90,3,IF(N($BL87)&lt;=120,4,5)))),"fewer hinges than standard, ",""))</f>
        <v/>
      </c>
    </row>
    <row r="88" ht="15" customHeight="1">
      <c r="A88" s="77" t="n"/>
      <c r="B88" s="78" t="n"/>
      <c r="C88" s="78" t="n"/>
      <c r="D88" s="78" t="n"/>
      <c r="E88" s="78" t="n"/>
      <c r="F88" s="78" t="n"/>
      <c r="G88" s="78" t="n"/>
      <c r="H88" s="78" t="n"/>
      <c r="I88" s="78" t="n"/>
      <c r="J88" s="78" t="n"/>
      <c r="K88" s="78" t="n"/>
      <c r="L88" s="78" t="n"/>
      <c r="M88" s="78" t="n"/>
      <c r="N88" s="78" t="n"/>
      <c r="O88" s="78" t="n"/>
      <c r="P88" s="78" t="n"/>
      <c r="Q88" s="78" t="n"/>
      <c r="R88" s="78" t="n"/>
      <c r="S88" s="79" t="n"/>
      <c r="T88" s="79" t="n"/>
      <c r="U88" s="79" t="n"/>
      <c r="V88" s="79" t="n"/>
      <c r="W88" s="79" t="n"/>
      <c r="X88" s="79" t="n"/>
      <c r="Y88" s="79" t="n"/>
      <c r="Z88" s="79" t="n"/>
      <c r="AA88" s="79" t="n"/>
      <c r="AB88" s="79" t="n"/>
      <c r="AC88" s="79" t="n"/>
      <c r="AD88" s="79" t="n"/>
      <c r="AE88" s="79" t="n"/>
      <c r="AF88" s="79" t="n"/>
      <c r="AG88" s="79" t="n"/>
      <c r="AH88" s="80" t="n"/>
      <c r="AI88" s="80" t="n"/>
      <c r="AJ88" s="80" t="n"/>
      <c r="AK88" s="80" t="n"/>
      <c r="AL88" s="80" t="n"/>
      <c r="AM88" s="80" t="n"/>
      <c r="AN88" s="80" t="n"/>
      <c r="AO88" s="80" t="n"/>
      <c r="AP88" s="80" t="n"/>
      <c r="AQ88" s="80" t="n"/>
      <c r="AR88" s="80" t="n"/>
      <c r="AS88" s="80" t="n"/>
      <c r="AT88" s="81" t="n"/>
      <c r="AU88" s="81" t="n"/>
      <c r="AV88" s="81" t="n"/>
      <c r="AW88" s="82" t="n"/>
      <c r="AX88" s="82" t="n"/>
      <c r="AY88" s="82" t="n"/>
      <c r="AZ88" s="82" t="n"/>
      <c r="BA88" s="82" t="n"/>
      <c r="BB88" s="83" t="n"/>
      <c r="BC88" s="83" t="n"/>
      <c r="BD88" s="84">
        <f>IF($A88="","",IF($DJ88&lt;&gt;"","FIX",IF($DK88&lt;&gt;"","CHECK","OK")))</f>
        <v/>
      </c>
      <c r="BE88" s="85">
        <f>IF($A88="","",IF($DJ88&lt;&gt;"","FIX: "&amp;LEFT($DJ88,LEN($DJ88)-2)&amp;IF($DK88&lt;&gt;"","  ·  ",""),"")&amp;IF($DK88&lt;&gt;"","CHECK: "&amp;LEFT($DK88,LEN($DK88)-2),""))</f>
        <v/>
      </c>
      <c r="BF88" s="84">
        <f>IF(OR($A88="",$K88=""),"",$K88&amp;"'-"&amp;N($L88)&amp;CHAR(34)&amp;" x "&amp;$M88&amp;"'-"&amp;N($N88)&amp;CHAR(34))</f>
        <v/>
      </c>
      <c r="BG88" s="84">
        <f>IF(OR($A88="",$K88=""),"",$K88&amp;N($L88)&amp;$M88&amp;N($N88))</f>
        <v/>
      </c>
      <c r="BH88" s="84">
        <f>IF(OR($A88="",$K88=""),"",$K88*12+N($L88))</f>
        <v/>
      </c>
      <c r="BI88" s="84">
        <f>IF(OR($A88="",$M88=""),"",$M88*12+N($N88))</f>
        <v/>
      </c>
      <c r="BJ88" s="84">
        <f>IF($A88="","",IF(OR($C88="FRAME ONLY",$S88="BL"),0,IF($O88="Y",2,1)))</f>
        <v/>
      </c>
      <c r="BK88" s="86">
        <f>IF(OR(N($BJ88)=0,$BH88=""),"",($BH88-2*EdgeClr-IF($BJ88=2,MeetClr,0))/$BJ88)</f>
        <v/>
      </c>
      <c r="BL88" s="86">
        <f>IF(OR(N($BJ88)=0,$BI88=""),"",$BI88-HeadClr-Undercut)</f>
        <v/>
      </c>
      <c r="BM88" s="86">
        <f>IF($BH88="","",$BH88+2*FaceW+IF(N($Q88)&gt;0,($Q88+FaceW)*IF($R88="LR",2,1),0))</f>
        <v/>
      </c>
      <c r="BN88" s="86">
        <f>IF($BI88="","",$BI88+IF($AB88="Y",4,FaceW)+IF(N($P88)&gt;0,$P88+FaceW,0)+IF(OR($S88="4F",$S88="BL"),FaceW,0))</f>
        <v/>
      </c>
      <c r="BO88" s="86">
        <f>IF($BM88="","",$BM88+2*ROSide)</f>
        <v/>
      </c>
      <c r="BP88" s="86">
        <f>IF($BN88="","",$BN88+ROTop)</f>
        <v/>
      </c>
      <c r="BQ88" s="87">
        <f>IF(OR(N($BJ88)=0,$BH88=""),"",$BH88/$BJ88-ClearDeduct)</f>
        <v/>
      </c>
      <c r="BR88" s="84">
        <f>IF(N($CH88)=0,"",IF($CH88&gt;=180,"A · 3 HR",IF($CH88&gt;=90,"B · 1-1/2 HR",IF($CH88&gt;=60,"B · 1 HR",IF($CH88&gt;=45,"C · 3/4 HR","20 MIN")))))&amp;IF(AND(N($CH88)&gt;0,OR($I88="CORRIDOR",$I88="SMOKE BARRIER"))," · S","")</f>
        <v/>
      </c>
      <c r="BS88" s="84">
        <f>IF($CS88,"",IF($AV88&lt;&gt;"",$AV88,IF(OR($AC88="HGC",$AO88="HGC"),"CONT",IF(($BI88-HeadClr-Undercut)&lt;=60,2,IF(($BI88-HeadClr-Undercut)&lt;=90,3,IF(($BI88-HeadClr-Undercut)&lt;=120,4,5))))))</f>
        <v/>
      </c>
      <c r="BT88" s="84">
        <f>IF($CS88,"",IF($CT88,"CUSTOM (typed)",IF($CV88,$AT88&amp;" "&amp;$CU88&amp;CHAR(34)&amp;IF($CU88&lt;&gt;$BI88,IF(AND($BI88&lt;$CU88,$BI88-IF(N(VLOOKUP($AT88&amp;"|"&amp;$CU88,LocTable,7,FALSE))&gt;0,VLOOKUP($AT88&amp;"|"&amp;$CU88,LocTable,7,FALSE),VLOOKUP($AT88&amp;"|"&amp;$CU88,LocTable,6,FALSE))-$CR88-0.75&gt;=2.125)," cut down"," adj."),""),"ANSI/SDI A250.6")))</f>
        <v/>
      </c>
      <c r="BU88" s="88">
        <f>IF($CS88,"",IF($CT88,IF(N($AW88)&gt;0,N($AW88),""),IF(1&gt;$CQ88,"",IF($CQ88=1,$CW88,$CW88+($CX88-$CW88)*0/($CQ88-1)))))</f>
        <v/>
      </c>
      <c r="BV88" s="88">
        <f>IF($CS88,"",IF($CT88,IF(N($AX88)&gt;0,N($AX88),""),IF(2&gt;$CQ88,"",IF($CQ88=1,$CW88,$CW88+($CX88-$CW88)*1/($CQ88-1)))))</f>
        <v/>
      </c>
      <c r="BW88" s="88">
        <f>IF($CS88,"",IF($CT88,IF(N($AY88)&gt;0,N($AY88),""),IF(3&gt;$CQ88,"",IF($CQ88=1,$CW88,$CW88+($CX88-$CW88)*2/($CQ88-1)))))</f>
        <v/>
      </c>
      <c r="BX88" s="88">
        <f>IF($CS88,"",IF($CT88,IF(N($AZ88)&gt;0,N($AZ88),""),IF(4&gt;$CQ88,"",IF($CQ88=1,$CW88,$CW88+($CX88-$CW88)*3/($CQ88-1)))))</f>
        <v/>
      </c>
      <c r="BY88" s="88">
        <f>IF($CS88,"",IF($CT88,"",IF(5&gt;$CQ88,"",IF($CQ88=1,$CW88,$CW88+($CX88-$CW88)*4/($CQ88-1)))))</f>
        <v/>
      </c>
      <c r="BZ88" s="88">
        <f>IF(OR($CS88,$AP88="-",AND($AP88="",$AD88="")),"",IF(N($BA88)&gt;0,N($BA88),IF($CV88,IF(AND($BI88&lt;$CU88,$BI88-IF(N(VLOOKUP($AT88&amp;"|"&amp;$CU88,LocTable,7,FALSE))&gt;0,VLOOKUP($AT88&amp;"|"&amp;$CU88,LocTable,7,FALSE),VLOOKUP($AT88&amp;"|"&amp;$CU88,LocTable,6,FALSE))-$CR88-0.75&gt;=2.125),VLOOKUP($AT88&amp;"|"&amp;$CU88,LocTable,8,FALSE),VLOOKUP($AT88&amp;"|"&amp;$CU88,LocTable,8,FALSE)+($BI88-$CU88)),$BI88-LockAFF)))</f>
        <v/>
      </c>
      <c r="CA88" s="89">
        <f>IF($BZ88="","",$BI88-$BZ88)</f>
        <v/>
      </c>
      <c r="CB88" s="84">
        <f>IF(OR(NOT(AND($A88&lt;&gt;"",$C88&lt;&gt;"DOOR ONLY")),$BI88=""),"",IF(($BI88+IF(N($P88)&gt;0,$P88+FaceW,0))&lt;=90,3,IF(($BI88+IF(N($P88)&gt;0,$P88+FaceW,0))&lt;=114,4,5)))</f>
        <v/>
      </c>
      <c r="CC88" s="84">
        <f>IF($CB88="","",$CB88*(2+IF(N($Q88)&gt;0,IF($R88="LR",2,1),0)))</f>
        <v/>
      </c>
      <c r="CD88" s="84">
        <f>IF($CB88="","",(2+IF(N($Q88)&gt;0,IF($R88="LR",2,1),0)))</f>
        <v/>
      </c>
      <c r="CE88" s="84">
        <f>IF(N($BJ88)=0,"",IF(OR($AL88="",$AL88="FLUSH"),"FLUSH",IFERROR(LEFT($AL88,FIND("-",$AL88)-1),LEFT($AL88,2))))</f>
        <v/>
      </c>
      <c r="CF88" s="84">
        <f>IF($CE88="","",IFERROR(VALUE(MID($AL88,FIND("-",$AL88)+1,FIND(CHAR(34)&amp;"x",$AL88)-FIND("-",$AL88)-1)),0))</f>
        <v/>
      </c>
      <c r="CG88" s="84">
        <f>IF($CE88="","",IFERROR(VALUE(MID($AL88,FIND(CHAR(34)&amp;"x",$AL88)+2,FIND(CHAR(34),$AL88,FIND(CHAR(34)&amp;"x",$AL88)+2)-FIND(CHAR(34)&amp;"x",$AL88)-2)),0))</f>
        <v/>
      </c>
      <c r="CH88" s="90">
        <f>IF(OR($A88="",$H88="",$H88="NO LAB"),0,IFERROR(VALUE(LEFT($H88,FIND(" ",$H88)-1)),0))</f>
        <v/>
      </c>
      <c r="CI88" s="91">
        <f>IF(OR($A88="",$I88="",$I88="NON-RATED",N($J88)=0),"",IFERROR(VLOOKUP($I88&amp;"|"&amp;$J88,IBC,2,FALSE),"?"))</f>
        <v/>
      </c>
      <c r="CJ88" s="85">
        <f>IF(NOT(AND($A88&lt;&gt;"",$C88&lt;&gt;"DOOR ONLY")),"",TRIM(IFERROR(VLOOKUP($U88,CODES,2,FALSE),"")&amp;" "&amp;$BG88&amp;" "&amp;IFERROR(VLOOKUP($Z88,CODES,2,FALSE),"")&amp;" "&amp;IFERROR(VLOOKUP($X88,CODES,2,FALSE),"")&amp;" "&amp;IFERROR(VLOOKUP($S88,CODES,2,FALSE),"")&amp;IF(N($P88)&gt;0," w/TRANSOM "&amp;$P88&amp;CHAR(34),"")&amp;IF(N($Q88)&gt;0," w/SIDELITE "&amp;$Q88&amp;CHAR(34)&amp;" "&amp;IF($R88="","R",$R88),"")&amp;IF($Y88="","  |  "," | "&amp;IFERROR(VLOOKUP($Y88,CODES,2,FALSE),"")&amp;" | ")&amp;IFERROR(VLOOKUP($AC88,CODES,2,FALSE),"")&amp;" "&amp;IFERROR(VLOOKUP($AD88,CODES,2,FALSE),"")&amp;IF(OR($AE88="",$AE88="-"),""," "&amp;$AE88)&amp;IF(OR($AF88="",$AF88="-"),""," "&amp;$AF88)&amp;IF($AB88="Y"," 4"&amp;CHAR(34)&amp;" HEAD","")&amp;" "&amp;IFERROR(VLOOKUP($H88,CODES,2,FALSE),"")&amp;IF($CT88," | LOC "&amp;$CY88,"")))</f>
        <v/>
      </c>
      <c r="CK88" s="85">
        <f>IF(NOT(AND($A88&lt;&gt;"",N($BJ88)&gt;0)),"",TRIM(IFERROR(VLOOKUP($AH88,CODES,2,FALSE),"")&amp;IF($AI88=""," "," "&amp;$AI88&amp;"GA ")&amp;$BG88&amp;" "&amp;IF($AN88="",IFERROR(VLOOKUP($Z88,CODES,2,FALSE),""),IFERROR(VLOOKUP($AN88,CODES,2,FALSE),""))&amp;IF($BJ88=2," PAIR","")&amp;" DOOR | "&amp;IF($AL88="","?",$AL88)&amp;" | "&amp;IF($AO88="",IFERROR(VLOOKUP($AC88,CODES,2,FALSE),""),IFERROR(VLOOKUP($AO88,CODES,2,FALSE),""))&amp;" "&amp;IFERROR(VLOOKUP($AP88,CODES,2,FALSE),"")&amp;IF(OR($AQ88="",$AQ88="-"),""," SEAM "&amp;$AQ88)&amp;IF($AR88="Y"," ASTRAGAL","")&amp;IF($AJ88=""," "," "&amp;$AJ88)&amp;IF($AK88=""," "," "&amp;$AK88)&amp;IF(OR($AT88="",$AT88="ANSI/SDI",$AT88="CUSTOM LOC"),""," "&amp;$AT88)&amp;IF($AM88=""," "," SERIES "&amp;$AM88)&amp;" "&amp;IFERROR(VLOOKUP($H88,CODES,2,FALSE),"")&amp;IF($CT88," | LOC "&amp;$CZ88,"")))</f>
        <v/>
      </c>
      <c r="CL88" s="84">
        <f>IF(CP88="","",IF(COUNTIF($CP$6:CP88,CP88)=1,MAX($CL$5:CL87)+1,INDEX($CL$5:CL87,MATCH(CP88,$CP$5:CP87,0))))</f>
        <v/>
      </c>
      <c r="CM88" s="84">
        <f>IF(NOT(AND($A88&lt;&gt;"",$C88&lt;&gt;"DOOR ONLY")),"",MAX($CM$5:CM87)+1)</f>
        <v/>
      </c>
      <c r="CN88" s="84">
        <f>IF(NOT(AND($A88&lt;&gt;"",N($BJ88)&gt;0)),"",MAX($CN$5:CN87)+1)</f>
        <v/>
      </c>
      <c r="CO88" s="84">
        <f>IF($A88="","",MAX($CO$5:CO87)+1)</f>
        <v/>
      </c>
      <c r="CP88" s="84">
        <f>IF(OR($A88="",$BH88="",$BI88=""),"",$BG88&amp;"|"&amp;$O88&amp;"|"&amp;$AL88&amp;"|"&amp;$S88&amp;"|"&amp;$P88&amp;"|"&amp;$Q88&amp;$R88&amp;"|"&amp;$C88&amp;"|"&amp;$AB88)</f>
        <v/>
      </c>
      <c r="CQ88" s="84">
        <f>N($BS88)</f>
        <v/>
      </c>
      <c r="CR88" s="84">
        <f>IF(N($AU88)&gt;0,N($AU88),4.5)</f>
        <v/>
      </c>
      <c r="CS88" s="84">
        <f>OR($A88="",$BI88="",$S88="BL",AND($C88="FRAME ONLY",OR($AC88="",$AC88="BLK")))</f>
        <v/>
      </c>
      <c r="CT88" s="84">
        <f>AND(NOT($CS88),OR($AT88="CUSTOM LOC",N($AW88)+N($AX88)+N($AY88)+N($AZ88)+N($BA88)&gt;0))</f>
        <v/>
      </c>
      <c r="CU88" s="84">
        <f>IF($BI88="","",IF($BI88&lt;=80,80,IF($BI88&lt;=84,84,96)))</f>
        <v/>
      </c>
      <c r="CV88" s="84">
        <f>ISNUMBER(MATCH($AT88&amp;"|80",LocKeys,0))</f>
        <v/>
      </c>
      <c r="CW88" s="86">
        <f>IF($CS88,"",IF($CV88,VLOOKUP($AT88&amp;"|"&amp;$CU88,LocTable,4,FALSE),5))</f>
        <v/>
      </c>
      <c r="CX88" s="86">
        <f>IF($CS88,"",IF($CV88,IF(OR($BI88=$CU88,AND($BI88&lt;$CU88,$BI88-IF(N(VLOOKUP($AT88&amp;"|"&amp;$CU88,LocTable,7,FALSE))&gt;0,VLOOKUP($AT88&amp;"|"&amp;$CU88,LocTable,7,FALSE),VLOOKUP($AT88&amp;"|"&amp;$CU88,LocTable,6,FALSE))-$CR88-0.75&gt;=2.125)),IF(N(VLOOKUP($AT88&amp;"|"&amp;$CU88,LocTable,7,FALSE))&gt;0,VLOOKUP($AT88&amp;"|"&amp;$CU88,LocTable,7,FALSE),VLOOKUP($AT88&amp;"|"&amp;$CU88,LocTable,6,FALSE)),$BI88-($CU88-IF(N(VLOOKUP($AT88&amp;"|"&amp;$CU88,LocTable,7,FALSE))&gt;0,VLOOKUP($AT88&amp;"|"&amp;$CU88,LocTable,7,FALSE),VLOOKUP($AT88&amp;"|"&amp;$CU88,LocTable,6,FALSE)))),$BI88-10-$CR88))</f>
        <v/>
      </c>
      <c r="CY88" s="85">
        <f>IF($CS88,"",TRIM(IF(ISNUMBER($BU88),"A "&amp;TRIM(TEXT($BU88,"# ?/??"))&amp;CHAR(34)&amp;"  ","")&amp;IF(ISNUMBER($BV88),"B "&amp;TRIM(TEXT($BV88,"# ?/??"))&amp;CHAR(34)&amp;"  ","")&amp;IF(ISNUMBER($BW88),"C "&amp;TRIM(TEXT($BW88,"# ?/??"))&amp;CHAR(34)&amp;"  ","")&amp;IF(ISNUMBER($BX88),"D "&amp;TRIM(TEXT($BX88,"# ?/??"))&amp;CHAR(34)&amp;"  ","")&amp;IF(ISNUMBER($BY88),"F "&amp;TRIM(TEXT($BY88,"# ?/??"))&amp;CHAR(34)&amp;"  ","")&amp;IF(ISNUMBER($BZ88),"E "&amp;TRIM(TEXT($BZ88,"# ?/??"))&amp;CHAR(34)&amp;"  ","")))</f>
        <v/>
      </c>
      <c r="CZ88" s="85">
        <f>IF(OR($CS88,N($BJ88)=0),"",TRIM(IF(ISNUMBER($BU88),"A "&amp;TRIM(TEXT($BU88-HeadClr,"# ?/??"))&amp;CHAR(34)&amp;"  ","")&amp;IF(ISNUMBER($BV88),"B "&amp;TRIM(TEXT($BV88-HeadClr,"# ?/??"))&amp;CHAR(34)&amp;"  ","")&amp;IF(ISNUMBER($BW88),"C "&amp;TRIM(TEXT($BW88-HeadClr,"# ?/??"))&amp;CHAR(34)&amp;"  ","")&amp;IF(ISNUMBER($BX88),"D "&amp;TRIM(TEXT($BX88-HeadClr,"# ?/??"))&amp;CHAR(34)&amp;"  ","")&amp;IF(ISNUMBER($BY88),"F "&amp;TRIM(TEXT($BY88-HeadClr,"# ?/??"))&amp;CHAR(34)&amp;"  ","")&amp;IF(ISNUMBER($BZ88),"E "&amp;TRIM(TEXT($BZ88-HeadClr,"# ?/??"))&amp;CHAR(34)&amp;"  ","")))</f>
        <v/>
      </c>
      <c r="DA88" s="84">
        <f>IF($A88="","",IF($AN88="",IFERROR(VLOOKUP($Z88,CODES,2,FALSE),""),IFERROR(VLOOKUP($AN88,CODES,2,FALSE),"")))</f>
        <v/>
      </c>
      <c r="DB88" s="84">
        <f>IF($A88="","",IF($O88="Y","PR",IF(OR($Z88="L",$Z88="RR",LEFT($Z88,2)="L-",LEFT($Z88,3)="RR-"),"LH","RH")))</f>
        <v/>
      </c>
      <c r="DC88" s="84">
        <f>IF($A88="","","S.HM"&amp;IF(OR($C88="DOOR ONLY",$X88&lt;&gt;"KD"),"MASONRY","DRYWALL")&amp;IF($C88="DOOR ONLY","",$U88)&amp;IF(AND($C88&lt;&gt;"FRAME ONLY",OR(LEFT($AH88,3)="OAK",LEFT($AH88,3)="BIR",LEFT($AH88,3)="MAP",$AH88="PC",$AH88="MC",$AH88="SCLC",$AH88="P-LAM")),"WD","HM")&amp;"1.75")</f>
        <v/>
      </c>
      <c r="DD88" s="84">
        <f>IF($CJ88="","",IF($O88="Y",$CJ88,SUBSTITUTE($CJ88,$BG88&amp;" "&amp;IFERROR(VLOOKUP($Z88,CODES,2,FALSE),"")&amp;" ",$BG88&amp;" ")))</f>
        <v/>
      </c>
      <c r="DE88" s="84">
        <f>IF($CK88="","",IF($O88="Y",$CK88,SUBSTITUTE($CK88,$BG88&amp;" "&amp;IF($AN88="",IFERROR(VLOOKUP($Z88,CODES,2,FALSE),""),IFERROR(VLOOKUP($AN88,CODES,2,FALSE),""))&amp;" ",$BG88&amp;" ")))</f>
        <v/>
      </c>
      <c r="DF88" s="84">
        <f>IF($CJ88="","",$DC88&amp;"|"&amp;$DD88&amp;"|"&amp;$DB88&amp;"|"&amp;$AT88&amp;"|"&amp;$V88&amp;"|"&amp;$Y88&amp;"|"&amp;$AB88)</f>
        <v/>
      </c>
      <c r="DG88" s="84">
        <f>IF(DF88="","",IF(COUNTIF($DF$6:DF88,DF88)=1,MAX($DG$5:DG87)+1,INDEX($DG$5:DG87,MATCH(DF88,$DF$5:DF87,0))))</f>
        <v/>
      </c>
      <c r="DH88" s="84">
        <f>IF($CK88="","",$DC88&amp;"|"&amp;$DE88&amp;"|"&amp;$AI88&amp;"|"&amp;$BK88&amp;"|"&amp;$BL88)</f>
        <v/>
      </c>
      <c r="DI88" s="84">
        <f>IF(DH88="","",IF(COUNTIF($DH$6:DH88,DH88)=1,MAX($DI$5:DI87)+1,INDEX($DI$5:DI87,MATCH(DH88,$DH$5:DH87,0))))</f>
        <v/>
      </c>
      <c r="DJ88" s="84">
        <f>IF($A88="","",IF($B88="","qty, ","")&amp;IF($C88="","scope, ","")&amp;IF(OR($K88="",$M88=""),"size, ","")&amp;IF(AND($A88&lt;&gt;"",$C88&lt;&gt;"DOOR ONLY"),IF($U88="","jamb depth, ","")&amp;IF($X88="","construction, ","")&amp;IF($Y88="","anchor, ","")&amp;IF($S88="","frame type, ",""),"")&amp;IF(AND(N($BJ88)&gt;0,$Z88=""),"hand, ","")&amp;IF(N($BJ88)&gt;0,IF($AH88="","door material, ","")&amp;IF($AL88="","face type, ","")&amp;IF($AP88="","lock prep, ","")&amp;IF(AND($AO88="",$AC88=""),"hinge prep, ",""),"")&amp;IF(AND($CH88&gt;0,$AH88="FRP"),"FRP cannot carry a label, ","")&amp;IF(AND($O88="Y",OR($Z88="L",$Z88="R",$Z88="LR",$Z88="RR")),"pair marked but hand is single, ","")&amp;IF(AND($O88&lt;&gt;"Y",OR($Z88="PR",AND(LEN($Z88)&gt;1,ISNUMBER(SEARCH("-",$Z88))))),"pair hand on a single door, ","")&amp;IF(AND(ISNUMBER($CI88),$CH88&lt;N($CI88)),"wall needs a "&amp;$CI88&amp;" min door, ","")&amp;IF(AND($CH88&gt;=180,AND(OR($CE88="FG",$CE88="HG",$CE88="FNV",$CE88="FV"),N($CF88)*N($CG88)&gt;100)),"180 min lite over 100 sq in, ","")&amp;IF(N($BK88)&gt;48,"leaf wider than 4'-0"&amp;CHAR(34)&amp;", ","")&amp;IF(AND($CT88,COUNT($AW88:$AZ88)=0,$CQ88&gt;0),"CUSTOM LOC with no locations typed, ",""))</f>
        <v/>
      </c>
      <c r="DK88" s="84">
        <f>IF($A88="","",IF(AND($CH88&gt;0,AND($A88&lt;&gt;"",$C88&lt;&gt;"DOOR ONLY"),$X88="KD",$E88="EXTERIOR"),"KD label on an exterior opening, ","")&amp;IF(AND($E88="EXTERIOR",OR(AND(AND($A88&lt;&gt;"",$C88&lt;&gt;"DOOR ONLY"),$W88="CR"),AND(N($BJ88)&gt;0,$AH88="CR"))),"exterior in CR steel (G9?), ","")&amp;IF(AND(ISNUMBER($BQ88),N($BQ88)&lt;32),"clear width ~"&amp;TEXT($BQ88,"0.0")&amp;CHAR(34)&amp;" under 32"&amp;CHAR(34)&amp;" (ADA), ","")&amp;IF(AND($CH88=90,AND(OR($CE88="FG",$CE88="HG",$CE88="FNV",$CE88="FV"),N($CF88)*N($CG88)&gt;100)),"90 min lite over 100 sq in (stair/exit), ","")&amp;IF(AND($CH88&gt;0,AND($A88&lt;&gt;"",$C88&lt;&gt;"DOOR ONLY"),OR($AF88="",$AF88="-")),"rated: closer reinf.?, ","")&amp;IF(OR($I88="CORRIDOR",$I88="SMOKE BARRIER"),"S label + smoke gasketing, ","")&amp;IF($CI88="?","wall type/hr not in IBC table, ","")&amp;IF(AND(N($BJ88)&gt;0,$BB88=""),"no hardware set, ","")&amp;IF(AND($BB88&lt;&gt;"",ISNA(MATCH($BB88&amp;"",HWSets,0))),"set "&amp;$BB88&amp;" not on HW Sets, ","")&amp;IF(N($BL88)&gt;96,"leaf over 8'-0"&amp;CHAR(34)&amp;" - check listing, ","")&amp;IF(AND($CT88,COUNT($AW88:$AZ88)&gt;0,COUNT($AW88:$AZ88)&lt;&gt;$CQ88),COUNT($AW88:$AZ88)&amp;" custom hinges typed, "&amp;$CQ88&amp;" expected, ","")&amp;IF(AND(ISNUMBER($CA88),OR(N($CA88)&lt;34,N($CA88)&gt;48)),"lock "&amp;TEXT($CA88,"0.0")&amp;CHAR(34)&amp;" AFF outside 34-48"&amp;CHAR(34)&amp;" (ADA), ","")&amp;IF(AND(ISNUMBER($AV88),ISNUMBER($BL88),N($AV88)&lt;IF(N($BL88)&lt;=60,2,IF(N($BL88)&lt;=90,3,IF(N($BL88)&lt;=120,4,5)))),"fewer hinges than standard, ",""))</f>
        <v/>
      </c>
    </row>
    <row r="89" ht="15" customHeight="1">
      <c r="A89" s="77" t="n"/>
      <c r="B89" s="78" t="n"/>
      <c r="C89" s="78" t="n"/>
      <c r="D89" s="78" t="n"/>
      <c r="E89" s="78" t="n"/>
      <c r="F89" s="78" t="n"/>
      <c r="G89" s="78" t="n"/>
      <c r="H89" s="78" t="n"/>
      <c r="I89" s="78" t="n"/>
      <c r="J89" s="78" t="n"/>
      <c r="K89" s="78" t="n"/>
      <c r="L89" s="78" t="n"/>
      <c r="M89" s="78" t="n"/>
      <c r="N89" s="78" t="n"/>
      <c r="O89" s="78" t="n"/>
      <c r="P89" s="78" t="n"/>
      <c r="Q89" s="78" t="n"/>
      <c r="R89" s="78" t="n"/>
      <c r="S89" s="79" t="n"/>
      <c r="T89" s="79" t="n"/>
      <c r="U89" s="79" t="n"/>
      <c r="V89" s="79" t="n"/>
      <c r="W89" s="79" t="n"/>
      <c r="X89" s="79" t="n"/>
      <c r="Y89" s="79" t="n"/>
      <c r="Z89" s="79" t="n"/>
      <c r="AA89" s="79" t="n"/>
      <c r="AB89" s="79" t="n"/>
      <c r="AC89" s="79" t="n"/>
      <c r="AD89" s="79" t="n"/>
      <c r="AE89" s="79" t="n"/>
      <c r="AF89" s="79" t="n"/>
      <c r="AG89" s="79" t="n"/>
      <c r="AH89" s="80" t="n"/>
      <c r="AI89" s="80" t="n"/>
      <c r="AJ89" s="80" t="n"/>
      <c r="AK89" s="80" t="n"/>
      <c r="AL89" s="80" t="n"/>
      <c r="AM89" s="80" t="n"/>
      <c r="AN89" s="80" t="n"/>
      <c r="AO89" s="80" t="n"/>
      <c r="AP89" s="80" t="n"/>
      <c r="AQ89" s="80" t="n"/>
      <c r="AR89" s="80" t="n"/>
      <c r="AS89" s="80" t="n"/>
      <c r="AT89" s="81" t="n"/>
      <c r="AU89" s="81" t="n"/>
      <c r="AV89" s="81" t="n"/>
      <c r="AW89" s="82" t="n"/>
      <c r="AX89" s="82" t="n"/>
      <c r="AY89" s="82" t="n"/>
      <c r="AZ89" s="82" t="n"/>
      <c r="BA89" s="82" t="n"/>
      <c r="BB89" s="83" t="n"/>
      <c r="BC89" s="83" t="n"/>
      <c r="BD89" s="84">
        <f>IF($A89="","",IF($DJ89&lt;&gt;"","FIX",IF($DK89&lt;&gt;"","CHECK","OK")))</f>
        <v/>
      </c>
      <c r="BE89" s="85">
        <f>IF($A89="","",IF($DJ89&lt;&gt;"","FIX: "&amp;LEFT($DJ89,LEN($DJ89)-2)&amp;IF($DK89&lt;&gt;"","  ·  ",""),"")&amp;IF($DK89&lt;&gt;"","CHECK: "&amp;LEFT($DK89,LEN($DK89)-2),""))</f>
        <v/>
      </c>
      <c r="BF89" s="84">
        <f>IF(OR($A89="",$K89=""),"",$K89&amp;"'-"&amp;N($L89)&amp;CHAR(34)&amp;" x "&amp;$M89&amp;"'-"&amp;N($N89)&amp;CHAR(34))</f>
        <v/>
      </c>
      <c r="BG89" s="84">
        <f>IF(OR($A89="",$K89=""),"",$K89&amp;N($L89)&amp;$M89&amp;N($N89))</f>
        <v/>
      </c>
      <c r="BH89" s="84">
        <f>IF(OR($A89="",$K89=""),"",$K89*12+N($L89))</f>
        <v/>
      </c>
      <c r="BI89" s="84">
        <f>IF(OR($A89="",$M89=""),"",$M89*12+N($N89))</f>
        <v/>
      </c>
      <c r="BJ89" s="84">
        <f>IF($A89="","",IF(OR($C89="FRAME ONLY",$S89="BL"),0,IF($O89="Y",2,1)))</f>
        <v/>
      </c>
      <c r="BK89" s="86">
        <f>IF(OR(N($BJ89)=0,$BH89=""),"",($BH89-2*EdgeClr-IF($BJ89=2,MeetClr,0))/$BJ89)</f>
        <v/>
      </c>
      <c r="BL89" s="86">
        <f>IF(OR(N($BJ89)=0,$BI89=""),"",$BI89-HeadClr-Undercut)</f>
        <v/>
      </c>
      <c r="BM89" s="86">
        <f>IF($BH89="","",$BH89+2*FaceW+IF(N($Q89)&gt;0,($Q89+FaceW)*IF($R89="LR",2,1),0))</f>
        <v/>
      </c>
      <c r="BN89" s="86">
        <f>IF($BI89="","",$BI89+IF($AB89="Y",4,FaceW)+IF(N($P89)&gt;0,$P89+FaceW,0)+IF(OR($S89="4F",$S89="BL"),FaceW,0))</f>
        <v/>
      </c>
      <c r="BO89" s="86">
        <f>IF($BM89="","",$BM89+2*ROSide)</f>
        <v/>
      </c>
      <c r="BP89" s="86">
        <f>IF($BN89="","",$BN89+ROTop)</f>
        <v/>
      </c>
      <c r="BQ89" s="87">
        <f>IF(OR(N($BJ89)=0,$BH89=""),"",$BH89/$BJ89-ClearDeduct)</f>
        <v/>
      </c>
      <c r="BR89" s="84">
        <f>IF(N($CH89)=0,"",IF($CH89&gt;=180,"A · 3 HR",IF($CH89&gt;=90,"B · 1-1/2 HR",IF($CH89&gt;=60,"B · 1 HR",IF($CH89&gt;=45,"C · 3/4 HR","20 MIN")))))&amp;IF(AND(N($CH89)&gt;0,OR($I89="CORRIDOR",$I89="SMOKE BARRIER"))," · S","")</f>
        <v/>
      </c>
      <c r="BS89" s="84">
        <f>IF($CS89,"",IF($AV89&lt;&gt;"",$AV89,IF(OR($AC89="HGC",$AO89="HGC"),"CONT",IF(($BI89-HeadClr-Undercut)&lt;=60,2,IF(($BI89-HeadClr-Undercut)&lt;=90,3,IF(($BI89-HeadClr-Undercut)&lt;=120,4,5))))))</f>
        <v/>
      </c>
      <c r="BT89" s="84">
        <f>IF($CS89,"",IF($CT89,"CUSTOM (typed)",IF($CV89,$AT89&amp;" "&amp;$CU89&amp;CHAR(34)&amp;IF($CU89&lt;&gt;$BI89,IF(AND($BI89&lt;$CU89,$BI89-IF(N(VLOOKUP($AT89&amp;"|"&amp;$CU89,LocTable,7,FALSE))&gt;0,VLOOKUP($AT89&amp;"|"&amp;$CU89,LocTable,7,FALSE),VLOOKUP($AT89&amp;"|"&amp;$CU89,LocTable,6,FALSE))-$CR89-0.75&gt;=2.125)," cut down"," adj."),""),"ANSI/SDI A250.6")))</f>
        <v/>
      </c>
      <c r="BU89" s="88">
        <f>IF($CS89,"",IF($CT89,IF(N($AW89)&gt;0,N($AW89),""),IF(1&gt;$CQ89,"",IF($CQ89=1,$CW89,$CW89+($CX89-$CW89)*0/($CQ89-1)))))</f>
        <v/>
      </c>
      <c r="BV89" s="88">
        <f>IF($CS89,"",IF($CT89,IF(N($AX89)&gt;0,N($AX89),""),IF(2&gt;$CQ89,"",IF($CQ89=1,$CW89,$CW89+($CX89-$CW89)*1/($CQ89-1)))))</f>
        <v/>
      </c>
      <c r="BW89" s="88">
        <f>IF($CS89,"",IF($CT89,IF(N($AY89)&gt;0,N($AY89),""),IF(3&gt;$CQ89,"",IF($CQ89=1,$CW89,$CW89+($CX89-$CW89)*2/($CQ89-1)))))</f>
        <v/>
      </c>
      <c r="BX89" s="88">
        <f>IF($CS89,"",IF($CT89,IF(N($AZ89)&gt;0,N($AZ89),""),IF(4&gt;$CQ89,"",IF($CQ89=1,$CW89,$CW89+($CX89-$CW89)*3/($CQ89-1)))))</f>
        <v/>
      </c>
      <c r="BY89" s="88">
        <f>IF($CS89,"",IF($CT89,"",IF(5&gt;$CQ89,"",IF($CQ89=1,$CW89,$CW89+($CX89-$CW89)*4/($CQ89-1)))))</f>
        <v/>
      </c>
      <c r="BZ89" s="88">
        <f>IF(OR($CS89,$AP89="-",AND($AP89="",$AD89="")),"",IF(N($BA89)&gt;0,N($BA89),IF($CV89,IF(AND($BI89&lt;$CU89,$BI89-IF(N(VLOOKUP($AT89&amp;"|"&amp;$CU89,LocTable,7,FALSE))&gt;0,VLOOKUP($AT89&amp;"|"&amp;$CU89,LocTable,7,FALSE),VLOOKUP($AT89&amp;"|"&amp;$CU89,LocTable,6,FALSE))-$CR89-0.75&gt;=2.125),VLOOKUP($AT89&amp;"|"&amp;$CU89,LocTable,8,FALSE),VLOOKUP($AT89&amp;"|"&amp;$CU89,LocTable,8,FALSE)+($BI89-$CU89)),$BI89-LockAFF)))</f>
        <v/>
      </c>
      <c r="CA89" s="89">
        <f>IF($BZ89="","",$BI89-$BZ89)</f>
        <v/>
      </c>
      <c r="CB89" s="84">
        <f>IF(OR(NOT(AND($A89&lt;&gt;"",$C89&lt;&gt;"DOOR ONLY")),$BI89=""),"",IF(($BI89+IF(N($P89)&gt;0,$P89+FaceW,0))&lt;=90,3,IF(($BI89+IF(N($P89)&gt;0,$P89+FaceW,0))&lt;=114,4,5)))</f>
        <v/>
      </c>
      <c r="CC89" s="84">
        <f>IF($CB89="","",$CB89*(2+IF(N($Q89)&gt;0,IF($R89="LR",2,1),0)))</f>
        <v/>
      </c>
      <c r="CD89" s="84">
        <f>IF($CB89="","",(2+IF(N($Q89)&gt;0,IF($R89="LR",2,1),0)))</f>
        <v/>
      </c>
      <c r="CE89" s="84">
        <f>IF(N($BJ89)=0,"",IF(OR($AL89="",$AL89="FLUSH"),"FLUSH",IFERROR(LEFT($AL89,FIND("-",$AL89)-1),LEFT($AL89,2))))</f>
        <v/>
      </c>
      <c r="CF89" s="84">
        <f>IF($CE89="","",IFERROR(VALUE(MID($AL89,FIND("-",$AL89)+1,FIND(CHAR(34)&amp;"x",$AL89)-FIND("-",$AL89)-1)),0))</f>
        <v/>
      </c>
      <c r="CG89" s="84">
        <f>IF($CE89="","",IFERROR(VALUE(MID($AL89,FIND(CHAR(34)&amp;"x",$AL89)+2,FIND(CHAR(34),$AL89,FIND(CHAR(34)&amp;"x",$AL89)+2)-FIND(CHAR(34)&amp;"x",$AL89)-2)),0))</f>
        <v/>
      </c>
      <c r="CH89" s="90">
        <f>IF(OR($A89="",$H89="",$H89="NO LAB"),0,IFERROR(VALUE(LEFT($H89,FIND(" ",$H89)-1)),0))</f>
        <v/>
      </c>
      <c r="CI89" s="91">
        <f>IF(OR($A89="",$I89="",$I89="NON-RATED",N($J89)=0),"",IFERROR(VLOOKUP($I89&amp;"|"&amp;$J89,IBC,2,FALSE),"?"))</f>
        <v/>
      </c>
      <c r="CJ89" s="85">
        <f>IF(NOT(AND($A89&lt;&gt;"",$C89&lt;&gt;"DOOR ONLY")),"",TRIM(IFERROR(VLOOKUP($U89,CODES,2,FALSE),"")&amp;" "&amp;$BG89&amp;" "&amp;IFERROR(VLOOKUP($Z89,CODES,2,FALSE),"")&amp;" "&amp;IFERROR(VLOOKUP($X89,CODES,2,FALSE),"")&amp;" "&amp;IFERROR(VLOOKUP($S89,CODES,2,FALSE),"")&amp;IF(N($P89)&gt;0," w/TRANSOM "&amp;$P89&amp;CHAR(34),"")&amp;IF(N($Q89)&gt;0," w/SIDELITE "&amp;$Q89&amp;CHAR(34)&amp;" "&amp;IF($R89="","R",$R89),"")&amp;IF($Y89="","  |  "," | "&amp;IFERROR(VLOOKUP($Y89,CODES,2,FALSE),"")&amp;" | ")&amp;IFERROR(VLOOKUP($AC89,CODES,2,FALSE),"")&amp;" "&amp;IFERROR(VLOOKUP($AD89,CODES,2,FALSE),"")&amp;IF(OR($AE89="",$AE89="-"),""," "&amp;$AE89)&amp;IF(OR($AF89="",$AF89="-"),""," "&amp;$AF89)&amp;IF($AB89="Y"," 4"&amp;CHAR(34)&amp;" HEAD","")&amp;" "&amp;IFERROR(VLOOKUP($H89,CODES,2,FALSE),"")&amp;IF($CT89," | LOC "&amp;$CY89,"")))</f>
        <v/>
      </c>
      <c r="CK89" s="85">
        <f>IF(NOT(AND($A89&lt;&gt;"",N($BJ89)&gt;0)),"",TRIM(IFERROR(VLOOKUP($AH89,CODES,2,FALSE),"")&amp;IF($AI89=""," "," "&amp;$AI89&amp;"GA ")&amp;$BG89&amp;" "&amp;IF($AN89="",IFERROR(VLOOKUP($Z89,CODES,2,FALSE),""),IFERROR(VLOOKUP($AN89,CODES,2,FALSE),""))&amp;IF($BJ89=2," PAIR","")&amp;" DOOR | "&amp;IF($AL89="","?",$AL89)&amp;" | "&amp;IF($AO89="",IFERROR(VLOOKUP($AC89,CODES,2,FALSE),""),IFERROR(VLOOKUP($AO89,CODES,2,FALSE),""))&amp;" "&amp;IFERROR(VLOOKUP($AP89,CODES,2,FALSE),"")&amp;IF(OR($AQ89="",$AQ89="-"),""," SEAM "&amp;$AQ89)&amp;IF($AR89="Y"," ASTRAGAL","")&amp;IF($AJ89=""," "," "&amp;$AJ89)&amp;IF($AK89=""," "," "&amp;$AK89)&amp;IF(OR($AT89="",$AT89="ANSI/SDI",$AT89="CUSTOM LOC"),""," "&amp;$AT89)&amp;IF($AM89=""," "," SERIES "&amp;$AM89)&amp;" "&amp;IFERROR(VLOOKUP($H89,CODES,2,FALSE),"")&amp;IF($CT89," | LOC "&amp;$CZ89,"")))</f>
        <v/>
      </c>
      <c r="CL89" s="84">
        <f>IF(CP89="","",IF(COUNTIF($CP$6:CP89,CP89)=1,MAX($CL$5:CL88)+1,INDEX($CL$5:CL88,MATCH(CP89,$CP$5:CP88,0))))</f>
        <v/>
      </c>
      <c r="CM89" s="84">
        <f>IF(NOT(AND($A89&lt;&gt;"",$C89&lt;&gt;"DOOR ONLY")),"",MAX($CM$5:CM88)+1)</f>
        <v/>
      </c>
      <c r="CN89" s="84">
        <f>IF(NOT(AND($A89&lt;&gt;"",N($BJ89)&gt;0)),"",MAX($CN$5:CN88)+1)</f>
        <v/>
      </c>
      <c r="CO89" s="84">
        <f>IF($A89="","",MAX($CO$5:CO88)+1)</f>
        <v/>
      </c>
      <c r="CP89" s="84">
        <f>IF(OR($A89="",$BH89="",$BI89=""),"",$BG89&amp;"|"&amp;$O89&amp;"|"&amp;$AL89&amp;"|"&amp;$S89&amp;"|"&amp;$P89&amp;"|"&amp;$Q89&amp;$R89&amp;"|"&amp;$C89&amp;"|"&amp;$AB89)</f>
        <v/>
      </c>
      <c r="CQ89" s="84">
        <f>N($BS89)</f>
        <v/>
      </c>
      <c r="CR89" s="84">
        <f>IF(N($AU89)&gt;0,N($AU89),4.5)</f>
        <v/>
      </c>
      <c r="CS89" s="84">
        <f>OR($A89="",$BI89="",$S89="BL",AND($C89="FRAME ONLY",OR($AC89="",$AC89="BLK")))</f>
        <v/>
      </c>
      <c r="CT89" s="84">
        <f>AND(NOT($CS89),OR($AT89="CUSTOM LOC",N($AW89)+N($AX89)+N($AY89)+N($AZ89)+N($BA89)&gt;0))</f>
        <v/>
      </c>
      <c r="CU89" s="84">
        <f>IF($BI89="","",IF($BI89&lt;=80,80,IF($BI89&lt;=84,84,96)))</f>
        <v/>
      </c>
      <c r="CV89" s="84">
        <f>ISNUMBER(MATCH($AT89&amp;"|80",LocKeys,0))</f>
        <v/>
      </c>
      <c r="CW89" s="86">
        <f>IF($CS89,"",IF($CV89,VLOOKUP($AT89&amp;"|"&amp;$CU89,LocTable,4,FALSE),5))</f>
        <v/>
      </c>
      <c r="CX89" s="86">
        <f>IF($CS89,"",IF($CV89,IF(OR($BI89=$CU89,AND($BI89&lt;$CU89,$BI89-IF(N(VLOOKUP($AT89&amp;"|"&amp;$CU89,LocTable,7,FALSE))&gt;0,VLOOKUP($AT89&amp;"|"&amp;$CU89,LocTable,7,FALSE),VLOOKUP($AT89&amp;"|"&amp;$CU89,LocTable,6,FALSE))-$CR89-0.75&gt;=2.125)),IF(N(VLOOKUP($AT89&amp;"|"&amp;$CU89,LocTable,7,FALSE))&gt;0,VLOOKUP($AT89&amp;"|"&amp;$CU89,LocTable,7,FALSE),VLOOKUP($AT89&amp;"|"&amp;$CU89,LocTable,6,FALSE)),$BI89-($CU89-IF(N(VLOOKUP($AT89&amp;"|"&amp;$CU89,LocTable,7,FALSE))&gt;0,VLOOKUP($AT89&amp;"|"&amp;$CU89,LocTable,7,FALSE),VLOOKUP($AT89&amp;"|"&amp;$CU89,LocTable,6,FALSE)))),$BI89-10-$CR89))</f>
        <v/>
      </c>
      <c r="CY89" s="85">
        <f>IF($CS89,"",TRIM(IF(ISNUMBER($BU89),"A "&amp;TRIM(TEXT($BU89,"# ?/??"))&amp;CHAR(34)&amp;"  ","")&amp;IF(ISNUMBER($BV89),"B "&amp;TRIM(TEXT($BV89,"# ?/??"))&amp;CHAR(34)&amp;"  ","")&amp;IF(ISNUMBER($BW89),"C "&amp;TRIM(TEXT($BW89,"# ?/??"))&amp;CHAR(34)&amp;"  ","")&amp;IF(ISNUMBER($BX89),"D "&amp;TRIM(TEXT($BX89,"# ?/??"))&amp;CHAR(34)&amp;"  ","")&amp;IF(ISNUMBER($BY89),"F "&amp;TRIM(TEXT($BY89,"# ?/??"))&amp;CHAR(34)&amp;"  ","")&amp;IF(ISNUMBER($BZ89),"E "&amp;TRIM(TEXT($BZ89,"# ?/??"))&amp;CHAR(34)&amp;"  ","")))</f>
        <v/>
      </c>
      <c r="CZ89" s="85">
        <f>IF(OR($CS89,N($BJ89)=0),"",TRIM(IF(ISNUMBER($BU89),"A "&amp;TRIM(TEXT($BU89-HeadClr,"# ?/??"))&amp;CHAR(34)&amp;"  ","")&amp;IF(ISNUMBER($BV89),"B "&amp;TRIM(TEXT($BV89-HeadClr,"# ?/??"))&amp;CHAR(34)&amp;"  ","")&amp;IF(ISNUMBER($BW89),"C "&amp;TRIM(TEXT($BW89-HeadClr,"# ?/??"))&amp;CHAR(34)&amp;"  ","")&amp;IF(ISNUMBER($BX89),"D "&amp;TRIM(TEXT($BX89-HeadClr,"# ?/??"))&amp;CHAR(34)&amp;"  ","")&amp;IF(ISNUMBER($BY89),"F "&amp;TRIM(TEXT($BY89-HeadClr,"# ?/??"))&amp;CHAR(34)&amp;"  ","")&amp;IF(ISNUMBER($BZ89),"E "&amp;TRIM(TEXT($BZ89-HeadClr,"# ?/??"))&amp;CHAR(34)&amp;"  ","")))</f>
        <v/>
      </c>
      <c r="DA89" s="84">
        <f>IF($A89="","",IF($AN89="",IFERROR(VLOOKUP($Z89,CODES,2,FALSE),""),IFERROR(VLOOKUP($AN89,CODES,2,FALSE),"")))</f>
        <v/>
      </c>
      <c r="DB89" s="84">
        <f>IF($A89="","",IF($O89="Y","PR",IF(OR($Z89="L",$Z89="RR",LEFT($Z89,2)="L-",LEFT($Z89,3)="RR-"),"LH","RH")))</f>
        <v/>
      </c>
      <c r="DC89" s="84">
        <f>IF($A89="","","S.HM"&amp;IF(OR($C89="DOOR ONLY",$X89&lt;&gt;"KD"),"MASONRY","DRYWALL")&amp;IF($C89="DOOR ONLY","",$U89)&amp;IF(AND($C89&lt;&gt;"FRAME ONLY",OR(LEFT($AH89,3)="OAK",LEFT($AH89,3)="BIR",LEFT($AH89,3)="MAP",$AH89="PC",$AH89="MC",$AH89="SCLC",$AH89="P-LAM")),"WD","HM")&amp;"1.75")</f>
        <v/>
      </c>
      <c r="DD89" s="84">
        <f>IF($CJ89="","",IF($O89="Y",$CJ89,SUBSTITUTE($CJ89,$BG89&amp;" "&amp;IFERROR(VLOOKUP($Z89,CODES,2,FALSE),"")&amp;" ",$BG89&amp;" ")))</f>
        <v/>
      </c>
      <c r="DE89" s="84">
        <f>IF($CK89="","",IF($O89="Y",$CK89,SUBSTITUTE($CK89,$BG89&amp;" "&amp;IF($AN89="",IFERROR(VLOOKUP($Z89,CODES,2,FALSE),""),IFERROR(VLOOKUP($AN89,CODES,2,FALSE),""))&amp;" ",$BG89&amp;" ")))</f>
        <v/>
      </c>
      <c r="DF89" s="84">
        <f>IF($CJ89="","",$DC89&amp;"|"&amp;$DD89&amp;"|"&amp;$DB89&amp;"|"&amp;$AT89&amp;"|"&amp;$V89&amp;"|"&amp;$Y89&amp;"|"&amp;$AB89)</f>
        <v/>
      </c>
      <c r="DG89" s="84">
        <f>IF(DF89="","",IF(COUNTIF($DF$6:DF89,DF89)=1,MAX($DG$5:DG88)+1,INDEX($DG$5:DG88,MATCH(DF89,$DF$5:DF88,0))))</f>
        <v/>
      </c>
      <c r="DH89" s="84">
        <f>IF($CK89="","",$DC89&amp;"|"&amp;$DE89&amp;"|"&amp;$AI89&amp;"|"&amp;$BK89&amp;"|"&amp;$BL89)</f>
        <v/>
      </c>
      <c r="DI89" s="84">
        <f>IF(DH89="","",IF(COUNTIF($DH$6:DH89,DH89)=1,MAX($DI$5:DI88)+1,INDEX($DI$5:DI88,MATCH(DH89,$DH$5:DH88,0))))</f>
        <v/>
      </c>
      <c r="DJ89" s="84">
        <f>IF($A89="","",IF($B89="","qty, ","")&amp;IF($C89="","scope, ","")&amp;IF(OR($K89="",$M89=""),"size, ","")&amp;IF(AND($A89&lt;&gt;"",$C89&lt;&gt;"DOOR ONLY"),IF($U89="","jamb depth, ","")&amp;IF($X89="","construction, ","")&amp;IF($Y89="","anchor, ","")&amp;IF($S89="","frame type, ",""),"")&amp;IF(AND(N($BJ89)&gt;0,$Z89=""),"hand, ","")&amp;IF(N($BJ89)&gt;0,IF($AH89="","door material, ","")&amp;IF($AL89="","face type, ","")&amp;IF($AP89="","lock prep, ","")&amp;IF(AND($AO89="",$AC89=""),"hinge prep, ",""),"")&amp;IF(AND($CH89&gt;0,$AH89="FRP"),"FRP cannot carry a label, ","")&amp;IF(AND($O89="Y",OR($Z89="L",$Z89="R",$Z89="LR",$Z89="RR")),"pair marked but hand is single, ","")&amp;IF(AND($O89&lt;&gt;"Y",OR($Z89="PR",AND(LEN($Z89)&gt;1,ISNUMBER(SEARCH("-",$Z89))))),"pair hand on a single door, ","")&amp;IF(AND(ISNUMBER($CI89),$CH89&lt;N($CI89)),"wall needs a "&amp;$CI89&amp;" min door, ","")&amp;IF(AND($CH89&gt;=180,AND(OR($CE89="FG",$CE89="HG",$CE89="FNV",$CE89="FV"),N($CF89)*N($CG89)&gt;100)),"180 min lite over 100 sq in, ","")&amp;IF(N($BK89)&gt;48,"leaf wider than 4'-0"&amp;CHAR(34)&amp;", ","")&amp;IF(AND($CT89,COUNT($AW89:$AZ89)=0,$CQ89&gt;0),"CUSTOM LOC with no locations typed, ",""))</f>
        <v/>
      </c>
      <c r="DK89" s="84">
        <f>IF($A89="","",IF(AND($CH89&gt;0,AND($A89&lt;&gt;"",$C89&lt;&gt;"DOOR ONLY"),$X89="KD",$E89="EXTERIOR"),"KD label on an exterior opening, ","")&amp;IF(AND($E89="EXTERIOR",OR(AND(AND($A89&lt;&gt;"",$C89&lt;&gt;"DOOR ONLY"),$W89="CR"),AND(N($BJ89)&gt;0,$AH89="CR"))),"exterior in CR steel (G9?), ","")&amp;IF(AND(ISNUMBER($BQ89),N($BQ89)&lt;32),"clear width ~"&amp;TEXT($BQ89,"0.0")&amp;CHAR(34)&amp;" under 32"&amp;CHAR(34)&amp;" (ADA), ","")&amp;IF(AND($CH89=90,AND(OR($CE89="FG",$CE89="HG",$CE89="FNV",$CE89="FV"),N($CF89)*N($CG89)&gt;100)),"90 min lite over 100 sq in (stair/exit), ","")&amp;IF(AND($CH89&gt;0,AND($A89&lt;&gt;"",$C89&lt;&gt;"DOOR ONLY"),OR($AF89="",$AF89="-")),"rated: closer reinf.?, ","")&amp;IF(OR($I89="CORRIDOR",$I89="SMOKE BARRIER"),"S label + smoke gasketing, ","")&amp;IF($CI89="?","wall type/hr not in IBC table, ","")&amp;IF(AND(N($BJ89)&gt;0,$BB89=""),"no hardware set, ","")&amp;IF(AND($BB89&lt;&gt;"",ISNA(MATCH($BB89&amp;"",HWSets,0))),"set "&amp;$BB89&amp;" not on HW Sets, ","")&amp;IF(N($BL89)&gt;96,"leaf over 8'-0"&amp;CHAR(34)&amp;" - check listing, ","")&amp;IF(AND($CT89,COUNT($AW89:$AZ89)&gt;0,COUNT($AW89:$AZ89)&lt;&gt;$CQ89),COUNT($AW89:$AZ89)&amp;" custom hinges typed, "&amp;$CQ89&amp;" expected, ","")&amp;IF(AND(ISNUMBER($CA89),OR(N($CA89)&lt;34,N($CA89)&gt;48)),"lock "&amp;TEXT($CA89,"0.0")&amp;CHAR(34)&amp;" AFF outside 34-48"&amp;CHAR(34)&amp;" (ADA), ","")&amp;IF(AND(ISNUMBER($AV89),ISNUMBER($BL89),N($AV89)&lt;IF(N($BL89)&lt;=60,2,IF(N($BL89)&lt;=90,3,IF(N($BL89)&lt;=120,4,5)))),"fewer hinges than standard, ",""))</f>
        <v/>
      </c>
    </row>
    <row r="90" ht="15" customHeight="1">
      <c r="A90" s="92" t="n"/>
      <c r="B90" s="93" t="n"/>
      <c r="C90" s="93" t="n"/>
      <c r="D90" s="93" t="n"/>
      <c r="E90" s="93" t="n"/>
      <c r="F90" s="93" t="n"/>
      <c r="G90" s="93" t="n"/>
      <c r="H90" s="93" t="n"/>
      <c r="I90" s="93" t="n"/>
      <c r="J90" s="93" t="n"/>
      <c r="K90" s="93" t="n"/>
      <c r="L90" s="93" t="n"/>
      <c r="M90" s="93" t="n"/>
      <c r="N90" s="93" t="n"/>
      <c r="O90" s="93" t="n"/>
      <c r="P90" s="93" t="n"/>
      <c r="Q90" s="93" t="n"/>
      <c r="R90" s="93" t="n"/>
      <c r="S90" s="94" t="n"/>
      <c r="T90" s="94" t="n"/>
      <c r="U90" s="94" t="n"/>
      <c r="V90" s="94" t="n"/>
      <c r="W90" s="94" t="n"/>
      <c r="X90" s="94" t="n"/>
      <c r="Y90" s="94" t="n"/>
      <c r="Z90" s="94" t="n"/>
      <c r="AA90" s="94" t="n"/>
      <c r="AB90" s="94" t="n"/>
      <c r="AC90" s="94" t="n"/>
      <c r="AD90" s="94" t="n"/>
      <c r="AE90" s="94" t="n"/>
      <c r="AF90" s="94" t="n"/>
      <c r="AG90" s="94" t="n"/>
      <c r="AH90" s="95" t="n"/>
      <c r="AI90" s="95" t="n"/>
      <c r="AJ90" s="95" t="n"/>
      <c r="AK90" s="95" t="n"/>
      <c r="AL90" s="95" t="n"/>
      <c r="AM90" s="95" t="n"/>
      <c r="AN90" s="95" t="n"/>
      <c r="AO90" s="95" t="n"/>
      <c r="AP90" s="95" t="n"/>
      <c r="AQ90" s="95" t="n"/>
      <c r="AR90" s="95" t="n"/>
      <c r="AS90" s="95" t="n"/>
      <c r="AT90" s="96" t="n"/>
      <c r="AU90" s="96" t="n"/>
      <c r="AV90" s="96" t="n"/>
      <c r="AW90" s="97" t="n"/>
      <c r="AX90" s="97" t="n"/>
      <c r="AY90" s="97" t="n"/>
      <c r="AZ90" s="97" t="n"/>
      <c r="BA90" s="97" t="n"/>
      <c r="BB90" s="98" t="n"/>
      <c r="BC90" s="98" t="n"/>
      <c r="BD90" s="99">
        <f>IF($A90="","",IF($DJ90&lt;&gt;"","FIX",IF($DK90&lt;&gt;"","CHECK","OK")))</f>
        <v/>
      </c>
      <c r="BE90" s="100">
        <f>IF($A90="","",IF($DJ90&lt;&gt;"","FIX: "&amp;LEFT($DJ90,LEN($DJ90)-2)&amp;IF($DK90&lt;&gt;"","  ·  ",""),"")&amp;IF($DK90&lt;&gt;"","CHECK: "&amp;LEFT($DK90,LEN($DK90)-2),""))</f>
        <v/>
      </c>
      <c r="BF90" s="99">
        <f>IF(OR($A90="",$K90=""),"",$K90&amp;"'-"&amp;N($L90)&amp;CHAR(34)&amp;" x "&amp;$M90&amp;"'-"&amp;N($N90)&amp;CHAR(34))</f>
        <v/>
      </c>
      <c r="BG90" s="99">
        <f>IF(OR($A90="",$K90=""),"",$K90&amp;N($L90)&amp;$M90&amp;N($N90))</f>
        <v/>
      </c>
      <c r="BH90" s="99">
        <f>IF(OR($A90="",$K90=""),"",$K90*12+N($L90))</f>
        <v/>
      </c>
      <c r="BI90" s="99">
        <f>IF(OR($A90="",$M90=""),"",$M90*12+N($N90))</f>
        <v/>
      </c>
      <c r="BJ90" s="99">
        <f>IF($A90="","",IF(OR($C90="FRAME ONLY",$S90="BL"),0,IF($O90="Y",2,1)))</f>
        <v/>
      </c>
      <c r="BK90" s="101">
        <f>IF(OR(N($BJ90)=0,$BH90=""),"",($BH90-2*EdgeClr-IF($BJ90=2,MeetClr,0))/$BJ90)</f>
        <v/>
      </c>
      <c r="BL90" s="101">
        <f>IF(OR(N($BJ90)=0,$BI90=""),"",$BI90-HeadClr-Undercut)</f>
        <v/>
      </c>
      <c r="BM90" s="101">
        <f>IF($BH90="","",$BH90+2*FaceW+IF(N($Q90)&gt;0,($Q90+FaceW)*IF($R90="LR",2,1),0))</f>
        <v/>
      </c>
      <c r="BN90" s="101">
        <f>IF($BI90="","",$BI90+IF($AB90="Y",4,FaceW)+IF(N($P90)&gt;0,$P90+FaceW,0)+IF(OR($S90="4F",$S90="BL"),FaceW,0))</f>
        <v/>
      </c>
      <c r="BO90" s="101">
        <f>IF($BM90="","",$BM90+2*ROSide)</f>
        <v/>
      </c>
      <c r="BP90" s="101">
        <f>IF($BN90="","",$BN90+ROTop)</f>
        <v/>
      </c>
      <c r="BQ90" s="102">
        <f>IF(OR(N($BJ90)=0,$BH90=""),"",$BH90/$BJ90-ClearDeduct)</f>
        <v/>
      </c>
      <c r="BR90" s="99">
        <f>IF(N($CH90)=0,"",IF($CH90&gt;=180,"A · 3 HR",IF($CH90&gt;=90,"B · 1-1/2 HR",IF($CH90&gt;=60,"B · 1 HR",IF($CH90&gt;=45,"C · 3/4 HR","20 MIN")))))&amp;IF(AND(N($CH90)&gt;0,OR($I90="CORRIDOR",$I90="SMOKE BARRIER"))," · S","")</f>
        <v/>
      </c>
      <c r="BS90" s="99">
        <f>IF($CS90,"",IF($AV90&lt;&gt;"",$AV90,IF(OR($AC90="HGC",$AO90="HGC"),"CONT",IF(($BI90-HeadClr-Undercut)&lt;=60,2,IF(($BI90-HeadClr-Undercut)&lt;=90,3,IF(($BI90-HeadClr-Undercut)&lt;=120,4,5))))))</f>
        <v/>
      </c>
      <c r="BT90" s="99">
        <f>IF($CS90,"",IF($CT90,"CUSTOM (typed)",IF($CV90,$AT90&amp;" "&amp;$CU90&amp;CHAR(34)&amp;IF($CU90&lt;&gt;$BI90,IF(AND($BI90&lt;$CU90,$BI90-IF(N(VLOOKUP($AT90&amp;"|"&amp;$CU90,LocTable,7,FALSE))&gt;0,VLOOKUP($AT90&amp;"|"&amp;$CU90,LocTable,7,FALSE),VLOOKUP($AT90&amp;"|"&amp;$CU90,LocTable,6,FALSE))-$CR90-0.75&gt;=2.125)," cut down"," adj."),""),"ANSI/SDI A250.6")))</f>
        <v/>
      </c>
      <c r="BU90" s="103">
        <f>IF($CS90,"",IF($CT90,IF(N($AW90)&gt;0,N($AW90),""),IF(1&gt;$CQ90,"",IF($CQ90=1,$CW90,$CW90+($CX90-$CW90)*0/($CQ90-1)))))</f>
        <v/>
      </c>
      <c r="BV90" s="103">
        <f>IF($CS90,"",IF($CT90,IF(N($AX90)&gt;0,N($AX90),""),IF(2&gt;$CQ90,"",IF($CQ90=1,$CW90,$CW90+($CX90-$CW90)*1/($CQ90-1)))))</f>
        <v/>
      </c>
      <c r="BW90" s="103">
        <f>IF($CS90,"",IF($CT90,IF(N($AY90)&gt;0,N($AY90),""),IF(3&gt;$CQ90,"",IF($CQ90=1,$CW90,$CW90+($CX90-$CW90)*2/($CQ90-1)))))</f>
        <v/>
      </c>
      <c r="BX90" s="103">
        <f>IF($CS90,"",IF($CT90,IF(N($AZ90)&gt;0,N($AZ90),""),IF(4&gt;$CQ90,"",IF($CQ90=1,$CW90,$CW90+($CX90-$CW90)*3/($CQ90-1)))))</f>
        <v/>
      </c>
      <c r="BY90" s="103">
        <f>IF($CS90,"",IF($CT90,"",IF(5&gt;$CQ90,"",IF($CQ90=1,$CW90,$CW90+($CX90-$CW90)*4/($CQ90-1)))))</f>
        <v/>
      </c>
      <c r="BZ90" s="103">
        <f>IF(OR($CS90,$AP90="-",AND($AP90="",$AD90="")),"",IF(N($BA90)&gt;0,N($BA90),IF($CV90,IF(AND($BI90&lt;$CU90,$BI90-IF(N(VLOOKUP($AT90&amp;"|"&amp;$CU90,LocTable,7,FALSE))&gt;0,VLOOKUP($AT90&amp;"|"&amp;$CU90,LocTable,7,FALSE),VLOOKUP($AT90&amp;"|"&amp;$CU90,LocTable,6,FALSE))-$CR90-0.75&gt;=2.125),VLOOKUP($AT90&amp;"|"&amp;$CU90,LocTable,8,FALSE),VLOOKUP($AT90&amp;"|"&amp;$CU90,LocTable,8,FALSE)+($BI90-$CU90)),$BI90-LockAFF)))</f>
        <v/>
      </c>
      <c r="CA90" s="104">
        <f>IF($BZ90="","",$BI90-$BZ90)</f>
        <v/>
      </c>
      <c r="CB90" s="99">
        <f>IF(OR(NOT(AND($A90&lt;&gt;"",$C90&lt;&gt;"DOOR ONLY")),$BI90=""),"",IF(($BI90+IF(N($P90)&gt;0,$P90+FaceW,0))&lt;=90,3,IF(($BI90+IF(N($P90)&gt;0,$P90+FaceW,0))&lt;=114,4,5)))</f>
        <v/>
      </c>
      <c r="CC90" s="99">
        <f>IF($CB90="","",$CB90*(2+IF(N($Q90)&gt;0,IF($R90="LR",2,1),0)))</f>
        <v/>
      </c>
      <c r="CD90" s="99">
        <f>IF($CB90="","",(2+IF(N($Q90)&gt;0,IF($R90="LR",2,1),0)))</f>
        <v/>
      </c>
      <c r="CE90" s="99">
        <f>IF(N($BJ90)=0,"",IF(OR($AL90="",$AL90="FLUSH"),"FLUSH",IFERROR(LEFT($AL90,FIND("-",$AL90)-1),LEFT($AL90,2))))</f>
        <v/>
      </c>
      <c r="CF90" s="99">
        <f>IF($CE90="","",IFERROR(VALUE(MID($AL90,FIND("-",$AL90)+1,FIND(CHAR(34)&amp;"x",$AL90)-FIND("-",$AL90)-1)),0))</f>
        <v/>
      </c>
      <c r="CG90" s="99">
        <f>IF($CE90="","",IFERROR(VALUE(MID($AL90,FIND(CHAR(34)&amp;"x",$AL90)+2,FIND(CHAR(34),$AL90,FIND(CHAR(34)&amp;"x",$AL90)+2)-FIND(CHAR(34)&amp;"x",$AL90)-2)),0))</f>
        <v/>
      </c>
      <c r="CH90" s="105">
        <f>IF(OR($A90="",$H90="",$H90="NO LAB"),0,IFERROR(VALUE(LEFT($H90,FIND(" ",$H90)-1)),0))</f>
        <v/>
      </c>
      <c r="CI90" s="106">
        <f>IF(OR($A90="",$I90="",$I90="NON-RATED",N($J90)=0),"",IFERROR(VLOOKUP($I90&amp;"|"&amp;$J90,IBC,2,FALSE),"?"))</f>
        <v/>
      </c>
      <c r="CJ90" s="100">
        <f>IF(NOT(AND($A90&lt;&gt;"",$C90&lt;&gt;"DOOR ONLY")),"",TRIM(IFERROR(VLOOKUP($U90,CODES,2,FALSE),"")&amp;" "&amp;$BG90&amp;" "&amp;IFERROR(VLOOKUP($Z90,CODES,2,FALSE),"")&amp;" "&amp;IFERROR(VLOOKUP($X90,CODES,2,FALSE),"")&amp;" "&amp;IFERROR(VLOOKUP($S90,CODES,2,FALSE),"")&amp;IF(N($P90)&gt;0," w/TRANSOM "&amp;$P90&amp;CHAR(34),"")&amp;IF(N($Q90)&gt;0," w/SIDELITE "&amp;$Q90&amp;CHAR(34)&amp;" "&amp;IF($R90="","R",$R90),"")&amp;IF($Y90="","  |  "," | "&amp;IFERROR(VLOOKUP($Y90,CODES,2,FALSE),"")&amp;" | ")&amp;IFERROR(VLOOKUP($AC90,CODES,2,FALSE),"")&amp;" "&amp;IFERROR(VLOOKUP($AD90,CODES,2,FALSE),"")&amp;IF(OR($AE90="",$AE90="-"),""," "&amp;$AE90)&amp;IF(OR($AF90="",$AF90="-"),""," "&amp;$AF90)&amp;IF($AB90="Y"," 4"&amp;CHAR(34)&amp;" HEAD","")&amp;" "&amp;IFERROR(VLOOKUP($H90,CODES,2,FALSE),"")&amp;IF($CT90," | LOC "&amp;$CY90,"")))</f>
        <v/>
      </c>
      <c r="CK90" s="100">
        <f>IF(NOT(AND($A90&lt;&gt;"",N($BJ90)&gt;0)),"",TRIM(IFERROR(VLOOKUP($AH90,CODES,2,FALSE),"")&amp;IF($AI90=""," "," "&amp;$AI90&amp;"GA ")&amp;$BG90&amp;" "&amp;IF($AN90="",IFERROR(VLOOKUP($Z90,CODES,2,FALSE),""),IFERROR(VLOOKUP($AN90,CODES,2,FALSE),""))&amp;IF($BJ90=2," PAIR","")&amp;" DOOR | "&amp;IF($AL90="","?",$AL90)&amp;" | "&amp;IF($AO90="",IFERROR(VLOOKUP($AC90,CODES,2,FALSE),""),IFERROR(VLOOKUP($AO90,CODES,2,FALSE),""))&amp;" "&amp;IFERROR(VLOOKUP($AP90,CODES,2,FALSE),"")&amp;IF(OR($AQ90="",$AQ90="-"),""," SEAM "&amp;$AQ90)&amp;IF($AR90="Y"," ASTRAGAL","")&amp;IF($AJ90=""," "," "&amp;$AJ90)&amp;IF($AK90=""," "," "&amp;$AK90)&amp;IF(OR($AT90="",$AT90="ANSI/SDI",$AT90="CUSTOM LOC"),""," "&amp;$AT90)&amp;IF($AM90=""," "," SERIES "&amp;$AM90)&amp;" "&amp;IFERROR(VLOOKUP($H90,CODES,2,FALSE),"")&amp;IF($CT90," | LOC "&amp;$CZ90,"")))</f>
        <v/>
      </c>
      <c r="CL90" s="99">
        <f>IF(CP90="","",IF(COUNTIF($CP$6:CP90,CP90)=1,MAX($CL$5:CL89)+1,INDEX($CL$5:CL89,MATCH(CP90,$CP$5:CP89,0))))</f>
        <v/>
      </c>
      <c r="CM90" s="99">
        <f>IF(NOT(AND($A90&lt;&gt;"",$C90&lt;&gt;"DOOR ONLY")),"",MAX($CM$5:CM89)+1)</f>
        <v/>
      </c>
      <c r="CN90" s="99">
        <f>IF(NOT(AND($A90&lt;&gt;"",N($BJ90)&gt;0)),"",MAX($CN$5:CN89)+1)</f>
        <v/>
      </c>
      <c r="CO90" s="99">
        <f>IF($A90="","",MAX($CO$5:CO89)+1)</f>
        <v/>
      </c>
      <c r="CP90" s="99">
        <f>IF(OR($A90="",$BH90="",$BI90=""),"",$BG90&amp;"|"&amp;$O90&amp;"|"&amp;$AL90&amp;"|"&amp;$S90&amp;"|"&amp;$P90&amp;"|"&amp;$Q90&amp;$R90&amp;"|"&amp;$C90&amp;"|"&amp;$AB90)</f>
        <v/>
      </c>
      <c r="CQ90" s="99">
        <f>N($BS90)</f>
        <v/>
      </c>
      <c r="CR90" s="99">
        <f>IF(N($AU90)&gt;0,N($AU90),4.5)</f>
        <v/>
      </c>
      <c r="CS90" s="99">
        <f>OR($A90="",$BI90="",$S90="BL",AND($C90="FRAME ONLY",OR($AC90="",$AC90="BLK")))</f>
        <v/>
      </c>
      <c r="CT90" s="99">
        <f>AND(NOT($CS90),OR($AT90="CUSTOM LOC",N($AW90)+N($AX90)+N($AY90)+N($AZ90)+N($BA90)&gt;0))</f>
        <v/>
      </c>
      <c r="CU90" s="99">
        <f>IF($BI90="","",IF($BI90&lt;=80,80,IF($BI90&lt;=84,84,96)))</f>
        <v/>
      </c>
      <c r="CV90" s="99">
        <f>ISNUMBER(MATCH($AT90&amp;"|80",LocKeys,0))</f>
        <v/>
      </c>
      <c r="CW90" s="101">
        <f>IF($CS90,"",IF($CV90,VLOOKUP($AT90&amp;"|"&amp;$CU90,LocTable,4,FALSE),5))</f>
        <v/>
      </c>
      <c r="CX90" s="101">
        <f>IF($CS90,"",IF($CV90,IF(OR($BI90=$CU90,AND($BI90&lt;$CU90,$BI90-IF(N(VLOOKUP($AT90&amp;"|"&amp;$CU90,LocTable,7,FALSE))&gt;0,VLOOKUP($AT90&amp;"|"&amp;$CU90,LocTable,7,FALSE),VLOOKUP($AT90&amp;"|"&amp;$CU90,LocTable,6,FALSE))-$CR90-0.75&gt;=2.125)),IF(N(VLOOKUP($AT90&amp;"|"&amp;$CU90,LocTable,7,FALSE))&gt;0,VLOOKUP($AT90&amp;"|"&amp;$CU90,LocTable,7,FALSE),VLOOKUP($AT90&amp;"|"&amp;$CU90,LocTable,6,FALSE)),$BI90-($CU90-IF(N(VLOOKUP($AT90&amp;"|"&amp;$CU90,LocTable,7,FALSE))&gt;0,VLOOKUP($AT90&amp;"|"&amp;$CU90,LocTable,7,FALSE),VLOOKUP($AT90&amp;"|"&amp;$CU90,LocTable,6,FALSE)))),$BI90-10-$CR90))</f>
        <v/>
      </c>
      <c r="CY90" s="100">
        <f>IF($CS90,"",TRIM(IF(ISNUMBER($BU90),"A "&amp;TRIM(TEXT($BU90,"# ?/??"))&amp;CHAR(34)&amp;"  ","")&amp;IF(ISNUMBER($BV90),"B "&amp;TRIM(TEXT($BV90,"# ?/??"))&amp;CHAR(34)&amp;"  ","")&amp;IF(ISNUMBER($BW90),"C "&amp;TRIM(TEXT($BW90,"# ?/??"))&amp;CHAR(34)&amp;"  ","")&amp;IF(ISNUMBER($BX90),"D "&amp;TRIM(TEXT($BX90,"# ?/??"))&amp;CHAR(34)&amp;"  ","")&amp;IF(ISNUMBER($BY90),"F "&amp;TRIM(TEXT($BY90,"# ?/??"))&amp;CHAR(34)&amp;"  ","")&amp;IF(ISNUMBER($BZ90),"E "&amp;TRIM(TEXT($BZ90,"# ?/??"))&amp;CHAR(34)&amp;"  ","")))</f>
        <v/>
      </c>
      <c r="CZ90" s="100">
        <f>IF(OR($CS90,N($BJ90)=0),"",TRIM(IF(ISNUMBER($BU90),"A "&amp;TRIM(TEXT($BU90-HeadClr,"# ?/??"))&amp;CHAR(34)&amp;"  ","")&amp;IF(ISNUMBER($BV90),"B "&amp;TRIM(TEXT($BV90-HeadClr,"# ?/??"))&amp;CHAR(34)&amp;"  ","")&amp;IF(ISNUMBER($BW90),"C "&amp;TRIM(TEXT($BW90-HeadClr,"# ?/??"))&amp;CHAR(34)&amp;"  ","")&amp;IF(ISNUMBER($BX90),"D "&amp;TRIM(TEXT($BX90-HeadClr,"# ?/??"))&amp;CHAR(34)&amp;"  ","")&amp;IF(ISNUMBER($BY90),"F "&amp;TRIM(TEXT($BY90-HeadClr,"# ?/??"))&amp;CHAR(34)&amp;"  ","")&amp;IF(ISNUMBER($BZ90),"E "&amp;TRIM(TEXT($BZ90-HeadClr,"# ?/??"))&amp;CHAR(34)&amp;"  ","")))</f>
        <v/>
      </c>
      <c r="DA90" s="99">
        <f>IF($A90="","",IF($AN90="",IFERROR(VLOOKUP($Z90,CODES,2,FALSE),""),IFERROR(VLOOKUP($AN90,CODES,2,FALSE),"")))</f>
        <v/>
      </c>
      <c r="DB90" s="99">
        <f>IF($A90="","",IF($O90="Y","PR",IF(OR($Z90="L",$Z90="RR",LEFT($Z90,2)="L-",LEFT($Z90,3)="RR-"),"LH","RH")))</f>
        <v/>
      </c>
      <c r="DC90" s="99">
        <f>IF($A90="","","S.HM"&amp;IF(OR($C90="DOOR ONLY",$X90&lt;&gt;"KD"),"MASONRY","DRYWALL")&amp;IF($C90="DOOR ONLY","",$U90)&amp;IF(AND($C90&lt;&gt;"FRAME ONLY",OR(LEFT($AH90,3)="OAK",LEFT($AH90,3)="BIR",LEFT($AH90,3)="MAP",$AH90="PC",$AH90="MC",$AH90="SCLC",$AH90="P-LAM")),"WD","HM")&amp;"1.75")</f>
        <v/>
      </c>
      <c r="DD90" s="99">
        <f>IF($CJ90="","",IF($O90="Y",$CJ90,SUBSTITUTE($CJ90,$BG90&amp;" "&amp;IFERROR(VLOOKUP($Z90,CODES,2,FALSE),"")&amp;" ",$BG90&amp;" ")))</f>
        <v/>
      </c>
      <c r="DE90" s="99">
        <f>IF($CK90="","",IF($O90="Y",$CK90,SUBSTITUTE($CK90,$BG90&amp;" "&amp;IF($AN90="",IFERROR(VLOOKUP($Z90,CODES,2,FALSE),""),IFERROR(VLOOKUP($AN90,CODES,2,FALSE),""))&amp;" ",$BG90&amp;" ")))</f>
        <v/>
      </c>
      <c r="DF90" s="99">
        <f>IF($CJ90="","",$DC90&amp;"|"&amp;$DD90&amp;"|"&amp;$DB90&amp;"|"&amp;$AT90&amp;"|"&amp;$V90&amp;"|"&amp;$Y90&amp;"|"&amp;$AB90)</f>
        <v/>
      </c>
      <c r="DG90" s="99">
        <f>IF(DF90="","",IF(COUNTIF($DF$6:DF90,DF90)=1,MAX($DG$5:DG89)+1,INDEX($DG$5:DG89,MATCH(DF90,$DF$5:DF89,0))))</f>
        <v/>
      </c>
      <c r="DH90" s="99">
        <f>IF($CK90="","",$DC90&amp;"|"&amp;$DE90&amp;"|"&amp;$AI90&amp;"|"&amp;$BK90&amp;"|"&amp;$BL90)</f>
        <v/>
      </c>
      <c r="DI90" s="99">
        <f>IF(DH90="","",IF(COUNTIF($DH$6:DH90,DH90)=1,MAX($DI$5:DI89)+1,INDEX($DI$5:DI89,MATCH(DH90,$DH$5:DH89,0))))</f>
        <v/>
      </c>
      <c r="DJ90" s="99">
        <f>IF($A90="","",IF($B90="","qty, ","")&amp;IF($C90="","scope, ","")&amp;IF(OR($K90="",$M90=""),"size, ","")&amp;IF(AND($A90&lt;&gt;"",$C90&lt;&gt;"DOOR ONLY"),IF($U90="","jamb depth, ","")&amp;IF($X90="","construction, ","")&amp;IF($Y90="","anchor, ","")&amp;IF($S90="","frame type, ",""),"")&amp;IF(AND(N($BJ90)&gt;0,$Z90=""),"hand, ","")&amp;IF(N($BJ90)&gt;0,IF($AH90="","door material, ","")&amp;IF($AL90="","face type, ","")&amp;IF($AP90="","lock prep, ","")&amp;IF(AND($AO90="",$AC90=""),"hinge prep, ",""),"")&amp;IF(AND($CH90&gt;0,$AH90="FRP"),"FRP cannot carry a label, ","")&amp;IF(AND($O90="Y",OR($Z90="L",$Z90="R",$Z90="LR",$Z90="RR")),"pair marked but hand is single, ","")&amp;IF(AND($O90&lt;&gt;"Y",OR($Z90="PR",AND(LEN($Z90)&gt;1,ISNUMBER(SEARCH("-",$Z90))))),"pair hand on a single door, ","")&amp;IF(AND(ISNUMBER($CI90),$CH90&lt;N($CI90)),"wall needs a "&amp;$CI90&amp;" min door, ","")&amp;IF(AND($CH90&gt;=180,AND(OR($CE90="FG",$CE90="HG",$CE90="FNV",$CE90="FV"),N($CF90)*N($CG90)&gt;100)),"180 min lite over 100 sq in, ","")&amp;IF(N($BK90)&gt;48,"leaf wider than 4'-0"&amp;CHAR(34)&amp;", ","")&amp;IF(AND($CT90,COUNT($AW90:$AZ90)=0,$CQ90&gt;0),"CUSTOM LOC with no locations typed, ",""))</f>
        <v/>
      </c>
      <c r="DK90" s="99">
        <f>IF($A90="","",IF(AND($CH90&gt;0,AND($A90&lt;&gt;"",$C90&lt;&gt;"DOOR ONLY"),$X90="KD",$E90="EXTERIOR"),"KD label on an exterior opening, ","")&amp;IF(AND($E90="EXTERIOR",OR(AND(AND($A90&lt;&gt;"",$C90&lt;&gt;"DOOR ONLY"),$W90="CR"),AND(N($BJ90)&gt;0,$AH90="CR"))),"exterior in CR steel (G9?), ","")&amp;IF(AND(ISNUMBER($BQ90),N($BQ90)&lt;32),"clear width ~"&amp;TEXT($BQ90,"0.0")&amp;CHAR(34)&amp;" under 32"&amp;CHAR(34)&amp;" (ADA), ","")&amp;IF(AND($CH90=90,AND(OR($CE90="FG",$CE90="HG",$CE90="FNV",$CE90="FV"),N($CF90)*N($CG90)&gt;100)),"90 min lite over 100 sq in (stair/exit), ","")&amp;IF(AND($CH90&gt;0,AND($A90&lt;&gt;"",$C90&lt;&gt;"DOOR ONLY"),OR($AF90="",$AF90="-")),"rated: closer reinf.?, ","")&amp;IF(OR($I90="CORRIDOR",$I90="SMOKE BARRIER"),"S label + smoke gasketing, ","")&amp;IF($CI90="?","wall type/hr not in IBC table, ","")&amp;IF(AND(N($BJ90)&gt;0,$BB90=""),"no hardware set, ","")&amp;IF(AND($BB90&lt;&gt;"",ISNA(MATCH($BB90&amp;"",HWSets,0))),"set "&amp;$BB90&amp;" not on HW Sets, ","")&amp;IF(N($BL90)&gt;96,"leaf over 8'-0"&amp;CHAR(34)&amp;" - check listing, ","")&amp;IF(AND($CT90,COUNT($AW90:$AZ90)&gt;0,COUNT($AW90:$AZ90)&lt;&gt;$CQ90),COUNT($AW90:$AZ90)&amp;" custom hinges typed, "&amp;$CQ90&amp;" expected, ","")&amp;IF(AND(ISNUMBER($CA90),OR(N($CA90)&lt;34,N($CA90)&gt;48)),"lock "&amp;TEXT($CA90,"0.0")&amp;CHAR(34)&amp;" AFF outside 34-48"&amp;CHAR(34)&amp;" (ADA), ","")&amp;IF(AND(ISNUMBER($AV90),ISNUMBER($BL90),N($AV90)&lt;IF(N($BL90)&lt;=60,2,IF(N($BL90)&lt;=90,3,IF(N($BL90)&lt;=120,4,5)))),"fewer hinges than standard, ",""))</f>
        <v/>
      </c>
    </row>
    <row r="91" ht="15" customHeight="1">
      <c r="A91" s="77" t="n"/>
      <c r="B91" s="78" t="n"/>
      <c r="C91" s="78" t="n"/>
      <c r="D91" s="78" t="n"/>
      <c r="E91" s="78" t="n"/>
      <c r="F91" s="78" t="n"/>
      <c r="G91" s="78" t="n"/>
      <c r="H91" s="78" t="n"/>
      <c r="I91" s="78" t="n"/>
      <c r="J91" s="78" t="n"/>
      <c r="K91" s="78" t="n"/>
      <c r="L91" s="78" t="n"/>
      <c r="M91" s="78" t="n"/>
      <c r="N91" s="78" t="n"/>
      <c r="O91" s="78" t="n"/>
      <c r="P91" s="78" t="n"/>
      <c r="Q91" s="78" t="n"/>
      <c r="R91" s="78" t="n"/>
      <c r="S91" s="79" t="n"/>
      <c r="T91" s="79" t="n"/>
      <c r="U91" s="79" t="n"/>
      <c r="V91" s="79" t="n"/>
      <c r="W91" s="79" t="n"/>
      <c r="X91" s="79" t="n"/>
      <c r="Y91" s="79" t="n"/>
      <c r="Z91" s="79" t="n"/>
      <c r="AA91" s="79" t="n"/>
      <c r="AB91" s="79" t="n"/>
      <c r="AC91" s="79" t="n"/>
      <c r="AD91" s="79" t="n"/>
      <c r="AE91" s="79" t="n"/>
      <c r="AF91" s="79" t="n"/>
      <c r="AG91" s="79" t="n"/>
      <c r="AH91" s="80" t="n"/>
      <c r="AI91" s="80" t="n"/>
      <c r="AJ91" s="80" t="n"/>
      <c r="AK91" s="80" t="n"/>
      <c r="AL91" s="80" t="n"/>
      <c r="AM91" s="80" t="n"/>
      <c r="AN91" s="80" t="n"/>
      <c r="AO91" s="80" t="n"/>
      <c r="AP91" s="80" t="n"/>
      <c r="AQ91" s="80" t="n"/>
      <c r="AR91" s="80" t="n"/>
      <c r="AS91" s="80" t="n"/>
      <c r="AT91" s="81" t="n"/>
      <c r="AU91" s="81" t="n"/>
      <c r="AV91" s="81" t="n"/>
      <c r="AW91" s="82" t="n"/>
      <c r="AX91" s="82" t="n"/>
      <c r="AY91" s="82" t="n"/>
      <c r="AZ91" s="82" t="n"/>
      <c r="BA91" s="82" t="n"/>
      <c r="BB91" s="83" t="n"/>
      <c r="BC91" s="83" t="n"/>
      <c r="BD91" s="84">
        <f>IF($A91="","",IF($DJ91&lt;&gt;"","FIX",IF($DK91&lt;&gt;"","CHECK","OK")))</f>
        <v/>
      </c>
      <c r="BE91" s="85">
        <f>IF($A91="","",IF($DJ91&lt;&gt;"","FIX: "&amp;LEFT($DJ91,LEN($DJ91)-2)&amp;IF($DK91&lt;&gt;"","  ·  ",""),"")&amp;IF($DK91&lt;&gt;"","CHECK: "&amp;LEFT($DK91,LEN($DK91)-2),""))</f>
        <v/>
      </c>
      <c r="BF91" s="84">
        <f>IF(OR($A91="",$K91=""),"",$K91&amp;"'-"&amp;N($L91)&amp;CHAR(34)&amp;" x "&amp;$M91&amp;"'-"&amp;N($N91)&amp;CHAR(34))</f>
        <v/>
      </c>
      <c r="BG91" s="84">
        <f>IF(OR($A91="",$K91=""),"",$K91&amp;N($L91)&amp;$M91&amp;N($N91))</f>
        <v/>
      </c>
      <c r="BH91" s="84">
        <f>IF(OR($A91="",$K91=""),"",$K91*12+N($L91))</f>
        <v/>
      </c>
      <c r="BI91" s="84">
        <f>IF(OR($A91="",$M91=""),"",$M91*12+N($N91))</f>
        <v/>
      </c>
      <c r="BJ91" s="84">
        <f>IF($A91="","",IF(OR($C91="FRAME ONLY",$S91="BL"),0,IF($O91="Y",2,1)))</f>
        <v/>
      </c>
      <c r="BK91" s="86">
        <f>IF(OR(N($BJ91)=0,$BH91=""),"",($BH91-2*EdgeClr-IF($BJ91=2,MeetClr,0))/$BJ91)</f>
        <v/>
      </c>
      <c r="BL91" s="86">
        <f>IF(OR(N($BJ91)=0,$BI91=""),"",$BI91-HeadClr-Undercut)</f>
        <v/>
      </c>
      <c r="BM91" s="86">
        <f>IF($BH91="","",$BH91+2*FaceW+IF(N($Q91)&gt;0,($Q91+FaceW)*IF($R91="LR",2,1),0))</f>
        <v/>
      </c>
      <c r="BN91" s="86">
        <f>IF($BI91="","",$BI91+IF($AB91="Y",4,FaceW)+IF(N($P91)&gt;0,$P91+FaceW,0)+IF(OR($S91="4F",$S91="BL"),FaceW,0))</f>
        <v/>
      </c>
      <c r="BO91" s="86">
        <f>IF($BM91="","",$BM91+2*ROSide)</f>
        <v/>
      </c>
      <c r="BP91" s="86">
        <f>IF($BN91="","",$BN91+ROTop)</f>
        <v/>
      </c>
      <c r="BQ91" s="87">
        <f>IF(OR(N($BJ91)=0,$BH91=""),"",$BH91/$BJ91-ClearDeduct)</f>
        <v/>
      </c>
      <c r="BR91" s="84">
        <f>IF(N($CH91)=0,"",IF($CH91&gt;=180,"A · 3 HR",IF($CH91&gt;=90,"B · 1-1/2 HR",IF($CH91&gt;=60,"B · 1 HR",IF($CH91&gt;=45,"C · 3/4 HR","20 MIN")))))&amp;IF(AND(N($CH91)&gt;0,OR($I91="CORRIDOR",$I91="SMOKE BARRIER"))," · S","")</f>
        <v/>
      </c>
      <c r="BS91" s="84">
        <f>IF($CS91,"",IF($AV91&lt;&gt;"",$AV91,IF(OR($AC91="HGC",$AO91="HGC"),"CONT",IF(($BI91-HeadClr-Undercut)&lt;=60,2,IF(($BI91-HeadClr-Undercut)&lt;=90,3,IF(($BI91-HeadClr-Undercut)&lt;=120,4,5))))))</f>
        <v/>
      </c>
      <c r="BT91" s="84">
        <f>IF($CS91,"",IF($CT91,"CUSTOM (typed)",IF($CV91,$AT91&amp;" "&amp;$CU91&amp;CHAR(34)&amp;IF($CU91&lt;&gt;$BI91,IF(AND($BI91&lt;$CU91,$BI91-IF(N(VLOOKUP($AT91&amp;"|"&amp;$CU91,LocTable,7,FALSE))&gt;0,VLOOKUP($AT91&amp;"|"&amp;$CU91,LocTable,7,FALSE),VLOOKUP($AT91&amp;"|"&amp;$CU91,LocTable,6,FALSE))-$CR91-0.75&gt;=2.125)," cut down"," adj."),""),"ANSI/SDI A250.6")))</f>
        <v/>
      </c>
      <c r="BU91" s="88">
        <f>IF($CS91,"",IF($CT91,IF(N($AW91)&gt;0,N($AW91),""),IF(1&gt;$CQ91,"",IF($CQ91=1,$CW91,$CW91+($CX91-$CW91)*0/($CQ91-1)))))</f>
        <v/>
      </c>
      <c r="BV91" s="88">
        <f>IF($CS91,"",IF($CT91,IF(N($AX91)&gt;0,N($AX91),""),IF(2&gt;$CQ91,"",IF($CQ91=1,$CW91,$CW91+($CX91-$CW91)*1/($CQ91-1)))))</f>
        <v/>
      </c>
      <c r="BW91" s="88">
        <f>IF($CS91,"",IF($CT91,IF(N($AY91)&gt;0,N($AY91),""),IF(3&gt;$CQ91,"",IF($CQ91=1,$CW91,$CW91+($CX91-$CW91)*2/($CQ91-1)))))</f>
        <v/>
      </c>
      <c r="BX91" s="88">
        <f>IF($CS91,"",IF($CT91,IF(N($AZ91)&gt;0,N($AZ91),""),IF(4&gt;$CQ91,"",IF($CQ91=1,$CW91,$CW91+($CX91-$CW91)*3/($CQ91-1)))))</f>
        <v/>
      </c>
      <c r="BY91" s="88">
        <f>IF($CS91,"",IF($CT91,"",IF(5&gt;$CQ91,"",IF($CQ91=1,$CW91,$CW91+($CX91-$CW91)*4/($CQ91-1)))))</f>
        <v/>
      </c>
      <c r="BZ91" s="88">
        <f>IF(OR($CS91,$AP91="-",AND($AP91="",$AD91="")),"",IF(N($BA91)&gt;0,N($BA91),IF($CV91,IF(AND($BI91&lt;$CU91,$BI91-IF(N(VLOOKUP($AT91&amp;"|"&amp;$CU91,LocTable,7,FALSE))&gt;0,VLOOKUP($AT91&amp;"|"&amp;$CU91,LocTable,7,FALSE),VLOOKUP($AT91&amp;"|"&amp;$CU91,LocTable,6,FALSE))-$CR91-0.75&gt;=2.125),VLOOKUP($AT91&amp;"|"&amp;$CU91,LocTable,8,FALSE),VLOOKUP($AT91&amp;"|"&amp;$CU91,LocTable,8,FALSE)+($BI91-$CU91)),$BI91-LockAFF)))</f>
        <v/>
      </c>
      <c r="CA91" s="89">
        <f>IF($BZ91="","",$BI91-$BZ91)</f>
        <v/>
      </c>
      <c r="CB91" s="84">
        <f>IF(OR(NOT(AND($A91&lt;&gt;"",$C91&lt;&gt;"DOOR ONLY")),$BI91=""),"",IF(($BI91+IF(N($P91)&gt;0,$P91+FaceW,0))&lt;=90,3,IF(($BI91+IF(N($P91)&gt;0,$P91+FaceW,0))&lt;=114,4,5)))</f>
        <v/>
      </c>
      <c r="CC91" s="84">
        <f>IF($CB91="","",$CB91*(2+IF(N($Q91)&gt;0,IF($R91="LR",2,1),0)))</f>
        <v/>
      </c>
      <c r="CD91" s="84">
        <f>IF($CB91="","",(2+IF(N($Q91)&gt;0,IF($R91="LR",2,1),0)))</f>
        <v/>
      </c>
      <c r="CE91" s="84">
        <f>IF(N($BJ91)=0,"",IF(OR($AL91="",$AL91="FLUSH"),"FLUSH",IFERROR(LEFT($AL91,FIND("-",$AL91)-1),LEFT($AL91,2))))</f>
        <v/>
      </c>
      <c r="CF91" s="84">
        <f>IF($CE91="","",IFERROR(VALUE(MID($AL91,FIND("-",$AL91)+1,FIND(CHAR(34)&amp;"x",$AL91)-FIND("-",$AL91)-1)),0))</f>
        <v/>
      </c>
      <c r="CG91" s="84">
        <f>IF($CE91="","",IFERROR(VALUE(MID($AL91,FIND(CHAR(34)&amp;"x",$AL91)+2,FIND(CHAR(34),$AL91,FIND(CHAR(34)&amp;"x",$AL91)+2)-FIND(CHAR(34)&amp;"x",$AL91)-2)),0))</f>
        <v/>
      </c>
      <c r="CH91" s="90">
        <f>IF(OR($A91="",$H91="",$H91="NO LAB"),0,IFERROR(VALUE(LEFT($H91,FIND(" ",$H91)-1)),0))</f>
        <v/>
      </c>
      <c r="CI91" s="91">
        <f>IF(OR($A91="",$I91="",$I91="NON-RATED",N($J91)=0),"",IFERROR(VLOOKUP($I91&amp;"|"&amp;$J91,IBC,2,FALSE),"?"))</f>
        <v/>
      </c>
      <c r="CJ91" s="85">
        <f>IF(NOT(AND($A91&lt;&gt;"",$C91&lt;&gt;"DOOR ONLY")),"",TRIM(IFERROR(VLOOKUP($U91,CODES,2,FALSE),"")&amp;" "&amp;$BG91&amp;" "&amp;IFERROR(VLOOKUP($Z91,CODES,2,FALSE),"")&amp;" "&amp;IFERROR(VLOOKUP($X91,CODES,2,FALSE),"")&amp;" "&amp;IFERROR(VLOOKUP($S91,CODES,2,FALSE),"")&amp;IF(N($P91)&gt;0," w/TRANSOM "&amp;$P91&amp;CHAR(34),"")&amp;IF(N($Q91)&gt;0," w/SIDELITE "&amp;$Q91&amp;CHAR(34)&amp;" "&amp;IF($R91="","R",$R91),"")&amp;IF($Y91="","  |  "," | "&amp;IFERROR(VLOOKUP($Y91,CODES,2,FALSE),"")&amp;" | ")&amp;IFERROR(VLOOKUP($AC91,CODES,2,FALSE),"")&amp;" "&amp;IFERROR(VLOOKUP($AD91,CODES,2,FALSE),"")&amp;IF(OR($AE91="",$AE91="-"),""," "&amp;$AE91)&amp;IF(OR($AF91="",$AF91="-"),""," "&amp;$AF91)&amp;IF($AB91="Y"," 4"&amp;CHAR(34)&amp;" HEAD","")&amp;" "&amp;IFERROR(VLOOKUP($H91,CODES,2,FALSE),"")&amp;IF($CT91," | LOC "&amp;$CY91,"")))</f>
        <v/>
      </c>
      <c r="CK91" s="85">
        <f>IF(NOT(AND($A91&lt;&gt;"",N($BJ91)&gt;0)),"",TRIM(IFERROR(VLOOKUP($AH91,CODES,2,FALSE),"")&amp;IF($AI91=""," "," "&amp;$AI91&amp;"GA ")&amp;$BG91&amp;" "&amp;IF($AN91="",IFERROR(VLOOKUP($Z91,CODES,2,FALSE),""),IFERROR(VLOOKUP($AN91,CODES,2,FALSE),""))&amp;IF($BJ91=2," PAIR","")&amp;" DOOR | "&amp;IF($AL91="","?",$AL91)&amp;" | "&amp;IF($AO91="",IFERROR(VLOOKUP($AC91,CODES,2,FALSE),""),IFERROR(VLOOKUP($AO91,CODES,2,FALSE),""))&amp;" "&amp;IFERROR(VLOOKUP($AP91,CODES,2,FALSE),"")&amp;IF(OR($AQ91="",$AQ91="-"),""," SEAM "&amp;$AQ91)&amp;IF($AR91="Y"," ASTRAGAL","")&amp;IF($AJ91=""," "," "&amp;$AJ91)&amp;IF($AK91=""," "," "&amp;$AK91)&amp;IF(OR($AT91="",$AT91="ANSI/SDI",$AT91="CUSTOM LOC"),""," "&amp;$AT91)&amp;IF($AM91=""," "," SERIES "&amp;$AM91)&amp;" "&amp;IFERROR(VLOOKUP($H91,CODES,2,FALSE),"")&amp;IF($CT91," | LOC "&amp;$CZ91,"")))</f>
        <v/>
      </c>
      <c r="CL91" s="84">
        <f>IF(CP91="","",IF(COUNTIF($CP$6:CP91,CP91)=1,MAX($CL$5:CL90)+1,INDEX($CL$5:CL90,MATCH(CP91,$CP$5:CP90,0))))</f>
        <v/>
      </c>
      <c r="CM91" s="84">
        <f>IF(NOT(AND($A91&lt;&gt;"",$C91&lt;&gt;"DOOR ONLY")),"",MAX($CM$5:CM90)+1)</f>
        <v/>
      </c>
      <c r="CN91" s="84">
        <f>IF(NOT(AND($A91&lt;&gt;"",N($BJ91)&gt;0)),"",MAX($CN$5:CN90)+1)</f>
        <v/>
      </c>
      <c r="CO91" s="84">
        <f>IF($A91="","",MAX($CO$5:CO90)+1)</f>
        <v/>
      </c>
      <c r="CP91" s="84">
        <f>IF(OR($A91="",$BH91="",$BI91=""),"",$BG91&amp;"|"&amp;$O91&amp;"|"&amp;$AL91&amp;"|"&amp;$S91&amp;"|"&amp;$P91&amp;"|"&amp;$Q91&amp;$R91&amp;"|"&amp;$C91&amp;"|"&amp;$AB91)</f>
        <v/>
      </c>
      <c r="CQ91" s="84">
        <f>N($BS91)</f>
        <v/>
      </c>
      <c r="CR91" s="84">
        <f>IF(N($AU91)&gt;0,N($AU91),4.5)</f>
        <v/>
      </c>
      <c r="CS91" s="84">
        <f>OR($A91="",$BI91="",$S91="BL",AND($C91="FRAME ONLY",OR($AC91="",$AC91="BLK")))</f>
        <v/>
      </c>
      <c r="CT91" s="84">
        <f>AND(NOT($CS91),OR($AT91="CUSTOM LOC",N($AW91)+N($AX91)+N($AY91)+N($AZ91)+N($BA91)&gt;0))</f>
        <v/>
      </c>
      <c r="CU91" s="84">
        <f>IF($BI91="","",IF($BI91&lt;=80,80,IF($BI91&lt;=84,84,96)))</f>
        <v/>
      </c>
      <c r="CV91" s="84">
        <f>ISNUMBER(MATCH($AT91&amp;"|80",LocKeys,0))</f>
        <v/>
      </c>
      <c r="CW91" s="86">
        <f>IF($CS91,"",IF($CV91,VLOOKUP($AT91&amp;"|"&amp;$CU91,LocTable,4,FALSE),5))</f>
        <v/>
      </c>
      <c r="CX91" s="86">
        <f>IF($CS91,"",IF($CV91,IF(OR($BI91=$CU91,AND($BI91&lt;$CU91,$BI91-IF(N(VLOOKUP($AT91&amp;"|"&amp;$CU91,LocTable,7,FALSE))&gt;0,VLOOKUP($AT91&amp;"|"&amp;$CU91,LocTable,7,FALSE),VLOOKUP($AT91&amp;"|"&amp;$CU91,LocTable,6,FALSE))-$CR91-0.75&gt;=2.125)),IF(N(VLOOKUP($AT91&amp;"|"&amp;$CU91,LocTable,7,FALSE))&gt;0,VLOOKUP($AT91&amp;"|"&amp;$CU91,LocTable,7,FALSE),VLOOKUP($AT91&amp;"|"&amp;$CU91,LocTable,6,FALSE)),$BI91-($CU91-IF(N(VLOOKUP($AT91&amp;"|"&amp;$CU91,LocTable,7,FALSE))&gt;0,VLOOKUP($AT91&amp;"|"&amp;$CU91,LocTable,7,FALSE),VLOOKUP($AT91&amp;"|"&amp;$CU91,LocTable,6,FALSE)))),$BI91-10-$CR91))</f>
        <v/>
      </c>
      <c r="CY91" s="85">
        <f>IF($CS91,"",TRIM(IF(ISNUMBER($BU91),"A "&amp;TRIM(TEXT($BU91,"# ?/??"))&amp;CHAR(34)&amp;"  ","")&amp;IF(ISNUMBER($BV91),"B "&amp;TRIM(TEXT($BV91,"# ?/??"))&amp;CHAR(34)&amp;"  ","")&amp;IF(ISNUMBER($BW91),"C "&amp;TRIM(TEXT($BW91,"# ?/??"))&amp;CHAR(34)&amp;"  ","")&amp;IF(ISNUMBER($BX91),"D "&amp;TRIM(TEXT($BX91,"# ?/??"))&amp;CHAR(34)&amp;"  ","")&amp;IF(ISNUMBER($BY91),"F "&amp;TRIM(TEXT($BY91,"# ?/??"))&amp;CHAR(34)&amp;"  ","")&amp;IF(ISNUMBER($BZ91),"E "&amp;TRIM(TEXT($BZ91,"# ?/??"))&amp;CHAR(34)&amp;"  ","")))</f>
        <v/>
      </c>
      <c r="CZ91" s="85">
        <f>IF(OR($CS91,N($BJ91)=0),"",TRIM(IF(ISNUMBER($BU91),"A "&amp;TRIM(TEXT($BU91-HeadClr,"# ?/??"))&amp;CHAR(34)&amp;"  ","")&amp;IF(ISNUMBER($BV91),"B "&amp;TRIM(TEXT($BV91-HeadClr,"# ?/??"))&amp;CHAR(34)&amp;"  ","")&amp;IF(ISNUMBER($BW91),"C "&amp;TRIM(TEXT($BW91-HeadClr,"# ?/??"))&amp;CHAR(34)&amp;"  ","")&amp;IF(ISNUMBER($BX91),"D "&amp;TRIM(TEXT($BX91-HeadClr,"# ?/??"))&amp;CHAR(34)&amp;"  ","")&amp;IF(ISNUMBER($BY91),"F "&amp;TRIM(TEXT($BY91-HeadClr,"# ?/??"))&amp;CHAR(34)&amp;"  ","")&amp;IF(ISNUMBER($BZ91),"E "&amp;TRIM(TEXT($BZ91-HeadClr,"# ?/??"))&amp;CHAR(34)&amp;"  ","")))</f>
        <v/>
      </c>
      <c r="DA91" s="84">
        <f>IF($A91="","",IF($AN91="",IFERROR(VLOOKUP($Z91,CODES,2,FALSE),""),IFERROR(VLOOKUP($AN91,CODES,2,FALSE),"")))</f>
        <v/>
      </c>
      <c r="DB91" s="84">
        <f>IF($A91="","",IF($O91="Y","PR",IF(OR($Z91="L",$Z91="RR",LEFT($Z91,2)="L-",LEFT($Z91,3)="RR-"),"LH","RH")))</f>
        <v/>
      </c>
      <c r="DC91" s="84">
        <f>IF($A91="","","S.HM"&amp;IF(OR($C91="DOOR ONLY",$X91&lt;&gt;"KD"),"MASONRY","DRYWALL")&amp;IF($C91="DOOR ONLY","",$U91)&amp;IF(AND($C91&lt;&gt;"FRAME ONLY",OR(LEFT($AH91,3)="OAK",LEFT($AH91,3)="BIR",LEFT($AH91,3)="MAP",$AH91="PC",$AH91="MC",$AH91="SCLC",$AH91="P-LAM")),"WD","HM")&amp;"1.75")</f>
        <v/>
      </c>
      <c r="DD91" s="84">
        <f>IF($CJ91="","",IF($O91="Y",$CJ91,SUBSTITUTE($CJ91,$BG91&amp;" "&amp;IFERROR(VLOOKUP($Z91,CODES,2,FALSE),"")&amp;" ",$BG91&amp;" ")))</f>
        <v/>
      </c>
      <c r="DE91" s="84">
        <f>IF($CK91="","",IF($O91="Y",$CK91,SUBSTITUTE($CK91,$BG91&amp;" "&amp;IF($AN91="",IFERROR(VLOOKUP($Z91,CODES,2,FALSE),""),IFERROR(VLOOKUP($AN91,CODES,2,FALSE),""))&amp;" ",$BG91&amp;" ")))</f>
        <v/>
      </c>
      <c r="DF91" s="84">
        <f>IF($CJ91="","",$DC91&amp;"|"&amp;$DD91&amp;"|"&amp;$DB91&amp;"|"&amp;$AT91&amp;"|"&amp;$V91&amp;"|"&amp;$Y91&amp;"|"&amp;$AB91)</f>
        <v/>
      </c>
      <c r="DG91" s="84">
        <f>IF(DF91="","",IF(COUNTIF($DF$6:DF91,DF91)=1,MAX($DG$5:DG90)+1,INDEX($DG$5:DG90,MATCH(DF91,$DF$5:DF90,0))))</f>
        <v/>
      </c>
      <c r="DH91" s="84">
        <f>IF($CK91="","",$DC91&amp;"|"&amp;$DE91&amp;"|"&amp;$AI91&amp;"|"&amp;$BK91&amp;"|"&amp;$BL91)</f>
        <v/>
      </c>
      <c r="DI91" s="84">
        <f>IF(DH91="","",IF(COUNTIF($DH$6:DH91,DH91)=1,MAX($DI$5:DI90)+1,INDEX($DI$5:DI90,MATCH(DH91,$DH$5:DH90,0))))</f>
        <v/>
      </c>
      <c r="DJ91" s="84">
        <f>IF($A91="","",IF($B91="","qty, ","")&amp;IF($C91="","scope, ","")&amp;IF(OR($K91="",$M91=""),"size, ","")&amp;IF(AND($A91&lt;&gt;"",$C91&lt;&gt;"DOOR ONLY"),IF($U91="","jamb depth, ","")&amp;IF($X91="","construction, ","")&amp;IF($Y91="","anchor, ","")&amp;IF($S91="","frame type, ",""),"")&amp;IF(AND(N($BJ91)&gt;0,$Z91=""),"hand, ","")&amp;IF(N($BJ91)&gt;0,IF($AH91="","door material, ","")&amp;IF($AL91="","face type, ","")&amp;IF($AP91="","lock prep, ","")&amp;IF(AND($AO91="",$AC91=""),"hinge prep, ",""),"")&amp;IF(AND($CH91&gt;0,$AH91="FRP"),"FRP cannot carry a label, ","")&amp;IF(AND($O91="Y",OR($Z91="L",$Z91="R",$Z91="LR",$Z91="RR")),"pair marked but hand is single, ","")&amp;IF(AND($O91&lt;&gt;"Y",OR($Z91="PR",AND(LEN($Z91)&gt;1,ISNUMBER(SEARCH("-",$Z91))))),"pair hand on a single door, ","")&amp;IF(AND(ISNUMBER($CI91),$CH91&lt;N($CI91)),"wall needs a "&amp;$CI91&amp;" min door, ","")&amp;IF(AND($CH91&gt;=180,AND(OR($CE91="FG",$CE91="HG",$CE91="FNV",$CE91="FV"),N($CF91)*N($CG91)&gt;100)),"180 min lite over 100 sq in, ","")&amp;IF(N($BK91)&gt;48,"leaf wider than 4'-0"&amp;CHAR(34)&amp;", ","")&amp;IF(AND($CT91,COUNT($AW91:$AZ91)=0,$CQ91&gt;0),"CUSTOM LOC with no locations typed, ",""))</f>
        <v/>
      </c>
      <c r="DK91" s="84">
        <f>IF($A91="","",IF(AND($CH91&gt;0,AND($A91&lt;&gt;"",$C91&lt;&gt;"DOOR ONLY"),$X91="KD",$E91="EXTERIOR"),"KD label on an exterior opening, ","")&amp;IF(AND($E91="EXTERIOR",OR(AND(AND($A91&lt;&gt;"",$C91&lt;&gt;"DOOR ONLY"),$W91="CR"),AND(N($BJ91)&gt;0,$AH91="CR"))),"exterior in CR steel (G9?), ","")&amp;IF(AND(ISNUMBER($BQ91),N($BQ91)&lt;32),"clear width ~"&amp;TEXT($BQ91,"0.0")&amp;CHAR(34)&amp;" under 32"&amp;CHAR(34)&amp;" (ADA), ","")&amp;IF(AND($CH91=90,AND(OR($CE91="FG",$CE91="HG",$CE91="FNV",$CE91="FV"),N($CF91)*N($CG91)&gt;100)),"90 min lite over 100 sq in (stair/exit), ","")&amp;IF(AND($CH91&gt;0,AND($A91&lt;&gt;"",$C91&lt;&gt;"DOOR ONLY"),OR($AF91="",$AF91="-")),"rated: closer reinf.?, ","")&amp;IF(OR($I91="CORRIDOR",$I91="SMOKE BARRIER"),"S label + smoke gasketing, ","")&amp;IF($CI91="?","wall type/hr not in IBC table, ","")&amp;IF(AND(N($BJ91)&gt;0,$BB91=""),"no hardware set, ","")&amp;IF(AND($BB91&lt;&gt;"",ISNA(MATCH($BB91&amp;"",HWSets,0))),"set "&amp;$BB91&amp;" not on HW Sets, ","")&amp;IF(N($BL91)&gt;96,"leaf over 8'-0"&amp;CHAR(34)&amp;" - check listing, ","")&amp;IF(AND($CT91,COUNT($AW91:$AZ91)&gt;0,COUNT($AW91:$AZ91)&lt;&gt;$CQ91),COUNT($AW91:$AZ91)&amp;" custom hinges typed, "&amp;$CQ91&amp;" expected, ","")&amp;IF(AND(ISNUMBER($CA91),OR(N($CA91)&lt;34,N($CA91)&gt;48)),"lock "&amp;TEXT($CA91,"0.0")&amp;CHAR(34)&amp;" AFF outside 34-48"&amp;CHAR(34)&amp;" (ADA), ","")&amp;IF(AND(ISNUMBER($AV91),ISNUMBER($BL91),N($AV91)&lt;IF(N($BL91)&lt;=60,2,IF(N($BL91)&lt;=90,3,IF(N($BL91)&lt;=120,4,5)))),"fewer hinges than standard, ",""))</f>
        <v/>
      </c>
    </row>
    <row r="92" ht="15" customHeight="1">
      <c r="A92" s="77" t="n"/>
      <c r="B92" s="78" t="n"/>
      <c r="C92" s="78" t="n"/>
      <c r="D92" s="78" t="n"/>
      <c r="E92" s="78" t="n"/>
      <c r="F92" s="78" t="n"/>
      <c r="G92" s="78" t="n"/>
      <c r="H92" s="78" t="n"/>
      <c r="I92" s="78" t="n"/>
      <c r="J92" s="78" t="n"/>
      <c r="K92" s="78" t="n"/>
      <c r="L92" s="78" t="n"/>
      <c r="M92" s="78" t="n"/>
      <c r="N92" s="78" t="n"/>
      <c r="O92" s="78" t="n"/>
      <c r="P92" s="78" t="n"/>
      <c r="Q92" s="78" t="n"/>
      <c r="R92" s="78" t="n"/>
      <c r="S92" s="79" t="n"/>
      <c r="T92" s="79" t="n"/>
      <c r="U92" s="79" t="n"/>
      <c r="V92" s="79" t="n"/>
      <c r="W92" s="79" t="n"/>
      <c r="X92" s="79" t="n"/>
      <c r="Y92" s="79" t="n"/>
      <c r="Z92" s="79" t="n"/>
      <c r="AA92" s="79" t="n"/>
      <c r="AB92" s="79" t="n"/>
      <c r="AC92" s="79" t="n"/>
      <c r="AD92" s="79" t="n"/>
      <c r="AE92" s="79" t="n"/>
      <c r="AF92" s="79" t="n"/>
      <c r="AG92" s="79" t="n"/>
      <c r="AH92" s="80" t="n"/>
      <c r="AI92" s="80" t="n"/>
      <c r="AJ92" s="80" t="n"/>
      <c r="AK92" s="80" t="n"/>
      <c r="AL92" s="80" t="n"/>
      <c r="AM92" s="80" t="n"/>
      <c r="AN92" s="80" t="n"/>
      <c r="AO92" s="80" t="n"/>
      <c r="AP92" s="80" t="n"/>
      <c r="AQ92" s="80" t="n"/>
      <c r="AR92" s="80" t="n"/>
      <c r="AS92" s="80" t="n"/>
      <c r="AT92" s="81" t="n"/>
      <c r="AU92" s="81" t="n"/>
      <c r="AV92" s="81" t="n"/>
      <c r="AW92" s="82" t="n"/>
      <c r="AX92" s="82" t="n"/>
      <c r="AY92" s="82" t="n"/>
      <c r="AZ92" s="82" t="n"/>
      <c r="BA92" s="82" t="n"/>
      <c r="BB92" s="83" t="n"/>
      <c r="BC92" s="83" t="n"/>
      <c r="BD92" s="84">
        <f>IF($A92="","",IF($DJ92&lt;&gt;"","FIX",IF($DK92&lt;&gt;"","CHECK","OK")))</f>
        <v/>
      </c>
      <c r="BE92" s="85">
        <f>IF($A92="","",IF($DJ92&lt;&gt;"","FIX: "&amp;LEFT($DJ92,LEN($DJ92)-2)&amp;IF($DK92&lt;&gt;"","  ·  ",""),"")&amp;IF($DK92&lt;&gt;"","CHECK: "&amp;LEFT($DK92,LEN($DK92)-2),""))</f>
        <v/>
      </c>
      <c r="BF92" s="84">
        <f>IF(OR($A92="",$K92=""),"",$K92&amp;"'-"&amp;N($L92)&amp;CHAR(34)&amp;" x "&amp;$M92&amp;"'-"&amp;N($N92)&amp;CHAR(34))</f>
        <v/>
      </c>
      <c r="BG92" s="84">
        <f>IF(OR($A92="",$K92=""),"",$K92&amp;N($L92)&amp;$M92&amp;N($N92))</f>
        <v/>
      </c>
      <c r="BH92" s="84">
        <f>IF(OR($A92="",$K92=""),"",$K92*12+N($L92))</f>
        <v/>
      </c>
      <c r="BI92" s="84">
        <f>IF(OR($A92="",$M92=""),"",$M92*12+N($N92))</f>
        <v/>
      </c>
      <c r="BJ92" s="84">
        <f>IF($A92="","",IF(OR($C92="FRAME ONLY",$S92="BL"),0,IF($O92="Y",2,1)))</f>
        <v/>
      </c>
      <c r="BK92" s="86">
        <f>IF(OR(N($BJ92)=0,$BH92=""),"",($BH92-2*EdgeClr-IF($BJ92=2,MeetClr,0))/$BJ92)</f>
        <v/>
      </c>
      <c r="BL92" s="86">
        <f>IF(OR(N($BJ92)=0,$BI92=""),"",$BI92-HeadClr-Undercut)</f>
        <v/>
      </c>
      <c r="BM92" s="86">
        <f>IF($BH92="","",$BH92+2*FaceW+IF(N($Q92)&gt;0,($Q92+FaceW)*IF($R92="LR",2,1),0))</f>
        <v/>
      </c>
      <c r="BN92" s="86">
        <f>IF($BI92="","",$BI92+IF($AB92="Y",4,FaceW)+IF(N($P92)&gt;0,$P92+FaceW,0)+IF(OR($S92="4F",$S92="BL"),FaceW,0))</f>
        <v/>
      </c>
      <c r="BO92" s="86">
        <f>IF($BM92="","",$BM92+2*ROSide)</f>
        <v/>
      </c>
      <c r="BP92" s="86">
        <f>IF($BN92="","",$BN92+ROTop)</f>
        <v/>
      </c>
      <c r="BQ92" s="87">
        <f>IF(OR(N($BJ92)=0,$BH92=""),"",$BH92/$BJ92-ClearDeduct)</f>
        <v/>
      </c>
      <c r="BR92" s="84">
        <f>IF(N($CH92)=0,"",IF($CH92&gt;=180,"A · 3 HR",IF($CH92&gt;=90,"B · 1-1/2 HR",IF($CH92&gt;=60,"B · 1 HR",IF($CH92&gt;=45,"C · 3/4 HR","20 MIN")))))&amp;IF(AND(N($CH92)&gt;0,OR($I92="CORRIDOR",$I92="SMOKE BARRIER"))," · S","")</f>
        <v/>
      </c>
      <c r="BS92" s="84">
        <f>IF($CS92,"",IF($AV92&lt;&gt;"",$AV92,IF(OR($AC92="HGC",$AO92="HGC"),"CONT",IF(($BI92-HeadClr-Undercut)&lt;=60,2,IF(($BI92-HeadClr-Undercut)&lt;=90,3,IF(($BI92-HeadClr-Undercut)&lt;=120,4,5))))))</f>
        <v/>
      </c>
      <c r="BT92" s="84">
        <f>IF($CS92,"",IF($CT92,"CUSTOM (typed)",IF($CV92,$AT92&amp;" "&amp;$CU92&amp;CHAR(34)&amp;IF($CU92&lt;&gt;$BI92,IF(AND($BI92&lt;$CU92,$BI92-IF(N(VLOOKUP($AT92&amp;"|"&amp;$CU92,LocTable,7,FALSE))&gt;0,VLOOKUP($AT92&amp;"|"&amp;$CU92,LocTable,7,FALSE),VLOOKUP($AT92&amp;"|"&amp;$CU92,LocTable,6,FALSE))-$CR92-0.75&gt;=2.125)," cut down"," adj."),""),"ANSI/SDI A250.6")))</f>
        <v/>
      </c>
      <c r="BU92" s="88">
        <f>IF($CS92,"",IF($CT92,IF(N($AW92)&gt;0,N($AW92),""),IF(1&gt;$CQ92,"",IF($CQ92=1,$CW92,$CW92+($CX92-$CW92)*0/($CQ92-1)))))</f>
        <v/>
      </c>
      <c r="BV92" s="88">
        <f>IF($CS92,"",IF($CT92,IF(N($AX92)&gt;0,N($AX92),""),IF(2&gt;$CQ92,"",IF($CQ92=1,$CW92,$CW92+($CX92-$CW92)*1/($CQ92-1)))))</f>
        <v/>
      </c>
      <c r="BW92" s="88">
        <f>IF($CS92,"",IF($CT92,IF(N($AY92)&gt;0,N($AY92),""),IF(3&gt;$CQ92,"",IF($CQ92=1,$CW92,$CW92+($CX92-$CW92)*2/($CQ92-1)))))</f>
        <v/>
      </c>
      <c r="BX92" s="88">
        <f>IF($CS92,"",IF($CT92,IF(N($AZ92)&gt;0,N($AZ92),""),IF(4&gt;$CQ92,"",IF($CQ92=1,$CW92,$CW92+($CX92-$CW92)*3/($CQ92-1)))))</f>
        <v/>
      </c>
      <c r="BY92" s="88">
        <f>IF($CS92,"",IF($CT92,"",IF(5&gt;$CQ92,"",IF($CQ92=1,$CW92,$CW92+($CX92-$CW92)*4/($CQ92-1)))))</f>
        <v/>
      </c>
      <c r="BZ92" s="88">
        <f>IF(OR($CS92,$AP92="-",AND($AP92="",$AD92="")),"",IF(N($BA92)&gt;0,N($BA92),IF($CV92,IF(AND($BI92&lt;$CU92,$BI92-IF(N(VLOOKUP($AT92&amp;"|"&amp;$CU92,LocTable,7,FALSE))&gt;0,VLOOKUP($AT92&amp;"|"&amp;$CU92,LocTable,7,FALSE),VLOOKUP($AT92&amp;"|"&amp;$CU92,LocTable,6,FALSE))-$CR92-0.75&gt;=2.125),VLOOKUP($AT92&amp;"|"&amp;$CU92,LocTable,8,FALSE),VLOOKUP($AT92&amp;"|"&amp;$CU92,LocTable,8,FALSE)+($BI92-$CU92)),$BI92-LockAFF)))</f>
        <v/>
      </c>
      <c r="CA92" s="89">
        <f>IF($BZ92="","",$BI92-$BZ92)</f>
        <v/>
      </c>
      <c r="CB92" s="84">
        <f>IF(OR(NOT(AND($A92&lt;&gt;"",$C92&lt;&gt;"DOOR ONLY")),$BI92=""),"",IF(($BI92+IF(N($P92)&gt;0,$P92+FaceW,0))&lt;=90,3,IF(($BI92+IF(N($P92)&gt;0,$P92+FaceW,0))&lt;=114,4,5)))</f>
        <v/>
      </c>
      <c r="CC92" s="84">
        <f>IF($CB92="","",$CB92*(2+IF(N($Q92)&gt;0,IF($R92="LR",2,1),0)))</f>
        <v/>
      </c>
      <c r="CD92" s="84">
        <f>IF($CB92="","",(2+IF(N($Q92)&gt;0,IF($R92="LR",2,1),0)))</f>
        <v/>
      </c>
      <c r="CE92" s="84">
        <f>IF(N($BJ92)=0,"",IF(OR($AL92="",$AL92="FLUSH"),"FLUSH",IFERROR(LEFT($AL92,FIND("-",$AL92)-1),LEFT($AL92,2))))</f>
        <v/>
      </c>
      <c r="CF92" s="84">
        <f>IF($CE92="","",IFERROR(VALUE(MID($AL92,FIND("-",$AL92)+1,FIND(CHAR(34)&amp;"x",$AL92)-FIND("-",$AL92)-1)),0))</f>
        <v/>
      </c>
      <c r="CG92" s="84">
        <f>IF($CE92="","",IFERROR(VALUE(MID($AL92,FIND(CHAR(34)&amp;"x",$AL92)+2,FIND(CHAR(34),$AL92,FIND(CHAR(34)&amp;"x",$AL92)+2)-FIND(CHAR(34)&amp;"x",$AL92)-2)),0))</f>
        <v/>
      </c>
      <c r="CH92" s="90">
        <f>IF(OR($A92="",$H92="",$H92="NO LAB"),0,IFERROR(VALUE(LEFT($H92,FIND(" ",$H92)-1)),0))</f>
        <v/>
      </c>
      <c r="CI92" s="91">
        <f>IF(OR($A92="",$I92="",$I92="NON-RATED",N($J92)=0),"",IFERROR(VLOOKUP($I92&amp;"|"&amp;$J92,IBC,2,FALSE),"?"))</f>
        <v/>
      </c>
      <c r="CJ92" s="85">
        <f>IF(NOT(AND($A92&lt;&gt;"",$C92&lt;&gt;"DOOR ONLY")),"",TRIM(IFERROR(VLOOKUP($U92,CODES,2,FALSE),"")&amp;" "&amp;$BG92&amp;" "&amp;IFERROR(VLOOKUP($Z92,CODES,2,FALSE),"")&amp;" "&amp;IFERROR(VLOOKUP($X92,CODES,2,FALSE),"")&amp;" "&amp;IFERROR(VLOOKUP($S92,CODES,2,FALSE),"")&amp;IF(N($P92)&gt;0," w/TRANSOM "&amp;$P92&amp;CHAR(34),"")&amp;IF(N($Q92)&gt;0," w/SIDELITE "&amp;$Q92&amp;CHAR(34)&amp;" "&amp;IF($R92="","R",$R92),"")&amp;IF($Y92="","  |  "," | "&amp;IFERROR(VLOOKUP($Y92,CODES,2,FALSE),"")&amp;" | ")&amp;IFERROR(VLOOKUP($AC92,CODES,2,FALSE),"")&amp;" "&amp;IFERROR(VLOOKUP($AD92,CODES,2,FALSE),"")&amp;IF(OR($AE92="",$AE92="-"),""," "&amp;$AE92)&amp;IF(OR($AF92="",$AF92="-"),""," "&amp;$AF92)&amp;IF($AB92="Y"," 4"&amp;CHAR(34)&amp;" HEAD","")&amp;" "&amp;IFERROR(VLOOKUP($H92,CODES,2,FALSE),"")&amp;IF($CT92," | LOC "&amp;$CY92,"")))</f>
        <v/>
      </c>
      <c r="CK92" s="85">
        <f>IF(NOT(AND($A92&lt;&gt;"",N($BJ92)&gt;0)),"",TRIM(IFERROR(VLOOKUP($AH92,CODES,2,FALSE),"")&amp;IF($AI92=""," "," "&amp;$AI92&amp;"GA ")&amp;$BG92&amp;" "&amp;IF($AN92="",IFERROR(VLOOKUP($Z92,CODES,2,FALSE),""),IFERROR(VLOOKUP($AN92,CODES,2,FALSE),""))&amp;IF($BJ92=2," PAIR","")&amp;" DOOR | "&amp;IF($AL92="","?",$AL92)&amp;" | "&amp;IF($AO92="",IFERROR(VLOOKUP($AC92,CODES,2,FALSE),""),IFERROR(VLOOKUP($AO92,CODES,2,FALSE),""))&amp;" "&amp;IFERROR(VLOOKUP($AP92,CODES,2,FALSE),"")&amp;IF(OR($AQ92="",$AQ92="-"),""," SEAM "&amp;$AQ92)&amp;IF($AR92="Y"," ASTRAGAL","")&amp;IF($AJ92=""," "," "&amp;$AJ92)&amp;IF($AK92=""," "," "&amp;$AK92)&amp;IF(OR($AT92="",$AT92="ANSI/SDI",$AT92="CUSTOM LOC"),""," "&amp;$AT92)&amp;IF($AM92=""," "," SERIES "&amp;$AM92)&amp;" "&amp;IFERROR(VLOOKUP($H92,CODES,2,FALSE),"")&amp;IF($CT92," | LOC "&amp;$CZ92,"")))</f>
        <v/>
      </c>
      <c r="CL92" s="84">
        <f>IF(CP92="","",IF(COUNTIF($CP$6:CP92,CP92)=1,MAX($CL$5:CL91)+1,INDEX($CL$5:CL91,MATCH(CP92,$CP$5:CP91,0))))</f>
        <v/>
      </c>
      <c r="CM92" s="84">
        <f>IF(NOT(AND($A92&lt;&gt;"",$C92&lt;&gt;"DOOR ONLY")),"",MAX($CM$5:CM91)+1)</f>
        <v/>
      </c>
      <c r="CN92" s="84">
        <f>IF(NOT(AND($A92&lt;&gt;"",N($BJ92)&gt;0)),"",MAX($CN$5:CN91)+1)</f>
        <v/>
      </c>
      <c r="CO92" s="84">
        <f>IF($A92="","",MAX($CO$5:CO91)+1)</f>
        <v/>
      </c>
      <c r="CP92" s="84">
        <f>IF(OR($A92="",$BH92="",$BI92=""),"",$BG92&amp;"|"&amp;$O92&amp;"|"&amp;$AL92&amp;"|"&amp;$S92&amp;"|"&amp;$P92&amp;"|"&amp;$Q92&amp;$R92&amp;"|"&amp;$C92&amp;"|"&amp;$AB92)</f>
        <v/>
      </c>
      <c r="CQ92" s="84">
        <f>N($BS92)</f>
        <v/>
      </c>
      <c r="CR92" s="84">
        <f>IF(N($AU92)&gt;0,N($AU92),4.5)</f>
        <v/>
      </c>
      <c r="CS92" s="84">
        <f>OR($A92="",$BI92="",$S92="BL",AND($C92="FRAME ONLY",OR($AC92="",$AC92="BLK")))</f>
        <v/>
      </c>
      <c r="CT92" s="84">
        <f>AND(NOT($CS92),OR($AT92="CUSTOM LOC",N($AW92)+N($AX92)+N($AY92)+N($AZ92)+N($BA92)&gt;0))</f>
        <v/>
      </c>
      <c r="CU92" s="84">
        <f>IF($BI92="","",IF($BI92&lt;=80,80,IF($BI92&lt;=84,84,96)))</f>
        <v/>
      </c>
      <c r="CV92" s="84">
        <f>ISNUMBER(MATCH($AT92&amp;"|80",LocKeys,0))</f>
        <v/>
      </c>
      <c r="CW92" s="86">
        <f>IF($CS92,"",IF($CV92,VLOOKUP($AT92&amp;"|"&amp;$CU92,LocTable,4,FALSE),5))</f>
        <v/>
      </c>
      <c r="CX92" s="86">
        <f>IF($CS92,"",IF($CV92,IF(OR($BI92=$CU92,AND($BI92&lt;$CU92,$BI92-IF(N(VLOOKUP($AT92&amp;"|"&amp;$CU92,LocTable,7,FALSE))&gt;0,VLOOKUP($AT92&amp;"|"&amp;$CU92,LocTable,7,FALSE),VLOOKUP($AT92&amp;"|"&amp;$CU92,LocTable,6,FALSE))-$CR92-0.75&gt;=2.125)),IF(N(VLOOKUP($AT92&amp;"|"&amp;$CU92,LocTable,7,FALSE))&gt;0,VLOOKUP($AT92&amp;"|"&amp;$CU92,LocTable,7,FALSE),VLOOKUP($AT92&amp;"|"&amp;$CU92,LocTable,6,FALSE)),$BI92-($CU92-IF(N(VLOOKUP($AT92&amp;"|"&amp;$CU92,LocTable,7,FALSE))&gt;0,VLOOKUP($AT92&amp;"|"&amp;$CU92,LocTable,7,FALSE),VLOOKUP($AT92&amp;"|"&amp;$CU92,LocTable,6,FALSE)))),$BI92-10-$CR92))</f>
        <v/>
      </c>
      <c r="CY92" s="85">
        <f>IF($CS92,"",TRIM(IF(ISNUMBER($BU92),"A "&amp;TRIM(TEXT($BU92,"# ?/??"))&amp;CHAR(34)&amp;"  ","")&amp;IF(ISNUMBER($BV92),"B "&amp;TRIM(TEXT($BV92,"# ?/??"))&amp;CHAR(34)&amp;"  ","")&amp;IF(ISNUMBER($BW92),"C "&amp;TRIM(TEXT($BW92,"# ?/??"))&amp;CHAR(34)&amp;"  ","")&amp;IF(ISNUMBER($BX92),"D "&amp;TRIM(TEXT($BX92,"# ?/??"))&amp;CHAR(34)&amp;"  ","")&amp;IF(ISNUMBER($BY92),"F "&amp;TRIM(TEXT($BY92,"# ?/??"))&amp;CHAR(34)&amp;"  ","")&amp;IF(ISNUMBER($BZ92),"E "&amp;TRIM(TEXT($BZ92,"# ?/??"))&amp;CHAR(34)&amp;"  ","")))</f>
        <v/>
      </c>
      <c r="CZ92" s="85">
        <f>IF(OR($CS92,N($BJ92)=0),"",TRIM(IF(ISNUMBER($BU92),"A "&amp;TRIM(TEXT($BU92-HeadClr,"# ?/??"))&amp;CHAR(34)&amp;"  ","")&amp;IF(ISNUMBER($BV92),"B "&amp;TRIM(TEXT($BV92-HeadClr,"# ?/??"))&amp;CHAR(34)&amp;"  ","")&amp;IF(ISNUMBER($BW92),"C "&amp;TRIM(TEXT($BW92-HeadClr,"# ?/??"))&amp;CHAR(34)&amp;"  ","")&amp;IF(ISNUMBER($BX92),"D "&amp;TRIM(TEXT($BX92-HeadClr,"# ?/??"))&amp;CHAR(34)&amp;"  ","")&amp;IF(ISNUMBER($BY92),"F "&amp;TRIM(TEXT($BY92-HeadClr,"# ?/??"))&amp;CHAR(34)&amp;"  ","")&amp;IF(ISNUMBER($BZ92),"E "&amp;TRIM(TEXT($BZ92-HeadClr,"# ?/??"))&amp;CHAR(34)&amp;"  ","")))</f>
        <v/>
      </c>
      <c r="DA92" s="84">
        <f>IF($A92="","",IF($AN92="",IFERROR(VLOOKUP($Z92,CODES,2,FALSE),""),IFERROR(VLOOKUP($AN92,CODES,2,FALSE),"")))</f>
        <v/>
      </c>
      <c r="DB92" s="84">
        <f>IF($A92="","",IF($O92="Y","PR",IF(OR($Z92="L",$Z92="RR",LEFT($Z92,2)="L-",LEFT($Z92,3)="RR-"),"LH","RH")))</f>
        <v/>
      </c>
      <c r="DC92" s="84">
        <f>IF($A92="","","S.HM"&amp;IF(OR($C92="DOOR ONLY",$X92&lt;&gt;"KD"),"MASONRY","DRYWALL")&amp;IF($C92="DOOR ONLY","",$U92)&amp;IF(AND($C92&lt;&gt;"FRAME ONLY",OR(LEFT($AH92,3)="OAK",LEFT($AH92,3)="BIR",LEFT($AH92,3)="MAP",$AH92="PC",$AH92="MC",$AH92="SCLC",$AH92="P-LAM")),"WD","HM")&amp;"1.75")</f>
        <v/>
      </c>
      <c r="DD92" s="84">
        <f>IF($CJ92="","",IF($O92="Y",$CJ92,SUBSTITUTE($CJ92,$BG92&amp;" "&amp;IFERROR(VLOOKUP($Z92,CODES,2,FALSE),"")&amp;" ",$BG92&amp;" ")))</f>
        <v/>
      </c>
      <c r="DE92" s="84">
        <f>IF($CK92="","",IF($O92="Y",$CK92,SUBSTITUTE($CK92,$BG92&amp;" "&amp;IF($AN92="",IFERROR(VLOOKUP($Z92,CODES,2,FALSE),""),IFERROR(VLOOKUP($AN92,CODES,2,FALSE),""))&amp;" ",$BG92&amp;" ")))</f>
        <v/>
      </c>
      <c r="DF92" s="84">
        <f>IF($CJ92="","",$DC92&amp;"|"&amp;$DD92&amp;"|"&amp;$DB92&amp;"|"&amp;$AT92&amp;"|"&amp;$V92&amp;"|"&amp;$Y92&amp;"|"&amp;$AB92)</f>
        <v/>
      </c>
      <c r="DG92" s="84">
        <f>IF(DF92="","",IF(COUNTIF($DF$6:DF92,DF92)=1,MAX($DG$5:DG91)+1,INDEX($DG$5:DG91,MATCH(DF92,$DF$5:DF91,0))))</f>
        <v/>
      </c>
      <c r="DH92" s="84">
        <f>IF($CK92="","",$DC92&amp;"|"&amp;$DE92&amp;"|"&amp;$AI92&amp;"|"&amp;$BK92&amp;"|"&amp;$BL92)</f>
        <v/>
      </c>
      <c r="DI92" s="84">
        <f>IF(DH92="","",IF(COUNTIF($DH$6:DH92,DH92)=1,MAX($DI$5:DI91)+1,INDEX($DI$5:DI91,MATCH(DH92,$DH$5:DH91,0))))</f>
        <v/>
      </c>
      <c r="DJ92" s="84">
        <f>IF($A92="","",IF($B92="","qty, ","")&amp;IF($C92="","scope, ","")&amp;IF(OR($K92="",$M92=""),"size, ","")&amp;IF(AND($A92&lt;&gt;"",$C92&lt;&gt;"DOOR ONLY"),IF($U92="","jamb depth, ","")&amp;IF($X92="","construction, ","")&amp;IF($Y92="","anchor, ","")&amp;IF($S92="","frame type, ",""),"")&amp;IF(AND(N($BJ92)&gt;0,$Z92=""),"hand, ","")&amp;IF(N($BJ92)&gt;0,IF($AH92="","door material, ","")&amp;IF($AL92="","face type, ","")&amp;IF($AP92="","lock prep, ","")&amp;IF(AND($AO92="",$AC92=""),"hinge prep, ",""),"")&amp;IF(AND($CH92&gt;0,$AH92="FRP"),"FRP cannot carry a label, ","")&amp;IF(AND($O92="Y",OR($Z92="L",$Z92="R",$Z92="LR",$Z92="RR")),"pair marked but hand is single, ","")&amp;IF(AND($O92&lt;&gt;"Y",OR($Z92="PR",AND(LEN($Z92)&gt;1,ISNUMBER(SEARCH("-",$Z92))))),"pair hand on a single door, ","")&amp;IF(AND(ISNUMBER($CI92),$CH92&lt;N($CI92)),"wall needs a "&amp;$CI92&amp;" min door, ","")&amp;IF(AND($CH92&gt;=180,AND(OR($CE92="FG",$CE92="HG",$CE92="FNV",$CE92="FV"),N($CF92)*N($CG92)&gt;100)),"180 min lite over 100 sq in, ","")&amp;IF(N($BK92)&gt;48,"leaf wider than 4'-0"&amp;CHAR(34)&amp;", ","")&amp;IF(AND($CT92,COUNT($AW92:$AZ92)=0,$CQ92&gt;0),"CUSTOM LOC with no locations typed, ",""))</f>
        <v/>
      </c>
      <c r="DK92" s="84">
        <f>IF($A92="","",IF(AND($CH92&gt;0,AND($A92&lt;&gt;"",$C92&lt;&gt;"DOOR ONLY"),$X92="KD",$E92="EXTERIOR"),"KD label on an exterior opening, ","")&amp;IF(AND($E92="EXTERIOR",OR(AND(AND($A92&lt;&gt;"",$C92&lt;&gt;"DOOR ONLY"),$W92="CR"),AND(N($BJ92)&gt;0,$AH92="CR"))),"exterior in CR steel (G9?), ","")&amp;IF(AND(ISNUMBER($BQ92),N($BQ92)&lt;32),"clear width ~"&amp;TEXT($BQ92,"0.0")&amp;CHAR(34)&amp;" under 32"&amp;CHAR(34)&amp;" (ADA), ","")&amp;IF(AND($CH92=90,AND(OR($CE92="FG",$CE92="HG",$CE92="FNV",$CE92="FV"),N($CF92)*N($CG92)&gt;100)),"90 min lite over 100 sq in (stair/exit), ","")&amp;IF(AND($CH92&gt;0,AND($A92&lt;&gt;"",$C92&lt;&gt;"DOOR ONLY"),OR($AF92="",$AF92="-")),"rated: closer reinf.?, ","")&amp;IF(OR($I92="CORRIDOR",$I92="SMOKE BARRIER"),"S label + smoke gasketing, ","")&amp;IF($CI92="?","wall type/hr not in IBC table, ","")&amp;IF(AND(N($BJ92)&gt;0,$BB92=""),"no hardware set, ","")&amp;IF(AND($BB92&lt;&gt;"",ISNA(MATCH($BB92&amp;"",HWSets,0))),"set "&amp;$BB92&amp;" not on HW Sets, ","")&amp;IF(N($BL92)&gt;96,"leaf over 8'-0"&amp;CHAR(34)&amp;" - check listing, ","")&amp;IF(AND($CT92,COUNT($AW92:$AZ92)&gt;0,COUNT($AW92:$AZ92)&lt;&gt;$CQ92),COUNT($AW92:$AZ92)&amp;" custom hinges typed, "&amp;$CQ92&amp;" expected, ","")&amp;IF(AND(ISNUMBER($CA92),OR(N($CA92)&lt;34,N($CA92)&gt;48)),"lock "&amp;TEXT($CA92,"0.0")&amp;CHAR(34)&amp;" AFF outside 34-48"&amp;CHAR(34)&amp;" (ADA), ","")&amp;IF(AND(ISNUMBER($AV92),ISNUMBER($BL92),N($AV92)&lt;IF(N($BL92)&lt;=60,2,IF(N($BL92)&lt;=90,3,IF(N($BL92)&lt;=120,4,5)))),"fewer hinges than standard, ",""))</f>
        <v/>
      </c>
    </row>
    <row r="93" ht="15" customHeight="1">
      <c r="A93" s="77" t="n"/>
      <c r="B93" s="78" t="n"/>
      <c r="C93" s="78" t="n"/>
      <c r="D93" s="78" t="n"/>
      <c r="E93" s="78" t="n"/>
      <c r="F93" s="78" t="n"/>
      <c r="G93" s="78" t="n"/>
      <c r="H93" s="78" t="n"/>
      <c r="I93" s="78" t="n"/>
      <c r="J93" s="78" t="n"/>
      <c r="K93" s="78" t="n"/>
      <c r="L93" s="78" t="n"/>
      <c r="M93" s="78" t="n"/>
      <c r="N93" s="78" t="n"/>
      <c r="O93" s="78" t="n"/>
      <c r="P93" s="78" t="n"/>
      <c r="Q93" s="78" t="n"/>
      <c r="R93" s="78" t="n"/>
      <c r="S93" s="79" t="n"/>
      <c r="T93" s="79" t="n"/>
      <c r="U93" s="79" t="n"/>
      <c r="V93" s="79" t="n"/>
      <c r="W93" s="79" t="n"/>
      <c r="X93" s="79" t="n"/>
      <c r="Y93" s="79" t="n"/>
      <c r="Z93" s="79" t="n"/>
      <c r="AA93" s="79" t="n"/>
      <c r="AB93" s="79" t="n"/>
      <c r="AC93" s="79" t="n"/>
      <c r="AD93" s="79" t="n"/>
      <c r="AE93" s="79" t="n"/>
      <c r="AF93" s="79" t="n"/>
      <c r="AG93" s="79" t="n"/>
      <c r="AH93" s="80" t="n"/>
      <c r="AI93" s="80" t="n"/>
      <c r="AJ93" s="80" t="n"/>
      <c r="AK93" s="80" t="n"/>
      <c r="AL93" s="80" t="n"/>
      <c r="AM93" s="80" t="n"/>
      <c r="AN93" s="80" t="n"/>
      <c r="AO93" s="80" t="n"/>
      <c r="AP93" s="80" t="n"/>
      <c r="AQ93" s="80" t="n"/>
      <c r="AR93" s="80" t="n"/>
      <c r="AS93" s="80" t="n"/>
      <c r="AT93" s="81" t="n"/>
      <c r="AU93" s="81" t="n"/>
      <c r="AV93" s="81" t="n"/>
      <c r="AW93" s="82" t="n"/>
      <c r="AX93" s="82" t="n"/>
      <c r="AY93" s="82" t="n"/>
      <c r="AZ93" s="82" t="n"/>
      <c r="BA93" s="82" t="n"/>
      <c r="BB93" s="83" t="n"/>
      <c r="BC93" s="83" t="n"/>
      <c r="BD93" s="84">
        <f>IF($A93="","",IF($DJ93&lt;&gt;"","FIX",IF($DK93&lt;&gt;"","CHECK","OK")))</f>
        <v/>
      </c>
      <c r="BE93" s="85">
        <f>IF($A93="","",IF($DJ93&lt;&gt;"","FIX: "&amp;LEFT($DJ93,LEN($DJ93)-2)&amp;IF($DK93&lt;&gt;"","  ·  ",""),"")&amp;IF($DK93&lt;&gt;"","CHECK: "&amp;LEFT($DK93,LEN($DK93)-2),""))</f>
        <v/>
      </c>
      <c r="BF93" s="84">
        <f>IF(OR($A93="",$K93=""),"",$K93&amp;"'-"&amp;N($L93)&amp;CHAR(34)&amp;" x "&amp;$M93&amp;"'-"&amp;N($N93)&amp;CHAR(34))</f>
        <v/>
      </c>
      <c r="BG93" s="84">
        <f>IF(OR($A93="",$K93=""),"",$K93&amp;N($L93)&amp;$M93&amp;N($N93))</f>
        <v/>
      </c>
      <c r="BH93" s="84">
        <f>IF(OR($A93="",$K93=""),"",$K93*12+N($L93))</f>
        <v/>
      </c>
      <c r="BI93" s="84">
        <f>IF(OR($A93="",$M93=""),"",$M93*12+N($N93))</f>
        <v/>
      </c>
      <c r="BJ93" s="84">
        <f>IF($A93="","",IF(OR($C93="FRAME ONLY",$S93="BL"),0,IF($O93="Y",2,1)))</f>
        <v/>
      </c>
      <c r="BK93" s="86">
        <f>IF(OR(N($BJ93)=0,$BH93=""),"",($BH93-2*EdgeClr-IF($BJ93=2,MeetClr,0))/$BJ93)</f>
        <v/>
      </c>
      <c r="BL93" s="86">
        <f>IF(OR(N($BJ93)=0,$BI93=""),"",$BI93-HeadClr-Undercut)</f>
        <v/>
      </c>
      <c r="BM93" s="86">
        <f>IF($BH93="","",$BH93+2*FaceW+IF(N($Q93)&gt;0,($Q93+FaceW)*IF($R93="LR",2,1),0))</f>
        <v/>
      </c>
      <c r="BN93" s="86">
        <f>IF($BI93="","",$BI93+IF($AB93="Y",4,FaceW)+IF(N($P93)&gt;0,$P93+FaceW,0)+IF(OR($S93="4F",$S93="BL"),FaceW,0))</f>
        <v/>
      </c>
      <c r="BO93" s="86">
        <f>IF($BM93="","",$BM93+2*ROSide)</f>
        <v/>
      </c>
      <c r="BP93" s="86">
        <f>IF($BN93="","",$BN93+ROTop)</f>
        <v/>
      </c>
      <c r="BQ93" s="87">
        <f>IF(OR(N($BJ93)=0,$BH93=""),"",$BH93/$BJ93-ClearDeduct)</f>
        <v/>
      </c>
      <c r="BR93" s="84">
        <f>IF(N($CH93)=0,"",IF($CH93&gt;=180,"A · 3 HR",IF($CH93&gt;=90,"B · 1-1/2 HR",IF($CH93&gt;=60,"B · 1 HR",IF($CH93&gt;=45,"C · 3/4 HR","20 MIN")))))&amp;IF(AND(N($CH93)&gt;0,OR($I93="CORRIDOR",$I93="SMOKE BARRIER"))," · S","")</f>
        <v/>
      </c>
      <c r="BS93" s="84">
        <f>IF($CS93,"",IF($AV93&lt;&gt;"",$AV93,IF(OR($AC93="HGC",$AO93="HGC"),"CONT",IF(($BI93-HeadClr-Undercut)&lt;=60,2,IF(($BI93-HeadClr-Undercut)&lt;=90,3,IF(($BI93-HeadClr-Undercut)&lt;=120,4,5))))))</f>
        <v/>
      </c>
      <c r="BT93" s="84">
        <f>IF($CS93,"",IF($CT93,"CUSTOM (typed)",IF($CV93,$AT93&amp;" "&amp;$CU93&amp;CHAR(34)&amp;IF($CU93&lt;&gt;$BI93,IF(AND($BI93&lt;$CU93,$BI93-IF(N(VLOOKUP($AT93&amp;"|"&amp;$CU93,LocTable,7,FALSE))&gt;0,VLOOKUP($AT93&amp;"|"&amp;$CU93,LocTable,7,FALSE),VLOOKUP($AT93&amp;"|"&amp;$CU93,LocTable,6,FALSE))-$CR93-0.75&gt;=2.125)," cut down"," adj."),""),"ANSI/SDI A250.6")))</f>
        <v/>
      </c>
      <c r="BU93" s="88">
        <f>IF($CS93,"",IF($CT93,IF(N($AW93)&gt;0,N($AW93),""),IF(1&gt;$CQ93,"",IF($CQ93=1,$CW93,$CW93+($CX93-$CW93)*0/($CQ93-1)))))</f>
        <v/>
      </c>
      <c r="BV93" s="88">
        <f>IF($CS93,"",IF($CT93,IF(N($AX93)&gt;0,N($AX93),""),IF(2&gt;$CQ93,"",IF($CQ93=1,$CW93,$CW93+($CX93-$CW93)*1/($CQ93-1)))))</f>
        <v/>
      </c>
      <c r="BW93" s="88">
        <f>IF($CS93,"",IF($CT93,IF(N($AY93)&gt;0,N($AY93),""),IF(3&gt;$CQ93,"",IF($CQ93=1,$CW93,$CW93+($CX93-$CW93)*2/($CQ93-1)))))</f>
        <v/>
      </c>
      <c r="BX93" s="88">
        <f>IF($CS93,"",IF($CT93,IF(N($AZ93)&gt;0,N($AZ93),""),IF(4&gt;$CQ93,"",IF($CQ93=1,$CW93,$CW93+($CX93-$CW93)*3/($CQ93-1)))))</f>
        <v/>
      </c>
      <c r="BY93" s="88">
        <f>IF($CS93,"",IF($CT93,"",IF(5&gt;$CQ93,"",IF($CQ93=1,$CW93,$CW93+($CX93-$CW93)*4/($CQ93-1)))))</f>
        <v/>
      </c>
      <c r="BZ93" s="88">
        <f>IF(OR($CS93,$AP93="-",AND($AP93="",$AD93="")),"",IF(N($BA93)&gt;0,N($BA93),IF($CV93,IF(AND($BI93&lt;$CU93,$BI93-IF(N(VLOOKUP($AT93&amp;"|"&amp;$CU93,LocTable,7,FALSE))&gt;0,VLOOKUP($AT93&amp;"|"&amp;$CU93,LocTable,7,FALSE),VLOOKUP($AT93&amp;"|"&amp;$CU93,LocTable,6,FALSE))-$CR93-0.75&gt;=2.125),VLOOKUP($AT93&amp;"|"&amp;$CU93,LocTable,8,FALSE),VLOOKUP($AT93&amp;"|"&amp;$CU93,LocTable,8,FALSE)+($BI93-$CU93)),$BI93-LockAFF)))</f>
        <v/>
      </c>
      <c r="CA93" s="89">
        <f>IF($BZ93="","",$BI93-$BZ93)</f>
        <v/>
      </c>
      <c r="CB93" s="84">
        <f>IF(OR(NOT(AND($A93&lt;&gt;"",$C93&lt;&gt;"DOOR ONLY")),$BI93=""),"",IF(($BI93+IF(N($P93)&gt;0,$P93+FaceW,0))&lt;=90,3,IF(($BI93+IF(N($P93)&gt;0,$P93+FaceW,0))&lt;=114,4,5)))</f>
        <v/>
      </c>
      <c r="CC93" s="84">
        <f>IF($CB93="","",$CB93*(2+IF(N($Q93)&gt;0,IF($R93="LR",2,1),0)))</f>
        <v/>
      </c>
      <c r="CD93" s="84">
        <f>IF($CB93="","",(2+IF(N($Q93)&gt;0,IF($R93="LR",2,1),0)))</f>
        <v/>
      </c>
      <c r="CE93" s="84">
        <f>IF(N($BJ93)=0,"",IF(OR($AL93="",$AL93="FLUSH"),"FLUSH",IFERROR(LEFT($AL93,FIND("-",$AL93)-1),LEFT($AL93,2))))</f>
        <v/>
      </c>
      <c r="CF93" s="84">
        <f>IF($CE93="","",IFERROR(VALUE(MID($AL93,FIND("-",$AL93)+1,FIND(CHAR(34)&amp;"x",$AL93)-FIND("-",$AL93)-1)),0))</f>
        <v/>
      </c>
      <c r="CG93" s="84">
        <f>IF($CE93="","",IFERROR(VALUE(MID($AL93,FIND(CHAR(34)&amp;"x",$AL93)+2,FIND(CHAR(34),$AL93,FIND(CHAR(34)&amp;"x",$AL93)+2)-FIND(CHAR(34)&amp;"x",$AL93)-2)),0))</f>
        <v/>
      </c>
      <c r="CH93" s="90">
        <f>IF(OR($A93="",$H93="",$H93="NO LAB"),0,IFERROR(VALUE(LEFT($H93,FIND(" ",$H93)-1)),0))</f>
        <v/>
      </c>
      <c r="CI93" s="91">
        <f>IF(OR($A93="",$I93="",$I93="NON-RATED",N($J93)=0),"",IFERROR(VLOOKUP($I93&amp;"|"&amp;$J93,IBC,2,FALSE),"?"))</f>
        <v/>
      </c>
      <c r="CJ93" s="85">
        <f>IF(NOT(AND($A93&lt;&gt;"",$C93&lt;&gt;"DOOR ONLY")),"",TRIM(IFERROR(VLOOKUP($U93,CODES,2,FALSE),"")&amp;" "&amp;$BG93&amp;" "&amp;IFERROR(VLOOKUP($Z93,CODES,2,FALSE),"")&amp;" "&amp;IFERROR(VLOOKUP($X93,CODES,2,FALSE),"")&amp;" "&amp;IFERROR(VLOOKUP($S93,CODES,2,FALSE),"")&amp;IF(N($P93)&gt;0," w/TRANSOM "&amp;$P93&amp;CHAR(34),"")&amp;IF(N($Q93)&gt;0," w/SIDELITE "&amp;$Q93&amp;CHAR(34)&amp;" "&amp;IF($R93="","R",$R93),"")&amp;IF($Y93="","  |  "," | "&amp;IFERROR(VLOOKUP($Y93,CODES,2,FALSE),"")&amp;" | ")&amp;IFERROR(VLOOKUP($AC93,CODES,2,FALSE),"")&amp;" "&amp;IFERROR(VLOOKUP($AD93,CODES,2,FALSE),"")&amp;IF(OR($AE93="",$AE93="-"),""," "&amp;$AE93)&amp;IF(OR($AF93="",$AF93="-"),""," "&amp;$AF93)&amp;IF($AB93="Y"," 4"&amp;CHAR(34)&amp;" HEAD","")&amp;" "&amp;IFERROR(VLOOKUP($H93,CODES,2,FALSE),"")&amp;IF($CT93," | LOC "&amp;$CY93,"")))</f>
        <v/>
      </c>
      <c r="CK93" s="85">
        <f>IF(NOT(AND($A93&lt;&gt;"",N($BJ93)&gt;0)),"",TRIM(IFERROR(VLOOKUP($AH93,CODES,2,FALSE),"")&amp;IF($AI93=""," "," "&amp;$AI93&amp;"GA ")&amp;$BG93&amp;" "&amp;IF($AN93="",IFERROR(VLOOKUP($Z93,CODES,2,FALSE),""),IFERROR(VLOOKUP($AN93,CODES,2,FALSE),""))&amp;IF($BJ93=2," PAIR","")&amp;" DOOR | "&amp;IF($AL93="","?",$AL93)&amp;" | "&amp;IF($AO93="",IFERROR(VLOOKUP($AC93,CODES,2,FALSE),""),IFERROR(VLOOKUP($AO93,CODES,2,FALSE),""))&amp;" "&amp;IFERROR(VLOOKUP($AP93,CODES,2,FALSE),"")&amp;IF(OR($AQ93="",$AQ93="-"),""," SEAM "&amp;$AQ93)&amp;IF($AR93="Y"," ASTRAGAL","")&amp;IF($AJ93=""," "," "&amp;$AJ93)&amp;IF($AK93=""," "," "&amp;$AK93)&amp;IF(OR($AT93="",$AT93="ANSI/SDI",$AT93="CUSTOM LOC"),""," "&amp;$AT93)&amp;IF($AM93=""," "," SERIES "&amp;$AM93)&amp;" "&amp;IFERROR(VLOOKUP($H93,CODES,2,FALSE),"")&amp;IF($CT93," | LOC "&amp;$CZ93,"")))</f>
        <v/>
      </c>
      <c r="CL93" s="84">
        <f>IF(CP93="","",IF(COUNTIF($CP$6:CP93,CP93)=1,MAX($CL$5:CL92)+1,INDEX($CL$5:CL92,MATCH(CP93,$CP$5:CP92,0))))</f>
        <v/>
      </c>
      <c r="CM93" s="84">
        <f>IF(NOT(AND($A93&lt;&gt;"",$C93&lt;&gt;"DOOR ONLY")),"",MAX($CM$5:CM92)+1)</f>
        <v/>
      </c>
      <c r="CN93" s="84">
        <f>IF(NOT(AND($A93&lt;&gt;"",N($BJ93)&gt;0)),"",MAX($CN$5:CN92)+1)</f>
        <v/>
      </c>
      <c r="CO93" s="84">
        <f>IF($A93="","",MAX($CO$5:CO92)+1)</f>
        <v/>
      </c>
      <c r="CP93" s="84">
        <f>IF(OR($A93="",$BH93="",$BI93=""),"",$BG93&amp;"|"&amp;$O93&amp;"|"&amp;$AL93&amp;"|"&amp;$S93&amp;"|"&amp;$P93&amp;"|"&amp;$Q93&amp;$R93&amp;"|"&amp;$C93&amp;"|"&amp;$AB93)</f>
        <v/>
      </c>
      <c r="CQ93" s="84">
        <f>N($BS93)</f>
        <v/>
      </c>
      <c r="CR93" s="84">
        <f>IF(N($AU93)&gt;0,N($AU93),4.5)</f>
        <v/>
      </c>
      <c r="CS93" s="84">
        <f>OR($A93="",$BI93="",$S93="BL",AND($C93="FRAME ONLY",OR($AC93="",$AC93="BLK")))</f>
        <v/>
      </c>
      <c r="CT93" s="84">
        <f>AND(NOT($CS93),OR($AT93="CUSTOM LOC",N($AW93)+N($AX93)+N($AY93)+N($AZ93)+N($BA93)&gt;0))</f>
        <v/>
      </c>
      <c r="CU93" s="84">
        <f>IF($BI93="","",IF($BI93&lt;=80,80,IF($BI93&lt;=84,84,96)))</f>
        <v/>
      </c>
      <c r="CV93" s="84">
        <f>ISNUMBER(MATCH($AT93&amp;"|80",LocKeys,0))</f>
        <v/>
      </c>
      <c r="CW93" s="86">
        <f>IF($CS93,"",IF($CV93,VLOOKUP($AT93&amp;"|"&amp;$CU93,LocTable,4,FALSE),5))</f>
        <v/>
      </c>
      <c r="CX93" s="86">
        <f>IF($CS93,"",IF($CV93,IF(OR($BI93=$CU93,AND($BI93&lt;$CU93,$BI93-IF(N(VLOOKUP($AT93&amp;"|"&amp;$CU93,LocTable,7,FALSE))&gt;0,VLOOKUP($AT93&amp;"|"&amp;$CU93,LocTable,7,FALSE),VLOOKUP($AT93&amp;"|"&amp;$CU93,LocTable,6,FALSE))-$CR93-0.75&gt;=2.125)),IF(N(VLOOKUP($AT93&amp;"|"&amp;$CU93,LocTable,7,FALSE))&gt;0,VLOOKUP($AT93&amp;"|"&amp;$CU93,LocTable,7,FALSE),VLOOKUP($AT93&amp;"|"&amp;$CU93,LocTable,6,FALSE)),$BI93-($CU93-IF(N(VLOOKUP($AT93&amp;"|"&amp;$CU93,LocTable,7,FALSE))&gt;0,VLOOKUP($AT93&amp;"|"&amp;$CU93,LocTable,7,FALSE),VLOOKUP($AT93&amp;"|"&amp;$CU93,LocTable,6,FALSE)))),$BI93-10-$CR93))</f>
        <v/>
      </c>
      <c r="CY93" s="85">
        <f>IF($CS93,"",TRIM(IF(ISNUMBER($BU93),"A "&amp;TRIM(TEXT($BU93,"# ?/??"))&amp;CHAR(34)&amp;"  ","")&amp;IF(ISNUMBER($BV93),"B "&amp;TRIM(TEXT($BV93,"# ?/??"))&amp;CHAR(34)&amp;"  ","")&amp;IF(ISNUMBER($BW93),"C "&amp;TRIM(TEXT($BW93,"# ?/??"))&amp;CHAR(34)&amp;"  ","")&amp;IF(ISNUMBER($BX93),"D "&amp;TRIM(TEXT($BX93,"# ?/??"))&amp;CHAR(34)&amp;"  ","")&amp;IF(ISNUMBER($BY93),"F "&amp;TRIM(TEXT($BY93,"# ?/??"))&amp;CHAR(34)&amp;"  ","")&amp;IF(ISNUMBER($BZ93),"E "&amp;TRIM(TEXT($BZ93,"# ?/??"))&amp;CHAR(34)&amp;"  ","")))</f>
        <v/>
      </c>
      <c r="CZ93" s="85">
        <f>IF(OR($CS93,N($BJ93)=0),"",TRIM(IF(ISNUMBER($BU93),"A "&amp;TRIM(TEXT($BU93-HeadClr,"# ?/??"))&amp;CHAR(34)&amp;"  ","")&amp;IF(ISNUMBER($BV93),"B "&amp;TRIM(TEXT($BV93-HeadClr,"# ?/??"))&amp;CHAR(34)&amp;"  ","")&amp;IF(ISNUMBER($BW93),"C "&amp;TRIM(TEXT($BW93-HeadClr,"# ?/??"))&amp;CHAR(34)&amp;"  ","")&amp;IF(ISNUMBER($BX93),"D "&amp;TRIM(TEXT($BX93-HeadClr,"# ?/??"))&amp;CHAR(34)&amp;"  ","")&amp;IF(ISNUMBER($BY93),"F "&amp;TRIM(TEXT($BY93-HeadClr,"# ?/??"))&amp;CHAR(34)&amp;"  ","")&amp;IF(ISNUMBER($BZ93),"E "&amp;TRIM(TEXT($BZ93-HeadClr,"# ?/??"))&amp;CHAR(34)&amp;"  ","")))</f>
        <v/>
      </c>
      <c r="DA93" s="84">
        <f>IF($A93="","",IF($AN93="",IFERROR(VLOOKUP($Z93,CODES,2,FALSE),""),IFERROR(VLOOKUP($AN93,CODES,2,FALSE),"")))</f>
        <v/>
      </c>
      <c r="DB93" s="84">
        <f>IF($A93="","",IF($O93="Y","PR",IF(OR($Z93="L",$Z93="RR",LEFT($Z93,2)="L-",LEFT($Z93,3)="RR-"),"LH","RH")))</f>
        <v/>
      </c>
      <c r="DC93" s="84">
        <f>IF($A93="","","S.HM"&amp;IF(OR($C93="DOOR ONLY",$X93&lt;&gt;"KD"),"MASONRY","DRYWALL")&amp;IF($C93="DOOR ONLY","",$U93)&amp;IF(AND($C93&lt;&gt;"FRAME ONLY",OR(LEFT($AH93,3)="OAK",LEFT($AH93,3)="BIR",LEFT($AH93,3)="MAP",$AH93="PC",$AH93="MC",$AH93="SCLC",$AH93="P-LAM")),"WD","HM")&amp;"1.75")</f>
        <v/>
      </c>
      <c r="DD93" s="84">
        <f>IF($CJ93="","",IF($O93="Y",$CJ93,SUBSTITUTE($CJ93,$BG93&amp;" "&amp;IFERROR(VLOOKUP($Z93,CODES,2,FALSE),"")&amp;" ",$BG93&amp;" ")))</f>
        <v/>
      </c>
      <c r="DE93" s="84">
        <f>IF($CK93="","",IF($O93="Y",$CK93,SUBSTITUTE($CK93,$BG93&amp;" "&amp;IF($AN93="",IFERROR(VLOOKUP($Z93,CODES,2,FALSE),""),IFERROR(VLOOKUP($AN93,CODES,2,FALSE),""))&amp;" ",$BG93&amp;" ")))</f>
        <v/>
      </c>
      <c r="DF93" s="84">
        <f>IF($CJ93="","",$DC93&amp;"|"&amp;$DD93&amp;"|"&amp;$DB93&amp;"|"&amp;$AT93&amp;"|"&amp;$V93&amp;"|"&amp;$Y93&amp;"|"&amp;$AB93)</f>
        <v/>
      </c>
      <c r="DG93" s="84">
        <f>IF(DF93="","",IF(COUNTIF($DF$6:DF93,DF93)=1,MAX($DG$5:DG92)+1,INDEX($DG$5:DG92,MATCH(DF93,$DF$5:DF92,0))))</f>
        <v/>
      </c>
      <c r="DH93" s="84">
        <f>IF($CK93="","",$DC93&amp;"|"&amp;$DE93&amp;"|"&amp;$AI93&amp;"|"&amp;$BK93&amp;"|"&amp;$BL93)</f>
        <v/>
      </c>
      <c r="DI93" s="84">
        <f>IF(DH93="","",IF(COUNTIF($DH$6:DH93,DH93)=1,MAX($DI$5:DI92)+1,INDEX($DI$5:DI92,MATCH(DH93,$DH$5:DH92,0))))</f>
        <v/>
      </c>
      <c r="DJ93" s="84">
        <f>IF($A93="","",IF($B93="","qty, ","")&amp;IF($C93="","scope, ","")&amp;IF(OR($K93="",$M93=""),"size, ","")&amp;IF(AND($A93&lt;&gt;"",$C93&lt;&gt;"DOOR ONLY"),IF($U93="","jamb depth, ","")&amp;IF($X93="","construction, ","")&amp;IF($Y93="","anchor, ","")&amp;IF($S93="","frame type, ",""),"")&amp;IF(AND(N($BJ93)&gt;0,$Z93=""),"hand, ","")&amp;IF(N($BJ93)&gt;0,IF($AH93="","door material, ","")&amp;IF($AL93="","face type, ","")&amp;IF($AP93="","lock prep, ","")&amp;IF(AND($AO93="",$AC93=""),"hinge prep, ",""),"")&amp;IF(AND($CH93&gt;0,$AH93="FRP"),"FRP cannot carry a label, ","")&amp;IF(AND($O93="Y",OR($Z93="L",$Z93="R",$Z93="LR",$Z93="RR")),"pair marked but hand is single, ","")&amp;IF(AND($O93&lt;&gt;"Y",OR($Z93="PR",AND(LEN($Z93)&gt;1,ISNUMBER(SEARCH("-",$Z93))))),"pair hand on a single door, ","")&amp;IF(AND(ISNUMBER($CI93),$CH93&lt;N($CI93)),"wall needs a "&amp;$CI93&amp;" min door, ","")&amp;IF(AND($CH93&gt;=180,AND(OR($CE93="FG",$CE93="HG",$CE93="FNV",$CE93="FV"),N($CF93)*N($CG93)&gt;100)),"180 min lite over 100 sq in, ","")&amp;IF(N($BK93)&gt;48,"leaf wider than 4'-0"&amp;CHAR(34)&amp;", ","")&amp;IF(AND($CT93,COUNT($AW93:$AZ93)=0,$CQ93&gt;0),"CUSTOM LOC with no locations typed, ",""))</f>
        <v/>
      </c>
      <c r="DK93" s="84">
        <f>IF($A93="","",IF(AND($CH93&gt;0,AND($A93&lt;&gt;"",$C93&lt;&gt;"DOOR ONLY"),$X93="KD",$E93="EXTERIOR"),"KD label on an exterior opening, ","")&amp;IF(AND($E93="EXTERIOR",OR(AND(AND($A93&lt;&gt;"",$C93&lt;&gt;"DOOR ONLY"),$W93="CR"),AND(N($BJ93)&gt;0,$AH93="CR"))),"exterior in CR steel (G9?), ","")&amp;IF(AND(ISNUMBER($BQ93),N($BQ93)&lt;32),"clear width ~"&amp;TEXT($BQ93,"0.0")&amp;CHAR(34)&amp;" under 32"&amp;CHAR(34)&amp;" (ADA), ","")&amp;IF(AND($CH93=90,AND(OR($CE93="FG",$CE93="HG",$CE93="FNV",$CE93="FV"),N($CF93)*N($CG93)&gt;100)),"90 min lite over 100 sq in (stair/exit), ","")&amp;IF(AND($CH93&gt;0,AND($A93&lt;&gt;"",$C93&lt;&gt;"DOOR ONLY"),OR($AF93="",$AF93="-")),"rated: closer reinf.?, ","")&amp;IF(OR($I93="CORRIDOR",$I93="SMOKE BARRIER"),"S label + smoke gasketing, ","")&amp;IF($CI93="?","wall type/hr not in IBC table, ","")&amp;IF(AND(N($BJ93)&gt;0,$BB93=""),"no hardware set, ","")&amp;IF(AND($BB93&lt;&gt;"",ISNA(MATCH($BB93&amp;"",HWSets,0))),"set "&amp;$BB93&amp;" not on HW Sets, ","")&amp;IF(N($BL93)&gt;96,"leaf over 8'-0"&amp;CHAR(34)&amp;" - check listing, ","")&amp;IF(AND($CT93,COUNT($AW93:$AZ93)&gt;0,COUNT($AW93:$AZ93)&lt;&gt;$CQ93),COUNT($AW93:$AZ93)&amp;" custom hinges typed, "&amp;$CQ93&amp;" expected, ","")&amp;IF(AND(ISNUMBER($CA93),OR(N($CA93)&lt;34,N($CA93)&gt;48)),"lock "&amp;TEXT($CA93,"0.0")&amp;CHAR(34)&amp;" AFF outside 34-48"&amp;CHAR(34)&amp;" (ADA), ","")&amp;IF(AND(ISNUMBER($AV93),ISNUMBER($BL93),N($AV93)&lt;IF(N($BL93)&lt;=60,2,IF(N($BL93)&lt;=90,3,IF(N($BL93)&lt;=120,4,5)))),"fewer hinges than standard, ",""))</f>
        <v/>
      </c>
    </row>
    <row r="94" ht="15" customHeight="1">
      <c r="A94" s="77" t="n"/>
      <c r="B94" s="78" t="n"/>
      <c r="C94" s="78" t="n"/>
      <c r="D94" s="78" t="n"/>
      <c r="E94" s="78" t="n"/>
      <c r="F94" s="78" t="n"/>
      <c r="G94" s="78" t="n"/>
      <c r="H94" s="78" t="n"/>
      <c r="I94" s="78" t="n"/>
      <c r="J94" s="78" t="n"/>
      <c r="K94" s="78" t="n"/>
      <c r="L94" s="78" t="n"/>
      <c r="M94" s="78" t="n"/>
      <c r="N94" s="78" t="n"/>
      <c r="O94" s="78" t="n"/>
      <c r="P94" s="78" t="n"/>
      <c r="Q94" s="78" t="n"/>
      <c r="R94" s="78" t="n"/>
      <c r="S94" s="79" t="n"/>
      <c r="T94" s="79" t="n"/>
      <c r="U94" s="79" t="n"/>
      <c r="V94" s="79" t="n"/>
      <c r="W94" s="79" t="n"/>
      <c r="X94" s="79" t="n"/>
      <c r="Y94" s="79" t="n"/>
      <c r="Z94" s="79" t="n"/>
      <c r="AA94" s="79" t="n"/>
      <c r="AB94" s="79" t="n"/>
      <c r="AC94" s="79" t="n"/>
      <c r="AD94" s="79" t="n"/>
      <c r="AE94" s="79" t="n"/>
      <c r="AF94" s="79" t="n"/>
      <c r="AG94" s="79" t="n"/>
      <c r="AH94" s="80" t="n"/>
      <c r="AI94" s="80" t="n"/>
      <c r="AJ94" s="80" t="n"/>
      <c r="AK94" s="80" t="n"/>
      <c r="AL94" s="80" t="n"/>
      <c r="AM94" s="80" t="n"/>
      <c r="AN94" s="80" t="n"/>
      <c r="AO94" s="80" t="n"/>
      <c r="AP94" s="80" t="n"/>
      <c r="AQ94" s="80" t="n"/>
      <c r="AR94" s="80" t="n"/>
      <c r="AS94" s="80" t="n"/>
      <c r="AT94" s="81" t="n"/>
      <c r="AU94" s="81" t="n"/>
      <c r="AV94" s="81" t="n"/>
      <c r="AW94" s="82" t="n"/>
      <c r="AX94" s="82" t="n"/>
      <c r="AY94" s="82" t="n"/>
      <c r="AZ94" s="82" t="n"/>
      <c r="BA94" s="82" t="n"/>
      <c r="BB94" s="83" t="n"/>
      <c r="BC94" s="83" t="n"/>
      <c r="BD94" s="84">
        <f>IF($A94="","",IF($DJ94&lt;&gt;"","FIX",IF($DK94&lt;&gt;"","CHECK","OK")))</f>
        <v/>
      </c>
      <c r="BE94" s="85">
        <f>IF($A94="","",IF($DJ94&lt;&gt;"","FIX: "&amp;LEFT($DJ94,LEN($DJ94)-2)&amp;IF($DK94&lt;&gt;"","  ·  ",""),"")&amp;IF($DK94&lt;&gt;"","CHECK: "&amp;LEFT($DK94,LEN($DK94)-2),""))</f>
        <v/>
      </c>
      <c r="BF94" s="84">
        <f>IF(OR($A94="",$K94=""),"",$K94&amp;"'-"&amp;N($L94)&amp;CHAR(34)&amp;" x "&amp;$M94&amp;"'-"&amp;N($N94)&amp;CHAR(34))</f>
        <v/>
      </c>
      <c r="BG94" s="84">
        <f>IF(OR($A94="",$K94=""),"",$K94&amp;N($L94)&amp;$M94&amp;N($N94))</f>
        <v/>
      </c>
      <c r="BH94" s="84">
        <f>IF(OR($A94="",$K94=""),"",$K94*12+N($L94))</f>
        <v/>
      </c>
      <c r="BI94" s="84">
        <f>IF(OR($A94="",$M94=""),"",$M94*12+N($N94))</f>
        <v/>
      </c>
      <c r="BJ94" s="84">
        <f>IF($A94="","",IF(OR($C94="FRAME ONLY",$S94="BL"),0,IF($O94="Y",2,1)))</f>
        <v/>
      </c>
      <c r="BK94" s="86">
        <f>IF(OR(N($BJ94)=0,$BH94=""),"",($BH94-2*EdgeClr-IF($BJ94=2,MeetClr,0))/$BJ94)</f>
        <v/>
      </c>
      <c r="BL94" s="86">
        <f>IF(OR(N($BJ94)=0,$BI94=""),"",$BI94-HeadClr-Undercut)</f>
        <v/>
      </c>
      <c r="BM94" s="86">
        <f>IF($BH94="","",$BH94+2*FaceW+IF(N($Q94)&gt;0,($Q94+FaceW)*IF($R94="LR",2,1),0))</f>
        <v/>
      </c>
      <c r="BN94" s="86">
        <f>IF($BI94="","",$BI94+IF($AB94="Y",4,FaceW)+IF(N($P94)&gt;0,$P94+FaceW,0)+IF(OR($S94="4F",$S94="BL"),FaceW,0))</f>
        <v/>
      </c>
      <c r="BO94" s="86">
        <f>IF($BM94="","",$BM94+2*ROSide)</f>
        <v/>
      </c>
      <c r="BP94" s="86">
        <f>IF($BN94="","",$BN94+ROTop)</f>
        <v/>
      </c>
      <c r="BQ94" s="87">
        <f>IF(OR(N($BJ94)=0,$BH94=""),"",$BH94/$BJ94-ClearDeduct)</f>
        <v/>
      </c>
      <c r="BR94" s="84">
        <f>IF(N($CH94)=0,"",IF($CH94&gt;=180,"A · 3 HR",IF($CH94&gt;=90,"B · 1-1/2 HR",IF($CH94&gt;=60,"B · 1 HR",IF($CH94&gt;=45,"C · 3/4 HR","20 MIN")))))&amp;IF(AND(N($CH94)&gt;0,OR($I94="CORRIDOR",$I94="SMOKE BARRIER"))," · S","")</f>
        <v/>
      </c>
      <c r="BS94" s="84">
        <f>IF($CS94,"",IF($AV94&lt;&gt;"",$AV94,IF(OR($AC94="HGC",$AO94="HGC"),"CONT",IF(($BI94-HeadClr-Undercut)&lt;=60,2,IF(($BI94-HeadClr-Undercut)&lt;=90,3,IF(($BI94-HeadClr-Undercut)&lt;=120,4,5))))))</f>
        <v/>
      </c>
      <c r="BT94" s="84">
        <f>IF($CS94,"",IF($CT94,"CUSTOM (typed)",IF($CV94,$AT94&amp;" "&amp;$CU94&amp;CHAR(34)&amp;IF($CU94&lt;&gt;$BI94,IF(AND($BI94&lt;$CU94,$BI94-IF(N(VLOOKUP($AT94&amp;"|"&amp;$CU94,LocTable,7,FALSE))&gt;0,VLOOKUP($AT94&amp;"|"&amp;$CU94,LocTable,7,FALSE),VLOOKUP($AT94&amp;"|"&amp;$CU94,LocTable,6,FALSE))-$CR94-0.75&gt;=2.125)," cut down"," adj."),""),"ANSI/SDI A250.6")))</f>
        <v/>
      </c>
      <c r="BU94" s="88">
        <f>IF($CS94,"",IF($CT94,IF(N($AW94)&gt;0,N($AW94),""),IF(1&gt;$CQ94,"",IF($CQ94=1,$CW94,$CW94+($CX94-$CW94)*0/($CQ94-1)))))</f>
        <v/>
      </c>
      <c r="BV94" s="88">
        <f>IF($CS94,"",IF($CT94,IF(N($AX94)&gt;0,N($AX94),""),IF(2&gt;$CQ94,"",IF($CQ94=1,$CW94,$CW94+($CX94-$CW94)*1/($CQ94-1)))))</f>
        <v/>
      </c>
      <c r="BW94" s="88">
        <f>IF($CS94,"",IF($CT94,IF(N($AY94)&gt;0,N($AY94),""),IF(3&gt;$CQ94,"",IF($CQ94=1,$CW94,$CW94+($CX94-$CW94)*2/($CQ94-1)))))</f>
        <v/>
      </c>
      <c r="BX94" s="88">
        <f>IF($CS94,"",IF($CT94,IF(N($AZ94)&gt;0,N($AZ94),""),IF(4&gt;$CQ94,"",IF($CQ94=1,$CW94,$CW94+($CX94-$CW94)*3/($CQ94-1)))))</f>
        <v/>
      </c>
      <c r="BY94" s="88">
        <f>IF($CS94,"",IF($CT94,"",IF(5&gt;$CQ94,"",IF($CQ94=1,$CW94,$CW94+($CX94-$CW94)*4/($CQ94-1)))))</f>
        <v/>
      </c>
      <c r="BZ94" s="88">
        <f>IF(OR($CS94,$AP94="-",AND($AP94="",$AD94="")),"",IF(N($BA94)&gt;0,N($BA94),IF($CV94,IF(AND($BI94&lt;$CU94,$BI94-IF(N(VLOOKUP($AT94&amp;"|"&amp;$CU94,LocTable,7,FALSE))&gt;0,VLOOKUP($AT94&amp;"|"&amp;$CU94,LocTable,7,FALSE),VLOOKUP($AT94&amp;"|"&amp;$CU94,LocTable,6,FALSE))-$CR94-0.75&gt;=2.125),VLOOKUP($AT94&amp;"|"&amp;$CU94,LocTable,8,FALSE),VLOOKUP($AT94&amp;"|"&amp;$CU94,LocTable,8,FALSE)+($BI94-$CU94)),$BI94-LockAFF)))</f>
        <v/>
      </c>
      <c r="CA94" s="89">
        <f>IF($BZ94="","",$BI94-$BZ94)</f>
        <v/>
      </c>
      <c r="CB94" s="84">
        <f>IF(OR(NOT(AND($A94&lt;&gt;"",$C94&lt;&gt;"DOOR ONLY")),$BI94=""),"",IF(($BI94+IF(N($P94)&gt;0,$P94+FaceW,0))&lt;=90,3,IF(($BI94+IF(N($P94)&gt;0,$P94+FaceW,0))&lt;=114,4,5)))</f>
        <v/>
      </c>
      <c r="CC94" s="84">
        <f>IF($CB94="","",$CB94*(2+IF(N($Q94)&gt;0,IF($R94="LR",2,1),0)))</f>
        <v/>
      </c>
      <c r="CD94" s="84">
        <f>IF($CB94="","",(2+IF(N($Q94)&gt;0,IF($R94="LR",2,1),0)))</f>
        <v/>
      </c>
      <c r="CE94" s="84">
        <f>IF(N($BJ94)=0,"",IF(OR($AL94="",$AL94="FLUSH"),"FLUSH",IFERROR(LEFT($AL94,FIND("-",$AL94)-1),LEFT($AL94,2))))</f>
        <v/>
      </c>
      <c r="CF94" s="84">
        <f>IF($CE94="","",IFERROR(VALUE(MID($AL94,FIND("-",$AL94)+1,FIND(CHAR(34)&amp;"x",$AL94)-FIND("-",$AL94)-1)),0))</f>
        <v/>
      </c>
      <c r="CG94" s="84">
        <f>IF($CE94="","",IFERROR(VALUE(MID($AL94,FIND(CHAR(34)&amp;"x",$AL94)+2,FIND(CHAR(34),$AL94,FIND(CHAR(34)&amp;"x",$AL94)+2)-FIND(CHAR(34)&amp;"x",$AL94)-2)),0))</f>
        <v/>
      </c>
      <c r="CH94" s="90">
        <f>IF(OR($A94="",$H94="",$H94="NO LAB"),0,IFERROR(VALUE(LEFT($H94,FIND(" ",$H94)-1)),0))</f>
        <v/>
      </c>
      <c r="CI94" s="91">
        <f>IF(OR($A94="",$I94="",$I94="NON-RATED",N($J94)=0),"",IFERROR(VLOOKUP($I94&amp;"|"&amp;$J94,IBC,2,FALSE),"?"))</f>
        <v/>
      </c>
      <c r="CJ94" s="85">
        <f>IF(NOT(AND($A94&lt;&gt;"",$C94&lt;&gt;"DOOR ONLY")),"",TRIM(IFERROR(VLOOKUP($U94,CODES,2,FALSE),"")&amp;" "&amp;$BG94&amp;" "&amp;IFERROR(VLOOKUP($Z94,CODES,2,FALSE),"")&amp;" "&amp;IFERROR(VLOOKUP($X94,CODES,2,FALSE),"")&amp;" "&amp;IFERROR(VLOOKUP($S94,CODES,2,FALSE),"")&amp;IF(N($P94)&gt;0," w/TRANSOM "&amp;$P94&amp;CHAR(34),"")&amp;IF(N($Q94)&gt;0," w/SIDELITE "&amp;$Q94&amp;CHAR(34)&amp;" "&amp;IF($R94="","R",$R94),"")&amp;IF($Y94="","  |  "," | "&amp;IFERROR(VLOOKUP($Y94,CODES,2,FALSE),"")&amp;" | ")&amp;IFERROR(VLOOKUP($AC94,CODES,2,FALSE),"")&amp;" "&amp;IFERROR(VLOOKUP($AD94,CODES,2,FALSE),"")&amp;IF(OR($AE94="",$AE94="-"),""," "&amp;$AE94)&amp;IF(OR($AF94="",$AF94="-"),""," "&amp;$AF94)&amp;IF($AB94="Y"," 4"&amp;CHAR(34)&amp;" HEAD","")&amp;" "&amp;IFERROR(VLOOKUP($H94,CODES,2,FALSE),"")&amp;IF($CT94," | LOC "&amp;$CY94,"")))</f>
        <v/>
      </c>
      <c r="CK94" s="85">
        <f>IF(NOT(AND($A94&lt;&gt;"",N($BJ94)&gt;0)),"",TRIM(IFERROR(VLOOKUP($AH94,CODES,2,FALSE),"")&amp;IF($AI94=""," "," "&amp;$AI94&amp;"GA ")&amp;$BG94&amp;" "&amp;IF($AN94="",IFERROR(VLOOKUP($Z94,CODES,2,FALSE),""),IFERROR(VLOOKUP($AN94,CODES,2,FALSE),""))&amp;IF($BJ94=2," PAIR","")&amp;" DOOR | "&amp;IF($AL94="","?",$AL94)&amp;" | "&amp;IF($AO94="",IFERROR(VLOOKUP($AC94,CODES,2,FALSE),""),IFERROR(VLOOKUP($AO94,CODES,2,FALSE),""))&amp;" "&amp;IFERROR(VLOOKUP($AP94,CODES,2,FALSE),"")&amp;IF(OR($AQ94="",$AQ94="-"),""," SEAM "&amp;$AQ94)&amp;IF($AR94="Y"," ASTRAGAL","")&amp;IF($AJ94=""," "," "&amp;$AJ94)&amp;IF($AK94=""," "," "&amp;$AK94)&amp;IF(OR($AT94="",$AT94="ANSI/SDI",$AT94="CUSTOM LOC"),""," "&amp;$AT94)&amp;IF($AM94=""," "," SERIES "&amp;$AM94)&amp;" "&amp;IFERROR(VLOOKUP($H94,CODES,2,FALSE),"")&amp;IF($CT94," | LOC "&amp;$CZ94,"")))</f>
        <v/>
      </c>
      <c r="CL94" s="84">
        <f>IF(CP94="","",IF(COUNTIF($CP$6:CP94,CP94)=1,MAX($CL$5:CL93)+1,INDEX($CL$5:CL93,MATCH(CP94,$CP$5:CP93,0))))</f>
        <v/>
      </c>
      <c r="CM94" s="84">
        <f>IF(NOT(AND($A94&lt;&gt;"",$C94&lt;&gt;"DOOR ONLY")),"",MAX($CM$5:CM93)+1)</f>
        <v/>
      </c>
      <c r="CN94" s="84">
        <f>IF(NOT(AND($A94&lt;&gt;"",N($BJ94)&gt;0)),"",MAX($CN$5:CN93)+1)</f>
        <v/>
      </c>
      <c r="CO94" s="84">
        <f>IF($A94="","",MAX($CO$5:CO93)+1)</f>
        <v/>
      </c>
      <c r="CP94" s="84">
        <f>IF(OR($A94="",$BH94="",$BI94=""),"",$BG94&amp;"|"&amp;$O94&amp;"|"&amp;$AL94&amp;"|"&amp;$S94&amp;"|"&amp;$P94&amp;"|"&amp;$Q94&amp;$R94&amp;"|"&amp;$C94&amp;"|"&amp;$AB94)</f>
        <v/>
      </c>
      <c r="CQ94" s="84">
        <f>N($BS94)</f>
        <v/>
      </c>
      <c r="CR94" s="84">
        <f>IF(N($AU94)&gt;0,N($AU94),4.5)</f>
        <v/>
      </c>
      <c r="CS94" s="84">
        <f>OR($A94="",$BI94="",$S94="BL",AND($C94="FRAME ONLY",OR($AC94="",$AC94="BLK")))</f>
        <v/>
      </c>
      <c r="CT94" s="84">
        <f>AND(NOT($CS94),OR($AT94="CUSTOM LOC",N($AW94)+N($AX94)+N($AY94)+N($AZ94)+N($BA94)&gt;0))</f>
        <v/>
      </c>
      <c r="CU94" s="84">
        <f>IF($BI94="","",IF($BI94&lt;=80,80,IF($BI94&lt;=84,84,96)))</f>
        <v/>
      </c>
      <c r="CV94" s="84">
        <f>ISNUMBER(MATCH($AT94&amp;"|80",LocKeys,0))</f>
        <v/>
      </c>
      <c r="CW94" s="86">
        <f>IF($CS94,"",IF($CV94,VLOOKUP($AT94&amp;"|"&amp;$CU94,LocTable,4,FALSE),5))</f>
        <v/>
      </c>
      <c r="CX94" s="86">
        <f>IF($CS94,"",IF($CV94,IF(OR($BI94=$CU94,AND($BI94&lt;$CU94,$BI94-IF(N(VLOOKUP($AT94&amp;"|"&amp;$CU94,LocTable,7,FALSE))&gt;0,VLOOKUP($AT94&amp;"|"&amp;$CU94,LocTable,7,FALSE),VLOOKUP($AT94&amp;"|"&amp;$CU94,LocTable,6,FALSE))-$CR94-0.75&gt;=2.125)),IF(N(VLOOKUP($AT94&amp;"|"&amp;$CU94,LocTable,7,FALSE))&gt;0,VLOOKUP($AT94&amp;"|"&amp;$CU94,LocTable,7,FALSE),VLOOKUP($AT94&amp;"|"&amp;$CU94,LocTable,6,FALSE)),$BI94-($CU94-IF(N(VLOOKUP($AT94&amp;"|"&amp;$CU94,LocTable,7,FALSE))&gt;0,VLOOKUP($AT94&amp;"|"&amp;$CU94,LocTable,7,FALSE),VLOOKUP($AT94&amp;"|"&amp;$CU94,LocTable,6,FALSE)))),$BI94-10-$CR94))</f>
        <v/>
      </c>
      <c r="CY94" s="85">
        <f>IF($CS94,"",TRIM(IF(ISNUMBER($BU94),"A "&amp;TRIM(TEXT($BU94,"# ?/??"))&amp;CHAR(34)&amp;"  ","")&amp;IF(ISNUMBER($BV94),"B "&amp;TRIM(TEXT($BV94,"# ?/??"))&amp;CHAR(34)&amp;"  ","")&amp;IF(ISNUMBER($BW94),"C "&amp;TRIM(TEXT($BW94,"# ?/??"))&amp;CHAR(34)&amp;"  ","")&amp;IF(ISNUMBER($BX94),"D "&amp;TRIM(TEXT($BX94,"# ?/??"))&amp;CHAR(34)&amp;"  ","")&amp;IF(ISNUMBER($BY94),"F "&amp;TRIM(TEXT($BY94,"# ?/??"))&amp;CHAR(34)&amp;"  ","")&amp;IF(ISNUMBER($BZ94),"E "&amp;TRIM(TEXT($BZ94,"# ?/??"))&amp;CHAR(34)&amp;"  ","")))</f>
        <v/>
      </c>
      <c r="CZ94" s="85">
        <f>IF(OR($CS94,N($BJ94)=0),"",TRIM(IF(ISNUMBER($BU94),"A "&amp;TRIM(TEXT($BU94-HeadClr,"# ?/??"))&amp;CHAR(34)&amp;"  ","")&amp;IF(ISNUMBER($BV94),"B "&amp;TRIM(TEXT($BV94-HeadClr,"# ?/??"))&amp;CHAR(34)&amp;"  ","")&amp;IF(ISNUMBER($BW94),"C "&amp;TRIM(TEXT($BW94-HeadClr,"# ?/??"))&amp;CHAR(34)&amp;"  ","")&amp;IF(ISNUMBER($BX94),"D "&amp;TRIM(TEXT($BX94-HeadClr,"# ?/??"))&amp;CHAR(34)&amp;"  ","")&amp;IF(ISNUMBER($BY94),"F "&amp;TRIM(TEXT($BY94-HeadClr,"# ?/??"))&amp;CHAR(34)&amp;"  ","")&amp;IF(ISNUMBER($BZ94),"E "&amp;TRIM(TEXT($BZ94-HeadClr,"# ?/??"))&amp;CHAR(34)&amp;"  ","")))</f>
        <v/>
      </c>
      <c r="DA94" s="84">
        <f>IF($A94="","",IF($AN94="",IFERROR(VLOOKUP($Z94,CODES,2,FALSE),""),IFERROR(VLOOKUP($AN94,CODES,2,FALSE),"")))</f>
        <v/>
      </c>
      <c r="DB94" s="84">
        <f>IF($A94="","",IF($O94="Y","PR",IF(OR($Z94="L",$Z94="RR",LEFT($Z94,2)="L-",LEFT($Z94,3)="RR-"),"LH","RH")))</f>
        <v/>
      </c>
      <c r="DC94" s="84">
        <f>IF($A94="","","S.HM"&amp;IF(OR($C94="DOOR ONLY",$X94&lt;&gt;"KD"),"MASONRY","DRYWALL")&amp;IF($C94="DOOR ONLY","",$U94)&amp;IF(AND($C94&lt;&gt;"FRAME ONLY",OR(LEFT($AH94,3)="OAK",LEFT($AH94,3)="BIR",LEFT($AH94,3)="MAP",$AH94="PC",$AH94="MC",$AH94="SCLC",$AH94="P-LAM")),"WD","HM")&amp;"1.75")</f>
        <v/>
      </c>
      <c r="DD94" s="84">
        <f>IF($CJ94="","",IF($O94="Y",$CJ94,SUBSTITUTE($CJ94,$BG94&amp;" "&amp;IFERROR(VLOOKUP($Z94,CODES,2,FALSE),"")&amp;" ",$BG94&amp;" ")))</f>
        <v/>
      </c>
      <c r="DE94" s="84">
        <f>IF($CK94="","",IF($O94="Y",$CK94,SUBSTITUTE($CK94,$BG94&amp;" "&amp;IF($AN94="",IFERROR(VLOOKUP($Z94,CODES,2,FALSE),""),IFERROR(VLOOKUP($AN94,CODES,2,FALSE),""))&amp;" ",$BG94&amp;" ")))</f>
        <v/>
      </c>
      <c r="DF94" s="84">
        <f>IF($CJ94="","",$DC94&amp;"|"&amp;$DD94&amp;"|"&amp;$DB94&amp;"|"&amp;$AT94&amp;"|"&amp;$V94&amp;"|"&amp;$Y94&amp;"|"&amp;$AB94)</f>
        <v/>
      </c>
      <c r="DG94" s="84">
        <f>IF(DF94="","",IF(COUNTIF($DF$6:DF94,DF94)=1,MAX($DG$5:DG93)+1,INDEX($DG$5:DG93,MATCH(DF94,$DF$5:DF93,0))))</f>
        <v/>
      </c>
      <c r="DH94" s="84">
        <f>IF($CK94="","",$DC94&amp;"|"&amp;$DE94&amp;"|"&amp;$AI94&amp;"|"&amp;$BK94&amp;"|"&amp;$BL94)</f>
        <v/>
      </c>
      <c r="DI94" s="84">
        <f>IF(DH94="","",IF(COUNTIF($DH$6:DH94,DH94)=1,MAX($DI$5:DI93)+1,INDEX($DI$5:DI93,MATCH(DH94,$DH$5:DH93,0))))</f>
        <v/>
      </c>
      <c r="DJ94" s="84">
        <f>IF($A94="","",IF($B94="","qty, ","")&amp;IF($C94="","scope, ","")&amp;IF(OR($K94="",$M94=""),"size, ","")&amp;IF(AND($A94&lt;&gt;"",$C94&lt;&gt;"DOOR ONLY"),IF($U94="","jamb depth, ","")&amp;IF($X94="","construction, ","")&amp;IF($Y94="","anchor, ","")&amp;IF($S94="","frame type, ",""),"")&amp;IF(AND(N($BJ94)&gt;0,$Z94=""),"hand, ","")&amp;IF(N($BJ94)&gt;0,IF($AH94="","door material, ","")&amp;IF($AL94="","face type, ","")&amp;IF($AP94="","lock prep, ","")&amp;IF(AND($AO94="",$AC94=""),"hinge prep, ",""),"")&amp;IF(AND($CH94&gt;0,$AH94="FRP"),"FRP cannot carry a label, ","")&amp;IF(AND($O94="Y",OR($Z94="L",$Z94="R",$Z94="LR",$Z94="RR")),"pair marked but hand is single, ","")&amp;IF(AND($O94&lt;&gt;"Y",OR($Z94="PR",AND(LEN($Z94)&gt;1,ISNUMBER(SEARCH("-",$Z94))))),"pair hand on a single door, ","")&amp;IF(AND(ISNUMBER($CI94),$CH94&lt;N($CI94)),"wall needs a "&amp;$CI94&amp;" min door, ","")&amp;IF(AND($CH94&gt;=180,AND(OR($CE94="FG",$CE94="HG",$CE94="FNV",$CE94="FV"),N($CF94)*N($CG94)&gt;100)),"180 min lite over 100 sq in, ","")&amp;IF(N($BK94)&gt;48,"leaf wider than 4'-0"&amp;CHAR(34)&amp;", ","")&amp;IF(AND($CT94,COUNT($AW94:$AZ94)=0,$CQ94&gt;0),"CUSTOM LOC with no locations typed, ",""))</f>
        <v/>
      </c>
      <c r="DK94" s="84">
        <f>IF($A94="","",IF(AND($CH94&gt;0,AND($A94&lt;&gt;"",$C94&lt;&gt;"DOOR ONLY"),$X94="KD",$E94="EXTERIOR"),"KD label on an exterior opening, ","")&amp;IF(AND($E94="EXTERIOR",OR(AND(AND($A94&lt;&gt;"",$C94&lt;&gt;"DOOR ONLY"),$W94="CR"),AND(N($BJ94)&gt;0,$AH94="CR"))),"exterior in CR steel (G9?), ","")&amp;IF(AND(ISNUMBER($BQ94),N($BQ94)&lt;32),"clear width ~"&amp;TEXT($BQ94,"0.0")&amp;CHAR(34)&amp;" under 32"&amp;CHAR(34)&amp;" (ADA), ","")&amp;IF(AND($CH94=90,AND(OR($CE94="FG",$CE94="HG",$CE94="FNV",$CE94="FV"),N($CF94)*N($CG94)&gt;100)),"90 min lite over 100 sq in (stair/exit), ","")&amp;IF(AND($CH94&gt;0,AND($A94&lt;&gt;"",$C94&lt;&gt;"DOOR ONLY"),OR($AF94="",$AF94="-")),"rated: closer reinf.?, ","")&amp;IF(OR($I94="CORRIDOR",$I94="SMOKE BARRIER"),"S label + smoke gasketing, ","")&amp;IF($CI94="?","wall type/hr not in IBC table, ","")&amp;IF(AND(N($BJ94)&gt;0,$BB94=""),"no hardware set, ","")&amp;IF(AND($BB94&lt;&gt;"",ISNA(MATCH($BB94&amp;"",HWSets,0))),"set "&amp;$BB94&amp;" not on HW Sets, ","")&amp;IF(N($BL94)&gt;96,"leaf over 8'-0"&amp;CHAR(34)&amp;" - check listing, ","")&amp;IF(AND($CT94,COUNT($AW94:$AZ94)&gt;0,COUNT($AW94:$AZ94)&lt;&gt;$CQ94),COUNT($AW94:$AZ94)&amp;" custom hinges typed, "&amp;$CQ94&amp;" expected, ","")&amp;IF(AND(ISNUMBER($CA94),OR(N($CA94)&lt;34,N($CA94)&gt;48)),"lock "&amp;TEXT($CA94,"0.0")&amp;CHAR(34)&amp;" AFF outside 34-48"&amp;CHAR(34)&amp;" (ADA), ","")&amp;IF(AND(ISNUMBER($AV94),ISNUMBER($BL94),N($AV94)&lt;IF(N($BL94)&lt;=60,2,IF(N($BL94)&lt;=90,3,IF(N($BL94)&lt;=120,4,5)))),"fewer hinges than standard, ",""))</f>
        <v/>
      </c>
    </row>
    <row r="95" ht="15" customHeight="1">
      <c r="A95" s="92" t="n"/>
      <c r="B95" s="93" t="n"/>
      <c r="C95" s="93" t="n"/>
      <c r="D95" s="93" t="n"/>
      <c r="E95" s="93" t="n"/>
      <c r="F95" s="93" t="n"/>
      <c r="G95" s="93" t="n"/>
      <c r="H95" s="93" t="n"/>
      <c r="I95" s="93" t="n"/>
      <c r="J95" s="93" t="n"/>
      <c r="K95" s="93" t="n"/>
      <c r="L95" s="93" t="n"/>
      <c r="M95" s="93" t="n"/>
      <c r="N95" s="93" t="n"/>
      <c r="O95" s="93" t="n"/>
      <c r="P95" s="93" t="n"/>
      <c r="Q95" s="93" t="n"/>
      <c r="R95" s="93" t="n"/>
      <c r="S95" s="94" t="n"/>
      <c r="T95" s="94" t="n"/>
      <c r="U95" s="94" t="n"/>
      <c r="V95" s="94" t="n"/>
      <c r="W95" s="94" t="n"/>
      <c r="X95" s="94" t="n"/>
      <c r="Y95" s="94" t="n"/>
      <c r="Z95" s="94" t="n"/>
      <c r="AA95" s="94" t="n"/>
      <c r="AB95" s="94" t="n"/>
      <c r="AC95" s="94" t="n"/>
      <c r="AD95" s="94" t="n"/>
      <c r="AE95" s="94" t="n"/>
      <c r="AF95" s="94" t="n"/>
      <c r="AG95" s="94" t="n"/>
      <c r="AH95" s="95" t="n"/>
      <c r="AI95" s="95" t="n"/>
      <c r="AJ95" s="95" t="n"/>
      <c r="AK95" s="95" t="n"/>
      <c r="AL95" s="95" t="n"/>
      <c r="AM95" s="95" t="n"/>
      <c r="AN95" s="95" t="n"/>
      <c r="AO95" s="95" t="n"/>
      <c r="AP95" s="95" t="n"/>
      <c r="AQ95" s="95" t="n"/>
      <c r="AR95" s="95" t="n"/>
      <c r="AS95" s="95" t="n"/>
      <c r="AT95" s="96" t="n"/>
      <c r="AU95" s="96" t="n"/>
      <c r="AV95" s="96" t="n"/>
      <c r="AW95" s="97" t="n"/>
      <c r="AX95" s="97" t="n"/>
      <c r="AY95" s="97" t="n"/>
      <c r="AZ95" s="97" t="n"/>
      <c r="BA95" s="97" t="n"/>
      <c r="BB95" s="98" t="n"/>
      <c r="BC95" s="98" t="n"/>
      <c r="BD95" s="99">
        <f>IF($A95="","",IF($DJ95&lt;&gt;"","FIX",IF($DK95&lt;&gt;"","CHECK","OK")))</f>
        <v/>
      </c>
      <c r="BE95" s="100">
        <f>IF($A95="","",IF($DJ95&lt;&gt;"","FIX: "&amp;LEFT($DJ95,LEN($DJ95)-2)&amp;IF($DK95&lt;&gt;"","  ·  ",""),"")&amp;IF($DK95&lt;&gt;"","CHECK: "&amp;LEFT($DK95,LEN($DK95)-2),""))</f>
        <v/>
      </c>
      <c r="BF95" s="99">
        <f>IF(OR($A95="",$K95=""),"",$K95&amp;"'-"&amp;N($L95)&amp;CHAR(34)&amp;" x "&amp;$M95&amp;"'-"&amp;N($N95)&amp;CHAR(34))</f>
        <v/>
      </c>
      <c r="BG95" s="99">
        <f>IF(OR($A95="",$K95=""),"",$K95&amp;N($L95)&amp;$M95&amp;N($N95))</f>
        <v/>
      </c>
      <c r="BH95" s="99">
        <f>IF(OR($A95="",$K95=""),"",$K95*12+N($L95))</f>
        <v/>
      </c>
      <c r="BI95" s="99">
        <f>IF(OR($A95="",$M95=""),"",$M95*12+N($N95))</f>
        <v/>
      </c>
      <c r="BJ95" s="99">
        <f>IF($A95="","",IF(OR($C95="FRAME ONLY",$S95="BL"),0,IF($O95="Y",2,1)))</f>
        <v/>
      </c>
      <c r="BK95" s="101">
        <f>IF(OR(N($BJ95)=0,$BH95=""),"",($BH95-2*EdgeClr-IF($BJ95=2,MeetClr,0))/$BJ95)</f>
        <v/>
      </c>
      <c r="BL95" s="101">
        <f>IF(OR(N($BJ95)=0,$BI95=""),"",$BI95-HeadClr-Undercut)</f>
        <v/>
      </c>
      <c r="BM95" s="101">
        <f>IF($BH95="","",$BH95+2*FaceW+IF(N($Q95)&gt;0,($Q95+FaceW)*IF($R95="LR",2,1),0))</f>
        <v/>
      </c>
      <c r="BN95" s="101">
        <f>IF($BI95="","",$BI95+IF($AB95="Y",4,FaceW)+IF(N($P95)&gt;0,$P95+FaceW,0)+IF(OR($S95="4F",$S95="BL"),FaceW,0))</f>
        <v/>
      </c>
      <c r="BO95" s="101">
        <f>IF($BM95="","",$BM95+2*ROSide)</f>
        <v/>
      </c>
      <c r="BP95" s="101">
        <f>IF($BN95="","",$BN95+ROTop)</f>
        <v/>
      </c>
      <c r="BQ95" s="102">
        <f>IF(OR(N($BJ95)=0,$BH95=""),"",$BH95/$BJ95-ClearDeduct)</f>
        <v/>
      </c>
      <c r="BR95" s="99">
        <f>IF(N($CH95)=0,"",IF($CH95&gt;=180,"A · 3 HR",IF($CH95&gt;=90,"B · 1-1/2 HR",IF($CH95&gt;=60,"B · 1 HR",IF($CH95&gt;=45,"C · 3/4 HR","20 MIN")))))&amp;IF(AND(N($CH95)&gt;0,OR($I95="CORRIDOR",$I95="SMOKE BARRIER"))," · S","")</f>
        <v/>
      </c>
      <c r="BS95" s="99">
        <f>IF($CS95,"",IF($AV95&lt;&gt;"",$AV95,IF(OR($AC95="HGC",$AO95="HGC"),"CONT",IF(($BI95-HeadClr-Undercut)&lt;=60,2,IF(($BI95-HeadClr-Undercut)&lt;=90,3,IF(($BI95-HeadClr-Undercut)&lt;=120,4,5))))))</f>
        <v/>
      </c>
      <c r="BT95" s="99">
        <f>IF($CS95,"",IF($CT95,"CUSTOM (typed)",IF($CV95,$AT95&amp;" "&amp;$CU95&amp;CHAR(34)&amp;IF($CU95&lt;&gt;$BI95,IF(AND($BI95&lt;$CU95,$BI95-IF(N(VLOOKUP($AT95&amp;"|"&amp;$CU95,LocTable,7,FALSE))&gt;0,VLOOKUP($AT95&amp;"|"&amp;$CU95,LocTable,7,FALSE),VLOOKUP($AT95&amp;"|"&amp;$CU95,LocTable,6,FALSE))-$CR95-0.75&gt;=2.125)," cut down"," adj."),""),"ANSI/SDI A250.6")))</f>
        <v/>
      </c>
      <c r="BU95" s="103">
        <f>IF($CS95,"",IF($CT95,IF(N($AW95)&gt;0,N($AW95),""),IF(1&gt;$CQ95,"",IF($CQ95=1,$CW95,$CW95+($CX95-$CW95)*0/($CQ95-1)))))</f>
        <v/>
      </c>
      <c r="BV95" s="103">
        <f>IF($CS95,"",IF($CT95,IF(N($AX95)&gt;0,N($AX95),""),IF(2&gt;$CQ95,"",IF($CQ95=1,$CW95,$CW95+($CX95-$CW95)*1/($CQ95-1)))))</f>
        <v/>
      </c>
      <c r="BW95" s="103">
        <f>IF($CS95,"",IF($CT95,IF(N($AY95)&gt;0,N($AY95),""),IF(3&gt;$CQ95,"",IF($CQ95=1,$CW95,$CW95+($CX95-$CW95)*2/($CQ95-1)))))</f>
        <v/>
      </c>
      <c r="BX95" s="103">
        <f>IF($CS95,"",IF($CT95,IF(N($AZ95)&gt;0,N($AZ95),""),IF(4&gt;$CQ95,"",IF($CQ95=1,$CW95,$CW95+($CX95-$CW95)*3/($CQ95-1)))))</f>
        <v/>
      </c>
      <c r="BY95" s="103">
        <f>IF($CS95,"",IF($CT95,"",IF(5&gt;$CQ95,"",IF($CQ95=1,$CW95,$CW95+($CX95-$CW95)*4/($CQ95-1)))))</f>
        <v/>
      </c>
      <c r="BZ95" s="103">
        <f>IF(OR($CS95,$AP95="-",AND($AP95="",$AD95="")),"",IF(N($BA95)&gt;0,N($BA95),IF($CV95,IF(AND($BI95&lt;$CU95,$BI95-IF(N(VLOOKUP($AT95&amp;"|"&amp;$CU95,LocTable,7,FALSE))&gt;0,VLOOKUP($AT95&amp;"|"&amp;$CU95,LocTable,7,FALSE),VLOOKUP($AT95&amp;"|"&amp;$CU95,LocTable,6,FALSE))-$CR95-0.75&gt;=2.125),VLOOKUP($AT95&amp;"|"&amp;$CU95,LocTable,8,FALSE),VLOOKUP($AT95&amp;"|"&amp;$CU95,LocTable,8,FALSE)+($BI95-$CU95)),$BI95-LockAFF)))</f>
        <v/>
      </c>
      <c r="CA95" s="104">
        <f>IF($BZ95="","",$BI95-$BZ95)</f>
        <v/>
      </c>
      <c r="CB95" s="99">
        <f>IF(OR(NOT(AND($A95&lt;&gt;"",$C95&lt;&gt;"DOOR ONLY")),$BI95=""),"",IF(($BI95+IF(N($P95)&gt;0,$P95+FaceW,0))&lt;=90,3,IF(($BI95+IF(N($P95)&gt;0,$P95+FaceW,0))&lt;=114,4,5)))</f>
        <v/>
      </c>
      <c r="CC95" s="99">
        <f>IF($CB95="","",$CB95*(2+IF(N($Q95)&gt;0,IF($R95="LR",2,1),0)))</f>
        <v/>
      </c>
      <c r="CD95" s="99">
        <f>IF($CB95="","",(2+IF(N($Q95)&gt;0,IF($R95="LR",2,1),0)))</f>
        <v/>
      </c>
      <c r="CE95" s="99">
        <f>IF(N($BJ95)=0,"",IF(OR($AL95="",$AL95="FLUSH"),"FLUSH",IFERROR(LEFT($AL95,FIND("-",$AL95)-1),LEFT($AL95,2))))</f>
        <v/>
      </c>
      <c r="CF95" s="99">
        <f>IF($CE95="","",IFERROR(VALUE(MID($AL95,FIND("-",$AL95)+1,FIND(CHAR(34)&amp;"x",$AL95)-FIND("-",$AL95)-1)),0))</f>
        <v/>
      </c>
      <c r="CG95" s="99">
        <f>IF($CE95="","",IFERROR(VALUE(MID($AL95,FIND(CHAR(34)&amp;"x",$AL95)+2,FIND(CHAR(34),$AL95,FIND(CHAR(34)&amp;"x",$AL95)+2)-FIND(CHAR(34)&amp;"x",$AL95)-2)),0))</f>
        <v/>
      </c>
      <c r="CH95" s="105">
        <f>IF(OR($A95="",$H95="",$H95="NO LAB"),0,IFERROR(VALUE(LEFT($H95,FIND(" ",$H95)-1)),0))</f>
        <v/>
      </c>
      <c r="CI95" s="106">
        <f>IF(OR($A95="",$I95="",$I95="NON-RATED",N($J95)=0),"",IFERROR(VLOOKUP($I95&amp;"|"&amp;$J95,IBC,2,FALSE),"?"))</f>
        <v/>
      </c>
      <c r="CJ95" s="100">
        <f>IF(NOT(AND($A95&lt;&gt;"",$C95&lt;&gt;"DOOR ONLY")),"",TRIM(IFERROR(VLOOKUP($U95,CODES,2,FALSE),"")&amp;" "&amp;$BG95&amp;" "&amp;IFERROR(VLOOKUP($Z95,CODES,2,FALSE),"")&amp;" "&amp;IFERROR(VLOOKUP($X95,CODES,2,FALSE),"")&amp;" "&amp;IFERROR(VLOOKUP($S95,CODES,2,FALSE),"")&amp;IF(N($P95)&gt;0," w/TRANSOM "&amp;$P95&amp;CHAR(34),"")&amp;IF(N($Q95)&gt;0," w/SIDELITE "&amp;$Q95&amp;CHAR(34)&amp;" "&amp;IF($R95="","R",$R95),"")&amp;IF($Y95="","  |  "," | "&amp;IFERROR(VLOOKUP($Y95,CODES,2,FALSE),"")&amp;" | ")&amp;IFERROR(VLOOKUP($AC95,CODES,2,FALSE),"")&amp;" "&amp;IFERROR(VLOOKUP($AD95,CODES,2,FALSE),"")&amp;IF(OR($AE95="",$AE95="-"),""," "&amp;$AE95)&amp;IF(OR($AF95="",$AF95="-"),""," "&amp;$AF95)&amp;IF($AB95="Y"," 4"&amp;CHAR(34)&amp;" HEAD","")&amp;" "&amp;IFERROR(VLOOKUP($H95,CODES,2,FALSE),"")&amp;IF($CT95," | LOC "&amp;$CY95,"")))</f>
        <v/>
      </c>
      <c r="CK95" s="100">
        <f>IF(NOT(AND($A95&lt;&gt;"",N($BJ95)&gt;0)),"",TRIM(IFERROR(VLOOKUP($AH95,CODES,2,FALSE),"")&amp;IF($AI95=""," "," "&amp;$AI95&amp;"GA ")&amp;$BG95&amp;" "&amp;IF($AN95="",IFERROR(VLOOKUP($Z95,CODES,2,FALSE),""),IFERROR(VLOOKUP($AN95,CODES,2,FALSE),""))&amp;IF($BJ95=2," PAIR","")&amp;" DOOR | "&amp;IF($AL95="","?",$AL95)&amp;" | "&amp;IF($AO95="",IFERROR(VLOOKUP($AC95,CODES,2,FALSE),""),IFERROR(VLOOKUP($AO95,CODES,2,FALSE),""))&amp;" "&amp;IFERROR(VLOOKUP($AP95,CODES,2,FALSE),"")&amp;IF(OR($AQ95="",$AQ95="-"),""," SEAM "&amp;$AQ95)&amp;IF($AR95="Y"," ASTRAGAL","")&amp;IF($AJ95=""," "," "&amp;$AJ95)&amp;IF($AK95=""," "," "&amp;$AK95)&amp;IF(OR($AT95="",$AT95="ANSI/SDI",$AT95="CUSTOM LOC"),""," "&amp;$AT95)&amp;IF($AM95=""," "," SERIES "&amp;$AM95)&amp;" "&amp;IFERROR(VLOOKUP($H95,CODES,2,FALSE),"")&amp;IF($CT95," | LOC "&amp;$CZ95,"")))</f>
        <v/>
      </c>
      <c r="CL95" s="99">
        <f>IF(CP95="","",IF(COUNTIF($CP$6:CP95,CP95)=1,MAX($CL$5:CL94)+1,INDEX($CL$5:CL94,MATCH(CP95,$CP$5:CP94,0))))</f>
        <v/>
      </c>
      <c r="CM95" s="99">
        <f>IF(NOT(AND($A95&lt;&gt;"",$C95&lt;&gt;"DOOR ONLY")),"",MAX($CM$5:CM94)+1)</f>
        <v/>
      </c>
      <c r="CN95" s="99">
        <f>IF(NOT(AND($A95&lt;&gt;"",N($BJ95)&gt;0)),"",MAX($CN$5:CN94)+1)</f>
        <v/>
      </c>
      <c r="CO95" s="99">
        <f>IF($A95="","",MAX($CO$5:CO94)+1)</f>
        <v/>
      </c>
      <c r="CP95" s="99">
        <f>IF(OR($A95="",$BH95="",$BI95=""),"",$BG95&amp;"|"&amp;$O95&amp;"|"&amp;$AL95&amp;"|"&amp;$S95&amp;"|"&amp;$P95&amp;"|"&amp;$Q95&amp;$R95&amp;"|"&amp;$C95&amp;"|"&amp;$AB95)</f>
        <v/>
      </c>
      <c r="CQ95" s="99">
        <f>N($BS95)</f>
        <v/>
      </c>
      <c r="CR95" s="99">
        <f>IF(N($AU95)&gt;0,N($AU95),4.5)</f>
        <v/>
      </c>
      <c r="CS95" s="99">
        <f>OR($A95="",$BI95="",$S95="BL",AND($C95="FRAME ONLY",OR($AC95="",$AC95="BLK")))</f>
        <v/>
      </c>
      <c r="CT95" s="99">
        <f>AND(NOT($CS95),OR($AT95="CUSTOM LOC",N($AW95)+N($AX95)+N($AY95)+N($AZ95)+N($BA95)&gt;0))</f>
        <v/>
      </c>
      <c r="CU95" s="99">
        <f>IF($BI95="","",IF($BI95&lt;=80,80,IF($BI95&lt;=84,84,96)))</f>
        <v/>
      </c>
      <c r="CV95" s="99">
        <f>ISNUMBER(MATCH($AT95&amp;"|80",LocKeys,0))</f>
        <v/>
      </c>
      <c r="CW95" s="101">
        <f>IF($CS95,"",IF($CV95,VLOOKUP($AT95&amp;"|"&amp;$CU95,LocTable,4,FALSE),5))</f>
        <v/>
      </c>
      <c r="CX95" s="101">
        <f>IF($CS95,"",IF($CV95,IF(OR($BI95=$CU95,AND($BI95&lt;$CU95,$BI95-IF(N(VLOOKUP($AT95&amp;"|"&amp;$CU95,LocTable,7,FALSE))&gt;0,VLOOKUP($AT95&amp;"|"&amp;$CU95,LocTable,7,FALSE),VLOOKUP($AT95&amp;"|"&amp;$CU95,LocTable,6,FALSE))-$CR95-0.75&gt;=2.125)),IF(N(VLOOKUP($AT95&amp;"|"&amp;$CU95,LocTable,7,FALSE))&gt;0,VLOOKUP($AT95&amp;"|"&amp;$CU95,LocTable,7,FALSE),VLOOKUP($AT95&amp;"|"&amp;$CU95,LocTable,6,FALSE)),$BI95-($CU95-IF(N(VLOOKUP($AT95&amp;"|"&amp;$CU95,LocTable,7,FALSE))&gt;0,VLOOKUP($AT95&amp;"|"&amp;$CU95,LocTable,7,FALSE),VLOOKUP($AT95&amp;"|"&amp;$CU95,LocTable,6,FALSE)))),$BI95-10-$CR95))</f>
        <v/>
      </c>
      <c r="CY95" s="100">
        <f>IF($CS95,"",TRIM(IF(ISNUMBER($BU95),"A "&amp;TRIM(TEXT($BU95,"# ?/??"))&amp;CHAR(34)&amp;"  ","")&amp;IF(ISNUMBER($BV95),"B "&amp;TRIM(TEXT($BV95,"# ?/??"))&amp;CHAR(34)&amp;"  ","")&amp;IF(ISNUMBER($BW95),"C "&amp;TRIM(TEXT($BW95,"# ?/??"))&amp;CHAR(34)&amp;"  ","")&amp;IF(ISNUMBER($BX95),"D "&amp;TRIM(TEXT($BX95,"# ?/??"))&amp;CHAR(34)&amp;"  ","")&amp;IF(ISNUMBER($BY95),"F "&amp;TRIM(TEXT($BY95,"# ?/??"))&amp;CHAR(34)&amp;"  ","")&amp;IF(ISNUMBER($BZ95),"E "&amp;TRIM(TEXT($BZ95,"# ?/??"))&amp;CHAR(34)&amp;"  ","")))</f>
        <v/>
      </c>
      <c r="CZ95" s="100">
        <f>IF(OR($CS95,N($BJ95)=0),"",TRIM(IF(ISNUMBER($BU95),"A "&amp;TRIM(TEXT($BU95-HeadClr,"# ?/??"))&amp;CHAR(34)&amp;"  ","")&amp;IF(ISNUMBER($BV95),"B "&amp;TRIM(TEXT($BV95-HeadClr,"# ?/??"))&amp;CHAR(34)&amp;"  ","")&amp;IF(ISNUMBER($BW95),"C "&amp;TRIM(TEXT($BW95-HeadClr,"# ?/??"))&amp;CHAR(34)&amp;"  ","")&amp;IF(ISNUMBER($BX95),"D "&amp;TRIM(TEXT($BX95-HeadClr,"# ?/??"))&amp;CHAR(34)&amp;"  ","")&amp;IF(ISNUMBER($BY95),"F "&amp;TRIM(TEXT($BY95-HeadClr,"# ?/??"))&amp;CHAR(34)&amp;"  ","")&amp;IF(ISNUMBER($BZ95),"E "&amp;TRIM(TEXT($BZ95-HeadClr,"# ?/??"))&amp;CHAR(34)&amp;"  ","")))</f>
        <v/>
      </c>
      <c r="DA95" s="99">
        <f>IF($A95="","",IF($AN95="",IFERROR(VLOOKUP($Z95,CODES,2,FALSE),""),IFERROR(VLOOKUP($AN95,CODES,2,FALSE),"")))</f>
        <v/>
      </c>
      <c r="DB95" s="99">
        <f>IF($A95="","",IF($O95="Y","PR",IF(OR($Z95="L",$Z95="RR",LEFT($Z95,2)="L-",LEFT($Z95,3)="RR-"),"LH","RH")))</f>
        <v/>
      </c>
      <c r="DC95" s="99">
        <f>IF($A95="","","S.HM"&amp;IF(OR($C95="DOOR ONLY",$X95&lt;&gt;"KD"),"MASONRY","DRYWALL")&amp;IF($C95="DOOR ONLY","",$U95)&amp;IF(AND($C95&lt;&gt;"FRAME ONLY",OR(LEFT($AH95,3)="OAK",LEFT($AH95,3)="BIR",LEFT($AH95,3)="MAP",$AH95="PC",$AH95="MC",$AH95="SCLC",$AH95="P-LAM")),"WD","HM")&amp;"1.75")</f>
        <v/>
      </c>
      <c r="DD95" s="99">
        <f>IF($CJ95="","",IF($O95="Y",$CJ95,SUBSTITUTE($CJ95,$BG95&amp;" "&amp;IFERROR(VLOOKUP($Z95,CODES,2,FALSE),"")&amp;" ",$BG95&amp;" ")))</f>
        <v/>
      </c>
      <c r="DE95" s="99">
        <f>IF($CK95="","",IF($O95="Y",$CK95,SUBSTITUTE($CK95,$BG95&amp;" "&amp;IF($AN95="",IFERROR(VLOOKUP($Z95,CODES,2,FALSE),""),IFERROR(VLOOKUP($AN95,CODES,2,FALSE),""))&amp;" ",$BG95&amp;" ")))</f>
        <v/>
      </c>
      <c r="DF95" s="99">
        <f>IF($CJ95="","",$DC95&amp;"|"&amp;$DD95&amp;"|"&amp;$DB95&amp;"|"&amp;$AT95&amp;"|"&amp;$V95&amp;"|"&amp;$Y95&amp;"|"&amp;$AB95)</f>
        <v/>
      </c>
      <c r="DG95" s="99">
        <f>IF(DF95="","",IF(COUNTIF($DF$6:DF95,DF95)=1,MAX($DG$5:DG94)+1,INDEX($DG$5:DG94,MATCH(DF95,$DF$5:DF94,0))))</f>
        <v/>
      </c>
      <c r="DH95" s="99">
        <f>IF($CK95="","",$DC95&amp;"|"&amp;$DE95&amp;"|"&amp;$AI95&amp;"|"&amp;$BK95&amp;"|"&amp;$BL95)</f>
        <v/>
      </c>
      <c r="DI95" s="99">
        <f>IF(DH95="","",IF(COUNTIF($DH$6:DH95,DH95)=1,MAX($DI$5:DI94)+1,INDEX($DI$5:DI94,MATCH(DH95,$DH$5:DH94,0))))</f>
        <v/>
      </c>
      <c r="DJ95" s="99">
        <f>IF($A95="","",IF($B95="","qty, ","")&amp;IF($C95="","scope, ","")&amp;IF(OR($K95="",$M95=""),"size, ","")&amp;IF(AND($A95&lt;&gt;"",$C95&lt;&gt;"DOOR ONLY"),IF($U95="","jamb depth, ","")&amp;IF($X95="","construction, ","")&amp;IF($Y95="","anchor, ","")&amp;IF($S95="","frame type, ",""),"")&amp;IF(AND(N($BJ95)&gt;0,$Z95=""),"hand, ","")&amp;IF(N($BJ95)&gt;0,IF($AH95="","door material, ","")&amp;IF($AL95="","face type, ","")&amp;IF($AP95="","lock prep, ","")&amp;IF(AND($AO95="",$AC95=""),"hinge prep, ",""),"")&amp;IF(AND($CH95&gt;0,$AH95="FRP"),"FRP cannot carry a label, ","")&amp;IF(AND($O95="Y",OR($Z95="L",$Z95="R",$Z95="LR",$Z95="RR")),"pair marked but hand is single, ","")&amp;IF(AND($O95&lt;&gt;"Y",OR($Z95="PR",AND(LEN($Z95)&gt;1,ISNUMBER(SEARCH("-",$Z95))))),"pair hand on a single door, ","")&amp;IF(AND(ISNUMBER($CI95),$CH95&lt;N($CI95)),"wall needs a "&amp;$CI95&amp;" min door, ","")&amp;IF(AND($CH95&gt;=180,AND(OR($CE95="FG",$CE95="HG",$CE95="FNV",$CE95="FV"),N($CF95)*N($CG95)&gt;100)),"180 min lite over 100 sq in, ","")&amp;IF(N($BK95)&gt;48,"leaf wider than 4'-0"&amp;CHAR(34)&amp;", ","")&amp;IF(AND($CT95,COUNT($AW95:$AZ95)=0,$CQ95&gt;0),"CUSTOM LOC with no locations typed, ",""))</f>
        <v/>
      </c>
      <c r="DK95" s="99">
        <f>IF($A95="","",IF(AND($CH95&gt;0,AND($A95&lt;&gt;"",$C95&lt;&gt;"DOOR ONLY"),$X95="KD",$E95="EXTERIOR"),"KD label on an exterior opening, ","")&amp;IF(AND($E95="EXTERIOR",OR(AND(AND($A95&lt;&gt;"",$C95&lt;&gt;"DOOR ONLY"),$W95="CR"),AND(N($BJ95)&gt;0,$AH95="CR"))),"exterior in CR steel (G9?), ","")&amp;IF(AND(ISNUMBER($BQ95),N($BQ95)&lt;32),"clear width ~"&amp;TEXT($BQ95,"0.0")&amp;CHAR(34)&amp;" under 32"&amp;CHAR(34)&amp;" (ADA), ","")&amp;IF(AND($CH95=90,AND(OR($CE95="FG",$CE95="HG",$CE95="FNV",$CE95="FV"),N($CF95)*N($CG95)&gt;100)),"90 min lite over 100 sq in (stair/exit), ","")&amp;IF(AND($CH95&gt;0,AND($A95&lt;&gt;"",$C95&lt;&gt;"DOOR ONLY"),OR($AF95="",$AF95="-")),"rated: closer reinf.?, ","")&amp;IF(OR($I95="CORRIDOR",$I95="SMOKE BARRIER"),"S label + smoke gasketing, ","")&amp;IF($CI95="?","wall type/hr not in IBC table, ","")&amp;IF(AND(N($BJ95)&gt;0,$BB95=""),"no hardware set, ","")&amp;IF(AND($BB95&lt;&gt;"",ISNA(MATCH($BB95&amp;"",HWSets,0))),"set "&amp;$BB95&amp;" not on HW Sets, ","")&amp;IF(N($BL95)&gt;96,"leaf over 8'-0"&amp;CHAR(34)&amp;" - check listing, ","")&amp;IF(AND($CT95,COUNT($AW95:$AZ95)&gt;0,COUNT($AW95:$AZ95)&lt;&gt;$CQ95),COUNT($AW95:$AZ95)&amp;" custom hinges typed, "&amp;$CQ95&amp;" expected, ","")&amp;IF(AND(ISNUMBER($CA95),OR(N($CA95)&lt;34,N($CA95)&gt;48)),"lock "&amp;TEXT($CA95,"0.0")&amp;CHAR(34)&amp;" AFF outside 34-48"&amp;CHAR(34)&amp;" (ADA), ","")&amp;IF(AND(ISNUMBER($AV95),ISNUMBER($BL95),N($AV95)&lt;IF(N($BL95)&lt;=60,2,IF(N($BL95)&lt;=90,3,IF(N($BL95)&lt;=120,4,5)))),"fewer hinges than standard, ",""))</f>
        <v/>
      </c>
    </row>
    <row r="96" ht="15" customHeight="1">
      <c r="A96" s="77" t="n"/>
      <c r="B96" s="78" t="n"/>
      <c r="C96" s="78" t="n"/>
      <c r="D96" s="78" t="n"/>
      <c r="E96" s="78" t="n"/>
      <c r="F96" s="78" t="n"/>
      <c r="G96" s="78" t="n"/>
      <c r="H96" s="78" t="n"/>
      <c r="I96" s="78" t="n"/>
      <c r="J96" s="78" t="n"/>
      <c r="K96" s="78" t="n"/>
      <c r="L96" s="78" t="n"/>
      <c r="M96" s="78" t="n"/>
      <c r="N96" s="78" t="n"/>
      <c r="O96" s="78" t="n"/>
      <c r="P96" s="78" t="n"/>
      <c r="Q96" s="78" t="n"/>
      <c r="R96" s="78" t="n"/>
      <c r="S96" s="79" t="n"/>
      <c r="T96" s="79" t="n"/>
      <c r="U96" s="79" t="n"/>
      <c r="V96" s="79" t="n"/>
      <c r="W96" s="79" t="n"/>
      <c r="X96" s="79" t="n"/>
      <c r="Y96" s="79" t="n"/>
      <c r="Z96" s="79" t="n"/>
      <c r="AA96" s="79" t="n"/>
      <c r="AB96" s="79" t="n"/>
      <c r="AC96" s="79" t="n"/>
      <c r="AD96" s="79" t="n"/>
      <c r="AE96" s="79" t="n"/>
      <c r="AF96" s="79" t="n"/>
      <c r="AG96" s="79" t="n"/>
      <c r="AH96" s="80" t="n"/>
      <c r="AI96" s="80" t="n"/>
      <c r="AJ96" s="80" t="n"/>
      <c r="AK96" s="80" t="n"/>
      <c r="AL96" s="80" t="n"/>
      <c r="AM96" s="80" t="n"/>
      <c r="AN96" s="80" t="n"/>
      <c r="AO96" s="80" t="n"/>
      <c r="AP96" s="80" t="n"/>
      <c r="AQ96" s="80" t="n"/>
      <c r="AR96" s="80" t="n"/>
      <c r="AS96" s="80" t="n"/>
      <c r="AT96" s="81" t="n"/>
      <c r="AU96" s="81" t="n"/>
      <c r="AV96" s="81" t="n"/>
      <c r="AW96" s="82" t="n"/>
      <c r="AX96" s="82" t="n"/>
      <c r="AY96" s="82" t="n"/>
      <c r="AZ96" s="82" t="n"/>
      <c r="BA96" s="82" t="n"/>
      <c r="BB96" s="83" t="n"/>
      <c r="BC96" s="83" t="n"/>
      <c r="BD96" s="84">
        <f>IF($A96="","",IF($DJ96&lt;&gt;"","FIX",IF($DK96&lt;&gt;"","CHECK","OK")))</f>
        <v/>
      </c>
      <c r="BE96" s="85">
        <f>IF($A96="","",IF($DJ96&lt;&gt;"","FIX: "&amp;LEFT($DJ96,LEN($DJ96)-2)&amp;IF($DK96&lt;&gt;"","  ·  ",""),"")&amp;IF($DK96&lt;&gt;"","CHECK: "&amp;LEFT($DK96,LEN($DK96)-2),""))</f>
        <v/>
      </c>
      <c r="BF96" s="84">
        <f>IF(OR($A96="",$K96=""),"",$K96&amp;"'-"&amp;N($L96)&amp;CHAR(34)&amp;" x "&amp;$M96&amp;"'-"&amp;N($N96)&amp;CHAR(34))</f>
        <v/>
      </c>
      <c r="BG96" s="84">
        <f>IF(OR($A96="",$K96=""),"",$K96&amp;N($L96)&amp;$M96&amp;N($N96))</f>
        <v/>
      </c>
      <c r="BH96" s="84">
        <f>IF(OR($A96="",$K96=""),"",$K96*12+N($L96))</f>
        <v/>
      </c>
      <c r="BI96" s="84">
        <f>IF(OR($A96="",$M96=""),"",$M96*12+N($N96))</f>
        <v/>
      </c>
      <c r="BJ96" s="84">
        <f>IF($A96="","",IF(OR($C96="FRAME ONLY",$S96="BL"),0,IF($O96="Y",2,1)))</f>
        <v/>
      </c>
      <c r="BK96" s="86">
        <f>IF(OR(N($BJ96)=0,$BH96=""),"",($BH96-2*EdgeClr-IF($BJ96=2,MeetClr,0))/$BJ96)</f>
        <v/>
      </c>
      <c r="BL96" s="86">
        <f>IF(OR(N($BJ96)=0,$BI96=""),"",$BI96-HeadClr-Undercut)</f>
        <v/>
      </c>
      <c r="BM96" s="86">
        <f>IF($BH96="","",$BH96+2*FaceW+IF(N($Q96)&gt;0,($Q96+FaceW)*IF($R96="LR",2,1),0))</f>
        <v/>
      </c>
      <c r="BN96" s="86">
        <f>IF($BI96="","",$BI96+IF($AB96="Y",4,FaceW)+IF(N($P96)&gt;0,$P96+FaceW,0)+IF(OR($S96="4F",$S96="BL"),FaceW,0))</f>
        <v/>
      </c>
      <c r="BO96" s="86">
        <f>IF($BM96="","",$BM96+2*ROSide)</f>
        <v/>
      </c>
      <c r="BP96" s="86">
        <f>IF($BN96="","",$BN96+ROTop)</f>
        <v/>
      </c>
      <c r="BQ96" s="87">
        <f>IF(OR(N($BJ96)=0,$BH96=""),"",$BH96/$BJ96-ClearDeduct)</f>
        <v/>
      </c>
      <c r="BR96" s="84">
        <f>IF(N($CH96)=0,"",IF($CH96&gt;=180,"A · 3 HR",IF($CH96&gt;=90,"B · 1-1/2 HR",IF($CH96&gt;=60,"B · 1 HR",IF($CH96&gt;=45,"C · 3/4 HR","20 MIN")))))&amp;IF(AND(N($CH96)&gt;0,OR($I96="CORRIDOR",$I96="SMOKE BARRIER"))," · S","")</f>
        <v/>
      </c>
      <c r="BS96" s="84">
        <f>IF($CS96,"",IF($AV96&lt;&gt;"",$AV96,IF(OR($AC96="HGC",$AO96="HGC"),"CONT",IF(($BI96-HeadClr-Undercut)&lt;=60,2,IF(($BI96-HeadClr-Undercut)&lt;=90,3,IF(($BI96-HeadClr-Undercut)&lt;=120,4,5))))))</f>
        <v/>
      </c>
      <c r="BT96" s="84">
        <f>IF($CS96,"",IF($CT96,"CUSTOM (typed)",IF($CV96,$AT96&amp;" "&amp;$CU96&amp;CHAR(34)&amp;IF($CU96&lt;&gt;$BI96,IF(AND($BI96&lt;$CU96,$BI96-IF(N(VLOOKUP($AT96&amp;"|"&amp;$CU96,LocTable,7,FALSE))&gt;0,VLOOKUP($AT96&amp;"|"&amp;$CU96,LocTable,7,FALSE),VLOOKUP($AT96&amp;"|"&amp;$CU96,LocTable,6,FALSE))-$CR96-0.75&gt;=2.125)," cut down"," adj."),""),"ANSI/SDI A250.6")))</f>
        <v/>
      </c>
      <c r="BU96" s="88">
        <f>IF($CS96,"",IF($CT96,IF(N($AW96)&gt;0,N($AW96),""),IF(1&gt;$CQ96,"",IF($CQ96=1,$CW96,$CW96+($CX96-$CW96)*0/($CQ96-1)))))</f>
        <v/>
      </c>
      <c r="BV96" s="88">
        <f>IF($CS96,"",IF($CT96,IF(N($AX96)&gt;0,N($AX96),""),IF(2&gt;$CQ96,"",IF($CQ96=1,$CW96,$CW96+($CX96-$CW96)*1/($CQ96-1)))))</f>
        <v/>
      </c>
      <c r="BW96" s="88">
        <f>IF($CS96,"",IF($CT96,IF(N($AY96)&gt;0,N($AY96),""),IF(3&gt;$CQ96,"",IF($CQ96=1,$CW96,$CW96+($CX96-$CW96)*2/($CQ96-1)))))</f>
        <v/>
      </c>
      <c r="BX96" s="88">
        <f>IF($CS96,"",IF($CT96,IF(N($AZ96)&gt;0,N($AZ96),""),IF(4&gt;$CQ96,"",IF($CQ96=1,$CW96,$CW96+($CX96-$CW96)*3/($CQ96-1)))))</f>
        <v/>
      </c>
      <c r="BY96" s="88">
        <f>IF($CS96,"",IF($CT96,"",IF(5&gt;$CQ96,"",IF($CQ96=1,$CW96,$CW96+($CX96-$CW96)*4/($CQ96-1)))))</f>
        <v/>
      </c>
      <c r="BZ96" s="88">
        <f>IF(OR($CS96,$AP96="-",AND($AP96="",$AD96="")),"",IF(N($BA96)&gt;0,N($BA96),IF($CV96,IF(AND($BI96&lt;$CU96,$BI96-IF(N(VLOOKUP($AT96&amp;"|"&amp;$CU96,LocTable,7,FALSE))&gt;0,VLOOKUP($AT96&amp;"|"&amp;$CU96,LocTable,7,FALSE),VLOOKUP($AT96&amp;"|"&amp;$CU96,LocTable,6,FALSE))-$CR96-0.75&gt;=2.125),VLOOKUP($AT96&amp;"|"&amp;$CU96,LocTable,8,FALSE),VLOOKUP($AT96&amp;"|"&amp;$CU96,LocTable,8,FALSE)+($BI96-$CU96)),$BI96-LockAFF)))</f>
        <v/>
      </c>
      <c r="CA96" s="89">
        <f>IF($BZ96="","",$BI96-$BZ96)</f>
        <v/>
      </c>
      <c r="CB96" s="84">
        <f>IF(OR(NOT(AND($A96&lt;&gt;"",$C96&lt;&gt;"DOOR ONLY")),$BI96=""),"",IF(($BI96+IF(N($P96)&gt;0,$P96+FaceW,0))&lt;=90,3,IF(($BI96+IF(N($P96)&gt;0,$P96+FaceW,0))&lt;=114,4,5)))</f>
        <v/>
      </c>
      <c r="CC96" s="84">
        <f>IF($CB96="","",$CB96*(2+IF(N($Q96)&gt;0,IF($R96="LR",2,1),0)))</f>
        <v/>
      </c>
      <c r="CD96" s="84">
        <f>IF($CB96="","",(2+IF(N($Q96)&gt;0,IF($R96="LR",2,1),0)))</f>
        <v/>
      </c>
      <c r="CE96" s="84">
        <f>IF(N($BJ96)=0,"",IF(OR($AL96="",$AL96="FLUSH"),"FLUSH",IFERROR(LEFT($AL96,FIND("-",$AL96)-1),LEFT($AL96,2))))</f>
        <v/>
      </c>
      <c r="CF96" s="84">
        <f>IF($CE96="","",IFERROR(VALUE(MID($AL96,FIND("-",$AL96)+1,FIND(CHAR(34)&amp;"x",$AL96)-FIND("-",$AL96)-1)),0))</f>
        <v/>
      </c>
      <c r="CG96" s="84">
        <f>IF($CE96="","",IFERROR(VALUE(MID($AL96,FIND(CHAR(34)&amp;"x",$AL96)+2,FIND(CHAR(34),$AL96,FIND(CHAR(34)&amp;"x",$AL96)+2)-FIND(CHAR(34)&amp;"x",$AL96)-2)),0))</f>
        <v/>
      </c>
      <c r="CH96" s="90">
        <f>IF(OR($A96="",$H96="",$H96="NO LAB"),0,IFERROR(VALUE(LEFT($H96,FIND(" ",$H96)-1)),0))</f>
        <v/>
      </c>
      <c r="CI96" s="91">
        <f>IF(OR($A96="",$I96="",$I96="NON-RATED",N($J96)=0),"",IFERROR(VLOOKUP($I96&amp;"|"&amp;$J96,IBC,2,FALSE),"?"))</f>
        <v/>
      </c>
      <c r="CJ96" s="85">
        <f>IF(NOT(AND($A96&lt;&gt;"",$C96&lt;&gt;"DOOR ONLY")),"",TRIM(IFERROR(VLOOKUP($U96,CODES,2,FALSE),"")&amp;" "&amp;$BG96&amp;" "&amp;IFERROR(VLOOKUP($Z96,CODES,2,FALSE),"")&amp;" "&amp;IFERROR(VLOOKUP($X96,CODES,2,FALSE),"")&amp;" "&amp;IFERROR(VLOOKUP($S96,CODES,2,FALSE),"")&amp;IF(N($P96)&gt;0," w/TRANSOM "&amp;$P96&amp;CHAR(34),"")&amp;IF(N($Q96)&gt;0," w/SIDELITE "&amp;$Q96&amp;CHAR(34)&amp;" "&amp;IF($R96="","R",$R96),"")&amp;IF($Y96="","  |  "," | "&amp;IFERROR(VLOOKUP($Y96,CODES,2,FALSE),"")&amp;" | ")&amp;IFERROR(VLOOKUP($AC96,CODES,2,FALSE),"")&amp;" "&amp;IFERROR(VLOOKUP($AD96,CODES,2,FALSE),"")&amp;IF(OR($AE96="",$AE96="-"),""," "&amp;$AE96)&amp;IF(OR($AF96="",$AF96="-"),""," "&amp;$AF96)&amp;IF($AB96="Y"," 4"&amp;CHAR(34)&amp;" HEAD","")&amp;" "&amp;IFERROR(VLOOKUP($H96,CODES,2,FALSE),"")&amp;IF($CT96," | LOC "&amp;$CY96,"")))</f>
        <v/>
      </c>
      <c r="CK96" s="85">
        <f>IF(NOT(AND($A96&lt;&gt;"",N($BJ96)&gt;0)),"",TRIM(IFERROR(VLOOKUP($AH96,CODES,2,FALSE),"")&amp;IF($AI96=""," "," "&amp;$AI96&amp;"GA ")&amp;$BG96&amp;" "&amp;IF($AN96="",IFERROR(VLOOKUP($Z96,CODES,2,FALSE),""),IFERROR(VLOOKUP($AN96,CODES,2,FALSE),""))&amp;IF($BJ96=2," PAIR","")&amp;" DOOR | "&amp;IF($AL96="","?",$AL96)&amp;" | "&amp;IF($AO96="",IFERROR(VLOOKUP($AC96,CODES,2,FALSE),""),IFERROR(VLOOKUP($AO96,CODES,2,FALSE),""))&amp;" "&amp;IFERROR(VLOOKUP($AP96,CODES,2,FALSE),"")&amp;IF(OR($AQ96="",$AQ96="-"),""," SEAM "&amp;$AQ96)&amp;IF($AR96="Y"," ASTRAGAL","")&amp;IF($AJ96=""," "," "&amp;$AJ96)&amp;IF($AK96=""," "," "&amp;$AK96)&amp;IF(OR($AT96="",$AT96="ANSI/SDI",$AT96="CUSTOM LOC"),""," "&amp;$AT96)&amp;IF($AM96=""," "," SERIES "&amp;$AM96)&amp;" "&amp;IFERROR(VLOOKUP($H96,CODES,2,FALSE),"")&amp;IF($CT96," | LOC "&amp;$CZ96,"")))</f>
        <v/>
      </c>
      <c r="CL96" s="84">
        <f>IF(CP96="","",IF(COUNTIF($CP$6:CP96,CP96)=1,MAX($CL$5:CL95)+1,INDEX($CL$5:CL95,MATCH(CP96,$CP$5:CP95,0))))</f>
        <v/>
      </c>
      <c r="CM96" s="84">
        <f>IF(NOT(AND($A96&lt;&gt;"",$C96&lt;&gt;"DOOR ONLY")),"",MAX($CM$5:CM95)+1)</f>
        <v/>
      </c>
      <c r="CN96" s="84">
        <f>IF(NOT(AND($A96&lt;&gt;"",N($BJ96)&gt;0)),"",MAX($CN$5:CN95)+1)</f>
        <v/>
      </c>
      <c r="CO96" s="84">
        <f>IF($A96="","",MAX($CO$5:CO95)+1)</f>
        <v/>
      </c>
      <c r="CP96" s="84">
        <f>IF(OR($A96="",$BH96="",$BI96=""),"",$BG96&amp;"|"&amp;$O96&amp;"|"&amp;$AL96&amp;"|"&amp;$S96&amp;"|"&amp;$P96&amp;"|"&amp;$Q96&amp;$R96&amp;"|"&amp;$C96&amp;"|"&amp;$AB96)</f>
        <v/>
      </c>
      <c r="CQ96" s="84">
        <f>N($BS96)</f>
        <v/>
      </c>
      <c r="CR96" s="84">
        <f>IF(N($AU96)&gt;0,N($AU96),4.5)</f>
        <v/>
      </c>
      <c r="CS96" s="84">
        <f>OR($A96="",$BI96="",$S96="BL",AND($C96="FRAME ONLY",OR($AC96="",$AC96="BLK")))</f>
        <v/>
      </c>
      <c r="CT96" s="84">
        <f>AND(NOT($CS96),OR($AT96="CUSTOM LOC",N($AW96)+N($AX96)+N($AY96)+N($AZ96)+N($BA96)&gt;0))</f>
        <v/>
      </c>
      <c r="CU96" s="84">
        <f>IF($BI96="","",IF($BI96&lt;=80,80,IF($BI96&lt;=84,84,96)))</f>
        <v/>
      </c>
      <c r="CV96" s="84">
        <f>ISNUMBER(MATCH($AT96&amp;"|80",LocKeys,0))</f>
        <v/>
      </c>
      <c r="CW96" s="86">
        <f>IF($CS96,"",IF($CV96,VLOOKUP($AT96&amp;"|"&amp;$CU96,LocTable,4,FALSE),5))</f>
        <v/>
      </c>
      <c r="CX96" s="86">
        <f>IF($CS96,"",IF($CV96,IF(OR($BI96=$CU96,AND($BI96&lt;$CU96,$BI96-IF(N(VLOOKUP($AT96&amp;"|"&amp;$CU96,LocTable,7,FALSE))&gt;0,VLOOKUP($AT96&amp;"|"&amp;$CU96,LocTable,7,FALSE),VLOOKUP($AT96&amp;"|"&amp;$CU96,LocTable,6,FALSE))-$CR96-0.75&gt;=2.125)),IF(N(VLOOKUP($AT96&amp;"|"&amp;$CU96,LocTable,7,FALSE))&gt;0,VLOOKUP($AT96&amp;"|"&amp;$CU96,LocTable,7,FALSE),VLOOKUP($AT96&amp;"|"&amp;$CU96,LocTable,6,FALSE)),$BI96-($CU96-IF(N(VLOOKUP($AT96&amp;"|"&amp;$CU96,LocTable,7,FALSE))&gt;0,VLOOKUP($AT96&amp;"|"&amp;$CU96,LocTable,7,FALSE),VLOOKUP($AT96&amp;"|"&amp;$CU96,LocTable,6,FALSE)))),$BI96-10-$CR96))</f>
        <v/>
      </c>
      <c r="CY96" s="85">
        <f>IF($CS96,"",TRIM(IF(ISNUMBER($BU96),"A "&amp;TRIM(TEXT($BU96,"# ?/??"))&amp;CHAR(34)&amp;"  ","")&amp;IF(ISNUMBER($BV96),"B "&amp;TRIM(TEXT($BV96,"# ?/??"))&amp;CHAR(34)&amp;"  ","")&amp;IF(ISNUMBER($BW96),"C "&amp;TRIM(TEXT($BW96,"# ?/??"))&amp;CHAR(34)&amp;"  ","")&amp;IF(ISNUMBER($BX96),"D "&amp;TRIM(TEXT($BX96,"# ?/??"))&amp;CHAR(34)&amp;"  ","")&amp;IF(ISNUMBER($BY96),"F "&amp;TRIM(TEXT($BY96,"# ?/??"))&amp;CHAR(34)&amp;"  ","")&amp;IF(ISNUMBER($BZ96),"E "&amp;TRIM(TEXT($BZ96,"# ?/??"))&amp;CHAR(34)&amp;"  ","")))</f>
        <v/>
      </c>
      <c r="CZ96" s="85">
        <f>IF(OR($CS96,N($BJ96)=0),"",TRIM(IF(ISNUMBER($BU96),"A "&amp;TRIM(TEXT($BU96-HeadClr,"# ?/??"))&amp;CHAR(34)&amp;"  ","")&amp;IF(ISNUMBER($BV96),"B "&amp;TRIM(TEXT($BV96-HeadClr,"# ?/??"))&amp;CHAR(34)&amp;"  ","")&amp;IF(ISNUMBER($BW96),"C "&amp;TRIM(TEXT($BW96-HeadClr,"# ?/??"))&amp;CHAR(34)&amp;"  ","")&amp;IF(ISNUMBER($BX96),"D "&amp;TRIM(TEXT($BX96-HeadClr,"# ?/??"))&amp;CHAR(34)&amp;"  ","")&amp;IF(ISNUMBER($BY96),"F "&amp;TRIM(TEXT($BY96-HeadClr,"# ?/??"))&amp;CHAR(34)&amp;"  ","")&amp;IF(ISNUMBER($BZ96),"E "&amp;TRIM(TEXT($BZ96-HeadClr,"# ?/??"))&amp;CHAR(34)&amp;"  ","")))</f>
        <v/>
      </c>
      <c r="DA96" s="84">
        <f>IF($A96="","",IF($AN96="",IFERROR(VLOOKUP($Z96,CODES,2,FALSE),""),IFERROR(VLOOKUP($AN96,CODES,2,FALSE),"")))</f>
        <v/>
      </c>
      <c r="DB96" s="84">
        <f>IF($A96="","",IF($O96="Y","PR",IF(OR($Z96="L",$Z96="RR",LEFT($Z96,2)="L-",LEFT($Z96,3)="RR-"),"LH","RH")))</f>
        <v/>
      </c>
      <c r="DC96" s="84">
        <f>IF($A96="","","S.HM"&amp;IF(OR($C96="DOOR ONLY",$X96&lt;&gt;"KD"),"MASONRY","DRYWALL")&amp;IF($C96="DOOR ONLY","",$U96)&amp;IF(AND($C96&lt;&gt;"FRAME ONLY",OR(LEFT($AH96,3)="OAK",LEFT($AH96,3)="BIR",LEFT($AH96,3)="MAP",$AH96="PC",$AH96="MC",$AH96="SCLC",$AH96="P-LAM")),"WD","HM")&amp;"1.75")</f>
        <v/>
      </c>
      <c r="DD96" s="84">
        <f>IF($CJ96="","",IF($O96="Y",$CJ96,SUBSTITUTE($CJ96,$BG96&amp;" "&amp;IFERROR(VLOOKUP($Z96,CODES,2,FALSE),"")&amp;" ",$BG96&amp;" ")))</f>
        <v/>
      </c>
      <c r="DE96" s="84">
        <f>IF($CK96="","",IF($O96="Y",$CK96,SUBSTITUTE($CK96,$BG96&amp;" "&amp;IF($AN96="",IFERROR(VLOOKUP($Z96,CODES,2,FALSE),""),IFERROR(VLOOKUP($AN96,CODES,2,FALSE),""))&amp;" ",$BG96&amp;" ")))</f>
        <v/>
      </c>
      <c r="DF96" s="84">
        <f>IF($CJ96="","",$DC96&amp;"|"&amp;$DD96&amp;"|"&amp;$DB96&amp;"|"&amp;$AT96&amp;"|"&amp;$V96&amp;"|"&amp;$Y96&amp;"|"&amp;$AB96)</f>
        <v/>
      </c>
      <c r="DG96" s="84">
        <f>IF(DF96="","",IF(COUNTIF($DF$6:DF96,DF96)=1,MAX($DG$5:DG95)+1,INDEX($DG$5:DG95,MATCH(DF96,$DF$5:DF95,0))))</f>
        <v/>
      </c>
      <c r="DH96" s="84">
        <f>IF($CK96="","",$DC96&amp;"|"&amp;$DE96&amp;"|"&amp;$AI96&amp;"|"&amp;$BK96&amp;"|"&amp;$BL96)</f>
        <v/>
      </c>
      <c r="DI96" s="84">
        <f>IF(DH96="","",IF(COUNTIF($DH$6:DH96,DH96)=1,MAX($DI$5:DI95)+1,INDEX($DI$5:DI95,MATCH(DH96,$DH$5:DH95,0))))</f>
        <v/>
      </c>
      <c r="DJ96" s="84">
        <f>IF($A96="","",IF($B96="","qty, ","")&amp;IF($C96="","scope, ","")&amp;IF(OR($K96="",$M96=""),"size, ","")&amp;IF(AND($A96&lt;&gt;"",$C96&lt;&gt;"DOOR ONLY"),IF($U96="","jamb depth, ","")&amp;IF($X96="","construction, ","")&amp;IF($Y96="","anchor, ","")&amp;IF($S96="","frame type, ",""),"")&amp;IF(AND(N($BJ96)&gt;0,$Z96=""),"hand, ","")&amp;IF(N($BJ96)&gt;0,IF($AH96="","door material, ","")&amp;IF($AL96="","face type, ","")&amp;IF($AP96="","lock prep, ","")&amp;IF(AND($AO96="",$AC96=""),"hinge prep, ",""),"")&amp;IF(AND($CH96&gt;0,$AH96="FRP"),"FRP cannot carry a label, ","")&amp;IF(AND($O96="Y",OR($Z96="L",$Z96="R",$Z96="LR",$Z96="RR")),"pair marked but hand is single, ","")&amp;IF(AND($O96&lt;&gt;"Y",OR($Z96="PR",AND(LEN($Z96)&gt;1,ISNUMBER(SEARCH("-",$Z96))))),"pair hand on a single door, ","")&amp;IF(AND(ISNUMBER($CI96),$CH96&lt;N($CI96)),"wall needs a "&amp;$CI96&amp;" min door, ","")&amp;IF(AND($CH96&gt;=180,AND(OR($CE96="FG",$CE96="HG",$CE96="FNV",$CE96="FV"),N($CF96)*N($CG96)&gt;100)),"180 min lite over 100 sq in, ","")&amp;IF(N($BK96)&gt;48,"leaf wider than 4'-0"&amp;CHAR(34)&amp;", ","")&amp;IF(AND($CT96,COUNT($AW96:$AZ96)=0,$CQ96&gt;0),"CUSTOM LOC with no locations typed, ",""))</f>
        <v/>
      </c>
      <c r="DK96" s="84">
        <f>IF($A96="","",IF(AND($CH96&gt;0,AND($A96&lt;&gt;"",$C96&lt;&gt;"DOOR ONLY"),$X96="KD",$E96="EXTERIOR"),"KD label on an exterior opening, ","")&amp;IF(AND($E96="EXTERIOR",OR(AND(AND($A96&lt;&gt;"",$C96&lt;&gt;"DOOR ONLY"),$W96="CR"),AND(N($BJ96)&gt;0,$AH96="CR"))),"exterior in CR steel (G9?), ","")&amp;IF(AND(ISNUMBER($BQ96),N($BQ96)&lt;32),"clear width ~"&amp;TEXT($BQ96,"0.0")&amp;CHAR(34)&amp;" under 32"&amp;CHAR(34)&amp;" (ADA), ","")&amp;IF(AND($CH96=90,AND(OR($CE96="FG",$CE96="HG",$CE96="FNV",$CE96="FV"),N($CF96)*N($CG96)&gt;100)),"90 min lite over 100 sq in (stair/exit), ","")&amp;IF(AND($CH96&gt;0,AND($A96&lt;&gt;"",$C96&lt;&gt;"DOOR ONLY"),OR($AF96="",$AF96="-")),"rated: closer reinf.?, ","")&amp;IF(OR($I96="CORRIDOR",$I96="SMOKE BARRIER"),"S label + smoke gasketing, ","")&amp;IF($CI96="?","wall type/hr not in IBC table, ","")&amp;IF(AND(N($BJ96)&gt;0,$BB96=""),"no hardware set, ","")&amp;IF(AND($BB96&lt;&gt;"",ISNA(MATCH($BB96&amp;"",HWSets,0))),"set "&amp;$BB96&amp;" not on HW Sets, ","")&amp;IF(N($BL96)&gt;96,"leaf over 8'-0"&amp;CHAR(34)&amp;" - check listing, ","")&amp;IF(AND($CT96,COUNT($AW96:$AZ96)&gt;0,COUNT($AW96:$AZ96)&lt;&gt;$CQ96),COUNT($AW96:$AZ96)&amp;" custom hinges typed, "&amp;$CQ96&amp;" expected, ","")&amp;IF(AND(ISNUMBER($CA96),OR(N($CA96)&lt;34,N($CA96)&gt;48)),"lock "&amp;TEXT($CA96,"0.0")&amp;CHAR(34)&amp;" AFF outside 34-48"&amp;CHAR(34)&amp;" (ADA), ","")&amp;IF(AND(ISNUMBER($AV96),ISNUMBER($BL96),N($AV96)&lt;IF(N($BL96)&lt;=60,2,IF(N($BL96)&lt;=90,3,IF(N($BL96)&lt;=120,4,5)))),"fewer hinges than standard, ",""))</f>
        <v/>
      </c>
    </row>
    <row r="97" ht="15" customHeight="1">
      <c r="A97" s="77" t="n"/>
      <c r="B97" s="78" t="n"/>
      <c r="C97" s="78" t="n"/>
      <c r="D97" s="78" t="n"/>
      <c r="E97" s="78" t="n"/>
      <c r="F97" s="78" t="n"/>
      <c r="G97" s="78" t="n"/>
      <c r="H97" s="78" t="n"/>
      <c r="I97" s="78" t="n"/>
      <c r="J97" s="78" t="n"/>
      <c r="K97" s="78" t="n"/>
      <c r="L97" s="78" t="n"/>
      <c r="M97" s="78" t="n"/>
      <c r="N97" s="78" t="n"/>
      <c r="O97" s="78" t="n"/>
      <c r="P97" s="78" t="n"/>
      <c r="Q97" s="78" t="n"/>
      <c r="R97" s="78" t="n"/>
      <c r="S97" s="79" t="n"/>
      <c r="T97" s="79" t="n"/>
      <c r="U97" s="79" t="n"/>
      <c r="V97" s="79" t="n"/>
      <c r="W97" s="79" t="n"/>
      <c r="X97" s="79" t="n"/>
      <c r="Y97" s="79" t="n"/>
      <c r="Z97" s="79" t="n"/>
      <c r="AA97" s="79" t="n"/>
      <c r="AB97" s="79" t="n"/>
      <c r="AC97" s="79" t="n"/>
      <c r="AD97" s="79" t="n"/>
      <c r="AE97" s="79" t="n"/>
      <c r="AF97" s="79" t="n"/>
      <c r="AG97" s="79" t="n"/>
      <c r="AH97" s="80" t="n"/>
      <c r="AI97" s="80" t="n"/>
      <c r="AJ97" s="80" t="n"/>
      <c r="AK97" s="80" t="n"/>
      <c r="AL97" s="80" t="n"/>
      <c r="AM97" s="80" t="n"/>
      <c r="AN97" s="80" t="n"/>
      <c r="AO97" s="80" t="n"/>
      <c r="AP97" s="80" t="n"/>
      <c r="AQ97" s="80" t="n"/>
      <c r="AR97" s="80" t="n"/>
      <c r="AS97" s="80" t="n"/>
      <c r="AT97" s="81" t="n"/>
      <c r="AU97" s="81" t="n"/>
      <c r="AV97" s="81" t="n"/>
      <c r="AW97" s="82" t="n"/>
      <c r="AX97" s="82" t="n"/>
      <c r="AY97" s="82" t="n"/>
      <c r="AZ97" s="82" t="n"/>
      <c r="BA97" s="82" t="n"/>
      <c r="BB97" s="83" t="n"/>
      <c r="BC97" s="83" t="n"/>
      <c r="BD97" s="84">
        <f>IF($A97="","",IF($DJ97&lt;&gt;"","FIX",IF($DK97&lt;&gt;"","CHECK","OK")))</f>
        <v/>
      </c>
      <c r="BE97" s="85">
        <f>IF($A97="","",IF($DJ97&lt;&gt;"","FIX: "&amp;LEFT($DJ97,LEN($DJ97)-2)&amp;IF($DK97&lt;&gt;"","  ·  ",""),"")&amp;IF($DK97&lt;&gt;"","CHECK: "&amp;LEFT($DK97,LEN($DK97)-2),""))</f>
        <v/>
      </c>
      <c r="BF97" s="84">
        <f>IF(OR($A97="",$K97=""),"",$K97&amp;"'-"&amp;N($L97)&amp;CHAR(34)&amp;" x "&amp;$M97&amp;"'-"&amp;N($N97)&amp;CHAR(34))</f>
        <v/>
      </c>
      <c r="BG97" s="84">
        <f>IF(OR($A97="",$K97=""),"",$K97&amp;N($L97)&amp;$M97&amp;N($N97))</f>
        <v/>
      </c>
      <c r="BH97" s="84">
        <f>IF(OR($A97="",$K97=""),"",$K97*12+N($L97))</f>
        <v/>
      </c>
      <c r="BI97" s="84">
        <f>IF(OR($A97="",$M97=""),"",$M97*12+N($N97))</f>
        <v/>
      </c>
      <c r="BJ97" s="84">
        <f>IF($A97="","",IF(OR($C97="FRAME ONLY",$S97="BL"),0,IF($O97="Y",2,1)))</f>
        <v/>
      </c>
      <c r="BK97" s="86">
        <f>IF(OR(N($BJ97)=0,$BH97=""),"",($BH97-2*EdgeClr-IF($BJ97=2,MeetClr,0))/$BJ97)</f>
        <v/>
      </c>
      <c r="BL97" s="86">
        <f>IF(OR(N($BJ97)=0,$BI97=""),"",$BI97-HeadClr-Undercut)</f>
        <v/>
      </c>
      <c r="BM97" s="86">
        <f>IF($BH97="","",$BH97+2*FaceW+IF(N($Q97)&gt;0,($Q97+FaceW)*IF($R97="LR",2,1),0))</f>
        <v/>
      </c>
      <c r="BN97" s="86">
        <f>IF($BI97="","",$BI97+IF($AB97="Y",4,FaceW)+IF(N($P97)&gt;0,$P97+FaceW,0)+IF(OR($S97="4F",$S97="BL"),FaceW,0))</f>
        <v/>
      </c>
      <c r="BO97" s="86">
        <f>IF($BM97="","",$BM97+2*ROSide)</f>
        <v/>
      </c>
      <c r="BP97" s="86">
        <f>IF($BN97="","",$BN97+ROTop)</f>
        <v/>
      </c>
      <c r="BQ97" s="87">
        <f>IF(OR(N($BJ97)=0,$BH97=""),"",$BH97/$BJ97-ClearDeduct)</f>
        <v/>
      </c>
      <c r="BR97" s="84">
        <f>IF(N($CH97)=0,"",IF($CH97&gt;=180,"A · 3 HR",IF($CH97&gt;=90,"B · 1-1/2 HR",IF($CH97&gt;=60,"B · 1 HR",IF($CH97&gt;=45,"C · 3/4 HR","20 MIN")))))&amp;IF(AND(N($CH97)&gt;0,OR($I97="CORRIDOR",$I97="SMOKE BARRIER"))," · S","")</f>
        <v/>
      </c>
      <c r="BS97" s="84">
        <f>IF($CS97,"",IF($AV97&lt;&gt;"",$AV97,IF(OR($AC97="HGC",$AO97="HGC"),"CONT",IF(($BI97-HeadClr-Undercut)&lt;=60,2,IF(($BI97-HeadClr-Undercut)&lt;=90,3,IF(($BI97-HeadClr-Undercut)&lt;=120,4,5))))))</f>
        <v/>
      </c>
      <c r="BT97" s="84">
        <f>IF($CS97,"",IF($CT97,"CUSTOM (typed)",IF($CV97,$AT97&amp;" "&amp;$CU97&amp;CHAR(34)&amp;IF($CU97&lt;&gt;$BI97,IF(AND($BI97&lt;$CU97,$BI97-IF(N(VLOOKUP($AT97&amp;"|"&amp;$CU97,LocTable,7,FALSE))&gt;0,VLOOKUP($AT97&amp;"|"&amp;$CU97,LocTable,7,FALSE),VLOOKUP($AT97&amp;"|"&amp;$CU97,LocTable,6,FALSE))-$CR97-0.75&gt;=2.125)," cut down"," adj."),""),"ANSI/SDI A250.6")))</f>
        <v/>
      </c>
      <c r="BU97" s="88">
        <f>IF($CS97,"",IF($CT97,IF(N($AW97)&gt;0,N($AW97),""),IF(1&gt;$CQ97,"",IF($CQ97=1,$CW97,$CW97+($CX97-$CW97)*0/($CQ97-1)))))</f>
        <v/>
      </c>
      <c r="BV97" s="88">
        <f>IF($CS97,"",IF($CT97,IF(N($AX97)&gt;0,N($AX97),""),IF(2&gt;$CQ97,"",IF($CQ97=1,$CW97,$CW97+($CX97-$CW97)*1/($CQ97-1)))))</f>
        <v/>
      </c>
      <c r="BW97" s="88">
        <f>IF($CS97,"",IF($CT97,IF(N($AY97)&gt;0,N($AY97),""),IF(3&gt;$CQ97,"",IF($CQ97=1,$CW97,$CW97+($CX97-$CW97)*2/($CQ97-1)))))</f>
        <v/>
      </c>
      <c r="BX97" s="88">
        <f>IF($CS97,"",IF($CT97,IF(N($AZ97)&gt;0,N($AZ97),""),IF(4&gt;$CQ97,"",IF($CQ97=1,$CW97,$CW97+($CX97-$CW97)*3/($CQ97-1)))))</f>
        <v/>
      </c>
      <c r="BY97" s="88">
        <f>IF($CS97,"",IF($CT97,"",IF(5&gt;$CQ97,"",IF($CQ97=1,$CW97,$CW97+($CX97-$CW97)*4/($CQ97-1)))))</f>
        <v/>
      </c>
      <c r="BZ97" s="88">
        <f>IF(OR($CS97,$AP97="-",AND($AP97="",$AD97="")),"",IF(N($BA97)&gt;0,N($BA97),IF($CV97,IF(AND($BI97&lt;$CU97,$BI97-IF(N(VLOOKUP($AT97&amp;"|"&amp;$CU97,LocTable,7,FALSE))&gt;0,VLOOKUP($AT97&amp;"|"&amp;$CU97,LocTable,7,FALSE),VLOOKUP($AT97&amp;"|"&amp;$CU97,LocTable,6,FALSE))-$CR97-0.75&gt;=2.125),VLOOKUP($AT97&amp;"|"&amp;$CU97,LocTable,8,FALSE),VLOOKUP($AT97&amp;"|"&amp;$CU97,LocTable,8,FALSE)+($BI97-$CU97)),$BI97-LockAFF)))</f>
        <v/>
      </c>
      <c r="CA97" s="89">
        <f>IF($BZ97="","",$BI97-$BZ97)</f>
        <v/>
      </c>
      <c r="CB97" s="84">
        <f>IF(OR(NOT(AND($A97&lt;&gt;"",$C97&lt;&gt;"DOOR ONLY")),$BI97=""),"",IF(($BI97+IF(N($P97)&gt;0,$P97+FaceW,0))&lt;=90,3,IF(($BI97+IF(N($P97)&gt;0,$P97+FaceW,0))&lt;=114,4,5)))</f>
        <v/>
      </c>
      <c r="CC97" s="84">
        <f>IF($CB97="","",$CB97*(2+IF(N($Q97)&gt;0,IF($R97="LR",2,1),0)))</f>
        <v/>
      </c>
      <c r="CD97" s="84">
        <f>IF($CB97="","",(2+IF(N($Q97)&gt;0,IF($R97="LR",2,1),0)))</f>
        <v/>
      </c>
      <c r="CE97" s="84">
        <f>IF(N($BJ97)=0,"",IF(OR($AL97="",$AL97="FLUSH"),"FLUSH",IFERROR(LEFT($AL97,FIND("-",$AL97)-1),LEFT($AL97,2))))</f>
        <v/>
      </c>
      <c r="CF97" s="84">
        <f>IF($CE97="","",IFERROR(VALUE(MID($AL97,FIND("-",$AL97)+1,FIND(CHAR(34)&amp;"x",$AL97)-FIND("-",$AL97)-1)),0))</f>
        <v/>
      </c>
      <c r="CG97" s="84">
        <f>IF($CE97="","",IFERROR(VALUE(MID($AL97,FIND(CHAR(34)&amp;"x",$AL97)+2,FIND(CHAR(34),$AL97,FIND(CHAR(34)&amp;"x",$AL97)+2)-FIND(CHAR(34)&amp;"x",$AL97)-2)),0))</f>
        <v/>
      </c>
      <c r="CH97" s="90">
        <f>IF(OR($A97="",$H97="",$H97="NO LAB"),0,IFERROR(VALUE(LEFT($H97,FIND(" ",$H97)-1)),0))</f>
        <v/>
      </c>
      <c r="CI97" s="91">
        <f>IF(OR($A97="",$I97="",$I97="NON-RATED",N($J97)=0),"",IFERROR(VLOOKUP($I97&amp;"|"&amp;$J97,IBC,2,FALSE),"?"))</f>
        <v/>
      </c>
      <c r="CJ97" s="85">
        <f>IF(NOT(AND($A97&lt;&gt;"",$C97&lt;&gt;"DOOR ONLY")),"",TRIM(IFERROR(VLOOKUP($U97,CODES,2,FALSE),"")&amp;" "&amp;$BG97&amp;" "&amp;IFERROR(VLOOKUP($Z97,CODES,2,FALSE),"")&amp;" "&amp;IFERROR(VLOOKUP($X97,CODES,2,FALSE),"")&amp;" "&amp;IFERROR(VLOOKUP($S97,CODES,2,FALSE),"")&amp;IF(N($P97)&gt;0," w/TRANSOM "&amp;$P97&amp;CHAR(34),"")&amp;IF(N($Q97)&gt;0," w/SIDELITE "&amp;$Q97&amp;CHAR(34)&amp;" "&amp;IF($R97="","R",$R97),"")&amp;IF($Y97="","  |  "," | "&amp;IFERROR(VLOOKUP($Y97,CODES,2,FALSE),"")&amp;" | ")&amp;IFERROR(VLOOKUP($AC97,CODES,2,FALSE),"")&amp;" "&amp;IFERROR(VLOOKUP($AD97,CODES,2,FALSE),"")&amp;IF(OR($AE97="",$AE97="-"),""," "&amp;$AE97)&amp;IF(OR($AF97="",$AF97="-"),""," "&amp;$AF97)&amp;IF($AB97="Y"," 4"&amp;CHAR(34)&amp;" HEAD","")&amp;" "&amp;IFERROR(VLOOKUP($H97,CODES,2,FALSE),"")&amp;IF($CT97," | LOC "&amp;$CY97,"")))</f>
        <v/>
      </c>
      <c r="CK97" s="85">
        <f>IF(NOT(AND($A97&lt;&gt;"",N($BJ97)&gt;0)),"",TRIM(IFERROR(VLOOKUP($AH97,CODES,2,FALSE),"")&amp;IF($AI97=""," "," "&amp;$AI97&amp;"GA ")&amp;$BG97&amp;" "&amp;IF($AN97="",IFERROR(VLOOKUP($Z97,CODES,2,FALSE),""),IFERROR(VLOOKUP($AN97,CODES,2,FALSE),""))&amp;IF($BJ97=2," PAIR","")&amp;" DOOR | "&amp;IF($AL97="","?",$AL97)&amp;" | "&amp;IF($AO97="",IFERROR(VLOOKUP($AC97,CODES,2,FALSE),""),IFERROR(VLOOKUP($AO97,CODES,2,FALSE),""))&amp;" "&amp;IFERROR(VLOOKUP($AP97,CODES,2,FALSE),"")&amp;IF(OR($AQ97="",$AQ97="-"),""," SEAM "&amp;$AQ97)&amp;IF($AR97="Y"," ASTRAGAL","")&amp;IF($AJ97=""," "," "&amp;$AJ97)&amp;IF($AK97=""," "," "&amp;$AK97)&amp;IF(OR($AT97="",$AT97="ANSI/SDI",$AT97="CUSTOM LOC"),""," "&amp;$AT97)&amp;IF($AM97=""," "," SERIES "&amp;$AM97)&amp;" "&amp;IFERROR(VLOOKUP($H97,CODES,2,FALSE),"")&amp;IF($CT97," | LOC "&amp;$CZ97,"")))</f>
        <v/>
      </c>
      <c r="CL97" s="84">
        <f>IF(CP97="","",IF(COUNTIF($CP$6:CP97,CP97)=1,MAX($CL$5:CL96)+1,INDEX($CL$5:CL96,MATCH(CP97,$CP$5:CP96,0))))</f>
        <v/>
      </c>
      <c r="CM97" s="84">
        <f>IF(NOT(AND($A97&lt;&gt;"",$C97&lt;&gt;"DOOR ONLY")),"",MAX($CM$5:CM96)+1)</f>
        <v/>
      </c>
      <c r="CN97" s="84">
        <f>IF(NOT(AND($A97&lt;&gt;"",N($BJ97)&gt;0)),"",MAX($CN$5:CN96)+1)</f>
        <v/>
      </c>
      <c r="CO97" s="84">
        <f>IF($A97="","",MAX($CO$5:CO96)+1)</f>
        <v/>
      </c>
      <c r="CP97" s="84">
        <f>IF(OR($A97="",$BH97="",$BI97=""),"",$BG97&amp;"|"&amp;$O97&amp;"|"&amp;$AL97&amp;"|"&amp;$S97&amp;"|"&amp;$P97&amp;"|"&amp;$Q97&amp;$R97&amp;"|"&amp;$C97&amp;"|"&amp;$AB97)</f>
        <v/>
      </c>
      <c r="CQ97" s="84">
        <f>N($BS97)</f>
        <v/>
      </c>
      <c r="CR97" s="84">
        <f>IF(N($AU97)&gt;0,N($AU97),4.5)</f>
        <v/>
      </c>
      <c r="CS97" s="84">
        <f>OR($A97="",$BI97="",$S97="BL",AND($C97="FRAME ONLY",OR($AC97="",$AC97="BLK")))</f>
        <v/>
      </c>
      <c r="CT97" s="84">
        <f>AND(NOT($CS97),OR($AT97="CUSTOM LOC",N($AW97)+N($AX97)+N($AY97)+N($AZ97)+N($BA97)&gt;0))</f>
        <v/>
      </c>
      <c r="CU97" s="84">
        <f>IF($BI97="","",IF($BI97&lt;=80,80,IF($BI97&lt;=84,84,96)))</f>
        <v/>
      </c>
      <c r="CV97" s="84">
        <f>ISNUMBER(MATCH($AT97&amp;"|80",LocKeys,0))</f>
        <v/>
      </c>
      <c r="CW97" s="86">
        <f>IF($CS97,"",IF($CV97,VLOOKUP($AT97&amp;"|"&amp;$CU97,LocTable,4,FALSE),5))</f>
        <v/>
      </c>
      <c r="CX97" s="86">
        <f>IF($CS97,"",IF($CV97,IF(OR($BI97=$CU97,AND($BI97&lt;$CU97,$BI97-IF(N(VLOOKUP($AT97&amp;"|"&amp;$CU97,LocTable,7,FALSE))&gt;0,VLOOKUP($AT97&amp;"|"&amp;$CU97,LocTable,7,FALSE),VLOOKUP($AT97&amp;"|"&amp;$CU97,LocTable,6,FALSE))-$CR97-0.75&gt;=2.125)),IF(N(VLOOKUP($AT97&amp;"|"&amp;$CU97,LocTable,7,FALSE))&gt;0,VLOOKUP($AT97&amp;"|"&amp;$CU97,LocTable,7,FALSE),VLOOKUP($AT97&amp;"|"&amp;$CU97,LocTable,6,FALSE)),$BI97-($CU97-IF(N(VLOOKUP($AT97&amp;"|"&amp;$CU97,LocTable,7,FALSE))&gt;0,VLOOKUP($AT97&amp;"|"&amp;$CU97,LocTable,7,FALSE),VLOOKUP($AT97&amp;"|"&amp;$CU97,LocTable,6,FALSE)))),$BI97-10-$CR97))</f>
        <v/>
      </c>
      <c r="CY97" s="85">
        <f>IF($CS97,"",TRIM(IF(ISNUMBER($BU97),"A "&amp;TRIM(TEXT($BU97,"# ?/??"))&amp;CHAR(34)&amp;"  ","")&amp;IF(ISNUMBER($BV97),"B "&amp;TRIM(TEXT($BV97,"# ?/??"))&amp;CHAR(34)&amp;"  ","")&amp;IF(ISNUMBER($BW97),"C "&amp;TRIM(TEXT($BW97,"# ?/??"))&amp;CHAR(34)&amp;"  ","")&amp;IF(ISNUMBER($BX97),"D "&amp;TRIM(TEXT($BX97,"# ?/??"))&amp;CHAR(34)&amp;"  ","")&amp;IF(ISNUMBER($BY97),"F "&amp;TRIM(TEXT($BY97,"# ?/??"))&amp;CHAR(34)&amp;"  ","")&amp;IF(ISNUMBER($BZ97),"E "&amp;TRIM(TEXT($BZ97,"# ?/??"))&amp;CHAR(34)&amp;"  ","")))</f>
        <v/>
      </c>
      <c r="CZ97" s="85">
        <f>IF(OR($CS97,N($BJ97)=0),"",TRIM(IF(ISNUMBER($BU97),"A "&amp;TRIM(TEXT($BU97-HeadClr,"# ?/??"))&amp;CHAR(34)&amp;"  ","")&amp;IF(ISNUMBER($BV97),"B "&amp;TRIM(TEXT($BV97-HeadClr,"# ?/??"))&amp;CHAR(34)&amp;"  ","")&amp;IF(ISNUMBER($BW97),"C "&amp;TRIM(TEXT($BW97-HeadClr,"# ?/??"))&amp;CHAR(34)&amp;"  ","")&amp;IF(ISNUMBER($BX97),"D "&amp;TRIM(TEXT($BX97-HeadClr,"# ?/??"))&amp;CHAR(34)&amp;"  ","")&amp;IF(ISNUMBER($BY97),"F "&amp;TRIM(TEXT($BY97-HeadClr,"# ?/??"))&amp;CHAR(34)&amp;"  ","")&amp;IF(ISNUMBER($BZ97),"E "&amp;TRIM(TEXT($BZ97-HeadClr,"# ?/??"))&amp;CHAR(34)&amp;"  ","")))</f>
        <v/>
      </c>
      <c r="DA97" s="84">
        <f>IF($A97="","",IF($AN97="",IFERROR(VLOOKUP($Z97,CODES,2,FALSE),""),IFERROR(VLOOKUP($AN97,CODES,2,FALSE),"")))</f>
        <v/>
      </c>
      <c r="DB97" s="84">
        <f>IF($A97="","",IF($O97="Y","PR",IF(OR($Z97="L",$Z97="RR",LEFT($Z97,2)="L-",LEFT($Z97,3)="RR-"),"LH","RH")))</f>
        <v/>
      </c>
      <c r="DC97" s="84">
        <f>IF($A97="","","S.HM"&amp;IF(OR($C97="DOOR ONLY",$X97&lt;&gt;"KD"),"MASONRY","DRYWALL")&amp;IF($C97="DOOR ONLY","",$U97)&amp;IF(AND($C97&lt;&gt;"FRAME ONLY",OR(LEFT($AH97,3)="OAK",LEFT($AH97,3)="BIR",LEFT($AH97,3)="MAP",$AH97="PC",$AH97="MC",$AH97="SCLC",$AH97="P-LAM")),"WD","HM")&amp;"1.75")</f>
        <v/>
      </c>
      <c r="DD97" s="84">
        <f>IF($CJ97="","",IF($O97="Y",$CJ97,SUBSTITUTE($CJ97,$BG97&amp;" "&amp;IFERROR(VLOOKUP($Z97,CODES,2,FALSE),"")&amp;" ",$BG97&amp;" ")))</f>
        <v/>
      </c>
      <c r="DE97" s="84">
        <f>IF($CK97="","",IF($O97="Y",$CK97,SUBSTITUTE($CK97,$BG97&amp;" "&amp;IF($AN97="",IFERROR(VLOOKUP($Z97,CODES,2,FALSE),""),IFERROR(VLOOKUP($AN97,CODES,2,FALSE),""))&amp;" ",$BG97&amp;" ")))</f>
        <v/>
      </c>
      <c r="DF97" s="84">
        <f>IF($CJ97="","",$DC97&amp;"|"&amp;$DD97&amp;"|"&amp;$DB97&amp;"|"&amp;$AT97&amp;"|"&amp;$V97&amp;"|"&amp;$Y97&amp;"|"&amp;$AB97)</f>
        <v/>
      </c>
      <c r="DG97" s="84">
        <f>IF(DF97="","",IF(COUNTIF($DF$6:DF97,DF97)=1,MAX($DG$5:DG96)+1,INDEX($DG$5:DG96,MATCH(DF97,$DF$5:DF96,0))))</f>
        <v/>
      </c>
      <c r="DH97" s="84">
        <f>IF($CK97="","",$DC97&amp;"|"&amp;$DE97&amp;"|"&amp;$AI97&amp;"|"&amp;$BK97&amp;"|"&amp;$BL97)</f>
        <v/>
      </c>
      <c r="DI97" s="84">
        <f>IF(DH97="","",IF(COUNTIF($DH$6:DH97,DH97)=1,MAX($DI$5:DI96)+1,INDEX($DI$5:DI96,MATCH(DH97,$DH$5:DH96,0))))</f>
        <v/>
      </c>
      <c r="DJ97" s="84">
        <f>IF($A97="","",IF($B97="","qty, ","")&amp;IF($C97="","scope, ","")&amp;IF(OR($K97="",$M97=""),"size, ","")&amp;IF(AND($A97&lt;&gt;"",$C97&lt;&gt;"DOOR ONLY"),IF($U97="","jamb depth, ","")&amp;IF($X97="","construction, ","")&amp;IF($Y97="","anchor, ","")&amp;IF($S97="","frame type, ",""),"")&amp;IF(AND(N($BJ97)&gt;0,$Z97=""),"hand, ","")&amp;IF(N($BJ97)&gt;0,IF($AH97="","door material, ","")&amp;IF($AL97="","face type, ","")&amp;IF($AP97="","lock prep, ","")&amp;IF(AND($AO97="",$AC97=""),"hinge prep, ",""),"")&amp;IF(AND($CH97&gt;0,$AH97="FRP"),"FRP cannot carry a label, ","")&amp;IF(AND($O97="Y",OR($Z97="L",$Z97="R",$Z97="LR",$Z97="RR")),"pair marked but hand is single, ","")&amp;IF(AND($O97&lt;&gt;"Y",OR($Z97="PR",AND(LEN($Z97)&gt;1,ISNUMBER(SEARCH("-",$Z97))))),"pair hand on a single door, ","")&amp;IF(AND(ISNUMBER($CI97),$CH97&lt;N($CI97)),"wall needs a "&amp;$CI97&amp;" min door, ","")&amp;IF(AND($CH97&gt;=180,AND(OR($CE97="FG",$CE97="HG",$CE97="FNV",$CE97="FV"),N($CF97)*N($CG97)&gt;100)),"180 min lite over 100 sq in, ","")&amp;IF(N($BK97)&gt;48,"leaf wider than 4'-0"&amp;CHAR(34)&amp;", ","")&amp;IF(AND($CT97,COUNT($AW97:$AZ97)=0,$CQ97&gt;0),"CUSTOM LOC with no locations typed, ",""))</f>
        <v/>
      </c>
      <c r="DK97" s="84">
        <f>IF($A97="","",IF(AND($CH97&gt;0,AND($A97&lt;&gt;"",$C97&lt;&gt;"DOOR ONLY"),$X97="KD",$E97="EXTERIOR"),"KD label on an exterior opening, ","")&amp;IF(AND($E97="EXTERIOR",OR(AND(AND($A97&lt;&gt;"",$C97&lt;&gt;"DOOR ONLY"),$W97="CR"),AND(N($BJ97)&gt;0,$AH97="CR"))),"exterior in CR steel (G9?), ","")&amp;IF(AND(ISNUMBER($BQ97),N($BQ97)&lt;32),"clear width ~"&amp;TEXT($BQ97,"0.0")&amp;CHAR(34)&amp;" under 32"&amp;CHAR(34)&amp;" (ADA), ","")&amp;IF(AND($CH97=90,AND(OR($CE97="FG",$CE97="HG",$CE97="FNV",$CE97="FV"),N($CF97)*N($CG97)&gt;100)),"90 min lite over 100 sq in (stair/exit), ","")&amp;IF(AND($CH97&gt;0,AND($A97&lt;&gt;"",$C97&lt;&gt;"DOOR ONLY"),OR($AF97="",$AF97="-")),"rated: closer reinf.?, ","")&amp;IF(OR($I97="CORRIDOR",$I97="SMOKE BARRIER"),"S label + smoke gasketing, ","")&amp;IF($CI97="?","wall type/hr not in IBC table, ","")&amp;IF(AND(N($BJ97)&gt;0,$BB97=""),"no hardware set, ","")&amp;IF(AND($BB97&lt;&gt;"",ISNA(MATCH($BB97&amp;"",HWSets,0))),"set "&amp;$BB97&amp;" not on HW Sets, ","")&amp;IF(N($BL97)&gt;96,"leaf over 8'-0"&amp;CHAR(34)&amp;" - check listing, ","")&amp;IF(AND($CT97,COUNT($AW97:$AZ97)&gt;0,COUNT($AW97:$AZ97)&lt;&gt;$CQ97),COUNT($AW97:$AZ97)&amp;" custom hinges typed, "&amp;$CQ97&amp;" expected, ","")&amp;IF(AND(ISNUMBER($CA97),OR(N($CA97)&lt;34,N($CA97)&gt;48)),"lock "&amp;TEXT($CA97,"0.0")&amp;CHAR(34)&amp;" AFF outside 34-48"&amp;CHAR(34)&amp;" (ADA), ","")&amp;IF(AND(ISNUMBER($AV97),ISNUMBER($BL97),N($AV97)&lt;IF(N($BL97)&lt;=60,2,IF(N($BL97)&lt;=90,3,IF(N($BL97)&lt;=120,4,5)))),"fewer hinges than standard, ",""))</f>
        <v/>
      </c>
    </row>
    <row r="98" ht="15" customHeight="1">
      <c r="A98" s="77" t="n"/>
      <c r="B98" s="78" t="n"/>
      <c r="C98" s="78" t="n"/>
      <c r="D98" s="78" t="n"/>
      <c r="E98" s="78" t="n"/>
      <c r="F98" s="78" t="n"/>
      <c r="G98" s="78" t="n"/>
      <c r="H98" s="78" t="n"/>
      <c r="I98" s="78" t="n"/>
      <c r="J98" s="78" t="n"/>
      <c r="K98" s="78" t="n"/>
      <c r="L98" s="78" t="n"/>
      <c r="M98" s="78" t="n"/>
      <c r="N98" s="78" t="n"/>
      <c r="O98" s="78" t="n"/>
      <c r="P98" s="78" t="n"/>
      <c r="Q98" s="78" t="n"/>
      <c r="R98" s="78" t="n"/>
      <c r="S98" s="79" t="n"/>
      <c r="T98" s="79" t="n"/>
      <c r="U98" s="79" t="n"/>
      <c r="V98" s="79" t="n"/>
      <c r="W98" s="79" t="n"/>
      <c r="X98" s="79" t="n"/>
      <c r="Y98" s="79" t="n"/>
      <c r="Z98" s="79" t="n"/>
      <c r="AA98" s="79" t="n"/>
      <c r="AB98" s="79" t="n"/>
      <c r="AC98" s="79" t="n"/>
      <c r="AD98" s="79" t="n"/>
      <c r="AE98" s="79" t="n"/>
      <c r="AF98" s="79" t="n"/>
      <c r="AG98" s="79" t="n"/>
      <c r="AH98" s="80" t="n"/>
      <c r="AI98" s="80" t="n"/>
      <c r="AJ98" s="80" t="n"/>
      <c r="AK98" s="80" t="n"/>
      <c r="AL98" s="80" t="n"/>
      <c r="AM98" s="80" t="n"/>
      <c r="AN98" s="80" t="n"/>
      <c r="AO98" s="80" t="n"/>
      <c r="AP98" s="80" t="n"/>
      <c r="AQ98" s="80" t="n"/>
      <c r="AR98" s="80" t="n"/>
      <c r="AS98" s="80" t="n"/>
      <c r="AT98" s="81" t="n"/>
      <c r="AU98" s="81" t="n"/>
      <c r="AV98" s="81" t="n"/>
      <c r="AW98" s="82" t="n"/>
      <c r="AX98" s="82" t="n"/>
      <c r="AY98" s="82" t="n"/>
      <c r="AZ98" s="82" t="n"/>
      <c r="BA98" s="82" t="n"/>
      <c r="BB98" s="83" t="n"/>
      <c r="BC98" s="83" t="n"/>
      <c r="BD98" s="84">
        <f>IF($A98="","",IF($DJ98&lt;&gt;"","FIX",IF($DK98&lt;&gt;"","CHECK","OK")))</f>
        <v/>
      </c>
      <c r="BE98" s="85">
        <f>IF($A98="","",IF($DJ98&lt;&gt;"","FIX: "&amp;LEFT($DJ98,LEN($DJ98)-2)&amp;IF($DK98&lt;&gt;"","  ·  ",""),"")&amp;IF($DK98&lt;&gt;"","CHECK: "&amp;LEFT($DK98,LEN($DK98)-2),""))</f>
        <v/>
      </c>
      <c r="BF98" s="84">
        <f>IF(OR($A98="",$K98=""),"",$K98&amp;"'-"&amp;N($L98)&amp;CHAR(34)&amp;" x "&amp;$M98&amp;"'-"&amp;N($N98)&amp;CHAR(34))</f>
        <v/>
      </c>
      <c r="BG98" s="84">
        <f>IF(OR($A98="",$K98=""),"",$K98&amp;N($L98)&amp;$M98&amp;N($N98))</f>
        <v/>
      </c>
      <c r="BH98" s="84">
        <f>IF(OR($A98="",$K98=""),"",$K98*12+N($L98))</f>
        <v/>
      </c>
      <c r="BI98" s="84">
        <f>IF(OR($A98="",$M98=""),"",$M98*12+N($N98))</f>
        <v/>
      </c>
      <c r="BJ98" s="84">
        <f>IF($A98="","",IF(OR($C98="FRAME ONLY",$S98="BL"),0,IF($O98="Y",2,1)))</f>
        <v/>
      </c>
      <c r="BK98" s="86">
        <f>IF(OR(N($BJ98)=0,$BH98=""),"",($BH98-2*EdgeClr-IF($BJ98=2,MeetClr,0))/$BJ98)</f>
        <v/>
      </c>
      <c r="BL98" s="86">
        <f>IF(OR(N($BJ98)=0,$BI98=""),"",$BI98-HeadClr-Undercut)</f>
        <v/>
      </c>
      <c r="BM98" s="86">
        <f>IF($BH98="","",$BH98+2*FaceW+IF(N($Q98)&gt;0,($Q98+FaceW)*IF($R98="LR",2,1),0))</f>
        <v/>
      </c>
      <c r="BN98" s="86">
        <f>IF($BI98="","",$BI98+IF($AB98="Y",4,FaceW)+IF(N($P98)&gt;0,$P98+FaceW,0)+IF(OR($S98="4F",$S98="BL"),FaceW,0))</f>
        <v/>
      </c>
      <c r="BO98" s="86">
        <f>IF($BM98="","",$BM98+2*ROSide)</f>
        <v/>
      </c>
      <c r="BP98" s="86">
        <f>IF($BN98="","",$BN98+ROTop)</f>
        <v/>
      </c>
      <c r="BQ98" s="87">
        <f>IF(OR(N($BJ98)=0,$BH98=""),"",$BH98/$BJ98-ClearDeduct)</f>
        <v/>
      </c>
      <c r="BR98" s="84">
        <f>IF(N($CH98)=0,"",IF($CH98&gt;=180,"A · 3 HR",IF($CH98&gt;=90,"B · 1-1/2 HR",IF($CH98&gt;=60,"B · 1 HR",IF($CH98&gt;=45,"C · 3/4 HR","20 MIN")))))&amp;IF(AND(N($CH98)&gt;0,OR($I98="CORRIDOR",$I98="SMOKE BARRIER"))," · S","")</f>
        <v/>
      </c>
      <c r="BS98" s="84">
        <f>IF($CS98,"",IF($AV98&lt;&gt;"",$AV98,IF(OR($AC98="HGC",$AO98="HGC"),"CONT",IF(($BI98-HeadClr-Undercut)&lt;=60,2,IF(($BI98-HeadClr-Undercut)&lt;=90,3,IF(($BI98-HeadClr-Undercut)&lt;=120,4,5))))))</f>
        <v/>
      </c>
      <c r="BT98" s="84">
        <f>IF($CS98,"",IF($CT98,"CUSTOM (typed)",IF($CV98,$AT98&amp;" "&amp;$CU98&amp;CHAR(34)&amp;IF($CU98&lt;&gt;$BI98,IF(AND($BI98&lt;$CU98,$BI98-IF(N(VLOOKUP($AT98&amp;"|"&amp;$CU98,LocTable,7,FALSE))&gt;0,VLOOKUP($AT98&amp;"|"&amp;$CU98,LocTable,7,FALSE),VLOOKUP($AT98&amp;"|"&amp;$CU98,LocTable,6,FALSE))-$CR98-0.75&gt;=2.125)," cut down"," adj."),""),"ANSI/SDI A250.6")))</f>
        <v/>
      </c>
      <c r="BU98" s="88">
        <f>IF($CS98,"",IF($CT98,IF(N($AW98)&gt;0,N($AW98),""),IF(1&gt;$CQ98,"",IF($CQ98=1,$CW98,$CW98+($CX98-$CW98)*0/($CQ98-1)))))</f>
        <v/>
      </c>
      <c r="BV98" s="88">
        <f>IF($CS98,"",IF($CT98,IF(N($AX98)&gt;0,N($AX98),""),IF(2&gt;$CQ98,"",IF($CQ98=1,$CW98,$CW98+($CX98-$CW98)*1/($CQ98-1)))))</f>
        <v/>
      </c>
      <c r="BW98" s="88">
        <f>IF($CS98,"",IF($CT98,IF(N($AY98)&gt;0,N($AY98),""),IF(3&gt;$CQ98,"",IF($CQ98=1,$CW98,$CW98+($CX98-$CW98)*2/($CQ98-1)))))</f>
        <v/>
      </c>
      <c r="BX98" s="88">
        <f>IF($CS98,"",IF($CT98,IF(N($AZ98)&gt;0,N($AZ98),""),IF(4&gt;$CQ98,"",IF($CQ98=1,$CW98,$CW98+($CX98-$CW98)*3/($CQ98-1)))))</f>
        <v/>
      </c>
      <c r="BY98" s="88">
        <f>IF($CS98,"",IF($CT98,"",IF(5&gt;$CQ98,"",IF($CQ98=1,$CW98,$CW98+($CX98-$CW98)*4/($CQ98-1)))))</f>
        <v/>
      </c>
      <c r="BZ98" s="88">
        <f>IF(OR($CS98,$AP98="-",AND($AP98="",$AD98="")),"",IF(N($BA98)&gt;0,N($BA98),IF($CV98,IF(AND($BI98&lt;$CU98,$BI98-IF(N(VLOOKUP($AT98&amp;"|"&amp;$CU98,LocTable,7,FALSE))&gt;0,VLOOKUP($AT98&amp;"|"&amp;$CU98,LocTable,7,FALSE),VLOOKUP($AT98&amp;"|"&amp;$CU98,LocTable,6,FALSE))-$CR98-0.75&gt;=2.125),VLOOKUP($AT98&amp;"|"&amp;$CU98,LocTable,8,FALSE),VLOOKUP($AT98&amp;"|"&amp;$CU98,LocTable,8,FALSE)+($BI98-$CU98)),$BI98-LockAFF)))</f>
        <v/>
      </c>
      <c r="CA98" s="89">
        <f>IF($BZ98="","",$BI98-$BZ98)</f>
        <v/>
      </c>
      <c r="CB98" s="84">
        <f>IF(OR(NOT(AND($A98&lt;&gt;"",$C98&lt;&gt;"DOOR ONLY")),$BI98=""),"",IF(($BI98+IF(N($P98)&gt;0,$P98+FaceW,0))&lt;=90,3,IF(($BI98+IF(N($P98)&gt;0,$P98+FaceW,0))&lt;=114,4,5)))</f>
        <v/>
      </c>
      <c r="CC98" s="84">
        <f>IF($CB98="","",$CB98*(2+IF(N($Q98)&gt;0,IF($R98="LR",2,1),0)))</f>
        <v/>
      </c>
      <c r="CD98" s="84">
        <f>IF($CB98="","",(2+IF(N($Q98)&gt;0,IF($R98="LR",2,1),0)))</f>
        <v/>
      </c>
      <c r="CE98" s="84">
        <f>IF(N($BJ98)=0,"",IF(OR($AL98="",$AL98="FLUSH"),"FLUSH",IFERROR(LEFT($AL98,FIND("-",$AL98)-1),LEFT($AL98,2))))</f>
        <v/>
      </c>
      <c r="CF98" s="84">
        <f>IF($CE98="","",IFERROR(VALUE(MID($AL98,FIND("-",$AL98)+1,FIND(CHAR(34)&amp;"x",$AL98)-FIND("-",$AL98)-1)),0))</f>
        <v/>
      </c>
      <c r="CG98" s="84">
        <f>IF($CE98="","",IFERROR(VALUE(MID($AL98,FIND(CHAR(34)&amp;"x",$AL98)+2,FIND(CHAR(34),$AL98,FIND(CHAR(34)&amp;"x",$AL98)+2)-FIND(CHAR(34)&amp;"x",$AL98)-2)),0))</f>
        <v/>
      </c>
      <c r="CH98" s="90">
        <f>IF(OR($A98="",$H98="",$H98="NO LAB"),0,IFERROR(VALUE(LEFT($H98,FIND(" ",$H98)-1)),0))</f>
        <v/>
      </c>
      <c r="CI98" s="91">
        <f>IF(OR($A98="",$I98="",$I98="NON-RATED",N($J98)=0),"",IFERROR(VLOOKUP($I98&amp;"|"&amp;$J98,IBC,2,FALSE),"?"))</f>
        <v/>
      </c>
      <c r="CJ98" s="85">
        <f>IF(NOT(AND($A98&lt;&gt;"",$C98&lt;&gt;"DOOR ONLY")),"",TRIM(IFERROR(VLOOKUP($U98,CODES,2,FALSE),"")&amp;" "&amp;$BG98&amp;" "&amp;IFERROR(VLOOKUP($Z98,CODES,2,FALSE),"")&amp;" "&amp;IFERROR(VLOOKUP($X98,CODES,2,FALSE),"")&amp;" "&amp;IFERROR(VLOOKUP($S98,CODES,2,FALSE),"")&amp;IF(N($P98)&gt;0," w/TRANSOM "&amp;$P98&amp;CHAR(34),"")&amp;IF(N($Q98)&gt;0," w/SIDELITE "&amp;$Q98&amp;CHAR(34)&amp;" "&amp;IF($R98="","R",$R98),"")&amp;IF($Y98="","  |  "," | "&amp;IFERROR(VLOOKUP($Y98,CODES,2,FALSE),"")&amp;" | ")&amp;IFERROR(VLOOKUP($AC98,CODES,2,FALSE),"")&amp;" "&amp;IFERROR(VLOOKUP($AD98,CODES,2,FALSE),"")&amp;IF(OR($AE98="",$AE98="-"),""," "&amp;$AE98)&amp;IF(OR($AF98="",$AF98="-"),""," "&amp;$AF98)&amp;IF($AB98="Y"," 4"&amp;CHAR(34)&amp;" HEAD","")&amp;" "&amp;IFERROR(VLOOKUP($H98,CODES,2,FALSE),"")&amp;IF($CT98," | LOC "&amp;$CY98,"")))</f>
        <v/>
      </c>
      <c r="CK98" s="85">
        <f>IF(NOT(AND($A98&lt;&gt;"",N($BJ98)&gt;0)),"",TRIM(IFERROR(VLOOKUP($AH98,CODES,2,FALSE),"")&amp;IF($AI98=""," "," "&amp;$AI98&amp;"GA ")&amp;$BG98&amp;" "&amp;IF($AN98="",IFERROR(VLOOKUP($Z98,CODES,2,FALSE),""),IFERROR(VLOOKUP($AN98,CODES,2,FALSE),""))&amp;IF($BJ98=2," PAIR","")&amp;" DOOR | "&amp;IF($AL98="","?",$AL98)&amp;" | "&amp;IF($AO98="",IFERROR(VLOOKUP($AC98,CODES,2,FALSE),""),IFERROR(VLOOKUP($AO98,CODES,2,FALSE),""))&amp;" "&amp;IFERROR(VLOOKUP($AP98,CODES,2,FALSE),"")&amp;IF(OR($AQ98="",$AQ98="-"),""," SEAM "&amp;$AQ98)&amp;IF($AR98="Y"," ASTRAGAL","")&amp;IF($AJ98=""," "," "&amp;$AJ98)&amp;IF($AK98=""," "," "&amp;$AK98)&amp;IF(OR($AT98="",$AT98="ANSI/SDI",$AT98="CUSTOM LOC"),""," "&amp;$AT98)&amp;IF($AM98=""," "," SERIES "&amp;$AM98)&amp;" "&amp;IFERROR(VLOOKUP($H98,CODES,2,FALSE),"")&amp;IF($CT98," | LOC "&amp;$CZ98,"")))</f>
        <v/>
      </c>
      <c r="CL98" s="84">
        <f>IF(CP98="","",IF(COUNTIF($CP$6:CP98,CP98)=1,MAX($CL$5:CL97)+1,INDEX($CL$5:CL97,MATCH(CP98,$CP$5:CP97,0))))</f>
        <v/>
      </c>
      <c r="CM98" s="84">
        <f>IF(NOT(AND($A98&lt;&gt;"",$C98&lt;&gt;"DOOR ONLY")),"",MAX($CM$5:CM97)+1)</f>
        <v/>
      </c>
      <c r="CN98" s="84">
        <f>IF(NOT(AND($A98&lt;&gt;"",N($BJ98)&gt;0)),"",MAX($CN$5:CN97)+1)</f>
        <v/>
      </c>
      <c r="CO98" s="84">
        <f>IF($A98="","",MAX($CO$5:CO97)+1)</f>
        <v/>
      </c>
      <c r="CP98" s="84">
        <f>IF(OR($A98="",$BH98="",$BI98=""),"",$BG98&amp;"|"&amp;$O98&amp;"|"&amp;$AL98&amp;"|"&amp;$S98&amp;"|"&amp;$P98&amp;"|"&amp;$Q98&amp;$R98&amp;"|"&amp;$C98&amp;"|"&amp;$AB98)</f>
        <v/>
      </c>
      <c r="CQ98" s="84">
        <f>N($BS98)</f>
        <v/>
      </c>
      <c r="CR98" s="84">
        <f>IF(N($AU98)&gt;0,N($AU98),4.5)</f>
        <v/>
      </c>
      <c r="CS98" s="84">
        <f>OR($A98="",$BI98="",$S98="BL",AND($C98="FRAME ONLY",OR($AC98="",$AC98="BLK")))</f>
        <v/>
      </c>
      <c r="CT98" s="84">
        <f>AND(NOT($CS98),OR($AT98="CUSTOM LOC",N($AW98)+N($AX98)+N($AY98)+N($AZ98)+N($BA98)&gt;0))</f>
        <v/>
      </c>
      <c r="CU98" s="84">
        <f>IF($BI98="","",IF($BI98&lt;=80,80,IF($BI98&lt;=84,84,96)))</f>
        <v/>
      </c>
      <c r="CV98" s="84">
        <f>ISNUMBER(MATCH($AT98&amp;"|80",LocKeys,0))</f>
        <v/>
      </c>
      <c r="CW98" s="86">
        <f>IF($CS98,"",IF($CV98,VLOOKUP($AT98&amp;"|"&amp;$CU98,LocTable,4,FALSE),5))</f>
        <v/>
      </c>
      <c r="CX98" s="86">
        <f>IF($CS98,"",IF($CV98,IF(OR($BI98=$CU98,AND($BI98&lt;$CU98,$BI98-IF(N(VLOOKUP($AT98&amp;"|"&amp;$CU98,LocTable,7,FALSE))&gt;0,VLOOKUP($AT98&amp;"|"&amp;$CU98,LocTable,7,FALSE),VLOOKUP($AT98&amp;"|"&amp;$CU98,LocTable,6,FALSE))-$CR98-0.75&gt;=2.125)),IF(N(VLOOKUP($AT98&amp;"|"&amp;$CU98,LocTable,7,FALSE))&gt;0,VLOOKUP($AT98&amp;"|"&amp;$CU98,LocTable,7,FALSE),VLOOKUP($AT98&amp;"|"&amp;$CU98,LocTable,6,FALSE)),$BI98-($CU98-IF(N(VLOOKUP($AT98&amp;"|"&amp;$CU98,LocTable,7,FALSE))&gt;0,VLOOKUP($AT98&amp;"|"&amp;$CU98,LocTable,7,FALSE),VLOOKUP($AT98&amp;"|"&amp;$CU98,LocTable,6,FALSE)))),$BI98-10-$CR98))</f>
        <v/>
      </c>
      <c r="CY98" s="85">
        <f>IF($CS98,"",TRIM(IF(ISNUMBER($BU98),"A "&amp;TRIM(TEXT($BU98,"# ?/??"))&amp;CHAR(34)&amp;"  ","")&amp;IF(ISNUMBER($BV98),"B "&amp;TRIM(TEXT($BV98,"# ?/??"))&amp;CHAR(34)&amp;"  ","")&amp;IF(ISNUMBER($BW98),"C "&amp;TRIM(TEXT($BW98,"# ?/??"))&amp;CHAR(34)&amp;"  ","")&amp;IF(ISNUMBER($BX98),"D "&amp;TRIM(TEXT($BX98,"# ?/??"))&amp;CHAR(34)&amp;"  ","")&amp;IF(ISNUMBER($BY98),"F "&amp;TRIM(TEXT($BY98,"# ?/??"))&amp;CHAR(34)&amp;"  ","")&amp;IF(ISNUMBER($BZ98),"E "&amp;TRIM(TEXT($BZ98,"# ?/??"))&amp;CHAR(34)&amp;"  ","")))</f>
        <v/>
      </c>
      <c r="CZ98" s="85">
        <f>IF(OR($CS98,N($BJ98)=0),"",TRIM(IF(ISNUMBER($BU98),"A "&amp;TRIM(TEXT($BU98-HeadClr,"# ?/??"))&amp;CHAR(34)&amp;"  ","")&amp;IF(ISNUMBER($BV98),"B "&amp;TRIM(TEXT($BV98-HeadClr,"# ?/??"))&amp;CHAR(34)&amp;"  ","")&amp;IF(ISNUMBER($BW98),"C "&amp;TRIM(TEXT($BW98-HeadClr,"# ?/??"))&amp;CHAR(34)&amp;"  ","")&amp;IF(ISNUMBER($BX98),"D "&amp;TRIM(TEXT($BX98-HeadClr,"# ?/??"))&amp;CHAR(34)&amp;"  ","")&amp;IF(ISNUMBER($BY98),"F "&amp;TRIM(TEXT($BY98-HeadClr,"# ?/??"))&amp;CHAR(34)&amp;"  ","")&amp;IF(ISNUMBER($BZ98),"E "&amp;TRIM(TEXT($BZ98-HeadClr,"# ?/??"))&amp;CHAR(34)&amp;"  ","")))</f>
        <v/>
      </c>
      <c r="DA98" s="84">
        <f>IF($A98="","",IF($AN98="",IFERROR(VLOOKUP($Z98,CODES,2,FALSE),""),IFERROR(VLOOKUP($AN98,CODES,2,FALSE),"")))</f>
        <v/>
      </c>
      <c r="DB98" s="84">
        <f>IF($A98="","",IF($O98="Y","PR",IF(OR($Z98="L",$Z98="RR",LEFT($Z98,2)="L-",LEFT($Z98,3)="RR-"),"LH","RH")))</f>
        <v/>
      </c>
      <c r="DC98" s="84">
        <f>IF($A98="","","S.HM"&amp;IF(OR($C98="DOOR ONLY",$X98&lt;&gt;"KD"),"MASONRY","DRYWALL")&amp;IF($C98="DOOR ONLY","",$U98)&amp;IF(AND($C98&lt;&gt;"FRAME ONLY",OR(LEFT($AH98,3)="OAK",LEFT($AH98,3)="BIR",LEFT($AH98,3)="MAP",$AH98="PC",$AH98="MC",$AH98="SCLC",$AH98="P-LAM")),"WD","HM")&amp;"1.75")</f>
        <v/>
      </c>
      <c r="DD98" s="84">
        <f>IF($CJ98="","",IF($O98="Y",$CJ98,SUBSTITUTE($CJ98,$BG98&amp;" "&amp;IFERROR(VLOOKUP($Z98,CODES,2,FALSE),"")&amp;" ",$BG98&amp;" ")))</f>
        <v/>
      </c>
      <c r="DE98" s="84">
        <f>IF($CK98="","",IF($O98="Y",$CK98,SUBSTITUTE($CK98,$BG98&amp;" "&amp;IF($AN98="",IFERROR(VLOOKUP($Z98,CODES,2,FALSE),""),IFERROR(VLOOKUP($AN98,CODES,2,FALSE),""))&amp;" ",$BG98&amp;" ")))</f>
        <v/>
      </c>
      <c r="DF98" s="84">
        <f>IF($CJ98="","",$DC98&amp;"|"&amp;$DD98&amp;"|"&amp;$DB98&amp;"|"&amp;$AT98&amp;"|"&amp;$V98&amp;"|"&amp;$Y98&amp;"|"&amp;$AB98)</f>
        <v/>
      </c>
      <c r="DG98" s="84">
        <f>IF(DF98="","",IF(COUNTIF($DF$6:DF98,DF98)=1,MAX($DG$5:DG97)+1,INDEX($DG$5:DG97,MATCH(DF98,$DF$5:DF97,0))))</f>
        <v/>
      </c>
      <c r="DH98" s="84">
        <f>IF($CK98="","",$DC98&amp;"|"&amp;$DE98&amp;"|"&amp;$AI98&amp;"|"&amp;$BK98&amp;"|"&amp;$BL98)</f>
        <v/>
      </c>
      <c r="DI98" s="84">
        <f>IF(DH98="","",IF(COUNTIF($DH$6:DH98,DH98)=1,MAX($DI$5:DI97)+1,INDEX($DI$5:DI97,MATCH(DH98,$DH$5:DH97,0))))</f>
        <v/>
      </c>
      <c r="DJ98" s="84">
        <f>IF($A98="","",IF($B98="","qty, ","")&amp;IF($C98="","scope, ","")&amp;IF(OR($K98="",$M98=""),"size, ","")&amp;IF(AND($A98&lt;&gt;"",$C98&lt;&gt;"DOOR ONLY"),IF($U98="","jamb depth, ","")&amp;IF($X98="","construction, ","")&amp;IF($Y98="","anchor, ","")&amp;IF($S98="","frame type, ",""),"")&amp;IF(AND(N($BJ98)&gt;0,$Z98=""),"hand, ","")&amp;IF(N($BJ98)&gt;0,IF($AH98="","door material, ","")&amp;IF($AL98="","face type, ","")&amp;IF($AP98="","lock prep, ","")&amp;IF(AND($AO98="",$AC98=""),"hinge prep, ",""),"")&amp;IF(AND($CH98&gt;0,$AH98="FRP"),"FRP cannot carry a label, ","")&amp;IF(AND($O98="Y",OR($Z98="L",$Z98="R",$Z98="LR",$Z98="RR")),"pair marked but hand is single, ","")&amp;IF(AND($O98&lt;&gt;"Y",OR($Z98="PR",AND(LEN($Z98)&gt;1,ISNUMBER(SEARCH("-",$Z98))))),"pair hand on a single door, ","")&amp;IF(AND(ISNUMBER($CI98),$CH98&lt;N($CI98)),"wall needs a "&amp;$CI98&amp;" min door, ","")&amp;IF(AND($CH98&gt;=180,AND(OR($CE98="FG",$CE98="HG",$CE98="FNV",$CE98="FV"),N($CF98)*N($CG98)&gt;100)),"180 min lite over 100 sq in, ","")&amp;IF(N($BK98)&gt;48,"leaf wider than 4'-0"&amp;CHAR(34)&amp;", ","")&amp;IF(AND($CT98,COUNT($AW98:$AZ98)=0,$CQ98&gt;0),"CUSTOM LOC with no locations typed, ",""))</f>
        <v/>
      </c>
      <c r="DK98" s="84">
        <f>IF($A98="","",IF(AND($CH98&gt;0,AND($A98&lt;&gt;"",$C98&lt;&gt;"DOOR ONLY"),$X98="KD",$E98="EXTERIOR"),"KD label on an exterior opening, ","")&amp;IF(AND($E98="EXTERIOR",OR(AND(AND($A98&lt;&gt;"",$C98&lt;&gt;"DOOR ONLY"),$W98="CR"),AND(N($BJ98)&gt;0,$AH98="CR"))),"exterior in CR steel (G9?), ","")&amp;IF(AND(ISNUMBER($BQ98),N($BQ98)&lt;32),"clear width ~"&amp;TEXT($BQ98,"0.0")&amp;CHAR(34)&amp;" under 32"&amp;CHAR(34)&amp;" (ADA), ","")&amp;IF(AND($CH98=90,AND(OR($CE98="FG",$CE98="HG",$CE98="FNV",$CE98="FV"),N($CF98)*N($CG98)&gt;100)),"90 min lite over 100 sq in (stair/exit), ","")&amp;IF(AND($CH98&gt;0,AND($A98&lt;&gt;"",$C98&lt;&gt;"DOOR ONLY"),OR($AF98="",$AF98="-")),"rated: closer reinf.?, ","")&amp;IF(OR($I98="CORRIDOR",$I98="SMOKE BARRIER"),"S label + smoke gasketing, ","")&amp;IF($CI98="?","wall type/hr not in IBC table, ","")&amp;IF(AND(N($BJ98)&gt;0,$BB98=""),"no hardware set, ","")&amp;IF(AND($BB98&lt;&gt;"",ISNA(MATCH($BB98&amp;"",HWSets,0))),"set "&amp;$BB98&amp;" not on HW Sets, ","")&amp;IF(N($BL98)&gt;96,"leaf over 8'-0"&amp;CHAR(34)&amp;" - check listing, ","")&amp;IF(AND($CT98,COUNT($AW98:$AZ98)&gt;0,COUNT($AW98:$AZ98)&lt;&gt;$CQ98),COUNT($AW98:$AZ98)&amp;" custom hinges typed, "&amp;$CQ98&amp;" expected, ","")&amp;IF(AND(ISNUMBER($CA98),OR(N($CA98)&lt;34,N($CA98)&gt;48)),"lock "&amp;TEXT($CA98,"0.0")&amp;CHAR(34)&amp;" AFF outside 34-48"&amp;CHAR(34)&amp;" (ADA), ","")&amp;IF(AND(ISNUMBER($AV98),ISNUMBER($BL98),N($AV98)&lt;IF(N($BL98)&lt;=60,2,IF(N($BL98)&lt;=90,3,IF(N($BL98)&lt;=120,4,5)))),"fewer hinges than standard, ",""))</f>
        <v/>
      </c>
    </row>
    <row r="99" ht="15" customHeight="1">
      <c r="A99" s="77" t="n"/>
      <c r="B99" s="78" t="n"/>
      <c r="C99" s="78" t="n"/>
      <c r="D99" s="78" t="n"/>
      <c r="E99" s="78" t="n"/>
      <c r="F99" s="78" t="n"/>
      <c r="G99" s="78" t="n"/>
      <c r="H99" s="78" t="n"/>
      <c r="I99" s="78" t="n"/>
      <c r="J99" s="78" t="n"/>
      <c r="K99" s="78" t="n"/>
      <c r="L99" s="78" t="n"/>
      <c r="M99" s="78" t="n"/>
      <c r="N99" s="78" t="n"/>
      <c r="O99" s="78" t="n"/>
      <c r="P99" s="78" t="n"/>
      <c r="Q99" s="78" t="n"/>
      <c r="R99" s="78" t="n"/>
      <c r="S99" s="79" t="n"/>
      <c r="T99" s="79" t="n"/>
      <c r="U99" s="79" t="n"/>
      <c r="V99" s="79" t="n"/>
      <c r="W99" s="79" t="n"/>
      <c r="X99" s="79" t="n"/>
      <c r="Y99" s="79" t="n"/>
      <c r="Z99" s="79" t="n"/>
      <c r="AA99" s="79" t="n"/>
      <c r="AB99" s="79" t="n"/>
      <c r="AC99" s="79" t="n"/>
      <c r="AD99" s="79" t="n"/>
      <c r="AE99" s="79" t="n"/>
      <c r="AF99" s="79" t="n"/>
      <c r="AG99" s="79" t="n"/>
      <c r="AH99" s="80" t="n"/>
      <c r="AI99" s="80" t="n"/>
      <c r="AJ99" s="80" t="n"/>
      <c r="AK99" s="80" t="n"/>
      <c r="AL99" s="80" t="n"/>
      <c r="AM99" s="80" t="n"/>
      <c r="AN99" s="80" t="n"/>
      <c r="AO99" s="80" t="n"/>
      <c r="AP99" s="80" t="n"/>
      <c r="AQ99" s="80" t="n"/>
      <c r="AR99" s="80" t="n"/>
      <c r="AS99" s="80" t="n"/>
      <c r="AT99" s="81" t="n"/>
      <c r="AU99" s="81" t="n"/>
      <c r="AV99" s="81" t="n"/>
      <c r="AW99" s="82" t="n"/>
      <c r="AX99" s="82" t="n"/>
      <c r="AY99" s="82" t="n"/>
      <c r="AZ99" s="82" t="n"/>
      <c r="BA99" s="82" t="n"/>
      <c r="BB99" s="83" t="n"/>
      <c r="BC99" s="83" t="n"/>
      <c r="BD99" s="84">
        <f>IF($A99="","",IF($DJ99&lt;&gt;"","FIX",IF($DK99&lt;&gt;"","CHECK","OK")))</f>
        <v/>
      </c>
      <c r="BE99" s="85">
        <f>IF($A99="","",IF($DJ99&lt;&gt;"","FIX: "&amp;LEFT($DJ99,LEN($DJ99)-2)&amp;IF($DK99&lt;&gt;"","  ·  ",""),"")&amp;IF($DK99&lt;&gt;"","CHECK: "&amp;LEFT($DK99,LEN($DK99)-2),""))</f>
        <v/>
      </c>
      <c r="BF99" s="84">
        <f>IF(OR($A99="",$K99=""),"",$K99&amp;"'-"&amp;N($L99)&amp;CHAR(34)&amp;" x "&amp;$M99&amp;"'-"&amp;N($N99)&amp;CHAR(34))</f>
        <v/>
      </c>
      <c r="BG99" s="84">
        <f>IF(OR($A99="",$K99=""),"",$K99&amp;N($L99)&amp;$M99&amp;N($N99))</f>
        <v/>
      </c>
      <c r="BH99" s="84">
        <f>IF(OR($A99="",$K99=""),"",$K99*12+N($L99))</f>
        <v/>
      </c>
      <c r="BI99" s="84">
        <f>IF(OR($A99="",$M99=""),"",$M99*12+N($N99))</f>
        <v/>
      </c>
      <c r="BJ99" s="84">
        <f>IF($A99="","",IF(OR($C99="FRAME ONLY",$S99="BL"),0,IF($O99="Y",2,1)))</f>
        <v/>
      </c>
      <c r="BK99" s="86">
        <f>IF(OR(N($BJ99)=0,$BH99=""),"",($BH99-2*EdgeClr-IF($BJ99=2,MeetClr,0))/$BJ99)</f>
        <v/>
      </c>
      <c r="BL99" s="86">
        <f>IF(OR(N($BJ99)=0,$BI99=""),"",$BI99-HeadClr-Undercut)</f>
        <v/>
      </c>
      <c r="BM99" s="86">
        <f>IF($BH99="","",$BH99+2*FaceW+IF(N($Q99)&gt;0,($Q99+FaceW)*IF($R99="LR",2,1),0))</f>
        <v/>
      </c>
      <c r="BN99" s="86">
        <f>IF($BI99="","",$BI99+IF($AB99="Y",4,FaceW)+IF(N($P99)&gt;0,$P99+FaceW,0)+IF(OR($S99="4F",$S99="BL"),FaceW,0))</f>
        <v/>
      </c>
      <c r="BO99" s="86">
        <f>IF($BM99="","",$BM99+2*ROSide)</f>
        <v/>
      </c>
      <c r="BP99" s="86">
        <f>IF($BN99="","",$BN99+ROTop)</f>
        <v/>
      </c>
      <c r="BQ99" s="87">
        <f>IF(OR(N($BJ99)=0,$BH99=""),"",$BH99/$BJ99-ClearDeduct)</f>
        <v/>
      </c>
      <c r="BR99" s="84">
        <f>IF(N($CH99)=0,"",IF($CH99&gt;=180,"A · 3 HR",IF($CH99&gt;=90,"B · 1-1/2 HR",IF($CH99&gt;=60,"B · 1 HR",IF($CH99&gt;=45,"C · 3/4 HR","20 MIN")))))&amp;IF(AND(N($CH99)&gt;0,OR($I99="CORRIDOR",$I99="SMOKE BARRIER"))," · S","")</f>
        <v/>
      </c>
      <c r="BS99" s="84">
        <f>IF($CS99,"",IF($AV99&lt;&gt;"",$AV99,IF(OR($AC99="HGC",$AO99="HGC"),"CONT",IF(($BI99-HeadClr-Undercut)&lt;=60,2,IF(($BI99-HeadClr-Undercut)&lt;=90,3,IF(($BI99-HeadClr-Undercut)&lt;=120,4,5))))))</f>
        <v/>
      </c>
      <c r="BT99" s="84">
        <f>IF($CS99,"",IF($CT99,"CUSTOM (typed)",IF($CV99,$AT99&amp;" "&amp;$CU99&amp;CHAR(34)&amp;IF($CU99&lt;&gt;$BI99,IF(AND($BI99&lt;$CU99,$BI99-IF(N(VLOOKUP($AT99&amp;"|"&amp;$CU99,LocTable,7,FALSE))&gt;0,VLOOKUP($AT99&amp;"|"&amp;$CU99,LocTable,7,FALSE),VLOOKUP($AT99&amp;"|"&amp;$CU99,LocTable,6,FALSE))-$CR99-0.75&gt;=2.125)," cut down"," adj."),""),"ANSI/SDI A250.6")))</f>
        <v/>
      </c>
      <c r="BU99" s="88">
        <f>IF($CS99,"",IF($CT99,IF(N($AW99)&gt;0,N($AW99),""),IF(1&gt;$CQ99,"",IF($CQ99=1,$CW99,$CW99+($CX99-$CW99)*0/($CQ99-1)))))</f>
        <v/>
      </c>
      <c r="BV99" s="88">
        <f>IF($CS99,"",IF($CT99,IF(N($AX99)&gt;0,N($AX99),""),IF(2&gt;$CQ99,"",IF($CQ99=1,$CW99,$CW99+($CX99-$CW99)*1/($CQ99-1)))))</f>
        <v/>
      </c>
      <c r="BW99" s="88">
        <f>IF($CS99,"",IF($CT99,IF(N($AY99)&gt;0,N($AY99),""),IF(3&gt;$CQ99,"",IF($CQ99=1,$CW99,$CW99+($CX99-$CW99)*2/($CQ99-1)))))</f>
        <v/>
      </c>
      <c r="BX99" s="88">
        <f>IF($CS99,"",IF($CT99,IF(N($AZ99)&gt;0,N($AZ99),""),IF(4&gt;$CQ99,"",IF($CQ99=1,$CW99,$CW99+($CX99-$CW99)*3/($CQ99-1)))))</f>
        <v/>
      </c>
      <c r="BY99" s="88">
        <f>IF($CS99,"",IF($CT99,"",IF(5&gt;$CQ99,"",IF($CQ99=1,$CW99,$CW99+($CX99-$CW99)*4/($CQ99-1)))))</f>
        <v/>
      </c>
      <c r="BZ99" s="88">
        <f>IF(OR($CS99,$AP99="-",AND($AP99="",$AD99="")),"",IF(N($BA99)&gt;0,N($BA99),IF($CV99,IF(AND($BI99&lt;$CU99,$BI99-IF(N(VLOOKUP($AT99&amp;"|"&amp;$CU99,LocTable,7,FALSE))&gt;0,VLOOKUP($AT99&amp;"|"&amp;$CU99,LocTable,7,FALSE),VLOOKUP($AT99&amp;"|"&amp;$CU99,LocTable,6,FALSE))-$CR99-0.75&gt;=2.125),VLOOKUP($AT99&amp;"|"&amp;$CU99,LocTable,8,FALSE),VLOOKUP($AT99&amp;"|"&amp;$CU99,LocTable,8,FALSE)+($BI99-$CU99)),$BI99-LockAFF)))</f>
        <v/>
      </c>
      <c r="CA99" s="89">
        <f>IF($BZ99="","",$BI99-$BZ99)</f>
        <v/>
      </c>
      <c r="CB99" s="84">
        <f>IF(OR(NOT(AND($A99&lt;&gt;"",$C99&lt;&gt;"DOOR ONLY")),$BI99=""),"",IF(($BI99+IF(N($P99)&gt;0,$P99+FaceW,0))&lt;=90,3,IF(($BI99+IF(N($P99)&gt;0,$P99+FaceW,0))&lt;=114,4,5)))</f>
        <v/>
      </c>
      <c r="CC99" s="84">
        <f>IF($CB99="","",$CB99*(2+IF(N($Q99)&gt;0,IF($R99="LR",2,1),0)))</f>
        <v/>
      </c>
      <c r="CD99" s="84">
        <f>IF($CB99="","",(2+IF(N($Q99)&gt;0,IF($R99="LR",2,1),0)))</f>
        <v/>
      </c>
      <c r="CE99" s="84">
        <f>IF(N($BJ99)=0,"",IF(OR($AL99="",$AL99="FLUSH"),"FLUSH",IFERROR(LEFT($AL99,FIND("-",$AL99)-1),LEFT($AL99,2))))</f>
        <v/>
      </c>
      <c r="CF99" s="84">
        <f>IF($CE99="","",IFERROR(VALUE(MID($AL99,FIND("-",$AL99)+1,FIND(CHAR(34)&amp;"x",$AL99)-FIND("-",$AL99)-1)),0))</f>
        <v/>
      </c>
      <c r="CG99" s="84">
        <f>IF($CE99="","",IFERROR(VALUE(MID($AL99,FIND(CHAR(34)&amp;"x",$AL99)+2,FIND(CHAR(34),$AL99,FIND(CHAR(34)&amp;"x",$AL99)+2)-FIND(CHAR(34)&amp;"x",$AL99)-2)),0))</f>
        <v/>
      </c>
      <c r="CH99" s="90">
        <f>IF(OR($A99="",$H99="",$H99="NO LAB"),0,IFERROR(VALUE(LEFT($H99,FIND(" ",$H99)-1)),0))</f>
        <v/>
      </c>
      <c r="CI99" s="91">
        <f>IF(OR($A99="",$I99="",$I99="NON-RATED",N($J99)=0),"",IFERROR(VLOOKUP($I99&amp;"|"&amp;$J99,IBC,2,FALSE),"?"))</f>
        <v/>
      </c>
      <c r="CJ99" s="85">
        <f>IF(NOT(AND($A99&lt;&gt;"",$C99&lt;&gt;"DOOR ONLY")),"",TRIM(IFERROR(VLOOKUP($U99,CODES,2,FALSE),"")&amp;" "&amp;$BG99&amp;" "&amp;IFERROR(VLOOKUP($Z99,CODES,2,FALSE),"")&amp;" "&amp;IFERROR(VLOOKUP($X99,CODES,2,FALSE),"")&amp;" "&amp;IFERROR(VLOOKUP($S99,CODES,2,FALSE),"")&amp;IF(N($P99)&gt;0," w/TRANSOM "&amp;$P99&amp;CHAR(34),"")&amp;IF(N($Q99)&gt;0," w/SIDELITE "&amp;$Q99&amp;CHAR(34)&amp;" "&amp;IF($R99="","R",$R99),"")&amp;IF($Y99="","  |  "," | "&amp;IFERROR(VLOOKUP($Y99,CODES,2,FALSE),"")&amp;" | ")&amp;IFERROR(VLOOKUP($AC99,CODES,2,FALSE),"")&amp;" "&amp;IFERROR(VLOOKUP($AD99,CODES,2,FALSE),"")&amp;IF(OR($AE99="",$AE99="-"),""," "&amp;$AE99)&amp;IF(OR($AF99="",$AF99="-"),""," "&amp;$AF99)&amp;IF($AB99="Y"," 4"&amp;CHAR(34)&amp;" HEAD","")&amp;" "&amp;IFERROR(VLOOKUP($H99,CODES,2,FALSE),"")&amp;IF($CT99," | LOC "&amp;$CY99,"")))</f>
        <v/>
      </c>
      <c r="CK99" s="85">
        <f>IF(NOT(AND($A99&lt;&gt;"",N($BJ99)&gt;0)),"",TRIM(IFERROR(VLOOKUP($AH99,CODES,2,FALSE),"")&amp;IF($AI99=""," "," "&amp;$AI99&amp;"GA ")&amp;$BG99&amp;" "&amp;IF($AN99="",IFERROR(VLOOKUP($Z99,CODES,2,FALSE),""),IFERROR(VLOOKUP($AN99,CODES,2,FALSE),""))&amp;IF($BJ99=2," PAIR","")&amp;" DOOR | "&amp;IF($AL99="","?",$AL99)&amp;" | "&amp;IF($AO99="",IFERROR(VLOOKUP($AC99,CODES,2,FALSE),""),IFERROR(VLOOKUP($AO99,CODES,2,FALSE),""))&amp;" "&amp;IFERROR(VLOOKUP($AP99,CODES,2,FALSE),"")&amp;IF(OR($AQ99="",$AQ99="-"),""," SEAM "&amp;$AQ99)&amp;IF($AR99="Y"," ASTRAGAL","")&amp;IF($AJ99=""," "," "&amp;$AJ99)&amp;IF($AK99=""," "," "&amp;$AK99)&amp;IF(OR($AT99="",$AT99="ANSI/SDI",$AT99="CUSTOM LOC"),""," "&amp;$AT99)&amp;IF($AM99=""," "," SERIES "&amp;$AM99)&amp;" "&amp;IFERROR(VLOOKUP($H99,CODES,2,FALSE),"")&amp;IF($CT99," | LOC "&amp;$CZ99,"")))</f>
        <v/>
      </c>
      <c r="CL99" s="84">
        <f>IF(CP99="","",IF(COUNTIF($CP$6:CP99,CP99)=1,MAX($CL$5:CL98)+1,INDEX($CL$5:CL98,MATCH(CP99,$CP$5:CP98,0))))</f>
        <v/>
      </c>
      <c r="CM99" s="84">
        <f>IF(NOT(AND($A99&lt;&gt;"",$C99&lt;&gt;"DOOR ONLY")),"",MAX($CM$5:CM98)+1)</f>
        <v/>
      </c>
      <c r="CN99" s="84">
        <f>IF(NOT(AND($A99&lt;&gt;"",N($BJ99)&gt;0)),"",MAX($CN$5:CN98)+1)</f>
        <v/>
      </c>
      <c r="CO99" s="84">
        <f>IF($A99="","",MAX($CO$5:CO98)+1)</f>
        <v/>
      </c>
      <c r="CP99" s="84">
        <f>IF(OR($A99="",$BH99="",$BI99=""),"",$BG99&amp;"|"&amp;$O99&amp;"|"&amp;$AL99&amp;"|"&amp;$S99&amp;"|"&amp;$P99&amp;"|"&amp;$Q99&amp;$R99&amp;"|"&amp;$C99&amp;"|"&amp;$AB99)</f>
        <v/>
      </c>
      <c r="CQ99" s="84">
        <f>N($BS99)</f>
        <v/>
      </c>
      <c r="CR99" s="84">
        <f>IF(N($AU99)&gt;0,N($AU99),4.5)</f>
        <v/>
      </c>
      <c r="CS99" s="84">
        <f>OR($A99="",$BI99="",$S99="BL",AND($C99="FRAME ONLY",OR($AC99="",$AC99="BLK")))</f>
        <v/>
      </c>
      <c r="CT99" s="84">
        <f>AND(NOT($CS99),OR($AT99="CUSTOM LOC",N($AW99)+N($AX99)+N($AY99)+N($AZ99)+N($BA99)&gt;0))</f>
        <v/>
      </c>
      <c r="CU99" s="84">
        <f>IF($BI99="","",IF($BI99&lt;=80,80,IF($BI99&lt;=84,84,96)))</f>
        <v/>
      </c>
      <c r="CV99" s="84">
        <f>ISNUMBER(MATCH($AT99&amp;"|80",LocKeys,0))</f>
        <v/>
      </c>
      <c r="CW99" s="86">
        <f>IF($CS99,"",IF($CV99,VLOOKUP($AT99&amp;"|"&amp;$CU99,LocTable,4,FALSE),5))</f>
        <v/>
      </c>
      <c r="CX99" s="86">
        <f>IF($CS99,"",IF($CV99,IF(OR($BI99=$CU99,AND($BI99&lt;$CU99,$BI99-IF(N(VLOOKUP($AT99&amp;"|"&amp;$CU99,LocTable,7,FALSE))&gt;0,VLOOKUP($AT99&amp;"|"&amp;$CU99,LocTable,7,FALSE),VLOOKUP($AT99&amp;"|"&amp;$CU99,LocTable,6,FALSE))-$CR99-0.75&gt;=2.125)),IF(N(VLOOKUP($AT99&amp;"|"&amp;$CU99,LocTable,7,FALSE))&gt;0,VLOOKUP($AT99&amp;"|"&amp;$CU99,LocTable,7,FALSE),VLOOKUP($AT99&amp;"|"&amp;$CU99,LocTable,6,FALSE)),$BI99-($CU99-IF(N(VLOOKUP($AT99&amp;"|"&amp;$CU99,LocTable,7,FALSE))&gt;0,VLOOKUP($AT99&amp;"|"&amp;$CU99,LocTable,7,FALSE),VLOOKUP($AT99&amp;"|"&amp;$CU99,LocTable,6,FALSE)))),$BI99-10-$CR99))</f>
        <v/>
      </c>
      <c r="CY99" s="85">
        <f>IF($CS99,"",TRIM(IF(ISNUMBER($BU99),"A "&amp;TRIM(TEXT($BU99,"# ?/??"))&amp;CHAR(34)&amp;"  ","")&amp;IF(ISNUMBER($BV99),"B "&amp;TRIM(TEXT($BV99,"# ?/??"))&amp;CHAR(34)&amp;"  ","")&amp;IF(ISNUMBER($BW99),"C "&amp;TRIM(TEXT($BW99,"# ?/??"))&amp;CHAR(34)&amp;"  ","")&amp;IF(ISNUMBER($BX99),"D "&amp;TRIM(TEXT($BX99,"# ?/??"))&amp;CHAR(34)&amp;"  ","")&amp;IF(ISNUMBER($BY99),"F "&amp;TRIM(TEXT($BY99,"# ?/??"))&amp;CHAR(34)&amp;"  ","")&amp;IF(ISNUMBER($BZ99),"E "&amp;TRIM(TEXT($BZ99,"# ?/??"))&amp;CHAR(34)&amp;"  ","")))</f>
        <v/>
      </c>
      <c r="CZ99" s="85">
        <f>IF(OR($CS99,N($BJ99)=0),"",TRIM(IF(ISNUMBER($BU99),"A "&amp;TRIM(TEXT($BU99-HeadClr,"# ?/??"))&amp;CHAR(34)&amp;"  ","")&amp;IF(ISNUMBER($BV99),"B "&amp;TRIM(TEXT($BV99-HeadClr,"# ?/??"))&amp;CHAR(34)&amp;"  ","")&amp;IF(ISNUMBER($BW99),"C "&amp;TRIM(TEXT($BW99-HeadClr,"# ?/??"))&amp;CHAR(34)&amp;"  ","")&amp;IF(ISNUMBER($BX99),"D "&amp;TRIM(TEXT($BX99-HeadClr,"# ?/??"))&amp;CHAR(34)&amp;"  ","")&amp;IF(ISNUMBER($BY99),"F "&amp;TRIM(TEXT($BY99-HeadClr,"# ?/??"))&amp;CHAR(34)&amp;"  ","")&amp;IF(ISNUMBER($BZ99),"E "&amp;TRIM(TEXT($BZ99-HeadClr,"# ?/??"))&amp;CHAR(34)&amp;"  ","")))</f>
        <v/>
      </c>
      <c r="DA99" s="84">
        <f>IF($A99="","",IF($AN99="",IFERROR(VLOOKUP($Z99,CODES,2,FALSE),""),IFERROR(VLOOKUP($AN99,CODES,2,FALSE),"")))</f>
        <v/>
      </c>
      <c r="DB99" s="84">
        <f>IF($A99="","",IF($O99="Y","PR",IF(OR($Z99="L",$Z99="RR",LEFT($Z99,2)="L-",LEFT($Z99,3)="RR-"),"LH","RH")))</f>
        <v/>
      </c>
      <c r="DC99" s="84">
        <f>IF($A99="","","S.HM"&amp;IF(OR($C99="DOOR ONLY",$X99&lt;&gt;"KD"),"MASONRY","DRYWALL")&amp;IF($C99="DOOR ONLY","",$U99)&amp;IF(AND($C99&lt;&gt;"FRAME ONLY",OR(LEFT($AH99,3)="OAK",LEFT($AH99,3)="BIR",LEFT($AH99,3)="MAP",$AH99="PC",$AH99="MC",$AH99="SCLC",$AH99="P-LAM")),"WD","HM")&amp;"1.75")</f>
        <v/>
      </c>
      <c r="DD99" s="84">
        <f>IF($CJ99="","",IF($O99="Y",$CJ99,SUBSTITUTE($CJ99,$BG99&amp;" "&amp;IFERROR(VLOOKUP($Z99,CODES,2,FALSE),"")&amp;" ",$BG99&amp;" ")))</f>
        <v/>
      </c>
      <c r="DE99" s="84">
        <f>IF($CK99="","",IF($O99="Y",$CK99,SUBSTITUTE($CK99,$BG99&amp;" "&amp;IF($AN99="",IFERROR(VLOOKUP($Z99,CODES,2,FALSE),""),IFERROR(VLOOKUP($AN99,CODES,2,FALSE),""))&amp;" ",$BG99&amp;" ")))</f>
        <v/>
      </c>
      <c r="DF99" s="84">
        <f>IF($CJ99="","",$DC99&amp;"|"&amp;$DD99&amp;"|"&amp;$DB99&amp;"|"&amp;$AT99&amp;"|"&amp;$V99&amp;"|"&amp;$Y99&amp;"|"&amp;$AB99)</f>
        <v/>
      </c>
      <c r="DG99" s="84">
        <f>IF(DF99="","",IF(COUNTIF($DF$6:DF99,DF99)=1,MAX($DG$5:DG98)+1,INDEX($DG$5:DG98,MATCH(DF99,$DF$5:DF98,0))))</f>
        <v/>
      </c>
      <c r="DH99" s="84">
        <f>IF($CK99="","",$DC99&amp;"|"&amp;$DE99&amp;"|"&amp;$AI99&amp;"|"&amp;$BK99&amp;"|"&amp;$BL99)</f>
        <v/>
      </c>
      <c r="DI99" s="84">
        <f>IF(DH99="","",IF(COUNTIF($DH$6:DH99,DH99)=1,MAX($DI$5:DI98)+1,INDEX($DI$5:DI98,MATCH(DH99,$DH$5:DH98,0))))</f>
        <v/>
      </c>
      <c r="DJ99" s="84">
        <f>IF($A99="","",IF($B99="","qty, ","")&amp;IF($C99="","scope, ","")&amp;IF(OR($K99="",$M99=""),"size, ","")&amp;IF(AND($A99&lt;&gt;"",$C99&lt;&gt;"DOOR ONLY"),IF($U99="","jamb depth, ","")&amp;IF($X99="","construction, ","")&amp;IF($Y99="","anchor, ","")&amp;IF($S99="","frame type, ",""),"")&amp;IF(AND(N($BJ99)&gt;0,$Z99=""),"hand, ","")&amp;IF(N($BJ99)&gt;0,IF($AH99="","door material, ","")&amp;IF($AL99="","face type, ","")&amp;IF($AP99="","lock prep, ","")&amp;IF(AND($AO99="",$AC99=""),"hinge prep, ",""),"")&amp;IF(AND($CH99&gt;0,$AH99="FRP"),"FRP cannot carry a label, ","")&amp;IF(AND($O99="Y",OR($Z99="L",$Z99="R",$Z99="LR",$Z99="RR")),"pair marked but hand is single, ","")&amp;IF(AND($O99&lt;&gt;"Y",OR($Z99="PR",AND(LEN($Z99)&gt;1,ISNUMBER(SEARCH("-",$Z99))))),"pair hand on a single door, ","")&amp;IF(AND(ISNUMBER($CI99),$CH99&lt;N($CI99)),"wall needs a "&amp;$CI99&amp;" min door, ","")&amp;IF(AND($CH99&gt;=180,AND(OR($CE99="FG",$CE99="HG",$CE99="FNV",$CE99="FV"),N($CF99)*N($CG99)&gt;100)),"180 min lite over 100 sq in, ","")&amp;IF(N($BK99)&gt;48,"leaf wider than 4'-0"&amp;CHAR(34)&amp;", ","")&amp;IF(AND($CT99,COUNT($AW99:$AZ99)=0,$CQ99&gt;0),"CUSTOM LOC with no locations typed, ",""))</f>
        <v/>
      </c>
      <c r="DK99" s="84">
        <f>IF($A99="","",IF(AND($CH99&gt;0,AND($A99&lt;&gt;"",$C99&lt;&gt;"DOOR ONLY"),$X99="KD",$E99="EXTERIOR"),"KD label on an exterior opening, ","")&amp;IF(AND($E99="EXTERIOR",OR(AND(AND($A99&lt;&gt;"",$C99&lt;&gt;"DOOR ONLY"),$W99="CR"),AND(N($BJ99)&gt;0,$AH99="CR"))),"exterior in CR steel (G9?), ","")&amp;IF(AND(ISNUMBER($BQ99),N($BQ99)&lt;32),"clear width ~"&amp;TEXT($BQ99,"0.0")&amp;CHAR(34)&amp;" under 32"&amp;CHAR(34)&amp;" (ADA), ","")&amp;IF(AND($CH99=90,AND(OR($CE99="FG",$CE99="HG",$CE99="FNV",$CE99="FV"),N($CF99)*N($CG99)&gt;100)),"90 min lite over 100 sq in (stair/exit), ","")&amp;IF(AND($CH99&gt;0,AND($A99&lt;&gt;"",$C99&lt;&gt;"DOOR ONLY"),OR($AF99="",$AF99="-")),"rated: closer reinf.?, ","")&amp;IF(OR($I99="CORRIDOR",$I99="SMOKE BARRIER"),"S label + smoke gasketing, ","")&amp;IF($CI99="?","wall type/hr not in IBC table, ","")&amp;IF(AND(N($BJ99)&gt;0,$BB99=""),"no hardware set, ","")&amp;IF(AND($BB99&lt;&gt;"",ISNA(MATCH($BB99&amp;"",HWSets,0))),"set "&amp;$BB99&amp;" not on HW Sets, ","")&amp;IF(N($BL99)&gt;96,"leaf over 8'-0"&amp;CHAR(34)&amp;" - check listing, ","")&amp;IF(AND($CT99,COUNT($AW99:$AZ99)&gt;0,COUNT($AW99:$AZ99)&lt;&gt;$CQ99),COUNT($AW99:$AZ99)&amp;" custom hinges typed, "&amp;$CQ99&amp;" expected, ","")&amp;IF(AND(ISNUMBER($CA99),OR(N($CA99)&lt;34,N($CA99)&gt;48)),"lock "&amp;TEXT($CA99,"0.0")&amp;CHAR(34)&amp;" AFF outside 34-48"&amp;CHAR(34)&amp;" (ADA), ","")&amp;IF(AND(ISNUMBER($AV99),ISNUMBER($BL99),N($AV99)&lt;IF(N($BL99)&lt;=60,2,IF(N($BL99)&lt;=90,3,IF(N($BL99)&lt;=120,4,5)))),"fewer hinges than standard, ",""))</f>
        <v/>
      </c>
    </row>
    <row r="100" ht="15" customHeight="1">
      <c r="A100" s="92" t="n"/>
      <c r="B100" s="93" t="n"/>
      <c r="C100" s="93" t="n"/>
      <c r="D100" s="93" t="n"/>
      <c r="E100" s="93" t="n"/>
      <c r="F100" s="93" t="n"/>
      <c r="G100" s="93" t="n"/>
      <c r="H100" s="93" t="n"/>
      <c r="I100" s="93" t="n"/>
      <c r="J100" s="93" t="n"/>
      <c r="K100" s="93" t="n"/>
      <c r="L100" s="93" t="n"/>
      <c r="M100" s="93" t="n"/>
      <c r="N100" s="93" t="n"/>
      <c r="O100" s="93" t="n"/>
      <c r="P100" s="93" t="n"/>
      <c r="Q100" s="93" t="n"/>
      <c r="R100" s="93" t="n"/>
      <c r="S100" s="94" t="n"/>
      <c r="T100" s="94" t="n"/>
      <c r="U100" s="94" t="n"/>
      <c r="V100" s="94" t="n"/>
      <c r="W100" s="94" t="n"/>
      <c r="X100" s="94" t="n"/>
      <c r="Y100" s="94" t="n"/>
      <c r="Z100" s="94" t="n"/>
      <c r="AA100" s="94" t="n"/>
      <c r="AB100" s="94" t="n"/>
      <c r="AC100" s="94" t="n"/>
      <c r="AD100" s="94" t="n"/>
      <c r="AE100" s="94" t="n"/>
      <c r="AF100" s="94" t="n"/>
      <c r="AG100" s="94" t="n"/>
      <c r="AH100" s="95" t="n"/>
      <c r="AI100" s="95" t="n"/>
      <c r="AJ100" s="95" t="n"/>
      <c r="AK100" s="95" t="n"/>
      <c r="AL100" s="95" t="n"/>
      <c r="AM100" s="95" t="n"/>
      <c r="AN100" s="95" t="n"/>
      <c r="AO100" s="95" t="n"/>
      <c r="AP100" s="95" t="n"/>
      <c r="AQ100" s="95" t="n"/>
      <c r="AR100" s="95" t="n"/>
      <c r="AS100" s="95" t="n"/>
      <c r="AT100" s="96" t="n"/>
      <c r="AU100" s="96" t="n"/>
      <c r="AV100" s="96" t="n"/>
      <c r="AW100" s="97" t="n"/>
      <c r="AX100" s="97" t="n"/>
      <c r="AY100" s="97" t="n"/>
      <c r="AZ100" s="97" t="n"/>
      <c r="BA100" s="97" t="n"/>
      <c r="BB100" s="98" t="n"/>
      <c r="BC100" s="98" t="n"/>
      <c r="BD100" s="99">
        <f>IF($A100="","",IF($DJ100&lt;&gt;"","FIX",IF($DK100&lt;&gt;"","CHECK","OK")))</f>
        <v/>
      </c>
      <c r="BE100" s="100">
        <f>IF($A100="","",IF($DJ100&lt;&gt;"","FIX: "&amp;LEFT($DJ100,LEN($DJ100)-2)&amp;IF($DK100&lt;&gt;"","  ·  ",""),"")&amp;IF($DK100&lt;&gt;"","CHECK: "&amp;LEFT($DK100,LEN($DK100)-2),""))</f>
        <v/>
      </c>
      <c r="BF100" s="99">
        <f>IF(OR($A100="",$K100=""),"",$K100&amp;"'-"&amp;N($L100)&amp;CHAR(34)&amp;" x "&amp;$M100&amp;"'-"&amp;N($N100)&amp;CHAR(34))</f>
        <v/>
      </c>
      <c r="BG100" s="99">
        <f>IF(OR($A100="",$K100=""),"",$K100&amp;N($L100)&amp;$M100&amp;N($N100))</f>
        <v/>
      </c>
      <c r="BH100" s="99">
        <f>IF(OR($A100="",$K100=""),"",$K100*12+N($L100))</f>
        <v/>
      </c>
      <c r="BI100" s="99">
        <f>IF(OR($A100="",$M100=""),"",$M100*12+N($N100))</f>
        <v/>
      </c>
      <c r="BJ100" s="99">
        <f>IF($A100="","",IF(OR($C100="FRAME ONLY",$S100="BL"),0,IF($O100="Y",2,1)))</f>
        <v/>
      </c>
      <c r="BK100" s="101">
        <f>IF(OR(N($BJ100)=0,$BH100=""),"",($BH100-2*EdgeClr-IF($BJ100=2,MeetClr,0))/$BJ100)</f>
        <v/>
      </c>
      <c r="BL100" s="101">
        <f>IF(OR(N($BJ100)=0,$BI100=""),"",$BI100-HeadClr-Undercut)</f>
        <v/>
      </c>
      <c r="BM100" s="101">
        <f>IF($BH100="","",$BH100+2*FaceW+IF(N($Q100)&gt;0,($Q100+FaceW)*IF($R100="LR",2,1),0))</f>
        <v/>
      </c>
      <c r="BN100" s="101">
        <f>IF($BI100="","",$BI100+IF($AB100="Y",4,FaceW)+IF(N($P100)&gt;0,$P100+FaceW,0)+IF(OR($S100="4F",$S100="BL"),FaceW,0))</f>
        <v/>
      </c>
      <c r="BO100" s="101">
        <f>IF($BM100="","",$BM100+2*ROSide)</f>
        <v/>
      </c>
      <c r="BP100" s="101">
        <f>IF($BN100="","",$BN100+ROTop)</f>
        <v/>
      </c>
      <c r="BQ100" s="102">
        <f>IF(OR(N($BJ100)=0,$BH100=""),"",$BH100/$BJ100-ClearDeduct)</f>
        <v/>
      </c>
      <c r="BR100" s="99">
        <f>IF(N($CH100)=0,"",IF($CH100&gt;=180,"A · 3 HR",IF($CH100&gt;=90,"B · 1-1/2 HR",IF($CH100&gt;=60,"B · 1 HR",IF($CH100&gt;=45,"C · 3/4 HR","20 MIN")))))&amp;IF(AND(N($CH100)&gt;0,OR($I100="CORRIDOR",$I100="SMOKE BARRIER"))," · S","")</f>
        <v/>
      </c>
      <c r="BS100" s="99">
        <f>IF($CS100,"",IF($AV100&lt;&gt;"",$AV100,IF(OR($AC100="HGC",$AO100="HGC"),"CONT",IF(($BI100-HeadClr-Undercut)&lt;=60,2,IF(($BI100-HeadClr-Undercut)&lt;=90,3,IF(($BI100-HeadClr-Undercut)&lt;=120,4,5))))))</f>
        <v/>
      </c>
      <c r="BT100" s="99">
        <f>IF($CS100,"",IF($CT100,"CUSTOM (typed)",IF($CV100,$AT100&amp;" "&amp;$CU100&amp;CHAR(34)&amp;IF($CU100&lt;&gt;$BI100,IF(AND($BI100&lt;$CU100,$BI100-IF(N(VLOOKUP($AT100&amp;"|"&amp;$CU100,LocTable,7,FALSE))&gt;0,VLOOKUP($AT100&amp;"|"&amp;$CU100,LocTable,7,FALSE),VLOOKUP($AT100&amp;"|"&amp;$CU100,LocTable,6,FALSE))-$CR100-0.75&gt;=2.125)," cut down"," adj."),""),"ANSI/SDI A250.6")))</f>
        <v/>
      </c>
      <c r="BU100" s="103">
        <f>IF($CS100,"",IF($CT100,IF(N($AW100)&gt;0,N($AW100),""),IF(1&gt;$CQ100,"",IF($CQ100=1,$CW100,$CW100+($CX100-$CW100)*0/($CQ100-1)))))</f>
        <v/>
      </c>
      <c r="BV100" s="103">
        <f>IF($CS100,"",IF($CT100,IF(N($AX100)&gt;0,N($AX100),""),IF(2&gt;$CQ100,"",IF($CQ100=1,$CW100,$CW100+($CX100-$CW100)*1/($CQ100-1)))))</f>
        <v/>
      </c>
      <c r="BW100" s="103">
        <f>IF($CS100,"",IF($CT100,IF(N($AY100)&gt;0,N($AY100),""),IF(3&gt;$CQ100,"",IF($CQ100=1,$CW100,$CW100+($CX100-$CW100)*2/($CQ100-1)))))</f>
        <v/>
      </c>
      <c r="BX100" s="103">
        <f>IF($CS100,"",IF($CT100,IF(N($AZ100)&gt;0,N($AZ100),""),IF(4&gt;$CQ100,"",IF($CQ100=1,$CW100,$CW100+($CX100-$CW100)*3/($CQ100-1)))))</f>
        <v/>
      </c>
      <c r="BY100" s="103">
        <f>IF($CS100,"",IF($CT100,"",IF(5&gt;$CQ100,"",IF($CQ100=1,$CW100,$CW100+($CX100-$CW100)*4/($CQ100-1)))))</f>
        <v/>
      </c>
      <c r="BZ100" s="103">
        <f>IF(OR($CS100,$AP100="-",AND($AP100="",$AD100="")),"",IF(N($BA100)&gt;0,N($BA100),IF($CV100,IF(AND($BI100&lt;$CU100,$BI100-IF(N(VLOOKUP($AT100&amp;"|"&amp;$CU100,LocTable,7,FALSE))&gt;0,VLOOKUP($AT100&amp;"|"&amp;$CU100,LocTable,7,FALSE),VLOOKUP($AT100&amp;"|"&amp;$CU100,LocTable,6,FALSE))-$CR100-0.75&gt;=2.125),VLOOKUP($AT100&amp;"|"&amp;$CU100,LocTable,8,FALSE),VLOOKUP($AT100&amp;"|"&amp;$CU100,LocTable,8,FALSE)+($BI100-$CU100)),$BI100-LockAFF)))</f>
        <v/>
      </c>
      <c r="CA100" s="104">
        <f>IF($BZ100="","",$BI100-$BZ100)</f>
        <v/>
      </c>
      <c r="CB100" s="99">
        <f>IF(OR(NOT(AND($A100&lt;&gt;"",$C100&lt;&gt;"DOOR ONLY")),$BI100=""),"",IF(($BI100+IF(N($P100)&gt;0,$P100+FaceW,0))&lt;=90,3,IF(($BI100+IF(N($P100)&gt;0,$P100+FaceW,0))&lt;=114,4,5)))</f>
        <v/>
      </c>
      <c r="CC100" s="99">
        <f>IF($CB100="","",$CB100*(2+IF(N($Q100)&gt;0,IF($R100="LR",2,1),0)))</f>
        <v/>
      </c>
      <c r="CD100" s="99">
        <f>IF($CB100="","",(2+IF(N($Q100)&gt;0,IF($R100="LR",2,1),0)))</f>
        <v/>
      </c>
      <c r="CE100" s="99">
        <f>IF(N($BJ100)=0,"",IF(OR($AL100="",$AL100="FLUSH"),"FLUSH",IFERROR(LEFT($AL100,FIND("-",$AL100)-1),LEFT($AL100,2))))</f>
        <v/>
      </c>
      <c r="CF100" s="99">
        <f>IF($CE100="","",IFERROR(VALUE(MID($AL100,FIND("-",$AL100)+1,FIND(CHAR(34)&amp;"x",$AL100)-FIND("-",$AL100)-1)),0))</f>
        <v/>
      </c>
      <c r="CG100" s="99">
        <f>IF($CE100="","",IFERROR(VALUE(MID($AL100,FIND(CHAR(34)&amp;"x",$AL100)+2,FIND(CHAR(34),$AL100,FIND(CHAR(34)&amp;"x",$AL100)+2)-FIND(CHAR(34)&amp;"x",$AL100)-2)),0))</f>
        <v/>
      </c>
      <c r="CH100" s="105">
        <f>IF(OR($A100="",$H100="",$H100="NO LAB"),0,IFERROR(VALUE(LEFT($H100,FIND(" ",$H100)-1)),0))</f>
        <v/>
      </c>
      <c r="CI100" s="106">
        <f>IF(OR($A100="",$I100="",$I100="NON-RATED",N($J100)=0),"",IFERROR(VLOOKUP($I100&amp;"|"&amp;$J100,IBC,2,FALSE),"?"))</f>
        <v/>
      </c>
      <c r="CJ100" s="100">
        <f>IF(NOT(AND($A100&lt;&gt;"",$C100&lt;&gt;"DOOR ONLY")),"",TRIM(IFERROR(VLOOKUP($U100,CODES,2,FALSE),"")&amp;" "&amp;$BG100&amp;" "&amp;IFERROR(VLOOKUP($Z100,CODES,2,FALSE),"")&amp;" "&amp;IFERROR(VLOOKUP($X100,CODES,2,FALSE),"")&amp;" "&amp;IFERROR(VLOOKUP($S100,CODES,2,FALSE),"")&amp;IF(N($P100)&gt;0," w/TRANSOM "&amp;$P100&amp;CHAR(34),"")&amp;IF(N($Q100)&gt;0," w/SIDELITE "&amp;$Q100&amp;CHAR(34)&amp;" "&amp;IF($R100="","R",$R100),"")&amp;IF($Y100="","  |  "," | "&amp;IFERROR(VLOOKUP($Y100,CODES,2,FALSE),"")&amp;" | ")&amp;IFERROR(VLOOKUP($AC100,CODES,2,FALSE),"")&amp;" "&amp;IFERROR(VLOOKUP($AD100,CODES,2,FALSE),"")&amp;IF(OR($AE100="",$AE100="-"),""," "&amp;$AE100)&amp;IF(OR($AF100="",$AF100="-"),""," "&amp;$AF100)&amp;IF($AB100="Y"," 4"&amp;CHAR(34)&amp;" HEAD","")&amp;" "&amp;IFERROR(VLOOKUP($H100,CODES,2,FALSE),"")&amp;IF($CT100," | LOC "&amp;$CY100,"")))</f>
        <v/>
      </c>
      <c r="CK100" s="100">
        <f>IF(NOT(AND($A100&lt;&gt;"",N($BJ100)&gt;0)),"",TRIM(IFERROR(VLOOKUP($AH100,CODES,2,FALSE),"")&amp;IF($AI100=""," "," "&amp;$AI100&amp;"GA ")&amp;$BG100&amp;" "&amp;IF($AN100="",IFERROR(VLOOKUP($Z100,CODES,2,FALSE),""),IFERROR(VLOOKUP($AN100,CODES,2,FALSE),""))&amp;IF($BJ100=2," PAIR","")&amp;" DOOR | "&amp;IF($AL100="","?",$AL100)&amp;" | "&amp;IF($AO100="",IFERROR(VLOOKUP($AC100,CODES,2,FALSE),""),IFERROR(VLOOKUP($AO100,CODES,2,FALSE),""))&amp;" "&amp;IFERROR(VLOOKUP($AP100,CODES,2,FALSE),"")&amp;IF(OR($AQ100="",$AQ100="-"),""," SEAM "&amp;$AQ100)&amp;IF($AR100="Y"," ASTRAGAL","")&amp;IF($AJ100=""," "," "&amp;$AJ100)&amp;IF($AK100=""," "," "&amp;$AK100)&amp;IF(OR($AT100="",$AT100="ANSI/SDI",$AT100="CUSTOM LOC"),""," "&amp;$AT100)&amp;IF($AM100=""," "," SERIES "&amp;$AM100)&amp;" "&amp;IFERROR(VLOOKUP($H100,CODES,2,FALSE),"")&amp;IF($CT100," | LOC "&amp;$CZ100,"")))</f>
        <v/>
      </c>
      <c r="CL100" s="99">
        <f>IF(CP100="","",IF(COUNTIF($CP$6:CP100,CP100)=1,MAX($CL$5:CL99)+1,INDEX($CL$5:CL99,MATCH(CP100,$CP$5:CP99,0))))</f>
        <v/>
      </c>
      <c r="CM100" s="99">
        <f>IF(NOT(AND($A100&lt;&gt;"",$C100&lt;&gt;"DOOR ONLY")),"",MAX($CM$5:CM99)+1)</f>
        <v/>
      </c>
      <c r="CN100" s="99">
        <f>IF(NOT(AND($A100&lt;&gt;"",N($BJ100)&gt;0)),"",MAX($CN$5:CN99)+1)</f>
        <v/>
      </c>
      <c r="CO100" s="99">
        <f>IF($A100="","",MAX($CO$5:CO99)+1)</f>
        <v/>
      </c>
      <c r="CP100" s="99">
        <f>IF(OR($A100="",$BH100="",$BI100=""),"",$BG100&amp;"|"&amp;$O100&amp;"|"&amp;$AL100&amp;"|"&amp;$S100&amp;"|"&amp;$P100&amp;"|"&amp;$Q100&amp;$R100&amp;"|"&amp;$C100&amp;"|"&amp;$AB100)</f>
        <v/>
      </c>
      <c r="CQ100" s="99">
        <f>N($BS100)</f>
        <v/>
      </c>
      <c r="CR100" s="99">
        <f>IF(N($AU100)&gt;0,N($AU100),4.5)</f>
        <v/>
      </c>
      <c r="CS100" s="99">
        <f>OR($A100="",$BI100="",$S100="BL",AND($C100="FRAME ONLY",OR($AC100="",$AC100="BLK")))</f>
        <v/>
      </c>
      <c r="CT100" s="99">
        <f>AND(NOT($CS100),OR($AT100="CUSTOM LOC",N($AW100)+N($AX100)+N($AY100)+N($AZ100)+N($BA100)&gt;0))</f>
        <v/>
      </c>
      <c r="CU100" s="99">
        <f>IF($BI100="","",IF($BI100&lt;=80,80,IF($BI100&lt;=84,84,96)))</f>
        <v/>
      </c>
      <c r="CV100" s="99">
        <f>ISNUMBER(MATCH($AT100&amp;"|80",LocKeys,0))</f>
        <v/>
      </c>
      <c r="CW100" s="101">
        <f>IF($CS100,"",IF($CV100,VLOOKUP($AT100&amp;"|"&amp;$CU100,LocTable,4,FALSE),5))</f>
        <v/>
      </c>
      <c r="CX100" s="101">
        <f>IF($CS100,"",IF($CV100,IF(OR($BI100=$CU100,AND($BI100&lt;$CU100,$BI100-IF(N(VLOOKUP($AT100&amp;"|"&amp;$CU100,LocTable,7,FALSE))&gt;0,VLOOKUP($AT100&amp;"|"&amp;$CU100,LocTable,7,FALSE),VLOOKUP($AT100&amp;"|"&amp;$CU100,LocTable,6,FALSE))-$CR100-0.75&gt;=2.125)),IF(N(VLOOKUP($AT100&amp;"|"&amp;$CU100,LocTable,7,FALSE))&gt;0,VLOOKUP($AT100&amp;"|"&amp;$CU100,LocTable,7,FALSE),VLOOKUP($AT100&amp;"|"&amp;$CU100,LocTable,6,FALSE)),$BI100-($CU100-IF(N(VLOOKUP($AT100&amp;"|"&amp;$CU100,LocTable,7,FALSE))&gt;0,VLOOKUP($AT100&amp;"|"&amp;$CU100,LocTable,7,FALSE),VLOOKUP($AT100&amp;"|"&amp;$CU100,LocTable,6,FALSE)))),$BI100-10-$CR100))</f>
        <v/>
      </c>
      <c r="CY100" s="100">
        <f>IF($CS100,"",TRIM(IF(ISNUMBER($BU100),"A "&amp;TRIM(TEXT($BU100,"# ?/??"))&amp;CHAR(34)&amp;"  ","")&amp;IF(ISNUMBER($BV100),"B "&amp;TRIM(TEXT($BV100,"# ?/??"))&amp;CHAR(34)&amp;"  ","")&amp;IF(ISNUMBER($BW100),"C "&amp;TRIM(TEXT($BW100,"# ?/??"))&amp;CHAR(34)&amp;"  ","")&amp;IF(ISNUMBER($BX100),"D "&amp;TRIM(TEXT($BX100,"# ?/??"))&amp;CHAR(34)&amp;"  ","")&amp;IF(ISNUMBER($BY100),"F "&amp;TRIM(TEXT($BY100,"# ?/??"))&amp;CHAR(34)&amp;"  ","")&amp;IF(ISNUMBER($BZ100),"E "&amp;TRIM(TEXT($BZ100,"# ?/??"))&amp;CHAR(34)&amp;"  ","")))</f>
        <v/>
      </c>
      <c r="CZ100" s="100">
        <f>IF(OR($CS100,N($BJ100)=0),"",TRIM(IF(ISNUMBER($BU100),"A "&amp;TRIM(TEXT($BU100-HeadClr,"# ?/??"))&amp;CHAR(34)&amp;"  ","")&amp;IF(ISNUMBER($BV100),"B "&amp;TRIM(TEXT($BV100-HeadClr,"# ?/??"))&amp;CHAR(34)&amp;"  ","")&amp;IF(ISNUMBER($BW100),"C "&amp;TRIM(TEXT($BW100-HeadClr,"# ?/??"))&amp;CHAR(34)&amp;"  ","")&amp;IF(ISNUMBER($BX100),"D "&amp;TRIM(TEXT($BX100-HeadClr,"# ?/??"))&amp;CHAR(34)&amp;"  ","")&amp;IF(ISNUMBER($BY100),"F "&amp;TRIM(TEXT($BY100-HeadClr,"# ?/??"))&amp;CHAR(34)&amp;"  ","")&amp;IF(ISNUMBER($BZ100),"E "&amp;TRIM(TEXT($BZ100-HeadClr,"# ?/??"))&amp;CHAR(34)&amp;"  ","")))</f>
        <v/>
      </c>
      <c r="DA100" s="99">
        <f>IF($A100="","",IF($AN100="",IFERROR(VLOOKUP($Z100,CODES,2,FALSE),""),IFERROR(VLOOKUP($AN100,CODES,2,FALSE),"")))</f>
        <v/>
      </c>
      <c r="DB100" s="99">
        <f>IF($A100="","",IF($O100="Y","PR",IF(OR($Z100="L",$Z100="RR",LEFT($Z100,2)="L-",LEFT($Z100,3)="RR-"),"LH","RH")))</f>
        <v/>
      </c>
      <c r="DC100" s="99">
        <f>IF($A100="","","S.HM"&amp;IF(OR($C100="DOOR ONLY",$X100&lt;&gt;"KD"),"MASONRY","DRYWALL")&amp;IF($C100="DOOR ONLY","",$U100)&amp;IF(AND($C100&lt;&gt;"FRAME ONLY",OR(LEFT($AH100,3)="OAK",LEFT($AH100,3)="BIR",LEFT($AH100,3)="MAP",$AH100="PC",$AH100="MC",$AH100="SCLC",$AH100="P-LAM")),"WD","HM")&amp;"1.75")</f>
        <v/>
      </c>
      <c r="DD100" s="99">
        <f>IF($CJ100="","",IF($O100="Y",$CJ100,SUBSTITUTE($CJ100,$BG100&amp;" "&amp;IFERROR(VLOOKUP($Z100,CODES,2,FALSE),"")&amp;" ",$BG100&amp;" ")))</f>
        <v/>
      </c>
      <c r="DE100" s="99">
        <f>IF($CK100="","",IF($O100="Y",$CK100,SUBSTITUTE($CK100,$BG100&amp;" "&amp;IF($AN100="",IFERROR(VLOOKUP($Z100,CODES,2,FALSE),""),IFERROR(VLOOKUP($AN100,CODES,2,FALSE),""))&amp;" ",$BG100&amp;" ")))</f>
        <v/>
      </c>
      <c r="DF100" s="99">
        <f>IF($CJ100="","",$DC100&amp;"|"&amp;$DD100&amp;"|"&amp;$DB100&amp;"|"&amp;$AT100&amp;"|"&amp;$V100&amp;"|"&amp;$Y100&amp;"|"&amp;$AB100)</f>
        <v/>
      </c>
      <c r="DG100" s="99">
        <f>IF(DF100="","",IF(COUNTIF($DF$6:DF100,DF100)=1,MAX($DG$5:DG99)+1,INDEX($DG$5:DG99,MATCH(DF100,$DF$5:DF99,0))))</f>
        <v/>
      </c>
      <c r="DH100" s="99">
        <f>IF($CK100="","",$DC100&amp;"|"&amp;$DE100&amp;"|"&amp;$AI100&amp;"|"&amp;$BK100&amp;"|"&amp;$BL100)</f>
        <v/>
      </c>
      <c r="DI100" s="99">
        <f>IF(DH100="","",IF(COUNTIF($DH$6:DH100,DH100)=1,MAX($DI$5:DI99)+1,INDEX($DI$5:DI99,MATCH(DH100,$DH$5:DH99,0))))</f>
        <v/>
      </c>
      <c r="DJ100" s="99">
        <f>IF($A100="","",IF($B100="","qty, ","")&amp;IF($C100="","scope, ","")&amp;IF(OR($K100="",$M100=""),"size, ","")&amp;IF(AND($A100&lt;&gt;"",$C100&lt;&gt;"DOOR ONLY"),IF($U100="","jamb depth, ","")&amp;IF($X100="","construction, ","")&amp;IF($Y100="","anchor, ","")&amp;IF($S100="","frame type, ",""),"")&amp;IF(AND(N($BJ100)&gt;0,$Z100=""),"hand, ","")&amp;IF(N($BJ100)&gt;0,IF($AH100="","door material, ","")&amp;IF($AL100="","face type, ","")&amp;IF($AP100="","lock prep, ","")&amp;IF(AND($AO100="",$AC100=""),"hinge prep, ",""),"")&amp;IF(AND($CH100&gt;0,$AH100="FRP"),"FRP cannot carry a label, ","")&amp;IF(AND($O100="Y",OR($Z100="L",$Z100="R",$Z100="LR",$Z100="RR")),"pair marked but hand is single, ","")&amp;IF(AND($O100&lt;&gt;"Y",OR($Z100="PR",AND(LEN($Z100)&gt;1,ISNUMBER(SEARCH("-",$Z100))))),"pair hand on a single door, ","")&amp;IF(AND(ISNUMBER($CI100),$CH100&lt;N($CI100)),"wall needs a "&amp;$CI100&amp;" min door, ","")&amp;IF(AND($CH100&gt;=180,AND(OR($CE100="FG",$CE100="HG",$CE100="FNV",$CE100="FV"),N($CF100)*N($CG100)&gt;100)),"180 min lite over 100 sq in, ","")&amp;IF(N($BK100)&gt;48,"leaf wider than 4'-0"&amp;CHAR(34)&amp;", ","")&amp;IF(AND($CT100,COUNT($AW100:$AZ100)=0,$CQ100&gt;0),"CUSTOM LOC with no locations typed, ",""))</f>
        <v/>
      </c>
      <c r="DK100" s="99">
        <f>IF($A100="","",IF(AND($CH100&gt;0,AND($A100&lt;&gt;"",$C100&lt;&gt;"DOOR ONLY"),$X100="KD",$E100="EXTERIOR"),"KD label on an exterior opening, ","")&amp;IF(AND($E100="EXTERIOR",OR(AND(AND($A100&lt;&gt;"",$C100&lt;&gt;"DOOR ONLY"),$W100="CR"),AND(N($BJ100)&gt;0,$AH100="CR"))),"exterior in CR steel (G9?), ","")&amp;IF(AND(ISNUMBER($BQ100),N($BQ100)&lt;32),"clear width ~"&amp;TEXT($BQ100,"0.0")&amp;CHAR(34)&amp;" under 32"&amp;CHAR(34)&amp;" (ADA), ","")&amp;IF(AND($CH100=90,AND(OR($CE100="FG",$CE100="HG",$CE100="FNV",$CE100="FV"),N($CF100)*N($CG100)&gt;100)),"90 min lite over 100 sq in (stair/exit), ","")&amp;IF(AND($CH100&gt;0,AND($A100&lt;&gt;"",$C100&lt;&gt;"DOOR ONLY"),OR($AF100="",$AF100="-")),"rated: closer reinf.?, ","")&amp;IF(OR($I100="CORRIDOR",$I100="SMOKE BARRIER"),"S label + smoke gasketing, ","")&amp;IF($CI100="?","wall type/hr not in IBC table, ","")&amp;IF(AND(N($BJ100)&gt;0,$BB100=""),"no hardware set, ","")&amp;IF(AND($BB100&lt;&gt;"",ISNA(MATCH($BB100&amp;"",HWSets,0))),"set "&amp;$BB100&amp;" not on HW Sets, ","")&amp;IF(N($BL100)&gt;96,"leaf over 8'-0"&amp;CHAR(34)&amp;" - check listing, ","")&amp;IF(AND($CT100,COUNT($AW100:$AZ100)&gt;0,COUNT($AW100:$AZ100)&lt;&gt;$CQ100),COUNT($AW100:$AZ100)&amp;" custom hinges typed, "&amp;$CQ100&amp;" expected, ","")&amp;IF(AND(ISNUMBER($CA100),OR(N($CA100)&lt;34,N($CA100)&gt;48)),"lock "&amp;TEXT($CA100,"0.0")&amp;CHAR(34)&amp;" AFF outside 34-48"&amp;CHAR(34)&amp;" (ADA), ","")&amp;IF(AND(ISNUMBER($AV100),ISNUMBER($BL100),N($AV100)&lt;IF(N($BL100)&lt;=60,2,IF(N($BL100)&lt;=90,3,IF(N($BL100)&lt;=120,4,5)))),"fewer hinges than standard, ",""))</f>
        <v/>
      </c>
    </row>
    <row r="101" ht="15" customHeight="1">
      <c r="A101" s="77" t="n"/>
      <c r="B101" s="78" t="n"/>
      <c r="C101" s="78" t="n"/>
      <c r="D101" s="78" t="n"/>
      <c r="E101" s="78" t="n"/>
      <c r="F101" s="78" t="n"/>
      <c r="G101" s="78" t="n"/>
      <c r="H101" s="78" t="n"/>
      <c r="I101" s="78" t="n"/>
      <c r="J101" s="78" t="n"/>
      <c r="K101" s="78" t="n"/>
      <c r="L101" s="78" t="n"/>
      <c r="M101" s="78" t="n"/>
      <c r="N101" s="78" t="n"/>
      <c r="O101" s="78" t="n"/>
      <c r="P101" s="78" t="n"/>
      <c r="Q101" s="78" t="n"/>
      <c r="R101" s="78" t="n"/>
      <c r="S101" s="79" t="n"/>
      <c r="T101" s="79" t="n"/>
      <c r="U101" s="79" t="n"/>
      <c r="V101" s="79" t="n"/>
      <c r="W101" s="79" t="n"/>
      <c r="X101" s="79" t="n"/>
      <c r="Y101" s="79" t="n"/>
      <c r="Z101" s="79" t="n"/>
      <c r="AA101" s="79" t="n"/>
      <c r="AB101" s="79" t="n"/>
      <c r="AC101" s="79" t="n"/>
      <c r="AD101" s="79" t="n"/>
      <c r="AE101" s="79" t="n"/>
      <c r="AF101" s="79" t="n"/>
      <c r="AG101" s="79" t="n"/>
      <c r="AH101" s="80" t="n"/>
      <c r="AI101" s="80" t="n"/>
      <c r="AJ101" s="80" t="n"/>
      <c r="AK101" s="80" t="n"/>
      <c r="AL101" s="80" t="n"/>
      <c r="AM101" s="80" t="n"/>
      <c r="AN101" s="80" t="n"/>
      <c r="AO101" s="80" t="n"/>
      <c r="AP101" s="80" t="n"/>
      <c r="AQ101" s="80" t="n"/>
      <c r="AR101" s="80" t="n"/>
      <c r="AS101" s="80" t="n"/>
      <c r="AT101" s="81" t="n"/>
      <c r="AU101" s="81" t="n"/>
      <c r="AV101" s="81" t="n"/>
      <c r="AW101" s="82" t="n"/>
      <c r="AX101" s="82" t="n"/>
      <c r="AY101" s="82" t="n"/>
      <c r="AZ101" s="82" t="n"/>
      <c r="BA101" s="82" t="n"/>
      <c r="BB101" s="83" t="n"/>
      <c r="BC101" s="83" t="n"/>
      <c r="BD101" s="84">
        <f>IF($A101="","",IF($DJ101&lt;&gt;"","FIX",IF($DK101&lt;&gt;"","CHECK","OK")))</f>
        <v/>
      </c>
      <c r="BE101" s="85">
        <f>IF($A101="","",IF($DJ101&lt;&gt;"","FIX: "&amp;LEFT($DJ101,LEN($DJ101)-2)&amp;IF($DK101&lt;&gt;"","  ·  ",""),"")&amp;IF($DK101&lt;&gt;"","CHECK: "&amp;LEFT($DK101,LEN($DK101)-2),""))</f>
        <v/>
      </c>
      <c r="BF101" s="84">
        <f>IF(OR($A101="",$K101=""),"",$K101&amp;"'-"&amp;N($L101)&amp;CHAR(34)&amp;" x "&amp;$M101&amp;"'-"&amp;N($N101)&amp;CHAR(34))</f>
        <v/>
      </c>
      <c r="BG101" s="84">
        <f>IF(OR($A101="",$K101=""),"",$K101&amp;N($L101)&amp;$M101&amp;N($N101))</f>
        <v/>
      </c>
      <c r="BH101" s="84">
        <f>IF(OR($A101="",$K101=""),"",$K101*12+N($L101))</f>
        <v/>
      </c>
      <c r="BI101" s="84">
        <f>IF(OR($A101="",$M101=""),"",$M101*12+N($N101))</f>
        <v/>
      </c>
      <c r="BJ101" s="84">
        <f>IF($A101="","",IF(OR($C101="FRAME ONLY",$S101="BL"),0,IF($O101="Y",2,1)))</f>
        <v/>
      </c>
      <c r="BK101" s="86">
        <f>IF(OR(N($BJ101)=0,$BH101=""),"",($BH101-2*EdgeClr-IF($BJ101=2,MeetClr,0))/$BJ101)</f>
        <v/>
      </c>
      <c r="BL101" s="86">
        <f>IF(OR(N($BJ101)=0,$BI101=""),"",$BI101-HeadClr-Undercut)</f>
        <v/>
      </c>
      <c r="BM101" s="86">
        <f>IF($BH101="","",$BH101+2*FaceW+IF(N($Q101)&gt;0,($Q101+FaceW)*IF($R101="LR",2,1),0))</f>
        <v/>
      </c>
      <c r="BN101" s="86">
        <f>IF($BI101="","",$BI101+IF($AB101="Y",4,FaceW)+IF(N($P101)&gt;0,$P101+FaceW,0)+IF(OR($S101="4F",$S101="BL"),FaceW,0))</f>
        <v/>
      </c>
      <c r="BO101" s="86">
        <f>IF($BM101="","",$BM101+2*ROSide)</f>
        <v/>
      </c>
      <c r="BP101" s="86">
        <f>IF($BN101="","",$BN101+ROTop)</f>
        <v/>
      </c>
      <c r="BQ101" s="87">
        <f>IF(OR(N($BJ101)=0,$BH101=""),"",$BH101/$BJ101-ClearDeduct)</f>
        <v/>
      </c>
      <c r="BR101" s="84">
        <f>IF(N($CH101)=0,"",IF($CH101&gt;=180,"A · 3 HR",IF($CH101&gt;=90,"B · 1-1/2 HR",IF($CH101&gt;=60,"B · 1 HR",IF($CH101&gt;=45,"C · 3/4 HR","20 MIN")))))&amp;IF(AND(N($CH101)&gt;0,OR($I101="CORRIDOR",$I101="SMOKE BARRIER"))," · S","")</f>
        <v/>
      </c>
      <c r="BS101" s="84">
        <f>IF($CS101,"",IF($AV101&lt;&gt;"",$AV101,IF(OR($AC101="HGC",$AO101="HGC"),"CONT",IF(($BI101-HeadClr-Undercut)&lt;=60,2,IF(($BI101-HeadClr-Undercut)&lt;=90,3,IF(($BI101-HeadClr-Undercut)&lt;=120,4,5))))))</f>
        <v/>
      </c>
      <c r="BT101" s="84">
        <f>IF($CS101,"",IF($CT101,"CUSTOM (typed)",IF($CV101,$AT101&amp;" "&amp;$CU101&amp;CHAR(34)&amp;IF($CU101&lt;&gt;$BI101,IF(AND($BI101&lt;$CU101,$BI101-IF(N(VLOOKUP($AT101&amp;"|"&amp;$CU101,LocTable,7,FALSE))&gt;0,VLOOKUP($AT101&amp;"|"&amp;$CU101,LocTable,7,FALSE),VLOOKUP($AT101&amp;"|"&amp;$CU101,LocTable,6,FALSE))-$CR101-0.75&gt;=2.125)," cut down"," adj."),""),"ANSI/SDI A250.6")))</f>
        <v/>
      </c>
      <c r="BU101" s="88">
        <f>IF($CS101,"",IF($CT101,IF(N($AW101)&gt;0,N($AW101),""),IF(1&gt;$CQ101,"",IF($CQ101=1,$CW101,$CW101+($CX101-$CW101)*0/($CQ101-1)))))</f>
        <v/>
      </c>
      <c r="BV101" s="88">
        <f>IF($CS101,"",IF($CT101,IF(N($AX101)&gt;0,N($AX101),""),IF(2&gt;$CQ101,"",IF($CQ101=1,$CW101,$CW101+($CX101-$CW101)*1/($CQ101-1)))))</f>
        <v/>
      </c>
      <c r="BW101" s="88">
        <f>IF($CS101,"",IF($CT101,IF(N($AY101)&gt;0,N($AY101),""),IF(3&gt;$CQ101,"",IF($CQ101=1,$CW101,$CW101+($CX101-$CW101)*2/($CQ101-1)))))</f>
        <v/>
      </c>
      <c r="BX101" s="88">
        <f>IF($CS101,"",IF($CT101,IF(N($AZ101)&gt;0,N($AZ101),""),IF(4&gt;$CQ101,"",IF($CQ101=1,$CW101,$CW101+($CX101-$CW101)*3/($CQ101-1)))))</f>
        <v/>
      </c>
      <c r="BY101" s="88">
        <f>IF($CS101,"",IF($CT101,"",IF(5&gt;$CQ101,"",IF($CQ101=1,$CW101,$CW101+($CX101-$CW101)*4/($CQ101-1)))))</f>
        <v/>
      </c>
      <c r="BZ101" s="88">
        <f>IF(OR($CS101,$AP101="-",AND($AP101="",$AD101="")),"",IF(N($BA101)&gt;0,N($BA101),IF($CV101,IF(AND($BI101&lt;$CU101,$BI101-IF(N(VLOOKUP($AT101&amp;"|"&amp;$CU101,LocTable,7,FALSE))&gt;0,VLOOKUP($AT101&amp;"|"&amp;$CU101,LocTable,7,FALSE),VLOOKUP($AT101&amp;"|"&amp;$CU101,LocTable,6,FALSE))-$CR101-0.75&gt;=2.125),VLOOKUP($AT101&amp;"|"&amp;$CU101,LocTable,8,FALSE),VLOOKUP($AT101&amp;"|"&amp;$CU101,LocTable,8,FALSE)+($BI101-$CU101)),$BI101-LockAFF)))</f>
        <v/>
      </c>
      <c r="CA101" s="89">
        <f>IF($BZ101="","",$BI101-$BZ101)</f>
        <v/>
      </c>
      <c r="CB101" s="84">
        <f>IF(OR(NOT(AND($A101&lt;&gt;"",$C101&lt;&gt;"DOOR ONLY")),$BI101=""),"",IF(($BI101+IF(N($P101)&gt;0,$P101+FaceW,0))&lt;=90,3,IF(($BI101+IF(N($P101)&gt;0,$P101+FaceW,0))&lt;=114,4,5)))</f>
        <v/>
      </c>
      <c r="CC101" s="84">
        <f>IF($CB101="","",$CB101*(2+IF(N($Q101)&gt;0,IF($R101="LR",2,1),0)))</f>
        <v/>
      </c>
      <c r="CD101" s="84">
        <f>IF($CB101="","",(2+IF(N($Q101)&gt;0,IF($R101="LR",2,1),0)))</f>
        <v/>
      </c>
      <c r="CE101" s="84">
        <f>IF(N($BJ101)=0,"",IF(OR($AL101="",$AL101="FLUSH"),"FLUSH",IFERROR(LEFT($AL101,FIND("-",$AL101)-1),LEFT($AL101,2))))</f>
        <v/>
      </c>
      <c r="CF101" s="84">
        <f>IF($CE101="","",IFERROR(VALUE(MID($AL101,FIND("-",$AL101)+1,FIND(CHAR(34)&amp;"x",$AL101)-FIND("-",$AL101)-1)),0))</f>
        <v/>
      </c>
      <c r="CG101" s="84">
        <f>IF($CE101="","",IFERROR(VALUE(MID($AL101,FIND(CHAR(34)&amp;"x",$AL101)+2,FIND(CHAR(34),$AL101,FIND(CHAR(34)&amp;"x",$AL101)+2)-FIND(CHAR(34)&amp;"x",$AL101)-2)),0))</f>
        <v/>
      </c>
      <c r="CH101" s="90">
        <f>IF(OR($A101="",$H101="",$H101="NO LAB"),0,IFERROR(VALUE(LEFT($H101,FIND(" ",$H101)-1)),0))</f>
        <v/>
      </c>
      <c r="CI101" s="91">
        <f>IF(OR($A101="",$I101="",$I101="NON-RATED",N($J101)=0),"",IFERROR(VLOOKUP($I101&amp;"|"&amp;$J101,IBC,2,FALSE),"?"))</f>
        <v/>
      </c>
      <c r="CJ101" s="85">
        <f>IF(NOT(AND($A101&lt;&gt;"",$C101&lt;&gt;"DOOR ONLY")),"",TRIM(IFERROR(VLOOKUP($U101,CODES,2,FALSE),"")&amp;" "&amp;$BG101&amp;" "&amp;IFERROR(VLOOKUP($Z101,CODES,2,FALSE),"")&amp;" "&amp;IFERROR(VLOOKUP($X101,CODES,2,FALSE),"")&amp;" "&amp;IFERROR(VLOOKUP($S101,CODES,2,FALSE),"")&amp;IF(N($P101)&gt;0," w/TRANSOM "&amp;$P101&amp;CHAR(34),"")&amp;IF(N($Q101)&gt;0," w/SIDELITE "&amp;$Q101&amp;CHAR(34)&amp;" "&amp;IF($R101="","R",$R101),"")&amp;IF($Y101="","  |  "," | "&amp;IFERROR(VLOOKUP($Y101,CODES,2,FALSE),"")&amp;" | ")&amp;IFERROR(VLOOKUP($AC101,CODES,2,FALSE),"")&amp;" "&amp;IFERROR(VLOOKUP($AD101,CODES,2,FALSE),"")&amp;IF(OR($AE101="",$AE101="-"),""," "&amp;$AE101)&amp;IF(OR($AF101="",$AF101="-"),""," "&amp;$AF101)&amp;IF($AB101="Y"," 4"&amp;CHAR(34)&amp;" HEAD","")&amp;" "&amp;IFERROR(VLOOKUP($H101,CODES,2,FALSE),"")&amp;IF($CT101," | LOC "&amp;$CY101,"")))</f>
        <v/>
      </c>
      <c r="CK101" s="85">
        <f>IF(NOT(AND($A101&lt;&gt;"",N($BJ101)&gt;0)),"",TRIM(IFERROR(VLOOKUP($AH101,CODES,2,FALSE),"")&amp;IF($AI101=""," "," "&amp;$AI101&amp;"GA ")&amp;$BG101&amp;" "&amp;IF($AN101="",IFERROR(VLOOKUP($Z101,CODES,2,FALSE),""),IFERROR(VLOOKUP($AN101,CODES,2,FALSE),""))&amp;IF($BJ101=2," PAIR","")&amp;" DOOR | "&amp;IF($AL101="","?",$AL101)&amp;" | "&amp;IF($AO101="",IFERROR(VLOOKUP($AC101,CODES,2,FALSE),""),IFERROR(VLOOKUP($AO101,CODES,2,FALSE),""))&amp;" "&amp;IFERROR(VLOOKUP($AP101,CODES,2,FALSE),"")&amp;IF(OR($AQ101="",$AQ101="-"),""," SEAM "&amp;$AQ101)&amp;IF($AR101="Y"," ASTRAGAL","")&amp;IF($AJ101=""," "," "&amp;$AJ101)&amp;IF($AK101=""," "," "&amp;$AK101)&amp;IF(OR($AT101="",$AT101="ANSI/SDI",$AT101="CUSTOM LOC"),""," "&amp;$AT101)&amp;IF($AM101=""," "," SERIES "&amp;$AM101)&amp;" "&amp;IFERROR(VLOOKUP($H101,CODES,2,FALSE),"")&amp;IF($CT101," | LOC "&amp;$CZ101,"")))</f>
        <v/>
      </c>
      <c r="CL101" s="84">
        <f>IF(CP101="","",IF(COUNTIF($CP$6:CP101,CP101)=1,MAX($CL$5:CL100)+1,INDEX($CL$5:CL100,MATCH(CP101,$CP$5:CP100,0))))</f>
        <v/>
      </c>
      <c r="CM101" s="84">
        <f>IF(NOT(AND($A101&lt;&gt;"",$C101&lt;&gt;"DOOR ONLY")),"",MAX($CM$5:CM100)+1)</f>
        <v/>
      </c>
      <c r="CN101" s="84">
        <f>IF(NOT(AND($A101&lt;&gt;"",N($BJ101)&gt;0)),"",MAX($CN$5:CN100)+1)</f>
        <v/>
      </c>
      <c r="CO101" s="84">
        <f>IF($A101="","",MAX($CO$5:CO100)+1)</f>
        <v/>
      </c>
      <c r="CP101" s="84">
        <f>IF(OR($A101="",$BH101="",$BI101=""),"",$BG101&amp;"|"&amp;$O101&amp;"|"&amp;$AL101&amp;"|"&amp;$S101&amp;"|"&amp;$P101&amp;"|"&amp;$Q101&amp;$R101&amp;"|"&amp;$C101&amp;"|"&amp;$AB101)</f>
        <v/>
      </c>
      <c r="CQ101" s="84">
        <f>N($BS101)</f>
        <v/>
      </c>
      <c r="CR101" s="84">
        <f>IF(N($AU101)&gt;0,N($AU101),4.5)</f>
        <v/>
      </c>
      <c r="CS101" s="84">
        <f>OR($A101="",$BI101="",$S101="BL",AND($C101="FRAME ONLY",OR($AC101="",$AC101="BLK")))</f>
        <v/>
      </c>
      <c r="CT101" s="84">
        <f>AND(NOT($CS101),OR($AT101="CUSTOM LOC",N($AW101)+N($AX101)+N($AY101)+N($AZ101)+N($BA101)&gt;0))</f>
        <v/>
      </c>
      <c r="CU101" s="84">
        <f>IF($BI101="","",IF($BI101&lt;=80,80,IF($BI101&lt;=84,84,96)))</f>
        <v/>
      </c>
      <c r="CV101" s="84">
        <f>ISNUMBER(MATCH($AT101&amp;"|80",LocKeys,0))</f>
        <v/>
      </c>
      <c r="CW101" s="86">
        <f>IF($CS101,"",IF($CV101,VLOOKUP($AT101&amp;"|"&amp;$CU101,LocTable,4,FALSE),5))</f>
        <v/>
      </c>
      <c r="CX101" s="86">
        <f>IF($CS101,"",IF($CV101,IF(OR($BI101=$CU101,AND($BI101&lt;$CU101,$BI101-IF(N(VLOOKUP($AT101&amp;"|"&amp;$CU101,LocTable,7,FALSE))&gt;0,VLOOKUP($AT101&amp;"|"&amp;$CU101,LocTable,7,FALSE),VLOOKUP($AT101&amp;"|"&amp;$CU101,LocTable,6,FALSE))-$CR101-0.75&gt;=2.125)),IF(N(VLOOKUP($AT101&amp;"|"&amp;$CU101,LocTable,7,FALSE))&gt;0,VLOOKUP($AT101&amp;"|"&amp;$CU101,LocTable,7,FALSE),VLOOKUP($AT101&amp;"|"&amp;$CU101,LocTable,6,FALSE)),$BI101-($CU101-IF(N(VLOOKUP($AT101&amp;"|"&amp;$CU101,LocTable,7,FALSE))&gt;0,VLOOKUP($AT101&amp;"|"&amp;$CU101,LocTable,7,FALSE),VLOOKUP($AT101&amp;"|"&amp;$CU101,LocTable,6,FALSE)))),$BI101-10-$CR101))</f>
        <v/>
      </c>
      <c r="CY101" s="85">
        <f>IF($CS101,"",TRIM(IF(ISNUMBER($BU101),"A "&amp;TRIM(TEXT($BU101,"# ?/??"))&amp;CHAR(34)&amp;"  ","")&amp;IF(ISNUMBER($BV101),"B "&amp;TRIM(TEXT($BV101,"# ?/??"))&amp;CHAR(34)&amp;"  ","")&amp;IF(ISNUMBER($BW101),"C "&amp;TRIM(TEXT($BW101,"# ?/??"))&amp;CHAR(34)&amp;"  ","")&amp;IF(ISNUMBER($BX101),"D "&amp;TRIM(TEXT($BX101,"# ?/??"))&amp;CHAR(34)&amp;"  ","")&amp;IF(ISNUMBER($BY101),"F "&amp;TRIM(TEXT($BY101,"# ?/??"))&amp;CHAR(34)&amp;"  ","")&amp;IF(ISNUMBER($BZ101),"E "&amp;TRIM(TEXT($BZ101,"# ?/??"))&amp;CHAR(34)&amp;"  ","")))</f>
        <v/>
      </c>
      <c r="CZ101" s="85">
        <f>IF(OR($CS101,N($BJ101)=0),"",TRIM(IF(ISNUMBER($BU101),"A "&amp;TRIM(TEXT($BU101-HeadClr,"# ?/??"))&amp;CHAR(34)&amp;"  ","")&amp;IF(ISNUMBER($BV101),"B "&amp;TRIM(TEXT($BV101-HeadClr,"# ?/??"))&amp;CHAR(34)&amp;"  ","")&amp;IF(ISNUMBER($BW101),"C "&amp;TRIM(TEXT($BW101-HeadClr,"# ?/??"))&amp;CHAR(34)&amp;"  ","")&amp;IF(ISNUMBER($BX101),"D "&amp;TRIM(TEXT($BX101-HeadClr,"# ?/??"))&amp;CHAR(34)&amp;"  ","")&amp;IF(ISNUMBER($BY101),"F "&amp;TRIM(TEXT($BY101-HeadClr,"# ?/??"))&amp;CHAR(34)&amp;"  ","")&amp;IF(ISNUMBER($BZ101),"E "&amp;TRIM(TEXT($BZ101-HeadClr,"# ?/??"))&amp;CHAR(34)&amp;"  ","")))</f>
        <v/>
      </c>
      <c r="DA101" s="84">
        <f>IF($A101="","",IF($AN101="",IFERROR(VLOOKUP($Z101,CODES,2,FALSE),""),IFERROR(VLOOKUP($AN101,CODES,2,FALSE),"")))</f>
        <v/>
      </c>
      <c r="DB101" s="84">
        <f>IF($A101="","",IF($O101="Y","PR",IF(OR($Z101="L",$Z101="RR",LEFT($Z101,2)="L-",LEFT($Z101,3)="RR-"),"LH","RH")))</f>
        <v/>
      </c>
      <c r="DC101" s="84">
        <f>IF($A101="","","S.HM"&amp;IF(OR($C101="DOOR ONLY",$X101&lt;&gt;"KD"),"MASONRY","DRYWALL")&amp;IF($C101="DOOR ONLY","",$U101)&amp;IF(AND($C101&lt;&gt;"FRAME ONLY",OR(LEFT($AH101,3)="OAK",LEFT($AH101,3)="BIR",LEFT($AH101,3)="MAP",$AH101="PC",$AH101="MC",$AH101="SCLC",$AH101="P-LAM")),"WD","HM")&amp;"1.75")</f>
        <v/>
      </c>
      <c r="DD101" s="84">
        <f>IF($CJ101="","",IF($O101="Y",$CJ101,SUBSTITUTE($CJ101,$BG101&amp;" "&amp;IFERROR(VLOOKUP($Z101,CODES,2,FALSE),"")&amp;" ",$BG101&amp;" ")))</f>
        <v/>
      </c>
      <c r="DE101" s="84">
        <f>IF($CK101="","",IF($O101="Y",$CK101,SUBSTITUTE($CK101,$BG101&amp;" "&amp;IF($AN101="",IFERROR(VLOOKUP($Z101,CODES,2,FALSE),""),IFERROR(VLOOKUP($AN101,CODES,2,FALSE),""))&amp;" ",$BG101&amp;" ")))</f>
        <v/>
      </c>
      <c r="DF101" s="84">
        <f>IF($CJ101="","",$DC101&amp;"|"&amp;$DD101&amp;"|"&amp;$DB101&amp;"|"&amp;$AT101&amp;"|"&amp;$V101&amp;"|"&amp;$Y101&amp;"|"&amp;$AB101)</f>
        <v/>
      </c>
      <c r="DG101" s="84">
        <f>IF(DF101="","",IF(COUNTIF($DF$6:DF101,DF101)=1,MAX($DG$5:DG100)+1,INDEX($DG$5:DG100,MATCH(DF101,$DF$5:DF100,0))))</f>
        <v/>
      </c>
      <c r="DH101" s="84">
        <f>IF($CK101="","",$DC101&amp;"|"&amp;$DE101&amp;"|"&amp;$AI101&amp;"|"&amp;$BK101&amp;"|"&amp;$BL101)</f>
        <v/>
      </c>
      <c r="DI101" s="84">
        <f>IF(DH101="","",IF(COUNTIF($DH$6:DH101,DH101)=1,MAX($DI$5:DI100)+1,INDEX($DI$5:DI100,MATCH(DH101,$DH$5:DH100,0))))</f>
        <v/>
      </c>
      <c r="DJ101" s="84">
        <f>IF($A101="","",IF($B101="","qty, ","")&amp;IF($C101="","scope, ","")&amp;IF(OR($K101="",$M101=""),"size, ","")&amp;IF(AND($A101&lt;&gt;"",$C101&lt;&gt;"DOOR ONLY"),IF($U101="","jamb depth, ","")&amp;IF($X101="","construction, ","")&amp;IF($Y101="","anchor, ","")&amp;IF($S101="","frame type, ",""),"")&amp;IF(AND(N($BJ101)&gt;0,$Z101=""),"hand, ","")&amp;IF(N($BJ101)&gt;0,IF($AH101="","door material, ","")&amp;IF($AL101="","face type, ","")&amp;IF($AP101="","lock prep, ","")&amp;IF(AND($AO101="",$AC101=""),"hinge prep, ",""),"")&amp;IF(AND($CH101&gt;0,$AH101="FRP"),"FRP cannot carry a label, ","")&amp;IF(AND($O101="Y",OR($Z101="L",$Z101="R",$Z101="LR",$Z101="RR")),"pair marked but hand is single, ","")&amp;IF(AND($O101&lt;&gt;"Y",OR($Z101="PR",AND(LEN($Z101)&gt;1,ISNUMBER(SEARCH("-",$Z101))))),"pair hand on a single door, ","")&amp;IF(AND(ISNUMBER($CI101),$CH101&lt;N($CI101)),"wall needs a "&amp;$CI101&amp;" min door, ","")&amp;IF(AND($CH101&gt;=180,AND(OR($CE101="FG",$CE101="HG",$CE101="FNV",$CE101="FV"),N($CF101)*N($CG101)&gt;100)),"180 min lite over 100 sq in, ","")&amp;IF(N($BK101)&gt;48,"leaf wider than 4'-0"&amp;CHAR(34)&amp;", ","")&amp;IF(AND($CT101,COUNT($AW101:$AZ101)=0,$CQ101&gt;0),"CUSTOM LOC with no locations typed, ",""))</f>
        <v/>
      </c>
      <c r="DK101" s="84">
        <f>IF($A101="","",IF(AND($CH101&gt;0,AND($A101&lt;&gt;"",$C101&lt;&gt;"DOOR ONLY"),$X101="KD",$E101="EXTERIOR"),"KD label on an exterior opening, ","")&amp;IF(AND($E101="EXTERIOR",OR(AND(AND($A101&lt;&gt;"",$C101&lt;&gt;"DOOR ONLY"),$W101="CR"),AND(N($BJ101)&gt;0,$AH101="CR"))),"exterior in CR steel (G9?), ","")&amp;IF(AND(ISNUMBER($BQ101),N($BQ101)&lt;32),"clear width ~"&amp;TEXT($BQ101,"0.0")&amp;CHAR(34)&amp;" under 32"&amp;CHAR(34)&amp;" (ADA), ","")&amp;IF(AND($CH101=90,AND(OR($CE101="FG",$CE101="HG",$CE101="FNV",$CE101="FV"),N($CF101)*N($CG101)&gt;100)),"90 min lite over 100 sq in (stair/exit), ","")&amp;IF(AND($CH101&gt;0,AND($A101&lt;&gt;"",$C101&lt;&gt;"DOOR ONLY"),OR($AF101="",$AF101="-")),"rated: closer reinf.?, ","")&amp;IF(OR($I101="CORRIDOR",$I101="SMOKE BARRIER"),"S label + smoke gasketing, ","")&amp;IF($CI101="?","wall type/hr not in IBC table, ","")&amp;IF(AND(N($BJ101)&gt;0,$BB101=""),"no hardware set, ","")&amp;IF(AND($BB101&lt;&gt;"",ISNA(MATCH($BB101&amp;"",HWSets,0))),"set "&amp;$BB101&amp;" not on HW Sets, ","")&amp;IF(N($BL101)&gt;96,"leaf over 8'-0"&amp;CHAR(34)&amp;" - check listing, ","")&amp;IF(AND($CT101,COUNT($AW101:$AZ101)&gt;0,COUNT($AW101:$AZ101)&lt;&gt;$CQ101),COUNT($AW101:$AZ101)&amp;" custom hinges typed, "&amp;$CQ101&amp;" expected, ","")&amp;IF(AND(ISNUMBER($CA101),OR(N($CA101)&lt;34,N($CA101)&gt;48)),"lock "&amp;TEXT($CA101,"0.0")&amp;CHAR(34)&amp;" AFF outside 34-48"&amp;CHAR(34)&amp;" (ADA), ","")&amp;IF(AND(ISNUMBER($AV101),ISNUMBER($BL101),N($AV101)&lt;IF(N($BL101)&lt;=60,2,IF(N($BL101)&lt;=90,3,IF(N($BL101)&lt;=120,4,5)))),"fewer hinges than standard, ",""))</f>
        <v/>
      </c>
    </row>
    <row r="102" ht="15" customHeight="1">
      <c r="A102" s="77" t="n"/>
      <c r="B102" s="78" t="n"/>
      <c r="C102" s="78" t="n"/>
      <c r="D102" s="78" t="n"/>
      <c r="E102" s="78" t="n"/>
      <c r="F102" s="78" t="n"/>
      <c r="G102" s="78" t="n"/>
      <c r="H102" s="78" t="n"/>
      <c r="I102" s="78" t="n"/>
      <c r="J102" s="78" t="n"/>
      <c r="K102" s="78" t="n"/>
      <c r="L102" s="78" t="n"/>
      <c r="M102" s="78" t="n"/>
      <c r="N102" s="78" t="n"/>
      <c r="O102" s="78" t="n"/>
      <c r="P102" s="78" t="n"/>
      <c r="Q102" s="78" t="n"/>
      <c r="R102" s="78" t="n"/>
      <c r="S102" s="79" t="n"/>
      <c r="T102" s="79" t="n"/>
      <c r="U102" s="79" t="n"/>
      <c r="V102" s="79" t="n"/>
      <c r="W102" s="79" t="n"/>
      <c r="X102" s="79" t="n"/>
      <c r="Y102" s="79" t="n"/>
      <c r="Z102" s="79" t="n"/>
      <c r="AA102" s="79" t="n"/>
      <c r="AB102" s="79" t="n"/>
      <c r="AC102" s="79" t="n"/>
      <c r="AD102" s="79" t="n"/>
      <c r="AE102" s="79" t="n"/>
      <c r="AF102" s="79" t="n"/>
      <c r="AG102" s="79" t="n"/>
      <c r="AH102" s="80" t="n"/>
      <c r="AI102" s="80" t="n"/>
      <c r="AJ102" s="80" t="n"/>
      <c r="AK102" s="80" t="n"/>
      <c r="AL102" s="80" t="n"/>
      <c r="AM102" s="80" t="n"/>
      <c r="AN102" s="80" t="n"/>
      <c r="AO102" s="80" t="n"/>
      <c r="AP102" s="80" t="n"/>
      <c r="AQ102" s="80" t="n"/>
      <c r="AR102" s="80" t="n"/>
      <c r="AS102" s="80" t="n"/>
      <c r="AT102" s="81" t="n"/>
      <c r="AU102" s="81" t="n"/>
      <c r="AV102" s="81" t="n"/>
      <c r="AW102" s="82" t="n"/>
      <c r="AX102" s="82" t="n"/>
      <c r="AY102" s="82" t="n"/>
      <c r="AZ102" s="82" t="n"/>
      <c r="BA102" s="82" t="n"/>
      <c r="BB102" s="83" t="n"/>
      <c r="BC102" s="83" t="n"/>
      <c r="BD102" s="84">
        <f>IF($A102="","",IF($DJ102&lt;&gt;"","FIX",IF($DK102&lt;&gt;"","CHECK","OK")))</f>
        <v/>
      </c>
      <c r="BE102" s="85">
        <f>IF($A102="","",IF($DJ102&lt;&gt;"","FIX: "&amp;LEFT($DJ102,LEN($DJ102)-2)&amp;IF($DK102&lt;&gt;"","  ·  ",""),"")&amp;IF($DK102&lt;&gt;"","CHECK: "&amp;LEFT($DK102,LEN($DK102)-2),""))</f>
        <v/>
      </c>
      <c r="BF102" s="84">
        <f>IF(OR($A102="",$K102=""),"",$K102&amp;"'-"&amp;N($L102)&amp;CHAR(34)&amp;" x "&amp;$M102&amp;"'-"&amp;N($N102)&amp;CHAR(34))</f>
        <v/>
      </c>
      <c r="BG102" s="84">
        <f>IF(OR($A102="",$K102=""),"",$K102&amp;N($L102)&amp;$M102&amp;N($N102))</f>
        <v/>
      </c>
      <c r="BH102" s="84">
        <f>IF(OR($A102="",$K102=""),"",$K102*12+N($L102))</f>
        <v/>
      </c>
      <c r="BI102" s="84">
        <f>IF(OR($A102="",$M102=""),"",$M102*12+N($N102))</f>
        <v/>
      </c>
      <c r="BJ102" s="84">
        <f>IF($A102="","",IF(OR($C102="FRAME ONLY",$S102="BL"),0,IF($O102="Y",2,1)))</f>
        <v/>
      </c>
      <c r="BK102" s="86">
        <f>IF(OR(N($BJ102)=0,$BH102=""),"",($BH102-2*EdgeClr-IF($BJ102=2,MeetClr,0))/$BJ102)</f>
        <v/>
      </c>
      <c r="BL102" s="86">
        <f>IF(OR(N($BJ102)=0,$BI102=""),"",$BI102-HeadClr-Undercut)</f>
        <v/>
      </c>
      <c r="BM102" s="86">
        <f>IF($BH102="","",$BH102+2*FaceW+IF(N($Q102)&gt;0,($Q102+FaceW)*IF($R102="LR",2,1),0))</f>
        <v/>
      </c>
      <c r="BN102" s="86">
        <f>IF($BI102="","",$BI102+IF($AB102="Y",4,FaceW)+IF(N($P102)&gt;0,$P102+FaceW,0)+IF(OR($S102="4F",$S102="BL"),FaceW,0))</f>
        <v/>
      </c>
      <c r="BO102" s="86">
        <f>IF($BM102="","",$BM102+2*ROSide)</f>
        <v/>
      </c>
      <c r="BP102" s="86">
        <f>IF($BN102="","",$BN102+ROTop)</f>
        <v/>
      </c>
      <c r="BQ102" s="87">
        <f>IF(OR(N($BJ102)=0,$BH102=""),"",$BH102/$BJ102-ClearDeduct)</f>
        <v/>
      </c>
      <c r="BR102" s="84">
        <f>IF(N($CH102)=0,"",IF($CH102&gt;=180,"A · 3 HR",IF($CH102&gt;=90,"B · 1-1/2 HR",IF($CH102&gt;=60,"B · 1 HR",IF($CH102&gt;=45,"C · 3/4 HR","20 MIN")))))&amp;IF(AND(N($CH102)&gt;0,OR($I102="CORRIDOR",$I102="SMOKE BARRIER"))," · S","")</f>
        <v/>
      </c>
      <c r="BS102" s="84">
        <f>IF($CS102,"",IF($AV102&lt;&gt;"",$AV102,IF(OR($AC102="HGC",$AO102="HGC"),"CONT",IF(($BI102-HeadClr-Undercut)&lt;=60,2,IF(($BI102-HeadClr-Undercut)&lt;=90,3,IF(($BI102-HeadClr-Undercut)&lt;=120,4,5))))))</f>
        <v/>
      </c>
      <c r="BT102" s="84">
        <f>IF($CS102,"",IF($CT102,"CUSTOM (typed)",IF($CV102,$AT102&amp;" "&amp;$CU102&amp;CHAR(34)&amp;IF($CU102&lt;&gt;$BI102,IF(AND($BI102&lt;$CU102,$BI102-IF(N(VLOOKUP($AT102&amp;"|"&amp;$CU102,LocTable,7,FALSE))&gt;0,VLOOKUP($AT102&amp;"|"&amp;$CU102,LocTable,7,FALSE),VLOOKUP($AT102&amp;"|"&amp;$CU102,LocTable,6,FALSE))-$CR102-0.75&gt;=2.125)," cut down"," adj."),""),"ANSI/SDI A250.6")))</f>
        <v/>
      </c>
      <c r="BU102" s="88">
        <f>IF($CS102,"",IF($CT102,IF(N($AW102)&gt;0,N($AW102),""),IF(1&gt;$CQ102,"",IF($CQ102=1,$CW102,$CW102+($CX102-$CW102)*0/($CQ102-1)))))</f>
        <v/>
      </c>
      <c r="BV102" s="88">
        <f>IF($CS102,"",IF($CT102,IF(N($AX102)&gt;0,N($AX102),""),IF(2&gt;$CQ102,"",IF($CQ102=1,$CW102,$CW102+($CX102-$CW102)*1/($CQ102-1)))))</f>
        <v/>
      </c>
      <c r="BW102" s="88">
        <f>IF($CS102,"",IF($CT102,IF(N($AY102)&gt;0,N($AY102),""),IF(3&gt;$CQ102,"",IF($CQ102=1,$CW102,$CW102+($CX102-$CW102)*2/($CQ102-1)))))</f>
        <v/>
      </c>
      <c r="BX102" s="88">
        <f>IF($CS102,"",IF($CT102,IF(N($AZ102)&gt;0,N($AZ102),""),IF(4&gt;$CQ102,"",IF($CQ102=1,$CW102,$CW102+($CX102-$CW102)*3/($CQ102-1)))))</f>
        <v/>
      </c>
      <c r="BY102" s="88">
        <f>IF($CS102,"",IF($CT102,"",IF(5&gt;$CQ102,"",IF($CQ102=1,$CW102,$CW102+($CX102-$CW102)*4/($CQ102-1)))))</f>
        <v/>
      </c>
      <c r="BZ102" s="88">
        <f>IF(OR($CS102,$AP102="-",AND($AP102="",$AD102="")),"",IF(N($BA102)&gt;0,N($BA102),IF($CV102,IF(AND($BI102&lt;$CU102,$BI102-IF(N(VLOOKUP($AT102&amp;"|"&amp;$CU102,LocTable,7,FALSE))&gt;0,VLOOKUP($AT102&amp;"|"&amp;$CU102,LocTable,7,FALSE),VLOOKUP($AT102&amp;"|"&amp;$CU102,LocTable,6,FALSE))-$CR102-0.75&gt;=2.125),VLOOKUP($AT102&amp;"|"&amp;$CU102,LocTable,8,FALSE),VLOOKUP($AT102&amp;"|"&amp;$CU102,LocTable,8,FALSE)+($BI102-$CU102)),$BI102-LockAFF)))</f>
        <v/>
      </c>
      <c r="CA102" s="89">
        <f>IF($BZ102="","",$BI102-$BZ102)</f>
        <v/>
      </c>
      <c r="CB102" s="84">
        <f>IF(OR(NOT(AND($A102&lt;&gt;"",$C102&lt;&gt;"DOOR ONLY")),$BI102=""),"",IF(($BI102+IF(N($P102)&gt;0,$P102+FaceW,0))&lt;=90,3,IF(($BI102+IF(N($P102)&gt;0,$P102+FaceW,0))&lt;=114,4,5)))</f>
        <v/>
      </c>
      <c r="CC102" s="84">
        <f>IF($CB102="","",$CB102*(2+IF(N($Q102)&gt;0,IF($R102="LR",2,1),0)))</f>
        <v/>
      </c>
      <c r="CD102" s="84">
        <f>IF($CB102="","",(2+IF(N($Q102)&gt;0,IF($R102="LR",2,1),0)))</f>
        <v/>
      </c>
      <c r="CE102" s="84">
        <f>IF(N($BJ102)=0,"",IF(OR($AL102="",$AL102="FLUSH"),"FLUSH",IFERROR(LEFT($AL102,FIND("-",$AL102)-1),LEFT($AL102,2))))</f>
        <v/>
      </c>
      <c r="CF102" s="84">
        <f>IF($CE102="","",IFERROR(VALUE(MID($AL102,FIND("-",$AL102)+1,FIND(CHAR(34)&amp;"x",$AL102)-FIND("-",$AL102)-1)),0))</f>
        <v/>
      </c>
      <c r="CG102" s="84">
        <f>IF($CE102="","",IFERROR(VALUE(MID($AL102,FIND(CHAR(34)&amp;"x",$AL102)+2,FIND(CHAR(34),$AL102,FIND(CHAR(34)&amp;"x",$AL102)+2)-FIND(CHAR(34)&amp;"x",$AL102)-2)),0))</f>
        <v/>
      </c>
      <c r="CH102" s="90">
        <f>IF(OR($A102="",$H102="",$H102="NO LAB"),0,IFERROR(VALUE(LEFT($H102,FIND(" ",$H102)-1)),0))</f>
        <v/>
      </c>
      <c r="CI102" s="91">
        <f>IF(OR($A102="",$I102="",$I102="NON-RATED",N($J102)=0),"",IFERROR(VLOOKUP($I102&amp;"|"&amp;$J102,IBC,2,FALSE),"?"))</f>
        <v/>
      </c>
      <c r="CJ102" s="85">
        <f>IF(NOT(AND($A102&lt;&gt;"",$C102&lt;&gt;"DOOR ONLY")),"",TRIM(IFERROR(VLOOKUP($U102,CODES,2,FALSE),"")&amp;" "&amp;$BG102&amp;" "&amp;IFERROR(VLOOKUP($Z102,CODES,2,FALSE),"")&amp;" "&amp;IFERROR(VLOOKUP($X102,CODES,2,FALSE),"")&amp;" "&amp;IFERROR(VLOOKUP($S102,CODES,2,FALSE),"")&amp;IF(N($P102)&gt;0," w/TRANSOM "&amp;$P102&amp;CHAR(34),"")&amp;IF(N($Q102)&gt;0," w/SIDELITE "&amp;$Q102&amp;CHAR(34)&amp;" "&amp;IF($R102="","R",$R102),"")&amp;IF($Y102="","  |  "," | "&amp;IFERROR(VLOOKUP($Y102,CODES,2,FALSE),"")&amp;" | ")&amp;IFERROR(VLOOKUP($AC102,CODES,2,FALSE),"")&amp;" "&amp;IFERROR(VLOOKUP($AD102,CODES,2,FALSE),"")&amp;IF(OR($AE102="",$AE102="-"),""," "&amp;$AE102)&amp;IF(OR($AF102="",$AF102="-"),""," "&amp;$AF102)&amp;IF($AB102="Y"," 4"&amp;CHAR(34)&amp;" HEAD","")&amp;" "&amp;IFERROR(VLOOKUP($H102,CODES,2,FALSE),"")&amp;IF($CT102," | LOC "&amp;$CY102,"")))</f>
        <v/>
      </c>
      <c r="CK102" s="85">
        <f>IF(NOT(AND($A102&lt;&gt;"",N($BJ102)&gt;0)),"",TRIM(IFERROR(VLOOKUP($AH102,CODES,2,FALSE),"")&amp;IF($AI102=""," "," "&amp;$AI102&amp;"GA ")&amp;$BG102&amp;" "&amp;IF($AN102="",IFERROR(VLOOKUP($Z102,CODES,2,FALSE),""),IFERROR(VLOOKUP($AN102,CODES,2,FALSE),""))&amp;IF($BJ102=2," PAIR","")&amp;" DOOR | "&amp;IF($AL102="","?",$AL102)&amp;" | "&amp;IF($AO102="",IFERROR(VLOOKUP($AC102,CODES,2,FALSE),""),IFERROR(VLOOKUP($AO102,CODES,2,FALSE),""))&amp;" "&amp;IFERROR(VLOOKUP($AP102,CODES,2,FALSE),"")&amp;IF(OR($AQ102="",$AQ102="-"),""," SEAM "&amp;$AQ102)&amp;IF($AR102="Y"," ASTRAGAL","")&amp;IF($AJ102=""," "," "&amp;$AJ102)&amp;IF($AK102=""," "," "&amp;$AK102)&amp;IF(OR($AT102="",$AT102="ANSI/SDI",$AT102="CUSTOM LOC"),""," "&amp;$AT102)&amp;IF($AM102=""," "," SERIES "&amp;$AM102)&amp;" "&amp;IFERROR(VLOOKUP($H102,CODES,2,FALSE),"")&amp;IF($CT102," | LOC "&amp;$CZ102,"")))</f>
        <v/>
      </c>
      <c r="CL102" s="84">
        <f>IF(CP102="","",IF(COUNTIF($CP$6:CP102,CP102)=1,MAX($CL$5:CL101)+1,INDEX($CL$5:CL101,MATCH(CP102,$CP$5:CP101,0))))</f>
        <v/>
      </c>
      <c r="CM102" s="84">
        <f>IF(NOT(AND($A102&lt;&gt;"",$C102&lt;&gt;"DOOR ONLY")),"",MAX($CM$5:CM101)+1)</f>
        <v/>
      </c>
      <c r="CN102" s="84">
        <f>IF(NOT(AND($A102&lt;&gt;"",N($BJ102)&gt;0)),"",MAX($CN$5:CN101)+1)</f>
        <v/>
      </c>
      <c r="CO102" s="84">
        <f>IF($A102="","",MAX($CO$5:CO101)+1)</f>
        <v/>
      </c>
      <c r="CP102" s="84">
        <f>IF(OR($A102="",$BH102="",$BI102=""),"",$BG102&amp;"|"&amp;$O102&amp;"|"&amp;$AL102&amp;"|"&amp;$S102&amp;"|"&amp;$P102&amp;"|"&amp;$Q102&amp;$R102&amp;"|"&amp;$C102&amp;"|"&amp;$AB102)</f>
        <v/>
      </c>
      <c r="CQ102" s="84">
        <f>N($BS102)</f>
        <v/>
      </c>
      <c r="CR102" s="84">
        <f>IF(N($AU102)&gt;0,N($AU102),4.5)</f>
        <v/>
      </c>
      <c r="CS102" s="84">
        <f>OR($A102="",$BI102="",$S102="BL",AND($C102="FRAME ONLY",OR($AC102="",$AC102="BLK")))</f>
        <v/>
      </c>
      <c r="CT102" s="84">
        <f>AND(NOT($CS102),OR($AT102="CUSTOM LOC",N($AW102)+N($AX102)+N($AY102)+N($AZ102)+N($BA102)&gt;0))</f>
        <v/>
      </c>
      <c r="CU102" s="84">
        <f>IF($BI102="","",IF($BI102&lt;=80,80,IF($BI102&lt;=84,84,96)))</f>
        <v/>
      </c>
      <c r="CV102" s="84">
        <f>ISNUMBER(MATCH($AT102&amp;"|80",LocKeys,0))</f>
        <v/>
      </c>
      <c r="CW102" s="86">
        <f>IF($CS102,"",IF($CV102,VLOOKUP($AT102&amp;"|"&amp;$CU102,LocTable,4,FALSE),5))</f>
        <v/>
      </c>
      <c r="CX102" s="86">
        <f>IF($CS102,"",IF($CV102,IF(OR($BI102=$CU102,AND($BI102&lt;$CU102,$BI102-IF(N(VLOOKUP($AT102&amp;"|"&amp;$CU102,LocTable,7,FALSE))&gt;0,VLOOKUP($AT102&amp;"|"&amp;$CU102,LocTable,7,FALSE),VLOOKUP($AT102&amp;"|"&amp;$CU102,LocTable,6,FALSE))-$CR102-0.75&gt;=2.125)),IF(N(VLOOKUP($AT102&amp;"|"&amp;$CU102,LocTable,7,FALSE))&gt;0,VLOOKUP($AT102&amp;"|"&amp;$CU102,LocTable,7,FALSE),VLOOKUP($AT102&amp;"|"&amp;$CU102,LocTable,6,FALSE)),$BI102-($CU102-IF(N(VLOOKUP($AT102&amp;"|"&amp;$CU102,LocTable,7,FALSE))&gt;0,VLOOKUP($AT102&amp;"|"&amp;$CU102,LocTable,7,FALSE),VLOOKUP($AT102&amp;"|"&amp;$CU102,LocTable,6,FALSE)))),$BI102-10-$CR102))</f>
        <v/>
      </c>
      <c r="CY102" s="85">
        <f>IF($CS102,"",TRIM(IF(ISNUMBER($BU102),"A "&amp;TRIM(TEXT($BU102,"# ?/??"))&amp;CHAR(34)&amp;"  ","")&amp;IF(ISNUMBER($BV102),"B "&amp;TRIM(TEXT($BV102,"# ?/??"))&amp;CHAR(34)&amp;"  ","")&amp;IF(ISNUMBER($BW102),"C "&amp;TRIM(TEXT($BW102,"# ?/??"))&amp;CHAR(34)&amp;"  ","")&amp;IF(ISNUMBER($BX102),"D "&amp;TRIM(TEXT($BX102,"# ?/??"))&amp;CHAR(34)&amp;"  ","")&amp;IF(ISNUMBER($BY102),"F "&amp;TRIM(TEXT($BY102,"# ?/??"))&amp;CHAR(34)&amp;"  ","")&amp;IF(ISNUMBER($BZ102),"E "&amp;TRIM(TEXT($BZ102,"# ?/??"))&amp;CHAR(34)&amp;"  ","")))</f>
        <v/>
      </c>
      <c r="CZ102" s="85">
        <f>IF(OR($CS102,N($BJ102)=0),"",TRIM(IF(ISNUMBER($BU102),"A "&amp;TRIM(TEXT($BU102-HeadClr,"# ?/??"))&amp;CHAR(34)&amp;"  ","")&amp;IF(ISNUMBER($BV102),"B "&amp;TRIM(TEXT($BV102-HeadClr,"# ?/??"))&amp;CHAR(34)&amp;"  ","")&amp;IF(ISNUMBER($BW102),"C "&amp;TRIM(TEXT($BW102-HeadClr,"# ?/??"))&amp;CHAR(34)&amp;"  ","")&amp;IF(ISNUMBER($BX102),"D "&amp;TRIM(TEXT($BX102-HeadClr,"# ?/??"))&amp;CHAR(34)&amp;"  ","")&amp;IF(ISNUMBER($BY102),"F "&amp;TRIM(TEXT($BY102-HeadClr,"# ?/??"))&amp;CHAR(34)&amp;"  ","")&amp;IF(ISNUMBER($BZ102),"E "&amp;TRIM(TEXT($BZ102-HeadClr,"# ?/??"))&amp;CHAR(34)&amp;"  ","")))</f>
        <v/>
      </c>
      <c r="DA102" s="84">
        <f>IF($A102="","",IF($AN102="",IFERROR(VLOOKUP($Z102,CODES,2,FALSE),""),IFERROR(VLOOKUP($AN102,CODES,2,FALSE),"")))</f>
        <v/>
      </c>
      <c r="DB102" s="84">
        <f>IF($A102="","",IF($O102="Y","PR",IF(OR($Z102="L",$Z102="RR",LEFT($Z102,2)="L-",LEFT($Z102,3)="RR-"),"LH","RH")))</f>
        <v/>
      </c>
      <c r="DC102" s="84">
        <f>IF($A102="","","S.HM"&amp;IF(OR($C102="DOOR ONLY",$X102&lt;&gt;"KD"),"MASONRY","DRYWALL")&amp;IF($C102="DOOR ONLY","",$U102)&amp;IF(AND($C102&lt;&gt;"FRAME ONLY",OR(LEFT($AH102,3)="OAK",LEFT($AH102,3)="BIR",LEFT($AH102,3)="MAP",$AH102="PC",$AH102="MC",$AH102="SCLC",$AH102="P-LAM")),"WD","HM")&amp;"1.75")</f>
        <v/>
      </c>
      <c r="DD102" s="84">
        <f>IF($CJ102="","",IF($O102="Y",$CJ102,SUBSTITUTE($CJ102,$BG102&amp;" "&amp;IFERROR(VLOOKUP($Z102,CODES,2,FALSE),"")&amp;" ",$BG102&amp;" ")))</f>
        <v/>
      </c>
      <c r="DE102" s="84">
        <f>IF($CK102="","",IF($O102="Y",$CK102,SUBSTITUTE($CK102,$BG102&amp;" "&amp;IF($AN102="",IFERROR(VLOOKUP($Z102,CODES,2,FALSE),""),IFERROR(VLOOKUP($AN102,CODES,2,FALSE),""))&amp;" ",$BG102&amp;" ")))</f>
        <v/>
      </c>
      <c r="DF102" s="84">
        <f>IF($CJ102="","",$DC102&amp;"|"&amp;$DD102&amp;"|"&amp;$DB102&amp;"|"&amp;$AT102&amp;"|"&amp;$V102&amp;"|"&amp;$Y102&amp;"|"&amp;$AB102)</f>
        <v/>
      </c>
      <c r="DG102" s="84">
        <f>IF(DF102="","",IF(COUNTIF($DF$6:DF102,DF102)=1,MAX($DG$5:DG101)+1,INDEX($DG$5:DG101,MATCH(DF102,$DF$5:DF101,0))))</f>
        <v/>
      </c>
      <c r="DH102" s="84">
        <f>IF($CK102="","",$DC102&amp;"|"&amp;$DE102&amp;"|"&amp;$AI102&amp;"|"&amp;$BK102&amp;"|"&amp;$BL102)</f>
        <v/>
      </c>
      <c r="DI102" s="84">
        <f>IF(DH102="","",IF(COUNTIF($DH$6:DH102,DH102)=1,MAX($DI$5:DI101)+1,INDEX($DI$5:DI101,MATCH(DH102,$DH$5:DH101,0))))</f>
        <v/>
      </c>
      <c r="DJ102" s="84">
        <f>IF($A102="","",IF($B102="","qty, ","")&amp;IF($C102="","scope, ","")&amp;IF(OR($K102="",$M102=""),"size, ","")&amp;IF(AND($A102&lt;&gt;"",$C102&lt;&gt;"DOOR ONLY"),IF($U102="","jamb depth, ","")&amp;IF($X102="","construction, ","")&amp;IF($Y102="","anchor, ","")&amp;IF($S102="","frame type, ",""),"")&amp;IF(AND(N($BJ102)&gt;0,$Z102=""),"hand, ","")&amp;IF(N($BJ102)&gt;0,IF($AH102="","door material, ","")&amp;IF($AL102="","face type, ","")&amp;IF($AP102="","lock prep, ","")&amp;IF(AND($AO102="",$AC102=""),"hinge prep, ",""),"")&amp;IF(AND($CH102&gt;0,$AH102="FRP"),"FRP cannot carry a label, ","")&amp;IF(AND($O102="Y",OR($Z102="L",$Z102="R",$Z102="LR",$Z102="RR")),"pair marked but hand is single, ","")&amp;IF(AND($O102&lt;&gt;"Y",OR($Z102="PR",AND(LEN($Z102)&gt;1,ISNUMBER(SEARCH("-",$Z102))))),"pair hand on a single door, ","")&amp;IF(AND(ISNUMBER($CI102),$CH102&lt;N($CI102)),"wall needs a "&amp;$CI102&amp;" min door, ","")&amp;IF(AND($CH102&gt;=180,AND(OR($CE102="FG",$CE102="HG",$CE102="FNV",$CE102="FV"),N($CF102)*N($CG102)&gt;100)),"180 min lite over 100 sq in, ","")&amp;IF(N($BK102)&gt;48,"leaf wider than 4'-0"&amp;CHAR(34)&amp;", ","")&amp;IF(AND($CT102,COUNT($AW102:$AZ102)=0,$CQ102&gt;0),"CUSTOM LOC with no locations typed, ",""))</f>
        <v/>
      </c>
      <c r="DK102" s="84">
        <f>IF($A102="","",IF(AND($CH102&gt;0,AND($A102&lt;&gt;"",$C102&lt;&gt;"DOOR ONLY"),$X102="KD",$E102="EXTERIOR"),"KD label on an exterior opening, ","")&amp;IF(AND($E102="EXTERIOR",OR(AND(AND($A102&lt;&gt;"",$C102&lt;&gt;"DOOR ONLY"),$W102="CR"),AND(N($BJ102)&gt;0,$AH102="CR"))),"exterior in CR steel (G9?), ","")&amp;IF(AND(ISNUMBER($BQ102),N($BQ102)&lt;32),"clear width ~"&amp;TEXT($BQ102,"0.0")&amp;CHAR(34)&amp;" under 32"&amp;CHAR(34)&amp;" (ADA), ","")&amp;IF(AND($CH102=90,AND(OR($CE102="FG",$CE102="HG",$CE102="FNV",$CE102="FV"),N($CF102)*N($CG102)&gt;100)),"90 min lite over 100 sq in (stair/exit), ","")&amp;IF(AND($CH102&gt;0,AND($A102&lt;&gt;"",$C102&lt;&gt;"DOOR ONLY"),OR($AF102="",$AF102="-")),"rated: closer reinf.?, ","")&amp;IF(OR($I102="CORRIDOR",$I102="SMOKE BARRIER"),"S label + smoke gasketing, ","")&amp;IF($CI102="?","wall type/hr not in IBC table, ","")&amp;IF(AND(N($BJ102)&gt;0,$BB102=""),"no hardware set, ","")&amp;IF(AND($BB102&lt;&gt;"",ISNA(MATCH($BB102&amp;"",HWSets,0))),"set "&amp;$BB102&amp;" not on HW Sets, ","")&amp;IF(N($BL102)&gt;96,"leaf over 8'-0"&amp;CHAR(34)&amp;" - check listing, ","")&amp;IF(AND($CT102,COUNT($AW102:$AZ102)&gt;0,COUNT($AW102:$AZ102)&lt;&gt;$CQ102),COUNT($AW102:$AZ102)&amp;" custom hinges typed, "&amp;$CQ102&amp;" expected, ","")&amp;IF(AND(ISNUMBER($CA102),OR(N($CA102)&lt;34,N($CA102)&gt;48)),"lock "&amp;TEXT($CA102,"0.0")&amp;CHAR(34)&amp;" AFF outside 34-48"&amp;CHAR(34)&amp;" (ADA), ","")&amp;IF(AND(ISNUMBER($AV102),ISNUMBER($BL102),N($AV102)&lt;IF(N($BL102)&lt;=60,2,IF(N($BL102)&lt;=90,3,IF(N($BL102)&lt;=120,4,5)))),"fewer hinges than standard, ",""))</f>
        <v/>
      </c>
    </row>
    <row r="103" ht="15" customHeight="1">
      <c r="A103" s="77" t="n"/>
      <c r="B103" s="78" t="n"/>
      <c r="C103" s="78" t="n"/>
      <c r="D103" s="78" t="n"/>
      <c r="E103" s="78" t="n"/>
      <c r="F103" s="78" t="n"/>
      <c r="G103" s="78" t="n"/>
      <c r="H103" s="78" t="n"/>
      <c r="I103" s="78" t="n"/>
      <c r="J103" s="78" t="n"/>
      <c r="K103" s="78" t="n"/>
      <c r="L103" s="78" t="n"/>
      <c r="M103" s="78" t="n"/>
      <c r="N103" s="78" t="n"/>
      <c r="O103" s="78" t="n"/>
      <c r="P103" s="78" t="n"/>
      <c r="Q103" s="78" t="n"/>
      <c r="R103" s="78" t="n"/>
      <c r="S103" s="79" t="n"/>
      <c r="T103" s="79" t="n"/>
      <c r="U103" s="79" t="n"/>
      <c r="V103" s="79" t="n"/>
      <c r="W103" s="79" t="n"/>
      <c r="X103" s="79" t="n"/>
      <c r="Y103" s="79" t="n"/>
      <c r="Z103" s="79" t="n"/>
      <c r="AA103" s="79" t="n"/>
      <c r="AB103" s="79" t="n"/>
      <c r="AC103" s="79" t="n"/>
      <c r="AD103" s="79" t="n"/>
      <c r="AE103" s="79" t="n"/>
      <c r="AF103" s="79" t="n"/>
      <c r="AG103" s="79" t="n"/>
      <c r="AH103" s="80" t="n"/>
      <c r="AI103" s="80" t="n"/>
      <c r="AJ103" s="80" t="n"/>
      <c r="AK103" s="80" t="n"/>
      <c r="AL103" s="80" t="n"/>
      <c r="AM103" s="80" t="n"/>
      <c r="AN103" s="80" t="n"/>
      <c r="AO103" s="80" t="n"/>
      <c r="AP103" s="80" t="n"/>
      <c r="AQ103" s="80" t="n"/>
      <c r="AR103" s="80" t="n"/>
      <c r="AS103" s="80" t="n"/>
      <c r="AT103" s="81" t="n"/>
      <c r="AU103" s="81" t="n"/>
      <c r="AV103" s="81" t="n"/>
      <c r="AW103" s="82" t="n"/>
      <c r="AX103" s="82" t="n"/>
      <c r="AY103" s="82" t="n"/>
      <c r="AZ103" s="82" t="n"/>
      <c r="BA103" s="82" t="n"/>
      <c r="BB103" s="83" t="n"/>
      <c r="BC103" s="83" t="n"/>
      <c r="BD103" s="84">
        <f>IF($A103="","",IF($DJ103&lt;&gt;"","FIX",IF($DK103&lt;&gt;"","CHECK","OK")))</f>
        <v/>
      </c>
      <c r="BE103" s="85">
        <f>IF($A103="","",IF($DJ103&lt;&gt;"","FIX: "&amp;LEFT($DJ103,LEN($DJ103)-2)&amp;IF($DK103&lt;&gt;"","  ·  ",""),"")&amp;IF($DK103&lt;&gt;"","CHECK: "&amp;LEFT($DK103,LEN($DK103)-2),""))</f>
        <v/>
      </c>
      <c r="BF103" s="84">
        <f>IF(OR($A103="",$K103=""),"",$K103&amp;"'-"&amp;N($L103)&amp;CHAR(34)&amp;" x "&amp;$M103&amp;"'-"&amp;N($N103)&amp;CHAR(34))</f>
        <v/>
      </c>
      <c r="BG103" s="84">
        <f>IF(OR($A103="",$K103=""),"",$K103&amp;N($L103)&amp;$M103&amp;N($N103))</f>
        <v/>
      </c>
      <c r="BH103" s="84">
        <f>IF(OR($A103="",$K103=""),"",$K103*12+N($L103))</f>
        <v/>
      </c>
      <c r="BI103" s="84">
        <f>IF(OR($A103="",$M103=""),"",$M103*12+N($N103))</f>
        <v/>
      </c>
      <c r="BJ103" s="84">
        <f>IF($A103="","",IF(OR($C103="FRAME ONLY",$S103="BL"),0,IF($O103="Y",2,1)))</f>
        <v/>
      </c>
      <c r="BK103" s="86">
        <f>IF(OR(N($BJ103)=0,$BH103=""),"",($BH103-2*EdgeClr-IF($BJ103=2,MeetClr,0))/$BJ103)</f>
        <v/>
      </c>
      <c r="BL103" s="86">
        <f>IF(OR(N($BJ103)=0,$BI103=""),"",$BI103-HeadClr-Undercut)</f>
        <v/>
      </c>
      <c r="BM103" s="86">
        <f>IF($BH103="","",$BH103+2*FaceW+IF(N($Q103)&gt;0,($Q103+FaceW)*IF($R103="LR",2,1),0))</f>
        <v/>
      </c>
      <c r="BN103" s="86">
        <f>IF($BI103="","",$BI103+IF($AB103="Y",4,FaceW)+IF(N($P103)&gt;0,$P103+FaceW,0)+IF(OR($S103="4F",$S103="BL"),FaceW,0))</f>
        <v/>
      </c>
      <c r="BO103" s="86">
        <f>IF($BM103="","",$BM103+2*ROSide)</f>
        <v/>
      </c>
      <c r="BP103" s="86">
        <f>IF($BN103="","",$BN103+ROTop)</f>
        <v/>
      </c>
      <c r="BQ103" s="87">
        <f>IF(OR(N($BJ103)=0,$BH103=""),"",$BH103/$BJ103-ClearDeduct)</f>
        <v/>
      </c>
      <c r="BR103" s="84">
        <f>IF(N($CH103)=0,"",IF($CH103&gt;=180,"A · 3 HR",IF($CH103&gt;=90,"B · 1-1/2 HR",IF($CH103&gt;=60,"B · 1 HR",IF($CH103&gt;=45,"C · 3/4 HR","20 MIN")))))&amp;IF(AND(N($CH103)&gt;0,OR($I103="CORRIDOR",$I103="SMOKE BARRIER"))," · S","")</f>
        <v/>
      </c>
      <c r="BS103" s="84">
        <f>IF($CS103,"",IF($AV103&lt;&gt;"",$AV103,IF(OR($AC103="HGC",$AO103="HGC"),"CONT",IF(($BI103-HeadClr-Undercut)&lt;=60,2,IF(($BI103-HeadClr-Undercut)&lt;=90,3,IF(($BI103-HeadClr-Undercut)&lt;=120,4,5))))))</f>
        <v/>
      </c>
      <c r="BT103" s="84">
        <f>IF($CS103,"",IF($CT103,"CUSTOM (typed)",IF($CV103,$AT103&amp;" "&amp;$CU103&amp;CHAR(34)&amp;IF($CU103&lt;&gt;$BI103,IF(AND($BI103&lt;$CU103,$BI103-IF(N(VLOOKUP($AT103&amp;"|"&amp;$CU103,LocTable,7,FALSE))&gt;0,VLOOKUP($AT103&amp;"|"&amp;$CU103,LocTable,7,FALSE),VLOOKUP($AT103&amp;"|"&amp;$CU103,LocTable,6,FALSE))-$CR103-0.75&gt;=2.125)," cut down"," adj."),""),"ANSI/SDI A250.6")))</f>
        <v/>
      </c>
      <c r="BU103" s="88">
        <f>IF($CS103,"",IF($CT103,IF(N($AW103)&gt;0,N($AW103),""),IF(1&gt;$CQ103,"",IF($CQ103=1,$CW103,$CW103+($CX103-$CW103)*0/($CQ103-1)))))</f>
        <v/>
      </c>
      <c r="BV103" s="88">
        <f>IF($CS103,"",IF($CT103,IF(N($AX103)&gt;0,N($AX103),""),IF(2&gt;$CQ103,"",IF($CQ103=1,$CW103,$CW103+($CX103-$CW103)*1/($CQ103-1)))))</f>
        <v/>
      </c>
      <c r="BW103" s="88">
        <f>IF($CS103,"",IF($CT103,IF(N($AY103)&gt;0,N($AY103),""),IF(3&gt;$CQ103,"",IF($CQ103=1,$CW103,$CW103+($CX103-$CW103)*2/($CQ103-1)))))</f>
        <v/>
      </c>
      <c r="BX103" s="88">
        <f>IF($CS103,"",IF($CT103,IF(N($AZ103)&gt;0,N($AZ103),""),IF(4&gt;$CQ103,"",IF($CQ103=1,$CW103,$CW103+($CX103-$CW103)*3/($CQ103-1)))))</f>
        <v/>
      </c>
      <c r="BY103" s="88">
        <f>IF($CS103,"",IF($CT103,"",IF(5&gt;$CQ103,"",IF($CQ103=1,$CW103,$CW103+($CX103-$CW103)*4/($CQ103-1)))))</f>
        <v/>
      </c>
      <c r="BZ103" s="88">
        <f>IF(OR($CS103,$AP103="-",AND($AP103="",$AD103="")),"",IF(N($BA103)&gt;0,N($BA103),IF($CV103,IF(AND($BI103&lt;$CU103,$BI103-IF(N(VLOOKUP($AT103&amp;"|"&amp;$CU103,LocTable,7,FALSE))&gt;0,VLOOKUP($AT103&amp;"|"&amp;$CU103,LocTable,7,FALSE),VLOOKUP($AT103&amp;"|"&amp;$CU103,LocTable,6,FALSE))-$CR103-0.75&gt;=2.125),VLOOKUP($AT103&amp;"|"&amp;$CU103,LocTable,8,FALSE),VLOOKUP($AT103&amp;"|"&amp;$CU103,LocTable,8,FALSE)+($BI103-$CU103)),$BI103-LockAFF)))</f>
        <v/>
      </c>
      <c r="CA103" s="89">
        <f>IF($BZ103="","",$BI103-$BZ103)</f>
        <v/>
      </c>
      <c r="CB103" s="84">
        <f>IF(OR(NOT(AND($A103&lt;&gt;"",$C103&lt;&gt;"DOOR ONLY")),$BI103=""),"",IF(($BI103+IF(N($P103)&gt;0,$P103+FaceW,0))&lt;=90,3,IF(($BI103+IF(N($P103)&gt;0,$P103+FaceW,0))&lt;=114,4,5)))</f>
        <v/>
      </c>
      <c r="CC103" s="84">
        <f>IF($CB103="","",$CB103*(2+IF(N($Q103)&gt;0,IF($R103="LR",2,1),0)))</f>
        <v/>
      </c>
      <c r="CD103" s="84">
        <f>IF($CB103="","",(2+IF(N($Q103)&gt;0,IF($R103="LR",2,1),0)))</f>
        <v/>
      </c>
      <c r="CE103" s="84">
        <f>IF(N($BJ103)=0,"",IF(OR($AL103="",$AL103="FLUSH"),"FLUSH",IFERROR(LEFT($AL103,FIND("-",$AL103)-1),LEFT($AL103,2))))</f>
        <v/>
      </c>
      <c r="CF103" s="84">
        <f>IF($CE103="","",IFERROR(VALUE(MID($AL103,FIND("-",$AL103)+1,FIND(CHAR(34)&amp;"x",$AL103)-FIND("-",$AL103)-1)),0))</f>
        <v/>
      </c>
      <c r="CG103" s="84">
        <f>IF($CE103="","",IFERROR(VALUE(MID($AL103,FIND(CHAR(34)&amp;"x",$AL103)+2,FIND(CHAR(34),$AL103,FIND(CHAR(34)&amp;"x",$AL103)+2)-FIND(CHAR(34)&amp;"x",$AL103)-2)),0))</f>
        <v/>
      </c>
      <c r="CH103" s="90">
        <f>IF(OR($A103="",$H103="",$H103="NO LAB"),0,IFERROR(VALUE(LEFT($H103,FIND(" ",$H103)-1)),0))</f>
        <v/>
      </c>
      <c r="CI103" s="91">
        <f>IF(OR($A103="",$I103="",$I103="NON-RATED",N($J103)=0),"",IFERROR(VLOOKUP($I103&amp;"|"&amp;$J103,IBC,2,FALSE),"?"))</f>
        <v/>
      </c>
      <c r="CJ103" s="85">
        <f>IF(NOT(AND($A103&lt;&gt;"",$C103&lt;&gt;"DOOR ONLY")),"",TRIM(IFERROR(VLOOKUP($U103,CODES,2,FALSE),"")&amp;" "&amp;$BG103&amp;" "&amp;IFERROR(VLOOKUP($Z103,CODES,2,FALSE),"")&amp;" "&amp;IFERROR(VLOOKUP($X103,CODES,2,FALSE),"")&amp;" "&amp;IFERROR(VLOOKUP($S103,CODES,2,FALSE),"")&amp;IF(N($P103)&gt;0," w/TRANSOM "&amp;$P103&amp;CHAR(34),"")&amp;IF(N($Q103)&gt;0," w/SIDELITE "&amp;$Q103&amp;CHAR(34)&amp;" "&amp;IF($R103="","R",$R103),"")&amp;IF($Y103="","  |  "," | "&amp;IFERROR(VLOOKUP($Y103,CODES,2,FALSE),"")&amp;" | ")&amp;IFERROR(VLOOKUP($AC103,CODES,2,FALSE),"")&amp;" "&amp;IFERROR(VLOOKUP($AD103,CODES,2,FALSE),"")&amp;IF(OR($AE103="",$AE103="-"),""," "&amp;$AE103)&amp;IF(OR($AF103="",$AF103="-"),""," "&amp;$AF103)&amp;IF($AB103="Y"," 4"&amp;CHAR(34)&amp;" HEAD","")&amp;" "&amp;IFERROR(VLOOKUP($H103,CODES,2,FALSE),"")&amp;IF($CT103," | LOC "&amp;$CY103,"")))</f>
        <v/>
      </c>
      <c r="CK103" s="85">
        <f>IF(NOT(AND($A103&lt;&gt;"",N($BJ103)&gt;0)),"",TRIM(IFERROR(VLOOKUP($AH103,CODES,2,FALSE),"")&amp;IF($AI103=""," "," "&amp;$AI103&amp;"GA ")&amp;$BG103&amp;" "&amp;IF($AN103="",IFERROR(VLOOKUP($Z103,CODES,2,FALSE),""),IFERROR(VLOOKUP($AN103,CODES,2,FALSE),""))&amp;IF($BJ103=2," PAIR","")&amp;" DOOR | "&amp;IF($AL103="","?",$AL103)&amp;" | "&amp;IF($AO103="",IFERROR(VLOOKUP($AC103,CODES,2,FALSE),""),IFERROR(VLOOKUP($AO103,CODES,2,FALSE),""))&amp;" "&amp;IFERROR(VLOOKUP($AP103,CODES,2,FALSE),"")&amp;IF(OR($AQ103="",$AQ103="-"),""," SEAM "&amp;$AQ103)&amp;IF($AR103="Y"," ASTRAGAL","")&amp;IF($AJ103=""," "," "&amp;$AJ103)&amp;IF($AK103=""," "," "&amp;$AK103)&amp;IF(OR($AT103="",$AT103="ANSI/SDI",$AT103="CUSTOM LOC"),""," "&amp;$AT103)&amp;IF($AM103=""," "," SERIES "&amp;$AM103)&amp;" "&amp;IFERROR(VLOOKUP($H103,CODES,2,FALSE),"")&amp;IF($CT103," | LOC "&amp;$CZ103,"")))</f>
        <v/>
      </c>
      <c r="CL103" s="84">
        <f>IF(CP103="","",IF(COUNTIF($CP$6:CP103,CP103)=1,MAX($CL$5:CL102)+1,INDEX($CL$5:CL102,MATCH(CP103,$CP$5:CP102,0))))</f>
        <v/>
      </c>
      <c r="CM103" s="84">
        <f>IF(NOT(AND($A103&lt;&gt;"",$C103&lt;&gt;"DOOR ONLY")),"",MAX($CM$5:CM102)+1)</f>
        <v/>
      </c>
      <c r="CN103" s="84">
        <f>IF(NOT(AND($A103&lt;&gt;"",N($BJ103)&gt;0)),"",MAX($CN$5:CN102)+1)</f>
        <v/>
      </c>
      <c r="CO103" s="84">
        <f>IF($A103="","",MAX($CO$5:CO102)+1)</f>
        <v/>
      </c>
      <c r="CP103" s="84">
        <f>IF(OR($A103="",$BH103="",$BI103=""),"",$BG103&amp;"|"&amp;$O103&amp;"|"&amp;$AL103&amp;"|"&amp;$S103&amp;"|"&amp;$P103&amp;"|"&amp;$Q103&amp;$R103&amp;"|"&amp;$C103&amp;"|"&amp;$AB103)</f>
        <v/>
      </c>
      <c r="CQ103" s="84">
        <f>N($BS103)</f>
        <v/>
      </c>
      <c r="CR103" s="84">
        <f>IF(N($AU103)&gt;0,N($AU103),4.5)</f>
        <v/>
      </c>
      <c r="CS103" s="84">
        <f>OR($A103="",$BI103="",$S103="BL",AND($C103="FRAME ONLY",OR($AC103="",$AC103="BLK")))</f>
        <v/>
      </c>
      <c r="CT103" s="84">
        <f>AND(NOT($CS103),OR($AT103="CUSTOM LOC",N($AW103)+N($AX103)+N($AY103)+N($AZ103)+N($BA103)&gt;0))</f>
        <v/>
      </c>
      <c r="CU103" s="84">
        <f>IF($BI103="","",IF($BI103&lt;=80,80,IF($BI103&lt;=84,84,96)))</f>
        <v/>
      </c>
      <c r="CV103" s="84">
        <f>ISNUMBER(MATCH($AT103&amp;"|80",LocKeys,0))</f>
        <v/>
      </c>
      <c r="CW103" s="86">
        <f>IF($CS103,"",IF($CV103,VLOOKUP($AT103&amp;"|"&amp;$CU103,LocTable,4,FALSE),5))</f>
        <v/>
      </c>
      <c r="CX103" s="86">
        <f>IF($CS103,"",IF($CV103,IF(OR($BI103=$CU103,AND($BI103&lt;$CU103,$BI103-IF(N(VLOOKUP($AT103&amp;"|"&amp;$CU103,LocTable,7,FALSE))&gt;0,VLOOKUP($AT103&amp;"|"&amp;$CU103,LocTable,7,FALSE),VLOOKUP($AT103&amp;"|"&amp;$CU103,LocTable,6,FALSE))-$CR103-0.75&gt;=2.125)),IF(N(VLOOKUP($AT103&amp;"|"&amp;$CU103,LocTable,7,FALSE))&gt;0,VLOOKUP($AT103&amp;"|"&amp;$CU103,LocTable,7,FALSE),VLOOKUP($AT103&amp;"|"&amp;$CU103,LocTable,6,FALSE)),$BI103-($CU103-IF(N(VLOOKUP($AT103&amp;"|"&amp;$CU103,LocTable,7,FALSE))&gt;0,VLOOKUP($AT103&amp;"|"&amp;$CU103,LocTable,7,FALSE),VLOOKUP($AT103&amp;"|"&amp;$CU103,LocTable,6,FALSE)))),$BI103-10-$CR103))</f>
        <v/>
      </c>
      <c r="CY103" s="85">
        <f>IF($CS103,"",TRIM(IF(ISNUMBER($BU103),"A "&amp;TRIM(TEXT($BU103,"# ?/??"))&amp;CHAR(34)&amp;"  ","")&amp;IF(ISNUMBER($BV103),"B "&amp;TRIM(TEXT($BV103,"# ?/??"))&amp;CHAR(34)&amp;"  ","")&amp;IF(ISNUMBER($BW103),"C "&amp;TRIM(TEXT($BW103,"# ?/??"))&amp;CHAR(34)&amp;"  ","")&amp;IF(ISNUMBER($BX103),"D "&amp;TRIM(TEXT($BX103,"# ?/??"))&amp;CHAR(34)&amp;"  ","")&amp;IF(ISNUMBER($BY103),"F "&amp;TRIM(TEXT($BY103,"# ?/??"))&amp;CHAR(34)&amp;"  ","")&amp;IF(ISNUMBER($BZ103),"E "&amp;TRIM(TEXT($BZ103,"# ?/??"))&amp;CHAR(34)&amp;"  ","")))</f>
        <v/>
      </c>
      <c r="CZ103" s="85">
        <f>IF(OR($CS103,N($BJ103)=0),"",TRIM(IF(ISNUMBER($BU103),"A "&amp;TRIM(TEXT($BU103-HeadClr,"# ?/??"))&amp;CHAR(34)&amp;"  ","")&amp;IF(ISNUMBER($BV103),"B "&amp;TRIM(TEXT($BV103-HeadClr,"# ?/??"))&amp;CHAR(34)&amp;"  ","")&amp;IF(ISNUMBER($BW103),"C "&amp;TRIM(TEXT($BW103-HeadClr,"# ?/??"))&amp;CHAR(34)&amp;"  ","")&amp;IF(ISNUMBER($BX103),"D "&amp;TRIM(TEXT($BX103-HeadClr,"# ?/??"))&amp;CHAR(34)&amp;"  ","")&amp;IF(ISNUMBER($BY103),"F "&amp;TRIM(TEXT($BY103-HeadClr,"# ?/??"))&amp;CHAR(34)&amp;"  ","")&amp;IF(ISNUMBER($BZ103),"E "&amp;TRIM(TEXT($BZ103-HeadClr,"# ?/??"))&amp;CHAR(34)&amp;"  ","")))</f>
        <v/>
      </c>
      <c r="DA103" s="84">
        <f>IF($A103="","",IF($AN103="",IFERROR(VLOOKUP($Z103,CODES,2,FALSE),""),IFERROR(VLOOKUP($AN103,CODES,2,FALSE),"")))</f>
        <v/>
      </c>
      <c r="DB103" s="84">
        <f>IF($A103="","",IF($O103="Y","PR",IF(OR($Z103="L",$Z103="RR",LEFT($Z103,2)="L-",LEFT($Z103,3)="RR-"),"LH","RH")))</f>
        <v/>
      </c>
      <c r="DC103" s="84">
        <f>IF($A103="","","S.HM"&amp;IF(OR($C103="DOOR ONLY",$X103&lt;&gt;"KD"),"MASONRY","DRYWALL")&amp;IF($C103="DOOR ONLY","",$U103)&amp;IF(AND($C103&lt;&gt;"FRAME ONLY",OR(LEFT($AH103,3)="OAK",LEFT($AH103,3)="BIR",LEFT($AH103,3)="MAP",$AH103="PC",$AH103="MC",$AH103="SCLC",$AH103="P-LAM")),"WD","HM")&amp;"1.75")</f>
        <v/>
      </c>
      <c r="DD103" s="84">
        <f>IF($CJ103="","",IF($O103="Y",$CJ103,SUBSTITUTE($CJ103,$BG103&amp;" "&amp;IFERROR(VLOOKUP($Z103,CODES,2,FALSE),"")&amp;" ",$BG103&amp;" ")))</f>
        <v/>
      </c>
      <c r="DE103" s="84">
        <f>IF($CK103="","",IF($O103="Y",$CK103,SUBSTITUTE($CK103,$BG103&amp;" "&amp;IF($AN103="",IFERROR(VLOOKUP($Z103,CODES,2,FALSE),""),IFERROR(VLOOKUP($AN103,CODES,2,FALSE),""))&amp;" ",$BG103&amp;" ")))</f>
        <v/>
      </c>
      <c r="DF103" s="84">
        <f>IF($CJ103="","",$DC103&amp;"|"&amp;$DD103&amp;"|"&amp;$DB103&amp;"|"&amp;$AT103&amp;"|"&amp;$V103&amp;"|"&amp;$Y103&amp;"|"&amp;$AB103)</f>
        <v/>
      </c>
      <c r="DG103" s="84">
        <f>IF(DF103="","",IF(COUNTIF($DF$6:DF103,DF103)=1,MAX($DG$5:DG102)+1,INDEX($DG$5:DG102,MATCH(DF103,$DF$5:DF102,0))))</f>
        <v/>
      </c>
      <c r="DH103" s="84">
        <f>IF($CK103="","",$DC103&amp;"|"&amp;$DE103&amp;"|"&amp;$AI103&amp;"|"&amp;$BK103&amp;"|"&amp;$BL103)</f>
        <v/>
      </c>
      <c r="DI103" s="84">
        <f>IF(DH103="","",IF(COUNTIF($DH$6:DH103,DH103)=1,MAX($DI$5:DI102)+1,INDEX($DI$5:DI102,MATCH(DH103,$DH$5:DH102,0))))</f>
        <v/>
      </c>
      <c r="DJ103" s="84">
        <f>IF($A103="","",IF($B103="","qty, ","")&amp;IF($C103="","scope, ","")&amp;IF(OR($K103="",$M103=""),"size, ","")&amp;IF(AND($A103&lt;&gt;"",$C103&lt;&gt;"DOOR ONLY"),IF($U103="","jamb depth, ","")&amp;IF($X103="","construction, ","")&amp;IF($Y103="","anchor, ","")&amp;IF($S103="","frame type, ",""),"")&amp;IF(AND(N($BJ103)&gt;0,$Z103=""),"hand, ","")&amp;IF(N($BJ103)&gt;0,IF($AH103="","door material, ","")&amp;IF($AL103="","face type, ","")&amp;IF($AP103="","lock prep, ","")&amp;IF(AND($AO103="",$AC103=""),"hinge prep, ",""),"")&amp;IF(AND($CH103&gt;0,$AH103="FRP"),"FRP cannot carry a label, ","")&amp;IF(AND($O103="Y",OR($Z103="L",$Z103="R",$Z103="LR",$Z103="RR")),"pair marked but hand is single, ","")&amp;IF(AND($O103&lt;&gt;"Y",OR($Z103="PR",AND(LEN($Z103)&gt;1,ISNUMBER(SEARCH("-",$Z103))))),"pair hand on a single door, ","")&amp;IF(AND(ISNUMBER($CI103),$CH103&lt;N($CI103)),"wall needs a "&amp;$CI103&amp;" min door, ","")&amp;IF(AND($CH103&gt;=180,AND(OR($CE103="FG",$CE103="HG",$CE103="FNV",$CE103="FV"),N($CF103)*N($CG103)&gt;100)),"180 min lite over 100 sq in, ","")&amp;IF(N($BK103)&gt;48,"leaf wider than 4'-0"&amp;CHAR(34)&amp;", ","")&amp;IF(AND($CT103,COUNT($AW103:$AZ103)=0,$CQ103&gt;0),"CUSTOM LOC with no locations typed, ",""))</f>
        <v/>
      </c>
      <c r="DK103" s="84">
        <f>IF($A103="","",IF(AND($CH103&gt;0,AND($A103&lt;&gt;"",$C103&lt;&gt;"DOOR ONLY"),$X103="KD",$E103="EXTERIOR"),"KD label on an exterior opening, ","")&amp;IF(AND($E103="EXTERIOR",OR(AND(AND($A103&lt;&gt;"",$C103&lt;&gt;"DOOR ONLY"),$W103="CR"),AND(N($BJ103)&gt;0,$AH103="CR"))),"exterior in CR steel (G9?), ","")&amp;IF(AND(ISNUMBER($BQ103),N($BQ103)&lt;32),"clear width ~"&amp;TEXT($BQ103,"0.0")&amp;CHAR(34)&amp;" under 32"&amp;CHAR(34)&amp;" (ADA), ","")&amp;IF(AND($CH103=90,AND(OR($CE103="FG",$CE103="HG",$CE103="FNV",$CE103="FV"),N($CF103)*N($CG103)&gt;100)),"90 min lite over 100 sq in (stair/exit), ","")&amp;IF(AND($CH103&gt;0,AND($A103&lt;&gt;"",$C103&lt;&gt;"DOOR ONLY"),OR($AF103="",$AF103="-")),"rated: closer reinf.?, ","")&amp;IF(OR($I103="CORRIDOR",$I103="SMOKE BARRIER"),"S label + smoke gasketing, ","")&amp;IF($CI103="?","wall type/hr not in IBC table, ","")&amp;IF(AND(N($BJ103)&gt;0,$BB103=""),"no hardware set, ","")&amp;IF(AND($BB103&lt;&gt;"",ISNA(MATCH($BB103&amp;"",HWSets,0))),"set "&amp;$BB103&amp;" not on HW Sets, ","")&amp;IF(N($BL103)&gt;96,"leaf over 8'-0"&amp;CHAR(34)&amp;" - check listing, ","")&amp;IF(AND($CT103,COUNT($AW103:$AZ103)&gt;0,COUNT($AW103:$AZ103)&lt;&gt;$CQ103),COUNT($AW103:$AZ103)&amp;" custom hinges typed, "&amp;$CQ103&amp;" expected, ","")&amp;IF(AND(ISNUMBER($CA103),OR(N($CA103)&lt;34,N($CA103)&gt;48)),"lock "&amp;TEXT($CA103,"0.0")&amp;CHAR(34)&amp;" AFF outside 34-48"&amp;CHAR(34)&amp;" (ADA), ","")&amp;IF(AND(ISNUMBER($AV103),ISNUMBER($BL103),N($AV103)&lt;IF(N($BL103)&lt;=60,2,IF(N($BL103)&lt;=90,3,IF(N($BL103)&lt;=120,4,5)))),"fewer hinges than standard, ",""))</f>
        <v/>
      </c>
    </row>
    <row r="104" ht="15" customHeight="1">
      <c r="A104" s="77" t="n"/>
      <c r="B104" s="78" t="n"/>
      <c r="C104" s="78" t="n"/>
      <c r="D104" s="78" t="n"/>
      <c r="E104" s="78" t="n"/>
      <c r="F104" s="78" t="n"/>
      <c r="G104" s="78" t="n"/>
      <c r="H104" s="78" t="n"/>
      <c r="I104" s="78" t="n"/>
      <c r="J104" s="78" t="n"/>
      <c r="K104" s="78" t="n"/>
      <c r="L104" s="78" t="n"/>
      <c r="M104" s="78" t="n"/>
      <c r="N104" s="78" t="n"/>
      <c r="O104" s="78" t="n"/>
      <c r="P104" s="78" t="n"/>
      <c r="Q104" s="78" t="n"/>
      <c r="R104" s="78" t="n"/>
      <c r="S104" s="79" t="n"/>
      <c r="T104" s="79" t="n"/>
      <c r="U104" s="79" t="n"/>
      <c r="V104" s="79" t="n"/>
      <c r="W104" s="79" t="n"/>
      <c r="X104" s="79" t="n"/>
      <c r="Y104" s="79" t="n"/>
      <c r="Z104" s="79" t="n"/>
      <c r="AA104" s="79" t="n"/>
      <c r="AB104" s="79" t="n"/>
      <c r="AC104" s="79" t="n"/>
      <c r="AD104" s="79" t="n"/>
      <c r="AE104" s="79" t="n"/>
      <c r="AF104" s="79" t="n"/>
      <c r="AG104" s="79" t="n"/>
      <c r="AH104" s="80" t="n"/>
      <c r="AI104" s="80" t="n"/>
      <c r="AJ104" s="80" t="n"/>
      <c r="AK104" s="80" t="n"/>
      <c r="AL104" s="80" t="n"/>
      <c r="AM104" s="80" t="n"/>
      <c r="AN104" s="80" t="n"/>
      <c r="AO104" s="80" t="n"/>
      <c r="AP104" s="80" t="n"/>
      <c r="AQ104" s="80" t="n"/>
      <c r="AR104" s="80" t="n"/>
      <c r="AS104" s="80" t="n"/>
      <c r="AT104" s="81" t="n"/>
      <c r="AU104" s="81" t="n"/>
      <c r="AV104" s="81" t="n"/>
      <c r="AW104" s="82" t="n"/>
      <c r="AX104" s="82" t="n"/>
      <c r="AY104" s="82" t="n"/>
      <c r="AZ104" s="82" t="n"/>
      <c r="BA104" s="82" t="n"/>
      <c r="BB104" s="83" t="n"/>
      <c r="BC104" s="83" t="n"/>
      <c r="BD104" s="84">
        <f>IF($A104="","",IF($DJ104&lt;&gt;"","FIX",IF($DK104&lt;&gt;"","CHECK","OK")))</f>
        <v/>
      </c>
      <c r="BE104" s="85">
        <f>IF($A104="","",IF($DJ104&lt;&gt;"","FIX: "&amp;LEFT($DJ104,LEN($DJ104)-2)&amp;IF($DK104&lt;&gt;"","  ·  ",""),"")&amp;IF($DK104&lt;&gt;"","CHECK: "&amp;LEFT($DK104,LEN($DK104)-2),""))</f>
        <v/>
      </c>
      <c r="BF104" s="84">
        <f>IF(OR($A104="",$K104=""),"",$K104&amp;"'-"&amp;N($L104)&amp;CHAR(34)&amp;" x "&amp;$M104&amp;"'-"&amp;N($N104)&amp;CHAR(34))</f>
        <v/>
      </c>
      <c r="BG104" s="84">
        <f>IF(OR($A104="",$K104=""),"",$K104&amp;N($L104)&amp;$M104&amp;N($N104))</f>
        <v/>
      </c>
      <c r="BH104" s="84">
        <f>IF(OR($A104="",$K104=""),"",$K104*12+N($L104))</f>
        <v/>
      </c>
      <c r="BI104" s="84">
        <f>IF(OR($A104="",$M104=""),"",$M104*12+N($N104))</f>
        <v/>
      </c>
      <c r="BJ104" s="84">
        <f>IF($A104="","",IF(OR($C104="FRAME ONLY",$S104="BL"),0,IF($O104="Y",2,1)))</f>
        <v/>
      </c>
      <c r="BK104" s="86">
        <f>IF(OR(N($BJ104)=0,$BH104=""),"",($BH104-2*EdgeClr-IF($BJ104=2,MeetClr,0))/$BJ104)</f>
        <v/>
      </c>
      <c r="BL104" s="86">
        <f>IF(OR(N($BJ104)=0,$BI104=""),"",$BI104-HeadClr-Undercut)</f>
        <v/>
      </c>
      <c r="BM104" s="86">
        <f>IF($BH104="","",$BH104+2*FaceW+IF(N($Q104)&gt;0,($Q104+FaceW)*IF($R104="LR",2,1),0))</f>
        <v/>
      </c>
      <c r="BN104" s="86">
        <f>IF($BI104="","",$BI104+IF($AB104="Y",4,FaceW)+IF(N($P104)&gt;0,$P104+FaceW,0)+IF(OR($S104="4F",$S104="BL"),FaceW,0))</f>
        <v/>
      </c>
      <c r="BO104" s="86">
        <f>IF($BM104="","",$BM104+2*ROSide)</f>
        <v/>
      </c>
      <c r="BP104" s="86">
        <f>IF($BN104="","",$BN104+ROTop)</f>
        <v/>
      </c>
      <c r="BQ104" s="87">
        <f>IF(OR(N($BJ104)=0,$BH104=""),"",$BH104/$BJ104-ClearDeduct)</f>
        <v/>
      </c>
      <c r="BR104" s="84">
        <f>IF(N($CH104)=0,"",IF($CH104&gt;=180,"A · 3 HR",IF($CH104&gt;=90,"B · 1-1/2 HR",IF($CH104&gt;=60,"B · 1 HR",IF($CH104&gt;=45,"C · 3/4 HR","20 MIN")))))&amp;IF(AND(N($CH104)&gt;0,OR($I104="CORRIDOR",$I104="SMOKE BARRIER"))," · S","")</f>
        <v/>
      </c>
      <c r="BS104" s="84">
        <f>IF($CS104,"",IF($AV104&lt;&gt;"",$AV104,IF(OR($AC104="HGC",$AO104="HGC"),"CONT",IF(($BI104-HeadClr-Undercut)&lt;=60,2,IF(($BI104-HeadClr-Undercut)&lt;=90,3,IF(($BI104-HeadClr-Undercut)&lt;=120,4,5))))))</f>
        <v/>
      </c>
      <c r="BT104" s="84">
        <f>IF($CS104,"",IF($CT104,"CUSTOM (typed)",IF($CV104,$AT104&amp;" "&amp;$CU104&amp;CHAR(34)&amp;IF($CU104&lt;&gt;$BI104,IF(AND($BI104&lt;$CU104,$BI104-IF(N(VLOOKUP($AT104&amp;"|"&amp;$CU104,LocTable,7,FALSE))&gt;0,VLOOKUP($AT104&amp;"|"&amp;$CU104,LocTable,7,FALSE),VLOOKUP($AT104&amp;"|"&amp;$CU104,LocTable,6,FALSE))-$CR104-0.75&gt;=2.125)," cut down"," adj."),""),"ANSI/SDI A250.6")))</f>
        <v/>
      </c>
      <c r="BU104" s="88">
        <f>IF($CS104,"",IF($CT104,IF(N($AW104)&gt;0,N($AW104),""),IF(1&gt;$CQ104,"",IF($CQ104=1,$CW104,$CW104+($CX104-$CW104)*0/($CQ104-1)))))</f>
        <v/>
      </c>
      <c r="BV104" s="88">
        <f>IF($CS104,"",IF($CT104,IF(N($AX104)&gt;0,N($AX104),""),IF(2&gt;$CQ104,"",IF($CQ104=1,$CW104,$CW104+($CX104-$CW104)*1/($CQ104-1)))))</f>
        <v/>
      </c>
      <c r="BW104" s="88">
        <f>IF($CS104,"",IF($CT104,IF(N($AY104)&gt;0,N($AY104),""),IF(3&gt;$CQ104,"",IF($CQ104=1,$CW104,$CW104+($CX104-$CW104)*2/($CQ104-1)))))</f>
        <v/>
      </c>
      <c r="BX104" s="88">
        <f>IF($CS104,"",IF($CT104,IF(N($AZ104)&gt;0,N($AZ104),""),IF(4&gt;$CQ104,"",IF($CQ104=1,$CW104,$CW104+($CX104-$CW104)*3/($CQ104-1)))))</f>
        <v/>
      </c>
      <c r="BY104" s="88">
        <f>IF($CS104,"",IF($CT104,"",IF(5&gt;$CQ104,"",IF($CQ104=1,$CW104,$CW104+($CX104-$CW104)*4/($CQ104-1)))))</f>
        <v/>
      </c>
      <c r="BZ104" s="88">
        <f>IF(OR($CS104,$AP104="-",AND($AP104="",$AD104="")),"",IF(N($BA104)&gt;0,N($BA104),IF($CV104,IF(AND($BI104&lt;$CU104,$BI104-IF(N(VLOOKUP($AT104&amp;"|"&amp;$CU104,LocTable,7,FALSE))&gt;0,VLOOKUP($AT104&amp;"|"&amp;$CU104,LocTable,7,FALSE),VLOOKUP($AT104&amp;"|"&amp;$CU104,LocTable,6,FALSE))-$CR104-0.75&gt;=2.125),VLOOKUP($AT104&amp;"|"&amp;$CU104,LocTable,8,FALSE),VLOOKUP($AT104&amp;"|"&amp;$CU104,LocTable,8,FALSE)+($BI104-$CU104)),$BI104-LockAFF)))</f>
        <v/>
      </c>
      <c r="CA104" s="89">
        <f>IF($BZ104="","",$BI104-$BZ104)</f>
        <v/>
      </c>
      <c r="CB104" s="84">
        <f>IF(OR(NOT(AND($A104&lt;&gt;"",$C104&lt;&gt;"DOOR ONLY")),$BI104=""),"",IF(($BI104+IF(N($P104)&gt;0,$P104+FaceW,0))&lt;=90,3,IF(($BI104+IF(N($P104)&gt;0,$P104+FaceW,0))&lt;=114,4,5)))</f>
        <v/>
      </c>
      <c r="CC104" s="84">
        <f>IF($CB104="","",$CB104*(2+IF(N($Q104)&gt;0,IF($R104="LR",2,1),0)))</f>
        <v/>
      </c>
      <c r="CD104" s="84">
        <f>IF($CB104="","",(2+IF(N($Q104)&gt;0,IF($R104="LR",2,1),0)))</f>
        <v/>
      </c>
      <c r="CE104" s="84">
        <f>IF(N($BJ104)=0,"",IF(OR($AL104="",$AL104="FLUSH"),"FLUSH",IFERROR(LEFT($AL104,FIND("-",$AL104)-1),LEFT($AL104,2))))</f>
        <v/>
      </c>
      <c r="CF104" s="84">
        <f>IF($CE104="","",IFERROR(VALUE(MID($AL104,FIND("-",$AL104)+1,FIND(CHAR(34)&amp;"x",$AL104)-FIND("-",$AL104)-1)),0))</f>
        <v/>
      </c>
      <c r="CG104" s="84">
        <f>IF($CE104="","",IFERROR(VALUE(MID($AL104,FIND(CHAR(34)&amp;"x",$AL104)+2,FIND(CHAR(34),$AL104,FIND(CHAR(34)&amp;"x",$AL104)+2)-FIND(CHAR(34)&amp;"x",$AL104)-2)),0))</f>
        <v/>
      </c>
      <c r="CH104" s="90">
        <f>IF(OR($A104="",$H104="",$H104="NO LAB"),0,IFERROR(VALUE(LEFT($H104,FIND(" ",$H104)-1)),0))</f>
        <v/>
      </c>
      <c r="CI104" s="91">
        <f>IF(OR($A104="",$I104="",$I104="NON-RATED",N($J104)=0),"",IFERROR(VLOOKUP($I104&amp;"|"&amp;$J104,IBC,2,FALSE),"?"))</f>
        <v/>
      </c>
      <c r="CJ104" s="85">
        <f>IF(NOT(AND($A104&lt;&gt;"",$C104&lt;&gt;"DOOR ONLY")),"",TRIM(IFERROR(VLOOKUP($U104,CODES,2,FALSE),"")&amp;" "&amp;$BG104&amp;" "&amp;IFERROR(VLOOKUP($Z104,CODES,2,FALSE),"")&amp;" "&amp;IFERROR(VLOOKUP($X104,CODES,2,FALSE),"")&amp;" "&amp;IFERROR(VLOOKUP($S104,CODES,2,FALSE),"")&amp;IF(N($P104)&gt;0," w/TRANSOM "&amp;$P104&amp;CHAR(34),"")&amp;IF(N($Q104)&gt;0," w/SIDELITE "&amp;$Q104&amp;CHAR(34)&amp;" "&amp;IF($R104="","R",$R104),"")&amp;IF($Y104="","  |  "," | "&amp;IFERROR(VLOOKUP($Y104,CODES,2,FALSE),"")&amp;" | ")&amp;IFERROR(VLOOKUP($AC104,CODES,2,FALSE),"")&amp;" "&amp;IFERROR(VLOOKUP($AD104,CODES,2,FALSE),"")&amp;IF(OR($AE104="",$AE104="-"),""," "&amp;$AE104)&amp;IF(OR($AF104="",$AF104="-"),""," "&amp;$AF104)&amp;IF($AB104="Y"," 4"&amp;CHAR(34)&amp;" HEAD","")&amp;" "&amp;IFERROR(VLOOKUP($H104,CODES,2,FALSE),"")&amp;IF($CT104," | LOC "&amp;$CY104,"")))</f>
        <v/>
      </c>
      <c r="CK104" s="85">
        <f>IF(NOT(AND($A104&lt;&gt;"",N($BJ104)&gt;0)),"",TRIM(IFERROR(VLOOKUP($AH104,CODES,2,FALSE),"")&amp;IF($AI104=""," "," "&amp;$AI104&amp;"GA ")&amp;$BG104&amp;" "&amp;IF($AN104="",IFERROR(VLOOKUP($Z104,CODES,2,FALSE),""),IFERROR(VLOOKUP($AN104,CODES,2,FALSE),""))&amp;IF($BJ104=2," PAIR","")&amp;" DOOR | "&amp;IF($AL104="","?",$AL104)&amp;" | "&amp;IF($AO104="",IFERROR(VLOOKUP($AC104,CODES,2,FALSE),""),IFERROR(VLOOKUP($AO104,CODES,2,FALSE),""))&amp;" "&amp;IFERROR(VLOOKUP($AP104,CODES,2,FALSE),"")&amp;IF(OR($AQ104="",$AQ104="-"),""," SEAM "&amp;$AQ104)&amp;IF($AR104="Y"," ASTRAGAL","")&amp;IF($AJ104=""," "," "&amp;$AJ104)&amp;IF($AK104=""," "," "&amp;$AK104)&amp;IF(OR($AT104="",$AT104="ANSI/SDI",$AT104="CUSTOM LOC"),""," "&amp;$AT104)&amp;IF($AM104=""," "," SERIES "&amp;$AM104)&amp;" "&amp;IFERROR(VLOOKUP($H104,CODES,2,FALSE),"")&amp;IF($CT104," | LOC "&amp;$CZ104,"")))</f>
        <v/>
      </c>
      <c r="CL104" s="84">
        <f>IF(CP104="","",IF(COUNTIF($CP$6:CP104,CP104)=1,MAX($CL$5:CL103)+1,INDEX($CL$5:CL103,MATCH(CP104,$CP$5:CP103,0))))</f>
        <v/>
      </c>
      <c r="CM104" s="84">
        <f>IF(NOT(AND($A104&lt;&gt;"",$C104&lt;&gt;"DOOR ONLY")),"",MAX($CM$5:CM103)+1)</f>
        <v/>
      </c>
      <c r="CN104" s="84">
        <f>IF(NOT(AND($A104&lt;&gt;"",N($BJ104)&gt;0)),"",MAX($CN$5:CN103)+1)</f>
        <v/>
      </c>
      <c r="CO104" s="84">
        <f>IF($A104="","",MAX($CO$5:CO103)+1)</f>
        <v/>
      </c>
      <c r="CP104" s="84">
        <f>IF(OR($A104="",$BH104="",$BI104=""),"",$BG104&amp;"|"&amp;$O104&amp;"|"&amp;$AL104&amp;"|"&amp;$S104&amp;"|"&amp;$P104&amp;"|"&amp;$Q104&amp;$R104&amp;"|"&amp;$C104&amp;"|"&amp;$AB104)</f>
        <v/>
      </c>
      <c r="CQ104" s="84">
        <f>N($BS104)</f>
        <v/>
      </c>
      <c r="CR104" s="84">
        <f>IF(N($AU104)&gt;0,N($AU104),4.5)</f>
        <v/>
      </c>
      <c r="CS104" s="84">
        <f>OR($A104="",$BI104="",$S104="BL",AND($C104="FRAME ONLY",OR($AC104="",$AC104="BLK")))</f>
        <v/>
      </c>
      <c r="CT104" s="84">
        <f>AND(NOT($CS104),OR($AT104="CUSTOM LOC",N($AW104)+N($AX104)+N($AY104)+N($AZ104)+N($BA104)&gt;0))</f>
        <v/>
      </c>
      <c r="CU104" s="84">
        <f>IF($BI104="","",IF($BI104&lt;=80,80,IF($BI104&lt;=84,84,96)))</f>
        <v/>
      </c>
      <c r="CV104" s="84">
        <f>ISNUMBER(MATCH($AT104&amp;"|80",LocKeys,0))</f>
        <v/>
      </c>
      <c r="CW104" s="86">
        <f>IF($CS104,"",IF($CV104,VLOOKUP($AT104&amp;"|"&amp;$CU104,LocTable,4,FALSE),5))</f>
        <v/>
      </c>
      <c r="CX104" s="86">
        <f>IF($CS104,"",IF($CV104,IF(OR($BI104=$CU104,AND($BI104&lt;$CU104,$BI104-IF(N(VLOOKUP($AT104&amp;"|"&amp;$CU104,LocTable,7,FALSE))&gt;0,VLOOKUP($AT104&amp;"|"&amp;$CU104,LocTable,7,FALSE),VLOOKUP($AT104&amp;"|"&amp;$CU104,LocTable,6,FALSE))-$CR104-0.75&gt;=2.125)),IF(N(VLOOKUP($AT104&amp;"|"&amp;$CU104,LocTable,7,FALSE))&gt;0,VLOOKUP($AT104&amp;"|"&amp;$CU104,LocTable,7,FALSE),VLOOKUP($AT104&amp;"|"&amp;$CU104,LocTable,6,FALSE)),$BI104-($CU104-IF(N(VLOOKUP($AT104&amp;"|"&amp;$CU104,LocTable,7,FALSE))&gt;0,VLOOKUP($AT104&amp;"|"&amp;$CU104,LocTable,7,FALSE),VLOOKUP($AT104&amp;"|"&amp;$CU104,LocTable,6,FALSE)))),$BI104-10-$CR104))</f>
        <v/>
      </c>
      <c r="CY104" s="85">
        <f>IF($CS104,"",TRIM(IF(ISNUMBER($BU104),"A "&amp;TRIM(TEXT($BU104,"# ?/??"))&amp;CHAR(34)&amp;"  ","")&amp;IF(ISNUMBER($BV104),"B "&amp;TRIM(TEXT($BV104,"# ?/??"))&amp;CHAR(34)&amp;"  ","")&amp;IF(ISNUMBER($BW104),"C "&amp;TRIM(TEXT($BW104,"# ?/??"))&amp;CHAR(34)&amp;"  ","")&amp;IF(ISNUMBER($BX104),"D "&amp;TRIM(TEXT($BX104,"# ?/??"))&amp;CHAR(34)&amp;"  ","")&amp;IF(ISNUMBER($BY104),"F "&amp;TRIM(TEXT($BY104,"# ?/??"))&amp;CHAR(34)&amp;"  ","")&amp;IF(ISNUMBER($BZ104),"E "&amp;TRIM(TEXT($BZ104,"# ?/??"))&amp;CHAR(34)&amp;"  ","")))</f>
        <v/>
      </c>
      <c r="CZ104" s="85">
        <f>IF(OR($CS104,N($BJ104)=0),"",TRIM(IF(ISNUMBER($BU104),"A "&amp;TRIM(TEXT($BU104-HeadClr,"# ?/??"))&amp;CHAR(34)&amp;"  ","")&amp;IF(ISNUMBER($BV104),"B "&amp;TRIM(TEXT($BV104-HeadClr,"# ?/??"))&amp;CHAR(34)&amp;"  ","")&amp;IF(ISNUMBER($BW104),"C "&amp;TRIM(TEXT($BW104-HeadClr,"# ?/??"))&amp;CHAR(34)&amp;"  ","")&amp;IF(ISNUMBER($BX104),"D "&amp;TRIM(TEXT($BX104-HeadClr,"# ?/??"))&amp;CHAR(34)&amp;"  ","")&amp;IF(ISNUMBER($BY104),"F "&amp;TRIM(TEXT($BY104-HeadClr,"# ?/??"))&amp;CHAR(34)&amp;"  ","")&amp;IF(ISNUMBER($BZ104),"E "&amp;TRIM(TEXT($BZ104-HeadClr,"# ?/??"))&amp;CHAR(34)&amp;"  ","")))</f>
        <v/>
      </c>
      <c r="DA104" s="84">
        <f>IF($A104="","",IF($AN104="",IFERROR(VLOOKUP($Z104,CODES,2,FALSE),""),IFERROR(VLOOKUP($AN104,CODES,2,FALSE),"")))</f>
        <v/>
      </c>
      <c r="DB104" s="84">
        <f>IF($A104="","",IF($O104="Y","PR",IF(OR($Z104="L",$Z104="RR",LEFT($Z104,2)="L-",LEFT($Z104,3)="RR-"),"LH","RH")))</f>
        <v/>
      </c>
      <c r="DC104" s="84">
        <f>IF($A104="","","S.HM"&amp;IF(OR($C104="DOOR ONLY",$X104&lt;&gt;"KD"),"MASONRY","DRYWALL")&amp;IF($C104="DOOR ONLY","",$U104)&amp;IF(AND($C104&lt;&gt;"FRAME ONLY",OR(LEFT($AH104,3)="OAK",LEFT($AH104,3)="BIR",LEFT($AH104,3)="MAP",$AH104="PC",$AH104="MC",$AH104="SCLC",$AH104="P-LAM")),"WD","HM")&amp;"1.75")</f>
        <v/>
      </c>
      <c r="DD104" s="84">
        <f>IF($CJ104="","",IF($O104="Y",$CJ104,SUBSTITUTE($CJ104,$BG104&amp;" "&amp;IFERROR(VLOOKUP($Z104,CODES,2,FALSE),"")&amp;" ",$BG104&amp;" ")))</f>
        <v/>
      </c>
      <c r="DE104" s="84">
        <f>IF($CK104="","",IF($O104="Y",$CK104,SUBSTITUTE($CK104,$BG104&amp;" "&amp;IF($AN104="",IFERROR(VLOOKUP($Z104,CODES,2,FALSE),""),IFERROR(VLOOKUP($AN104,CODES,2,FALSE),""))&amp;" ",$BG104&amp;" ")))</f>
        <v/>
      </c>
      <c r="DF104" s="84">
        <f>IF($CJ104="","",$DC104&amp;"|"&amp;$DD104&amp;"|"&amp;$DB104&amp;"|"&amp;$AT104&amp;"|"&amp;$V104&amp;"|"&amp;$Y104&amp;"|"&amp;$AB104)</f>
        <v/>
      </c>
      <c r="DG104" s="84">
        <f>IF(DF104="","",IF(COUNTIF($DF$6:DF104,DF104)=1,MAX($DG$5:DG103)+1,INDEX($DG$5:DG103,MATCH(DF104,$DF$5:DF103,0))))</f>
        <v/>
      </c>
      <c r="DH104" s="84">
        <f>IF($CK104="","",$DC104&amp;"|"&amp;$DE104&amp;"|"&amp;$AI104&amp;"|"&amp;$BK104&amp;"|"&amp;$BL104)</f>
        <v/>
      </c>
      <c r="DI104" s="84">
        <f>IF(DH104="","",IF(COUNTIF($DH$6:DH104,DH104)=1,MAX($DI$5:DI103)+1,INDEX($DI$5:DI103,MATCH(DH104,$DH$5:DH103,0))))</f>
        <v/>
      </c>
      <c r="DJ104" s="84">
        <f>IF($A104="","",IF($B104="","qty, ","")&amp;IF($C104="","scope, ","")&amp;IF(OR($K104="",$M104=""),"size, ","")&amp;IF(AND($A104&lt;&gt;"",$C104&lt;&gt;"DOOR ONLY"),IF($U104="","jamb depth, ","")&amp;IF($X104="","construction, ","")&amp;IF($Y104="","anchor, ","")&amp;IF($S104="","frame type, ",""),"")&amp;IF(AND(N($BJ104)&gt;0,$Z104=""),"hand, ","")&amp;IF(N($BJ104)&gt;0,IF($AH104="","door material, ","")&amp;IF($AL104="","face type, ","")&amp;IF($AP104="","lock prep, ","")&amp;IF(AND($AO104="",$AC104=""),"hinge prep, ",""),"")&amp;IF(AND($CH104&gt;0,$AH104="FRP"),"FRP cannot carry a label, ","")&amp;IF(AND($O104="Y",OR($Z104="L",$Z104="R",$Z104="LR",$Z104="RR")),"pair marked but hand is single, ","")&amp;IF(AND($O104&lt;&gt;"Y",OR($Z104="PR",AND(LEN($Z104)&gt;1,ISNUMBER(SEARCH("-",$Z104))))),"pair hand on a single door, ","")&amp;IF(AND(ISNUMBER($CI104),$CH104&lt;N($CI104)),"wall needs a "&amp;$CI104&amp;" min door, ","")&amp;IF(AND($CH104&gt;=180,AND(OR($CE104="FG",$CE104="HG",$CE104="FNV",$CE104="FV"),N($CF104)*N($CG104)&gt;100)),"180 min lite over 100 sq in, ","")&amp;IF(N($BK104)&gt;48,"leaf wider than 4'-0"&amp;CHAR(34)&amp;", ","")&amp;IF(AND($CT104,COUNT($AW104:$AZ104)=0,$CQ104&gt;0),"CUSTOM LOC with no locations typed, ",""))</f>
        <v/>
      </c>
      <c r="DK104" s="84">
        <f>IF($A104="","",IF(AND($CH104&gt;0,AND($A104&lt;&gt;"",$C104&lt;&gt;"DOOR ONLY"),$X104="KD",$E104="EXTERIOR"),"KD label on an exterior opening, ","")&amp;IF(AND($E104="EXTERIOR",OR(AND(AND($A104&lt;&gt;"",$C104&lt;&gt;"DOOR ONLY"),$W104="CR"),AND(N($BJ104)&gt;0,$AH104="CR"))),"exterior in CR steel (G9?), ","")&amp;IF(AND(ISNUMBER($BQ104),N($BQ104)&lt;32),"clear width ~"&amp;TEXT($BQ104,"0.0")&amp;CHAR(34)&amp;" under 32"&amp;CHAR(34)&amp;" (ADA), ","")&amp;IF(AND($CH104=90,AND(OR($CE104="FG",$CE104="HG",$CE104="FNV",$CE104="FV"),N($CF104)*N($CG104)&gt;100)),"90 min lite over 100 sq in (stair/exit), ","")&amp;IF(AND($CH104&gt;0,AND($A104&lt;&gt;"",$C104&lt;&gt;"DOOR ONLY"),OR($AF104="",$AF104="-")),"rated: closer reinf.?, ","")&amp;IF(OR($I104="CORRIDOR",$I104="SMOKE BARRIER"),"S label + smoke gasketing, ","")&amp;IF($CI104="?","wall type/hr not in IBC table, ","")&amp;IF(AND(N($BJ104)&gt;0,$BB104=""),"no hardware set, ","")&amp;IF(AND($BB104&lt;&gt;"",ISNA(MATCH($BB104&amp;"",HWSets,0))),"set "&amp;$BB104&amp;" not on HW Sets, ","")&amp;IF(N($BL104)&gt;96,"leaf over 8'-0"&amp;CHAR(34)&amp;" - check listing, ","")&amp;IF(AND($CT104,COUNT($AW104:$AZ104)&gt;0,COUNT($AW104:$AZ104)&lt;&gt;$CQ104),COUNT($AW104:$AZ104)&amp;" custom hinges typed, "&amp;$CQ104&amp;" expected, ","")&amp;IF(AND(ISNUMBER($CA104),OR(N($CA104)&lt;34,N($CA104)&gt;48)),"lock "&amp;TEXT($CA104,"0.0")&amp;CHAR(34)&amp;" AFF outside 34-48"&amp;CHAR(34)&amp;" (ADA), ","")&amp;IF(AND(ISNUMBER($AV104),ISNUMBER($BL104),N($AV104)&lt;IF(N($BL104)&lt;=60,2,IF(N($BL104)&lt;=90,3,IF(N($BL104)&lt;=120,4,5)))),"fewer hinges than standard, ",""))</f>
        <v/>
      </c>
    </row>
    <row r="105" ht="15" customHeight="1">
      <c r="A105" s="92" t="n"/>
      <c r="B105" s="93" t="n"/>
      <c r="C105" s="93" t="n"/>
      <c r="D105" s="93" t="n"/>
      <c r="E105" s="93" t="n"/>
      <c r="F105" s="93" t="n"/>
      <c r="G105" s="93" t="n"/>
      <c r="H105" s="93" t="n"/>
      <c r="I105" s="93" t="n"/>
      <c r="J105" s="93" t="n"/>
      <c r="K105" s="93" t="n"/>
      <c r="L105" s="93" t="n"/>
      <c r="M105" s="93" t="n"/>
      <c r="N105" s="93" t="n"/>
      <c r="O105" s="93" t="n"/>
      <c r="P105" s="93" t="n"/>
      <c r="Q105" s="93" t="n"/>
      <c r="R105" s="93" t="n"/>
      <c r="S105" s="94" t="n"/>
      <c r="T105" s="94" t="n"/>
      <c r="U105" s="94" t="n"/>
      <c r="V105" s="94" t="n"/>
      <c r="W105" s="94" t="n"/>
      <c r="X105" s="94" t="n"/>
      <c r="Y105" s="94" t="n"/>
      <c r="Z105" s="94" t="n"/>
      <c r="AA105" s="94" t="n"/>
      <c r="AB105" s="94" t="n"/>
      <c r="AC105" s="94" t="n"/>
      <c r="AD105" s="94" t="n"/>
      <c r="AE105" s="94" t="n"/>
      <c r="AF105" s="94" t="n"/>
      <c r="AG105" s="94" t="n"/>
      <c r="AH105" s="95" t="n"/>
      <c r="AI105" s="95" t="n"/>
      <c r="AJ105" s="95" t="n"/>
      <c r="AK105" s="95" t="n"/>
      <c r="AL105" s="95" t="n"/>
      <c r="AM105" s="95" t="n"/>
      <c r="AN105" s="95" t="n"/>
      <c r="AO105" s="95" t="n"/>
      <c r="AP105" s="95" t="n"/>
      <c r="AQ105" s="95" t="n"/>
      <c r="AR105" s="95" t="n"/>
      <c r="AS105" s="95" t="n"/>
      <c r="AT105" s="96" t="n"/>
      <c r="AU105" s="96" t="n"/>
      <c r="AV105" s="96" t="n"/>
      <c r="AW105" s="97" t="n"/>
      <c r="AX105" s="97" t="n"/>
      <c r="AY105" s="97" t="n"/>
      <c r="AZ105" s="97" t="n"/>
      <c r="BA105" s="97" t="n"/>
      <c r="BB105" s="98" t="n"/>
      <c r="BC105" s="98" t="n"/>
      <c r="BD105" s="99">
        <f>IF($A105="","",IF($DJ105&lt;&gt;"","FIX",IF($DK105&lt;&gt;"","CHECK","OK")))</f>
        <v/>
      </c>
      <c r="BE105" s="100">
        <f>IF($A105="","",IF($DJ105&lt;&gt;"","FIX: "&amp;LEFT($DJ105,LEN($DJ105)-2)&amp;IF($DK105&lt;&gt;"","  ·  ",""),"")&amp;IF($DK105&lt;&gt;"","CHECK: "&amp;LEFT($DK105,LEN($DK105)-2),""))</f>
        <v/>
      </c>
      <c r="BF105" s="99">
        <f>IF(OR($A105="",$K105=""),"",$K105&amp;"'-"&amp;N($L105)&amp;CHAR(34)&amp;" x "&amp;$M105&amp;"'-"&amp;N($N105)&amp;CHAR(34))</f>
        <v/>
      </c>
      <c r="BG105" s="99">
        <f>IF(OR($A105="",$K105=""),"",$K105&amp;N($L105)&amp;$M105&amp;N($N105))</f>
        <v/>
      </c>
      <c r="BH105" s="99">
        <f>IF(OR($A105="",$K105=""),"",$K105*12+N($L105))</f>
        <v/>
      </c>
      <c r="BI105" s="99">
        <f>IF(OR($A105="",$M105=""),"",$M105*12+N($N105))</f>
        <v/>
      </c>
      <c r="BJ105" s="99">
        <f>IF($A105="","",IF(OR($C105="FRAME ONLY",$S105="BL"),0,IF($O105="Y",2,1)))</f>
        <v/>
      </c>
      <c r="BK105" s="101">
        <f>IF(OR(N($BJ105)=0,$BH105=""),"",($BH105-2*EdgeClr-IF($BJ105=2,MeetClr,0))/$BJ105)</f>
        <v/>
      </c>
      <c r="BL105" s="101">
        <f>IF(OR(N($BJ105)=0,$BI105=""),"",$BI105-HeadClr-Undercut)</f>
        <v/>
      </c>
      <c r="BM105" s="101">
        <f>IF($BH105="","",$BH105+2*FaceW+IF(N($Q105)&gt;0,($Q105+FaceW)*IF($R105="LR",2,1),0))</f>
        <v/>
      </c>
      <c r="BN105" s="101">
        <f>IF($BI105="","",$BI105+IF($AB105="Y",4,FaceW)+IF(N($P105)&gt;0,$P105+FaceW,0)+IF(OR($S105="4F",$S105="BL"),FaceW,0))</f>
        <v/>
      </c>
      <c r="BO105" s="101">
        <f>IF($BM105="","",$BM105+2*ROSide)</f>
        <v/>
      </c>
      <c r="BP105" s="101">
        <f>IF($BN105="","",$BN105+ROTop)</f>
        <v/>
      </c>
      <c r="BQ105" s="102">
        <f>IF(OR(N($BJ105)=0,$BH105=""),"",$BH105/$BJ105-ClearDeduct)</f>
        <v/>
      </c>
      <c r="BR105" s="99">
        <f>IF(N($CH105)=0,"",IF($CH105&gt;=180,"A · 3 HR",IF($CH105&gt;=90,"B · 1-1/2 HR",IF($CH105&gt;=60,"B · 1 HR",IF($CH105&gt;=45,"C · 3/4 HR","20 MIN")))))&amp;IF(AND(N($CH105)&gt;0,OR($I105="CORRIDOR",$I105="SMOKE BARRIER"))," · S","")</f>
        <v/>
      </c>
      <c r="BS105" s="99">
        <f>IF($CS105,"",IF($AV105&lt;&gt;"",$AV105,IF(OR($AC105="HGC",$AO105="HGC"),"CONT",IF(($BI105-HeadClr-Undercut)&lt;=60,2,IF(($BI105-HeadClr-Undercut)&lt;=90,3,IF(($BI105-HeadClr-Undercut)&lt;=120,4,5))))))</f>
        <v/>
      </c>
      <c r="BT105" s="99">
        <f>IF($CS105,"",IF($CT105,"CUSTOM (typed)",IF($CV105,$AT105&amp;" "&amp;$CU105&amp;CHAR(34)&amp;IF($CU105&lt;&gt;$BI105,IF(AND($BI105&lt;$CU105,$BI105-IF(N(VLOOKUP($AT105&amp;"|"&amp;$CU105,LocTable,7,FALSE))&gt;0,VLOOKUP($AT105&amp;"|"&amp;$CU105,LocTable,7,FALSE),VLOOKUP($AT105&amp;"|"&amp;$CU105,LocTable,6,FALSE))-$CR105-0.75&gt;=2.125)," cut down"," adj."),""),"ANSI/SDI A250.6")))</f>
        <v/>
      </c>
      <c r="BU105" s="103">
        <f>IF($CS105,"",IF($CT105,IF(N($AW105)&gt;0,N($AW105),""),IF(1&gt;$CQ105,"",IF($CQ105=1,$CW105,$CW105+($CX105-$CW105)*0/($CQ105-1)))))</f>
        <v/>
      </c>
      <c r="BV105" s="103">
        <f>IF($CS105,"",IF($CT105,IF(N($AX105)&gt;0,N($AX105),""),IF(2&gt;$CQ105,"",IF($CQ105=1,$CW105,$CW105+($CX105-$CW105)*1/($CQ105-1)))))</f>
        <v/>
      </c>
      <c r="BW105" s="103">
        <f>IF($CS105,"",IF($CT105,IF(N($AY105)&gt;0,N($AY105),""),IF(3&gt;$CQ105,"",IF($CQ105=1,$CW105,$CW105+($CX105-$CW105)*2/($CQ105-1)))))</f>
        <v/>
      </c>
      <c r="BX105" s="103">
        <f>IF($CS105,"",IF($CT105,IF(N($AZ105)&gt;0,N($AZ105),""),IF(4&gt;$CQ105,"",IF($CQ105=1,$CW105,$CW105+($CX105-$CW105)*3/($CQ105-1)))))</f>
        <v/>
      </c>
      <c r="BY105" s="103">
        <f>IF($CS105,"",IF($CT105,"",IF(5&gt;$CQ105,"",IF($CQ105=1,$CW105,$CW105+($CX105-$CW105)*4/($CQ105-1)))))</f>
        <v/>
      </c>
      <c r="BZ105" s="103">
        <f>IF(OR($CS105,$AP105="-",AND($AP105="",$AD105="")),"",IF(N($BA105)&gt;0,N($BA105),IF($CV105,IF(AND($BI105&lt;$CU105,$BI105-IF(N(VLOOKUP($AT105&amp;"|"&amp;$CU105,LocTable,7,FALSE))&gt;0,VLOOKUP($AT105&amp;"|"&amp;$CU105,LocTable,7,FALSE),VLOOKUP($AT105&amp;"|"&amp;$CU105,LocTable,6,FALSE))-$CR105-0.75&gt;=2.125),VLOOKUP($AT105&amp;"|"&amp;$CU105,LocTable,8,FALSE),VLOOKUP($AT105&amp;"|"&amp;$CU105,LocTable,8,FALSE)+($BI105-$CU105)),$BI105-LockAFF)))</f>
        <v/>
      </c>
      <c r="CA105" s="104">
        <f>IF($BZ105="","",$BI105-$BZ105)</f>
        <v/>
      </c>
      <c r="CB105" s="99">
        <f>IF(OR(NOT(AND($A105&lt;&gt;"",$C105&lt;&gt;"DOOR ONLY")),$BI105=""),"",IF(($BI105+IF(N($P105)&gt;0,$P105+FaceW,0))&lt;=90,3,IF(($BI105+IF(N($P105)&gt;0,$P105+FaceW,0))&lt;=114,4,5)))</f>
        <v/>
      </c>
      <c r="CC105" s="99">
        <f>IF($CB105="","",$CB105*(2+IF(N($Q105)&gt;0,IF($R105="LR",2,1),0)))</f>
        <v/>
      </c>
      <c r="CD105" s="99">
        <f>IF($CB105="","",(2+IF(N($Q105)&gt;0,IF($R105="LR",2,1),0)))</f>
        <v/>
      </c>
      <c r="CE105" s="99">
        <f>IF(N($BJ105)=0,"",IF(OR($AL105="",$AL105="FLUSH"),"FLUSH",IFERROR(LEFT($AL105,FIND("-",$AL105)-1),LEFT($AL105,2))))</f>
        <v/>
      </c>
      <c r="CF105" s="99">
        <f>IF($CE105="","",IFERROR(VALUE(MID($AL105,FIND("-",$AL105)+1,FIND(CHAR(34)&amp;"x",$AL105)-FIND("-",$AL105)-1)),0))</f>
        <v/>
      </c>
      <c r="CG105" s="99">
        <f>IF($CE105="","",IFERROR(VALUE(MID($AL105,FIND(CHAR(34)&amp;"x",$AL105)+2,FIND(CHAR(34),$AL105,FIND(CHAR(34)&amp;"x",$AL105)+2)-FIND(CHAR(34)&amp;"x",$AL105)-2)),0))</f>
        <v/>
      </c>
      <c r="CH105" s="105">
        <f>IF(OR($A105="",$H105="",$H105="NO LAB"),0,IFERROR(VALUE(LEFT($H105,FIND(" ",$H105)-1)),0))</f>
        <v/>
      </c>
      <c r="CI105" s="106">
        <f>IF(OR($A105="",$I105="",$I105="NON-RATED",N($J105)=0),"",IFERROR(VLOOKUP($I105&amp;"|"&amp;$J105,IBC,2,FALSE),"?"))</f>
        <v/>
      </c>
      <c r="CJ105" s="100">
        <f>IF(NOT(AND($A105&lt;&gt;"",$C105&lt;&gt;"DOOR ONLY")),"",TRIM(IFERROR(VLOOKUP($U105,CODES,2,FALSE),"")&amp;" "&amp;$BG105&amp;" "&amp;IFERROR(VLOOKUP($Z105,CODES,2,FALSE),"")&amp;" "&amp;IFERROR(VLOOKUP($X105,CODES,2,FALSE),"")&amp;" "&amp;IFERROR(VLOOKUP($S105,CODES,2,FALSE),"")&amp;IF(N($P105)&gt;0," w/TRANSOM "&amp;$P105&amp;CHAR(34),"")&amp;IF(N($Q105)&gt;0," w/SIDELITE "&amp;$Q105&amp;CHAR(34)&amp;" "&amp;IF($R105="","R",$R105),"")&amp;IF($Y105="","  |  "," | "&amp;IFERROR(VLOOKUP($Y105,CODES,2,FALSE),"")&amp;" | ")&amp;IFERROR(VLOOKUP($AC105,CODES,2,FALSE),"")&amp;" "&amp;IFERROR(VLOOKUP($AD105,CODES,2,FALSE),"")&amp;IF(OR($AE105="",$AE105="-"),""," "&amp;$AE105)&amp;IF(OR($AF105="",$AF105="-"),""," "&amp;$AF105)&amp;IF($AB105="Y"," 4"&amp;CHAR(34)&amp;" HEAD","")&amp;" "&amp;IFERROR(VLOOKUP($H105,CODES,2,FALSE),"")&amp;IF($CT105," | LOC "&amp;$CY105,"")))</f>
        <v/>
      </c>
      <c r="CK105" s="100">
        <f>IF(NOT(AND($A105&lt;&gt;"",N($BJ105)&gt;0)),"",TRIM(IFERROR(VLOOKUP($AH105,CODES,2,FALSE),"")&amp;IF($AI105=""," "," "&amp;$AI105&amp;"GA ")&amp;$BG105&amp;" "&amp;IF($AN105="",IFERROR(VLOOKUP($Z105,CODES,2,FALSE),""),IFERROR(VLOOKUP($AN105,CODES,2,FALSE),""))&amp;IF($BJ105=2," PAIR","")&amp;" DOOR | "&amp;IF($AL105="","?",$AL105)&amp;" | "&amp;IF($AO105="",IFERROR(VLOOKUP($AC105,CODES,2,FALSE),""),IFERROR(VLOOKUP($AO105,CODES,2,FALSE),""))&amp;" "&amp;IFERROR(VLOOKUP($AP105,CODES,2,FALSE),"")&amp;IF(OR($AQ105="",$AQ105="-"),""," SEAM "&amp;$AQ105)&amp;IF($AR105="Y"," ASTRAGAL","")&amp;IF($AJ105=""," "," "&amp;$AJ105)&amp;IF($AK105=""," "," "&amp;$AK105)&amp;IF(OR($AT105="",$AT105="ANSI/SDI",$AT105="CUSTOM LOC"),""," "&amp;$AT105)&amp;IF($AM105=""," "," SERIES "&amp;$AM105)&amp;" "&amp;IFERROR(VLOOKUP($H105,CODES,2,FALSE),"")&amp;IF($CT105," | LOC "&amp;$CZ105,"")))</f>
        <v/>
      </c>
      <c r="CL105" s="99">
        <f>IF(CP105="","",IF(COUNTIF($CP$6:CP105,CP105)=1,MAX($CL$5:CL104)+1,INDEX($CL$5:CL104,MATCH(CP105,$CP$5:CP104,0))))</f>
        <v/>
      </c>
      <c r="CM105" s="99">
        <f>IF(NOT(AND($A105&lt;&gt;"",$C105&lt;&gt;"DOOR ONLY")),"",MAX($CM$5:CM104)+1)</f>
        <v/>
      </c>
      <c r="CN105" s="99">
        <f>IF(NOT(AND($A105&lt;&gt;"",N($BJ105)&gt;0)),"",MAX($CN$5:CN104)+1)</f>
        <v/>
      </c>
      <c r="CO105" s="99">
        <f>IF($A105="","",MAX($CO$5:CO104)+1)</f>
        <v/>
      </c>
      <c r="CP105" s="99">
        <f>IF(OR($A105="",$BH105="",$BI105=""),"",$BG105&amp;"|"&amp;$O105&amp;"|"&amp;$AL105&amp;"|"&amp;$S105&amp;"|"&amp;$P105&amp;"|"&amp;$Q105&amp;$R105&amp;"|"&amp;$C105&amp;"|"&amp;$AB105)</f>
        <v/>
      </c>
      <c r="CQ105" s="99">
        <f>N($BS105)</f>
        <v/>
      </c>
      <c r="CR105" s="99">
        <f>IF(N($AU105)&gt;0,N($AU105),4.5)</f>
        <v/>
      </c>
      <c r="CS105" s="99">
        <f>OR($A105="",$BI105="",$S105="BL",AND($C105="FRAME ONLY",OR($AC105="",$AC105="BLK")))</f>
        <v/>
      </c>
      <c r="CT105" s="99">
        <f>AND(NOT($CS105),OR($AT105="CUSTOM LOC",N($AW105)+N($AX105)+N($AY105)+N($AZ105)+N($BA105)&gt;0))</f>
        <v/>
      </c>
      <c r="CU105" s="99">
        <f>IF($BI105="","",IF($BI105&lt;=80,80,IF($BI105&lt;=84,84,96)))</f>
        <v/>
      </c>
      <c r="CV105" s="99">
        <f>ISNUMBER(MATCH($AT105&amp;"|80",LocKeys,0))</f>
        <v/>
      </c>
      <c r="CW105" s="101">
        <f>IF($CS105,"",IF($CV105,VLOOKUP($AT105&amp;"|"&amp;$CU105,LocTable,4,FALSE),5))</f>
        <v/>
      </c>
      <c r="CX105" s="101">
        <f>IF($CS105,"",IF($CV105,IF(OR($BI105=$CU105,AND($BI105&lt;$CU105,$BI105-IF(N(VLOOKUP($AT105&amp;"|"&amp;$CU105,LocTable,7,FALSE))&gt;0,VLOOKUP($AT105&amp;"|"&amp;$CU105,LocTable,7,FALSE),VLOOKUP($AT105&amp;"|"&amp;$CU105,LocTable,6,FALSE))-$CR105-0.75&gt;=2.125)),IF(N(VLOOKUP($AT105&amp;"|"&amp;$CU105,LocTable,7,FALSE))&gt;0,VLOOKUP($AT105&amp;"|"&amp;$CU105,LocTable,7,FALSE),VLOOKUP($AT105&amp;"|"&amp;$CU105,LocTable,6,FALSE)),$BI105-($CU105-IF(N(VLOOKUP($AT105&amp;"|"&amp;$CU105,LocTable,7,FALSE))&gt;0,VLOOKUP($AT105&amp;"|"&amp;$CU105,LocTable,7,FALSE),VLOOKUP($AT105&amp;"|"&amp;$CU105,LocTable,6,FALSE)))),$BI105-10-$CR105))</f>
        <v/>
      </c>
      <c r="CY105" s="100">
        <f>IF($CS105,"",TRIM(IF(ISNUMBER($BU105),"A "&amp;TRIM(TEXT($BU105,"# ?/??"))&amp;CHAR(34)&amp;"  ","")&amp;IF(ISNUMBER($BV105),"B "&amp;TRIM(TEXT($BV105,"# ?/??"))&amp;CHAR(34)&amp;"  ","")&amp;IF(ISNUMBER($BW105),"C "&amp;TRIM(TEXT($BW105,"# ?/??"))&amp;CHAR(34)&amp;"  ","")&amp;IF(ISNUMBER($BX105),"D "&amp;TRIM(TEXT($BX105,"# ?/??"))&amp;CHAR(34)&amp;"  ","")&amp;IF(ISNUMBER($BY105),"F "&amp;TRIM(TEXT($BY105,"# ?/??"))&amp;CHAR(34)&amp;"  ","")&amp;IF(ISNUMBER($BZ105),"E "&amp;TRIM(TEXT($BZ105,"# ?/??"))&amp;CHAR(34)&amp;"  ","")))</f>
        <v/>
      </c>
      <c r="CZ105" s="100">
        <f>IF(OR($CS105,N($BJ105)=0),"",TRIM(IF(ISNUMBER($BU105),"A "&amp;TRIM(TEXT($BU105-HeadClr,"# ?/??"))&amp;CHAR(34)&amp;"  ","")&amp;IF(ISNUMBER($BV105),"B "&amp;TRIM(TEXT($BV105-HeadClr,"# ?/??"))&amp;CHAR(34)&amp;"  ","")&amp;IF(ISNUMBER($BW105),"C "&amp;TRIM(TEXT($BW105-HeadClr,"# ?/??"))&amp;CHAR(34)&amp;"  ","")&amp;IF(ISNUMBER($BX105),"D "&amp;TRIM(TEXT($BX105-HeadClr,"# ?/??"))&amp;CHAR(34)&amp;"  ","")&amp;IF(ISNUMBER($BY105),"F "&amp;TRIM(TEXT($BY105-HeadClr,"# ?/??"))&amp;CHAR(34)&amp;"  ","")&amp;IF(ISNUMBER($BZ105),"E "&amp;TRIM(TEXT($BZ105-HeadClr,"# ?/??"))&amp;CHAR(34)&amp;"  ","")))</f>
        <v/>
      </c>
      <c r="DA105" s="99">
        <f>IF($A105="","",IF($AN105="",IFERROR(VLOOKUP($Z105,CODES,2,FALSE),""),IFERROR(VLOOKUP($AN105,CODES,2,FALSE),"")))</f>
        <v/>
      </c>
      <c r="DB105" s="99">
        <f>IF($A105="","",IF($O105="Y","PR",IF(OR($Z105="L",$Z105="RR",LEFT($Z105,2)="L-",LEFT($Z105,3)="RR-"),"LH","RH")))</f>
        <v/>
      </c>
      <c r="DC105" s="99">
        <f>IF($A105="","","S.HM"&amp;IF(OR($C105="DOOR ONLY",$X105&lt;&gt;"KD"),"MASONRY","DRYWALL")&amp;IF($C105="DOOR ONLY","",$U105)&amp;IF(AND($C105&lt;&gt;"FRAME ONLY",OR(LEFT($AH105,3)="OAK",LEFT($AH105,3)="BIR",LEFT($AH105,3)="MAP",$AH105="PC",$AH105="MC",$AH105="SCLC",$AH105="P-LAM")),"WD","HM")&amp;"1.75")</f>
        <v/>
      </c>
      <c r="DD105" s="99">
        <f>IF($CJ105="","",IF($O105="Y",$CJ105,SUBSTITUTE($CJ105,$BG105&amp;" "&amp;IFERROR(VLOOKUP($Z105,CODES,2,FALSE),"")&amp;" ",$BG105&amp;" ")))</f>
        <v/>
      </c>
      <c r="DE105" s="99">
        <f>IF($CK105="","",IF($O105="Y",$CK105,SUBSTITUTE($CK105,$BG105&amp;" "&amp;IF($AN105="",IFERROR(VLOOKUP($Z105,CODES,2,FALSE),""),IFERROR(VLOOKUP($AN105,CODES,2,FALSE),""))&amp;" ",$BG105&amp;" ")))</f>
        <v/>
      </c>
      <c r="DF105" s="99">
        <f>IF($CJ105="","",$DC105&amp;"|"&amp;$DD105&amp;"|"&amp;$DB105&amp;"|"&amp;$AT105&amp;"|"&amp;$V105&amp;"|"&amp;$Y105&amp;"|"&amp;$AB105)</f>
        <v/>
      </c>
      <c r="DG105" s="99">
        <f>IF(DF105="","",IF(COUNTIF($DF$6:DF105,DF105)=1,MAX($DG$5:DG104)+1,INDEX($DG$5:DG104,MATCH(DF105,$DF$5:DF104,0))))</f>
        <v/>
      </c>
      <c r="DH105" s="99">
        <f>IF($CK105="","",$DC105&amp;"|"&amp;$DE105&amp;"|"&amp;$AI105&amp;"|"&amp;$BK105&amp;"|"&amp;$BL105)</f>
        <v/>
      </c>
      <c r="DI105" s="99">
        <f>IF(DH105="","",IF(COUNTIF($DH$6:DH105,DH105)=1,MAX($DI$5:DI104)+1,INDEX($DI$5:DI104,MATCH(DH105,$DH$5:DH104,0))))</f>
        <v/>
      </c>
      <c r="DJ105" s="99">
        <f>IF($A105="","",IF($B105="","qty, ","")&amp;IF($C105="","scope, ","")&amp;IF(OR($K105="",$M105=""),"size, ","")&amp;IF(AND($A105&lt;&gt;"",$C105&lt;&gt;"DOOR ONLY"),IF($U105="","jamb depth, ","")&amp;IF($X105="","construction, ","")&amp;IF($Y105="","anchor, ","")&amp;IF($S105="","frame type, ",""),"")&amp;IF(AND(N($BJ105)&gt;0,$Z105=""),"hand, ","")&amp;IF(N($BJ105)&gt;0,IF($AH105="","door material, ","")&amp;IF($AL105="","face type, ","")&amp;IF($AP105="","lock prep, ","")&amp;IF(AND($AO105="",$AC105=""),"hinge prep, ",""),"")&amp;IF(AND($CH105&gt;0,$AH105="FRP"),"FRP cannot carry a label, ","")&amp;IF(AND($O105="Y",OR($Z105="L",$Z105="R",$Z105="LR",$Z105="RR")),"pair marked but hand is single, ","")&amp;IF(AND($O105&lt;&gt;"Y",OR($Z105="PR",AND(LEN($Z105)&gt;1,ISNUMBER(SEARCH("-",$Z105))))),"pair hand on a single door, ","")&amp;IF(AND(ISNUMBER($CI105),$CH105&lt;N($CI105)),"wall needs a "&amp;$CI105&amp;" min door, ","")&amp;IF(AND($CH105&gt;=180,AND(OR($CE105="FG",$CE105="HG",$CE105="FNV",$CE105="FV"),N($CF105)*N($CG105)&gt;100)),"180 min lite over 100 sq in, ","")&amp;IF(N($BK105)&gt;48,"leaf wider than 4'-0"&amp;CHAR(34)&amp;", ","")&amp;IF(AND($CT105,COUNT($AW105:$AZ105)=0,$CQ105&gt;0),"CUSTOM LOC with no locations typed, ",""))</f>
        <v/>
      </c>
      <c r="DK105" s="99">
        <f>IF($A105="","",IF(AND($CH105&gt;0,AND($A105&lt;&gt;"",$C105&lt;&gt;"DOOR ONLY"),$X105="KD",$E105="EXTERIOR"),"KD label on an exterior opening, ","")&amp;IF(AND($E105="EXTERIOR",OR(AND(AND($A105&lt;&gt;"",$C105&lt;&gt;"DOOR ONLY"),$W105="CR"),AND(N($BJ105)&gt;0,$AH105="CR"))),"exterior in CR steel (G9?), ","")&amp;IF(AND(ISNUMBER($BQ105),N($BQ105)&lt;32),"clear width ~"&amp;TEXT($BQ105,"0.0")&amp;CHAR(34)&amp;" under 32"&amp;CHAR(34)&amp;" (ADA), ","")&amp;IF(AND($CH105=90,AND(OR($CE105="FG",$CE105="HG",$CE105="FNV",$CE105="FV"),N($CF105)*N($CG105)&gt;100)),"90 min lite over 100 sq in (stair/exit), ","")&amp;IF(AND($CH105&gt;0,AND($A105&lt;&gt;"",$C105&lt;&gt;"DOOR ONLY"),OR($AF105="",$AF105="-")),"rated: closer reinf.?, ","")&amp;IF(OR($I105="CORRIDOR",$I105="SMOKE BARRIER"),"S label + smoke gasketing, ","")&amp;IF($CI105="?","wall type/hr not in IBC table, ","")&amp;IF(AND(N($BJ105)&gt;0,$BB105=""),"no hardware set, ","")&amp;IF(AND($BB105&lt;&gt;"",ISNA(MATCH($BB105&amp;"",HWSets,0))),"set "&amp;$BB105&amp;" not on HW Sets, ","")&amp;IF(N($BL105)&gt;96,"leaf over 8'-0"&amp;CHAR(34)&amp;" - check listing, ","")&amp;IF(AND($CT105,COUNT($AW105:$AZ105)&gt;0,COUNT($AW105:$AZ105)&lt;&gt;$CQ105),COUNT($AW105:$AZ105)&amp;" custom hinges typed, "&amp;$CQ105&amp;" expected, ","")&amp;IF(AND(ISNUMBER($CA105),OR(N($CA105)&lt;34,N($CA105)&gt;48)),"lock "&amp;TEXT($CA105,"0.0")&amp;CHAR(34)&amp;" AFF outside 34-48"&amp;CHAR(34)&amp;" (ADA), ","")&amp;IF(AND(ISNUMBER($AV105),ISNUMBER($BL105),N($AV105)&lt;IF(N($BL105)&lt;=60,2,IF(N($BL105)&lt;=90,3,IF(N($BL105)&lt;=120,4,5)))),"fewer hinges than standard, ",""))</f>
        <v/>
      </c>
    </row>
    <row r="106" ht="15" customHeight="1">
      <c r="A106" s="77" t="n"/>
      <c r="B106" s="78" t="n"/>
      <c r="C106" s="78" t="n"/>
      <c r="D106" s="78" t="n"/>
      <c r="E106" s="78" t="n"/>
      <c r="F106" s="78" t="n"/>
      <c r="G106" s="78" t="n"/>
      <c r="H106" s="78" t="n"/>
      <c r="I106" s="78" t="n"/>
      <c r="J106" s="78" t="n"/>
      <c r="K106" s="78" t="n"/>
      <c r="L106" s="78" t="n"/>
      <c r="M106" s="78" t="n"/>
      <c r="N106" s="78" t="n"/>
      <c r="O106" s="78" t="n"/>
      <c r="P106" s="78" t="n"/>
      <c r="Q106" s="78" t="n"/>
      <c r="R106" s="78" t="n"/>
      <c r="S106" s="79" t="n"/>
      <c r="T106" s="79" t="n"/>
      <c r="U106" s="79" t="n"/>
      <c r="V106" s="79" t="n"/>
      <c r="W106" s="79" t="n"/>
      <c r="X106" s="79" t="n"/>
      <c r="Y106" s="79" t="n"/>
      <c r="Z106" s="79" t="n"/>
      <c r="AA106" s="79" t="n"/>
      <c r="AB106" s="79" t="n"/>
      <c r="AC106" s="79" t="n"/>
      <c r="AD106" s="79" t="n"/>
      <c r="AE106" s="79" t="n"/>
      <c r="AF106" s="79" t="n"/>
      <c r="AG106" s="79" t="n"/>
      <c r="AH106" s="80" t="n"/>
      <c r="AI106" s="80" t="n"/>
      <c r="AJ106" s="80" t="n"/>
      <c r="AK106" s="80" t="n"/>
      <c r="AL106" s="80" t="n"/>
      <c r="AM106" s="80" t="n"/>
      <c r="AN106" s="80" t="n"/>
      <c r="AO106" s="80" t="n"/>
      <c r="AP106" s="80" t="n"/>
      <c r="AQ106" s="80" t="n"/>
      <c r="AR106" s="80" t="n"/>
      <c r="AS106" s="80" t="n"/>
      <c r="AT106" s="81" t="n"/>
      <c r="AU106" s="81" t="n"/>
      <c r="AV106" s="81" t="n"/>
      <c r="AW106" s="82" t="n"/>
      <c r="AX106" s="82" t="n"/>
      <c r="AY106" s="82" t="n"/>
      <c r="AZ106" s="82" t="n"/>
      <c r="BA106" s="82" t="n"/>
      <c r="BB106" s="83" t="n"/>
      <c r="BC106" s="83" t="n"/>
      <c r="BD106" s="84">
        <f>IF($A106="","",IF($DJ106&lt;&gt;"","FIX",IF($DK106&lt;&gt;"","CHECK","OK")))</f>
        <v/>
      </c>
      <c r="BE106" s="85">
        <f>IF($A106="","",IF($DJ106&lt;&gt;"","FIX: "&amp;LEFT($DJ106,LEN($DJ106)-2)&amp;IF($DK106&lt;&gt;"","  ·  ",""),"")&amp;IF($DK106&lt;&gt;"","CHECK: "&amp;LEFT($DK106,LEN($DK106)-2),""))</f>
        <v/>
      </c>
      <c r="BF106" s="84">
        <f>IF(OR($A106="",$K106=""),"",$K106&amp;"'-"&amp;N($L106)&amp;CHAR(34)&amp;" x "&amp;$M106&amp;"'-"&amp;N($N106)&amp;CHAR(34))</f>
        <v/>
      </c>
      <c r="BG106" s="84">
        <f>IF(OR($A106="",$K106=""),"",$K106&amp;N($L106)&amp;$M106&amp;N($N106))</f>
        <v/>
      </c>
      <c r="BH106" s="84">
        <f>IF(OR($A106="",$K106=""),"",$K106*12+N($L106))</f>
        <v/>
      </c>
      <c r="BI106" s="84">
        <f>IF(OR($A106="",$M106=""),"",$M106*12+N($N106))</f>
        <v/>
      </c>
      <c r="BJ106" s="84">
        <f>IF($A106="","",IF(OR($C106="FRAME ONLY",$S106="BL"),0,IF($O106="Y",2,1)))</f>
        <v/>
      </c>
      <c r="BK106" s="86">
        <f>IF(OR(N($BJ106)=0,$BH106=""),"",($BH106-2*EdgeClr-IF($BJ106=2,MeetClr,0))/$BJ106)</f>
        <v/>
      </c>
      <c r="BL106" s="86">
        <f>IF(OR(N($BJ106)=0,$BI106=""),"",$BI106-HeadClr-Undercut)</f>
        <v/>
      </c>
      <c r="BM106" s="86">
        <f>IF($BH106="","",$BH106+2*FaceW+IF(N($Q106)&gt;0,($Q106+FaceW)*IF($R106="LR",2,1),0))</f>
        <v/>
      </c>
      <c r="BN106" s="86">
        <f>IF($BI106="","",$BI106+IF($AB106="Y",4,FaceW)+IF(N($P106)&gt;0,$P106+FaceW,0)+IF(OR($S106="4F",$S106="BL"),FaceW,0))</f>
        <v/>
      </c>
      <c r="BO106" s="86">
        <f>IF($BM106="","",$BM106+2*ROSide)</f>
        <v/>
      </c>
      <c r="BP106" s="86">
        <f>IF($BN106="","",$BN106+ROTop)</f>
        <v/>
      </c>
      <c r="BQ106" s="87">
        <f>IF(OR(N($BJ106)=0,$BH106=""),"",$BH106/$BJ106-ClearDeduct)</f>
        <v/>
      </c>
      <c r="BR106" s="84">
        <f>IF(N($CH106)=0,"",IF($CH106&gt;=180,"A · 3 HR",IF($CH106&gt;=90,"B · 1-1/2 HR",IF($CH106&gt;=60,"B · 1 HR",IF($CH106&gt;=45,"C · 3/4 HR","20 MIN")))))&amp;IF(AND(N($CH106)&gt;0,OR($I106="CORRIDOR",$I106="SMOKE BARRIER"))," · S","")</f>
        <v/>
      </c>
      <c r="BS106" s="84">
        <f>IF($CS106,"",IF($AV106&lt;&gt;"",$AV106,IF(OR($AC106="HGC",$AO106="HGC"),"CONT",IF(($BI106-HeadClr-Undercut)&lt;=60,2,IF(($BI106-HeadClr-Undercut)&lt;=90,3,IF(($BI106-HeadClr-Undercut)&lt;=120,4,5))))))</f>
        <v/>
      </c>
      <c r="BT106" s="84">
        <f>IF($CS106,"",IF($CT106,"CUSTOM (typed)",IF($CV106,$AT106&amp;" "&amp;$CU106&amp;CHAR(34)&amp;IF($CU106&lt;&gt;$BI106,IF(AND($BI106&lt;$CU106,$BI106-IF(N(VLOOKUP($AT106&amp;"|"&amp;$CU106,LocTable,7,FALSE))&gt;0,VLOOKUP($AT106&amp;"|"&amp;$CU106,LocTable,7,FALSE),VLOOKUP($AT106&amp;"|"&amp;$CU106,LocTable,6,FALSE))-$CR106-0.75&gt;=2.125)," cut down"," adj."),""),"ANSI/SDI A250.6")))</f>
        <v/>
      </c>
      <c r="BU106" s="88">
        <f>IF($CS106,"",IF($CT106,IF(N($AW106)&gt;0,N($AW106),""),IF(1&gt;$CQ106,"",IF($CQ106=1,$CW106,$CW106+($CX106-$CW106)*0/($CQ106-1)))))</f>
        <v/>
      </c>
      <c r="BV106" s="88">
        <f>IF($CS106,"",IF($CT106,IF(N($AX106)&gt;0,N($AX106),""),IF(2&gt;$CQ106,"",IF($CQ106=1,$CW106,$CW106+($CX106-$CW106)*1/($CQ106-1)))))</f>
        <v/>
      </c>
      <c r="BW106" s="88">
        <f>IF($CS106,"",IF($CT106,IF(N($AY106)&gt;0,N($AY106),""),IF(3&gt;$CQ106,"",IF($CQ106=1,$CW106,$CW106+($CX106-$CW106)*2/($CQ106-1)))))</f>
        <v/>
      </c>
      <c r="BX106" s="88">
        <f>IF($CS106,"",IF($CT106,IF(N($AZ106)&gt;0,N($AZ106),""),IF(4&gt;$CQ106,"",IF($CQ106=1,$CW106,$CW106+($CX106-$CW106)*3/($CQ106-1)))))</f>
        <v/>
      </c>
      <c r="BY106" s="88">
        <f>IF($CS106,"",IF($CT106,"",IF(5&gt;$CQ106,"",IF($CQ106=1,$CW106,$CW106+($CX106-$CW106)*4/($CQ106-1)))))</f>
        <v/>
      </c>
      <c r="BZ106" s="88">
        <f>IF(OR($CS106,$AP106="-",AND($AP106="",$AD106="")),"",IF(N($BA106)&gt;0,N($BA106),IF($CV106,IF(AND($BI106&lt;$CU106,$BI106-IF(N(VLOOKUP($AT106&amp;"|"&amp;$CU106,LocTable,7,FALSE))&gt;0,VLOOKUP($AT106&amp;"|"&amp;$CU106,LocTable,7,FALSE),VLOOKUP($AT106&amp;"|"&amp;$CU106,LocTable,6,FALSE))-$CR106-0.75&gt;=2.125),VLOOKUP($AT106&amp;"|"&amp;$CU106,LocTable,8,FALSE),VLOOKUP($AT106&amp;"|"&amp;$CU106,LocTable,8,FALSE)+($BI106-$CU106)),$BI106-LockAFF)))</f>
        <v/>
      </c>
      <c r="CA106" s="89">
        <f>IF($BZ106="","",$BI106-$BZ106)</f>
        <v/>
      </c>
      <c r="CB106" s="84">
        <f>IF(OR(NOT(AND($A106&lt;&gt;"",$C106&lt;&gt;"DOOR ONLY")),$BI106=""),"",IF(($BI106+IF(N($P106)&gt;0,$P106+FaceW,0))&lt;=90,3,IF(($BI106+IF(N($P106)&gt;0,$P106+FaceW,0))&lt;=114,4,5)))</f>
        <v/>
      </c>
      <c r="CC106" s="84">
        <f>IF($CB106="","",$CB106*(2+IF(N($Q106)&gt;0,IF($R106="LR",2,1),0)))</f>
        <v/>
      </c>
      <c r="CD106" s="84">
        <f>IF($CB106="","",(2+IF(N($Q106)&gt;0,IF($R106="LR",2,1),0)))</f>
        <v/>
      </c>
      <c r="CE106" s="84">
        <f>IF(N($BJ106)=0,"",IF(OR($AL106="",$AL106="FLUSH"),"FLUSH",IFERROR(LEFT($AL106,FIND("-",$AL106)-1),LEFT($AL106,2))))</f>
        <v/>
      </c>
      <c r="CF106" s="84">
        <f>IF($CE106="","",IFERROR(VALUE(MID($AL106,FIND("-",$AL106)+1,FIND(CHAR(34)&amp;"x",$AL106)-FIND("-",$AL106)-1)),0))</f>
        <v/>
      </c>
      <c r="CG106" s="84">
        <f>IF($CE106="","",IFERROR(VALUE(MID($AL106,FIND(CHAR(34)&amp;"x",$AL106)+2,FIND(CHAR(34),$AL106,FIND(CHAR(34)&amp;"x",$AL106)+2)-FIND(CHAR(34)&amp;"x",$AL106)-2)),0))</f>
        <v/>
      </c>
      <c r="CH106" s="90">
        <f>IF(OR($A106="",$H106="",$H106="NO LAB"),0,IFERROR(VALUE(LEFT($H106,FIND(" ",$H106)-1)),0))</f>
        <v/>
      </c>
      <c r="CI106" s="91">
        <f>IF(OR($A106="",$I106="",$I106="NON-RATED",N($J106)=0),"",IFERROR(VLOOKUP($I106&amp;"|"&amp;$J106,IBC,2,FALSE),"?"))</f>
        <v/>
      </c>
      <c r="CJ106" s="85">
        <f>IF(NOT(AND($A106&lt;&gt;"",$C106&lt;&gt;"DOOR ONLY")),"",TRIM(IFERROR(VLOOKUP($U106,CODES,2,FALSE),"")&amp;" "&amp;$BG106&amp;" "&amp;IFERROR(VLOOKUP($Z106,CODES,2,FALSE),"")&amp;" "&amp;IFERROR(VLOOKUP($X106,CODES,2,FALSE),"")&amp;" "&amp;IFERROR(VLOOKUP($S106,CODES,2,FALSE),"")&amp;IF(N($P106)&gt;0," w/TRANSOM "&amp;$P106&amp;CHAR(34),"")&amp;IF(N($Q106)&gt;0," w/SIDELITE "&amp;$Q106&amp;CHAR(34)&amp;" "&amp;IF($R106="","R",$R106),"")&amp;IF($Y106="","  |  "," | "&amp;IFERROR(VLOOKUP($Y106,CODES,2,FALSE),"")&amp;" | ")&amp;IFERROR(VLOOKUP($AC106,CODES,2,FALSE),"")&amp;" "&amp;IFERROR(VLOOKUP($AD106,CODES,2,FALSE),"")&amp;IF(OR($AE106="",$AE106="-"),""," "&amp;$AE106)&amp;IF(OR($AF106="",$AF106="-"),""," "&amp;$AF106)&amp;IF($AB106="Y"," 4"&amp;CHAR(34)&amp;" HEAD","")&amp;" "&amp;IFERROR(VLOOKUP($H106,CODES,2,FALSE),"")&amp;IF($CT106," | LOC "&amp;$CY106,"")))</f>
        <v/>
      </c>
      <c r="CK106" s="85">
        <f>IF(NOT(AND($A106&lt;&gt;"",N($BJ106)&gt;0)),"",TRIM(IFERROR(VLOOKUP($AH106,CODES,2,FALSE),"")&amp;IF($AI106=""," "," "&amp;$AI106&amp;"GA ")&amp;$BG106&amp;" "&amp;IF($AN106="",IFERROR(VLOOKUP($Z106,CODES,2,FALSE),""),IFERROR(VLOOKUP($AN106,CODES,2,FALSE),""))&amp;IF($BJ106=2," PAIR","")&amp;" DOOR | "&amp;IF($AL106="","?",$AL106)&amp;" | "&amp;IF($AO106="",IFERROR(VLOOKUP($AC106,CODES,2,FALSE),""),IFERROR(VLOOKUP($AO106,CODES,2,FALSE),""))&amp;" "&amp;IFERROR(VLOOKUP($AP106,CODES,2,FALSE),"")&amp;IF(OR($AQ106="",$AQ106="-"),""," SEAM "&amp;$AQ106)&amp;IF($AR106="Y"," ASTRAGAL","")&amp;IF($AJ106=""," "," "&amp;$AJ106)&amp;IF($AK106=""," "," "&amp;$AK106)&amp;IF(OR($AT106="",$AT106="ANSI/SDI",$AT106="CUSTOM LOC"),""," "&amp;$AT106)&amp;IF($AM106=""," "," SERIES "&amp;$AM106)&amp;" "&amp;IFERROR(VLOOKUP($H106,CODES,2,FALSE),"")&amp;IF($CT106," | LOC "&amp;$CZ106,"")))</f>
        <v/>
      </c>
      <c r="CL106" s="84">
        <f>IF(CP106="","",IF(COUNTIF($CP$6:CP106,CP106)=1,MAX($CL$5:CL105)+1,INDEX($CL$5:CL105,MATCH(CP106,$CP$5:CP105,0))))</f>
        <v/>
      </c>
      <c r="CM106" s="84">
        <f>IF(NOT(AND($A106&lt;&gt;"",$C106&lt;&gt;"DOOR ONLY")),"",MAX($CM$5:CM105)+1)</f>
        <v/>
      </c>
      <c r="CN106" s="84">
        <f>IF(NOT(AND($A106&lt;&gt;"",N($BJ106)&gt;0)),"",MAX($CN$5:CN105)+1)</f>
        <v/>
      </c>
      <c r="CO106" s="84">
        <f>IF($A106="","",MAX($CO$5:CO105)+1)</f>
        <v/>
      </c>
      <c r="CP106" s="84">
        <f>IF(OR($A106="",$BH106="",$BI106=""),"",$BG106&amp;"|"&amp;$O106&amp;"|"&amp;$AL106&amp;"|"&amp;$S106&amp;"|"&amp;$P106&amp;"|"&amp;$Q106&amp;$R106&amp;"|"&amp;$C106&amp;"|"&amp;$AB106)</f>
        <v/>
      </c>
      <c r="CQ106" s="84">
        <f>N($BS106)</f>
        <v/>
      </c>
      <c r="CR106" s="84">
        <f>IF(N($AU106)&gt;0,N($AU106),4.5)</f>
        <v/>
      </c>
      <c r="CS106" s="84">
        <f>OR($A106="",$BI106="",$S106="BL",AND($C106="FRAME ONLY",OR($AC106="",$AC106="BLK")))</f>
        <v/>
      </c>
      <c r="CT106" s="84">
        <f>AND(NOT($CS106),OR($AT106="CUSTOM LOC",N($AW106)+N($AX106)+N($AY106)+N($AZ106)+N($BA106)&gt;0))</f>
        <v/>
      </c>
      <c r="CU106" s="84">
        <f>IF($BI106="","",IF($BI106&lt;=80,80,IF($BI106&lt;=84,84,96)))</f>
        <v/>
      </c>
      <c r="CV106" s="84">
        <f>ISNUMBER(MATCH($AT106&amp;"|80",LocKeys,0))</f>
        <v/>
      </c>
      <c r="CW106" s="86">
        <f>IF($CS106,"",IF($CV106,VLOOKUP($AT106&amp;"|"&amp;$CU106,LocTable,4,FALSE),5))</f>
        <v/>
      </c>
      <c r="CX106" s="86">
        <f>IF($CS106,"",IF($CV106,IF(OR($BI106=$CU106,AND($BI106&lt;$CU106,$BI106-IF(N(VLOOKUP($AT106&amp;"|"&amp;$CU106,LocTable,7,FALSE))&gt;0,VLOOKUP($AT106&amp;"|"&amp;$CU106,LocTable,7,FALSE),VLOOKUP($AT106&amp;"|"&amp;$CU106,LocTable,6,FALSE))-$CR106-0.75&gt;=2.125)),IF(N(VLOOKUP($AT106&amp;"|"&amp;$CU106,LocTable,7,FALSE))&gt;0,VLOOKUP($AT106&amp;"|"&amp;$CU106,LocTable,7,FALSE),VLOOKUP($AT106&amp;"|"&amp;$CU106,LocTable,6,FALSE)),$BI106-($CU106-IF(N(VLOOKUP($AT106&amp;"|"&amp;$CU106,LocTable,7,FALSE))&gt;0,VLOOKUP($AT106&amp;"|"&amp;$CU106,LocTable,7,FALSE),VLOOKUP($AT106&amp;"|"&amp;$CU106,LocTable,6,FALSE)))),$BI106-10-$CR106))</f>
        <v/>
      </c>
      <c r="CY106" s="85">
        <f>IF($CS106,"",TRIM(IF(ISNUMBER($BU106),"A "&amp;TRIM(TEXT($BU106,"# ?/??"))&amp;CHAR(34)&amp;"  ","")&amp;IF(ISNUMBER($BV106),"B "&amp;TRIM(TEXT($BV106,"# ?/??"))&amp;CHAR(34)&amp;"  ","")&amp;IF(ISNUMBER($BW106),"C "&amp;TRIM(TEXT($BW106,"# ?/??"))&amp;CHAR(34)&amp;"  ","")&amp;IF(ISNUMBER($BX106),"D "&amp;TRIM(TEXT($BX106,"# ?/??"))&amp;CHAR(34)&amp;"  ","")&amp;IF(ISNUMBER($BY106),"F "&amp;TRIM(TEXT($BY106,"# ?/??"))&amp;CHAR(34)&amp;"  ","")&amp;IF(ISNUMBER($BZ106),"E "&amp;TRIM(TEXT($BZ106,"# ?/??"))&amp;CHAR(34)&amp;"  ","")))</f>
        <v/>
      </c>
      <c r="CZ106" s="85">
        <f>IF(OR($CS106,N($BJ106)=0),"",TRIM(IF(ISNUMBER($BU106),"A "&amp;TRIM(TEXT($BU106-HeadClr,"# ?/??"))&amp;CHAR(34)&amp;"  ","")&amp;IF(ISNUMBER($BV106),"B "&amp;TRIM(TEXT($BV106-HeadClr,"# ?/??"))&amp;CHAR(34)&amp;"  ","")&amp;IF(ISNUMBER($BW106),"C "&amp;TRIM(TEXT($BW106-HeadClr,"# ?/??"))&amp;CHAR(34)&amp;"  ","")&amp;IF(ISNUMBER($BX106),"D "&amp;TRIM(TEXT($BX106-HeadClr,"# ?/??"))&amp;CHAR(34)&amp;"  ","")&amp;IF(ISNUMBER($BY106),"F "&amp;TRIM(TEXT($BY106-HeadClr,"# ?/??"))&amp;CHAR(34)&amp;"  ","")&amp;IF(ISNUMBER($BZ106),"E "&amp;TRIM(TEXT($BZ106-HeadClr,"# ?/??"))&amp;CHAR(34)&amp;"  ","")))</f>
        <v/>
      </c>
      <c r="DA106" s="84">
        <f>IF($A106="","",IF($AN106="",IFERROR(VLOOKUP($Z106,CODES,2,FALSE),""),IFERROR(VLOOKUP($AN106,CODES,2,FALSE),"")))</f>
        <v/>
      </c>
      <c r="DB106" s="84">
        <f>IF($A106="","",IF($O106="Y","PR",IF(OR($Z106="L",$Z106="RR",LEFT($Z106,2)="L-",LEFT($Z106,3)="RR-"),"LH","RH")))</f>
        <v/>
      </c>
      <c r="DC106" s="84">
        <f>IF($A106="","","S.HM"&amp;IF(OR($C106="DOOR ONLY",$X106&lt;&gt;"KD"),"MASONRY","DRYWALL")&amp;IF($C106="DOOR ONLY","",$U106)&amp;IF(AND($C106&lt;&gt;"FRAME ONLY",OR(LEFT($AH106,3)="OAK",LEFT($AH106,3)="BIR",LEFT($AH106,3)="MAP",$AH106="PC",$AH106="MC",$AH106="SCLC",$AH106="P-LAM")),"WD","HM")&amp;"1.75")</f>
        <v/>
      </c>
      <c r="DD106" s="84">
        <f>IF($CJ106="","",IF($O106="Y",$CJ106,SUBSTITUTE($CJ106,$BG106&amp;" "&amp;IFERROR(VLOOKUP($Z106,CODES,2,FALSE),"")&amp;" ",$BG106&amp;" ")))</f>
        <v/>
      </c>
      <c r="DE106" s="84">
        <f>IF($CK106="","",IF($O106="Y",$CK106,SUBSTITUTE($CK106,$BG106&amp;" "&amp;IF($AN106="",IFERROR(VLOOKUP($Z106,CODES,2,FALSE),""),IFERROR(VLOOKUP($AN106,CODES,2,FALSE),""))&amp;" ",$BG106&amp;" ")))</f>
        <v/>
      </c>
      <c r="DF106" s="84">
        <f>IF($CJ106="","",$DC106&amp;"|"&amp;$DD106&amp;"|"&amp;$DB106&amp;"|"&amp;$AT106&amp;"|"&amp;$V106&amp;"|"&amp;$Y106&amp;"|"&amp;$AB106)</f>
        <v/>
      </c>
      <c r="DG106" s="84">
        <f>IF(DF106="","",IF(COUNTIF($DF$6:DF106,DF106)=1,MAX($DG$5:DG105)+1,INDEX($DG$5:DG105,MATCH(DF106,$DF$5:DF105,0))))</f>
        <v/>
      </c>
      <c r="DH106" s="84">
        <f>IF($CK106="","",$DC106&amp;"|"&amp;$DE106&amp;"|"&amp;$AI106&amp;"|"&amp;$BK106&amp;"|"&amp;$BL106)</f>
        <v/>
      </c>
      <c r="DI106" s="84">
        <f>IF(DH106="","",IF(COUNTIF($DH$6:DH106,DH106)=1,MAX($DI$5:DI105)+1,INDEX($DI$5:DI105,MATCH(DH106,$DH$5:DH105,0))))</f>
        <v/>
      </c>
      <c r="DJ106" s="84">
        <f>IF($A106="","",IF($B106="","qty, ","")&amp;IF($C106="","scope, ","")&amp;IF(OR($K106="",$M106=""),"size, ","")&amp;IF(AND($A106&lt;&gt;"",$C106&lt;&gt;"DOOR ONLY"),IF($U106="","jamb depth, ","")&amp;IF($X106="","construction, ","")&amp;IF($Y106="","anchor, ","")&amp;IF($S106="","frame type, ",""),"")&amp;IF(AND(N($BJ106)&gt;0,$Z106=""),"hand, ","")&amp;IF(N($BJ106)&gt;0,IF($AH106="","door material, ","")&amp;IF($AL106="","face type, ","")&amp;IF($AP106="","lock prep, ","")&amp;IF(AND($AO106="",$AC106=""),"hinge prep, ",""),"")&amp;IF(AND($CH106&gt;0,$AH106="FRP"),"FRP cannot carry a label, ","")&amp;IF(AND($O106="Y",OR($Z106="L",$Z106="R",$Z106="LR",$Z106="RR")),"pair marked but hand is single, ","")&amp;IF(AND($O106&lt;&gt;"Y",OR($Z106="PR",AND(LEN($Z106)&gt;1,ISNUMBER(SEARCH("-",$Z106))))),"pair hand on a single door, ","")&amp;IF(AND(ISNUMBER($CI106),$CH106&lt;N($CI106)),"wall needs a "&amp;$CI106&amp;" min door, ","")&amp;IF(AND($CH106&gt;=180,AND(OR($CE106="FG",$CE106="HG",$CE106="FNV",$CE106="FV"),N($CF106)*N($CG106)&gt;100)),"180 min lite over 100 sq in, ","")&amp;IF(N($BK106)&gt;48,"leaf wider than 4'-0"&amp;CHAR(34)&amp;", ","")&amp;IF(AND($CT106,COUNT($AW106:$AZ106)=0,$CQ106&gt;0),"CUSTOM LOC with no locations typed, ",""))</f>
        <v/>
      </c>
      <c r="DK106" s="84">
        <f>IF($A106="","",IF(AND($CH106&gt;0,AND($A106&lt;&gt;"",$C106&lt;&gt;"DOOR ONLY"),$X106="KD",$E106="EXTERIOR"),"KD label on an exterior opening, ","")&amp;IF(AND($E106="EXTERIOR",OR(AND(AND($A106&lt;&gt;"",$C106&lt;&gt;"DOOR ONLY"),$W106="CR"),AND(N($BJ106)&gt;0,$AH106="CR"))),"exterior in CR steel (G9?), ","")&amp;IF(AND(ISNUMBER($BQ106),N($BQ106)&lt;32),"clear width ~"&amp;TEXT($BQ106,"0.0")&amp;CHAR(34)&amp;" under 32"&amp;CHAR(34)&amp;" (ADA), ","")&amp;IF(AND($CH106=90,AND(OR($CE106="FG",$CE106="HG",$CE106="FNV",$CE106="FV"),N($CF106)*N($CG106)&gt;100)),"90 min lite over 100 sq in (stair/exit), ","")&amp;IF(AND($CH106&gt;0,AND($A106&lt;&gt;"",$C106&lt;&gt;"DOOR ONLY"),OR($AF106="",$AF106="-")),"rated: closer reinf.?, ","")&amp;IF(OR($I106="CORRIDOR",$I106="SMOKE BARRIER"),"S label + smoke gasketing, ","")&amp;IF($CI106="?","wall type/hr not in IBC table, ","")&amp;IF(AND(N($BJ106)&gt;0,$BB106=""),"no hardware set, ","")&amp;IF(AND($BB106&lt;&gt;"",ISNA(MATCH($BB106&amp;"",HWSets,0))),"set "&amp;$BB106&amp;" not on HW Sets, ","")&amp;IF(N($BL106)&gt;96,"leaf over 8'-0"&amp;CHAR(34)&amp;" - check listing, ","")&amp;IF(AND($CT106,COUNT($AW106:$AZ106)&gt;0,COUNT($AW106:$AZ106)&lt;&gt;$CQ106),COUNT($AW106:$AZ106)&amp;" custom hinges typed, "&amp;$CQ106&amp;" expected, ","")&amp;IF(AND(ISNUMBER($CA106),OR(N($CA106)&lt;34,N($CA106)&gt;48)),"lock "&amp;TEXT($CA106,"0.0")&amp;CHAR(34)&amp;" AFF outside 34-48"&amp;CHAR(34)&amp;" (ADA), ","")&amp;IF(AND(ISNUMBER($AV106),ISNUMBER($BL106),N($AV106)&lt;IF(N($BL106)&lt;=60,2,IF(N($BL106)&lt;=90,3,IF(N($BL106)&lt;=120,4,5)))),"fewer hinges than standard, ",""))</f>
        <v/>
      </c>
    </row>
    <row r="107" ht="15" customHeight="1">
      <c r="A107" s="77" t="n"/>
      <c r="B107" s="78" t="n"/>
      <c r="C107" s="78" t="n"/>
      <c r="D107" s="78" t="n"/>
      <c r="E107" s="78" t="n"/>
      <c r="F107" s="78" t="n"/>
      <c r="G107" s="78" t="n"/>
      <c r="H107" s="78" t="n"/>
      <c r="I107" s="78" t="n"/>
      <c r="J107" s="78" t="n"/>
      <c r="K107" s="78" t="n"/>
      <c r="L107" s="78" t="n"/>
      <c r="M107" s="78" t="n"/>
      <c r="N107" s="78" t="n"/>
      <c r="O107" s="78" t="n"/>
      <c r="P107" s="78" t="n"/>
      <c r="Q107" s="78" t="n"/>
      <c r="R107" s="78" t="n"/>
      <c r="S107" s="79" t="n"/>
      <c r="T107" s="79" t="n"/>
      <c r="U107" s="79" t="n"/>
      <c r="V107" s="79" t="n"/>
      <c r="W107" s="79" t="n"/>
      <c r="X107" s="79" t="n"/>
      <c r="Y107" s="79" t="n"/>
      <c r="Z107" s="79" t="n"/>
      <c r="AA107" s="79" t="n"/>
      <c r="AB107" s="79" t="n"/>
      <c r="AC107" s="79" t="n"/>
      <c r="AD107" s="79" t="n"/>
      <c r="AE107" s="79" t="n"/>
      <c r="AF107" s="79" t="n"/>
      <c r="AG107" s="79" t="n"/>
      <c r="AH107" s="80" t="n"/>
      <c r="AI107" s="80" t="n"/>
      <c r="AJ107" s="80" t="n"/>
      <c r="AK107" s="80" t="n"/>
      <c r="AL107" s="80" t="n"/>
      <c r="AM107" s="80" t="n"/>
      <c r="AN107" s="80" t="n"/>
      <c r="AO107" s="80" t="n"/>
      <c r="AP107" s="80" t="n"/>
      <c r="AQ107" s="80" t="n"/>
      <c r="AR107" s="80" t="n"/>
      <c r="AS107" s="80" t="n"/>
      <c r="AT107" s="81" t="n"/>
      <c r="AU107" s="81" t="n"/>
      <c r="AV107" s="81" t="n"/>
      <c r="AW107" s="82" t="n"/>
      <c r="AX107" s="82" t="n"/>
      <c r="AY107" s="82" t="n"/>
      <c r="AZ107" s="82" t="n"/>
      <c r="BA107" s="82" t="n"/>
      <c r="BB107" s="83" t="n"/>
      <c r="BC107" s="83" t="n"/>
      <c r="BD107" s="84">
        <f>IF($A107="","",IF($DJ107&lt;&gt;"","FIX",IF($DK107&lt;&gt;"","CHECK","OK")))</f>
        <v/>
      </c>
      <c r="BE107" s="85">
        <f>IF($A107="","",IF($DJ107&lt;&gt;"","FIX: "&amp;LEFT($DJ107,LEN($DJ107)-2)&amp;IF($DK107&lt;&gt;"","  ·  ",""),"")&amp;IF($DK107&lt;&gt;"","CHECK: "&amp;LEFT($DK107,LEN($DK107)-2),""))</f>
        <v/>
      </c>
      <c r="BF107" s="84">
        <f>IF(OR($A107="",$K107=""),"",$K107&amp;"'-"&amp;N($L107)&amp;CHAR(34)&amp;" x "&amp;$M107&amp;"'-"&amp;N($N107)&amp;CHAR(34))</f>
        <v/>
      </c>
      <c r="BG107" s="84">
        <f>IF(OR($A107="",$K107=""),"",$K107&amp;N($L107)&amp;$M107&amp;N($N107))</f>
        <v/>
      </c>
      <c r="BH107" s="84">
        <f>IF(OR($A107="",$K107=""),"",$K107*12+N($L107))</f>
        <v/>
      </c>
      <c r="BI107" s="84">
        <f>IF(OR($A107="",$M107=""),"",$M107*12+N($N107))</f>
        <v/>
      </c>
      <c r="BJ107" s="84">
        <f>IF($A107="","",IF(OR($C107="FRAME ONLY",$S107="BL"),0,IF($O107="Y",2,1)))</f>
        <v/>
      </c>
      <c r="BK107" s="86">
        <f>IF(OR(N($BJ107)=0,$BH107=""),"",($BH107-2*EdgeClr-IF($BJ107=2,MeetClr,0))/$BJ107)</f>
        <v/>
      </c>
      <c r="BL107" s="86">
        <f>IF(OR(N($BJ107)=0,$BI107=""),"",$BI107-HeadClr-Undercut)</f>
        <v/>
      </c>
      <c r="BM107" s="86">
        <f>IF($BH107="","",$BH107+2*FaceW+IF(N($Q107)&gt;0,($Q107+FaceW)*IF($R107="LR",2,1),0))</f>
        <v/>
      </c>
      <c r="BN107" s="86">
        <f>IF($BI107="","",$BI107+IF($AB107="Y",4,FaceW)+IF(N($P107)&gt;0,$P107+FaceW,0)+IF(OR($S107="4F",$S107="BL"),FaceW,0))</f>
        <v/>
      </c>
      <c r="BO107" s="86">
        <f>IF($BM107="","",$BM107+2*ROSide)</f>
        <v/>
      </c>
      <c r="BP107" s="86">
        <f>IF($BN107="","",$BN107+ROTop)</f>
        <v/>
      </c>
      <c r="BQ107" s="87">
        <f>IF(OR(N($BJ107)=0,$BH107=""),"",$BH107/$BJ107-ClearDeduct)</f>
        <v/>
      </c>
      <c r="BR107" s="84">
        <f>IF(N($CH107)=0,"",IF($CH107&gt;=180,"A · 3 HR",IF($CH107&gt;=90,"B · 1-1/2 HR",IF($CH107&gt;=60,"B · 1 HR",IF($CH107&gt;=45,"C · 3/4 HR","20 MIN")))))&amp;IF(AND(N($CH107)&gt;0,OR($I107="CORRIDOR",$I107="SMOKE BARRIER"))," · S","")</f>
        <v/>
      </c>
      <c r="BS107" s="84">
        <f>IF($CS107,"",IF($AV107&lt;&gt;"",$AV107,IF(OR($AC107="HGC",$AO107="HGC"),"CONT",IF(($BI107-HeadClr-Undercut)&lt;=60,2,IF(($BI107-HeadClr-Undercut)&lt;=90,3,IF(($BI107-HeadClr-Undercut)&lt;=120,4,5))))))</f>
        <v/>
      </c>
      <c r="BT107" s="84">
        <f>IF($CS107,"",IF($CT107,"CUSTOM (typed)",IF($CV107,$AT107&amp;" "&amp;$CU107&amp;CHAR(34)&amp;IF($CU107&lt;&gt;$BI107,IF(AND($BI107&lt;$CU107,$BI107-IF(N(VLOOKUP($AT107&amp;"|"&amp;$CU107,LocTable,7,FALSE))&gt;0,VLOOKUP($AT107&amp;"|"&amp;$CU107,LocTable,7,FALSE),VLOOKUP($AT107&amp;"|"&amp;$CU107,LocTable,6,FALSE))-$CR107-0.75&gt;=2.125)," cut down"," adj."),""),"ANSI/SDI A250.6")))</f>
        <v/>
      </c>
      <c r="BU107" s="88">
        <f>IF($CS107,"",IF($CT107,IF(N($AW107)&gt;0,N($AW107),""),IF(1&gt;$CQ107,"",IF($CQ107=1,$CW107,$CW107+($CX107-$CW107)*0/($CQ107-1)))))</f>
        <v/>
      </c>
      <c r="BV107" s="88">
        <f>IF($CS107,"",IF($CT107,IF(N($AX107)&gt;0,N($AX107),""),IF(2&gt;$CQ107,"",IF($CQ107=1,$CW107,$CW107+($CX107-$CW107)*1/($CQ107-1)))))</f>
        <v/>
      </c>
      <c r="BW107" s="88">
        <f>IF($CS107,"",IF($CT107,IF(N($AY107)&gt;0,N($AY107),""),IF(3&gt;$CQ107,"",IF($CQ107=1,$CW107,$CW107+($CX107-$CW107)*2/($CQ107-1)))))</f>
        <v/>
      </c>
      <c r="BX107" s="88">
        <f>IF($CS107,"",IF($CT107,IF(N($AZ107)&gt;0,N($AZ107),""),IF(4&gt;$CQ107,"",IF($CQ107=1,$CW107,$CW107+($CX107-$CW107)*3/($CQ107-1)))))</f>
        <v/>
      </c>
      <c r="BY107" s="88">
        <f>IF($CS107,"",IF($CT107,"",IF(5&gt;$CQ107,"",IF($CQ107=1,$CW107,$CW107+($CX107-$CW107)*4/($CQ107-1)))))</f>
        <v/>
      </c>
      <c r="BZ107" s="88">
        <f>IF(OR($CS107,$AP107="-",AND($AP107="",$AD107="")),"",IF(N($BA107)&gt;0,N($BA107),IF($CV107,IF(AND($BI107&lt;$CU107,$BI107-IF(N(VLOOKUP($AT107&amp;"|"&amp;$CU107,LocTable,7,FALSE))&gt;0,VLOOKUP($AT107&amp;"|"&amp;$CU107,LocTable,7,FALSE),VLOOKUP($AT107&amp;"|"&amp;$CU107,LocTable,6,FALSE))-$CR107-0.75&gt;=2.125),VLOOKUP($AT107&amp;"|"&amp;$CU107,LocTable,8,FALSE),VLOOKUP($AT107&amp;"|"&amp;$CU107,LocTable,8,FALSE)+($BI107-$CU107)),$BI107-LockAFF)))</f>
        <v/>
      </c>
      <c r="CA107" s="89">
        <f>IF($BZ107="","",$BI107-$BZ107)</f>
        <v/>
      </c>
      <c r="CB107" s="84">
        <f>IF(OR(NOT(AND($A107&lt;&gt;"",$C107&lt;&gt;"DOOR ONLY")),$BI107=""),"",IF(($BI107+IF(N($P107)&gt;0,$P107+FaceW,0))&lt;=90,3,IF(($BI107+IF(N($P107)&gt;0,$P107+FaceW,0))&lt;=114,4,5)))</f>
        <v/>
      </c>
      <c r="CC107" s="84">
        <f>IF($CB107="","",$CB107*(2+IF(N($Q107)&gt;0,IF($R107="LR",2,1),0)))</f>
        <v/>
      </c>
      <c r="CD107" s="84">
        <f>IF($CB107="","",(2+IF(N($Q107)&gt;0,IF($R107="LR",2,1),0)))</f>
        <v/>
      </c>
      <c r="CE107" s="84">
        <f>IF(N($BJ107)=0,"",IF(OR($AL107="",$AL107="FLUSH"),"FLUSH",IFERROR(LEFT($AL107,FIND("-",$AL107)-1),LEFT($AL107,2))))</f>
        <v/>
      </c>
      <c r="CF107" s="84">
        <f>IF($CE107="","",IFERROR(VALUE(MID($AL107,FIND("-",$AL107)+1,FIND(CHAR(34)&amp;"x",$AL107)-FIND("-",$AL107)-1)),0))</f>
        <v/>
      </c>
      <c r="CG107" s="84">
        <f>IF($CE107="","",IFERROR(VALUE(MID($AL107,FIND(CHAR(34)&amp;"x",$AL107)+2,FIND(CHAR(34),$AL107,FIND(CHAR(34)&amp;"x",$AL107)+2)-FIND(CHAR(34)&amp;"x",$AL107)-2)),0))</f>
        <v/>
      </c>
      <c r="CH107" s="90">
        <f>IF(OR($A107="",$H107="",$H107="NO LAB"),0,IFERROR(VALUE(LEFT($H107,FIND(" ",$H107)-1)),0))</f>
        <v/>
      </c>
      <c r="CI107" s="91">
        <f>IF(OR($A107="",$I107="",$I107="NON-RATED",N($J107)=0),"",IFERROR(VLOOKUP($I107&amp;"|"&amp;$J107,IBC,2,FALSE),"?"))</f>
        <v/>
      </c>
      <c r="CJ107" s="85">
        <f>IF(NOT(AND($A107&lt;&gt;"",$C107&lt;&gt;"DOOR ONLY")),"",TRIM(IFERROR(VLOOKUP($U107,CODES,2,FALSE),"")&amp;" "&amp;$BG107&amp;" "&amp;IFERROR(VLOOKUP($Z107,CODES,2,FALSE),"")&amp;" "&amp;IFERROR(VLOOKUP($X107,CODES,2,FALSE),"")&amp;" "&amp;IFERROR(VLOOKUP($S107,CODES,2,FALSE),"")&amp;IF(N($P107)&gt;0," w/TRANSOM "&amp;$P107&amp;CHAR(34),"")&amp;IF(N($Q107)&gt;0," w/SIDELITE "&amp;$Q107&amp;CHAR(34)&amp;" "&amp;IF($R107="","R",$R107),"")&amp;IF($Y107="","  |  "," | "&amp;IFERROR(VLOOKUP($Y107,CODES,2,FALSE),"")&amp;" | ")&amp;IFERROR(VLOOKUP($AC107,CODES,2,FALSE),"")&amp;" "&amp;IFERROR(VLOOKUP($AD107,CODES,2,FALSE),"")&amp;IF(OR($AE107="",$AE107="-"),""," "&amp;$AE107)&amp;IF(OR($AF107="",$AF107="-"),""," "&amp;$AF107)&amp;IF($AB107="Y"," 4"&amp;CHAR(34)&amp;" HEAD","")&amp;" "&amp;IFERROR(VLOOKUP($H107,CODES,2,FALSE),"")&amp;IF($CT107," | LOC "&amp;$CY107,"")))</f>
        <v/>
      </c>
      <c r="CK107" s="85">
        <f>IF(NOT(AND($A107&lt;&gt;"",N($BJ107)&gt;0)),"",TRIM(IFERROR(VLOOKUP($AH107,CODES,2,FALSE),"")&amp;IF($AI107=""," "," "&amp;$AI107&amp;"GA ")&amp;$BG107&amp;" "&amp;IF($AN107="",IFERROR(VLOOKUP($Z107,CODES,2,FALSE),""),IFERROR(VLOOKUP($AN107,CODES,2,FALSE),""))&amp;IF($BJ107=2," PAIR","")&amp;" DOOR | "&amp;IF($AL107="","?",$AL107)&amp;" | "&amp;IF($AO107="",IFERROR(VLOOKUP($AC107,CODES,2,FALSE),""),IFERROR(VLOOKUP($AO107,CODES,2,FALSE),""))&amp;" "&amp;IFERROR(VLOOKUP($AP107,CODES,2,FALSE),"")&amp;IF(OR($AQ107="",$AQ107="-"),""," SEAM "&amp;$AQ107)&amp;IF($AR107="Y"," ASTRAGAL","")&amp;IF($AJ107=""," "," "&amp;$AJ107)&amp;IF($AK107=""," "," "&amp;$AK107)&amp;IF(OR($AT107="",$AT107="ANSI/SDI",$AT107="CUSTOM LOC"),""," "&amp;$AT107)&amp;IF($AM107=""," "," SERIES "&amp;$AM107)&amp;" "&amp;IFERROR(VLOOKUP($H107,CODES,2,FALSE),"")&amp;IF($CT107," | LOC "&amp;$CZ107,"")))</f>
        <v/>
      </c>
      <c r="CL107" s="84">
        <f>IF(CP107="","",IF(COUNTIF($CP$6:CP107,CP107)=1,MAX($CL$5:CL106)+1,INDEX($CL$5:CL106,MATCH(CP107,$CP$5:CP106,0))))</f>
        <v/>
      </c>
      <c r="CM107" s="84">
        <f>IF(NOT(AND($A107&lt;&gt;"",$C107&lt;&gt;"DOOR ONLY")),"",MAX($CM$5:CM106)+1)</f>
        <v/>
      </c>
      <c r="CN107" s="84">
        <f>IF(NOT(AND($A107&lt;&gt;"",N($BJ107)&gt;0)),"",MAX($CN$5:CN106)+1)</f>
        <v/>
      </c>
      <c r="CO107" s="84">
        <f>IF($A107="","",MAX($CO$5:CO106)+1)</f>
        <v/>
      </c>
      <c r="CP107" s="84">
        <f>IF(OR($A107="",$BH107="",$BI107=""),"",$BG107&amp;"|"&amp;$O107&amp;"|"&amp;$AL107&amp;"|"&amp;$S107&amp;"|"&amp;$P107&amp;"|"&amp;$Q107&amp;$R107&amp;"|"&amp;$C107&amp;"|"&amp;$AB107)</f>
        <v/>
      </c>
      <c r="CQ107" s="84">
        <f>N($BS107)</f>
        <v/>
      </c>
      <c r="CR107" s="84">
        <f>IF(N($AU107)&gt;0,N($AU107),4.5)</f>
        <v/>
      </c>
      <c r="CS107" s="84">
        <f>OR($A107="",$BI107="",$S107="BL",AND($C107="FRAME ONLY",OR($AC107="",$AC107="BLK")))</f>
        <v/>
      </c>
      <c r="CT107" s="84">
        <f>AND(NOT($CS107),OR($AT107="CUSTOM LOC",N($AW107)+N($AX107)+N($AY107)+N($AZ107)+N($BA107)&gt;0))</f>
        <v/>
      </c>
      <c r="CU107" s="84">
        <f>IF($BI107="","",IF($BI107&lt;=80,80,IF($BI107&lt;=84,84,96)))</f>
        <v/>
      </c>
      <c r="CV107" s="84">
        <f>ISNUMBER(MATCH($AT107&amp;"|80",LocKeys,0))</f>
        <v/>
      </c>
      <c r="CW107" s="86">
        <f>IF($CS107,"",IF($CV107,VLOOKUP($AT107&amp;"|"&amp;$CU107,LocTable,4,FALSE),5))</f>
        <v/>
      </c>
      <c r="CX107" s="86">
        <f>IF($CS107,"",IF($CV107,IF(OR($BI107=$CU107,AND($BI107&lt;$CU107,$BI107-IF(N(VLOOKUP($AT107&amp;"|"&amp;$CU107,LocTable,7,FALSE))&gt;0,VLOOKUP($AT107&amp;"|"&amp;$CU107,LocTable,7,FALSE),VLOOKUP($AT107&amp;"|"&amp;$CU107,LocTable,6,FALSE))-$CR107-0.75&gt;=2.125)),IF(N(VLOOKUP($AT107&amp;"|"&amp;$CU107,LocTable,7,FALSE))&gt;0,VLOOKUP($AT107&amp;"|"&amp;$CU107,LocTable,7,FALSE),VLOOKUP($AT107&amp;"|"&amp;$CU107,LocTable,6,FALSE)),$BI107-($CU107-IF(N(VLOOKUP($AT107&amp;"|"&amp;$CU107,LocTable,7,FALSE))&gt;0,VLOOKUP($AT107&amp;"|"&amp;$CU107,LocTable,7,FALSE),VLOOKUP($AT107&amp;"|"&amp;$CU107,LocTable,6,FALSE)))),$BI107-10-$CR107))</f>
        <v/>
      </c>
      <c r="CY107" s="85">
        <f>IF($CS107,"",TRIM(IF(ISNUMBER($BU107),"A "&amp;TRIM(TEXT($BU107,"# ?/??"))&amp;CHAR(34)&amp;"  ","")&amp;IF(ISNUMBER($BV107),"B "&amp;TRIM(TEXT($BV107,"# ?/??"))&amp;CHAR(34)&amp;"  ","")&amp;IF(ISNUMBER($BW107),"C "&amp;TRIM(TEXT($BW107,"# ?/??"))&amp;CHAR(34)&amp;"  ","")&amp;IF(ISNUMBER($BX107),"D "&amp;TRIM(TEXT($BX107,"# ?/??"))&amp;CHAR(34)&amp;"  ","")&amp;IF(ISNUMBER($BY107),"F "&amp;TRIM(TEXT($BY107,"# ?/??"))&amp;CHAR(34)&amp;"  ","")&amp;IF(ISNUMBER($BZ107),"E "&amp;TRIM(TEXT($BZ107,"# ?/??"))&amp;CHAR(34)&amp;"  ","")))</f>
        <v/>
      </c>
      <c r="CZ107" s="85">
        <f>IF(OR($CS107,N($BJ107)=0),"",TRIM(IF(ISNUMBER($BU107),"A "&amp;TRIM(TEXT($BU107-HeadClr,"# ?/??"))&amp;CHAR(34)&amp;"  ","")&amp;IF(ISNUMBER($BV107),"B "&amp;TRIM(TEXT($BV107-HeadClr,"# ?/??"))&amp;CHAR(34)&amp;"  ","")&amp;IF(ISNUMBER($BW107),"C "&amp;TRIM(TEXT($BW107-HeadClr,"# ?/??"))&amp;CHAR(34)&amp;"  ","")&amp;IF(ISNUMBER($BX107),"D "&amp;TRIM(TEXT($BX107-HeadClr,"# ?/??"))&amp;CHAR(34)&amp;"  ","")&amp;IF(ISNUMBER($BY107),"F "&amp;TRIM(TEXT($BY107-HeadClr,"# ?/??"))&amp;CHAR(34)&amp;"  ","")&amp;IF(ISNUMBER($BZ107),"E "&amp;TRIM(TEXT($BZ107-HeadClr,"# ?/??"))&amp;CHAR(34)&amp;"  ","")))</f>
        <v/>
      </c>
      <c r="DA107" s="84">
        <f>IF($A107="","",IF($AN107="",IFERROR(VLOOKUP($Z107,CODES,2,FALSE),""),IFERROR(VLOOKUP($AN107,CODES,2,FALSE),"")))</f>
        <v/>
      </c>
      <c r="DB107" s="84">
        <f>IF($A107="","",IF($O107="Y","PR",IF(OR($Z107="L",$Z107="RR",LEFT($Z107,2)="L-",LEFT($Z107,3)="RR-"),"LH","RH")))</f>
        <v/>
      </c>
      <c r="DC107" s="84">
        <f>IF($A107="","","S.HM"&amp;IF(OR($C107="DOOR ONLY",$X107&lt;&gt;"KD"),"MASONRY","DRYWALL")&amp;IF($C107="DOOR ONLY","",$U107)&amp;IF(AND($C107&lt;&gt;"FRAME ONLY",OR(LEFT($AH107,3)="OAK",LEFT($AH107,3)="BIR",LEFT($AH107,3)="MAP",$AH107="PC",$AH107="MC",$AH107="SCLC",$AH107="P-LAM")),"WD","HM")&amp;"1.75")</f>
        <v/>
      </c>
      <c r="DD107" s="84">
        <f>IF($CJ107="","",IF($O107="Y",$CJ107,SUBSTITUTE($CJ107,$BG107&amp;" "&amp;IFERROR(VLOOKUP($Z107,CODES,2,FALSE),"")&amp;" ",$BG107&amp;" ")))</f>
        <v/>
      </c>
      <c r="DE107" s="84">
        <f>IF($CK107="","",IF($O107="Y",$CK107,SUBSTITUTE($CK107,$BG107&amp;" "&amp;IF($AN107="",IFERROR(VLOOKUP($Z107,CODES,2,FALSE),""),IFERROR(VLOOKUP($AN107,CODES,2,FALSE),""))&amp;" ",$BG107&amp;" ")))</f>
        <v/>
      </c>
      <c r="DF107" s="84">
        <f>IF($CJ107="","",$DC107&amp;"|"&amp;$DD107&amp;"|"&amp;$DB107&amp;"|"&amp;$AT107&amp;"|"&amp;$V107&amp;"|"&amp;$Y107&amp;"|"&amp;$AB107)</f>
        <v/>
      </c>
      <c r="DG107" s="84">
        <f>IF(DF107="","",IF(COUNTIF($DF$6:DF107,DF107)=1,MAX($DG$5:DG106)+1,INDEX($DG$5:DG106,MATCH(DF107,$DF$5:DF106,0))))</f>
        <v/>
      </c>
      <c r="DH107" s="84">
        <f>IF($CK107="","",$DC107&amp;"|"&amp;$DE107&amp;"|"&amp;$AI107&amp;"|"&amp;$BK107&amp;"|"&amp;$BL107)</f>
        <v/>
      </c>
      <c r="DI107" s="84">
        <f>IF(DH107="","",IF(COUNTIF($DH$6:DH107,DH107)=1,MAX($DI$5:DI106)+1,INDEX($DI$5:DI106,MATCH(DH107,$DH$5:DH106,0))))</f>
        <v/>
      </c>
      <c r="DJ107" s="84">
        <f>IF($A107="","",IF($B107="","qty, ","")&amp;IF($C107="","scope, ","")&amp;IF(OR($K107="",$M107=""),"size, ","")&amp;IF(AND($A107&lt;&gt;"",$C107&lt;&gt;"DOOR ONLY"),IF($U107="","jamb depth, ","")&amp;IF($X107="","construction, ","")&amp;IF($Y107="","anchor, ","")&amp;IF($S107="","frame type, ",""),"")&amp;IF(AND(N($BJ107)&gt;0,$Z107=""),"hand, ","")&amp;IF(N($BJ107)&gt;0,IF($AH107="","door material, ","")&amp;IF($AL107="","face type, ","")&amp;IF($AP107="","lock prep, ","")&amp;IF(AND($AO107="",$AC107=""),"hinge prep, ",""),"")&amp;IF(AND($CH107&gt;0,$AH107="FRP"),"FRP cannot carry a label, ","")&amp;IF(AND($O107="Y",OR($Z107="L",$Z107="R",$Z107="LR",$Z107="RR")),"pair marked but hand is single, ","")&amp;IF(AND($O107&lt;&gt;"Y",OR($Z107="PR",AND(LEN($Z107)&gt;1,ISNUMBER(SEARCH("-",$Z107))))),"pair hand on a single door, ","")&amp;IF(AND(ISNUMBER($CI107),$CH107&lt;N($CI107)),"wall needs a "&amp;$CI107&amp;" min door, ","")&amp;IF(AND($CH107&gt;=180,AND(OR($CE107="FG",$CE107="HG",$CE107="FNV",$CE107="FV"),N($CF107)*N($CG107)&gt;100)),"180 min lite over 100 sq in, ","")&amp;IF(N($BK107)&gt;48,"leaf wider than 4'-0"&amp;CHAR(34)&amp;", ","")&amp;IF(AND($CT107,COUNT($AW107:$AZ107)=0,$CQ107&gt;0),"CUSTOM LOC with no locations typed, ",""))</f>
        <v/>
      </c>
      <c r="DK107" s="84">
        <f>IF($A107="","",IF(AND($CH107&gt;0,AND($A107&lt;&gt;"",$C107&lt;&gt;"DOOR ONLY"),$X107="KD",$E107="EXTERIOR"),"KD label on an exterior opening, ","")&amp;IF(AND($E107="EXTERIOR",OR(AND(AND($A107&lt;&gt;"",$C107&lt;&gt;"DOOR ONLY"),$W107="CR"),AND(N($BJ107)&gt;0,$AH107="CR"))),"exterior in CR steel (G9?), ","")&amp;IF(AND(ISNUMBER($BQ107),N($BQ107)&lt;32),"clear width ~"&amp;TEXT($BQ107,"0.0")&amp;CHAR(34)&amp;" under 32"&amp;CHAR(34)&amp;" (ADA), ","")&amp;IF(AND($CH107=90,AND(OR($CE107="FG",$CE107="HG",$CE107="FNV",$CE107="FV"),N($CF107)*N($CG107)&gt;100)),"90 min lite over 100 sq in (stair/exit), ","")&amp;IF(AND($CH107&gt;0,AND($A107&lt;&gt;"",$C107&lt;&gt;"DOOR ONLY"),OR($AF107="",$AF107="-")),"rated: closer reinf.?, ","")&amp;IF(OR($I107="CORRIDOR",$I107="SMOKE BARRIER"),"S label + smoke gasketing, ","")&amp;IF($CI107="?","wall type/hr not in IBC table, ","")&amp;IF(AND(N($BJ107)&gt;0,$BB107=""),"no hardware set, ","")&amp;IF(AND($BB107&lt;&gt;"",ISNA(MATCH($BB107&amp;"",HWSets,0))),"set "&amp;$BB107&amp;" not on HW Sets, ","")&amp;IF(N($BL107)&gt;96,"leaf over 8'-0"&amp;CHAR(34)&amp;" - check listing, ","")&amp;IF(AND($CT107,COUNT($AW107:$AZ107)&gt;0,COUNT($AW107:$AZ107)&lt;&gt;$CQ107),COUNT($AW107:$AZ107)&amp;" custom hinges typed, "&amp;$CQ107&amp;" expected, ","")&amp;IF(AND(ISNUMBER($CA107),OR(N($CA107)&lt;34,N($CA107)&gt;48)),"lock "&amp;TEXT($CA107,"0.0")&amp;CHAR(34)&amp;" AFF outside 34-48"&amp;CHAR(34)&amp;" (ADA), ","")&amp;IF(AND(ISNUMBER($AV107),ISNUMBER($BL107),N($AV107)&lt;IF(N($BL107)&lt;=60,2,IF(N($BL107)&lt;=90,3,IF(N($BL107)&lt;=120,4,5)))),"fewer hinges than standard, ",""))</f>
        <v/>
      </c>
    </row>
    <row r="108" ht="15" customHeight="1">
      <c r="A108" s="77" t="n"/>
      <c r="B108" s="78" t="n"/>
      <c r="C108" s="78" t="n"/>
      <c r="D108" s="78" t="n"/>
      <c r="E108" s="78" t="n"/>
      <c r="F108" s="78" t="n"/>
      <c r="G108" s="78" t="n"/>
      <c r="H108" s="78" t="n"/>
      <c r="I108" s="78" t="n"/>
      <c r="J108" s="78" t="n"/>
      <c r="K108" s="78" t="n"/>
      <c r="L108" s="78" t="n"/>
      <c r="M108" s="78" t="n"/>
      <c r="N108" s="78" t="n"/>
      <c r="O108" s="78" t="n"/>
      <c r="P108" s="78" t="n"/>
      <c r="Q108" s="78" t="n"/>
      <c r="R108" s="78" t="n"/>
      <c r="S108" s="79" t="n"/>
      <c r="T108" s="79" t="n"/>
      <c r="U108" s="79" t="n"/>
      <c r="V108" s="79" t="n"/>
      <c r="W108" s="79" t="n"/>
      <c r="X108" s="79" t="n"/>
      <c r="Y108" s="79" t="n"/>
      <c r="Z108" s="79" t="n"/>
      <c r="AA108" s="79" t="n"/>
      <c r="AB108" s="79" t="n"/>
      <c r="AC108" s="79" t="n"/>
      <c r="AD108" s="79" t="n"/>
      <c r="AE108" s="79" t="n"/>
      <c r="AF108" s="79" t="n"/>
      <c r="AG108" s="79" t="n"/>
      <c r="AH108" s="80" t="n"/>
      <c r="AI108" s="80" t="n"/>
      <c r="AJ108" s="80" t="n"/>
      <c r="AK108" s="80" t="n"/>
      <c r="AL108" s="80" t="n"/>
      <c r="AM108" s="80" t="n"/>
      <c r="AN108" s="80" t="n"/>
      <c r="AO108" s="80" t="n"/>
      <c r="AP108" s="80" t="n"/>
      <c r="AQ108" s="80" t="n"/>
      <c r="AR108" s="80" t="n"/>
      <c r="AS108" s="80" t="n"/>
      <c r="AT108" s="81" t="n"/>
      <c r="AU108" s="81" t="n"/>
      <c r="AV108" s="81" t="n"/>
      <c r="AW108" s="82" t="n"/>
      <c r="AX108" s="82" t="n"/>
      <c r="AY108" s="82" t="n"/>
      <c r="AZ108" s="82" t="n"/>
      <c r="BA108" s="82" t="n"/>
      <c r="BB108" s="83" t="n"/>
      <c r="BC108" s="83" t="n"/>
      <c r="BD108" s="84">
        <f>IF($A108="","",IF($DJ108&lt;&gt;"","FIX",IF($DK108&lt;&gt;"","CHECK","OK")))</f>
        <v/>
      </c>
      <c r="BE108" s="85">
        <f>IF($A108="","",IF($DJ108&lt;&gt;"","FIX: "&amp;LEFT($DJ108,LEN($DJ108)-2)&amp;IF($DK108&lt;&gt;"","  ·  ",""),"")&amp;IF($DK108&lt;&gt;"","CHECK: "&amp;LEFT($DK108,LEN($DK108)-2),""))</f>
        <v/>
      </c>
      <c r="BF108" s="84">
        <f>IF(OR($A108="",$K108=""),"",$K108&amp;"'-"&amp;N($L108)&amp;CHAR(34)&amp;" x "&amp;$M108&amp;"'-"&amp;N($N108)&amp;CHAR(34))</f>
        <v/>
      </c>
      <c r="BG108" s="84">
        <f>IF(OR($A108="",$K108=""),"",$K108&amp;N($L108)&amp;$M108&amp;N($N108))</f>
        <v/>
      </c>
      <c r="BH108" s="84">
        <f>IF(OR($A108="",$K108=""),"",$K108*12+N($L108))</f>
        <v/>
      </c>
      <c r="BI108" s="84">
        <f>IF(OR($A108="",$M108=""),"",$M108*12+N($N108))</f>
        <v/>
      </c>
      <c r="BJ108" s="84">
        <f>IF($A108="","",IF(OR($C108="FRAME ONLY",$S108="BL"),0,IF($O108="Y",2,1)))</f>
        <v/>
      </c>
      <c r="BK108" s="86">
        <f>IF(OR(N($BJ108)=0,$BH108=""),"",($BH108-2*EdgeClr-IF($BJ108=2,MeetClr,0))/$BJ108)</f>
        <v/>
      </c>
      <c r="BL108" s="86">
        <f>IF(OR(N($BJ108)=0,$BI108=""),"",$BI108-HeadClr-Undercut)</f>
        <v/>
      </c>
      <c r="BM108" s="86">
        <f>IF($BH108="","",$BH108+2*FaceW+IF(N($Q108)&gt;0,($Q108+FaceW)*IF($R108="LR",2,1),0))</f>
        <v/>
      </c>
      <c r="BN108" s="86">
        <f>IF($BI108="","",$BI108+IF($AB108="Y",4,FaceW)+IF(N($P108)&gt;0,$P108+FaceW,0)+IF(OR($S108="4F",$S108="BL"),FaceW,0))</f>
        <v/>
      </c>
      <c r="BO108" s="86">
        <f>IF($BM108="","",$BM108+2*ROSide)</f>
        <v/>
      </c>
      <c r="BP108" s="86">
        <f>IF($BN108="","",$BN108+ROTop)</f>
        <v/>
      </c>
      <c r="BQ108" s="87">
        <f>IF(OR(N($BJ108)=0,$BH108=""),"",$BH108/$BJ108-ClearDeduct)</f>
        <v/>
      </c>
      <c r="BR108" s="84">
        <f>IF(N($CH108)=0,"",IF($CH108&gt;=180,"A · 3 HR",IF($CH108&gt;=90,"B · 1-1/2 HR",IF($CH108&gt;=60,"B · 1 HR",IF($CH108&gt;=45,"C · 3/4 HR","20 MIN")))))&amp;IF(AND(N($CH108)&gt;0,OR($I108="CORRIDOR",$I108="SMOKE BARRIER"))," · S","")</f>
        <v/>
      </c>
      <c r="BS108" s="84">
        <f>IF($CS108,"",IF($AV108&lt;&gt;"",$AV108,IF(OR($AC108="HGC",$AO108="HGC"),"CONT",IF(($BI108-HeadClr-Undercut)&lt;=60,2,IF(($BI108-HeadClr-Undercut)&lt;=90,3,IF(($BI108-HeadClr-Undercut)&lt;=120,4,5))))))</f>
        <v/>
      </c>
      <c r="BT108" s="84">
        <f>IF($CS108,"",IF($CT108,"CUSTOM (typed)",IF($CV108,$AT108&amp;" "&amp;$CU108&amp;CHAR(34)&amp;IF($CU108&lt;&gt;$BI108,IF(AND($BI108&lt;$CU108,$BI108-IF(N(VLOOKUP($AT108&amp;"|"&amp;$CU108,LocTable,7,FALSE))&gt;0,VLOOKUP($AT108&amp;"|"&amp;$CU108,LocTable,7,FALSE),VLOOKUP($AT108&amp;"|"&amp;$CU108,LocTable,6,FALSE))-$CR108-0.75&gt;=2.125)," cut down"," adj."),""),"ANSI/SDI A250.6")))</f>
        <v/>
      </c>
      <c r="BU108" s="88">
        <f>IF($CS108,"",IF($CT108,IF(N($AW108)&gt;0,N($AW108),""),IF(1&gt;$CQ108,"",IF($CQ108=1,$CW108,$CW108+($CX108-$CW108)*0/($CQ108-1)))))</f>
        <v/>
      </c>
      <c r="BV108" s="88">
        <f>IF($CS108,"",IF($CT108,IF(N($AX108)&gt;0,N($AX108),""),IF(2&gt;$CQ108,"",IF($CQ108=1,$CW108,$CW108+($CX108-$CW108)*1/($CQ108-1)))))</f>
        <v/>
      </c>
      <c r="BW108" s="88">
        <f>IF($CS108,"",IF($CT108,IF(N($AY108)&gt;0,N($AY108),""),IF(3&gt;$CQ108,"",IF($CQ108=1,$CW108,$CW108+($CX108-$CW108)*2/($CQ108-1)))))</f>
        <v/>
      </c>
      <c r="BX108" s="88">
        <f>IF($CS108,"",IF($CT108,IF(N($AZ108)&gt;0,N($AZ108),""),IF(4&gt;$CQ108,"",IF($CQ108=1,$CW108,$CW108+($CX108-$CW108)*3/($CQ108-1)))))</f>
        <v/>
      </c>
      <c r="BY108" s="88">
        <f>IF($CS108,"",IF($CT108,"",IF(5&gt;$CQ108,"",IF($CQ108=1,$CW108,$CW108+($CX108-$CW108)*4/($CQ108-1)))))</f>
        <v/>
      </c>
      <c r="BZ108" s="88">
        <f>IF(OR($CS108,$AP108="-",AND($AP108="",$AD108="")),"",IF(N($BA108)&gt;0,N($BA108),IF($CV108,IF(AND($BI108&lt;$CU108,$BI108-IF(N(VLOOKUP($AT108&amp;"|"&amp;$CU108,LocTable,7,FALSE))&gt;0,VLOOKUP($AT108&amp;"|"&amp;$CU108,LocTable,7,FALSE),VLOOKUP($AT108&amp;"|"&amp;$CU108,LocTable,6,FALSE))-$CR108-0.75&gt;=2.125),VLOOKUP($AT108&amp;"|"&amp;$CU108,LocTable,8,FALSE),VLOOKUP($AT108&amp;"|"&amp;$CU108,LocTable,8,FALSE)+($BI108-$CU108)),$BI108-LockAFF)))</f>
        <v/>
      </c>
      <c r="CA108" s="89">
        <f>IF($BZ108="","",$BI108-$BZ108)</f>
        <v/>
      </c>
      <c r="CB108" s="84">
        <f>IF(OR(NOT(AND($A108&lt;&gt;"",$C108&lt;&gt;"DOOR ONLY")),$BI108=""),"",IF(($BI108+IF(N($P108)&gt;0,$P108+FaceW,0))&lt;=90,3,IF(($BI108+IF(N($P108)&gt;0,$P108+FaceW,0))&lt;=114,4,5)))</f>
        <v/>
      </c>
      <c r="CC108" s="84">
        <f>IF($CB108="","",$CB108*(2+IF(N($Q108)&gt;0,IF($R108="LR",2,1),0)))</f>
        <v/>
      </c>
      <c r="CD108" s="84">
        <f>IF($CB108="","",(2+IF(N($Q108)&gt;0,IF($R108="LR",2,1),0)))</f>
        <v/>
      </c>
      <c r="CE108" s="84">
        <f>IF(N($BJ108)=0,"",IF(OR($AL108="",$AL108="FLUSH"),"FLUSH",IFERROR(LEFT($AL108,FIND("-",$AL108)-1),LEFT($AL108,2))))</f>
        <v/>
      </c>
      <c r="CF108" s="84">
        <f>IF($CE108="","",IFERROR(VALUE(MID($AL108,FIND("-",$AL108)+1,FIND(CHAR(34)&amp;"x",$AL108)-FIND("-",$AL108)-1)),0))</f>
        <v/>
      </c>
      <c r="CG108" s="84">
        <f>IF($CE108="","",IFERROR(VALUE(MID($AL108,FIND(CHAR(34)&amp;"x",$AL108)+2,FIND(CHAR(34),$AL108,FIND(CHAR(34)&amp;"x",$AL108)+2)-FIND(CHAR(34)&amp;"x",$AL108)-2)),0))</f>
        <v/>
      </c>
      <c r="CH108" s="90">
        <f>IF(OR($A108="",$H108="",$H108="NO LAB"),0,IFERROR(VALUE(LEFT($H108,FIND(" ",$H108)-1)),0))</f>
        <v/>
      </c>
      <c r="CI108" s="91">
        <f>IF(OR($A108="",$I108="",$I108="NON-RATED",N($J108)=0),"",IFERROR(VLOOKUP($I108&amp;"|"&amp;$J108,IBC,2,FALSE),"?"))</f>
        <v/>
      </c>
      <c r="CJ108" s="85">
        <f>IF(NOT(AND($A108&lt;&gt;"",$C108&lt;&gt;"DOOR ONLY")),"",TRIM(IFERROR(VLOOKUP($U108,CODES,2,FALSE),"")&amp;" "&amp;$BG108&amp;" "&amp;IFERROR(VLOOKUP($Z108,CODES,2,FALSE),"")&amp;" "&amp;IFERROR(VLOOKUP($X108,CODES,2,FALSE),"")&amp;" "&amp;IFERROR(VLOOKUP($S108,CODES,2,FALSE),"")&amp;IF(N($P108)&gt;0," w/TRANSOM "&amp;$P108&amp;CHAR(34),"")&amp;IF(N($Q108)&gt;0," w/SIDELITE "&amp;$Q108&amp;CHAR(34)&amp;" "&amp;IF($R108="","R",$R108),"")&amp;IF($Y108="","  |  "," | "&amp;IFERROR(VLOOKUP($Y108,CODES,2,FALSE),"")&amp;" | ")&amp;IFERROR(VLOOKUP($AC108,CODES,2,FALSE),"")&amp;" "&amp;IFERROR(VLOOKUP($AD108,CODES,2,FALSE),"")&amp;IF(OR($AE108="",$AE108="-"),""," "&amp;$AE108)&amp;IF(OR($AF108="",$AF108="-"),""," "&amp;$AF108)&amp;IF($AB108="Y"," 4"&amp;CHAR(34)&amp;" HEAD","")&amp;" "&amp;IFERROR(VLOOKUP($H108,CODES,2,FALSE),"")&amp;IF($CT108," | LOC "&amp;$CY108,"")))</f>
        <v/>
      </c>
      <c r="CK108" s="85">
        <f>IF(NOT(AND($A108&lt;&gt;"",N($BJ108)&gt;0)),"",TRIM(IFERROR(VLOOKUP($AH108,CODES,2,FALSE),"")&amp;IF($AI108=""," "," "&amp;$AI108&amp;"GA ")&amp;$BG108&amp;" "&amp;IF($AN108="",IFERROR(VLOOKUP($Z108,CODES,2,FALSE),""),IFERROR(VLOOKUP($AN108,CODES,2,FALSE),""))&amp;IF($BJ108=2," PAIR","")&amp;" DOOR | "&amp;IF($AL108="","?",$AL108)&amp;" | "&amp;IF($AO108="",IFERROR(VLOOKUP($AC108,CODES,2,FALSE),""),IFERROR(VLOOKUP($AO108,CODES,2,FALSE),""))&amp;" "&amp;IFERROR(VLOOKUP($AP108,CODES,2,FALSE),"")&amp;IF(OR($AQ108="",$AQ108="-"),""," SEAM "&amp;$AQ108)&amp;IF($AR108="Y"," ASTRAGAL","")&amp;IF($AJ108=""," "," "&amp;$AJ108)&amp;IF($AK108=""," "," "&amp;$AK108)&amp;IF(OR($AT108="",$AT108="ANSI/SDI",$AT108="CUSTOM LOC"),""," "&amp;$AT108)&amp;IF($AM108=""," "," SERIES "&amp;$AM108)&amp;" "&amp;IFERROR(VLOOKUP($H108,CODES,2,FALSE),"")&amp;IF($CT108," | LOC "&amp;$CZ108,"")))</f>
        <v/>
      </c>
      <c r="CL108" s="84">
        <f>IF(CP108="","",IF(COUNTIF($CP$6:CP108,CP108)=1,MAX($CL$5:CL107)+1,INDEX($CL$5:CL107,MATCH(CP108,$CP$5:CP107,0))))</f>
        <v/>
      </c>
      <c r="CM108" s="84">
        <f>IF(NOT(AND($A108&lt;&gt;"",$C108&lt;&gt;"DOOR ONLY")),"",MAX($CM$5:CM107)+1)</f>
        <v/>
      </c>
      <c r="CN108" s="84">
        <f>IF(NOT(AND($A108&lt;&gt;"",N($BJ108)&gt;0)),"",MAX($CN$5:CN107)+1)</f>
        <v/>
      </c>
      <c r="CO108" s="84">
        <f>IF($A108="","",MAX($CO$5:CO107)+1)</f>
        <v/>
      </c>
      <c r="CP108" s="84">
        <f>IF(OR($A108="",$BH108="",$BI108=""),"",$BG108&amp;"|"&amp;$O108&amp;"|"&amp;$AL108&amp;"|"&amp;$S108&amp;"|"&amp;$P108&amp;"|"&amp;$Q108&amp;$R108&amp;"|"&amp;$C108&amp;"|"&amp;$AB108)</f>
        <v/>
      </c>
      <c r="CQ108" s="84">
        <f>N($BS108)</f>
        <v/>
      </c>
      <c r="CR108" s="84">
        <f>IF(N($AU108)&gt;0,N($AU108),4.5)</f>
        <v/>
      </c>
      <c r="CS108" s="84">
        <f>OR($A108="",$BI108="",$S108="BL",AND($C108="FRAME ONLY",OR($AC108="",$AC108="BLK")))</f>
        <v/>
      </c>
      <c r="CT108" s="84">
        <f>AND(NOT($CS108),OR($AT108="CUSTOM LOC",N($AW108)+N($AX108)+N($AY108)+N($AZ108)+N($BA108)&gt;0))</f>
        <v/>
      </c>
      <c r="CU108" s="84">
        <f>IF($BI108="","",IF($BI108&lt;=80,80,IF($BI108&lt;=84,84,96)))</f>
        <v/>
      </c>
      <c r="CV108" s="84">
        <f>ISNUMBER(MATCH($AT108&amp;"|80",LocKeys,0))</f>
        <v/>
      </c>
      <c r="CW108" s="86">
        <f>IF($CS108,"",IF($CV108,VLOOKUP($AT108&amp;"|"&amp;$CU108,LocTable,4,FALSE),5))</f>
        <v/>
      </c>
      <c r="CX108" s="86">
        <f>IF($CS108,"",IF($CV108,IF(OR($BI108=$CU108,AND($BI108&lt;$CU108,$BI108-IF(N(VLOOKUP($AT108&amp;"|"&amp;$CU108,LocTable,7,FALSE))&gt;0,VLOOKUP($AT108&amp;"|"&amp;$CU108,LocTable,7,FALSE),VLOOKUP($AT108&amp;"|"&amp;$CU108,LocTable,6,FALSE))-$CR108-0.75&gt;=2.125)),IF(N(VLOOKUP($AT108&amp;"|"&amp;$CU108,LocTable,7,FALSE))&gt;0,VLOOKUP($AT108&amp;"|"&amp;$CU108,LocTable,7,FALSE),VLOOKUP($AT108&amp;"|"&amp;$CU108,LocTable,6,FALSE)),$BI108-($CU108-IF(N(VLOOKUP($AT108&amp;"|"&amp;$CU108,LocTable,7,FALSE))&gt;0,VLOOKUP($AT108&amp;"|"&amp;$CU108,LocTable,7,FALSE),VLOOKUP($AT108&amp;"|"&amp;$CU108,LocTable,6,FALSE)))),$BI108-10-$CR108))</f>
        <v/>
      </c>
      <c r="CY108" s="85">
        <f>IF($CS108,"",TRIM(IF(ISNUMBER($BU108),"A "&amp;TRIM(TEXT($BU108,"# ?/??"))&amp;CHAR(34)&amp;"  ","")&amp;IF(ISNUMBER($BV108),"B "&amp;TRIM(TEXT($BV108,"# ?/??"))&amp;CHAR(34)&amp;"  ","")&amp;IF(ISNUMBER($BW108),"C "&amp;TRIM(TEXT($BW108,"# ?/??"))&amp;CHAR(34)&amp;"  ","")&amp;IF(ISNUMBER($BX108),"D "&amp;TRIM(TEXT($BX108,"# ?/??"))&amp;CHAR(34)&amp;"  ","")&amp;IF(ISNUMBER($BY108),"F "&amp;TRIM(TEXT($BY108,"# ?/??"))&amp;CHAR(34)&amp;"  ","")&amp;IF(ISNUMBER($BZ108),"E "&amp;TRIM(TEXT($BZ108,"# ?/??"))&amp;CHAR(34)&amp;"  ","")))</f>
        <v/>
      </c>
      <c r="CZ108" s="85">
        <f>IF(OR($CS108,N($BJ108)=0),"",TRIM(IF(ISNUMBER($BU108),"A "&amp;TRIM(TEXT($BU108-HeadClr,"# ?/??"))&amp;CHAR(34)&amp;"  ","")&amp;IF(ISNUMBER($BV108),"B "&amp;TRIM(TEXT($BV108-HeadClr,"# ?/??"))&amp;CHAR(34)&amp;"  ","")&amp;IF(ISNUMBER($BW108),"C "&amp;TRIM(TEXT($BW108-HeadClr,"# ?/??"))&amp;CHAR(34)&amp;"  ","")&amp;IF(ISNUMBER($BX108),"D "&amp;TRIM(TEXT($BX108-HeadClr,"# ?/??"))&amp;CHAR(34)&amp;"  ","")&amp;IF(ISNUMBER($BY108),"F "&amp;TRIM(TEXT($BY108-HeadClr,"# ?/??"))&amp;CHAR(34)&amp;"  ","")&amp;IF(ISNUMBER($BZ108),"E "&amp;TRIM(TEXT($BZ108-HeadClr,"# ?/??"))&amp;CHAR(34)&amp;"  ","")))</f>
        <v/>
      </c>
      <c r="DA108" s="84">
        <f>IF($A108="","",IF($AN108="",IFERROR(VLOOKUP($Z108,CODES,2,FALSE),""),IFERROR(VLOOKUP($AN108,CODES,2,FALSE),"")))</f>
        <v/>
      </c>
      <c r="DB108" s="84">
        <f>IF($A108="","",IF($O108="Y","PR",IF(OR($Z108="L",$Z108="RR",LEFT($Z108,2)="L-",LEFT($Z108,3)="RR-"),"LH","RH")))</f>
        <v/>
      </c>
      <c r="DC108" s="84">
        <f>IF($A108="","","S.HM"&amp;IF(OR($C108="DOOR ONLY",$X108&lt;&gt;"KD"),"MASONRY","DRYWALL")&amp;IF($C108="DOOR ONLY","",$U108)&amp;IF(AND($C108&lt;&gt;"FRAME ONLY",OR(LEFT($AH108,3)="OAK",LEFT($AH108,3)="BIR",LEFT($AH108,3)="MAP",$AH108="PC",$AH108="MC",$AH108="SCLC",$AH108="P-LAM")),"WD","HM")&amp;"1.75")</f>
        <v/>
      </c>
      <c r="DD108" s="84">
        <f>IF($CJ108="","",IF($O108="Y",$CJ108,SUBSTITUTE($CJ108,$BG108&amp;" "&amp;IFERROR(VLOOKUP($Z108,CODES,2,FALSE),"")&amp;" ",$BG108&amp;" ")))</f>
        <v/>
      </c>
      <c r="DE108" s="84">
        <f>IF($CK108="","",IF($O108="Y",$CK108,SUBSTITUTE($CK108,$BG108&amp;" "&amp;IF($AN108="",IFERROR(VLOOKUP($Z108,CODES,2,FALSE),""),IFERROR(VLOOKUP($AN108,CODES,2,FALSE),""))&amp;" ",$BG108&amp;" ")))</f>
        <v/>
      </c>
      <c r="DF108" s="84">
        <f>IF($CJ108="","",$DC108&amp;"|"&amp;$DD108&amp;"|"&amp;$DB108&amp;"|"&amp;$AT108&amp;"|"&amp;$V108&amp;"|"&amp;$Y108&amp;"|"&amp;$AB108)</f>
        <v/>
      </c>
      <c r="DG108" s="84">
        <f>IF(DF108="","",IF(COUNTIF($DF$6:DF108,DF108)=1,MAX($DG$5:DG107)+1,INDEX($DG$5:DG107,MATCH(DF108,$DF$5:DF107,0))))</f>
        <v/>
      </c>
      <c r="DH108" s="84">
        <f>IF($CK108="","",$DC108&amp;"|"&amp;$DE108&amp;"|"&amp;$AI108&amp;"|"&amp;$BK108&amp;"|"&amp;$BL108)</f>
        <v/>
      </c>
      <c r="DI108" s="84">
        <f>IF(DH108="","",IF(COUNTIF($DH$6:DH108,DH108)=1,MAX($DI$5:DI107)+1,INDEX($DI$5:DI107,MATCH(DH108,$DH$5:DH107,0))))</f>
        <v/>
      </c>
      <c r="DJ108" s="84">
        <f>IF($A108="","",IF($B108="","qty, ","")&amp;IF($C108="","scope, ","")&amp;IF(OR($K108="",$M108=""),"size, ","")&amp;IF(AND($A108&lt;&gt;"",$C108&lt;&gt;"DOOR ONLY"),IF($U108="","jamb depth, ","")&amp;IF($X108="","construction, ","")&amp;IF($Y108="","anchor, ","")&amp;IF($S108="","frame type, ",""),"")&amp;IF(AND(N($BJ108)&gt;0,$Z108=""),"hand, ","")&amp;IF(N($BJ108)&gt;0,IF($AH108="","door material, ","")&amp;IF($AL108="","face type, ","")&amp;IF($AP108="","lock prep, ","")&amp;IF(AND($AO108="",$AC108=""),"hinge prep, ",""),"")&amp;IF(AND($CH108&gt;0,$AH108="FRP"),"FRP cannot carry a label, ","")&amp;IF(AND($O108="Y",OR($Z108="L",$Z108="R",$Z108="LR",$Z108="RR")),"pair marked but hand is single, ","")&amp;IF(AND($O108&lt;&gt;"Y",OR($Z108="PR",AND(LEN($Z108)&gt;1,ISNUMBER(SEARCH("-",$Z108))))),"pair hand on a single door, ","")&amp;IF(AND(ISNUMBER($CI108),$CH108&lt;N($CI108)),"wall needs a "&amp;$CI108&amp;" min door, ","")&amp;IF(AND($CH108&gt;=180,AND(OR($CE108="FG",$CE108="HG",$CE108="FNV",$CE108="FV"),N($CF108)*N($CG108)&gt;100)),"180 min lite over 100 sq in, ","")&amp;IF(N($BK108)&gt;48,"leaf wider than 4'-0"&amp;CHAR(34)&amp;", ","")&amp;IF(AND($CT108,COUNT($AW108:$AZ108)=0,$CQ108&gt;0),"CUSTOM LOC with no locations typed, ",""))</f>
        <v/>
      </c>
      <c r="DK108" s="84">
        <f>IF($A108="","",IF(AND($CH108&gt;0,AND($A108&lt;&gt;"",$C108&lt;&gt;"DOOR ONLY"),$X108="KD",$E108="EXTERIOR"),"KD label on an exterior opening, ","")&amp;IF(AND($E108="EXTERIOR",OR(AND(AND($A108&lt;&gt;"",$C108&lt;&gt;"DOOR ONLY"),$W108="CR"),AND(N($BJ108)&gt;0,$AH108="CR"))),"exterior in CR steel (G9?), ","")&amp;IF(AND(ISNUMBER($BQ108),N($BQ108)&lt;32),"clear width ~"&amp;TEXT($BQ108,"0.0")&amp;CHAR(34)&amp;" under 32"&amp;CHAR(34)&amp;" (ADA), ","")&amp;IF(AND($CH108=90,AND(OR($CE108="FG",$CE108="HG",$CE108="FNV",$CE108="FV"),N($CF108)*N($CG108)&gt;100)),"90 min lite over 100 sq in (stair/exit), ","")&amp;IF(AND($CH108&gt;0,AND($A108&lt;&gt;"",$C108&lt;&gt;"DOOR ONLY"),OR($AF108="",$AF108="-")),"rated: closer reinf.?, ","")&amp;IF(OR($I108="CORRIDOR",$I108="SMOKE BARRIER"),"S label + smoke gasketing, ","")&amp;IF($CI108="?","wall type/hr not in IBC table, ","")&amp;IF(AND(N($BJ108)&gt;0,$BB108=""),"no hardware set, ","")&amp;IF(AND($BB108&lt;&gt;"",ISNA(MATCH($BB108&amp;"",HWSets,0))),"set "&amp;$BB108&amp;" not on HW Sets, ","")&amp;IF(N($BL108)&gt;96,"leaf over 8'-0"&amp;CHAR(34)&amp;" - check listing, ","")&amp;IF(AND($CT108,COUNT($AW108:$AZ108)&gt;0,COUNT($AW108:$AZ108)&lt;&gt;$CQ108),COUNT($AW108:$AZ108)&amp;" custom hinges typed, "&amp;$CQ108&amp;" expected, ","")&amp;IF(AND(ISNUMBER($CA108),OR(N($CA108)&lt;34,N($CA108)&gt;48)),"lock "&amp;TEXT($CA108,"0.0")&amp;CHAR(34)&amp;" AFF outside 34-48"&amp;CHAR(34)&amp;" (ADA), ","")&amp;IF(AND(ISNUMBER($AV108),ISNUMBER($BL108),N($AV108)&lt;IF(N($BL108)&lt;=60,2,IF(N($BL108)&lt;=90,3,IF(N($BL108)&lt;=120,4,5)))),"fewer hinges than standard, ",""))</f>
        <v/>
      </c>
    </row>
    <row r="109" ht="15" customHeight="1">
      <c r="A109" s="77" t="n"/>
      <c r="B109" s="78" t="n"/>
      <c r="C109" s="78" t="n"/>
      <c r="D109" s="78" t="n"/>
      <c r="E109" s="78" t="n"/>
      <c r="F109" s="78" t="n"/>
      <c r="G109" s="78" t="n"/>
      <c r="H109" s="78" t="n"/>
      <c r="I109" s="78" t="n"/>
      <c r="J109" s="78" t="n"/>
      <c r="K109" s="78" t="n"/>
      <c r="L109" s="78" t="n"/>
      <c r="M109" s="78" t="n"/>
      <c r="N109" s="78" t="n"/>
      <c r="O109" s="78" t="n"/>
      <c r="P109" s="78" t="n"/>
      <c r="Q109" s="78" t="n"/>
      <c r="R109" s="78" t="n"/>
      <c r="S109" s="79" t="n"/>
      <c r="T109" s="79" t="n"/>
      <c r="U109" s="79" t="n"/>
      <c r="V109" s="79" t="n"/>
      <c r="W109" s="79" t="n"/>
      <c r="X109" s="79" t="n"/>
      <c r="Y109" s="79" t="n"/>
      <c r="Z109" s="79" t="n"/>
      <c r="AA109" s="79" t="n"/>
      <c r="AB109" s="79" t="n"/>
      <c r="AC109" s="79" t="n"/>
      <c r="AD109" s="79" t="n"/>
      <c r="AE109" s="79" t="n"/>
      <c r="AF109" s="79" t="n"/>
      <c r="AG109" s="79" t="n"/>
      <c r="AH109" s="80" t="n"/>
      <c r="AI109" s="80" t="n"/>
      <c r="AJ109" s="80" t="n"/>
      <c r="AK109" s="80" t="n"/>
      <c r="AL109" s="80" t="n"/>
      <c r="AM109" s="80" t="n"/>
      <c r="AN109" s="80" t="n"/>
      <c r="AO109" s="80" t="n"/>
      <c r="AP109" s="80" t="n"/>
      <c r="AQ109" s="80" t="n"/>
      <c r="AR109" s="80" t="n"/>
      <c r="AS109" s="80" t="n"/>
      <c r="AT109" s="81" t="n"/>
      <c r="AU109" s="81" t="n"/>
      <c r="AV109" s="81" t="n"/>
      <c r="AW109" s="82" t="n"/>
      <c r="AX109" s="82" t="n"/>
      <c r="AY109" s="82" t="n"/>
      <c r="AZ109" s="82" t="n"/>
      <c r="BA109" s="82" t="n"/>
      <c r="BB109" s="83" t="n"/>
      <c r="BC109" s="83" t="n"/>
      <c r="BD109" s="84">
        <f>IF($A109="","",IF($DJ109&lt;&gt;"","FIX",IF($DK109&lt;&gt;"","CHECK","OK")))</f>
        <v/>
      </c>
      <c r="BE109" s="85">
        <f>IF($A109="","",IF($DJ109&lt;&gt;"","FIX: "&amp;LEFT($DJ109,LEN($DJ109)-2)&amp;IF($DK109&lt;&gt;"","  ·  ",""),"")&amp;IF($DK109&lt;&gt;"","CHECK: "&amp;LEFT($DK109,LEN($DK109)-2),""))</f>
        <v/>
      </c>
      <c r="BF109" s="84">
        <f>IF(OR($A109="",$K109=""),"",$K109&amp;"'-"&amp;N($L109)&amp;CHAR(34)&amp;" x "&amp;$M109&amp;"'-"&amp;N($N109)&amp;CHAR(34))</f>
        <v/>
      </c>
      <c r="BG109" s="84">
        <f>IF(OR($A109="",$K109=""),"",$K109&amp;N($L109)&amp;$M109&amp;N($N109))</f>
        <v/>
      </c>
      <c r="BH109" s="84">
        <f>IF(OR($A109="",$K109=""),"",$K109*12+N($L109))</f>
        <v/>
      </c>
      <c r="BI109" s="84">
        <f>IF(OR($A109="",$M109=""),"",$M109*12+N($N109))</f>
        <v/>
      </c>
      <c r="BJ109" s="84">
        <f>IF($A109="","",IF(OR($C109="FRAME ONLY",$S109="BL"),0,IF($O109="Y",2,1)))</f>
        <v/>
      </c>
      <c r="BK109" s="86">
        <f>IF(OR(N($BJ109)=0,$BH109=""),"",($BH109-2*EdgeClr-IF($BJ109=2,MeetClr,0))/$BJ109)</f>
        <v/>
      </c>
      <c r="BL109" s="86">
        <f>IF(OR(N($BJ109)=0,$BI109=""),"",$BI109-HeadClr-Undercut)</f>
        <v/>
      </c>
      <c r="BM109" s="86">
        <f>IF($BH109="","",$BH109+2*FaceW+IF(N($Q109)&gt;0,($Q109+FaceW)*IF($R109="LR",2,1),0))</f>
        <v/>
      </c>
      <c r="BN109" s="86">
        <f>IF($BI109="","",$BI109+IF($AB109="Y",4,FaceW)+IF(N($P109)&gt;0,$P109+FaceW,0)+IF(OR($S109="4F",$S109="BL"),FaceW,0))</f>
        <v/>
      </c>
      <c r="BO109" s="86">
        <f>IF($BM109="","",$BM109+2*ROSide)</f>
        <v/>
      </c>
      <c r="BP109" s="86">
        <f>IF($BN109="","",$BN109+ROTop)</f>
        <v/>
      </c>
      <c r="BQ109" s="87">
        <f>IF(OR(N($BJ109)=0,$BH109=""),"",$BH109/$BJ109-ClearDeduct)</f>
        <v/>
      </c>
      <c r="BR109" s="84">
        <f>IF(N($CH109)=0,"",IF($CH109&gt;=180,"A · 3 HR",IF($CH109&gt;=90,"B · 1-1/2 HR",IF($CH109&gt;=60,"B · 1 HR",IF($CH109&gt;=45,"C · 3/4 HR","20 MIN")))))&amp;IF(AND(N($CH109)&gt;0,OR($I109="CORRIDOR",$I109="SMOKE BARRIER"))," · S","")</f>
        <v/>
      </c>
      <c r="BS109" s="84">
        <f>IF($CS109,"",IF($AV109&lt;&gt;"",$AV109,IF(OR($AC109="HGC",$AO109="HGC"),"CONT",IF(($BI109-HeadClr-Undercut)&lt;=60,2,IF(($BI109-HeadClr-Undercut)&lt;=90,3,IF(($BI109-HeadClr-Undercut)&lt;=120,4,5))))))</f>
        <v/>
      </c>
      <c r="BT109" s="84">
        <f>IF($CS109,"",IF($CT109,"CUSTOM (typed)",IF($CV109,$AT109&amp;" "&amp;$CU109&amp;CHAR(34)&amp;IF($CU109&lt;&gt;$BI109,IF(AND($BI109&lt;$CU109,$BI109-IF(N(VLOOKUP($AT109&amp;"|"&amp;$CU109,LocTable,7,FALSE))&gt;0,VLOOKUP($AT109&amp;"|"&amp;$CU109,LocTable,7,FALSE),VLOOKUP($AT109&amp;"|"&amp;$CU109,LocTable,6,FALSE))-$CR109-0.75&gt;=2.125)," cut down"," adj."),""),"ANSI/SDI A250.6")))</f>
        <v/>
      </c>
      <c r="BU109" s="88">
        <f>IF($CS109,"",IF($CT109,IF(N($AW109)&gt;0,N($AW109),""),IF(1&gt;$CQ109,"",IF($CQ109=1,$CW109,$CW109+($CX109-$CW109)*0/($CQ109-1)))))</f>
        <v/>
      </c>
      <c r="BV109" s="88">
        <f>IF($CS109,"",IF($CT109,IF(N($AX109)&gt;0,N($AX109),""),IF(2&gt;$CQ109,"",IF($CQ109=1,$CW109,$CW109+($CX109-$CW109)*1/($CQ109-1)))))</f>
        <v/>
      </c>
      <c r="BW109" s="88">
        <f>IF($CS109,"",IF($CT109,IF(N($AY109)&gt;0,N($AY109),""),IF(3&gt;$CQ109,"",IF($CQ109=1,$CW109,$CW109+($CX109-$CW109)*2/($CQ109-1)))))</f>
        <v/>
      </c>
      <c r="BX109" s="88">
        <f>IF($CS109,"",IF($CT109,IF(N($AZ109)&gt;0,N($AZ109),""),IF(4&gt;$CQ109,"",IF($CQ109=1,$CW109,$CW109+($CX109-$CW109)*3/($CQ109-1)))))</f>
        <v/>
      </c>
      <c r="BY109" s="88">
        <f>IF($CS109,"",IF($CT109,"",IF(5&gt;$CQ109,"",IF($CQ109=1,$CW109,$CW109+($CX109-$CW109)*4/($CQ109-1)))))</f>
        <v/>
      </c>
      <c r="BZ109" s="88">
        <f>IF(OR($CS109,$AP109="-",AND($AP109="",$AD109="")),"",IF(N($BA109)&gt;0,N($BA109),IF($CV109,IF(AND($BI109&lt;$CU109,$BI109-IF(N(VLOOKUP($AT109&amp;"|"&amp;$CU109,LocTable,7,FALSE))&gt;0,VLOOKUP($AT109&amp;"|"&amp;$CU109,LocTable,7,FALSE),VLOOKUP($AT109&amp;"|"&amp;$CU109,LocTable,6,FALSE))-$CR109-0.75&gt;=2.125),VLOOKUP($AT109&amp;"|"&amp;$CU109,LocTable,8,FALSE),VLOOKUP($AT109&amp;"|"&amp;$CU109,LocTable,8,FALSE)+($BI109-$CU109)),$BI109-LockAFF)))</f>
        <v/>
      </c>
      <c r="CA109" s="89">
        <f>IF($BZ109="","",$BI109-$BZ109)</f>
        <v/>
      </c>
      <c r="CB109" s="84">
        <f>IF(OR(NOT(AND($A109&lt;&gt;"",$C109&lt;&gt;"DOOR ONLY")),$BI109=""),"",IF(($BI109+IF(N($P109)&gt;0,$P109+FaceW,0))&lt;=90,3,IF(($BI109+IF(N($P109)&gt;0,$P109+FaceW,0))&lt;=114,4,5)))</f>
        <v/>
      </c>
      <c r="CC109" s="84">
        <f>IF($CB109="","",$CB109*(2+IF(N($Q109)&gt;0,IF($R109="LR",2,1),0)))</f>
        <v/>
      </c>
      <c r="CD109" s="84">
        <f>IF($CB109="","",(2+IF(N($Q109)&gt;0,IF($R109="LR",2,1),0)))</f>
        <v/>
      </c>
      <c r="CE109" s="84">
        <f>IF(N($BJ109)=0,"",IF(OR($AL109="",$AL109="FLUSH"),"FLUSH",IFERROR(LEFT($AL109,FIND("-",$AL109)-1),LEFT($AL109,2))))</f>
        <v/>
      </c>
      <c r="CF109" s="84">
        <f>IF($CE109="","",IFERROR(VALUE(MID($AL109,FIND("-",$AL109)+1,FIND(CHAR(34)&amp;"x",$AL109)-FIND("-",$AL109)-1)),0))</f>
        <v/>
      </c>
      <c r="CG109" s="84">
        <f>IF($CE109="","",IFERROR(VALUE(MID($AL109,FIND(CHAR(34)&amp;"x",$AL109)+2,FIND(CHAR(34),$AL109,FIND(CHAR(34)&amp;"x",$AL109)+2)-FIND(CHAR(34)&amp;"x",$AL109)-2)),0))</f>
        <v/>
      </c>
      <c r="CH109" s="90">
        <f>IF(OR($A109="",$H109="",$H109="NO LAB"),0,IFERROR(VALUE(LEFT($H109,FIND(" ",$H109)-1)),0))</f>
        <v/>
      </c>
      <c r="CI109" s="91">
        <f>IF(OR($A109="",$I109="",$I109="NON-RATED",N($J109)=0),"",IFERROR(VLOOKUP($I109&amp;"|"&amp;$J109,IBC,2,FALSE),"?"))</f>
        <v/>
      </c>
      <c r="CJ109" s="85">
        <f>IF(NOT(AND($A109&lt;&gt;"",$C109&lt;&gt;"DOOR ONLY")),"",TRIM(IFERROR(VLOOKUP($U109,CODES,2,FALSE),"")&amp;" "&amp;$BG109&amp;" "&amp;IFERROR(VLOOKUP($Z109,CODES,2,FALSE),"")&amp;" "&amp;IFERROR(VLOOKUP($X109,CODES,2,FALSE),"")&amp;" "&amp;IFERROR(VLOOKUP($S109,CODES,2,FALSE),"")&amp;IF(N($P109)&gt;0," w/TRANSOM "&amp;$P109&amp;CHAR(34),"")&amp;IF(N($Q109)&gt;0," w/SIDELITE "&amp;$Q109&amp;CHAR(34)&amp;" "&amp;IF($R109="","R",$R109),"")&amp;IF($Y109="","  |  "," | "&amp;IFERROR(VLOOKUP($Y109,CODES,2,FALSE),"")&amp;" | ")&amp;IFERROR(VLOOKUP($AC109,CODES,2,FALSE),"")&amp;" "&amp;IFERROR(VLOOKUP($AD109,CODES,2,FALSE),"")&amp;IF(OR($AE109="",$AE109="-"),""," "&amp;$AE109)&amp;IF(OR($AF109="",$AF109="-"),""," "&amp;$AF109)&amp;IF($AB109="Y"," 4"&amp;CHAR(34)&amp;" HEAD","")&amp;" "&amp;IFERROR(VLOOKUP($H109,CODES,2,FALSE),"")&amp;IF($CT109," | LOC "&amp;$CY109,"")))</f>
        <v/>
      </c>
      <c r="CK109" s="85">
        <f>IF(NOT(AND($A109&lt;&gt;"",N($BJ109)&gt;0)),"",TRIM(IFERROR(VLOOKUP($AH109,CODES,2,FALSE),"")&amp;IF($AI109=""," "," "&amp;$AI109&amp;"GA ")&amp;$BG109&amp;" "&amp;IF($AN109="",IFERROR(VLOOKUP($Z109,CODES,2,FALSE),""),IFERROR(VLOOKUP($AN109,CODES,2,FALSE),""))&amp;IF($BJ109=2," PAIR","")&amp;" DOOR | "&amp;IF($AL109="","?",$AL109)&amp;" | "&amp;IF($AO109="",IFERROR(VLOOKUP($AC109,CODES,2,FALSE),""),IFERROR(VLOOKUP($AO109,CODES,2,FALSE),""))&amp;" "&amp;IFERROR(VLOOKUP($AP109,CODES,2,FALSE),"")&amp;IF(OR($AQ109="",$AQ109="-"),""," SEAM "&amp;$AQ109)&amp;IF($AR109="Y"," ASTRAGAL","")&amp;IF($AJ109=""," "," "&amp;$AJ109)&amp;IF($AK109=""," "," "&amp;$AK109)&amp;IF(OR($AT109="",$AT109="ANSI/SDI",$AT109="CUSTOM LOC"),""," "&amp;$AT109)&amp;IF($AM109=""," "," SERIES "&amp;$AM109)&amp;" "&amp;IFERROR(VLOOKUP($H109,CODES,2,FALSE),"")&amp;IF($CT109," | LOC "&amp;$CZ109,"")))</f>
        <v/>
      </c>
      <c r="CL109" s="84">
        <f>IF(CP109="","",IF(COUNTIF($CP$6:CP109,CP109)=1,MAX($CL$5:CL108)+1,INDEX($CL$5:CL108,MATCH(CP109,$CP$5:CP108,0))))</f>
        <v/>
      </c>
      <c r="CM109" s="84">
        <f>IF(NOT(AND($A109&lt;&gt;"",$C109&lt;&gt;"DOOR ONLY")),"",MAX($CM$5:CM108)+1)</f>
        <v/>
      </c>
      <c r="CN109" s="84">
        <f>IF(NOT(AND($A109&lt;&gt;"",N($BJ109)&gt;0)),"",MAX($CN$5:CN108)+1)</f>
        <v/>
      </c>
      <c r="CO109" s="84">
        <f>IF($A109="","",MAX($CO$5:CO108)+1)</f>
        <v/>
      </c>
      <c r="CP109" s="84">
        <f>IF(OR($A109="",$BH109="",$BI109=""),"",$BG109&amp;"|"&amp;$O109&amp;"|"&amp;$AL109&amp;"|"&amp;$S109&amp;"|"&amp;$P109&amp;"|"&amp;$Q109&amp;$R109&amp;"|"&amp;$C109&amp;"|"&amp;$AB109)</f>
        <v/>
      </c>
      <c r="CQ109" s="84">
        <f>N($BS109)</f>
        <v/>
      </c>
      <c r="CR109" s="84">
        <f>IF(N($AU109)&gt;0,N($AU109),4.5)</f>
        <v/>
      </c>
      <c r="CS109" s="84">
        <f>OR($A109="",$BI109="",$S109="BL",AND($C109="FRAME ONLY",OR($AC109="",$AC109="BLK")))</f>
        <v/>
      </c>
      <c r="CT109" s="84">
        <f>AND(NOT($CS109),OR($AT109="CUSTOM LOC",N($AW109)+N($AX109)+N($AY109)+N($AZ109)+N($BA109)&gt;0))</f>
        <v/>
      </c>
      <c r="CU109" s="84">
        <f>IF($BI109="","",IF($BI109&lt;=80,80,IF($BI109&lt;=84,84,96)))</f>
        <v/>
      </c>
      <c r="CV109" s="84">
        <f>ISNUMBER(MATCH($AT109&amp;"|80",LocKeys,0))</f>
        <v/>
      </c>
      <c r="CW109" s="86">
        <f>IF($CS109,"",IF($CV109,VLOOKUP($AT109&amp;"|"&amp;$CU109,LocTable,4,FALSE),5))</f>
        <v/>
      </c>
      <c r="CX109" s="86">
        <f>IF($CS109,"",IF($CV109,IF(OR($BI109=$CU109,AND($BI109&lt;$CU109,$BI109-IF(N(VLOOKUP($AT109&amp;"|"&amp;$CU109,LocTable,7,FALSE))&gt;0,VLOOKUP($AT109&amp;"|"&amp;$CU109,LocTable,7,FALSE),VLOOKUP($AT109&amp;"|"&amp;$CU109,LocTable,6,FALSE))-$CR109-0.75&gt;=2.125)),IF(N(VLOOKUP($AT109&amp;"|"&amp;$CU109,LocTable,7,FALSE))&gt;0,VLOOKUP($AT109&amp;"|"&amp;$CU109,LocTable,7,FALSE),VLOOKUP($AT109&amp;"|"&amp;$CU109,LocTable,6,FALSE)),$BI109-($CU109-IF(N(VLOOKUP($AT109&amp;"|"&amp;$CU109,LocTable,7,FALSE))&gt;0,VLOOKUP($AT109&amp;"|"&amp;$CU109,LocTable,7,FALSE),VLOOKUP($AT109&amp;"|"&amp;$CU109,LocTable,6,FALSE)))),$BI109-10-$CR109))</f>
        <v/>
      </c>
      <c r="CY109" s="85">
        <f>IF($CS109,"",TRIM(IF(ISNUMBER($BU109),"A "&amp;TRIM(TEXT($BU109,"# ?/??"))&amp;CHAR(34)&amp;"  ","")&amp;IF(ISNUMBER($BV109),"B "&amp;TRIM(TEXT($BV109,"# ?/??"))&amp;CHAR(34)&amp;"  ","")&amp;IF(ISNUMBER($BW109),"C "&amp;TRIM(TEXT($BW109,"# ?/??"))&amp;CHAR(34)&amp;"  ","")&amp;IF(ISNUMBER($BX109),"D "&amp;TRIM(TEXT($BX109,"# ?/??"))&amp;CHAR(34)&amp;"  ","")&amp;IF(ISNUMBER($BY109),"F "&amp;TRIM(TEXT($BY109,"# ?/??"))&amp;CHAR(34)&amp;"  ","")&amp;IF(ISNUMBER($BZ109),"E "&amp;TRIM(TEXT($BZ109,"# ?/??"))&amp;CHAR(34)&amp;"  ","")))</f>
        <v/>
      </c>
      <c r="CZ109" s="85">
        <f>IF(OR($CS109,N($BJ109)=0),"",TRIM(IF(ISNUMBER($BU109),"A "&amp;TRIM(TEXT($BU109-HeadClr,"# ?/??"))&amp;CHAR(34)&amp;"  ","")&amp;IF(ISNUMBER($BV109),"B "&amp;TRIM(TEXT($BV109-HeadClr,"# ?/??"))&amp;CHAR(34)&amp;"  ","")&amp;IF(ISNUMBER($BW109),"C "&amp;TRIM(TEXT($BW109-HeadClr,"# ?/??"))&amp;CHAR(34)&amp;"  ","")&amp;IF(ISNUMBER($BX109),"D "&amp;TRIM(TEXT($BX109-HeadClr,"# ?/??"))&amp;CHAR(34)&amp;"  ","")&amp;IF(ISNUMBER($BY109),"F "&amp;TRIM(TEXT($BY109-HeadClr,"# ?/??"))&amp;CHAR(34)&amp;"  ","")&amp;IF(ISNUMBER($BZ109),"E "&amp;TRIM(TEXT($BZ109-HeadClr,"# ?/??"))&amp;CHAR(34)&amp;"  ","")))</f>
        <v/>
      </c>
      <c r="DA109" s="84">
        <f>IF($A109="","",IF($AN109="",IFERROR(VLOOKUP($Z109,CODES,2,FALSE),""),IFERROR(VLOOKUP($AN109,CODES,2,FALSE),"")))</f>
        <v/>
      </c>
      <c r="DB109" s="84">
        <f>IF($A109="","",IF($O109="Y","PR",IF(OR($Z109="L",$Z109="RR",LEFT($Z109,2)="L-",LEFT($Z109,3)="RR-"),"LH","RH")))</f>
        <v/>
      </c>
      <c r="DC109" s="84">
        <f>IF($A109="","","S.HM"&amp;IF(OR($C109="DOOR ONLY",$X109&lt;&gt;"KD"),"MASONRY","DRYWALL")&amp;IF($C109="DOOR ONLY","",$U109)&amp;IF(AND($C109&lt;&gt;"FRAME ONLY",OR(LEFT($AH109,3)="OAK",LEFT($AH109,3)="BIR",LEFT($AH109,3)="MAP",$AH109="PC",$AH109="MC",$AH109="SCLC",$AH109="P-LAM")),"WD","HM")&amp;"1.75")</f>
        <v/>
      </c>
      <c r="DD109" s="84">
        <f>IF($CJ109="","",IF($O109="Y",$CJ109,SUBSTITUTE($CJ109,$BG109&amp;" "&amp;IFERROR(VLOOKUP($Z109,CODES,2,FALSE),"")&amp;" ",$BG109&amp;" ")))</f>
        <v/>
      </c>
      <c r="DE109" s="84">
        <f>IF($CK109="","",IF($O109="Y",$CK109,SUBSTITUTE($CK109,$BG109&amp;" "&amp;IF($AN109="",IFERROR(VLOOKUP($Z109,CODES,2,FALSE),""),IFERROR(VLOOKUP($AN109,CODES,2,FALSE),""))&amp;" ",$BG109&amp;" ")))</f>
        <v/>
      </c>
      <c r="DF109" s="84">
        <f>IF($CJ109="","",$DC109&amp;"|"&amp;$DD109&amp;"|"&amp;$DB109&amp;"|"&amp;$AT109&amp;"|"&amp;$V109&amp;"|"&amp;$Y109&amp;"|"&amp;$AB109)</f>
        <v/>
      </c>
      <c r="DG109" s="84">
        <f>IF(DF109="","",IF(COUNTIF($DF$6:DF109,DF109)=1,MAX($DG$5:DG108)+1,INDEX($DG$5:DG108,MATCH(DF109,$DF$5:DF108,0))))</f>
        <v/>
      </c>
      <c r="DH109" s="84">
        <f>IF($CK109="","",$DC109&amp;"|"&amp;$DE109&amp;"|"&amp;$AI109&amp;"|"&amp;$BK109&amp;"|"&amp;$BL109)</f>
        <v/>
      </c>
      <c r="DI109" s="84">
        <f>IF(DH109="","",IF(COUNTIF($DH$6:DH109,DH109)=1,MAX($DI$5:DI108)+1,INDEX($DI$5:DI108,MATCH(DH109,$DH$5:DH108,0))))</f>
        <v/>
      </c>
      <c r="DJ109" s="84">
        <f>IF($A109="","",IF($B109="","qty, ","")&amp;IF($C109="","scope, ","")&amp;IF(OR($K109="",$M109=""),"size, ","")&amp;IF(AND($A109&lt;&gt;"",$C109&lt;&gt;"DOOR ONLY"),IF($U109="","jamb depth, ","")&amp;IF($X109="","construction, ","")&amp;IF($Y109="","anchor, ","")&amp;IF($S109="","frame type, ",""),"")&amp;IF(AND(N($BJ109)&gt;0,$Z109=""),"hand, ","")&amp;IF(N($BJ109)&gt;0,IF($AH109="","door material, ","")&amp;IF($AL109="","face type, ","")&amp;IF($AP109="","lock prep, ","")&amp;IF(AND($AO109="",$AC109=""),"hinge prep, ",""),"")&amp;IF(AND($CH109&gt;0,$AH109="FRP"),"FRP cannot carry a label, ","")&amp;IF(AND($O109="Y",OR($Z109="L",$Z109="R",$Z109="LR",$Z109="RR")),"pair marked but hand is single, ","")&amp;IF(AND($O109&lt;&gt;"Y",OR($Z109="PR",AND(LEN($Z109)&gt;1,ISNUMBER(SEARCH("-",$Z109))))),"pair hand on a single door, ","")&amp;IF(AND(ISNUMBER($CI109),$CH109&lt;N($CI109)),"wall needs a "&amp;$CI109&amp;" min door, ","")&amp;IF(AND($CH109&gt;=180,AND(OR($CE109="FG",$CE109="HG",$CE109="FNV",$CE109="FV"),N($CF109)*N($CG109)&gt;100)),"180 min lite over 100 sq in, ","")&amp;IF(N($BK109)&gt;48,"leaf wider than 4'-0"&amp;CHAR(34)&amp;", ","")&amp;IF(AND($CT109,COUNT($AW109:$AZ109)=0,$CQ109&gt;0),"CUSTOM LOC with no locations typed, ",""))</f>
        <v/>
      </c>
      <c r="DK109" s="84">
        <f>IF($A109="","",IF(AND($CH109&gt;0,AND($A109&lt;&gt;"",$C109&lt;&gt;"DOOR ONLY"),$X109="KD",$E109="EXTERIOR"),"KD label on an exterior opening, ","")&amp;IF(AND($E109="EXTERIOR",OR(AND(AND($A109&lt;&gt;"",$C109&lt;&gt;"DOOR ONLY"),$W109="CR"),AND(N($BJ109)&gt;0,$AH109="CR"))),"exterior in CR steel (G9?), ","")&amp;IF(AND(ISNUMBER($BQ109),N($BQ109)&lt;32),"clear width ~"&amp;TEXT($BQ109,"0.0")&amp;CHAR(34)&amp;" under 32"&amp;CHAR(34)&amp;" (ADA), ","")&amp;IF(AND($CH109=90,AND(OR($CE109="FG",$CE109="HG",$CE109="FNV",$CE109="FV"),N($CF109)*N($CG109)&gt;100)),"90 min lite over 100 sq in (stair/exit), ","")&amp;IF(AND($CH109&gt;0,AND($A109&lt;&gt;"",$C109&lt;&gt;"DOOR ONLY"),OR($AF109="",$AF109="-")),"rated: closer reinf.?, ","")&amp;IF(OR($I109="CORRIDOR",$I109="SMOKE BARRIER"),"S label + smoke gasketing, ","")&amp;IF($CI109="?","wall type/hr not in IBC table, ","")&amp;IF(AND(N($BJ109)&gt;0,$BB109=""),"no hardware set, ","")&amp;IF(AND($BB109&lt;&gt;"",ISNA(MATCH($BB109&amp;"",HWSets,0))),"set "&amp;$BB109&amp;" not on HW Sets, ","")&amp;IF(N($BL109)&gt;96,"leaf over 8'-0"&amp;CHAR(34)&amp;" - check listing, ","")&amp;IF(AND($CT109,COUNT($AW109:$AZ109)&gt;0,COUNT($AW109:$AZ109)&lt;&gt;$CQ109),COUNT($AW109:$AZ109)&amp;" custom hinges typed, "&amp;$CQ109&amp;" expected, ","")&amp;IF(AND(ISNUMBER($CA109),OR(N($CA109)&lt;34,N($CA109)&gt;48)),"lock "&amp;TEXT($CA109,"0.0")&amp;CHAR(34)&amp;" AFF outside 34-48"&amp;CHAR(34)&amp;" (ADA), ","")&amp;IF(AND(ISNUMBER($AV109),ISNUMBER($BL109),N($AV109)&lt;IF(N($BL109)&lt;=60,2,IF(N($BL109)&lt;=90,3,IF(N($BL109)&lt;=120,4,5)))),"fewer hinges than standard, ",""))</f>
        <v/>
      </c>
    </row>
    <row r="110" ht="15" customHeight="1">
      <c r="A110" s="92" t="n"/>
      <c r="B110" s="93" t="n"/>
      <c r="C110" s="93" t="n"/>
      <c r="D110" s="93" t="n"/>
      <c r="E110" s="93" t="n"/>
      <c r="F110" s="93" t="n"/>
      <c r="G110" s="93" t="n"/>
      <c r="H110" s="93" t="n"/>
      <c r="I110" s="93" t="n"/>
      <c r="J110" s="93" t="n"/>
      <c r="K110" s="93" t="n"/>
      <c r="L110" s="93" t="n"/>
      <c r="M110" s="93" t="n"/>
      <c r="N110" s="93" t="n"/>
      <c r="O110" s="93" t="n"/>
      <c r="P110" s="93" t="n"/>
      <c r="Q110" s="93" t="n"/>
      <c r="R110" s="93" t="n"/>
      <c r="S110" s="94" t="n"/>
      <c r="T110" s="94" t="n"/>
      <c r="U110" s="94" t="n"/>
      <c r="V110" s="94" t="n"/>
      <c r="W110" s="94" t="n"/>
      <c r="X110" s="94" t="n"/>
      <c r="Y110" s="94" t="n"/>
      <c r="Z110" s="94" t="n"/>
      <c r="AA110" s="94" t="n"/>
      <c r="AB110" s="94" t="n"/>
      <c r="AC110" s="94" t="n"/>
      <c r="AD110" s="94" t="n"/>
      <c r="AE110" s="94" t="n"/>
      <c r="AF110" s="94" t="n"/>
      <c r="AG110" s="94" t="n"/>
      <c r="AH110" s="95" t="n"/>
      <c r="AI110" s="95" t="n"/>
      <c r="AJ110" s="95" t="n"/>
      <c r="AK110" s="95" t="n"/>
      <c r="AL110" s="95" t="n"/>
      <c r="AM110" s="95" t="n"/>
      <c r="AN110" s="95" t="n"/>
      <c r="AO110" s="95" t="n"/>
      <c r="AP110" s="95" t="n"/>
      <c r="AQ110" s="95" t="n"/>
      <c r="AR110" s="95" t="n"/>
      <c r="AS110" s="95" t="n"/>
      <c r="AT110" s="96" t="n"/>
      <c r="AU110" s="96" t="n"/>
      <c r="AV110" s="96" t="n"/>
      <c r="AW110" s="97" t="n"/>
      <c r="AX110" s="97" t="n"/>
      <c r="AY110" s="97" t="n"/>
      <c r="AZ110" s="97" t="n"/>
      <c r="BA110" s="97" t="n"/>
      <c r="BB110" s="98" t="n"/>
      <c r="BC110" s="98" t="n"/>
      <c r="BD110" s="99">
        <f>IF($A110="","",IF($DJ110&lt;&gt;"","FIX",IF($DK110&lt;&gt;"","CHECK","OK")))</f>
        <v/>
      </c>
      <c r="BE110" s="100">
        <f>IF($A110="","",IF($DJ110&lt;&gt;"","FIX: "&amp;LEFT($DJ110,LEN($DJ110)-2)&amp;IF($DK110&lt;&gt;"","  ·  ",""),"")&amp;IF($DK110&lt;&gt;"","CHECK: "&amp;LEFT($DK110,LEN($DK110)-2),""))</f>
        <v/>
      </c>
      <c r="BF110" s="99">
        <f>IF(OR($A110="",$K110=""),"",$K110&amp;"'-"&amp;N($L110)&amp;CHAR(34)&amp;" x "&amp;$M110&amp;"'-"&amp;N($N110)&amp;CHAR(34))</f>
        <v/>
      </c>
      <c r="BG110" s="99">
        <f>IF(OR($A110="",$K110=""),"",$K110&amp;N($L110)&amp;$M110&amp;N($N110))</f>
        <v/>
      </c>
      <c r="BH110" s="99">
        <f>IF(OR($A110="",$K110=""),"",$K110*12+N($L110))</f>
        <v/>
      </c>
      <c r="BI110" s="99">
        <f>IF(OR($A110="",$M110=""),"",$M110*12+N($N110))</f>
        <v/>
      </c>
      <c r="BJ110" s="99">
        <f>IF($A110="","",IF(OR($C110="FRAME ONLY",$S110="BL"),0,IF($O110="Y",2,1)))</f>
        <v/>
      </c>
      <c r="BK110" s="101">
        <f>IF(OR(N($BJ110)=0,$BH110=""),"",($BH110-2*EdgeClr-IF($BJ110=2,MeetClr,0))/$BJ110)</f>
        <v/>
      </c>
      <c r="BL110" s="101">
        <f>IF(OR(N($BJ110)=0,$BI110=""),"",$BI110-HeadClr-Undercut)</f>
        <v/>
      </c>
      <c r="BM110" s="101">
        <f>IF($BH110="","",$BH110+2*FaceW+IF(N($Q110)&gt;0,($Q110+FaceW)*IF($R110="LR",2,1),0))</f>
        <v/>
      </c>
      <c r="BN110" s="101">
        <f>IF($BI110="","",$BI110+IF($AB110="Y",4,FaceW)+IF(N($P110)&gt;0,$P110+FaceW,0)+IF(OR($S110="4F",$S110="BL"),FaceW,0))</f>
        <v/>
      </c>
      <c r="BO110" s="101">
        <f>IF($BM110="","",$BM110+2*ROSide)</f>
        <v/>
      </c>
      <c r="BP110" s="101">
        <f>IF($BN110="","",$BN110+ROTop)</f>
        <v/>
      </c>
      <c r="BQ110" s="102">
        <f>IF(OR(N($BJ110)=0,$BH110=""),"",$BH110/$BJ110-ClearDeduct)</f>
        <v/>
      </c>
      <c r="BR110" s="99">
        <f>IF(N($CH110)=0,"",IF($CH110&gt;=180,"A · 3 HR",IF($CH110&gt;=90,"B · 1-1/2 HR",IF($CH110&gt;=60,"B · 1 HR",IF($CH110&gt;=45,"C · 3/4 HR","20 MIN")))))&amp;IF(AND(N($CH110)&gt;0,OR($I110="CORRIDOR",$I110="SMOKE BARRIER"))," · S","")</f>
        <v/>
      </c>
      <c r="BS110" s="99">
        <f>IF($CS110,"",IF($AV110&lt;&gt;"",$AV110,IF(OR($AC110="HGC",$AO110="HGC"),"CONT",IF(($BI110-HeadClr-Undercut)&lt;=60,2,IF(($BI110-HeadClr-Undercut)&lt;=90,3,IF(($BI110-HeadClr-Undercut)&lt;=120,4,5))))))</f>
        <v/>
      </c>
      <c r="BT110" s="99">
        <f>IF($CS110,"",IF($CT110,"CUSTOM (typed)",IF($CV110,$AT110&amp;" "&amp;$CU110&amp;CHAR(34)&amp;IF($CU110&lt;&gt;$BI110,IF(AND($BI110&lt;$CU110,$BI110-IF(N(VLOOKUP($AT110&amp;"|"&amp;$CU110,LocTable,7,FALSE))&gt;0,VLOOKUP($AT110&amp;"|"&amp;$CU110,LocTable,7,FALSE),VLOOKUP($AT110&amp;"|"&amp;$CU110,LocTable,6,FALSE))-$CR110-0.75&gt;=2.125)," cut down"," adj."),""),"ANSI/SDI A250.6")))</f>
        <v/>
      </c>
      <c r="BU110" s="103">
        <f>IF($CS110,"",IF($CT110,IF(N($AW110)&gt;0,N($AW110),""),IF(1&gt;$CQ110,"",IF($CQ110=1,$CW110,$CW110+($CX110-$CW110)*0/($CQ110-1)))))</f>
        <v/>
      </c>
      <c r="BV110" s="103">
        <f>IF($CS110,"",IF($CT110,IF(N($AX110)&gt;0,N($AX110),""),IF(2&gt;$CQ110,"",IF($CQ110=1,$CW110,$CW110+($CX110-$CW110)*1/($CQ110-1)))))</f>
        <v/>
      </c>
      <c r="BW110" s="103">
        <f>IF($CS110,"",IF($CT110,IF(N($AY110)&gt;0,N($AY110),""),IF(3&gt;$CQ110,"",IF($CQ110=1,$CW110,$CW110+($CX110-$CW110)*2/($CQ110-1)))))</f>
        <v/>
      </c>
      <c r="BX110" s="103">
        <f>IF($CS110,"",IF($CT110,IF(N($AZ110)&gt;0,N($AZ110),""),IF(4&gt;$CQ110,"",IF($CQ110=1,$CW110,$CW110+($CX110-$CW110)*3/($CQ110-1)))))</f>
        <v/>
      </c>
      <c r="BY110" s="103">
        <f>IF($CS110,"",IF($CT110,"",IF(5&gt;$CQ110,"",IF($CQ110=1,$CW110,$CW110+($CX110-$CW110)*4/($CQ110-1)))))</f>
        <v/>
      </c>
      <c r="BZ110" s="103">
        <f>IF(OR($CS110,$AP110="-",AND($AP110="",$AD110="")),"",IF(N($BA110)&gt;0,N($BA110),IF($CV110,IF(AND($BI110&lt;$CU110,$BI110-IF(N(VLOOKUP($AT110&amp;"|"&amp;$CU110,LocTable,7,FALSE))&gt;0,VLOOKUP($AT110&amp;"|"&amp;$CU110,LocTable,7,FALSE),VLOOKUP($AT110&amp;"|"&amp;$CU110,LocTable,6,FALSE))-$CR110-0.75&gt;=2.125),VLOOKUP($AT110&amp;"|"&amp;$CU110,LocTable,8,FALSE),VLOOKUP($AT110&amp;"|"&amp;$CU110,LocTable,8,FALSE)+($BI110-$CU110)),$BI110-LockAFF)))</f>
        <v/>
      </c>
      <c r="CA110" s="104">
        <f>IF($BZ110="","",$BI110-$BZ110)</f>
        <v/>
      </c>
      <c r="CB110" s="99">
        <f>IF(OR(NOT(AND($A110&lt;&gt;"",$C110&lt;&gt;"DOOR ONLY")),$BI110=""),"",IF(($BI110+IF(N($P110)&gt;0,$P110+FaceW,0))&lt;=90,3,IF(($BI110+IF(N($P110)&gt;0,$P110+FaceW,0))&lt;=114,4,5)))</f>
        <v/>
      </c>
      <c r="CC110" s="99">
        <f>IF($CB110="","",$CB110*(2+IF(N($Q110)&gt;0,IF($R110="LR",2,1),0)))</f>
        <v/>
      </c>
      <c r="CD110" s="99">
        <f>IF($CB110="","",(2+IF(N($Q110)&gt;0,IF($R110="LR",2,1),0)))</f>
        <v/>
      </c>
      <c r="CE110" s="99">
        <f>IF(N($BJ110)=0,"",IF(OR($AL110="",$AL110="FLUSH"),"FLUSH",IFERROR(LEFT($AL110,FIND("-",$AL110)-1),LEFT($AL110,2))))</f>
        <v/>
      </c>
      <c r="CF110" s="99">
        <f>IF($CE110="","",IFERROR(VALUE(MID($AL110,FIND("-",$AL110)+1,FIND(CHAR(34)&amp;"x",$AL110)-FIND("-",$AL110)-1)),0))</f>
        <v/>
      </c>
      <c r="CG110" s="99">
        <f>IF($CE110="","",IFERROR(VALUE(MID($AL110,FIND(CHAR(34)&amp;"x",$AL110)+2,FIND(CHAR(34),$AL110,FIND(CHAR(34)&amp;"x",$AL110)+2)-FIND(CHAR(34)&amp;"x",$AL110)-2)),0))</f>
        <v/>
      </c>
      <c r="CH110" s="105">
        <f>IF(OR($A110="",$H110="",$H110="NO LAB"),0,IFERROR(VALUE(LEFT($H110,FIND(" ",$H110)-1)),0))</f>
        <v/>
      </c>
      <c r="CI110" s="106">
        <f>IF(OR($A110="",$I110="",$I110="NON-RATED",N($J110)=0),"",IFERROR(VLOOKUP($I110&amp;"|"&amp;$J110,IBC,2,FALSE),"?"))</f>
        <v/>
      </c>
      <c r="CJ110" s="100">
        <f>IF(NOT(AND($A110&lt;&gt;"",$C110&lt;&gt;"DOOR ONLY")),"",TRIM(IFERROR(VLOOKUP($U110,CODES,2,FALSE),"")&amp;" "&amp;$BG110&amp;" "&amp;IFERROR(VLOOKUP($Z110,CODES,2,FALSE),"")&amp;" "&amp;IFERROR(VLOOKUP($X110,CODES,2,FALSE),"")&amp;" "&amp;IFERROR(VLOOKUP($S110,CODES,2,FALSE),"")&amp;IF(N($P110)&gt;0," w/TRANSOM "&amp;$P110&amp;CHAR(34),"")&amp;IF(N($Q110)&gt;0," w/SIDELITE "&amp;$Q110&amp;CHAR(34)&amp;" "&amp;IF($R110="","R",$R110),"")&amp;IF($Y110="","  |  "," | "&amp;IFERROR(VLOOKUP($Y110,CODES,2,FALSE),"")&amp;" | ")&amp;IFERROR(VLOOKUP($AC110,CODES,2,FALSE),"")&amp;" "&amp;IFERROR(VLOOKUP($AD110,CODES,2,FALSE),"")&amp;IF(OR($AE110="",$AE110="-"),""," "&amp;$AE110)&amp;IF(OR($AF110="",$AF110="-"),""," "&amp;$AF110)&amp;IF($AB110="Y"," 4"&amp;CHAR(34)&amp;" HEAD","")&amp;" "&amp;IFERROR(VLOOKUP($H110,CODES,2,FALSE),"")&amp;IF($CT110," | LOC "&amp;$CY110,"")))</f>
        <v/>
      </c>
      <c r="CK110" s="100">
        <f>IF(NOT(AND($A110&lt;&gt;"",N($BJ110)&gt;0)),"",TRIM(IFERROR(VLOOKUP($AH110,CODES,2,FALSE),"")&amp;IF($AI110=""," "," "&amp;$AI110&amp;"GA ")&amp;$BG110&amp;" "&amp;IF($AN110="",IFERROR(VLOOKUP($Z110,CODES,2,FALSE),""),IFERROR(VLOOKUP($AN110,CODES,2,FALSE),""))&amp;IF($BJ110=2," PAIR","")&amp;" DOOR | "&amp;IF($AL110="","?",$AL110)&amp;" | "&amp;IF($AO110="",IFERROR(VLOOKUP($AC110,CODES,2,FALSE),""),IFERROR(VLOOKUP($AO110,CODES,2,FALSE),""))&amp;" "&amp;IFERROR(VLOOKUP($AP110,CODES,2,FALSE),"")&amp;IF(OR($AQ110="",$AQ110="-"),""," SEAM "&amp;$AQ110)&amp;IF($AR110="Y"," ASTRAGAL","")&amp;IF($AJ110=""," "," "&amp;$AJ110)&amp;IF($AK110=""," "," "&amp;$AK110)&amp;IF(OR($AT110="",$AT110="ANSI/SDI",$AT110="CUSTOM LOC"),""," "&amp;$AT110)&amp;IF($AM110=""," "," SERIES "&amp;$AM110)&amp;" "&amp;IFERROR(VLOOKUP($H110,CODES,2,FALSE),"")&amp;IF($CT110," | LOC "&amp;$CZ110,"")))</f>
        <v/>
      </c>
      <c r="CL110" s="99">
        <f>IF(CP110="","",IF(COUNTIF($CP$6:CP110,CP110)=1,MAX($CL$5:CL109)+1,INDEX($CL$5:CL109,MATCH(CP110,$CP$5:CP109,0))))</f>
        <v/>
      </c>
      <c r="CM110" s="99">
        <f>IF(NOT(AND($A110&lt;&gt;"",$C110&lt;&gt;"DOOR ONLY")),"",MAX($CM$5:CM109)+1)</f>
        <v/>
      </c>
      <c r="CN110" s="99">
        <f>IF(NOT(AND($A110&lt;&gt;"",N($BJ110)&gt;0)),"",MAX($CN$5:CN109)+1)</f>
        <v/>
      </c>
      <c r="CO110" s="99">
        <f>IF($A110="","",MAX($CO$5:CO109)+1)</f>
        <v/>
      </c>
      <c r="CP110" s="99">
        <f>IF(OR($A110="",$BH110="",$BI110=""),"",$BG110&amp;"|"&amp;$O110&amp;"|"&amp;$AL110&amp;"|"&amp;$S110&amp;"|"&amp;$P110&amp;"|"&amp;$Q110&amp;$R110&amp;"|"&amp;$C110&amp;"|"&amp;$AB110)</f>
        <v/>
      </c>
      <c r="CQ110" s="99">
        <f>N($BS110)</f>
        <v/>
      </c>
      <c r="CR110" s="99">
        <f>IF(N($AU110)&gt;0,N($AU110),4.5)</f>
        <v/>
      </c>
      <c r="CS110" s="99">
        <f>OR($A110="",$BI110="",$S110="BL",AND($C110="FRAME ONLY",OR($AC110="",$AC110="BLK")))</f>
        <v/>
      </c>
      <c r="CT110" s="99">
        <f>AND(NOT($CS110),OR($AT110="CUSTOM LOC",N($AW110)+N($AX110)+N($AY110)+N($AZ110)+N($BA110)&gt;0))</f>
        <v/>
      </c>
      <c r="CU110" s="99">
        <f>IF($BI110="","",IF($BI110&lt;=80,80,IF($BI110&lt;=84,84,96)))</f>
        <v/>
      </c>
      <c r="CV110" s="99">
        <f>ISNUMBER(MATCH($AT110&amp;"|80",LocKeys,0))</f>
        <v/>
      </c>
      <c r="CW110" s="101">
        <f>IF($CS110,"",IF($CV110,VLOOKUP($AT110&amp;"|"&amp;$CU110,LocTable,4,FALSE),5))</f>
        <v/>
      </c>
      <c r="CX110" s="101">
        <f>IF($CS110,"",IF($CV110,IF(OR($BI110=$CU110,AND($BI110&lt;$CU110,$BI110-IF(N(VLOOKUP($AT110&amp;"|"&amp;$CU110,LocTable,7,FALSE))&gt;0,VLOOKUP($AT110&amp;"|"&amp;$CU110,LocTable,7,FALSE),VLOOKUP($AT110&amp;"|"&amp;$CU110,LocTable,6,FALSE))-$CR110-0.75&gt;=2.125)),IF(N(VLOOKUP($AT110&amp;"|"&amp;$CU110,LocTable,7,FALSE))&gt;0,VLOOKUP($AT110&amp;"|"&amp;$CU110,LocTable,7,FALSE),VLOOKUP($AT110&amp;"|"&amp;$CU110,LocTable,6,FALSE)),$BI110-($CU110-IF(N(VLOOKUP($AT110&amp;"|"&amp;$CU110,LocTable,7,FALSE))&gt;0,VLOOKUP($AT110&amp;"|"&amp;$CU110,LocTable,7,FALSE),VLOOKUP($AT110&amp;"|"&amp;$CU110,LocTable,6,FALSE)))),$BI110-10-$CR110))</f>
        <v/>
      </c>
      <c r="CY110" s="100">
        <f>IF($CS110,"",TRIM(IF(ISNUMBER($BU110),"A "&amp;TRIM(TEXT($BU110,"# ?/??"))&amp;CHAR(34)&amp;"  ","")&amp;IF(ISNUMBER($BV110),"B "&amp;TRIM(TEXT($BV110,"# ?/??"))&amp;CHAR(34)&amp;"  ","")&amp;IF(ISNUMBER($BW110),"C "&amp;TRIM(TEXT($BW110,"# ?/??"))&amp;CHAR(34)&amp;"  ","")&amp;IF(ISNUMBER($BX110),"D "&amp;TRIM(TEXT($BX110,"# ?/??"))&amp;CHAR(34)&amp;"  ","")&amp;IF(ISNUMBER($BY110),"F "&amp;TRIM(TEXT($BY110,"# ?/??"))&amp;CHAR(34)&amp;"  ","")&amp;IF(ISNUMBER($BZ110),"E "&amp;TRIM(TEXT($BZ110,"# ?/??"))&amp;CHAR(34)&amp;"  ","")))</f>
        <v/>
      </c>
      <c r="CZ110" s="100">
        <f>IF(OR($CS110,N($BJ110)=0),"",TRIM(IF(ISNUMBER($BU110),"A "&amp;TRIM(TEXT($BU110-HeadClr,"# ?/??"))&amp;CHAR(34)&amp;"  ","")&amp;IF(ISNUMBER($BV110),"B "&amp;TRIM(TEXT($BV110-HeadClr,"# ?/??"))&amp;CHAR(34)&amp;"  ","")&amp;IF(ISNUMBER($BW110),"C "&amp;TRIM(TEXT($BW110-HeadClr,"# ?/??"))&amp;CHAR(34)&amp;"  ","")&amp;IF(ISNUMBER($BX110),"D "&amp;TRIM(TEXT($BX110-HeadClr,"# ?/??"))&amp;CHAR(34)&amp;"  ","")&amp;IF(ISNUMBER($BY110),"F "&amp;TRIM(TEXT($BY110-HeadClr,"# ?/??"))&amp;CHAR(34)&amp;"  ","")&amp;IF(ISNUMBER($BZ110),"E "&amp;TRIM(TEXT($BZ110-HeadClr,"# ?/??"))&amp;CHAR(34)&amp;"  ","")))</f>
        <v/>
      </c>
      <c r="DA110" s="99">
        <f>IF($A110="","",IF($AN110="",IFERROR(VLOOKUP($Z110,CODES,2,FALSE),""),IFERROR(VLOOKUP($AN110,CODES,2,FALSE),"")))</f>
        <v/>
      </c>
      <c r="DB110" s="99">
        <f>IF($A110="","",IF($O110="Y","PR",IF(OR($Z110="L",$Z110="RR",LEFT($Z110,2)="L-",LEFT($Z110,3)="RR-"),"LH","RH")))</f>
        <v/>
      </c>
      <c r="DC110" s="99">
        <f>IF($A110="","","S.HM"&amp;IF(OR($C110="DOOR ONLY",$X110&lt;&gt;"KD"),"MASONRY","DRYWALL")&amp;IF($C110="DOOR ONLY","",$U110)&amp;IF(AND($C110&lt;&gt;"FRAME ONLY",OR(LEFT($AH110,3)="OAK",LEFT($AH110,3)="BIR",LEFT($AH110,3)="MAP",$AH110="PC",$AH110="MC",$AH110="SCLC",$AH110="P-LAM")),"WD","HM")&amp;"1.75")</f>
        <v/>
      </c>
      <c r="DD110" s="99">
        <f>IF($CJ110="","",IF($O110="Y",$CJ110,SUBSTITUTE($CJ110,$BG110&amp;" "&amp;IFERROR(VLOOKUP($Z110,CODES,2,FALSE),"")&amp;" ",$BG110&amp;" ")))</f>
        <v/>
      </c>
      <c r="DE110" s="99">
        <f>IF($CK110="","",IF($O110="Y",$CK110,SUBSTITUTE($CK110,$BG110&amp;" "&amp;IF($AN110="",IFERROR(VLOOKUP($Z110,CODES,2,FALSE),""),IFERROR(VLOOKUP($AN110,CODES,2,FALSE),""))&amp;" ",$BG110&amp;" ")))</f>
        <v/>
      </c>
      <c r="DF110" s="99">
        <f>IF($CJ110="","",$DC110&amp;"|"&amp;$DD110&amp;"|"&amp;$DB110&amp;"|"&amp;$AT110&amp;"|"&amp;$V110&amp;"|"&amp;$Y110&amp;"|"&amp;$AB110)</f>
        <v/>
      </c>
      <c r="DG110" s="99">
        <f>IF(DF110="","",IF(COUNTIF($DF$6:DF110,DF110)=1,MAX($DG$5:DG109)+1,INDEX($DG$5:DG109,MATCH(DF110,$DF$5:DF109,0))))</f>
        <v/>
      </c>
      <c r="DH110" s="99">
        <f>IF($CK110="","",$DC110&amp;"|"&amp;$DE110&amp;"|"&amp;$AI110&amp;"|"&amp;$BK110&amp;"|"&amp;$BL110)</f>
        <v/>
      </c>
      <c r="DI110" s="99">
        <f>IF(DH110="","",IF(COUNTIF($DH$6:DH110,DH110)=1,MAX($DI$5:DI109)+1,INDEX($DI$5:DI109,MATCH(DH110,$DH$5:DH109,0))))</f>
        <v/>
      </c>
      <c r="DJ110" s="99">
        <f>IF($A110="","",IF($B110="","qty, ","")&amp;IF($C110="","scope, ","")&amp;IF(OR($K110="",$M110=""),"size, ","")&amp;IF(AND($A110&lt;&gt;"",$C110&lt;&gt;"DOOR ONLY"),IF($U110="","jamb depth, ","")&amp;IF($X110="","construction, ","")&amp;IF($Y110="","anchor, ","")&amp;IF($S110="","frame type, ",""),"")&amp;IF(AND(N($BJ110)&gt;0,$Z110=""),"hand, ","")&amp;IF(N($BJ110)&gt;0,IF($AH110="","door material, ","")&amp;IF($AL110="","face type, ","")&amp;IF($AP110="","lock prep, ","")&amp;IF(AND($AO110="",$AC110=""),"hinge prep, ",""),"")&amp;IF(AND($CH110&gt;0,$AH110="FRP"),"FRP cannot carry a label, ","")&amp;IF(AND($O110="Y",OR($Z110="L",$Z110="R",$Z110="LR",$Z110="RR")),"pair marked but hand is single, ","")&amp;IF(AND($O110&lt;&gt;"Y",OR($Z110="PR",AND(LEN($Z110)&gt;1,ISNUMBER(SEARCH("-",$Z110))))),"pair hand on a single door, ","")&amp;IF(AND(ISNUMBER($CI110),$CH110&lt;N($CI110)),"wall needs a "&amp;$CI110&amp;" min door, ","")&amp;IF(AND($CH110&gt;=180,AND(OR($CE110="FG",$CE110="HG",$CE110="FNV",$CE110="FV"),N($CF110)*N($CG110)&gt;100)),"180 min lite over 100 sq in, ","")&amp;IF(N($BK110)&gt;48,"leaf wider than 4'-0"&amp;CHAR(34)&amp;", ","")&amp;IF(AND($CT110,COUNT($AW110:$AZ110)=0,$CQ110&gt;0),"CUSTOM LOC with no locations typed, ",""))</f>
        <v/>
      </c>
      <c r="DK110" s="99">
        <f>IF($A110="","",IF(AND($CH110&gt;0,AND($A110&lt;&gt;"",$C110&lt;&gt;"DOOR ONLY"),$X110="KD",$E110="EXTERIOR"),"KD label on an exterior opening, ","")&amp;IF(AND($E110="EXTERIOR",OR(AND(AND($A110&lt;&gt;"",$C110&lt;&gt;"DOOR ONLY"),$W110="CR"),AND(N($BJ110)&gt;0,$AH110="CR"))),"exterior in CR steel (G9?), ","")&amp;IF(AND(ISNUMBER($BQ110),N($BQ110)&lt;32),"clear width ~"&amp;TEXT($BQ110,"0.0")&amp;CHAR(34)&amp;" under 32"&amp;CHAR(34)&amp;" (ADA), ","")&amp;IF(AND($CH110=90,AND(OR($CE110="FG",$CE110="HG",$CE110="FNV",$CE110="FV"),N($CF110)*N($CG110)&gt;100)),"90 min lite over 100 sq in (stair/exit), ","")&amp;IF(AND($CH110&gt;0,AND($A110&lt;&gt;"",$C110&lt;&gt;"DOOR ONLY"),OR($AF110="",$AF110="-")),"rated: closer reinf.?, ","")&amp;IF(OR($I110="CORRIDOR",$I110="SMOKE BARRIER"),"S label + smoke gasketing, ","")&amp;IF($CI110="?","wall type/hr not in IBC table, ","")&amp;IF(AND(N($BJ110)&gt;0,$BB110=""),"no hardware set, ","")&amp;IF(AND($BB110&lt;&gt;"",ISNA(MATCH($BB110&amp;"",HWSets,0))),"set "&amp;$BB110&amp;" not on HW Sets, ","")&amp;IF(N($BL110)&gt;96,"leaf over 8'-0"&amp;CHAR(34)&amp;" - check listing, ","")&amp;IF(AND($CT110,COUNT($AW110:$AZ110)&gt;0,COUNT($AW110:$AZ110)&lt;&gt;$CQ110),COUNT($AW110:$AZ110)&amp;" custom hinges typed, "&amp;$CQ110&amp;" expected, ","")&amp;IF(AND(ISNUMBER($CA110),OR(N($CA110)&lt;34,N($CA110)&gt;48)),"lock "&amp;TEXT($CA110,"0.0")&amp;CHAR(34)&amp;" AFF outside 34-48"&amp;CHAR(34)&amp;" (ADA), ","")&amp;IF(AND(ISNUMBER($AV110),ISNUMBER($BL110),N($AV110)&lt;IF(N($BL110)&lt;=60,2,IF(N($BL110)&lt;=90,3,IF(N($BL110)&lt;=120,4,5)))),"fewer hinges than standard, ",""))</f>
        <v/>
      </c>
    </row>
    <row r="111" ht="15" customHeight="1">
      <c r="A111" s="77" t="n"/>
      <c r="B111" s="78" t="n"/>
      <c r="C111" s="78" t="n"/>
      <c r="D111" s="78" t="n"/>
      <c r="E111" s="78" t="n"/>
      <c r="F111" s="78" t="n"/>
      <c r="G111" s="78" t="n"/>
      <c r="H111" s="78" t="n"/>
      <c r="I111" s="78" t="n"/>
      <c r="J111" s="78" t="n"/>
      <c r="K111" s="78" t="n"/>
      <c r="L111" s="78" t="n"/>
      <c r="M111" s="78" t="n"/>
      <c r="N111" s="78" t="n"/>
      <c r="O111" s="78" t="n"/>
      <c r="P111" s="78" t="n"/>
      <c r="Q111" s="78" t="n"/>
      <c r="R111" s="78" t="n"/>
      <c r="S111" s="79" t="n"/>
      <c r="T111" s="79" t="n"/>
      <c r="U111" s="79" t="n"/>
      <c r="V111" s="79" t="n"/>
      <c r="W111" s="79" t="n"/>
      <c r="X111" s="79" t="n"/>
      <c r="Y111" s="79" t="n"/>
      <c r="Z111" s="79" t="n"/>
      <c r="AA111" s="79" t="n"/>
      <c r="AB111" s="79" t="n"/>
      <c r="AC111" s="79" t="n"/>
      <c r="AD111" s="79" t="n"/>
      <c r="AE111" s="79" t="n"/>
      <c r="AF111" s="79" t="n"/>
      <c r="AG111" s="79" t="n"/>
      <c r="AH111" s="80" t="n"/>
      <c r="AI111" s="80" t="n"/>
      <c r="AJ111" s="80" t="n"/>
      <c r="AK111" s="80" t="n"/>
      <c r="AL111" s="80" t="n"/>
      <c r="AM111" s="80" t="n"/>
      <c r="AN111" s="80" t="n"/>
      <c r="AO111" s="80" t="n"/>
      <c r="AP111" s="80" t="n"/>
      <c r="AQ111" s="80" t="n"/>
      <c r="AR111" s="80" t="n"/>
      <c r="AS111" s="80" t="n"/>
      <c r="AT111" s="81" t="n"/>
      <c r="AU111" s="81" t="n"/>
      <c r="AV111" s="81" t="n"/>
      <c r="AW111" s="82" t="n"/>
      <c r="AX111" s="82" t="n"/>
      <c r="AY111" s="82" t="n"/>
      <c r="AZ111" s="82" t="n"/>
      <c r="BA111" s="82" t="n"/>
      <c r="BB111" s="83" t="n"/>
      <c r="BC111" s="83" t="n"/>
      <c r="BD111" s="84">
        <f>IF($A111="","",IF($DJ111&lt;&gt;"","FIX",IF($DK111&lt;&gt;"","CHECK","OK")))</f>
        <v/>
      </c>
      <c r="BE111" s="85">
        <f>IF($A111="","",IF($DJ111&lt;&gt;"","FIX: "&amp;LEFT($DJ111,LEN($DJ111)-2)&amp;IF($DK111&lt;&gt;"","  ·  ",""),"")&amp;IF($DK111&lt;&gt;"","CHECK: "&amp;LEFT($DK111,LEN($DK111)-2),""))</f>
        <v/>
      </c>
      <c r="BF111" s="84">
        <f>IF(OR($A111="",$K111=""),"",$K111&amp;"'-"&amp;N($L111)&amp;CHAR(34)&amp;" x "&amp;$M111&amp;"'-"&amp;N($N111)&amp;CHAR(34))</f>
        <v/>
      </c>
      <c r="BG111" s="84">
        <f>IF(OR($A111="",$K111=""),"",$K111&amp;N($L111)&amp;$M111&amp;N($N111))</f>
        <v/>
      </c>
      <c r="BH111" s="84">
        <f>IF(OR($A111="",$K111=""),"",$K111*12+N($L111))</f>
        <v/>
      </c>
      <c r="BI111" s="84">
        <f>IF(OR($A111="",$M111=""),"",$M111*12+N($N111))</f>
        <v/>
      </c>
      <c r="BJ111" s="84">
        <f>IF($A111="","",IF(OR($C111="FRAME ONLY",$S111="BL"),0,IF($O111="Y",2,1)))</f>
        <v/>
      </c>
      <c r="BK111" s="86">
        <f>IF(OR(N($BJ111)=0,$BH111=""),"",($BH111-2*EdgeClr-IF($BJ111=2,MeetClr,0))/$BJ111)</f>
        <v/>
      </c>
      <c r="BL111" s="86">
        <f>IF(OR(N($BJ111)=0,$BI111=""),"",$BI111-HeadClr-Undercut)</f>
        <v/>
      </c>
      <c r="BM111" s="86">
        <f>IF($BH111="","",$BH111+2*FaceW+IF(N($Q111)&gt;0,($Q111+FaceW)*IF($R111="LR",2,1),0))</f>
        <v/>
      </c>
      <c r="BN111" s="86">
        <f>IF($BI111="","",$BI111+IF($AB111="Y",4,FaceW)+IF(N($P111)&gt;0,$P111+FaceW,0)+IF(OR($S111="4F",$S111="BL"),FaceW,0))</f>
        <v/>
      </c>
      <c r="BO111" s="86">
        <f>IF($BM111="","",$BM111+2*ROSide)</f>
        <v/>
      </c>
      <c r="BP111" s="86">
        <f>IF($BN111="","",$BN111+ROTop)</f>
        <v/>
      </c>
      <c r="BQ111" s="87">
        <f>IF(OR(N($BJ111)=0,$BH111=""),"",$BH111/$BJ111-ClearDeduct)</f>
        <v/>
      </c>
      <c r="BR111" s="84">
        <f>IF(N($CH111)=0,"",IF($CH111&gt;=180,"A · 3 HR",IF($CH111&gt;=90,"B · 1-1/2 HR",IF($CH111&gt;=60,"B · 1 HR",IF($CH111&gt;=45,"C · 3/4 HR","20 MIN")))))&amp;IF(AND(N($CH111)&gt;0,OR($I111="CORRIDOR",$I111="SMOKE BARRIER"))," · S","")</f>
        <v/>
      </c>
      <c r="BS111" s="84">
        <f>IF($CS111,"",IF($AV111&lt;&gt;"",$AV111,IF(OR($AC111="HGC",$AO111="HGC"),"CONT",IF(($BI111-HeadClr-Undercut)&lt;=60,2,IF(($BI111-HeadClr-Undercut)&lt;=90,3,IF(($BI111-HeadClr-Undercut)&lt;=120,4,5))))))</f>
        <v/>
      </c>
      <c r="BT111" s="84">
        <f>IF($CS111,"",IF($CT111,"CUSTOM (typed)",IF($CV111,$AT111&amp;" "&amp;$CU111&amp;CHAR(34)&amp;IF($CU111&lt;&gt;$BI111,IF(AND($BI111&lt;$CU111,$BI111-IF(N(VLOOKUP($AT111&amp;"|"&amp;$CU111,LocTable,7,FALSE))&gt;0,VLOOKUP($AT111&amp;"|"&amp;$CU111,LocTable,7,FALSE),VLOOKUP($AT111&amp;"|"&amp;$CU111,LocTable,6,FALSE))-$CR111-0.75&gt;=2.125)," cut down"," adj."),""),"ANSI/SDI A250.6")))</f>
        <v/>
      </c>
      <c r="BU111" s="88">
        <f>IF($CS111,"",IF($CT111,IF(N($AW111)&gt;0,N($AW111),""),IF(1&gt;$CQ111,"",IF($CQ111=1,$CW111,$CW111+($CX111-$CW111)*0/($CQ111-1)))))</f>
        <v/>
      </c>
      <c r="BV111" s="88">
        <f>IF($CS111,"",IF($CT111,IF(N($AX111)&gt;0,N($AX111),""),IF(2&gt;$CQ111,"",IF($CQ111=1,$CW111,$CW111+($CX111-$CW111)*1/($CQ111-1)))))</f>
        <v/>
      </c>
      <c r="BW111" s="88">
        <f>IF($CS111,"",IF($CT111,IF(N($AY111)&gt;0,N($AY111),""),IF(3&gt;$CQ111,"",IF($CQ111=1,$CW111,$CW111+($CX111-$CW111)*2/($CQ111-1)))))</f>
        <v/>
      </c>
      <c r="BX111" s="88">
        <f>IF($CS111,"",IF($CT111,IF(N($AZ111)&gt;0,N($AZ111),""),IF(4&gt;$CQ111,"",IF($CQ111=1,$CW111,$CW111+($CX111-$CW111)*3/($CQ111-1)))))</f>
        <v/>
      </c>
      <c r="BY111" s="88">
        <f>IF($CS111,"",IF($CT111,"",IF(5&gt;$CQ111,"",IF($CQ111=1,$CW111,$CW111+($CX111-$CW111)*4/($CQ111-1)))))</f>
        <v/>
      </c>
      <c r="BZ111" s="88">
        <f>IF(OR($CS111,$AP111="-",AND($AP111="",$AD111="")),"",IF(N($BA111)&gt;0,N($BA111),IF($CV111,IF(AND($BI111&lt;$CU111,$BI111-IF(N(VLOOKUP($AT111&amp;"|"&amp;$CU111,LocTable,7,FALSE))&gt;0,VLOOKUP($AT111&amp;"|"&amp;$CU111,LocTable,7,FALSE),VLOOKUP($AT111&amp;"|"&amp;$CU111,LocTable,6,FALSE))-$CR111-0.75&gt;=2.125),VLOOKUP($AT111&amp;"|"&amp;$CU111,LocTable,8,FALSE),VLOOKUP($AT111&amp;"|"&amp;$CU111,LocTable,8,FALSE)+($BI111-$CU111)),$BI111-LockAFF)))</f>
        <v/>
      </c>
      <c r="CA111" s="89">
        <f>IF($BZ111="","",$BI111-$BZ111)</f>
        <v/>
      </c>
      <c r="CB111" s="84">
        <f>IF(OR(NOT(AND($A111&lt;&gt;"",$C111&lt;&gt;"DOOR ONLY")),$BI111=""),"",IF(($BI111+IF(N($P111)&gt;0,$P111+FaceW,0))&lt;=90,3,IF(($BI111+IF(N($P111)&gt;0,$P111+FaceW,0))&lt;=114,4,5)))</f>
        <v/>
      </c>
      <c r="CC111" s="84">
        <f>IF($CB111="","",$CB111*(2+IF(N($Q111)&gt;0,IF($R111="LR",2,1),0)))</f>
        <v/>
      </c>
      <c r="CD111" s="84">
        <f>IF($CB111="","",(2+IF(N($Q111)&gt;0,IF($R111="LR",2,1),0)))</f>
        <v/>
      </c>
      <c r="CE111" s="84">
        <f>IF(N($BJ111)=0,"",IF(OR($AL111="",$AL111="FLUSH"),"FLUSH",IFERROR(LEFT($AL111,FIND("-",$AL111)-1),LEFT($AL111,2))))</f>
        <v/>
      </c>
      <c r="CF111" s="84">
        <f>IF($CE111="","",IFERROR(VALUE(MID($AL111,FIND("-",$AL111)+1,FIND(CHAR(34)&amp;"x",$AL111)-FIND("-",$AL111)-1)),0))</f>
        <v/>
      </c>
      <c r="CG111" s="84">
        <f>IF($CE111="","",IFERROR(VALUE(MID($AL111,FIND(CHAR(34)&amp;"x",$AL111)+2,FIND(CHAR(34),$AL111,FIND(CHAR(34)&amp;"x",$AL111)+2)-FIND(CHAR(34)&amp;"x",$AL111)-2)),0))</f>
        <v/>
      </c>
      <c r="CH111" s="90">
        <f>IF(OR($A111="",$H111="",$H111="NO LAB"),0,IFERROR(VALUE(LEFT($H111,FIND(" ",$H111)-1)),0))</f>
        <v/>
      </c>
      <c r="CI111" s="91">
        <f>IF(OR($A111="",$I111="",$I111="NON-RATED",N($J111)=0),"",IFERROR(VLOOKUP($I111&amp;"|"&amp;$J111,IBC,2,FALSE),"?"))</f>
        <v/>
      </c>
      <c r="CJ111" s="85">
        <f>IF(NOT(AND($A111&lt;&gt;"",$C111&lt;&gt;"DOOR ONLY")),"",TRIM(IFERROR(VLOOKUP($U111,CODES,2,FALSE),"")&amp;" "&amp;$BG111&amp;" "&amp;IFERROR(VLOOKUP($Z111,CODES,2,FALSE),"")&amp;" "&amp;IFERROR(VLOOKUP($X111,CODES,2,FALSE),"")&amp;" "&amp;IFERROR(VLOOKUP($S111,CODES,2,FALSE),"")&amp;IF(N($P111)&gt;0," w/TRANSOM "&amp;$P111&amp;CHAR(34),"")&amp;IF(N($Q111)&gt;0," w/SIDELITE "&amp;$Q111&amp;CHAR(34)&amp;" "&amp;IF($R111="","R",$R111),"")&amp;IF($Y111="","  |  "," | "&amp;IFERROR(VLOOKUP($Y111,CODES,2,FALSE),"")&amp;" | ")&amp;IFERROR(VLOOKUP($AC111,CODES,2,FALSE),"")&amp;" "&amp;IFERROR(VLOOKUP($AD111,CODES,2,FALSE),"")&amp;IF(OR($AE111="",$AE111="-"),""," "&amp;$AE111)&amp;IF(OR($AF111="",$AF111="-"),""," "&amp;$AF111)&amp;IF($AB111="Y"," 4"&amp;CHAR(34)&amp;" HEAD","")&amp;" "&amp;IFERROR(VLOOKUP($H111,CODES,2,FALSE),"")&amp;IF($CT111," | LOC "&amp;$CY111,"")))</f>
        <v/>
      </c>
      <c r="CK111" s="85">
        <f>IF(NOT(AND($A111&lt;&gt;"",N($BJ111)&gt;0)),"",TRIM(IFERROR(VLOOKUP($AH111,CODES,2,FALSE),"")&amp;IF($AI111=""," "," "&amp;$AI111&amp;"GA ")&amp;$BG111&amp;" "&amp;IF($AN111="",IFERROR(VLOOKUP($Z111,CODES,2,FALSE),""),IFERROR(VLOOKUP($AN111,CODES,2,FALSE),""))&amp;IF($BJ111=2," PAIR","")&amp;" DOOR | "&amp;IF($AL111="","?",$AL111)&amp;" | "&amp;IF($AO111="",IFERROR(VLOOKUP($AC111,CODES,2,FALSE),""),IFERROR(VLOOKUP($AO111,CODES,2,FALSE),""))&amp;" "&amp;IFERROR(VLOOKUP($AP111,CODES,2,FALSE),"")&amp;IF(OR($AQ111="",$AQ111="-"),""," SEAM "&amp;$AQ111)&amp;IF($AR111="Y"," ASTRAGAL","")&amp;IF($AJ111=""," "," "&amp;$AJ111)&amp;IF($AK111=""," "," "&amp;$AK111)&amp;IF(OR($AT111="",$AT111="ANSI/SDI",$AT111="CUSTOM LOC"),""," "&amp;$AT111)&amp;IF($AM111=""," "," SERIES "&amp;$AM111)&amp;" "&amp;IFERROR(VLOOKUP($H111,CODES,2,FALSE),"")&amp;IF($CT111," | LOC "&amp;$CZ111,"")))</f>
        <v/>
      </c>
      <c r="CL111" s="84">
        <f>IF(CP111="","",IF(COUNTIF($CP$6:CP111,CP111)=1,MAX($CL$5:CL110)+1,INDEX($CL$5:CL110,MATCH(CP111,$CP$5:CP110,0))))</f>
        <v/>
      </c>
      <c r="CM111" s="84">
        <f>IF(NOT(AND($A111&lt;&gt;"",$C111&lt;&gt;"DOOR ONLY")),"",MAX($CM$5:CM110)+1)</f>
        <v/>
      </c>
      <c r="CN111" s="84">
        <f>IF(NOT(AND($A111&lt;&gt;"",N($BJ111)&gt;0)),"",MAX($CN$5:CN110)+1)</f>
        <v/>
      </c>
      <c r="CO111" s="84">
        <f>IF($A111="","",MAX($CO$5:CO110)+1)</f>
        <v/>
      </c>
      <c r="CP111" s="84">
        <f>IF(OR($A111="",$BH111="",$BI111=""),"",$BG111&amp;"|"&amp;$O111&amp;"|"&amp;$AL111&amp;"|"&amp;$S111&amp;"|"&amp;$P111&amp;"|"&amp;$Q111&amp;$R111&amp;"|"&amp;$C111&amp;"|"&amp;$AB111)</f>
        <v/>
      </c>
      <c r="CQ111" s="84">
        <f>N($BS111)</f>
        <v/>
      </c>
      <c r="CR111" s="84">
        <f>IF(N($AU111)&gt;0,N($AU111),4.5)</f>
        <v/>
      </c>
      <c r="CS111" s="84">
        <f>OR($A111="",$BI111="",$S111="BL",AND($C111="FRAME ONLY",OR($AC111="",$AC111="BLK")))</f>
        <v/>
      </c>
      <c r="CT111" s="84">
        <f>AND(NOT($CS111),OR($AT111="CUSTOM LOC",N($AW111)+N($AX111)+N($AY111)+N($AZ111)+N($BA111)&gt;0))</f>
        <v/>
      </c>
      <c r="CU111" s="84">
        <f>IF($BI111="","",IF($BI111&lt;=80,80,IF($BI111&lt;=84,84,96)))</f>
        <v/>
      </c>
      <c r="CV111" s="84">
        <f>ISNUMBER(MATCH($AT111&amp;"|80",LocKeys,0))</f>
        <v/>
      </c>
      <c r="CW111" s="86">
        <f>IF($CS111,"",IF($CV111,VLOOKUP($AT111&amp;"|"&amp;$CU111,LocTable,4,FALSE),5))</f>
        <v/>
      </c>
      <c r="CX111" s="86">
        <f>IF($CS111,"",IF($CV111,IF(OR($BI111=$CU111,AND($BI111&lt;$CU111,$BI111-IF(N(VLOOKUP($AT111&amp;"|"&amp;$CU111,LocTable,7,FALSE))&gt;0,VLOOKUP($AT111&amp;"|"&amp;$CU111,LocTable,7,FALSE),VLOOKUP($AT111&amp;"|"&amp;$CU111,LocTable,6,FALSE))-$CR111-0.75&gt;=2.125)),IF(N(VLOOKUP($AT111&amp;"|"&amp;$CU111,LocTable,7,FALSE))&gt;0,VLOOKUP($AT111&amp;"|"&amp;$CU111,LocTable,7,FALSE),VLOOKUP($AT111&amp;"|"&amp;$CU111,LocTable,6,FALSE)),$BI111-($CU111-IF(N(VLOOKUP($AT111&amp;"|"&amp;$CU111,LocTable,7,FALSE))&gt;0,VLOOKUP($AT111&amp;"|"&amp;$CU111,LocTable,7,FALSE),VLOOKUP($AT111&amp;"|"&amp;$CU111,LocTable,6,FALSE)))),$BI111-10-$CR111))</f>
        <v/>
      </c>
      <c r="CY111" s="85">
        <f>IF($CS111,"",TRIM(IF(ISNUMBER($BU111),"A "&amp;TRIM(TEXT($BU111,"# ?/??"))&amp;CHAR(34)&amp;"  ","")&amp;IF(ISNUMBER($BV111),"B "&amp;TRIM(TEXT($BV111,"# ?/??"))&amp;CHAR(34)&amp;"  ","")&amp;IF(ISNUMBER($BW111),"C "&amp;TRIM(TEXT($BW111,"# ?/??"))&amp;CHAR(34)&amp;"  ","")&amp;IF(ISNUMBER($BX111),"D "&amp;TRIM(TEXT($BX111,"# ?/??"))&amp;CHAR(34)&amp;"  ","")&amp;IF(ISNUMBER($BY111),"F "&amp;TRIM(TEXT($BY111,"# ?/??"))&amp;CHAR(34)&amp;"  ","")&amp;IF(ISNUMBER($BZ111),"E "&amp;TRIM(TEXT($BZ111,"# ?/??"))&amp;CHAR(34)&amp;"  ","")))</f>
        <v/>
      </c>
      <c r="CZ111" s="85">
        <f>IF(OR($CS111,N($BJ111)=0),"",TRIM(IF(ISNUMBER($BU111),"A "&amp;TRIM(TEXT($BU111-HeadClr,"# ?/??"))&amp;CHAR(34)&amp;"  ","")&amp;IF(ISNUMBER($BV111),"B "&amp;TRIM(TEXT($BV111-HeadClr,"# ?/??"))&amp;CHAR(34)&amp;"  ","")&amp;IF(ISNUMBER($BW111),"C "&amp;TRIM(TEXT($BW111-HeadClr,"# ?/??"))&amp;CHAR(34)&amp;"  ","")&amp;IF(ISNUMBER($BX111),"D "&amp;TRIM(TEXT($BX111-HeadClr,"# ?/??"))&amp;CHAR(34)&amp;"  ","")&amp;IF(ISNUMBER($BY111),"F "&amp;TRIM(TEXT($BY111-HeadClr,"# ?/??"))&amp;CHAR(34)&amp;"  ","")&amp;IF(ISNUMBER($BZ111),"E "&amp;TRIM(TEXT($BZ111-HeadClr,"# ?/??"))&amp;CHAR(34)&amp;"  ","")))</f>
        <v/>
      </c>
      <c r="DA111" s="84">
        <f>IF($A111="","",IF($AN111="",IFERROR(VLOOKUP($Z111,CODES,2,FALSE),""),IFERROR(VLOOKUP($AN111,CODES,2,FALSE),"")))</f>
        <v/>
      </c>
      <c r="DB111" s="84">
        <f>IF($A111="","",IF($O111="Y","PR",IF(OR($Z111="L",$Z111="RR",LEFT($Z111,2)="L-",LEFT($Z111,3)="RR-"),"LH","RH")))</f>
        <v/>
      </c>
      <c r="DC111" s="84">
        <f>IF($A111="","","S.HM"&amp;IF(OR($C111="DOOR ONLY",$X111&lt;&gt;"KD"),"MASONRY","DRYWALL")&amp;IF($C111="DOOR ONLY","",$U111)&amp;IF(AND($C111&lt;&gt;"FRAME ONLY",OR(LEFT($AH111,3)="OAK",LEFT($AH111,3)="BIR",LEFT($AH111,3)="MAP",$AH111="PC",$AH111="MC",$AH111="SCLC",$AH111="P-LAM")),"WD","HM")&amp;"1.75")</f>
        <v/>
      </c>
      <c r="DD111" s="84">
        <f>IF($CJ111="","",IF($O111="Y",$CJ111,SUBSTITUTE($CJ111,$BG111&amp;" "&amp;IFERROR(VLOOKUP($Z111,CODES,2,FALSE),"")&amp;" ",$BG111&amp;" ")))</f>
        <v/>
      </c>
      <c r="DE111" s="84">
        <f>IF($CK111="","",IF($O111="Y",$CK111,SUBSTITUTE($CK111,$BG111&amp;" "&amp;IF($AN111="",IFERROR(VLOOKUP($Z111,CODES,2,FALSE),""),IFERROR(VLOOKUP($AN111,CODES,2,FALSE),""))&amp;" ",$BG111&amp;" ")))</f>
        <v/>
      </c>
      <c r="DF111" s="84">
        <f>IF($CJ111="","",$DC111&amp;"|"&amp;$DD111&amp;"|"&amp;$DB111&amp;"|"&amp;$AT111&amp;"|"&amp;$V111&amp;"|"&amp;$Y111&amp;"|"&amp;$AB111)</f>
        <v/>
      </c>
      <c r="DG111" s="84">
        <f>IF(DF111="","",IF(COUNTIF($DF$6:DF111,DF111)=1,MAX($DG$5:DG110)+1,INDEX($DG$5:DG110,MATCH(DF111,$DF$5:DF110,0))))</f>
        <v/>
      </c>
      <c r="DH111" s="84">
        <f>IF($CK111="","",$DC111&amp;"|"&amp;$DE111&amp;"|"&amp;$AI111&amp;"|"&amp;$BK111&amp;"|"&amp;$BL111)</f>
        <v/>
      </c>
      <c r="DI111" s="84">
        <f>IF(DH111="","",IF(COUNTIF($DH$6:DH111,DH111)=1,MAX($DI$5:DI110)+1,INDEX($DI$5:DI110,MATCH(DH111,$DH$5:DH110,0))))</f>
        <v/>
      </c>
      <c r="DJ111" s="84">
        <f>IF($A111="","",IF($B111="","qty, ","")&amp;IF($C111="","scope, ","")&amp;IF(OR($K111="",$M111=""),"size, ","")&amp;IF(AND($A111&lt;&gt;"",$C111&lt;&gt;"DOOR ONLY"),IF($U111="","jamb depth, ","")&amp;IF($X111="","construction, ","")&amp;IF($Y111="","anchor, ","")&amp;IF($S111="","frame type, ",""),"")&amp;IF(AND(N($BJ111)&gt;0,$Z111=""),"hand, ","")&amp;IF(N($BJ111)&gt;0,IF($AH111="","door material, ","")&amp;IF($AL111="","face type, ","")&amp;IF($AP111="","lock prep, ","")&amp;IF(AND($AO111="",$AC111=""),"hinge prep, ",""),"")&amp;IF(AND($CH111&gt;0,$AH111="FRP"),"FRP cannot carry a label, ","")&amp;IF(AND($O111="Y",OR($Z111="L",$Z111="R",$Z111="LR",$Z111="RR")),"pair marked but hand is single, ","")&amp;IF(AND($O111&lt;&gt;"Y",OR($Z111="PR",AND(LEN($Z111)&gt;1,ISNUMBER(SEARCH("-",$Z111))))),"pair hand on a single door, ","")&amp;IF(AND(ISNUMBER($CI111),$CH111&lt;N($CI111)),"wall needs a "&amp;$CI111&amp;" min door, ","")&amp;IF(AND($CH111&gt;=180,AND(OR($CE111="FG",$CE111="HG",$CE111="FNV",$CE111="FV"),N($CF111)*N($CG111)&gt;100)),"180 min lite over 100 sq in, ","")&amp;IF(N($BK111)&gt;48,"leaf wider than 4'-0"&amp;CHAR(34)&amp;", ","")&amp;IF(AND($CT111,COUNT($AW111:$AZ111)=0,$CQ111&gt;0),"CUSTOM LOC with no locations typed, ",""))</f>
        <v/>
      </c>
      <c r="DK111" s="84">
        <f>IF($A111="","",IF(AND($CH111&gt;0,AND($A111&lt;&gt;"",$C111&lt;&gt;"DOOR ONLY"),$X111="KD",$E111="EXTERIOR"),"KD label on an exterior opening, ","")&amp;IF(AND($E111="EXTERIOR",OR(AND(AND($A111&lt;&gt;"",$C111&lt;&gt;"DOOR ONLY"),$W111="CR"),AND(N($BJ111)&gt;0,$AH111="CR"))),"exterior in CR steel (G9?), ","")&amp;IF(AND(ISNUMBER($BQ111),N($BQ111)&lt;32),"clear width ~"&amp;TEXT($BQ111,"0.0")&amp;CHAR(34)&amp;" under 32"&amp;CHAR(34)&amp;" (ADA), ","")&amp;IF(AND($CH111=90,AND(OR($CE111="FG",$CE111="HG",$CE111="FNV",$CE111="FV"),N($CF111)*N($CG111)&gt;100)),"90 min lite over 100 sq in (stair/exit), ","")&amp;IF(AND($CH111&gt;0,AND($A111&lt;&gt;"",$C111&lt;&gt;"DOOR ONLY"),OR($AF111="",$AF111="-")),"rated: closer reinf.?, ","")&amp;IF(OR($I111="CORRIDOR",$I111="SMOKE BARRIER"),"S label + smoke gasketing, ","")&amp;IF($CI111="?","wall type/hr not in IBC table, ","")&amp;IF(AND(N($BJ111)&gt;0,$BB111=""),"no hardware set, ","")&amp;IF(AND($BB111&lt;&gt;"",ISNA(MATCH($BB111&amp;"",HWSets,0))),"set "&amp;$BB111&amp;" not on HW Sets, ","")&amp;IF(N($BL111)&gt;96,"leaf over 8'-0"&amp;CHAR(34)&amp;" - check listing, ","")&amp;IF(AND($CT111,COUNT($AW111:$AZ111)&gt;0,COUNT($AW111:$AZ111)&lt;&gt;$CQ111),COUNT($AW111:$AZ111)&amp;" custom hinges typed, "&amp;$CQ111&amp;" expected, ","")&amp;IF(AND(ISNUMBER($CA111),OR(N($CA111)&lt;34,N($CA111)&gt;48)),"lock "&amp;TEXT($CA111,"0.0")&amp;CHAR(34)&amp;" AFF outside 34-48"&amp;CHAR(34)&amp;" (ADA), ","")&amp;IF(AND(ISNUMBER($AV111),ISNUMBER($BL111),N($AV111)&lt;IF(N($BL111)&lt;=60,2,IF(N($BL111)&lt;=90,3,IF(N($BL111)&lt;=120,4,5)))),"fewer hinges than standard, ",""))</f>
        <v/>
      </c>
    </row>
    <row r="112" ht="15" customHeight="1">
      <c r="A112" s="77" t="n"/>
      <c r="B112" s="78" t="n"/>
      <c r="C112" s="78" t="n"/>
      <c r="D112" s="78" t="n"/>
      <c r="E112" s="78" t="n"/>
      <c r="F112" s="78" t="n"/>
      <c r="G112" s="78" t="n"/>
      <c r="H112" s="78" t="n"/>
      <c r="I112" s="78" t="n"/>
      <c r="J112" s="78" t="n"/>
      <c r="K112" s="78" t="n"/>
      <c r="L112" s="78" t="n"/>
      <c r="M112" s="78" t="n"/>
      <c r="N112" s="78" t="n"/>
      <c r="O112" s="78" t="n"/>
      <c r="P112" s="78" t="n"/>
      <c r="Q112" s="78" t="n"/>
      <c r="R112" s="78" t="n"/>
      <c r="S112" s="79" t="n"/>
      <c r="T112" s="79" t="n"/>
      <c r="U112" s="79" t="n"/>
      <c r="V112" s="79" t="n"/>
      <c r="W112" s="79" t="n"/>
      <c r="X112" s="79" t="n"/>
      <c r="Y112" s="79" t="n"/>
      <c r="Z112" s="79" t="n"/>
      <c r="AA112" s="79" t="n"/>
      <c r="AB112" s="79" t="n"/>
      <c r="AC112" s="79" t="n"/>
      <c r="AD112" s="79" t="n"/>
      <c r="AE112" s="79" t="n"/>
      <c r="AF112" s="79" t="n"/>
      <c r="AG112" s="79" t="n"/>
      <c r="AH112" s="80" t="n"/>
      <c r="AI112" s="80" t="n"/>
      <c r="AJ112" s="80" t="n"/>
      <c r="AK112" s="80" t="n"/>
      <c r="AL112" s="80" t="n"/>
      <c r="AM112" s="80" t="n"/>
      <c r="AN112" s="80" t="n"/>
      <c r="AO112" s="80" t="n"/>
      <c r="AP112" s="80" t="n"/>
      <c r="AQ112" s="80" t="n"/>
      <c r="AR112" s="80" t="n"/>
      <c r="AS112" s="80" t="n"/>
      <c r="AT112" s="81" t="n"/>
      <c r="AU112" s="81" t="n"/>
      <c r="AV112" s="81" t="n"/>
      <c r="AW112" s="82" t="n"/>
      <c r="AX112" s="82" t="n"/>
      <c r="AY112" s="82" t="n"/>
      <c r="AZ112" s="82" t="n"/>
      <c r="BA112" s="82" t="n"/>
      <c r="BB112" s="83" t="n"/>
      <c r="BC112" s="83" t="n"/>
      <c r="BD112" s="84">
        <f>IF($A112="","",IF($DJ112&lt;&gt;"","FIX",IF($DK112&lt;&gt;"","CHECK","OK")))</f>
        <v/>
      </c>
      <c r="BE112" s="85">
        <f>IF($A112="","",IF($DJ112&lt;&gt;"","FIX: "&amp;LEFT($DJ112,LEN($DJ112)-2)&amp;IF($DK112&lt;&gt;"","  ·  ",""),"")&amp;IF($DK112&lt;&gt;"","CHECK: "&amp;LEFT($DK112,LEN($DK112)-2),""))</f>
        <v/>
      </c>
      <c r="BF112" s="84">
        <f>IF(OR($A112="",$K112=""),"",$K112&amp;"'-"&amp;N($L112)&amp;CHAR(34)&amp;" x "&amp;$M112&amp;"'-"&amp;N($N112)&amp;CHAR(34))</f>
        <v/>
      </c>
      <c r="BG112" s="84">
        <f>IF(OR($A112="",$K112=""),"",$K112&amp;N($L112)&amp;$M112&amp;N($N112))</f>
        <v/>
      </c>
      <c r="BH112" s="84">
        <f>IF(OR($A112="",$K112=""),"",$K112*12+N($L112))</f>
        <v/>
      </c>
      <c r="BI112" s="84">
        <f>IF(OR($A112="",$M112=""),"",$M112*12+N($N112))</f>
        <v/>
      </c>
      <c r="BJ112" s="84">
        <f>IF($A112="","",IF(OR($C112="FRAME ONLY",$S112="BL"),0,IF($O112="Y",2,1)))</f>
        <v/>
      </c>
      <c r="BK112" s="86">
        <f>IF(OR(N($BJ112)=0,$BH112=""),"",($BH112-2*EdgeClr-IF($BJ112=2,MeetClr,0))/$BJ112)</f>
        <v/>
      </c>
      <c r="BL112" s="86">
        <f>IF(OR(N($BJ112)=0,$BI112=""),"",$BI112-HeadClr-Undercut)</f>
        <v/>
      </c>
      <c r="BM112" s="86">
        <f>IF($BH112="","",$BH112+2*FaceW+IF(N($Q112)&gt;0,($Q112+FaceW)*IF($R112="LR",2,1),0))</f>
        <v/>
      </c>
      <c r="BN112" s="86">
        <f>IF($BI112="","",$BI112+IF($AB112="Y",4,FaceW)+IF(N($P112)&gt;0,$P112+FaceW,0)+IF(OR($S112="4F",$S112="BL"),FaceW,0))</f>
        <v/>
      </c>
      <c r="BO112" s="86">
        <f>IF($BM112="","",$BM112+2*ROSide)</f>
        <v/>
      </c>
      <c r="BP112" s="86">
        <f>IF($BN112="","",$BN112+ROTop)</f>
        <v/>
      </c>
      <c r="BQ112" s="87">
        <f>IF(OR(N($BJ112)=0,$BH112=""),"",$BH112/$BJ112-ClearDeduct)</f>
        <v/>
      </c>
      <c r="BR112" s="84">
        <f>IF(N($CH112)=0,"",IF($CH112&gt;=180,"A · 3 HR",IF($CH112&gt;=90,"B · 1-1/2 HR",IF($CH112&gt;=60,"B · 1 HR",IF($CH112&gt;=45,"C · 3/4 HR","20 MIN")))))&amp;IF(AND(N($CH112)&gt;0,OR($I112="CORRIDOR",$I112="SMOKE BARRIER"))," · S","")</f>
        <v/>
      </c>
      <c r="BS112" s="84">
        <f>IF($CS112,"",IF($AV112&lt;&gt;"",$AV112,IF(OR($AC112="HGC",$AO112="HGC"),"CONT",IF(($BI112-HeadClr-Undercut)&lt;=60,2,IF(($BI112-HeadClr-Undercut)&lt;=90,3,IF(($BI112-HeadClr-Undercut)&lt;=120,4,5))))))</f>
        <v/>
      </c>
      <c r="BT112" s="84">
        <f>IF($CS112,"",IF($CT112,"CUSTOM (typed)",IF($CV112,$AT112&amp;" "&amp;$CU112&amp;CHAR(34)&amp;IF($CU112&lt;&gt;$BI112,IF(AND($BI112&lt;$CU112,$BI112-IF(N(VLOOKUP($AT112&amp;"|"&amp;$CU112,LocTable,7,FALSE))&gt;0,VLOOKUP($AT112&amp;"|"&amp;$CU112,LocTable,7,FALSE),VLOOKUP($AT112&amp;"|"&amp;$CU112,LocTable,6,FALSE))-$CR112-0.75&gt;=2.125)," cut down"," adj."),""),"ANSI/SDI A250.6")))</f>
        <v/>
      </c>
      <c r="BU112" s="88">
        <f>IF($CS112,"",IF($CT112,IF(N($AW112)&gt;0,N($AW112),""),IF(1&gt;$CQ112,"",IF($CQ112=1,$CW112,$CW112+($CX112-$CW112)*0/($CQ112-1)))))</f>
        <v/>
      </c>
      <c r="BV112" s="88">
        <f>IF($CS112,"",IF($CT112,IF(N($AX112)&gt;0,N($AX112),""),IF(2&gt;$CQ112,"",IF($CQ112=1,$CW112,$CW112+($CX112-$CW112)*1/($CQ112-1)))))</f>
        <v/>
      </c>
      <c r="BW112" s="88">
        <f>IF($CS112,"",IF($CT112,IF(N($AY112)&gt;0,N($AY112),""),IF(3&gt;$CQ112,"",IF($CQ112=1,$CW112,$CW112+($CX112-$CW112)*2/($CQ112-1)))))</f>
        <v/>
      </c>
      <c r="BX112" s="88">
        <f>IF($CS112,"",IF($CT112,IF(N($AZ112)&gt;0,N($AZ112),""),IF(4&gt;$CQ112,"",IF($CQ112=1,$CW112,$CW112+($CX112-$CW112)*3/($CQ112-1)))))</f>
        <v/>
      </c>
      <c r="BY112" s="88">
        <f>IF($CS112,"",IF($CT112,"",IF(5&gt;$CQ112,"",IF($CQ112=1,$CW112,$CW112+($CX112-$CW112)*4/($CQ112-1)))))</f>
        <v/>
      </c>
      <c r="BZ112" s="88">
        <f>IF(OR($CS112,$AP112="-",AND($AP112="",$AD112="")),"",IF(N($BA112)&gt;0,N($BA112),IF($CV112,IF(AND($BI112&lt;$CU112,$BI112-IF(N(VLOOKUP($AT112&amp;"|"&amp;$CU112,LocTable,7,FALSE))&gt;0,VLOOKUP($AT112&amp;"|"&amp;$CU112,LocTable,7,FALSE),VLOOKUP($AT112&amp;"|"&amp;$CU112,LocTable,6,FALSE))-$CR112-0.75&gt;=2.125),VLOOKUP($AT112&amp;"|"&amp;$CU112,LocTable,8,FALSE),VLOOKUP($AT112&amp;"|"&amp;$CU112,LocTable,8,FALSE)+($BI112-$CU112)),$BI112-LockAFF)))</f>
        <v/>
      </c>
      <c r="CA112" s="89">
        <f>IF($BZ112="","",$BI112-$BZ112)</f>
        <v/>
      </c>
      <c r="CB112" s="84">
        <f>IF(OR(NOT(AND($A112&lt;&gt;"",$C112&lt;&gt;"DOOR ONLY")),$BI112=""),"",IF(($BI112+IF(N($P112)&gt;0,$P112+FaceW,0))&lt;=90,3,IF(($BI112+IF(N($P112)&gt;0,$P112+FaceW,0))&lt;=114,4,5)))</f>
        <v/>
      </c>
      <c r="CC112" s="84">
        <f>IF($CB112="","",$CB112*(2+IF(N($Q112)&gt;0,IF($R112="LR",2,1),0)))</f>
        <v/>
      </c>
      <c r="CD112" s="84">
        <f>IF($CB112="","",(2+IF(N($Q112)&gt;0,IF($R112="LR",2,1),0)))</f>
        <v/>
      </c>
      <c r="CE112" s="84">
        <f>IF(N($BJ112)=0,"",IF(OR($AL112="",$AL112="FLUSH"),"FLUSH",IFERROR(LEFT($AL112,FIND("-",$AL112)-1),LEFT($AL112,2))))</f>
        <v/>
      </c>
      <c r="CF112" s="84">
        <f>IF($CE112="","",IFERROR(VALUE(MID($AL112,FIND("-",$AL112)+1,FIND(CHAR(34)&amp;"x",$AL112)-FIND("-",$AL112)-1)),0))</f>
        <v/>
      </c>
      <c r="CG112" s="84">
        <f>IF($CE112="","",IFERROR(VALUE(MID($AL112,FIND(CHAR(34)&amp;"x",$AL112)+2,FIND(CHAR(34),$AL112,FIND(CHAR(34)&amp;"x",$AL112)+2)-FIND(CHAR(34)&amp;"x",$AL112)-2)),0))</f>
        <v/>
      </c>
      <c r="CH112" s="90">
        <f>IF(OR($A112="",$H112="",$H112="NO LAB"),0,IFERROR(VALUE(LEFT($H112,FIND(" ",$H112)-1)),0))</f>
        <v/>
      </c>
      <c r="CI112" s="91">
        <f>IF(OR($A112="",$I112="",$I112="NON-RATED",N($J112)=0),"",IFERROR(VLOOKUP($I112&amp;"|"&amp;$J112,IBC,2,FALSE),"?"))</f>
        <v/>
      </c>
      <c r="CJ112" s="85">
        <f>IF(NOT(AND($A112&lt;&gt;"",$C112&lt;&gt;"DOOR ONLY")),"",TRIM(IFERROR(VLOOKUP($U112,CODES,2,FALSE),"")&amp;" "&amp;$BG112&amp;" "&amp;IFERROR(VLOOKUP($Z112,CODES,2,FALSE),"")&amp;" "&amp;IFERROR(VLOOKUP($X112,CODES,2,FALSE),"")&amp;" "&amp;IFERROR(VLOOKUP($S112,CODES,2,FALSE),"")&amp;IF(N($P112)&gt;0," w/TRANSOM "&amp;$P112&amp;CHAR(34),"")&amp;IF(N($Q112)&gt;0," w/SIDELITE "&amp;$Q112&amp;CHAR(34)&amp;" "&amp;IF($R112="","R",$R112),"")&amp;IF($Y112="","  |  "," | "&amp;IFERROR(VLOOKUP($Y112,CODES,2,FALSE),"")&amp;" | ")&amp;IFERROR(VLOOKUP($AC112,CODES,2,FALSE),"")&amp;" "&amp;IFERROR(VLOOKUP($AD112,CODES,2,FALSE),"")&amp;IF(OR($AE112="",$AE112="-"),""," "&amp;$AE112)&amp;IF(OR($AF112="",$AF112="-"),""," "&amp;$AF112)&amp;IF($AB112="Y"," 4"&amp;CHAR(34)&amp;" HEAD","")&amp;" "&amp;IFERROR(VLOOKUP($H112,CODES,2,FALSE),"")&amp;IF($CT112," | LOC "&amp;$CY112,"")))</f>
        <v/>
      </c>
      <c r="CK112" s="85">
        <f>IF(NOT(AND($A112&lt;&gt;"",N($BJ112)&gt;0)),"",TRIM(IFERROR(VLOOKUP($AH112,CODES,2,FALSE),"")&amp;IF($AI112=""," "," "&amp;$AI112&amp;"GA ")&amp;$BG112&amp;" "&amp;IF($AN112="",IFERROR(VLOOKUP($Z112,CODES,2,FALSE),""),IFERROR(VLOOKUP($AN112,CODES,2,FALSE),""))&amp;IF($BJ112=2," PAIR","")&amp;" DOOR | "&amp;IF($AL112="","?",$AL112)&amp;" | "&amp;IF($AO112="",IFERROR(VLOOKUP($AC112,CODES,2,FALSE),""),IFERROR(VLOOKUP($AO112,CODES,2,FALSE),""))&amp;" "&amp;IFERROR(VLOOKUP($AP112,CODES,2,FALSE),"")&amp;IF(OR($AQ112="",$AQ112="-"),""," SEAM "&amp;$AQ112)&amp;IF($AR112="Y"," ASTRAGAL","")&amp;IF($AJ112=""," "," "&amp;$AJ112)&amp;IF($AK112=""," "," "&amp;$AK112)&amp;IF(OR($AT112="",$AT112="ANSI/SDI",$AT112="CUSTOM LOC"),""," "&amp;$AT112)&amp;IF($AM112=""," "," SERIES "&amp;$AM112)&amp;" "&amp;IFERROR(VLOOKUP($H112,CODES,2,FALSE),"")&amp;IF($CT112," | LOC "&amp;$CZ112,"")))</f>
        <v/>
      </c>
      <c r="CL112" s="84">
        <f>IF(CP112="","",IF(COUNTIF($CP$6:CP112,CP112)=1,MAX($CL$5:CL111)+1,INDEX($CL$5:CL111,MATCH(CP112,$CP$5:CP111,0))))</f>
        <v/>
      </c>
      <c r="CM112" s="84">
        <f>IF(NOT(AND($A112&lt;&gt;"",$C112&lt;&gt;"DOOR ONLY")),"",MAX($CM$5:CM111)+1)</f>
        <v/>
      </c>
      <c r="CN112" s="84">
        <f>IF(NOT(AND($A112&lt;&gt;"",N($BJ112)&gt;0)),"",MAX($CN$5:CN111)+1)</f>
        <v/>
      </c>
      <c r="CO112" s="84">
        <f>IF($A112="","",MAX($CO$5:CO111)+1)</f>
        <v/>
      </c>
      <c r="CP112" s="84">
        <f>IF(OR($A112="",$BH112="",$BI112=""),"",$BG112&amp;"|"&amp;$O112&amp;"|"&amp;$AL112&amp;"|"&amp;$S112&amp;"|"&amp;$P112&amp;"|"&amp;$Q112&amp;$R112&amp;"|"&amp;$C112&amp;"|"&amp;$AB112)</f>
        <v/>
      </c>
      <c r="CQ112" s="84">
        <f>N($BS112)</f>
        <v/>
      </c>
      <c r="CR112" s="84">
        <f>IF(N($AU112)&gt;0,N($AU112),4.5)</f>
        <v/>
      </c>
      <c r="CS112" s="84">
        <f>OR($A112="",$BI112="",$S112="BL",AND($C112="FRAME ONLY",OR($AC112="",$AC112="BLK")))</f>
        <v/>
      </c>
      <c r="CT112" s="84">
        <f>AND(NOT($CS112),OR($AT112="CUSTOM LOC",N($AW112)+N($AX112)+N($AY112)+N($AZ112)+N($BA112)&gt;0))</f>
        <v/>
      </c>
      <c r="CU112" s="84">
        <f>IF($BI112="","",IF($BI112&lt;=80,80,IF($BI112&lt;=84,84,96)))</f>
        <v/>
      </c>
      <c r="CV112" s="84">
        <f>ISNUMBER(MATCH($AT112&amp;"|80",LocKeys,0))</f>
        <v/>
      </c>
      <c r="CW112" s="86">
        <f>IF($CS112,"",IF($CV112,VLOOKUP($AT112&amp;"|"&amp;$CU112,LocTable,4,FALSE),5))</f>
        <v/>
      </c>
      <c r="CX112" s="86">
        <f>IF($CS112,"",IF($CV112,IF(OR($BI112=$CU112,AND($BI112&lt;$CU112,$BI112-IF(N(VLOOKUP($AT112&amp;"|"&amp;$CU112,LocTable,7,FALSE))&gt;0,VLOOKUP($AT112&amp;"|"&amp;$CU112,LocTable,7,FALSE),VLOOKUP($AT112&amp;"|"&amp;$CU112,LocTable,6,FALSE))-$CR112-0.75&gt;=2.125)),IF(N(VLOOKUP($AT112&amp;"|"&amp;$CU112,LocTable,7,FALSE))&gt;0,VLOOKUP($AT112&amp;"|"&amp;$CU112,LocTable,7,FALSE),VLOOKUP($AT112&amp;"|"&amp;$CU112,LocTable,6,FALSE)),$BI112-($CU112-IF(N(VLOOKUP($AT112&amp;"|"&amp;$CU112,LocTable,7,FALSE))&gt;0,VLOOKUP($AT112&amp;"|"&amp;$CU112,LocTable,7,FALSE),VLOOKUP($AT112&amp;"|"&amp;$CU112,LocTable,6,FALSE)))),$BI112-10-$CR112))</f>
        <v/>
      </c>
      <c r="CY112" s="85">
        <f>IF($CS112,"",TRIM(IF(ISNUMBER($BU112),"A "&amp;TRIM(TEXT($BU112,"# ?/??"))&amp;CHAR(34)&amp;"  ","")&amp;IF(ISNUMBER($BV112),"B "&amp;TRIM(TEXT($BV112,"# ?/??"))&amp;CHAR(34)&amp;"  ","")&amp;IF(ISNUMBER($BW112),"C "&amp;TRIM(TEXT($BW112,"# ?/??"))&amp;CHAR(34)&amp;"  ","")&amp;IF(ISNUMBER($BX112),"D "&amp;TRIM(TEXT($BX112,"# ?/??"))&amp;CHAR(34)&amp;"  ","")&amp;IF(ISNUMBER($BY112),"F "&amp;TRIM(TEXT($BY112,"# ?/??"))&amp;CHAR(34)&amp;"  ","")&amp;IF(ISNUMBER($BZ112),"E "&amp;TRIM(TEXT($BZ112,"# ?/??"))&amp;CHAR(34)&amp;"  ","")))</f>
        <v/>
      </c>
      <c r="CZ112" s="85">
        <f>IF(OR($CS112,N($BJ112)=0),"",TRIM(IF(ISNUMBER($BU112),"A "&amp;TRIM(TEXT($BU112-HeadClr,"# ?/??"))&amp;CHAR(34)&amp;"  ","")&amp;IF(ISNUMBER($BV112),"B "&amp;TRIM(TEXT($BV112-HeadClr,"# ?/??"))&amp;CHAR(34)&amp;"  ","")&amp;IF(ISNUMBER($BW112),"C "&amp;TRIM(TEXT($BW112-HeadClr,"# ?/??"))&amp;CHAR(34)&amp;"  ","")&amp;IF(ISNUMBER($BX112),"D "&amp;TRIM(TEXT($BX112-HeadClr,"# ?/??"))&amp;CHAR(34)&amp;"  ","")&amp;IF(ISNUMBER($BY112),"F "&amp;TRIM(TEXT($BY112-HeadClr,"# ?/??"))&amp;CHAR(34)&amp;"  ","")&amp;IF(ISNUMBER($BZ112),"E "&amp;TRIM(TEXT($BZ112-HeadClr,"# ?/??"))&amp;CHAR(34)&amp;"  ","")))</f>
        <v/>
      </c>
      <c r="DA112" s="84">
        <f>IF($A112="","",IF($AN112="",IFERROR(VLOOKUP($Z112,CODES,2,FALSE),""),IFERROR(VLOOKUP($AN112,CODES,2,FALSE),"")))</f>
        <v/>
      </c>
      <c r="DB112" s="84">
        <f>IF($A112="","",IF($O112="Y","PR",IF(OR($Z112="L",$Z112="RR",LEFT($Z112,2)="L-",LEFT($Z112,3)="RR-"),"LH","RH")))</f>
        <v/>
      </c>
      <c r="DC112" s="84">
        <f>IF($A112="","","S.HM"&amp;IF(OR($C112="DOOR ONLY",$X112&lt;&gt;"KD"),"MASONRY","DRYWALL")&amp;IF($C112="DOOR ONLY","",$U112)&amp;IF(AND($C112&lt;&gt;"FRAME ONLY",OR(LEFT($AH112,3)="OAK",LEFT($AH112,3)="BIR",LEFT($AH112,3)="MAP",$AH112="PC",$AH112="MC",$AH112="SCLC",$AH112="P-LAM")),"WD","HM")&amp;"1.75")</f>
        <v/>
      </c>
      <c r="DD112" s="84">
        <f>IF($CJ112="","",IF($O112="Y",$CJ112,SUBSTITUTE($CJ112,$BG112&amp;" "&amp;IFERROR(VLOOKUP($Z112,CODES,2,FALSE),"")&amp;" ",$BG112&amp;" ")))</f>
        <v/>
      </c>
      <c r="DE112" s="84">
        <f>IF($CK112="","",IF($O112="Y",$CK112,SUBSTITUTE($CK112,$BG112&amp;" "&amp;IF($AN112="",IFERROR(VLOOKUP($Z112,CODES,2,FALSE),""),IFERROR(VLOOKUP($AN112,CODES,2,FALSE),""))&amp;" ",$BG112&amp;" ")))</f>
        <v/>
      </c>
      <c r="DF112" s="84">
        <f>IF($CJ112="","",$DC112&amp;"|"&amp;$DD112&amp;"|"&amp;$DB112&amp;"|"&amp;$AT112&amp;"|"&amp;$V112&amp;"|"&amp;$Y112&amp;"|"&amp;$AB112)</f>
        <v/>
      </c>
      <c r="DG112" s="84">
        <f>IF(DF112="","",IF(COUNTIF($DF$6:DF112,DF112)=1,MAX($DG$5:DG111)+1,INDEX($DG$5:DG111,MATCH(DF112,$DF$5:DF111,0))))</f>
        <v/>
      </c>
      <c r="DH112" s="84">
        <f>IF($CK112="","",$DC112&amp;"|"&amp;$DE112&amp;"|"&amp;$AI112&amp;"|"&amp;$BK112&amp;"|"&amp;$BL112)</f>
        <v/>
      </c>
      <c r="DI112" s="84">
        <f>IF(DH112="","",IF(COUNTIF($DH$6:DH112,DH112)=1,MAX($DI$5:DI111)+1,INDEX($DI$5:DI111,MATCH(DH112,$DH$5:DH111,0))))</f>
        <v/>
      </c>
      <c r="DJ112" s="84">
        <f>IF($A112="","",IF($B112="","qty, ","")&amp;IF($C112="","scope, ","")&amp;IF(OR($K112="",$M112=""),"size, ","")&amp;IF(AND($A112&lt;&gt;"",$C112&lt;&gt;"DOOR ONLY"),IF($U112="","jamb depth, ","")&amp;IF($X112="","construction, ","")&amp;IF($Y112="","anchor, ","")&amp;IF($S112="","frame type, ",""),"")&amp;IF(AND(N($BJ112)&gt;0,$Z112=""),"hand, ","")&amp;IF(N($BJ112)&gt;0,IF($AH112="","door material, ","")&amp;IF($AL112="","face type, ","")&amp;IF($AP112="","lock prep, ","")&amp;IF(AND($AO112="",$AC112=""),"hinge prep, ",""),"")&amp;IF(AND($CH112&gt;0,$AH112="FRP"),"FRP cannot carry a label, ","")&amp;IF(AND($O112="Y",OR($Z112="L",$Z112="R",$Z112="LR",$Z112="RR")),"pair marked but hand is single, ","")&amp;IF(AND($O112&lt;&gt;"Y",OR($Z112="PR",AND(LEN($Z112)&gt;1,ISNUMBER(SEARCH("-",$Z112))))),"pair hand on a single door, ","")&amp;IF(AND(ISNUMBER($CI112),$CH112&lt;N($CI112)),"wall needs a "&amp;$CI112&amp;" min door, ","")&amp;IF(AND($CH112&gt;=180,AND(OR($CE112="FG",$CE112="HG",$CE112="FNV",$CE112="FV"),N($CF112)*N($CG112)&gt;100)),"180 min lite over 100 sq in, ","")&amp;IF(N($BK112)&gt;48,"leaf wider than 4'-0"&amp;CHAR(34)&amp;", ","")&amp;IF(AND($CT112,COUNT($AW112:$AZ112)=0,$CQ112&gt;0),"CUSTOM LOC with no locations typed, ",""))</f>
        <v/>
      </c>
      <c r="DK112" s="84">
        <f>IF($A112="","",IF(AND($CH112&gt;0,AND($A112&lt;&gt;"",$C112&lt;&gt;"DOOR ONLY"),$X112="KD",$E112="EXTERIOR"),"KD label on an exterior opening, ","")&amp;IF(AND($E112="EXTERIOR",OR(AND(AND($A112&lt;&gt;"",$C112&lt;&gt;"DOOR ONLY"),$W112="CR"),AND(N($BJ112)&gt;0,$AH112="CR"))),"exterior in CR steel (G9?), ","")&amp;IF(AND(ISNUMBER($BQ112),N($BQ112)&lt;32),"clear width ~"&amp;TEXT($BQ112,"0.0")&amp;CHAR(34)&amp;" under 32"&amp;CHAR(34)&amp;" (ADA), ","")&amp;IF(AND($CH112=90,AND(OR($CE112="FG",$CE112="HG",$CE112="FNV",$CE112="FV"),N($CF112)*N($CG112)&gt;100)),"90 min lite over 100 sq in (stair/exit), ","")&amp;IF(AND($CH112&gt;0,AND($A112&lt;&gt;"",$C112&lt;&gt;"DOOR ONLY"),OR($AF112="",$AF112="-")),"rated: closer reinf.?, ","")&amp;IF(OR($I112="CORRIDOR",$I112="SMOKE BARRIER"),"S label + smoke gasketing, ","")&amp;IF($CI112="?","wall type/hr not in IBC table, ","")&amp;IF(AND(N($BJ112)&gt;0,$BB112=""),"no hardware set, ","")&amp;IF(AND($BB112&lt;&gt;"",ISNA(MATCH($BB112&amp;"",HWSets,0))),"set "&amp;$BB112&amp;" not on HW Sets, ","")&amp;IF(N($BL112)&gt;96,"leaf over 8'-0"&amp;CHAR(34)&amp;" - check listing, ","")&amp;IF(AND($CT112,COUNT($AW112:$AZ112)&gt;0,COUNT($AW112:$AZ112)&lt;&gt;$CQ112),COUNT($AW112:$AZ112)&amp;" custom hinges typed, "&amp;$CQ112&amp;" expected, ","")&amp;IF(AND(ISNUMBER($CA112),OR(N($CA112)&lt;34,N($CA112)&gt;48)),"lock "&amp;TEXT($CA112,"0.0")&amp;CHAR(34)&amp;" AFF outside 34-48"&amp;CHAR(34)&amp;" (ADA), ","")&amp;IF(AND(ISNUMBER($AV112),ISNUMBER($BL112),N($AV112)&lt;IF(N($BL112)&lt;=60,2,IF(N($BL112)&lt;=90,3,IF(N($BL112)&lt;=120,4,5)))),"fewer hinges than standard, ",""))</f>
        <v/>
      </c>
    </row>
    <row r="113" ht="15" customHeight="1">
      <c r="A113" s="77" t="n"/>
      <c r="B113" s="78" t="n"/>
      <c r="C113" s="78" t="n"/>
      <c r="D113" s="78" t="n"/>
      <c r="E113" s="78" t="n"/>
      <c r="F113" s="78" t="n"/>
      <c r="G113" s="78" t="n"/>
      <c r="H113" s="78" t="n"/>
      <c r="I113" s="78" t="n"/>
      <c r="J113" s="78" t="n"/>
      <c r="K113" s="78" t="n"/>
      <c r="L113" s="78" t="n"/>
      <c r="M113" s="78" t="n"/>
      <c r="N113" s="78" t="n"/>
      <c r="O113" s="78" t="n"/>
      <c r="P113" s="78" t="n"/>
      <c r="Q113" s="78" t="n"/>
      <c r="R113" s="78" t="n"/>
      <c r="S113" s="79" t="n"/>
      <c r="T113" s="79" t="n"/>
      <c r="U113" s="79" t="n"/>
      <c r="V113" s="79" t="n"/>
      <c r="W113" s="79" t="n"/>
      <c r="X113" s="79" t="n"/>
      <c r="Y113" s="79" t="n"/>
      <c r="Z113" s="79" t="n"/>
      <c r="AA113" s="79" t="n"/>
      <c r="AB113" s="79" t="n"/>
      <c r="AC113" s="79" t="n"/>
      <c r="AD113" s="79" t="n"/>
      <c r="AE113" s="79" t="n"/>
      <c r="AF113" s="79" t="n"/>
      <c r="AG113" s="79" t="n"/>
      <c r="AH113" s="80" t="n"/>
      <c r="AI113" s="80" t="n"/>
      <c r="AJ113" s="80" t="n"/>
      <c r="AK113" s="80" t="n"/>
      <c r="AL113" s="80" t="n"/>
      <c r="AM113" s="80" t="n"/>
      <c r="AN113" s="80" t="n"/>
      <c r="AO113" s="80" t="n"/>
      <c r="AP113" s="80" t="n"/>
      <c r="AQ113" s="80" t="n"/>
      <c r="AR113" s="80" t="n"/>
      <c r="AS113" s="80" t="n"/>
      <c r="AT113" s="81" t="n"/>
      <c r="AU113" s="81" t="n"/>
      <c r="AV113" s="81" t="n"/>
      <c r="AW113" s="82" t="n"/>
      <c r="AX113" s="82" t="n"/>
      <c r="AY113" s="82" t="n"/>
      <c r="AZ113" s="82" t="n"/>
      <c r="BA113" s="82" t="n"/>
      <c r="BB113" s="83" t="n"/>
      <c r="BC113" s="83" t="n"/>
      <c r="BD113" s="84">
        <f>IF($A113="","",IF($DJ113&lt;&gt;"","FIX",IF($DK113&lt;&gt;"","CHECK","OK")))</f>
        <v/>
      </c>
      <c r="BE113" s="85">
        <f>IF($A113="","",IF($DJ113&lt;&gt;"","FIX: "&amp;LEFT($DJ113,LEN($DJ113)-2)&amp;IF($DK113&lt;&gt;"","  ·  ",""),"")&amp;IF($DK113&lt;&gt;"","CHECK: "&amp;LEFT($DK113,LEN($DK113)-2),""))</f>
        <v/>
      </c>
      <c r="BF113" s="84">
        <f>IF(OR($A113="",$K113=""),"",$K113&amp;"'-"&amp;N($L113)&amp;CHAR(34)&amp;" x "&amp;$M113&amp;"'-"&amp;N($N113)&amp;CHAR(34))</f>
        <v/>
      </c>
      <c r="BG113" s="84">
        <f>IF(OR($A113="",$K113=""),"",$K113&amp;N($L113)&amp;$M113&amp;N($N113))</f>
        <v/>
      </c>
      <c r="BH113" s="84">
        <f>IF(OR($A113="",$K113=""),"",$K113*12+N($L113))</f>
        <v/>
      </c>
      <c r="BI113" s="84">
        <f>IF(OR($A113="",$M113=""),"",$M113*12+N($N113))</f>
        <v/>
      </c>
      <c r="BJ113" s="84">
        <f>IF($A113="","",IF(OR($C113="FRAME ONLY",$S113="BL"),0,IF($O113="Y",2,1)))</f>
        <v/>
      </c>
      <c r="BK113" s="86">
        <f>IF(OR(N($BJ113)=0,$BH113=""),"",($BH113-2*EdgeClr-IF($BJ113=2,MeetClr,0))/$BJ113)</f>
        <v/>
      </c>
      <c r="BL113" s="86">
        <f>IF(OR(N($BJ113)=0,$BI113=""),"",$BI113-HeadClr-Undercut)</f>
        <v/>
      </c>
      <c r="BM113" s="86">
        <f>IF($BH113="","",$BH113+2*FaceW+IF(N($Q113)&gt;0,($Q113+FaceW)*IF($R113="LR",2,1),0))</f>
        <v/>
      </c>
      <c r="BN113" s="86">
        <f>IF($BI113="","",$BI113+IF($AB113="Y",4,FaceW)+IF(N($P113)&gt;0,$P113+FaceW,0)+IF(OR($S113="4F",$S113="BL"),FaceW,0))</f>
        <v/>
      </c>
      <c r="BO113" s="86">
        <f>IF($BM113="","",$BM113+2*ROSide)</f>
        <v/>
      </c>
      <c r="BP113" s="86">
        <f>IF($BN113="","",$BN113+ROTop)</f>
        <v/>
      </c>
      <c r="BQ113" s="87">
        <f>IF(OR(N($BJ113)=0,$BH113=""),"",$BH113/$BJ113-ClearDeduct)</f>
        <v/>
      </c>
      <c r="BR113" s="84">
        <f>IF(N($CH113)=0,"",IF($CH113&gt;=180,"A · 3 HR",IF($CH113&gt;=90,"B · 1-1/2 HR",IF($CH113&gt;=60,"B · 1 HR",IF($CH113&gt;=45,"C · 3/4 HR","20 MIN")))))&amp;IF(AND(N($CH113)&gt;0,OR($I113="CORRIDOR",$I113="SMOKE BARRIER"))," · S","")</f>
        <v/>
      </c>
      <c r="BS113" s="84">
        <f>IF($CS113,"",IF($AV113&lt;&gt;"",$AV113,IF(OR($AC113="HGC",$AO113="HGC"),"CONT",IF(($BI113-HeadClr-Undercut)&lt;=60,2,IF(($BI113-HeadClr-Undercut)&lt;=90,3,IF(($BI113-HeadClr-Undercut)&lt;=120,4,5))))))</f>
        <v/>
      </c>
      <c r="BT113" s="84">
        <f>IF($CS113,"",IF($CT113,"CUSTOM (typed)",IF($CV113,$AT113&amp;" "&amp;$CU113&amp;CHAR(34)&amp;IF($CU113&lt;&gt;$BI113,IF(AND($BI113&lt;$CU113,$BI113-IF(N(VLOOKUP($AT113&amp;"|"&amp;$CU113,LocTable,7,FALSE))&gt;0,VLOOKUP($AT113&amp;"|"&amp;$CU113,LocTable,7,FALSE),VLOOKUP($AT113&amp;"|"&amp;$CU113,LocTable,6,FALSE))-$CR113-0.75&gt;=2.125)," cut down"," adj."),""),"ANSI/SDI A250.6")))</f>
        <v/>
      </c>
      <c r="BU113" s="88">
        <f>IF($CS113,"",IF($CT113,IF(N($AW113)&gt;0,N($AW113),""),IF(1&gt;$CQ113,"",IF($CQ113=1,$CW113,$CW113+($CX113-$CW113)*0/($CQ113-1)))))</f>
        <v/>
      </c>
      <c r="BV113" s="88">
        <f>IF($CS113,"",IF($CT113,IF(N($AX113)&gt;0,N($AX113),""),IF(2&gt;$CQ113,"",IF($CQ113=1,$CW113,$CW113+($CX113-$CW113)*1/($CQ113-1)))))</f>
        <v/>
      </c>
      <c r="BW113" s="88">
        <f>IF($CS113,"",IF($CT113,IF(N($AY113)&gt;0,N($AY113),""),IF(3&gt;$CQ113,"",IF($CQ113=1,$CW113,$CW113+($CX113-$CW113)*2/($CQ113-1)))))</f>
        <v/>
      </c>
      <c r="BX113" s="88">
        <f>IF($CS113,"",IF($CT113,IF(N($AZ113)&gt;0,N($AZ113),""),IF(4&gt;$CQ113,"",IF($CQ113=1,$CW113,$CW113+($CX113-$CW113)*3/($CQ113-1)))))</f>
        <v/>
      </c>
      <c r="BY113" s="88">
        <f>IF($CS113,"",IF($CT113,"",IF(5&gt;$CQ113,"",IF($CQ113=1,$CW113,$CW113+($CX113-$CW113)*4/($CQ113-1)))))</f>
        <v/>
      </c>
      <c r="BZ113" s="88">
        <f>IF(OR($CS113,$AP113="-",AND($AP113="",$AD113="")),"",IF(N($BA113)&gt;0,N($BA113),IF($CV113,IF(AND($BI113&lt;$CU113,$BI113-IF(N(VLOOKUP($AT113&amp;"|"&amp;$CU113,LocTable,7,FALSE))&gt;0,VLOOKUP($AT113&amp;"|"&amp;$CU113,LocTable,7,FALSE),VLOOKUP($AT113&amp;"|"&amp;$CU113,LocTable,6,FALSE))-$CR113-0.75&gt;=2.125),VLOOKUP($AT113&amp;"|"&amp;$CU113,LocTable,8,FALSE),VLOOKUP($AT113&amp;"|"&amp;$CU113,LocTable,8,FALSE)+($BI113-$CU113)),$BI113-LockAFF)))</f>
        <v/>
      </c>
      <c r="CA113" s="89">
        <f>IF($BZ113="","",$BI113-$BZ113)</f>
        <v/>
      </c>
      <c r="CB113" s="84">
        <f>IF(OR(NOT(AND($A113&lt;&gt;"",$C113&lt;&gt;"DOOR ONLY")),$BI113=""),"",IF(($BI113+IF(N($P113)&gt;0,$P113+FaceW,0))&lt;=90,3,IF(($BI113+IF(N($P113)&gt;0,$P113+FaceW,0))&lt;=114,4,5)))</f>
        <v/>
      </c>
      <c r="CC113" s="84">
        <f>IF($CB113="","",$CB113*(2+IF(N($Q113)&gt;0,IF($R113="LR",2,1),0)))</f>
        <v/>
      </c>
      <c r="CD113" s="84">
        <f>IF($CB113="","",(2+IF(N($Q113)&gt;0,IF($R113="LR",2,1),0)))</f>
        <v/>
      </c>
      <c r="CE113" s="84">
        <f>IF(N($BJ113)=0,"",IF(OR($AL113="",$AL113="FLUSH"),"FLUSH",IFERROR(LEFT($AL113,FIND("-",$AL113)-1),LEFT($AL113,2))))</f>
        <v/>
      </c>
      <c r="CF113" s="84">
        <f>IF($CE113="","",IFERROR(VALUE(MID($AL113,FIND("-",$AL113)+1,FIND(CHAR(34)&amp;"x",$AL113)-FIND("-",$AL113)-1)),0))</f>
        <v/>
      </c>
      <c r="CG113" s="84">
        <f>IF($CE113="","",IFERROR(VALUE(MID($AL113,FIND(CHAR(34)&amp;"x",$AL113)+2,FIND(CHAR(34),$AL113,FIND(CHAR(34)&amp;"x",$AL113)+2)-FIND(CHAR(34)&amp;"x",$AL113)-2)),0))</f>
        <v/>
      </c>
      <c r="CH113" s="90">
        <f>IF(OR($A113="",$H113="",$H113="NO LAB"),0,IFERROR(VALUE(LEFT($H113,FIND(" ",$H113)-1)),0))</f>
        <v/>
      </c>
      <c r="CI113" s="91">
        <f>IF(OR($A113="",$I113="",$I113="NON-RATED",N($J113)=0),"",IFERROR(VLOOKUP($I113&amp;"|"&amp;$J113,IBC,2,FALSE),"?"))</f>
        <v/>
      </c>
      <c r="CJ113" s="85">
        <f>IF(NOT(AND($A113&lt;&gt;"",$C113&lt;&gt;"DOOR ONLY")),"",TRIM(IFERROR(VLOOKUP($U113,CODES,2,FALSE),"")&amp;" "&amp;$BG113&amp;" "&amp;IFERROR(VLOOKUP($Z113,CODES,2,FALSE),"")&amp;" "&amp;IFERROR(VLOOKUP($X113,CODES,2,FALSE),"")&amp;" "&amp;IFERROR(VLOOKUP($S113,CODES,2,FALSE),"")&amp;IF(N($P113)&gt;0," w/TRANSOM "&amp;$P113&amp;CHAR(34),"")&amp;IF(N($Q113)&gt;0," w/SIDELITE "&amp;$Q113&amp;CHAR(34)&amp;" "&amp;IF($R113="","R",$R113),"")&amp;IF($Y113="","  |  "," | "&amp;IFERROR(VLOOKUP($Y113,CODES,2,FALSE),"")&amp;" | ")&amp;IFERROR(VLOOKUP($AC113,CODES,2,FALSE),"")&amp;" "&amp;IFERROR(VLOOKUP($AD113,CODES,2,FALSE),"")&amp;IF(OR($AE113="",$AE113="-"),""," "&amp;$AE113)&amp;IF(OR($AF113="",$AF113="-"),""," "&amp;$AF113)&amp;IF($AB113="Y"," 4"&amp;CHAR(34)&amp;" HEAD","")&amp;" "&amp;IFERROR(VLOOKUP($H113,CODES,2,FALSE),"")&amp;IF($CT113," | LOC "&amp;$CY113,"")))</f>
        <v/>
      </c>
      <c r="CK113" s="85">
        <f>IF(NOT(AND($A113&lt;&gt;"",N($BJ113)&gt;0)),"",TRIM(IFERROR(VLOOKUP($AH113,CODES,2,FALSE),"")&amp;IF($AI113=""," "," "&amp;$AI113&amp;"GA ")&amp;$BG113&amp;" "&amp;IF($AN113="",IFERROR(VLOOKUP($Z113,CODES,2,FALSE),""),IFERROR(VLOOKUP($AN113,CODES,2,FALSE),""))&amp;IF($BJ113=2," PAIR","")&amp;" DOOR | "&amp;IF($AL113="","?",$AL113)&amp;" | "&amp;IF($AO113="",IFERROR(VLOOKUP($AC113,CODES,2,FALSE),""),IFERROR(VLOOKUP($AO113,CODES,2,FALSE),""))&amp;" "&amp;IFERROR(VLOOKUP($AP113,CODES,2,FALSE),"")&amp;IF(OR($AQ113="",$AQ113="-"),""," SEAM "&amp;$AQ113)&amp;IF($AR113="Y"," ASTRAGAL","")&amp;IF($AJ113=""," "," "&amp;$AJ113)&amp;IF($AK113=""," "," "&amp;$AK113)&amp;IF(OR($AT113="",$AT113="ANSI/SDI",$AT113="CUSTOM LOC"),""," "&amp;$AT113)&amp;IF($AM113=""," "," SERIES "&amp;$AM113)&amp;" "&amp;IFERROR(VLOOKUP($H113,CODES,2,FALSE),"")&amp;IF($CT113," | LOC "&amp;$CZ113,"")))</f>
        <v/>
      </c>
      <c r="CL113" s="84">
        <f>IF(CP113="","",IF(COUNTIF($CP$6:CP113,CP113)=1,MAX($CL$5:CL112)+1,INDEX($CL$5:CL112,MATCH(CP113,$CP$5:CP112,0))))</f>
        <v/>
      </c>
      <c r="CM113" s="84">
        <f>IF(NOT(AND($A113&lt;&gt;"",$C113&lt;&gt;"DOOR ONLY")),"",MAX($CM$5:CM112)+1)</f>
        <v/>
      </c>
      <c r="CN113" s="84">
        <f>IF(NOT(AND($A113&lt;&gt;"",N($BJ113)&gt;0)),"",MAX($CN$5:CN112)+1)</f>
        <v/>
      </c>
      <c r="CO113" s="84">
        <f>IF($A113="","",MAX($CO$5:CO112)+1)</f>
        <v/>
      </c>
      <c r="CP113" s="84">
        <f>IF(OR($A113="",$BH113="",$BI113=""),"",$BG113&amp;"|"&amp;$O113&amp;"|"&amp;$AL113&amp;"|"&amp;$S113&amp;"|"&amp;$P113&amp;"|"&amp;$Q113&amp;$R113&amp;"|"&amp;$C113&amp;"|"&amp;$AB113)</f>
        <v/>
      </c>
      <c r="CQ113" s="84">
        <f>N($BS113)</f>
        <v/>
      </c>
      <c r="CR113" s="84">
        <f>IF(N($AU113)&gt;0,N($AU113),4.5)</f>
        <v/>
      </c>
      <c r="CS113" s="84">
        <f>OR($A113="",$BI113="",$S113="BL",AND($C113="FRAME ONLY",OR($AC113="",$AC113="BLK")))</f>
        <v/>
      </c>
      <c r="CT113" s="84">
        <f>AND(NOT($CS113),OR($AT113="CUSTOM LOC",N($AW113)+N($AX113)+N($AY113)+N($AZ113)+N($BA113)&gt;0))</f>
        <v/>
      </c>
      <c r="CU113" s="84">
        <f>IF($BI113="","",IF($BI113&lt;=80,80,IF($BI113&lt;=84,84,96)))</f>
        <v/>
      </c>
      <c r="CV113" s="84">
        <f>ISNUMBER(MATCH($AT113&amp;"|80",LocKeys,0))</f>
        <v/>
      </c>
      <c r="CW113" s="86">
        <f>IF($CS113,"",IF($CV113,VLOOKUP($AT113&amp;"|"&amp;$CU113,LocTable,4,FALSE),5))</f>
        <v/>
      </c>
      <c r="CX113" s="86">
        <f>IF($CS113,"",IF($CV113,IF(OR($BI113=$CU113,AND($BI113&lt;$CU113,$BI113-IF(N(VLOOKUP($AT113&amp;"|"&amp;$CU113,LocTable,7,FALSE))&gt;0,VLOOKUP($AT113&amp;"|"&amp;$CU113,LocTable,7,FALSE),VLOOKUP($AT113&amp;"|"&amp;$CU113,LocTable,6,FALSE))-$CR113-0.75&gt;=2.125)),IF(N(VLOOKUP($AT113&amp;"|"&amp;$CU113,LocTable,7,FALSE))&gt;0,VLOOKUP($AT113&amp;"|"&amp;$CU113,LocTable,7,FALSE),VLOOKUP($AT113&amp;"|"&amp;$CU113,LocTable,6,FALSE)),$BI113-($CU113-IF(N(VLOOKUP($AT113&amp;"|"&amp;$CU113,LocTable,7,FALSE))&gt;0,VLOOKUP($AT113&amp;"|"&amp;$CU113,LocTable,7,FALSE),VLOOKUP($AT113&amp;"|"&amp;$CU113,LocTable,6,FALSE)))),$BI113-10-$CR113))</f>
        <v/>
      </c>
      <c r="CY113" s="85">
        <f>IF($CS113,"",TRIM(IF(ISNUMBER($BU113),"A "&amp;TRIM(TEXT($BU113,"# ?/??"))&amp;CHAR(34)&amp;"  ","")&amp;IF(ISNUMBER($BV113),"B "&amp;TRIM(TEXT($BV113,"# ?/??"))&amp;CHAR(34)&amp;"  ","")&amp;IF(ISNUMBER($BW113),"C "&amp;TRIM(TEXT($BW113,"# ?/??"))&amp;CHAR(34)&amp;"  ","")&amp;IF(ISNUMBER($BX113),"D "&amp;TRIM(TEXT($BX113,"# ?/??"))&amp;CHAR(34)&amp;"  ","")&amp;IF(ISNUMBER($BY113),"F "&amp;TRIM(TEXT($BY113,"# ?/??"))&amp;CHAR(34)&amp;"  ","")&amp;IF(ISNUMBER($BZ113),"E "&amp;TRIM(TEXT($BZ113,"# ?/??"))&amp;CHAR(34)&amp;"  ","")))</f>
        <v/>
      </c>
      <c r="CZ113" s="85">
        <f>IF(OR($CS113,N($BJ113)=0),"",TRIM(IF(ISNUMBER($BU113),"A "&amp;TRIM(TEXT($BU113-HeadClr,"# ?/??"))&amp;CHAR(34)&amp;"  ","")&amp;IF(ISNUMBER($BV113),"B "&amp;TRIM(TEXT($BV113-HeadClr,"# ?/??"))&amp;CHAR(34)&amp;"  ","")&amp;IF(ISNUMBER($BW113),"C "&amp;TRIM(TEXT($BW113-HeadClr,"# ?/??"))&amp;CHAR(34)&amp;"  ","")&amp;IF(ISNUMBER($BX113),"D "&amp;TRIM(TEXT($BX113-HeadClr,"# ?/??"))&amp;CHAR(34)&amp;"  ","")&amp;IF(ISNUMBER($BY113),"F "&amp;TRIM(TEXT($BY113-HeadClr,"# ?/??"))&amp;CHAR(34)&amp;"  ","")&amp;IF(ISNUMBER($BZ113),"E "&amp;TRIM(TEXT($BZ113-HeadClr,"# ?/??"))&amp;CHAR(34)&amp;"  ","")))</f>
        <v/>
      </c>
      <c r="DA113" s="84">
        <f>IF($A113="","",IF($AN113="",IFERROR(VLOOKUP($Z113,CODES,2,FALSE),""),IFERROR(VLOOKUP($AN113,CODES,2,FALSE),"")))</f>
        <v/>
      </c>
      <c r="DB113" s="84">
        <f>IF($A113="","",IF($O113="Y","PR",IF(OR($Z113="L",$Z113="RR",LEFT($Z113,2)="L-",LEFT($Z113,3)="RR-"),"LH","RH")))</f>
        <v/>
      </c>
      <c r="DC113" s="84">
        <f>IF($A113="","","S.HM"&amp;IF(OR($C113="DOOR ONLY",$X113&lt;&gt;"KD"),"MASONRY","DRYWALL")&amp;IF($C113="DOOR ONLY","",$U113)&amp;IF(AND($C113&lt;&gt;"FRAME ONLY",OR(LEFT($AH113,3)="OAK",LEFT($AH113,3)="BIR",LEFT($AH113,3)="MAP",$AH113="PC",$AH113="MC",$AH113="SCLC",$AH113="P-LAM")),"WD","HM")&amp;"1.75")</f>
        <v/>
      </c>
      <c r="DD113" s="84">
        <f>IF($CJ113="","",IF($O113="Y",$CJ113,SUBSTITUTE($CJ113,$BG113&amp;" "&amp;IFERROR(VLOOKUP($Z113,CODES,2,FALSE),"")&amp;" ",$BG113&amp;" ")))</f>
        <v/>
      </c>
      <c r="DE113" s="84">
        <f>IF($CK113="","",IF($O113="Y",$CK113,SUBSTITUTE($CK113,$BG113&amp;" "&amp;IF($AN113="",IFERROR(VLOOKUP($Z113,CODES,2,FALSE),""),IFERROR(VLOOKUP($AN113,CODES,2,FALSE),""))&amp;" ",$BG113&amp;" ")))</f>
        <v/>
      </c>
      <c r="DF113" s="84">
        <f>IF($CJ113="","",$DC113&amp;"|"&amp;$DD113&amp;"|"&amp;$DB113&amp;"|"&amp;$AT113&amp;"|"&amp;$V113&amp;"|"&amp;$Y113&amp;"|"&amp;$AB113)</f>
        <v/>
      </c>
      <c r="DG113" s="84">
        <f>IF(DF113="","",IF(COUNTIF($DF$6:DF113,DF113)=1,MAX($DG$5:DG112)+1,INDEX($DG$5:DG112,MATCH(DF113,$DF$5:DF112,0))))</f>
        <v/>
      </c>
      <c r="DH113" s="84">
        <f>IF($CK113="","",$DC113&amp;"|"&amp;$DE113&amp;"|"&amp;$AI113&amp;"|"&amp;$BK113&amp;"|"&amp;$BL113)</f>
        <v/>
      </c>
      <c r="DI113" s="84">
        <f>IF(DH113="","",IF(COUNTIF($DH$6:DH113,DH113)=1,MAX($DI$5:DI112)+1,INDEX($DI$5:DI112,MATCH(DH113,$DH$5:DH112,0))))</f>
        <v/>
      </c>
      <c r="DJ113" s="84">
        <f>IF($A113="","",IF($B113="","qty, ","")&amp;IF($C113="","scope, ","")&amp;IF(OR($K113="",$M113=""),"size, ","")&amp;IF(AND($A113&lt;&gt;"",$C113&lt;&gt;"DOOR ONLY"),IF($U113="","jamb depth, ","")&amp;IF($X113="","construction, ","")&amp;IF($Y113="","anchor, ","")&amp;IF($S113="","frame type, ",""),"")&amp;IF(AND(N($BJ113)&gt;0,$Z113=""),"hand, ","")&amp;IF(N($BJ113)&gt;0,IF($AH113="","door material, ","")&amp;IF($AL113="","face type, ","")&amp;IF($AP113="","lock prep, ","")&amp;IF(AND($AO113="",$AC113=""),"hinge prep, ",""),"")&amp;IF(AND($CH113&gt;0,$AH113="FRP"),"FRP cannot carry a label, ","")&amp;IF(AND($O113="Y",OR($Z113="L",$Z113="R",$Z113="LR",$Z113="RR")),"pair marked but hand is single, ","")&amp;IF(AND($O113&lt;&gt;"Y",OR($Z113="PR",AND(LEN($Z113)&gt;1,ISNUMBER(SEARCH("-",$Z113))))),"pair hand on a single door, ","")&amp;IF(AND(ISNUMBER($CI113),$CH113&lt;N($CI113)),"wall needs a "&amp;$CI113&amp;" min door, ","")&amp;IF(AND($CH113&gt;=180,AND(OR($CE113="FG",$CE113="HG",$CE113="FNV",$CE113="FV"),N($CF113)*N($CG113)&gt;100)),"180 min lite over 100 sq in, ","")&amp;IF(N($BK113)&gt;48,"leaf wider than 4'-0"&amp;CHAR(34)&amp;", ","")&amp;IF(AND($CT113,COUNT($AW113:$AZ113)=0,$CQ113&gt;0),"CUSTOM LOC with no locations typed, ",""))</f>
        <v/>
      </c>
      <c r="DK113" s="84">
        <f>IF($A113="","",IF(AND($CH113&gt;0,AND($A113&lt;&gt;"",$C113&lt;&gt;"DOOR ONLY"),$X113="KD",$E113="EXTERIOR"),"KD label on an exterior opening, ","")&amp;IF(AND($E113="EXTERIOR",OR(AND(AND($A113&lt;&gt;"",$C113&lt;&gt;"DOOR ONLY"),$W113="CR"),AND(N($BJ113)&gt;0,$AH113="CR"))),"exterior in CR steel (G9?), ","")&amp;IF(AND(ISNUMBER($BQ113),N($BQ113)&lt;32),"clear width ~"&amp;TEXT($BQ113,"0.0")&amp;CHAR(34)&amp;" under 32"&amp;CHAR(34)&amp;" (ADA), ","")&amp;IF(AND($CH113=90,AND(OR($CE113="FG",$CE113="HG",$CE113="FNV",$CE113="FV"),N($CF113)*N($CG113)&gt;100)),"90 min lite over 100 sq in (stair/exit), ","")&amp;IF(AND($CH113&gt;0,AND($A113&lt;&gt;"",$C113&lt;&gt;"DOOR ONLY"),OR($AF113="",$AF113="-")),"rated: closer reinf.?, ","")&amp;IF(OR($I113="CORRIDOR",$I113="SMOKE BARRIER"),"S label + smoke gasketing, ","")&amp;IF($CI113="?","wall type/hr not in IBC table, ","")&amp;IF(AND(N($BJ113)&gt;0,$BB113=""),"no hardware set, ","")&amp;IF(AND($BB113&lt;&gt;"",ISNA(MATCH($BB113&amp;"",HWSets,0))),"set "&amp;$BB113&amp;" not on HW Sets, ","")&amp;IF(N($BL113)&gt;96,"leaf over 8'-0"&amp;CHAR(34)&amp;" - check listing, ","")&amp;IF(AND($CT113,COUNT($AW113:$AZ113)&gt;0,COUNT($AW113:$AZ113)&lt;&gt;$CQ113),COUNT($AW113:$AZ113)&amp;" custom hinges typed, "&amp;$CQ113&amp;" expected, ","")&amp;IF(AND(ISNUMBER($CA113),OR(N($CA113)&lt;34,N($CA113)&gt;48)),"lock "&amp;TEXT($CA113,"0.0")&amp;CHAR(34)&amp;" AFF outside 34-48"&amp;CHAR(34)&amp;" (ADA), ","")&amp;IF(AND(ISNUMBER($AV113),ISNUMBER($BL113),N($AV113)&lt;IF(N($BL113)&lt;=60,2,IF(N($BL113)&lt;=90,3,IF(N($BL113)&lt;=120,4,5)))),"fewer hinges than standard, ",""))</f>
        <v/>
      </c>
    </row>
    <row r="114" ht="15" customHeight="1">
      <c r="A114" s="77" t="n"/>
      <c r="B114" s="78" t="n"/>
      <c r="C114" s="78" t="n"/>
      <c r="D114" s="78" t="n"/>
      <c r="E114" s="78" t="n"/>
      <c r="F114" s="78" t="n"/>
      <c r="G114" s="78" t="n"/>
      <c r="H114" s="78" t="n"/>
      <c r="I114" s="78" t="n"/>
      <c r="J114" s="78" t="n"/>
      <c r="K114" s="78" t="n"/>
      <c r="L114" s="78" t="n"/>
      <c r="M114" s="78" t="n"/>
      <c r="N114" s="78" t="n"/>
      <c r="O114" s="78" t="n"/>
      <c r="P114" s="78" t="n"/>
      <c r="Q114" s="78" t="n"/>
      <c r="R114" s="78" t="n"/>
      <c r="S114" s="79" t="n"/>
      <c r="T114" s="79" t="n"/>
      <c r="U114" s="79" t="n"/>
      <c r="V114" s="79" t="n"/>
      <c r="W114" s="79" t="n"/>
      <c r="X114" s="79" t="n"/>
      <c r="Y114" s="79" t="n"/>
      <c r="Z114" s="79" t="n"/>
      <c r="AA114" s="79" t="n"/>
      <c r="AB114" s="79" t="n"/>
      <c r="AC114" s="79" t="n"/>
      <c r="AD114" s="79" t="n"/>
      <c r="AE114" s="79" t="n"/>
      <c r="AF114" s="79" t="n"/>
      <c r="AG114" s="79" t="n"/>
      <c r="AH114" s="80" t="n"/>
      <c r="AI114" s="80" t="n"/>
      <c r="AJ114" s="80" t="n"/>
      <c r="AK114" s="80" t="n"/>
      <c r="AL114" s="80" t="n"/>
      <c r="AM114" s="80" t="n"/>
      <c r="AN114" s="80" t="n"/>
      <c r="AO114" s="80" t="n"/>
      <c r="AP114" s="80" t="n"/>
      <c r="AQ114" s="80" t="n"/>
      <c r="AR114" s="80" t="n"/>
      <c r="AS114" s="80" t="n"/>
      <c r="AT114" s="81" t="n"/>
      <c r="AU114" s="81" t="n"/>
      <c r="AV114" s="81" t="n"/>
      <c r="AW114" s="82" t="n"/>
      <c r="AX114" s="82" t="n"/>
      <c r="AY114" s="82" t="n"/>
      <c r="AZ114" s="82" t="n"/>
      <c r="BA114" s="82" t="n"/>
      <c r="BB114" s="83" t="n"/>
      <c r="BC114" s="83" t="n"/>
      <c r="BD114" s="84">
        <f>IF($A114="","",IF($DJ114&lt;&gt;"","FIX",IF($DK114&lt;&gt;"","CHECK","OK")))</f>
        <v/>
      </c>
      <c r="BE114" s="85">
        <f>IF($A114="","",IF($DJ114&lt;&gt;"","FIX: "&amp;LEFT($DJ114,LEN($DJ114)-2)&amp;IF($DK114&lt;&gt;"","  ·  ",""),"")&amp;IF($DK114&lt;&gt;"","CHECK: "&amp;LEFT($DK114,LEN($DK114)-2),""))</f>
        <v/>
      </c>
      <c r="BF114" s="84">
        <f>IF(OR($A114="",$K114=""),"",$K114&amp;"'-"&amp;N($L114)&amp;CHAR(34)&amp;" x "&amp;$M114&amp;"'-"&amp;N($N114)&amp;CHAR(34))</f>
        <v/>
      </c>
      <c r="BG114" s="84">
        <f>IF(OR($A114="",$K114=""),"",$K114&amp;N($L114)&amp;$M114&amp;N($N114))</f>
        <v/>
      </c>
      <c r="BH114" s="84">
        <f>IF(OR($A114="",$K114=""),"",$K114*12+N($L114))</f>
        <v/>
      </c>
      <c r="BI114" s="84">
        <f>IF(OR($A114="",$M114=""),"",$M114*12+N($N114))</f>
        <v/>
      </c>
      <c r="BJ114" s="84">
        <f>IF($A114="","",IF(OR($C114="FRAME ONLY",$S114="BL"),0,IF($O114="Y",2,1)))</f>
        <v/>
      </c>
      <c r="BK114" s="86">
        <f>IF(OR(N($BJ114)=0,$BH114=""),"",($BH114-2*EdgeClr-IF($BJ114=2,MeetClr,0))/$BJ114)</f>
        <v/>
      </c>
      <c r="BL114" s="86">
        <f>IF(OR(N($BJ114)=0,$BI114=""),"",$BI114-HeadClr-Undercut)</f>
        <v/>
      </c>
      <c r="BM114" s="86">
        <f>IF($BH114="","",$BH114+2*FaceW+IF(N($Q114)&gt;0,($Q114+FaceW)*IF($R114="LR",2,1),0))</f>
        <v/>
      </c>
      <c r="BN114" s="86">
        <f>IF($BI114="","",$BI114+IF($AB114="Y",4,FaceW)+IF(N($P114)&gt;0,$P114+FaceW,0)+IF(OR($S114="4F",$S114="BL"),FaceW,0))</f>
        <v/>
      </c>
      <c r="BO114" s="86">
        <f>IF($BM114="","",$BM114+2*ROSide)</f>
        <v/>
      </c>
      <c r="BP114" s="86">
        <f>IF($BN114="","",$BN114+ROTop)</f>
        <v/>
      </c>
      <c r="BQ114" s="87">
        <f>IF(OR(N($BJ114)=0,$BH114=""),"",$BH114/$BJ114-ClearDeduct)</f>
        <v/>
      </c>
      <c r="BR114" s="84">
        <f>IF(N($CH114)=0,"",IF($CH114&gt;=180,"A · 3 HR",IF($CH114&gt;=90,"B · 1-1/2 HR",IF($CH114&gt;=60,"B · 1 HR",IF($CH114&gt;=45,"C · 3/4 HR","20 MIN")))))&amp;IF(AND(N($CH114)&gt;0,OR($I114="CORRIDOR",$I114="SMOKE BARRIER"))," · S","")</f>
        <v/>
      </c>
      <c r="BS114" s="84">
        <f>IF($CS114,"",IF($AV114&lt;&gt;"",$AV114,IF(OR($AC114="HGC",$AO114="HGC"),"CONT",IF(($BI114-HeadClr-Undercut)&lt;=60,2,IF(($BI114-HeadClr-Undercut)&lt;=90,3,IF(($BI114-HeadClr-Undercut)&lt;=120,4,5))))))</f>
        <v/>
      </c>
      <c r="BT114" s="84">
        <f>IF($CS114,"",IF($CT114,"CUSTOM (typed)",IF($CV114,$AT114&amp;" "&amp;$CU114&amp;CHAR(34)&amp;IF($CU114&lt;&gt;$BI114,IF(AND($BI114&lt;$CU114,$BI114-IF(N(VLOOKUP($AT114&amp;"|"&amp;$CU114,LocTable,7,FALSE))&gt;0,VLOOKUP($AT114&amp;"|"&amp;$CU114,LocTable,7,FALSE),VLOOKUP($AT114&amp;"|"&amp;$CU114,LocTable,6,FALSE))-$CR114-0.75&gt;=2.125)," cut down"," adj."),""),"ANSI/SDI A250.6")))</f>
        <v/>
      </c>
      <c r="BU114" s="88">
        <f>IF($CS114,"",IF($CT114,IF(N($AW114)&gt;0,N($AW114),""),IF(1&gt;$CQ114,"",IF($CQ114=1,$CW114,$CW114+($CX114-$CW114)*0/($CQ114-1)))))</f>
        <v/>
      </c>
      <c r="BV114" s="88">
        <f>IF($CS114,"",IF($CT114,IF(N($AX114)&gt;0,N($AX114),""),IF(2&gt;$CQ114,"",IF($CQ114=1,$CW114,$CW114+($CX114-$CW114)*1/($CQ114-1)))))</f>
        <v/>
      </c>
      <c r="BW114" s="88">
        <f>IF($CS114,"",IF($CT114,IF(N($AY114)&gt;0,N($AY114),""),IF(3&gt;$CQ114,"",IF($CQ114=1,$CW114,$CW114+($CX114-$CW114)*2/($CQ114-1)))))</f>
        <v/>
      </c>
      <c r="BX114" s="88">
        <f>IF($CS114,"",IF($CT114,IF(N($AZ114)&gt;0,N($AZ114),""),IF(4&gt;$CQ114,"",IF($CQ114=1,$CW114,$CW114+($CX114-$CW114)*3/($CQ114-1)))))</f>
        <v/>
      </c>
      <c r="BY114" s="88">
        <f>IF($CS114,"",IF($CT114,"",IF(5&gt;$CQ114,"",IF($CQ114=1,$CW114,$CW114+($CX114-$CW114)*4/($CQ114-1)))))</f>
        <v/>
      </c>
      <c r="BZ114" s="88">
        <f>IF(OR($CS114,$AP114="-",AND($AP114="",$AD114="")),"",IF(N($BA114)&gt;0,N($BA114),IF($CV114,IF(AND($BI114&lt;$CU114,$BI114-IF(N(VLOOKUP($AT114&amp;"|"&amp;$CU114,LocTable,7,FALSE))&gt;0,VLOOKUP($AT114&amp;"|"&amp;$CU114,LocTable,7,FALSE),VLOOKUP($AT114&amp;"|"&amp;$CU114,LocTable,6,FALSE))-$CR114-0.75&gt;=2.125),VLOOKUP($AT114&amp;"|"&amp;$CU114,LocTable,8,FALSE),VLOOKUP($AT114&amp;"|"&amp;$CU114,LocTable,8,FALSE)+($BI114-$CU114)),$BI114-LockAFF)))</f>
        <v/>
      </c>
      <c r="CA114" s="89">
        <f>IF($BZ114="","",$BI114-$BZ114)</f>
        <v/>
      </c>
      <c r="CB114" s="84">
        <f>IF(OR(NOT(AND($A114&lt;&gt;"",$C114&lt;&gt;"DOOR ONLY")),$BI114=""),"",IF(($BI114+IF(N($P114)&gt;0,$P114+FaceW,0))&lt;=90,3,IF(($BI114+IF(N($P114)&gt;0,$P114+FaceW,0))&lt;=114,4,5)))</f>
        <v/>
      </c>
      <c r="CC114" s="84">
        <f>IF($CB114="","",$CB114*(2+IF(N($Q114)&gt;0,IF($R114="LR",2,1),0)))</f>
        <v/>
      </c>
      <c r="CD114" s="84">
        <f>IF($CB114="","",(2+IF(N($Q114)&gt;0,IF($R114="LR",2,1),0)))</f>
        <v/>
      </c>
      <c r="CE114" s="84">
        <f>IF(N($BJ114)=0,"",IF(OR($AL114="",$AL114="FLUSH"),"FLUSH",IFERROR(LEFT($AL114,FIND("-",$AL114)-1),LEFT($AL114,2))))</f>
        <v/>
      </c>
      <c r="CF114" s="84">
        <f>IF($CE114="","",IFERROR(VALUE(MID($AL114,FIND("-",$AL114)+1,FIND(CHAR(34)&amp;"x",$AL114)-FIND("-",$AL114)-1)),0))</f>
        <v/>
      </c>
      <c r="CG114" s="84">
        <f>IF($CE114="","",IFERROR(VALUE(MID($AL114,FIND(CHAR(34)&amp;"x",$AL114)+2,FIND(CHAR(34),$AL114,FIND(CHAR(34)&amp;"x",$AL114)+2)-FIND(CHAR(34)&amp;"x",$AL114)-2)),0))</f>
        <v/>
      </c>
      <c r="CH114" s="90">
        <f>IF(OR($A114="",$H114="",$H114="NO LAB"),0,IFERROR(VALUE(LEFT($H114,FIND(" ",$H114)-1)),0))</f>
        <v/>
      </c>
      <c r="CI114" s="91">
        <f>IF(OR($A114="",$I114="",$I114="NON-RATED",N($J114)=0),"",IFERROR(VLOOKUP($I114&amp;"|"&amp;$J114,IBC,2,FALSE),"?"))</f>
        <v/>
      </c>
      <c r="CJ114" s="85">
        <f>IF(NOT(AND($A114&lt;&gt;"",$C114&lt;&gt;"DOOR ONLY")),"",TRIM(IFERROR(VLOOKUP($U114,CODES,2,FALSE),"")&amp;" "&amp;$BG114&amp;" "&amp;IFERROR(VLOOKUP($Z114,CODES,2,FALSE),"")&amp;" "&amp;IFERROR(VLOOKUP($X114,CODES,2,FALSE),"")&amp;" "&amp;IFERROR(VLOOKUP($S114,CODES,2,FALSE),"")&amp;IF(N($P114)&gt;0," w/TRANSOM "&amp;$P114&amp;CHAR(34),"")&amp;IF(N($Q114)&gt;0," w/SIDELITE "&amp;$Q114&amp;CHAR(34)&amp;" "&amp;IF($R114="","R",$R114),"")&amp;IF($Y114="","  |  "," | "&amp;IFERROR(VLOOKUP($Y114,CODES,2,FALSE),"")&amp;" | ")&amp;IFERROR(VLOOKUP($AC114,CODES,2,FALSE),"")&amp;" "&amp;IFERROR(VLOOKUP($AD114,CODES,2,FALSE),"")&amp;IF(OR($AE114="",$AE114="-"),""," "&amp;$AE114)&amp;IF(OR($AF114="",$AF114="-"),""," "&amp;$AF114)&amp;IF($AB114="Y"," 4"&amp;CHAR(34)&amp;" HEAD","")&amp;" "&amp;IFERROR(VLOOKUP($H114,CODES,2,FALSE),"")&amp;IF($CT114," | LOC "&amp;$CY114,"")))</f>
        <v/>
      </c>
      <c r="CK114" s="85">
        <f>IF(NOT(AND($A114&lt;&gt;"",N($BJ114)&gt;0)),"",TRIM(IFERROR(VLOOKUP($AH114,CODES,2,FALSE),"")&amp;IF($AI114=""," "," "&amp;$AI114&amp;"GA ")&amp;$BG114&amp;" "&amp;IF($AN114="",IFERROR(VLOOKUP($Z114,CODES,2,FALSE),""),IFERROR(VLOOKUP($AN114,CODES,2,FALSE),""))&amp;IF($BJ114=2," PAIR","")&amp;" DOOR | "&amp;IF($AL114="","?",$AL114)&amp;" | "&amp;IF($AO114="",IFERROR(VLOOKUP($AC114,CODES,2,FALSE),""),IFERROR(VLOOKUP($AO114,CODES,2,FALSE),""))&amp;" "&amp;IFERROR(VLOOKUP($AP114,CODES,2,FALSE),"")&amp;IF(OR($AQ114="",$AQ114="-"),""," SEAM "&amp;$AQ114)&amp;IF($AR114="Y"," ASTRAGAL","")&amp;IF($AJ114=""," "," "&amp;$AJ114)&amp;IF($AK114=""," "," "&amp;$AK114)&amp;IF(OR($AT114="",$AT114="ANSI/SDI",$AT114="CUSTOM LOC"),""," "&amp;$AT114)&amp;IF($AM114=""," "," SERIES "&amp;$AM114)&amp;" "&amp;IFERROR(VLOOKUP($H114,CODES,2,FALSE),"")&amp;IF($CT114," | LOC "&amp;$CZ114,"")))</f>
        <v/>
      </c>
      <c r="CL114" s="84">
        <f>IF(CP114="","",IF(COUNTIF($CP$6:CP114,CP114)=1,MAX($CL$5:CL113)+1,INDEX($CL$5:CL113,MATCH(CP114,$CP$5:CP113,0))))</f>
        <v/>
      </c>
      <c r="CM114" s="84">
        <f>IF(NOT(AND($A114&lt;&gt;"",$C114&lt;&gt;"DOOR ONLY")),"",MAX($CM$5:CM113)+1)</f>
        <v/>
      </c>
      <c r="CN114" s="84">
        <f>IF(NOT(AND($A114&lt;&gt;"",N($BJ114)&gt;0)),"",MAX($CN$5:CN113)+1)</f>
        <v/>
      </c>
      <c r="CO114" s="84">
        <f>IF($A114="","",MAX($CO$5:CO113)+1)</f>
        <v/>
      </c>
      <c r="CP114" s="84">
        <f>IF(OR($A114="",$BH114="",$BI114=""),"",$BG114&amp;"|"&amp;$O114&amp;"|"&amp;$AL114&amp;"|"&amp;$S114&amp;"|"&amp;$P114&amp;"|"&amp;$Q114&amp;$R114&amp;"|"&amp;$C114&amp;"|"&amp;$AB114)</f>
        <v/>
      </c>
      <c r="CQ114" s="84">
        <f>N($BS114)</f>
        <v/>
      </c>
      <c r="CR114" s="84">
        <f>IF(N($AU114)&gt;0,N($AU114),4.5)</f>
        <v/>
      </c>
      <c r="CS114" s="84">
        <f>OR($A114="",$BI114="",$S114="BL",AND($C114="FRAME ONLY",OR($AC114="",$AC114="BLK")))</f>
        <v/>
      </c>
      <c r="CT114" s="84">
        <f>AND(NOT($CS114),OR($AT114="CUSTOM LOC",N($AW114)+N($AX114)+N($AY114)+N($AZ114)+N($BA114)&gt;0))</f>
        <v/>
      </c>
      <c r="CU114" s="84">
        <f>IF($BI114="","",IF($BI114&lt;=80,80,IF($BI114&lt;=84,84,96)))</f>
        <v/>
      </c>
      <c r="CV114" s="84">
        <f>ISNUMBER(MATCH($AT114&amp;"|80",LocKeys,0))</f>
        <v/>
      </c>
      <c r="CW114" s="86">
        <f>IF($CS114,"",IF($CV114,VLOOKUP($AT114&amp;"|"&amp;$CU114,LocTable,4,FALSE),5))</f>
        <v/>
      </c>
      <c r="CX114" s="86">
        <f>IF($CS114,"",IF($CV114,IF(OR($BI114=$CU114,AND($BI114&lt;$CU114,$BI114-IF(N(VLOOKUP($AT114&amp;"|"&amp;$CU114,LocTable,7,FALSE))&gt;0,VLOOKUP($AT114&amp;"|"&amp;$CU114,LocTable,7,FALSE),VLOOKUP($AT114&amp;"|"&amp;$CU114,LocTable,6,FALSE))-$CR114-0.75&gt;=2.125)),IF(N(VLOOKUP($AT114&amp;"|"&amp;$CU114,LocTable,7,FALSE))&gt;0,VLOOKUP($AT114&amp;"|"&amp;$CU114,LocTable,7,FALSE),VLOOKUP($AT114&amp;"|"&amp;$CU114,LocTable,6,FALSE)),$BI114-($CU114-IF(N(VLOOKUP($AT114&amp;"|"&amp;$CU114,LocTable,7,FALSE))&gt;0,VLOOKUP($AT114&amp;"|"&amp;$CU114,LocTable,7,FALSE),VLOOKUP($AT114&amp;"|"&amp;$CU114,LocTable,6,FALSE)))),$BI114-10-$CR114))</f>
        <v/>
      </c>
      <c r="CY114" s="85">
        <f>IF($CS114,"",TRIM(IF(ISNUMBER($BU114),"A "&amp;TRIM(TEXT($BU114,"# ?/??"))&amp;CHAR(34)&amp;"  ","")&amp;IF(ISNUMBER($BV114),"B "&amp;TRIM(TEXT($BV114,"# ?/??"))&amp;CHAR(34)&amp;"  ","")&amp;IF(ISNUMBER($BW114),"C "&amp;TRIM(TEXT($BW114,"# ?/??"))&amp;CHAR(34)&amp;"  ","")&amp;IF(ISNUMBER($BX114),"D "&amp;TRIM(TEXT($BX114,"# ?/??"))&amp;CHAR(34)&amp;"  ","")&amp;IF(ISNUMBER($BY114),"F "&amp;TRIM(TEXT($BY114,"# ?/??"))&amp;CHAR(34)&amp;"  ","")&amp;IF(ISNUMBER($BZ114),"E "&amp;TRIM(TEXT($BZ114,"# ?/??"))&amp;CHAR(34)&amp;"  ","")))</f>
        <v/>
      </c>
      <c r="CZ114" s="85">
        <f>IF(OR($CS114,N($BJ114)=0),"",TRIM(IF(ISNUMBER($BU114),"A "&amp;TRIM(TEXT($BU114-HeadClr,"# ?/??"))&amp;CHAR(34)&amp;"  ","")&amp;IF(ISNUMBER($BV114),"B "&amp;TRIM(TEXT($BV114-HeadClr,"# ?/??"))&amp;CHAR(34)&amp;"  ","")&amp;IF(ISNUMBER($BW114),"C "&amp;TRIM(TEXT($BW114-HeadClr,"# ?/??"))&amp;CHAR(34)&amp;"  ","")&amp;IF(ISNUMBER($BX114),"D "&amp;TRIM(TEXT($BX114-HeadClr,"# ?/??"))&amp;CHAR(34)&amp;"  ","")&amp;IF(ISNUMBER($BY114),"F "&amp;TRIM(TEXT($BY114-HeadClr,"# ?/??"))&amp;CHAR(34)&amp;"  ","")&amp;IF(ISNUMBER($BZ114),"E "&amp;TRIM(TEXT($BZ114-HeadClr,"# ?/??"))&amp;CHAR(34)&amp;"  ","")))</f>
        <v/>
      </c>
      <c r="DA114" s="84">
        <f>IF($A114="","",IF($AN114="",IFERROR(VLOOKUP($Z114,CODES,2,FALSE),""),IFERROR(VLOOKUP($AN114,CODES,2,FALSE),"")))</f>
        <v/>
      </c>
      <c r="DB114" s="84">
        <f>IF($A114="","",IF($O114="Y","PR",IF(OR($Z114="L",$Z114="RR",LEFT($Z114,2)="L-",LEFT($Z114,3)="RR-"),"LH","RH")))</f>
        <v/>
      </c>
      <c r="DC114" s="84">
        <f>IF($A114="","","S.HM"&amp;IF(OR($C114="DOOR ONLY",$X114&lt;&gt;"KD"),"MASONRY","DRYWALL")&amp;IF($C114="DOOR ONLY","",$U114)&amp;IF(AND($C114&lt;&gt;"FRAME ONLY",OR(LEFT($AH114,3)="OAK",LEFT($AH114,3)="BIR",LEFT($AH114,3)="MAP",$AH114="PC",$AH114="MC",$AH114="SCLC",$AH114="P-LAM")),"WD","HM")&amp;"1.75")</f>
        <v/>
      </c>
      <c r="DD114" s="84">
        <f>IF($CJ114="","",IF($O114="Y",$CJ114,SUBSTITUTE($CJ114,$BG114&amp;" "&amp;IFERROR(VLOOKUP($Z114,CODES,2,FALSE),"")&amp;" ",$BG114&amp;" ")))</f>
        <v/>
      </c>
      <c r="DE114" s="84">
        <f>IF($CK114="","",IF($O114="Y",$CK114,SUBSTITUTE($CK114,$BG114&amp;" "&amp;IF($AN114="",IFERROR(VLOOKUP($Z114,CODES,2,FALSE),""),IFERROR(VLOOKUP($AN114,CODES,2,FALSE),""))&amp;" ",$BG114&amp;" ")))</f>
        <v/>
      </c>
      <c r="DF114" s="84">
        <f>IF($CJ114="","",$DC114&amp;"|"&amp;$DD114&amp;"|"&amp;$DB114&amp;"|"&amp;$AT114&amp;"|"&amp;$V114&amp;"|"&amp;$Y114&amp;"|"&amp;$AB114)</f>
        <v/>
      </c>
      <c r="DG114" s="84">
        <f>IF(DF114="","",IF(COUNTIF($DF$6:DF114,DF114)=1,MAX($DG$5:DG113)+1,INDEX($DG$5:DG113,MATCH(DF114,$DF$5:DF113,0))))</f>
        <v/>
      </c>
      <c r="DH114" s="84">
        <f>IF($CK114="","",$DC114&amp;"|"&amp;$DE114&amp;"|"&amp;$AI114&amp;"|"&amp;$BK114&amp;"|"&amp;$BL114)</f>
        <v/>
      </c>
      <c r="DI114" s="84">
        <f>IF(DH114="","",IF(COUNTIF($DH$6:DH114,DH114)=1,MAX($DI$5:DI113)+1,INDEX($DI$5:DI113,MATCH(DH114,$DH$5:DH113,0))))</f>
        <v/>
      </c>
      <c r="DJ114" s="84">
        <f>IF($A114="","",IF($B114="","qty, ","")&amp;IF($C114="","scope, ","")&amp;IF(OR($K114="",$M114=""),"size, ","")&amp;IF(AND($A114&lt;&gt;"",$C114&lt;&gt;"DOOR ONLY"),IF($U114="","jamb depth, ","")&amp;IF($X114="","construction, ","")&amp;IF($Y114="","anchor, ","")&amp;IF($S114="","frame type, ",""),"")&amp;IF(AND(N($BJ114)&gt;0,$Z114=""),"hand, ","")&amp;IF(N($BJ114)&gt;0,IF($AH114="","door material, ","")&amp;IF($AL114="","face type, ","")&amp;IF($AP114="","lock prep, ","")&amp;IF(AND($AO114="",$AC114=""),"hinge prep, ",""),"")&amp;IF(AND($CH114&gt;0,$AH114="FRP"),"FRP cannot carry a label, ","")&amp;IF(AND($O114="Y",OR($Z114="L",$Z114="R",$Z114="LR",$Z114="RR")),"pair marked but hand is single, ","")&amp;IF(AND($O114&lt;&gt;"Y",OR($Z114="PR",AND(LEN($Z114)&gt;1,ISNUMBER(SEARCH("-",$Z114))))),"pair hand on a single door, ","")&amp;IF(AND(ISNUMBER($CI114),$CH114&lt;N($CI114)),"wall needs a "&amp;$CI114&amp;" min door, ","")&amp;IF(AND($CH114&gt;=180,AND(OR($CE114="FG",$CE114="HG",$CE114="FNV",$CE114="FV"),N($CF114)*N($CG114)&gt;100)),"180 min lite over 100 sq in, ","")&amp;IF(N($BK114)&gt;48,"leaf wider than 4'-0"&amp;CHAR(34)&amp;", ","")&amp;IF(AND($CT114,COUNT($AW114:$AZ114)=0,$CQ114&gt;0),"CUSTOM LOC with no locations typed, ",""))</f>
        <v/>
      </c>
      <c r="DK114" s="84">
        <f>IF($A114="","",IF(AND($CH114&gt;0,AND($A114&lt;&gt;"",$C114&lt;&gt;"DOOR ONLY"),$X114="KD",$E114="EXTERIOR"),"KD label on an exterior opening, ","")&amp;IF(AND($E114="EXTERIOR",OR(AND(AND($A114&lt;&gt;"",$C114&lt;&gt;"DOOR ONLY"),$W114="CR"),AND(N($BJ114)&gt;0,$AH114="CR"))),"exterior in CR steel (G9?), ","")&amp;IF(AND(ISNUMBER($BQ114),N($BQ114)&lt;32),"clear width ~"&amp;TEXT($BQ114,"0.0")&amp;CHAR(34)&amp;" under 32"&amp;CHAR(34)&amp;" (ADA), ","")&amp;IF(AND($CH114=90,AND(OR($CE114="FG",$CE114="HG",$CE114="FNV",$CE114="FV"),N($CF114)*N($CG114)&gt;100)),"90 min lite over 100 sq in (stair/exit), ","")&amp;IF(AND($CH114&gt;0,AND($A114&lt;&gt;"",$C114&lt;&gt;"DOOR ONLY"),OR($AF114="",$AF114="-")),"rated: closer reinf.?, ","")&amp;IF(OR($I114="CORRIDOR",$I114="SMOKE BARRIER"),"S label + smoke gasketing, ","")&amp;IF($CI114="?","wall type/hr not in IBC table, ","")&amp;IF(AND(N($BJ114)&gt;0,$BB114=""),"no hardware set, ","")&amp;IF(AND($BB114&lt;&gt;"",ISNA(MATCH($BB114&amp;"",HWSets,0))),"set "&amp;$BB114&amp;" not on HW Sets, ","")&amp;IF(N($BL114)&gt;96,"leaf over 8'-0"&amp;CHAR(34)&amp;" - check listing, ","")&amp;IF(AND($CT114,COUNT($AW114:$AZ114)&gt;0,COUNT($AW114:$AZ114)&lt;&gt;$CQ114),COUNT($AW114:$AZ114)&amp;" custom hinges typed, "&amp;$CQ114&amp;" expected, ","")&amp;IF(AND(ISNUMBER($CA114),OR(N($CA114)&lt;34,N($CA114)&gt;48)),"lock "&amp;TEXT($CA114,"0.0")&amp;CHAR(34)&amp;" AFF outside 34-48"&amp;CHAR(34)&amp;" (ADA), ","")&amp;IF(AND(ISNUMBER($AV114),ISNUMBER($BL114),N($AV114)&lt;IF(N($BL114)&lt;=60,2,IF(N($BL114)&lt;=90,3,IF(N($BL114)&lt;=120,4,5)))),"fewer hinges than standard, ",""))</f>
        <v/>
      </c>
    </row>
    <row r="115" ht="15" customHeight="1">
      <c r="A115" s="92" t="n"/>
      <c r="B115" s="93" t="n"/>
      <c r="C115" s="93" t="n"/>
      <c r="D115" s="93" t="n"/>
      <c r="E115" s="93" t="n"/>
      <c r="F115" s="93" t="n"/>
      <c r="G115" s="93" t="n"/>
      <c r="H115" s="93" t="n"/>
      <c r="I115" s="93" t="n"/>
      <c r="J115" s="93" t="n"/>
      <c r="K115" s="93" t="n"/>
      <c r="L115" s="93" t="n"/>
      <c r="M115" s="93" t="n"/>
      <c r="N115" s="93" t="n"/>
      <c r="O115" s="93" t="n"/>
      <c r="P115" s="93" t="n"/>
      <c r="Q115" s="93" t="n"/>
      <c r="R115" s="93" t="n"/>
      <c r="S115" s="94" t="n"/>
      <c r="T115" s="94" t="n"/>
      <c r="U115" s="94" t="n"/>
      <c r="V115" s="94" t="n"/>
      <c r="W115" s="94" t="n"/>
      <c r="X115" s="94" t="n"/>
      <c r="Y115" s="94" t="n"/>
      <c r="Z115" s="94" t="n"/>
      <c r="AA115" s="94" t="n"/>
      <c r="AB115" s="94" t="n"/>
      <c r="AC115" s="94" t="n"/>
      <c r="AD115" s="94" t="n"/>
      <c r="AE115" s="94" t="n"/>
      <c r="AF115" s="94" t="n"/>
      <c r="AG115" s="94" t="n"/>
      <c r="AH115" s="95" t="n"/>
      <c r="AI115" s="95" t="n"/>
      <c r="AJ115" s="95" t="n"/>
      <c r="AK115" s="95" t="n"/>
      <c r="AL115" s="95" t="n"/>
      <c r="AM115" s="95" t="n"/>
      <c r="AN115" s="95" t="n"/>
      <c r="AO115" s="95" t="n"/>
      <c r="AP115" s="95" t="n"/>
      <c r="AQ115" s="95" t="n"/>
      <c r="AR115" s="95" t="n"/>
      <c r="AS115" s="95" t="n"/>
      <c r="AT115" s="96" t="n"/>
      <c r="AU115" s="96" t="n"/>
      <c r="AV115" s="96" t="n"/>
      <c r="AW115" s="97" t="n"/>
      <c r="AX115" s="97" t="n"/>
      <c r="AY115" s="97" t="n"/>
      <c r="AZ115" s="97" t="n"/>
      <c r="BA115" s="97" t="n"/>
      <c r="BB115" s="98" t="n"/>
      <c r="BC115" s="98" t="n"/>
      <c r="BD115" s="99">
        <f>IF($A115="","",IF($DJ115&lt;&gt;"","FIX",IF($DK115&lt;&gt;"","CHECK","OK")))</f>
        <v/>
      </c>
      <c r="BE115" s="100">
        <f>IF($A115="","",IF($DJ115&lt;&gt;"","FIX: "&amp;LEFT($DJ115,LEN($DJ115)-2)&amp;IF($DK115&lt;&gt;"","  ·  ",""),"")&amp;IF($DK115&lt;&gt;"","CHECK: "&amp;LEFT($DK115,LEN($DK115)-2),""))</f>
        <v/>
      </c>
      <c r="BF115" s="99">
        <f>IF(OR($A115="",$K115=""),"",$K115&amp;"'-"&amp;N($L115)&amp;CHAR(34)&amp;" x "&amp;$M115&amp;"'-"&amp;N($N115)&amp;CHAR(34))</f>
        <v/>
      </c>
      <c r="BG115" s="99">
        <f>IF(OR($A115="",$K115=""),"",$K115&amp;N($L115)&amp;$M115&amp;N($N115))</f>
        <v/>
      </c>
      <c r="BH115" s="99">
        <f>IF(OR($A115="",$K115=""),"",$K115*12+N($L115))</f>
        <v/>
      </c>
      <c r="BI115" s="99">
        <f>IF(OR($A115="",$M115=""),"",$M115*12+N($N115))</f>
        <v/>
      </c>
      <c r="BJ115" s="99">
        <f>IF($A115="","",IF(OR($C115="FRAME ONLY",$S115="BL"),0,IF($O115="Y",2,1)))</f>
        <v/>
      </c>
      <c r="BK115" s="101">
        <f>IF(OR(N($BJ115)=0,$BH115=""),"",($BH115-2*EdgeClr-IF($BJ115=2,MeetClr,0))/$BJ115)</f>
        <v/>
      </c>
      <c r="BL115" s="101">
        <f>IF(OR(N($BJ115)=0,$BI115=""),"",$BI115-HeadClr-Undercut)</f>
        <v/>
      </c>
      <c r="BM115" s="101">
        <f>IF($BH115="","",$BH115+2*FaceW+IF(N($Q115)&gt;0,($Q115+FaceW)*IF($R115="LR",2,1),0))</f>
        <v/>
      </c>
      <c r="BN115" s="101">
        <f>IF($BI115="","",$BI115+IF($AB115="Y",4,FaceW)+IF(N($P115)&gt;0,$P115+FaceW,0)+IF(OR($S115="4F",$S115="BL"),FaceW,0))</f>
        <v/>
      </c>
      <c r="BO115" s="101">
        <f>IF($BM115="","",$BM115+2*ROSide)</f>
        <v/>
      </c>
      <c r="BP115" s="101">
        <f>IF($BN115="","",$BN115+ROTop)</f>
        <v/>
      </c>
      <c r="BQ115" s="102">
        <f>IF(OR(N($BJ115)=0,$BH115=""),"",$BH115/$BJ115-ClearDeduct)</f>
        <v/>
      </c>
      <c r="BR115" s="99">
        <f>IF(N($CH115)=0,"",IF($CH115&gt;=180,"A · 3 HR",IF($CH115&gt;=90,"B · 1-1/2 HR",IF($CH115&gt;=60,"B · 1 HR",IF($CH115&gt;=45,"C · 3/4 HR","20 MIN")))))&amp;IF(AND(N($CH115)&gt;0,OR($I115="CORRIDOR",$I115="SMOKE BARRIER"))," · S","")</f>
        <v/>
      </c>
      <c r="BS115" s="99">
        <f>IF($CS115,"",IF($AV115&lt;&gt;"",$AV115,IF(OR($AC115="HGC",$AO115="HGC"),"CONT",IF(($BI115-HeadClr-Undercut)&lt;=60,2,IF(($BI115-HeadClr-Undercut)&lt;=90,3,IF(($BI115-HeadClr-Undercut)&lt;=120,4,5))))))</f>
        <v/>
      </c>
      <c r="BT115" s="99">
        <f>IF($CS115,"",IF($CT115,"CUSTOM (typed)",IF($CV115,$AT115&amp;" "&amp;$CU115&amp;CHAR(34)&amp;IF($CU115&lt;&gt;$BI115,IF(AND($BI115&lt;$CU115,$BI115-IF(N(VLOOKUP($AT115&amp;"|"&amp;$CU115,LocTable,7,FALSE))&gt;0,VLOOKUP($AT115&amp;"|"&amp;$CU115,LocTable,7,FALSE),VLOOKUP($AT115&amp;"|"&amp;$CU115,LocTable,6,FALSE))-$CR115-0.75&gt;=2.125)," cut down"," adj."),""),"ANSI/SDI A250.6")))</f>
        <v/>
      </c>
      <c r="BU115" s="103">
        <f>IF($CS115,"",IF($CT115,IF(N($AW115)&gt;0,N($AW115),""),IF(1&gt;$CQ115,"",IF($CQ115=1,$CW115,$CW115+($CX115-$CW115)*0/($CQ115-1)))))</f>
        <v/>
      </c>
      <c r="BV115" s="103">
        <f>IF($CS115,"",IF($CT115,IF(N($AX115)&gt;0,N($AX115),""),IF(2&gt;$CQ115,"",IF($CQ115=1,$CW115,$CW115+($CX115-$CW115)*1/($CQ115-1)))))</f>
        <v/>
      </c>
      <c r="BW115" s="103">
        <f>IF($CS115,"",IF($CT115,IF(N($AY115)&gt;0,N($AY115),""),IF(3&gt;$CQ115,"",IF($CQ115=1,$CW115,$CW115+($CX115-$CW115)*2/($CQ115-1)))))</f>
        <v/>
      </c>
      <c r="BX115" s="103">
        <f>IF($CS115,"",IF($CT115,IF(N($AZ115)&gt;0,N($AZ115),""),IF(4&gt;$CQ115,"",IF($CQ115=1,$CW115,$CW115+($CX115-$CW115)*3/($CQ115-1)))))</f>
        <v/>
      </c>
      <c r="BY115" s="103">
        <f>IF($CS115,"",IF($CT115,"",IF(5&gt;$CQ115,"",IF($CQ115=1,$CW115,$CW115+($CX115-$CW115)*4/($CQ115-1)))))</f>
        <v/>
      </c>
      <c r="BZ115" s="103">
        <f>IF(OR($CS115,$AP115="-",AND($AP115="",$AD115="")),"",IF(N($BA115)&gt;0,N($BA115),IF($CV115,IF(AND($BI115&lt;$CU115,$BI115-IF(N(VLOOKUP($AT115&amp;"|"&amp;$CU115,LocTable,7,FALSE))&gt;0,VLOOKUP($AT115&amp;"|"&amp;$CU115,LocTable,7,FALSE),VLOOKUP($AT115&amp;"|"&amp;$CU115,LocTable,6,FALSE))-$CR115-0.75&gt;=2.125),VLOOKUP($AT115&amp;"|"&amp;$CU115,LocTable,8,FALSE),VLOOKUP($AT115&amp;"|"&amp;$CU115,LocTable,8,FALSE)+($BI115-$CU115)),$BI115-LockAFF)))</f>
        <v/>
      </c>
      <c r="CA115" s="104">
        <f>IF($BZ115="","",$BI115-$BZ115)</f>
        <v/>
      </c>
      <c r="CB115" s="99">
        <f>IF(OR(NOT(AND($A115&lt;&gt;"",$C115&lt;&gt;"DOOR ONLY")),$BI115=""),"",IF(($BI115+IF(N($P115)&gt;0,$P115+FaceW,0))&lt;=90,3,IF(($BI115+IF(N($P115)&gt;0,$P115+FaceW,0))&lt;=114,4,5)))</f>
        <v/>
      </c>
      <c r="CC115" s="99">
        <f>IF($CB115="","",$CB115*(2+IF(N($Q115)&gt;0,IF($R115="LR",2,1),0)))</f>
        <v/>
      </c>
      <c r="CD115" s="99">
        <f>IF($CB115="","",(2+IF(N($Q115)&gt;0,IF($R115="LR",2,1),0)))</f>
        <v/>
      </c>
      <c r="CE115" s="99">
        <f>IF(N($BJ115)=0,"",IF(OR($AL115="",$AL115="FLUSH"),"FLUSH",IFERROR(LEFT($AL115,FIND("-",$AL115)-1),LEFT($AL115,2))))</f>
        <v/>
      </c>
      <c r="CF115" s="99">
        <f>IF($CE115="","",IFERROR(VALUE(MID($AL115,FIND("-",$AL115)+1,FIND(CHAR(34)&amp;"x",$AL115)-FIND("-",$AL115)-1)),0))</f>
        <v/>
      </c>
      <c r="CG115" s="99">
        <f>IF($CE115="","",IFERROR(VALUE(MID($AL115,FIND(CHAR(34)&amp;"x",$AL115)+2,FIND(CHAR(34),$AL115,FIND(CHAR(34)&amp;"x",$AL115)+2)-FIND(CHAR(34)&amp;"x",$AL115)-2)),0))</f>
        <v/>
      </c>
      <c r="CH115" s="105">
        <f>IF(OR($A115="",$H115="",$H115="NO LAB"),0,IFERROR(VALUE(LEFT($H115,FIND(" ",$H115)-1)),0))</f>
        <v/>
      </c>
      <c r="CI115" s="106">
        <f>IF(OR($A115="",$I115="",$I115="NON-RATED",N($J115)=0),"",IFERROR(VLOOKUP($I115&amp;"|"&amp;$J115,IBC,2,FALSE),"?"))</f>
        <v/>
      </c>
      <c r="CJ115" s="100">
        <f>IF(NOT(AND($A115&lt;&gt;"",$C115&lt;&gt;"DOOR ONLY")),"",TRIM(IFERROR(VLOOKUP($U115,CODES,2,FALSE),"")&amp;" "&amp;$BG115&amp;" "&amp;IFERROR(VLOOKUP($Z115,CODES,2,FALSE),"")&amp;" "&amp;IFERROR(VLOOKUP($X115,CODES,2,FALSE),"")&amp;" "&amp;IFERROR(VLOOKUP($S115,CODES,2,FALSE),"")&amp;IF(N($P115)&gt;0," w/TRANSOM "&amp;$P115&amp;CHAR(34),"")&amp;IF(N($Q115)&gt;0," w/SIDELITE "&amp;$Q115&amp;CHAR(34)&amp;" "&amp;IF($R115="","R",$R115),"")&amp;IF($Y115="","  |  "," | "&amp;IFERROR(VLOOKUP($Y115,CODES,2,FALSE),"")&amp;" | ")&amp;IFERROR(VLOOKUP($AC115,CODES,2,FALSE),"")&amp;" "&amp;IFERROR(VLOOKUP($AD115,CODES,2,FALSE),"")&amp;IF(OR($AE115="",$AE115="-"),""," "&amp;$AE115)&amp;IF(OR($AF115="",$AF115="-"),""," "&amp;$AF115)&amp;IF($AB115="Y"," 4"&amp;CHAR(34)&amp;" HEAD","")&amp;" "&amp;IFERROR(VLOOKUP($H115,CODES,2,FALSE),"")&amp;IF($CT115," | LOC "&amp;$CY115,"")))</f>
        <v/>
      </c>
      <c r="CK115" s="100">
        <f>IF(NOT(AND($A115&lt;&gt;"",N($BJ115)&gt;0)),"",TRIM(IFERROR(VLOOKUP($AH115,CODES,2,FALSE),"")&amp;IF($AI115=""," "," "&amp;$AI115&amp;"GA ")&amp;$BG115&amp;" "&amp;IF($AN115="",IFERROR(VLOOKUP($Z115,CODES,2,FALSE),""),IFERROR(VLOOKUP($AN115,CODES,2,FALSE),""))&amp;IF($BJ115=2," PAIR","")&amp;" DOOR | "&amp;IF($AL115="","?",$AL115)&amp;" | "&amp;IF($AO115="",IFERROR(VLOOKUP($AC115,CODES,2,FALSE),""),IFERROR(VLOOKUP($AO115,CODES,2,FALSE),""))&amp;" "&amp;IFERROR(VLOOKUP($AP115,CODES,2,FALSE),"")&amp;IF(OR($AQ115="",$AQ115="-"),""," SEAM "&amp;$AQ115)&amp;IF($AR115="Y"," ASTRAGAL","")&amp;IF($AJ115=""," "," "&amp;$AJ115)&amp;IF($AK115=""," "," "&amp;$AK115)&amp;IF(OR($AT115="",$AT115="ANSI/SDI",$AT115="CUSTOM LOC"),""," "&amp;$AT115)&amp;IF($AM115=""," "," SERIES "&amp;$AM115)&amp;" "&amp;IFERROR(VLOOKUP($H115,CODES,2,FALSE),"")&amp;IF($CT115," | LOC "&amp;$CZ115,"")))</f>
        <v/>
      </c>
      <c r="CL115" s="99">
        <f>IF(CP115="","",IF(COUNTIF($CP$6:CP115,CP115)=1,MAX($CL$5:CL114)+1,INDEX($CL$5:CL114,MATCH(CP115,$CP$5:CP114,0))))</f>
        <v/>
      </c>
      <c r="CM115" s="99">
        <f>IF(NOT(AND($A115&lt;&gt;"",$C115&lt;&gt;"DOOR ONLY")),"",MAX($CM$5:CM114)+1)</f>
        <v/>
      </c>
      <c r="CN115" s="99">
        <f>IF(NOT(AND($A115&lt;&gt;"",N($BJ115)&gt;0)),"",MAX($CN$5:CN114)+1)</f>
        <v/>
      </c>
      <c r="CO115" s="99">
        <f>IF($A115="","",MAX($CO$5:CO114)+1)</f>
        <v/>
      </c>
      <c r="CP115" s="99">
        <f>IF(OR($A115="",$BH115="",$BI115=""),"",$BG115&amp;"|"&amp;$O115&amp;"|"&amp;$AL115&amp;"|"&amp;$S115&amp;"|"&amp;$P115&amp;"|"&amp;$Q115&amp;$R115&amp;"|"&amp;$C115&amp;"|"&amp;$AB115)</f>
        <v/>
      </c>
      <c r="CQ115" s="99">
        <f>N($BS115)</f>
        <v/>
      </c>
      <c r="CR115" s="99">
        <f>IF(N($AU115)&gt;0,N($AU115),4.5)</f>
        <v/>
      </c>
      <c r="CS115" s="99">
        <f>OR($A115="",$BI115="",$S115="BL",AND($C115="FRAME ONLY",OR($AC115="",$AC115="BLK")))</f>
        <v/>
      </c>
      <c r="CT115" s="99">
        <f>AND(NOT($CS115),OR($AT115="CUSTOM LOC",N($AW115)+N($AX115)+N($AY115)+N($AZ115)+N($BA115)&gt;0))</f>
        <v/>
      </c>
      <c r="CU115" s="99">
        <f>IF($BI115="","",IF($BI115&lt;=80,80,IF($BI115&lt;=84,84,96)))</f>
        <v/>
      </c>
      <c r="CV115" s="99">
        <f>ISNUMBER(MATCH($AT115&amp;"|80",LocKeys,0))</f>
        <v/>
      </c>
      <c r="CW115" s="101">
        <f>IF($CS115,"",IF($CV115,VLOOKUP($AT115&amp;"|"&amp;$CU115,LocTable,4,FALSE),5))</f>
        <v/>
      </c>
      <c r="CX115" s="101">
        <f>IF($CS115,"",IF($CV115,IF(OR($BI115=$CU115,AND($BI115&lt;$CU115,$BI115-IF(N(VLOOKUP($AT115&amp;"|"&amp;$CU115,LocTable,7,FALSE))&gt;0,VLOOKUP($AT115&amp;"|"&amp;$CU115,LocTable,7,FALSE),VLOOKUP($AT115&amp;"|"&amp;$CU115,LocTable,6,FALSE))-$CR115-0.75&gt;=2.125)),IF(N(VLOOKUP($AT115&amp;"|"&amp;$CU115,LocTable,7,FALSE))&gt;0,VLOOKUP($AT115&amp;"|"&amp;$CU115,LocTable,7,FALSE),VLOOKUP($AT115&amp;"|"&amp;$CU115,LocTable,6,FALSE)),$BI115-($CU115-IF(N(VLOOKUP($AT115&amp;"|"&amp;$CU115,LocTable,7,FALSE))&gt;0,VLOOKUP($AT115&amp;"|"&amp;$CU115,LocTable,7,FALSE),VLOOKUP($AT115&amp;"|"&amp;$CU115,LocTable,6,FALSE)))),$BI115-10-$CR115))</f>
        <v/>
      </c>
      <c r="CY115" s="100">
        <f>IF($CS115,"",TRIM(IF(ISNUMBER($BU115),"A "&amp;TRIM(TEXT($BU115,"# ?/??"))&amp;CHAR(34)&amp;"  ","")&amp;IF(ISNUMBER($BV115),"B "&amp;TRIM(TEXT($BV115,"# ?/??"))&amp;CHAR(34)&amp;"  ","")&amp;IF(ISNUMBER($BW115),"C "&amp;TRIM(TEXT($BW115,"# ?/??"))&amp;CHAR(34)&amp;"  ","")&amp;IF(ISNUMBER($BX115),"D "&amp;TRIM(TEXT($BX115,"# ?/??"))&amp;CHAR(34)&amp;"  ","")&amp;IF(ISNUMBER($BY115),"F "&amp;TRIM(TEXT($BY115,"# ?/??"))&amp;CHAR(34)&amp;"  ","")&amp;IF(ISNUMBER($BZ115),"E "&amp;TRIM(TEXT($BZ115,"# ?/??"))&amp;CHAR(34)&amp;"  ","")))</f>
        <v/>
      </c>
      <c r="CZ115" s="100">
        <f>IF(OR($CS115,N($BJ115)=0),"",TRIM(IF(ISNUMBER($BU115),"A "&amp;TRIM(TEXT($BU115-HeadClr,"# ?/??"))&amp;CHAR(34)&amp;"  ","")&amp;IF(ISNUMBER($BV115),"B "&amp;TRIM(TEXT($BV115-HeadClr,"# ?/??"))&amp;CHAR(34)&amp;"  ","")&amp;IF(ISNUMBER($BW115),"C "&amp;TRIM(TEXT($BW115-HeadClr,"# ?/??"))&amp;CHAR(34)&amp;"  ","")&amp;IF(ISNUMBER($BX115),"D "&amp;TRIM(TEXT($BX115-HeadClr,"# ?/??"))&amp;CHAR(34)&amp;"  ","")&amp;IF(ISNUMBER($BY115),"F "&amp;TRIM(TEXT($BY115-HeadClr,"# ?/??"))&amp;CHAR(34)&amp;"  ","")&amp;IF(ISNUMBER($BZ115),"E "&amp;TRIM(TEXT($BZ115-HeadClr,"# ?/??"))&amp;CHAR(34)&amp;"  ","")))</f>
        <v/>
      </c>
      <c r="DA115" s="99">
        <f>IF($A115="","",IF($AN115="",IFERROR(VLOOKUP($Z115,CODES,2,FALSE),""),IFERROR(VLOOKUP($AN115,CODES,2,FALSE),"")))</f>
        <v/>
      </c>
      <c r="DB115" s="99">
        <f>IF($A115="","",IF($O115="Y","PR",IF(OR($Z115="L",$Z115="RR",LEFT($Z115,2)="L-",LEFT($Z115,3)="RR-"),"LH","RH")))</f>
        <v/>
      </c>
      <c r="DC115" s="99">
        <f>IF($A115="","","S.HM"&amp;IF(OR($C115="DOOR ONLY",$X115&lt;&gt;"KD"),"MASONRY","DRYWALL")&amp;IF($C115="DOOR ONLY","",$U115)&amp;IF(AND($C115&lt;&gt;"FRAME ONLY",OR(LEFT($AH115,3)="OAK",LEFT($AH115,3)="BIR",LEFT($AH115,3)="MAP",$AH115="PC",$AH115="MC",$AH115="SCLC",$AH115="P-LAM")),"WD","HM")&amp;"1.75")</f>
        <v/>
      </c>
      <c r="DD115" s="99">
        <f>IF($CJ115="","",IF($O115="Y",$CJ115,SUBSTITUTE($CJ115,$BG115&amp;" "&amp;IFERROR(VLOOKUP($Z115,CODES,2,FALSE),"")&amp;" ",$BG115&amp;" ")))</f>
        <v/>
      </c>
      <c r="DE115" s="99">
        <f>IF($CK115="","",IF($O115="Y",$CK115,SUBSTITUTE($CK115,$BG115&amp;" "&amp;IF($AN115="",IFERROR(VLOOKUP($Z115,CODES,2,FALSE),""),IFERROR(VLOOKUP($AN115,CODES,2,FALSE),""))&amp;" ",$BG115&amp;" ")))</f>
        <v/>
      </c>
      <c r="DF115" s="99">
        <f>IF($CJ115="","",$DC115&amp;"|"&amp;$DD115&amp;"|"&amp;$DB115&amp;"|"&amp;$AT115&amp;"|"&amp;$V115&amp;"|"&amp;$Y115&amp;"|"&amp;$AB115)</f>
        <v/>
      </c>
      <c r="DG115" s="99">
        <f>IF(DF115="","",IF(COUNTIF($DF$6:DF115,DF115)=1,MAX($DG$5:DG114)+1,INDEX($DG$5:DG114,MATCH(DF115,$DF$5:DF114,0))))</f>
        <v/>
      </c>
      <c r="DH115" s="99">
        <f>IF($CK115="","",$DC115&amp;"|"&amp;$DE115&amp;"|"&amp;$AI115&amp;"|"&amp;$BK115&amp;"|"&amp;$BL115)</f>
        <v/>
      </c>
      <c r="DI115" s="99">
        <f>IF(DH115="","",IF(COUNTIF($DH$6:DH115,DH115)=1,MAX($DI$5:DI114)+1,INDEX($DI$5:DI114,MATCH(DH115,$DH$5:DH114,0))))</f>
        <v/>
      </c>
      <c r="DJ115" s="99">
        <f>IF($A115="","",IF($B115="","qty, ","")&amp;IF($C115="","scope, ","")&amp;IF(OR($K115="",$M115=""),"size, ","")&amp;IF(AND($A115&lt;&gt;"",$C115&lt;&gt;"DOOR ONLY"),IF($U115="","jamb depth, ","")&amp;IF($X115="","construction, ","")&amp;IF($Y115="","anchor, ","")&amp;IF($S115="","frame type, ",""),"")&amp;IF(AND(N($BJ115)&gt;0,$Z115=""),"hand, ","")&amp;IF(N($BJ115)&gt;0,IF($AH115="","door material, ","")&amp;IF($AL115="","face type, ","")&amp;IF($AP115="","lock prep, ","")&amp;IF(AND($AO115="",$AC115=""),"hinge prep, ",""),"")&amp;IF(AND($CH115&gt;0,$AH115="FRP"),"FRP cannot carry a label, ","")&amp;IF(AND($O115="Y",OR($Z115="L",$Z115="R",$Z115="LR",$Z115="RR")),"pair marked but hand is single, ","")&amp;IF(AND($O115&lt;&gt;"Y",OR($Z115="PR",AND(LEN($Z115)&gt;1,ISNUMBER(SEARCH("-",$Z115))))),"pair hand on a single door, ","")&amp;IF(AND(ISNUMBER($CI115),$CH115&lt;N($CI115)),"wall needs a "&amp;$CI115&amp;" min door, ","")&amp;IF(AND($CH115&gt;=180,AND(OR($CE115="FG",$CE115="HG",$CE115="FNV",$CE115="FV"),N($CF115)*N($CG115)&gt;100)),"180 min lite over 100 sq in, ","")&amp;IF(N($BK115)&gt;48,"leaf wider than 4'-0"&amp;CHAR(34)&amp;", ","")&amp;IF(AND($CT115,COUNT($AW115:$AZ115)=0,$CQ115&gt;0),"CUSTOM LOC with no locations typed, ",""))</f>
        <v/>
      </c>
      <c r="DK115" s="99">
        <f>IF($A115="","",IF(AND($CH115&gt;0,AND($A115&lt;&gt;"",$C115&lt;&gt;"DOOR ONLY"),$X115="KD",$E115="EXTERIOR"),"KD label on an exterior opening, ","")&amp;IF(AND($E115="EXTERIOR",OR(AND(AND($A115&lt;&gt;"",$C115&lt;&gt;"DOOR ONLY"),$W115="CR"),AND(N($BJ115)&gt;0,$AH115="CR"))),"exterior in CR steel (G9?), ","")&amp;IF(AND(ISNUMBER($BQ115),N($BQ115)&lt;32),"clear width ~"&amp;TEXT($BQ115,"0.0")&amp;CHAR(34)&amp;" under 32"&amp;CHAR(34)&amp;" (ADA), ","")&amp;IF(AND($CH115=90,AND(OR($CE115="FG",$CE115="HG",$CE115="FNV",$CE115="FV"),N($CF115)*N($CG115)&gt;100)),"90 min lite over 100 sq in (stair/exit), ","")&amp;IF(AND($CH115&gt;0,AND($A115&lt;&gt;"",$C115&lt;&gt;"DOOR ONLY"),OR($AF115="",$AF115="-")),"rated: closer reinf.?, ","")&amp;IF(OR($I115="CORRIDOR",$I115="SMOKE BARRIER"),"S label + smoke gasketing, ","")&amp;IF($CI115="?","wall type/hr not in IBC table, ","")&amp;IF(AND(N($BJ115)&gt;0,$BB115=""),"no hardware set, ","")&amp;IF(AND($BB115&lt;&gt;"",ISNA(MATCH($BB115&amp;"",HWSets,0))),"set "&amp;$BB115&amp;" not on HW Sets, ","")&amp;IF(N($BL115)&gt;96,"leaf over 8'-0"&amp;CHAR(34)&amp;" - check listing, ","")&amp;IF(AND($CT115,COUNT($AW115:$AZ115)&gt;0,COUNT($AW115:$AZ115)&lt;&gt;$CQ115),COUNT($AW115:$AZ115)&amp;" custom hinges typed, "&amp;$CQ115&amp;" expected, ","")&amp;IF(AND(ISNUMBER($CA115),OR(N($CA115)&lt;34,N($CA115)&gt;48)),"lock "&amp;TEXT($CA115,"0.0")&amp;CHAR(34)&amp;" AFF outside 34-48"&amp;CHAR(34)&amp;" (ADA), ","")&amp;IF(AND(ISNUMBER($AV115),ISNUMBER($BL115),N($AV115)&lt;IF(N($BL115)&lt;=60,2,IF(N($BL115)&lt;=90,3,IF(N($BL115)&lt;=120,4,5)))),"fewer hinges than standard, ",""))</f>
        <v/>
      </c>
    </row>
    <row r="116" ht="15" customHeight="1">
      <c r="A116" s="77" t="n"/>
      <c r="B116" s="78" t="n"/>
      <c r="C116" s="78" t="n"/>
      <c r="D116" s="78" t="n"/>
      <c r="E116" s="78" t="n"/>
      <c r="F116" s="78" t="n"/>
      <c r="G116" s="78" t="n"/>
      <c r="H116" s="78" t="n"/>
      <c r="I116" s="78" t="n"/>
      <c r="J116" s="78" t="n"/>
      <c r="K116" s="78" t="n"/>
      <c r="L116" s="78" t="n"/>
      <c r="M116" s="78" t="n"/>
      <c r="N116" s="78" t="n"/>
      <c r="O116" s="78" t="n"/>
      <c r="P116" s="78" t="n"/>
      <c r="Q116" s="78" t="n"/>
      <c r="R116" s="78" t="n"/>
      <c r="S116" s="79" t="n"/>
      <c r="T116" s="79" t="n"/>
      <c r="U116" s="79" t="n"/>
      <c r="V116" s="79" t="n"/>
      <c r="W116" s="79" t="n"/>
      <c r="X116" s="79" t="n"/>
      <c r="Y116" s="79" t="n"/>
      <c r="Z116" s="79" t="n"/>
      <c r="AA116" s="79" t="n"/>
      <c r="AB116" s="79" t="n"/>
      <c r="AC116" s="79" t="n"/>
      <c r="AD116" s="79" t="n"/>
      <c r="AE116" s="79" t="n"/>
      <c r="AF116" s="79" t="n"/>
      <c r="AG116" s="79" t="n"/>
      <c r="AH116" s="80" t="n"/>
      <c r="AI116" s="80" t="n"/>
      <c r="AJ116" s="80" t="n"/>
      <c r="AK116" s="80" t="n"/>
      <c r="AL116" s="80" t="n"/>
      <c r="AM116" s="80" t="n"/>
      <c r="AN116" s="80" t="n"/>
      <c r="AO116" s="80" t="n"/>
      <c r="AP116" s="80" t="n"/>
      <c r="AQ116" s="80" t="n"/>
      <c r="AR116" s="80" t="n"/>
      <c r="AS116" s="80" t="n"/>
      <c r="AT116" s="81" t="n"/>
      <c r="AU116" s="81" t="n"/>
      <c r="AV116" s="81" t="n"/>
      <c r="AW116" s="82" t="n"/>
      <c r="AX116" s="82" t="n"/>
      <c r="AY116" s="82" t="n"/>
      <c r="AZ116" s="82" t="n"/>
      <c r="BA116" s="82" t="n"/>
      <c r="BB116" s="83" t="n"/>
      <c r="BC116" s="83" t="n"/>
      <c r="BD116" s="84">
        <f>IF($A116="","",IF($DJ116&lt;&gt;"","FIX",IF($DK116&lt;&gt;"","CHECK","OK")))</f>
        <v/>
      </c>
      <c r="BE116" s="85">
        <f>IF($A116="","",IF($DJ116&lt;&gt;"","FIX: "&amp;LEFT($DJ116,LEN($DJ116)-2)&amp;IF($DK116&lt;&gt;"","  ·  ",""),"")&amp;IF($DK116&lt;&gt;"","CHECK: "&amp;LEFT($DK116,LEN($DK116)-2),""))</f>
        <v/>
      </c>
      <c r="BF116" s="84">
        <f>IF(OR($A116="",$K116=""),"",$K116&amp;"'-"&amp;N($L116)&amp;CHAR(34)&amp;" x "&amp;$M116&amp;"'-"&amp;N($N116)&amp;CHAR(34))</f>
        <v/>
      </c>
      <c r="BG116" s="84">
        <f>IF(OR($A116="",$K116=""),"",$K116&amp;N($L116)&amp;$M116&amp;N($N116))</f>
        <v/>
      </c>
      <c r="BH116" s="84">
        <f>IF(OR($A116="",$K116=""),"",$K116*12+N($L116))</f>
        <v/>
      </c>
      <c r="BI116" s="84">
        <f>IF(OR($A116="",$M116=""),"",$M116*12+N($N116))</f>
        <v/>
      </c>
      <c r="BJ116" s="84">
        <f>IF($A116="","",IF(OR($C116="FRAME ONLY",$S116="BL"),0,IF($O116="Y",2,1)))</f>
        <v/>
      </c>
      <c r="BK116" s="86">
        <f>IF(OR(N($BJ116)=0,$BH116=""),"",($BH116-2*EdgeClr-IF($BJ116=2,MeetClr,0))/$BJ116)</f>
        <v/>
      </c>
      <c r="BL116" s="86">
        <f>IF(OR(N($BJ116)=0,$BI116=""),"",$BI116-HeadClr-Undercut)</f>
        <v/>
      </c>
      <c r="BM116" s="86">
        <f>IF($BH116="","",$BH116+2*FaceW+IF(N($Q116)&gt;0,($Q116+FaceW)*IF($R116="LR",2,1),0))</f>
        <v/>
      </c>
      <c r="BN116" s="86">
        <f>IF($BI116="","",$BI116+IF($AB116="Y",4,FaceW)+IF(N($P116)&gt;0,$P116+FaceW,0)+IF(OR($S116="4F",$S116="BL"),FaceW,0))</f>
        <v/>
      </c>
      <c r="BO116" s="86">
        <f>IF($BM116="","",$BM116+2*ROSide)</f>
        <v/>
      </c>
      <c r="BP116" s="86">
        <f>IF($BN116="","",$BN116+ROTop)</f>
        <v/>
      </c>
      <c r="BQ116" s="87">
        <f>IF(OR(N($BJ116)=0,$BH116=""),"",$BH116/$BJ116-ClearDeduct)</f>
        <v/>
      </c>
      <c r="BR116" s="84">
        <f>IF(N($CH116)=0,"",IF($CH116&gt;=180,"A · 3 HR",IF($CH116&gt;=90,"B · 1-1/2 HR",IF($CH116&gt;=60,"B · 1 HR",IF($CH116&gt;=45,"C · 3/4 HR","20 MIN")))))&amp;IF(AND(N($CH116)&gt;0,OR($I116="CORRIDOR",$I116="SMOKE BARRIER"))," · S","")</f>
        <v/>
      </c>
      <c r="BS116" s="84">
        <f>IF($CS116,"",IF($AV116&lt;&gt;"",$AV116,IF(OR($AC116="HGC",$AO116="HGC"),"CONT",IF(($BI116-HeadClr-Undercut)&lt;=60,2,IF(($BI116-HeadClr-Undercut)&lt;=90,3,IF(($BI116-HeadClr-Undercut)&lt;=120,4,5))))))</f>
        <v/>
      </c>
      <c r="BT116" s="84">
        <f>IF($CS116,"",IF($CT116,"CUSTOM (typed)",IF($CV116,$AT116&amp;" "&amp;$CU116&amp;CHAR(34)&amp;IF($CU116&lt;&gt;$BI116,IF(AND($BI116&lt;$CU116,$BI116-IF(N(VLOOKUP($AT116&amp;"|"&amp;$CU116,LocTable,7,FALSE))&gt;0,VLOOKUP($AT116&amp;"|"&amp;$CU116,LocTable,7,FALSE),VLOOKUP($AT116&amp;"|"&amp;$CU116,LocTable,6,FALSE))-$CR116-0.75&gt;=2.125)," cut down"," adj."),""),"ANSI/SDI A250.6")))</f>
        <v/>
      </c>
      <c r="BU116" s="88">
        <f>IF($CS116,"",IF($CT116,IF(N($AW116)&gt;0,N($AW116),""),IF(1&gt;$CQ116,"",IF($CQ116=1,$CW116,$CW116+($CX116-$CW116)*0/($CQ116-1)))))</f>
        <v/>
      </c>
      <c r="BV116" s="88">
        <f>IF($CS116,"",IF($CT116,IF(N($AX116)&gt;0,N($AX116),""),IF(2&gt;$CQ116,"",IF($CQ116=1,$CW116,$CW116+($CX116-$CW116)*1/($CQ116-1)))))</f>
        <v/>
      </c>
      <c r="BW116" s="88">
        <f>IF($CS116,"",IF($CT116,IF(N($AY116)&gt;0,N($AY116),""),IF(3&gt;$CQ116,"",IF($CQ116=1,$CW116,$CW116+($CX116-$CW116)*2/($CQ116-1)))))</f>
        <v/>
      </c>
      <c r="BX116" s="88">
        <f>IF($CS116,"",IF($CT116,IF(N($AZ116)&gt;0,N($AZ116),""),IF(4&gt;$CQ116,"",IF($CQ116=1,$CW116,$CW116+($CX116-$CW116)*3/($CQ116-1)))))</f>
        <v/>
      </c>
      <c r="BY116" s="88">
        <f>IF($CS116,"",IF($CT116,"",IF(5&gt;$CQ116,"",IF($CQ116=1,$CW116,$CW116+($CX116-$CW116)*4/($CQ116-1)))))</f>
        <v/>
      </c>
      <c r="BZ116" s="88">
        <f>IF(OR($CS116,$AP116="-",AND($AP116="",$AD116="")),"",IF(N($BA116)&gt;0,N($BA116),IF($CV116,IF(AND($BI116&lt;$CU116,$BI116-IF(N(VLOOKUP($AT116&amp;"|"&amp;$CU116,LocTable,7,FALSE))&gt;0,VLOOKUP($AT116&amp;"|"&amp;$CU116,LocTable,7,FALSE),VLOOKUP($AT116&amp;"|"&amp;$CU116,LocTable,6,FALSE))-$CR116-0.75&gt;=2.125),VLOOKUP($AT116&amp;"|"&amp;$CU116,LocTable,8,FALSE),VLOOKUP($AT116&amp;"|"&amp;$CU116,LocTable,8,FALSE)+($BI116-$CU116)),$BI116-LockAFF)))</f>
        <v/>
      </c>
      <c r="CA116" s="89">
        <f>IF($BZ116="","",$BI116-$BZ116)</f>
        <v/>
      </c>
      <c r="CB116" s="84">
        <f>IF(OR(NOT(AND($A116&lt;&gt;"",$C116&lt;&gt;"DOOR ONLY")),$BI116=""),"",IF(($BI116+IF(N($P116)&gt;0,$P116+FaceW,0))&lt;=90,3,IF(($BI116+IF(N($P116)&gt;0,$P116+FaceW,0))&lt;=114,4,5)))</f>
        <v/>
      </c>
      <c r="CC116" s="84">
        <f>IF($CB116="","",$CB116*(2+IF(N($Q116)&gt;0,IF($R116="LR",2,1),0)))</f>
        <v/>
      </c>
      <c r="CD116" s="84">
        <f>IF($CB116="","",(2+IF(N($Q116)&gt;0,IF($R116="LR",2,1),0)))</f>
        <v/>
      </c>
      <c r="CE116" s="84">
        <f>IF(N($BJ116)=0,"",IF(OR($AL116="",$AL116="FLUSH"),"FLUSH",IFERROR(LEFT($AL116,FIND("-",$AL116)-1),LEFT($AL116,2))))</f>
        <v/>
      </c>
      <c r="CF116" s="84">
        <f>IF($CE116="","",IFERROR(VALUE(MID($AL116,FIND("-",$AL116)+1,FIND(CHAR(34)&amp;"x",$AL116)-FIND("-",$AL116)-1)),0))</f>
        <v/>
      </c>
      <c r="CG116" s="84">
        <f>IF($CE116="","",IFERROR(VALUE(MID($AL116,FIND(CHAR(34)&amp;"x",$AL116)+2,FIND(CHAR(34),$AL116,FIND(CHAR(34)&amp;"x",$AL116)+2)-FIND(CHAR(34)&amp;"x",$AL116)-2)),0))</f>
        <v/>
      </c>
      <c r="CH116" s="90">
        <f>IF(OR($A116="",$H116="",$H116="NO LAB"),0,IFERROR(VALUE(LEFT($H116,FIND(" ",$H116)-1)),0))</f>
        <v/>
      </c>
      <c r="CI116" s="91">
        <f>IF(OR($A116="",$I116="",$I116="NON-RATED",N($J116)=0),"",IFERROR(VLOOKUP($I116&amp;"|"&amp;$J116,IBC,2,FALSE),"?"))</f>
        <v/>
      </c>
      <c r="CJ116" s="85">
        <f>IF(NOT(AND($A116&lt;&gt;"",$C116&lt;&gt;"DOOR ONLY")),"",TRIM(IFERROR(VLOOKUP($U116,CODES,2,FALSE),"")&amp;" "&amp;$BG116&amp;" "&amp;IFERROR(VLOOKUP($Z116,CODES,2,FALSE),"")&amp;" "&amp;IFERROR(VLOOKUP($X116,CODES,2,FALSE),"")&amp;" "&amp;IFERROR(VLOOKUP($S116,CODES,2,FALSE),"")&amp;IF(N($P116)&gt;0," w/TRANSOM "&amp;$P116&amp;CHAR(34),"")&amp;IF(N($Q116)&gt;0," w/SIDELITE "&amp;$Q116&amp;CHAR(34)&amp;" "&amp;IF($R116="","R",$R116),"")&amp;IF($Y116="","  |  "," | "&amp;IFERROR(VLOOKUP($Y116,CODES,2,FALSE),"")&amp;" | ")&amp;IFERROR(VLOOKUP($AC116,CODES,2,FALSE),"")&amp;" "&amp;IFERROR(VLOOKUP($AD116,CODES,2,FALSE),"")&amp;IF(OR($AE116="",$AE116="-"),""," "&amp;$AE116)&amp;IF(OR($AF116="",$AF116="-"),""," "&amp;$AF116)&amp;IF($AB116="Y"," 4"&amp;CHAR(34)&amp;" HEAD","")&amp;" "&amp;IFERROR(VLOOKUP($H116,CODES,2,FALSE),"")&amp;IF($CT116," | LOC "&amp;$CY116,"")))</f>
        <v/>
      </c>
      <c r="CK116" s="85">
        <f>IF(NOT(AND($A116&lt;&gt;"",N($BJ116)&gt;0)),"",TRIM(IFERROR(VLOOKUP($AH116,CODES,2,FALSE),"")&amp;IF($AI116=""," "," "&amp;$AI116&amp;"GA ")&amp;$BG116&amp;" "&amp;IF($AN116="",IFERROR(VLOOKUP($Z116,CODES,2,FALSE),""),IFERROR(VLOOKUP($AN116,CODES,2,FALSE),""))&amp;IF($BJ116=2," PAIR","")&amp;" DOOR | "&amp;IF($AL116="","?",$AL116)&amp;" | "&amp;IF($AO116="",IFERROR(VLOOKUP($AC116,CODES,2,FALSE),""),IFERROR(VLOOKUP($AO116,CODES,2,FALSE),""))&amp;" "&amp;IFERROR(VLOOKUP($AP116,CODES,2,FALSE),"")&amp;IF(OR($AQ116="",$AQ116="-"),""," SEAM "&amp;$AQ116)&amp;IF($AR116="Y"," ASTRAGAL","")&amp;IF($AJ116=""," "," "&amp;$AJ116)&amp;IF($AK116=""," "," "&amp;$AK116)&amp;IF(OR($AT116="",$AT116="ANSI/SDI",$AT116="CUSTOM LOC"),""," "&amp;$AT116)&amp;IF($AM116=""," "," SERIES "&amp;$AM116)&amp;" "&amp;IFERROR(VLOOKUP($H116,CODES,2,FALSE),"")&amp;IF($CT116," | LOC "&amp;$CZ116,"")))</f>
        <v/>
      </c>
      <c r="CL116" s="84">
        <f>IF(CP116="","",IF(COUNTIF($CP$6:CP116,CP116)=1,MAX($CL$5:CL115)+1,INDEX($CL$5:CL115,MATCH(CP116,$CP$5:CP115,0))))</f>
        <v/>
      </c>
      <c r="CM116" s="84">
        <f>IF(NOT(AND($A116&lt;&gt;"",$C116&lt;&gt;"DOOR ONLY")),"",MAX($CM$5:CM115)+1)</f>
        <v/>
      </c>
      <c r="CN116" s="84">
        <f>IF(NOT(AND($A116&lt;&gt;"",N($BJ116)&gt;0)),"",MAX($CN$5:CN115)+1)</f>
        <v/>
      </c>
      <c r="CO116" s="84">
        <f>IF($A116="","",MAX($CO$5:CO115)+1)</f>
        <v/>
      </c>
      <c r="CP116" s="84">
        <f>IF(OR($A116="",$BH116="",$BI116=""),"",$BG116&amp;"|"&amp;$O116&amp;"|"&amp;$AL116&amp;"|"&amp;$S116&amp;"|"&amp;$P116&amp;"|"&amp;$Q116&amp;$R116&amp;"|"&amp;$C116&amp;"|"&amp;$AB116)</f>
        <v/>
      </c>
      <c r="CQ116" s="84">
        <f>N($BS116)</f>
        <v/>
      </c>
      <c r="CR116" s="84">
        <f>IF(N($AU116)&gt;0,N($AU116),4.5)</f>
        <v/>
      </c>
      <c r="CS116" s="84">
        <f>OR($A116="",$BI116="",$S116="BL",AND($C116="FRAME ONLY",OR($AC116="",$AC116="BLK")))</f>
        <v/>
      </c>
      <c r="CT116" s="84">
        <f>AND(NOT($CS116),OR($AT116="CUSTOM LOC",N($AW116)+N($AX116)+N($AY116)+N($AZ116)+N($BA116)&gt;0))</f>
        <v/>
      </c>
      <c r="CU116" s="84">
        <f>IF($BI116="","",IF($BI116&lt;=80,80,IF($BI116&lt;=84,84,96)))</f>
        <v/>
      </c>
      <c r="CV116" s="84">
        <f>ISNUMBER(MATCH($AT116&amp;"|80",LocKeys,0))</f>
        <v/>
      </c>
      <c r="CW116" s="86">
        <f>IF($CS116,"",IF($CV116,VLOOKUP($AT116&amp;"|"&amp;$CU116,LocTable,4,FALSE),5))</f>
        <v/>
      </c>
      <c r="CX116" s="86">
        <f>IF($CS116,"",IF($CV116,IF(OR($BI116=$CU116,AND($BI116&lt;$CU116,$BI116-IF(N(VLOOKUP($AT116&amp;"|"&amp;$CU116,LocTable,7,FALSE))&gt;0,VLOOKUP($AT116&amp;"|"&amp;$CU116,LocTable,7,FALSE),VLOOKUP($AT116&amp;"|"&amp;$CU116,LocTable,6,FALSE))-$CR116-0.75&gt;=2.125)),IF(N(VLOOKUP($AT116&amp;"|"&amp;$CU116,LocTable,7,FALSE))&gt;0,VLOOKUP($AT116&amp;"|"&amp;$CU116,LocTable,7,FALSE),VLOOKUP($AT116&amp;"|"&amp;$CU116,LocTable,6,FALSE)),$BI116-($CU116-IF(N(VLOOKUP($AT116&amp;"|"&amp;$CU116,LocTable,7,FALSE))&gt;0,VLOOKUP($AT116&amp;"|"&amp;$CU116,LocTable,7,FALSE),VLOOKUP($AT116&amp;"|"&amp;$CU116,LocTable,6,FALSE)))),$BI116-10-$CR116))</f>
        <v/>
      </c>
      <c r="CY116" s="85">
        <f>IF($CS116,"",TRIM(IF(ISNUMBER($BU116),"A "&amp;TRIM(TEXT($BU116,"# ?/??"))&amp;CHAR(34)&amp;"  ","")&amp;IF(ISNUMBER($BV116),"B "&amp;TRIM(TEXT($BV116,"# ?/??"))&amp;CHAR(34)&amp;"  ","")&amp;IF(ISNUMBER($BW116),"C "&amp;TRIM(TEXT($BW116,"# ?/??"))&amp;CHAR(34)&amp;"  ","")&amp;IF(ISNUMBER($BX116),"D "&amp;TRIM(TEXT($BX116,"# ?/??"))&amp;CHAR(34)&amp;"  ","")&amp;IF(ISNUMBER($BY116),"F "&amp;TRIM(TEXT($BY116,"# ?/??"))&amp;CHAR(34)&amp;"  ","")&amp;IF(ISNUMBER($BZ116),"E "&amp;TRIM(TEXT($BZ116,"# ?/??"))&amp;CHAR(34)&amp;"  ","")))</f>
        <v/>
      </c>
      <c r="CZ116" s="85">
        <f>IF(OR($CS116,N($BJ116)=0),"",TRIM(IF(ISNUMBER($BU116),"A "&amp;TRIM(TEXT($BU116-HeadClr,"# ?/??"))&amp;CHAR(34)&amp;"  ","")&amp;IF(ISNUMBER($BV116),"B "&amp;TRIM(TEXT($BV116-HeadClr,"# ?/??"))&amp;CHAR(34)&amp;"  ","")&amp;IF(ISNUMBER($BW116),"C "&amp;TRIM(TEXT($BW116-HeadClr,"# ?/??"))&amp;CHAR(34)&amp;"  ","")&amp;IF(ISNUMBER($BX116),"D "&amp;TRIM(TEXT($BX116-HeadClr,"# ?/??"))&amp;CHAR(34)&amp;"  ","")&amp;IF(ISNUMBER($BY116),"F "&amp;TRIM(TEXT($BY116-HeadClr,"# ?/??"))&amp;CHAR(34)&amp;"  ","")&amp;IF(ISNUMBER($BZ116),"E "&amp;TRIM(TEXT($BZ116-HeadClr,"# ?/??"))&amp;CHAR(34)&amp;"  ","")))</f>
        <v/>
      </c>
      <c r="DA116" s="84">
        <f>IF($A116="","",IF($AN116="",IFERROR(VLOOKUP($Z116,CODES,2,FALSE),""),IFERROR(VLOOKUP($AN116,CODES,2,FALSE),"")))</f>
        <v/>
      </c>
      <c r="DB116" s="84">
        <f>IF($A116="","",IF($O116="Y","PR",IF(OR($Z116="L",$Z116="RR",LEFT($Z116,2)="L-",LEFT($Z116,3)="RR-"),"LH","RH")))</f>
        <v/>
      </c>
      <c r="DC116" s="84">
        <f>IF($A116="","","S.HM"&amp;IF(OR($C116="DOOR ONLY",$X116&lt;&gt;"KD"),"MASONRY","DRYWALL")&amp;IF($C116="DOOR ONLY","",$U116)&amp;IF(AND($C116&lt;&gt;"FRAME ONLY",OR(LEFT($AH116,3)="OAK",LEFT($AH116,3)="BIR",LEFT($AH116,3)="MAP",$AH116="PC",$AH116="MC",$AH116="SCLC",$AH116="P-LAM")),"WD","HM")&amp;"1.75")</f>
        <v/>
      </c>
      <c r="DD116" s="84">
        <f>IF($CJ116="","",IF($O116="Y",$CJ116,SUBSTITUTE($CJ116,$BG116&amp;" "&amp;IFERROR(VLOOKUP($Z116,CODES,2,FALSE),"")&amp;" ",$BG116&amp;" ")))</f>
        <v/>
      </c>
      <c r="DE116" s="84">
        <f>IF($CK116="","",IF($O116="Y",$CK116,SUBSTITUTE($CK116,$BG116&amp;" "&amp;IF($AN116="",IFERROR(VLOOKUP($Z116,CODES,2,FALSE),""),IFERROR(VLOOKUP($AN116,CODES,2,FALSE),""))&amp;" ",$BG116&amp;" ")))</f>
        <v/>
      </c>
      <c r="DF116" s="84">
        <f>IF($CJ116="","",$DC116&amp;"|"&amp;$DD116&amp;"|"&amp;$DB116&amp;"|"&amp;$AT116&amp;"|"&amp;$V116&amp;"|"&amp;$Y116&amp;"|"&amp;$AB116)</f>
        <v/>
      </c>
      <c r="DG116" s="84">
        <f>IF(DF116="","",IF(COUNTIF($DF$6:DF116,DF116)=1,MAX($DG$5:DG115)+1,INDEX($DG$5:DG115,MATCH(DF116,$DF$5:DF115,0))))</f>
        <v/>
      </c>
      <c r="DH116" s="84">
        <f>IF($CK116="","",$DC116&amp;"|"&amp;$DE116&amp;"|"&amp;$AI116&amp;"|"&amp;$BK116&amp;"|"&amp;$BL116)</f>
        <v/>
      </c>
      <c r="DI116" s="84">
        <f>IF(DH116="","",IF(COUNTIF($DH$6:DH116,DH116)=1,MAX($DI$5:DI115)+1,INDEX($DI$5:DI115,MATCH(DH116,$DH$5:DH115,0))))</f>
        <v/>
      </c>
      <c r="DJ116" s="84">
        <f>IF($A116="","",IF($B116="","qty, ","")&amp;IF($C116="","scope, ","")&amp;IF(OR($K116="",$M116=""),"size, ","")&amp;IF(AND($A116&lt;&gt;"",$C116&lt;&gt;"DOOR ONLY"),IF($U116="","jamb depth, ","")&amp;IF($X116="","construction, ","")&amp;IF($Y116="","anchor, ","")&amp;IF($S116="","frame type, ",""),"")&amp;IF(AND(N($BJ116)&gt;0,$Z116=""),"hand, ","")&amp;IF(N($BJ116)&gt;0,IF($AH116="","door material, ","")&amp;IF($AL116="","face type, ","")&amp;IF($AP116="","lock prep, ","")&amp;IF(AND($AO116="",$AC116=""),"hinge prep, ",""),"")&amp;IF(AND($CH116&gt;0,$AH116="FRP"),"FRP cannot carry a label, ","")&amp;IF(AND($O116="Y",OR($Z116="L",$Z116="R",$Z116="LR",$Z116="RR")),"pair marked but hand is single, ","")&amp;IF(AND($O116&lt;&gt;"Y",OR($Z116="PR",AND(LEN($Z116)&gt;1,ISNUMBER(SEARCH("-",$Z116))))),"pair hand on a single door, ","")&amp;IF(AND(ISNUMBER($CI116),$CH116&lt;N($CI116)),"wall needs a "&amp;$CI116&amp;" min door, ","")&amp;IF(AND($CH116&gt;=180,AND(OR($CE116="FG",$CE116="HG",$CE116="FNV",$CE116="FV"),N($CF116)*N($CG116)&gt;100)),"180 min lite over 100 sq in, ","")&amp;IF(N($BK116)&gt;48,"leaf wider than 4'-0"&amp;CHAR(34)&amp;", ","")&amp;IF(AND($CT116,COUNT($AW116:$AZ116)=0,$CQ116&gt;0),"CUSTOM LOC with no locations typed, ",""))</f>
        <v/>
      </c>
      <c r="DK116" s="84">
        <f>IF($A116="","",IF(AND($CH116&gt;0,AND($A116&lt;&gt;"",$C116&lt;&gt;"DOOR ONLY"),$X116="KD",$E116="EXTERIOR"),"KD label on an exterior opening, ","")&amp;IF(AND($E116="EXTERIOR",OR(AND(AND($A116&lt;&gt;"",$C116&lt;&gt;"DOOR ONLY"),$W116="CR"),AND(N($BJ116)&gt;0,$AH116="CR"))),"exterior in CR steel (G9?), ","")&amp;IF(AND(ISNUMBER($BQ116),N($BQ116)&lt;32),"clear width ~"&amp;TEXT($BQ116,"0.0")&amp;CHAR(34)&amp;" under 32"&amp;CHAR(34)&amp;" (ADA), ","")&amp;IF(AND($CH116=90,AND(OR($CE116="FG",$CE116="HG",$CE116="FNV",$CE116="FV"),N($CF116)*N($CG116)&gt;100)),"90 min lite over 100 sq in (stair/exit), ","")&amp;IF(AND($CH116&gt;0,AND($A116&lt;&gt;"",$C116&lt;&gt;"DOOR ONLY"),OR($AF116="",$AF116="-")),"rated: closer reinf.?, ","")&amp;IF(OR($I116="CORRIDOR",$I116="SMOKE BARRIER"),"S label + smoke gasketing, ","")&amp;IF($CI116="?","wall type/hr not in IBC table, ","")&amp;IF(AND(N($BJ116)&gt;0,$BB116=""),"no hardware set, ","")&amp;IF(AND($BB116&lt;&gt;"",ISNA(MATCH($BB116&amp;"",HWSets,0))),"set "&amp;$BB116&amp;" not on HW Sets, ","")&amp;IF(N($BL116)&gt;96,"leaf over 8'-0"&amp;CHAR(34)&amp;" - check listing, ","")&amp;IF(AND($CT116,COUNT($AW116:$AZ116)&gt;0,COUNT($AW116:$AZ116)&lt;&gt;$CQ116),COUNT($AW116:$AZ116)&amp;" custom hinges typed, "&amp;$CQ116&amp;" expected, ","")&amp;IF(AND(ISNUMBER($CA116),OR(N($CA116)&lt;34,N($CA116)&gt;48)),"lock "&amp;TEXT($CA116,"0.0")&amp;CHAR(34)&amp;" AFF outside 34-48"&amp;CHAR(34)&amp;" (ADA), ","")&amp;IF(AND(ISNUMBER($AV116),ISNUMBER($BL116),N($AV116)&lt;IF(N($BL116)&lt;=60,2,IF(N($BL116)&lt;=90,3,IF(N($BL116)&lt;=120,4,5)))),"fewer hinges than standard, ",""))</f>
        <v/>
      </c>
    </row>
    <row r="117" ht="15" customHeight="1">
      <c r="A117" s="77" t="n"/>
      <c r="B117" s="78" t="n"/>
      <c r="C117" s="78" t="n"/>
      <c r="D117" s="78" t="n"/>
      <c r="E117" s="78" t="n"/>
      <c r="F117" s="78" t="n"/>
      <c r="G117" s="78" t="n"/>
      <c r="H117" s="78" t="n"/>
      <c r="I117" s="78" t="n"/>
      <c r="J117" s="78" t="n"/>
      <c r="K117" s="78" t="n"/>
      <c r="L117" s="78" t="n"/>
      <c r="M117" s="78" t="n"/>
      <c r="N117" s="78" t="n"/>
      <c r="O117" s="78" t="n"/>
      <c r="P117" s="78" t="n"/>
      <c r="Q117" s="78" t="n"/>
      <c r="R117" s="78" t="n"/>
      <c r="S117" s="79" t="n"/>
      <c r="T117" s="79" t="n"/>
      <c r="U117" s="79" t="n"/>
      <c r="V117" s="79" t="n"/>
      <c r="W117" s="79" t="n"/>
      <c r="X117" s="79" t="n"/>
      <c r="Y117" s="79" t="n"/>
      <c r="Z117" s="79" t="n"/>
      <c r="AA117" s="79" t="n"/>
      <c r="AB117" s="79" t="n"/>
      <c r="AC117" s="79" t="n"/>
      <c r="AD117" s="79" t="n"/>
      <c r="AE117" s="79" t="n"/>
      <c r="AF117" s="79" t="n"/>
      <c r="AG117" s="79" t="n"/>
      <c r="AH117" s="80" t="n"/>
      <c r="AI117" s="80" t="n"/>
      <c r="AJ117" s="80" t="n"/>
      <c r="AK117" s="80" t="n"/>
      <c r="AL117" s="80" t="n"/>
      <c r="AM117" s="80" t="n"/>
      <c r="AN117" s="80" t="n"/>
      <c r="AO117" s="80" t="n"/>
      <c r="AP117" s="80" t="n"/>
      <c r="AQ117" s="80" t="n"/>
      <c r="AR117" s="80" t="n"/>
      <c r="AS117" s="80" t="n"/>
      <c r="AT117" s="81" t="n"/>
      <c r="AU117" s="81" t="n"/>
      <c r="AV117" s="81" t="n"/>
      <c r="AW117" s="82" t="n"/>
      <c r="AX117" s="82" t="n"/>
      <c r="AY117" s="82" t="n"/>
      <c r="AZ117" s="82" t="n"/>
      <c r="BA117" s="82" t="n"/>
      <c r="BB117" s="83" t="n"/>
      <c r="BC117" s="83" t="n"/>
      <c r="BD117" s="84">
        <f>IF($A117="","",IF($DJ117&lt;&gt;"","FIX",IF($DK117&lt;&gt;"","CHECK","OK")))</f>
        <v/>
      </c>
      <c r="BE117" s="85">
        <f>IF($A117="","",IF($DJ117&lt;&gt;"","FIX: "&amp;LEFT($DJ117,LEN($DJ117)-2)&amp;IF($DK117&lt;&gt;"","  ·  ",""),"")&amp;IF($DK117&lt;&gt;"","CHECK: "&amp;LEFT($DK117,LEN($DK117)-2),""))</f>
        <v/>
      </c>
      <c r="BF117" s="84">
        <f>IF(OR($A117="",$K117=""),"",$K117&amp;"'-"&amp;N($L117)&amp;CHAR(34)&amp;" x "&amp;$M117&amp;"'-"&amp;N($N117)&amp;CHAR(34))</f>
        <v/>
      </c>
      <c r="BG117" s="84">
        <f>IF(OR($A117="",$K117=""),"",$K117&amp;N($L117)&amp;$M117&amp;N($N117))</f>
        <v/>
      </c>
      <c r="BH117" s="84">
        <f>IF(OR($A117="",$K117=""),"",$K117*12+N($L117))</f>
        <v/>
      </c>
      <c r="BI117" s="84">
        <f>IF(OR($A117="",$M117=""),"",$M117*12+N($N117))</f>
        <v/>
      </c>
      <c r="BJ117" s="84">
        <f>IF($A117="","",IF(OR($C117="FRAME ONLY",$S117="BL"),0,IF($O117="Y",2,1)))</f>
        <v/>
      </c>
      <c r="BK117" s="86">
        <f>IF(OR(N($BJ117)=0,$BH117=""),"",($BH117-2*EdgeClr-IF($BJ117=2,MeetClr,0))/$BJ117)</f>
        <v/>
      </c>
      <c r="BL117" s="86">
        <f>IF(OR(N($BJ117)=0,$BI117=""),"",$BI117-HeadClr-Undercut)</f>
        <v/>
      </c>
      <c r="BM117" s="86">
        <f>IF($BH117="","",$BH117+2*FaceW+IF(N($Q117)&gt;0,($Q117+FaceW)*IF($R117="LR",2,1),0))</f>
        <v/>
      </c>
      <c r="BN117" s="86">
        <f>IF($BI117="","",$BI117+IF($AB117="Y",4,FaceW)+IF(N($P117)&gt;0,$P117+FaceW,0)+IF(OR($S117="4F",$S117="BL"),FaceW,0))</f>
        <v/>
      </c>
      <c r="BO117" s="86">
        <f>IF($BM117="","",$BM117+2*ROSide)</f>
        <v/>
      </c>
      <c r="BP117" s="86">
        <f>IF($BN117="","",$BN117+ROTop)</f>
        <v/>
      </c>
      <c r="BQ117" s="87">
        <f>IF(OR(N($BJ117)=0,$BH117=""),"",$BH117/$BJ117-ClearDeduct)</f>
        <v/>
      </c>
      <c r="BR117" s="84">
        <f>IF(N($CH117)=0,"",IF($CH117&gt;=180,"A · 3 HR",IF($CH117&gt;=90,"B · 1-1/2 HR",IF($CH117&gt;=60,"B · 1 HR",IF($CH117&gt;=45,"C · 3/4 HR","20 MIN")))))&amp;IF(AND(N($CH117)&gt;0,OR($I117="CORRIDOR",$I117="SMOKE BARRIER"))," · S","")</f>
        <v/>
      </c>
      <c r="BS117" s="84">
        <f>IF($CS117,"",IF($AV117&lt;&gt;"",$AV117,IF(OR($AC117="HGC",$AO117="HGC"),"CONT",IF(($BI117-HeadClr-Undercut)&lt;=60,2,IF(($BI117-HeadClr-Undercut)&lt;=90,3,IF(($BI117-HeadClr-Undercut)&lt;=120,4,5))))))</f>
        <v/>
      </c>
      <c r="BT117" s="84">
        <f>IF($CS117,"",IF($CT117,"CUSTOM (typed)",IF($CV117,$AT117&amp;" "&amp;$CU117&amp;CHAR(34)&amp;IF($CU117&lt;&gt;$BI117,IF(AND($BI117&lt;$CU117,$BI117-IF(N(VLOOKUP($AT117&amp;"|"&amp;$CU117,LocTable,7,FALSE))&gt;0,VLOOKUP($AT117&amp;"|"&amp;$CU117,LocTable,7,FALSE),VLOOKUP($AT117&amp;"|"&amp;$CU117,LocTable,6,FALSE))-$CR117-0.75&gt;=2.125)," cut down"," adj."),""),"ANSI/SDI A250.6")))</f>
        <v/>
      </c>
      <c r="BU117" s="88">
        <f>IF($CS117,"",IF($CT117,IF(N($AW117)&gt;0,N($AW117),""),IF(1&gt;$CQ117,"",IF($CQ117=1,$CW117,$CW117+($CX117-$CW117)*0/($CQ117-1)))))</f>
        <v/>
      </c>
      <c r="BV117" s="88">
        <f>IF($CS117,"",IF($CT117,IF(N($AX117)&gt;0,N($AX117),""),IF(2&gt;$CQ117,"",IF($CQ117=1,$CW117,$CW117+($CX117-$CW117)*1/($CQ117-1)))))</f>
        <v/>
      </c>
      <c r="BW117" s="88">
        <f>IF($CS117,"",IF($CT117,IF(N($AY117)&gt;0,N($AY117),""),IF(3&gt;$CQ117,"",IF($CQ117=1,$CW117,$CW117+($CX117-$CW117)*2/($CQ117-1)))))</f>
        <v/>
      </c>
      <c r="BX117" s="88">
        <f>IF($CS117,"",IF($CT117,IF(N($AZ117)&gt;0,N($AZ117),""),IF(4&gt;$CQ117,"",IF($CQ117=1,$CW117,$CW117+($CX117-$CW117)*3/($CQ117-1)))))</f>
        <v/>
      </c>
      <c r="BY117" s="88">
        <f>IF($CS117,"",IF($CT117,"",IF(5&gt;$CQ117,"",IF($CQ117=1,$CW117,$CW117+($CX117-$CW117)*4/($CQ117-1)))))</f>
        <v/>
      </c>
      <c r="BZ117" s="88">
        <f>IF(OR($CS117,$AP117="-",AND($AP117="",$AD117="")),"",IF(N($BA117)&gt;0,N($BA117),IF($CV117,IF(AND($BI117&lt;$CU117,$BI117-IF(N(VLOOKUP($AT117&amp;"|"&amp;$CU117,LocTable,7,FALSE))&gt;0,VLOOKUP($AT117&amp;"|"&amp;$CU117,LocTable,7,FALSE),VLOOKUP($AT117&amp;"|"&amp;$CU117,LocTable,6,FALSE))-$CR117-0.75&gt;=2.125),VLOOKUP($AT117&amp;"|"&amp;$CU117,LocTable,8,FALSE),VLOOKUP($AT117&amp;"|"&amp;$CU117,LocTable,8,FALSE)+($BI117-$CU117)),$BI117-LockAFF)))</f>
        <v/>
      </c>
      <c r="CA117" s="89">
        <f>IF($BZ117="","",$BI117-$BZ117)</f>
        <v/>
      </c>
      <c r="CB117" s="84">
        <f>IF(OR(NOT(AND($A117&lt;&gt;"",$C117&lt;&gt;"DOOR ONLY")),$BI117=""),"",IF(($BI117+IF(N($P117)&gt;0,$P117+FaceW,0))&lt;=90,3,IF(($BI117+IF(N($P117)&gt;0,$P117+FaceW,0))&lt;=114,4,5)))</f>
        <v/>
      </c>
      <c r="CC117" s="84">
        <f>IF($CB117="","",$CB117*(2+IF(N($Q117)&gt;0,IF($R117="LR",2,1),0)))</f>
        <v/>
      </c>
      <c r="CD117" s="84">
        <f>IF($CB117="","",(2+IF(N($Q117)&gt;0,IF($R117="LR",2,1),0)))</f>
        <v/>
      </c>
      <c r="CE117" s="84">
        <f>IF(N($BJ117)=0,"",IF(OR($AL117="",$AL117="FLUSH"),"FLUSH",IFERROR(LEFT($AL117,FIND("-",$AL117)-1),LEFT($AL117,2))))</f>
        <v/>
      </c>
      <c r="CF117" s="84">
        <f>IF($CE117="","",IFERROR(VALUE(MID($AL117,FIND("-",$AL117)+1,FIND(CHAR(34)&amp;"x",$AL117)-FIND("-",$AL117)-1)),0))</f>
        <v/>
      </c>
      <c r="CG117" s="84">
        <f>IF($CE117="","",IFERROR(VALUE(MID($AL117,FIND(CHAR(34)&amp;"x",$AL117)+2,FIND(CHAR(34),$AL117,FIND(CHAR(34)&amp;"x",$AL117)+2)-FIND(CHAR(34)&amp;"x",$AL117)-2)),0))</f>
        <v/>
      </c>
      <c r="CH117" s="90">
        <f>IF(OR($A117="",$H117="",$H117="NO LAB"),0,IFERROR(VALUE(LEFT($H117,FIND(" ",$H117)-1)),0))</f>
        <v/>
      </c>
      <c r="CI117" s="91">
        <f>IF(OR($A117="",$I117="",$I117="NON-RATED",N($J117)=0),"",IFERROR(VLOOKUP($I117&amp;"|"&amp;$J117,IBC,2,FALSE),"?"))</f>
        <v/>
      </c>
      <c r="CJ117" s="85">
        <f>IF(NOT(AND($A117&lt;&gt;"",$C117&lt;&gt;"DOOR ONLY")),"",TRIM(IFERROR(VLOOKUP($U117,CODES,2,FALSE),"")&amp;" "&amp;$BG117&amp;" "&amp;IFERROR(VLOOKUP($Z117,CODES,2,FALSE),"")&amp;" "&amp;IFERROR(VLOOKUP($X117,CODES,2,FALSE),"")&amp;" "&amp;IFERROR(VLOOKUP($S117,CODES,2,FALSE),"")&amp;IF(N($P117)&gt;0," w/TRANSOM "&amp;$P117&amp;CHAR(34),"")&amp;IF(N($Q117)&gt;0," w/SIDELITE "&amp;$Q117&amp;CHAR(34)&amp;" "&amp;IF($R117="","R",$R117),"")&amp;IF($Y117="","  |  "," | "&amp;IFERROR(VLOOKUP($Y117,CODES,2,FALSE),"")&amp;" | ")&amp;IFERROR(VLOOKUP($AC117,CODES,2,FALSE),"")&amp;" "&amp;IFERROR(VLOOKUP($AD117,CODES,2,FALSE),"")&amp;IF(OR($AE117="",$AE117="-"),""," "&amp;$AE117)&amp;IF(OR($AF117="",$AF117="-"),""," "&amp;$AF117)&amp;IF($AB117="Y"," 4"&amp;CHAR(34)&amp;" HEAD","")&amp;" "&amp;IFERROR(VLOOKUP($H117,CODES,2,FALSE),"")&amp;IF($CT117," | LOC "&amp;$CY117,"")))</f>
        <v/>
      </c>
      <c r="CK117" s="85">
        <f>IF(NOT(AND($A117&lt;&gt;"",N($BJ117)&gt;0)),"",TRIM(IFERROR(VLOOKUP($AH117,CODES,2,FALSE),"")&amp;IF($AI117=""," "," "&amp;$AI117&amp;"GA ")&amp;$BG117&amp;" "&amp;IF($AN117="",IFERROR(VLOOKUP($Z117,CODES,2,FALSE),""),IFERROR(VLOOKUP($AN117,CODES,2,FALSE),""))&amp;IF($BJ117=2," PAIR","")&amp;" DOOR | "&amp;IF($AL117="","?",$AL117)&amp;" | "&amp;IF($AO117="",IFERROR(VLOOKUP($AC117,CODES,2,FALSE),""),IFERROR(VLOOKUP($AO117,CODES,2,FALSE),""))&amp;" "&amp;IFERROR(VLOOKUP($AP117,CODES,2,FALSE),"")&amp;IF(OR($AQ117="",$AQ117="-"),""," SEAM "&amp;$AQ117)&amp;IF($AR117="Y"," ASTRAGAL","")&amp;IF($AJ117=""," "," "&amp;$AJ117)&amp;IF($AK117=""," "," "&amp;$AK117)&amp;IF(OR($AT117="",$AT117="ANSI/SDI",$AT117="CUSTOM LOC"),""," "&amp;$AT117)&amp;IF($AM117=""," "," SERIES "&amp;$AM117)&amp;" "&amp;IFERROR(VLOOKUP($H117,CODES,2,FALSE),"")&amp;IF($CT117," | LOC "&amp;$CZ117,"")))</f>
        <v/>
      </c>
      <c r="CL117" s="84">
        <f>IF(CP117="","",IF(COUNTIF($CP$6:CP117,CP117)=1,MAX($CL$5:CL116)+1,INDEX($CL$5:CL116,MATCH(CP117,$CP$5:CP116,0))))</f>
        <v/>
      </c>
      <c r="CM117" s="84">
        <f>IF(NOT(AND($A117&lt;&gt;"",$C117&lt;&gt;"DOOR ONLY")),"",MAX($CM$5:CM116)+1)</f>
        <v/>
      </c>
      <c r="CN117" s="84">
        <f>IF(NOT(AND($A117&lt;&gt;"",N($BJ117)&gt;0)),"",MAX($CN$5:CN116)+1)</f>
        <v/>
      </c>
      <c r="CO117" s="84">
        <f>IF($A117="","",MAX($CO$5:CO116)+1)</f>
        <v/>
      </c>
      <c r="CP117" s="84">
        <f>IF(OR($A117="",$BH117="",$BI117=""),"",$BG117&amp;"|"&amp;$O117&amp;"|"&amp;$AL117&amp;"|"&amp;$S117&amp;"|"&amp;$P117&amp;"|"&amp;$Q117&amp;$R117&amp;"|"&amp;$C117&amp;"|"&amp;$AB117)</f>
        <v/>
      </c>
      <c r="CQ117" s="84">
        <f>N($BS117)</f>
        <v/>
      </c>
      <c r="CR117" s="84">
        <f>IF(N($AU117)&gt;0,N($AU117),4.5)</f>
        <v/>
      </c>
      <c r="CS117" s="84">
        <f>OR($A117="",$BI117="",$S117="BL",AND($C117="FRAME ONLY",OR($AC117="",$AC117="BLK")))</f>
        <v/>
      </c>
      <c r="CT117" s="84">
        <f>AND(NOT($CS117),OR($AT117="CUSTOM LOC",N($AW117)+N($AX117)+N($AY117)+N($AZ117)+N($BA117)&gt;0))</f>
        <v/>
      </c>
      <c r="CU117" s="84">
        <f>IF($BI117="","",IF($BI117&lt;=80,80,IF($BI117&lt;=84,84,96)))</f>
        <v/>
      </c>
      <c r="CV117" s="84">
        <f>ISNUMBER(MATCH($AT117&amp;"|80",LocKeys,0))</f>
        <v/>
      </c>
      <c r="CW117" s="86">
        <f>IF($CS117,"",IF($CV117,VLOOKUP($AT117&amp;"|"&amp;$CU117,LocTable,4,FALSE),5))</f>
        <v/>
      </c>
      <c r="CX117" s="86">
        <f>IF($CS117,"",IF($CV117,IF(OR($BI117=$CU117,AND($BI117&lt;$CU117,$BI117-IF(N(VLOOKUP($AT117&amp;"|"&amp;$CU117,LocTable,7,FALSE))&gt;0,VLOOKUP($AT117&amp;"|"&amp;$CU117,LocTable,7,FALSE),VLOOKUP($AT117&amp;"|"&amp;$CU117,LocTable,6,FALSE))-$CR117-0.75&gt;=2.125)),IF(N(VLOOKUP($AT117&amp;"|"&amp;$CU117,LocTable,7,FALSE))&gt;0,VLOOKUP($AT117&amp;"|"&amp;$CU117,LocTable,7,FALSE),VLOOKUP($AT117&amp;"|"&amp;$CU117,LocTable,6,FALSE)),$BI117-($CU117-IF(N(VLOOKUP($AT117&amp;"|"&amp;$CU117,LocTable,7,FALSE))&gt;0,VLOOKUP($AT117&amp;"|"&amp;$CU117,LocTable,7,FALSE),VLOOKUP($AT117&amp;"|"&amp;$CU117,LocTable,6,FALSE)))),$BI117-10-$CR117))</f>
        <v/>
      </c>
      <c r="CY117" s="85">
        <f>IF($CS117,"",TRIM(IF(ISNUMBER($BU117),"A "&amp;TRIM(TEXT($BU117,"# ?/??"))&amp;CHAR(34)&amp;"  ","")&amp;IF(ISNUMBER($BV117),"B "&amp;TRIM(TEXT($BV117,"# ?/??"))&amp;CHAR(34)&amp;"  ","")&amp;IF(ISNUMBER($BW117),"C "&amp;TRIM(TEXT($BW117,"# ?/??"))&amp;CHAR(34)&amp;"  ","")&amp;IF(ISNUMBER($BX117),"D "&amp;TRIM(TEXT($BX117,"# ?/??"))&amp;CHAR(34)&amp;"  ","")&amp;IF(ISNUMBER($BY117),"F "&amp;TRIM(TEXT($BY117,"# ?/??"))&amp;CHAR(34)&amp;"  ","")&amp;IF(ISNUMBER($BZ117),"E "&amp;TRIM(TEXT($BZ117,"# ?/??"))&amp;CHAR(34)&amp;"  ","")))</f>
        <v/>
      </c>
      <c r="CZ117" s="85">
        <f>IF(OR($CS117,N($BJ117)=0),"",TRIM(IF(ISNUMBER($BU117),"A "&amp;TRIM(TEXT($BU117-HeadClr,"# ?/??"))&amp;CHAR(34)&amp;"  ","")&amp;IF(ISNUMBER($BV117),"B "&amp;TRIM(TEXT($BV117-HeadClr,"# ?/??"))&amp;CHAR(34)&amp;"  ","")&amp;IF(ISNUMBER($BW117),"C "&amp;TRIM(TEXT($BW117-HeadClr,"# ?/??"))&amp;CHAR(34)&amp;"  ","")&amp;IF(ISNUMBER($BX117),"D "&amp;TRIM(TEXT($BX117-HeadClr,"# ?/??"))&amp;CHAR(34)&amp;"  ","")&amp;IF(ISNUMBER($BY117),"F "&amp;TRIM(TEXT($BY117-HeadClr,"# ?/??"))&amp;CHAR(34)&amp;"  ","")&amp;IF(ISNUMBER($BZ117),"E "&amp;TRIM(TEXT($BZ117-HeadClr,"# ?/??"))&amp;CHAR(34)&amp;"  ","")))</f>
        <v/>
      </c>
      <c r="DA117" s="84">
        <f>IF($A117="","",IF($AN117="",IFERROR(VLOOKUP($Z117,CODES,2,FALSE),""),IFERROR(VLOOKUP($AN117,CODES,2,FALSE),"")))</f>
        <v/>
      </c>
      <c r="DB117" s="84">
        <f>IF($A117="","",IF($O117="Y","PR",IF(OR($Z117="L",$Z117="RR",LEFT($Z117,2)="L-",LEFT($Z117,3)="RR-"),"LH","RH")))</f>
        <v/>
      </c>
      <c r="DC117" s="84">
        <f>IF($A117="","","S.HM"&amp;IF(OR($C117="DOOR ONLY",$X117&lt;&gt;"KD"),"MASONRY","DRYWALL")&amp;IF($C117="DOOR ONLY","",$U117)&amp;IF(AND($C117&lt;&gt;"FRAME ONLY",OR(LEFT($AH117,3)="OAK",LEFT($AH117,3)="BIR",LEFT($AH117,3)="MAP",$AH117="PC",$AH117="MC",$AH117="SCLC",$AH117="P-LAM")),"WD","HM")&amp;"1.75")</f>
        <v/>
      </c>
      <c r="DD117" s="84">
        <f>IF($CJ117="","",IF($O117="Y",$CJ117,SUBSTITUTE($CJ117,$BG117&amp;" "&amp;IFERROR(VLOOKUP($Z117,CODES,2,FALSE),"")&amp;" ",$BG117&amp;" ")))</f>
        <v/>
      </c>
      <c r="DE117" s="84">
        <f>IF($CK117="","",IF($O117="Y",$CK117,SUBSTITUTE($CK117,$BG117&amp;" "&amp;IF($AN117="",IFERROR(VLOOKUP($Z117,CODES,2,FALSE),""),IFERROR(VLOOKUP($AN117,CODES,2,FALSE),""))&amp;" ",$BG117&amp;" ")))</f>
        <v/>
      </c>
      <c r="DF117" s="84">
        <f>IF($CJ117="","",$DC117&amp;"|"&amp;$DD117&amp;"|"&amp;$DB117&amp;"|"&amp;$AT117&amp;"|"&amp;$V117&amp;"|"&amp;$Y117&amp;"|"&amp;$AB117)</f>
        <v/>
      </c>
      <c r="DG117" s="84">
        <f>IF(DF117="","",IF(COUNTIF($DF$6:DF117,DF117)=1,MAX($DG$5:DG116)+1,INDEX($DG$5:DG116,MATCH(DF117,$DF$5:DF116,0))))</f>
        <v/>
      </c>
      <c r="DH117" s="84">
        <f>IF($CK117="","",$DC117&amp;"|"&amp;$DE117&amp;"|"&amp;$AI117&amp;"|"&amp;$BK117&amp;"|"&amp;$BL117)</f>
        <v/>
      </c>
      <c r="DI117" s="84">
        <f>IF(DH117="","",IF(COUNTIF($DH$6:DH117,DH117)=1,MAX($DI$5:DI116)+1,INDEX($DI$5:DI116,MATCH(DH117,$DH$5:DH116,0))))</f>
        <v/>
      </c>
      <c r="DJ117" s="84">
        <f>IF($A117="","",IF($B117="","qty, ","")&amp;IF($C117="","scope, ","")&amp;IF(OR($K117="",$M117=""),"size, ","")&amp;IF(AND($A117&lt;&gt;"",$C117&lt;&gt;"DOOR ONLY"),IF($U117="","jamb depth, ","")&amp;IF($X117="","construction, ","")&amp;IF($Y117="","anchor, ","")&amp;IF($S117="","frame type, ",""),"")&amp;IF(AND(N($BJ117)&gt;0,$Z117=""),"hand, ","")&amp;IF(N($BJ117)&gt;0,IF($AH117="","door material, ","")&amp;IF($AL117="","face type, ","")&amp;IF($AP117="","lock prep, ","")&amp;IF(AND($AO117="",$AC117=""),"hinge prep, ",""),"")&amp;IF(AND($CH117&gt;0,$AH117="FRP"),"FRP cannot carry a label, ","")&amp;IF(AND($O117="Y",OR($Z117="L",$Z117="R",$Z117="LR",$Z117="RR")),"pair marked but hand is single, ","")&amp;IF(AND($O117&lt;&gt;"Y",OR($Z117="PR",AND(LEN($Z117)&gt;1,ISNUMBER(SEARCH("-",$Z117))))),"pair hand on a single door, ","")&amp;IF(AND(ISNUMBER($CI117),$CH117&lt;N($CI117)),"wall needs a "&amp;$CI117&amp;" min door, ","")&amp;IF(AND($CH117&gt;=180,AND(OR($CE117="FG",$CE117="HG",$CE117="FNV",$CE117="FV"),N($CF117)*N($CG117)&gt;100)),"180 min lite over 100 sq in, ","")&amp;IF(N($BK117)&gt;48,"leaf wider than 4'-0"&amp;CHAR(34)&amp;", ","")&amp;IF(AND($CT117,COUNT($AW117:$AZ117)=0,$CQ117&gt;0),"CUSTOM LOC with no locations typed, ",""))</f>
        <v/>
      </c>
      <c r="DK117" s="84">
        <f>IF($A117="","",IF(AND($CH117&gt;0,AND($A117&lt;&gt;"",$C117&lt;&gt;"DOOR ONLY"),$X117="KD",$E117="EXTERIOR"),"KD label on an exterior opening, ","")&amp;IF(AND($E117="EXTERIOR",OR(AND(AND($A117&lt;&gt;"",$C117&lt;&gt;"DOOR ONLY"),$W117="CR"),AND(N($BJ117)&gt;0,$AH117="CR"))),"exterior in CR steel (G9?), ","")&amp;IF(AND(ISNUMBER($BQ117),N($BQ117)&lt;32),"clear width ~"&amp;TEXT($BQ117,"0.0")&amp;CHAR(34)&amp;" under 32"&amp;CHAR(34)&amp;" (ADA), ","")&amp;IF(AND($CH117=90,AND(OR($CE117="FG",$CE117="HG",$CE117="FNV",$CE117="FV"),N($CF117)*N($CG117)&gt;100)),"90 min lite over 100 sq in (stair/exit), ","")&amp;IF(AND($CH117&gt;0,AND($A117&lt;&gt;"",$C117&lt;&gt;"DOOR ONLY"),OR($AF117="",$AF117="-")),"rated: closer reinf.?, ","")&amp;IF(OR($I117="CORRIDOR",$I117="SMOKE BARRIER"),"S label + smoke gasketing, ","")&amp;IF($CI117="?","wall type/hr not in IBC table, ","")&amp;IF(AND(N($BJ117)&gt;0,$BB117=""),"no hardware set, ","")&amp;IF(AND($BB117&lt;&gt;"",ISNA(MATCH($BB117&amp;"",HWSets,0))),"set "&amp;$BB117&amp;" not on HW Sets, ","")&amp;IF(N($BL117)&gt;96,"leaf over 8'-0"&amp;CHAR(34)&amp;" - check listing, ","")&amp;IF(AND($CT117,COUNT($AW117:$AZ117)&gt;0,COUNT($AW117:$AZ117)&lt;&gt;$CQ117),COUNT($AW117:$AZ117)&amp;" custom hinges typed, "&amp;$CQ117&amp;" expected, ","")&amp;IF(AND(ISNUMBER($CA117),OR(N($CA117)&lt;34,N($CA117)&gt;48)),"lock "&amp;TEXT($CA117,"0.0")&amp;CHAR(34)&amp;" AFF outside 34-48"&amp;CHAR(34)&amp;" (ADA), ","")&amp;IF(AND(ISNUMBER($AV117),ISNUMBER($BL117),N($AV117)&lt;IF(N($BL117)&lt;=60,2,IF(N($BL117)&lt;=90,3,IF(N($BL117)&lt;=120,4,5)))),"fewer hinges than standard, ",""))</f>
        <v/>
      </c>
    </row>
    <row r="118" ht="15" customHeight="1">
      <c r="A118" s="77" t="n"/>
      <c r="B118" s="78" t="n"/>
      <c r="C118" s="78" t="n"/>
      <c r="D118" s="78" t="n"/>
      <c r="E118" s="78" t="n"/>
      <c r="F118" s="78" t="n"/>
      <c r="G118" s="78" t="n"/>
      <c r="H118" s="78" t="n"/>
      <c r="I118" s="78" t="n"/>
      <c r="J118" s="78" t="n"/>
      <c r="K118" s="78" t="n"/>
      <c r="L118" s="78" t="n"/>
      <c r="M118" s="78" t="n"/>
      <c r="N118" s="78" t="n"/>
      <c r="O118" s="78" t="n"/>
      <c r="P118" s="78" t="n"/>
      <c r="Q118" s="78" t="n"/>
      <c r="R118" s="78" t="n"/>
      <c r="S118" s="79" t="n"/>
      <c r="T118" s="79" t="n"/>
      <c r="U118" s="79" t="n"/>
      <c r="V118" s="79" t="n"/>
      <c r="W118" s="79" t="n"/>
      <c r="X118" s="79" t="n"/>
      <c r="Y118" s="79" t="n"/>
      <c r="Z118" s="79" t="n"/>
      <c r="AA118" s="79" t="n"/>
      <c r="AB118" s="79" t="n"/>
      <c r="AC118" s="79" t="n"/>
      <c r="AD118" s="79" t="n"/>
      <c r="AE118" s="79" t="n"/>
      <c r="AF118" s="79" t="n"/>
      <c r="AG118" s="79" t="n"/>
      <c r="AH118" s="80" t="n"/>
      <c r="AI118" s="80" t="n"/>
      <c r="AJ118" s="80" t="n"/>
      <c r="AK118" s="80" t="n"/>
      <c r="AL118" s="80" t="n"/>
      <c r="AM118" s="80" t="n"/>
      <c r="AN118" s="80" t="n"/>
      <c r="AO118" s="80" t="n"/>
      <c r="AP118" s="80" t="n"/>
      <c r="AQ118" s="80" t="n"/>
      <c r="AR118" s="80" t="n"/>
      <c r="AS118" s="80" t="n"/>
      <c r="AT118" s="81" t="n"/>
      <c r="AU118" s="81" t="n"/>
      <c r="AV118" s="81" t="n"/>
      <c r="AW118" s="82" t="n"/>
      <c r="AX118" s="82" t="n"/>
      <c r="AY118" s="82" t="n"/>
      <c r="AZ118" s="82" t="n"/>
      <c r="BA118" s="82" t="n"/>
      <c r="BB118" s="83" t="n"/>
      <c r="BC118" s="83" t="n"/>
      <c r="BD118" s="84">
        <f>IF($A118="","",IF($DJ118&lt;&gt;"","FIX",IF($DK118&lt;&gt;"","CHECK","OK")))</f>
        <v/>
      </c>
      <c r="BE118" s="85">
        <f>IF($A118="","",IF($DJ118&lt;&gt;"","FIX: "&amp;LEFT($DJ118,LEN($DJ118)-2)&amp;IF($DK118&lt;&gt;"","  ·  ",""),"")&amp;IF($DK118&lt;&gt;"","CHECK: "&amp;LEFT($DK118,LEN($DK118)-2),""))</f>
        <v/>
      </c>
      <c r="BF118" s="84">
        <f>IF(OR($A118="",$K118=""),"",$K118&amp;"'-"&amp;N($L118)&amp;CHAR(34)&amp;" x "&amp;$M118&amp;"'-"&amp;N($N118)&amp;CHAR(34))</f>
        <v/>
      </c>
      <c r="BG118" s="84">
        <f>IF(OR($A118="",$K118=""),"",$K118&amp;N($L118)&amp;$M118&amp;N($N118))</f>
        <v/>
      </c>
      <c r="BH118" s="84">
        <f>IF(OR($A118="",$K118=""),"",$K118*12+N($L118))</f>
        <v/>
      </c>
      <c r="BI118" s="84">
        <f>IF(OR($A118="",$M118=""),"",$M118*12+N($N118))</f>
        <v/>
      </c>
      <c r="BJ118" s="84">
        <f>IF($A118="","",IF(OR($C118="FRAME ONLY",$S118="BL"),0,IF($O118="Y",2,1)))</f>
        <v/>
      </c>
      <c r="BK118" s="86">
        <f>IF(OR(N($BJ118)=0,$BH118=""),"",($BH118-2*EdgeClr-IF($BJ118=2,MeetClr,0))/$BJ118)</f>
        <v/>
      </c>
      <c r="BL118" s="86">
        <f>IF(OR(N($BJ118)=0,$BI118=""),"",$BI118-HeadClr-Undercut)</f>
        <v/>
      </c>
      <c r="BM118" s="86">
        <f>IF($BH118="","",$BH118+2*FaceW+IF(N($Q118)&gt;0,($Q118+FaceW)*IF($R118="LR",2,1),0))</f>
        <v/>
      </c>
      <c r="BN118" s="86">
        <f>IF($BI118="","",$BI118+IF($AB118="Y",4,FaceW)+IF(N($P118)&gt;0,$P118+FaceW,0)+IF(OR($S118="4F",$S118="BL"),FaceW,0))</f>
        <v/>
      </c>
      <c r="BO118" s="86">
        <f>IF($BM118="","",$BM118+2*ROSide)</f>
        <v/>
      </c>
      <c r="BP118" s="86">
        <f>IF($BN118="","",$BN118+ROTop)</f>
        <v/>
      </c>
      <c r="BQ118" s="87">
        <f>IF(OR(N($BJ118)=0,$BH118=""),"",$BH118/$BJ118-ClearDeduct)</f>
        <v/>
      </c>
      <c r="BR118" s="84">
        <f>IF(N($CH118)=0,"",IF($CH118&gt;=180,"A · 3 HR",IF($CH118&gt;=90,"B · 1-1/2 HR",IF($CH118&gt;=60,"B · 1 HR",IF($CH118&gt;=45,"C · 3/4 HR","20 MIN")))))&amp;IF(AND(N($CH118)&gt;0,OR($I118="CORRIDOR",$I118="SMOKE BARRIER"))," · S","")</f>
        <v/>
      </c>
      <c r="BS118" s="84">
        <f>IF($CS118,"",IF($AV118&lt;&gt;"",$AV118,IF(OR($AC118="HGC",$AO118="HGC"),"CONT",IF(($BI118-HeadClr-Undercut)&lt;=60,2,IF(($BI118-HeadClr-Undercut)&lt;=90,3,IF(($BI118-HeadClr-Undercut)&lt;=120,4,5))))))</f>
        <v/>
      </c>
      <c r="BT118" s="84">
        <f>IF($CS118,"",IF($CT118,"CUSTOM (typed)",IF($CV118,$AT118&amp;" "&amp;$CU118&amp;CHAR(34)&amp;IF($CU118&lt;&gt;$BI118,IF(AND($BI118&lt;$CU118,$BI118-IF(N(VLOOKUP($AT118&amp;"|"&amp;$CU118,LocTable,7,FALSE))&gt;0,VLOOKUP($AT118&amp;"|"&amp;$CU118,LocTable,7,FALSE),VLOOKUP($AT118&amp;"|"&amp;$CU118,LocTable,6,FALSE))-$CR118-0.75&gt;=2.125)," cut down"," adj."),""),"ANSI/SDI A250.6")))</f>
        <v/>
      </c>
      <c r="BU118" s="88">
        <f>IF($CS118,"",IF($CT118,IF(N($AW118)&gt;0,N($AW118),""),IF(1&gt;$CQ118,"",IF($CQ118=1,$CW118,$CW118+($CX118-$CW118)*0/($CQ118-1)))))</f>
        <v/>
      </c>
      <c r="BV118" s="88">
        <f>IF($CS118,"",IF($CT118,IF(N($AX118)&gt;0,N($AX118),""),IF(2&gt;$CQ118,"",IF($CQ118=1,$CW118,$CW118+($CX118-$CW118)*1/($CQ118-1)))))</f>
        <v/>
      </c>
      <c r="BW118" s="88">
        <f>IF($CS118,"",IF($CT118,IF(N($AY118)&gt;0,N($AY118),""),IF(3&gt;$CQ118,"",IF($CQ118=1,$CW118,$CW118+($CX118-$CW118)*2/($CQ118-1)))))</f>
        <v/>
      </c>
      <c r="BX118" s="88">
        <f>IF($CS118,"",IF($CT118,IF(N($AZ118)&gt;0,N($AZ118),""),IF(4&gt;$CQ118,"",IF($CQ118=1,$CW118,$CW118+($CX118-$CW118)*3/($CQ118-1)))))</f>
        <v/>
      </c>
      <c r="BY118" s="88">
        <f>IF($CS118,"",IF($CT118,"",IF(5&gt;$CQ118,"",IF($CQ118=1,$CW118,$CW118+($CX118-$CW118)*4/($CQ118-1)))))</f>
        <v/>
      </c>
      <c r="BZ118" s="88">
        <f>IF(OR($CS118,$AP118="-",AND($AP118="",$AD118="")),"",IF(N($BA118)&gt;0,N($BA118),IF($CV118,IF(AND($BI118&lt;$CU118,$BI118-IF(N(VLOOKUP($AT118&amp;"|"&amp;$CU118,LocTable,7,FALSE))&gt;0,VLOOKUP($AT118&amp;"|"&amp;$CU118,LocTable,7,FALSE),VLOOKUP($AT118&amp;"|"&amp;$CU118,LocTable,6,FALSE))-$CR118-0.75&gt;=2.125),VLOOKUP($AT118&amp;"|"&amp;$CU118,LocTable,8,FALSE),VLOOKUP($AT118&amp;"|"&amp;$CU118,LocTable,8,FALSE)+($BI118-$CU118)),$BI118-LockAFF)))</f>
        <v/>
      </c>
      <c r="CA118" s="89">
        <f>IF($BZ118="","",$BI118-$BZ118)</f>
        <v/>
      </c>
      <c r="CB118" s="84">
        <f>IF(OR(NOT(AND($A118&lt;&gt;"",$C118&lt;&gt;"DOOR ONLY")),$BI118=""),"",IF(($BI118+IF(N($P118)&gt;0,$P118+FaceW,0))&lt;=90,3,IF(($BI118+IF(N($P118)&gt;0,$P118+FaceW,0))&lt;=114,4,5)))</f>
        <v/>
      </c>
      <c r="CC118" s="84">
        <f>IF($CB118="","",$CB118*(2+IF(N($Q118)&gt;0,IF($R118="LR",2,1),0)))</f>
        <v/>
      </c>
      <c r="CD118" s="84">
        <f>IF($CB118="","",(2+IF(N($Q118)&gt;0,IF($R118="LR",2,1),0)))</f>
        <v/>
      </c>
      <c r="CE118" s="84">
        <f>IF(N($BJ118)=0,"",IF(OR($AL118="",$AL118="FLUSH"),"FLUSH",IFERROR(LEFT($AL118,FIND("-",$AL118)-1),LEFT($AL118,2))))</f>
        <v/>
      </c>
      <c r="CF118" s="84">
        <f>IF($CE118="","",IFERROR(VALUE(MID($AL118,FIND("-",$AL118)+1,FIND(CHAR(34)&amp;"x",$AL118)-FIND("-",$AL118)-1)),0))</f>
        <v/>
      </c>
      <c r="CG118" s="84">
        <f>IF($CE118="","",IFERROR(VALUE(MID($AL118,FIND(CHAR(34)&amp;"x",$AL118)+2,FIND(CHAR(34),$AL118,FIND(CHAR(34)&amp;"x",$AL118)+2)-FIND(CHAR(34)&amp;"x",$AL118)-2)),0))</f>
        <v/>
      </c>
      <c r="CH118" s="90">
        <f>IF(OR($A118="",$H118="",$H118="NO LAB"),0,IFERROR(VALUE(LEFT($H118,FIND(" ",$H118)-1)),0))</f>
        <v/>
      </c>
      <c r="CI118" s="91">
        <f>IF(OR($A118="",$I118="",$I118="NON-RATED",N($J118)=0),"",IFERROR(VLOOKUP($I118&amp;"|"&amp;$J118,IBC,2,FALSE),"?"))</f>
        <v/>
      </c>
      <c r="CJ118" s="85">
        <f>IF(NOT(AND($A118&lt;&gt;"",$C118&lt;&gt;"DOOR ONLY")),"",TRIM(IFERROR(VLOOKUP($U118,CODES,2,FALSE),"")&amp;" "&amp;$BG118&amp;" "&amp;IFERROR(VLOOKUP($Z118,CODES,2,FALSE),"")&amp;" "&amp;IFERROR(VLOOKUP($X118,CODES,2,FALSE),"")&amp;" "&amp;IFERROR(VLOOKUP($S118,CODES,2,FALSE),"")&amp;IF(N($P118)&gt;0," w/TRANSOM "&amp;$P118&amp;CHAR(34),"")&amp;IF(N($Q118)&gt;0," w/SIDELITE "&amp;$Q118&amp;CHAR(34)&amp;" "&amp;IF($R118="","R",$R118),"")&amp;IF($Y118="","  |  "," | "&amp;IFERROR(VLOOKUP($Y118,CODES,2,FALSE),"")&amp;" | ")&amp;IFERROR(VLOOKUP($AC118,CODES,2,FALSE),"")&amp;" "&amp;IFERROR(VLOOKUP($AD118,CODES,2,FALSE),"")&amp;IF(OR($AE118="",$AE118="-"),""," "&amp;$AE118)&amp;IF(OR($AF118="",$AF118="-"),""," "&amp;$AF118)&amp;IF($AB118="Y"," 4"&amp;CHAR(34)&amp;" HEAD","")&amp;" "&amp;IFERROR(VLOOKUP($H118,CODES,2,FALSE),"")&amp;IF($CT118," | LOC "&amp;$CY118,"")))</f>
        <v/>
      </c>
      <c r="CK118" s="85">
        <f>IF(NOT(AND($A118&lt;&gt;"",N($BJ118)&gt;0)),"",TRIM(IFERROR(VLOOKUP($AH118,CODES,2,FALSE),"")&amp;IF($AI118=""," "," "&amp;$AI118&amp;"GA ")&amp;$BG118&amp;" "&amp;IF($AN118="",IFERROR(VLOOKUP($Z118,CODES,2,FALSE),""),IFERROR(VLOOKUP($AN118,CODES,2,FALSE),""))&amp;IF($BJ118=2," PAIR","")&amp;" DOOR | "&amp;IF($AL118="","?",$AL118)&amp;" | "&amp;IF($AO118="",IFERROR(VLOOKUP($AC118,CODES,2,FALSE),""),IFERROR(VLOOKUP($AO118,CODES,2,FALSE),""))&amp;" "&amp;IFERROR(VLOOKUP($AP118,CODES,2,FALSE),"")&amp;IF(OR($AQ118="",$AQ118="-"),""," SEAM "&amp;$AQ118)&amp;IF($AR118="Y"," ASTRAGAL","")&amp;IF($AJ118=""," "," "&amp;$AJ118)&amp;IF($AK118=""," "," "&amp;$AK118)&amp;IF(OR($AT118="",$AT118="ANSI/SDI",$AT118="CUSTOM LOC"),""," "&amp;$AT118)&amp;IF($AM118=""," "," SERIES "&amp;$AM118)&amp;" "&amp;IFERROR(VLOOKUP($H118,CODES,2,FALSE),"")&amp;IF($CT118," | LOC "&amp;$CZ118,"")))</f>
        <v/>
      </c>
      <c r="CL118" s="84">
        <f>IF(CP118="","",IF(COUNTIF($CP$6:CP118,CP118)=1,MAX($CL$5:CL117)+1,INDEX($CL$5:CL117,MATCH(CP118,$CP$5:CP117,0))))</f>
        <v/>
      </c>
      <c r="CM118" s="84">
        <f>IF(NOT(AND($A118&lt;&gt;"",$C118&lt;&gt;"DOOR ONLY")),"",MAX($CM$5:CM117)+1)</f>
        <v/>
      </c>
      <c r="CN118" s="84">
        <f>IF(NOT(AND($A118&lt;&gt;"",N($BJ118)&gt;0)),"",MAX($CN$5:CN117)+1)</f>
        <v/>
      </c>
      <c r="CO118" s="84">
        <f>IF($A118="","",MAX($CO$5:CO117)+1)</f>
        <v/>
      </c>
      <c r="CP118" s="84">
        <f>IF(OR($A118="",$BH118="",$BI118=""),"",$BG118&amp;"|"&amp;$O118&amp;"|"&amp;$AL118&amp;"|"&amp;$S118&amp;"|"&amp;$P118&amp;"|"&amp;$Q118&amp;$R118&amp;"|"&amp;$C118&amp;"|"&amp;$AB118)</f>
        <v/>
      </c>
      <c r="CQ118" s="84">
        <f>N($BS118)</f>
        <v/>
      </c>
      <c r="CR118" s="84">
        <f>IF(N($AU118)&gt;0,N($AU118),4.5)</f>
        <v/>
      </c>
      <c r="CS118" s="84">
        <f>OR($A118="",$BI118="",$S118="BL",AND($C118="FRAME ONLY",OR($AC118="",$AC118="BLK")))</f>
        <v/>
      </c>
      <c r="CT118" s="84">
        <f>AND(NOT($CS118),OR($AT118="CUSTOM LOC",N($AW118)+N($AX118)+N($AY118)+N($AZ118)+N($BA118)&gt;0))</f>
        <v/>
      </c>
      <c r="CU118" s="84">
        <f>IF($BI118="","",IF($BI118&lt;=80,80,IF($BI118&lt;=84,84,96)))</f>
        <v/>
      </c>
      <c r="CV118" s="84">
        <f>ISNUMBER(MATCH($AT118&amp;"|80",LocKeys,0))</f>
        <v/>
      </c>
      <c r="CW118" s="86">
        <f>IF($CS118,"",IF($CV118,VLOOKUP($AT118&amp;"|"&amp;$CU118,LocTable,4,FALSE),5))</f>
        <v/>
      </c>
      <c r="CX118" s="86">
        <f>IF($CS118,"",IF($CV118,IF(OR($BI118=$CU118,AND($BI118&lt;$CU118,$BI118-IF(N(VLOOKUP($AT118&amp;"|"&amp;$CU118,LocTable,7,FALSE))&gt;0,VLOOKUP($AT118&amp;"|"&amp;$CU118,LocTable,7,FALSE),VLOOKUP($AT118&amp;"|"&amp;$CU118,LocTable,6,FALSE))-$CR118-0.75&gt;=2.125)),IF(N(VLOOKUP($AT118&amp;"|"&amp;$CU118,LocTable,7,FALSE))&gt;0,VLOOKUP($AT118&amp;"|"&amp;$CU118,LocTable,7,FALSE),VLOOKUP($AT118&amp;"|"&amp;$CU118,LocTable,6,FALSE)),$BI118-($CU118-IF(N(VLOOKUP($AT118&amp;"|"&amp;$CU118,LocTable,7,FALSE))&gt;0,VLOOKUP($AT118&amp;"|"&amp;$CU118,LocTable,7,FALSE),VLOOKUP($AT118&amp;"|"&amp;$CU118,LocTable,6,FALSE)))),$BI118-10-$CR118))</f>
        <v/>
      </c>
      <c r="CY118" s="85">
        <f>IF($CS118,"",TRIM(IF(ISNUMBER($BU118),"A "&amp;TRIM(TEXT($BU118,"# ?/??"))&amp;CHAR(34)&amp;"  ","")&amp;IF(ISNUMBER($BV118),"B "&amp;TRIM(TEXT($BV118,"# ?/??"))&amp;CHAR(34)&amp;"  ","")&amp;IF(ISNUMBER($BW118),"C "&amp;TRIM(TEXT($BW118,"# ?/??"))&amp;CHAR(34)&amp;"  ","")&amp;IF(ISNUMBER($BX118),"D "&amp;TRIM(TEXT($BX118,"# ?/??"))&amp;CHAR(34)&amp;"  ","")&amp;IF(ISNUMBER($BY118),"F "&amp;TRIM(TEXT($BY118,"# ?/??"))&amp;CHAR(34)&amp;"  ","")&amp;IF(ISNUMBER($BZ118),"E "&amp;TRIM(TEXT($BZ118,"# ?/??"))&amp;CHAR(34)&amp;"  ","")))</f>
        <v/>
      </c>
      <c r="CZ118" s="85">
        <f>IF(OR($CS118,N($BJ118)=0),"",TRIM(IF(ISNUMBER($BU118),"A "&amp;TRIM(TEXT($BU118-HeadClr,"# ?/??"))&amp;CHAR(34)&amp;"  ","")&amp;IF(ISNUMBER($BV118),"B "&amp;TRIM(TEXT($BV118-HeadClr,"# ?/??"))&amp;CHAR(34)&amp;"  ","")&amp;IF(ISNUMBER($BW118),"C "&amp;TRIM(TEXT($BW118-HeadClr,"# ?/??"))&amp;CHAR(34)&amp;"  ","")&amp;IF(ISNUMBER($BX118),"D "&amp;TRIM(TEXT($BX118-HeadClr,"# ?/??"))&amp;CHAR(34)&amp;"  ","")&amp;IF(ISNUMBER($BY118),"F "&amp;TRIM(TEXT($BY118-HeadClr,"# ?/??"))&amp;CHAR(34)&amp;"  ","")&amp;IF(ISNUMBER($BZ118),"E "&amp;TRIM(TEXT($BZ118-HeadClr,"# ?/??"))&amp;CHAR(34)&amp;"  ","")))</f>
        <v/>
      </c>
      <c r="DA118" s="84">
        <f>IF($A118="","",IF($AN118="",IFERROR(VLOOKUP($Z118,CODES,2,FALSE),""),IFERROR(VLOOKUP($AN118,CODES,2,FALSE),"")))</f>
        <v/>
      </c>
      <c r="DB118" s="84">
        <f>IF($A118="","",IF($O118="Y","PR",IF(OR($Z118="L",$Z118="RR",LEFT($Z118,2)="L-",LEFT($Z118,3)="RR-"),"LH","RH")))</f>
        <v/>
      </c>
      <c r="DC118" s="84">
        <f>IF($A118="","","S.HM"&amp;IF(OR($C118="DOOR ONLY",$X118&lt;&gt;"KD"),"MASONRY","DRYWALL")&amp;IF($C118="DOOR ONLY","",$U118)&amp;IF(AND($C118&lt;&gt;"FRAME ONLY",OR(LEFT($AH118,3)="OAK",LEFT($AH118,3)="BIR",LEFT($AH118,3)="MAP",$AH118="PC",$AH118="MC",$AH118="SCLC",$AH118="P-LAM")),"WD","HM")&amp;"1.75")</f>
        <v/>
      </c>
      <c r="DD118" s="84">
        <f>IF($CJ118="","",IF($O118="Y",$CJ118,SUBSTITUTE($CJ118,$BG118&amp;" "&amp;IFERROR(VLOOKUP($Z118,CODES,2,FALSE),"")&amp;" ",$BG118&amp;" ")))</f>
        <v/>
      </c>
      <c r="DE118" s="84">
        <f>IF($CK118="","",IF($O118="Y",$CK118,SUBSTITUTE($CK118,$BG118&amp;" "&amp;IF($AN118="",IFERROR(VLOOKUP($Z118,CODES,2,FALSE),""),IFERROR(VLOOKUP($AN118,CODES,2,FALSE),""))&amp;" ",$BG118&amp;" ")))</f>
        <v/>
      </c>
      <c r="DF118" s="84">
        <f>IF($CJ118="","",$DC118&amp;"|"&amp;$DD118&amp;"|"&amp;$DB118&amp;"|"&amp;$AT118&amp;"|"&amp;$V118&amp;"|"&amp;$Y118&amp;"|"&amp;$AB118)</f>
        <v/>
      </c>
      <c r="DG118" s="84">
        <f>IF(DF118="","",IF(COUNTIF($DF$6:DF118,DF118)=1,MAX($DG$5:DG117)+1,INDEX($DG$5:DG117,MATCH(DF118,$DF$5:DF117,0))))</f>
        <v/>
      </c>
      <c r="DH118" s="84">
        <f>IF($CK118="","",$DC118&amp;"|"&amp;$DE118&amp;"|"&amp;$AI118&amp;"|"&amp;$BK118&amp;"|"&amp;$BL118)</f>
        <v/>
      </c>
      <c r="DI118" s="84">
        <f>IF(DH118="","",IF(COUNTIF($DH$6:DH118,DH118)=1,MAX($DI$5:DI117)+1,INDEX($DI$5:DI117,MATCH(DH118,$DH$5:DH117,0))))</f>
        <v/>
      </c>
      <c r="DJ118" s="84">
        <f>IF($A118="","",IF($B118="","qty, ","")&amp;IF($C118="","scope, ","")&amp;IF(OR($K118="",$M118=""),"size, ","")&amp;IF(AND($A118&lt;&gt;"",$C118&lt;&gt;"DOOR ONLY"),IF($U118="","jamb depth, ","")&amp;IF($X118="","construction, ","")&amp;IF($Y118="","anchor, ","")&amp;IF($S118="","frame type, ",""),"")&amp;IF(AND(N($BJ118)&gt;0,$Z118=""),"hand, ","")&amp;IF(N($BJ118)&gt;0,IF($AH118="","door material, ","")&amp;IF($AL118="","face type, ","")&amp;IF($AP118="","lock prep, ","")&amp;IF(AND($AO118="",$AC118=""),"hinge prep, ",""),"")&amp;IF(AND($CH118&gt;0,$AH118="FRP"),"FRP cannot carry a label, ","")&amp;IF(AND($O118="Y",OR($Z118="L",$Z118="R",$Z118="LR",$Z118="RR")),"pair marked but hand is single, ","")&amp;IF(AND($O118&lt;&gt;"Y",OR($Z118="PR",AND(LEN($Z118)&gt;1,ISNUMBER(SEARCH("-",$Z118))))),"pair hand on a single door, ","")&amp;IF(AND(ISNUMBER($CI118),$CH118&lt;N($CI118)),"wall needs a "&amp;$CI118&amp;" min door, ","")&amp;IF(AND($CH118&gt;=180,AND(OR($CE118="FG",$CE118="HG",$CE118="FNV",$CE118="FV"),N($CF118)*N($CG118)&gt;100)),"180 min lite over 100 sq in, ","")&amp;IF(N($BK118)&gt;48,"leaf wider than 4'-0"&amp;CHAR(34)&amp;", ","")&amp;IF(AND($CT118,COUNT($AW118:$AZ118)=0,$CQ118&gt;0),"CUSTOM LOC with no locations typed, ",""))</f>
        <v/>
      </c>
      <c r="DK118" s="84">
        <f>IF($A118="","",IF(AND($CH118&gt;0,AND($A118&lt;&gt;"",$C118&lt;&gt;"DOOR ONLY"),$X118="KD",$E118="EXTERIOR"),"KD label on an exterior opening, ","")&amp;IF(AND($E118="EXTERIOR",OR(AND(AND($A118&lt;&gt;"",$C118&lt;&gt;"DOOR ONLY"),$W118="CR"),AND(N($BJ118)&gt;0,$AH118="CR"))),"exterior in CR steel (G9?), ","")&amp;IF(AND(ISNUMBER($BQ118),N($BQ118)&lt;32),"clear width ~"&amp;TEXT($BQ118,"0.0")&amp;CHAR(34)&amp;" under 32"&amp;CHAR(34)&amp;" (ADA), ","")&amp;IF(AND($CH118=90,AND(OR($CE118="FG",$CE118="HG",$CE118="FNV",$CE118="FV"),N($CF118)*N($CG118)&gt;100)),"90 min lite over 100 sq in (stair/exit), ","")&amp;IF(AND($CH118&gt;0,AND($A118&lt;&gt;"",$C118&lt;&gt;"DOOR ONLY"),OR($AF118="",$AF118="-")),"rated: closer reinf.?, ","")&amp;IF(OR($I118="CORRIDOR",$I118="SMOKE BARRIER"),"S label + smoke gasketing, ","")&amp;IF($CI118="?","wall type/hr not in IBC table, ","")&amp;IF(AND(N($BJ118)&gt;0,$BB118=""),"no hardware set, ","")&amp;IF(AND($BB118&lt;&gt;"",ISNA(MATCH($BB118&amp;"",HWSets,0))),"set "&amp;$BB118&amp;" not on HW Sets, ","")&amp;IF(N($BL118)&gt;96,"leaf over 8'-0"&amp;CHAR(34)&amp;" - check listing, ","")&amp;IF(AND($CT118,COUNT($AW118:$AZ118)&gt;0,COUNT($AW118:$AZ118)&lt;&gt;$CQ118),COUNT($AW118:$AZ118)&amp;" custom hinges typed, "&amp;$CQ118&amp;" expected, ","")&amp;IF(AND(ISNUMBER($CA118),OR(N($CA118)&lt;34,N($CA118)&gt;48)),"lock "&amp;TEXT($CA118,"0.0")&amp;CHAR(34)&amp;" AFF outside 34-48"&amp;CHAR(34)&amp;" (ADA), ","")&amp;IF(AND(ISNUMBER($AV118),ISNUMBER($BL118),N($AV118)&lt;IF(N($BL118)&lt;=60,2,IF(N($BL118)&lt;=90,3,IF(N($BL118)&lt;=120,4,5)))),"fewer hinges than standard, ",""))</f>
        <v/>
      </c>
    </row>
    <row r="119" ht="15" customHeight="1">
      <c r="A119" s="77" t="n"/>
      <c r="B119" s="78" t="n"/>
      <c r="C119" s="78" t="n"/>
      <c r="D119" s="78" t="n"/>
      <c r="E119" s="78" t="n"/>
      <c r="F119" s="78" t="n"/>
      <c r="G119" s="78" t="n"/>
      <c r="H119" s="78" t="n"/>
      <c r="I119" s="78" t="n"/>
      <c r="J119" s="78" t="n"/>
      <c r="K119" s="78" t="n"/>
      <c r="L119" s="78" t="n"/>
      <c r="M119" s="78" t="n"/>
      <c r="N119" s="78" t="n"/>
      <c r="O119" s="78" t="n"/>
      <c r="P119" s="78" t="n"/>
      <c r="Q119" s="78" t="n"/>
      <c r="R119" s="78" t="n"/>
      <c r="S119" s="79" t="n"/>
      <c r="T119" s="79" t="n"/>
      <c r="U119" s="79" t="n"/>
      <c r="V119" s="79" t="n"/>
      <c r="W119" s="79" t="n"/>
      <c r="X119" s="79" t="n"/>
      <c r="Y119" s="79" t="n"/>
      <c r="Z119" s="79" t="n"/>
      <c r="AA119" s="79" t="n"/>
      <c r="AB119" s="79" t="n"/>
      <c r="AC119" s="79" t="n"/>
      <c r="AD119" s="79" t="n"/>
      <c r="AE119" s="79" t="n"/>
      <c r="AF119" s="79" t="n"/>
      <c r="AG119" s="79" t="n"/>
      <c r="AH119" s="80" t="n"/>
      <c r="AI119" s="80" t="n"/>
      <c r="AJ119" s="80" t="n"/>
      <c r="AK119" s="80" t="n"/>
      <c r="AL119" s="80" t="n"/>
      <c r="AM119" s="80" t="n"/>
      <c r="AN119" s="80" t="n"/>
      <c r="AO119" s="80" t="n"/>
      <c r="AP119" s="80" t="n"/>
      <c r="AQ119" s="80" t="n"/>
      <c r="AR119" s="80" t="n"/>
      <c r="AS119" s="80" t="n"/>
      <c r="AT119" s="81" t="n"/>
      <c r="AU119" s="81" t="n"/>
      <c r="AV119" s="81" t="n"/>
      <c r="AW119" s="82" t="n"/>
      <c r="AX119" s="82" t="n"/>
      <c r="AY119" s="82" t="n"/>
      <c r="AZ119" s="82" t="n"/>
      <c r="BA119" s="82" t="n"/>
      <c r="BB119" s="83" t="n"/>
      <c r="BC119" s="83" t="n"/>
      <c r="BD119" s="84">
        <f>IF($A119="","",IF($DJ119&lt;&gt;"","FIX",IF($DK119&lt;&gt;"","CHECK","OK")))</f>
        <v/>
      </c>
      <c r="BE119" s="85">
        <f>IF($A119="","",IF($DJ119&lt;&gt;"","FIX: "&amp;LEFT($DJ119,LEN($DJ119)-2)&amp;IF($DK119&lt;&gt;"","  ·  ",""),"")&amp;IF($DK119&lt;&gt;"","CHECK: "&amp;LEFT($DK119,LEN($DK119)-2),""))</f>
        <v/>
      </c>
      <c r="BF119" s="84">
        <f>IF(OR($A119="",$K119=""),"",$K119&amp;"'-"&amp;N($L119)&amp;CHAR(34)&amp;" x "&amp;$M119&amp;"'-"&amp;N($N119)&amp;CHAR(34))</f>
        <v/>
      </c>
      <c r="BG119" s="84">
        <f>IF(OR($A119="",$K119=""),"",$K119&amp;N($L119)&amp;$M119&amp;N($N119))</f>
        <v/>
      </c>
      <c r="BH119" s="84">
        <f>IF(OR($A119="",$K119=""),"",$K119*12+N($L119))</f>
        <v/>
      </c>
      <c r="BI119" s="84">
        <f>IF(OR($A119="",$M119=""),"",$M119*12+N($N119))</f>
        <v/>
      </c>
      <c r="BJ119" s="84">
        <f>IF($A119="","",IF(OR($C119="FRAME ONLY",$S119="BL"),0,IF($O119="Y",2,1)))</f>
        <v/>
      </c>
      <c r="BK119" s="86">
        <f>IF(OR(N($BJ119)=0,$BH119=""),"",($BH119-2*EdgeClr-IF($BJ119=2,MeetClr,0))/$BJ119)</f>
        <v/>
      </c>
      <c r="BL119" s="86">
        <f>IF(OR(N($BJ119)=0,$BI119=""),"",$BI119-HeadClr-Undercut)</f>
        <v/>
      </c>
      <c r="BM119" s="86">
        <f>IF($BH119="","",$BH119+2*FaceW+IF(N($Q119)&gt;0,($Q119+FaceW)*IF($R119="LR",2,1),0))</f>
        <v/>
      </c>
      <c r="BN119" s="86">
        <f>IF($BI119="","",$BI119+IF($AB119="Y",4,FaceW)+IF(N($P119)&gt;0,$P119+FaceW,0)+IF(OR($S119="4F",$S119="BL"),FaceW,0))</f>
        <v/>
      </c>
      <c r="BO119" s="86">
        <f>IF($BM119="","",$BM119+2*ROSide)</f>
        <v/>
      </c>
      <c r="BP119" s="86">
        <f>IF($BN119="","",$BN119+ROTop)</f>
        <v/>
      </c>
      <c r="BQ119" s="87">
        <f>IF(OR(N($BJ119)=0,$BH119=""),"",$BH119/$BJ119-ClearDeduct)</f>
        <v/>
      </c>
      <c r="BR119" s="84">
        <f>IF(N($CH119)=0,"",IF($CH119&gt;=180,"A · 3 HR",IF($CH119&gt;=90,"B · 1-1/2 HR",IF($CH119&gt;=60,"B · 1 HR",IF($CH119&gt;=45,"C · 3/4 HR","20 MIN")))))&amp;IF(AND(N($CH119)&gt;0,OR($I119="CORRIDOR",$I119="SMOKE BARRIER"))," · S","")</f>
        <v/>
      </c>
      <c r="BS119" s="84">
        <f>IF($CS119,"",IF($AV119&lt;&gt;"",$AV119,IF(OR($AC119="HGC",$AO119="HGC"),"CONT",IF(($BI119-HeadClr-Undercut)&lt;=60,2,IF(($BI119-HeadClr-Undercut)&lt;=90,3,IF(($BI119-HeadClr-Undercut)&lt;=120,4,5))))))</f>
        <v/>
      </c>
      <c r="BT119" s="84">
        <f>IF($CS119,"",IF($CT119,"CUSTOM (typed)",IF($CV119,$AT119&amp;" "&amp;$CU119&amp;CHAR(34)&amp;IF($CU119&lt;&gt;$BI119,IF(AND($BI119&lt;$CU119,$BI119-IF(N(VLOOKUP($AT119&amp;"|"&amp;$CU119,LocTable,7,FALSE))&gt;0,VLOOKUP($AT119&amp;"|"&amp;$CU119,LocTable,7,FALSE),VLOOKUP($AT119&amp;"|"&amp;$CU119,LocTable,6,FALSE))-$CR119-0.75&gt;=2.125)," cut down"," adj."),""),"ANSI/SDI A250.6")))</f>
        <v/>
      </c>
      <c r="BU119" s="88">
        <f>IF($CS119,"",IF($CT119,IF(N($AW119)&gt;0,N($AW119),""),IF(1&gt;$CQ119,"",IF($CQ119=1,$CW119,$CW119+($CX119-$CW119)*0/($CQ119-1)))))</f>
        <v/>
      </c>
      <c r="BV119" s="88">
        <f>IF($CS119,"",IF($CT119,IF(N($AX119)&gt;0,N($AX119),""),IF(2&gt;$CQ119,"",IF($CQ119=1,$CW119,$CW119+($CX119-$CW119)*1/($CQ119-1)))))</f>
        <v/>
      </c>
      <c r="BW119" s="88">
        <f>IF($CS119,"",IF($CT119,IF(N($AY119)&gt;0,N($AY119),""),IF(3&gt;$CQ119,"",IF($CQ119=1,$CW119,$CW119+($CX119-$CW119)*2/($CQ119-1)))))</f>
        <v/>
      </c>
      <c r="BX119" s="88">
        <f>IF($CS119,"",IF($CT119,IF(N($AZ119)&gt;0,N($AZ119),""),IF(4&gt;$CQ119,"",IF($CQ119=1,$CW119,$CW119+($CX119-$CW119)*3/($CQ119-1)))))</f>
        <v/>
      </c>
      <c r="BY119" s="88">
        <f>IF($CS119,"",IF($CT119,"",IF(5&gt;$CQ119,"",IF($CQ119=1,$CW119,$CW119+($CX119-$CW119)*4/($CQ119-1)))))</f>
        <v/>
      </c>
      <c r="BZ119" s="88">
        <f>IF(OR($CS119,$AP119="-",AND($AP119="",$AD119="")),"",IF(N($BA119)&gt;0,N($BA119),IF($CV119,IF(AND($BI119&lt;$CU119,$BI119-IF(N(VLOOKUP($AT119&amp;"|"&amp;$CU119,LocTable,7,FALSE))&gt;0,VLOOKUP($AT119&amp;"|"&amp;$CU119,LocTable,7,FALSE),VLOOKUP($AT119&amp;"|"&amp;$CU119,LocTable,6,FALSE))-$CR119-0.75&gt;=2.125),VLOOKUP($AT119&amp;"|"&amp;$CU119,LocTable,8,FALSE),VLOOKUP($AT119&amp;"|"&amp;$CU119,LocTable,8,FALSE)+($BI119-$CU119)),$BI119-LockAFF)))</f>
        <v/>
      </c>
      <c r="CA119" s="89">
        <f>IF($BZ119="","",$BI119-$BZ119)</f>
        <v/>
      </c>
      <c r="CB119" s="84">
        <f>IF(OR(NOT(AND($A119&lt;&gt;"",$C119&lt;&gt;"DOOR ONLY")),$BI119=""),"",IF(($BI119+IF(N($P119)&gt;0,$P119+FaceW,0))&lt;=90,3,IF(($BI119+IF(N($P119)&gt;0,$P119+FaceW,0))&lt;=114,4,5)))</f>
        <v/>
      </c>
      <c r="CC119" s="84">
        <f>IF($CB119="","",$CB119*(2+IF(N($Q119)&gt;0,IF($R119="LR",2,1),0)))</f>
        <v/>
      </c>
      <c r="CD119" s="84">
        <f>IF($CB119="","",(2+IF(N($Q119)&gt;0,IF($R119="LR",2,1),0)))</f>
        <v/>
      </c>
      <c r="CE119" s="84">
        <f>IF(N($BJ119)=0,"",IF(OR($AL119="",$AL119="FLUSH"),"FLUSH",IFERROR(LEFT($AL119,FIND("-",$AL119)-1),LEFT($AL119,2))))</f>
        <v/>
      </c>
      <c r="CF119" s="84">
        <f>IF($CE119="","",IFERROR(VALUE(MID($AL119,FIND("-",$AL119)+1,FIND(CHAR(34)&amp;"x",$AL119)-FIND("-",$AL119)-1)),0))</f>
        <v/>
      </c>
      <c r="CG119" s="84">
        <f>IF($CE119="","",IFERROR(VALUE(MID($AL119,FIND(CHAR(34)&amp;"x",$AL119)+2,FIND(CHAR(34),$AL119,FIND(CHAR(34)&amp;"x",$AL119)+2)-FIND(CHAR(34)&amp;"x",$AL119)-2)),0))</f>
        <v/>
      </c>
      <c r="CH119" s="90">
        <f>IF(OR($A119="",$H119="",$H119="NO LAB"),0,IFERROR(VALUE(LEFT($H119,FIND(" ",$H119)-1)),0))</f>
        <v/>
      </c>
      <c r="CI119" s="91">
        <f>IF(OR($A119="",$I119="",$I119="NON-RATED",N($J119)=0),"",IFERROR(VLOOKUP($I119&amp;"|"&amp;$J119,IBC,2,FALSE),"?"))</f>
        <v/>
      </c>
      <c r="CJ119" s="85">
        <f>IF(NOT(AND($A119&lt;&gt;"",$C119&lt;&gt;"DOOR ONLY")),"",TRIM(IFERROR(VLOOKUP($U119,CODES,2,FALSE),"")&amp;" "&amp;$BG119&amp;" "&amp;IFERROR(VLOOKUP($Z119,CODES,2,FALSE),"")&amp;" "&amp;IFERROR(VLOOKUP($X119,CODES,2,FALSE),"")&amp;" "&amp;IFERROR(VLOOKUP($S119,CODES,2,FALSE),"")&amp;IF(N($P119)&gt;0," w/TRANSOM "&amp;$P119&amp;CHAR(34),"")&amp;IF(N($Q119)&gt;0," w/SIDELITE "&amp;$Q119&amp;CHAR(34)&amp;" "&amp;IF($R119="","R",$R119),"")&amp;IF($Y119="","  |  "," | "&amp;IFERROR(VLOOKUP($Y119,CODES,2,FALSE),"")&amp;" | ")&amp;IFERROR(VLOOKUP($AC119,CODES,2,FALSE),"")&amp;" "&amp;IFERROR(VLOOKUP($AD119,CODES,2,FALSE),"")&amp;IF(OR($AE119="",$AE119="-"),""," "&amp;$AE119)&amp;IF(OR($AF119="",$AF119="-"),""," "&amp;$AF119)&amp;IF($AB119="Y"," 4"&amp;CHAR(34)&amp;" HEAD","")&amp;" "&amp;IFERROR(VLOOKUP($H119,CODES,2,FALSE),"")&amp;IF($CT119," | LOC "&amp;$CY119,"")))</f>
        <v/>
      </c>
      <c r="CK119" s="85">
        <f>IF(NOT(AND($A119&lt;&gt;"",N($BJ119)&gt;0)),"",TRIM(IFERROR(VLOOKUP($AH119,CODES,2,FALSE),"")&amp;IF($AI119=""," "," "&amp;$AI119&amp;"GA ")&amp;$BG119&amp;" "&amp;IF($AN119="",IFERROR(VLOOKUP($Z119,CODES,2,FALSE),""),IFERROR(VLOOKUP($AN119,CODES,2,FALSE),""))&amp;IF($BJ119=2," PAIR","")&amp;" DOOR | "&amp;IF($AL119="","?",$AL119)&amp;" | "&amp;IF($AO119="",IFERROR(VLOOKUP($AC119,CODES,2,FALSE),""),IFERROR(VLOOKUP($AO119,CODES,2,FALSE),""))&amp;" "&amp;IFERROR(VLOOKUP($AP119,CODES,2,FALSE),"")&amp;IF(OR($AQ119="",$AQ119="-"),""," SEAM "&amp;$AQ119)&amp;IF($AR119="Y"," ASTRAGAL","")&amp;IF($AJ119=""," "," "&amp;$AJ119)&amp;IF($AK119=""," "," "&amp;$AK119)&amp;IF(OR($AT119="",$AT119="ANSI/SDI",$AT119="CUSTOM LOC"),""," "&amp;$AT119)&amp;IF($AM119=""," "," SERIES "&amp;$AM119)&amp;" "&amp;IFERROR(VLOOKUP($H119,CODES,2,FALSE),"")&amp;IF($CT119," | LOC "&amp;$CZ119,"")))</f>
        <v/>
      </c>
      <c r="CL119" s="84">
        <f>IF(CP119="","",IF(COUNTIF($CP$6:CP119,CP119)=1,MAX($CL$5:CL118)+1,INDEX($CL$5:CL118,MATCH(CP119,$CP$5:CP118,0))))</f>
        <v/>
      </c>
      <c r="CM119" s="84">
        <f>IF(NOT(AND($A119&lt;&gt;"",$C119&lt;&gt;"DOOR ONLY")),"",MAX($CM$5:CM118)+1)</f>
        <v/>
      </c>
      <c r="CN119" s="84">
        <f>IF(NOT(AND($A119&lt;&gt;"",N($BJ119)&gt;0)),"",MAX($CN$5:CN118)+1)</f>
        <v/>
      </c>
      <c r="CO119" s="84">
        <f>IF($A119="","",MAX($CO$5:CO118)+1)</f>
        <v/>
      </c>
      <c r="CP119" s="84">
        <f>IF(OR($A119="",$BH119="",$BI119=""),"",$BG119&amp;"|"&amp;$O119&amp;"|"&amp;$AL119&amp;"|"&amp;$S119&amp;"|"&amp;$P119&amp;"|"&amp;$Q119&amp;$R119&amp;"|"&amp;$C119&amp;"|"&amp;$AB119)</f>
        <v/>
      </c>
      <c r="CQ119" s="84">
        <f>N($BS119)</f>
        <v/>
      </c>
      <c r="CR119" s="84">
        <f>IF(N($AU119)&gt;0,N($AU119),4.5)</f>
        <v/>
      </c>
      <c r="CS119" s="84">
        <f>OR($A119="",$BI119="",$S119="BL",AND($C119="FRAME ONLY",OR($AC119="",$AC119="BLK")))</f>
        <v/>
      </c>
      <c r="CT119" s="84">
        <f>AND(NOT($CS119),OR($AT119="CUSTOM LOC",N($AW119)+N($AX119)+N($AY119)+N($AZ119)+N($BA119)&gt;0))</f>
        <v/>
      </c>
      <c r="CU119" s="84">
        <f>IF($BI119="","",IF($BI119&lt;=80,80,IF($BI119&lt;=84,84,96)))</f>
        <v/>
      </c>
      <c r="CV119" s="84">
        <f>ISNUMBER(MATCH($AT119&amp;"|80",LocKeys,0))</f>
        <v/>
      </c>
      <c r="CW119" s="86">
        <f>IF($CS119,"",IF($CV119,VLOOKUP($AT119&amp;"|"&amp;$CU119,LocTable,4,FALSE),5))</f>
        <v/>
      </c>
      <c r="CX119" s="86">
        <f>IF($CS119,"",IF($CV119,IF(OR($BI119=$CU119,AND($BI119&lt;$CU119,$BI119-IF(N(VLOOKUP($AT119&amp;"|"&amp;$CU119,LocTable,7,FALSE))&gt;0,VLOOKUP($AT119&amp;"|"&amp;$CU119,LocTable,7,FALSE),VLOOKUP($AT119&amp;"|"&amp;$CU119,LocTable,6,FALSE))-$CR119-0.75&gt;=2.125)),IF(N(VLOOKUP($AT119&amp;"|"&amp;$CU119,LocTable,7,FALSE))&gt;0,VLOOKUP($AT119&amp;"|"&amp;$CU119,LocTable,7,FALSE),VLOOKUP($AT119&amp;"|"&amp;$CU119,LocTable,6,FALSE)),$BI119-($CU119-IF(N(VLOOKUP($AT119&amp;"|"&amp;$CU119,LocTable,7,FALSE))&gt;0,VLOOKUP($AT119&amp;"|"&amp;$CU119,LocTable,7,FALSE),VLOOKUP($AT119&amp;"|"&amp;$CU119,LocTable,6,FALSE)))),$BI119-10-$CR119))</f>
        <v/>
      </c>
      <c r="CY119" s="85">
        <f>IF($CS119,"",TRIM(IF(ISNUMBER($BU119),"A "&amp;TRIM(TEXT($BU119,"# ?/??"))&amp;CHAR(34)&amp;"  ","")&amp;IF(ISNUMBER($BV119),"B "&amp;TRIM(TEXT($BV119,"# ?/??"))&amp;CHAR(34)&amp;"  ","")&amp;IF(ISNUMBER($BW119),"C "&amp;TRIM(TEXT($BW119,"# ?/??"))&amp;CHAR(34)&amp;"  ","")&amp;IF(ISNUMBER($BX119),"D "&amp;TRIM(TEXT($BX119,"# ?/??"))&amp;CHAR(34)&amp;"  ","")&amp;IF(ISNUMBER($BY119),"F "&amp;TRIM(TEXT($BY119,"# ?/??"))&amp;CHAR(34)&amp;"  ","")&amp;IF(ISNUMBER($BZ119),"E "&amp;TRIM(TEXT($BZ119,"# ?/??"))&amp;CHAR(34)&amp;"  ","")))</f>
        <v/>
      </c>
      <c r="CZ119" s="85">
        <f>IF(OR($CS119,N($BJ119)=0),"",TRIM(IF(ISNUMBER($BU119),"A "&amp;TRIM(TEXT($BU119-HeadClr,"# ?/??"))&amp;CHAR(34)&amp;"  ","")&amp;IF(ISNUMBER($BV119),"B "&amp;TRIM(TEXT($BV119-HeadClr,"# ?/??"))&amp;CHAR(34)&amp;"  ","")&amp;IF(ISNUMBER($BW119),"C "&amp;TRIM(TEXT($BW119-HeadClr,"# ?/??"))&amp;CHAR(34)&amp;"  ","")&amp;IF(ISNUMBER($BX119),"D "&amp;TRIM(TEXT($BX119-HeadClr,"# ?/??"))&amp;CHAR(34)&amp;"  ","")&amp;IF(ISNUMBER($BY119),"F "&amp;TRIM(TEXT($BY119-HeadClr,"# ?/??"))&amp;CHAR(34)&amp;"  ","")&amp;IF(ISNUMBER($BZ119),"E "&amp;TRIM(TEXT($BZ119-HeadClr,"# ?/??"))&amp;CHAR(34)&amp;"  ","")))</f>
        <v/>
      </c>
      <c r="DA119" s="84">
        <f>IF($A119="","",IF($AN119="",IFERROR(VLOOKUP($Z119,CODES,2,FALSE),""),IFERROR(VLOOKUP($AN119,CODES,2,FALSE),"")))</f>
        <v/>
      </c>
      <c r="DB119" s="84">
        <f>IF($A119="","",IF($O119="Y","PR",IF(OR($Z119="L",$Z119="RR",LEFT($Z119,2)="L-",LEFT($Z119,3)="RR-"),"LH","RH")))</f>
        <v/>
      </c>
      <c r="DC119" s="84">
        <f>IF($A119="","","S.HM"&amp;IF(OR($C119="DOOR ONLY",$X119&lt;&gt;"KD"),"MASONRY","DRYWALL")&amp;IF($C119="DOOR ONLY","",$U119)&amp;IF(AND($C119&lt;&gt;"FRAME ONLY",OR(LEFT($AH119,3)="OAK",LEFT($AH119,3)="BIR",LEFT($AH119,3)="MAP",$AH119="PC",$AH119="MC",$AH119="SCLC",$AH119="P-LAM")),"WD","HM")&amp;"1.75")</f>
        <v/>
      </c>
      <c r="DD119" s="84">
        <f>IF($CJ119="","",IF($O119="Y",$CJ119,SUBSTITUTE($CJ119,$BG119&amp;" "&amp;IFERROR(VLOOKUP($Z119,CODES,2,FALSE),"")&amp;" ",$BG119&amp;" ")))</f>
        <v/>
      </c>
      <c r="DE119" s="84">
        <f>IF($CK119="","",IF($O119="Y",$CK119,SUBSTITUTE($CK119,$BG119&amp;" "&amp;IF($AN119="",IFERROR(VLOOKUP($Z119,CODES,2,FALSE),""),IFERROR(VLOOKUP($AN119,CODES,2,FALSE),""))&amp;" ",$BG119&amp;" ")))</f>
        <v/>
      </c>
      <c r="DF119" s="84">
        <f>IF($CJ119="","",$DC119&amp;"|"&amp;$DD119&amp;"|"&amp;$DB119&amp;"|"&amp;$AT119&amp;"|"&amp;$V119&amp;"|"&amp;$Y119&amp;"|"&amp;$AB119)</f>
        <v/>
      </c>
      <c r="DG119" s="84">
        <f>IF(DF119="","",IF(COUNTIF($DF$6:DF119,DF119)=1,MAX($DG$5:DG118)+1,INDEX($DG$5:DG118,MATCH(DF119,$DF$5:DF118,0))))</f>
        <v/>
      </c>
      <c r="DH119" s="84">
        <f>IF($CK119="","",$DC119&amp;"|"&amp;$DE119&amp;"|"&amp;$AI119&amp;"|"&amp;$BK119&amp;"|"&amp;$BL119)</f>
        <v/>
      </c>
      <c r="DI119" s="84">
        <f>IF(DH119="","",IF(COUNTIF($DH$6:DH119,DH119)=1,MAX($DI$5:DI118)+1,INDEX($DI$5:DI118,MATCH(DH119,$DH$5:DH118,0))))</f>
        <v/>
      </c>
      <c r="DJ119" s="84">
        <f>IF($A119="","",IF($B119="","qty, ","")&amp;IF($C119="","scope, ","")&amp;IF(OR($K119="",$M119=""),"size, ","")&amp;IF(AND($A119&lt;&gt;"",$C119&lt;&gt;"DOOR ONLY"),IF($U119="","jamb depth, ","")&amp;IF($X119="","construction, ","")&amp;IF($Y119="","anchor, ","")&amp;IF($S119="","frame type, ",""),"")&amp;IF(AND(N($BJ119)&gt;0,$Z119=""),"hand, ","")&amp;IF(N($BJ119)&gt;0,IF($AH119="","door material, ","")&amp;IF($AL119="","face type, ","")&amp;IF($AP119="","lock prep, ","")&amp;IF(AND($AO119="",$AC119=""),"hinge prep, ",""),"")&amp;IF(AND($CH119&gt;0,$AH119="FRP"),"FRP cannot carry a label, ","")&amp;IF(AND($O119="Y",OR($Z119="L",$Z119="R",$Z119="LR",$Z119="RR")),"pair marked but hand is single, ","")&amp;IF(AND($O119&lt;&gt;"Y",OR($Z119="PR",AND(LEN($Z119)&gt;1,ISNUMBER(SEARCH("-",$Z119))))),"pair hand on a single door, ","")&amp;IF(AND(ISNUMBER($CI119),$CH119&lt;N($CI119)),"wall needs a "&amp;$CI119&amp;" min door, ","")&amp;IF(AND($CH119&gt;=180,AND(OR($CE119="FG",$CE119="HG",$CE119="FNV",$CE119="FV"),N($CF119)*N($CG119)&gt;100)),"180 min lite over 100 sq in, ","")&amp;IF(N($BK119)&gt;48,"leaf wider than 4'-0"&amp;CHAR(34)&amp;", ","")&amp;IF(AND($CT119,COUNT($AW119:$AZ119)=0,$CQ119&gt;0),"CUSTOM LOC with no locations typed, ",""))</f>
        <v/>
      </c>
      <c r="DK119" s="84">
        <f>IF($A119="","",IF(AND($CH119&gt;0,AND($A119&lt;&gt;"",$C119&lt;&gt;"DOOR ONLY"),$X119="KD",$E119="EXTERIOR"),"KD label on an exterior opening, ","")&amp;IF(AND($E119="EXTERIOR",OR(AND(AND($A119&lt;&gt;"",$C119&lt;&gt;"DOOR ONLY"),$W119="CR"),AND(N($BJ119)&gt;0,$AH119="CR"))),"exterior in CR steel (G9?), ","")&amp;IF(AND(ISNUMBER($BQ119),N($BQ119)&lt;32),"clear width ~"&amp;TEXT($BQ119,"0.0")&amp;CHAR(34)&amp;" under 32"&amp;CHAR(34)&amp;" (ADA), ","")&amp;IF(AND($CH119=90,AND(OR($CE119="FG",$CE119="HG",$CE119="FNV",$CE119="FV"),N($CF119)*N($CG119)&gt;100)),"90 min lite over 100 sq in (stair/exit), ","")&amp;IF(AND($CH119&gt;0,AND($A119&lt;&gt;"",$C119&lt;&gt;"DOOR ONLY"),OR($AF119="",$AF119="-")),"rated: closer reinf.?, ","")&amp;IF(OR($I119="CORRIDOR",$I119="SMOKE BARRIER"),"S label + smoke gasketing, ","")&amp;IF($CI119="?","wall type/hr not in IBC table, ","")&amp;IF(AND(N($BJ119)&gt;0,$BB119=""),"no hardware set, ","")&amp;IF(AND($BB119&lt;&gt;"",ISNA(MATCH($BB119&amp;"",HWSets,0))),"set "&amp;$BB119&amp;" not on HW Sets, ","")&amp;IF(N($BL119)&gt;96,"leaf over 8'-0"&amp;CHAR(34)&amp;" - check listing, ","")&amp;IF(AND($CT119,COUNT($AW119:$AZ119)&gt;0,COUNT($AW119:$AZ119)&lt;&gt;$CQ119),COUNT($AW119:$AZ119)&amp;" custom hinges typed, "&amp;$CQ119&amp;" expected, ","")&amp;IF(AND(ISNUMBER($CA119),OR(N($CA119)&lt;34,N($CA119)&gt;48)),"lock "&amp;TEXT($CA119,"0.0")&amp;CHAR(34)&amp;" AFF outside 34-48"&amp;CHAR(34)&amp;" (ADA), ","")&amp;IF(AND(ISNUMBER($AV119),ISNUMBER($BL119),N($AV119)&lt;IF(N($BL119)&lt;=60,2,IF(N($BL119)&lt;=90,3,IF(N($BL119)&lt;=120,4,5)))),"fewer hinges than standard, ",""))</f>
        <v/>
      </c>
    </row>
    <row r="120" ht="15" customHeight="1">
      <c r="A120" s="92" t="n"/>
      <c r="B120" s="93" t="n"/>
      <c r="C120" s="93" t="n"/>
      <c r="D120" s="93" t="n"/>
      <c r="E120" s="93" t="n"/>
      <c r="F120" s="93" t="n"/>
      <c r="G120" s="93" t="n"/>
      <c r="H120" s="93" t="n"/>
      <c r="I120" s="93" t="n"/>
      <c r="J120" s="93" t="n"/>
      <c r="K120" s="93" t="n"/>
      <c r="L120" s="93" t="n"/>
      <c r="M120" s="93" t="n"/>
      <c r="N120" s="93" t="n"/>
      <c r="O120" s="93" t="n"/>
      <c r="P120" s="93" t="n"/>
      <c r="Q120" s="93" t="n"/>
      <c r="R120" s="93" t="n"/>
      <c r="S120" s="94" t="n"/>
      <c r="T120" s="94" t="n"/>
      <c r="U120" s="94" t="n"/>
      <c r="V120" s="94" t="n"/>
      <c r="W120" s="94" t="n"/>
      <c r="X120" s="94" t="n"/>
      <c r="Y120" s="94" t="n"/>
      <c r="Z120" s="94" t="n"/>
      <c r="AA120" s="94" t="n"/>
      <c r="AB120" s="94" t="n"/>
      <c r="AC120" s="94" t="n"/>
      <c r="AD120" s="94" t="n"/>
      <c r="AE120" s="94" t="n"/>
      <c r="AF120" s="94" t="n"/>
      <c r="AG120" s="94" t="n"/>
      <c r="AH120" s="95" t="n"/>
      <c r="AI120" s="95" t="n"/>
      <c r="AJ120" s="95" t="n"/>
      <c r="AK120" s="95" t="n"/>
      <c r="AL120" s="95" t="n"/>
      <c r="AM120" s="95" t="n"/>
      <c r="AN120" s="95" t="n"/>
      <c r="AO120" s="95" t="n"/>
      <c r="AP120" s="95" t="n"/>
      <c r="AQ120" s="95" t="n"/>
      <c r="AR120" s="95" t="n"/>
      <c r="AS120" s="95" t="n"/>
      <c r="AT120" s="96" t="n"/>
      <c r="AU120" s="96" t="n"/>
      <c r="AV120" s="96" t="n"/>
      <c r="AW120" s="97" t="n"/>
      <c r="AX120" s="97" t="n"/>
      <c r="AY120" s="97" t="n"/>
      <c r="AZ120" s="97" t="n"/>
      <c r="BA120" s="97" t="n"/>
      <c r="BB120" s="98" t="n"/>
      <c r="BC120" s="98" t="n"/>
      <c r="BD120" s="99">
        <f>IF($A120="","",IF($DJ120&lt;&gt;"","FIX",IF($DK120&lt;&gt;"","CHECK","OK")))</f>
        <v/>
      </c>
      <c r="BE120" s="100">
        <f>IF($A120="","",IF($DJ120&lt;&gt;"","FIX: "&amp;LEFT($DJ120,LEN($DJ120)-2)&amp;IF($DK120&lt;&gt;"","  ·  ",""),"")&amp;IF($DK120&lt;&gt;"","CHECK: "&amp;LEFT($DK120,LEN($DK120)-2),""))</f>
        <v/>
      </c>
      <c r="BF120" s="99">
        <f>IF(OR($A120="",$K120=""),"",$K120&amp;"'-"&amp;N($L120)&amp;CHAR(34)&amp;" x "&amp;$M120&amp;"'-"&amp;N($N120)&amp;CHAR(34))</f>
        <v/>
      </c>
      <c r="BG120" s="99">
        <f>IF(OR($A120="",$K120=""),"",$K120&amp;N($L120)&amp;$M120&amp;N($N120))</f>
        <v/>
      </c>
      <c r="BH120" s="99">
        <f>IF(OR($A120="",$K120=""),"",$K120*12+N($L120))</f>
        <v/>
      </c>
      <c r="BI120" s="99">
        <f>IF(OR($A120="",$M120=""),"",$M120*12+N($N120))</f>
        <v/>
      </c>
      <c r="BJ120" s="99">
        <f>IF($A120="","",IF(OR($C120="FRAME ONLY",$S120="BL"),0,IF($O120="Y",2,1)))</f>
        <v/>
      </c>
      <c r="BK120" s="101">
        <f>IF(OR(N($BJ120)=0,$BH120=""),"",($BH120-2*EdgeClr-IF($BJ120=2,MeetClr,0))/$BJ120)</f>
        <v/>
      </c>
      <c r="BL120" s="101">
        <f>IF(OR(N($BJ120)=0,$BI120=""),"",$BI120-HeadClr-Undercut)</f>
        <v/>
      </c>
      <c r="BM120" s="101">
        <f>IF($BH120="","",$BH120+2*FaceW+IF(N($Q120)&gt;0,($Q120+FaceW)*IF($R120="LR",2,1),0))</f>
        <v/>
      </c>
      <c r="BN120" s="101">
        <f>IF($BI120="","",$BI120+IF($AB120="Y",4,FaceW)+IF(N($P120)&gt;0,$P120+FaceW,0)+IF(OR($S120="4F",$S120="BL"),FaceW,0))</f>
        <v/>
      </c>
      <c r="BO120" s="101">
        <f>IF($BM120="","",$BM120+2*ROSide)</f>
        <v/>
      </c>
      <c r="BP120" s="101">
        <f>IF($BN120="","",$BN120+ROTop)</f>
        <v/>
      </c>
      <c r="BQ120" s="102">
        <f>IF(OR(N($BJ120)=0,$BH120=""),"",$BH120/$BJ120-ClearDeduct)</f>
        <v/>
      </c>
      <c r="BR120" s="99">
        <f>IF(N($CH120)=0,"",IF($CH120&gt;=180,"A · 3 HR",IF($CH120&gt;=90,"B · 1-1/2 HR",IF($CH120&gt;=60,"B · 1 HR",IF($CH120&gt;=45,"C · 3/4 HR","20 MIN")))))&amp;IF(AND(N($CH120)&gt;0,OR($I120="CORRIDOR",$I120="SMOKE BARRIER"))," · S","")</f>
        <v/>
      </c>
      <c r="BS120" s="99">
        <f>IF($CS120,"",IF($AV120&lt;&gt;"",$AV120,IF(OR($AC120="HGC",$AO120="HGC"),"CONT",IF(($BI120-HeadClr-Undercut)&lt;=60,2,IF(($BI120-HeadClr-Undercut)&lt;=90,3,IF(($BI120-HeadClr-Undercut)&lt;=120,4,5))))))</f>
        <v/>
      </c>
      <c r="BT120" s="99">
        <f>IF($CS120,"",IF($CT120,"CUSTOM (typed)",IF($CV120,$AT120&amp;" "&amp;$CU120&amp;CHAR(34)&amp;IF($CU120&lt;&gt;$BI120,IF(AND($BI120&lt;$CU120,$BI120-IF(N(VLOOKUP($AT120&amp;"|"&amp;$CU120,LocTable,7,FALSE))&gt;0,VLOOKUP($AT120&amp;"|"&amp;$CU120,LocTable,7,FALSE),VLOOKUP($AT120&amp;"|"&amp;$CU120,LocTable,6,FALSE))-$CR120-0.75&gt;=2.125)," cut down"," adj."),""),"ANSI/SDI A250.6")))</f>
        <v/>
      </c>
      <c r="BU120" s="103">
        <f>IF($CS120,"",IF($CT120,IF(N($AW120)&gt;0,N($AW120),""),IF(1&gt;$CQ120,"",IF($CQ120=1,$CW120,$CW120+($CX120-$CW120)*0/($CQ120-1)))))</f>
        <v/>
      </c>
      <c r="BV120" s="103">
        <f>IF($CS120,"",IF($CT120,IF(N($AX120)&gt;0,N($AX120),""),IF(2&gt;$CQ120,"",IF($CQ120=1,$CW120,$CW120+($CX120-$CW120)*1/($CQ120-1)))))</f>
        <v/>
      </c>
      <c r="BW120" s="103">
        <f>IF($CS120,"",IF($CT120,IF(N($AY120)&gt;0,N($AY120),""),IF(3&gt;$CQ120,"",IF($CQ120=1,$CW120,$CW120+($CX120-$CW120)*2/($CQ120-1)))))</f>
        <v/>
      </c>
      <c r="BX120" s="103">
        <f>IF($CS120,"",IF($CT120,IF(N($AZ120)&gt;0,N($AZ120),""),IF(4&gt;$CQ120,"",IF($CQ120=1,$CW120,$CW120+($CX120-$CW120)*3/($CQ120-1)))))</f>
        <v/>
      </c>
      <c r="BY120" s="103">
        <f>IF($CS120,"",IF($CT120,"",IF(5&gt;$CQ120,"",IF($CQ120=1,$CW120,$CW120+($CX120-$CW120)*4/($CQ120-1)))))</f>
        <v/>
      </c>
      <c r="BZ120" s="103">
        <f>IF(OR($CS120,$AP120="-",AND($AP120="",$AD120="")),"",IF(N($BA120)&gt;0,N($BA120),IF($CV120,IF(AND($BI120&lt;$CU120,$BI120-IF(N(VLOOKUP($AT120&amp;"|"&amp;$CU120,LocTable,7,FALSE))&gt;0,VLOOKUP($AT120&amp;"|"&amp;$CU120,LocTable,7,FALSE),VLOOKUP($AT120&amp;"|"&amp;$CU120,LocTable,6,FALSE))-$CR120-0.75&gt;=2.125),VLOOKUP($AT120&amp;"|"&amp;$CU120,LocTable,8,FALSE),VLOOKUP($AT120&amp;"|"&amp;$CU120,LocTable,8,FALSE)+($BI120-$CU120)),$BI120-LockAFF)))</f>
        <v/>
      </c>
      <c r="CA120" s="104">
        <f>IF($BZ120="","",$BI120-$BZ120)</f>
        <v/>
      </c>
      <c r="CB120" s="99">
        <f>IF(OR(NOT(AND($A120&lt;&gt;"",$C120&lt;&gt;"DOOR ONLY")),$BI120=""),"",IF(($BI120+IF(N($P120)&gt;0,$P120+FaceW,0))&lt;=90,3,IF(($BI120+IF(N($P120)&gt;0,$P120+FaceW,0))&lt;=114,4,5)))</f>
        <v/>
      </c>
      <c r="CC120" s="99">
        <f>IF($CB120="","",$CB120*(2+IF(N($Q120)&gt;0,IF($R120="LR",2,1),0)))</f>
        <v/>
      </c>
      <c r="CD120" s="99">
        <f>IF($CB120="","",(2+IF(N($Q120)&gt;0,IF($R120="LR",2,1),0)))</f>
        <v/>
      </c>
      <c r="CE120" s="99">
        <f>IF(N($BJ120)=0,"",IF(OR($AL120="",$AL120="FLUSH"),"FLUSH",IFERROR(LEFT($AL120,FIND("-",$AL120)-1),LEFT($AL120,2))))</f>
        <v/>
      </c>
      <c r="CF120" s="99">
        <f>IF($CE120="","",IFERROR(VALUE(MID($AL120,FIND("-",$AL120)+1,FIND(CHAR(34)&amp;"x",$AL120)-FIND("-",$AL120)-1)),0))</f>
        <v/>
      </c>
      <c r="CG120" s="99">
        <f>IF($CE120="","",IFERROR(VALUE(MID($AL120,FIND(CHAR(34)&amp;"x",$AL120)+2,FIND(CHAR(34),$AL120,FIND(CHAR(34)&amp;"x",$AL120)+2)-FIND(CHAR(34)&amp;"x",$AL120)-2)),0))</f>
        <v/>
      </c>
      <c r="CH120" s="105">
        <f>IF(OR($A120="",$H120="",$H120="NO LAB"),0,IFERROR(VALUE(LEFT($H120,FIND(" ",$H120)-1)),0))</f>
        <v/>
      </c>
      <c r="CI120" s="106">
        <f>IF(OR($A120="",$I120="",$I120="NON-RATED",N($J120)=0),"",IFERROR(VLOOKUP($I120&amp;"|"&amp;$J120,IBC,2,FALSE),"?"))</f>
        <v/>
      </c>
      <c r="CJ120" s="100">
        <f>IF(NOT(AND($A120&lt;&gt;"",$C120&lt;&gt;"DOOR ONLY")),"",TRIM(IFERROR(VLOOKUP($U120,CODES,2,FALSE),"")&amp;" "&amp;$BG120&amp;" "&amp;IFERROR(VLOOKUP($Z120,CODES,2,FALSE),"")&amp;" "&amp;IFERROR(VLOOKUP($X120,CODES,2,FALSE),"")&amp;" "&amp;IFERROR(VLOOKUP($S120,CODES,2,FALSE),"")&amp;IF(N($P120)&gt;0," w/TRANSOM "&amp;$P120&amp;CHAR(34),"")&amp;IF(N($Q120)&gt;0," w/SIDELITE "&amp;$Q120&amp;CHAR(34)&amp;" "&amp;IF($R120="","R",$R120),"")&amp;IF($Y120="","  |  "," | "&amp;IFERROR(VLOOKUP($Y120,CODES,2,FALSE),"")&amp;" | ")&amp;IFERROR(VLOOKUP($AC120,CODES,2,FALSE),"")&amp;" "&amp;IFERROR(VLOOKUP($AD120,CODES,2,FALSE),"")&amp;IF(OR($AE120="",$AE120="-"),""," "&amp;$AE120)&amp;IF(OR($AF120="",$AF120="-"),""," "&amp;$AF120)&amp;IF($AB120="Y"," 4"&amp;CHAR(34)&amp;" HEAD","")&amp;" "&amp;IFERROR(VLOOKUP($H120,CODES,2,FALSE),"")&amp;IF($CT120," | LOC "&amp;$CY120,"")))</f>
        <v/>
      </c>
      <c r="CK120" s="100">
        <f>IF(NOT(AND($A120&lt;&gt;"",N($BJ120)&gt;0)),"",TRIM(IFERROR(VLOOKUP($AH120,CODES,2,FALSE),"")&amp;IF($AI120=""," "," "&amp;$AI120&amp;"GA ")&amp;$BG120&amp;" "&amp;IF($AN120="",IFERROR(VLOOKUP($Z120,CODES,2,FALSE),""),IFERROR(VLOOKUP($AN120,CODES,2,FALSE),""))&amp;IF($BJ120=2," PAIR","")&amp;" DOOR | "&amp;IF($AL120="","?",$AL120)&amp;" | "&amp;IF($AO120="",IFERROR(VLOOKUP($AC120,CODES,2,FALSE),""),IFERROR(VLOOKUP($AO120,CODES,2,FALSE),""))&amp;" "&amp;IFERROR(VLOOKUP($AP120,CODES,2,FALSE),"")&amp;IF(OR($AQ120="",$AQ120="-"),""," SEAM "&amp;$AQ120)&amp;IF($AR120="Y"," ASTRAGAL","")&amp;IF($AJ120=""," "," "&amp;$AJ120)&amp;IF($AK120=""," "," "&amp;$AK120)&amp;IF(OR($AT120="",$AT120="ANSI/SDI",$AT120="CUSTOM LOC"),""," "&amp;$AT120)&amp;IF($AM120=""," "," SERIES "&amp;$AM120)&amp;" "&amp;IFERROR(VLOOKUP($H120,CODES,2,FALSE),"")&amp;IF($CT120," | LOC "&amp;$CZ120,"")))</f>
        <v/>
      </c>
      <c r="CL120" s="99">
        <f>IF(CP120="","",IF(COUNTIF($CP$6:CP120,CP120)=1,MAX($CL$5:CL119)+1,INDEX($CL$5:CL119,MATCH(CP120,$CP$5:CP119,0))))</f>
        <v/>
      </c>
      <c r="CM120" s="99">
        <f>IF(NOT(AND($A120&lt;&gt;"",$C120&lt;&gt;"DOOR ONLY")),"",MAX($CM$5:CM119)+1)</f>
        <v/>
      </c>
      <c r="CN120" s="99">
        <f>IF(NOT(AND($A120&lt;&gt;"",N($BJ120)&gt;0)),"",MAX($CN$5:CN119)+1)</f>
        <v/>
      </c>
      <c r="CO120" s="99">
        <f>IF($A120="","",MAX($CO$5:CO119)+1)</f>
        <v/>
      </c>
      <c r="CP120" s="99">
        <f>IF(OR($A120="",$BH120="",$BI120=""),"",$BG120&amp;"|"&amp;$O120&amp;"|"&amp;$AL120&amp;"|"&amp;$S120&amp;"|"&amp;$P120&amp;"|"&amp;$Q120&amp;$R120&amp;"|"&amp;$C120&amp;"|"&amp;$AB120)</f>
        <v/>
      </c>
      <c r="CQ120" s="99">
        <f>N($BS120)</f>
        <v/>
      </c>
      <c r="CR120" s="99">
        <f>IF(N($AU120)&gt;0,N($AU120),4.5)</f>
        <v/>
      </c>
      <c r="CS120" s="99">
        <f>OR($A120="",$BI120="",$S120="BL",AND($C120="FRAME ONLY",OR($AC120="",$AC120="BLK")))</f>
        <v/>
      </c>
      <c r="CT120" s="99">
        <f>AND(NOT($CS120),OR($AT120="CUSTOM LOC",N($AW120)+N($AX120)+N($AY120)+N($AZ120)+N($BA120)&gt;0))</f>
        <v/>
      </c>
      <c r="CU120" s="99">
        <f>IF($BI120="","",IF($BI120&lt;=80,80,IF($BI120&lt;=84,84,96)))</f>
        <v/>
      </c>
      <c r="CV120" s="99">
        <f>ISNUMBER(MATCH($AT120&amp;"|80",LocKeys,0))</f>
        <v/>
      </c>
      <c r="CW120" s="101">
        <f>IF($CS120,"",IF($CV120,VLOOKUP($AT120&amp;"|"&amp;$CU120,LocTable,4,FALSE),5))</f>
        <v/>
      </c>
      <c r="CX120" s="101">
        <f>IF($CS120,"",IF($CV120,IF(OR($BI120=$CU120,AND($BI120&lt;$CU120,$BI120-IF(N(VLOOKUP($AT120&amp;"|"&amp;$CU120,LocTable,7,FALSE))&gt;0,VLOOKUP($AT120&amp;"|"&amp;$CU120,LocTable,7,FALSE),VLOOKUP($AT120&amp;"|"&amp;$CU120,LocTable,6,FALSE))-$CR120-0.75&gt;=2.125)),IF(N(VLOOKUP($AT120&amp;"|"&amp;$CU120,LocTable,7,FALSE))&gt;0,VLOOKUP($AT120&amp;"|"&amp;$CU120,LocTable,7,FALSE),VLOOKUP($AT120&amp;"|"&amp;$CU120,LocTable,6,FALSE)),$BI120-($CU120-IF(N(VLOOKUP($AT120&amp;"|"&amp;$CU120,LocTable,7,FALSE))&gt;0,VLOOKUP($AT120&amp;"|"&amp;$CU120,LocTable,7,FALSE),VLOOKUP($AT120&amp;"|"&amp;$CU120,LocTable,6,FALSE)))),$BI120-10-$CR120))</f>
        <v/>
      </c>
      <c r="CY120" s="100">
        <f>IF($CS120,"",TRIM(IF(ISNUMBER($BU120),"A "&amp;TRIM(TEXT($BU120,"# ?/??"))&amp;CHAR(34)&amp;"  ","")&amp;IF(ISNUMBER($BV120),"B "&amp;TRIM(TEXT($BV120,"# ?/??"))&amp;CHAR(34)&amp;"  ","")&amp;IF(ISNUMBER($BW120),"C "&amp;TRIM(TEXT($BW120,"# ?/??"))&amp;CHAR(34)&amp;"  ","")&amp;IF(ISNUMBER($BX120),"D "&amp;TRIM(TEXT($BX120,"# ?/??"))&amp;CHAR(34)&amp;"  ","")&amp;IF(ISNUMBER($BY120),"F "&amp;TRIM(TEXT($BY120,"# ?/??"))&amp;CHAR(34)&amp;"  ","")&amp;IF(ISNUMBER($BZ120),"E "&amp;TRIM(TEXT($BZ120,"# ?/??"))&amp;CHAR(34)&amp;"  ","")))</f>
        <v/>
      </c>
      <c r="CZ120" s="100">
        <f>IF(OR($CS120,N($BJ120)=0),"",TRIM(IF(ISNUMBER($BU120),"A "&amp;TRIM(TEXT($BU120-HeadClr,"# ?/??"))&amp;CHAR(34)&amp;"  ","")&amp;IF(ISNUMBER($BV120),"B "&amp;TRIM(TEXT($BV120-HeadClr,"# ?/??"))&amp;CHAR(34)&amp;"  ","")&amp;IF(ISNUMBER($BW120),"C "&amp;TRIM(TEXT($BW120-HeadClr,"# ?/??"))&amp;CHAR(34)&amp;"  ","")&amp;IF(ISNUMBER($BX120),"D "&amp;TRIM(TEXT($BX120-HeadClr,"# ?/??"))&amp;CHAR(34)&amp;"  ","")&amp;IF(ISNUMBER($BY120),"F "&amp;TRIM(TEXT($BY120-HeadClr,"# ?/??"))&amp;CHAR(34)&amp;"  ","")&amp;IF(ISNUMBER($BZ120),"E "&amp;TRIM(TEXT($BZ120-HeadClr,"# ?/??"))&amp;CHAR(34)&amp;"  ","")))</f>
        <v/>
      </c>
      <c r="DA120" s="99">
        <f>IF($A120="","",IF($AN120="",IFERROR(VLOOKUP($Z120,CODES,2,FALSE),""),IFERROR(VLOOKUP($AN120,CODES,2,FALSE),"")))</f>
        <v/>
      </c>
      <c r="DB120" s="99">
        <f>IF($A120="","",IF($O120="Y","PR",IF(OR($Z120="L",$Z120="RR",LEFT($Z120,2)="L-",LEFT($Z120,3)="RR-"),"LH","RH")))</f>
        <v/>
      </c>
      <c r="DC120" s="99">
        <f>IF($A120="","","S.HM"&amp;IF(OR($C120="DOOR ONLY",$X120&lt;&gt;"KD"),"MASONRY","DRYWALL")&amp;IF($C120="DOOR ONLY","",$U120)&amp;IF(AND($C120&lt;&gt;"FRAME ONLY",OR(LEFT($AH120,3)="OAK",LEFT($AH120,3)="BIR",LEFT($AH120,3)="MAP",$AH120="PC",$AH120="MC",$AH120="SCLC",$AH120="P-LAM")),"WD","HM")&amp;"1.75")</f>
        <v/>
      </c>
      <c r="DD120" s="99">
        <f>IF($CJ120="","",IF($O120="Y",$CJ120,SUBSTITUTE($CJ120,$BG120&amp;" "&amp;IFERROR(VLOOKUP($Z120,CODES,2,FALSE),"")&amp;" ",$BG120&amp;" ")))</f>
        <v/>
      </c>
      <c r="DE120" s="99">
        <f>IF($CK120="","",IF($O120="Y",$CK120,SUBSTITUTE($CK120,$BG120&amp;" "&amp;IF($AN120="",IFERROR(VLOOKUP($Z120,CODES,2,FALSE),""),IFERROR(VLOOKUP($AN120,CODES,2,FALSE),""))&amp;" ",$BG120&amp;" ")))</f>
        <v/>
      </c>
      <c r="DF120" s="99">
        <f>IF($CJ120="","",$DC120&amp;"|"&amp;$DD120&amp;"|"&amp;$DB120&amp;"|"&amp;$AT120&amp;"|"&amp;$V120&amp;"|"&amp;$Y120&amp;"|"&amp;$AB120)</f>
        <v/>
      </c>
      <c r="DG120" s="99">
        <f>IF(DF120="","",IF(COUNTIF($DF$6:DF120,DF120)=1,MAX($DG$5:DG119)+1,INDEX($DG$5:DG119,MATCH(DF120,$DF$5:DF119,0))))</f>
        <v/>
      </c>
      <c r="DH120" s="99">
        <f>IF($CK120="","",$DC120&amp;"|"&amp;$DE120&amp;"|"&amp;$AI120&amp;"|"&amp;$BK120&amp;"|"&amp;$BL120)</f>
        <v/>
      </c>
      <c r="DI120" s="99">
        <f>IF(DH120="","",IF(COUNTIF($DH$6:DH120,DH120)=1,MAX($DI$5:DI119)+1,INDEX($DI$5:DI119,MATCH(DH120,$DH$5:DH119,0))))</f>
        <v/>
      </c>
      <c r="DJ120" s="99">
        <f>IF($A120="","",IF($B120="","qty, ","")&amp;IF($C120="","scope, ","")&amp;IF(OR($K120="",$M120=""),"size, ","")&amp;IF(AND($A120&lt;&gt;"",$C120&lt;&gt;"DOOR ONLY"),IF($U120="","jamb depth, ","")&amp;IF($X120="","construction, ","")&amp;IF($Y120="","anchor, ","")&amp;IF($S120="","frame type, ",""),"")&amp;IF(AND(N($BJ120)&gt;0,$Z120=""),"hand, ","")&amp;IF(N($BJ120)&gt;0,IF($AH120="","door material, ","")&amp;IF($AL120="","face type, ","")&amp;IF($AP120="","lock prep, ","")&amp;IF(AND($AO120="",$AC120=""),"hinge prep, ",""),"")&amp;IF(AND($CH120&gt;0,$AH120="FRP"),"FRP cannot carry a label, ","")&amp;IF(AND($O120="Y",OR($Z120="L",$Z120="R",$Z120="LR",$Z120="RR")),"pair marked but hand is single, ","")&amp;IF(AND($O120&lt;&gt;"Y",OR($Z120="PR",AND(LEN($Z120)&gt;1,ISNUMBER(SEARCH("-",$Z120))))),"pair hand on a single door, ","")&amp;IF(AND(ISNUMBER($CI120),$CH120&lt;N($CI120)),"wall needs a "&amp;$CI120&amp;" min door, ","")&amp;IF(AND($CH120&gt;=180,AND(OR($CE120="FG",$CE120="HG",$CE120="FNV",$CE120="FV"),N($CF120)*N($CG120)&gt;100)),"180 min lite over 100 sq in, ","")&amp;IF(N($BK120)&gt;48,"leaf wider than 4'-0"&amp;CHAR(34)&amp;", ","")&amp;IF(AND($CT120,COUNT($AW120:$AZ120)=0,$CQ120&gt;0),"CUSTOM LOC with no locations typed, ",""))</f>
        <v/>
      </c>
      <c r="DK120" s="99">
        <f>IF($A120="","",IF(AND($CH120&gt;0,AND($A120&lt;&gt;"",$C120&lt;&gt;"DOOR ONLY"),$X120="KD",$E120="EXTERIOR"),"KD label on an exterior opening, ","")&amp;IF(AND($E120="EXTERIOR",OR(AND(AND($A120&lt;&gt;"",$C120&lt;&gt;"DOOR ONLY"),$W120="CR"),AND(N($BJ120)&gt;0,$AH120="CR"))),"exterior in CR steel (G9?), ","")&amp;IF(AND(ISNUMBER($BQ120),N($BQ120)&lt;32),"clear width ~"&amp;TEXT($BQ120,"0.0")&amp;CHAR(34)&amp;" under 32"&amp;CHAR(34)&amp;" (ADA), ","")&amp;IF(AND($CH120=90,AND(OR($CE120="FG",$CE120="HG",$CE120="FNV",$CE120="FV"),N($CF120)*N($CG120)&gt;100)),"90 min lite over 100 sq in (stair/exit), ","")&amp;IF(AND($CH120&gt;0,AND($A120&lt;&gt;"",$C120&lt;&gt;"DOOR ONLY"),OR($AF120="",$AF120="-")),"rated: closer reinf.?, ","")&amp;IF(OR($I120="CORRIDOR",$I120="SMOKE BARRIER"),"S label + smoke gasketing, ","")&amp;IF($CI120="?","wall type/hr not in IBC table, ","")&amp;IF(AND(N($BJ120)&gt;0,$BB120=""),"no hardware set, ","")&amp;IF(AND($BB120&lt;&gt;"",ISNA(MATCH($BB120&amp;"",HWSets,0))),"set "&amp;$BB120&amp;" not on HW Sets, ","")&amp;IF(N($BL120)&gt;96,"leaf over 8'-0"&amp;CHAR(34)&amp;" - check listing, ","")&amp;IF(AND($CT120,COUNT($AW120:$AZ120)&gt;0,COUNT($AW120:$AZ120)&lt;&gt;$CQ120),COUNT($AW120:$AZ120)&amp;" custom hinges typed, "&amp;$CQ120&amp;" expected, ","")&amp;IF(AND(ISNUMBER($CA120),OR(N($CA120)&lt;34,N($CA120)&gt;48)),"lock "&amp;TEXT($CA120,"0.0")&amp;CHAR(34)&amp;" AFF outside 34-48"&amp;CHAR(34)&amp;" (ADA), ","")&amp;IF(AND(ISNUMBER($AV120),ISNUMBER($BL120),N($AV120)&lt;IF(N($BL120)&lt;=60,2,IF(N($BL120)&lt;=90,3,IF(N($BL120)&lt;=120,4,5)))),"fewer hinges than standard, ",""))</f>
        <v/>
      </c>
    </row>
    <row r="121" ht="15" customHeight="1">
      <c r="A121" s="77" t="n"/>
      <c r="B121" s="78" t="n"/>
      <c r="C121" s="78" t="n"/>
      <c r="D121" s="78" t="n"/>
      <c r="E121" s="78" t="n"/>
      <c r="F121" s="78" t="n"/>
      <c r="G121" s="78" t="n"/>
      <c r="H121" s="78" t="n"/>
      <c r="I121" s="78" t="n"/>
      <c r="J121" s="78" t="n"/>
      <c r="K121" s="78" t="n"/>
      <c r="L121" s="78" t="n"/>
      <c r="M121" s="78" t="n"/>
      <c r="N121" s="78" t="n"/>
      <c r="O121" s="78" t="n"/>
      <c r="P121" s="78" t="n"/>
      <c r="Q121" s="78" t="n"/>
      <c r="R121" s="78" t="n"/>
      <c r="S121" s="79" t="n"/>
      <c r="T121" s="79" t="n"/>
      <c r="U121" s="79" t="n"/>
      <c r="V121" s="79" t="n"/>
      <c r="W121" s="79" t="n"/>
      <c r="X121" s="79" t="n"/>
      <c r="Y121" s="79" t="n"/>
      <c r="Z121" s="79" t="n"/>
      <c r="AA121" s="79" t="n"/>
      <c r="AB121" s="79" t="n"/>
      <c r="AC121" s="79" t="n"/>
      <c r="AD121" s="79" t="n"/>
      <c r="AE121" s="79" t="n"/>
      <c r="AF121" s="79" t="n"/>
      <c r="AG121" s="79" t="n"/>
      <c r="AH121" s="80" t="n"/>
      <c r="AI121" s="80" t="n"/>
      <c r="AJ121" s="80" t="n"/>
      <c r="AK121" s="80" t="n"/>
      <c r="AL121" s="80" t="n"/>
      <c r="AM121" s="80" t="n"/>
      <c r="AN121" s="80" t="n"/>
      <c r="AO121" s="80" t="n"/>
      <c r="AP121" s="80" t="n"/>
      <c r="AQ121" s="80" t="n"/>
      <c r="AR121" s="80" t="n"/>
      <c r="AS121" s="80" t="n"/>
      <c r="AT121" s="81" t="n"/>
      <c r="AU121" s="81" t="n"/>
      <c r="AV121" s="81" t="n"/>
      <c r="AW121" s="82" t="n"/>
      <c r="AX121" s="82" t="n"/>
      <c r="AY121" s="82" t="n"/>
      <c r="AZ121" s="82" t="n"/>
      <c r="BA121" s="82" t="n"/>
      <c r="BB121" s="83" t="n"/>
      <c r="BC121" s="83" t="n"/>
      <c r="BD121" s="84">
        <f>IF($A121="","",IF($DJ121&lt;&gt;"","FIX",IF($DK121&lt;&gt;"","CHECK","OK")))</f>
        <v/>
      </c>
      <c r="BE121" s="85">
        <f>IF($A121="","",IF($DJ121&lt;&gt;"","FIX: "&amp;LEFT($DJ121,LEN($DJ121)-2)&amp;IF($DK121&lt;&gt;"","  ·  ",""),"")&amp;IF($DK121&lt;&gt;"","CHECK: "&amp;LEFT($DK121,LEN($DK121)-2),""))</f>
        <v/>
      </c>
      <c r="BF121" s="84">
        <f>IF(OR($A121="",$K121=""),"",$K121&amp;"'-"&amp;N($L121)&amp;CHAR(34)&amp;" x "&amp;$M121&amp;"'-"&amp;N($N121)&amp;CHAR(34))</f>
        <v/>
      </c>
      <c r="BG121" s="84">
        <f>IF(OR($A121="",$K121=""),"",$K121&amp;N($L121)&amp;$M121&amp;N($N121))</f>
        <v/>
      </c>
      <c r="BH121" s="84">
        <f>IF(OR($A121="",$K121=""),"",$K121*12+N($L121))</f>
        <v/>
      </c>
      <c r="BI121" s="84">
        <f>IF(OR($A121="",$M121=""),"",$M121*12+N($N121))</f>
        <v/>
      </c>
      <c r="BJ121" s="84">
        <f>IF($A121="","",IF(OR($C121="FRAME ONLY",$S121="BL"),0,IF($O121="Y",2,1)))</f>
        <v/>
      </c>
      <c r="BK121" s="86">
        <f>IF(OR(N($BJ121)=0,$BH121=""),"",($BH121-2*EdgeClr-IF($BJ121=2,MeetClr,0))/$BJ121)</f>
        <v/>
      </c>
      <c r="BL121" s="86">
        <f>IF(OR(N($BJ121)=0,$BI121=""),"",$BI121-HeadClr-Undercut)</f>
        <v/>
      </c>
      <c r="BM121" s="86">
        <f>IF($BH121="","",$BH121+2*FaceW+IF(N($Q121)&gt;0,($Q121+FaceW)*IF($R121="LR",2,1),0))</f>
        <v/>
      </c>
      <c r="BN121" s="86">
        <f>IF($BI121="","",$BI121+IF($AB121="Y",4,FaceW)+IF(N($P121)&gt;0,$P121+FaceW,0)+IF(OR($S121="4F",$S121="BL"),FaceW,0))</f>
        <v/>
      </c>
      <c r="BO121" s="86">
        <f>IF($BM121="","",$BM121+2*ROSide)</f>
        <v/>
      </c>
      <c r="BP121" s="86">
        <f>IF($BN121="","",$BN121+ROTop)</f>
        <v/>
      </c>
      <c r="BQ121" s="87">
        <f>IF(OR(N($BJ121)=0,$BH121=""),"",$BH121/$BJ121-ClearDeduct)</f>
        <v/>
      </c>
      <c r="BR121" s="84">
        <f>IF(N($CH121)=0,"",IF($CH121&gt;=180,"A · 3 HR",IF($CH121&gt;=90,"B · 1-1/2 HR",IF($CH121&gt;=60,"B · 1 HR",IF($CH121&gt;=45,"C · 3/4 HR","20 MIN")))))&amp;IF(AND(N($CH121)&gt;0,OR($I121="CORRIDOR",$I121="SMOKE BARRIER"))," · S","")</f>
        <v/>
      </c>
      <c r="BS121" s="84">
        <f>IF($CS121,"",IF($AV121&lt;&gt;"",$AV121,IF(OR($AC121="HGC",$AO121="HGC"),"CONT",IF(($BI121-HeadClr-Undercut)&lt;=60,2,IF(($BI121-HeadClr-Undercut)&lt;=90,3,IF(($BI121-HeadClr-Undercut)&lt;=120,4,5))))))</f>
        <v/>
      </c>
      <c r="BT121" s="84">
        <f>IF($CS121,"",IF($CT121,"CUSTOM (typed)",IF($CV121,$AT121&amp;" "&amp;$CU121&amp;CHAR(34)&amp;IF($CU121&lt;&gt;$BI121,IF(AND($BI121&lt;$CU121,$BI121-IF(N(VLOOKUP($AT121&amp;"|"&amp;$CU121,LocTable,7,FALSE))&gt;0,VLOOKUP($AT121&amp;"|"&amp;$CU121,LocTable,7,FALSE),VLOOKUP($AT121&amp;"|"&amp;$CU121,LocTable,6,FALSE))-$CR121-0.75&gt;=2.125)," cut down"," adj."),""),"ANSI/SDI A250.6")))</f>
        <v/>
      </c>
      <c r="BU121" s="88">
        <f>IF($CS121,"",IF($CT121,IF(N($AW121)&gt;0,N($AW121),""),IF(1&gt;$CQ121,"",IF($CQ121=1,$CW121,$CW121+($CX121-$CW121)*0/($CQ121-1)))))</f>
        <v/>
      </c>
      <c r="BV121" s="88">
        <f>IF($CS121,"",IF($CT121,IF(N($AX121)&gt;0,N($AX121),""),IF(2&gt;$CQ121,"",IF($CQ121=1,$CW121,$CW121+($CX121-$CW121)*1/($CQ121-1)))))</f>
        <v/>
      </c>
      <c r="BW121" s="88">
        <f>IF($CS121,"",IF($CT121,IF(N($AY121)&gt;0,N($AY121),""),IF(3&gt;$CQ121,"",IF($CQ121=1,$CW121,$CW121+($CX121-$CW121)*2/($CQ121-1)))))</f>
        <v/>
      </c>
      <c r="BX121" s="88">
        <f>IF($CS121,"",IF($CT121,IF(N($AZ121)&gt;0,N($AZ121),""),IF(4&gt;$CQ121,"",IF($CQ121=1,$CW121,$CW121+($CX121-$CW121)*3/($CQ121-1)))))</f>
        <v/>
      </c>
      <c r="BY121" s="88">
        <f>IF($CS121,"",IF($CT121,"",IF(5&gt;$CQ121,"",IF($CQ121=1,$CW121,$CW121+($CX121-$CW121)*4/($CQ121-1)))))</f>
        <v/>
      </c>
      <c r="BZ121" s="88">
        <f>IF(OR($CS121,$AP121="-",AND($AP121="",$AD121="")),"",IF(N($BA121)&gt;0,N($BA121),IF($CV121,IF(AND($BI121&lt;$CU121,$BI121-IF(N(VLOOKUP($AT121&amp;"|"&amp;$CU121,LocTable,7,FALSE))&gt;0,VLOOKUP($AT121&amp;"|"&amp;$CU121,LocTable,7,FALSE),VLOOKUP($AT121&amp;"|"&amp;$CU121,LocTable,6,FALSE))-$CR121-0.75&gt;=2.125),VLOOKUP($AT121&amp;"|"&amp;$CU121,LocTable,8,FALSE),VLOOKUP($AT121&amp;"|"&amp;$CU121,LocTable,8,FALSE)+($BI121-$CU121)),$BI121-LockAFF)))</f>
        <v/>
      </c>
      <c r="CA121" s="89">
        <f>IF($BZ121="","",$BI121-$BZ121)</f>
        <v/>
      </c>
      <c r="CB121" s="84">
        <f>IF(OR(NOT(AND($A121&lt;&gt;"",$C121&lt;&gt;"DOOR ONLY")),$BI121=""),"",IF(($BI121+IF(N($P121)&gt;0,$P121+FaceW,0))&lt;=90,3,IF(($BI121+IF(N($P121)&gt;0,$P121+FaceW,0))&lt;=114,4,5)))</f>
        <v/>
      </c>
      <c r="CC121" s="84">
        <f>IF($CB121="","",$CB121*(2+IF(N($Q121)&gt;0,IF($R121="LR",2,1),0)))</f>
        <v/>
      </c>
      <c r="CD121" s="84">
        <f>IF($CB121="","",(2+IF(N($Q121)&gt;0,IF($R121="LR",2,1),0)))</f>
        <v/>
      </c>
      <c r="CE121" s="84">
        <f>IF(N($BJ121)=0,"",IF(OR($AL121="",$AL121="FLUSH"),"FLUSH",IFERROR(LEFT($AL121,FIND("-",$AL121)-1),LEFT($AL121,2))))</f>
        <v/>
      </c>
      <c r="CF121" s="84">
        <f>IF($CE121="","",IFERROR(VALUE(MID($AL121,FIND("-",$AL121)+1,FIND(CHAR(34)&amp;"x",$AL121)-FIND("-",$AL121)-1)),0))</f>
        <v/>
      </c>
      <c r="CG121" s="84">
        <f>IF($CE121="","",IFERROR(VALUE(MID($AL121,FIND(CHAR(34)&amp;"x",$AL121)+2,FIND(CHAR(34),$AL121,FIND(CHAR(34)&amp;"x",$AL121)+2)-FIND(CHAR(34)&amp;"x",$AL121)-2)),0))</f>
        <v/>
      </c>
      <c r="CH121" s="90">
        <f>IF(OR($A121="",$H121="",$H121="NO LAB"),0,IFERROR(VALUE(LEFT($H121,FIND(" ",$H121)-1)),0))</f>
        <v/>
      </c>
      <c r="CI121" s="91">
        <f>IF(OR($A121="",$I121="",$I121="NON-RATED",N($J121)=0),"",IFERROR(VLOOKUP($I121&amp;"|"&amp;$J121,IBC,2,FALSE),"?"))</f>
        <v/>
      </c>
      <c r="CJ121" s="85">
        <f>IF(NOT(AND($A121&lt;&gt;"",$C121&lt;&gt;"DOOR ONLY")),"",TRIM(IFERROR(VLOOKUP($U121,CODES,2,FALSE),"")&amp;" "&amp;$BG121&amp;" "&amp;IFERROR(VLOOKUP($Z121,CODES,2,FALSE),"")&amp;" "&amp;IFERROR(VLOOKUP($X121,CODES,2,FALSE),"")&amp;" "&amp;IFERROR(VLOOKUP($S121,CODES,2,FALSE),"")&amp;IF(N($P121)&gt;0," w/TRANSOM "&amp;$P121&amp;CHAR(34),"")&amp;IF(N($Q121)&gt;0," w/SIDELITE "&amp;$Q121&amp;CHAR(34)&amp;" "&amp;IF($R121="","R",$R121),"")&amp;IF($Y121="","  |  "," | "&amp;IFERROR(VLOOKUP($Y121,CODES,2,FALSE),"")&amp;" | ")&amp;IFERROR(VLOOKUP($AC121,CODES,2,FALSE),"")&amp;" "&amp;IFERROR(VLOOKUP($AD121,CODES,2,FALSE),"")&amp;IF(OR($AE121="",$AE121="-"),""," "&amp;$AE121)&amp;IF(OR($AF121="",$AF121="-"),""," "&amp;$AF121)&amp;IF($AB121="Y"," 4"&amp;CHAR(34)&amp;" HEAD","")&amp;" "&amp;IFERROR(VLOOKUP($H121,CODES,2,FALSE),"")&amp;IF($CT121," | LOC "&amp;$CY121,"")))</f>
        <v/>
      </c>
      <c r="CK121" s="85">
        <f>IF(NOT(AND($A121&lt;&gt;"",N($BJ121)&gt;0)),"",TRIM(IFERROR(VLOOKUP($AH121,CODES,2,FALSE),"")&amp;IF($AI121=""," "," "&amp;$AI121&amp;"GA ")&amp;$BG121&amp;" "&amp;IF($AN121="",IFERROR(VLOOKUP($Z121,CODES,2,FALSE),""),IFERROR(VLOOKUP($AN121,CODES,2,FALSE),""))&amp;IF($BJ121=2," PAIR","")&amp;" DOOR | "&amp;IF($AL121="","?",$AL121)&amp;" | "&amp;IF($AO121="",IFERROR(VLOOKUP($AC121,CODES,2,FALSE),""),IFERROR(VLOOKUP($AO121,CODES,2,FALSE),""))&amp;" "&amp;IFERROR(VLOOKUP($AP121,CODES,2,FALSE),"")&amp;IF(OR($AQ121="",$AQ121="-"),""," SEAM "&amp;$AQ121)&amp;IF($AR121="Y"," ASTRAGAL","")&amp;IF($AJ121=""," "," "&amp;$AJ121)&amp;IF($AK121=""," "," "&amp;$AK121)&amp;IF(OR($AT121="",$AT121="ANSI/SDI",$AT121="CUSTOM LOC"),""," "&amp;$AT121)&amp;IF($AM121=""," "," SERIES "&amp;$AM121)&amp;" "&amp;IFERROR(VLOOKUP($H121,CODES,2,FALSE),"")&amp;IF($CT121," | LOC "&amp;$CZ121,"")))</f>
        <v/>
      </c>
      <c r="CL121" s="84">
        <f>IF(CP121="","",IF(COUNTIF($CP$6:CP121,CP121)=1,MAX($CL$5:CL120)+1,INDEX($CL$5:CL120,MATCH(CP121,$CP$5:CP120,0))))</f>
        <v/>
      </c>
      <c r="CM121" s="84">
        <f>IF(NOT(AND($A121&lt;&gt;"",$C121&lt;&gt;"DOOR ONLY")),"",MAX($CM$5:CM120)+1)</f>
        <v/>
      </c>
      <c r="CN121" s="84">
        <f>IF(NOT(AND($A121&lt;&gt;"",N($BJ121)&gt;0)),"",MAX($CN$5:CN120)+1)</f>
        <v/>
      </c>
      <c r="CO121" s="84">
        <f>IF($A121="","",MAX($CO$5:CO120)+1)</f>
        <v/>
      </c>
      <c r="CP121" s="84">
        <f>IF(OR($A121="",$BH121="",$BI121=""),"",$BG121&amp;"|"&amp;$O121&amp;"|"&amp;$AL121&amp;"|"&amp;$S121&amp;"|"&amp;$P121&amp;"|"&amp;$Q121&amp;$R121&amp;"|"&amp;$C121&amp;"|"&amp;$AB121)</f>
        <v/>
      </c>
      <c r="CQ121" s="84">
        <f>N($BS121)</f>
        <v/>
      </c>
      <c r="CR121" s="84">
        <f>IF(N($AU121)&gt;0,N($AU121),4.5)</f>
        <v/>
      </c>
      <c r="CS121" s="84">
        <f>OR($A121="",$BI121="",$S121="BL",AND($C121="FRAME ONLY",OR($AC121="",$AC121="BLK")))</f>
        <v/>
      </c>
      <c r="CT121" s="84">
        <f>AND(NOT($CS121),OR($AT121="CUSTOM LOC",N($AW121)+N($AX121)+N($AY121)+N($AZ121)+N($BA121)&gt;0))</f>
        <v/>
      </c>
      <c r="CU121" s="84">
        <f>IF($BI121="","",IF($BI121&lt;=80,80,IF($BI121&lt;=84,84,96)))</f>
        <v/>
      </c>
      <c r="CV121" s="84">
        <f>ISNUMBER(MATCH($AT121&amp;"|80",LocKeys,0))</f>
        <v/>
      </c>
      <c r="CW121" s="86">
        <f>IF($CS121,"",IF($CV121,VLOOKUP($AT121&amp;"|"&amp;$CU121,LocTable,4,FALSE),5))</f>
        <v/>
      </c>
      <c r="CX121" s="86">
        <f>IF($CS121,"",IF($CV121,IF(OR($BI121=$CU121,AND($BI121&lt;$CU121,$BI121-IF(N(VLOOKUP($AT121&amp;"|"&amp;$CU121,LocTable,7,FALSE))&gt;0,VLOOKUP($AT121&amp;"|"&amp;$CU121,LocTable,7,FALSE),VLOOKUP($AT121&amp;"|"&amp;$CU121,LocTable,6,FALSE))-$CR121-0.75&gt;=2.125)),IF(N(VLOOKUP($AT121&amp;"|"&amp;$CU121,LocTable,7,FALSE))&gt;0,VLOOKUP($AT121&amp;"|"&amp;$CU121,LocTable,7,FALSE),VLOOKUP($AT121&amp;"|"&amp;$CU121,LocTable,6,FALSE)),$BI121-($CU121-IF(N(VLOOKUP($AT121&amp;"|"&amp;$CU121,LocTable,7,FALSE))&gt;0,VLOOKUP($AT121&amp;"|"&amp;$CU121,LocTable,7,FALSE),VLOOKUP($AT121&amp;"|"&amp;$CU121,LocTable,6,FALSE)))),$BI121-10-$CR121))</f>
        <v/>
      </c>
      <c r="CY121" s="85">
        <f>IF($CS121,"",TRIM(IF(ISNUMBER($BU121),"A "&amp;TRIM(TEXT($BU121,"# ?/??"))&amp;CHAR(34)&amp;"  ","")&amp;IF(ISNUMBER($BV121),"B "&amp;TRIM(TEXT($BV121,"# ?/??"))&amp;CHAR(34)&amp;"  ","")&amp;IF(ISNUMBER($BW121),"C "&amp;TRIM(TEXT($BW121,"# ?/??"))&amp;CHAR(34)&amp;"  ","")&amp;IF(ISNUMBER($BX121),"D "&amp;TRIM(TEXT($BX121,"# ?/??"))&amp;CHAR(34)&amp;"  ","")&amp;IF(ISNUMBER($BY121),"F "&amp;TRIM(TEXT($BY121,"# ?/??"))&amp;CHAR(34)&amp;"  ","")&amp;IF(ISNUMBER($BZ121),"E "&amp;TRIM(TEXT($BZ121,"# ?/??"))&amp;CHAR(34)&amp;"  ","")))</f>
        <v/>
      </c>
      <c r="CZ121" s="85">
        <f>IF(OR($CS121,N($BJ121)=0),"",TRIM(IF(ISNUMBER($BU121),"A "&amp;TRIM(TEXT($BU121-HeadClr,"# ?/??"))&amp;CHAR(34)&amp;"  ","")&amp;IF(ISNUMBER($BV121),"B "&amp;TRIM(TEXT($BV121-HeadClr,"# ?/??"))&amp;CHAR(34)&amp;"  ","")&amp;IF(ISNUMBER($BW121),"C "&amp;TRIM(TEXT($BW121-HeadClr,"# ?/??"))&amp;CHAR(34)&amp;"  ","")&amp;IF(ISNUMBER($BX121),"D "&amp;TRIM(TEXT($BX121-HeadClr,"# ?/??"))&amp;CHAR(34)&amp;"  ","")&amp;IF(ISNUMBER($BY121),"F "&amp;TRIM(TEXT($BY121-HeadClr,"# ?/??"))&amp;CHAR(34)&amp;"  ","")&amp;IF(ISNUMBER($BZ121),"E "&amp;TRIM(TEXT($BZ121-HeadClr,"# ?/??"))&amp;CHAR(34)&amp;"  ","")))</f>
        <v/>
      </c>
      <c r="DA121" s="84">
        <f>IF($A121="","",IF($AN121="",IFERROR(VLOOKUP($Z121,CODES,2,FALSE),""),IFERROR(VLOOKUP($AN121,CODES,2,FALSE),"")))</f>
        <v/>
      </c>
      <c r="DB121" s="84">
        <f>IF($A121="","",IF($O121="Y","PR",IF(OR($Z121="L",$Z121="RR",LEFT($Z121,2)="L-",LEFT($Z121,3)="RR-"),"LH","RH")))</f>
        <v/>
      </c>
      <c r="DC121" s="84">
        <f>IF($A121="","","S.HM"&amp;IF(OR($C121="DOOR ONLY",$X121&lt;&gt;"KD"),"MASONRY","DRYWALL")&amp;IF($C121="DOOR ONLY","",$U121)&amp;IF(AND($C121&lt;&gt;"FRAME ONLY",OR(LEFT($AH121,3)="OAK",LEFT($AH121,3)="BIR",LEFT($AH121,3)="MAP",$AH121="PC",$AH121="MC",$AH121="SCLC",$AH121="P-LAM")),"WD","HM")&amp;"1.75")</f>
        <v/>
      </c>
      <c r="DD121" s="84">
        <f>IF($CJ121="","",IF($O121="Y",$CJ121,SUBSTITUTE($CJ121,$BG121&amp;" "&amp;IFERROR(VLOOKUP($Z121,CODES,2,FALSE),"")&amp;" ",$BG121&amp;" ")))</f>
        <v/>
      </c>
      <c r="DE121" s="84">
        <f>IF($CK121="","",IF($O121="Y",$CK121,SUBSTITUTE($CK121,$BG121&amp;" "&amp;IF($AN121="",IFERROR(VLOOKUP($Z121,CODES,2,FALSE),""),IFERROR(VLOOKUP($AN121,CODES,2,FALSE),""))&amp;" ",$BG121&amp;" ")))</f>
        <v/>
      </c>
      <c r="DF121" s="84">
        <f>IF($CJ121="","",$DC121&amp;"|"&amp;$DD121&amp;"|"&amp;$DB121&amp;"|"&amp;$AT121&amp;"|"&amp;$V121&amp;"|"&amp;$Y121&amp;"|"&amp;$AB121)</f>
        <v/>
      </c>
      <c r="DG121" s="84">
        <f>IF(DF121="","",IF(COUNTIF($DF$6:DF121,DF121)=1,MAX($DG$5:DG120)+1,INDEX($DG$5:DG120,MATCH(DF121,$DF$5:DF120,0))))</f>
        <v/>
      </c>
      <c r="DH121" s="84">
        <f>IF($CK121="","",$DC121&amp;"|"&amp;$DE121&amp;"|"&amp;$AI121&amp;"|"&amp;$BK121&amp;"|"&amp;$BL121)</f>
        <v/>
      </c>
      <c r="DI121" s="84">
        <f>IF(DH121="","",IF(COUNTIF($DH$6:DH121,DH121)=1,MAX($DI$5:DI120)+1,INDEX($DI$5:DI120,MATCH(DH121,$DH$5:DH120,0))))</f>
        <v/>
      </c>
      <c r="DJ121" s="84">
        <f>IF($A121="","",IF($B121="","qty, ","")&amp;IF($C121="","scope, ","")&amp;IF(OR($K121="",$M121=""),"size, ","")&amp;IF(AND($A121&lt;&gt;"",$C121&lt;&gt;"DOOR ONLY"),IF($U121="","jamb depth, ","")&amp;IF($X121="","construction, ","")&amp;IF($Y121="","anchor, ","")&amp;IF($S121="","frame type, ",""),"")&amp;IF(AND(N($BJ121)&gt;0,$Z121=""),"hand, ","")&amp;IF(N($BJ121)&gt;0,IF($AH121="","door material, ","")&amp;IF($AL121="","face type, ","")&amp;IF($AP121="","lock prep, ","")&amp;IF(AND($AO121="",$AC121=""),"hinge prep, ",""),"")&amp;IF(AND($CH121&gt;0,$AH121="FRP"),"FRP cannot carry a label, ","")&amp;IF(AND($O121="Y",OR($Z121="L",$Z121="R",$Z121="LR",$Z121="RR")),"pair marked but hand is single, ","")&amp;IF(AND($O121&lt;&gt;"Y",OR($Z121="PR",AND(LEN($Z121)&gt;1,ISNUMBER(SEARCH("-",$Z121))))),"pair hand on a single door, ","")&amp;IF(AND(ISNUMBER($CI121),$CH121&lt;N($CI121)),"wall needs a "&amp;$CI121&amp;" min door, ","")&amp;IF(AND($CH121&gt;=180,AND(OR($CE121="FG",$CE121="HG",$CE121="FNV",$CE121="FV"),N($CF121)*N($CG121)&gt;100)),"180 min lite over 100 sq in, ","")&amp;IF(N($BK121)&gt;48,"leaf wider than 4'-0"&amp;CHAR(34)&amp;", ","")&amp;IF(AND($CT121,COUNT($AW121:$AZ121)=0,$CQ121&gt;0),"CUSTOM LOC with no locations typed, ",""))</f>
        <v/>
      </c>
      <c r="DK121" s="84">
        <f>IF($A121="","",IF(AND($CH121&gt;0,AND($A121&lt;&gt;"",$C121&lt;&gt;"DOOR ONLY"),$X121="KD",$E121="EXTERIOR"),"KD label on an exterior opening, ","")&amp;IF(AND($E121="EXTERIOR",OR(AND(AND($A121&lt;&gt;"",$C121&lt;&gt;"DOOR ONLY"),$W121="CR"),AND(N($BJ121)&gt;0,$AH121="CR"))),"exterior in CR steel (G9?), ","")&amp;IF(AND(ISNUMBER($BQ121),N($BQ121)&lt;32),"clear width ~"&amp;TEXT($BQ121,"0.0")&amp;CHAR(34)&amp;" under 32"&amp;CHAR(34)&amp;" (ADA), ","")&amp;IF(AND($CH121=90,AND(OR($CE121="FG",$CE121="HG",$CE121="FNV",$CE121="FV"),N($CF121)*N($CG121)&gt;100)),"90 min lite over 100 sq in (stair/exit), ","")&amp;IF(AND($CH121&gt;0,AND($A121&lt;&gt;"",$C121&lt;&gt;"DOOR ONLY"),OR($AF121="",$AF121="-")),"rated: closer reinf.?, ","")&amp;IF(OR($I121="CORRIDOR",$I121="SMOKE BARRIER"),"S label + smoke gasketing, ","")&amp;IF($CI121="?","wall type/hr not in IBC table, ","")&amp;IF(AND(N($BJ121)&gt;0,$BB121=""),"no hardware set, ","")&amp;IF(AND($BB121&lt;&gt;"",ISNA(MATCH($BB121&amp;"",HWSets,0))),"set "&amp;$BB121&amp;" not on HW Sets, ","")&amp;IF(N($BL121)&gt;96,"leaf over 8'-0"&amp;CHAR(34)&amp;" - check listing, ","")&amp;IF(AND($CT121,COUNT($AW121:$AZ121)&gt;0,COUNT($AW121:$AZ121)&lt;&gt;$CQ121),COUNT($AW121:$AZ121)&amp;" custom hinges typed, "&amp;$CQ121&amp;" expected, ","")&amp;IF(AND(ISNUMBER($CA121),OR(N($CA121)&lt;34,N($CA121)&gt;48)),"lock "&amp;TEXT($CA121,"0.0")&amp;CHAR(34)&amp;" AFF outside 34-48"&amp;CHAR(34)&amp;" (ADA), ","")&amp;IF(AND(ISNUMBER($AV121),ISNUMBER($BL121),N($AV121)&lt;IF(N($BL121)&lt;=60,2,IF(N($BL121)&lt;=90,3,IF(N($BL121)&lt;=120,4,5)))),"fewer hinges than standard, ",""))</f>
        <v/>
      </c>
    </row>
    <row r="122" ht="15" customHeight="1">
      <c r="A122" s="77" t="n"/>
      <c r="B122" s="78" t="n"/>
      <c r="C122" s="78" t="n"/>
      <c r="D122" s="78" t="n"/>
      <c r="E122" s="78" t="n"/>
      <c r="F122" s="78" t="n"/>
      <c r="G122" s="78" t="n"/>
      <c r="H122" s="78" t="n"/>
      <c r="I122" s="78" t="n"/>
      <c r="J122" s="78" t="n"/>
      <c r="K122" s="78" t="n"/>
      <c r="L122" s="78" t="n"/>
      <c r="M122" s="78" t="n"/>
      <c r="N122" s="78" t="n"/>
      <c r="O122" s="78" t="n"/>
      <c r="P122" s="78" t="n"/>
      <c r="Q122" s="78" t="n"/>
      <c r="R122" s="78" t="n"/>
      <c r="S122" s="79" t="n"/>
      <c r="T122" s="79" t="n"/>
      <c r="U122" s="79" t="n"/>
      <c r="V122" s="79" t="n"/>
      <c r="W122" s="79" t="n"/>
      <c r="X122" s="79" t="n"/>
      <c r="Y122" s="79" t="n"/>
      <c r="Z122" s="79" t="n"/>
      <c r="AA122" s="79" t="n"/>
      <c r="AB122" s="79" t="n"/>
      <c r="AC122" s="79" t="n"/>
      <c r="AD122" s="79" t="n"/>
      <c r="AE122" s="79" t="n"/>
      <c r="AF122" s="79" t="n"/>
      <c r="AG122" s="79" t="n"/>
      <c r="AH122" s="80" t="n"/>
      <c r="AI122" s="80" t="n"/>
      <c r="AJ122" s="80" t="n"/>
      <c r="AK122" s="80" t="n"/>
      <c r="AL122" s="80" t="n"/>
      <c r="AM122" s="80" t="n"/>
      <c r="AN122" s="80" t="n"/>
      <c r="AO122" s="80" t="n"/>
      <c r="AP122" s="80" t="n"/>
      <c r="AQ122" s="80" t="n"/>
      <c r="AR122" s="80" t="n"/>
      <c r="AS122" s="80" t="n"/>
      <c r="AT122" s="81" t="n"/>
      <c r="AU122" s="81" t="n"/>
      <c r="AV122" s="81" t="n"/>
      <c r="AW122" s="82" t="n"/>
      <c r="AX122" s="82" t="n"/>
      <c r="AY122" s="82" t="n"/>
      <c r="AZ122" s="82" t="n"/>
      <c r="BA122" s="82" t="n"/>
      <c r="BB122" s="83" t="n"/>
      <c r="BC122" s="83" t="n"/>
      <c r="BD122" s="84">
        <f>IF($A122="","",IF($DJ122&lt;&gt;"","FIX",IF($DK122&lt;&gt;"","CHECK","OK")))</f>
        <v/>
      </c>
      <c r="BE122" s="85">
        <f>IF($A122="","",IF($DJ122&lt;&gt;"","FIX: "&amp;LEFT($DJ122,LEN($DJ122)-2)&amp;IF($DK122&lt;&gt;"","  ·  ",""),"")&amp;IF($DK122&lt;&gt;"","CHECK: "&amp;LEFT($DK122,LEN($DK122)-2),""))</f>
        <v/>
      </c>
      <c r="BF122" s="84">
        <f>IF(OR($A122="",$K122=""),"",$K122&amp;"'-"&amp;N($L122)&amp;CHAR(34)&amp;" x "&amp;$M122&amp;"'-"&amp;N($N122)&amp;CHAR(34))</f>
        <v/>
      </c>
      <c r="BG122" s="84">
        <f>IF(OR($A122="",$K122=""),"",$K122&amp;N($L122)&amp;$M122&amp;N($N122))</f>
        <v/>
      </c>
      <c r="BH122" s="84">
        <f>IF(OR($A122="",$K122=""),"",$K122*12+N($L122))</f>
        <v/>
      </c>
      <c r="BI122" s="84">
        <f>IF(OR($A122="",$M122=""),"",$M122*12+N($N122))</f>
        <v/>
      </c>
      <c r="BJ122" s="84">
        <f>IF($A122="","",IF(OR($C122="FRAME ONLY",$S122="BL"),0,IF($O122="Y",2,1)))</f>
        <v/>
      </c>
      <c r="BK122" s="86">
        <f>IF(OR(N($BJ122)=0,$BH122=""),"",($BH122-2*EdgeClr-IF($BJ122=2,MeetClr,0))/$BJ122)</f>
        <v/>
      </c>
      <c r="BL122" s="86">
        <f>IF(OR(N($BJ122)=0,$BI122=""),"",$BI122-HeadClr-Undercut)</f>
        <v/>
      </c>
      <c r="BM122" s="86">
        <f>IF($BH122="","",$BH122+2*FaceW+IF(N($Q122)&gt;0,($Q122+FaceW)*IF($R122="LR",2,1),0))</f>
        <v/>
      </c>
      <c r="BN122" s="86">
        <f>IF($BI122="","",$BI122+IF($AB122="Y",4,FaceW)+IF(N($P122)&gt;0,$P122+FaceW,0)+IF(OR($S122="4F",$S122="BL"),FaceW,0))</f>
        <v/>
      </c>
      <c r="BO122" s="86">
        <f>IF($BM122="","",$BM122+2*ROSide)</f>
        <v/>
      </c>
      <c r="BP122" s="86">
        <f>IF($BN122="","",$BN122+ROTop)</f>
        <v/>
      </c>
      <c r="BQ122" s="87">
        <f>IF(OR(N($BJ122)=0,$BH122=""),"",$BH122/$BJ122-ClearDeduct)</f>
        <v/>
      </c>
      <c r="BR122" s="84">
        <f>IF(N($CH122)=0,"",IF($CH122&gt;=180,"A · 3 HR",IF($CH122&gt;=90,"B · 1-1/2 HR",IF($CH122&gt;=60,"B · 1 HR",IF($CH122&gt;=45,"C · 3/4 HR","20 MIN")))))&amp;IF(AND(N($CH122)&gt;0,OR($I122="CORRIDOR",$I122="SMOKE BARRIER"))," · S","")</f>
        <v/>
      </c>
      <c r="BS122" s="84">
        <f>IF($CS122,"",IF($AV122&lt;&gt;"",$AV122,IF(OR($AC122="HGC",$AO122="HGC"),"CONT",IF(($BI122-HeadClr-Undercut)&lt;=60,2,IF(($BI122-HeadClr-Undercut)&lt;=90,3,IF(($BI122-HeadClr-Undercut)&lt;=120,4,5))))))</f>
        <v/>
      </c>
      <c r="BT122" s="84">
        <f>IF($CS122,"",IF($CT122,"CUSTOM (typed)",IF($CV122,$AT122&amp;" "&amp;$CU122&amp;CHAR(34)&amp;IF($CU122&lt;&gt;$BI122,IF(AND($BI122&lt;$CU122,$BI122-IF(N(VLOOKUP($AT122&amp;"|"&amp;$CU122,LocTable,7,FALSE))&gt;0,VLOOKUP($AT122&amp;"|"&amp;$CU122,LocTable,7,FALSE),VLOOKUP($AT122&amp;"|"&amp;$CU122,LocTable,6,FALSE))-$CR122-0.75&gt;=2.125)," cut down"," adj."),""),"ANSI/SDI A250.6")))</f>
        <v/>
      </c>
      <c r="BU122" s="88">
        <f>IF($CS122,"",IF($CT122,IF(N($AW122)&gt;0,N($AW122),""),IF(1&gt;$CQ122,"",IF($CQ122=1,$CW122,$CW122+($CX122-$CW122)*0/($CQ122-1)))))</f>
        <v/>
      </c>
      <c r="BV122" s="88">
        <f>IF($CS122,"",IF($CT122,IF(N($AX122)&gt;0,N($AX122),""),IF(2&gt;$CQ122,"",IF($CQ122=1,$CW122,$CW122+($CX122-$CW122)*1/($CQ122-1)))))</f>
        <v/>
      </c>
      <c r="BW122" s="88">
        <f>IF($CS122,"",IF($CT122,IF(N($AY122)&gt;0,N($AY122),""),IF(3&gt;$CQ122,"",IF($CQ122=1,$CW122,$CW122+($CX122-$CW122)*2/($CQ122-1)))))</f>
        <v/>
      </c>
      <c r="BX122" s="88">
        <f>IF($CS122,"",IF($CT122,IF(N($AZ122)&gt;0,N($AZ122),""),IF(4&gt;$CQ122,"",IF($CQ122=1,$CW122,$CW122+($CX122-$CW122)*3/($CQ122-1)))))</f>
        <v/>
      </c>
      <c r="BY122" s="88">
        <f>IF($CS122,"",IF($CT122,"",IF(5&gt;$CQ122,"",IF($CQ122=1,$CW122,$CW122+($CX122-$CW122)*4/($CQ122-1)))))</f>
        <v/>
      </c>
      <c r="BZ122" s="88">
        <f>IF(OR($CS122,$AP122="-",AND($AP122="",$AD122="")),"",IF(N($BA122)&gt;0,N($BA122),IF($CV122,IF(AND($BI122&lt;$CU122,$BI122-IF(N(VLOOKUP($AT122&amp;"|"&amp;$CU122,LocTable,7,FALSE))&gt;0,VLOOKUP($AT122&amp;"|"&amp;$CU122,LocTable,7,FALSE),VLOOKUP($AT122&amp;"|"&amp;$CU122,LocTable,6,FALSE))-$CR122-0.75&gt;=2.125),VLOOKUP($AT122&amp;"|"&amp;$CU122,LocTable,8,FALSE),VLOOKUP($AT122&amp;"|"&amp;$CU122,LocTable,8,FALSE)+($BI122-$CU122)),$BI122-LockAFF)))</f>
        <v/>
      </c>
      <c r="CA122" s="89">
        <f>IF($BZ122="","",$BI122-$BZ122)</f>
        <v/>
      </c>
      <c r="CB122" s="84">
        <f>IF(OR(NOT(AND($A122&lt;&gt;"",$C122&lt;&gt;"DOOR ONLY")),$BI122=""),"",IF(($BI122+IF(N($P122)&gt;0,$P122+FaceW,0))&lt;=90,3,IF(($BI122+IF(N($P122)&gt;0,$P122+FaceW,0))&lt;=114,4,5)))</f>
        <v/>
      </c>
      <c r="CC122" s="84">
        <f>IF($CB122="","",$CB122*(2+IF(N($Q122)&gt;0,IF($R122="LR",2,1),0)))</f>
        <v/>
      </c>
      <c r="CD122" s="84">
        <f>IF($CB122="","",(2+IF(N($Q122)&gt;0,IF($R122="LR",2,1),0)))</f>
        <v/>
      </c>
      <c r="CE122" s="84">
        <f>IF(N($BJ122)=0,"",IF(OR($AL122="",$AL122="FLUSH"),"FLUSH",IFERROR(LEFT($AL122,FIND("-",$AL122)-1),LEFT($AL122,2))))</f>
        <v/>
      </c>
      <c r="CF122" s="84">
        <f>IF($CE122="","",IFERROR(VALUE(MID($AL122,FIND("-",$AL122)+1,FIND(CHAR(34)&amp;"x",$AL122)-FIND("-",$AL122)-1)),0))</f>
        <v/>
      </c>
      <c r="CG122" s="84">
        <f>IF($CE122="","",IFERROR(VALUE(MID($AL122,FIND(CHAR(34)&amp;"x",$AL122)+2,FIND(CHAR(34),$AL122,FIND(CHAR(34)&amp;"x",$AL122)+2)-FIND(CHAR(34)&amp;"x",$AL122)-2)),0))</f>
        <v/>
      </c>
      <c r="CH122" s="90">
        <f>IF(OR($A122="",$H122="",$H122="NO LAB"),0,IFERROR(VALUE(LEFT($H122,FIND(" ",$H122)-1)),0))</f>
        <v/>
      </c>
      <c r="CI122" s="91">
        <f>IF(OR($A122="",$I122="",$I122="NON-RATED",N($J122)=0),"",IFERROR(VLOOKUP($I122&amp;"|"&amp;$J122,IBC,2,FALSE),"?"))</f>
        <v/>
      </c>
      <c r="CJ122" s="85">
        <f>IF(NOT(AND($A122&lt;&gt;"",$C122&lt;&gt;"DOOR ONLY")),"",TRIM(IFERROR(VLOOKUP($U122,CODES,2,FALSE),"")&amp;" "&amp;$BG122&amp;" "&amp;IFERROR(VLOOKUP($Z122,CODES,2,FALSE),"")&amp;" "&amp;IFERROR(VLOOKUP($X122,CODES,2,FALSE),"")&amp;" "&amp;IFERROR(VLOOKUP($S122,CODES,2,FALSE),"")&amp;IF(N($P122)&gt;0," w/TRANSOM "&amp;$P122&amp;CHAR(34),"")&amp;IF(N($Q122)&gt;0," w/SIDELITE "&amp;$Q122&amp;CHAR(34)&amp;" "&amp;IF($R122="","R",$R122),"")&amp;IF($Y122="","  |  "," | "&amp;IFERROR(VLOOKUP($Y122,CODES,2,FALSE),"")&amp;" | ")&amp;IFERROR(VLOOKUP($AC122,CODES,2,FALSE),"")&amp;" "&amp;IFERROR(VLOOKUP($AD122,CODES,2,FALSE),"")&amp;IF(OR($AE122="",$AE122="-"),""," "&amp;$AE122)&amp;IF(OR($AF122="",$AF122="-"),""," "&amp;$AF122)&amp;IF($AB122="Y"," 4"&amp;CHAR(34)&amp;" HEAD","")&amp;" "&amp;IFERROR(VLOOKUP($H122,CODES,2,FALSE),"")&amp;IF($CT122," | LOC "&amp;$CY122,"")))</f>
        <v/>
      </c>
      <c r="CK122" s="85">
        <f>IF(NOT(AND($A122&lt;&gt;"",N($BJ122)&gt;0)),"",TRIM(IFERROR(VLOOKUP($AH122,CODES,2,FALSE),"")&amp;IF($AI122=""," "," "&amp;$AI122&amp;"GA ")&amp;$BG122&amp;" "&amp;IF($AN122="",IFERROR(VLOOKUP($Z122,CODES,2,FALSE),""),IFERROR(VLOOKUP($AN122,CODES,2,FALSE),""))&amp;IF($BJ122=2," PAIR","")&amp;" DOOR | "&amp;IF($AL122="","?",$AL122)&amp;" | "&amp;IF($AO122="",IFERROR(VLOOKUP($AC122,CODES,2,FALSE),""),IFERROR(VLOOKUP($AO122,CODES,2,FALSE),""))&amp;" "&amp;IFERROR(VLOOKUP($AP122,CODES,2,FALSE),"")&amp;IF(OR($AQ122="",$AQ122="-"),""," SEAM "&amp;$AQ122)&amp;IF($AR122="Y"," ASTRAGAL","")&amp;IF($AJ122=""," "," "&amp;$AJ122)&amp;IF($AK122=""," "," "&amp;$AK122)&amp;IF(OR($AT122="",$AT122="ANSI/SDI",$AT122="CUSTOM LOC"),""," "&amp;$AT122)&amp;IF($AM122=""," "," SERIES "&amp;$AM122)&amp;" "&amp;IFERROR(VLOOKUP($H122,CODES,2,FALSE),"")&amp;IF($CT122," | LOC "&amp;$CZ122,"")))</f>
        <v/>
      </c>
      <c r="CL122" s="84">
        <f>IF(CP122="","",IF(COUNTIF($CP$6:CP122,CP122)=1,MAX($CL$5:CL121)+1,INDEX($CL$5:CL121,MATCH(CP122,$CP$5:CP121,0))))</f>
        <v/>
      </c>
      <c r="CM122" s="84">
        <f>IF(NOT(AND($A122&lt;&gt;"",$C122&lt;&gt;"DOOR ONLY")),"",MAX($CM$5:CM121)+1)</f>
        <v/>
      </c>
      <c r="CN122" s="84">
        <f>IF(NOT(AND($A122&lt;&gt;"",N($BJ122)&gt;0)),"",MAX($CN$5:CN121)+1)</f>
        <v/>
      </c>
      <c r="CO122" s="84">
        <f>IF($A122="","",MAX($CO$5:CO121)+1)</f>
        <v/>
      </c>
      <c r="CP122" s="84">
        <f>IF(OR($A122="",$BH122="",$BI122=""),"",$BG122&amp;"|"&amp;$O122&amp;"|"&amp;$AL122&amp;"|"&amp;$S122&amp;"|"&amp;$P122&amp;"|"&amp;$Q122&amp;$R122&amp;"|"&amp;$C122&amp;"|"&amp;$AB122)</f>
        <v/>
      </c>
      <c r="CQ122" s="84">
        <f>N($BS122)</f>
        <v/>
      </c>
      <c r="CR122" s="84">
        <f>IF(N($AU122)&gt;0,N($AU122),4.5)</f>
        <v/>
      </c>
      <c r="CS122" s="84">
        <f>OR($A122="",$BI122="",$S122="BL",AND($C122="FRAME ONLY",OR($AC122="",$AC122="BLK")))</f>
        <v/>
      </c>
      <c r="CT122" s="84">
        <f>AND(NOT($CS122),OR($AT122="CUSTOM LOC",N($AW122)+N($AX122)+N($AY122)+N($AZ122)+N($BA122)&gt;0))</f>
        <v/>
      </c>
      <c r="CU122" s="84">
        <f>IF($BI122="","",IF($BI122&lt;=80,80,IF($BI122&lt;=84,84,96)))</f>
        <v/>
      </c>
      <c r="CV122" s="84">
        <f>ISNUMBER(MATCH($AT122&amp;"|80",LocKeys,0))</f>
        <v/>
      </c>
      <c r="CW122" s="86">
        <f>IF($CS122,"",IF($CV122,VLOOKUP($AT122&amp;"|"&amp;$CU122,LocTable,4,FALSE),5))</f>
        <v/>
      </c>
      <c r="CX122" s="86">
        <f>IF($CS122,"",IF($CV122,IF(OR($BI122=$CU122,AND($BI122&lt;$CU122,$BI122-IF(N(VLOOKUP($AT122&amp;"|"&amp;$CU122,LocTable,7,FALSE))&gt;0,VLOOKUP($AT122&amp;"|"&amp;$CU122,LocTable,7,FALSE),VLOOKUP($AT122&amp;"|"&amp;$CU122,LocTable,6,FALSE))-$CR122-0.75&gt;=2.125)),IF(N(VLOOKUP($AT122&amp;"|"&amp;$CU122,LocTable,7,FALSE))&gt;0,VLOOKUP($AT122&amp;"|"&amp;$CU122,LocTable,7,FALSE),VLOOKUP($AT122&amp;"|"&amp;$CU122,LocTable,6,FALSE)),$BI122-($CU122-IF(N(VLOOKUP($AT122&amp;"|"&amp;$CU122,LocTable,7,FALSE))&gt;0,VLOOKUP($AT122&amp;"|"&amp;$CU122,LocTable,7,FALSE),VLOOKUP($AT122&amp;"|"&amp;$CU122,LocTable,6,FALSE)))),$BI122-10-$CR122))</f>
        <v/>
      </c>
      <c r="CY122" s="85">
        <f>IF($CS122,"",TRIM(IF(ISNUMBER($BU122),"A "&amp;TRIM(TEXT($BU122,"# ?/??"))&amp;CHAR(34)&amp;"  ","")&amp;IF(ISNUMBER($BV122),"B "&amp;TRIM(TEXT($BV122,"# ?/??"))&amp;CHAR(34)&amp;"  ","")&amp;IF(ISNUMBER($BW122),"C "&amp;TRIM(TEXT($BW122,"# ?/??"))&amp;CHAR(34)&amp;"  ","")&amp;IF(ISNUMBER($BX122),"D "&amp;TRIM(TEXT($BX122,"# ?/??"))&amp;CHAR(34)&amp;"  ","")&amp;IF(ISNUMBER($BY122),"F "&amp;TRIM(TEXT($BY122,"# ?/??"))&amp;CHAR(34)&amp;"  ","")&amp;IF(ISNUMBER($BZ122),"E "&amp;TRIM(TEXT($BZ122,"# ?/??"))&amp;CHAR(34)&amp;"  ","")))</f>
        <v/>
      </c>
      <c r="CZ122" s="85">
        <f>IF(OR($CS122,N($BJ122)=0),"",TRIM(IF(ISNUMBER($BU122),"A "&amp;TRIM(TEXT($BU122-HeadClr,"# ?/??"))&amp;CHAR(34)&amp;"  ","")&amp;IF(ISNUMBER($BV122),"B "&amp;TRIM(TEXT($BV122-HeadClr,"# ?/??"))&amp;CHAR(34)&amp;"  ","")&amp;IF(ISNUMBER($BW122),"C "&amp;TRIM(TEXT($BW122-HeadClr,"# ?/??"))&amp;CHAR(34)&amp;"  ","")&amp;IF(ISNUMBER($BX122),"D "&amp;TRIM(TEXT($BX122-HeadClr,"# ?/??"))&amp;CHAR(34)&amp;"  ","")&amp;IF(ISNUMBER($BY122),"F "&amp;TRIM(TEXT($BY122-HeadClr,"# ?/??"))&amp;CHAR(34)&amp;"  ","")&amp;IF(ISNUMBER($BZ122),"E "&amp;TRIM(TEXT($BZ122-HeadClr,"# ?/??"))&amp;CHAR(34)&amp;"  ","")))</f>
        <v/>
      </c>
      <c r="DA122" s="84">
        <f>IF($A122="","",IF($AN122="",IFERROR(VLOOKUP($Z122,CODES,2,FALSE),""),IFERROR(VLOOKUP($AN122,CODES,2,FALSE),"")))</f>
        <v/>
      </c>
      <c r="DB122" s="84">
        <f>IF($A122="","",IF($O122="Y","PR",IF(OR($Z122="L",$Z122="RR",LEFT($Z122,2)="L-",LEFT($Z122,3)="RR-"),"LH","RH")))</f>
        <v/>
      </c>
      <c r="DC122" s="84">
        <f>IF($A122="","","S.HM"&amp;IF(OR($C122="DOOR ONLY",$X122&lt;&gt;"KD"),"MASONRY","DRYWALL")&amp;IF($C122="DOOR ONLY","",$U122)&amp;IF(AND($C122&lt;&gt;"FRAME ONLY",OR(LEFT($AH122,3)="OAK",LEFT($AH122,3)="BIR",LEFT($AH122,3)="MAP",$AH122="PC",$AH122="MC",$AH122="SCLC",$AH122="P-LAM")),"WD","HM")&amp;"1.75")</f>
        <v/>
      </c>
      <c r="DD122" s="84">
        <f>IF($CJ122="","",IF($O122="Y",$CJ122,SUBSTITUTE($CJ122,$BG122&amp;" "&amp;IFERROR(VLOOKUP($Z122,CODES,2,FALSE),"")&amp;" ",$BG122&amp;" ")))</f>
        <v/>
      </c>
      <c r="DE122" s="84">
        <f>IF($CK122="","",IF($O122="Y",$CK122,SUBSTITUTE($CK122,$BG122&amp;" "&amp;IF($AN122="",IFERROR(VLOOKUP($Z122,CODES,2,FALSE),""),IFERROR(VLOOKUP($AN122,CODES,2,FALSE),""))&amp;" ",$BG122&amp;" ")))</f>
        <v/>
      </c>
      <c r="DF122" s="84">
        <f>IF($CJ122="","",$DC122&amp;"|"&amp;$DD122&amp;"|"&amp;$DB122&amp;"|"&amp;$AT122&amp;"|"&amp;$V122&amp;"|"&amp;$Y122&amp;"|"&amp;$AB122)</f>
        <v/>
      </c>
      <c r="DG122" s="84">
        <f>IF(DF122="","",IF(COUNTIF($DF$6:DF122,DF122)=1,MAX($DG$5:DG121)+1,INDEX($DG$5:DG121,MATCH(DF122,$DF$5:DF121,0))))</f>
        <v/>
      </c>
      <c r="DH122" s="84">
        <f>IF($CK122="","",$DC122&amp;"|"&amp;$DE122&amp;"|"&amp;$AI122&amp;"|"&amp;$BK122&amp;"|"&amp;$BL122)</f>
        <v/>
      </c>
      <c r="DI122" s="84">
        <f>IF(DH122="","",IF(COUNTIF($DH$6:DH122,DH122)=1,MAX($DI$5:DI121)+1,INDEX($DI$5:DI121,MATCH(DH122,$DH$5:DH121,0))))</f>
        <v/>
      </c>
      <c r="DJ122" s="84">
        <f>IF($A122="","",IF($B122="","qty, ","")&amp;IF($C122="","scope, ","")&amp;IF(OR($K122="",$M122=""),"size, ","")&amp;IF(AND($A122&lt;&gt;"",$C122&lt;&gt;"DOOR ONLY"),IF($U122="","jamb depth, ","")&amp;IF($X122="","construction, ","")&amp;IF($Y122="","anchor, ","")&amp;IF($S122="","frame type, ",""),"")&amp;IF(AND(N($BJ122)&gt;0,$Z122=""),"hand, ","")&amp;IF(N($BJ122)&gt;0,IF($AH122="","door material, ","")&amp;IF($AL122="","face type, ","")&amp;IF($AP122="","lock prep, ","")&amp;IF(AND($AO122="",$AC122=""),"hinge prep, ",""),"")&amp;IF(AND($CH122&gt;0,$AH122="FRP"),"FRP cannot carry a label, ","")&amp;IF(AND($O122="Y",OR($Z122="L",$Z122="R",$Z122="LR",$Z122="RR")),"pair marked but hand is single, ","")&amp;IF(AND($O122&lt;&gt;"Y",OR($Z122="PR",AND(LEN($Z122)&gt;1,ISNUMBER(SEARCH("-",$Z122))))),"pair hand on a single door, ","")&amp;IF(AND(ISNUMBER($CI122),$CH122&lt;N($CI122)),"wall needs a "&amp;$CI122&amp;" min door, ","")&amp;IF(AND($CH122&gt;=180,AND(OR($CE122="FG",$CE122="HG",$CE122="FNV",$CE122="FV"),N($CF122)*N($CG122)&gt;100)),"180 min lite over 100 sq in, ","")&amp;IF(N($BK122)&gt;48,"leaf wider than 4'-0"&amp;CHAR(34)&amp;", ","")&amp;IF(AND($CT122,COUNT($AW122:$AZ122)=0,$CQ122&gt;0),"CUSTOM LOC with no locations typed, ",""))</f>
        <v/>
      </c>
      <c r="DK122" s="84">
        <f>IF($A122="","",IF(AND($CH122&gt;0,AND($A122&lt;&gt;"",$C122&lt;&gt;"DOOR ONLY"),$X122="KD",$E122="EXTERIOR"),"KD label on an exterior opening, ","")&amp;IF(AND($E122="EXTERIOR",OR(AND(AND($A122&lt;&gt;"",$C122&lt;&gt;"DOOR ONLY"),$W122="CR"),AND(N($BJ122)&gt;0,$AH122="CR"))),"exterior in CR steel (G9?), ","")&amp;IF(AND(ISNUMBER($BQ122),N($BQ122)&lt;32),"clear width ~"&amp;TEXT($BQ122,"0.0")&amp;CHAR(34)&amp;" under 32"&amp;CHAR(34)&amp;" (ADA), ","")&amp;IF(AND($CH122=90,AND(OR($CE122="FG",$CE122="HG",$CE122="FNV",$CE122="FV"),N($CF122)*N($CG122)&gt;100)),"90 min lite over 100 sq in (stair/exit), ","")&amp;IF(AND($CH122&gt;0,AND($A122&lt;&gt;"",$C122&lt;&gt;"DOOR ONLY"),OR($AF122="",$AF122="-")),"rated: closer reinf.?, ","")&amp;IF(OR($I122="CORRIDOR",$I122="SMOKE BARRIER"),"S label + smoke gasketing, ","")&amp;IF($CI122="?","wall type/hr not in IBC table, ","")&amp;IF(AND(N($BJ122)&gt;0,$BB122=""),"no hardware set, ","")&amp;IF(AND($BB122&lt;&gt;"",ISNA(MATCH($BB122&amp;"",HWSets,0))),"set "&amp;$BB122&amp;" not on HW Sets, ","")&amp;IF(N($BL122)&gt;96,"leaf over 8'-0"&amp;CHAR(34)&amp;" - check listing, ","")&amp;IF(AND($CT122,COUNT($AW122:$AZ122)&gt;0,COUNT($AW122:$AZ122)&lt;&gt;$CQ122),COUNT($AW122:$AZ122)&amp;" custom hinges typed, "&amp;$CQ122&amp;" expected, ","")&amp;IF(AND(ISNUMBER($CA122),OR(N($CA122)&lt;34,N($CA122)&gt;48)),"lock "&amp;TEXT($CA122,"0.0")&amp;CHAR(34)&amp;" AFF outside 34-48"&amp;CHAR(34)&amp;" (ADA), ","")&amp;IF(AND(ISNUMBER($AV122),ISNUMBER($BL122),N($AV122)&lt;IF(N($BL122)&lt;=60,2,IF(N($BL122)&lt;=90,3,IF(N($BL122)&lt;=120,4,5)))),"fewer hinges than standard, ",""))</f>
        <v/>
      </c>
    </row>
    <row r="123" ht="15" customHeight="1">
      <c r="A123" s="77" t="n"/>
      <c r="B123" s="78" t="n"/>
      <c r="C123" s="78" t="n"/>
      <c r="D123" s="78" t="n"/>
      <c r="E123" s="78" t="n"/>
      <c r="F123" s="78" t="n"/>
      <c r="G123" s="78" t="n"/>
      <c r="H123" s="78" t="n"/>
      <c r="I123" s="78" t="n"/>
      <c r="J123" s="78" t="n"/>
      <c r="K123" s="78" t="n"/>
      <c r="L123" s="78" t="n"/>
      <c r="M123" s="78" t="n"/>
      <c r="N123" s="78" t="n"/>
      <c r="O123" s="78" t="n"/>
      <c r="P123" s="78" t="n"/>
      <c r="Q123" s="78" t="n"/>
      <c r="R123" s="78" t="n"/>
      <c r="S123" s="79" t="n"/>
      <c r="T123" s="79" t="n"/>
      <c r="U123" s="79" t="n"/>
      <c r="V123" s="79" t="n"/>
      <c r="W123" s="79" t="n"/>
      <c r="X123" s="79" t="n"/>
      <c r="Y123" s="79" t="n"/>
      <c r="Z123" s="79" t="n"/>
      <c r="AA123" s="79" t="n"/>
      <c r="AB123" s="79" t="n"/>
      <c r="AC123" s="79" t="n"/>
      <c r="AD123" s="79" t="n"/>
      <c r="AE123" s="79" t="n"/>
      <c r="AF123" s="79" t="n"/>
      <c r="AG123" s="79" t="n"/>
      <c r="AH123" s="80" t="n"/>
      <c r="AI123" s="80" t="n"/>
      <c r="AJ123" s="80" t="n"/>
      <c r="AK123" s="80" t="n"/>
      <c r="AL123" s="80" t="n"/>
      <c r="AM123" s="80" t="n"/>
      <c r="AN123" s="80" t="n"/>
      <c r="AO123" s="80" t="n"/>
      <c r="AP123" s="80" t="n"/>
      <c r="AQ123" s="80" t="n"/>
      <c r="AR123" s="80" t="n"/>
      <c r="AS123" s="80" t="n"/>
      <c r="AT123" s="81" t="n"/>
      <c r="AU123" s="81" t="n"/>
      <c r="AV123" s="81" t="n"/>
      <c r="AW123" s="82" t="n"/>
      <c r="AX123" s="82" t="n"/>
      <c r="AY123" s="82" t="n"/>
      <c r="AZ123" s="82" t="n"/>
      <c r="BA123" s="82" t="n"/>
      <c r="BB123" s="83" t="n"/>
      <c r="BC123" s="83" t="n"/>
      <c r="BD123" s="84">
        <f>IF($A123="","",IF($DJ123&lt;&gt;"","FIX",IF($DK123&lt;&gt;"","CHECK","OK")))</f>
        <v/>
      </c>
      <c r="BE123" s="85">
        <f>IF($A123="","",IF($DJ123&lt;&gt;"","FIX: "&amp;LEFT($DJ123,LEN($DJ123)-2)&amp;IF($DK123&lt;&gt;"","  ·  ",""),"")&amp;IF($DK123&lt;&gt;"","CHECK: "&amp;LEFT($DK123,LEN($DK123)-2),""))</f>
        <v/>
      </c>
      <c r="BF123" s="84">
        <f>IF(OR($A123="",$K123=""),"",$K123&amp;"'-"&amp;N($L123)&amp;CHAR(34)&amp;" x "&amp;$M123&amp;"'-"&amp;N($N123)&amp;CHAR(34))</f>
        <v/>
      </c>
      <c r="BG123" s="84">
        <f>IF(OR($A123="",$K123=""),"",$K123&amp;N($L123)&amp;$M123&amp;N($N123))</f>
        <v/>
      </c>
      <c r="BH123" s="84">
        <f>IF(OR($A123="",$K123=""),"",$K123*12+N($L123))</f>
        <v/>
      </c>
      <c r="BI123" s="84">
        <f>IF(OR($A123="",$M123=""),"",$M123*12+N($N123))</f>
        <v/>
      </c>
      <c r="BJ123" s="84">
        <f>IF($A123="","",IF(OR($C123="FRAME ONLY",$S123="BL"),0,IF($O123="Y",2,1)))</f>
        <v/>
      </c>
      <c r="BK123" s="86">
        <f>IF(OR(N($BJ123)=0,$BH123=""),"",($BH123-2*EdgeClr-IF($BJ123=2,MeetClr,0))/$BJ123)</f>
        <v/>
      </c>
      <c r="BL123" s="86">
        <f>IF(OR(N($BJ123)=0,$BI123=""),"",$BI123-HeadClr-Undercut)</f>
        <v/>
      </c>
      <c r="BM123" s="86">
        <f>IF($BH123="","",$BH123+2*FaceW+IF(N($Q123)&gt;0,($Q123+FaceW)*IF($R123="LR",2,1),0))</f>
        <v/>
      </c>
      <c r="BN123" s="86">
        <f>IF($BI123="","",$BI123+IF($AB123="Y",4,FaceW)+IF(N($P123)&gt;0,$P123+FaceW,0)+IF(OR($S123="4F",$S123="BL"),FaceW,0))</f>
        <v/>
      </c>
      <c r="BO123" s="86">
        <f>IF($BM123="","",$BM123+2*ROSide)</f>
        <v/>
      </c>
      <c r="BP123" s="86">
        <f>IF($BN123="","",$BN123+ROTop)</f>
        <v/>
      </c>
      <c r="BQ123" s="87">
        <f>IF(OR(N($BJ123)=0,$BH123=""),"",$BH123/$BJ123-ClearDeduct)</f>
        <v/>
      </c>
      <c r="BR123" s="84">
        <f>IF(N($CH123)=0,"",IF($CH123&gt;=180,"A · 3 HR",IF($CH123&gt;=90,"B · 1-1/2 HR",IF($CH123&gt;=60,"B · 1 HR",IF($CH123&gt;=45,"C · 3/4 HR","20 MIN")))))&amp;IF(AND(N($CH123)&gt;0,OR($I123="CORRIDOR",$I123="SMOKE BARRIER"))," · S","")</f>
        <v/>
      </c>
      <c r="BS123" s="84">
        <f>IF($CS123,"",IF($AV123&lt;&gt;"",$AV123,IF(OR($AC123="HGC",$AO123="HGC"),"CONT",IF(($BI123-HeadClr-Undercut)&lt;=60,2,IF(($BI123-HeadClr-Undercut)&lt;=90,3,IF(($BI123-HeadClr-Undercut)&lt;=120,4,5))))))</f>
        <v/>
      </c>
      <c r="BT123" s="84">
        <f>IF($CS123,"",IF($CT123,"CUSTOM (typed)",IF($CV123,$AT123&amp;" "&amp;$CU123&amp;CHAR(34)&amp;IF($CU123&lt;&gt;$BI123,IF(AND($BI123&lt;$CU123,$BI123-IF(N(VLOOKUP($AT123&amp;"|"&amp;$CU123,LocTable,7,FALSE))&gt;0,VLOOKUP($AT123&amp;"|"&amp;$CU123,LocTable,7,FALSE),VLOOKUP($AT123&amp;"|"&amp;$CU123,LocTable,6,FALSE))-$CR123-0.75&gt;=2.125)," cut down"," adj."),""),"ANSI/SDI A250.6")))</f>
        <v/>
      </c>
      <c r="BU123" s="88">
        <f>IF($CS123,"",IF($CT123,IF(N($AW123)&gt;0,N($AW123),""),IF(1&gt;$CQ123,"",IF($CQ123=1,$CW123,$CW123+($CX123-$CW123)*0/($CQ123-1)))))</f>
        <v/>
      </c>
      <c r="BV123" s="88">
        <f>IF($CS123,"",IF($CT123,IF(N($AX123)&gt;0,N($AX123),""),IF(2&gt;$CQ123,"",IF($CQ123=1,$CW123,$CW123+($CX123-$CW123)*1/($CQ123-1)))))</f>
        <v/>
      </c>
      <c r="BW123" s="88">
        <f>IF($CS123,"",IF($CT123,IF(N($AY123)&gt;0,N($AY123),""),IF(3&gt;$CQ123,"",IF($CQ123=1,$CW123,$CW123+($CX123-$CW123)*2/($CQ123-1)))))</f>
        <v/>
      </c>
      <c r="BX123" s="88">
        <f>IF($CS123,"",IF($CT123,IF(N($AZ123)&gt;0,N($AZ123),""),IF(4&gt;$CQ123,"",IF($CQ123=1,$CW123,$CW123+($CX123-$CW123)*3/($CQ123-1)))))</f>
        <v/>
      </c>
      <c r="BY123" s="88">
        <f>IF($CS123,"",IF($CT123,"",IF(5&gt;$CQ123,"",IF($CQ123=1,$CW123,$CW123+($CX123-$CW123)*4/($CQ123-1)))))</f>
        <v/>
      </c>
      <c r="BZ123" s="88">
        <f>IF(OR($CS123,$AP123="-",AND($AP123="",$AD123="")),"",IF(N($BA123)&gt;0,N($BA123),IF($CV123,IF(AND($BI123&lt;$CU123,$BI123-IF(N(VLOOKUP($AT123&amp;"|"&amp;$CU123,LocTable,7,FALSE))&gt;0,VLOOKUP($AT123&amp;"|"&amp;$CU123,LocTable,7,FALSE),VLOOKUP($AT123&amp;"|"&amp;$CU123,LocTable,6,FALSE))-$CR123-0.75&gt;=2.125),VLOOKUP($AT123&amp;"|"&amp;$CU123,LocTable,8,FALSE),VLOOKUP($AT123&amp;"|"&amp;$CU123,LocTable,8,FALSE)+($BI123-$CU123)),$BI123-LockAFF)))</f>
        <v/>
      </c>
      <c r="CA123" s="89">
        <f>IF($BZ123="","",$BI123-$BZ123)</f>
        <v/>
      </c>
      <c r="CB123" s="84">
        <f>IF(OR(NOT(AND($A123&lt;&gt;"",$C123&lt;&gt;"DOOR ONLY")),$BI123=""),"",IF(($BI123+IF(N($P123)&gt;0,$P123+FaceW,0))&lt;=90,3,IF(($BI123+IF(N($P123)&gt;0,$P123+FaceW,0))&lt;=114,4,5)))</f>
        <v/>
      </c>
      <c r="CC123" s="84">
        <f>IF($CB123="","",$CB123*(2+IF(N($Q123)&gt;0,IF($R123="LR",2,1),0)))</f>
        <v/>
      </c>
      <c r="CD123" s="84">
        <f>IF($CB123="","",(2+IF(N($Q123)&gt;0,IF($R123="LR",2,1),0)))</f>
        <v/>
      </c>
      <c r="CE123" s="84">
        <f>IF(N($BJ123)=0,"",IF(OR($AL123="",$AL123="FLUSH"),"FLUSH",IFERROR(LEFT($AL123,FIND("-",$AL123)-1),LEFT($AL123,2))))</f>
        <v/>
      </c>
      <c r="CF123" s="84">
        <f>IF($CE123="","",IFERROR(VALUE(MID($AL123,FIND("-",$AL123)+1,FIND(CHAR(34)&amp;"x",$AL123)-FIND("-",$AL123)-1)),0))</f>
        <v/>
      </c>
      <c r="CG123" s="84">
        <f>IF($CE123="","",IFERROR(VALUE(MID($AL123,FIND(CHAR(34)&amp;"x",$AL123)+2,FIND(CHAR(34),$AL123,FIND(CHAR(34)&amp;"x",$AL123)+2)-FIND(CHAR(34)&amp;"x",$AL123)-2)),0))</f>
        <v/>
      </c>
      <c r="CH123" s="90">
        <f>IF(OR($A123="",$H123="",$H123="NO LAB"),0,IFERROR(VALUE(LEFT($H123,FIND(" ",$H123)-1)),0))</f>
        <v/>
      </c>
      <c r="CI123" s="91">
        <f>IF(OR($A123="",$I123="",$I123="NON-RATED",N($J123)=0),"",IFERROR(VLOOKUP($I123&amp;"|"&amp;$J123,IBC,2,FALSE),"?"))</f>
        <v/>
      </c>
      <c r="CJ123" s="85">
        <f>IF(NOT(AND($A123&lt;&gt;"",$C123&lt;&gt;"DOOR ONLY")),"",TRIM(IFERROR(VLOOKUP($U123,CODES,2,FALSE),"")&amp;" "&amp;$BG123&amp;" "&amp;IFERROR(VLOOKUP($Z123,CODES,2,FALSE),"")&amp;" "&amp;IFERROR(VLOOKUP($X123,CODES,2,FALSE),"")&amp;" "&amp;IFERROR(VLOOKUP($S123,CODES,2,FALSE),"")&amp;IF(N($P123)&gt;0," w/TRANSOM "&amp;$P123&amp;CHAR(34),"")&amp;IF(N($Q123)&gt;0," w/SIDELITE "&amp;$Q123&amp;CHAR(34)&amp;" "&amp;IF($R123="","R",$R123),"")&amp;IF($Y123="","  |  "," | "&amp;IFERROR(VLOOKUP($Y123,CODES,2,FALSE),"")&amp;" | ")&amp;IFERROR(VLOOKUP($AC123,CODES,2,FALSE),"")&amp;" "&amp;IFERROR(VLOOKUP($AD123,CODES,2,FALSE),"")&amp;IF(OR($AE123="",$AE123="-"),""," "&amp;$AE123)&amp;IF(OR($AF123="",$AF123="-"),""," "&amp;$AF123)&amp;IF($AB123="Y"," 4"&amp;CHAR(34)&amp;" HEAD","")&amp;" "&amp;IFERROR(VLOOKUP($H123,CODES,2,FALSE),"")&amp;IF($CT123," | LOC "&amp;$CY123,"")))</f>
        <v/>
      </c>
      <c r="CK123" s="85">
        <f>IF(NOT(AND($A123&lt;&gt;"",N($BJ123)&gt;0)),"",TRIM(IFERROR(VLOOKUP($AH123,CODES,2,FALSE),"")&amp;IF($AI123=""," "," "&amp;$AI123&amp;"GA ")&amp;$BG123&amp;" "&amp;IF($AN123="",IFERROR(VLOOKUP($Z123,CODES,2,FALSE),""),IFERROR(VLOOKUP($AN123,CODES,2,FALSE),""))&amp;IF($BJ123=2," PAIR","")&amp;" DOOR | "&amp;IF($AL123="","?",$AL123)&amp;" | "&amp;IF($AO123="",IFERROR(VLOOKUP($AC123,CODES,2,FALSE),""),IFERROR(VLOOKUP($AO123,CODES,2,FALSE),""))&amp;" "&amp;IFERROR(VLOOKUP($AP123,CODES,2,FALSE),"")&amp;IF(OR($AQ123="",$AQ123="-"),""," SEAM "&amp;$AQ123)&amp;IF($AR123="Y"," ASTRAGAL","")&amp;IF($AJ123=""," "," "&amp;$AJ123)&amp;IF($AK123=""," "," "&amp;$AK123)&amp;IF(OR($AT123="",$AT123="ANSI/SDI",$AT123="CUSTOM LOC"),""," "&amp;$AT123)&amp;IF($AM123=""," "," SERIES "&amp;$AM123)&amp;" "&amp;IFERROR(VLOOKUP($H123,CODES,2,FALSE),"")&amp;IF($CT123," | LOC "&amp;$CZ123,"")))</f>
        <v/>
      </c>
      <c r="CL123" s="84">
        <f>IF(CP123="","",IF(COUNTIF($CP$6:CP123,CP123)=1,MAX($CL$5:CL122)+1,INDEX($CL$5:CL122,MATCH(CP123,$CP$5:CP122,0))))</f>
        <v/>
      </c>
      <c r="CM123" s="84">
        <f>IF(NOT(AND($A123&lt;&gt;"",$C123&lt;&gt;"DOOR ONLY")),"",MAX($CM$5:CM122)+1)</f>
        <v/>
      </c>
      <c r="CN123" s="84">
        <f>IF(NOT(AND($A123&lt;&gt;"",N($BJ123)&gt;0)),"",MAX($CN$5:CN122)+1)</f>
        <v/>
      </c>
      <c r="CO123" s="84">
        <f>IF($A123="","",MAX($CO$5:CO122)+1)</f>
        <v/>
      </c>
      <c r="CP123" s="84">
        <f>IF(OR($A123="",$BH123="",$BI123=""),"",$BG123&amp;"|"&amp;$O123&amp;"|"&amp;$AL123&amp;"|"&amp;$S123&amp;"|"&amp;$P123&amp;"|"&amp;$Q123&amp;$R123&amp;"|"&amp;$C123&amp;"|"&amp;$AB123)</f>
        <v/>
      </c>
      <c r="CQ123" s="84">
        <f>N($BS123)</f>
        <v/>
      </c>
      <c r="CR123" s="84">
        <f>IF(N($AU123)&gt;0,N($AU123),4.5)</f>
        <v/>
      </c>
      <c r="CS123" s="84">
        <f>OR($A123="",$BI123="",$S123="BL",AND($C123="FRAME ONLY",OR($AC123="",$AC123="BLK")))</f>
        <v/>
      </c>
      <c r="CT123" s="84">
        <f>AND(NOT($CS123),OR($AT123="CUSTOM LOC",N($AW123)+N($AX123)+N($AY123)+N($AZ123)+N($BA123)&gt;0))</f>
        <v/>
      </c>
      <c r="CU123" s="84">
        <f>IF($BI123="","",IF($BI123&lt;=80,80,IF($BI123&lt;=84,84,96)))</f>
        <v/>
      </c>
      <c r="CV123" s="84">
        <f>ISNUMBER(MATCH($AT123&amp;"|80",LocKeys,0))</f>
        <v/>
      </c>
      <c r="CW123" s="86">
        <f>IF($CS123,"",IF($CV123,VLOOKUP($AT123&amp;"|"&amp;$CU123,LocTable,4,FALSE),5))</f>
        <v/>
      </c>
      <c r="CX123" s="86">
        <f>IF($CS123,"",IF($CV123,IF(OR($BI123=$CU123,AND($BI123&lt;$CU123,$BI123-IF(N(VLOOKUP($AT123&amp;"|"&amp;$CU123,LocTable,7,FALSE))&gt;0,VLOOKUP($AT123&amp;"|"&amp;$CU123,LocTable,7,FALSE),VLOOKUP($AT123&amp;"|"&amp;$CU123,LocTable,6,FALSE))-$CR123-0.75&gt;=2.125)),IF(N(VLOOKUP($AT123&amp;"|"&amp;$CU123,LocTable,7,FALSE))&gt;0,VLOOKUP($AT123&amp;"|"&amp;$CU123,LocTable,7,FALSE),VLOOKUP($AT123&amp;"|"&amp;$CU123,LocTable,6,FALSE)),$BI123-($CU123-IF(N(VLOOKUP($AT123&amp;"|"&amp;$CU123,LocTable,7,FALSE))&gt;0,VLOOKUP($AT123&amp;"|"&amp;$CU123,LocTable,7,FALSE),VLOOKUP($AT123&amp;"|"&amp;$CU123,LocTable,6,FALSE)))),$BI123-10-$CR123))</f>
        <v/>
      </c>
      <c r="CY123" s="85">
        <f>IF($CS123,"",TRIM(IF(ISNUMBER($BU123),"A "&amp;TRIM(TEXT($BU123,"# ?/??"))&amp;CHAR(34)&amp;"  ","")&amp;IF(ISNUMBER($BV123),"B "&amp;TRIM(TEXT($BV123,"# ?/??"))&amp;CHAR(34)&amp;"  ","")&amp;IF(ISNUMBER($BW123),"C "&amp;TRIM(TEXT($BW123,"# ?/??"))&amp;CHAR(34)&amp;"  ","")&amp;IF(ISNUMBER($BX123),"D "&amp;TRIM(TEXT($BX123,"# ?/??"))&amp;CHAR(34)&amp;"  ","")&amp;IF(ISNUMBER($BY123),"F "&amp;TRIM(TEXT($BY123,"# ?/??"))&amp;CHAR(34)&amp;"  ","")&amp;IF(ISNUMBER($BZ123),"E "&amp;TRIM(TEXT($BZ123,"# ?/??"))&amp;CHAR(34)&amp;"  ","")))</f>
        <v/>
      </c>
      <c r="CZ123" s="85">
        <f>IF(OR($CS123,N($BJ123)=0),"",TRIM(IF(ISNUMBER($BU123),"A "&amp;TRIM(TEXT($BU123-HeadClr,"# ?/??"))&amp;CHAR(34)&amp;"  ","")&amp;IF(ISNUMBER($BV123),"B "&amp;TRIM(TEXT($BV123-HeadClr,"# ?/??"))&amp;CHAR(34)&amp;"  ","")&amp;IF(ISNUMBER($BW123),"C "&amp;TRIM(TEXT($BW123-HeadClr,"# ?/??"))&amp;CHAR(34)&amp;"  ","")&amp;IF(ISNUMBER($BX123),"D "&amp;TRIM(TEXT($BX123-HeadClr,"# ?/??"))&amp;CHAR(34)&amp;"  ","")&amp;IF(ISNUMBER($BY123),"F "&amp;TRIM(TEXT($BY123-HeadClr,"# ?/??"))&amp;CHAR(34)&amp;"  ","")&amp;IF(ISNUMBER($BZ123),"E "&amp;TRIM(TEXT($BZ123-HeadClr,"# ?/??"))&amp;CHAR(34)&amp;"  ","")))</f>
        <v/>
      </c>
      <c r="DA123" s="84">
        <f>IF($A123="","",IF($AN123="",IFERROR(VLOOKUP($Z123,CODES,2,FALSE),""),IFERROR(VLOOKUP($AN123,CODES,2,FALSE),"")))</f>
        <v/>
      </c>
      <c r="DB123" s="84">
        <f>IF($A123="","",IF($O123="Y","PR",IF(OR($Z123="L",$Z123="RR",LEFT($Z123,2)="L-",LEFT($Z123,3)="RR-"),"LH","RH")))</f>
        <v/>
      </c>
      <c r="DC123" s="84">
        <f>IF($A123="","","S.HM"&amp;IF(OR($C123="DOOR ONLY",$X123&lt;&gt;"KD"),"MASONRY","DRYWALL")&amp;IF($C123="DOOR ONLY","",$U123)&amp;IF(AND($C123&lt;&gt;"FRAME ONLY",OR(LEFT($AH123,3)="OAK",LEFT($AH123,3)="BIR",LEFT($AH123,3)="MAP",$AH123="PC",$AH123="MC",$AH123="SCLC",$AH123="P-LAM")),"WD","HM")&amp;"1.75")</f>
        <v/>
      </c>
      <c r="DD123" s="84">
        <f>IF($CJ123="","",IF($O123="Y",$CJ123,SUBSTITUTE($CJ123,$BG123&amp;" "&amp;IFERROR(VLOOKUP($Z123,CODES,2,FALSE),"")&amp;" ",$BG123&amp;" ")))</f>
        <v/>
      </c>
      <c r="DE123" s="84">
        <f>IF($CK123="","",IF($O123="Y",$CK123,SUBSTITUTE($CK123,$BG123&amp;" "&amp;IF($AN123="",IFERROR(VLOOKUP($Z123,CODES,2,FALSE),""),IFERROR(VLOOKUP($AN123,CODES,2,FALSE),""))&amp;" ",$BG123&amp;" ")))</f>
        <v/>
      </c>
      <c r="DF123" s="84">
        <f>IF($CJ123="","",$DC123&amp;"|"&amp;$DD123&amp;"|"&amp;$DB123&amp;"|"&amp;$AT123&amp;"|"&amp;$V123&amp;"|"&amp;$Y123&amp;"|"&amp;$AB123)</f>
        <v/>
      </c>
      <c r="DG123" s="84">
        <f>IF(DF123="","",IF(COUNTIF($DF$6:DF123,DF123)=1,MAX($DG$5:DG122)+1,INDEX($DG$5:DG122,MATCH(DF123,$DF$5:DF122,0))))</f>
        <v/>
      </c>
      <c r="DH123" s="84">
        <f>IF($CK123="","",$DC123&amp;"|"&amp;$DE123&amp;"|"&amp;$AI123&amp;"|"&amp;$BK123&amp;"|"&amp;$BL123)</f>
        <v/>
      </c>
      <c r="DI123" s="84">
        <f>IF(DH123="","",IF(COUNTIF($DH$6:DH123,DH123)=1,MAX($DI$5:DI122)+1,INDEX($DI$5:DI122,MATCH(DH123,$DH$5:DH122,0))))</f>
        <v/>
      </c>
      <c r="DJ123" s="84">
        <f>IF($A123="","",IF($B123="","qty, ","")&amp;IF($C123="","scope, ","")&amp;IF(OR($K123="",$M123=""),"size, ","")&amp;IF(AND($A123&lt;&gt;"",$C123&lt;&gt;"DOOR ONLY"),IF($U123="","jamb depth, ","")&amp;IF($X123="","construction, ","")&amp;IF($Y123="","anchor, ","")&amp;IF($S123="","frame type, ",""),"")&amp;IF(AND(N($BJ123)&gt;0,$Z123=""),"hand, ","")&amp;IF(N($BJ123)&gt;0,IF($AH123="","door material, ","")&amp;IF($AL123="","face type, ","")&amp;IF($AP123="","lock prep, ","")&amp;IF(AND($AO123="",$AC123=""),"hinge prep, ",""),"")&amp;IF(AND($CH123&gt;0,$AH123="FRP"),"FRP cannot carry a label, ","")&amp;IF(AND($O123="Y",OR($Z123="L",$Z123="R",$Z123="LR",$Z123="RR")),"pair marked but hand is single, ","")&amp;IF(AND($O123&lt;&gt;"Y",OR($Z123="PR",AND(LEN($Z123)&gt;1,ISNUMBER(SEARCH("-",$Z123))))),"pair hand on a single door, ","")&amp;IF(AND(ISNUMBER($CI123),$CH123&lt;N($CI123)),"wall needs a "&amp;$CI123&amp;" min door, ","")&amp;IF(AND($CH123&gt;=180,AND(OR($CE123="FG",$CE123="HG",$CE123="FNV",$CE123="FV"),N($CF123)*N($CG123)&gt;100)),"180 min lite over 100 sq in, ","")&amp;IF(N($BK123)&gt;48,"leaf wider than 4'-0"&amp;CHAR(34)&amp;", ","")&amp;IF(AND($CT123,COUNT($AW123:$AZ123)=0,$CQ123&gt;0),"CUSTOM LOC with no locations typed, ",""))</f>
        <v/>
      </c>
      <c r="DK123" s="84">
        <f>IF($A123="","",IF(AND($CH123&gt;0,AND($A123&lt;&gt;"",$C123&lt;&gt;"DOOR ONLY"),$X123="KD",$E123="EXTERIOR"),"KD label on an exterior opening, ","")&amp;IF(AND($E123="EXTERIOR",OR(AND(AND($A123&lt;&gt;"",$C123&lt;&gt;"DOOR ONLY"),$W123="CR"),AND(N($BJ123)&gt;0,$AH123="CR"))),"exterior in CR steel (G9?), ","")&amp;IF(AND(ISNUMBER($BQ123),N($BQ123)&lt;32),"clear width ~"&amp;TEXT($BQ123,"0.0")&amp;CHAR(34)&amp;" under 32"&amp;CHAR(34)&amp;" (ADA), ","")&amp;IF(AND($CH123=90,AND(OR($CE123="FG",$CE123="HG",$CE123="FNV",$CE123="FV"),N($CF123)*N($CG123)&gt;100)),"90 min lite over 100 sq in (stair/exit), ","")&amp;IF(AND($CH123&gt;0,AND($A123&lt;&gt;"",$C123&lt;&gt;"DOOR ONLY"),OR($AF123="",$AF123="-")),"rated: closer reinf.?, ","")&amp;IF(OR($I123="CORRIDOR",$I123="SMOKE BARRIER"),"S label + smoke gasketing, ","")&amp;IF($CI123="?","wall type/hr not in IBC table, ","")&amp;IF(AND(N($BJ123)&gt;0,$BB123=""),"no hardware set, ","")&amp;IF(AND($BB123&lt;&gt;"",ISNA(MATCH($BB123&amp;"",HWSets,0))),"set "&amp;$BB123&amp;" not on HW Sets, ","")&amp;IF(N($BL123)&gt;96,"leaf over 8'-0"&amp;CHAR(34)&amp;" - check listing, ","")&amp;IF(AND($CT123,COUNT($AW123:$AZ123)&gt;0,COUNT($AW123:$AZ123)&lt;&gt;$CQ123),COUNT($AW123:$AZ123)&amp;" custom hinges typed, "&amp;$CQ123&amp;" expected, ","")&amp;IF(AND(ISNUMBER($CA123),OR(N($CA123)&lt;34,N($CA123)&gt;48)),"lock "&amp;TEXT($CA123,"0.0")&amp;CHAR(34)&amp;" AFF outside 34-48"&amp;CHAR(34)&amp;" (ADA), ","")&amp;IF(AND(ISNUMBER($AV123),ISNUMBER($BL123),N($AV123)&lt;IF(N($BL123)&lt;=60,2,IF(N($BL123)&lt;=90,3,IF(N($BL123)&lt;=120,4,5)))),"fewer hinges than standard, ",""))</f>
        <v/>
      </c>
    </row>
    <row r="124" ht="15" customHeight="1">
      <c r="A124" s="77" t="n"/>
      <c r="B124" s="78" t="n"/>
      <c r="C124" s="78" t="n"/>
      <c r="D124" s="78" t="n"/>
      <c r="E124" s="78" t="n"/>
      <c r="F124" s="78" t="n"/>
      <c r="G124" s="78" t="n"/>
      <c r="H124" s="78" t="n"/>
      <c r="I124" s="78" t="n"/>
      <c r="J124" s="78" t="n"/>
      <c r="K124" s="78" t="n"/>
      <c r="L124" s="78" t="n"/>
      <c r="M124" s="78" t="n"/>
      <c r="N124" s="78" t="n"/>
      <c r="O124" s="78" t="n"/>
      <c r="P124" s="78" t="n"/>
      <c r="Q124" s="78" t="n"/>
      <c r="R124" s="78" t="n"/>
      <c r="S124" s="79" t="n"/>
      <c r="T124" s="79" t="n"/>
      <c r="U124" s="79" t="n"/>
      <c r="V124" s="79" t="n"/>
      <c r="W124" s="79" t="n"/>
      <c r="X124" s="79" t="n"/>
      <c r="Y124" s="79" t="n"/>
      <c r="Z124" s="79" t="n"/>
      <c r="AA124" s="79" t="n"/>
      <c r="AB124" s="79" t="n"/>
      <c r="AC124" s="79" t="n"/>
      <c r="AD124" s="79" t="n"/>
      <c r="AE124" s="79" t="n"/>
      <c r="AF124" s="79" t="n"/>
      <c r="AG124" s="79" t="n"/>
      <c r="AH124" s="80" t="n"/>
      <c r="AI124" s="80" t="n"/>
      <c r="AJ124" s="80" t="n"/>
      <c r="AK124" s="80" t="n"/>
      <c r="AL124" s="80" t="n"/>
      <c r="AM124" s="80" t="n"/>
      <c r="AN124" s="80" t="n"/>
      <c r="AO124" s="80" t="n"/>
      <c r="AP124" s="80" t="n"/>
      <c r="AQ124" s="80" t="n"/>
      <c r="AR124" s="80" t="n"/>
      <c r="AS124" s="80" t="n"/>
      <c r="AT124" s="81" t="n"/>
      <c r="AU124" s="81" t="n"/>
      <c r="AV124" s="81" t="n"/>
      <c r="AW124" s="82" t="n"/>
      <c r="AX124" s="82" t="n"/>
      <c r="AY124" s="82" t="n"/>
      <c r="AZ124" s="82" t="n"/>
      <c r="BA124" s="82" t="n"/>
      <c r="BB124" s="83" t="n"/>
      <c r="BC124" s="83" t="n"/>
      <c r="BD124" s="84">
        <f>IF($A124="","",IF($DJ124&lt;&gt;"","FIX",IF($DK124&lt;&gt;"","CHECK","OK")))</f>
        <v/>
      </c>
      <c r="BE124" s="85">
        <f>IF($A124="","",IF($DJ124&lt;&gt;"","FIX: "&amp;LEFT($DJ124,LEN($DJ124)-2)&amp;IF($DK124&lt;&gt;"","  ·  ",""),"")&amp;IF($DK124&lt;&gt;"","CHECK: "&amp;LEFT($DK124,LEN($DK124)-2),""))</f>
        <v/>
      </c>
      <c r="BF124" s="84">
        <f>IF(OR($A124="",$K124=""),"",$K124&amp;"'-"&amp;N($L124)&amp;CHAR(34)&amp;" x "&amp;$M124&amp;"'-"&amp;N($N124)&amp;CHAR(34))</f>
        <v/>
      </c>
      <c r="BG124" s="84">
        <f>IF(OR($A124="",$K124=""),"",$K124&amp;N($L124)&amp;$M124&amp;N($N124))</f>
        <v/>
      </c>
      <c r="BH124" s="84">
        <f>IF(OR($A124="",$K124=""),"",$K124*12+N($L124))</f>
        <v/>
      </c>
      <c r="BI124" s="84">
        <f>IF(OR($A124="",$M124=""),"",$M124*12+N($N124))</f>
        <v/>
      </c>
      <c r="BJ124" s="84">
        <f>IF($A124="","",IF(OR($C124="FRAME ONLY",$S124="BL"),0,IF($O124="Y",2,1)))</f>
        <v/>
      </c>
      <c r="BK124" s="86">
        <f>IF(OR(N($BJ124)=0,$BH124=""),"",($BH124-2*EdgeClr-IF($BJ124=2,MeetClr,0))/$BJ124)</f>
        <v/>
      </c>
      <c r="BL124" s="86">
        <f>IF(OR(N($BJ124)=0,$BI124=""),"",$BI124-HeadClr-Undercut)</f>
        <v/>
      </c>
      <c r="BM124" s="86">
        <f>IF($BH124="","",$BH124+2*FaceW+IF(N($Q124)&gt;0,($Q124+FaceW)*IF($R124="LR",2,1),0))</f>
        <v/>
      </c>
      <c r="BN124" s="86">
        <f>IF($BI124="","",$BI124+IF($AB124="Y",4,FaceW)+IF(N($P124)&gt;0,$P124+FaceW,0)+IF(OR($S124="4F",$S124="BL"),FaceW,0))</f>
        <v/>
      </c>
      <c r="BO124" s="86">
        <f>IF($BM124="","",$BM124+2*ROSide)</f>
        <v/>
      </c>
      <c r="BP124" s="86">
        <f>IF($BN124="","",$BN124+ROTop)</f>
        <v/>
      </c>
      <c r="BQ124" s="87">
        <f>IF(OR(N($BJ124)=0,$BH124=""),"",$BH124/$BJ124-ClearDeduct)</f>
        <v/>
      </c>
      <c r="BR124" s="84">
        <f>IF(N($CH124)=0,"",IF($CH124&gt;=180,"A · 3 HR",IF($CH124&gt;=90,"B · 1-1/2 HR",IF($CH124&gt;=60,"B · 1 HR",IF($CH124&gt;=45,"C · 3/4 HR","20 MIN")))))&amp;IF(AND(N($CH124)&gt;0,OR($I124="CORRIDOR",$I124="SMOKE BARRIER"))," · S","")</f>
        <v/>
      </c>
      <c r="BS124" s="84">
        <f>IF($CS124,"",IF($AV124&lt;&gt;"",$AV124,IF(OR($AC124="HGC",$AO124="HGC"),"CONT",IF(($BI124-HeadClr-Undercut)&lt;=60,2,IF(($BI124-HeadClr-Undercut)&lt;=90,3,IF(($BI124-HeadClr-Undercut)&lt;=120,4,5))))))</f>
        <v/>
      </c>
      <c r="BT124" s="84">
        <f>IF($CS124,"",IF($CT124,"CUSTOM (typed)",IF($CV124,$AT124&amp;" "&amp;$CU124&amp;CHAR(34)&amp;IF($CU124&lt;&gt;$BI124,IF(AND($BI124&lt;$CU124,$BI124-IF(N(VLOOKUP($AT124&amp;"|"&amp;$CU124,LocTable,7,FALSE))&gt;0,VLOOKUP($AT124&amp;"|"&amp;$CU124,LocTable,7,FALSE),VLOOKUP($AT124&amp;"|"&amp;$CU124,LocTable,6,FALSE))-$CR124-0.75&gt;=2.125)," cut down"," adj."),""),"ANSI/SDI A250.6")))</f>
        <v/>
      </c>
      <c r="BU124" s="88">
        <f>IF($CS124,"",IF($CT124,IF(N($AW124)&gt;0,N($AW124),""),IF(1&gt;$CQ124,"",IF($CQ124=1,$CW124,$CW124+($CX124-$CW124)*0/($CQ124-1)))))</f>
        <v/>
      </c>
      <c r="BV124" s="88">
        <f>IF($CS124,"",IF($CT124,IF(N($AX124)&gt;0,N($AX124),""),IF(2&gt;$CQ124,"",IF($CQ124=1,$CW124,$CW124+($CX124-$CW124)*1/($CQ124-1)))))</f>
        <v/>
      </c>
      <c r="BW124" s="88">
        <f>IF($CS124,"",IF($CT124,IF(N($AY124)&gt;0,N($AY124),""),IF(3&gt;$CQ124,"",IF($CQ124=1,$CW124,$CW124+($CX124-$CW124)*2/($CQ124-1)))))</f>
        <v/>
      </c>
      <c r="BX124" s="88">
        <f>IF($CS124,"",IF($CT124,IF(N($AZ124)&gt;0,N($AZ124),""),IF(4&gt;$CQ124,"",IF($CQ124=1,$CW124,$CW124+($CX124-$CW124)*3/($CQ124-1)))))</f>
        <v/>
      </c>
      <c r="BY124" s="88">
        <f>IF($CS124,"",IF($CT124,"",IF(5&gt;$CQ124,"",IF($CQ124=1,$CW124,$CW124+($CX124-$CW124)*4/($CQ124-1)))))</f>
        <v/>
      </c>
      <c r="BZ124" s="88">
        <f>IF(OR($CS124,$AP124="-",AND($AP124="",$AD124="")),"",IF(N($BA124)&gt;0,N($BA124),IF($CV124,IF(AND($BI124&lt;$CU124,$BI124-IF(N(VLOOKUP($AT124&amp;"|"&amp;$CU124,LocTable,7,FALSE))&gt;0,VLOOKUP($AT124&amp;"|"&amp;$CU124,LocTable,7,FALSE),VLOOKUP($AT124&amp;"|"&amp;$CU124,LocTable,6,FALSE))-$CR124-0.75&gt;=2.125),VLOOKUP($AT124&amp;"|"&amp;$CU124,LocTable,8,FALSE),VLOOKUP($AT124&amp;"|"&amp;$CU124,LocTable,8,FALSE)+($BI124-$CU124)),$BI124-LockAFF)))</f>
        <v/>
      </c>
      <c r="CA124" s="89">
        <f>IF($BZ124="","",$BI124-$BZ124)</f>
        <v/>
      </c>
      <c r="CB124" s="84">
        <f>IF(OR(NOT(AND($A124&lt;&gt;"",$C124&lt;&gt;"DOOR ONLY")),$BI124=""),"",IF(($BI124+IF(N($P124)&gt;0,$P124+FaceW,0))&lt;=90,3,IF(($BI124+IF(N($P124)&gt;0,$P124+FaceW,0))&lt;=114,4,5)))</f>
        <v/>
      </c>
      <c r="CC124" s="84">
        <f>IF($CB124="","",$CB124*(2+IF(N($Q124)&gt;0,IF($R124="LR",2,1),0)))</f>
        <v/>
      </c>
      <c r="CD124" s="84">
        <f>IF($CB124="","",(2+IF(N($Q124)&gt;0,IF($R124="LR",2,1),0)))</f>
        <v/>
      </c>
      <c r="CE124" s="84">
        <f>IF(N($BJ124)=0,"",IF(OR($AL124="",$AL124="FLUSH"),"FLUSH",IFERROR(LEFT($AL124,FIND("-",$AL124)-1),LEFT($AL124,2))))</f>
        <v/>
      </c>
      <c r="CF124" s="84">
        <f>IF($CE124="","",IFERROR(VALUE(MID($AL124,FIND("-",$AL124)+1,FIND(CHAR(34)&amp;"x",$AL124)-FIND("-",$AL124)-1)),0))</f>
        <v/>
      </c>
      <c r="CG124" s="84">
        <f>IF($CE124="","",IFERROR(VALUE(MID($AL124,FIND(CHAR(34)&amp;"x",$AL124)+2,FIND(CHAR(34),$AL124,FIND(CHAR(34)&amp;"x",$AL124)+2)-FIND(CHAR(34)&amp;"x",$AL124)-2)),0))</f>
        <v/>
      </c>
      <c r="CH124" s="90">
        <f>IF(OR($A124="",$H124="",$H124="NO LAB"),0,IFERROR(VALUE(LEFT($H124,FIND(" ",$H124)-1)),0))</f>
        <v/>
      </c>
      <c r="CI124" s="91">
        <f>IF(OR($A124="",$I124="",$I124="NON-RATED",N($J124)=0),"",IFERROR(VLOOKUP($I124&amp;"|"&amp;$J124,IBC,2,FALSE),"?"))</f>
        <v/>
      </c>
      <c r="CJ124" s="85">
        <f>IF(NOT(AND($A124&lt;&gt;"",$C124&lt;&gt;"DOOR ONLY")),"",TRIM(IFERROR(VLOOKUP($U124,CODES,2,FALSE),"")&amp;" "&amp;$BG124&amp;" "&amp;IFERROR(VLOOKUP($Z124,CODES,2,FALSE),"")&amp;" "&amp;IFERROR(VLOOKUP($X124,CODES,2,FALSE),"")&amp;" "&amp;IFERROR(VLOOKUP($S124,CODES,2,FALSE),"")&amp;IF(N($P124)&gt;0," w/TRANSOM "&amp;$P124&amp;CHAR(34),"")&amp;IF(N($Q124)&gt;0," w/SIDELITE "&amp;$Q124&amp;CHAR(34)&amp;" "&amp;IF($R124="","R",$R124),"")&amp;IF($Y124="","  |  "," | "&amp;IFERROR(VLOOKUP($Y124,CODES,2,FALSE),"")&amp;" | ")&amp;IFERROR(VLOOKUP($AC124,CODES,2,FALSE),"")&amp;" "&amp;IFERROR(VLOOKUP($AD124,CODES,2,FALSE),"")&amp;IF(OR($AE124="",$AE124="-"),""," "&amp;$AE124)&amp;IF(OR($AF124="",$AF124="-"),""," "&amp;$AF124)&amp;IF($AB124="Y"," 4"&amp;CHAR(34)&amp;" HEAD","")&amp;" "&amp;IFERROR(VLOOKUP($H124,CODES,2,FALSE),"")&amp;IF($CT124," | LOC "&amp;$CY124,"")))</f>
        <v/>
      </c>
      <c r="CK124" s="85">
        <f>IF(NOT(AND($A124&lt;&gt;"",N($BJ124)&gt;0)),"",TRIM(IFERROR(VLOOKUP($AH124,CODES,2,FALSE),"")&amp;IF($AI124=""," "," "&amp;$AI124&amp;"GA ")&amp;$BG124&amp;" "&amp;IF($AN124="",IFERROR(VLOOKUP($Z124,CODES,2,FALSE),""),IFERROR(VLOOKUP($AN124,CODES,2,FALSE),""))&amp;IF($BJ124=2," PAIR","")&amp;" DOOR | "&amp;IF($AL124="","?",$AL124)&amp;" | "&amp;IF($AO124="",IFERROR(VLOOKUP($AC124,CODES,2,FALSE),""),IFERROR(VLOOKUP($AO124,CODES,2,FALSE),""))&amp;" "&amp;IFERROR(VLOOKUP($AP124,CODES,2,FALSE),"")&amp;IF(OR($AQ124="",$AQ124="-"),""," SEAM "&amp;$AQ124)&amp;IF($AR124="Y"," ASTRAGAL","")&amp;IF($AJ124=""," "," "&amp;$AJ124)&amp;IF($AK124=""," "," "&amp;$AK124)&amp;IF(OR($AT124="",$AT124="ANSI/SDI",$AT124="CUSTOM LOC"),""," "&amp;$AT124)&amp;IF($AM124=""," "," SERIES "&amp;$AM124)&amp;" "&amp;IFERROR(VLOOKUP($H124,CODES,2,FALSE),"")&amp;IF($CT124," | LOC "&amp;$CZ124,"")))</f>
        <v/>
      </c>
      <c r="CL124" s="84">
        <f>IF(CP124="","",IF(COUNTIF($CP$6:CP124,CP124)=1,MAX($CL$5:CL123)+1,INDEX($CL$5:CL123,MATCH(CP124,$CP$5:CP123,0))))</f>
        <v/>
      </c>
      <c r="CM124" s="84">
        <f>IF(NOT(AND($A124&lt;&gt;"",$C124&lt;&gt;"DOOR ONLY")),"",MAX($CM$5:CM123)+1)</f>
        <v/>
      </c>
      <c r="CN124" s="84">
        <f>IF(NOT(AND($A124&lt;&gt;"",N($BJ124)&gt;0)),"",MAX($CN$5:CN123)+1)</f>
        <v/>
      </c>
      <c r="CO124" s="84">
        <f>IF($A124="","",MAX($CO$5:CO123)+1)</f>
        <v/>
      </c>
      <c r="CP124" s="84">
        <f>IF(OR($A124="",$BH124="",$BI124=""),"",$BG124&amp;"|"&amp;$O124&amp;"|"&amp;$AL124&amp;"|"&amp;$S124&amp;"|"&amp;$P124&amp;"|"&amp;$Q124&amp;$R124&amp;"|"&amp;$C124&amp;"|"&amp;$AB124)</f>
        <v/>
      </c>
      <c r="CQ124" s="84">
        <f>N($BS124)</f>
        <v/>
      </c>
      <c r="CR124" s="84">
        <f>IF(N($AU124)&gt;0,N($AU124),4.5)</f>
        <v/>
      </c>
      <c r="CS124" s="84">
        <f>OR($A124="",$BI124="",$S124="BL",AND($C124="FRAME ONLY",OR($AC124="",$AC124="BLK")))</f>
        <v/>
      </c>
      <c r="CT124" s="84">
        <f>AND(NOT($CS124),OR($AT124="CUSTOM LOC",N($AW124)+N($AX124)+N($AY124)+N($AZ124)+N($BA124)&gt;0))</f>
        <v/>
      </c>
      <c r="CU124" s="84">
        <f>IF($BI124="","",IF($BI124&lt;=80,80,IF($BI124&lt;=84,84,96)))</f>
        <v/>
      </c>
      <c r="CV124" s="84">
        <f>ISNUMBER(MATCH($AT124&amp;"|80",LocKeys,0))</f>
        <v/>
      </c>
      <c r="CW124" s="86">
        <f>IF($CS124,"",IF($CV124,VLOOKUP($AT124&amp;"|"&amp;$CU124,LocTable,4,FALSE),5))</f>
        <v/>
      </c>
      <c r="CX124" s="86">
        <f>IF($CS124,"",IF($CV124,IF(OR($BI124=$CU124,AND($BI124&lt;$CU124,$BI124-IF(N(VLOOKUP($AT124&amp;"|"&amp;$CU124,LocTable,7,FALSE))&gt;0,VLOOKUP($AT124&amp;"|"&amp;$CU124,LocTable,7,FALSE),VLOOKUP($AT124&amp;"|"&amp;$CU124,LocTable,6,FALSE))-$CR124-0.75&gt;=2.125)),IF(N(VLOOKUP($AT124&amp;"|"&amp;$CU124,LocTable,7,FALSE))&gt;0,VLOOKUP($AT124&amp;"|"&amp;$CU124,LocTable,7,FALSE),VLOOKUP($AT124&amp;"|"&amp;$CU124,LocTable,6,FALSE)),$BI124-($CU124-IF(N(VLOOKUP($AT124&amp;"|"&amp;$CU124,LocTable,7,FALSE))&gt;0,VLOOKUP($AT124&amp;"|"&amp;$CU124,LocTable,7,FALSE),VLOOKUP($AT124&amp;"|"&amp;$CU124,LocTable,6,FALSE)))),$BI124-10-$CR124))</f>
        <v/>
      </c>
      <c r="CY124" s="85">
        <f>IF($CS124,"",TRIM(IF(ISNUMBER($BU124),"A "&amp;TRIM(TEXT($BU124,"# ?/??"))&amp;CHAR(34)&amp;"  ","")&amp;IF(ISNUMBER($BV124),"B "&amp;TRIM(TEXT($BV124,"# ?/??"))&amp;CHAR(34)&amp;"  ","")&amp;IF(ISNUMBER($BW124),"C "&amp;TRIM(TEXT($BW124,"# ?/??"))&amp;CHAR(34)&amp;"  ","")&amp;IF(ISNUMBER($BX124),"D "&amp;TRIM(TEXT($BX124,"# ?/??"))&amp;CHAR(34)&amp;"  ","")&amp;IF(ISNUMBER($BY124),"F "&amp;TRIM(TEXT($BY124,"# ?/??"))&amp;CHAR(34)&amp;"  ","")&amp;IF(ISNUMBER($BZ124),"E "&amp;TRIM(TEXT($BZ124,"# ?/??"))&amp;CHAR(34)&amp;"  ","")))</f>
        <v/>
      </c>
      <c r="CZ124" s="85">
        <f>IF(OR($CS124,N($BJ124)=0),"",TRIM(IF(ISNUMBER($BU124),"A "&amp;TRIM(TEXT($BU124-HeadClr,"# ?/??"))&amp;CHAR(34)&amp;"  ","")&amp;IF(ISNUMBER($BV124),"B "&amp;TRIM(TEXT($BV124-HeadClr,"# ?/??"))&amp;CHAR(34)&amp;"  ","")&amp;IF(ISNUMBER($BW124),"C "&amp;TRIM(TEXT($BW124-HeadClr,"# ?/??"))&amp;CHAR(34)&amp;"  ","")&amp;IF(ISNUMBER($BX124),"D "&amp;TRIM(TEXT($BX124-HeadClr,"# ?/??"))&amp;CHAR(34)&amp;"  ","")&amp;IF(ISNUMBER($BY124),"F "&amp;TRIM(TEXT($BY124-HeadClr,"# ?/??"))&amp;CHAR(34)&amp;"  ","")&amp;IF(ISNUMBER($BZ124),"E "&amp;TRIM(TEXT($BZ124-HeadClr,"# ?/??"))&amp;CHAR(34)&amp;"  ","")))</f>
        <v/>
      </c>
      <c r="DA124" s="84">
        <f>IF($A124="","",IF($AN124="",IFERROR(VLOOKUP($Z124,CODES,2,FALSE),""),IFERROR(VLOOKUP($AN124,CODES,2,FALSE),"")))</f>
        <v/>
      </c>
      <c r="DB124" s="84">
        <f>IF($A124="","",IF($O124="Y","PR",IF(OR($Z124="L",$Z124="RR",LEFT($Z124,2)="L-",LEFT($Z124,3)="RR-"),"LH","RH")))</f>
        <v/>
      </c>
      <c r="DC124" s="84">
        <f>IF($A124="","","S.HM"&amp;IF(OR($C124="DOOR ONLY",$X124&lt;&gt;"KD"),"MASONRY","DRYWALL")&amp;IF($C124="DOOR ONLY","",$U124)&amp;IF(AND($C124&lt;&gt;"FRAME ONLY",OR(LEFT($AH124,3)="OAK",LEFT($AH124,3)="BIR",LEFT($AH124,3)="MAP",$AH124="PC",$AH124="MC",$AH124="SCLC",$AH124="P-LAM")),"WD","HM")&amp;"1.75")</f>
        <v/>
      </c>
      <c r="DD124" s="84">
        <f>IF($CJ124="","",IF($O124="Y",$CJ124,SUBSTITUTE($CJ124,$BG124&amp;" "&amp;IFERROR(VLOOKUP($Z124,CODES,2,FALSE),"")&amp;" ",$BG124&amp;" ")))</f>
        <v/>
      </c>
      <c r="DE124" s="84">
        <f>IF($CK124="","",IF($O124="Y",$CK124,SUBSTITUTE($CK124,$BG124&amp;" "&amp;IF($AN124="",IFERROR(VLOOKUP($Z124,CODES,2,FALSE),""),IFERROR(VLOOKUP($AN124,CODES,2,FALSE),""))&amp;" ",$BG124&amp;" ")))</f>
        <v/>
      </c>
      <c r="DF124" s="84">
        <f>IF($CJ124="","",$DC124&amp;"|"&amp;$DD124&amp;"|"&amp;$DB124&amp;"|"&amp;$AT124&amp;"|"&amp;$V124&amp;"|"&amp;$Y124&amp;"|"&amp;$AB124)</f>
        <v/>
      </c>
      <c r="DG124" s="84">
        <f>IF(DF124="","",IF(COUNTIF($DF$6:DF124,DF124)=1,MAX($DG$5:DG123)+1,INDEX($DG$5:DG123,MATCH(DF124,$DF$5:DF123,0))))</f>
        <v/>
      </c>
      <c r="DH124" s="84">
        <f>IF($CK124="","",$DC124&amp;"|"&amp;$DE124&amp;"|"&amp;$AI124&amp;"|"&amp;$BK124&amp;"|"&amp;$BL124)</f>
        <v/>
      </c>
      <c r="DI124" s="84">
        <f>IF(DH124="","",IF(COUNTIF($DH$6:DH124,DH124)=1,MAX($DI$5:DI123)+1,INDEX($DI$5:DI123,MATCH(DH124,$DH$5:DH123,0))))</f>
        <v/>
      </c>
      <c r="DJ124" s="84">
        <f>IF($A124="","",IF($B124="","qty, ","")&amp;IF($C124="","scope, ","")&amp;IF(OR($K124="",$M124=""),"size, ","")&amp;IF(AND($A124&lt;&gt;"",$C124&lt;&gt;"DOOR ONLY"),IF($U124="","jamb depth, ","")&amp;IF($X124="","construction, ","")&amp;IF($Y124="","anchor, ","")&amp;IF($S124="","frame type, ",""),"")&amp;IF(AND(N($BJ124)&gt;0,$Z124=""),"hand, ","")&amp;IF(N($BJ124)&gt;0,IF($AH124="","door material, ","")&amp;IF($AL124="","face type, ","")&amp;IF($AP124="","lock prep, ","")&amp;IF(AND($AO124="",$AC124=""),"hinge prep, ",""),"")&amp;IF(AND($CH124&gt;0,$AH124="FRP"),"FRP cannot carry a label, ","")&amp;IF(AND($O124="Y",OR($Z124="L",$Z124="R",$Z124="LR",$Z124="RR")),"pair marked but hand is single, ","")&amp;IF(AND($O124&lt;&gt;"Y",OR($Z124="PR",AND(LEN($Z124)&gt;1,ISNUMBER(SEARCH("-",$Z124))))),"pair hand on a single door, ","")&amp;IF(AND(ISNUMBER($CI124),$CH124&lt;N($CI124)),"wall needs a "&amp;$CI124&amp;" min door, ","")&amp;IF(AND($CH124&gt;=180,AND(OR($CE124="FG",$CE124="HG",$CE124="FNV",$CE124="FV"),N($CF124)*N($CG124)&gt;100)),"180 min lite over 100 sq in, ","")&amp;IF(N($BK124)&gt;48,"leaf wider than 4'-0"&amp;CHAR(34)&amp;", ","")&amp;IF(AND($CT124,COUNT($AW124:$AZ124)=0,$CQ124&gt;0),"CUSTOM LOC with no locations typed, ",""))</f>
        <v/>
      </c>
      <c r="DK124" s="84">
        <f>IF($A124="","",IF(AND($CH124&gt;0,AND($A124&lt;&gt;"",$C124&lt;&gt;"DOOR ONLY"),$X124="KD",$E124="EXTERIOR"),"KD label on an exterior opening, ","")&amp;IF(AND($E124="EXTERIOR",OR(AND(AND($A124&lt;&gt;"",$C124&lt;&gt;"DOOR ONLY"),$W124="CR"),AND(N($BJ124)&gt;0,$AH124="CR"))),"exterior in CR steel (G9?), ","")&amp;IF(AND(ISNUMBER($BQ124),N($BQ124)&lt;32),"clear width ~"&amp;TEXT($BQ124,"0.0")&amp;CHAR(34)&amp;" under 32"&amp;CHAR(34)&amp;" (ADA), ","")&amp;IF(AND($CH124=90,AND(OR($CE124="FG",$CE124="HG",$CE124="FNV",$CE124="FV"),N($CF124)*N($CG124)&gt;100)),"90 min lite over 100 sq in (stair/exit), ","")&amp;IF(AND($CH124&gt;0,AND($A124&lt;&gt;"",$C124&lt;&gt;"DOOR ONLY"),OR($AF124="",$AF124="-")),"rated: closer reinf.?, ","")&amp;IF(OR($I124="CORRIDOR",$I124="SMOKE BARRIER"),"S label + smoke gasketing, ","")&amp;IF($CI124="?","wall type/hr not in IBC table, ","")&amp;IF(AND(N($BJ124)&gt;0,$BB124=""),"no hardware set, ","")&amp;IF(AND($BB124&lt;&gt;"",ISNA(MATCH($BB124&amp;"",HWSets,0))),"set "&amp;$BB124&amp;" not on HW Sets, ","")&amp;IF(N($BL124)&gt;96,"leaf over 8'-0"&amp;CHAR(34)&amp;" - check listing, ","")&amp;IF(AND($CT124,COUNT($AW124:$AZ124)&gt;0,COUNT($AW124:$AZ124)&lt;&gt;$CQ124),COUNT($AW124:$AZ124)&amp;" custom hinges typed, "&amp;$CQ124&amp;" expected, ","")&amp;IF(AND(ISNUMBER($CA124),OR(N($CA124)&lt;34,N($CA124)&gt;48)),"lock "&amp;TEXT($CA124,"0.0")&amp;CHAR(34)&amp;" AFF outside 34-48"&amp;CHAR(34)&amp;" (ADA), ","")&amp;IF(AND(ISNUMBER($AV124),ISNUMBER($BL124),N($AV124)&lt;IF(N($BL124)&lt;=60,2,IF(N($BL124)&lt;=90,3,IF(N($BL124)&lt;=120,4,5)))),"fewer hinges than standard, ",""))</f>
        <v/>
      </c>
    </row>
    <row r="125" ht="15" customHeight="1">
      <c r="A125" s="92" t="n"/>
      <c r="B125" s="93" t="n"/>
      <c r="C125" s="93" t="n"/>
      <c r="D125" s="93" t="n"/>
      <c r="E125" s="93" t="n"/>
      <c r="F125" s="93" t="n"/>
      <c r="G125" s="93" t="n"/>
      <c r="H125" s="93" t="n"/>
      <c r="I125" s="93" t="n"/>
      <c r="J125" s="93" t="n"/>
      <c r="K125" s="93" t="n"/>
      <c r="L125" s="93" t="n"/>
      <c r="M125" s="93" t="n"/>
      <c r="N125" s="93" t="n"/>
      <c r="O125" s="93" t="n"/>
      <c r="P125" s="93" t="n"/>
      <c r="Q125" s="93" t="n"/>
      <c r="R125" s="93" t="n"/>
      <c r="S125" s="94" t="n"/>
      <c r="T125" s="94" t="n"/>
      <c r="U125" s="94" t="n"/>
      <c r="V125" s="94" t="n"/>
      <c r="W125" s="94" t="n"/>
      <c r="X125" s="94" t="n"/>
      <c r="Y125" s="94" t="n"/>
      <c r="Z125" s="94" t="n"/>
      <c r="AA125" s="94" t="n"/>
      <c r="AB125" s="94" t="n"/>
      <c r="AC125" s="94" t="n"/>
      <c r="AD125" s="94" t="n"/>
      <c r="AE125" s="94" t="n"/>
      <c r="AF125" s="94" t="n"/>
      <c r="AG125" s="94" t="n"/>
      <c r="AH125" s="95" t="n"/>
      <c r="AI125" s="95" t="n"/>
      <c r="AJ125" s="95" t="n"/>
      <c r="AK125" s="95" t="n"/>
      <c r="AL125" s="95" t="n"/>
      <c r="AM125" s="95" t="n"/>
      <c r="AN125" s="95" t="n"/>
      <c r="AO125" s="95" t="n"/>
      <c r="AP125" s="95" t="n"/>
      <c r="AQ125" s="95" t="n"/>
      <c r="AR125" s="95" t="n"/>
      <c r="AS125" s="95" t="n"/>
      <c r="AT125" s="96" t="n"/>
      <c r="AU125" s="96" t="n"/>
      <c r="AV125" s="96" t="n"/>
      <c r="AW125" s="97" t="n"/>
      <c r="AX125" s="97" t="n"/>
      <c r="AY125" s="97" t="n"/>
      <c r="AZ125" s="97" t="n"/>
      <c r="BA125" s="97" t="n"/>
      <c r="BB125" s="98" t="n"/>
      <c r="BC125" s="98" t="n"/>
      <c r="BD125" s="99">
        <f>IF($A125="","",IF($DJ125&lt;&gt;"","FIX",IF($DK125&lt;&gt;"","CHECK","OK")))</f>
        <v/>
      </c>
      <c r="BE125" s="100">
        <f>IF($A125="","",IF($DJ125&lt;&gt;"","FIX: "&amp;LEFT($DJ125,LEN($DJ125)-2)&amp;IF($DK125&lt;&gt;"","  ·  ",""),"")&amp;IF($DK125&lt;&gt;"","CHECK: "&amp;LEFT($DK125,LEN($DK125)-2),""))</f>
        <v/>
      </c>
      <c r="BF125" s="99">
        <f>IF(OR($A125="",$K125=""),"",$K125&amp;"'-"&amp;N($L125)&amp;CHAR(34)&amp;" x "&amp;$M125&amp;"'-"&amp;N($N125)&amp;CHAR(34))</f>
        <v/>
      </c>
      <c r="BG125" s="99">
        <f>IF(OR($A125="",$K125=""),"",$K125&amp;N($L125)&amp;$M125&amp;N($N125))</f>
        <v/>
      </c>
      <c r="BH125" s="99">
        <f>IF(OR($A125="",$K125=""),"",$K125*12+N($L125))</f>
        <v/>
      </c>
      <c r="BI125" s="99">
        <f>IF(OR($A125="",$M125=""),"",$M125*12+N($N125))</f>
        <v/>
      </c>
      <c r="BJ125" s="99">
        <f>IF($A125="","",IF(OR($C125="FRAME ONLY",$S125="BL"),0,IF($O125="Y",2,1)))</f>
        <v/>
      </c>
      <c r="BK125" s="101">
        <f>IF(OR(N($BJ125)=0,$BH125=""),"",($BH125-2*EdgeClr-IF($BJ125=2,MeetClr,0))/$BJ125)</f>
        <v/>
      </c>
      <c r="BL125" s="101">
        <f>IF(OR(N($BJ125)=0,$BI125=""),"",$BI125-HeadClr-Undercut)</f>
        <v/>
      </c>
      <c r="BM125" s="101">
        <f>IF($BH125="","",$BH125+2*FaceW+IF(N($Q125)&gt;0,($Q125+FaceW)*IF($R125="LR",2,1),0))</f>
        <v/>
      </c>
      <c r="BN125" s="101">
        <f>IF($BI125="","",$BI125+IF($AB125="Y",4,FaceW)+IF(N($P125)&gt;0,$P125+FaceW,0)+IF(OR($S125="4F",$S125="BL"),FaceW,0))</f>
        <v/>
      </c>
      <c r="BO125" s="101">
        <f>IF($BM125="","",$BM125+2*ROSide)</f>
        <v/>
      </c>
      <c r="BP125" s="101">
        <f>IF($BN125="","",$BN125+ROTop)</f>
        <v/>
      </c>
      <c r="BQ125" s="102">
        <f>IF(OR(N($BJ125)=0,$BH125=""),"",$BH125/$BJ125-ClearDeduct)</f>
        <v/>
      </c>
      <c r="BR125" s="99">
        <f>IF(N($CH125)=0,"",IF($CH125&gt;=180,"A · 3 HR",IF($CH125&gt;=90,"B · 1-1/2 HR",IF($CH125&gt;=60,"B · 1 HR",IF($CH125&gt;=45,"C · 3/4 HR","20 MIN")))))&amp;IF(AND(N($CH125)&gt;0,OR($I125="CORRIDOR",$I125="SMOKE BARRIER"))," · S","")</f>
        <v/>
      </c>
      <c r="BS125" s="99">
        <f>IF($CS125,"",IF($AV125&lt;&gt;"",$AV125,IF(OR($AC125="HGC",$AO125="HGC"),"CONT",IF(($BI125-HeadClr-Undercut)&lt;=60,2,IF(($BI125-HeadClr-Undercut)&lt;=90,3,IF(($BI125-HeadClr-Undercut)&lt;=120,4,5))))))</f>
        <v/>
      </c>
      <c r="BT125" s="99">
        <f>IF($CS125,"",IF($CT125,"CUSTOM (typed)",IF($CV125,$AT125&amp;" "&amp;$CU125&amp;CHAR(34)&amp;IF($CU125&lt;&gt;$BI125,IF(AND($BI125&lt;$CU125,$BI125-IF(N(VLOOKUP($AT125&amp;"|"&amp;$CU125,LocTable,7,FALSE))&gt;0,VLOOKUP($AT125&amp;"|"&amp;$CU125,LocTable,7,FALSE),VLOOKUP($AT125&amp;"|"&amp;$CU125,LocTable,6,FALSE))-$CR125-0.75&gt;=2.125)," cut down"," adj."),""),"ANSI/SDI A250.6")))</f>
        <v/>
      </c>
      <c r="BU125" s="103">
        <f>IF($CS125,"",IF($CT125,IF(N($AW125)&gt;0,N($AW125),""),IF(1&gt;$CQ125,"",IF($CQ125=1,$CW125,$CW125+($CX125-$CW125)*0/($CQ125-1)))))</f>
        <v/>
      </c>
      <c r="BV125" s="103">
        <f>IF($CS125,"",IF($CT125,IF(N($AX125)&gt;0,N($AX125),""),IF(2&gt;$CQ125,"",IF($CQ125=1,$CW125,$CW125+($CX125-$CW125)*1/($CQ125-1)))))</f>
        <v/>
      </c>
      <c r="BW125" s="103">
        <f>IF($CS125,"",IF($CT125,IF(N($AY125)&gt;0,N($AY125),""),IF(3&gt;$CQ125,"",IF($CQ125=1,$CW125,$CW125+($CX125-$CW125)*2/($CQ125-1)))))</f>
        <v/>
      </c>
      <c r="BX125" s="103">
        <f>IF($CS125,"",IF($CT125,IF(N($AZ125)&gt;0,N($AZ125),""),IF(4&gt;$CQ125,"",IF($CQ125=1,$CW125,$CW125+($CX125-$CW125)*3/($CQ125-1)))))</f>
        <v/>
      </c>
      <c r="BY125" s="103">
        <f>IF($CS125,"",IF($CT125,"",IF(5&gt;$CQ125,"",IF($CQ125=1,$CW125,$CW125+($CX125-$CW125)*4/($CQ125-1)))))</f>
        <v/>
      </c>
      <c r="BZ125" s="103">
        <f>IF(OR($CS125,$AP125="-",AND($AP125="",$AD125="")),"",IF(N($BA125)&gt;0,N($BA125),IF($CV125,IF(AND($BI125&lt;$CU125,$BI125-IF(N(VLOOKUP($AT125&amp;"|"&amp;$CU125,LocTable,7,FALSE))&gt;0,VLOOKUP($AT125&amp;"|"&amp;$CU125,LocTable,7,FALSE),VLOOKUP($AT125&amp;"|"&amp;$CU125,LocTable,6,FALSE))-$CR125-0.75&gt;=2.125),VLOOKUP($AT125&amp;"|"&amp;$CU125,LocTable,8,FALSE),VLOOKUP($AT125&amp;"|"&amp;$CU125,LocTable,8,FALSE)+($BI125-$CU125)),$BI125-LockAFF)))</f>
        <v/>
      </c>
      <c r="CA125" s="104">
        <f>IF($BZ125="","",$BI125-$BZ125)</f>
        <v/>
      </c>
      <c r="CB125" s="99">
        <f>IF(OR(NOT(AND($A125&lt;&gt;"",$C125&lt;&gt;"DOOR ONLY")),$BI125=""),"",IF(($BI125+IF(N($P125)&gt;0,$P125+FaceW,0))&lt;=90,3,IF(($BI125+IF(N($P125)&gt;0,$P125+FaceW,0))&lt;=114,4,5)))</f>
        <v/>
      </c>
      <c r="CC125" s="99">
        <f>IF($CB125="","",$CB125*(2+IF(N($Q125)&gt;0,IF($R125="LR",2,1),0)))</f>
        <v/>
      </c>
      <c r="CD125" s="99">
        <f>IF($CB125="","",(2+IF(N($Q125)&gt;0,IF($R125="LR",2,1),0)))</f>
        <v/>
      </c>
      <c r="CE125" s="99">
        <f>IF(N($BJ125)=0,"",IF(OR($AL125="",$AL125="FLUSH"),"FLUSH",IFERROR(LEFT($AL125,FIND("-",$AL125)-1),LEFT($AL125,2))))</f>
        <v/>
      </c>
      <c r="CF125" s="99">
        <f>IF($CE125="","",IFERROR(VALUE(MID($AL125,FIND("-",$AL125)+1,FIND(CHAR(34)&amp;"x",$AL125)-FIND("-",$AL125)-1)),0))</f>
        <v/>
      </c>
      <c r="CG125" s="99">
        <f>IF($CE125="","",IFERROR(VALUE(MID($AL125,FIND(CHAR(34)&amp;"x",$AL125)+2,FIND(CHAR(34),$AL125,FIND(CHAR(34)&amp;"x",$AL125)+2)-FIND(CHAR(34)&amp;"x",$AL125)-2)),0))</f>
        <v/>
      </c>
      <c r="CH125" s="105">
        <f>IF(OR($A125="",$H125="",$H125="NO LAB"),0,IFERROR(VALUE(LEFT($H125,FIND(" ",$H125)-1)),0))</f>
        <v/>
      </c>
      <c r="CI125" s="106">
        <f>IF(OR($A125="",$I125="",$I125="NON-RATED",N($J125)=0),"",IFERROR(VLOOKUP($I125&amp;"|"&amp;$J125,IBC,2,FALSE),"?"))</f>
        <v/>
      </c>
      <c r="CJ125" s="100">
        <f>IF(NOT(AND($A125&lt;&gt;"",$C125&lt;&gt;"DOOR ONLY")),"",TRIM(IFERROR(VLOOKUP($U125,CODES,2,FALSE),"")&amp;" "&amp;$BG125&amp;" "&amp;IFERROR(VLOOKUP($Z125,CODES,2,FALSE),"")&amp;" "&amp;IFERROR(VLOOKUP($X125,CODES,2,FALSE),"")&amp;" "&amp;IFERROR(VLOOKUP($S125,CODES,2,FALSE),"")&amp;IF(N($P125)&gt;0," w/TRANSOM "&amp;$P125&amp;CHAR(34),"")&amp;IF(N($Q125)&gt;0," w/SIDELITE "&amp;$Q125&amp;CHAR(34)&amp;" "&amp;IF($R125="","R",$R125),"")&amp;IF($Y125="","  |  "," | "&amp;IFERROR(VLOOKUP($Y125,CODES,2,FALSE),"")&amp;" | ")&amp;IFERROR(VLOOKUP($AC125,CODES,2,FALSE),"")&amp;" "&amp;IFERROR(VLOOKUP($AD125,CODES,2,FALSE),"")&amp;IF(OR($AE125="",$AE125="-"),""," "&amp;$AE125)&amp;IF(OR($AF125="",$AF125="-"),""," "&amp;$AF125)&amp;IF($AB125="Y"," 4"&amp;CHAR(34)&amp;" HEAD","")&amp;" "&amp;IFERROR(VLOOKUP($H125,CODES,2,FALSE),"")&amp;IF($CT125," | LOC "&amp;$CY125,"")))</f>
        <v/>
      </c>
      <c r="CK125" s="100">
        <f>IF(NOT(AND($A125&lt;&gt;"",N($BJ125)&gt;0)),"",TRIM(IFERROR(VLOOKUP($AH125,CODES,2,FALSE),"")&amp;IF($AI125=""," "," "&amp;$AI125&amp;"GA ")&amp;$BG125&amp;" "&amp;IF($AN125="",IFERROR(VLOOKUP($Z125,CODES,2,FALSE),""),IFERROR(VLOOKUP($AN125,CODES,2,FALSE),""))&amp;IF($BJ125=2," PAIR","")&amp;" DOOR | "&amp;IF($AL125="","?",$AL125)&amp;" | "&amp;IF($AO125="",IFERROR(VLOOKUP($AC125,CODES,2,FALSE),""),IFERROR(VLOOKUP($AO125,CODES,2,FALSE),""))&amp;" "&amp;IFERROR(VLOOKUP($AP125,CODES,2,FALSE),"")&amp;IF(OR($AQ125="",$AQ125="-"),""," SEAM "&amp;$AQ125)&amp;IF($AR125="Y"," ASTRAGAL","")&amp;IF($AJ125=""," "," "&amp;$AJ125)&amp;IF($AK125=""," "," "&amp;$AK125)&amp;IF(OR($AT125="",$AT125="ANSI/SDI",$AT125="CUSTOM LOC"),""," "&amp;$AT125)&amp;IF($AM125=""," "," SERIES "&amp;$AM125)&amp;" "&amp;IFERROR(VLOOKUP($H125,CODES,2,FALSE),"")&amp;IF($CT125," | LOC "&amp;$CZ125,"")))</f>
        <v/>
      </c>
      <c r="CL125" s="99">
        <f>IF(CP125="","",IF(COUNTIF($CP$6:CP125,CP125)=1,MAX($CL$5:CL124)+1,INDEX($CL$5:CL124,MATCH(CP125,$CP$5:CP124,0))))</f>
        <v/>
      </c>
      <c r="CM125" s="99">
        <f>IF(NOT(AND($A125&lt;&gt;"",$C125&lt;&gt;"DOOR ONLY")),"",MAX($CM$5:CM124)+1)</f>
        <v/>
      </c>
      <c r="CN125" s="99">
        <f>IF(NOT(AND($A125&lt;&gt;"",N($BJ125)&gt;0)),"",MAX($CN$5:CN124)+1)</f>
        <v/>
      </c>
      <c r="CO125" s="99">
        <f>IF($A125="","",MAX($CO$5:CO124)+1)</f>
        <v/>
      </c>
      <c r="CP125" s="99">
        <f>IF(OR($A125="",$BH125="",$BI125=""),"",$BG125&amp;"|"&amp;$O125&amp;"|"&amp;$AL125&amp;"|"&amp;$S125&amp;"|"&amp;$P125&amp;"|"&amp;$Q125&amp;$R125&amp;"|"&amp;$C125&amp;"|"&amp;$AB125)</f>
        <v/>
      </c>
      <c r="CQ125" s="99">
        <f>N($BS125)</f>
        <v/>
      </c>
      <c r="CR125" s="99">
        <f>IF(N($AU125)&gt;0,N($AU125),4.5)</f>
        <v/>
      </c>
      <c r="CS125" s="99">
        <f>OR($A125="",$BI125="",$S125="BL",AND($C125="FRAME ONLY",OR($AC125="",$AC125="BLK")))</f>
        <v/>
      </c>
      <c r="CT125" s="99">
        <f>AND(NOT($CS125),OR($AT125="CUSTOM LOC",N($AW125)+N($AX125)+N($AY125)+N($AZ125)+N($BA125)&gt;0))</f>
        <v/>
      </c>
      <c r="CU125" s="99">
        <f>IF($BI125="","",IF($BI125&lt;=80,80,IF($BI125&lt;=84,84,96)))</f>
        <v/>
      </c>
      <c r="CV125" s="99">
        <f>ISNUMBER(MATCH($AT125&amp;"|80",LocKeys,0))</f>
        <v/>
      </c>
      <c r="CW125" s="101">
        <f>IF($CS125,"",IF($CV125,VLOOKUP($AT125&amp;"|"&amp;$CU125,LocTable,4,FALSE),5))</f>
        <v/>
      </c>
      <c r="CX125" s="101">
        <f>IF($CS125,"",IF($CV125,IF(OR($BI125=$CU125,AND($BI125&lt;$CU125,$BI125-IF(N(VLOOKUP($AT125&amp;"|"&amp;$CU125,LocTable,7,FALSE))&gt;0,VLOOKUP($AT125&amp;"|"&amp;$CU125,LocTable,7,FALSE),VLOOKUP($AT125&amp;"|"&amp;$CU125,LocTable,6,FALSE))-$CR125-0.75&gt;=2.125)),IF(N(VLOOKUP($AT125&amp;"|"&amp;$CU125,LocTable,7,FALSE))&gt;0,VLOOKUP($AT125&amp;"|"&amp;$CU125,LocTable,7,FALSE),VLOOKUP($AT125&amp;"|"&amp;$CU125,LocTable,6,FALSE)),$BI125-($CU125-IF(N(VLOOKUP($AT125&amp;"|"&amp;$CU125,LocTable,7,FALSE))&gt;0,VLOOKUP($AT125&amp;"|"&amp;$CU125,LocTable,7,FALSE),VLOOKUP($AT125&amp;"|"&amp;$CU125,LocTable,6,FALSE)))),$BI125-10-$CR125))</f>
        <v/>
      </c>
      <c r="CY125" s="100">
        <f>IF($CS125,"",TRIM(IF(ISNUMBER($BU125),"A "&amp;TRIM(TEXT($BU125,"# ?/??"))&amp;CHAR(34)&amp;"  ","")&amp;IF(ISNUMBER($BV125),"B "&amp;TRIM(TEXT($BV125,"# ?/??"))&amp;CHAR(34)&amp;"  ","")&amp;IF(ISNUMBER($BW125),"C "&amp;TRIM(TEXT($BW125,"# ?/??"))&amp;CHAR(34)&amp;"  ","")&amp;IF(ISNUMBER($BX125),"D "&amp;TRIM(TEXT($BX125,"# ?/??"))&amp;CHAR(34)&amp;"  ","")&amp;IF(ISNUMBER($BY125),"F "&amp;TRIM(TEXT($BY125,"# ?/??"))&amp;CHAR(34)&amp;"  ","")&amp;IF(ISNUMBER($BZ125),"E "&amp;TRIM(TEXT($BZ125,"# ?/??"))&amp;CHAR(34)&amp;"  ","")))</f>
        <v/>
      </c>
      <c r="CZ125" s="100">
        <f>IF(OR($CS125,N($BJ125)=0),"",TRIM(IF(ISNUMBER($BU125),"A "&amp;TRIM(TEXT($BU125-HeadClr,"# ?/??"))&amp;CHAR(34)&amp;"  ","")&amp;IF(ISNUMBER($BV125),"B "&amp;TRIM(TEXT($BV125-HeadClr,"# ?/??"))&amp;CHAR(34)&amp;"  ","")&amp;IF(ISNUMBER($BW125),"C "&amp;TRIM(TEXT($BW125-HeadClr,"# ?/??"))&amp;CHAR(34)&amp;"  ","")&amp;IF(ISNUMBER($BX125),"D "&amp;TRIM(TEXT($BX125-HeadClr,"# ?/??"))&amp;CHAR(34)&amp;"  ","")&amp;IF(ISNUMBER($BY125),"F "&amp;TRIM(TEXT($BY125-HeadClr,"# ?/??"))&amp;CHAR(34)&amp;"  ","")&amp;IF(ISNUMBER($BZ125),"E "&amp;TRIM(TEXT($BZ125-HeadClr,"# ?/??"))&amp;CHAR(34)&amp;"  ","")))</f>
        <v/>
      </c>
      <c r="DA125" s="99">
        <f>IF($A125="","",IF($AN125="",IFERROR(VLOOKUP($Z125,CODES,2,FALSE),""),IFERROR(VLOOKUP($AN125,CODES,2,FALSE),"")))</f>
        <v/>
      </c>
      <c r="DB125" s="99">
        <f>IF($A125="","",IF($O125="Y","PR",IF(OR($Z125="L",$Z125="RR",LEFT($Z125,2)="L-",LEFT($Z125,3)="RR-"),"LH","RH")))</f>
        <v/>
      </c>
      <c r="DC125" s="99">
        <f>IF($A125="","","S.HM"&amp;IF(OR($C125="DOOR ONLY",$X125&lt;&gt;"KD"),"MASONRY","DRYWALL")&amp;IF($C125="DOOR ONLY","",$U125)&amp;IF(AND($C125&lt;&gt;"FRAME ONLY",OR(LEFT($AH125,3)="OAK",LEFT($AH125,3)="BIR",LEFT($AH125,3)="MAP",$AH125="PC",$AH125="MC",$AH125="SCLC",$AH125="P-LAM")),"WD","HM")&amp;"1.75")</f>
        <v/>
      </c>
      <c r="DD125" s="99">
        <f>IF($CJ125="","",IF($O125="Y",$CJ125,SUBSTITUTE($CJ125,$BG125&amp;" "&amp;IFERROR(VLOOKUP($Z125,CODES,2,FALSE),"")&amp;" ",$BG125&amp;" ")))</f>
        <v/>
      </c>
      <c r="DE125" s="99">
        <f>IF($CK125="","",IF($O125="Y",$CK125,SUBSTITUTE($CK125,$BG125&amp;" "&amp;IF($AN125="",IFERROR(VLOOKUP($Z125,CODES,2,FALSE),""),IFERROR(VLOOKUP($AN125,CODES,2,FALSE),""))&amp;" ",$BG125&amp;" ")))</f>
        <v/>
      </c>
      <c r="DF125" s="99">
        <f>IF($CJ125="","",$DC125&amp;"|"&amp;$DD125&amp;"|"&amp;$DB125&amp;"|"&amp;$AT125&amp;"|"&amp;$V125&amp;"|"&amp;$Y125&amp;"|"&amp;$AB125)</f>
        <v/>
      </c>
      <c r="DG125" s="99">
        <f>IF(DF125="","",IF(COUNTIF($DF$6:DF125,DF125)=1,MAX($DG$5:DG124)+1,INDEX($DG$5:DG124,MATCH(DF125,$DF$5:DF124,0))))</f>
        <v/>
      </c>
      <c r="DH125" s="99">
        <f>IF($CK125="","",$DC125&amp;"|"&amp;$DE125&amp;"|"&amp;$AI125&amp;"|"&amp;$BK125&amp;"|"&amp;$BL125)</f>
        <v/>
      </c>
      <c r="DI125" s="99">
        <f>IF(DH125="","",IF(COUNTIF($DH$6:DH125,DH125)=1,MAX($DI$5:DI124)+1,INDEX($DI$5:DI124,MATCH(DH125,$DH$5:DH124,0))))</f>
        <v/>
      </c>
      <c r="DJ125" s="99">
        <f>IF($A125="","",IF($B125="","qty, ","")&amp;IF($C125="","scope, ","")&amp;IF(OR($K125="",$M125=""),"size, ","")&amp;IF(AND($A125&lt;&gt;"",$C125&lt;&gt;"DOOR ONLY"),IF($U125="","jamb depth, ","")&amp;IF($X125="","construction, ","")&amp;IF($Y125="","anchor, ","")&amp;IF($S125="","frame type, ",""),"")&amp;IF(AND(N($BJ125)&gt;0,$Z125=""),"hand, ","")&amp;IF(N($BJ125)&gt;0,IF($AH125="","door material, ","")&amp;IF($AL125="","face type, ","")&amp;IF($AP125="","lock prep, ","")&amp;IF(AND($AO125="",$AC125=""),"hinge prep, ",""),"")&amp;IF(AND($CH125&gt;0,$AH125="FRP"),"FRP cannot carry a label, ","")&amp;IF(AND($O125="Y",OR($Z125="L",$Z125="R",$Z125="LR",$Z125="RR")),"pair marked but hand is single, ","")&amp;IF(AND($O125&lt;&gt;"Y",OR($Z125="PR",AND(LEN($Z125)&gt;1,ISNUMBER(SEARCH("-",$Z125))))),"pair hand on a single door, ","")&amp;IF(AND(ISNUMBER($CI125),$CH125&lt;N($CI125)),"wall needs a "&amp;$CI125&amp;" min door, ","")&amp;IF(AND($CH125&gt;=180,AND(OR($CE125="FG",$CE125="HG",$CE125="FNV",$CE125="FV"),N($CF125)*N($CG125)&gt;100)),"180 min lite over 100 sq in, ","")&amp;IF(N($BK125)&gt;48,"leaf wider than 4'-0"&amp;CHAR(34)&amp;", ","")&amp;IF(AND($CT125,COUNT($AW125:$AZ125)=0,$CQ125&gt;0),"CUSTOM LOC with no locations typed, ",""))</f>
        <v/>
      </c>
      <c r="DK125" s="99">
        <f>IF($A125="","",IF(AND($CH125&gt;0,AND($A125&lt;&gt;"",$C125&lt;&gt;"DOOR ONLY"),$X125="KD",$E125="EXTERIOR"),"KD label on an exterior opening, ","")&amp;IF(AND($E125="EXTERIOR",OR(AND(AND($A125&lt;&gt;"",$C125&lt;&gt;"DOOR ONLY"),$W125="CR"),AND(N($BJ125)&gt;0,$AH125="CR"))),"exterior in CR steel (G9?), ","")&amp;IF(AND(ISNUMBER($BQ125),N($BQ125)&lt;32),"clear width ~"&amp;TEXT($BQ125,"0.0")&amp;CHAR(34)&amp;" under 32"&amp;CHAR(34)&amp;" (ADA), ","")&amp;IF(AND($CH125=90,AND(OR($CE125="FG",$CE125="HG",$CE125="FNV",$CE125="FV"),N($CF125)*N($CG125)&gt;100)),"90 min lite over 100 sq in (stair/exit), ","")&amp;IF(AND($CH125&gt;0,AND($A125&lt;&gt;"",$C125&lt;&gt;"DOOR ONLY"),OR($AF125="",$AF125="-")),"rated: closer reinf.?, ","")&amp;IF(OR($I125="CORRIDOR",$I125="SMOKE BARRIER"),"S label + smoke gasketing, ","")&amp;IF($CI125="?","wall type/hr not in IBC table, ","")&amp;IF(AND(N($BJ125)&gt;0,$BB125=""),"no hardware set, ","")&amp;IF(AND($BB125&lt;&gt;"",ISNA(MATCH($BB125&amp;"",HWSets,0))),"set "&amp;$BB125&amp;" not on HW Sets, ","")&amp;IF(N($BL125)&gt;96,"leaf over 8'-0"&amp;CHAR(34)&amp;" - check listing, ","")&amp;IF(AND($CT125,COUNT($AW125:$AZ125)&gt;0,COUNT($AW125:$AZ125)&lt;&gt;$CQ125),COUNT($AW125:$AZ125)&amp;" custom hinges typed, "&amp;$CQ125&amp;" expected, ","")&amp;IF(AND(ISNUMBER($CA125),OR(N($CA125)&lt;34,N($CA125)&gt;48)),"lock "&amp;TEXT($CA125,"0.0")&amp;CHAR(34)&amp;" AFF outside 34-48"&amp;CHAR(34)&amp;" (ADA), ","")&amp;IF(AND(ISNUMBER($AV125),ISNUMBER($BL125),N($AV125)&lt;IF(N($BL125)&lt;=60,2,IF(N($BL125)&lt;=90,3,IF(N($BL125)&lt;=120,4,5)))),"fewer hinges than standard, ",""))</f>
        <v/>
      </c>
    </row>
    <row r="126" ht="15" customHeight="1">
      <c r="A126" s="77" t="n"/>
      <c r="B126" s="78" t="n"/>
      <c r="C126" s="78" t="n"/>
      <c r="D126" s="78" t="n"/>
      <c r="E126" s="78" t="n"/>
      <c r="F126" s="78" t="n"/>
      <c r="G126" s="78" t="n"/>
      <c r="H126" s="78" t="n"/>
      <c r="I126" s="78" t="n"/>
      <c r="J126" s="78" t="n"/>
      <c r="K126" s="78" t="n"/>
      <c r="L126" s="78" t="n"/>
      <c r="M126" s="78" t="n"/>
      <c r="N126" s="78" t="n"/>
      <c r="O126" s="78" t="n"/>
      <c r="P126" s="78" t="n"/>
      <c r="Q126" s="78" t="n"/>
      <c r="R126" s="78" t="n"/>
      <c r="S126" s="79" t="n"/>
      <c r="T126" s="79" t="n"/>
      <c r="U126" s="79" t="n"/>
      <c r="V126" s="79" t="n"/>
      <c r="W126" s="79" t="n"/>
      <c r="X126" s="79" t="n"/>
      <c r="Y126" s="79" t="n"/>
      <c r="Z126" s="79" t="n"/>
      <c r="AA126" s="79" t="n"/>
      <c r="AB126" s="79" t="n"/>
      <c r="AC126" s="79" t="n"/>
      <c r="AD126" s="79" t="n"/>
      <c r="AE126" s="79" t="n"/>
      <c r="AF126" s="79" t="n"/>
      <c r="AG126" s="79" t="n"/>
      <c r="AH126" s="80" t="n"/>
      <c r="AI126" s="80" t="n"/>
      <c r="AJ126" s="80" t="n"/>
      <c r="AK126" s="80" t="n"/>
      <c r="AL126" s="80" t="n"/>
      <c r="AM126" s="80" t="n"/>
      <c r="AN126" s="80" t="n"/>
      <c r="AO126" s="80" t="n"/>
      <c r="AP126" s="80" t="n"/>
      <c r="AQ126" s="80" t="n"/>
      <c r="AR126" s="80" t="n"/>
      <c r="AS126" s="80" t="n"/>
      <c r="AT126" s="81" t="n"/>
      <c r="AU126" s="81" t="n"/>
      <c r="AV126" s="81" t="n"/>
      <c r="AW126" s="82" t="n"/>
      <c r="AX126" s="82" t="n"/>
      <c r="AY126" s="82" t="n"/>
      <c r="AZ126" s="82" t="n"/>
      <c r="BA126" s="82" t="n"/>
      <c r="BB126" s="83" t="n"/>
      <c r="BC126" s="83" t="n"/>
      <c r="BD126" s="84">
        <f>IF($A126="","",IF($DJ126&lt;&gt;"","FIX",IF($DK126&lt;&gt;"","CHECK","OK")))</f>
        <v/>
      </c>
      <c r="BE126" s="85">
        <f>IF($A126="","",IF($DJ126&lt;&gt;"","FIX: "&amp;LEFT($DJ126,LEN($DJ126)-2)&amp;IF($DK126&lt;&gt;"","  ·  ",""),"")&amp;IF($DK126&lt;&gt;"","CHECK: "&amp;LEFT($DK126,LEN($DK126)-2),""))</f>
        <v/>
      </c>
      <c r="BF126" s="84">
        <f>IF(OR($A126="",$K126=""),"",$K126&amp;"'-"&amp;N($L126)&amp;CHAR(34)&amp;" x "&amp;$M126&amp;"'-"&amp;N($N126)&amp;CHAR(34))</f>
        <v/>
      </c>
      <c r="BG126" s="84">
        <f>IF(OR($A126="",$K126=""),"",$K126&amp;N($L126)&amp;$M126&amp;N($N126))</f>
        <v/>
      </c>
      <c r="BH126" s="84">
        <f>IF(OR($A126="",$K126=""),"",$K126*12+N($L126))</f>
        <v/>
      </c>
      <c r="BI126" s="84">
        <f>IF(OR($A126="",$M126=""),"",$M126*12+N($N126))</f>
        <v/>
      </c>
      <c r="BJ126" s="84">
        <f>IF($A126="","",IF(OR($C126="FRAME ONLY",$S126="BL"),0,IF($O126="Y",2,1)))</f>
        <v/>
      </c>
      <c r="BK126" s="86">
        <f>IF(OR(N($BJ126)=0,$BH126=""),"",($BH126-2*EdgeClr-IF($BJ126=2,MeetClr,0))/$BJ126)</f>
        <v/>
      </c>
      <c r="BL126" s="86">
        <f>IF(OR(N($BJ126)=0,$BI126=""),"",$BI126-HeadClr-Undercut)</f>
        <v/>
      </c>
      <c r="BM126" s="86">
        <f>IF($BH126="","",$BH126+2*FaceW+IF(N($Q126)&gt;0,($Q126+FaceW)*IF($R126="LR",2,1),0))</f>
        <v/>
      </c>
      <c r="BN126" s="86">
        <f>IF($BI126="","",$BI126+IF($AB126="Y",4,FaceW)+IF(N($P126)&gt;0,$P126+FaceW,0)+IF(OR($S126="4F",$S126="BL"),FaceW,0))</f>
        <v/>
      </c>
      <c r="BO126" s="86">
        <f>IF($BM126="","",$BM126+2*ROSide)</f>
        <v/>
      </c>
      <c r="BP126" s="86">
        <f>IF($BN126="","",$BN126+ROTop)</f>
        <v/>
      </c>
      <c r="BQ126" s="87">
        <f>IF(OR(N($BJ126)=0,$BH126=""),"",$BH126/$BJ126-ClearDeduct)</f>
        <v/>
      </c>
      <c r="BR126" s="84">
        <f>IF(N($CH126)=0,"",IF($CH126&gt;=180,"A · 3 HR",IF($CH126&gt;=90,"B · 1-1/2 HR",IF($CH126&gt;=60,"B · 1 HR",IF($CH126&gt;=45,"C · 3/4 HR","20 MIN")))))&amp;IF(AND(N($CH126)&gt;0,OR($I126="CORRIDOR",$I126="SMOKE BARRIER"))," · S","")</f>
        <v/>
      </c>
      <c r="BS126" s="84">
        <f>IF($CS126,"",IF($AV126&lt;&gt;"",$AV126,IF(OR($AC126="HGC",$AO126="HGC"),"CONT",IF(($BI126-HeadClr-Undercut)&lt;=60,2,IF(($BI126-HeadClr-Undercut)&lt;=90,3,IF(($BI126-HeadClr-Undercut)&lt;=120,4,5))))))</f>
        <v/>
      </c>
      <c r="BT126" s="84">
        <f>IF($CS126,"",IF($CT126,"CUSTOM (typed)",IF($CV126,$AT126&amp;" "&amp;$CU126&amp;CHAR(34)&amp;IF($CU126&lt;&gt;$BI126,IF(AND($BI126&lt;$CU126,$BI126-IF(N(VLOOKUP($AT126&amp;"|"&amp;$CU126,LocTable,7,FALSE))&gt;0,VLOOKUP($AT126&amp;"|"&amp;$CU126,LocTable,7,FALSE),VLOOKUP($AT126&amp;"|"&amp;$CU126,LocTable,6,FALSE))-$CR126-0.75&gt;=2.125)," cut down"," adj."),""),"ANSI/SDI A250.6")))</f>
        <v/>
      </c>
      <c r="BU126" s="88">
        <f>IF($CS126,"",IF($CT126,IF(N($AW126)&gt;0,N($AW126),""),IF(1&gt;$CQ126,"",IF($CQ126=1,$CW126,$CW126+($CX126-$CW126)*0/($CQ126-1)))))</f>
        <v/>
      </c>
      <c r="BV126" s="88">
        <f>IF($CS126,"",IF($CT126,IF(N($AX126)&gt;0,N($AX126),""),IF(2&gt;$CQ126,"",IF($CQ126=1,$CW126,$CW126+($CX126-$CW126)*1/($CQ126-1)))))</f>
        <v/>
      </c>
      <c r="BW126" s="88">
        <f>IF($CS126,"",IF($CT126,IF(N($AY126)&gt;0,N($AY126),""),IF(3&gt;$CQ126,"",IF($CQ126=1,$CW126,$CW126+($CX126-$CW126)*2/($CQ126-1)))))</f>
        <v/>
      </c>
      <c r="BX126" s="88">
        <f>IF($CS126,"",IF($CT126,IF(N($AZ126)&gt;0,N($AZ126),""),IF(4&gt;$CQ126,"",IF($CQ126=1,$CW126,$CW126+($CX126-$CW126)*3/($CQ126-1)))))</f>
        <v/>
      </c>
      <c r="BY126" s="88">
        <f>IF($CS126,"",IF($CT126,"",IF(5&gt;$CQ126,"",IF($CQ126=1,$CW126,$CW126+($CX126-$CW126)*4/($CQ126-1)))))</f>
        <v/>
      </c>
      <c r="BZ126" s="88">
        <f>IF(OR($CS126,$AP126="-",AND($AP126="",$AD126="")),"",IF(N($BA126)&gt;0,N($BA126),IF($CV126,IF(AND($BI126&lt;$CU126,$BI126-IF(N(VLOOKUP($AT126&amp;"|"&amp;$CU126,LocTable,7,FALSE))&gt;0,VLOOKUP($AT126&amp;"|"&amp;$CU126,LocTable,7,FALSE),VLOOKUP($AT126&amp;"|"&amp;$CU126,LocTable,6,FALSE))-$CR126-0.75&gt;=2.125),VLOOKUP($AT126&amp;"|"&amp;$CU126,LocTable,8,FALSE),VLOOKUP($AT126&amp;"|"&amp;$CU126,LocTable,8,FALSE)+($BI126-$CU126)),$BI126-LockAFF)))</f>
        <v/>
      </c>
      <c r="CA126" s="89">
        <f>IF($BZ126="","",$BI126-$BZ126)</f>
        <v/>
      </c>
      <c r="CB126" s="84">
        <f>IF(OR(NOT(AND($A126&lt;&gt;"",$C126&lt;&gt;"DOOR ONLY")),$BI126=""),"",IF(($BI126+IF(N($P126)&gt;0,$P126+FaceW,0))&lt;=90,3,IF(($BI126+IF(N($P126)&gt;0,$P126+FaceW,0))&lt;=114,4,5)))</f>
        <v/>
      </c>
      <c r="CC126" s="84">
        <f>IF($CB126="","",$CB126*(2+IF(N($Q126)&gt;0,IF($R126="LR",2,1),0)))</f>
        <v/>
      </c>
      <c r="CD126" s="84">
        <f>IF($CB126="","",(2+IF(N($Q126)&gt;0,IF($R126="LR",2,1),0)))</f>
        <v/>
      </c>
      <c r="CE126" s="84">
        <f>IF(N($BJ126)=0,"",IF(OR($AL126="",$AL126="FLUSH"),"FLUSH",IFERROR(LEFT($AL126,FIND("-",$AL126)-1),LEFT($AL126,2))))</f>
        <v/>
      </c>
      <c r="CF126" s="84">
        <f>IF($CE126="","",IFERROR(VALUE(MID($AL126,FIND("-",$AL126)+1,FIND(CHAR(34)&amp;"x",$AL126)-FIND("-",$AL126)-1)),0))</f>
        <v/>
      </c>
      <c r="CG126" s="84">
        <f>IF($CE126="","",IFERROR(VALUE(MID($AL126,FIND(CHAR(34)&amp;"x",$AL126)+2,FIND(CHAR(34),$AL126,FIND(CHAR(34)&amp;"x",$AL126)+2)-FIND(CHAR(34)&amp;"x",$AL126)-2)),0))</f>
        <v/>
      </c>
      <c r="CH126" s="90">
        <f>IF(OR($A126="",$H126="",$H126="NO LAB"),0,IFERROR(VALUE(LEFT($H126,FIND(" ",$H126)-1)),0))</f>
        <v/>
      </c>
      <c r="CI126" s="91">
        <f>IF(OR($A126="",$I126="",$I126="NON-RATED",N($J126)=0),"",IFERROR(VLOOKUP($I126&amp;"|"&amp;$J126,IBC,2,FALSE),"?"))</f>
        <v/>
      </c>
      <c r="CJ126" s="85">
        <f>IF(NOT(AND($A126&lt;&gt;"",$C126&lt;&gt;"DOOR ONLY")),"",TRIM(IFERROR(VLOOKUP($U126,CODES,2,FALSE),"")&amp;" "&amp;$BG126&amp;" "&amp;IFERROR(VLOOKUP($Z126,CODES,2,FALSE),"")&amp;" "&amp;IFERROR(VLOOKUP($X126,CODES,2,FALSE),"")&amp;" "&amp;IFERROR(VLOOKUP($S126,CODES,2,FALSE),"")&amp;IF(N($P126)&gt;0," w/TRANSOM "&amp;$P126&amp;CHAR(34),"")&amp;IF(N($Q126)&gt;0," w/SIDELITE "&amp;$Q126&amp;CHAR(34)&amp;" "&amp;IF($R126="","R",$R126),"")&amp;IF($Y126="","  |  "," | "&amp;IFERROR(VLOOKUP($Y126,CODES,2,FALSE),"")&amp;" | ")&amp;IFERROR(VLOOKUP($AC126,CODES,2,FALSE),"")&amp;" "&amp;IFERROR(VLOOKUP($AD126,CODES,2,FALSE),"")&amp;IF(OR($AE126="",$AE126="-"),""," "&amp;$AE126)&amp;IF(OR($AF126="",$AF126="-"),""," "&amp;$AF126)&amp;IF($AB126="Y"," 4"&amp;CHAR(34)&amp;" HEAD","")&amp;" "&amp;IFERROR(VLOOKUP($H126,CODES,2,FALSE),"")&amp;IF($CT126," | LOC "&amp;$CY126,"")))</f>
        <v/>
      </c>
      <c r="CK126" s="85">
        <f>IF(NOT(AND($A126&lt;&gt;"",N($BJ126)&gt;0)),"",TRIM(IFERROR(VLOOKUP($AH126,CODES,2,FALSE),"")&amp;IF($AI126=""," "," "&amp;$AI126&amp;"GA ")&amp;$BG126&amp;" "&amp;IF($AN126="",IFERROR(VLOOKUP($Z126,CODES,2,FALSE),""),IFERROR(VLOOKUP($AN126,CODES,2,FALSE),""))&amp;IF($BJ126=2," PAIR","")&amp;" DOOR | "&amp;IF($AL126="","?",$AL126)&amp;" | "&amp;IF($AO126="",IFERROR(VLOOKUP($AC126,CODES,2,FALSE),""),IFERROR(VLOOKUP($AO126,CODES,2,FALSE),""))&amp;" "&amp;IFERROR(VLOOKUP($AP126,CODES,2,FALSE),"")&amp;IF(OR($AQ126="",$AQ126="-"),""," SEAM "&amp;$AQ126)&amp;IF($AR126="Y"," ASTRAGAL","")&amp;IF($AJ126=""," "," "&amp;$AJ126)&amp;IF($AK126=""," "," "&amp;$AK126)&amp;IF(OR($AT126="",$AT126="ANSI/SDI",$AT126="CUSTOM LOC"),""," "&amp;$AT126)&amp;IF($AM126=""," "," SERIES "&amp;$AM126)&amp;" "&amp;IFERROR(VLOOKUP($H126,CODES,2,FALSE),"")&amp;IF($CT126," | LOC "&amp;$CZ126,"")))</f>
        <v/>
      </c>
      <c r="CL126" s="84">
        <f>IF(CP126="","",IF(COUNTIF($CP$6:CP126,CP126)=1,MAX($CL$5:CL125)+1,INDEX($CL$5:CL125,MATCH(CP126,$CP$5:CP125,0))))</f>
        <v/>
      </c>
      <c r="CM126" s="84">
        <f>IF(NOT(AND($A126&lt;&gt;"",$C126&lt;&gt;"DOOR ONLY")),"",MAX($CM$5:CM125)+1)</f>
        <v/>
      </c>
      <c r="CN126" s="84">
        <f>IF(NOT(AND($A126&lt;&gt;"",N($BJ126)&gt;0)),"",MAX($CN$5:CN125)+1)</f>
        <v/>
      </c>
      <c r="CO126" s="84">
        <f>IF($A126="","",MAX($CO$5:CO125)+1)</f>
        <v/>
      </c>
      <c r="CP126" s="84">
        <f>IF(OR($A126="",$BH126="",$BI126=""),"",$BG126&amp;"|"&amp;$O126&amp;"|"&amp;$AL126&amp;"|"&amp;$S126&amp;"|"&amp;$P126&amp;"|"&amp;$Q126&amp;$R126&amp;"|"&amp;$C126&amp;"|"&amp;$AB126)</f>
        <v/>
      </c>
      <c r="CQ126" s="84">
        <f>N($BS126)</f>
        <v/>
      </c>
      <c r="CR126" s="84">
        <f>IF(N($AU126)&gt;0,N($AU126),4.5)</f>
        <v/>
      </c>
      <c r="CS126" s="84">
        <f>OR($A126="",$BI126="",$S126="BL",AND($C126="FRAME ONLY",OR($AC126="",$AC126="BLK")))</f>
        <v/>
      </c>
      <c r="CT126" s="84">
        <f>AND(NOT($CS126),OR($AT126="CUSTOM LOC",N($AW126)+N($AX126)+N($AY126)+N($AZ126)+N($BA126)&gt;0))</f>
        <v/>
      </c>
      <c r="CU126" s="84">
        <f>IF($BI126="","",IF($BI126&lt;=80,80,IF($BI126&lt;=84,84,96)))</f>
        <v/>
      </c>
      <c r="CV126" s="84">
        <f>ISNUMBER(MATCH($AT126&amp;"|80",LocKeys,0))</f>
        <v/>
      </c>
      <c r="CW126" s="86">
        <f>IF($CS126,"",IF($CV126,VLOOKUP($AT126&amp;"|"&amp;$CU126,LocTable,4,FALSE),5))</f>
        <v/>
      </c>
      <c r="CX126" s="86">
        <f>IF($CS126,"",IF($CV126,IF(OR($BI126=$CU126,AND($BI126&lt;$CU126,$BI126-IF(N(VLOOKUP($AT126&amp;"|"&amp;$CU126,LocTable,7,FALSE))&gt;0,VLOOKUP($AT126&amp;"|"&amp;$CU126,LocTable,7,FALSE),VLOOKUP($AT126&amp;"|"&amp;$CU126,LocTable,6,FALSE))-$CR126-0.75&gt;=2.125)),IF(N(VLOOKUP($AT126&amp;"|"&amp;$CU126,LocTable,7,FALSE))&gt;0,VLOOKUP($AT126&amp;"|"&amp;$CU126,LocTable,7,FALSE),VLOOKUP($AT126&amp;"|"&amp;$CU126,LocTable,6,FALSE)),$BI126-($CU126-IF(N(VLOOKUP($AT126&amp;"|"&amp;$CU126,LocTable,7,FALSE))&gt;0,VLOOKUP($AT126&amp;"|"&amp;$CU126,LocTable,7,FALSE),VLOOKUP($AT126&amp;"|"&amp;$CU126,LocTable,6,FALSE)))),$BI126-10-$CR126))</f>
        <v/>
      </c>
      <c r="CY126" s="85">
        <f>IF($CS126,"",TRIM(IF(ISNUMBER($BU126),"A "&amp;TRIM(TEXT($BU126,"# ?/??"))&amp;CHAR(34)&amp;"  ","")&amp;IF(ISNUMBER($BV126),"B "&amp;TRIM(TEXT($BV126,"# ?/??"))&amp;CHAR(34)&amp;"  ","")&amp;IF(ISNUMBER($BW126),"C "&amp;TRIM(TEXT($BW126,"# ?/??"))&amp;CHAR(34)&amp;"  ","")&amp;IF(ISNUMBER($BX126),"D "&amp;TRIM(TEXT($BX126,"# ?/??"))&amp;CHAR(34)&amp;"  ","")&amp;IF(ISNUMBER($BY126),"F "&amp;TRIM(TEXT($BY126,"# ?/??"))&amp;CHAR(34)&amp;"  ","")&amp;IF(ISNUMBER($BZ126),"E "&amp;TRIM(TEXT($BZ126,"# ?/??"))&amp;CHAR(34)&amp;"  ","")))</f>
        <v/>
      </c>
      <c r="CZ126" s="85">
        <f>IF(OR($CS126,N($BJ126)=0),"",TRIM(IF(ISNUMBER($BU126),"A "&amp;TRIM(TEXT($BU126-HeadClr,"# ?/??"))&amp;CHAR(34)&amp;"  ","")&amp;IF(ISNUMBER($BV126),"B "&amp;TRIM(TEXT($BV126-HeadClr,"# ?/??"))&amp;CHAR(34)&amp;"  ","")&amp;IF(ISNUMBER($BW126),"C "&amp;TRIM(TEXT($BW126-HeadClr,"# ?/??"))&amp;CHAR(34)&amp;"  ","")&amp;IF(ISNUMBER($BX126),"D "&amp;TRIM(TEXT($BX126-HeadClr,"# ?/??"))&amp;CHAR(34)&amp;"  ","")&amp;IF(ISNUMBER($BY126),"F "&amp;TRIM(TEXT($BY126-HeadClr,"# ?/??"))&amp;CHAR(34)&amp;"  ","")&amp;IF(ISNUMBER($BZ126),"E "&amp;TRIM(TEXT($BZ126-HeadClr,"# ?/??"))&amp;CHAR(34)&amp;"  ","")))</f>
        <v/>
      </c>
      <c r="DA126" s="84">
        <f>IF($A126="","",IF($AN126="",IFERROR(VLOOKUP($Z126,CODES,2,FALSE),""),IFERROR(VLOOKUP($AN126,CODES,2,FALSE),"")))</f>
        <v/>
      </c>
      <c r="DB126" s="84">
        <f>IF($A126="","",IF($O126="Y","PR",IF(OR($Z126="L",$Z126="RR",LEFT($Z126,2)="L-",LEFT($Z126,3)="RR-"),"LH","RH")))</f>
        <v/>
      </c>
      <c r="DC126" s="84">
        <f>IF($A126="","","S.HM"&amp;IF(OR($C126="DOOR ONLY",$X126&lt;&gt;"KD"),"MASONRY","DRYWALL")&amp;IF($C126="DOOR ONLY","",$U126)&amp;IF(AND($C126&lt;&gt;"FRAME ONLY",OR(LEFT($AH126,3)="OAK",LEFT($AH126,3)="BIR",LEFT($AH126,3)="MAP",$AH126="PC",$AH126="MC",$AH126="SCLC",$AH126="P-LAM")),"WD","HM")&amp;"1.75")</f>
        <v/>
      </c>
      <c r="DD126" s="84">
        <f>IF($CJ126="","",IF($O126="Y",$CJ126,SUBSTITUTE($CJ126,$BG126&amp;" "&amp;IFERROR(VLOOKUP($Z126,CODES,2,FALSE),"")&amp;" ",$BG126&amp;" ")))</f>
        <v/>
      </c>
      <c r="DE126" s="84">
        <f>IF($CK126="","",IF($O126="Y",$CK126,SUBSTITUTE($CK126,$BG126&amp;" "&amp;IF($AN126="",IFERROR(VLOOKUP($Z126,CODES,2,FALSE),""),IFERROR(VLOOKUP($AN126,CODES,2,FALSE),""))&amp;" ",$BG126&amp;" ")))</f>
        <v/>
      </c>
      <c r="DF126" s="84">
        <f>IF($CJ126="","",$DC126&amp;"|"&amp;$DD126&amp;"|"&amp;$DB126&amp;"|"&amp;$AT126&amp;"|"&amp;$V126&amp;"|"&amp;$Y126&amp;"|"&amp;$AB126)</f>
        <v/>
      </c>
      <c r="DG126" s="84">
        <f>IF(DF126="","",IF(COUNTIF($DF$6:DF126,DF126)=1,MAX($DG$5:DG125)+1,INDEX($DG$5:DG125,MATCH(DF126,$DF$5:DF125,0))))</f>
        <v/>
      </c>
      <c r="DH126" s="84">
        <f>IF($CK126="","",$DC126&amp;"|"&amp;$DE126&amp;"|"&amp;$AI126&amp;"|"&amp;$BK126&amp;"|"&amp;$BL126)</f>
        <v/>
      </c>
      <c r="DI126" s="84">
        <f>IF(DH126="","",IF(COUNTIF($DH$6:DH126,DH126)=1,MAX($DI$5:DI125)+1,INDEX($DI$5:DI125,MATCH(DH126,$DH$5:DH125,0))))</f>
        <v/>
      </c>
      <c r="DJ126" s="84">
        <f>IF($A126="","",IF($B126="","qty, ","")&amp;IF($C126="","scope, ","")&amp;IF(OR($K126="",$M126=""),"size, ","")&amp;IF(AND($A126&lt;&gt;"",$C126&lt;&gt;"DOOR ONLY"),IF($U126="","jamb depth, ","")&amp;IF($X126="","construction, ","")&amp;IF($Y126="","anchor, ","")&amp;IF($S126="","frame type, ",""),"")&amp;IF(AND(N($BJ126)&gt;0,$Z126=""),"hand, ","")&amp;IF(N($BJ126)&gt;0,IF($AH126="","door material, ","")&amp;IF($AL126="","face type, ","")&amp;IF($AP126="","lock prep, ","")&amp;IF(AND($AO126="",$AC126=""),"hinge prep, ",""),"")&amp;IF(AND($CH126&gt;0,$AH126="FRP"),"FRP cannot carry a label, ","")&amp;IF(AND($O126="Y",OR($Z126="L",$Z126="R",$Z126="LR",$Z126="RR")),"pair marked but hand is single, ","")&amp;IF(AND($O126&lt;&gt;"Y",OR($Z126="PR",AND(LEN($Z126)&gt;1,ISNUMBER(SEARCH("-",$Z126))))),"pair hand on a single door, ","")&amp;IF(AND(ISNUMBER($CI126),$CH126&lt;N($CI126)),"wall needs a "&amp;$CI126&amp;" min door, ","")&amp;IF(AND($CH126&gt;=180,AND(OR($CE126="FG",$CE126="HG",$CE126="FNV",$CE126="FV"),N($CF126)*N($CG126)&gt;100)),"180 min lite over 100 sq in, ","")&amp;IF(N($BK126)&gt;48,"leaf wider than 4'-0"&amp;CHAR(34)&amp;", ","")&amp;IF(AND($CT126,COUNT($AW126:$AZ126)=0,$CQ126&gt;0),"CUSTOM LOC with no locations typed, ",""))</f>
        <v/>
      </c>
      <c r="DK126" s="84">
        <f>IF($A126="","",IF(AND($CH126&gt;0,AND($A126&lt;&gt;"",$C126&lt;&gt;"DOOR ONLY"),$X126="KD",$E126="EXTERIOR"),"KD label on an exterior opening, ","")&amp;IF(AND($E126="EXTERIOR",OR(AND(AND($A126&lt;&gt;"",$C126&lt;&gt;"DOOR ONLY"),$W126="CR"),AND(N($BJ126)&gt;0,$AH126="CR"))),"exterior in CR steel (G9?), ","")&amp;IF(AND(ISNUMBER($BQ126),N($BQ126)&lt;32),"clear width ~"&amp;TEXT($BQ126,"0.0")&amp;CHAR(34)&amp;" under 32"&amp;CHAR(34)&amp;" (ADA), ","")&amp;IF(AND($CH126=90,AND(OR($CE126="FG",$CE126="HG",$CE126="FNV",$CE126="FV"),N($CF126)*N($CG126)&gt;100)),"90 min lite over 100 sq in (stair/exit), ","")&amp;IF(AND($CH126&gt;0,AND($A126&lt;&gt;"",$C126&lt;&gt;"DOOR ONLY"),OR($AF126="",$AF126="-")),"rated: closer reinf.?, ","")&amp;IF(OR($I126="CORRIDOR",$I126="SMOKE BARRIER"),"S label + smoke gasketing, ","")&amp;IF($CI126="?","wall type/hr not in IBC table, ","")&amp;IF(AND(N($BJ126)&gt;0,$BB126=""),"no hardware set, ","")&amp;IF(AND($BB126&lt;&gt;"",ISNA(MATCH($BB126&amp;"",HWSets,0))),"set "&amp;$BB126&amp;" not on HW Sets, ","")&amp;IF(N($BL126)&gt;96,"leaf over 8'-0"&amp;CHAR(34)&amp;" - check listing, ","")&amp;IF(AND($CT126,COUNT($AW126:$AZ126)&gt;0,COUNT($AW126:$AZ126)&lt;&gt;$CQ126),COUNT($AW126:$AZ126)&amp;" custom hinges typed, "&amp;$CQ126&amp;" expected, ","")&amp;IF(AND(ISNUMBER($CA126),OR(N($CA126)&lt;34,N($CA126)&gt;48)),"lock "&amp;TEXT($CA126,"0.0")&amp;CHAR(34)&amp;" AFF outside 34-48"&amp;CHAR(34)&amp;" (ADA), ","")&amp;IF(AND(ISNUMBER($AV126),ISNUMBER($BL126),N($AV126)&lt;IF(N($BL126)&lt;=60,2,IF(N($BL126)&lt;=90,3,IF(N($BL126)&lt;=120,4,5)))),"fewer hinges than standard, ",""))</f>
        <v/>
      </c>
    </row>
    <row r="127" ht="15" customHeight="1">
      <c r="A127" s="77" t="n"/>
      <c r="B127" s="78" t="n"/>
      <c r="C127" s="78" t="n"/>
      <c r="D127" s="78" t="n"/>
      <c r="E127" s="78" t="n"/>
      <c r="F127" s="78" t="n"/>
      <c r="G127" s="78" t="n"/>
      <c r="H127" s="78" t="n"/>
      <c r="I127" s="78" t="n"/>
      <c r="J127" s="78" t="n"/>
      <c r="K127" s="78" t="n"/>
      <c r="L127" s="78" t="n"/>
      <c r="M127" s="78" t="n"/>
      <c r="N127" s="78" t="n"/>
      <c r="O127" s="78" t="n"/>
      <c r="P127" s="78" t="n"/>
      <c r="Q127" s="78" t="n"/>
      <c r="R127" s="78" t="n"/>
      <c r="S127" s="79" t="n"/>
      <c r="T127" s="79" t="n"/>
      <c r="U127" s="79" t="n"/>
      <c r="V127" s="79" t="n"/>
      <c r="W127" s="79" t="n"/>
      <c r="X127" s="79" t="n"/>
      <c r="Y127" s="79" t="n"/>
      <c r="Z127" s="79" t="n"/>
      <c r="AA127" s="79" t="n"/>
      <c r="AB127" s="79" t="n"/>
      <c r="AC127" s="79" t="n"/>
      <c r="AD127" s="79" t="n"/>
      <c r="AE127" s="79" t="n"/>
      <c r="AF127" s="79" t="n"/>
      <c r="AG127" s="79" t="n"/>
      <c r="AH127" s="80" t="n"/>
      <c r="AI127" s="80" t="n"/>
      <c r="AJ127" s="80" t="n"/>
      <c r="AK127" s="80" t="n"/>
      <c r="AL127" s="80" t="n"/>
      <c r="AM127" s="80" t="n"/>
      <c r="AN127" s="80" t="n"/>
      <c r="AO127" s="80" t="n"/>
      <c r="AP127" s="80" t="n"/>
      <c r="AQ127" s="80" t="n"/>
      <c r="AR127" s="80" t="n"/>
      <c r="AS127" s="80" t="n"/>
      <c r="AT127" s="81" t="n"/>
      <c r="AU127" s="81" t="n"/>
      <c r="AV127" s="81" t="n"/>
      <c r="AW127" s="82" t="n"/>
      <c r="AX127" s="82" t="n"/>
      <c r="AY127" s="82" t="n"/>
      <c r="AZ127" s="82" t="n"/>
      <c r="BA127" s="82" t="n"/>
      <c r="BB127" s="83" t="n"/>
      <c r="BC127" s="83" t="n"/>
      <c r="BD127" s="84">
        <f>IF($A127="","",IF($DJ127&lt;&gt;"","FIX",IF($DK127&lt;&gt;"","CHECK","OK")))</f>
        <v/>
      </c>
      <c r="BE127" s="85">
        <f>IF($A127="","",IF($DJ127&lt;&gt;"","FIX: "&amp;LEFT($DJ127,LEN($DJ127)-2)&amp;IF($DK127&lt;&gt;"","  ·  ",""),"")&amp;IF($DK127&lt;&gt;"","CHECK: "&amp;LEFT($DK127,LEN($DK127)-2),""))</f>
        <v/>
      </c>
      <c r="BF127" s="84">
        <f>IF(OR($A127="",$K127=""),"",$K127&amp;"'-"&amp;N($L127)&amp;CHAR(34)&amp;" x "&amp;$M127&amp;"'-"&amp;N($N127)&amp;CHAR(34))</f>
        <v/>
      </c>
      <c r="BG127" s="84">
        <f>IF(OR($A127="",$K127=""),"",$K127&amp;N($L127)&amp;$M127&amp;N($N127))</f>
        <v/>
      </c>
      <c r="BH127" s="84">
        <f>IF(OR($A127="",$K127=""),"",$K127*12+N($L127))</f>
        <v/>
      </c>
      <c r="BI127" s="84">
        <f>IF(OR($A127="",$M127=""),"",$M127*12+N($N127))</f>
        <v/>
      </c>
      <c r="BJ127" s="84">
        <f>IF($A127="","",IF(OR($C127="FRAME ONLY",$S127="BL"),0,IF($O127="Y",2,1)))</f>
        <v/>
      </c>
      <c r="BK127" s="86">
        <f>IF(OR(N($BJ127)=0,$BH127=""),"",($BH127-2*EdgeClr-IF($BJ127=2,MeetClr,0))/$BJ127)</f>
        <v/>
      </c>
      <c r="BL127" s="86">
        <f>IF(OR(N($BJ127)=0,$BI127=""),"",$BI127-HeadClr-Undercut)</f>
        <v/>
      </c>
      <c r="BM127" s="86">
        <f>IF($BH127="","",$BH127+2*FaceW+IF(N($Q127)&gt;0,($Q127+FaceW)*IF($R127="LR",2,1),0))</f>
        <v/>
      </c>
      <c r="BN127" s="86">
        <f>IF($BI127="","",$BI127+IF($AB127="Y",4,FaceW)+IF(N($P127)&gt;0,$P127+FaceW,0)+IF(OR($S127="4F",$S127="BL"),FaceW,0))</f>
        <v/>
      </c>
      <c r="BO127" s="86">
        <f>IF($BM127="","",$BM127+2*ROSide)</f>
        <v/>
      </c>
      <c r="BP127" s="86">
        <f>IF($BN127="","",$BN127+ROTop)</f>
        <v/>
      </c>
      <c r="BQ127" s="87">
        <f>IF(OR(N($BJ127)=0,$BH127=""),"",$BH127/$BJ127-ClearDeduct)</f>
        <v/>
      </c>
      <c r="BR127" s="84">
        <f>IF(N($CH127)=0,"",IF($CH127&gt;=180,"A · 3 HR",IF($CH127&gt;=90,"B · 1-1/2 HR",IF($CH127&gt;=60,"B · 1 HR",IF($CH127&gt;=45,"C · 3/4 HR","20 MIN")))))&amp;IF(AND(N($CH127)&gt;0,OR($I127="CORRIDOR",$I127="SMOKE BARRIER"))," · S","")</f>
        <v/>
      </c>
      <c r="BS127" s="84">
        <f>IF($CS127,"",IF($AV127&lt;&gt;"",$AV127,IF(OR($AC127="HGC",$AO127="HGC"),"CONT",IF(($BI127-HeadClr-Undercut)&lt;=60,2,IF(($BI127-HeadClr-Undercut)&lt;=90,3,IF(($BI127-HeadClr-Undercut)&lt;=120,4,5))))))</f>
        <v/>
      </c>
      <c r="BT127" s="84">
        <f>IF($CS127,"",IF($CT127,"CUSTOM (typed)",IF($CV127,$AT127&amp;" "&amp;$CU127&amp;CHAR(34)&amp;IF($CU127&lt;&gt;$BI127,IF(AND($BI127&lt;$CU127,$BI127-IF(N(VLOOKUP($AT127&amp;"|"&amp;$CU127,LocTable,7,FALSE))&gt;0,VLOOKUP($AT127&amp;"|"&amp;$CU127,LocTable,7,FALSE),VLOOKUP($AT127&amp;"|"&amp;$CU127,LocTable,6,FALSE))-$CR127-0.75&gt;=2.125)," cut down"," adj."),""),"ANSI/SDI A250.6")))</f>
        <v/>
      </c>
      <c r="BU127" s="88">
        <f>IF($CS127,"",IF($CT127,IF(N($AW127)&gt;0,N($AW127),""),IF(1&gt;$CQ127,"",IF($CQ127=1,$CW127,$CW127+($CX127-$CW127)*0/($CQ127-1)))))</f>
        <v/>
      </c>
      <c r="BV127" s="88">
        <f>IF($CS127,"",IF($CT127,IF(N($AX127)&gt;0,N($AX127),""),IF(2&gt;$CQ127,"",IF($CQ127=1,$CW127,$CW127+($CX127-$CW127)*1/($CQ127-1)))))</f>
        <v/>
      </c>
      <c r="BW127" s="88">
        <f>IF($CS127,"",IF($CT127,IF(N($AY127)&gt;0,N($AY127),""),IF(3&gt;$CQ127,"",IF($CQ127=1,$CW127,$CW127+($CX127-$CW127)*2/($CQ127-1)))))</f>
        <v/>
      </c>
      <c r="BX127" s="88">
        <f>IF($CS127,"",IF($CT127,IF(N($AZ127)&gt;0,N($AZ127),""),IF(4&gt;$CQ127,"",IF($CQ127=1,$CW127,$CW127+($CX127-$CW127)*3/($CQ127-1)))))</f>
        <v/>
      </c>
      <c r="BY127" s="88">
        <f>IF($CS127,"",IF($CT127,"",IF(5&gt;$CQ127,"",IF($CQ127=1,$CW127,$CW127+($CX127-$CW127)*4/($CQ127-1)))))</f>
        <v/>
      </c>
      <c r="BZ127" s="88">
        <f>IF(OR($CS127,$AP127="-",AND($AP127="",$AD127="")),"",IF(N($BA127)&gt;0,N($BA127),IF($CV127,IF(AND($BI127&lt;$CU127,$BI127-IF(N(VLOOKUP($AT127&amp;"|"&amp;$CU127,LocTable,7,FALSE))&gt;0,VLOOKUP($AT127&amp;"|"&amp;$CU127,LocTable,7,FALSE),VLOOKUP($AT127&amp;"|"&amp;$CU127,LocTable,6,FALSE))-$CR127-0.75&gt;=2.125),VLOOKUP($AT127&amp;"|"&amp;$CU127,LocTable,8,FALSE),VLOOKUP($AT127&amp;"|"&amp;$CU127,LocTable,8,FALSE)+($BI127-$CU127)),$BI127-LockAFF)))</f>
        <v/>
      </c>
      <c r="CA127" s="89">
        <f>IF($BZ127="","",$BI127-$BZ127)</f>
        <v/>
      </c>
      <c r="CB127" s="84">
        <f>IF(OR(NOT(AND($A127&lt;&gt;"",$C127&lt;&gt;"DOOR ONLY")),$BI127=""),"",IF(($BI127+IF(N($P127)&gt;0,$P127+FaceW,0))&lt;=90,3,IF(($BI127+IF(N($P127)&gt;0,$P127+FaceW,0))&lt;=114,4,5)))</f>
        <v/>
      </c>
      <c r="CC127" s="84">
        <f>IF($CB127="","",$CB127*(2+IF(N($Q127)&gt;0,IF($R127="LR",2,1),0)))</f>
        <v/>
      </c>
      <c r="CD127" s="84">
        <f>IF($CB127="","",(2+IF(N($Q127)&gt;0,IF($R127="LR",2,1),0)))</f>
        <v/>
      </c>
      <c r="CE127" s="84">
        <f>IF(N($BJ127)=0,"",IF(OR($AL127="",$AL127="FLUSH"),"FLUSH",IFERROR(LEFT($AL127,FIND("-",$AL127)-1),LEFT($AL127,2))))</f>
        <v/>
      </c>
      <c r="CF127" s="84">
        <f>IF($CE127="","",IFERROR(VALUE(MID($AL127,FIND("-",$AL127)+1,FIND(CHAR(34)&amp;"x",$AL127)-FIND("-",$AL127)-1)),0))</f>
        <v/>
      </c>
      <c r="CG127" s="84">
        <f>IF($CE127="","",IFERROR(VALUE(MID($AL127,FIND(CHAR(34)&amp;"x",$AL127)+2,FIND(CHAR(34),$AL127,FIND(CHAR(34)&amp;"x",$AL127)+2)-FIND(CHAR(34)&amp;"x",$AL127)-2)),0))</f>
        <v/>
      </c>
      <c r="CH127" s="90">
        <f>IF(OR($A127="",$H127="",$H127="NO LAB"),0,IFERROR(VALUE(LEFT($H127,FIND(" ",$H127)-1)),0))</f>
        <v/>
      </c>
      <c r="CI127" s="91">
        <f>IF(OR($A127="",$I127="",$I127="NON-RATED",N($J127)=0),"",IFERROR(VLOOKUP($I127&amp;"|"&amp;$J127,IBC,2,FALSE),"?"))</f>
        <v/>
      </c>
      <c r="CJ127" s="85">
        <f>IF(NOT(AND($A127&lt;&gt;"",$C127&lt;&gt;"DOOR ONLY")),"",TRIM(IFERROR(VLOOKUP($U127,CODES,2,FALSE),"")&amp;" "&amp;$BG127&amp;" "&amp;IFERROR(VLOOKUP($Z127,CODES,2,FALSE),"")&amp;" "&amp;IFERROR(VLOOKUP($X127,CODES,2,FALSE),"")&amp;" "&amp;IFERROR(VLOOKUP($S127,CODES,2,FALSE),"")&amp;IF(N($P127)&gt;0," w/TRANSOM "&amp;$P127&amp;CHAR(34),"")&amp;IF(N($Q127)&gt;0," w/SIDELITE "&amp;$Q127&amp;CHAR(34)&amp;" "&amp;IF($R127="","R",$R127),"")&amp;IF($Y127="","  |  "," | "&amp;IFERROR(VLOOKUP($Y127,CODES,2,FALSE),"")&amp;" | ")&amp;IFERROR(VLOOKUP($AC127,CODES,2,FALSE),"")&amp;" "&amp;IFERROR(VLOOKUP($AD127,CODES,2,FALSE),"")&amp;IF(OR($AE127="",$AE127="-"),""," "&amp;$AE127)&amp;IF(OR($AF127="",$AF127="-"),""," "&amp;$AF127)&amp;IF($AB127="Y"," 4"&amp;CHAR(34)&amp;" HEAD","")&amp;" "&amp;IFERROR(VLOOKUP($H127,CODES,2,FALSE),"")&amp;IF($CT127," | LOC "&amp;$CY127,"")))</f>
        <v/>
      </c>
      <c r="CK127" s="85">
        <f>IF(NOT(AND($A127&lt;&gt;"",N($BJ127)&gt;0)),"",TRIM(IFERROR(VLOOKUP($AH127,CODES,2,FALSE),"")&amp;IF($AI127=""," "," "&amp;$AI127&amp;"GA ")&amp;$BG127&amp;" "&amp;IF($AN127="",IFERROR(VLOOKUP($Z127,CODES,2,FALSE),""),IFERROR(VLOOKUP($AN127,CODES,2,FALSE),""))&amp;IF($BJ127=2," PAIR","")&amp;" DOOR | "&amp;IF($AL127="","?",$AL127)&amp;" | "&amp;IF($AO127="",IFERROR(VLOOKUP($AC127,CODES,2,FALSE),""),IFERROR(VLOOKUP($AO127,CODES,2,FALSE),""))&amp;" "&amp;IFERROR(VLOOKUP($AP127,CODES,2,FALSE),"")&amp;IF(OR($AQ127="",$AQ127="-"),""," SEAM "&amp;$AQ127)&amp;IF($AR127="Y"," ASTRAGAL","")&amp;IF($AJ127=""," "," "&amp;$AJ127)&amp;IF($AK127=""," "," "&amp;$AK127)&amp;IF(OR($AT127="",$AT127="ANSI/SDI",$AT127="CUSTOM LOC"),""," "&amp;$AT127)&amp;IF($AM127=""," "," SERIES "&amp;$AM127)&amp;" "&amp;IFERROR(VLOOKUP($H127,CODES,2,FALSE),"")&amp;IF($CT127," | LOC "&amp;$CZ127,"")))</f>
        <v/>
      </c>
      <c r="CL127" s="84">
        <f>IF(CP127="","",IF(COUNTIF($CP$6:CP127,CP127)=1,MAX($CL$5:CL126)+1,INDEX($CL$5:CL126,MATCH(CP127,$CP$5:CP126,0))))</f>
        <v/>
      </c>
      <c r="CM127" s="84">
        <f>IF(NOT(AND($A127&lt;&gt;"",$C127&lt;&gt;"DOOR ONLY")),"",MAX($CM$5:CM126)+1)</f>
        <v/>
      </c>
      <c r="CN127" s="84">
        <f>IF(NOT(AND($A127&lt;&gt;"",N($BJ127)&gt;0)),"",MAX($CN$5:CN126)+1)</f>
        <v/>
      </c>
      <c r="CO127" s="84">
        <f>IF($A127="","",MAX($CO$5:CO126)+1)</f>
        <v/>
      </c>
      <c r="CP127" s="84">
        <f>IF(OR($A127="",$BH127="",$BI127=""),"",$BG127&amp;"|"&amp;$O127&amp;"|"&amp;$AL127&amp;"|"&amp;$S127&amp;"|"&amp;$P127&amp;"|"&amp;$Q127&amp;$R127&amp;"|"&amp;$C127&amp;"|"&amp;$AB127)</f>
        <v/>
      </c>
      <c r="CQ127" s="84">
        <f>N($BS127)</f>
        <v/>
      </c>
      <c r="CR127" s="84">
        <f>IF(N($AU127)&gt;0,N($AU127),4.5)</f>
        <v/>
      </c>
      <c r="CS127" s="84">
        <f>OR($A127="",$BI127="",$S127="BL",AND($C127="FRAME ONLY",OR($AC127="",$AC127="BLK")))</f>
        <v/>
      </c>
      <c r="CT127" s="84">
        <f>AND(NOT($CS127),OR($AT127="CUSTOM LOC",N($AW127)+N($AX127)+N($AY127)+N($AZ127)+N($BA127)&gt;0))</f>
        <v/>
      </c>
      <c r="CU127" s="84">
        <f>IF($BI127="","",IF($BI127&lt;=80,80,IF($BI127&lt;=84,84,96)))</f>
        <v/>
      </c>
      <c r="CV127" s="84">
        <f>ISNUMBER(MATCH($AT127&amp;"|80",LocKeys,0))</f>
        <v/>
      </c>
      <c r="CW127" s="86">
        <f>IF($CS127,"",IF($CV127,VLOOKUP($AT127&amp;"|"&amp;$CU127,LocTable,4,FALSE),5))</f>
        <v/>
      </c>
      <c r="CX127" s="86">
        <f>IF($CS127,"",IF($CV127,IF(OR($BI127=$CU127,AND($BI127&lt;$CU127,$BI127-IF(N(VLOOKUP($AT127&amp;"|"&amp;$CU127,LocTable,7,FALSE))&gt;0,VLOOKUP($AT127&amp;"|"&amp;$CU127,LocTable,7,FALSE),VLOOKUP($AT127&amp;"|"&amp;$CU127,LocTable,6,FALSE))-$CR127-0.75&gt;=2.125)),IF(N(VLOOKUP($AT127&amp;"|"&amp;$CU127,LocTable,7,FALSE))&gt;0,VLOOKUP($AT127&amp;"|"&amp;$CU127,LocTable,7,FALSE),VLOOKUP($AT127&amp;"|"&amp;$CU127,LocTable,6,FALSE)),$BI127-($CU127-IF(N(VLOOKUP($AT127&amp;"|"&amp;$CU127,LocTable,7,FALSE))&gt;0,VLOOKUP($AT127&amp;"|"&amp;$CU127,LocTable,7,FALSE),VLOOKUP($AT127&amp;"|"&amp;$CU127,LocTable,6,FALSE)))),$BI127-10-$CR127))</f>
        <v/>
      </c>
      <c r="CY127" s="85">
        <f>IF($CS127,"",TRIM(IF(ISNUMBER($BU127),"A "&amp;TRIM(TEXT($BU127,"# ?/??"))&amp;CHAR(34)&amp;"  ","")&amp;IF(ISNUMBER($BV127),"B "&amp;TRIM(TEXT($BV127,"# ?/??"))&amp;CHAR(34)&amp;"  ","")&amp;IF(ISNUMBER($BW127),"C "&amp;TRIM(TEXT($BW127,"# ?/??"))&amp;CHAR(34)&amp;"  ","")&amp;IF(ISNUMBER($BX127),"D "&amp;TRIM(TEXT($BX127,"# ?/??"))&amp;CHAR(34)&amp;"  ","")&amp;IF(ISNUMBER($BY127),"F "&amp;TRIM(TEXT($BY127,"# ?/??"))&amp;CHAR(34)&amp;"  ","")&amp;IF(ISNUMBER($BZ127),"E "&amp;TRIM(TEXT($BZ127,"# ?/??"))&amp;CHAR(34)&amp;"  ","")))</f>
        <v/>
      </c>
      <c r="CZ127" s="85">
        <f>IF(OR($CS127,N($BJ127)=0),"",TRIM(IF(ISNUMBER($BU127),"A "&amp;TRIM(TEXT($BU127-HeadClr,"# ?/??"))&amp;CHAR(34)&amp;"  ","")&amp;IF(ISNUMBER($BV127),"B "&amp;TRIM(TEXT($BV127-HeadClr,"# ?/??"))&amp;CHAR(34)&amp;"  ","")&amp;IF(ISNUMBER($BW127),"C "&amp;TRIM(TEXT($BW127-HeadClr,"# ?/??"))&amp;CHAR(34)&amp;"  ","")&amp;IF(ISNUMBER($BX127),"D "&amp;TRIM(TEXT($BX127-HeadClr,"# ?/??"))&amp;CHAR(34)&amp;"  ","")&amp;IF(ISNUMBER($BY127),"F "&amp;TRIM(TEXT($BY127-HeadClr,"# ?/??"))&amp;CHAR(34)&amp;"  ","")&amp;IF(ISNUMBER($BZ127),"E "&amp;TRIM(TEXT($BZ127-HeadClr,"# ?/??"))&amp;CHAR(34)&amp;"  ","")))</f>
        <v/>
      </c>
      <c r="DA127" s="84">
        <f>IF($A127="","",IF($AN127="",IFERROR(VLOOKUP($Z127,CODES,2,FALSE),""),IFERROR(VLOOKUP($AN127,CODES,2,FALSE),"")))</f>
        <v/>
      </c>
      <c r="DB127" s="84">
        <f>IF($A127="","",IF($O127="Y","PR",IF(OR($Z127="L",$Z127="RR",LEFT($Z127,2)="L-",LEFT($Z127,3)="RR-"),"LH","RH")))</f>
        <v/>
      </c>
      <c r="DC127" s="84">
        <f>IF($A127="","","S.HM"&amp;IF(OR($C127="DOOR ONLY",$X127&lt;&gt;"KD"),"MASONRY","DRYWALL")&amp;IF($C127="DOOR ONLY","",$U127)&amp;IF(AND($C127&lt;&gt;"FRAME ONLY",OR(LEFT($AH127,3)="OAK",LEFT($AH127,3)="BIR",LEFT($AH127,3)="MAP",$AH127="PC",$AH127="MC",$AH127="SCLC",$AH127="P-LAM")),"WD","HM")&amp;"1.75")</f>
        <v/>
      </c>
      <c r="DD127" s="84">
        <f>IF($CJ127="","",IF($O127="Y",$CJ127,SUBSTITUTE($CJ127,$BG127&amp;" "&amp;IFERROR(VLOOKUP($Z127,CODES,2,FALSE),"")&amp;" ",$BG127&amp;" ")))</f>
        <v/>
      </c>
      <c r="DE127" s="84">
        <f>IF($CK127="","",IF($O127="Y",$CK127,SUBSTITUTE($CK127,$BG127&amp;" "&amp;IF($AN127="",IFERROR(VLOOKUP($Z127,CODES,2,FALSE),""),IFERROR(VLOOKUP($AN127,CODES,2,FALSE),""))&amp;" ",$BG127&amp;" ")))</f>
        <v/>
      </c>
      <c r="DF127" s="84">
        <f>IF($CJ127="","",$DC127&amp;"|"&amp;$DD127&amp;"|"&amp;$DB127&amp;"|"&amp;$AT127&amp;"|"&amp;$V127&amp;"|"&amp;$Y127&amp;"|"&amp;$AB127)</f>
        <v/>
      </c>
      <c r="DG127" s="84">
        <f>IF(DF127="","",IF(COUNTIF($DF$6:DF127,DF127)=1,MAX($DG$5:DG126)+1,INDEX($DG$5:DG126,MATCH(DF127,$DF$5:DF126,0))))</f>
        <v/>
      </c>
      <c r="DH127" s="84">
        <f>IF($CK127="","",$DC127&amp;"|"&amp;$DE127&amp;"|"&amp;$AI127&amp;"|"&amp;$BK127&amp;"|"&amp;$BL127)</f>
        <v/>
      </c>
      <c r="DI127" s="84">
        <f>IF(DH127="","",IF(COUNTIF($DH$6:DH127,DH127)=1,MAX($DI$5:DI126)+1,INDEX($DI$5:DI126,MATCH(DH127,$DH$5:DH126,0))))</f>
        <v/>
      </c>
      <c r="DJ127" s="84">
        <f>IF($A127="","",IF($B127="","qty, ","")&amp;IF($C127="","scope, ","")&amp;IF(OR($K127="",$M127=""),"size, ","")&amp;IF(AND($A127&lt;&gt;"",$C127&lt;&gt;"DOOR ONLY"),IF($U127="","jamb depth, ","")&amp;IF($X127="","construction, ","")&amp;IF($Y127="","anchor, ","")&amp;IF($S127="","frame type, ",""),"")&amp;IF(AND(N($BJ127)&gt;0,$Z127=""),"hand, ","")&amp;IF(N($BJ127)&gt;0,IF($AH127="","door material, ","")&amp;IF($AL127="","face type, ","")&amp;IF($AP127="","lock prep, ","")&amp;IF(AND($AO127="",$AC127=""),"hinge prep, ",""),"")&amp;IF(AND($CH127&gt;0,$AH127="FRP"),"FRP cannot carry a label, ","")&amp;IF(AND($O127="Y",OR($Z127="L",$Z127="R",$Z127="LR",$Z127="RR")),"pair marked but hand is single, ","")&amp;IF(AND($O127&lt;&gt;"Y",OR($Z127="PR",AND(LEN($Z127)&gt;1,ISNUMBER(SEARCH("-",$Z127))))),"pair hand on a single door, ","")&amp;IF(AND(ISNUMBER($CI127),$CH127&lt;N($CI127)),"wall needs a "&amp;$CI127&amp;" min door, ","")&amp;IF(AND($CH127&gt;=180,AND(OR($CE127="FG",$CE127="HG",$CE127="FNV",$CE127="FV"),N($CF127)*N($CG127)&gt;100)),"180 min lite over 100 sq in, ","")&amp;IF(N($BK127)&gt;48,"leaf wider than 4'-0"&amp;CHAR(34)&amp;", ","")&amp;IF(AND($CT127,COUNT($AW127:$AZ127)=0,$CQ127&gt;0),"CUSTOM LOC with no locations typed, ",""))</f>
        <v/>
      </c>
      <c r="DK127" s="84">
        <f>IF($A127="","",IF(AND($CH127&gt;0,AND($A127&lt;&gt;"",$C127&lt;&gt;"DOOR ONLY"),$X127="KD",$E127="EXTERIOR"),"KD label on an exterior opening, ","")&amp;IF(AND($E127="EXTERIOR",OR(AND(AND($A127&lt;&gt;"",$C127&lt;&gt;"DOOR ONLY"),$W127="CR"),AND(N($BJ127)&gt;0,$AH127="CR"))),"exterior in CR steel (G9?), ","")&amp;IF(AND(ISNUMBER($BQ127),N($BQ127)&lt;32),"clear width ~"&amp;TEXT($BQ127,"0.0")&amp;CHAR(34)&amp;" under 32"&amp;CHAR(34)&amp;" (ADA), ","")&amp;IF(AND($CH127=90,AND(OR($CE127="FG",$CE127="HG",$CE127="FNV",$CE127="FV"),N($CF127)*N($CG127)&gt;100)),"90 min lite over 100 sq in (stair/exit), ","")&amp;IF(AND($CH127&gt;0,AND($A127&lt;&gt;"",$C127&lt;&gt;"DOOR ONLY"),OR($AF127="",$AF127="-")),"rated: closer reinf.?, ","")&amp;IF(OR($I127="CORRIDOR",$I127="SMOKE BARRIER"),"S label + smoke gasketing, ","")&amp;IF($CI127="?","wall type/hr not in IBC table, ","")&amp;IF(AND(N($BJ127)&gt;0,$BB127=""),"no hardware set, ","")&amp;IF(AND($BB127&lt;&gt;"",ISNA(MATCH($BB127&amp;"",HWSets,0))),"set "&amp;$BB127&amp;" not on HW Sets, ","")&amp;IF(N($BL127)&gt;96,"leaf over 8'-0"&amp;CHAR(34)&amp;" - check listing, ","")&amp;IF(AND($CT127,COUNT($AW127:$AZ127)&gt;0,COUNT($AW127:$AZ127)&lt;&gt;$CQ127),COUNT($AW127:$AZ127)&amp;" custom hinges typed, "&amp;$CQ127&amp;" expected, ","")&amp;IF(AND(ISNUMBER($CA127),OR(N($CA127)&lt;34,N($CA127)&gt;48)),"lock "&amp;TEXT($CA127,"0.0")&amp;CHAR(34)&amp;" AFF outside 34-48"&amp;CHAR(34)&amp;" (ADA), ","")&amp;IF(AND(ISNUMBER($AV127),ISNUMBER($BL127),N($AV127)&lt;IF(N($BL127)&lt;=60,2,IF(N($BL127)&lt;=90,3,IF(N($BL127)&lt;=120,4,5)))),"fewer hinges than standard, ",""))</f>
        <v/>
      </c>
    </row>
    <row r="128" ht="15" customHeight="1">
      <c r="A128" s="77" t="n"/>
      <c r="B128" s="78" t="n"/>
      <c r="C128" s="78" t="n"/>
      <c r="D128" s="78" t="n"/>
      <c r="E128" s="78" t="n"/>
      <c r="F128" s="78" t="n"/>
      <c r="G128" s="78" t="n"/>
      <c r="H128" s="78" t="n"/>
      <c r="I128" s="78" t="n"/>
      <c r="J128" s="78" t="n"/>
      <c r="K128" s="78" t="n"/>
      <c r="L128" s="78" t="n"/>
      <c r="M128" s="78" t="n"/>
      <c r="N128" s="78" t="n"/>
      <c r="O128" s="78" t="n"/>
      <c r="P128" s="78" t="n"/>
      <c r="Q128" s="78" t="n"/>
      <c r="R128" s="78" t="n"/>
      <c r="S128" s="79" t="n"/>
      <c r="T128" s="79" t="n"/>
      <c r="U128" s="79" t="n"/>
      <c r="V128" s="79" t="n"/>
      <c r="W128" s="79" t="n"/>
      <c r="X128" s="79" t="n"/>
      <c r="Y128" s="79" t="n"/>
      <c r="Z128" s="79" t="n"/>
      <c r="AA128" s="79" t="n"/>
      <c r="AB128" s="79" t="n"/>
      <c r="AC128" s="79" t="n"/>
      <c r="AD128" s="79" t="n"/>
      <c r="AE128" s="79" t="n"/>
      <c r="AF128" s="79" t="n"/>
      <c r="AG128" s="79" t="n"/>
      <c r="AH128" s="80" t="n"/>
      <c r="AI128" s="80" t="n"/>
      <c r="AJ128" s="80" t="n"/>
      <c r="AK128" s="80" t="n"/>
      <c r="AL128" s="80" t="n"/>
      <c r="AM128" s="80" t="n"/>
      <c r="AN128" s="80" t="n"/>
      <c r="AO128" s="80" t="n"/>
      <c r="AP128" s="80" t="n"/>
      <c r="AQ128" s="80" t="n"/>
      <c r="AR128" s="80" t="n"/>
      <c r="AS128" s="80" t="n"/>
      <c r="AT128" s="81" t="n"/>
      <c r="AU128" s="81" t="n"/>
      <c r="AV128" s="81" t="n"/>
      <c r="AW128" s="82" t="n"/>
      <c r="AX128" s="82" t="n"/>
      <c r="AY128" s="82" t="n"/>
      <c r="AZ128" s="82" t="n"/>
      <c r="BA128" s="82" t="n"/>
      <c r="BB128" s="83" t="n"/>
      <c r="BC128" s="83" t="n"/>
      <c r="BD128" s="84">
        <f>IF($A128="","",IF($DJ128&lt;&gt;"","FIX",IF($DK128&lt;&gt;"","CHECK","OK")))</f>
        <v/>
      </c>
      <c r="BE128" s="85">
        <f>IF($A128="","",IF($DJ128&lt;&gt;"","FIX: "&amp;LEFT($DJ128,LEN($DJ128)-2)&amp;IF($DK128&lt;&gt;"","  ·  ",""),"")&amp;IF($DK128&lt;&gt;"","CHECK: "&amp;LEFT($DK128,LEN($DK128)-2),""))</f>
        <v/>
      </c>
      <c r="BF128" s="84">
        <f>IF(OR($A128="",$K128=""),"",$K128&amp;"'-"&amp;N($L128)&amp;CHAR(34)&amp;" x "&amp;$M128&amp;"'-"&amp;N($N128)&amp;CHAR(34))</f>
        <v/>
      </c>
      <c r="BG128" s="84">
        <f>IF(OR($A128="",$K128=""),"",$K128&amp;N($L128)&amp;$M128&amp;N($N128))</f>
        <v/>
      </c>
      <c r="BH128" s="84">
        <f>IF(OR($A128="",$K128=""),"",$K128*12+N($L128))</f>
        <v/>
      </c>
      <c r="BI128" s="84">
        <f>IF(OR($A128="",$M128=""),"",$M128*12+N($N128))</f>
        <v/>
      </c>
      <c r="BJ128" s="84">
        <f>IF($A128="","",IF(OR($C128="FRAME ONLY",$S128="BL"),0,IF($O128="Y",2,1)))</f>
        <v/>
      </c>
      <c r="BK128" s="86">
        <f>IF(OR(N($BJ128)=0,$BH128=""),"",($BH128-2*EdgeClr-IF($BJ128=2,MeetClr,0))/$BJ128)</f>
        <v/>
      </c>
      <c r="BL128" s="86">
        <f>IF(OR(N($BJ128)=0,$BI128=""),"",$BI128-HeadClr-Undercut)</f>
        <v/>
      </c>
      <c r="BM128" s="86">
        <f>IF($BH128="","",$BH128+2*FaceW+IF(N($Q128)&gt;0,($Q128+FaceW)*IF($R128="LR",2,1),0))</f>
        <v/>
      </c>
      <c r="BN128" s="86">
        <f>IF($BI128="","",$BI128+IF($AB128="Y",4,FaceW)+IF(N($P128)&gt;0,$P128+FaceW,0)+IF(OR($S128="4F",$S128="BL"),FaceW,0))</f>
        <v/>
      </c>
      <c r="BO128" s="86">
        <f>IF($BM128="","",$BM128+2*ROSide)</f>
        <v/>
      </c>
      <c r="BP128" s="86">
        <f>IF($BN128="","",$BN128+ROTop)</f>
        <v/>
      </c>
      <c r="BQ128" s="87">
        <f>IF(OR(N($BJ128)=0,$BH128=""),"",$BH128/$BJ128-ClearDeduct)</f>
        <v/>
      </c>
      <c r="BR128" s="84">
        <f>IF(N($CH128)=0,"",IF($CH128&gt;=180,"A · 3 HR",IF($CH128&gt;=90,"B · 1-1/2 HR",IF($CH128&gt;=60,"B · 1 HR",IF($CH128&gt;=45,"C · 3/4 HR","20 MIN")))))&amp;IF(AND(N($CH128)&gt;0,OR($I128="CORRIDOR",$I128="SMOKE BARRIER"))," · S","")</f>
        <v/>
      </c>
      <c r="BS128" s="84">
        <f>IF($CS128,"",IF($AV128&lt;&gt;"",$AV128,IF(OR($AC128="HGC",$AO128="HGC"),"CONT",IF(($BI128-HeadClr-Undercut)&lt;=60,2,IF(($BI128-HeadClr-Undercut)&lt;=90,3,IF(($BI128-HeadClr-Undercut)&lt;=120,4,5))))))</f>
        <v/>
      </c>
      <c r="BT128" s="84">
        <f>IF($CS128,"",IF($CT128,"CUSTOM (typed)",IF($CV128,$AT128&amp;" "&amp;$CU128&amp;CHAR(34)&amp;IF($CU128&lt;&gt;$BI128,IF(AND($BI128&lt;$CU128,$BI128-IF(N(VLOOKUP($AT128&amp;"|"&amp;$CU128,LocTable,7,FALSE))&gt;0,VLOOKUP($AT128&amp;"|"&amp;$CU128,LocTable,7,FALSE),VLOOKUP($AT128&amp;"|"&amp;$CU128,LocTable,6,FALSE))-$CR128-0.75&gt;=2.125)," cut down"," adj."),""),"ANSI/SDI A250.6")))</f>
        <v/>
      </c>
      <c r="BU128" s="88">
        <f>IF($CS128,"",IF($CT128,IF(N($AW128)&gt;0,N($AW128),""),IF(1&gt;$CQ128,"",IF($CQ128=1,$CW128,$CW128+($CX128-$CW128)*0/($CQ128-1)))))</f>
        <v/>
      </c>
      <c r="BV128" s="88">
        <f>IF($CS128,"",IF($CT128,IF(N($AX128)&gt;0,N($AX128),""),IF(2&gt;$CQ128,"",IF($CQ128=1,$CW128,$CW128+($CX128-$CW128)*1/($CQ128-1)))))</f>
        <v/>
      </c>
      <c r="BW128" s="88">
        <f>IF($CS128,"",IF($CT128,IF(N($AY128)&gt;0,N($AY128),""),IF(3&gt;$CQ128,"",IF($CQ128=1,$CW128,$CW128+($CX128-$CW128)*2/($CQ128-1)))))</f>
        <v/>
      </c>
      <c r="BX128" s="88">
        <f>IF($CS128,"",IF($CT128,IF(N($AZ128)&gt;0,N($AZ128),""),IF(4&gt;$CQ128,"",IF($CQ128=1,$CW128,$CW128+($CX128-$CW128)*3/($CQ128-1)))))</f>
        <v/>
      </c>
      <c r="BY128" s="88">
        <f>IF($CS128,"",IF($CT128,"",IF(5&gt;$CQ128,"",IF($CQ128=1,$CW128,$CW128+($CX128-$CW128)*4/($CQ128-1)))))</f>
        <v/>
      </c>
      <c r="BZ128" s="88">
        <f>IF(OR($CS128,$AP128="-",AND($AP128="",$AD128="")),"",IF(N($BA128)&gt;0,N($BA128),IF($CV128,IF(AND($BI128&lt;$CU128,$BI128-IF(N(VLOOKUP($AT128&amp;"|"&amp;$CU128,LocTable,7,FALSE))&gt;0,VLOOKUP($AT128&amp;"|"&amp;$CU128,LocTable,7,FALSE),VLOOKUP($AT128&amp;"|"&amp;$CU128,LocTable,6,FALSE))-$CR128-0.75&gt;=2.125),VLOOKUP($AT128&amp;"|"&amp;$CU128,LocTable,8,FALSE),VLOOKUP($AT128&amp;"|"&amp;$CU128,LocTable,8,FALSE)+($BI128-$CU128)),$BI128-LockAFF)))</f>
        <v/>
      </c>
      <c r="CA128" s="89">
        <f>IF($BZ128="","",$BI128-$BZ128)</f>
        <v/>
      </c>
      <c r="CB128" s="84">
        <f>IF(OR(NOT(AND($A128&lt;&gt;"",$C128&lt;&gt;"DOOR ONLY")),$BI128=""),"",IF(($BI128+IF(N($P128)&gt;0,$P128+FaceW,0))&lt;=90,3,IF(($BI128+IF(N($P128)&gt;0,$P128+FaceW,0))&lt;=114,4,5)))</f>
        <v/>
      </c>
      <c r="CC128" s="84">
        <f>IF($CB128="","",$CB128*(2+IF(N($Q128)&gt;0,IF($R128="LR",2,1),0)))</f>
        <v/>
      </c>
      <c r="CD128" s="84">
        <f>IF($CB128="","",(2+IF(N($Q128)&gt;0,IF($R128="LR",2,1),0)))</f>
        <v/>
      </c>
      <c r="CE128" s="84">
        <f>IF(N($BJ128)=0,"",IF(OR($AL128="",$AL128="FLUSH"),"FLUSH",IFERROR(LEFT($AL128,FIND("-",$AL128)-1),LEFT($AL128,2))))</f>
        <v/>
      </c>
      <c r="CF128" s="84">
        <f>IF($CE128="","",IFERROR(VALUE(MID($AL128,FIND("-",$AL128)+1,FIND(CHAR(34)&amp;"x",$AL128)-FIND("-",$AL128)-1)),0))</f>
        <v/>
      </c>
      <c r="CG128" s="84">
        <f>IF($CE128="","",IFERROR(VALUE(MID($AL128,FIND(CHAR(34)&amp;"x",$AL128)+2,FIND(CHAR(34),$AL128,FIND(CHAR(34)&amp;"x",$AL128)+2)-FIND(CHAR(34)&amp;"x",$AL128)-2)),0))</f>
        <v/>
      </c>
      <c r="CH128" s="90">
        <f>IF(OR($A128="",$H128="",$H128="NO LAB"),0,IFERROR(VALUE(LEFT($H128,FIND(" ",$H128)-1)),0))</f>
        <v/>
      </c>
      <c r="CI128" s="91">
        <f>IF(OR($A128="",$I128="",$I128="NON-RATED",N($J128)=0),"",IFERROR(VLOOKUP($I128&amp;"|"&amp;$J128,IBC,2,FALSE),"?"))</f>
        <v/>
      </c>
      <c r="CJ128" s="85">
        <f>IF(NOT(AND($A128&lt;&gt;"",$C128&lt;&gt;"DOOR ONLY")),"",TRIM(IFERROR(VLOOKUP($U128,CODES,2,FALSE),"")&amp;" "&amp;$BG128&amp;" "&amp;IFERROR(VLOOKUP($Z128,CODES,2,FALSE),"")&amp;" "&amp;IFERROR(VLOOKUP($X128,CODES,2,FALSE),"")&amp;" "&amp;IFERROR(VLOOKUP($S128,CODES,2,FALSE),"")&amp;IF(N($P128)&gt;0," w/TRANSOM "&amp;$P128&amp;CHAR(34),"")&amp;IF(N($Q128)&gt;0," w/SIDELITE "&amp;$Q128&amp;CHAR(34)&amp;" "&amp;IF($R128="","R",$R128),"")&amp;IF($Y128="","  |  "," | "&amp;IFERROR(VLOOKUP($Y128,CODES,2,FALSE),"")&amp;" | ")&amp;IFERROR(VLOOKUP($AC128,CODES,2,FALSE),"")&amp;" "&amp;IFERROR(VLOOKUP($AD128,CODES,2,FALSE),"")&amp;IF(OR($AE128="",$AE128="-"),""," "&amp;$AE128)&amp;IF(OR($AF128="",$AF128="-"),""," "&amp;$AF128)&amp;IF($AB128="Y"," 4"&amp;CHAR(34)&amp;" HEAD","")&amp;" "&amp;IFERROR(VLOOKUP($H128,CODES,2,FALSE),"")&amp;IF($CT128," | LOC "&amp;$CY128,"")))</f>
        <v/>
      </c>
      <c r="CK128" s="85">
        <f>IF(NOT(AND($A128&lt;&gt;"",N($BJ128)&gt;0)),"",TRIM(IFERROR(VLOOKUP($AH128,CODES,2,FALSE),"")&amp;IF($AI128=""," "," "&amp;$AI128&amp;"GA ")&amp;$BG128&amp;" "&amp;IF($AN128="",IFERROR(VLOOKUP($Z128,CODES,2,FALSE),""),IFERROR(VLOOKUP($AN128,CODES,2,FALSE),""))&amp;IF($BJ128=2," PAIR","")&amp;" DOOR | "&amp;IF($AL128="","?",$AL128)&amp;" | "&amp;IF($AO128="",IFERROR(VLOOKUP($AC128,CODES,2,FALSE),""),IFERROR(VLOOKUP($AO128,CODES,2,FALSE),""))&amp;" "&amp;IFERROR(VLOOKUP($AP128,CODES,2,FALSE),"")&amp;IF(OR($AQ128="",$AQ128="-"),""," SEAM "&amp;$AQ128)&amp;IF($AR128="Y"," ASTRAGAL","")&amp;IF($AJ128=""," "," "&amp;$AJ128)&amp;IF($AK128=""," "," "&amp;$AK128)&amp;IF(OR($AT128="",$AT128="ANSI/SDI",$AT128="CUSTOM LOC"),""," "&amp;$AT128)&amp;IF($AM128=""," "," SERIES "&amp;$AM128)&amp;" "&amp;IFERROR(VLOOKUP($H128,CODES,2,FALSE),"")&amp;IF($CT128," | LOC "&amp;$CZ128,"")))</f>
        <v/>
      </c>
      <c r="CL128" s="84">
        <f>IF(CP128="","",IF(COUNTIF($CP$6:CP128,CP128)=1,MAX($CL$5:CL127)+1,INDEX($CL$5:CL127,MATCH(CP128,$CP$5:CP127,0))))</f>
        <v/>
      </c>
      <c r="CM128" s="84">
        <f>IF(NOT(AND($A128&lt;&gt;"",$C128&lt;&gt;"DOOR ONLY")),"",MAX($CM$5:CM127)+1)</f>
        <v/>
      </c>
      <c r="CN128" s="84">
        <f>IF(NOT(AND($A128&lt;&gt;"",N($BJ128)&gt;0)),"",MAX($CN$5:CN127)+1)</f>
        <v/>
      </c>
      <c r="CO128" s="84">
        <f>IF($A128="","",MAX($CO$5:CO127)+1)</f>
        <v/>
      </c>
      <c r="CP128" s="84">
        <f>IF(OR($A128="",$BH128="",$BI128=""),"",$BG128&amp;"|"&amp;$O128&amp;"|"&amp;$AL128&amp;"|"&amp;$S128&amp;"|"&amp;$P128&amp;"|"&amp;$Q128&amp;$R128&amp;"|"&amp;$C128&amp;"|"&amp;$AB128)</f>
        <v/>
      </c>
      <c r="CQ128" s="84">
        <f>N($BS128)</f>
        <v/>
      </c>
      <c r="CR128" s="84">
        <f>IF(N($AU128)&gt;0,N($AU128),4.5)</f>
        <v/>
      </c>
      <c r="CS128" s="84">
        <f>OR($A128="",$BI128="",$S128="BL",AND($C128="FRAME ONLY",OR($AC128="",$AC128="BLK")))</f>
        <v/>
      </c>
      <c r="CT128" s="84">
        <f>AND(NOT($CS128),OR($AT128="CUSTOM LOC",N($AW128)+N($AX128)+N($AY128)+N($AZ128)+N($BA128)&gt;0))</f>
        <v/>
      </c>
      <c r="CU128" s="84">
        <f>IF($BI128="","",IF($BI128&lt;=80,80,IF($BI128&lt;=84,84,96)))</f>
        <v/>
      </c>
      <c r="CV128" s="84">
        <f>ISNUMBER(MATCH($AT128&amp;"|80",LocKeys,0))</f>
        <v/>
      </c>
      <c r="CW128" s="86">
        <f>IF($CS128,"",IF($CV128,VLOOKUP($AT128&amp;"|"&amp;$CU128,LocTable,4,FALSE),5))</f>
        <v/>
      </c>
      <c r="CX128" s="86">
        <f>IF($CS128,"",IF($CV128,IF(OR($BI128=$CU128,AND($BI128&lt;$CU128,$BI128-IF(N(VLOOKUP($AT128&amp;"|"&amp;$CU128,LocTable,7,FALSE))&gt;0,VLOOKUP($AT128&amp;"|"&amp;$CU128,LocTable,7,FALSE),VLOOKUP($AT128&amp;"|"&amp;$CU128,LocTable,6,FALSE))-$CR128-0.75&gt;=2.125)),IF(N(VLOOKUP($AT128&amp;"|"&amp;$CU128,LocTable,7,FALSE))&gt;0,VLOOKUP($AT128&amp;"|"&amp;$CU128,LocTable,7,FALSE),VLOOKUP($AT128&amp;"|"&amp;$CU128,LocTable,6,FALSE)),$BI128-($CU128-IF(N(VLOOKUP($AT128&amp;"|"&amp;$CU128,LocTable,7,FALSE))&gt;0,VLOOKUP($AT128&amp;"|"&amp;$CU128,LocTable,7,FALSE),VLOOKUP($AT128&amp;"|"&amp;$CU128,LocTable,6,FALSE)))),$BI128-10-$CR128))</f>
        <v/>
      </c>
      <c r="CY128" s="85">
        <f>IF($CS128,"",TRIM(IF(ISNUMBER($BU128),"A "&amp;TRIM(TEXT($BU128,"# ?/??"))&amp;CHAR(34)&amp;"  ","")&amp;IF(ISNUMBER($BV128),"B "&amp;TRIM(TEXT($BV128,"# ?/??"))&amp;CHAR(34)&amp;"  ","")&amp;IF(ISNUMBER($BW128),"C "&amp;TRIM(TEXT($BW128,"# ?/??"))&amp;CHAR(34)&amp;"  ","")&amp;IF(ISNUMBER($BX128),"D "&amp;TRIM(TEXT($BX128,"# ?/??"))&amp;CHAR(34)&amp;"  ","")&amp;IF(ISNUMBER($BY128),"F "&amp;TRIM(TEXT($BY128,"# ?/??"))&amp;CHAR(34)&amp;"  ","")&amp;IF(ISNUMBER($BZ128),"E "&amp;TRIM(TEXT($BZ128,"# ?/??"))&amp;CHAR(34)&amp;"  ","")))</f>
        <v/>
      </c>
      <c r="CZ128" s="85">
        <f>IF(OR($CS128,N($BJ128)=0),"",TRIM(IF(ISNUMBER($BU128),"A "&amp;TRIM(TEXT($BU128-HeadClr,"# ?/??"))&amp;CHAR(34)&amp;"  ","")&amp;IF(ISNUMBER($BV128),"B "&amp;TRIM(TEXT($BV128-HeadClr,"# ?/??"))&amp;CHAR(34)&amp;"  ","")&amp;IF(ISNUMBER($BW128),"C "&amp;TRIM(TEXT($BW128-HeadClr,"# ?/??"))&amp;CHAR(34)&amp;"  ","")&amp;IF(ISNUMBER($BX128),"D "&amp;TRIM(TEXT($BX128-HeadClr,"# ?/??"))&amp;CHAR(34)&amp;"  ","")&amp;IF(ISNUMBER($BY128),"F "&amp;TRIM(TEXT($BY128-HeadClr,"# ?/??"))&amp;CHAR(34)&amp;"  ","")&amp;IF(ISNUMBER($BZ128),"E "&amp;TRIM(TEXT($BZ128-HeadClr,"# ?/??"))&amp;CHAR(34)&amp;"  ","")))</f>
        <v/>
      </c>
      <c r="DA128" s="84">
        <f>IF($A128="","",IF($AN128="",IFERROR(VLOOKUP($Z128,CODES,2,FALSE),""),IFERROR(VLOOKUP($AN128,CODES,2,FALSE),"")))</f>
        <v/>
      </c>
      <c r="DB128" s="84">
        <f>IF($A128="","",IF($O128="Y","PR",IF(OR($Z128="L",$Z128="RR",LEFT($Z128,2)="L-",LEFT($Z128,3)="RR-"),"LH","RH")))</f>
        <v/>
      </c>
      <c r="DC128" s="84">
        <f>IF($A128="","","S.HM"&amp;IF(OR($C128="DOOR ONLY",$X128&lt;&gt;"KD"),"MASONRY","DRYWALL")&amp;IF($C128="DOOR ONLY","",$U128)&amp;IF(AND($C128&lt;&gt;"FRAME ONLY",OR(LEFT($AH128,3)="OAK",LEFT($AH128,3)="BIR",LEFT($AH128,3)="MAP",$AH128="PC",$AH128="MC",$AH128="SCLC",$AH128="P-LAM")),"WD","HM")&amp;"1.75")</f>
        <v/>
      </c>
      <c r="DD128" s="84">
        <f>IF($CJ128="","",IF($O128="Y",$CJ128,SUBSTITUTE($CJ128,$BG128&amp;" "&amp;IFERROR(VLOOKUP($Z128,CODES,2,FALSE),"")&amp;" ",$BG128&amp;" ")))</f>
        <v/>
      </c>
      <c r="DE128" s="84">
        <f>IF($CK128="","",IF($O128="Y",$CK128,SUBSTITUTE($CK128,$BG128&amp;" "&amp;IF($AN128="",IFERROR(VLOOKUP($Z128,CODES,2,FALSE),""),IFERROR(VLOOKUP($AN128,CODES,2,FALSE),""))&amp;" ",$BG128&amp;" ")))</f>
        <v/>
      </c>
      <c r="DF128" s="84">
        <f>IF($CJ128="","",$DC128&amp;"|"&amp;$DD128&amp;"|"&amp;$DB128&amp;"|"&amp;$AT128&amp;"|"&amp;$V128&amp;"|"&amp;$Y128&amp;"|"&amp;$AB128)</f>
        <v/>
      </c>
      <c r="DG128" s="84">
        <f>IF(DF128="","",IF(COUNTIF($DF$6:DF128,DF128)=1,MAX($DG$5:DG127)+1,INDEX($DG$5:DG127,MATCH(DF128,$DF$5:DF127,0))))</f>
        <v/>
      </c>
      <c r="DH128" s="84">
        <f>IF($CK128="","",$DC128&amp;"|"&amp;$DE128&amp;"|"&amp;$AI128&amp;"|"&amp;$BK128&amp;"|"&amp;$BL128)</f>
        <v/>
      </c>
      <c r="DI128" s="84">
        <f>IF(DH128="","",IF(COUNTIF($DH$6:DH128,DH128)=1,MAX($DI$5:DI127)+1,INDEX($DI$5:DI127,MATCH(DH128,$DH$5:DH127,0))))</f>
        <v/>
      </c>
      <c r="DJ128" s="84">
        <f>IF($A128="","",IF($B128="","qty, ","")&amp;IF($C128="","scope, ","")&amp;IF(OR($K128="",$M128=""),"size, ","")&amp;IF(AND($A128&lt;&gt;"",$C128&lt;&gt;"DOOR ONLY"),IF($U128="","jamb depth, ","")&amp;IF($X128="","construction, ","")&amp;IF($Y128="","anchor, ","")&amp;IF($S128="","frame type, ",""),"")&amp;IF(AND(N($BJ128)&gt;0,$Z128=""),"hand, ","")&amp;IF(N($BJ128)&gt;0,IF($AH128="","door material, ","")&amp;IF($AL128="","face type, ","")&amp;IF($AP128="","lock prep, ","")&amp;IF(AND($AO128="",$AC128=""),"hinge prep, ",""),"")&amp;IF(AND($CH128&gt;0,$AH128="FRP"),"FRP cannot carry a label, ","")&amp;IF(AND($O128="Y",OR($Z128="L",$Z128="R",$Z128="LR",$Z128="RR")),"pair marked but hand is single, ","")&amp;IF(AND($O128&lt;&gt;"Y",OR($Z128="PR",AND(LEN($Z128)&gt;1,ISNUMBER(SEARCH("-",$Z128))))),"pair hand on a single door, ","")&amp;IF(AND(ISNUMBER($CI128),$CH128&lt;N($CI128)),"wall needs a "&amp;$CI128&amp;" min door, ","")&amp;IF(AND($CH128&gt;=180,AND(OR($CE128="FG",$CE128="HG",$CE128="FNV",$CE128="FV"),N($CF128)*N($CG128)&gt;100)),"180 min lite over 100 sq in, ","")&amp;IF(N($BK128)&gt;48,"leaf wider than 4'-0"&amp;CHAR(34)&amp;", ","")&amp;IF(AND($CT128,COUNT($AW128:$AZ128)=0,$CQ128&gt;0),"CUSTOM LOC with no locations typed, ",""))</f>
        <v/>
      </c>
      <c r="DK128" s="84">
        <f>IF($A128="","",IF(AND($CH128&gt;0,AND($A128&lt;&gt;"",$C128&lt;&gt;"DOOR ONLY"),$X128="KD",$E128="EXTERIOR"),"KD label on an exterior opening, ","")&amp;IF(AND($E128="EXTERIOR",OR(AND(AND($A128&lt;&gt;"",$C128&lt;&gt;"DOOR ONLY"),$W128="CR"),AND(N($BJ128)&gt;0,$AH128="CR"))),"exterior in CR steel (G9?), ","")&amp;IF(AND(ISNUMBER($BQ128),N($BQ128)&lt;32),"clear width ~"&amp;TEXT($BQ128,"0.0")&amp;CHAR(34)&amp;" under 32"&amp;CHAR(34)&amp;" (ADA), ","")&amp;IF(AND($CH128=90,AND(OR($CE128="FG",$CE128="HG",$CE128="FNV",$CE128="FV"),N($CF128)*N($CG128)&gt;100)),"90 min lite over 100 sq in (stair/exit), ","")&amp;IF(AND($CH128&gt;0,AND($A128&lt;&gt;"",$C128&lt;&gt;"DOOR ONLY"),OR($AF128="",$AF128="-")),"rated: closer reinf.?, ","")&amp;IF(OR($I128="CORRIDOR",$I128="SMOKE BARRIER"),"S label + smoke gasketing, ","")&amp;IF($CI128="?","wall type/hr not in IBC table, ","")&amp;IF(AND(N($BJ128)&gt;0,$BB128=""),"no hardware set, ","")&amp;IF(AND($BB128&lt;&gt;"",ISNA(MATCH($BB128&amp;"",HWSets,0))),"set "&amp;$BB128&amp;" not on HW Sets, ","")&amp;IF(N($BL128)&gt;96,"leaf over 8'-0"&amp;CHAR(34)&amp;" - check listing, ","")&amp;IF(AND($CT128,COUNT($AW128:$AZ128)&gt;0,COUNT($AW128:$AZ128)&lt;&gt;$CQ128),COUNT($AW128:$AZ128)&amp;" custom hinges typed, "&amp;$CQ128&amp;" expected, ","")&amp;IF(AND(ISNUMBER($CA128),OR(N($CA128)&lt;34,N($CA128)&gt;48)),"lock "&amp;TEXT($CA128,"0.0")&amp;CHAR(34)&amp;" AFF outside 34-48"&amp;CHAR(34)&amp;" (ADA), ","")&amp;IF(AND(ISNUMBER($AV128),ISNUMBER($BL128),N($AV128)&lt;IF(N($BL128)&lt;=60,2,IF(N($BL128)&lt;=90,3,IF(N($BL128)&lt;=120,4,5)))),"fewer hinges than standard, ",""))</f>
        <v/>
      </c>
    </row>
    <row r="129" ht="15" customHeight="1">
      <c r="A129" s="77" t="n"/>
      <c r="B129" s="78" t="n"/>
      <c r="C129" s="78" t="n"/>
      <c r="D129" s="78" t="n"/>
      <c r="E129" s="78" t="n"/>
      <c r="F129" s="78" t="n"/>
      <c r="G129" s="78" t="n"/>
      <c r="H129" s="78" t="n"/>
      <c r="I129" s="78" t="n"/>
      <c r="J129" s="78" t="n"/>
      <c r="K129" s="78" t="n"/>
      <c r="L129" s="78" t="n"/>
      <c r="M129" s="78" t="n"/>
      <c r="N129" s="78" t="n"/>
      <c r="O129" s="78" t="n"/>
      <c r="P129" s="78" t="n"/>
      <c r="Q129" s="78" t="n"/>
      <c r="R129" s="78" t="n"/>
      <c r="S129" s="79" t="n"/>
      <c r="T129" s="79" t="n"/>
      <c r="U129" s="79" t="n"/>
      <c r="V129" s="79" t="n"/>
      <c r="W129" s="79" t="n"/>
      <c r="X129" s="79" t="n"/>
      <c r="Y129" s="79" t="n"/>
      <c r="Z129" s="79" t="n"/>
      <c r="AA129" s="79" t="n"/>
      <c r="AB129" s="79" t="n"/>
      <c r="AC129" s="79" t="n"/>
      <c r="AD129" s="79" t="n"/>
      <c r="AE129" s="79" t="n"/>
      <c r="AF129" s="79" t="n"/>
      <c r="AG129" s="79" t="n"/>
      <c r="AH129" s="80" t="n"/>
      <c r="AI129" s="80" t="n"/>
      <c r="AJ129" s="80" t="n"/>
      <c r="AK129" s="80" t="n"/>
      <c r="AL129" s="80" t="n"/>
      <c r="AM129" s="80" t="n"/>
      <c r="AN129" s="80" t="n"/>
      <c r="AO129" s="80" t="n"/>
      <c r="AP129" s="80" t="n"/>
      <c r="AQ129" s="80" t="n"/>
      <c r="AR129" s="80" t="n"/>
      <c r="AS129" s="80" t="n"/>
      <c r="AT129" s="81" t="n"/>
      <c r="AU129" s="81" t="n"/>
      <c r="AV129" s="81" t="n"/>
      <c r="AW129" s="82" t="n"/>
      <c r="AX129" s="82" t="n"/>
      <c r="AY129" s="82" t="n"/>
      <c r="AZ129" s="82" t="n"/>
      <c r="BA129" s="82" t="n"/>
      <c r="BB129" s="83" t="n"/>
      <c r="BC129" s="83" t="n"/>
      <c r="BD129" s="84">
        <f>IF($A129="","",IF($DJ129&lt;&gt;"","FIX",IF($DK129&lt;&gt;"","CHECK","OK")))</f>
        <v/>
      </c>
      <c r="BE129" s="85">
        <f>IF($A129="","",IF($DJ129&lt;&gt;"","FIX: "&amp;LEFT($DJ129,LEN($DJ129)-2)&amp;IF($DK129&lt;&gt;"","  ·  ",""),"")&amp;IF($DK129&lt;&gt;"","CHECK: "&amp;LEFT($DK129,LEN($DK129)-2),""))</f>
        <v/>
      </c>
      <c r="BF129" s="84">
        <f>IF(OR($A129="",$K129=""),"",$K129&amp;"'-"&amp;N($L129)&amp;CHAR(34)&amp;" x "&amp;$M129&amp;"'-"&amp;N($N129)&amp;CHAR(34))</f>
        <v/>
      </c>
      <c r="BG129" s="84">
        <f>IF(OR($A129="",$K129=""),"",$K129&amp;N($L129)&amp;$M129&amp;N($N129))</f>
        <v/>
      </c>
      <c r="BH129" s="84">
        <f>IF(OR($A129="",$K129=""),"",$K129*12+N($L129))</f>
        <v/>
      </c>
      <c r="BI129" s="84">
        <f>IF(OR($A129="",$M129=""),"",$M129*12+N($N129))</f>
        <v/>
      </c>
      <c r="BJ129" s="84">
        <f>IF($A129="","",IF(OR($C129="FRAME ONLY",$S129="BL"),0,IF($O129="Y",2,1)))</f>
        <v/>
      </c>
      <c r="BK129" s="86">
        <f>IF(OR(N($BJ129)=0,$BH129=""),"",($BH129-2*EdgeClr-IF($BJ129=2,MeetClr,0))/$BJ129)</f>
        <v/>
      </c>
      <c r="BL129" s="86">
        <f>IF(OR(N($BJ129)=0,$BI129=""),"",$BI129-HeadClr-Undercut)</f>
        <v/>
      </c>
      <c r="BM129" s="86">
        <f>IF($BH129="","",$BH129+2*FaceW+IF(N($Q129)&gt;0,($Q129+FaceW)*IF($R129="LR",2,1),0))</f>
        <v/>
      </c>
      <c r="BN129" s="86">
        <f>IF($BI129="","",$BI129+IF($AB129="Y",4,FaceW)+IF(N($P129)&gt;0,$P129+FaceW,0)+IF(OR($S129="4F",$S129="BL"),FaceW,0))</f>
        <v/>
      </c>
      <c r="BO129" s="86">
        <f>IF($BM129="","",$BM129+2*ROSide)</f>
        <v/>
      </c>
      <c r="BP129" s="86">
        <f>IF($BN129="","",$BN129+ROTop)</f>
        <v/>
      </c>
      <c r="BQ129" s="87">
        <f>IF(OR(N($BJ129)=0,$BH129=""),"",$BH129/$BJ129-ClearDeduct)</f>
        <v/>
      </c>
      <c r="BR129" s="84">
        <f>IF(N($CH129)=0,"",IF($CH129&gt;=180,"A · 3 HR",IF($CH129&gt;=90,"B · 1-1/2 HR",IF($CH129&gt;=60,"B · 1 HR",IF($CH129&gt;=45,"C · 3/4 HR","20 MIN")))))&amp;IF(AND(N($CH129)&gt;0,OR($I129="CORRIDOR",$I129="SMOKE BARRIER"))," · S","")</f>
        <v/>
      </c>
      <c r="BS129" s="84">
        <f>IF($CS129,"",IF($AV129&lt;&gt;"",$AV129,IF(OR($AC129="HGC",$AO129="HGC"),"CONT",IF(($BI129-HeadClr-Undercut)&lt;=60,2,IF(($BI129-HeadClr-Undercut)&lt;=90,3,IF(($BI129-HeadClr-Undercut)&lt;=120,4,5))))))</f>
        <v/>
      </c>
      <c r="BT129" s="84">
        <f>IF($CS129,"",IF($CT129,"CUSTOM (typed)",IF($CV129,$AT129&amp;" "&amp;$CU129&amp;CHAR(34)&amp;IF($CU129&lt;&gt;$BI129,IF(AND($BI129&lt;$CU129,$BI129-IF(N(VLOOKUP($AT129&amp;"|"&amp;$CU129,LocTable,7,FALSE))&gt;0,VLOOKUP($AT129&amp;"|"&amp;$CU129,LocTable,7,FALSE),VLOOKUP($AT129&amp;"|"&amp;$CU129,LocTable,6,FALSE))-$CR129-0.75&gt;=2.125)," cut down"," adj."),""),"ANSI/SDI A250.6")))</f>
        <v/>
      </c>
      <c r="BU129" s="88">
        <f>IF($CS129,"",IF($CT129,IF(N($AW129)&gt;0,N($AW129),""),IF(1&gt;$CQ129,"",IF($CQ129=1,$CW129,$CW129+($CX129-$CW129)*0/($CQ129-1)))))</f>
        <v/>
      </c>
      <c r="BV129" s="88">
        <f>IF($CS129,"",IF($CT129,IF(N($AX129)&gt;0,N($AX129),""),IF(2&gt;$CQ129,"",IF($CQ129=1,$CW129,$CW129+($CX129-$CW129)*1/($CQ129-1)))))</f>
        <v/>
      </c>
      <c r="BW129" s="88">
        <f>IF($CS129,"",IF($CT129,IF(N($AY129)&gt;0,N($AY129),""),IF(3&gt;$CQ129,"",IF($CQ129=1,$CW129,$CW129+($CX129-$CW129)*2/($CQ129-1)))))</f>
        <v/>
      </c>
      <c r="BX129" s="88">
        <f>IF($CS129,"",IF($CT129,IF(N($AZ129)&gt;0,N($AZ129),""),IF(4&gt;$CQ129,"",IF($CQ129=1,$CW129,$CW129+($CX129-$CW129)*3/($CQ129-1)))))</f>
        <v/>
      </c>
      <c r="BY129" s="88">
        <f>IF($CS129,"",IF($CT129,"",IF(5&gt;$CQ129,"",IF($CQ129=1,$CW129,$CW129+($CX129-$CW129)*4/($CQ129-1)))))</f>
        <v/>
      </c>
      <c r="BZ129" s="88">
        <f>IF(OR($CS129,$AP129="-",AND($AP129="",$AD129="")),"",IF(N($BA129)&gt;0,N($BA129),IF($CV129,IF(AND($BI129&lt;$CU129,$BI129-IF(N(VLOOKUP($AT129&amp;"|"&amp;$CU129,LocTable,7,FALSE))&gt;0,VLOOKUP($AT129&amp;"|"&amp;$CU129,LocTable,7,FALSE),VLOOKUP($AT129&amp;"|"&amp;$CU129,LocTable,6,FALSE))-$CR129-0.75&gt;=2.125),VLOOKUP($AT129&amp;"|"&amp;$CU129,LocTable,8,FALSE),VLOOKUP($AT129&amp;"|"&amp;$CU129,LocTable,8,FALSE)+($BI129-$CU129)),$BI129-LockAFF)))</f>
        <v/>
      </c>
      <c r="CA129" s="89">
        <f>IF($BZ129="","",$BI129-$BZ129)</f>
        <v/>
      </c>
      <c r="CB129" s="84">
        <f>IF(OR(NOT(AND($A129&lt;&gt;"",$C129&lt;&gt;"DOOR ONLY")),$BI129=""),"",IF(($BI129+IF(N($P129)&gt;0,$P129+FaceW,0))&lt;=90,3,IF(($BI129+IF(N($P129)&gt;0,$P129+FaceW,0))&lt;=114,4,5)))</f>
        <v/>
      </c>
      <c r="CC129" s="84">
        <f>IF($CB129="","",$CB129*(2+IF(N($Q129)&gt;0,IF($R129="LR",2,1),0)))</f>
        <v/>
      </c>
      <c r="CD129" s="84">
        <f>IF($CB129="","",(2+IF(N($Q129)&gt;0,IF($R129="LR",2,1),0)))</f>
        <v/>
      </c>
      <c r="CE129" s="84">
        <f>IF(N($BJ129)=0,"",IF(OR($AL129="",$AL129="FLUSH"),"FLUSH",IFERROR(LEFT($AL129,FIND("-",$AL129)-1),LEFT($AL129,2))))</f>
        <v/>
      </c>
      <c r="CF129" s="84">
        <f>IF($CE129="","",IFERROR(VALUE(MID($AL129,FIND("-",$AL129)+1,FIND(CHAR(34)&amp;"x",$AL129)-FIND("-",$AL129)-1)),0))</f>
        <v/>
      </c>
      <c r="CG129" s="84">
        <f>IF($CE129="","",IFERROR(VALUE(MID($AL129,FIND(CHAR(34)&amp;"x",$AL129)+2,FIND(CHAR(34),$AL129,FIND(CHAR(34)&amp;"x",$AL129)+2)-FIND(CHAR(34)&amp;"x",$AL129)-2)),0))</f>
        <v/>
      </c>
      <c r="CH129" s="90">
        <f>IF(OR($A129="",$H129="",$H129="NO LAB"),0,IFERROR(VALUE(LEFT($H129,FIND(" ",$H129)-1)),0))</f>
        <v/>
      </c>
      <c r="CI129" s="91">
        <f>IF(OR($A129="",$I129="",$I129="NON-RATED",N($J129)=0),"",IFERROR(VLOOKUP($I129&amp;"|"&amp;$J129,IBC,2,FALSE),"?"))</f>
        <v/>
      </c>
      <c r="CJ129" s="85">
        <f>IF(NOT(AND($A129&lt;&gt;"",$C129&lt;&gt;"DOOR ONLY")),"",TRIM(IFERROR(VLOOKUP($U129,CODES,2,FALSE),"")&amp;" "&amp;$BG129&amp;" "&amp;IFERROR(VLOOKUP($Z129,CODES,2,FALSE),"")&amp;" "&amp;IFERROR(VLOOKUP($X129,CODES,2,FALSE),"")&amp;" "&amp;IFERROR(VLOOKUP($S129,CODES,2,FALSE),"")&amp;IF(N($P129)&gt;0," w/TRANSOM "&amp;$P129&amp;CHAR(34),"")&amp;IF(N($Q129)&gt;0," w/SIDELITE "&amp;$Q129&amp;CHAR(34)&amp;" "&amp;IF($R129="","R",$R129),"")&amp;IF($Y129="","  |  "," | "&amp;IFERROR(VLOOKUP($Y129,CODES,2,FALSE),"")&amp;" | ")&amp;IFERROR(VLOOKUP($AC129,CODES,2,FALSE),"")&amp;" "&amp;IFERROR(VLOOKUP($AD129,CODES,2,FALSE),"")&amp;IF(OR($AE129="",$AE129="-"),""," "&amp;$AE129)&amp;IF(OR($AF129="",$AF129="-"),""," "&amp;$AF129)&amp;IF($AB129="Y"," 4"&amp;CHAR(34)&amp;" HEAD","")&amp;" "&amp;IFERROR(VLOOKUP($H129,CODES,2,FALSE),"")&amp;IF($CT129," | LOC "&amp;$CY129,"")))</f>
        <v/>
      </c>
      <c r="CK129" s="85">
        <f>IF(NOT(AND($A129&lt;&gt;"",N($BJ129)&gt;0)),"",TRIM(IFERROR(VLOOKUP($AH129,CODES,2,FALSE),"")&amp;IF($AI129=""," "," "&amp;$AI129&amp;"GA ")&amp;$BG129&amp;" "&amp;IF($AN129="",IFERROR(VLOOKUP($Z129,CODES,2,FALSE),""),IFERROR(VLOOKUP($AN129,CODES,2,FALSE),""))&amp;IF($BJ129=2," PAIR","")&amp;" DOOR | "&amp;IF($AL129="","?",$AL129)&amp;" | "&amp;IF($AO129="",IFERROR(VLOOKUP($AC129,CODES,2,FALSE),""),IFERROR(VLOOKUP($AO129,CODES,2,FALSE),""))&amp;" "&amp;IFERROR(VLOOKUP($AP129,CODES,2,FALSE),"")&amp;IF(OR($AQ129="",$AQ129="-"),""," SEAM "&amp;$AQ129)&amp;IF($AR129="Y"," ASTRAGAL","")&amp;IF($AJ129=""," "," "&amp;$AJ129)&amp;IF($AK129=""," "," "&amp;$AK129)&amp;IF(OR($AT129="",$AT129="ANSI/SDI",$AT129="CUSTOM LOC"),""," "&amp;$AT129)&amp;IF($AM129=""," "," SERIES "&amp;$AM129)&amp;" "&amp;IFERROR(VLOOKUP($H129,CODES,2,FALSE),"")&amp;IF($CT129," | LOC "&amp;$CZ129,"")))</f>
        <v/>
      </c>
      <c r="CL129" s="84">
        <f>IF(CP129="","",IF(COUNTIF($CP$6:CP129,CP129)=1,MAX($CL$5:CL128)+1,INDEX($CL$5:CL128,MATCH(CP129,$CP$5:CP128,0))))</f>
        <v/>
      </c>
      <c r="CM129" s="84">
        <f>IF(NOT(AND($A129&lt;&gt;"",$C129&lt;&gt;"DOOR ONLY")),"",MAX($CM$5:CM128)+1)</f>
        <v/>
      </c>
      <c r="CN129" s="84">
        <f>IF(NOT(AND($A129&lt;&gt;"",N($BJ129)&gt;0)),"",MAX($CN$5:CN128)+1)</f>
        <v/>
      </c>
      <c r="CO129" s="84">
        <f>IF($A129="","",MAX($CO$5:CO128)+1)</f>
        <v/>
      </c>
      <c r="CP129" s="84">
        <f>IF(OR($A129="",$BH129="",$BI129=""),"",$BG129&amp;"|"&amp;$O129&amp;"|"&amp;$AL129&amp;"|"&amp;$S129&amp;"|"&amp;$P129&amp;"|"&amp;$Q129&amp;$R129&amp;"|"&amp;$C129&amp;"|"&amp;$AB129)</f>
        <v/>
      </c>
      <c r="CQ129" s="84">
        <f>N($BS129)</f>
        <v/>
      </c>
      <c r="CR129" s="84">
        <f>IF(N($AU129)&gt;0,N($AU129),4.5)</f>
        <v/>
      </c>
      <c r="CS129" s="84">
        <f>OR($A129="",$BI129="",$S129="BL",AND($C129="FRAME ONLY",OR($AC129="",$AC129="BLK")))</f>
        <v/>
      </c>
      <c r="CT129" s="84">
        <f>AND(NOT($CS129),OR($AT129="CUSTOM LOC",N($AW129)+N($AX129)+N($AY129)+N($AZ129)+N($BA129)&gt;0))</f>
        <v/>
      </c>
      <c r="CU129" s="84">
        <f>IF($BI129="","",IF($BI129&lt;=80,80,IF($BI129&lt;=84,84,96)))</f>
        <v/>
      </c>
      <c r="CV129" s="84">
        <f>ISNUMBER(MATCH($AT129&amp;"|80",LocKeys,0))</f>
        <v/>
      </c>
      <c r="CW129" s="86">
        <f>IF($CS129,"",IF($CV129,VLOOKUP($AT129&amp;"|"&amp;$CU129,LocTable,4,FALSE),5))</f>
        <v/>
      </c>
      <c r="CX129" s="86">
        <f>IF($CS129,"",IF($CV129,IF(OR($BI129=$CU129,AND($BI129&lt;$CU129,$BI129-IF(N(VLOOKUP($AT129&amp;"|"&amp;$CU129,LocTable,7,FALSE))&gt;0,VLOOKUP($AT129&amp;"|"&amp;$CU129,LocTable,7,FALSE),VLOOKUP($AT129&amp;"|"&amp;$CU129,LocTable,6,FALSE))-$CR129-0.75&gt;=2.125)),IF(N(VLOOKUP($AT129&amp;"|"&amp;$CU129,LocTable,7,FALSE))&gt;0,VLOOKUP($AT129&amp;"|"&amp;$CU129,LocTable,7,FALSE),VLOOKUP($AT129&amp;"|"&amp;$CU129,LocTable,6,FALSE)),$BI129-($CU129-IF(N(VLOOKUP($AT129&amp;"|"&amp;$CU129,LocTable,7,FALSE))&gt;0,VLOOKUP($AT129&amp;"|"&amp;$CU129,LocTable,7,FALSE),VLOOKUP($AT129&amp;"|"&amp;$CU129,LocTable,6,FALSE)))),$BI129-10-$CR129))</f>
        <v/>
      </c>
      <c r="CY129" s="85">
        <f>IF($CS129,"",TRIM(IF(ISNUMBER($BU129),"A "&amp;TRIM(TEXT($BU129,"# ?/??"))&amp;CHAR(34)&amp;"  ","")&amp;IF(ISNUMBER($BV129),"B "&amp;TRIM(TEXT($BV129,"# ?/??"))&amp;CHAR(34)&amp;"  ","")&amp;IF(ISNUMBER($BW129),"C "&amp;TRIM(TEXT($BW129,"# ?/??"))&amp;CHAR(34)&amp;"  ","")&amp;IF(ISNUMBER($BX129),"D "&amp;TRIM(TEXT($BX129,"# ?/??"))&amp;CHAR(34)&amp;"  ","")&amp;IF(ISNUMBER($BY129),"F "&amp;TRIM(TEXT($BY129,"# ?/??"))&amp;CHAR(34)&amp;"  ","")&amp;IF(ISNUMBER($BZ129),"E "&amp;TRIM(TEXT($BZ129,"# ?/??"))&amp;CHAR(34)&amp;"  ","")))</f>
        <v/>
      </c>
      <c r="CZ129" s="85">
        <f>IF(OR($CS129,N($BJ129)=0),"",TRIM(IF(ISNUMBER($BU129),"A "&amp;TRIM(TEXT($BU129-HeadClr,"# ?/??"))&amp;CHAR(34)&amp;"  ","")&amp;IF(ISNUMBER($BV129),"B "&amp;TRIM(TEXT($BV129-HeadClr,"# ?/??"))&amp;CHAR(34)&amp;"  ","")&amp;IF(ISNUMBER($BW129),"C "&amp;TRIM(TEXT($BW129-HeadClr,"# ?/??"))&amp;CHAR(34)&amp;"  ","")&amp;IF(ISNUMBER($BX129),"D "&amp;TRIM(TEXT($BX129-HeadClr,"# ?/??"))&amp;CHAR(34)&amp;"  ","")&amp;IF(ISNUMBER($BY129),"F "&amp;TRIM(TEXT($BY129-HeadClr,"# ?/??"))&amp;CHAR(34)&amp;"  ","")&amp;IF(ISNUMBER($BZ129),"E "&amp;TRIM(TEXT($BZ129-HeadClr,"# ?/??"))&amp;CHAR(34)&amp;"  ","")))</f>
        <v/>
      </c>
      <c r="DA129" s="84">
        <f>IF($A129="","",IF($AN129="",IFERROR(VLOOKUP($Z129,CODES,2,FALSE),""),IFERROR(VLOOKUP($AN129,CODES,2,FALSE),"")))</f>
        <v/>
      </c>
      <c r="DB129" s="84">
        <f>IF($A129="","",IF($O129="Y","PR",IF(OR($Z129="L",$Z129="RR",LEFT($Z129,2)="L-",LEFT($Z129,3)="RR-"),"LH","RH")))</f>
        <v/>
      </c>
      <c r="DC129" s="84">
        <f>IF($A129="","","S.HM"&amp;IF(OR($C129="DOOR ONLY",$X129&lt;&gt;"KD"),"MASONRY","DRYWALL")&amp;IF($C129="DOOR ONLY","",$U129)&amp;IF(AND($C129&lt;&gt;"FRAME ONLY",OR(LEFT($AH129,3)="OAK",LEFT($AH129,3)="BIR",LEFT($AH129,3)="MAP",$AH129="PC",$AH129="MC",$AH129="SCLC",$AH129="P-LAM")),"WD","HM")&amp;"1.75")</f>
        <v/>
      </c>
      <c r="DD129" s="84">
        <f>IF($CJ129="","",IF($O129="Y",$CJ129,SUBSTITUTE($CJ129,$BG129&amp;" "&amp;IFERROR(VLOOKUP($Z129,CODES,2,FALSE),"")&amp;" ",$BG129&amp;" ")))</f>
        <v/>
      </c>
      <c r="DE129" s="84">
        <f>IF($CK129="","",IF($O129="Y",$CK129,SUBSTITUTE($CK129,$BG129&amp;" "&amp;IF($AN129="",IFERROR(VLOOKUP($Z129,CODES,2,FALSE),""),IFERROR(VLOOKUP($AN129,CODES,2,FALSE),""))&amp;" ",$BG129&amp;" ")))</f>
        <v/>
      </c>
      <c r="DF129" s="84">
        <f>IF($CJ129="","",$DC129&amp;"|"&amp;$DD129&amp;"|"&amp;$DB129&amp;"|"&amp;$AT129&amp;"|"&amp;$V129&amp;"|"&amp;$Y129&amp;"|"&amp;$AB129)</f>
        <v/>
      </c>
      <c r="DG129" s="84">
        <f>IF(DF129="","",IF(COUNTIF($DF$6:DF129,DF129)=1,MAX($DG$5:DG128)+1,INDEX($DG$5:DG128,MATCH(DF129,$DF$5:DF128,0))))</f>
        <v/>
      </c>
      <c r="DH129" s="84">
        <f>IF($CK129="","",$DC129&amp;"|"&amp;$DE129&amp;"|"&amp;$AI129&amp;"|"&amp;$BK129&amp;"|"&amp;$BL129)</f>
        <v/>
      </c>
      <c r="DI129" s="84">
        <f>IF(DH129="","",IF(COUNTIF($DH$6:DH129,DH129)=1,MAX($DI$5:DI128)+1,INDEX($DI$5:DI128,MATCH(DH129,$DH$5:DH128,0))))</f>
        <v/>
      </c>
      <c r="DJ129" s="84">
        <f>IF($A129="","",IF($B129="","qty, ","")&amp;IF($C129="","scope, ","")&amp;IF(OR($K129="",$M129=""),"size, ","")&amp;IF(AND($A129&lt;&gt;"",$C129&lt;&gt;"DOOR ONLY"),IF($U129="","jamb depth, ","")&amp;IF($X129="","construction, ","")&amp;IF($Y129="","anchor, ","")&amp;IF($S129="","frame type, ",""),"")&amp;IF(AND(N($BJ129)&gt;0,$Z129=""),"hand, ","")&amp;IF(N($BJ129)&gt;0,IF($AH129="","door material, ","")&amp;IF($AL129="","face type, ","")&amp;IF($AP129="","lock prep, ","")&amp;IF(AND($AO129="",$AC129=""),"hinge prep, ",""),"")&amp;IF(AND($CH129&gt;0,$AH129="FRP"),"FRP cannot carry a label, ","")&amp;IF(AND($O129="Y",OR($Z129="L",$Z129="R",$Z129="LR",$Z129="RR")),"pair marked but hand is single, ","")&amp;IF(AND($O129&lt;&gt;"Y",OR($Z129="PR",AND(LEN($Z129)&gt;1,ISNUMBER(SEARCH("-",$Z129))))),"pair hand on a single door, ","")&amp;IF(AND(ISNUMBER($CI129),$CH129&lt;N($CI129)),"wall needs a "&amp;$CI129&amp;" min door, ","")&amp;IF(AND($CH129&gt;=180,AND(OR($CE129="FG",$CE129="HG",$CE129="FNV",$CE129="FV"),N($CF129)*N($CG129)&gt;100)),"180 min lite over 100 sq in, ","")&amp;IF(N($BK129)&gt;48,"leaf wider than 4'-0"&amp;CHAR(34)&amp;", ","")&amp;IF(AND($CT129,COUNT($AW129:$AZ129)=0,$CQ129&gt;0),"CUSTOM LOC with no locations typed, ",""))</f>
        <v/>
      </c>
      <c r="DK129" s="84">
        <f>IF($A129="","",IF(AND($CH129&gt;0,AND($A129&lt;&gt;"",$C129&lt;&gt;"DOOR ONLY"),$X129="KD",$E129="EXTERIOR"),"KD label on an exterior opening, ","")&amp;IF(AND($E129="EXTERIOR",OR(AND(AND($A129&lt;&gt;"",$C129&lt;&gt;"DOOR ONLY"),$W129="CR"),AND(N($BJ129)&gt;0,$AH129="CR"))),"exterior in CR steel (G9?), ","")&amp;IF(AND(ISNUMBER($BQ129),N($BQ129)&lt;32),"clear width ~"&amp;TEXT($BQ129,"0.0")&amp;CHAR(34)&amp;" under 32"&amp;CHAR(34)&amp;" (ADA), ","")&amp;IF(AND($CH129=90,AND(OR($CE129="FG",$CE129="HG",$CE129="FNV",$CE129="FV"),N($CF129)*N($CG129)&gt;100)),"90 min lite over 100 sq in (stair/exit), ","")&amp;IF(AND($CH129&gt;0,AND($A129&lt;&gt;"",$C129&lt;&gt;"DOOR ONLY"),OR($AF129="",$AF129="-")),"rated: closer reinf.?, ","")&amp;IF(OR($I129="CORRIDOR",$I129="SMOKE BARRIER"),"S label + smoke gasketing, ","")&amp;IF($CI129="?","wall type/hr not in IBC table, ","")&amp;IF(AND(N($BJ129)&gt;0,$BB129=""),"no hardware set, ","")&amp;IF(AND($BB129&lt;&gt;"",ISNA(MATCH($BB129&amp;"",HWSets,0))),"set "&amp;$BB129&amp;" not on HW Sets, ","")&amp;IF(N($BL129)&gt;96,"leaf over 8'-0"&amp;CHAR(34)&amp;" - check listing, ","")&amp;IF(AND($CT129,COUNT($AW129:$AZ129)&gt;0,COUNT($AW129:$AZ129)&lt;&gt;$CQ129),COUNT($AW129:$AZ129)&amp;" custom hinges typed, "&amp;$CQ129&amp;" expected, ","")&amp;IF(AND(ISNUMBER($CA129),OR(N($CA129)&lt;34,N($CA129)&gt;48)),"lock "&amp;TEXT($CA129,"0.0")&amp;CHAR(34)&amp;" AFF outside 34-48"&amp;CHAR(34)&amp;" (ADA), ","")&amp;IF(AND(ISNUMBER($AV129),ISNUMBER($BL129),N($AV129)&lt;IF(N($BL129)&lt;=60,2,IF(N($BL129)&lt;=90,3,IF(N($BL129)&lt;=120,4,5)))),"fewer hinges than standard, ",""))</f>
        <v/>
      </c>
    </row>
    <row r="130" ht="15" customHeight="1">
      <c r="A130" s="92" t="n"/>
      <c r="B130" s="93" t="n"/>
      <c r="C130" s="93" t="n"/>
      <c r="D130" s="93" t="n"/>
      <c r="E130" s="93" t="n"/>
      <c r="F130" s="93" t="n"/>
      <c r="G130" s="93" t="n"/>
      <c r="H130" s="93" t="n"/>
      <c r="I130" s="93" t="n"/>
      <c r="J130" s="93" t="n"/>
      <c r="K130" s="93" t="n"/>
      <c r="L130" s="93" t="n"/>
      <c r="M130" s="93" t="n"/>
      <c r="N130" s="93" t="n"/>
      <c r="O130" s="93" t="n"/>
      <c r="P130" s="93" t="n"/>
      <c r="Q130" s="93" t="n"/>
      <c r="R130" s="93" t="n"/>
      <c r="S130" s="94" t="n"/>
      <c r="T130" s="94" t="n"/>
      <c r="U130" s="94" t="n"/>
      <c r="V130" s="94" t="n"/>
      <c r="W130" s="94" t="n"/>
      <c r="X130" s="94" t="n"/>
      <c r="Y130" s="94" t="n"/>
      <c r="Z130" s="94" t="n"/>
      <c r="AA130" s="94" t="n"/>
      <c r="AB130" s="94" t="n"/>
      <c r="AC130" s="94" t="n"/>
      <c r="AD130" s="94" t="n"/>
      <c r="AE130" s="94" t="n"/>
      <c r="AF130" s="94" t="n"/>
      <c r="AG130" s="94" t="n"/>
      <c r="AH130" s="95" t="n"/>
      <c r="AI130" s="95" t="n"/>
      <c r="AJ130" s="95" t="n"/>
      <c r="AK130" s="95" t="n"/>
      <c r="AL130" s="95" t="n"/>
      <c r="AM130" s="95" t="n"/>
      <c r="AN130" s="95" t="n"/>
      <c r="AO130" s="95" t="n"/>
      <c r="AP130" s="95" t="n"/>
      <c r="AQ130" s="95" t="n"/>
      <c r="AR130" s="95" t="n"/>
      <c r="AS130" s="95" t="n"/>
      <c r="AT130" s="96" t="n"/>
      <c r="AU130" s="96" t="n"/>
      <c r="AV130" s="96" t="n"/>
      <c r="AW130" s="97" t="n"/>
      <c r="AX130" s="97" t="n"/>
      <c r="AY130" s="97" t="n"/>
      <c r="AZ130" s="97" t="n"/>
      <c r="BA130" s="97" t="n"/>
      <c r="BB130" s="98" t="n"/>
      <c r="BC130" s="98" t="n"/>
      <c r="BD130" s="99">
        <f>IF($A130="","",IF($DJ130&lt;&gt;"","FIX",IF($DK130&lt;&gt;"","CHECK","OK")))</f>
        <v/>
      </c>
      <c r="BE130" s="100">
        <f>IF($A130="","",IF($DJ130&lt;&gt;"","FIX: "&amp;LEFT($DJ130,LEN($DJ130)-2)&amp;IF($DK130&lt;&gt;"","  ·  ",""),"")&amp;IF($DK130&lt;&gt;"","CHECK: "&amp;LEFT($DK130,LEN($DK130)-2),""))</f>
        <v/>
      </c>
      <c r="BF130" s="99">
        <f>IF(OR($A130="",$K130=""),"",$K130&amp;"'-"&amp;N($L130)&amp;CHAR(34)&amp;" x "&amp;$M130&amp;"'-"&amp;N($N130)&amp;CHAR(34))</f>
        <v/>
      </c>
      <c r="BG130" s="99">
        <f>IF(OR($A130="",$K130=""),"",$K130&amp;N($L130)&amp;$M130&amp;N($N130))</f>
        <v/>
      </c>
      <c r="BH130" s="99">
        <f>IF(OR($A130="",$K130=""),"",$K130*12+N($L130))</f>
        <v/>
      </c>
      <c r="BI130" s="99">
        <f>IF(OR($A130="",$M130=""),"",$M130*12+N($N130))</f>
        <v/>
      </c>
      <c r="BJ130" s="99">
        <f>IF($A130="","",IF(OR($C130="FRAME ONLY",$S130="BL"),0,IF($O130="Y",2,1)))</f>
        <v/>
      </c>
      <c r="BK130" s="101">
        <f>IF(OR(N($BJ130)=0,$BH130=""),"",($BH130-2*EdgeClr-IF($BJ130=2,MeetClr,0))/$BJ130)</f>
        <v/>
      </c>
      <c r="BL130" s="101">
        <f>IF(OR(N($BJ130)=0,$BI130=""),"",$BI130-HeadClr-Undercut)</f>
        <v/>
      </c>
      <c r="BM130" s="101">
        <f>IF($BH130="","",$BH130+2*FaceW+IF(N($Q130)&gt;0,($Q130+FaceW)*IF($R130="LR",2,1),0))</f>
        <v/>
      </c>
      <c r="BN130" s="101">
        <f>IF($BI130="","",$BI130+IF($AB130="Y",4,FaceW)+IF(N($P130)&gt;0,$P130+FaceW,0)+IF(OR($S130="4F",$S130="BL"),FaceW,0))</f>
        <v/>
      </c>
      <c r="BO130" s="101">
        <f>IF($BM130="","",$BM130+2*ROSide)</f>
        <v/>
      </c>
      <c r="BP130" s="101">
        <f>IF($BN130="","",$BN130+ROTop)</f>
        <v/>
      </c>
      <c r="BQ130" s="102">
        <f>IF(OR(N($BJ130)=0,$BH130=""),"",$BH130/$BJ130-ClearDeduct)</f>
        <v/>
      </c>
      <c r="BR130" s="99">
        <f>IF(N($CH130)=0,"",IF($CH130&gt;=180,"A · 3 HR",IF($CH130&gt;=90,"B · 1-1/2 HR",IF($CH130&gt;=60,"B · 1 HR",IF($CH130&gt;=45,"C · 3/4 HR","20 MIN")))))&amp;IF(AND(N($CH130)&gt;0,OR($I130="CORRIDOR",$I130="SMOKE BARRIER"))," · S","")</f>
        <v/>
      </c>
      <c r="BS130" s="99">
        <f>IF($CS130,"",IF($AV130&lt;&gt;"",$AV130,IF(OR($AC130="HGC",$AO130="HGC"),"CONT",IF(($BI130-HeadClr-Undercut)&lt;=60,2,IF(($BI130-HeadClr-Undercut)&lt;=90,3,IF(($BI130-HeadClr-Undercut)&lt;=120,4,5))))))</f>
        <v/>
      </c>
      <c r="BT130" s="99">
        <f>IF($CS130,"",IF($CT130,"CUSTOM (typed)",IF($CV130,$AT130&amp;" "&amp;$CU130&amp;CHAR(34)&amp;IF($CU130&lt;&gt;$BI130,IF(AND($BI130&lt;$CU130,$BI130-IF(N(VLOOKUP($AT130&amp;"|"&amp;$CU130,LocTable,7,FALSE))&gt;0,VLOOKUP($AT130&amp;"|"&amp;$CU130,LocTable,7,FALSE),VLOOKUP($AT130&amp;"|"&amp;$CU130,LocTable,6,FALSE))-$CR130-0.75&gt;=2.125)," cut down"," adj."),""),"ANSI/SDI A250.6")))</f>
        <v/>
      </c>
      <c r="BU130" s="103">
        <f>IF($CS130,"",IF($CT130,IF(N($AW130)&gt;0,N($AW130),""),IF(1&gt;$CQ130,"",IF($CQ130=1,$CW130,$CW130+($CX130-$CW130)*0/($CQ130-1)))))</f>
        <v/>
      </c>
      <c r="BV130" s="103">
        <f>IF($CS130,"",IF($CT130,IF(N($AX130)&gt;0,N($AX130),""),IF(2&gt;$CQ130,"",IF($CQ130=1,$CW130,$CW130+($CX130-$CW130)*1/($CQ130-1)))))</f>
        <v/>
      </c>
      <c r="BW130" s="103">
        <f>IF($CS130,"",IF($CT130,IF(N($AY130)&gt;0,N($AY130),""),IF(3&gt;$CQ130,"",IF($CQ130=1,$CW130,$CW130+($CX130-$CW130)*2/($CQ130-1)))))</f>
        <v/>
      </c>
      <c r="BX130" s="103">
        <f>IF($CS130,"",IF($CT130,IF(N($AZ130)&gt;0,N($AZ130),""),IF(4&gt;$CQ130,"",IF($CQ130=1,$CW130,$CW130+($CX130-$CW130)*3/($CQ130-1)))))</f>
        <v/>
      </c>
      <c r="BY130" s="103">
        <f>IF($CS130,"",IF($CT130,"",IF(5&gt;$CQ130,"",IF($CQ130=1,$CW130,$CW130+($CX130-$CW130)*4/($CQ130-1)))))</f>
        <v/>
      </c>
      <c r="BZ130" s="103">
        <f>IF(OR($CS130,$AP130="-",AND($AP130="",$AD130="")),"",IF(N($BA130)&gt;0,N($BA130),IF($CV130,IF(AND($BI130&lt;$CU130,$BI130-IF(N(VLOOKUP($AT130&amp;"|"&amp;$CU130,LocTable,7,FALSE))&gt;0,VLOOKUP($AT130&amp;"|"&amp;$CU130,LocTable,7,FALSE),VLOOKUP($AT130&amp;"|"&amp;$CU130,LocTable,6,FALSE))-$CR130-0.75&gt;=2.125),VLOOKUP($AT130&amp;"|"&amp;$CU130,LocTable,8,FALSE),VLOOKUP($AT130&amp;"|"&amp;$CU130,LocTable,8,FALSE)+($BI130-$CU130)),$BI130-LockAFF)))</f>
        <v/>
      </c>
      <c r="CA130" s="104">
        <f>IF($BZ130="","",$BI130-$BZ130)</f>
        <v/>
      </c>
      <c r="CB130" s="99">
        <f>IF(OR(NOT(AND($A130&lt;&gt;"",$C130&lt;&gt;"DOOR ONLY")),$BI130=""),"",IF(($BI130+IF(N($P130)&gt;0,$P130+FaceW,0))&lt;=90,3,IF(($BI130+IF(N($P130)&gt;0,$P130+FaceW,0))&lt;=114,4,5)))</f>
        <v/>
      </c>
      <c r="CC130" s="99">
        <f>IF($CB130="","",$CB130*(2+IF(N($Q130)&gt;0,IF($R130="LR",2,1),0)))</f>
        <v/>
      </c>
      <c r="CD130" s="99">
        <f>IF($CB130="","",(2+IF(N($Q130)&gt;0,IF($R130="LR",2,1),0)))</f>
        <v/>
      </c>
      <c r="CE130" s="99">
        <f>IF(N($BJ130)=0,"",IF(OR($AL130="",$AL130="FLUSH"),"FLUSH",IFERROR(LEFT($AL130,FIND("-",$AL130)-1),LEFT($AL130,2))))</f>
        <v/>
      </c>
      <c r="CF130" s="99">
        <f>IF($CE130="","",IFERROR(VALUE(MID($AL130,FIND("-",$AL130)+1,FIND(CHAR(34)&amp;"x",$AL130)-FIND("-",$AL130)-1)),0))</f>
        <v/>
      </c>
      <c r="CG130" s="99">
        <f>IF($CE130="","",IFERROR(VALUE(MID($AL130,FIND(CHAR(34)&amp;"x",$AL130)+2,FIND(CHAR(34),$AL130,FIND(CHAR(34)&amp;"x",$AL130)+2)-FIND(CHAR(34)&amp;"x",$AL130)-2)),0))</f>
        <v/>
      </c>
      <c r="CH130" s="105">
        <f>IF(OR($A130="",$H130="",$H130="NO LAB"),0,IFERROR(VALUE(LEFT($H130,FIND(" ",$H130)-1)),0))</f>
        <v/>
      </c>
      <c r="CI130" s="106">
        <f>IF(OR($A130="",$I130="",$I130="NON-RATED",N($J130)=0),"",IFERROR(VLOOKUP($I130&amp;"|"&amp;$J130,IBC,2,FALSE),"?"))</f>
        <v/>
      </c>
      <c r="CJ130" s="100">
        <f>IF(NOT(AND($A130&lt;&gt;"",$C130&lt;&gt;"DOOR ONLY")),"",TRIM(IFERROR(VLOOKUP($U130,CODES,2,FALSE),"")&amp;" "&amp;$BG130&amp;" "&amp;IFERROR(VLOOKUP($Z130,CODES,2,FALSE),"")&amp;" "&amp;IFERROR(VLOOKUP($X130,CODES,2,FALSE),"")&amp;" "&amp;IFERROR(VLOOKUP($S130,CODES,2,FALSE),"")&amp;IF(N($P130)&gt;0," w/TRANSOM "&amp;$P130&amp;CHAR(34),"")&amp;IF(N($Q130)&gt;0," w/SIDELITE "&amp;$Q130&amp;CHAR(34)&amp;" "&amp;IF($R130="","R",$R130),"")&amp;IF($Y130="","  |  "," | "&amp;IFERROR(VLOOKUP($Y130,CODES,2,FALSE),"")&amp;" | ")&amp;IFERROR(VLOOKUP($AC130,CODES,2,FALSE),"")&amp;" "&amp;IFERROR(VLOOKUP($AD130,CODES,2,FALSE),"")&amp;IF(OR($AE130="",$AE130="-"),""," "&amp;$AE130)&amp;IF(OR($AF130="",$AF130="-"),""," "&amp;$AF130)&amp;IF($AB130="Y"," 4"&amp;CHAR(34)&amp;" HEAD","")&amp;" "&amp;IFERROR(VLOOKUP($H130,CODES,2,FALSE),"")&amp;IF($CT130," | LOC "&amp;$CY130,"")))</f>
        <v/>
      </c>
      <c r="CK130" s="100">
        <f>IF(NOT(AND($A130&lt;&gt;"",N($BJ130)&gt;0)),"",TRIM(IFERROR(VLOOKUP($AH130,CODES,2,FALSE),"")&amp;IF($AI130=""," "," "&amp;$AI130&amp;"GA ")&amp;$BG130&amp;" "&amp;IF($AN130="",IFERROR(VLOOKUP($Z130,CODES,2,FALSE),""),IFERROR(VLOOKUP($AN130,CODES,2,FALSE),""))&amp;IF($BJ130=2," PAIR","")&amp;" DOOR | "&amp;IF($AL130="","?",$AL130)&amp;" | "&amp;IF($AO130="",IFERROR(VLOOKUP($AC130,CODES,2,FALSE),""),IFERROR(VLOOKUP($AO130,CODES,2,FALSE),""))&amp;" "&amp;IFERROR(VLOOKUP($AP130,CODES,2,FALSE),"")&amp;IF(OR($AQ130="",$AQ130="-"),""," SEAM "&amp;$AQ130)&amp;IF($AR130="Y"," ASTRAGAL","")&amp;IF($AJ130=""," "," "&amp;$AJ130)&amp;IF($AK130=""," "," "&amp;$AK130)&amp;IF(OR($AT130="",$AT130="ANSI/SDI",$AT130="CUSTOM LOC"),""," "&amp;$AT130)&amp;IF($AM130=""," "," SERIES "&amp;$AM130)&amp;" "&amp;IFERROR(VLOOKUP($H130,CODES,2,FALSE),"")&amp;IF($CT130," | LOC "&amp;$CZ130,"")))</f>
        <v/>
      </c>
      <c r="CL130" s="99">
        <f>IF(CP130="","",IF(COUNTIF($CP$6:CP130,CP130)=1,MAX($CL$5:CL129)+1,INDEX($CL$5:CL129,MATCH(CP130,$CP$5:CP129,0))))</f>
        <v/>
      </c>
      <c r="CM130" s="99">
        <f>IF(NOT(AND($A130&lt;&gt;"",$C130&lt;&gt;"DOOR ONLY")),"",MAX($CM$5:CM129)+1)</f>
        <v/>
      </c>
      <c r="CN130" s="99">
        <f>IF(NOT(AND($A130&lt;&gt;"",N($BJ130)&gt;0)),"",MAX($CN$5:CN129)+1)</f>
        <v/>
      </c>
      <c r="CO130" s="99">
        <f>IF($A130="","",MAX($CO$5:CO129)+1)</f>
        <v/>
      </c>
      <c r="CP130" s="99">
        <f>IF(OR($A130="",$BH130="",$BI130=""),"",$BG130&amp;"|"&amp;$O130&amp;"|"&amp;$AL130&amp;"|"&amp;$S130&amp;"|"&amp;$P130&amp;"|"&amp;$Q130&amp;$R130&amp;"|"&amp;$C130&amp;"|"&amp;$AB130)</f>
        <v/>
      </c>
      <c r="CQ130" s="99">
        <f>N($BS130)</f>
        <v/>
      </c>
      <c r="CR130" s="99">
        <f>IF(N($AU130)&gt;0,N($AU130),4.5)</f>
        <v/>
      </c>
      <c r="CS130" s="99">
        <f>OR($A130="",$BI130="",$S130="BL",AND($C130="FRAME ONLY",OR($AC130="",$AC130="BLK")))</f>
        <v/>
      </c>
      <c r="CT130" s="99">
        <f>AND(NOT($CS130),OR($AT130="CUSTOM LOC",N($AW130)+N($AX130)+N($AY130)+N($AZ130)+N($BA130)&gt;0))</f>
        <v/>
      </c>
      <c r="CU130" s="99">
        <f>IF($BI130="","",IF($BI130&lt;=80,80,IF($BI130&lt;=84,84,96)))</f>
        <v/>
      </c>
      <c r="CV130" s="99">
        <f>ISNUMBER(MATCH($AT130&amp;"|80",LocKeys,0))</f>
        <v/>
      </c>
      <c r="CW130" s="101">
        <f>IF($CS130,"",IF($CV130,VLOOKUP($AT130&amp;"|"&amp;$CU130,LocTable,4,FALSE),5))</f>
        <v/>
      </c>
      <c r="CX130" s="101">
        <f>IF($CS130,"",IF($CV130,IF(OR($BI130=$CU130,AND($BI130&lt;$CU130,$BI130-IF(N(VLOOKUP($AT130&amp;"|"&amp;$CU130,LocTable,7,FALSE))&gt;0,VLOOKUP($AT130&amp;"|"&amp;$CU130,LocTable,7,FALSE),VLOOKUP($AT130&amp;"|"&amp;$CU130,LocTable,6,FALSE))-$CR130-0.75&gt;=2.125)),IF(N(VLOOKUP($AT130&amp;"|"&amp;$CU130,LocTable,7,FALSE))&gt;0,VLOOKUP($AT130&amp;"|"&amp;$CU130,LocTable,7,FALSE),VLOOKUP($AT130&amp;"|"&amp;$CU130,LocTable,6,FALSE)),$BI130-($CU130-IF(N(VLOOKUP($AT130&amp;"|"&amp;$CU130,LocTable,7,FALSE))&gt;0,VLOOKUP($AT130&amp;"|"&amp;$CU130,LocTable,7,FALSE),VLOOKUP($AT130&amp;"|"&amp;$CU130,LocTable,6,FALSE)))),$BI130-10-$CR130))</f>
        <v/>
      </c>
      <c r="CY130" s="100">
        <f>IF($CS130,"",TRIM(IF(ISNUMBER($BU130),"A "&amp;TRIM(TEXT($BU130,"# ?/??"))&amp;CHAR(34)&amp;"  ","")&amp;IF(ISNUMBER($BV130),"B "&amp;TRIM(TEXT($BV130,"# ?/??"))&amp;CHAR(34)&amp;"  ","")&amp;IF(ISNUMBER($BW130),"C "&amp;TRIM(TEXT($BW130,"# ?/??"))&amp;CHAR(34)&amp;"  ","")&amp;IF(ISNUMBER($BX130),"D "&amp;TRIM(TEXT($BX130,"# ?/??"))&amp;CHAR(34)&amp;"  ","")&amp;IF(ISNUMBER($BY130),"F "&amp;TRIM(TEXT($BY130,"# ?/??"))&amp;CHAR(34)&amp;"  ","")&amp;IF(ISNUMBER($BZ130),"E "&amp;TRIM(TEXT($BZ130,"# ?/??"))&amp;CHAR(34)&amp;"  ","")))</f>
        <v/>
      </c>
      <c r="CZ130" s="100">
        <f>IF(OR($CS130,N($BJ130)=0),"",TRIM(IF(ISNUMBER($BU130),"A "&amp;TRIM(TEXT($BU130-HeadClr,"# ?/??"))&amp;CHAR(34)&amp;"  ","")&amp;IF(ISNUMBER($BV130),"B "&amp;TRIM(TEXT($BV130-HeadClr,"# ?/??"))&amp;CHAR(34)&amp;"  ","")&amp;IF(ISNUMBER($BW130),"C "&amp;TRIM(TEXT($BW130-HeadClr,"# ?/??"))&amp;CHAR(34)&amp;"  ","")&amp;IF(ISNUMBER($BX130),"D "&amp;TRIM(TEXT($BX130-HeadClr,"# ?/??"))&amp;CHAR(34)&amp;"  ","")&amp;IF(ISNUMBER($BY130),"F "&amp;TRIM(TEXT($BY130-HeadClr,"# ?/??"))&amp;CHAR(34)&amp;"  ","")&amp;IF(ISNUMBER($BZ130),"E "&amp;TRIM(TEXT($BZ130-HeadClr,"# ?/??"))&amp;CHAR(34)&amp;"  ","")))</f>
        <v/>
      </c>
      <c r="DA130" s="99">
        <f>IF($A130="","",IF($AN130="",IFERROR(VLOOKUP($Z130,CODES,2,FALSE),""),IFERROR(VLOOKUP($AN130,CODES,2,FALSE),"")))</f>
        <v/>
      </c>
      <c r="DB130" s="99">
        <f>IF($A130="","",IF($O130="Y","PR",IF(OR($Z130="L",$Z130="RR",LEFT($Z130,2)="L-",LEFT($Z130,3)="RR-"),"LH","RH")))</f>
        <v/>
      </c>
      <c r="DC130" s="99">
        <f>IF($A130="","","S.HM"&amp;IF(OR($C130="DOOR ONLY",$X130&lt;&gt;"KD"),"MASONRY","DRYWALL")&amp;IF($C130="DOOR ONLY","",$U130)&amp;IF(AND($C130&lt;&gt;"FRAME ONLY",OR(LEFT($AH130,3)="OAK",LEFT($AH130,3)="BIR",LEFT($AH130,3)="MAP",$AH130="PC",$AH130="MC",$AH130="SCLC",$AH130="P-LAM")),"WD","HM")&amp;"1.75")</f>
        <v/>
      </c>
      <c r="DD130" s="99">
        <f>IF($CJ130="","",IF($O130="Y",$CJ130,SUBSTITUTE($CJ130,$BG130&amp;" "&amp;IFERROR(VLOOKUP($Z130,CODES,2,FALSE),"")&amp;" ",$BG130&amp;" ")))</f>
        <v/>
      </c>
      <c r="DE130" s="99">
        <f>IF($CK130="","",IF($O130="Y",$CK130,SUBSTITUTE($CK130,$BG130&amp;" "&amp;IF($AN130="",IFERROR(VLOOKUP($Z130,CODES,2,FALSE),""),IFERROR(VLOOKUP($AN130,CODES,2,FALSE),""))&amp;" ",$BG130&amp;" ")))</f>
        <v/>
      </c>
      <c r="DF130" s="99">
        <f>IF($CJ130="","",$DC130&amp;"|"&amp;$DD130&amp;"|"&amp;$DB130&amp;"|"&amp;$AT130&amp;"|"&amp;$V130&amp;"|"&amp;$Y130&amp;"|"&amp;$AB130)</f>
        <v/>
      </c>
      <c r="DG130" s="99">
        <f>IF(DF130="","",IF(COUNTIF($DF$6:DF130,DF130)=1,MAX($DG$5:DG129)+1,INDEX($DG$5:DG129,MATCH(DF130,$DF$5:DF129,0))))</f>
        <v/>
      </c>
      <c r="DH130" s="99">
        <f>IF($CK130="","",$DC130&amp;"|"&amp;$DE130&amp;"|"&amp;$AI130&amp;"|"&amp;$BK130&amp;"|"&amp;$BL130)</f>
        <v/>
      </c>
      <c r="DI130" s="99">
        <f>IF(DH130="","",IF(COUNTIF($DH$6:DH130,DH130)=1,MAX($DI$5:DI129)+1,INDEX($DI$5:DI129,MATCH(DH130,$DH$5:DH129,0))))</f>
        <v/>
      </c>
      <c r="DJ130" s="99">
        <f>IF($A130="","",IF($B130="","qty, ","")&amp;IF($C130="","scope, ","")&amp;IF(OR($K130="",$M130=""),"size, ","")&amp;IF(AND($A130&lt;&gt;"",$C130&lt;&gt;"DOOR ONLY"),IF($U130="","jamb depth, ","")&amp;IF($X130="","construction, ","")&amp;IF($Y130="","anchor, ","")&amp;IF($S130="","frame type, ",""),"")&amp;IF(AND(N($BJ130)&gt;0,$Z130=""),"hand, ","")&amp;IF(N($BJ130)&gt;0,IF($AH130="","door material, ","")&amp;IF($AL130="","face type, ","")&amp;IF($AP130="","lock prep, ","")&amp;IF(AND($AO130="",$AC130=""),"hinge prep, ",""),"")&amp;IF(AND($CH130&gt;0,$AH130="FRP"),"FRP cannot carry a label, ","")&amp;IF(AND($O130="Y",OR($Z130="L",$Z130="R",$Z130="LR",$Z130="RR")),"pair marked but hand is single, ","")&amp;IF(AND($O130&lt;&gt;"Y",OR($Z130="PR",AND(LEN($Z130)&gt;1,ISNUMBER(SEARCH("-",$Z130))))),"pair hand on a single door, ","")&amp;IF(AND(ISNUMBER($CI130),$CH130&lt;N($CI130)),"wall needs a "&amp;$CI130&amp;" min door, ","")&amp;IF(AND($CH130&gt;=180,AND(OR($CE130="FG",$CE130="HG",$CE130="FNV",$CE130="FV"),N($CF130)*N($CG130)&gt;100)),"180 min lite over 100 sq in, ","")&amp;IF(N($BK130)&gt;48,"leaf wider than 4'-0"&amp;CHAR(34)&amp;", ","")&amp;IF(AND($CT130,COUNT($AW130:$AZ130)=0,$CQ130&gt;0),"CUSTOM LOC with no locations typed, ",""))</f>
        <v/>
      </c>
      <c r="DK130" s="99">
        <f>IF($A130="","",IF(AND($CH130&gt;0,AND($A130&lt;&gt;"",$C130&lt;&gt;"DOOR ONLY"),$X130="KD",$E130="EXTERIOR"),"KD label on an exterior opening, ","")&amp;IF(AND($E130="EXTERIOR",OR(AND(AND($A130&lt;&gt;"",$C130&lt;&gt;"DOOR ONLY"),$W130="CR"),AND(N($BJ130)&gt;0,$AH130="CR"))),"exterior in CR steel (G9?), ","")&amp;IF(AND(ISNUMBER($BQ130),N($BQ130)&lt;32),"clear width ~"&amp;TEXT($BQ130,"0.0")&amp;CHAR(34)&amp;" under 32"&amp;CHAR(34)&amp;" (ADA), ","")&amp;IF(AND($CH130=90,AND(OR($CE130="FG",$CE130="HG",$CE130="FNV",$CE130="FV"),N($CF130)*N($CG130)&gt;100)),"90 min lite over 100 sq in (stair/exit), ","")&amp;IF(AND($CH130&gt;0,AND($A130&lt;&gt;"",$C130&lt;&gt;"DOOR ONLY"),OR($AF130="",$AF130="-")),"rated: closer reinf.?, ","")&amp;IF(OR($I130="CORRIDOR",$I130="SMOKE BARRIER"),"S label + smoke gasketing, ","")&amp;IF($CI130="?","wall type/hr not in IBC table, ","")&amp;IF(AND(N($BJ130)&gt;0,$BB130=""),"no hardware set, ","")&amp;IF(AND($BB130&lt;&gt;"",ISNA(MATCH($BB130&amp;"",HWSets,0))),"set "&amp;$BB130&amp;" not on HW Sets, ","")&amp;IF(N($BL130)&gt;96,"leaf over 8'-0"&amp;CHAR(34)&amp;" - check listing, ","")&amp;IF(AND($CT130,COUNT($AW130:$AZ130)&gt;0,COUNT($AW130:$AZ130)&lt;&gt;$CQ130),COUNT($AW130:$AZ130)&amp;" custom hinges typed, "&amp;$CQ130&amp;" expected, ","")&amp;IF(AND(ISNUMBER($CA130),OR(N($CA130)&lt;34,N($CA130)&gt;48)),"lock "&amp;TEXT($CA130,"0.0")&amp;CHAR(34)&amp;" AFF outside 34-48"&amp;CHAR(34)&amp;" (ADA), ","")&amp;IF(AND(ISNUMBER($AV130),ISNUMBER($BL130),N($AV130)&lt;IF(N($BL130)&lt;=60,2,IF(N($BL130)&lt;=90,3,IF(N($BL130)&lt;=120,4,5)))),"fewer hinges than standard, ",""))</f>
        <v/>
      </c>
    </row>
    <row r="131" ht="15" customHeight="1">
      <c r="A131" s="77" t="n"/>
      <c r="B131" s="78" t="n"/>
      <c r="C131" s="78" t="n"/>
      <c r="D131" s="78" t="n"/>
      <c r="E131" s="78" t="n"/>
      <c r="F131" s="78" t="n"/>
      <c r="G131" s="78" t="n"/>
      <c r="H131" s="78" t="n"/>
      <c r="I131" s="78" t="n"/>
      <c r="J131" s="78" t="n"/>
      <c r="K131" s="78" t="n"/>
      <c r="L131" s="78" t="n"/>
      <c r="M131" s="78" t="n"/>
      <c r="N131" s="78" t="n"/>
      <c r="O131" s="78" t="n"/>
      <c r="P131" s="78" t="n"/>
      <c r="Q131" s="78" t="n"/>
      <c r="R131" s="78" t="n"/>
      <c r="S131" s="79" t="n"/>
      <c r="T131" s="79" t="n"/>
      <c r="U131" s="79" t="n"/>
      <c r="V131" s="79" t="n"/>
      <c r="W131" s="79" t="n"/>
      <c r="X131" s="79" t="n"/>
      <c r="Y131" s="79" t="n"/>
      <c r="Z131" s="79" t="n"/>
      <c r="AA131" s="79" t="n"/>
      <c r="AB131" s="79" t="n"/>
      <c r="AC131" s="79" t="n"/>
      <c r="AD131" s="79" t="n"/>
      <c r="AE131" s="79" t="n"/>
      <c r="AF131" s="79" t="n"/>
      <c r="AG131" s="79" t="n"/>
      <c r="AH131" s="80" t="n"/>
      <c r="AI131" s="80" t="n"/>
      <c r="AJ131" s="80" t="n"/>
      <c r="AK131" s="80" t="n"/>
      <c r="AL131" s="80" t="n"/>
      <c r="AM131" s="80" t="n"/>
      <c r="AN131" s="80" t="n"/>
      <c r="AO131" s="80" t="n"/>
      <c r="AP131" s="80" t="n"/>
      <c r="AQ131" s="80" t="n"/>
      <c r="AR131" s="80" t="n"/>
      <c r="AS131" s="80" t="n"/>
      <c r="AT131" s="81" t="n"/>
      <c r="AU131" s="81" t="n"/>
      <c r="AV131" s="81" t="n"/>
      <c r="AW131" s="82" t="n"/>
      <c r="AX131" s="82" t="n"/>
      <c r="AY131" s="82" t="n"/>
      <c r="AZ131" s="82" t="n"/>
      <c r="BA131" s="82" t="n"/>
      <c r="BB131" s="83" t="n"/>
      <c r="BC131" s="83" t="n"/>
      <c r="BD131" s="84">
        <f>IF($A131="","",IF($DJ131&lt;&gt;"","FIX",IF($DK131&lt;&gt;"","CHECK","OK")))</f>
        <v/>
      </c>
      <c r="BE131" s="85">
        <f>IF($A131="","",IF($DJ131&lt;&gt;"","FIX: "&amp;LEFT($DJ131,LEN($DJ131)-2)&amp;IF($DK131&lt;&gt;"","  ·  ",""),"")&amp;IF($DK131&lt;&gt;"","CHECK: "&amp;LEFT($DK131,LEN($DK131)-2),""))</f>
        <v/>
      </c>
      <c r="BF131" s="84">
        <f>IF(OR($A131="",$K131=""),"",$K131&amp;"'-"&amp;N($L131)&amp;CHAR(34)&amp;" x "&amp;$M131&amp;"'-"&amp;N($N131)&amp;CHAR(34))</f>
        <v/>
      </c>
      <c r="BG131" s="84">
        <f>IF(OR($A131="",$K131=""),"",$K131&amp;N($L131)&amp;$M131&amp;N($N131))</f>
        <v/>
      </c>
      <c r="BH131" s="84">
        <f>IF(OR($A131="",$K131=""),"",$K131*12+N($L131))</f>
        <v/>
      </c>
      <c r="BI131" s="84">
        <f>IF(OR($A131="",$M131=""),"",$M131*12+N($N131))</f>
        <v/>
      </c>
      <c r="BJ131" s="84">
        <f>IF($A131="","",IF(OR($C131="FRAME ONLY",$S131="BL"),0,IF($O131="Y",2,1)))</f>
        <v/>
      </c>
      <c r="BK131" s="86">
        <f>IF(OR(N($BJ131)=0,$BH131=""),"",($BH131-2*EdgeClr-IF($BJ131=2,MeetClr,0))/$BJ131)</f>
        <v/>
      </c>
      <c r="BL131" s="86">
        <f>IF(OR(N($BJ131)=0,$BI131=""),"",$BI131-HeadClr-Undercut)</f>
        <v/>
      </c>
      <c r="BM131" s="86">
        <f>IF($BH131="","",$BH131+2*FaceW+IF(N($Q131)&gt;0,($Q131+FaceW)*IF($R131="LR",2,1),0))</f>
        <v/>
      </c>
      <c r="BN131" s="86">
        <f>IF($BI131="","",$BI131+IF($AB131="Y",4,FaceW)+IF(N($P131)&gt;0,$P131+FaceW,0)+IF(OR($S131="4F",$S131="BL"),FaceW,0))</f>
        <v/>
      </c>
      <c r="BO131" s="86">
        <f>IF($BM131="","",$BM131+2*ROSide)</f>
        <v/>
      </c>
      <c r="BP131" s="86">
        <f>IF($BN131="","",$BN131+ROTop)</f>
        <v/>
      </c>
      <c r="BQ131" s="87">
        <f>IF(OR(N($BJ131)=0,$BH131=""),"",$BH131/$BJ131-ClearDeduct)</f>
        <v/>
      </c>
      <c r="BR131" s="84">
        <f>IF(N($CH131)=0,"",IF($CH131&gt;=180,"A · 3 HR",IF($CH131&gt;=90,"B · 1-1/2 HR",IF($CH131&gt;=60,"B · 1 HR",IF($CH131&gt;=45,"C · 3/4 HR","20 MIN")))))&amp;IF(AND(N($CH131)&gt;0,OR($I131="CORRIDOR",$I131="SMOKE BARRIER"))," · S","")</f>
        <v/>
      </c>
      <c r="BS131" s="84">
        <f>IF($CS131,"",IF($AV131&lt;&gt;"",$AV131,IF(OR($AC131="HGC",$AO131="HGC"),"CONT",IF(($BI131-HeadClr-Undercut)&lt;=60,2,IF(($BI131-HeadClr-Undercut)&lt;=90,3,IF(($BI131-HeadClr-Undercut)&lt;=120,4,5))))))</f>
        <v/>
      </c>
      <c r="BT131" s="84">
        <f>IF($CS131,"",IF($CT131,"CUSTOM (typed)",IF($CV131,$AT131&amp;" "&amp;$CU131&amp;CHAR(34)&amp;IF($CU131&lt;&gt;$BI131,IF(AND($BI131&lt;$CU131,$BI131-IF(N(VLOOKUP($AT131&amp;"|"&amp;$CU131,LocTable,7,FALSE))&gt;0,VLOOKUP($AT131&amp;"|"&amp;$CU131,LocTable,7,FALSE),VLOOKUP($AT131&amp;"|"&amp;$CU131,LocTable,6,FALSE))-$CR131-0.75&gt;=2.125)," cut down"," adj."),""),"ANSI/SDI A250.6")))</f>
        <v/>
      </c>
      <c r="BU131" s="88">
        <f>IF($CS131,"",IF($CT131,IF(N($AW131)&gt;0,N($AW131),""),IF(1&gt;$CQ131,"",IF($CQ131=1,$CW131,$CW131+($CX131-$CW131)*0/($CQ131-1)))))</f>
        <v/>
      </c>
      <c r="BV131" s="88">
        <f>IF($CS131,"",IF($CT131,IF(N($AX131)&gt;0,N($AX131),""),IF(2&gt;$CQ131,"",IF($CQ131=1,$CW131,$CW131+($CX131-$CW131)*1/($CQ131-1)))))</f>
        <v/>
      </c>
      <c r="BW131" s="88">
        <f>IF($CS131,"",IF($CT131,IF(N($AY131)&gt;0,N($AY131),""),IF(3&gt;$CQ131,"",IF($CQ131=1,$CW131,$CW131+($CX131-$CW131)*2/($CQ131-1)))))</f>
        <v/>
      </c>
      <c r="BX131" s="88">
        <f>IF($CS131,"",IF($CT131,IF(N($AZ131)&gt;0,N($AZ131),""),IF(4&gt;$CQ131,"",IF($CQ131=1,$CW131,$CW131+($CX131-$CW131)*3/($CQ131-1)))))</f>
        <v/>
      </c>
      <c r="BY131" s="88">
        <f>IF($CS131,"",IF($CT131,"",IF(5&gt;$CQ131,"",IF($CQ131=1,$CW131,$CW131+($CX131-$CW131)*4/($CQ131-1)))))</f>
        <v/>
      </c>
      <c r="BZ131" s="88">
        <f>IF(OR($CS131,$AP131="-",AND($AP131="",$AD131="")),"",IF(N($BA131)&gt;0,N($BA131),IF($CV131,IF(AND($BI131&lt;$CU131,$BI131-IF(N(VLOOKUP($AT131&amp;"|"&amp;$CU131,LocTable,7,FALSE))&gt;0,VLOOKUP($AT131&amp;"|"&amp;$CU131,LocTable,7,FALSE),VLOOKUP($AT131&amp;"|"&amp;$CU131,LocTable,6,FALSE))-$CR131-0.75&gt;=2.125),VLOOKUP($AT131&amp;"|"&amp;$CU131,LocTable,8,FALSE),VLOOKUP($AT131&amp;"|"&amp;$CU131,LocTable,8,FALSE)+($BI131-$CU131)),$BI131-LockAFF)))</f>
        <v/>
      </c>
      <c r="CA131" s="89">
        <f>IF($BZ131="","",$BI131-$BZ131)</f>
        <v/>
      </c>
      <c r="CB131" s="84">
        <f>IF(OR(NOT(AND($A131&lt;&gt;"",$C131&lt;&gt;"DOOR ONLY")),$BI131=""),"",IF(($BI131+IF(N($P131)&gt;0,$P131+FaceW,0))&lt;=90,3,IF(($BI131+IF(N($P131)&gt;0,$P131+FaceW,0))&lt;=114,4,5)))</f>
        <v/>
      </c>
      <c r="CC131" s="84">
        <f>IF($CB131="","",$CB131*(2+IF(N($Q131)&gt;0,IF($R131="LR",2,1),0)))</f>
        <v/>
      </c>
      <c r="CD131" s="84">
        <f>IF($CB131="","",(2+IF(N($Q131)&gt;0,IF($R131="LR",2,1),0)))</f>
        <v/>
      </c>
      <c r="CE131" s="84">
        <f>IF(N($BJ131)=0,"",IF(OR($AL131="",$AL131="FLUSH"),"FLUSH",IFERROR(LEFT($AL131,FIND("-",$AL131)-1),LEFT($AL131,2))))</f>
        <v/>
      </c>
      <c r="CF131" s="84">
        <f>IF($CE131="","",IFERROR(VALUE(MID($AL131,FIND("-",$AL131)+1,FIND(CHAR(34)&amp;"x",$AL131)-FIND("-",$AL131)-1)),0))</f>
        <v/>
      </c>
      <c r="CG131" s="84">
        <f>IF($CE131="","",IFERROR(VALUE(MID($AL131,FIND(CHAR(34)&amp;"x",$AL131)+2,FIND(CHAR(34),$AL131,FIND(CHAR(34)&amp;"x",$AL131)+2)-FIND(CHAR(34)&amp;"x",$AL131)-2)),0))</f>
        <v/>
      </c>
      <c r="CH131" s="90">
        <f>IF(OR($A131="",$H131="",$H131="NO LAB"),0,IFERROR(VALUE(LEFT($H131,FIND(" ",$H131)-1)),0))</f>
        <v/>
      </c>
      <c r="CI131" s="91">
        <f>IF(OR($A131="",$I131="",$I131="NON-RATED",N($J131)=0),"",IFERROR(VLOOKUP($I131&amp;"|"&amp;$J131,IBC,2,FALSE),"?"))</f>
        <v/>
      </c>
      <c r="CJ131" s="85">
        <f>IF(NOT(AND($A131&lt;&gt;"",$C131&lt;&gt;"DOOR ONLY")),"",TRIM(IFERROR(VLOOKUP($U131,CODES,2,FALSE),"")&amp;" "&amp;$BG131&amp;" "&amp;IFERROR(VLOOKUP($Z131,CODES,2,FALSE),"")&amp;" "&amp;IFERROR(VLOOKUP($X131,CODES,2,FALSE),"")&amp;" "&amp;IFERROR(VLOOKUP($S131,CODES,2,FALSE),"")&amp;IF(N($P131)&gt;0," w/TRANSOM "&amp;$P131&amp;CHAR(34),"")&amp;IF(N($Q131)&gt;0," w/SIDELITE "&amp;$Q131&amp;CHAR(34)&amp;" "&amp;IF($R131="","R",$R131),"")&amp;IF($Y131="","  |  "," | "&amp;IFERROR(VLOOKUP($Y131,CODES,2,FALSE),"")&amp;" | ")&amp;IFERROR(VLOOKUP($AC131,CODES,2,FALSE),"")&amp;" "&amp;IFERROR(VLOOKUP($AD131,CODES,2,FALSE),"")&amp;IF(OR($AE131="",$AE131="-"),""," "&amp;$AE131)&amp;IF(OR($AF131="",$AF131="-"),""," "&amp;$AF131)&amp;IF($AB131="Y"," 4"&amp;CHAR(34)&amp;" HEAD","")&amp;" "&amp;IFERROR(VLOOKUP($H131,CODES,2,FALSE),"")&amp;IF($CT131," | LOC "&amp;$CY131,"")))</f>
        <v/>
      </c>
      <c r="CK131" s="85">
        <f>IF(NOT(AND($A131&lt;&gt;"",N($BJ131)&gt;0)),"",TRIM(IFERROR(VLOOKUP($AH131,CODES,2,FALSE),"")&amp;IF($AI131=""," "," "&amp;$AI131&amp;"GA ")&amp;$BG131&amp;" "&amp;IF($AN131="",IFERROR(VLOOKUP($Z131,CODES,2,FALSE),""),IFERROR(VLOOKUP($AN131,CODES,2,FALSE),""))&amp;IF($BJ131=2," PAIR","")&amp;" DOOR | "&amp;IF($AL131="","?",$AL131)&amp;" | "&amp;IF($AO131="",IFERROR(VLOOKUP($AC131,CODES,2,FALSE),""),IFERROR(VLOOKUP($AO131,CODES,2,FALSE),""))&amp;" "&amp;IFERROR(VLOOKUP($AP131,CODES,2,FALSE),"")&amp;IF(OR($AQ131="",$AQ131="-"),""," SEAM "&amp;$AQ131)&amp;IF($AR131="Y"," ASTRAGAL","")&amp;IF($AJ131=""," "," "&amp;$AJ131)&amp;IF($AK131=""," "," "&amp;$AK131)&amp;IF(OR($AT131="",$AT131="ANSI/SDI",$AT131="CUSTOM LOC"),""," "&amp;$AT131)&amp;IF($AM131=""," "," SERIES "&amp;$AM131)&amp;" "&amp;IFERROR(VLOOKUP($H131,CODES,2,FALSE),"")&amp;IF($CT131," | LOC "&amp;$CZ131,"")))</f>
        <v/>
      </c>
      <c r="CL131" s="84">
        <f>IF(CP131="","",IF(COUNTIF($CP$6:CP131,CP131)=1,MAX($CL$5:CL130)+1,INDEX($CL$5:CL130,MATCH(CP131,$CP$5:CP130,0))))</f>
        <v/>
      </c>
      <c r="CM131" s="84">
        <f>IF(NOT(AND($A131&lt;&gt;"",$C131&lt;&gt;"DOOR ONLY")),"",MAX($CM$5:CM130)+1)</f>
        <v/>
      </c>
      <c r="CN131" s="84">
        <f>IF(NOT(AND($A131&lt;&gt;"",N($BJ131)&gt;0)),"",MAX($CN$5:CN130)+1)</f>
        <v/>
      </c>
      <c r="CO131" s="84">
        <f>IF($A131="","",MAX($CO$5:CO130)+1)</f>
        <v/>
      </c>
      <c r="CP131" s="84">
        <f>IF(OR($A131="",$BH131="",$BI131=""),"",$BG131&amp;"|"&amp;$O131&amp;"|"&amp;$AL131&amp;"|"&amp;$S131&amp;"|"&amp;$P131&amp;"|"&amp;$Q131&amp;$R131&amp;"|"&amp;$C131&amp;"|"&amp;$AB131)</f>
        <v/>
      </c>
      <c r="CQ131" s="84">
        <f>N($BS131)</f>
        <v/>
      </c>
      <c r="CR131" s="84">
        <f>IF(N($AU131)&gt;0,N($AU131),4.5)</f>
        <v/>
      </c>
      <c r="CS131" s="84">
        <f>OR($A131="",$BI131="",$S131="BL",AND($C131="FRAME ONLY",OR($AC131="",$AC131="BLK")))</f>
        <v/>
      </c>
      <c r="CT131" s="84">
        <f>AND(NOT($CS131),OR($AT131="CUSTOM LOC",N($AW131)+N($AX131)+N($AY131)+N($AZ131)+N($BA131)&gt;0))</f>
        <v/>
      </c>
      <c r="CU131" s="84">
        <f>IF($BI131="","",IF($BI131&lt;=80,80,IF($BI131&lt;=84,84,96)))</f>
        <v/>
      </c>
      <c r="CV131" s="84">
        <f>ISNUMBER(MATCH($AT131&amp;"|80",LocKeys,0))</f>
        <v/>
      </c>
      <c r="CW131" s="86">
        <f>IF($CS131,"",IF($CV131,VLOOKUP($AT131&amp;"|"&amp;$CU131,LocTable,4,FALSE),5))</f>
        <v/>
      </c>
      <c r="CX131" s="86">
        <f>IF($CS131,"",IF($CV131,IF(OR($BI131=$CU131,AND($BI131&lt;$CU131,$BI131-IF(N(VLOOKUP($AT131&amp;"|"&amp;$CU131,LocTable,7,FALSE))&gt;0,VLOOKUP($AT131&amp;"|"&amp;$CU131,LocTable,7,FALSE),VLOOKUP($AT131&amp;"|"&amp;$CU131,LocTable,6,FALSE))-$CR131-0.75&gt;=2.125)),IF(N(VLOOKUP($AT131&amp;"|"&amp;$CU131,LocTable,7,FALSE))&gt;0,VLOOKUP($AT131&amp;"|"&amp;$CU131,LocTable,7,FALSE),VLOOKUP($AT131&amp;"|"&amp;$CU131,LocTable,6,FALSE)),$BI131-($CU131-IF(N(VLOOKUP($AT131&amp;"|"&amp;$CU131,LocTable,7,FALSE))&gt;0,VLOOKUP($AT131&amp;"|"&amp;$CU131,LocTable,7,FALSE),VLOOKUP($AT131&amp;"|"&amp;$CU131,LocTable,6,FALSE)))),$BI131-10-$CR131))</f>
        <v/>
      </c>
      <c r="CY131" s="85">
        <f>IF($CS131,"",TRIM(IF(ISNUMBER($BU131),"A "&amp;TRIM(TEXT($BU131,"# ?/??"))&amp;CHAR(34)&amp;"  ","")&amp;IF(ISNUMBER($BV131),"B "&amp;TRIM(TEXT($BV131,"# ?/??"))&amp;CHAR(34)&amp;"  ","")&amp;IF(ISNUMBER($BW131),"C "&amp;TRIM(TEXT($BW131,"# ?/??"))&amp;CHAR(34)&amp;"  ","")&amp;IF(ISNUMBER($BX131),"D "&amp;TRIM(TEXT($BX131,"# ?/??"))&amp;CHAR(34)&amp;"  ","")&amp;IF(ISNUMBER($BY131),"F "&amp;TRIM(TEXT($BY131,"# ?/??"))&amp;CHAR(34)&amp;"  ","")&amp;IF(ISNUMBER($BZ131),"E "&amp;TRIM(TEXT($BZ131,"# ?/??"))&amp;CHAR(34)&amp;"  ","")))</f>
        <v/>
      </c>
      <c r="CZ131" s="85">
        <f>IF(OR($CS131,N($BJ131)=0),"",TRIM(IF(ISNUMBER($BU131),"A "&amp;TRIM(TEXT($BU131-HeadClr,"# ?/??"))&amp;CHAR(34)&amp;"  ","")&amp;IF(ISNUMBER($BV131),"B "&amp;TRIM(TEXT($BV131-HeadClr,"# ?/??"))&amp;CHAR(34)&amp;"  ","")&amp;IF(ISNUMBER($BW131),"C "&amp;TRIM(TEXT($BW131-HeadClr,"# ?/??"))&amp;CHAR(34)&amp;"  ","")&amp;IF(ISNUMBER($BX131),"D "&amp;TRIM(TEXT($BX131-HeadClr,"# ?/??"))&amp;CHAR(34)&amp;"  ","")&amp;IF(ISNUMBER($BY131),"F "&amp;TRIM(TEXT($BY131-HeadClr,"# ?/??"))&amp;CHAR(34)&amp;"  ","")&amp;IF(ISNUMBER($BZ131),"E "&amp;TRIM(TEXT($BZ131-HeadClr,"# ?/??"))&amp;CHAR(34)&amp;"  ","")))</f>
        <v/>
      </c>
      <c r="DA131" s="84">
        <f>IF($A131="","",IF($AN131="",IFERROR(VLOOKUP($Z131,CODES,2,FALSE),""),IFERROR(VLOOKUP($AN131,CODES,2,FALSE),"")))</f>
        <v/>
      </c>
      <c r="DB131" s="84">
        <f>IF($A131="","",IF($O131="Y","PR",IF(OR($Z131="L",$Z131="RR",LEFT($Z131,2)="L-",LEFT($Z131,3)="RR-"),"LH","RH")))</f>
        <v/>
      </c>
      <c r="DC131" s="84">
        <f>IF($A131="","","S.HM"&amp;IF(OR($C131="DOOR ONLY",$X131&lt;&gt;"KD"),"MASONRY","DRYWALL")&amp;IF($C131="DOOR ONLY","",$U131)&amp;IF(AND($C131&lt;&gt;"FRAME ONLY",OR(LEFT($AH131,3)="OAK",LEFT($AH131,3)="BIR",LEFT($AH131,3)="MAP",$AH131="PC",$AH131="MC",$AH131="SCLC",$AH131="P-LAM")),"WD","HM")&amp;"1.75")</f>
        <v/>
      </c>
      <c r="DD131" s="84">
        <f>IF($CJ131="","",IF($O131="Y",$CJ131,SUBSTITUTE($CJ131,$BG131&amp;" "&amp;IFERROR(VLOOKUP($Z131,CODES,2,FALSE),"")&amp;" ",$BG131&amp;" ")))</f>
        <v/>
      </c>
      <c r="DE131" s="84">
        <f>IF($CK131="","",IF($O131="Y",$CK131,SUBSTITUTE($CK131,$BG131&amp;" "&amp;IF($AN131="",IFERROR(VLOOKUP($Z131,CODES,2,FALSE),""),IFERROR(VLOOKUP($AN131,CODES,2,FALSE),""))&amp;" ",$BG131&amp;" ")))</f>
        <v/>
      </c>
      <c r="DF131" s="84">
        <f>IF($CJ131="","",$DC131&amp;"|"&amp;$DD131&amp;"|"&amp;$DB131&amp;"|"&amp;$AT131&amp;"|"&amp;$V131&amp;"|"&amp;$Y131&amp;"|"&amp;$AB131)</f>
        <v/>
      </c>
      <c r="DG131" s="84">
        <f>IF(DF131="","",IF(COUNTIF($DF$6:DF131,DF131)=1,MAX($DG$5:DG130)+1,INDEX($DG$5:DG130,MATCH(DF131,$DF$5:DF130,0))))</f>
        <v/>
      </c>
      <c r="DH131" s="84">
        <f>IF($CK131="","",$DC131&amp;"|"&amp;$DE131&amp;"|"&amp;$AI131&amp;"|"&amp;$BK131&amp;"|"&amp;$BL131)</f>
        <v/>
      </c>
      <c r="DI131" s="84">
        <f>IF(DH131="","",IF(COUNTIF($DH$6:DH131,DH131)=1,MAX($DI$5:DI130)+1,INDEX($DI$5:DI130,MATCH(DH131,$DH$5:DH130,0))))</f>
        <v/>
      </c>
      <c r="DJ131" s="84">
        <f>IF($A131="","",IF($B131="","qty, ","")&amp;IF($C131="","scope, ","")&amp;IF(OR($K131="",$M131=""),"size, ","")&amp;IF(AND($A131&lt;&gt;"",$C131&lt;&gt;"DOOR ONLY"),IF($U131="","jamb depth, ","")&amp;IF($X131="","construction, ","")&amp;IF($Y131="","anchor, ","")&amp;IF($S131="","frame type, ",""),"")&amp;IF(AND(N($BJ131)&gt;0,$Z131=""),"hand, ","")&amp;IF(N($BJ131)&gt;0,IF($AH131="","door material, ","")&amp;IF($AL131="","face type, ","")&amp;IF($AP131="","lock prep, ","")&amp;IF(AND($AO131="",$AC131=""),"hinge prep, ",""),"")&amp;IF(AND($CH131&gt;0,$AH131="FRP"),"FRP cannot carry a label, ","")&amp;IF(AND($O131="Y",OR($Z131="L",$Z131="R",$Z131="LR",$Z131="RR")),"pair marked but hand is single, ","")&amp;IF(AND($O131&lt;&gt;"Y",OR($Z131="PR",AND(LEN($Z131)&gt;1,ISNUMBER(SEARCH("-",$Z131))))),"pair hand on a single door, ","")&amp;IF(AND(ISNUMBER($CI131),$CH131&lt;N($CI131)),"wall needs a "&amp;$CI131&amp;" min door, ","")&amp;IF(AND($CH131&gt;=180,AND(OR($CE131="FG",$CE131="HG",$CE131="FNV",$CE131="FV"),N($CF131)*N($CG131)&gt;100)),"180 min lite over 100 sq in, ","")&amp;IF(N($BK131)&gt;48,"leaf wider than 4'-0"&amp;CHAR(34)&amp;", ","")&amp;IF(AND($CT131,COUNT($AW131:$AZ131)=0,$CQ131&gt;0),"CUSTOM LOC with no locations typed, ",""))</f>
        <v/>
      </c>
      <c r="DK131" s="84">
        <f>IF($A131="","",IF(AND($CH131&gt;0,AND($A131&lt;&gt;"",$C131&lt;&gt;"DOOR ONLY"),$X131="KD",$E131="EXTERIOR"),"KD label on an exterior opening, ","")&amp;IF(AND($E131="EXTERIOR",OR(AND(AND($A131&lt;&gt;"",$C131&lt;&gt;"DOOR ONLY"),$W131="CR"),AND(N($BJ131)&gt;0,$AH131="CR"))),"exterior in CR steel (G9?), ","")&amp;IF(AND(ISNUMBER($BQ131),N($BQ131)&lt;32),"clear width ~"&amp;TEXT($BQ131,"0.0")&amp;CHAR(34)&amp;" under 32"&amp;CHAR(34)&amp;" (ADA), ","")&amp;IF(AND($CH131=90,AND(OR($CE131="FG",$CE131="HG",$CE131="FNV",$CE131="FV"),N($CF131)*N($CG131)&gt;100)),"90 min lite over 100 sq in (stair/exit), ","")&amp;IF(AND($CH131&gt;0,AND($A131&lt;&gt;"",$C131&lt;&gt;"DOOR ONLY"),OR($AF131="",$AF131="-")),"rated: closer reinf.?, ","")&amp;IF(OR($I131="CORRIDOR",$I131="SMOKE BARRIER"),"S label + smoke gasketing, ","")&amp;IF($CI131="?","wall type/hr not in IBC table, ","")&amp;IF(AND(N($BJ131)&gt;0,$BB131=""),"no hardware set, ","")&amp;IF(AND($BB131&lt;&gt;"",ISNA(MATCH($BB131&amp;"",HWSets,0))),"set "&amp;$BB131&amp;" not on HW Sets, ","")&amp;IF(N($BL131)&gt;96,"leaf over 8'-0"&amp;CHAR(34)&amp;" - check listing, ","")&amp;IF(AND($CT131,COUNT($AW131:$AZ131)&gt;0,COUNT($AW131:$AZ131)&lt;&gt;$CQ131),COUNT($AW131:$AZ131)&amp;" custom hinges typed, "&amp;$CQ131&amp;" expected, ","")&amp;IF(AND(ISNUMBER($CA131),OR(N($CA131)&lt;34,N($CA131)&gt;48)),"lock "&amp;TEXT($CA131,"0.0")&amp;CHAR(34)&amp;" AFF outside 34-48"&amp;CHAR(34)&amp;" (ADA), ","")&amp;IF(AND(ISNUMBER($AV131),ISNUMBER($BL131),N($AV131)&lt;IF(N($BL131)&lt;=60,2,IF(N($BL131)&lt;=90,3,IF(N($BL131)&lt;=120,4,5)))),"fewer hinges than standard, ",""))</f>
        <v/>
      </c>
    </row>
    <row r="132" ht="15" customHeight="1">
      <c r="A132" s="77" t="n"/>
      <c r="B132" s="78" t="n"/>
      <c r="C132" s="78" t="n"/>
      <c r="D132" s="78" t="n"/>
      <c r="E132" s="78" t="n"/>
      <c r="F132" s="78" t="n"/>
      <c r="G132" s="78" t="n"/>
      <c r="H132" s="78" t="n"/>
      <c r="I132" s="78" t="n"/>
      <c r="J132" s="78" t="n"/>
      <c r="K132" s="78" t="n"/>
      <c r="L132" s="78" t="n"/>
      <c r="M132" s="78" t="n"/>
      <c r="N132" s="78" t="n"/>
      <c r="O132" s="78" t="n"/>
      <c r="P132" s="78" t="n"/>
      <c r="Q132" s="78" t="n"/>
      <c r="R132" s="78" t="n"/>
      <c r="S132" s="79" t="n"/>
      <c r="T132" s="79" t="n"/>
      <c r="U132" s="79" t="n"/>
      <c r="V132" s="79" t="n"/>
      <c r="W132" s="79" t="n"/>
      <c r="X132" s="79" t="n"/>
      <c r="Y132" s="79" t="n"/>
      <c r="Z132" s="79" t="n"/>
      <c r="AA132" s="79" t="n"/>
      <c r="AB132" s="79" t="n"/>
      <c r="AC132" s="79" t="n"/>
      <c r="AD132" s="79" t="n"/>
      <c r="AE132" s="79" t="n"/>
      <c r="AF132" s="79" t="n"/>
      <c r="AG132" s="79" t="n"/>
      <c r="AH132" s="80" t="n"/>
      <c r="AI132" s="80" t="n"/>
      <c r="AJ132" s="80" t="n"/>
      <c r="AK132" s="80" t="n"/>
      <c r="AL132" s="80" t="n"/>
      <c r="AM132" s="80" t="n"/>
      <c r="AN132" s="80" t="n"/>
      <c r="AO132" s="80" t="n"/>
      <c r="AP132" s="80" t="n"/>
      <c r="AQ132" s="80" t="n"/>
      <c r="AR132" s="80" t="n"/>
      <c r="AS132" s="80" t="n"/>
      <c r="AT132" s="81" t="n"/>
      <c r="AU132" s="81" t="n"/>
      <c r="AV132" s="81" t="n"/>
      <c r="AW132" s="82" t="n"/>
      <c r="AX132" s="82" t="n"/>
      <c r="AY132" s="82" t="n"/>
      <c r="AZ132" s="82" t="n"/>
      <c r="BA132" s="82" t="n"/>
      <c r="BB132" s="83" t="n"/>
      <c r="BC132" s="83" t="n"/>
      <c r="BD132" s="84">
        <f>IF($A132="","",IF($DJ132&lt;&gt;"","FIX",IF($DK132&lt;&gt;"","CHECK","OK")))</f>
        <v/>
      </c>
      <c r="BE132" s="85">
        <f>IF($A132="","",IF($DJ132&lt;&gt;"","FIX: "&amp;LEFT($DJ132,LEN($DJ132)-2)&amp;IF($DK132&lt;&gt;"","  ·  ",""),"")&amp;IF($DK132&lt;&gt;"","CHECK: "&amp;LEFT($DK132,LEN($DK132)-2),""))</f>
        <v/>
      </c>
      <c r="BF132" s="84">
        <f>IF(OR($A132="",$K132=""),"",$K132&amp;"'-"&amp;N($L132)&amp;CHAR(34)&amp;" x "&amp;$M132&amp;"'-"&amp;N($N132)&amp;CHAR(34))</f>
        <v/>
      </c>
      <c r="BG132" s="84">
        <f>IF(OR($A132="",$K132=""),"",$K132&amp;N($L132)&amp;$M132&amp;N($N132))</f>
        <v/>
      </c>
      <c r="BH132" s="84">
        <f>IF(OR($A132="",$K132=""),"",$K132*12+N($L132))</f>
        <v/>
      </c>
      <c r="BI132" s="84">
        <f>IF(OR($A132="",$M132=""),"",$M132*12+N($N132))</f>
        <v/>
      </c>
      <c r="BJ132" s="84">
        <f>IF($A132="","",IF(OR($C132="FRAME ONLY",$S132="BL"),0,IF($O132="Y",2,1)))</f>
        <v/>
      </c>
      <c r="BK132" s="86">
        <f>IF(OR(N($BJ132)=0,$BH132=""),"",($BH132-2*EdgeClr-IF($BJ132=2,MeetClr,0))/$BJ132)</f>
        <v/>
      </c>
      <c r="BL132" s="86">
        <f>IF(OR(N($BJ132)=0,$BI132=""),"",$BI132-HeadClr-Undercut)</f>
        <v/>
      </c>
      <c r="BM132" s="86">
        <f>IF($BH132="","",$BH132+2*FaceW+IF(N($Q132)&gt;0,($Q132+FaceW)*IF($R132="LR",2,1),0))</f>
        <v/>
      </c>
      <c r="BN132" s="86">
        <f>IF($BI132="","",$BI132+IF($AB132="Y",4,FaceW)+IF(N($P132)&gt;0,$P132+FaceW,0)+IF(OR($S132="4F",$S132="BL"),FaceW,0))</f>
        <v/>
      </c>
      <c r="BO132" s="86">
        <f>IF($BM132="","",$BM132+2*ROSide)</f>
        <v/>
      </c>
      <c r="BP132" s="86">
        <f>IF($BN132="","",$BN132+ROTop)</f>
        <v/>
      </c>
      <c r="BQ132" s="87">
        <f>IF(OR(N($BJ132)=0,$BH132=""),"",$BH132/$BJ132-ClearDeduct)</f>
        <v/>
      </c>
      <c r="BR132" s="84">
        <f>IF(N($CH132)=0,"",IF($CH132&gt;=180,"A · 3 HR",IF($CH132&gt;=90,"B · 1-1/2 HR",IF($CH132&gt;=60,"B · 1 HR",IF($CH132&gt;=45,"C · 3/4 HR","20 MIN")))))&amp;IF(AND(N($CH132)&gt;0,OR($I132="CORRIDOR",$I132="SMOKE BARRIER"))," · S","")</f>
        <v/>
      </c>
      <c r="BS132" s="84">
        <f>IF($CS132,"",IF($AV132&lt;&gt;"",$AV132,IF(OR($AC132="HGC",$AO132="HGC"),"CONT",IF(($BI132-HeadClr-Undercut)&lt;=60,2,IF(($BI132-HeadClr-Undercut)&lt;=90,3,IF(($BI132-HeadClr-Undercut)&lt;=120,4,5))))))</f>
        <v/>
      </c>
      <c r="BT132" s="84">
        <f>IF($CS132,"",IF($CT132,"CUSTOM (typed)",IF($CV132,$AT132&amp;" "&amp;$CU132&amp;CHAR(34)&amp;IF($CU132&lt;&gt;$BI132,IF(AND($BI132&lt;$CU132,$BI132-IF(N(VLOOKUP($AT132&amp;"|"&amp;$CU132,LocTable,7,FALSE))&gt;0,VLOOKUP($AT132&amp;"|"&amp;$CU132,LocTable,7,FALSE),VLOOKUP($AT132&amp;"|"&amp;$CU132,LocTable,6,FALSE))-$CR132-0.75&gt;=2.125)," cut down"," adj."),""),"ANSI/SDI A250.6")))</f>
        <v/>
      </c>
      <c r="BU132" s="88">
        <f>IF($CS132,"",IF($CT132,IF(N($AW132)&gt;0,N($AW132),""),IF(1&gt;$CQ132,"",IF($CQ132=1,$CW132,$CW132+($CX132-$CW132)*0/($CQ132-1)))))</f>
        <v/>
      </c>
      <c r="BV132" s="88">
        <f>IF($CS132,"",IF($CT132,IF(N($AX132)&gt;0,N($AX132),""),IF(2&gt;$CQ132,"",IF($CQ132=1,$CW132,$CW132+($CX132-$CW132)*1/($CQ132-1)))))</f>
        <v/>
      </c>
      <c r="BW132" s="88">
        <f>IF($CS132,"",IF($CT132,IF(N($AY132)&gt;0,N($AY132),""),IF(3&gt;$CQ132,"",IF($CQ132=1,$CW132,$CW132+($CX132-$CW132)*2/($CQ132-1)))))</f>
        <v/>
      </c>
      <c r="BX132" s="88">
        <f>IF($CS132,"",IF($CT132,IF(N($AZ132)&gt;0,N($AZ132),""),IF(4&gt;$CQ132,"",IF($CQ132=1,$CW132,$CW132+($CX132-$CW132)*3/($CQ132-1)))))</f>
        <v/>
      </c>
      <c r="BY132" s="88">
        <f>IF($CS132,"",IF($CT132,"",IF(5&gt;$CQ132,"",IF($CQ132=1,$CW132,$CW132+($CX132-$CW132)*4/($CQ132-1)))))</f>
        <v/>
      </c>
      <c r="BZ132" s="88">
        <f>IF(OR($CS132,$AP132="-",AND($AP132="",$AD132="")),"",IF(N($BA132)&gt;0,N($BA132),IF($CV132,IF(AND($BI132&lt;$CU132,$BI132-IF(N(VLOOKUP($AT132&amp;"|"&amp;$CU132,LocTable,7,FALSE))&gt;0,VLOOKUP($AT132&amp;"|"&amp;$CU132,LocTable,7,FALSE),VLOOKUP($AT132&amp;"|"&amp;$CU132,LocTable,6,FALSE))-$CR132-0.75&gt;=2.125),VLOOKUP($AT132&amp;"|"&amp;$CU132,LocTable,8,FALSE),VLOOKUP($AT132&amp;"|"&amp;$CU132,LocTable,8,FALSE)+($BI132-$CU132)),$BI132-LockAFF)))</f>
        <v/>
      </c>
      <c r="CA132" s="89">
        <f>IF($BZ132="","",$BI132-$BZ132)</f>
        <v/>
      </c>
      <c r="CB132" s="84">
        <f>IF(OR(NOT(AND($A132&lt;&gt;"",$C132&lt;&gt;"DOOR ONLY")),$BI132=""),"",IF(($BI132+IF(N($P132)&gt;0,$P132+FaceW,0))&lt;=90,3,IF(($BI132+IF(N($P132)&gt;0,$P132+FaceW,0))&lt;=114,4,5)))</f>
        <v/>
      </c>
      <c r="CC132" s="84">
        <f>IF($CB132="","",$CB132*(2+IF(N($Q132)&gt;0,IF($R132="LR",2,1),0)))</f>
        <v/>
      </c>
      <c r="CD132" s="84">
        <f>IF($CB132="","",(2+IF(N($Q132)&gt;0,IF($R132="LR",2,1),0)))</f>
        <v/>
      </c>
      <c r="CE132" s="84">
        <f>IF(N($BJ132)=0,"",IF(OR($AL132="",$AL132="FLUSH"),"FLUSH",IFERROR(LEFT($AL132,FIND("-",$AL132)-1),LEFT($AL132,2))))</f>
        <v/>
      </c>
      <c r="CF132" s="84">
        <f>IF($CE132="","",IFERROR(VALUE(MID($AL132,FIND("-",$AL132)+1,FIND(CHAR(34)&amp;"x",$AL132)-FIND("-",$AL132)-1)),0))</f>
        <v/>
      </c>
      <c r="CG132" s="84">
        <f>IF($CE132="","",IFERROR(VALUE(MID($AL132,FIND(CHAR(34)&amp;"x",$AL132)+2,FIND(CHAR(34),$AL132,FIND(CHAR(34)&amp;"x",$AL132)+2)-FIND(CHAR(34)&amp;"x",$AL132)-2)),0))</f>
        <v/>
      </c>
      <c r="CH132" s="90">
        <f>IF(OR($A132="",$H132="",$H132="NO LAB"),0,IFERROR(VALUE(LEFT($H132,FIND(" ",$H132)-1)),0))</f>
        <v/>
      </c>
      <c r="CI132" s="91">
        <f>IF(OR($A132="",$I132="",$I132="NON-RATED",N($J132)=0),"",IFERROR(VLOOKUP($I132&amp;"|"&amp;$J132,IBC,2,FALSE),"?"))</f>
        <v/>
      </c>
      <c r="CJ132" s="85">
        <f>IF(NOT(AND($A132&lt;&gt;"",$C132&lt;&gt;"DOOR ONLY")),"",TRIM(IFERROR(VLOOKUP($U132,CODES,2,FALSE),"")&amp;" "&amp;$BG132&amp;" "&amp;IFERROR(VLOOKUP($Z132,CODES,2,FALSE),"")&amp;" "&amp;IFERROR(VLOOKUP($X132,CODES,2,FALSE),"")&amp;" "&amp;IFERROR(VLOOKUP($S132,CODES,2,FALSE),"")&amp;IF(N($P132)&gt;0," w/TRANSOM "&amp;$P132&amp;CHAR(34),"")&amp;IF(N($Q132)&gt;0," w/SIDELITE "&amp;$Q132&amp;CHAR(34)&amp;" "&amp;IF($R132="","R",$R132),"")&amp;IF($Y132="","  |  "," | "&amp;IFERROR(VLOOKUP($Y132,CODES,2,FALSE),"")&amp;" | ")&amp;IFERROR(VLOOKUP($AC132,CODES,2,FALSE),"")&amp;" "&amp;IFERROR(VLOOKUP($AD132,CODES,2,FALSE),"")&amp;IF(OR($AE132="",$AE132="-"),""," "&amp;$AE132)&amp;IF(OR($AF132="",$AF132="-"),""," "&amp;$AF132)&amp;IF($AB132="Y"," 4"&amp;CHAR(34)&amp;" HEAD","")&amp;" "&amp;IFERROR(VLOOKUP($H132,CODES,2,FALSE),"")&amp;IF($CT132," | LOC "&amp;$CY132,"")))</f>
        <v/>
      </c>
      <c r="CK132" s="85">
        <f>IF(NOT(AND($A132&lt;&gt;"",N($BJ132)&gt;0)),"",TRIM(IFERROR(VLOOKUP($AH132,CODES,2,FALSE),"")&amp;IF($AI132=""," "," "&amp;$AI132&amp;"GA ")&amp;$BG132&amp;" "&amp;IF($AN132="",IFERROR(VLOOKUP($Z132,CODES,2,FALSE),""),IFERROR(VLOOKUP($AN132,CODES,2,FALSE),""))&amp;IF($BJ132=2," PAIR","")&amp;" DOOR | "&amp;IF($AL132="","?",$AL132)&amp;" | "&amp;IF($AO132="",IFERROR(VLOOKUP($AC132,CODES,2,FALSE),""),IFERROR(VLOOKUP($AO132,CODES,2,FALSE),""))&amp;" "&amp;IFERROR(VLOOKUP($AP132,CODES,2,FALSE),"")&amp;IF(OR($AQ132="",$AQ132="-"),""," SEAM "&amp;$AQ132)&amp;IF($AR132="Y"," ASTRAGAL","")&amp;IF($AJ132=""," "," "&amp;$AJ132)&amp;IF($AK132=""," "," "&amp;$AK132)&amp;IF(OR($AT132="",$AT132="ANSI/SDI",$AT132="CUSTOM LOC"),""," "&amp;$AT132)&amp;IF($AM132=""," "," SERIES "&amp;$AM132)&amp;" "&amp;IFERROR(VLOOKUP($H132,CODES,2,FALSE),"")&amp;IF($CT132," | LOC "&amp;$CZ132,"")))</f>
        <v/>
      </c>
      <c r="CL132" s="84">
        <f>IF(CP132="","",IF(COUNTIF($CP$6:CP132,CP132)=1,MAX($CL$5:CL131)+1,INDEX($CL$5:CL131,MATCH(CP132,$CP$5:CP131,0))))</f>
        <v/>
      </c>
      <c r="CM132" s="84">
        <f>IF(NOT(AND($A132&lt;&gt;"",$C132&lt;&gt;"DOOR ONLY")),"",MAX($CM$5:CM131)+1)</f>
        <v/>
      </c>
      <c r="CN132" s="84">
        <f>IF(NOT(AND($A132&lt;&gt;"",N($BJ132)&gt;0)),"",MAX($CN$5:CN131)+1)</f>
        <v/>
      </c>
      <c r="CO132" s="84">
        <f>IF($A132="","",MAX($CO$5:CO131)+1)</f>
        <v/>
      </c>
      <c r="CP132" s="84">
        <f>IF(OR($A132="",$BH132="",$BI132=""),"",$BG132&amp;"|"&amp;$O132&amp;"|"&amp;$AL132&amp;"|"&amp;$S132&amp;"|"&amp;$P132&amp;"|"&amp;$Q132&amp;$R132&amp;"|"&amp;$C132&amp;"|"&amp;$AB132)</f>
        <v/>
      </c>
      <c r="CQ132" s="84">
        <f>N($BS132)</f>
        <v/>
      </c>
      <c r="CR132" s="84">
        <f>IF(N($AU132)&gt;0,N($AU132),4.5)</f>
        <v/>
      </c>
      <c r="CS132" s="84">
        <f>OR($A132="",$BI132="",$S132="BL",AND($C132="FRAME ONLY",OR($AC132="",$AC132="BLK")))</f>
        <v/>
      </c>
      <c r="CT132" s="84">
        <f>AND(NOT($CS132),OR($AT132="CUSTOM LOC",N($AW132)+N($AX132)+N($AY132)+N($AZ132)+N($BA132)&gt;0))</f>
        <v/>
      </c>
      <c r="CU132" s="84">
        <f>IF($BI132="","",IF($BI132&lt;=80,80,IF($BI132&lt;=84,84,96)))</f>
        <v/>
      </c>
      <c r="CV132" s="84">
        <f>ISNUMBER(MATCH($AT132&amp;"|80",LocKeys,0))</f>
        <v/>
      </c>
      <c r="CW132" s="86">
        <f>IF($CS132,"",IF($CV132,VLOOKUP($AT132&amp;"|"&amp;$CU132,LocTable,4,FALSE),5))</f>
        <v/>
      </c>
      <c r="CX132" s="86">
        <f>IF($CS132,"",IF($CV132,IF(OR($BI132=$CU132,AND($BI132&lt;$CU132,$BI132-IF(N(VLOOKUP($AT132&amp;"|"&amp;$CU132,LocTable,7,FALSE))&gt;0,VLOOKUP($AT132&amp;"|"&amp;$CU132,LocTable,7,FALSE),VLOOKUP($AT132&amp;"|"&amp;$CU132,LocTable,6,FALSE))-$CR132-0.75&gt;=2.125)),IF(N(VLOOKUP($AT132&amp;"|"&amp;$CU132,LocTable,7,FALSE))&gt;0,VLOOKUP($AT132&amp;"|"&amp;$CU132,LocTable,7,FALSE),VLOOKUP($AT132&amp;"|"&amp;$CU132,LocTable,6,FALSE)),$BI132-($CU132-IF(N(VLOOKUP($AT132&amp;"|"&amp;$CU132,LocTable,7,FALSE))&gt;0,VLOOKUP($AT132&amp;"|"&amp;$CU132,LocTable,7,FALSE),VLOOKUP($AT132&amp;"|"&amp;$CU132,LocTable,6,FALSE)))),$BI132-10-$CR132))</f>
        <v/>
      </c>
      <c r="CY132" s="85">
        <f>IF($CS132,"",TRIM(IF(ISNUMBER($BU132),"A "&amp;TRIM(TEXT($BU132,"# ?/??"))&amp;CHAR(34)&amp;"  ","")&amp;IF(ISNUMBER($BV132),"B "&amp;TRIM(TEXT($BV132,"# ?/??"))&amp;CHAR(34)&amp;"  ","")&amp;IF(ISNUMBER($BW132),"C "&amp;TRIM(TEXT($BW132,"# ?/??"))&amp;CHAR(34)&amp;"  ","")&amp;IF(ISNUMBER($BX132),"D "&amp;TRIM(TEXT($BX132,"# ?/??"))&amp;CHAR(34)&amp;"  ","")&amp;IF(ISNUMBER($BY132),"F "&amp;TRIM(TEXT($BY132,"# ?/??"))&amp;CHAR(34)&amp;"  ","")&amp;IF(ISNUMBER($BZ132),"E "&amp;TRIM(TEXT($BZ132,"# ?/??"))&amp;CHAR(34)&amp;"  ","")))</f>
        <v/>
      </c>
      <c r="CZ132" s="85">
        <f>IF(OR($CS132,N($BJ132)=0),"",TRIM(IF(ISNUMBER($BU132),"A "&amp;TRIM(TEXT($BU132-HeadClr,"# ?/??"))&amp;CHAR(34)&amp;"  ","")&amp;IF(ISNUMBER($BV132),"B "&amp;TRIM(TEXT($BV132-HeadClr,"# ?/??"))&amp;CHAR(34)&amp;"  ","")&amp;IF(ISNUMBER($BW132),"C "&amp;TRIM(TEXT($BW132-HeadClr,"# ?/??"))&amp;CHAR(34)&amp;"  ","")&amp;IF(ISNUMBER($BX132),"D "&amp;TRIM(TEXT($BX132-HeadClr,"# ?/??"))&amp;CHAR(34)&amp;"  ","")&amp;IF(ISNUMBER($BY132),"F "&amp;TRIM(TEXT($BY132-HeadClr,"# ?/??"))&amp;CHAR(34)&amp;"  ","")&amp;IF(ISNUMBER($BZ132),"E "&amp;TRIM(TEXT($BZ132-HeadClr,"# ?/??"))&amp;CHAR(34)&amp;"  ","")))</f>
        <v/>
      </c>
      <c r="DA132" s="84">
        <f>IF($A132="","",IF($AN132="",IFERROR(VLOOKUP($Z132,CODES,2,FALSE),""),IFERROR(VLOOKUP($AN132,CODES,2,FALSE),"")))</f>
        <v/>
      </c>
      <c r="DB132" s="84">
        <f>IF($A132="","",IF($O132="Y","PR",IF(OR($Z132="L",$Z132="RR",LEFT($Z132,2)="L-",LEFT($Z132,3)="RR-"),"LH","RH")))</f>
        <v/>
      </c>
      <c r="DC132" s="84">
        <f>IF($A132="","","S.HM"&amp;IF(OR($C132="DOOR ONLY",$X132&lt;&gt;"KD"),"MASONRY","DRYWALL")&amp;IF($C132="DOOR ONLY","",$U132)&amp;IF(AND($C132&lt;&gt;"FRAME ONLY",OR(LEFT($AH132,3)="OAK",LEFT($AH132,3)="BIR",LEFT($AH132,3)="MAP",$AH132="PC",$AH132="MC",$AH132="SCLC",$AH132="P-LAM")),"WD","HM")&amp;"1.75")</f>
        <v/>
      </c>
      <c r="DD132" s="84">
        <f>IF($CJ132="","",IF($O132="Y",$CJ132,SUBSTITUTE($CJ132,$BG132&amp;" "&amp;IFERROR(VLOOKUP($Z132,CODES,2,FALSE),"")&amp;" ",$BG132&amp;" ")))</f>
        <v/>
      </c>
      <c r="DE132" s="84">
        <f>IF($CK132="","",IF($O132="Y",$CK132,SUBSTITUTE($CK132,$BG132&amp;" "&amp;IF($AN132="",IFERROR(VLOOKUP($Z132,CODES,2,FALSE),""),IFERROR(VLOOKUP($AN132,CODES,2,FALSE),""))&amp;" ",$BG132&amp;" ")))</f>
        <v/>
      </c>
      <c r="DF132" s="84">
        <f>IF($CJ132="","",$DC132&amp;"|"&amp;$DD132&amp;"|"&amp;$DB132&amp;"|"&amp;$AT132&amp;"|"&amp;$V132&amp;"|"&amp;$Y132&amp;"|"&amp;$AB132)</f>
        <v/>
      </c>
      <c r="DG132" s="84">
        <f>IF(DF132="","",IF(COUNTIF($DF$6:DF132,DF132)=1,MAX($DG$5:DG131)+1,INDEX($DG$5:DG131,MATCH(DF132,$DF$5:DF131,0))))</f>
        <v/>
      </c>
      <c r="DH132" s="84">
        <f>IF($CK132="","",$DC132&amp;"|"&amp;$DE132&amp;"|"&amp;$AI132&amp;"|"&amp;$BK132&amp;"|"&amp;$BL132)</f>
        <v/>
      </c>
      <c r="DI132" s="84">
        <f>IF(DH132="","",IF(COUNTIF($DH$6:DH132,DH132)=1,MAX($DI$5:DI131)+1,INDEX($DI$5:DI131,MATCH(DH132,$DH$5:DH131,0))))</f>
        <v/>
      </c>
      <c r="DJ132" s="84">
        <f>IF($A132="","",IF($B132="","qty, ","")&amp;IF($C132="","scope, ","")&amp;IF(OR($K132="",$M132=""),"size, ","")&amp;IF(AND($A132&lt;&gt;"",$C132&lt;&gt;"DOOR ONLY"),IF($U132="","jamb depth, ","")&amp;IF($X132="","construction, ","")&amp;IF($Y132="","anchor, ","")&amp;IF($S132="","frame type, ",""),"")&amp;IF(AND(N($BJ132)&gt;0,$Z132=""),"hand, ","")&amp;IF(N($BJ132)&gt;0,IF($AH132="","door material, ","")&amp;IF($AL132="","face type, ","")&amp;IF($AP132="","lock prep, ","")&amp;IF(AND($AO132="",$AC132=""),"hinge prep, ",""),"")&amp;IF(AND($CH132&gt;0,$AH132="FRP"),"FRP cannot carry a label, ","")&amp;IF(AND($O132="Y",OR($Z132="L",$Z132="R",$Z132="LR",$Z132="RR")),"pair marked but hand is single, ","")&amp;IF(AND($O132&lt;&gt;"Y",OR($Z132="PR",AND(LEN($Z132)&gt;1,ISNUMBER(SEARCH("-",$Z132))))),"pair hand on a single door, ","")&amp;IF(AND(ISNUMBER($CI132),$CH132&lt;N($CI132)),"wall needs a "&amp;$CI132&amp;" min door, ","")&amp;IF(AND($CH132&gt;=180,AND(OR($CE132="FG",$CE132="HG",$CE132="FNV",$CE132="FV"),N($CF132)*N($CG132)&gt;100)),"180 min lite over 100 sq in, ","")&amp;IF(N($BK132)&gt;48,"leaf wider than 4'-0"&amp;CHAR(34)&amp;", ","")&amp;IF(AND($CT132,COUNT($AW132:$AZ132)=0,$CQ132&gt;0),"CUSTOM LOC with no locations typed, ",""))</f>
        <v/>
      </c>
      <c r="DK132" s="84">
        <f>IF($A132="","",IF(AND($CH132&gt;0,AND($A132&lt;&gt;"",$C132&lt;&gt;"DOOR ONLY"),$X132="KD",$E132="EXTERIOR"),"KD label on an exterior opening, ","")&amp;IF(AND($E132="EXTERIOR",OR(AND(AND($A132&lt;&gt;"",$C132&lt;&gt;"DOOR ONLY"),$W132="CR"),AND(N($BJ132)&gt;0,$AH132="CR"))),"exterior in CR steel (G9?), ","")&amp;IF(AND(ISNUMBER($BQ132),N($BQ132)&lt;32),"clear width ~"&amp;TEXT($BQ132,"0.0")&amp;CHAR(34)&amp;" under 32"&amp;CHAR(34)&amp;" (ADA), ","")&amp;IF(AND($CH132=90,AND(OR($CE132="FG",$CE132="HG",$CE132="FNV",$CE132="FV"),N($CF132)*N($CG132)&gt;100)),"90 min lite over 100 sq in (stair/exit), ","")&amp;IF(AND($CH132&gt;0,AND($A132&lt;&gt;"",$C132&lt;&gt;"DOOR ONLY"),OR($AF132="",$AF132="-")),"rated: closer reinf.?, ","")&amp;IF(OR($I132="CORRIDOR",$I132="SMOKE BARRIER"),"S label + smoke gasketing, ","")&amp;IF($CI132="?","wall type/hr not in IBC table, ","")&amp;IF(AND(N($BJ132)&gt;0,$BB132=""),"no hardware set, ","")&amp;IF(AND($BB132&lt;&gt;"",ISNA(MATCH($BB132&amp;"",HWSets,0))),"set "&amp;$BB132&amp;" not on HW Sets, ","")&amp;IF(N($BL132)&gt;96,"leaf over 8'-0"&amp;CHAR(34)&amp;" - check listing, ","")&amp;IF(AND($CT132,COUNT($AW132:$AZ132)&gt;0,COUNT($AW132:$AZ132)&lt;&gt;$CQ132),COUNT($AW132:$AZ132)&amp;" custom hinges typed, "&amp;$CQ132&amp;" expected, ","")&amp;IF(AND(ISNUMBER($CA132),OR(N($CA132)&lt;34,N($CA132)&gt;48)),"lock "&amp;TEXT($CA132,"0.0")&amp;CHAR(34)&amp;" AFF outside 34-48"&amp;CHAR(34)&amp;" (ADA), ","")&amp;IF(AND(ISNUMBER($AV132),ISNUMBER($BL132),N($AV132)&lt;IF(N($BL132)&lt;=60,2,IF(N($BL132)&lt;=90,3,IF(N($BL132)&lt;=120,4,5)))),"fewer hinges than standard, ",""))</f>
        <v/>
      </c>
    </row>
    <row r="133" ht="15" customHeight="1">
      <c r="A133" s="77" t="n"/>
      <c r="B133" s="78" t="n"/>
      <c r="C133" s="78" t="n"/>
      <c r="D133" s="78" t="n"/>
      <c r="E133" s="78" t="n"/>
      <c r="F133" s="78" t="n"/>
      <c r="G133" s="78" t="n"/>
      <c r="H133" s="78" t="n"/>
      <c r="I133" s="78" t="n"/>
      <c r="J133" s="78" t="n"/>
      <c r="K133" s="78" t="n"/>
      <c r="L133" s="78" t="n"/>
      <c r="M133" s="78" t="n"/>
      <c r="N133" s="78" t="n"/>
      <c r="O133" s="78" t="n"/>
      <c r="P133" s="78" t="n"/>
      <c r="Q133" s="78" t="n"/>
      <c r="R133" s="78" t="n"/>
      <c r="S133" s="79" t="n"/>
      <c r="T133" s="79" t="n"/>
      <c r="U133" s="79" t="n"/>
      <c r="V133" s="79" t="n"/>
      <c r="W133" s="79" t="n"/>
      <c r="X133" s="79" t="n"/>
      <c r="Y133" s="79" t="n"/>
      <c r="Z133" s="79" t="n"/>
      <c r="AA133" s="79" t="n"/>
      <c r="AB133" s="79" t="n"/>
      <c r="AC133" s="79" t="n"/>
      <c r="AD133" s="79" t="n"/>
      <c r="AE133" s="79" t="n"/>
      <c r="AF133" s="79" t="n"/>
      <c r="AG133" s="79" t="n"/>
      <c r="AH133" s="80" t="n"/>
      <c r="AI133" s="80" t="n"/>
      <c r="AJ133" s="80" t="n"/>
      <c r="AK133" s="80" t="n"/>
      <c r="AL133" s="80" t="n"/>
      <c r="AM133" s="80" t="n"/>
      <c r="AN133" s="80" t="n"/>
      <c r="AO133" s="80" t="n"/>
      <c r="AP133" s="80" t="n"/>
      <c r="AQ133" s="80" t="n"/>
      <c r="AR133" s="80" t="n"/>
      <c r="AS133" s="80" t="n"/>
      <c r="AT133" s="81" t="n"/>
      <c r="AU133" s="81" t="n"/>
      <c r="AV133" s="81" t="n"/>
      <c r="AW133" s="82" t="n"/>
      <c r="AX133" s="82" t="n"/>
      <c r="AY133" s="82" t="n"/>
      <c r="AZ133" s="82" t="n"/>
      <c r="BA133" s="82" t="n"/>
      <c r="BB133" s="83" t="n"/>
      <c r="BC133" s="83" t="n"/>
      <c r="BD133" s="84">
        <f>IF($A133="","",IF($DJ133&lt;&gt;"","FIX",IF($DK133&lt;&gt;"","CHECK","OK")))</f>
        <v/>
      </c>
      <c r="BE133" s="85">
        <f>IF($A133="","",IF($DJ133&lt;&gt;"","FIX: "&amp;LEFT($DJ133,LEN($DJ133)-2)&amp;IF($DK133&lt;&gt;"","  ·  ",""),"")&amp;IF($DK133&lt;&gt;"","CHECK: "&amp;LEFT($DK133,LEN($DK133)-2),""))</f>
        <v/>
      </c>
      <c r="BF133" s="84">
        <f>IF(OR($A133="",$K133=""),"",$K133&amp;"'-"&amp;N($L133)&amp;CHAR(34)&amp;" x "&amp;$M133&amp;"'-"&amp;N($N133)&amp;CHAR(34))</f>
        <v/>
      </c>
      <c r="BG133" s="84">
        <f>IF(OR($A133="",$K133=""),"",$K133&amp;N($L133)&amp;$M133&amp;N($N133))</f>
        <v/>
      </c>
      <c r="BH133" s="84">
        <f>IF(OR($A133="",$K133=""),"",$K133*12+N($L133))</f>
        <v/>
      </c>
      <c r="BI133" s="84">
        <f>IF(OR($A133="",$M133=""),"",$M133*12+N($N133))</f>
        <v/>
      </c>
      <c r="BJ133" s="84">
        <f>IF($A133="","",IF(OR($C133="FRAME ONLY",$S133="BL"),0,IF($O133="Y",2,1)))</f>
        <v/>
      </c>
      <c r="BK133" s="86">
        <f>IF(OR(N($BJ133)=0,$BH133=""),"",($BH133-2*EdgeClr-IF($BJ133=2,MeetClr,0))/$BJ133)</f>
        <v/>
      </c>
      <c r="BL133" s="86">
        <f>IF(OR(N($BJ133)=0,$BI133=""),"",$BI133-HeadClr-Undercut)</f>
        <v/>
      </c>
      <c r="BM133" s="86">
        <f>IF($BH133="","",$BH133+2*FaceW+IF(N($Q133)&gt;0,($Q133+FaceW)*IF($R133="LR",2,1),0))</f>
        <v/>
      </c>
      <c r="BN133" s="86">
        <f>IF($BI133="","",$BI133+IF($AB133="Y",4,FaceW)+IF(N($P133)&gt;0,$P133+FaceW,0)+IF(OR($S133="4F",$S133="BL"),FaceW,0))</f>
        <v/>
      </c>
      <c r="BO133" s="86">
        <f>IF($BM133="","",$BM133+2*ROSide)</f>
        <v/>
      </c>
      <c r="BP133" s="86">
        <f>IF($BN133="","",$BN133+ROTop)</f>
        <v/>
      </c>
      <c r="BQ133" s="87">
        <f>IF(OR(N($BJ133)=0,$BH133=""),"",$BH133/$BJ133-ClearDeduct)</f>
        <v/>
      </c>
      <c r="BR133" s="84">
        <f>IF(N($CH133)=0,"",IF($CH133&gt;=180,"A · 3 HR",IF($CH133&gt;=90,"B · 1-1/2 HR",IF($CH133&gt;=60,"B · 1 HR",IF($CH133&gt;=45,"C · 3/4 HR","20 MIN")))))&amp;IF(AND(N($CH133)&gt;0,OR($I133="CORRIDOR",$I133="SMOKE BARRIER"))," · S","")</f>
        <v/>
      </c>
      <c r="BS133" s="84">
        <f>IF($CS133,"",IF($AV133&lt;&gt;"",$AV133,IF(OR($AC133="HGC",$AO133="HGC"),"CONT",IF(($BI133-HeadClr-Undercut)&lt;=60,2,IF(($BI133-HeadClr-Undercut)&lt;=90,3,IF(($BI133-HeadClr-Undercut)&lt;=120,4,5))))))</f>
        <v/>
      </c>
      <c r="BT133" s="84">
        <f>IF($CS133,"",IF($CT133,"CUSTOM (typed)",IF($CV133,$AT133&amp;" "&amp;$CU133&amp;CHAR(34)&amp;IF($CU133&lt;&gt;$BI133,IF(AND($BI133&lt;$CU133,$BI133-IF(N(VLOOKUP($AT133&amp;"|"&amp;$CU133,LocTable,7,FALSE))&gt;0,VLOOKUP($AT133&amp;"|"&amp;$CU133,LocTable,7,FALSE),VLOOKUP($AT133&amp;"|"&amp;$CU133,LocTable,6,FALSE))-$CR133-0.75&gt;=2.125)," cut down"," adj."),""),"ANSI/SDI A250.6")))</f>
        <v/>
      </c>
      <c r="BU133" s="88">
        <f>IF($CS133,"",IF($CT133,IF(N($AW133)&gt;0,N($AW133),""),IF(1&gt;$CQ133,"",IF($CQ133=1,$CW133,$CW133+($CX133-$CW133)*0/($CQ133-1)))))</f>
        <v/>
      </c>
      <c r="BV133" s="88">
        <f>IF($CS133,"",IF($CT133,IF(N($AX133)&gt;0,N($AX133),""),IF(2&gt;$CQ133,"",IF($CQ133=1,$CW133,$CW133+($CX133-$CW133)*1/($CQ133-1)))))</f>
        <v/>
      </c>
      <c r="BW133" s="88">
        <f>IF($CS133,"",IF($CT133,IF(N($AY133)&gt;0,N($AY133),""),IF(3&gt;$CQ133,"",IF($CQ133=1,$CW133,$CW133+($CX133-$CW133)*2/($CQ133-1)))))</f>
        <v/>
      </c>
      <c r="BX133" s="88">
        <f>IF($CS133,"",IF($CT133,IF(N($AZ133)&gt;0,N($AZ133),""),IF(4&gt;$CQ133,"",IF($CQ133=1,$CW133,$CW133+($CX133-$CW133)*3/($CQ133-1)))))</f>
        <v/>
      </c>
      <c r="BY133" s="88">
        <f>IF($CS133,"",IF($CT133,"",IF(5&gt;$CQ133,"",IF($CQ133=1,$CW133,$CW133+($CX133-$CW133)*4/($CQ133-1)))))</f>
        <v/>
      </c>
      <c r="BZ133" s="88">
        <f>IF(OR($CS133,$AP133="-",AND($AP133="",$AD133="")),"",IF(N($BA133)&gt;0,N($BA133),IF($CV133,IF(AND($BI133&lt;$CU133,$BI133-IF(N(VLOOKUP($AT133&amp;"|"&amp;$CU133,LocTable,7,FALSE))&gt;0,VLOOKUP($AT133&amp;"|"&amp;$CU133,LocTable,7,FALSE),VLOOKUP($AT133&amp;"|"&amp;$CU133,LocTable,6,FALSE))-$CR133-0.75&gt;=2.125),VLOOKUP($AT133&amp;"|"&amp;$CU133,LocTable,8,FALSE),VLOOKUP($AT133&amp;"|"&amp;$CU133,LocTable,8,FALSE)+($BI133-$CU133)),$BI133-LockAFF)))</f>
        <v/>
      </c>
      <c r="CA133" s="89">
        <f>IF($BZ133="","",$BI133-$BZ133)</f>
        <v/>
      </c>
      <c r="CB133" s="84">
        <f>IF(OR(NOT(AND($A133&lt;&gt;"",$C133&lt;&gt;"DOOR ONLY")),$BI133=""),"",IF(($BI133+IF(N($P133)&gt;0,$P133+FaceW,0))&lt;=90,3,IF(($BI133+IF(N($P133)&gt;0,$P133+FaceW,0))&lt;=114,4,5)))</f>
        <v/>
      </c>
      <c r="CC133" s="84">
        <f>IF($CB133="","",$CB133*(2+IF(N($Q133)&gt;0,IF($R133="LR",2,1),0)))</f>
        <v/>
      </c>
      <c r="CD133" s="84">
        <f>IF($CB133="","",(2+IF(N($Q133)&gt;0,IF($R133="LR",2,1),0)))</f>
        <v/>
      </c>
      <c r="CE133" s="84">
        <f>IF(N($BJ133)=0,"",IF(OR($AL133="",$AL133="FLUSH"),"FLUSH",IFERROR(LEFT($AL133,FIND("-",$AL133)-1),LEFT($AL133,2))))</f>
        <v/>
      </c>
      <c r="CF133" s="84">
        <f>IF($CE133="","",IFERROR(VALUE(MID($AL133,FIND("-",$AL133)+1,FIND(CHAR(34)&amp;"x",$AL133)-FIND("-",$AL133)-1)),0))</f>
        <v/>
      </c>
      <c r="CG133" s="84">
        <f>IF($CE133="","",IFERROR(VALUE(MID($AL133,FIND(CHAR(34)&amp;"x",$AL133)+2,FIND(CHAR(34),$AL133,FIND(CHAR(34)&amp;"x",$AL133)+2)-FIND(CHAR(34)&amp;"x",$AL133)-2)),0))</f>
        <v/>
      </c>
      <c r="CH133" s="90">
        <f>IF(OR($A133="",$H133="",$H133="NO LAB"),0,IFERROR(VALUE(LEFT($H133,FIND(" ",$H133)-1)),0))</f>
        <v/>
      </c>
      <c r="CI133" s="91">
        <f>IF(OR($A133="",$I133="",$I133="NON-RATED",N($J133)=0),"",IFERROR(VLOOKUP($I133&amp;"|"&amp;$J133,IBC,2,FALSE),"?"))</f>
        <v/>
      </c>
      <c r="CJ133" s="85">
        <f>IF(NOT(AND($A133&lt;&gt;"",$C133&lt;&gt;"DOOR ONLY")),"",TRIM(IFERROR(VLOOKUP($U133,CODES,2,FALSE),"")&amp;" "&amp;$BG133&amp;" "&amp;IFERROR(VLOOKUP($Z133,CODES,2,FALSE),"")&amp;" "&amp;IFERROR(VLOOKUP($X133,CODES,2,FALSE),"")&amp;" "&amp;IFERROR(VLOOKUP($S133,CODES,2,FALSE),"")&amp;IF(N($P133)&gt;0," w/TRANSOM "&amp;$P133&amp;CHAR(34),"")&amp;IF(N($Q133)&gt;0," w/SIDELITE "&amp;$Q133&amp;CHAR(34)&amp;" "&amp;IF($R133="","R",$R133),"")&amp;IF($Y133="","  |  "," | "&amp;IFERROR(VLOOKUP($Y133,CODES,2,FALSE),"")&amp;" | ")&amp;IFERROR(VLOOKUP($AC133,CODES,2,FALSE),"")&amp;" "&amp;IFERROR(VLOOKUP($AD133,CODES,2,FALSE),"")&amp;IF(OR($AE133="",$AE133="-"),""," "&amp;$AE133)&amp;IF(OR($AF133="",$AF133="-"),""," "&amp;$AF133)&amp;IF($AB133="Y"," 4"&amp;CHAR(34)&amp;" HEAD","")&amp;" "&amp;IFERROR(VLOOKUP($H133,CODES,2,FALSE),"")&amp;IF($CT133," | LOC "&amp;$CY133,"")))</f>
        <v/>
      </c>
      <c r="CK133" s="85">
        <f>IF(NOT(AND($A133&lt;&gt;"",N($BJ133)&gt;0)),"",TRIM(IFERROR(VLOOKUP($AH133,CODES,2,FALSE),"")&amp;IF($AI133=""," "," "&amp;$AI133&amp;"GA ")&amp;$BG133&amp;" "&amp;IF($AN133="",IFERROR(VLOOKUP($Z133,CODES,2,FALSE),""),IFERROR(VLOOKUP($AN133,CODES,2,FALSE),""))&amp;IF($BJ133=2," PAIR","")&amp;" DOOR | "&amp;IF($AL133="","?",$AL133)&amp;" | "&amp;IF($AO133="",IFERROR(VLOOKUP($AC133,CODES,2,FALSE),""),IFERROR(VLOOKUP($AO133,CODES,2,FALSE),""))&amp;" "&amp;IFERROR(VLOOKUP($AP133,CODES,2,FALSE),"")&amp;IF(OR($AQ133="",$AQ133="-"),""," SEAM "&amp;$AQ133)&amp;IF($AR133="Y"," ASTRAGAL","")&amp;IF($AJ133=""," "," "&amp;$AJ133)&amp;IF($AK133=""," "," "&amp;$AK133)&amp;IF(OR($AT133="",$AT133="ANSI/SDI",$AT133="CUSTOM LOC"),""," "&amp;$AT133)&amp;IF($AM133=""," "," SERIES "&amp;$AM133)&amp;" "&amp;IFERROR(VLOOKUP($H133,CODES,2,FALSE),"")&amp;IF($CT133," | LOC "&amp;$CZ133,"")))</f>
        <v/>
      </c>
      <c r="CL133" s="84">
        <f>IF(CP133="","",IF(COUNTIF($CP$6:CP133,CP133)=1,MAX($CL$5:CL132)+1,INDEX($CL$5:CL132,MATCH(CP133,$CP$5:CP132,0))))</f>
        <v/>
      </c>
      <c r="CM133" s="84">
        <f>IF(NOT(AND($A133&lt;&gt;"",$C133&lt;&gt;"DOOR ONLY")),"",MAX($CM$5:CM132)+1)</f>
        <v/>
      </c>
      <c r="CN133" s="84">
        <f>IF(NOT(AND($A133&lt;&gt;"",N($BJ133)&gt;0)),"",MAX($CN$5:CN132)+1)</f>
        <v/>
      </c>
      <c r="CO133" s="84">
        <f>IF($A133="","",MAX($CO$5:CO132)+1)</f>
        <v/>
      </c>
      <c r="CP133" s="84">
        <f>IF(OR($A133="",$BH133="",$BI133=""),"",$BG133&amp;"|"&amp;$O133&amp;"|"&amp;$AL133&amp;"|"&amp;$S133&amp;"|"&amp;$P133&amp;"|"&amp;$Q133&amp;$R133&amp;"|"&amp;$C133&amp;"|"&amp;$AB133)</f>
        <v/>
      </c>
      <c r="CQ133" s="84">
        <f>N($BS133)</f>
        <v/>
      </c>
      <c r="CR133" s="84">
        <f>IF(N($AU133)&gt;0,N($AU133),4.5)</f>
        <v/>
      </c>
      <c r="CS133" s="84">
        <f>OR($A133="",$BI133="",$S133="BL",AND($C133="FRAME ONLY",OR($AC133="",$AC133="BLK")))</f>
        <v/>
      </c>
      <c r="CT133" s="84">
        <f>AND(NOT($CS133),OR($AT133="CUSTOM LOC",N($AW133)+N($AX133)+N($AY133)+N($AZ133)+N($BA133)&gt;0))</f>
        <v/>
      </c>
      <c r="CU133" s="84">
        <f>IF($BI133="","",IF($BI133&lt;=80,80,IF($BI133&lt;=84,84,96)))</f>
        <v/>
      </c>
      <c r="CV133" s="84">
        <f>ISNUMBER(MATCH($AT133&amp;"|80",LocKeys,0))</f>
        <v/>
      </c>
      <c r="CW133" s="86">
        <f>IF($CS133,"",IF($CV133,VLOOKUP($AT133&amp;"|"&amp;$CU133,LocTable,4,FALSE),5))</f>
        <v/>
      </c>
      <c r="CX133" s="86">
        <f>IF($CS133,"",IF($CV133,IF(OR($BI133=$CU133,AND($BI133&lt;$CU133,$BI133-IF(N(VLOOKUP($AT133&amp;"|"&amp;$CU133,LocTable,7,FALSE))&gt;0,VLOOKUP($AT133&amp;"|"&amp;$CU133,LocTable,7,FALSE),VLOOKUP($AT133&amp;"|"&amp;$CU133,LocTable,6,FALSE))-$CR133-0.75&gt;=2.125)),IF(N(VLOOKUP($AT133&amp;"|"&amp;$CU133,LocTable,7,FALSE))&gt;0,VLOOKUP($AT133&amp;"|"&amp;$CU133,LocTable,7,FALSE),VLOOKUP($AT133&amp;"|"&amp;$CU133,LocTable,6,FALSE)),$BI133-($CU133-IF(N(VLOOKUP($AT133&amp;"|"&amp;$CU133,LocTable,7,FALSE))&gt;0,VLOOKUP($AT133&amp;"|"&amp;$CU133,LocTable,7,FALSE),VLOOKUP($AT133&amp;"|"&amp;$CU133,LocTable,6,FALSE)))),$BI133-10-$CR133))</f>
        <v/>
      </c>
      <c r="CY133" s="85">
        <f>IF($CS133,"",TRIM(IF(ISNUMBER($BU133),"A "&amp;TRIM(TEXT($BU133,"# ?/??"))&amp;CHAR(34)&amp;"  ","")&amp;IF(ISNUMBER($BV133),"B "&amp;TRIM(TEXT($BV133,"# ?/??"))&amp;CHAR(34)&amp;"  ","")&amp;IF(ISNUMBER($BW133),"C "&amp;TRIM(TEXT($BW133,"# ?/??"))&amp;CHAR(34)&amp;"  ","")&amp;IF(ISNUMBER($BX133),"D "&amp;TRIM(TEXT($BX133,"# ?/??"))&amp;CHAR(34)&amp;"  ","")&amp;IF(ISNUMBER($BY133),"F "&amp;TRIM(TEXT($BY133,"# ?/??"))&amp;CHAR(34)&amp;"  ","")&amp;IF(ISNUMBER($BZ133),"E "&amp;TRIM(TEXT($BZ133,"# ?/??"))&amp;CHAR(34)&amp;"  ","")))</f>
        <v/>
      </c>
      <c r="CZ133" s="85">
        <f>IF(OR($CS133,N($BJ133)=0),"",TRIM(IF(ISNUMBER($BU133),"A "&amp;TRIM(TEXT($BU133-HeadClr,"# ?/??"))&amp;CHAR(34)&amp;"  ","")&amp;IF(ISNUMBER($BV133),"B "&amp;TRIM(TEXT($BV133-HeadClr,"# ?/??"))&amp;CHAR(34)&amp;"  ","")&amp;IF(ISNUMBER($BW133),"C "&amp;TRIM(TEXT($BW133-HeadClr,"# ?/??"))&amp;CHAR(34)&amp;"  ","")&amp;IF(ISNUMBER($BX133),"D "&amp;TRIM(TEXT($BX133-HeadClr,"# ?/??"))&amp;CHAR(34)&amp;"  ","")&amp;IF(ISNUMBER($BY133),"F "&amp;TRIM(TEXT($BY133-HeadClr,"# ?/??"))&amp;CHAR(34)&amp;"  ","")&amp;IF(ISNUMBER($BZ133),"E "&amp;TRIM(TEXT($BZ133-HeadClr,"# ?/??"))&amp;CHAR(34)&amp;"  ","")))</f>
        <v/>
      </c>
      <c r="DA133" s="84">
        <f>IF($A133="","",IF($AN133="",IFERROR(VLOOKUP($Z133,CODES,2,FALSE),""),IFERROR(VLOOKUP($AN133,CODES,2,FALSE),"")))</f>
        <v/>
      </c>
      <c r="DB133" s="84">
        <f>IF($A133="","",IF($O133="Y","PR",IF(OR($Z133="L",$Z133="RR",LEFT($Z133,2)="L-",LEFT($Z133,3)="RR-"),"LH","RH")))</f>
        <v/>
      </c>
      <c r="DC133" s="84">
        <f>IF($A133="","","S.HM"&amp;IF(OR($C133="DOOR ONLY",$X133&lt;&gt;"KD"),"MASONRY","DRYWALL")&amp;IF($C133="DOOR ONLY","",$U133)&amp;IF(AND($C133&lt;&gt;"FRAME ONLY",OR(LEFT($AH133,3)="OAK",LEFT($AH133,3)="BIR",LEFT($AH133,3)="MAP",$AH133="PC",$AH133="MC",$AH133="SCLC",$AH133="P-LAM")),"WD","HM")&amp;"1.75")</f>
        <v/>
      </c>
      <c r="DD133" s="84">
        <f>IF($CJ133="","",IF($O133="Y",$CJ133,SUBSTITUTE($CJ133,$BG133&amp;" "&amp;IFERROR(VLOOKUP($Z133,CODES,2,FALSE),"")&amp;" ",$BG133&amp;" ")))</f>
        <v/>
      </c>
      <c r="DE133" s="84">
        <f>IF($CK133="","",IF($O133="Y",$CK133,SUBSTITUTE($CK133,$BG133&amp;" "&amp;IF($AN133="",IFERROR(VLOOKUP($Z133,CODES,2,FALSE),""),IFERROR(VLOOKUP($AN133,CODES,2,FALSE),""))&amp;" ",$BG133&amp;" ")))</f>
        <v/>
      </c>
      <c r="DF133" s="84">
        <f>IF($CJ133="","",$DC133&amp;"|"&amp;$DD133&amp;"|"&amp;$DB133&amp;"|"&amp;$AT133&amp;"|"&amp;$V133&amp;"|"&amp;$Y133&amp;"|"&amp;$AB133)</f>
        <v/>
      </c>
      <c r="DG133" s="84">
        <f>IF(DF133="","",IF(COUNTIF($DF$6:DF133,DF133)=1,MAX($DG$5:DG132)+1,INDEX($DG$5:DG132,MATCH(DF133,$DF$5:DF132,0))))</f>
        <v/>
      </c>
      <c r="DH133" s="84">
        <f>IF($CK133="","",$DC133&amp;"|"&amp;$DE133&amp;"|"&amp;$AI133&amp;"|"&amp;$BK133&amp;"|"&amp;$BL133)</f>
        <v/>
      </c>
      <c r="DI133" s="84">
        <f>IF(DH133="","",IF(COUNTIF($DH$6:DH133,DH133)=1,MAX($DI$5:DI132)+1,INDEX($DI$5:DI132,MATCH(DH133,$DH$5:DH132,0))))</f>
        <v/>
      </c>
      <c r="DJ133" s="84">
        <f>IF($A133="","",IF($B133="","qty, ","")&amp;IF($C133="","scope, ","")&amp;IF(OR($K133="",$M133=""),"size, ","")&amp;IF(AND($A133&lt;&gt;"",$C133&lt;&gt;"DOOR ONLY"),IF($U133="","jamb depth, ","")&amp;IF($X133="","construction, ","")&amp;IF($Y133="","anchor, ","")&amp;IF($S133="","frame type, ",""),"")&amp;IF(AND(N($BJ133)&gt;0,$Z133=""),"hand, ","")&amp;IF(N($BJ133)&gt;0,IF($AH133="","door material, ","")&amp;IF($AL133="","face type, ","")&amp;IF($AP133="","lock prep, ","")&amp;IF(AND($AO133="",$AC133=""),"hinge prep, ",""),"")&amp;IF(AND($CH133&gt;0,$AH133="FRP"),"FRP cannot carry a label, ","")&amp;IF(AND($O133="Y",OR($Z133="L",$Z133="R",$Z133="LR",$Z133="RR")),"pair marked but hand is single, ","")&amp;IF(AND($O133&lt;&gt;"Y",OR($Z133="PR",AND(LEN($Z133)&gt;1,ISNUMBER(SEARCH("-",$Z133))))),"pair hand on a single door, ","")&amp;IF(AND(ISNUMBER($CI133),$CH133&lt;N($CI133)),"wall needs a "&amp;$CI133&amp;" min door, ","")&amp;IF(AND($CH133&gt;=180,AND(OR($CE133="FG",$CE133="HG",$CE133="FNV",$CE133="FV"),N($CF133)*N($CG133)&gt;100)),"180 min lite over 100 sq in, ","")&amp;IF(N($BK133)&gt;48,"leaf wider than 4'-0"&amp;CHAR(34)&amp;", ","")&amp;IF(AND($CT133,COUNT($AW133:$AZ133)=0,$CQ133&gt;0),"CUSTOM LOC with no locations typed, ",""))</f>
        <v/>
      </c>
      <c r="DK133" s="84">
        <f>IF($A133="","",IF(AND($CH133&gt;0,AND($A133&lt;&gt;"",$C133&lt;&gt;"DOOR ONLY"),$X133="KD",$E133="EXTERIOR"),"KD label on an exterior opening, ","")&amp;IF(AND($E133="EXTERIOR",OR(AND(AND($A133&lt;&gt;"",$C133&lt;&gt;"DOOR ONLY"),$W133="CR"),AND(N($BJ133)&gt;0,$AH133="CR"))),"exterior in CR steel (G9?), ","")&amp;IF(AND(ISNUMBER($BQ133),N($BQ133)&lt;32),"clear width ~"&amp;TEXT($BQ133,"0.0")&amp;CHAR(34)&amp;" under 32"&amp;CHAR(34)&amp;" (ADA), ","")&amp;IF(AND($CH133=90,AND(OR($CE133="FG",$CE133="HG",$CE133="FNV",$CE133="FV"),N($CF133)*N($CG133)&gt;100)),"90 min lite over 100 sq in (stair/exit), ","")&amp;IF(AND($CH133&gt;0,AND($A133&lt;&gt;"",$C133&lt;&gt;"DOOR ONLY"),OR($AF133="",$AF133="-")),"rated: closer reinf.?, ","")&amp;IF(OR($I133="CORRIDOR",$I133="SMOKE BARRIER"),"S label + smoke gasketing, ","")&amp;IF($CI133="?","wall type/hr not in IBC table, ","")&amp;IF(AND(N($BJ133)&gt;0,$BB133=""),"no hardware set, ","")&amp;IF(AND($BB133&lt;&gt;"",ISNA(MATCH($BB133&amp;"",HWSets,0))),"set "&amp;$BB133&amp;" not on HW Sets, ","")&amp;IF(N($BL133)&gt;96,"leaf over 8'-0"&amp;CHAR(34)&amp;" - check listing, ","")&amp;IF(AND($CT133,COUNT($AW133:$AZ133)&gt;0,COUNT($AW133:$AZ133)&lt;&gt;$CQ133),COUNT($AW133:$AZ133)&amp;" custom hinges typed, "&amp;$CQ133&amp;" expected, ","")&amp;IF(AND(ISNUMBER($CA133),OR(N($CA133)&lt;34,N($CA133)&gt;48)),"lock "&amp;TEXT($CA133,"0.0")&amp;CHAR(34)&amp;" AFF outside 34-48"&amp;CHAR(34)&amp;" (ADA), ","")&amp;IF(AND(ISNUMBER($AV133),ISNUMBER($BL133),N($AV133)&lt;IF(N($BL133)&lt;=60,2,IF(N($BL133)&lt;=90,3,IF(N($BL133)&lt;=120,4,5)))),"fewer hinges than standard, ",""))</f>
        <v/>
      </c>
    </row>
    <row r="134" ht="15" customHeight="1">
      <c r="A134" s="77" t="n"/>
      <c r="B134" s="78" t="n"/>
      <c r="C134" s="78" t="n"/>
      <c r="D134" s="78" t="n"/>
      <c r="E134" s="78" t="n"/>
      <c r="F134" s="78" t="n"/>
      <c r="G134" s="78" t="n"/>
      <c r="H134" s="78" t="n"/>
      <c r="I134" s="78" t="n"/>
      <c r="J134" s="78" t="n"/>
      <c r="K134" s="78" t="n"/>
      <c r="L134" s="78" t="n"/>
      <c r="M134" s="78" t="n"/>
      <c r="N134" s="78" t="n"/>
      <c r="O134" s="78" t="n"/>
      <c r="P134" s="78" t="n"/>
      <c r="Q134" s="78" t="n"/>
      <c r="R134" s="78" t="n"/>
      <c r="S134" s="79" t="n"/>
      <c r="T134" s="79" t="n"/>
      <c r="U134" s="79" t="n"/>
      <c r="V134" s="79" t="n"/>
      <c r="W134" s="79" t="n"/>
      <c r="X134" s="79" t="n"/>
      <c r="Y134" s="79" t="n"/>
      <c r="Z134" s="79" t="n"/>
      <c r="AA134" s="79" t="n"/>
      <c r="AB134" s="79" t="n"/>
      <c r="AC134" s="79" t="n"/>
      <c r="AD134" s="79" t="n"/>
      <c r="AE134" s="79" t="n"/>
      <c r="AF134" s="79" t="n"/>
      <c r="AG134" s="79" t="n"/>
      <c r="AH134" s="80" t="n"/>
      <c r="AI134" s="80" t="n"/>
      <c r="AJ134" s="80" t="n"/>
      <c r="AK134" s="80" t="n"/>
      <c r="AL134" s="80" t="n"/>
      <c r="AM134" s="80" t="n"/>
      <c r="AN134" s="80" t="n"/>
      <c r="AO134" s="80" t="n"/>
      <c r="AP134" s="80" t="n"/>
      <c r="AQ134" s="80" t="n"/>
      <c r="AR134" s="80" t="n"/>
      <c r="AS134" s="80" t="n"/>
      <c r="AT134" s="81" t="n"/>
      <c r="AU134" s="81" t="n"/>
      <c r="AV134" s="81" t="n"/>
      <c r="AW134" s="82" t="n"/>
      <c r="AX134" s="82" t="n"/>
      <c r="AY134" s="82" t="n"/>
      <c r="AZ134" s="82" t="n"/>
      <c r="BA134" s="82" t="n"/>
      <c r="BB134" s="83" t="n"/>
      <c r="BC134" s="83" t="n"/>
      <c r="BD134" s="84">
        <f>IF($A134="","",IF($DJ134&lt;&gt;"","FIX",IF($DK134&lt;&gt;"","CHECK","OK")))</f>
        <v/>
      </c>
      <c r="BE134" s="85">
        <f>IF($A134="","",IF($DJ134&lt;&gt;"","FIX: "&amp;LEFT($DJ134,LEN($DJ134)-2)&amp;IF($DK134&lt;&gt;"","  ·  ",""),"")&amp;IF($DK134&lt;&gt;"","CHECK: "&amp;LEFT($DK134,LEN($DK134)-2),""))</f>
        <v/>
      </c>
      <c r="BF134" s="84">
        <f>IF(OR($A134="",$K134=""),"",$K134&amp;"'-"&amp;N($L134)&amp;CHAR(34)&amp;" x "&amp;$M134&amp;"'-"&amp;N($N134)&amp;CHAR(34))</f>
        <v/>
      </c>
      <c r="BG134" s="84">
        <f>IF(OR($A134="",$K134=""),"",$K134&amp;N($L134)&amp;$M134&amp;N($N134))</f>
        <v/>
      </c>
      <c r="BH134" s="84">
        <f>IF(OR($A134="",$K134=""),"",$K134*12+N($L134))</f>
        <v/>
      </c>
      <c r="BI134" s="84">
        <f>IF(OR($A134="",$M134=""),"",$M134*12+N($N134))</f>
        <v/>
      </c>
      <c r="BJ134" s="84">
        <f>IF($A134="","",IF(OR($C134="FRAME ONLY",$S134="BL"),0,IF($O134="Y",2,1)))</f>
        <v/>
      </c>
      <c r="BK134" s="86">
        <f>IF(OR(N($BJ134)=0,$BH134=""),"",($BH134-2*EdgeClr-IF($BJ134=2,MeetClr,0))/$BJ134)</f>
        <v/>
      </c>
      <c r="BL134" s="86">
        <f>IF(OR(N($BJ134)=0,$BI134=""),"",$BI134-HeadClr-Undercut)</f>
        <v/>
      </c>
      <c r="BM134" s="86">
        <f>IF($BH134="","",$BH134+2*FaceW+IF(N($Q134)&gt;0,($Q134+FaceW)*IF($R134="LR",2,1),0))</f>
        <v/>
      </c>
      <c r="BN134" s="86">
        <f>IF($BI134="","",$BI134+IF($AB134="Y",4,FaceW)+IF(N($P134)&gt;0,$P134+FaceW,0)+IF(OR($S134="4F",$S134="BL"),FaceW,0))</f>
        <v/>
      </c>
      <c r="BO134" s="86">
        <f>IF($BM134="","",$BM134+2*ROSide)</f>
        <v/>
      </c>
      <c r="BP134" s="86">
        <f>IF($BN134="","",$BN134+ROTop)</f>
        <v/>
      </c>
      <c r="BQ134" s="87">
        <f>IF(OR(N($BJ134)=0,$BH134=""),"",$BH134/$BJ134-ClearDeduct)</f>
        <v/>
      </c>
      <c r="BR134" s="84">
        <f>IF(N($CH134)=0,"",IF($CH134&gt;=180,"A · 3 HR",IF($CH134&gt;=90,"B · 1-1/2 HR",IF($CH134&gt;=60,"B · 1 HR",IF($CH134&gt;=45,"C · 3/4 HR","20 MIN")))))&amp;IF(AND(N($CH134)&gt;0,OR($I134="CORRIDOR",$I134="SMOKE BARRIER"))," · S","")</f>
        <v/>
      </c>
      <c r="BS134" s="84">
        <f>IF($CS134,"",IF($AV134&lt;&gt;"",$AV134,IF(OR($AC134="HGC",$AO134="HGC"),"CONT",IF(($BI134-HeadClr-Undercut)&lt;=60,2,IF(($BI134-HeadClr-Undercut)&lt;=90,3,IF(($BI134-HeadClr-Undercut)&lt;=120,4,5))))))</f>
        <v/>
      </c>
      <c r="BT134" s="84">
        <f>IF($CS134,"",IF($CT134,"CUSTOM (typed)",IF($CV134,$AT134&amp;" "&amp;$CU134&amp;CHAR(34)&amp;IF($CU134&lt;&gt;$BI134,IF(AND($BI134&lt;$CU134,$BI134-IF(N(VLOOKUP($AT134&amp;"|"&amp;$CU134,LocTable,7,FALSE))&gt;0,VLOOKUP($AT134&amp;"|"&amp;$CU134,LocTable,7,FALSE),VLOOKUP($AT134&amp;"|"&amp;$CU134,LocTable,6,FALSE))-$CR134-0.75&gt;=2.125)," cut down"," adj."),""),"ANSI/SDI A250.6")))</f>
        <v/>
      </c>
      <c r="BU134" s="88">
        <f>IF($CS134,"",IF($CT134,IF(N($AW134)&gt;0,N($AW134),""),IF(1&gt;$CQ134,"",IF($CQ134=1,$CW134,$CW134+($CX134-$CW134)*0/($CQ134-1)))))</f>
        <v/>
      </c>
      <c r="BV134" s="88">
        <f>IF($CS134,"",IF($CT134,IF(N($AX134)&gt;0,N($AX134),""),IF(2&gt;$CQ134,"",IF($CQ134=1,$CW134,$CW134+($CX134-$CW134)*1/($CQ134-1)))))</f>
        <v/>
      </c>
      <c r="BW134" s="88">
        <f>IF($CS134,"",IF($CT134,IF(N($AY134)&gt;0,N($AY134),""),IF(3&gt;$CQ134,"",IF($CQ134=1,$CW134,$CW134+($CX134-$CW134)*2/($CQ134-1)))))</f>
        <v/>
      </c>
      <c r="BX134" s="88">
        <f>IF($CS134,"",IF($CT134,IF(N($AZ134)&gt;0,N($AZ134),""),IF(4&gt;$CQ134,"",IF($CQ134=1,$CW134,$CW134+($CX134-$CW134)*3/($CQ134-1)))))</f>
        <v/>
      </c>
      <c r="BY134" s="88">
        <f>IF($CS134,"",IF($CT134,"",IF(5&gt;$CQ134,"",IF($CQ134=1,$CW134,$CW134+($CX134-$CW134)*4/($CQ134-1)))))</f>
        <v/>
      </c>
      <c r="BZ134" s="88">
        <f>IF(OR($CS134,$AP134="-",AND($AP134="",$AD134="")),"",IF(N($BA134)&gt;0,N($BA134),IF($CV134,IF(AND($BI134&lt;$CU134,$BI134-IF(N(VLOOKUP($AT134&amp;"|"&amp;$CU134,LocTable,7,FALSE))&gt;0,VLOOKUP($AT134&amp;"|"&amp;$CU134,LocTable,7,FALSE),VLOOKUP($AT134&amp;"|"&amp;$CU134,LocTable,6,FALSE))-$CR134-0.75&gt;=2.125),VLOOKUP($AT134&amp;"|"&amp;$CU134,LocTable,8,FALSE),VLOOKUP($AT134&amp;"|"&amp;$CU134,LocTable,8,FALSE)+($BI134-$CU134)),$BI134-LockAFF)))</f>
        <v/>
      </c>
      <c r="CA134" s="89">
        <f>IF($BZ134="","",$BI134-$BZ134)</f>
        <v/>
      </c>
      <c r="CB134" s="84">
        <f>IF(OR(NOT(AND($A134&lt;&gt;"",$C134&lt;&gt;"DOOR ONLY")),$BI134=""),"",IF(($BI134+IF(N($P134)&gt;0,$P134+FaceW,0))&lt;=90,3,IF(($BI134+IF(N($P134)&gt;0,$P134+FaceW,0))&lt;=114,4,5)))</f>
        <v/>
      </c>
      <c r="CC134" s="84">
        <f>IF($CB134="","",$CB134*(2+IF(N($Q134)&gt;0,IF($R134="LR",2,1),0)))</f>
        <v/>
      </c>
      <c r="CD134" s="84">
        <f>IF($CB134="","",(2+IF(N($Q134)&gt;0,IF($R134="LR",2,1),0)))</f>
        <v/>
      </c>
      <c r="CE134" s="84">
        <f>IF(N($BJ134)=0,"",IF(OR($AL134="",$AL134="FLUSH"),"FLUSH",IFERROR(LEFT($AL134,FIND("-",$AL134)-1),LEFT($AL134,2))))</f>
        <v/>
      </c>
      <c r="CF134" s="84">
        <f>IF($CE134="","",IFERROR(VALUE(MID($AL134,FIND("-",$AL134)+1,FIND(CHAR(34)&amp;"x",$AL134)-FIND("-",$AL134)-1)),0))</f>
        <v/>
      </c>
      <c r="CG134" s="84">
        <f>IF($CE134="","",IFERROR(VALUE(MID($AL134,FIND(CHAR(34)&amp;"x",$AL134)+2,FIND(CHAR(34),$AL134,FIND(CHAR(34)&amp;"x",$AL134)+2)-FIND(CHAR(34)&amp;"x",$AL134)-2)),0))</f>
        <v/>
      </c>
      <c r="CH134" s="90">
        <f>IF(OR($A134="",$H134="",$H134="NO LAB"),0,IFERROR(VALUE(LEFT($H134,FIND(" ",$H134)-1)),0))</f>
        <v/>
      </c>
      <c r="CI134" s="91">
        <f>IF(OR($A134="",$I134="",$I134="NON-RATED",N($J134)=0),"",IFERROR(VLOOKUP($I134&amp;"|"&amp;$J134,IBC,2,FALSE),"?"))</f>
        <v/>
      </c>
      <c r="CJ134" s="85">
        <f>IF(NOT(AND($A134&lt;&gt;"",$C134&lt;&gt;"DOOR ONLY")),"",TRIM(IFERROR(VLOOKUP($U134,CODES,2,FALSE),"")&amp;" "&amp;$BG134&amp;" "&amp;IFERROR(VLOOKUP($Z134,CODES,2,FALSE),"")&amp;" "&amp;IFERROR(VLOOKUP($X134,CODES,2,FALSE),"")&amp;" "&amp;IFERROR(VLOOKUP($S134,CODES,2,FALSE),"")&amp;IF(N($P134)&gt;0," w/TRANSOM "&amp;$P134&amp;CHAR(34),"")&amp;IF(N($Q134)&gt;0," w/SIDELITE "&amp;$Q134&amp;CHAR(34)&amp;" "&amp;IF($R134="","R",$R134),"")&amp;IF($Y134="","  |  "," | "&amp;IFERROR(VLOOKUP($Y134,CODES,2,FALSE),"")&amp;" | ")&amp;IFERROR(VLOOKUP($AC134,CODES,2,FALSE),"")&amp;" "&amp;IFERROR(VLOOKUP($AD134,CODES,2,FALSE),"")&amp;IF(OR($AE134="",$AE134="-"),""," "&amp;$AE134)&amp;IF(OR($AF134="",$AF134="-"),""," "&amp;$AF134)&amp;IF($AB134="Y"," 4"&amp;CHAR(34)&amp;" HEAD","")&amp;" "&amp;IFERROR(VLOOKUP($H134,CODES,2,FALSE),"")&amp;IF($CT134," | LOC "&amp;$CY134,"")))</f>
        <v/>
      </c>
      <c r="CK134" s="85">
        <f>IF(NOT(AND($A134&lt;&gt;"",N($BJ134)&gt;0)),"",TRIM(IFERROR(VLOOKUP($AH134,CODES,2,FALSE),"")&amp;IF($AI134=""," "," "&amp;$AI134&amp;"GA ")&amp;$BG134&amp;" "&amp;IF($AN134="",IFERROR(VLOOKUP($Z134,CODES,2,FALSE),""),IFERROR(VLOOKUP($AN134,CODES,2,FALSE),""))&amp;IF($BJ134=2," PAIR","")&amp;" DOOR | "&amp;IF($AL134="","?",$AL134)&amp;" | "&amp;IF($AO134="",IFERROR(VLOOKUP($AC134,CODES,2,FALSE),""),IFERROR(VLOOKUP($AO134,CODES,2,FALSE),""))&amp;" "&amp;IFERROR(VLOOKUP($AP134,CODES,2,FALSE),"")&amp;IF(OR($AQ134="",$AQ134="-"),""," SEAM "&amp;$AQ134)&amp;IF($AR134="Y"," ASTRAGAL","")&amp;IF($AJ134=""," "," "&amp;$AJ134)&amp;IF($AK134=""," "," "&amp;$AK134)&amp;IF(OR($AT134="",$AT134="ANSI/SDI",$AT134="CUSTOM LOC"),""," "&amp;$AT134)&amp;IF($AM134=""," "," SERIES "&amp;$AM134)&amp;" "&amp;IFERROR(VLOOKUP($H134,CODES,2,FALSE),"")&amp;IF($CT134," | LOC "&amp;$CZ134,"")))</f>
        <v/>
      </c>
      <c r="CL134" s="84">
        <f>IF(CP134="","",IF(COUNTIF($CP$6:CP134,CP134)=1,MAX($CL$5:CL133)+1,INDEX($CL$5:CL133,MATCH(CP134,$CP$5:CP133,0))))</f>
        <v/>
      </c>
      <c r="CM134" s="84">
        <f>IF(NOT(AND($A134&lt;&gt;"",$C134&lt;&gt;"DOOR ONLY")),"",MAX($CM$5:CM133)+1)</f>
        <v/>
      </c>
      <c r="CN134" s="84">
        <f>IF(NOT(AND($A134&lt;&gt;"",N($BJ134)&gt;0)),"",MAX($CN$5:CN133)+1)</f>
        <v/>
      </c>
      <c r="CO134" s="84">
        <f>IF($A134="","",MAX($CO$5:CO133)+1)</f>
        <v/>
      </c>
      <c r="CP134" s="84">
        <f>IF(OR($A134="",$BH134="",$BI134=""),"",$BG134&amp;"|"&amp;$O134&amp;"|"&amp;$AL134&amp;"|"&amp;$S134&amp;"|"&amp;$P134&amp;"|"&amp;$Q134&amp;$R134&amp;"|"&amp;$C134&amp;"|"&amp;$AB134)</f>
        <v/>
      </c>
      <c r="CQ134" s="84">
        <f>N($BS134)</f>
        <v/>
      </c>
      <c r="CR134" s="84">
        <f>IF(N($AU134)&gt;0,N($AU134),4.5)</f>
        <v/>
      </c>
      <c r="CS134" s="84">
        <f>OR($A134="",$BI134="",$S134="BL",AND($C134="FRAME ONLY",OR($AC134="",$AC134="BLK")))</f>
        <v/>
      </c>
      <c r="CT134" s="84">
        <f>AND(NOT($CS134),OR($AT134="CUSTOM LOC",N($AW134)+N($AX134)+N($AY134)+N($AZ134)+N($BA134)&gt;0))</f>
        <v/>
      </c>
      <c r="CU134" s="84">
        <f>IF($BI134="","",IF($BI134&lt;=80,80,IF($BI134&lt;=84,84,96)))</f>
        <v/>
      </c>
      <c r="CV134" s="84">
        <f>ISNUMBER(MATCH($AT134&amp;"|80",LocKeys,0))</f>
        <v/>
      </c>
      <c r="CW134" s="86">
        <f>IF($CS134,"",IF($CV134,VLOOKUP($AT134&amp;"|"&amp;$CU134,LocTable,4,FALSE),5))</f>
        <v/>
      </c>
      <c r="CX134" s="86">
        <f>IF($CS134,"",IF($CV134,IF(OR($BI134=$CU134,AND($BI134&lt;$CU134,$BI134-IF(N(VLOOKUP($AT134&amp;"|"&amp;$CU134,LocTable,7,FALSE))&gt;0,VLOOKUP($AT134&amp;"|"&amp;$CU134,LocTable,7,FALSE),VLOOKUP($AT134&amp;"|"&amp;$CU134,LocTable,6,FALSE))-$CR134-0.75&gt;=2.125)),IF(N(VLOOKUP($AT134&amp;"|"&amp;$CU134,LocTable,7,FALSE))&gt;0,VLOOKUP($AT134&amp;"|"&amp;$CU134,LocTable,7,FALSE),VLOOKUP($AT134&amp;"|"&amp;$CU134,LocTable,6,FALSE)),$BI134-($CU134-IF(N(VLOOKUP($AT134&amp;"|"&amp;$CU134,LocTable,7,FALSE))&gt;0,VLOOKUP($AT134&amp;"|"&amp;$CU134,LocTable,7,FALSE),VLOOKUP($AT134&amp;"|"&amp;$CU134,LocTable,6,FALSE)))),$BI134-10-$CR134))</f>
        <v/>
      </c>
      <c r="CY134" s="85">
        <f>IF($CS134,"",TRIM(IF(ISNUMBER($BU134),"A "&amp;TRIM(TEXT($BU134,"# ?/??"))&amp;CHAR(34)&amp;"  ","")&amp;IF(ISNUMBER($BV134),"B "&amp;TRIM(TEXT($BV134,"# ?/??"))&amp;CHAR(34)&amp;"  ","")&amp;IF(ISNUMBER($BW134),"C "&amp;TRIM(TEXT($BW134,"# ?/??"))&amp;CHAR(34)&amp;"  ","")&amp;IF(ISNUMBER($BX134),"D "&amp;TRIM(TEXT($BX134,"# ?/??"))&amp;CHAR(34)&amp;"  ","")&amp;IF(ISNUMBER($BY134),"F "&amp;TRIM(TEXT($BY134,"# ?/??"))&amp;CHAR(34)&amp;"  ","")&amp;IF(ISNUMBER($BZ134),"E "&amp;TRIM(TEXT($BZ134,"# ?/??"))&amp;CHAR(34)&amp;"  ","")))</f>
        <v/>
      </c>
      <c r="CZ134" s="85">
        <f>IF(OR($CS134,N($BJ134)=0),"",TRIM(IF(ISNUMBER($BU134),"A "&amp;TRIM(TEXT($BU134-HeadClr,"# ?/??"))&amp;CHAR(34)&amp;"  ","")&amp;IF(ISNUMBER($BV134),"B "&amp;TRIM(TEXT($BV134-HeadClr,"# ?/??"))&amp;CHAR(34)&amp;"  ","")&amp;IF(ISNUMBER($BW134),"C "&amp;TRIM(TEXT($BW134-HeadClr,"# ?/??"))&amp;CHAR(34)&amp;"  ","")&amp;IF(ISNUMBER($BX134),"D "&amp;TRIM(TEXT($BX134-HeadClr,"# ?/??"))&amp;CHAR(34)&amp;"  ","")&amp;IF(ISNUMBER($BY134),"F "&amp;TRIM(TEXT($BY134-HeadClr,"# ?/??"))&amp;CHAR(34)&amp;"  ","")&amp;IF(ISNUMBER($BZ134),"E "&amp;TRIM(TEXT($BZ134-HeadClr,"# ?/??"))&amp;CHAR(34)&amp;"  ","")))</f>
        <v/>
      </c>
      <c r="DA134" s="84">
        <f>IF($A134="","",IF($AN134="",IFERROR(VLOOKUP($Z134,CODES,2,FALSE),""),IFERROR(VLOOKUP($AN134,CODES,2,FALSE),"")))</f>
        <v/>
      </c>
      <c r="DB134" s="84">
        <f>IF($A134="","",IF($O134="Y","PR",IF(OR($Z134="L",$Z134="RR",LEFT($Z134,2)="L-",LEFT($Z134,3)="RR-"),"LH","RH")))</f>
        <v/>
      </c>
      <c r="DC134" s="84">
        <f>IF($A134="","","S.HM"&amp;IF(OR($C134="DOOR ONLY",$X134&lt;&gt;"KD"),"MASONRY","DRYWALL")&amp;IF($C134="DOOR ONLY","",$U134)&amp;IF(AND($C134&lt;&gt;"FRAME ONLY",OR(LEFT($AH134,3)="OAK",LEFT($AH134,3)="BIR",LEFT($AH134,3)="MAP",$AH134="PC",$AH134="MC",$AH134="SCLC",$AH134="P-LAM")),"WD","HM")&amp;"1.75")</f>
        <v/>
      </c>
      <c r="DD134" s="84">
        <f>IF($CJ134="","",IF($O134="Y",$CJ134,SUBSTITUTE($CJ134,$BG134&amp;" "&amp;IFERROR(VLOOKUP($Z134,CODES,2,FALSE),"")&amp;" ",$BG134&amp;" ")))</f>
        <v/>
      </c>
      <c r="DE134" s="84">
        <f>IF($CK134="","",IF($O134="Y",$CK134,SUBSTITUTE($CK134,$BG134&amp;" "&amp;IF($AN134="",IFERROR(VLOOKUP($Z134,CODES,2,FALSE),""),IFERROR(VLOOKUP($AN134,CODES,2,FALSE),""))&amp;" ",$BG134&amp;" ")))</f>
        <v/>
      </c>
      <c r="DF134" s="84">
        <f>IF($CJ134="","",$DC134&amp;"|"&amp;$DD134&amp;"|"&amp;$DB134&amp;"|"&amp;$AT134&amp;"|"&amp;$V134&amp;"|"&amp;$Y134&amp;"|"&amp;$AB134)</f>
        <v/>
      </c>
      <c r="DG134" s="84">
        <f>IF(DF134="","",IF(COUNTIF($DF$6:DF134,DF134)=1,MAX($DG$5:DG133)+1,INDEX($DG$5:DG133,MATCH(DF134,$DF$5:DF133,0))))</f>
        <v/>
      </c>
      <c r="DH134" s="84">
        <f>IF($CK134="","",$DC134&amp;"|"&amp;$DE134&amp;"|"&amp;$AI134&amp;"|"&amp;$BK134&amp;"|"&amp;$BL134)</f>
        <v/>
      </c>
      <c r="DI134" s="84">
        <f>IF(DH134="","",IF(COUNTIF($DH$6:DH134,DH134)=1,MAX($DI$5:DI133)+1,INDEX($DI$5:DI133,MATCH(DH134,$DH$5:DH133,0))))</f>
        <v/>
      </c>
      <c r="DJ134" s="84">
        <f>IF($A134="","",IF($B134="","qty, ","")&amp;IF($C134="","scope, ","")&amp;IF(OR($K134="",$M134=""),"size, ","")&amp;IF(AND($A134&lt;&gt;"",$C134&lt;&gt;"DOOR ONLY"),IF($U134="","jamb depth, ","")&amp;IF($X134="","construction, ","")&amp;IF($Y134="","anchor, ","")&amp;IF($S134="","frame type, ",""),"")&amp;IF(AND(N($BJ134)&gt;0,$Z134=""),"hand, ","")&amp;IF(N($BJ134)&gt;0,IF($AH134="","door material, ","")&amp;IF($AL134="","face type, ","")&amp;IF($AP134="","lock prep, ","")&amp;IF(AND($AO134="",$AC134=""),"hinge prep, ",""),"")&amp;IF(AND($CH134&gt;0,$AH134="FRP"),"FRP cannot carry a label, ","")&amp;IF(AND($O134="Y",OR($Z134="L",$Z134="R",$Z134="LR",$Z134="RR")),"pair marked but hand is single, ","")&amp;IF(AND($O134&lt;&gt;"Y",OR($Z134="PR",AND(LEN($Z134)&gt;1,ISNUMBER(SEARCH("-",$Z134))))),"pair hand on a single door, ","")&amp;IF(AND(ISNUMBER($CI134),$CH134&lt;N($CI134)),"wall needs a "&amp;$CI134&amp;" min door, ","")&amp;IF(AND($CH134&gt;=180,AND(OR($CE134="FG",$CE134="HG",$CE134="FNV",$CE134="FV"),N($CF134)*N($CG134)&gt;100)),"180 min lite over 100 sq in, ","")&amp;IF(N($BK134)&gt;48,"leaf wider than 4'-0"&amp;CHAR(34)&amp;", ","")&amp;IF(AND($CT134,COUNT($AW134:$AZ134)=0,$CQ134&gt;0),"CUSTOM LOC with no locations typed, ",""))</f>
        <v/>
      </c>
      <c r="DK134" s="84">
        <f>IF($A134="","",IF(AND($CH134&gt;0,AND($A134&lt;&gt;"",$C134&lt;&gt;"DOOR ONLY"),$X134="KD",$E134="EXTERIOR"),"KD label on an exterior opening, ","")&amp;IF(AND($E134="EXTERIOR",OR(AND(AND($A134&lt;&gt;"",$C134&lt;&gt;"DOOR ONLY"),$W134="CR"),AND(N($BJ134)&gt;0,$AH134="CR"))),"exterior in CR steel (G9?), ","")&amp;IF(AND(ISNUMBER($BQ134),N($BQ134)&lt;32),"clear width ~"&amp;TEXT($BQ134,"0.0")&amp;CHAR(34)&amp;" under 32"&amp;CHAR(34)&amp;" (ADA), ","")&amp;IF(AND($CH134=90,AND(OR($CE134="FG",$CE134="HG",$CE134="FNV",$CE134="FV"),N($CF134)*N($CG134)&gt;100)),"90 min lite over 100 sq in (stair/exit), ","")&amp;IF(AND($CH134&gt;0,AND($A134&lt;&gt;"",$C134&lt;&gt;"DOOR ONLY"),OR($AF134="",$AF134="-")),"rated: closer reinf.?, ","")&amp;IF(OR($I134="CORRIDOR",$I134="SMOKE BARRIER"),"S label + smoke gasketing, ","")&amp;IF($CI134="?","wall type/hr not in IBC table, ","")&amp;IF(AND(N($BJ134)&gt;0,$BB134=""),"no hardware set, ","")&amp;IF(AND($BB134&lt;&gt;"",ISNA(MATCH($BB134&amp;"",HWSets,0))),"set "&amp;$BB134&amp;" not on HW Sets, ","")&amp;IF(N($BL134)&gt;96,"leaf over 8'-0"&amp;CHAR(34)&amp;" - check listing, ","")&amp;IF(AND($CT134,COUNT($AW134:$AZ134)&gt;0,COUNT($AW134:$AZ134)&lt;&gt;$CQ134),COUNT($AW134:$AZ134)&amp;" custom hinges typed, "&amp;$CQ134&amp;" expected, ","")&amp;IF(AND(ISNUMBER($CA134),OR(N($CA134)&lt;34,N($CA134)&gt;48)),"lock "&amp;TEXT($CA134,"0.0")&amp;CHAR(34)&amp;" AFF outside 34-48"&amp;CHAR(34)&amp;" (ADA), ","")&amp;IF(AND(ISNUMBER($AV134),ISNUMBER($BL134),N($AV134)&lt;IF(N($BL134)&lt;=60,2,IF(N($BL134)&lt;=90,3,IF(N($BL134)&lt;=120,4,5)))),"fewer hinges than standard, ",""))</f>
        <v/>
      </c>
    </row>
    <row r="135" ht="15" customHeight="1">
      <c r="A135" s="92" t="n"/>
      <c r="B135" s="93" t="n"/>
      <c r="C135" s="93" t="n"/>
      <c r="D135" s="93" t="n"/>
      <c r="E135" s="93" t="n"/>
      <c r="F135" s="93" t="n"/>
      <c r="G135" s="93" t="n"/>
      <c r="H135" s="93" t="n"/>
      <c r="I135" s="93" t="n"/>
      <c r="J135" s="93" t="n"/>
      <c r="K135" s="93" t="n"/>
      <c r="L135" s="93" t="n"/>
      <c r="M135" s="93" t="n"/>
      <c r="N135" s="93" t="n"/>
      <c r="O135" s="93" t="n"/>
      <c r="P135" s="93" t="n"/>
      <c r="Q135" s="93" t="n"/>
      <c r="R135" s="93" t="n"/>
      <c r="S135" s="94" t="n"/>
      <c r="T135" s="94" t="n"/>
      <c r="U135" s="94" t="n"/>
      <c r="V135" s="94" t="n"/>
      <c r="W135" s="94" t="n"/>
      <c r="X135" s="94" t="n"/>
      <c r="Y135" s="94" t="n"/>
      <c r="Z135" s="94" t="n"/>
      <c r="AA135" s="94" t="n"/>
      <c r="AB135" s="94" t="n"/>
      <c r="AC135" s="94" t="n"/>
      <c r="AD135" s="94" t="n"/>
      <c r="AE135" s="94" t="n"/>
      <c r="AF135" s="94" t="n"/>
      <c r="AG135" s="94" t="n"/>
      <c r="AH135" s="95" t="n"/>
      <c r="AI135" s="95" t="n"/>
      <c r="AJ135" s="95" t="n"/>
      <c r="AK135" s="95" t="n"/>
      <c r="AL135" s="95" t="n"/>
      <c r="AM135" s="95" t="n"/>
      <c r="AN135" s="95" t="n"/>
      <c r="AO135" s="95" t="n"/>
      <c r="AP135" s="95" t="n"/>
      <c r="AQ135" s="95" t="n"/>
      <c r="AR135" s="95" t="n"/>
      <c r="AS135" s="95" t="n"/>
      <c r="AT135" s="96" t="n"/>
      <c r="AU135" s="96" t="n"/>
      <c r="AV135" s="96" t="n"/>
      <c r="AW135" s="97" t="n"/>
      <c r="AX135" s="97" t="n"/>
      <c r="AY135" s="97" t="n"/>
      <c r="AZ135" s="97" t="n"/>
      <c r="BA135" s="97" t="n"/>
      <c r="BB135" s="98" t="n"/>
      <c r="BC135" s="98" t="n"/>
      <c r="BD135" s="99">
        <f>IF($A135="","",IF($DJ135&lt;&gt;"","FIX",IF($DK135&lt;&gt;"","CHECK","OK")))</f>
        <v/>
      </c>
      <c r="BE135" s="100">
        <f>IF($A135="","",IF($DJ135&lt;&gt;"","FIX: "&amp;LEFT($DJ135,LEN($DJ135)-2)&amp;IF($DK135&lt;&gt;"","  ·  ",""),"")&amp;IF($DK135&lt;&gt;"","CHECK: "&amp;LEFT($DK135,LEN($DK135)-2),""))</f>
        <v/>
      </c>
      <c r="BF135" s="99">
        <f>IF(OR($A135="",$K135=""),"",$K135&amp;"'-"&amp;N($L135)&amp;CHAR(34)&amp;" x "&amp;$M135&amp;"'-"&amp;N($N135)&amp;CHAR(34))</f>
        <v/>
      </c>
      <c r="BG135" s="99">
        <f>IF(OR($A135="",$K135=""),"",$K135&amp;N($L135)&amp;$M135&amp;N($N135))</f>
        <v/>
      </c>
      <c r="BH135" s="99">
        <f>IF(OR($A135="",$K135=""),"",$K135*12+N($L135))</f>
        <v/>
      </c>
      <c r="BI135" s="99">
        <f>IF(OR($A135="",$M135=""),"",$M135*12+N($N135))</f>
        <v/>
      </c>
      <c r="BJ135" s="99">
        <f>IF($A135="","",IF(OR($C135="FRAME ONLY",$S135="BL"),0,IF($O135="Y",2,1)))</f>
        <v/>
      </c>
      <c r="BK135" s="101">
        <f>IF(OR(N($BJ135)=0,$BH135=""),"",($BH135-2*EdgeClr-IF($BJ135=2,MeetClr,0))/$BJ135)</f>
        <v/>
      </c>
      <c r="BL135" s="101">
        <f>IF(OR(N($BJ135)=0,$BI135=""),"",$BI135-HeadClr-Undercut)</f>
        <v/>
      </c>
      <c r="BM135" s="101">
        <f>IF($BH135="","",$BH135+2*FaceW+IF(N($Q135)&gt;0,($Q135+FaceW)*IF($R135="LR",2,1),0))</f>
        <v/>
      </c>
      <c r="BN135" s="101">
        <f>IF($BI135="","",$BI135+IF($AB135="Y",4,FaceW)+IF(N($P135)&gt;0,$P135+FaceW,0)+IF(OR($S135="4F",$S135="BL"),FaceW,0))</f>
        <v/>
      </c>
      <c r="BO135" s="101">
        <f>IF($BM135="","",$BM135+2*ROSide)</f>
        <v/>
      </c>
      <c r="BP135" s="101">
        <f>IF($BN135="","",$BN135+ROTop)</f>
        <v/>
      </c>
      <c r="BQ135" s="102">
        <f>IF(OR(N($BJ135)=0,$BH135=""),"",$BH135/$BJ135-ClearDeduct)</f>
        <v/>
      </c>
      <c r="BR135" s="99">
        <f>IF(N($CH135)=0,"",IF($CH135&gt;=180,"A · 3 HR",IF($CH135&gt;=90,"B · 1-1/2 HR",IF($CH135&gt;=60,"B · 1 HR",IF($CH135&gt;=45,"C · 3/4 HR","20 MIN")))))&amp;IF(AND(N($CH135)&gt;0,OR($I135="CORRIDOR",$I135="SMOKE BARRIER"))," · S","")</f>
        <v/>
      </c>
      <c r="BS135" s="99">
        <f>IF($CS135,"",IF($AV135&lt;&gt;"",$AV135,IF(OR($AC135="HGC",$AO135="HGC"),"CONT",IF(($BI135-HeadClr-Undercut)&lt;=60,2,IF(($BI135-HeadClr-Undercut)&lt;=90,3,IF(($BI135-HeadClr-Undercut)&lt;=120,4,5))))))</f>
        <v/>
      </c>
      <c r="BT135" s="99">
        <f>IF($CS135,"",IF($CT135,"CUSTOM (typed)",IF($CV135,$AT135&amp;" "&amp;$CU135&amp;CHAR(34)&amp;IF($CU135&lt;&gt;$BI135,IF(AND($BI135&lt;$CU135,$BI135-IF(N(VLOOKUP($AT135&amp;"|"&amp;$CU135,LocTable,7,FALSE))&gt;0,VLOOKUP($AT135&amp;"|"&amp;$CU135,LocTable,7,FALSE),VLOOKUP($AT135&amp;"|"&amp;$CU135,LocTable,6,FALSE))-$CR135-0.75&gt;=2.125)," cut down"," adj."),""),"ANSI/SDI A250.6")))</f>
        <v/>
      </c>
      <c r="BU135" s="103">
        <f>IF($CS135,"",IF($CT135,IF(N($AW135)&gt;0,N($AW135),""),IF(1&gt;$CQ135,"",IF($CQ135=1,$CW135,$CW135+($CX135-$CW135)*0/($CQ135-1)))))</f>
        <v/>
      </c>
      <c r="BV135" s="103">
        <f>IF($CS135,"",IF($CT135,IF(N($AX135)&gt;0,N($AX135),""),IF(2&gt;$CQ135,"",IF($CQ135=1,$CW135,$CW135+($CX135-$CW135)*1/($CQ135-1)))))</f>
        <v/>
      </c>
      <c r="BW135" s="103">
        <f>IF($CS135,"",IF($CT135,IF(N($AY135)&gt;0,N($AY135),""),IF(3&gt;$CQ135,"",IF($CQ135=1,$CW135,$CW135+($CX135-$CW135)*2/($CQ135-1)))))</f>
        <v/>
      </c>
      <c r="BX135" s="103">
        <f>IF($CS135,"",IF($CT135,IF(N($AZ135)&gt;0,N($AZ135),""),IF(4&gt;$CQ135,"",IF($CQ135=1,$CW135,$CW135+($CX135-$CW135)*3/($CQ135-1)))))</f>
        <v/>
      </c>
      <c r="BY135" s="103">
        <f>IF($CS135,"",IF($CT135,"",IF(5&gt;$CQ135,"",IF($CQ135=1,$CW135,$CW135+($CX135-$CW135)*4/($CQ135-1)))))</f>
        <v/>
      </c>
      <c r="BZ135" s="103">
        <f>IF(OR($CS135,$AP135="-",AND($AP135="",$AD135="")),"",IF(N($BA135)&gt;0,N($BA135),IF($CV135,IF(AND($BI135&lt;$CU135,$BI135-IF(N(VLOOKUP($AT135&amp;"|"&amp;$CU135,LocTable,7,FALSE))&gt;0,VLOOKUP($AT135&amp;"|"&amp;$CU135,LocTable,7,FALSE),VLOOKUP($AT135&amp;"|"&amp;$CU135,LocTable,6,FALSE))-$CR135-0.75&gt;=2.125),VLOOKUP($AT135&amp;"|"&amp;$CU135,LocTable,8,FALSE),VLOOKUP($AT135&amp;"|"&amp;$CU135,LocTable,8,FALSE)+($BI135-$CU135)),$BI135-LockAFF)))</f>
        <v/>
      </c>
      <c r="CA135" s="104">
        <f>IF($BZ135="","",$BI135-$BZ135)</f>
        <v/>
      </c>
      <c r="CB135" s="99">
        <f>IF(OR(NOT(AND($A135&lt;&gt;"",$C135&lt;&gt;"DOOR ONLY")),$BI135=""),"",IF(($BI135+IF(N($P135)&gt;0,$P135+FaceW,0))&lt;=90,3,IF(($BI135+IF(N($P135)&gt;0,$P135+FaceW,0))&lt;=114,4,5)))</f>
        <v/>
      </c>
      <c r="CC135" s="99">
        <f>IF($CB135="","",$CB135*(2+IF(N($Q135)&gt;0,IF($R135="LR",2,1),0)))</f>
        <v/>
      </c>
      <c r="CD135" s="99">
        <f>IF($CB135="","",(2+IF(N($Q135)&gt;0,IF($R135="LR",2,1),0)))</f>
        <v/>
      </c>
      <c r="CE135" s="99">
        <f>IF(N($BJ135)=0,"",IF(OR($AL135="",$AL135="FLUSH"),"FLUSH",IFERROR(LEFT($AL135,FIND("-",$AL135)-1),LEFT($AL135,2))))</f>
        <v/>
      </c>
      <c r="CF135" s="99">
        <f>IF($CE135="","",IFERROR(VALUE(MID($AL135,FIND("-",$AL135)+1,FIND(CHAR(34)&amp;"x",$AL135)-FIND("-",$AL135)-1)),0))</f>
        <v/>
      </c>
      <c r="CG135" s="99">
        <f>IF($CE135="","",IFERROR(VALUE(MID($AL135,FIND(CHAR(34)&amp;"x",$AL135)+2,FIND(CHAR(34),$AL135,FIND(CHAR(34)&amp;"x",$AL135)+2)-FIND(CHAR(34)&amp;"x",$AL135)-2)),0))</f>
        <v/>
      </c>
      <c r="CH135" s="105">
        <f>IF(OR($A135="",$H135="",$H135="NO LAB"),0,IFERROR(VALUE(LEFT($H135,FIND(" ",$H135)-1)),0))</f>
        <v/>
      </c>
      <c r="CI135" s="106">
        <f>IF(OR($A135="",$I135="",$I135="NON-RATED",N($J135)=0),"",IFERROR(VLOOKUP($I135&amp;"|"&amp;$J135,IBC,2,FALSE),"?"))</f>
        <v/>
      </c>
      <c r="CJ135" s="100">
        <f>IF(NOT(AND($A135&lt;&gt;"",$C135&lt;&gt;"DOOR ONLY")),"",TRIM(IFERROR(VLOOKUP($U135,CODES,2,FALSE),"")&amp;" "&amp;$BG135&amp;" "&amp;IFERROR(VLOOKUP($Z135,CODES,2,FALSE),"")&amp;" "&amp;IFERROR(VLOOKUP($X135,CODES,2,FALSE),"")&amp;" "&amp;IFERROR(VLOOKUP($S135,CODES,2,FALSE),"")&amp;IF(N($P135)&gt;0," w/TRANSOM "&amp;$P135&amp;CHAR(34),"")&amp;IF(N($Q135)&gt;0," w/SIDELITE "&amp;$Q135&amp;CHAR(34)&amp;" "&amp;IF($R135="","R",$R135),"")&amp;IF($Y135="","  |  "," | "&amp;IFERROR(VLOOKUP($Y135,CODES,2,FALSE),"")&amp;" | ")&amp;IFERROR(VLOOKUP($AC135,CODES,2,FALSE),"")&amp;" "&amp;IFERROR(VLOOKUP($AD135,CODES,2,FALSE),"")&amp;IF(OR($AE135="",$AE135="-"),""," "&amp;$AE135)&amp;IF(OR($AF135="",$AF135="-"),""," "&amp;$AF135)&amp;IF($AB135="Y"," 4"&amp;CHAR(34)&amp;" HEAD","")&amp;" "&amp;IFERROR(VLOOKUP($H135,CODES,2,FALSE),"")&amp;IF($CT135," | LOC "&amp;$CY135,"")))</f>
        <v/>
      </c>
      <c r="CK135" s="100">
        <f>IF(NOT(AND($A135&lt;&gt;"",N($BJ135)&gt;0)),"",TRIM(IFERROR(VLOOKUP($AH135,CODES,2,FALSE),"")&amp;IF($AI135=""," "," "&amp;$AI135&amp;"GA ")&amp;$BG135&amp;" "&amp;IF($AN135="",IFERROR(VLOOKUP($Z135,CODES,2,FALSE),""),IFERROR(VLOOKUP($AN135,CODES,2,FALSE),""))&amp;IF($BJ135=2," PAIR","")&amp;" DOOR | "&amp;IF($AL135="","?",$AL135)&amp;" | "&amp;IF($AO135="",IFERROR(VLOOKUP($AC135,CODES,2,FALSE),""),IFERROR(VLOOKUP($AO135,CODES,2,FALSE),""))&amp;" "&amp;IFERROR(VLOOKUP($AP135,CODES,2,FALSE),"")&amp;IF(OR($AQ135="",$AQ135="-"),""," SEAM "&amp;$AQ135)&amp;IF($AR135="Y"," ASTRAGAL","")&amp;IF($AJ135=""," "," "&amp;$AJ135)&amp;IF($AK135=""," "," "&amp;$AK135)&amp;IF(OR($AT135="",$AT135="ANSI/SDI",$AT135="CUSTOM LOC"),""," "&amp;$AT135)&amp;IF($AM135=""," "," SERIES "&amp;$AM135)&amp;" "&amp;IFERROR(VLOOKUP($H135,CODES,2,FALSE),"")&amp;IF($CT135," | LOC "&amp;$CZ135,"")))</f>
        <v/>
      </c>
      <c r="CL135" s="99">
        <f>IF(CP135="","",IF(COUNTIF($CP$6:CP135,CP135)=1,MAX($CL$5:CL134)+1,INDEX($CL$5:CL134,MATCH(CP135,$CP$5:CP134,0))))</f>
        <v/>
      </c>
      <c r="CM135" s="99">
        <f>IF(NOT(AND($A135&lt;&gt;"",$C135&lt;&gt;"DOOR ONLY")),"",MAX($CM$5:CM134)+1)</f>
        <v/>
      </c>
      <c r="CN135" s="99">
        <f>IF(NOT(AND($A135&lt;&gt;"",N($BJ135)&gt;0)),"",MAX($CN$5:CN134)+1)</f>
        <v/>
      </c>
      <c r="CO135" s="99">
        <f>IF($A135="","",MAX($CO$5:CO134)+1)</f>
        <v/>
      </c>
      <c r="CP135" s="99">
        <f>IF(OR($A135="",$BH135="",$BI135=""),"",$BG135&amp;"|"&amp;$O135&amp;"|"&amp;$AL135&amp;"|"&amp;$S135&amp;"|"&amp;$P135&amp;"|"&amp;$Q135&amp;$R135&amp;"|"&amp;$C135&amp;"|"&amp;$AB135)</f>
        <v/>
      </c>
      <c r="CQ135" s="99">
        <f>N($BS135)</f>
        <v/>
      </c>
      <c r="CR135" s="99">
        <f>IF(N($AU135)&gt;0,N($AU135),4.5)</f>
        <v/>
      </c>
      <c r="CS135" s="99">
        <f>OR($A135="",$BI135="",$S135="BL",AND($C135="FRAME ONLY",OR($AC135="",$AC135="BLK")))</f>
        <v/>
      </c>
      <c r="CT135" s="99">
        <f>AND(NOT($CS135),OR($AT135="CUSTOM LOC",N($AW135)+N($AX135)+N($AY135)+N($AZ135)+N($BA135)&gt;0))</f>
        <v/>
      </c>
      <c r="CU135" s="99">
        <f>IF($BI135="","",IF($BI135&lt;=80,80,IF($BI135&lt;=84,84,96)))</f>
        <v/>
      </c>
      <c r="CV135" s="99">
        <f>ISNUMBER(MATCH($AT135&amp;"|80",LocKeys,0))</f>
        <v/>
      </c>
      <c r="CW135" s="101">
        <f>IF($CS135,"",IF($CV135,VLOOKUP($AT135&amp;"|"&amp;$CU135,LocTable,4,FALSE),5))</f>
        <v/>
      </c>
      <c r="CX135" s="101">
        <f>IF($CS135,"",IF($CV135,IF(OR($BI135=$CU135,AND($BI135&lt;$CU135,$BI135-IF(N(VLOOKUP($AT135&amp;"|"&amp;$CU135,LocTable,7,FALSE))&gt;0,VLOOKUP($AT135&amp;"|"&amp;$CU135,LocTable,7,FALSE),VLOOKUP($AT135&amp;"|"&amp;$CU135,LocTable,6,FALSE))-$CR135-0.75&gt;=2.125)),IF(N(VLOOKUP($AT135&amp;"|"&amp;$CU135,LocTable,7,FALSE))&gt;0,VLOOKUP($AT135&amp;"|"&amp;$CU135,LocTable,7,FALSE),VLOOKUP($AT135&amp;"|"&amp;$CU135,LocTable,6,FALSE)),$BI135-($CU135-IF(N(VLOOKUP($AT135&amp;"|"&amp;$CU135,LocTable,7,FALSE))&gt;0,VLOOKUP($AT135&amp;"|"&amp;$CU135,LocTable,7,FALSE),VLOOKUP($AT135&amp;"|"&amp;$CU135,LocTable,6,FALSE)))),$BI135-10-$CR135))</f>
        <v/>
      </c>
      <c r="CY135" s="100">
        <f>IF($CS135,"",TRIM(IF(ISNUMBER($BU135),"A "&amp;TRIM(TEXT($BU135,"# ?/??"))&amp;CHAR(34)&amp;"  ","")&amp;IF(ISNUMBER($BV135),"B "&amp;TRIM(TEXT($BV135,"# ?/??"))&amp;CHAR(34)&amp;"  ","")&amp;IF(ISNUMBER($BW135),"C "&amp;TRIM(TEXT($BW135,"# ?/??"))&amp;CHAR(34)&amp;"  ","")&amp;IF(ISNUMBER($BX135),"D "&amp;TRIM(TEXT($BX135,"# ?/??"))&amp;CHAR(34)&amp;"  ","")&amp;IF(ISNUMBER($BY135),"F "&amp;TRIM(TEXT($BY135,"# ?/??"))&amp;CHAR(34)&amp;"  ","")&amp;IF(ISNUMBER($BZ135),"E "&amp;TRIM(TEXT($BZ135,"# ?/??"))&amp;CHAR(34)&amp;"  ","")))</f>
        <v/>
      </c>
      <c r="CZ135" s="100">
        <f>IF(OR($CS135,N($BJ135)=0),"",TRIM(IF(ISNUMBER($BU135),"A "&amp;TRIM(TEXT($BU135-HeadClr,"# ?/??"))&amp;CHAR(34)&amp;"  ","")&amp;IF(ISNUMBER($BV135),"B "&amp;TRIM(TEXT($BV135-HeadClr,"# ?/??"))&amp;CHAR(34)&amp;"  ","")&amp;IF(ISNUMBER($BW135),"C "&amp;TRIM(TEXT($BW135-HeadClr,"# ?/??"))&amp;CHAR(34)&amp;"  ","")&amp;IF(ISNUMBER($BX135),"D "&amp;TRIM(TEXT($BX135-HeadClr,"# ?/??"))&amp;CHAR(34)&amp;"  ","")&amp;IF(ISNUMBER($BY135),"F "&amp;TRIM(TEXT($BY135-HeadClr,"# ?/??"))&amp;CHAR(34)&amp;"  ","")&amp;IF(ISNUMBER($BZ135),"E "&amp;TRIM(TEXT($BZ135-HeadClr,"# ?/??"))&amp;CHAR(34)&amp;"  ","")))</f>
        <v/>
      </c>
      <c r="DA135" s="99">
        <f>IF($A135="","",IF($AN135="",IFERROR(VLOOKUP($Z135,CODES,2,FALSE),""),IFERROR(VLOOKUP($AN135,CODES,2,FALSE),"")))</f>
        <v/>
      </c>
      <c r="DB135" s="99">
        <f>IF($A135="","",IF($O135="Y","PR",IF(OR($Z135="L",$Z135="RR",LEFT($Z135,2)="L-",LEFT($Z135,3)="RR-"),"LH","RH")))</f>
        <v/>
      </c>
      <c r="DC135" s="99">
        <f>IF($A135="","","S.HM"&amp;IF(OR($C135="DOOR ONLY",$X135&lt;&gt;"KD"),"MASONRY","DRYWALL")&amp;IF($C135="DOOR ONLY","",$U135)&amp;IF(AND($C135&lt;&gt;"FRAME ONLY",OR(LEFT($AH135,3)="OAK",LEFT($AH135,3)="BIR",LEFT($AH135,3)="MAP",$AH135="PC",$AH135="MC",$AH135="SCLC",$AH135="P-LAM")),"WD","HM")&amp;"1.75")</f>
        <v/>
      </c>
      <c r="DD135" s="99">
        <f>IF($CJ135="","",IF($O135="Y",$CJ135,SUBSTITUTE($CJ135,$BG135&amp;" "&amp;IFERROR(VLOOKUP($Z135,CODES,2,FALSE),"")&amp;" ",$BG135&amp;" ")))</f>
        <v/>
      </c>
      <c r="DE135" s="99">
        <f>IF($CK135="","",IF($O135="Y",$CK135,SUBSTITUTE($CK135,$BG135&amp;" "&amp;IF($AN135="",IFERROR(VLOOKUP($Z135,CODES,2,FALSE),""),IFERROR(VLOOKUP($AN135,CODES,2,FALSE),""))&amp;" ",$BG135&amp;" ")))</f>
        <v/>
      </c>
      <c r="DF135" s="99">
        <f>IF($CJ135="","",$DC135&amp;"|"&amp;$DD135&amp;"|"&amp;$DB135&amp;"|"&amp;$AT135&amp;"|"&amp;$V135&amp;"|"&amp;$Y135&amp;"|"&amp;$AB135)</f>
        <v/>
      </c>
      <c r="DG135" s="99">
        <f>IF(DF135="","",IF(COUNTIF($DF$6:DF135,DF135)=1,MAX($DG$5:DG134)+1,INDEX($DG$5:DG134,MATCH(DF135,$DF$5:DF134,0))))</f>
        <v/>
      </c>
      <c r="DH135" s="99">
        <f>IF($CK135="","",$DC135&amp;"|"&amp;$DE135&amp;"|"&amp;$AI135&amp;"|"&amp;$BK135&amp;"|"&amp;$BL135)</f>
        <v/>
      </c>
      <c r="DI135" s="99">
        <f>IF(DH135="","",IF(COUNTIF($DH$6:DH135,DH135)=1,MAX($DI$5:DI134)+1,INDEX($DI$5:DI134,MATCH(DH135,$DH$5:DH134,0))))</f>
        <v/>
      </c>
      <c r="DJ135" s="99">
        <f>IF($A135="","",IF($B135="","qty, ","")&amp;IF($C135="","scope, ","")&amp;IF(OR($K135="",$M135=""),"size, ","")&amp;IF(AND($A135&lt;&gt;"",$C135&lt;&gt;"DOOR ONLY"),IF($U135="","jamb depth, ","")&amp;IF($X135="","construction, ","")&amp;IF($Y135="","anchor, ","")&amp;IF($S135="","frame type, ",""),"")&amp;IF(AND(N($BJ135)&gt;0,$Z135=""),"hand, ","")&amp;IF(N($BJ135)&gt;0,IF($AH135="","door material, ","")&amp;IF($AL135="","face type, ","")&amp;IF($AP135="","lock prep, ","")&amp;IF(AND($AO135="",$AC135=""),"hinge prep, ",""),"")&amp;IF(AND($CH135&gt;0,$AH135="FRP"),"FRP cannot carry a label, ","")&amp;IF(AND($O135="Y",OR($Z135="L",$Z135="R",$Z135="LR",$Z135="RR")),"pair marked but hand is single, ","")&amp;IF(AND($O135&lt;&gt;"Y",OR($Z135="PR",AND(LEN($Z135)&gt;1,ISNUMBER(SEARCH("-",$Z135))))),"pair hand on a single door, ","")&amp;IF(AND(ISNUMBER($CI135),$CH135&lt;N($CI135)),"wall needs a "&amp;$CI135&amp;" min door, ","")&amp;IF(AND($CH135&gt;=180,AND(OR($CE135="FG",$CE135="HG",$CE135="FNV",$CE135="FV"),N($CF135)*N($CG135)&gt;100)),"180 min lite over 100 sq in, ","")&amp;IF(N($BK135)&gt;48,"leaf wider than 4'-0"&amp;CHAR(34)&amp;", ","")&amp;IF(AND($CT135,COUNT($AW135:$AZ135)=0,$CQ135&gt;0),"CUSTOM LOC with no locations typed, ",""))</f>
        <v/>
      </c>
      <c r="DK135" s="99">
        <f>IF($A135="","",IF(AND($CH135&gt;0,AND($A135&lt;&gt;"",$C135&lt;&gt;"DOOR ONLY"),$X135="KD",$E135="EXTERIOR"),"KD label on an exterior opening, ","")&amp;IF(AND($E135="EXTERIOR",OR(AND(AND($A135&lt;&gt;"",$C135&lt;&gt;"DOOR ONLY"),$W135="CR"),AND(N($BJ135)&gt;0,$AH135="CR"))),"exterior in CR steel (G9?), ","")&amp;IF(AND(ISNUMBER($BQ135),N($BQ135)&lt;32),"clear width ~"&amp;TEXT($BQ135,"0.0")&amp;CHAR(34)&amp;" under 32"&amp;CHAR(34)&amp;" (ADA), ","")&amp;IF(AND($CH135=90,AND(OR($CE135="FG",$CE135="HG",$CE135="FNV",$CE135="FV"),N($CF135)*N($CG135)&gt;100)),"90 min lite over 100 sq in (stair/exit), ","")&amp;IF(AND($CH135&gt;0,AND($A135&lt;&gt;"",$C135&lt;&gt;"DOOR ONLY"),OR($AF135="",$AF135="-")),"rated: closer reinf.?, ","")&amp;IF(OR($I135="CORRIDOR",$I135="SMOKE BARRIER"),"S label + smoke gasketing, ","")&amp;IF($CI135="?","wall type/hr not in IBC table, ","")&amp;IF(AND(N($BJ135)&gt;0,$BB135=""),"no hardware set, ","")&amp;IF(AND($BB135&lt;&gt;"",ISNA(MATCH($BB135&amp;"",HWSets,0))),"set "&amp;$BB135&amp;" not on HW Sets, ","")&amp;IF(N($BL135)&gt;96,"leaf over 8'-0"&amp;CHAR(34)&amp;" - check listing, ","")&amp;IF(AND($CT135,COUNT($AW135:$AZ135)&gt;0,COUNT($AW135:$AZ135)&lt;&gt;$CQ135),COUNT($AW135:$AZ135)&amp;" custom hinges typed, "&amp;$CQ135&amp;" expected, ","")&amp;IF(AND(ISNUMBER($CA135),OR(N($CA135)&lt;34,N($CA135)&gt;48)),"lock "&amp;TEXT($CA135,"0.0")&amp;CHAR(34)&amp;" AFF outside 34-48"&amp;CHAR(34)&amp;" (ADA), ","")&amp;IF(AND(ISNUMBER($AV135),ISNUMBER($BL135),N($AV135)&lt;IF(N($BL135)&lt;=60,2,IF(N($BL135)&lt;=90,3,IF(N($BL135)&lt;=120,4,5)))),"fewer hinges than standard, ",""))</f>
        <v/>
      </c>
    </row>
    <row r="136" ht="15" customHeight="1">
      <c r="A136" s="77" t="n"/>
      <c r="B136" s="78" t="n"/>
      <c r="C136" s="78" t="n"/>
      <c r="D136" s="78" t="n"/>
      <c r="E136" s="78" t="n"/>
      <c r="F136" s="78" t="n"/>
      <c r="G136" s="78" t="n"/>
      <c r="H136" s="78" t="n"/>
      <c r="I136" s="78" t="n"/>
      <c r="J136" s="78" t="n"/>
      <c r="K136" s="78" t="n"/>
      <c r="L136" s="78" t="n"/>
      <c r="M136" s="78" t="n"/>
      <c r="N136" s="78" t="n"/>
      <c r="O136" s="78" t="n"/>
      <c r="P136" s="78" t="n"/>
      <c r="Q136" s="78" t="n"/>
      <c r="R136" s="78" t="n"/>
      <c r="S136" s="79" t="n"/>
      <c r="T136" s="79" t="n"/>
      <c r="U136" s="79" t="n"/>
      <c r="V136" s="79" t="n"/>
      <c r="W136" s="79" t="n"/>
      <c r="X136" s="79" t="n"/>
      <c r="Y136" s="79" t="n"/>
      <c r="Z136" s="79" t="n"/>
      <c r="AA136" s="79" t="n"/>
      <c r="AB136" s="79" t="n"/>
      <c r="AC136" s="79" t="n"/>
      <c r="AD136" s="79" t="n"/>
      <c r="AE136" s="79" t="n"/>
      <c r="AF136" s="79" t="n"/>
      <c r="AG136" s="79" t="n"/>
      <c r="AH136" s="80" t="n"/>
      <c r="AI136" s="80" t="n"/>
      <c r="AJ136" s="80" t="n"/>
      <c r="AK136" s="80" t="n"/>
      <c r="AL136" s="80" t="n"/>
      <c r="AM136" s="80" t="n"/>
      <c r="AN136" s="80" t="n"/>
      <c r="AO136" s="80" t="n"/>
      <c r="AP136" s="80" t="n"/>
      <c r="AQ136" s="80" t="n"/>
      <c r="AR136" s="80" t="n"/>
      <c r="AS136" s="80" t="n"/>
      <c r="AT136" s="81" t="n"/>
      <c r="AU136" s="81" t="n"/>
      <c r="AV136" s="81" t="n"/>
      <c r="AW136" s="82" t="n"/>
      <c r="AX136" s="82" t="n"/>
      <c r="AY136" s="82" t="n"/>
      <c r="AZ136" s="82" t="n"/>
      <c r="BA136" s="82" t="n"/>
      <c r="BB136" s="83" t="n"/>
      <c r="BC136" s="83" t="n"/>
      <c r="BD136" s="84">
        <f>IF($A136="","",IF($DJ136&lt;&gt;"","FIX",IF($DK136&lt;&gt;"","CHECK","OK")))</f>
        <v/>
      </c>
      <c r="BE136" s="85">
        <f>IF($A136="","",IF($DJ136&lt;&gt;"","FIX: "&amp;LEFT($DJ136,LEN($DJ136)-2)&amp;IF($DK136&lt;&gt;"","  ·  ",""),"")&amp;IF($DK136&lt;&gt;"","CHECK: "&amp;LEFT($DK136,LEN($DK136)-2),""))</f>
        <v/>
      </c>
      <c r="BF136" s="84">
        <f>IF(OR($A136="",$K136=""),"",$K136&amp;"'-"&amp;N($L136)&amp;CHAR(34)&amp;" x "&amp;$M136&amp;"'-"&amp;N($N136)&amp;CHAR(34))</f>
        <v/>
      </c>
      <c r="BG136" s="84">
        <f>IF(OR($A136="",$K136=""),"",$K136&amp;N($L136)&amp;$M136&amp;N($N136))</f>
        <v/>
      </c>
      <c r="BH136" s="84">
        <f>IF(OR($A136="",$K136=""),"",$K136*12+N($L136))</f>
        <v/>
      </c>
      <c r="BI136" s="84">
        <f>IF(OR($A136="",$M136=""),"",$M136*12+N($N136))</f>
        <v/>
      </c>
      <c r="BJ136" s="84">
        <f>IF($A136="","",IF(OR($C136="FRAME ONLY",$S136="BL"),0,IF($O136="Y",2,1)))</f>
        <v/>
      </c>
      <c r="BK136" s="86">
        <f>IF(OR(N($BJ136)=0,$BH136=""),"",($BH136-2*EdgeClr-IF($BJ136=2,MeetClr,0))/$BJ136)</f>
        <v/>
      </c>
      <c r="BL136" s="86">
        <f>IF(OR(N($BJ136)=0,$BI136=""),"",$BI136-HeadClr-Undercut)</f>
        <v/>
      </c>
      <c r="BM136" s="86">
        <f>IF($BH136="","",$BH136+2*FaceW+IF(N($Q136)&gt;0,($Q136+FaceW)*IF($R136="LR",2,1),0))</f>
        <v/>
      </c>
      <c r="BN136" s="86">
        <f>IF($BI136="","",$BI136+IF($AB136="Y",4,FaceW)+IF(N($P136)&gt;0,$P136+FaceW,0)+IF(OR($S136="4F",$S136="BL"),FaceW,0))</f>
        <v/>
      </c>
      <c r="BO136" s="86">
        <f>IF($BM136="","",$BM136+2*ROSide)</f>
        <v/>
      </c>
      <c r="BP136" s="86">
        <f>IF($BN136="","",$BN136+ROTop)</f>
        <v/>
      </c>
      <c r="BQ136" s="87">
        <f>IF(OR(N($BJ136)=0,$BH136=""),"",$BH136/$BJ136-ClearDeduct)</f>
        <v/>
      </c>
      <c r="BR136" s="84">
        <f>IF(N($CH136)=0,"",IF($CH136&gt;=180,"A · 3 HR",IF($CH136&gt;=90,"B · 1-1/2 HR",IF($CH136&gt;=60,"B · 1 HR",IF($CH136&gt;=45,"C · 3/4 HR","20 MIN")))))&amp;IF(AND(N($CH136)&gt;0,OR($I136="CORRIDOR",$I136="SMOKE BARRIER"))," · S","")</f>
        <v/>
      </c>
      <c r="BS136" s="84">
        <f>IF($CS136,"",IF($AV136&lt;&gt;"",$AV136,IF(OR($AC136="HGC",$AO136="HGC"),"CONT",IF(($BI136-HeadClr-Undercut)&lt;=60,2,IF(($BI136-HeadClr-Undercut)&lt;=90,3,IF(($BI136-HeadClr-Undercut)&lt;=120,4,5))))))</f>
        <v/>
      </c>
      <c r="BT136" s="84">
        <f>IF($CS136,"",IF($CT136,"CUSTOM (typed)",IF($CV136,$AT136&amp;" "&amp;$CU136&amp;CHAR(34)&amp;IF($CU136&lt;&gt;$BI136,IF(AND($BI136&lt;$CU136,$BI136-IF(N(VLOOKUP($AT136&amp;"|"&amp;$CU136,LocTable,7,FALSE))&gt;0,VLOOKUP($AT136&amp;"|"&amp;$CU136,LocTable,7,FALSE),VLOOKUP($AT136&amp;"|"&amp;$CU136,LocTable,6,FALSE))-$CR136-0.75&gt;=2.125)," cut down"," adj."),""),"ANSI/SDI A250.6")))</f>
        <v/>
      </c>
      <c r="BU136" s="88">
        <f>IF($CS136,"",IF($CT136,IF(N($AW136)&gt;0,N($AW136),""),IF(1&gt;$CQ136,"",IF($CQ136=1,$CW136,$CW136+($CX136-$CW136)*0/($CQ136-1)))))</f>
        <v/>
      </c>
      <c r="BV136" s="88">
        <f>IF($CS136,"",IF($CT136,IF(N($AX136)&gt;0,N($AX136),""),IF(2&gt;$CQ136,"",IF($CQ136=1,$CW136,$CW136+($CX136-$CW136)*1/($CQ136-1)))))</f>
        <v/>
      </c>
      <c r="BW136" s="88">
        <f>IF($CS136,"",IF($CT136,IF(N($AY136)&gt;0,N($AY136),""),IF(3&gt;$CQ136,"",IF($CQ136=1,$CW136,$CW136+($CX136-$CW136)*2/($CQ136-1)))))</f>
        <v/>
      </c>
      <c r="BX136" s="88">
        <f>IF($CS136,"",IF($CT136,IF(N($AZ136)&gt;0,N($AZ136),""),IF(4&gt;$CQ136,"",IF($CQ136=1,$CW136,$CW136+($CX136-$CW136)*3/($CQ136-1)))))</f>
        <v/>
      </c>
      <c r="BY136" s="88">
        <f>IF($CS136,"",IF($CT136,"",IF(5&gt;$CQ136,"",IF($CQ136=1,$CW136,$CW136+($CX136-$CW136)*4/($CQ136-1)))))</f>
        <v/>
      </c>
      <c r="BZ136" s="88">
        <f>IF(OR($CS136,$AP136="-",AND($AP136="",$AD136="")),"",IF(N($BA136)&gt;0,N($BA136),IF($CV136,IF(AND($BI136&lt;$CU136,$BI136-IF(N(VLOOKUP($AT136&amp;"|"&amp;$CU136,LocTable,7,FALSE))&gt;0,VLOOKUP($AT136&amp;"|"&amp;$CU136,LocTable,7,FALSE),VLOOKUP($AT136&amp;"|"&amp;$CU136,LocTable,6,FALSE))-$CR136-0.75&gt;=2.125),VLOOKUP($AT136&amp;"|"&amp;$CU136,LocTable,8,FALSE),VLOOKUP($AT136&amp;"|"&amp;$CU136,LocTable,8,FALSE)+($BI136-$CU136)),$BI136-LockAFF)))</f>
        <v/>
      </c>
      <c r="CA136" s="89">
        <f>IF($BZ136="","",$BI136-$BZ136)</f>
        <v/>
      </c>
      <c r="CB136" s="84">
        <f>IF(OR(NOT(AND($A136&lt;&gt;"",$C136&lt;&gt;"DOOR ONLY")),$BI136=""),"",IF(($BI136+IF(N($P136)&gt;0,$P136+FaceW,0))&lt;=90,3,IF(($BI136+IF(N($P136)&gt;0,$P136+FaceW,0))&lt;=114,4,5)))</f>
        <v/>
      </c>
      <c r="CC136" s="84">
        <f>IF($CB136="","",$CB136*(2+IF(N($Q136)&gt;0,IF($R136="LR",2,1),0)))</f>
        <v/>
      </c>
      <c r="CD136" s="84">
        <f>IF($CB136="","",(2+IF(N($Q136)&gt;0,IF($R136="LR",2,1),0)))</f>
        <v/>
      </c>
      <c r="CE136" s="84">
        <f>IF(N($BJ136)=0,"",IF(OR($AL136="",$AL136="FLUSH"),"FLUSH",IFERROR(LEFT($AL136,FIND("-",$AL136)-1),LEFT($AL136,2))))</f>
        <v/>
      </c>
      <c r="CF136" s="84">
        <f>IF($CE136="","",IFERROR(VALUE(MID($AL136,FIND("-",$AL136)+1,FIND(CHAR(34)&amp;"x",$AL136)-FIND("-",$AL136)-1)),0))</f>
        <v/>
      </c>
      <c r="CG136" s="84">
        <f>IF($CE136="","",IFERROR(VALUE(MID($AL136,FIND(CHAR(34)&amp;"x",$AL136)+2,FIND(CHAR(34),$AL136,FIND(CHAR(34)&amp;"x",$AL136)+2)-FIND(CHAR(34)&amp;"x",$AL136)-2)),0))</f>
        <v/>
      </c>
      <c r="CH136" s="90">
        <f>IF(OR($A136="",$H136="",$H136="NO LAB"),0,IFERROR(VALUE(LEFT($H136,FIND(" ",$H136)-1)),0))</f>
        <v/>
      </c>
      <c r="CI136" s="91">
        <f>IF(OR($A136="",$I136="",$I136="NON-RATED",N($J136)=0),"",IFERROR(VLOOKUP($I136&amp;"|"&amp;$J136,IBC,2,FALSE),"?"))</f>
        <v/>
      </c>
      <c r="CJ136" s="85">
        <f>IF(NOT(AND($A136&lt;&gt;"",$C136&lt;&gt;"DOOR ONLY")),"",TRIM(IFERROR(VLOOKUP($U136,CODES,2,FALSE),"")&amp;" "&amp;$BG136&amp;" "&amp;IFERROR(VLOOKUP($Z136,CODES,2,FALSE),"")&amp;" "&amp;IFERROR(VLOOKUP($X136,CODES,2,FALSE),"")&amp;" "&amp;IFERROR(VLOOKUP($S136,CODES,2,FALSE),"")&amp;IF(N($P136)&gt;0," w/TRANSOM "&amp;$P136&amp;CHAR(34),"")&amp;IF(N($Q136)&gt;0," w/SIDELITE "&amp;$Q136&amp;CHAR(34)&amp;" "&amp;IF($R136="","R",$R136),"")&amp;IF($Y136="","  |  "," | "&amp;IFERROR(VLOOKUP($Y136,CODES,2,FALSE),"")&amp;" | ")&amp;IFERROR(VLOOKUP($AC136,CODES,2,FALSE),"")&amp;" "&amp;IFERROR(VLOOKUP($AD136,CODES,2,FALSE),"")&amp;IF(OR($AE136="",$AE136="-"),""," "&amp;$AE136)&amp;IF(OR($AF136="",$AF136="-"),""," "&amp;$AF136)&amp;IF($AB136="Y"," 4"&amp;CHAR(34)&amp;" HEAD","")&amp;" "&amp;IFERROR(VLOOKUP($H136,CODES,2,FALSE),"")&amp;IF($CT136," | LOC "&amp;$CY136,"")))</f>
        <v/>
      </c>
      <c r="CK136" s="85">
        <f>IF(NOT(AND($A136&lt;&gt;"",N($BJ136)&gt;0)),"",TRIM(IFERROR(VLOOKUP($AH136,CODES,2,FALSE),"")&amp;IF($AI136=""," "," "&amp;$AI136&amp;"GA ")&amp;$BG136&amp;" "&amp;IF($AN136="",IFERROR(VLOOKUP($Z136,CODES,2,FALSE),""),IFERROR(VLOOKUP($AN136,CODES,2,FALSE),""))&amp;IF($BJ136=2," PAIR","")&amp;" DOOR | "&amp;IF($AL136="","?",$AL136)&amp;" | "&amp;IF($AO136="",IFERROR(VLOOKUP($AC136,CODES,2,FALSE),""),IFERROR(VLOOKUP($AO136,CODES,2,FALSE),""))&amp;" "&amp;IFERROR(VLOOKUP($AP136,CODES,2,FALSE),"")&amp;IF(OR($AQ136="",$AQ136="-"),""," SEAM "&amp;$AQ136)&amp;IF($AR136="Y"," ASTRAGAL","")&amp;IF($AJ136=""," "," "&amp;$AJ136)&amp;IF($AK136=""," "," "&amp;$AK136)&amp;IF(OR($AT136="",$AT136="ANSI/SDI",$AT136="CUSTOM LOC"),""," "&amp;$AT136)&amp;IF($AM136=""," "," SERIES "&amp;$AM136)&amp;" "&amp;IFERROR(VLOOKUP($H136,CODES,2,FALSE),"")&amp;IF($CT136," | LOC "&amp;$CZ136,"")))</f>
        <v/>
      </c>
      <c r="CL136" s="84">
        <f>IF(CP136="","",IF(COUNTIF($CP$6:CP136,CP136)=1,MAX($CL$5:CL135)+1,INDEX($CL$5:CL135,MATCH(CP136,$CP$5:CP135,0))))</f>
        <v/>
      </c>
      <c r="CM136" s="84">
        <f>IF(NOT(AND($A136&lt;&gt;"",$C136&lt;&gt;"DOOR ONLY")),"",MAX($CM$5:CM135)+1)</f>
        <v/>
      </c>
      <c r="CN136" s="84">
        <f>IF(NOT(AND($A136&lt;&gt;"",N($BJ136)&gt;0)),"",MAX($CN$5:CN135)+1)</f>
        <v/>
      </c>
      <c r="CO136" s="84">
        <f>IF($A136="","",MAX($CO$5:CO135)+1)</f>
        <v/>
      </c>
      <c r="CP136" s="84">
        <f>IF(OR($A136="",$BH136="",$BI136=""),"",$BG136&amp;"|"&amp;$O136&amp;"|"&amp;$AL136&amp;"|"&amp;$S136&amp;"|"&amp;$P136&amp;"|"&amp;$Q136&amp;$R136&amp;"|"&amp;$C136&amp;"|"&amp;$AB136)</f>
        <v/>
      </c>
      <c r="CQ136" s="84">
        <f>N($BS136)</f>
        <v/>
      </c>
      <c r="CR136" s="84">
        <f>IF(N($AU136)&gt;0,N($AU136),4.5)</f>
        <v/>
      </c>
      <c r="CS136" s="84">
        <f>OR($A136="",$BI136="",$S136="BL",AND($C136="FRAME ONLY",OR($AC136="",$AC136="BLK")))</f>
        <v/>
      </c>
      <c r="CT136" s="84">
        <f>AND(NOT($CS136),OR($AT136="CUSTOM LOC",N($AW136)+N($AX136)+N($AY136)+N($AZ136)+N($BA136)&gt;0))</f>
        <v/>
      </c>
      <c r="CU136" s="84">
        <f>IF($BI136="","",IF($BI136&lt;=80,80,IF($BI136&lt;=84,84,96)))</f>
        <v/>
      </c>
      <c r="CV136" s="84">
        <f>ISNUMBER(MATCH($AT136&amp;"|80",LocKeys,0))</f>
        <v/>
      </c>
      <c r="CW136" s="86">
        <f>IF($CS136,"",IF($CV136,VLOOKUP($AT136&amp;"|"&amp;$CU136,LocTable,4,FALSE),5))</f>
        <v/>
      </c>
      <c r="CX136" s="86">
        <f>IF($CS136,"",IF($CV136,IF(OR($BI136=$CU136,AND($BI136&lt;$CU136,$BI136-IF(N(VLOOKUP($AT136&amp;"|"&amp;$CU136,LocTable,7,FALSE))&gt;0,VLOOKUP($AT136&amp;"|"&amp;$CU136,LocTable,7,FALSE),VLOOKUP($AT136&amp;"|"&amp;$CU136,LocTable,6,FALSE))-$CR136-0.75&gt;=2.125)),IF(N(VLOOKUP($AT136&amp;"|"&amp;$CU136,LocTable,7,FALSE))&gt;0,VLOOKUP($AT136&amp;"|"&amp;$CU136,LocTable,7,FALSE),VLOOKUP($AT136&amp;"|"&amp;$CU136,LocTable,6,FALSE)),$BI136-($CU136-IF(N(VLOOKUP($AT136&amp;"|"&amp;$CU136,LocTable,7,FALSE))&gt;0,VLOOKUP($AT136&amp;"|"&amp;$CU136,LocTable,7,FALSE),VLOOKUP($AT136&amp;"|"&amp;$CU136,LocTable,6,FALSE)))),$BI136-10-$CR136))</f>
        <v/>
      </c>
      <c r="CY136" s="85">
        <f>IF($CS136,"",TRIM(IF(ISNUMBER($BU136),"A "&amp;TRIM(TEXT($BU136,"# ?/??"))&amp;CHAR(34)&amp;"  ","")&amp;IF(ISNUMBER($BV136),"B "&amp;TRIM(TEXT($BV136,"# ?/??"))&amp;CHAR(34)&amp;"  ","")&amp;IF(ISNUMBER($BW136),"C "&amp;TRIM(TEXT($BW136,"# ?/??"))&amp;CHAR(34)&amp;"  ","")&amp;IF(ISNUMBER($BX136),"D "&amp;TRIM(TEXT($BX136,"# ?/??"))&amp;CHAR(34)&amp;"  ","")&amp;IF(ISNUMBER($BY136),"F "&amp;TRIM(TEXT($BY136,"# ?/??"))&amp;CHAR(34)&amp;"  ","")&amp;IF(ISNUMBER($BZ136),"E "&amp;TRIM(TEXT($BZ136,"# ?/??"))&amp;CHAR(34)&amp;"  ","")))</f>
        <v/>
      </c>
      <c r="CZ136" s="85">
        <f>IF(OR($CS136,N($BJ136)=0),"",TRIM(IF(ISNUMBER($BU136),"A "&amp;TRIM(TEXT($BU136-HeadClr,"# ?/??"))&amp;CHAR(34)&amp;"  ","")&amp;IF(ISNUMBER($BV136),"B "&amp;TRIM(TEXT($BV136-HeadClr,"# ?/??"))&amp;CHAR(34)&amp;"  ","")&amp;IF(ISNUMBER($BW136),"C "&amp;TRIM(TEXT($BW136-HeadClr,"# ?/??"))&amp;CHAR(34)&amp;"  ","")&amp;IF(ISNUMBER($BX136),"D "&amp;TRIM(TEXT($BX136-HeadClr,"# ?/??"))&amp;CHAR(34)&amp;"  ","")&amp;IF(ISNUMBER($BY136),"F "&amp;TRIM(TEXT($BY136-HeadClr,"# ?/??"))&amp;CHAR(34)&amp;"  ","")&amp;IF(ISNUMBER($BZ136),"E "&amp;TRIM(TEXT($BZ136-HeadClr,"# ?/??"))&amp;CHAR(34)&amp;"  ","")))</f>
        <v/>
      </c>
      <c r="DA136" s="84">
        <f>IF($A136="","",IF($AN136="",IFERROR(VLOOKUP($Z136,CODES,2,FALSE),""),IFERROR(VLOOKUP($AN136,CODES,2,FALSE),"")))</f>
        <v/>
      </c>
      <c r="DB136" s="84">
        <f>IF($A136="","",IF($O136="Y","PR",IF(OR($Z136="L",$Z136="RR",LEFT($Z136,2)="L-",LEFT($Z136,3)="RR-"),"LH","RH")))</f>
        <v/>
      </c>
      <c r="DC136" s="84">
        <f>IF($A136="","","S.HM"&amp;IF(OR($C136="DOOR ONLY",$X136&lt;&gt;"KD"),"MASONRY","DRYWALL")&amp;IF($C136="DOOR ONLY","",$U136)&amp;IF(AND($C136&lt;&gt;"FRAME ONLY",OR(LEFT($AH136,3)="OAK",LEFT($AH136,3)="BIR",LEFT($AH136,3)="MAP",$AH136="PC",$AH136="MC",$AH136="SCLC",$AH136="P-LAM")),"WD","HM")&amp;"1.75")</f>
        <v/>
      </c>
      <c r="DD136" s="84">
        <f>IF($CJ136="","",IF($O136="Y",$CJ136,SUBSTITUTE($CJ136,$BG136&amp;" "&amp;IFERROR(VLOOKUP($Z136,CODES,2,FALSE),"")&amp;" ",$BG136&amp;" ")))</f>
        <v/>
      </c>
      <c r="DE136" s="84">
        <f>IF($CK136="","",IF($O136="Y",$CK136,SUBSTITUTE($CK136,$BG136&amp;" "&amp;IF($AN136="",IFERROR(VLOOKUP($Z136,CODES,2,FALSE),""),IFERROR(VLOOKUP($AN136,CODES,2,FALSE),""))&amp;" ",$BG136&amp;" ")))</f>
        <v/>
      </c>
      <c r="DF136" s="84">
        <f>IF($CJ136="","",$DC136&amp;"|"&amp;$DD136&amp;"|"&amp;$DB136&amp;"|"&amp;$AT136&amp;"|"&amp;$V136&amp;"|"&amp;$Y136&amp;"|"&amp;$AB136)</f>
        <v/>
      </c>
      <c r="DG136" s="84">
        <f>IF(DF136="","",IF(COUNTIF($DF$6:DF136,DF136)=1,MAX($DG$5:DG135)+1,INDEX($DG$5:DG135,MATCH(DF136,$DF$5:DF135,0))))</f>
        <v/>
      </c>
      <c r="DH136" s="84">
        <f>IF($CK136="","",$DC136&amp;"|"&amp;$DE136&amp;"|"&amp;$AI136&amp;"|"&amp;$BK136&amp;"|"&amp;$BL136)</f>
        <v/>
      </c>
      <c r="DI136" s="84">
        <f>IF(DH136="","",IF(COUNTIF($DH$6:DH136,DH136)=1,MAX($DI$5:DI135)+1,INDEX($DI$5:DI135,MATCH(DH136,$DH$5:DH135,0))))</f>
        <v/>
      </c>
      <c r="DJ136" s="84">
        <f>IF($A136="","",IF($B136="","qty, ","")&amp;IF($C136="","scope, ","")&amp;IF(OR($K136="",$M136=""),"size, ","")&amp;IF(AND($A136&lt;&gt;"",$C136&lt;&gt;"DOOR ONLY"),IF($U136="","jamb depth, ","")&amp;IF($X136="","construction, ","")&amp;IF($Y136="","anchor, ","")&amp;IF($S136="","frame type, ",""),"")&amp;IF(AND(N($BJ136)&gt;0,$Z136=""),"hand, ","")&amp;IF(N($BJ136)&gt;0,IF($AH136="","door material, ","")&amp;IF($AL136="","face type, ","")&amp;IF($AP136="","lock prep, ","")&amp;IF(AND($AO136="",$AC136=""),"hinge prep, ",""),"")&amp;IF(AND($CH136&gt;0,$AH136="FRP"),"FRP cannot carry a label, ","")&amp;IF(AND($O136="Y",OR($Z136="L",$Z136="R",$Z136="LR",$Z136="RR")),"pair marked but hand is single, ","")&amp;IF(AND($O136&lt;&gt;"Y",OR($Z136="PR",AND(LEN($Z136)&gt;1,ISNUMBER(SEARCH("-",$Z136))))),"pair hand on a single door, ","")&amp;IF(AND(ISNUMBER($CI136),$CH136&lt;N($CI136)),"wall needs a "&amp;$CI136&amp;" min door, ","")&amp;IF(AND($CH136&gt;=180,AND(OR($CE136="FG",$CE136="HG",$CE136="FNV",$CE136="FV"),N($CF136)*N($CG136)&gt;100)),"180 min lite over 100 sq in, ","")&amp;IF(N($BK136)&gt;48,"leaf wider than 4'-0"&amp;CHAR(34)&amp;", ","")&amp;IF(AND($CT136,COUNT($AW136:$AZ136)=0,$CQ136&gt;0),"CUSTOM LOC with no locations typed, ",""))</f>
        <v/>
      </c>
      <c r="DK136" s="84">
        <f>IF($A136="","",IF(AND($CH136&gt;0,AND($A136&lt;&gt;"",$C136&lt;&gt;"DOOR ONLY"),$X136="KD",$E136="EXTERIOR"),"KD label on an exterior opening, ","")&amp;IF(AND($E136="EXTERIOR",OR(AND(AND($A136&lt;&gt;"",$C136&lt;&gt;"DOOR ONLY"),$W136="CR"),AND(N($BJ136)&gt;0,$AH136="CR"))),"exterior in CR steel (G9?), ","")&amp;IF(AND(ISNUMBER($BQ136),N($BQ136)&lt;32),"clear width ~"&amp;TEXT($BQ136,"0.0")&amp;CHAR(34)&amp;" under 32"&amp;CHAR(34)&amp;" (ADA), ","")&amp;IF(AND($CH136=90,AND(OR($CE136="FG",$CE136="HG",$CE136="FNV",$CE136="FV"),N($CF136)*N($CG136)&gt;100)),"90 min lite over 100 sq in (stair/exit), ","")&amp;IF(AND($CH136&gt;0,AND($A136&lt;&gt;"",$C136&lt;&gt;"DOOR ONLY"),OR($AF136="",$AF136="-")),"rated: closer reinf.?, ","")&amp;IF(OR($I136="CORRIDOR",$I136="SMOKE BARRIER"),"S label + smoke gasketing, ","")&amp;IF($CI136="?","wall type/hr not in IBC table, ","")&amp;IF(AND(N($BJ136)&gt;0,$BB136=""),"no hardware set, ","")&amp;IF(AND($BB136&lt;&gt;"",ISNA(MATCH($BB136&amp;"",HWSets,0))),"set "&amp;$BB136&amp;" not on HW Sets, ","")&amp;IF(N($BL136)&gt;96,"leaf over 8'-0"&amp;CHAR(34)&amp;" - check listing, ","")&amp;IF(AND($CT136,COUNT($AW136:$AZ136)&gt;0,COUNT($AW136:$AZ136)&lt;&gt;$CQ136),COUNT($AW136:$AZ136)&amp;" custom hinges typed, "&amp;$CQ136&amp;" expected, ","")&amp;IF(AND(ISNUMBER($CA136),OR(N($CA136)&lt;34,N($CA136)&gt;48)),"lock "&amp;TEXT($CA136,"0.0")&amp;CHAR(34)&amp;" AFF outside 34-48"&amp;CHAR(34)&amp;" (ADA), ","")&amp;IF(AND(ISNUMBER($AV136),ISNUMBER($BL136),N($AV136)&lt;IF(N($BL136)&lt;=60,2,IF(N($BL136)&lt;=90,3,IF(N($BL136)&lt;=120,4,5)))),"fewer hinges than standard, ",""))</f>
        <v/>
      </c>
    </row>
    <row r="137" ht="15" customHeight="1">
      <c r="A137" s="77" t="n"/>
      <c r="B137" s="78" t="n"/>
      <c r="C137" s="78" t="n"/>
      <c r="D137" s="78" t="n"/>
      <c r="E137" s="78" t="n"/>
      <c r="F137" s="78" t="n"/>
      <c r="G137" s="78" t="n"/>
      <c r="H137" s="78" t="n"/>
      <c r="I137" s="78" t="n"/>
      <c r="J137" s="78" t="n"/>
      <c r="K137" s="78" t="n"/>
      <c r="L137" s="78" t="n"/>
      <c r="M137" s="78" t="n"/>
      <c r="N137" s="78" t="n"/>
      <c r="O137" s="78" t="n"/>
      <c r="P137" s="78" t="n"/>
      <c r="Q137" s="78" t="n"/>
      <c r="R137" s="78" t="n"/>
      <c r="S137" s="79" t="n"/>
      <c r="T137" s="79" t="n"/>
      <c r="U137" s="79" t="n"/>
      <c r="V137" s="79" t="n"/>
      <c r="W137" s="79" t="n"/>
      <c r="X137" s="79" t="n"/>
      <c r="Y137" s="79" t="n"/>
      <c r="Z137" s="79" t="n"/>
      <c r="AA137" s="79" t="n"/>
      <c r="AB137" s="79" t="n"/>
      <c r="AC137" s="79" t="n"/>
      <c r="AD137" s="79" t="n"/>
      <c r="AE137" s="79" t="n"/>
      <c r="AF137" s="79" t="n"/>
      <c r="AG137" s="79" t="n"/>
      <c r="AH137" s="80" t="n"/>
      <c r="AI137" s="80" t="n"/>
      <c r="AJ137" s="80" t="n"/>
      <c r="AK137" s="80" t="n"/>
      <c r="AL137" s="80" t="n"/>
      <c r="AM137" s="80" t="n"/>
      <c r="AN137" s="80" t="n"/>
      <c r="AO137" s="80" t="n"/>
      <c r="AP137" s="80" t="n"/>
      <c r="AQ137" s="80" t="n"/>
      <c r="AR137" s="80" t="n"/>
      <c r="AS137" s="80" t="n"/>
      <c r="AT137" s="81" t="n"/>
      <c r="AU137" s="81" t="n"/>
      <c r="AV137" s="81" t="n"/>
      <c r="AW137" s="82" t="n"/>
      <c r="AX137" s="82" t="n"/>
      <c r="AY137" s="82" t="n"/>
      <c r="AZ137" s="82" t="n"/>
      <c r="BA137" s="82" t="n"/>
      <c r="BB137" s="83" t="n"/>
      <c r="BC137" s="83" t="n"/>
      <c r="BD137" s="84">
        <f>IF($A137="","",IF($DJ137&lt;&gt;"","FIX",IF($DK137&lt;&gt;"","CHECK","OK")))</f>
        <v/>
      </c>
      <c r="BE137" s="85">
        <f>IF($A137="","",IF($DJ137&lt;&gt;"","FIX: "&amp;LEFT($DJ137,LEN($DJ137)-2)&amp;IF($DK137&lt;&gt;"","  ·  ",""),"")&amp;IF($DK137&lt;&gt;"","CHECK: "&amp;LEFT($DK137,LEN($DK137)-2),""))</f>
        <v/>
      </c>
      <c r="BF137" s="84">
        <f>IF(OR($A137="",$K137=""),"",$K137&amp;"'-"&amp;N($L137)&amp;CHAR(34)&amp;" x "&amp;$M137&amp;"'-"&amp;N($N137)&amp;CHAR(34))</f>
        <v/>
      </c>
      <c r="BG137" s="84">
        <f>IF(OR($A137="",$K137=""),"",$K137&amp;N($L137)&amp;$M137&amp;N($N137))</f>
        <v/>
      </c>
      <c r="BH137" s="84">
        <f>IF(OR($A137="",$K137=""),"",$K137*12+N($L137))</f>
        <v/>
      </c>
      <c r="BI137" s="84">
        <f>IF(OR($A137="",$M137=""),"",$M137*12+N($N137))</f>
        <v/>
      </c>
      <c r="BJ137" s="84">
        <f>IF($A137="","",IF(OR($C137="FRAME ONLY",$S137="BL"),0,IF($O137="Y",2,1)))</f>
        <v/>
      </c>
      <c r="BK137" s="86">
        <f>IF(OR(N($BJ137)=0,$BH137=""),"",($BH137-2*EdgeClr-IF($BJ137=2,MeetClr,0))/$BJ137)</f>
        <v/>
      </c>
      <c r="BL137" s="86">
        <f>IF(OR(N($BJ137)=0,$BI137=""),"",$BI137-HeadClr-Undercut)</f>
        <v/>
      </c>
      <c r="BM137" s="86">
        <f>IF($BH137="","",$BH137+2*FaceW+IF(N($Q137)&gt;0,($Q137+FaceW)*IF($R137="LR",2,1),0))</f>
        <v/>
      </c>
      <c r="BN137" s="86">
        <f>IF($BI137="","",$BI137+IF($AB137="Y",4,FaceW)+IF(N($P137)&gt;0,$P137+FaceW,0)+IF(OR($S137="4F",$S137="BL"),FaceW,0))</f>
        <v/>
      </c>
      <c r="BO137" s="86">
        <f>IF($BM137="","",$BM137+2*ROSide)</f>
        <v/>
      </c>
      <c r="BP137" s="86">
        <f>IF($BN137="","",$BN137+ROTop)</f>
        <v/>
      </c>
      <c r="BQ137" s="87">
        <f>IF(OR(N($BJ137)=0,$BH137=""),"",$BH137/$BJ137-ClearDeduct)</f>
        <v/>
      </c>
      <c r="BR137" s="84">
        <f>IF(N($CH137)=0,"",IF($CH137&gt;=180,"A · 3 HR",IF($CH137&gt;=90,"B · 1-1/2 HR",IF($CH137&gt;=60,"B · 1 HR",IF($CH137&gt;=45,"C · 3/4 HR","20 MIN")))))&amp;IF(AND(N($CH137)&gt;0,OR($I137="CORRIDOR",$I137="SMOKE BARRIER"))," · S","")</f>
        <v/>
      </c>
      <c r="BS137" s="84">
        <f>IF($CS137,"",IF($AV137&lt;&gt;"",$AV137,IF(OR($AC137="HGC",$AO137="HGC"),"CONT",IF(($BI137-HeadClr-Undercut)&lt;=60,2,IF(($BI137-HeadClr-Undercut)&lt;=90,3,IF(($BI137-HeadClr-Undercut)&lt;=120,4,5))))))</f>
        <v/>
      </c>
      <c r="BT137" s="84">
        <f>IF($CS137,"",IF($CT137,"CUSTOM (typed)",IF($CV137,$AT137&amp;" "&amp;$CU137&amp;CHAR(34)&amp;IF($CU137&lt;&gt;$BI137,IF(AND($BI137&lt;$CU137,$BI137-IF(N(VLOOKUP($AT137&amp;"|"&amp;$CU137,LocTable,7,FALSE))&gt;0,VLOOKUP($AT137&amp;"|"&amp;$CU137,LocTable,7,FALSE),VLOOKUP($AT137&amp;"|"&amp;$CU137,LocTable,6,FALSE))-$CR137-0.75&gt;=2.125)," cut down"," adj."),""),"ANSI/SDI A250.6")))</f>
        <v/>
      </c>
      <c r="BU137" s="88">
        <f>IF($CS137,"",IF($CT137,IF(N($AW137)&gt;0,N($AW137),""),IF(1&gt;$CQ137,"",IF($CQ137=1,$CW137,$CW137+($CX137-$CW137)*0/($CQ137-1)))))</f>
        <v/>
      </c>
      <c r="BV137" s="88">
        <f>IF($CS137,"",IF($CT137,IF(N($AX137)&gt;0,N($AX137),""),IF(2&gt;$CQ137,"",IF($CQ137=1,$CW137,$CW137+($CX137-$CW137)*1/($CQ137-1)))))</f>
        <v/>
      </c>
      <c r="BW137" s="88">
        <f>IF($CS137,"",IF($CT137,IF(N($AY137)&gt;0,N($AY137),""),IF(3&gt;$CQ137,"",IF($CQ137=1,$CW137,$CW137+($CX137-$CW137)*2/($CQ137-1)))))</f>
        <v/>
      </c>
      <c r="BX137" s="88">
        <f>IF($CS137,"",IF($CT137,IF(N($AZ137)&gt;0,N($AZ137),""),IF(4&gt;$CQ137,"",IF($CQ137=1,$CW137,$CW137+($CX137-$CW137)*3/($CQ137-1)))))</f>
        <v/>
      </c>
      <c r="BY137" s="88">
        <f>IF($CS137,"",IF($CT137,"",IF(5&gt;$CQ137,"",IF($CQ137=1,$CW137,$CW137+($CX137-$CW137)*4/($CQ137-1)))))</f>
        <v/>
      </c>
      <c r="BZ137" s="88">
        <f>IF(OR($CS137,$AP137="-",AND($AP137="",$AD137="")),"",IF(N($BA137)&gt;0,N($BA137),IF($CV137,IF(AND($BI137&lt;$CU137,$BI137-IF(N(VLOOKUP($AT137&amp;"|"&amp;$CU137,LocTable,7,FALSE))&gt;0,VLOOKUP($AT137&amp;"|"&amp;$CU137,LocTable,7,FALSE),VLOOKUP($AT137&amp;"|"&amp;$CU137,LocTable,6,FALSE))-$CR137-0.75&gt;=2.125),VLOOKUP($AT137&amp;"|"&amp;$CU137,LocTable,8,FALSE),VLOOKUP($AT137&amp;"|"&amp;$CU137,LocTable,8,FALSE)+($BI137-$CU137)),$BI137-LockAFF)))</f>
        <v/>
      </c>
      <c r="CA137" s="89">
        <f>IF($BZ137="","",$BI137-$BZ137)</f>
        <v/>
      </c>
      <c r="CB137" s="84">
        <f>IF(OR(NOT(AND($A137&lt;&gt;"",$C137&lt;&gt;"DOOR ONLY")),$BI137=""),"",IF(($BI137+IF(N($P137)&gt;0,$P137+FaceW,0))&lt;=90,3,IF(($BI137+IF(N($P137)&gt;0,$P137+FaceW,0))&lt;=114,4,5)))</f>
        <v/>
      </c>
      <c r="CC137" s="84">
        <f>IF($CB137="","",$CB137*(2+IF(N($Q137)&gt;0,IF($R137="LR",2,1),0)))</f>
        <v/>
      </c>
      <c r="CD137" s="84">
        <f>IF($CB137="","",(2+IF(N($Q137)&gt;0,IF($R137="LR",2,1),0)))</f>
        <v/>
      </c>
      <c r="CE137" s="84">
        <f>IF(N($BJ137)=0,"",IF(OR($AL137="",$AL137="FLUSH"),"FLUSH",IFERROR(LEFT($AL137,FIND("-",$AL137)-1),LEFT($AL137,2))))</f>
        <v/>
      </c>
      <c r="CF137" s="84">
        <f>IF($CE137="","",IFERROR(VALUE(MID($AL137,FIND("-",$AL137)+1,FIND(CHAR(34)&amp;"x",$AL137)-FIND("-",$AL137)-1)),0))</f>
        <v/>
      </c>
      <c r="CG137" s="84">
        <f>IF($CE137="","",IFERROR(VALUE(MID($AL137,FIND(CHAR(34)&amp;"x",$AL137)+2,FIND(CHAR(34),$AL137,FIND(CHAR(34)&amp;"x",$AL137)+2)-FIND(CHAR(34)&amp;"x",$AL137)-2)),0))</f>
        <v/>
      </c>
      <c r="CH137" s="90">
        <f>IF(OR($A137="",$H137="",$H137="NO LAB"),0,IFERROR(VALUE(LEFT($H137,FIND(" ",$H137)-1)),0))</f>
        <v/>
      </c>
      <c r="CI137" s="91">
        <f>IF(OR($A137="",$I137="",$I137="NON-RATED",N($J137)=0),"",IFERROR(VLOOKUP($I137&amp;"|"&amp;$J137,IBC,2,FALSE),"?"))</f>
        <v/>
      </c>
      <c r="CJ137" s="85">
        <f>IF(NOT(AND($A137&lt;&gt;"",$C137&lt;&gt;"DOOR ONLY")),"",TRIM(IFERROR(VLOOKUP($U137,CODES,2,FALSE),"")&amp;" "&amp;$BG137&amp;" "&amp;IFERROR(VLOOKUP($Z137,CODES,2,FALSE),"")&amp;" "&amp;IFERROR(VLOOKUP($X137,CODES,2,FALSE),"")&amp;" "&amp;IFERROR(VLOOKUP($S137,CODES,2,FALSE),"")&amp;IF(N($P137)&gt;0," w/TRANSOM "&amp;$P137&amp;CHAR(34),"")&amp;IF(N($Q137)&gt;0," w/SIDELITE "&amp;$Q137&amp;CHAR(34)&amp;" "&amp;IF($R137="","R",$R137),"")&amp;IF($Y137="","  |  "," | "&amp;IFERROR(VLOOKUP($Y137,CODES,2,FALSE),"")&amp;" | ")&amp;IFERROR(VLOOKUP($AC137,CODES,2,FALSE),"")&amp;" "&amp;IFERROR(VLOOKUP($AD137,CODES,2,FALSE),"")&amp;IF(OR($AE137="",$AE137="-"),""," "&amp;$AE137)&amp;IF(OR($AF137="",$AF137="-"),""," "&amp;$AF137)&amp;IF($AB137="Y"," 4"&amp;CHAR(34)&amp;" HEAD","")&amp;" "&amp;IFERROR(VLOOKUP($H137,CODES,2,FALSE),"")&amp;IF($CT137," | LOC "&amp;$CY137,"")))</f>
        <v/>
      </c>
      <c r="CK137" s="85">
        <f>IF(NOT(AND($A137&lt;&gt;"",N($BJ137)&gt;0)),"",TRIM(IFERROR(VLOOKUP($AH137,CODES,2,FALSE),"")&amp;IF($AI137=""," "," "&amp;$AI137&amp;"GA ")&amp;$BG137&amp;" "&amp;IF($AN137="",IFERROR(VLOOKUP($Z137,CODES,2,FALSE),""),IFERROR(VLOOKUP($AN137,CODES,2,FALSE),""))&amp;IF($BJ137=2," PAIR","")&amp;" DOOR | "&amp;IF($AL137="","?",$AL137)&amp;" | "&amp;IF($AO137="",IFERROR(VLOOKUP($AC137,CODES,2,FALSE),""),IFERROR(VLOOKUP($AO137,CODES,2,FALSE),""))&amp;" "&amp;IFERROR(VLOOKUP($AP137,CODES,2,FALSE),"")&amp;IF(OR($AQ137="",$AQ137="-"),""," SEAM "&amp;$AQ137)&amp;IF($AR137="Y"," ASTRAGAL","")&amp;IF($AJ137=""," "," "&amp;$AJ137)&amp;IF($AK137=""," "," "&amp;$AK137)&amp;IF(OR($AT137="",$AT137="ANSI/SDI",$AT137="CUSTOM LOC"),""," "&amp;$AT137)&amp;IF($AM137=""," "," SERIES "&amp;$AM137)&amp;" "&amp;IFERROR(VLOOKUP($H137,CODES,2,FALSE),"")&amp;IF($CT137," | LOC "&amp;$CZ137,"")))</f>
        <v/>
      </c>
      <c r="CL137" s="84">
        <f>IF(CP137="","",IF(COUNTIF($CP$6:CP137,CP137)=1,MAX($CL$5:CL136)+1,INDEX($CL$5:CL136,MATCH(CP137,$CP$5:CP136,0))))</f>
        <v/>
      </c>
      <c r="CM137" s="84">
        <f>IF(NOT(AND($A137&lt;&gt;"",$C137&lt;&gt;"DOOR ONLY")),"",MAX($CM$5:CM136)+1)</f>
        <v/>
      </c>
      <c r="CN137" s="84">
        <f>IF(NOT(AND($A137&lt;&gt;"",N($BJ137)&gt;0)),"",MAX($CN$5:CN136)+1)</f>
        <v/>
      </c>
      <c r="CO137" s="84">
        <f>IF($A137="","",MAX($CO$5:CO136)+1)</f>
        <v/>
      </c>
      <c r="CP137" s="84">
        <f>IF(OR($A137="",$BH137="",$BI137=""),"",$BG137&amp;"|"&amp;$O137&amp;"|"&amp;$AL137&amp;"|"&amp;$S137&amp;"|"&amp;$P137&amp;"|"&amp;$Q137&amp;$R137&amp;"|"&amp;$C137&amp;"|"&amp;$AB137)</f>
        <v/>
      </c>
      <c r="CQ137" s="84">
        <f>N($BS137)</f>
        <v/>
      </c>
      <c r="CR137" s="84">
        <f>IF(N($AU137)&gt;0,N($AU137),4.5)</f>
        <v/>
      </c>
      <c r="CS137" s="84">
        <f>OR($A137="",$BI137="",$S137="BL",AND($C137="FRAME ONLY",OR($AC137="",$AC137="BLK")))</f>
        <v/>
      </c>
      <c r="CT137" s="84">
        <f>AND(NOT($CS137),OR($AT137="CUSTOM LOC",N($AW137)+N($AX137)+N($AY137)+N($AZ137)+N($BA137)&gt;0))</f>
        <v/>
      </c>
      <c r="CU137" s="84">
        <f>IF($BI137="","",IF($BI137&lt;=80,80,IF($BI137&lt;=84,84,96)))</f>
        <v/>
      </c>
      <c r="CV137" s="84">
        <f>ISNUMBER(MATCH($AT137&amp;"|80",LocKeys,0))</f>
        <v/>
      </c>
      <c r="CW137" s="86">
        <f>IF($CS137,"",IF($CV137,VLOOKUP($AT137&amp;"|"&amp;$CU137,LocTable,4,FALSE),5))</f>
        <v/>
      </c>
      <c r="CX137" s="86">
        <f>IF($CS137,"",IF($CV137,IF(OR($BI137=$CU137,AND($BI137&lt;$CU137,$BI137-IF(N(VLOOKUP($AT137&amp;"|"&amp;$CU137,LocTable,7,FALSE))&gt;0,VLOOKUP($AT137&amp;"|"&amp;$CU137,LocTable,7,FALSE),VLOOKUP($AT137&amp;"|"&amp;$CU137,LocTable,6,FALSE))-$CR137-0.75&gt;=2.125)),IF(N(VLOOKUP($AT137&amp;"|"&amp;$CU137,LocTable,7,FALSE))&gt;0,VLOOKUP($AT137&amp;"|"&amp;$CU137,LocTable,7,FALSE),VLOOKUP($AT137&amp;"|"&amp;$CU137,LocTable,6,FALSE)),$BI137-($CU137-IF(N(VLOOKUP($AT137&amp;"|"&amp;$CU137,LocTable,7,FALSE))&gt;0,VLOOKUP($AT137&amp;"|"&amp;$CU137,LocTable,7,FALSE),VLOOKUP($AT137&amp;"|"&amp;$CU137,LocTable,6,FALSE)))),$BI137-10-$CR137))</f>
        <v/>
      </c>
      <c r="CY137" s="85">
        <f>IF($CS137,"",TRIM(IF(ISNUMBER($BU137),"A "&amp;TRIM(TEXT($BU137,"# ?/??"))&amp;CHAR(34)&amp;"  ","")&amp;IF(ISNUMBER($BV137),"B "&amp;TRIM(TEXT($BV137,"# ?/??"))&amp;CHAR(34)&amp;"  ","")&amp;IF(ISNUMBER($BW137),"C "&amp;TRIM(TEXT($BW137,"# ?/??"))&amp;CHAR(34)&amp;"  ","")&amp;IF(ISNUMBER($BX137),"D "&amp;TRIM(TEXT($BX137,"# ?/??"))&amp;CHAR(34)&amp;"  ","")&amp;IF(ISNUMBER($BY137),"F "&amp;TRIM(TEXT($BY137,"# ?/??"))&amp;CHAR(34)&amp;"  ","")&amp;IF(ISNUMBER($BZ137),"E "&amp;TRIM(TEXT($BZ137,"# ?/??"))&amp;CHAR(34)&amp;"  ","")))</f>
        <v/>
      </c>
      <c r="CZ137" s="85">
        <f>IF(OR($CS137,N($BJ137)=0),"",TRIM(IF(ISNUMBER($BU137),"A "&amp;TRIM(TEXT($BU137-HeadClr,"# ?/??"))&amp;CHAR(34)&amp;"  ","")&amp;IF(ISNUMBER($BV137),"B "&amp;TRIM(TEXT($BV137-HeadClr,"# ?/??"))&amp;CHAR(34)&amp;"  ","")&amp;IF(ISNUMBER($BW137),"C "&amp;TRIM(TEXT($BW137-HeadClr,"# ?/??"))&amp;CHAR(34)&amp;"  ","")&amp;IF(ISNUMBER($BX137),"D "&amp;TRIM(TEXT($BX137-HeadClr,"# ?/??"))&amp;CHAR(34)&amp;"  ","")&amp;IF(ISNUMBER($BY137),"F "&amp;TRIM(TEXT($BY137-HeadClr,"# ?/??"))&amp;CHAR(34)&amp;"  ","")&amp;IF(ISNUMBER($BZ137),"E "&amp;TRIM(TEXT($BZ137-HeadClr,"# ?/??"))&amp;CHAR(34)&amp;"  ","")))</f>
        <v/>
      </c>
      <c r="DA137" s="84">
        <f>IF($A137="","",IF($AN137="",IFERROR(VLOOKUP($Z137,CODES,2,FALSE),""),IFERROR(VLOOKUP($AN137,CODES,2,FALSE),"")))</f>
        <v/>
      </c>
      <c r="DB137" s="84">
        <f>IF($A137="","",IF($O137="Y","PR",IF(OR($Z137="L",$Z137="RR",LEFT($Z137,2)="L-",LEFT($Z137,3)="RR-"),"LH","RH")))</f>
        <v/>
      </c>
      <c r="DC137" s="84">
        <f>IF($A137="","","S.HM"&amp;IF(OR($C137="DOOR ONLY",$X137&lt;&gt;"KD"),"MASONRY","DRYWALL")&amp;IF($C137="DOOR ONLY","",$U137)&amp;IF(AND($C137&lt;&gt;"FRAME ONLY",OR(LEFT($AH137,3)="OAK",LEFT($AH137,3)="BIR",LEFT($AH137,3)="MAP",$AH137="PC",$AH137="MC",$AH137="SCLC",$AH137="P-LAM")),"WD","HM")&amp;"1.75")</f>
        <v/>
      </c>
      <c r="DD137" s="84">
        <f>IF($CJ137="","",IF($O137="Y",$CJ137,SUBSTITUTE($CJ137,$BG137&amp;" "&amp;IFERROR(VLOOKUP($Z137,CODES,2,FALSE),"")&amp;" ",$BG137&amp;" ")))</f>
        <v/>
      </c>
      <c r="DE137" s="84">
        <f>IF($CK137="","",IF($O137="Y",$CK137,SUBSTITUTE($CK137,$BG137&amp;" "&amp;IF($AN137="",IFERROR(VLOOKUP($Z137,CODES,2,FALSE),""),IFERROR(VLOOKUP($AN137,CODES,2,FALSE),""))&amp;" ",$BG137&amp;" ")))</f>
        <v/>
      </c>
      <c r="DF137" s="84">
        <f>IF($CJ137="","",$DC137&amp;"|"&amp;$DD137&amp;"|"&amp;$DB137&amp;"|"&amp;$AT137&amp;"|"&amp;$V137&amp;"|"&amp;$Y137&amp;"|"&amp;$AB137)</f>
        <v/>
      </c>
      <c r="DG137" s="84">
        <f>IF(DF137="","",IF(COUNTIF($DF$6:DF137,DF137)=1,MAX($DG$5:DG136)+1,INDEX($DG$5:DG136,MATCH(DF137,$DF$5:DF136,0))))</f>
        <v/>
      </c>
      <c r="DH137" s="84">
        <f>IF($CK137="","",$DC137&amp;"|"&amp;$DE137&amp;"|"&amp;$AI137&amp;"|"&amp;$BK137&amp;"|"&amp;$BL137)</f>
        <v/>
      </c>
      <c r="DI137" s="84">
        <f>IF(DH137="","",IF(COUNTIF($DH$6:DH137,DH137)=1,MAX($DI$5:DI136)+1,INDEX($DI$5:DI136,MATCH(DH137,$DH$5:DH136,0))))</f>
        <v/>
      </c>
      <c r="DJ137" s="84">
        <f>IF($A137="","",IF($B137="","qty, ","")&amp;IF($C137="","scope, ","")&amp;IF(OR($K137="",$M137=""),"size, ","")&amp;IF(AND($A137&lt;&gt;"",$C137&lt;&gt;"DOOR ONLY"),IF($U137="","jamb depth, ","")&amp;IF($X137="","construction, ","")&amp;IF($Y137="","anchor, ","")&amp;IF($S137="","frame type, ",""),"")&amp;IF(AND(N($BJ137)&gt;0,$Z137=""),"hand, ","")&amp;IF(N($BJ137)&gt;0,IF($AH137="","door material, ","")&amp;IF($AL137="","face type, ","")&amp;IF($AP137="","lock prep, ","")&amp;IF(AND($AO137="",$AC137=""),"hinge prep, ",""),"")&amp;IF(AND($CH137&gt;0,$AH137="FRP"),"FRP cannot carry a label, ","")&amp;IF(AND($O137="Y",OR($Z137="L",$Z137="R",$Z137="LR",$Z137="RR")),"pair marked but hand is single, ","")&amp;IF(AND($O137&lt;&gt;"Y",OR($Z137="PR",AND(LEN($Z137)&gt;1,ISNUMBER(SEARCH("-",$Z137))))),"pair hand on a single door, ","")&amp;IF(AND(ISNUMBER($CI137),$CH137&lt;N($CI137)),"wall needs a "&amp;$CI137&amp;" min door, ","")&amp;IF(AND($CH137&gt;=180,AND(OR($CE137="FG",$CE137="HG",$CE137="FNV",$CE137="FV"),N($CF137)*N($CG137)&gt;100)),"180 min lite over 100 sq in, ","")&amp;IF(N($BK137)&gt;48,"leaf wider than 4'-0"&amp;CHAR(34)&amp;", ","")&amp;IF(AND($CT137,COUNT($AW137:$AZ137)=0,$CQ137&gt;0),"CUSTOM LOC with no locations typed, ",""))</f>
        <v/>
      </c>
      <c r="DK137" s="84">
        <f>IF($A137="","",IF(AND($CH137&gt;0,AND($A137&lt;&gt;"",$C137&lt;&gt;"DOOR ONLY"),$X137="KD",$E137="EXTERIOR"),"KD label on an exterior opening, ","")&amp;IF(AND($E137="EXTERIOR",OR(AND(AND($A137&lt;&gt;"",$C137&lt;&gt;"DOOR ONLY"),$W137="CR"),AND(N($BJ137)&gt;0,$AH137="CR"))),"exterior in CR steel (G9?), ","")&amp;IF(AND(ISNUMBER($BQ137),N($BQ137)&lt;32),"clear width ~"&amp;TEXT($BQ137,"0.0")&amp;CHAR(34)&amp;" under 32"&amp;CHAR(34)&amp;" (ADA), ","")&amp;IF(AND($CH137=90,AND(OR($CE137="FG",$CE137="HG",$CE137="FNV",$CE137="FV"),N($CF137)*N($CG137)&gt;100)),"90 min lite over 100 sq in (stair/exit), ","")&amp;IF(AND($CH137&gt;0,AND($A137&lt;&gt;"",$C137&lt;&gt;"DOOR ONLY"),OR($AF137="",$AF137="-")),"rated: closer reinf.?, ","")&amp;IF(OR($I137="CORRIDOR",$I137="SMOKE BARRIER"),"S label + smoke gasketing, ","")&amp;IF($CI137="?","wall type/hr not in IBC table, ","")&amp;IF(AND(N($BJ137)&gt;0,$BB137=""),"no hardware set, ","")&amp;IF(AND($BB137&lt;&gt;"",ISNA(MATCH($BB137&amp;"",HWSets,0))),"set "&amp;$BB137&amp;" not on HW Sets, ","")&amp;IF(N($BL137)&gt;96,"leaf over 8'-0"&amp;CHAR(34)&amp;" - check listing, ","")&amp;IF(AND($CT137,COUNT($AW137:$AZ137)&gt;0,COUNT($AW137:$AZ137)&lt;&gt;$CQ137),COUNT($AW137:$AZ137)&amp;" custom hinges typed, "&amp;$CQ137&amp;" expected, ","")&amp;IF(AND(ISNUMBER($CA137),OR(N($CA137)&lt;34,N($CA137)&gt;48)),"lock "&amp;TEXT($CA137,"0.0")&amp;CHAR(34)&amp;" AFF outside 34-48"&amp;CHAR(34)&amp;" (ADA), ","")&amp;IF(AND(ISNUMBER($AV137),ISNUMBER($BL137),N($AV137)&lt;IF(N($BL137)&lt;=60,2,IF(N($BL137)&lt;=90,3,IF(N($BL137)&lt;=120,4,5)))),"fewer hinges than standard, ",""))</f>
        <v/>
      </c>
    </row>
    <row r="138" ht="15" customHeight="1">
      <c r="A138" s="77" t="n"/>
      <c r="B138" s="78" t="n"/>
      <c r="C138" s="78" t="n"/>
      <c r="D138" s="78" t="n"/>
      <c r="E138" s="78" t="n"/>
      <c r="F138" s="78" t="n"/>
      <c r="G138" s="78" t="n"/>
      <c r="H138" s="78" t="n"/>
      <c r="I138" s="78" t="n"/>
      <c r="J138" s="78" t="n"/>
      <c r="K138" s="78" t="n"/>
      <c r="L138" s="78" t="n"/>
      <c r="M138" s="78" t="n"/>
      <c r="N138" s="78" t="n"/>
      <c r="O138" s="78" t="n"/>
      <c r="P138" s="78" t="n"/>
      <c r="Q138" s="78" t="n"/>
      <c r="R138" s="78" t="n"/>
      <c r="S138" s="79" t="n"/>
      <c r="T138" s="79" t="n"/>
      <c r="U138" s="79" t="n"/>
      <c r="V138" s="79" t="n"/>
      <c r="W138" s="79" t="n"/>
      <c r="X138" s="79" t="n"/>
      <c r="Y138" s="79" t="n"/>
      <c r="Z138" s="79" t="n"/>
      <c r="AA138" s="79" t="n"/>
      <c r="AB138" s="79" t="n"/>
      <c r="AC138" s="79" t="n"/>
      <c r="AD138" s="79" t="n"/>
      <c r="AE138" s="79" t="n"/>
      <c r="AF138" s="79" t="n"/>
      <c r="AG138" s="79" t="n"/>
      <c r="AH138" s="80" t="n"/>
      <c r="AI138" s="80" t="n"/>
      <c r="AJ138" s="80" t="n"/>
      <c r="AK138" s="80" t="n"/>
      <c r="AL138" s="80" t="n"/>
      <c r="AM138" s="80" t="n"/>
      <c r="AN138" s="80" t="n"/>
      <c r="AO138" s="80" t="n"/>
      <c r="AP138" s="80" t="n"/>
      <c r="AQ138" s="80" t="n"/>
      <c r="AR138" s="80" t="n"/>
      <c r="AS138" s="80" t="n"/>
      <c r="AT138" s="81" t="n"/>
      <c r="AU138" s="81" t="n"/>
      <c r="AV138" s="81" t="n"/>
      <c r="AW138" s="82" t="n"/>
      <c r="AX138" s="82" t="n"/>
      <c r="AY138" s="82" t="n"/>
      <c r="AZ138" s="82" t="n"/>
      <c r="BA138" s="82" t="n"/>
      <c r="BB138" s="83" t="n"/>
      <c r="BC138" s="83" t="n"/>
      <c r="BD138" s="84">
        <f>IF($A138="","",IF($DJ138&lt;&gt;"","FIX",IF($DK138&lt;&gt;"","CHECK","OK")))</f>
        <v/>
      </c>
      <c r="BE138" s="85">
        <f>IF($A138="","",IF($DJ138&lt;&gt;"","FIX: "&amp;LEFT($DJ138,LEN($DJ138)-2)&amp;IF($DK138&lt;&gt;"","  ·  ",""),"")&amp;IF($DK138&lt;&gt;"","CHECK: "&amp;LEFT($DK138,LEN($DK138)-2),""))</f>
        <v/>
      </c>
      <c r="BF138" s="84">
        <f>IF(OR($A138="",$K138=""),"",$K138&amp;"'-"&amp;N($L138)&amp;CHAR(34)&amp;" x "&amp;$M138&amp;"'-"&amp;N($N138)&amp;CHAR(34))</f>
        <v/>
      </c>
      <c r="BG138" s="84">
        <f>IF(OR($A138="",$K138=""),"",$K138&amp;N($L138)&amp;$M138&amp;N($N138))</f>
        <v/>
      </c>
      <c r="BH138" s="84">
        <f>IF(OR($A138="",$K138=""),"",$K138*12+N($L138))</f>
        <v/>
      </c>
      <c r="BI138" s="84">
        <f>IF(OR($A138="",$M138=""),"",$M138*12+N($N138))</f>
        <v/>
      </c>
      <c r="BJ138" s="84">
        <f>IF($A138="","",IF(OR($C138="FRAME ONLY",$S138="BL"),0,IF($O138="Y",2,1)))</f>
        <v/>
      </c>
      <c r="BK138" s="86">
        <f>IF(OR(N($BJ138)=0,$BH138=""),"",($BH138-2*EdgeClr-IF($BJ138=2,MeetClr,0))/$BJ138)</f>
        <v/>
      </c>
      <c r="BL138" s="86">
        <f>IF(OR(N($BJ138)=0,$BI138=""),"",$BI138-HeadClr-Undercut)</f>
        <v/>
      </c>
      <c r="BM138" s="86">
        <f>IF($BH138="","",$BH138+2*FaceW+IF(N($Q138)&gt;0,($Q138+FaceW)*IF($R138="LR",2,1),0))</f>
        <v/>
      </c>
      <c r="BN138" s="86">
        <f>IF($BI138="","",$BI138+IF($AB138="Y",4,FaceW)+IF(N($P138)&gt;0,$P138+FaceW,0)+IF(OR($S138="4F",$S138="BL"),FaceW,0))</f>
        <v/>
      </c>
      <c r="BO138" s="86">
        <f>IF($BM138="","",$BM138+2*ROSide)</f>
        <v/>
      </c>
      <c r="BP138" s="86">
        <f>IF($BN138="","",$BN138+ROTop)</f>
        <v/>
      </c>
      <c r="BQ138" s="87">
        <f>IF(OR(N($BJ138)=0,$BH138=""),"",$BH138/$BJ138-ClearDeduct)</f>
        <v/>
      </c>
      <c r="BR138" s="84">
        <f>IF(N($CH138)=0,"",IF($CH138&gt;=180,"A · 3 HR",IF($CH138&gt;=90,"B · 1-1/2 HR",IF($CH138&gt;=60,"B · 1 HR",IF($CH138&gt;=45,"C · 3/4 HR","20 MIN")))))&amp;IF(AND(N($CH138)&gt;0,OR($I138="CORRIDOR",$I138="SMOKE BARRIER"))," · S","")</f>
        <v/>
      </c>
      <c r="BS138" s="84">
        <f>IF($CS138,"",IF($AV138&lt;&gt;"",$AV138,IF(OR($AC138="HGC",$AO138="HGC"),"CONT",IF(($BI138-HeadClr-Undercut)&lt;=60,2,IF(($BI138-HeadClr-Undercut)&lt;=90,3,IF(($BI138-HeadClr-Undercut)&lt;=120,4,5))))))</f>
        <v/>
      </c>
      <c r="BT138" s="84">
        <f>IF($CS138,"",IF($CT138,"CUSTOM (typed)",IF($CV138,$AT138&amp;" "&amp;$CU138&amp;CHAR(34)&amp;IF($CU138&lt;&gt;$BI138,IF(AND($BI138&lt;$CU138,$BI138-IF(N(VLOOKUP($AT138&amp;"|"&amp;$CU138,LocTable,7,FALSE))&gt;0,VLOOKUP($AT138&amp;"|"&amp;$CU138,LocTable,7,FALSE),VLOOKUP($AT138&amp;"|"&amp;$CU138,LocTable,6,FALSE))-$CR138-0.75&gt;=2.125)," cut down"," adj."),""),"ANSI/SDI A250.6")))</f>
        <v/>
      </c>
      <c r="BU138" s="88">
        <f>IF($CS138,"",IF($CT138,IF(N($AW138)&gt;0,N($AW138),""),IF(1&gt;$CQ138,"",IF($CQ138=1,$CW138,$CW138+($CX138-$CW138)*0/($CQ138-1)))))</f>
        <v/>
      </c>
      <c r="BV138" s="88">
        <f>IF($CS138,"",IF($CT138,IF(N($AX138)&gt;0,N($AX138),""),IF(2&gt;$CQ138,"",IF($CQ138=1,$CW138,$CW138+($CX138-$CW138)*1/($CQ138-1)))))</f>
        <v/>
      </c>
      <c r="BW138" s="88">
        <f>IF($CS138,"",IF($CT138,IF(N($AY138)&gt;0,N($AY138),""),IF(3&gt;$CQ138,"",IF($CQ138=1,$CW138,$CW138+($CX138-$CW138)*2/($CQ138-1)))))</f>
        <v/>
      </c>
      <c r="BX138" s="88">
        <f>IF($CS138,"",IF($CT138,IF(N($AZ138)&gt;0,N($AZ138),""),IF(4&gt;$CQ138,"",IF($CQ138=1,$CW138,$CW138+($CX138-$CW138)*3/($CQ138-1)))))</f>
        <v/>
      </c>
      <c r="BY138" s="88">
        <f>IF($CS138,"",IF($CT138,"",IF(5&gt;$CQ138,"",IF($CQ138=1,$CW138,$CW138+($CX138-$CW138)*4/($CQ138-1)))))</f>
        <v/>
      </c>
      <c r="BZ138" s="88">
        <f>IF(OR($CS138,$AP138="-",AND($AP138="",$AD138="")),"",IF(N($BA138)&gt;0,N($BA138),IF($CV138,IF(AND($BI138&lt;$CU138,$BI138-IF(N(VLOOKUP($AT138&amp;"|"&amp;$CU138,LocTable,7,FALSE))&gt;0,VLOOKUP($AT138&amp;"|"&amp;$CU138,LocTable,7,FALSE),VLOOKUP($AT138&amp;"|"&amp;$CU138,LocTable,6,FALSE))-$CR138-0.75&gt;=2.125),VLOOKUP($AT138&amp;"|"&amp;$CU138,LocTable,8,FALSE),VLOOKUP($AT138&amp;"|"&amp;$CU138,LocTable,8,FALSE)+($BI138-$CU138)),$BI138-LockAFF)))</f>
        <v/>
      </c>
      <c r="CA138" s="89">
        <f>IF($BZ138="","",$BI138-$BZ138)</f>
        <v/>
      </c>
      <c r="CB138" s="84">
        <f>IF(OR(NOT(AND($A138&lt;&gt;"",$C138&lt;&gt;"DOOR ONLY")),$BI138=""),"",IF(($BI138+IF(N($P138)&gt;0,$P138+FaceW,0))&lt;=90,3,IF(($BI138+IF(N($P138)&gt;0,$P138+FaceW,0))&lt;=114,4,5)))</f>
        <v/>
      </c>
      <c r="CC138" s="84">
        <f>IF($CB138="","",$CB138*(2+IF(N($Q138)&gt;0,IF($R138="LR",2,1),0)))</f>
        <v/>
      </c>
      <c r="CD138" s="84">
        <f>IF($CB138="","",(2+IF(N($Q138)&gt;0,IF($R138="LR",2,1),0)))</f>
        <v/>
      </c>
      <c r="CE138" s="84">
        <f>IF(N($BJ138)=0,"",IF(OR($AL138="",$AL138="FLUSH"),"FLUSH",IFERROR(LEFT($AL138,FIND("-",$AL138)-1),LEFT($AL138,2))))</f>
        <v/>
      </c>
      <c r="CF138" s="84">
        <f>IF($CE138="","",IFERROR(VALUE(MID($AL138,FIND("-",$AL138)+1,FIND(CHAR(34)&amp;"x",$AL138)-FIND("-",$AL138)-1)),0))</f>
        <v/>
      </c>
      <c r="CG138" s="84">
        <f>IF($CE138="","",IFERROR(VALUE(MID($AL138,FIND(CHAR(34)&amp;"x",$AL138)+2,FIND(CHAR(34),$AL138,FIND(CHAR(34)&amp;"x",$AL138)+2)-FIND(CHAR(34)&amp;"x",$AL138)-2)),0))</f>
        <v/>
      </c>
      <c r="CH138" s="90">
        <f>IF(OR($A138="",$H138="",$H138="NO LAB"),0,IFERROR(VALUE(LEFT($H138,FIND(" ",$H138)-1)),0))</f>
        <v/>
      </c>
      <c r="CI138" s="91">
        <f>IF(OR($A138="",$I138="",$I138="NON-RATED",N($J138)=0),"",IFERROR(VLOOKUP($I138&amp;"|"&amp;$J138,IBC,2,FALSE),"?"))</f>
        <v/>
      </c>
      <c r="CJ138" s="85">
        <f>IF(NOT(AND($A138&lt;&gt;"",$C138&lt;&gt;"DOOR ONLY")),"",TRIM(IFERROR(VLOOKUP($U138,CODES,2,FALSE),"")&amp;" "&amp;$BG138&amp;" "&amp;IFERROR(VLOOKUP($Z138,CODES,2,FALSE),"")&amp;" "&amp;IFERROR(VLOOKUP($X138,CODES,2,FALSE),"")&amp;" "&amp;IFERROR(VLOOKUP($S138,CODES,2,FALSE),"")&amp;IF(N($P138)&gt;0," w/TRANSOM "&amp;$P138&amp;CHAR(34),"")&amp;IF(N($Q138)&gt;0," w/SIDELITE "&amp;$Q138&amp;CHAR(34)&amp;" "&amp;IF($R138="","R",$R138),"")&amp;IF($Y138="","  |  "," | "&amp;IFERROR(VLOOKUP($Y138,CODES,2,FALSE),"")&amp;" | ")&amp;IFERROR(VLOOKUP($AC138,CODES,2,FALSE),"")&amp;" "&amp;IFERROR(VLOOKUP($AD138,CODES,2,FALSE),"")&amp;IF(OR($AE138="",$AE138="-"),""," "&amp;$AE138)&amp;IF(OR($AF138="",$AF138="-"),""," "&amp;$AF138)&amp;IF($AB138="Y"," 4"&amp;CHAR(34)&amp;" HEAD","")&amp;" "&amp;IFERROR(VLOOKUP($H138,CODES,2,FALSE),"")&amp;IF($CT138," | LOC "&amp;$CY138,"")))</f>
        <v/>
      </c>
      <c r="CK138" s="85">
        <f>IF(NOT(AND($A138&lt;&gt;"",N($BJ138)&gt;0)),"",TRIM(IFERROR(VLOOKUP($AH138,CODES,2,FALSE),"")&amp;IF($AI138=""," "," "&amp;$AI138&amp;"GA ")&amp;$BG138&amp;" "&amp;IF($AN138="",IFERROR(VLOOKUP($Z138,CODES,2,FALSE),""),IFERROR(VLOOKUP($AN138,CODES,2,FALSE),""))&amp;IF($BJ138=2," PAIR","")&amp;" DOOR | "&amp;IF($AL138="","?",$AL138)&amp;" | "&amp;IF($AO138="",IFERROR(VLOOKUP($AC138,CODES,2,FALSE),""),IFERROR(VLOOKUP($AO138,CODES,2,FALSE),""))&amp;" "&amp;IFERROR(VLOOKUP($AP138,CODES,2,FALSE),"")&amp;IF(OR($AQ138="",$AQ138="-"),""," SEAM "&amp;$AQ138)&amp;IF($AR138="Y"," ASTRAGAL","")&amp;IF($AJ138=""," "," "&amp;$AJ138)&amp;IF($AK138=""," "," "&amp;$AK138)&amp;IF(OR($AT138="",$AT138="ANSI/SDI",$AT138="CUSTOM LOC"),""," "&amp;$AT138)&amp;IF($AM138=""," "," SERIES "&amp;$AM138)&amp;" "&amp;IFERROR(VLOOKUP($H138,CODES,2,FALSE),"")&amp;IF($CT138," | LOC "&amp;$CZ138,"")))</f>
        <v/>
      </c>
      <c r="CL138" s="84">
        <f>IF(CP138="","",IF(COUNTIF($CP$6:CP138,CP138)=1,MAX($CL$5:CL137)+1,INDEX($CL$5:CL137,MATCH(CP138,$CP$5:CP137,0))))</f>
        <v/>
      </c>
      <c r="CM138" s="84">
        <f>IF(NOT(AND($A138&lt;&gt;"",$C138&lt;&gt;"DOOR ONLY")),"",MAX($CM$5:CM137)+1)</f>
        <v/>
      </c>
      <c r="CN138" s="84">
        <f>IF(NOT(AND($A138&lt;&gt;"",N($BJ138)&gt;0)),"",MAX($CN$5:CN137)+1)</f>
        <v/>
      </c>
      <c r="CO138" s="84">
        <f>IF($A138="","",MAX($CO$5:CO137)+1)</f>
        <v/>
      </c>
      <c r="CP138" s="84">
        <f>IF(OR($A138="",$BH138="",$BI138=""),"",$BG138&amp;"|"&amp;$O138&amp;"|"&amp;$AL138&amp;"|"&amp;$S138&amp;"|"&amp;$P138&amp;"|"&amp;$Q138&amp;$R138&amp;"|"&amp;$C138&amp;"|"&amp;$AB138)</f>
        <v/>
      </c>
      <c r="CQ138" s="84">
        <f>N($BS138)</f>
        <v/>
      </c>
      <c r="CR138" s="84">
        <f>IF(N($AU138)&gt;0,N($AU138),4.5)</f>
        <v/>
      </c>
      <c r="CS138" s="84">
        <f>OR($A138="",$BI138="",$S138="BL",AND($C138="FRAME ONLY",OR($AC138="",$AC138="BLK")))</f>
        <v/>
      </c>
      <c r="CT138" s="84">
        <f>AND(NOT($CS138),OR($AT138="CUSTOM LOC",N($AW138)+N($AX138)+N($AY138)+N($AZ138)+N($BA138)&gt;0))</f>
        <v/>
      </c>
      <c r="CU138" s="84">
        <f>IF($BI138="","",IF($BI138&lt;=80,80,IF($BI138&lt;=84,84,96)))</f>
        <v/>
      </c>
      <c r="CV138" s="84">
        <f>ISNUMBER(MATCH($AT138&amp;"|80",LocKeys,0))</f>
        <v/>
      </c>
      <c r="CW138" s="86">
        <f>IF($CS138,"",IF($CV138,VLOOKUP($AT138&amp;"|"&amp;$CU138,LocTable,4,FALSE),5))</f>
        <v/>
      </c>
      <c r="CX138" s="86">
        <f>IF($CS138,"",IF($CV138,IF(OR($BI138=$CU138,AND($BI138&lt;$CU138,$BI138-IF(N(VLOOKUP($AT138&amp;"|"&amp;$CU138,LocTable,7,FALSE))&gt;0,VLOOKUP($AT138&amp;"|"&amp;$CU138,LocTable,7,FALSE),VLOOKUP($AT138&amp;"|"&amp;$CU138,LocTable,6,FALSE))-$CR138-0.75&gt;=2.125)),IF(N(VLOOKUP($AT138&amp;"|"&amp;$CU138,LocTable,7,FALSE))&gt;0,VLOOKUP($AT138&amp;"|"&amp;$CU138,LocTable,7,FALSE),VLOOKUP($AT138&amp;"|"&amp;$CU138,LocTable,6,FALSE)),$BI138-($CU138-IF(N(VLOOKUP($AT138&amp;"|"&amp;$CU138,LocTable,7,FALSE))&gt;0,VLOOKUP($AT138&amp;"|"&amp;$CU138,LocTable,7,FALSE),VLOOKUP($AT138&amp;"|"&amp;$CU138,LocTable,6,FALSE)))),$BI138-10-$CR138))</f>
        <v/>
      </c>
      <c r="CY138" s="85">
        <f>IF($CS138,"",TRIM(IF(ISNUMBER($BU138),"A "&amp;TRIM(TEXT($BU138,"# ?/??"))&amp;CHAR(34)&amp;"  ","")&amp;IF(ISNUMBER($BV138),"B "&amp;TRIM(TEXT($BV138,"# ?/??"))&amp;CHAR(34)&amp;"  ","")&amp;IF(ISNUMBER($BW138),"C "&amp;TRIM(TEXT($BW138,"# ?/??"))&amp;CHAR(34)&amp;"  ","")&amp;IF(ISNUMBER($BX138),"D "&amp;TRIM(TEXT($BX138,"# ?/??"))&amp;CHAR(34)&amp;"  ","")&amp;IF(ISNUMBER($BY138),"F "&amp;TRIM(TEXT($BY138,"# ?/??"))&amp;CHAR(34)&amp;"  ","")&amp;IF(ISNUMBER($BZ138),"E "&amp;TRIM(TEXT($BZ138,"# ?/??"))&amp;CHAR(34)&amp;"  ","")))</f>
        <v/>
      </c>
      <c r="CZ138" s="85">
        <f>IF(OR($CS138,N($BJ138)=0),"",TRIM(IF(ISNUMBER($BU138),"A "&amp;TRIM(TEXT($BU138-HeadClr,"# ?/??"))&amp;CHAR(34)&amp;"  ","")&amp;IF(ISNUMBER($BV138),"B "&amp;TRIM(TEXT($BV138-HeadClr,"# ?/??"))&amp;CHAR(34)&amp;"  ","")&amp;IF(ISNUMBER($BW138),"C "&amp;TRIM(TEXT($BW138-HeadClr,"# ?/??"))&amp;CHAR(34)&amp;"  ","")&amp;IF(ISNUMBER($BX138),"D "&amp;TRIM(TEXT($BX138-HeadClr,"# ?/??"))&amp;CHAR(34)&amp;"  ","")&amp;IF(ISNUMBER($BY138),"F "&amp;TRIM(TEXT($BY138-HeadClr,"# ?/??"))&amp;CHAR(34)&amp;"  ","")&amp;IF(ISNUMBER($BZ138),"E "&amp;TRIM(TEXT($BZ138-HeadClr,"# ?/??"))&amp;CHAR(34)&amp;"  ","")))</f>
        <v/>
      </c>
      <c r="DA138" s="84">
        <f>IF($A138="","",IF($AN138="",IFERROR(VLOOKUP($Z138,CODES,2,FALSE),""),IFERROR(VLOOKUP($AN138,CODES,2,FALSE),"")))</f>
        <v/>
      </c>
      <c r="DB138" s="84">
        <f>IF($A138="","",IF($O138="Y","PR",IF(OR($Z138="L",$Z138="RR",LEFT($Z138,2)="L-",LEFT($Z138,3)="RR-"),"LH","RH")))</f>
        <v/>
      </c>
      <c r="DC138" s="84">
        <f>IF($A138="","","S.HM"&amp;IF(OR($C138="DOOR ONLY",$X138&lt;&gt;"KD"),"MASONRY","DRYWALL")&amp;IF($C138="DOOR ONLY","",$U138)&amp;IF(AND($C138&lt;&gt;"FRAME ONLY",OR(LEFT($AH138,3)="OAK",LEFT($AH138,3)="BIR",LEFT($AH138,3)="MAP",$AH138="PC",$AH138="MC",$AH138="SCLC",$AH138="P-LAM")),"WD","HM")&amp;"1.75")</f>
        <v/>
      </c>
      <c r="DD138" s="84">
        <f>IF($CJ138="","",IF($O138="Y",$CJ138,SUBSTITUTE($CJ138,$BG138&amp;" "&amp;IFERROR(VLOOKUP($Z138,CODES,2,FALSE),"")&amp;" ",$BG138&amp;" ")))</f>
        <v/>
      </c>
      <c r="DE138" s="84">
        <f>IF($CK138="","",IF($O138="Y",$CK138,SUBSTITUTE($CK138,$BG138&amp;" "&amp;IF($AN138="",IFERROR(VLOOKUP($Z138,CODES,2,FALSE),""),IFERROR(VLOOKUP($AN138,CODES,2,FALSE),""))&amp;" ",$BG138&amp;" ")))</f>
        <v/>
      </c>
      <c r="DF138" s="84">
        <f>IF($CJ138="","",$DC138&amp;"|"&amp;$DD138&amp;"|"&amp;$DB138&amp;"|"&amp;$AT138&amp;"|"&amp;$V138&amp;"|"&amp;$Y138&amp;"|"&amp;$AB138)</f>
        <v/>
      </c>
      <c r="DG138" s="84">
        <f>IF(DF138="","",IF(COUNTIF($DF$6:DF138,DF138)=1,MAX($DG$5:DG137)+1,INDEX($DG$5:DG137,MATCH(DF138,$DF$5:DF137,0))))</f>
        <v/>
      </c>
      <c r="DH138" s="84">
        <f>IF($CK138="","",$DC138&amp;"|"&amp;$DE138&amp;"|"&amp;$AI138&amp;"|"&amp;$BK138&amp;"|"&amp;$BL138)</f>
        <v/>
      </c>
      <c r="DI138" s="84">
        <f>IF(DH138="","",IF(COUNTIF($DH$6:DH138,DH138)=1,MAX($DI$5:DI137)+1,INDEX($DI$5:DI137,MATCH(DH138,$DH$5:DH137,0))))</f>
        <v/>
      </c>
      <c r="DJ138" s="84">
        <f>IF($A138="","",IF($B138="","qty, ","")&amp;IF($C138="","scope, ","")&amp;IF(OR($K138="",$M138=""),"size, ","")&amp;IF(AND($A138&lt;&gt;"",$C138&lt;&gt;"DOOR ONLY"),IF($U138="","jamb depth, ","")&amp;IF($X138="","construction, ","")&amp;IF($Y138="","anchor, ","")&amp;IF($S138="","frame type, ",""),"")&amp;IF(AND(N($BJ138)&gt;0,$Z138=""),"hand, ","")&amp;IF(N($BJ138)&gt;0,IF($AH138="","door material, ","")&amp;IF($AL138="","face type, ","")&amp;IF($AP138="","lock prep, ","")&amp;IF(AND($AO138="",$AC138=""),"hinge prep, ",""),"")&amp;IF(AND($CH138&gt;0,$AH138="FRP"),"FRP cannot carry a label, ","")&amp;IF(AND($O138="Y",OR($Z138="L",$Z138="R",$Z138="LR",$Z138="RR")),"pair marked but hand is single, ","")&amp;IF(AND($O138&lt;&gt;"Y",OR($Z138="PR",AND(LEN($Z138)&gt;1,ISNUMBER(SEARCH("-",$Z138))))),"pair hand on a single door, ","")&amp;IF(AND(ISNUMBER($CI138),$CH138&lt;N($CI138)),"wall needs a "&amp;$CI138&amp;" min door, ","")&amp;IF(AND($CH138&gt;=180,AND(OR($CE138="FG",$CE138="HG",$CE138="FNV",$CE138="FV"),N($CF138)*N($CG138)&gt;100)),"180 min lite over 100 sq in, ","")&amp;IF(N($BK138)&gt;48,"leaf wider than 4'-0"&amp;CHAR(34)&amp;", ","")&amp;IF(AND($CT138,COUNT($AW138:$AZ138)=0,$CQ138&gt;0),"CUSTOM LOC with no locations typed, ",""))</f>
        <v/>
      </c>
      <c r="DK138" s="84">
        <f>IF($A138="","",IF(AND($CH138&gt;0,AND($A138&lt;&gt;"",$C138&lt;&gt;"DOOR ONLY"),$X138="KD",$E138="EXTERIOR"),"KD label on an exterior opening, ","")&amp;IF(AND($E138="EXTERIOR",OR(AND(AND($A138&lt;&gt;"",$C138&lt;&gt;"DOOR ONLY"),$W138="CR"),AND(N($BJ138)&gt;0,$AH138="CR"))),"exterior in CR steel (G9?), ","")&amp;IF(AND(ISNUMBER($BQ138),N($BQ138)&lt;32),"clear width ~"&amp;TEXT($BQ138,"0.0")&amp;CHAR(34)&amp;" under 32"&amp;CHAR(34)&amp;" (ADA), ","")&amp;IF(AND($CH138=90,AND(OR($CE138="FG",$CE138="HG",$CE138="FNV",$CE138="FV"),N($CF138)*N($CG138)&gt;100)),"90 min lite over 100 sq in (stair/exit), ","")&amp;IF(AND($CH138&gt;0,AND($A138&lt;&gt;"",$C138&lt;&gt;"DOOR ONLY"),OR($AF138="",$AF138="-")),"rated: closer reinf.?, ","")&amp;IF(OR($I138="CORRIDOR",$I138="SMOKE BARRIER"),"S label + smoke gasketing, ","")&amp;IF($CI138="?","wall type/hr not in IBC table, ","")&amp;IF(AND(N($BJ138)&gt;0,$BB138=""),"no hardware set, ","")&amp;IF(AND($BB138&lt;&gt;"",ISNA(MATCH($BB138&amp;"",HWSets,0))),"set "&amp;$BB138&amp;" not on HW Sets, ","")&amp;IF(N($BL138)&gt;96,"leaf over 8'-0"&amp;CHAR(34)&amp;" - check listing, ","")&amp;IF(AND($CT138,COUNT($AW138:$AZ138)&gt;0,COUNT($AW138:$AZ138)&lt;&gt;$CQ138),COUNT($AW138:$AZ138)&amp;" custom hinges typed, "&amp;$CQ138&amp;" expected, ","")&amp;IF(AND(ISNUMBER($CA138),OR(N($CA138)&lt;34,N($CA138)&gt;48)),"lock "&amp;TEXT($CA138,"0.0")&amp;CHAR(34)&amp;" AFF outside 34-48"&amp;CHAR(34)&amp;" (ADA), ","")&amp;IF(AND(ISNUMBER($AV138),ISNUMBER($BL138),N($AV138)&lt;IF(N($BL138)&lt;=60,2,IF(N($BL138)&lt;=90,3,IF(N($BL138)&lt;=120,4,5)))),"fewer hinges than standard, ",""))</f>
        <v/>
      </c>
    </row>
    <row r="139" ht="15" customHeight="1">
      <c r="A139" s="77" t="n"/>
      <c r="B139" s="78" t="n"/>
      <c r="C139" s="78" t="n"/>
      <c r="D139" s="78" t="n"/>
      <c r="E139" s="78" t="n"/>
      <c r="F139" s="78" t="n"/>
      <c r="G139" s="78" t="n"/>
      <c r="H139" s="78" t="n"/>
      <c r="I139" s="78" t="n"/>
      <c r="J139" s="78" t="n"/>
      <c r="K139" s="78" t="n"/>
      <c r="L139" s="78" t="n"/>
      <c r="M139" s="78" t="n"/>
      <c r="N139" s="78" t="n"/>
      <c r="O139" s="78" t="n"/>
      <c r="P139" s="78" t="n"/>
      <c r="Q139" s="78" t="n"/>
      <c r="R139" s="78" t="n"/>
      <c r="S139" s="79" t="n"/>
      <c r="T139" s="79" t="n"/>
      <c r="U139" s="79" t="n"/>
      <c r="V139" s="79" t="n"/>
      <c r="W139" s="79" t="n"/>
      <c r="X139" s="79" t="n"/>
      <c r="Y139" s="79" t="n"/>
      <c r="Z139" s="79" t="n"/>
      <c r="AA139" s="79" t="n"/>
      <c r="AB139" s="79" t="n"/>
      <c r="AC139" s="79" t="n"/>
      <c r="AD139" s="79" t="n"/>
      <c r="AE139" s="79" t="n"/>
      <c r="AF139" s="79" t="n"/>
      <c r="AG139" s="79" t="n"/>
      <c r="AH139" s="80" t="n"/>
      <c r="AI139" s="80" t="n"/>
      <c r="AJ139" s="80" t="n"/>
      <c r="AK139" s="80" t="n"/>
      <c r="AL139" s="80" t="n"/>
      <c r="AM139" s="80" t="n"/>
      <c r="AN139" s="80" t="n"/>
      <c r="AO139" s="80" t="n"/>
      <c r="AP139" s="80" t="n"/>
      <c r="AQ139" s="80" t="n"/>
      <c r="AR139" s="80" t="n"/>
      <c r="AS139" s="80" t="n"/>
      <c r="AT139" s="81" t="n"/>
      <c r="AU139" s="81" t="n"/>
      <c r="AV139" s="81" t="n"/>
      <c r="AW139" s="82" t="n"/>
      <c r="AX139" s="82" t="n"/>
      <c r="AY139" s="82" t="n"/>
      <c r="AZ139" s="82" t="n"/>
      <c r="BA139" s="82" t="n"/>
      <c r="BB139" s="83" t="n"/>
      <c r="BC139" s="83" t="n"/>
      <c r="BD139" s="84">
        <f>IF($A139="","",IF($DJ139&lt;&gt;"","FIX",IF($DK139&lt;&gt;"","CHECK","OK")))</f>
        <v/>
      </c>
      <c r="BE139" s="85">
        <f>IF($A139="","",IF($DJ139&lt;&gt;"","FIX: "&amp;LEFT($DJ139,LEN($DJ139)-2)&amp;IF($DK139&lt;&gt;"","  ·  ",""),"")&amp;IF($DK139&lt;&gt;"","CHECK: "&amp;LEFT($DK139,LEN($DK139)-2),""))</f>
        <v/>
      </c>
      <c r="BF139" s="84">
        <f>IF(OR($A139="",$K139=""),"",$K139&amp;"'-"&amp;N($L139)&amp;CHAR(34)&amp;" x "&amp;$M139&amp;"'-"&amp;N($N139)&amp;CHAR(34))</f>
        <v/>
      </c>
      <c r="BG139" s="84">
        <f>IF(OR($A139="",$K139=""),"",$K139&amp;N($L139)&amp;$M139&amp;N($N139))</f>
        <v/>
      </c>
      <c r="BH139" s="84">
        <f>IF(OR($A139="",$K139=""),"",$K139*12+N($L139))</f>
        <v/>
      </c>
      <c r="BI139" s="84">
        <f>IF(OR($A139="",$M139=""),"",$M139*12+N($N139))</f>
        <v/>
      </c>
      <c r="BJ139" s="84">
        <f>IF($A139="","",IF(OR($C139="FRAME ONLY",$S139="BL"),0,IF($O139="Y",2,1)))</f>
        <v/>
      </c>
      <c r="BK139" s="86">
        <f>IF(OR(N($BJ139)=0,$BH139=""),"",($BH139-2*EdgeClr-IF($BJ139=2,MeetClr,0))/$BJ139)</f>
        <v/>
      </c>
      <c r="BL139" s="86">
        <f>IF(OR(N($BJ139)=0,$BI139=""),"",$BI139-HeadClr-Undercut)</f>
        <v/>
      </c>
      <c r="BM139" s="86">
        <f>IF($BH139="","",$BH139+2*FaceW+IF(N($Q139)&gt;0,($Q139+FaceW)*IF($R139="LR",2,1),0))</f>
        <v/>
      </c>
      <c r="BN139" s="86">
        <f>IF($BI139="","",$BI139+IF($AB139="Y",4,FaceW)+IF(N($P139)&gt;0,$P139+FaceW,0)+IF(OR($S139="4F",$S139="BL"),FaceW,0))</f>
        <v/>
      </c>
      <c r="BO139" s="86">
        <f>IF($BM139="","",$BM139+2*ROSide)</f>
        <v/>
      </c>
      <c r="BP139" s="86">
        <f>IF($BN139="","",$BN139+ROTop)</f>
        <v/>
      </c>
      <c r="BQ139" s="87">
        <f>IF(OR(N($BJ139)=0,$BH139=""),"",$BH139/$BJ139-ClearDeduct)</f>
        <v/>
      </c>
      <c r="BR139" s="84">
        <f>IF(N($CH139)=0,"",IF($CH139&gt;=180,"A · 3 HR",IF($CH139&gt;=90,"B · 1-1/2 HR",IF($CH139&gt;=60,"B · 1 HR",IF($CH139&gt;=45,"C · 3/4 HR","20 MIN")))))&amp;IF(AND(N($CH139)&gt;0,OR($I139="CORRIDOR",$I139="SMOKE BARRIER"))," · S","")</f>
        <v/>
      </c>
      <c r="BS139" s="84">
        <f>IF($CS139,"",IF($AV139&lt;&gt;"",$AV139,IF(OR($AC139="HGC",$AO139="HGC"),"CONT",IF(($BI139-HeadClr-Undercut)&lt;=60,2,IF(($BI139-HeadClr-Undercut)&lt;=90,3,IF(($BI139-HeadClr-Undercut)&lt;=120,4,5))))))</f>
        <v/>
      </c>
      <c r="BT139" s="84">
        <f>IF($CS139,"",IF($CT139,"CUSTOM (typed)",IF($CV139,$AT139&amp;" "&amp;$CU139&amp;CHAR(34)&amp;IF($CU139&lt;&gt;$BI139,IF(AND($BI139&lt;$CU139,$BI139-IF(N(VLOOKUP($AT139&amp;"|"&amp;$CU139,LocTable,7,FALSE))&gt;0,VLOOKUP($AT139&amp;"|"&amp;$CU139,LocTable,7,FALSE),VLOOKUP($AT139&amp;"|"&amp;$CU139,LocTable,6,FALSE))-$CR139-0.75&gt;=2.125)," cut down"," adj."),""),"ANSI/SDI A250.6")))</f>
        <v/>
      </c>
      <c r="BU139" s="88">
        <f>IF($CS139,"",IF($CT139,IF(N($AW139)&gt;0,N($AW139),""),IF(1&gt;$CQ139,"",IF($CQ139=1,$CW139,$CW139+($CX139-$CW139)*0/($CQ139-1)))))</f>
        <v/>
      </c>
      <c r="BV139" s="88">
        <f>IF($CS139,"",IF($CT139,IF(N($AX139)&gt;0,N($AX139),""),IF(2&gt;$CQ139,"",IF($CQ139=1,$CW139,$CW139+($CX139-$CW139)*1/($CQ139-1)))))</f>
        <v/>
      </c>
      <c r="BW139" s="88">
        <f>IF($CS139,"",IF($CT139,IF(N($AY139)&gt;0,N($AY139),""),IF(3&gt;$CQ139,"",IF($CQ139=1,$CW139,$CW139+($CX139-$CW139)*2/($CQ139-1)))))</f>
        <v/>
      </c>
      <c r="BX139" s="88">
        <f>IF($CS139,"",IF($CT139,IF(N($AZ139)&gt;0,N($AZ139),""),IF(4&gt;$CQ139,"",IF($CQ139=1,$CW139,$CW139+($CX139-$CW139)*3/($CQ139-1)))))</f>
        <v/>
      </c>
      <c r="BY139" s="88">
        <f>IF($CS139,"",IF($CT139,"",IF(5&gt;$CQ139,"",IF($CQ139=1,$CW139,$CW139+($CX139-$CW139)*4/($CQ139-1)))))</f>
        <v/>
      </c>
      <c r="BZ139" s="88">
        <f>IF(OR($CS139,$AP139="-",AND($AP139="",$AD139="")),"",IF(N($BA139)&gt;0,N($BA139),IF($CV139,IF(AND($BI139&lt;$CU139,$BI139-IF(N(VLOOKUP($AT139&amp;"|"&amp;$CU139,LocTable,7,FALSE))&gt;0,VLOOKUP($AT139&amp;"|"&amp;$CU139,LocTable,7,FALSE),VLOOKUP($AT139&amp;"|"&amp;$CU139,LocTable,6,FALSE))-$CR139-0.75&gt;=2.125),VLOOKUP($AT139&amp;"|"&amp;$CU139,LocTable,8,FALSE),VLOOKUP($AT139&amp;"|"&amp;$CU139,LocTable,8,FALSE)+($BI139-$CU139)),$BI139-LockAFF)))</f>
        <v/>
      </c>
      <c r="CA139" s="89">
        <f>IF($BZ139="","",$BI139-$BZ139)</f>
        <v/>
      </c>
      <c r="CB139" s="84">
        <f>IF(OR(NOT(AND($A139&lt;&gt;"",$C139&lt;&gt;"DOOR ONLY")),$BI139=""),"",IF(($BI139+IF(N($P139)&gt;0,$P139+FaceW,0))&lt;=90,3,IF(($BI139+IF(N($P139)&gt;0,$P139+FaceW,0))&lt;=114,4,5)))</f>
        <v/>
      </c>
      <c r="CC139" s="84">
        <f>IF($CB139="","",$CB139*(2+IF(N($Q139)&gt;0,IF($R139="LR",2,1),0)))</f>
        <v/>
      </c>
      <c r="CD139" s="84">
        <f>IF($CB139="","",(2+IF(N($Q139)&gt;0,IF($R139="LR",2,1),0)))</f>
        <v/>
      </c>
      <c r="CE139" s="84">
        <f>IF(N($BJ139)=0,"",IF(OR($AL139="",$AL139="FLUSH"),"FLUSH",IFERROR(LEFT($AL139,FIND("-",$AL139)-1),LEFT($AL139,2))))</f>
        <v/>
      </c>
      <c r="CF139" s="84">
        <f>IF($CE139="","",IFERROR(VALUE(MID($AL139,FIND("-",$AL139)+1,FIND(CHAR(34)&amp;"x",$AL139)-FIND("-",$AL139)-1)),0))</f>
        <v/>
      </c>
      <c r="CG139" s="84">
        <f>IF($CE139="","",IFERROR(VALUE(MID($AL139,FIND(CHAR(34)&amp;"x",$AL139)+2,FIND(CHAR(34),$AL139,FIND(CHAR(34)&amp;"x",$AL139)+2)-FIND(CHAR(34)&amp;"x",$AL139)-2)),0))</f>
        <v/>
      </c>
      <c r="CH139" s="90">
        <f>IF(OR($A139="",$H139="",$H139="NO LAB"),0,IFERROR(VALUE(LEFT($H139,FIND(" ",$H139)-1)),0))</f>
        <v/>
      </c>
      <c r="CI139" s="91">
        <f>IF(OR($A139="",$I139="",$I139="NON-RATED",N($J139)=0),"",IFERROR(VLOOKUP($I139&amp;"|"&amp;$J139,IBC,2,FALSE),"?"))</f>
        <v/>
      </c>
      <c r="CJ139" s="85">
        <f>IF(NOT(AND($A139&lt;&gt;"",$C139&lt;&gt;"DOOR ONLY")),"",TRIM(IFERROR(VLOOKUP($U139,CODES,2,FALSE),"")&amp;" "&amp;$BG139&amp;" "&amp;IFERROR(VLOOKUP($Z139,CODES,2,FALSE),"")&amp;" "&amp;IFERROR(VLOOKUP($X139,CODES,2,FALSE),"")&amp;" "&amp;IFERROR(VLOOKUP($S139,CODES,2,FALSE),"")&amp;IF(N($P139)&gt;0," w/TRANSOM "&amp;$P139&amp;CHAR(34),"")&amp;IF(N($Q139)&gt;0," w/SIDELITE "&amp;$Q139&amp;CHAR(34)&amp;" "&amp;IF($R139="","R",$R139),"")&amp;IF($Y139="","  |  "," | "&amp;IFERROR(VLOOKUP($Y139,CODES,2,FALSE),"")&amp;" | ")&amp;IFERROR(VLOOKUP($AC139,CODES,2,FALSE),"")&amp;" "&amp;IFERROR(VLOOKUP($AD139,CODES,2,FALSE),"")&amp;IF(OR($AE139="",$AE139="-"),""," "&amp;$AE139)&amp;IF(OR($AF139="",$AF139="-"),""," "&amp;$AF139)&amp;IF($AB139="Y"," 4"&amp;CHAR(34)&amp;" HEAD","")&amp;" "&amp;IFERROR(VLOOKUP($H139,CODES,2,FALSE),"")&amp;IF($CT139," | LOC "&amp;$CY139,"")))</f>
        <v/>
      </c>
      <c r="CK139" s="85">
        <f>IF(NOT(AND($A139&lt;&gt;"",N($BJ139)&gt;0)),"",TRIM(IFERROR(VLOOKUP($AH139,CODES,2,FALSE),"")&amp;IF($AI139=""," "," "&amp;$AI139&amp;"GA ")&amp;$BG139&amp;" "&amp;IF($AN139="",IFERROR(VLOOKUP($Z139,CODES,2,FALSE),""),IFERROR(VLOOKUP($AN139,CODES,2,FALSE),""))&amp;IF($BJ139=2," PAIR","")&amp;" DOOR | "&amp;IF($AL139="","?",$AL139)&amp;" | "&amp;IF($AO139="",IFERROR(VLOOKUP($AC139,CODES,2,FALSE),""),IFERROR(VLOOKUP($AO139,CODES,2,FALSE),""))&amp;" "&amp;IFERROR(VLOOKUP($AP139,CODES,2,FALSE),"")&amp;IF(OR($AQ139="",$AQ139="-"),""," SEAM "&amp;$AQ139)&amp;IF($AR139="Y"," ASTRAGAL","")&amp;IF($AJ139=""," "," "&amp;$AJ139)&amp;IF($AK139=""," "," "&amp;$AK139)&amp;IF(OR($AT139="",$AT139="ANSI/SDI",$AT139="CUSTOM LOC"),""," "&amp;$AT139)&amp;IF($AM139=""," "," SERIES "&amp;$AM139)&amp;" "&amp;IFERROR(VLOOKUP($H139,CODES,2,FALSE),"")&amp;IF($CT139," | LOC "&amp;$CZ139,"")))</f>
        <v/>
      </c>
      <c r="CL139" s="84">
        <f>IF(CP139="","",IF(COUNTIF($CP$6:CP139,CP139)=1,MAX($CL$5:CL138)+1,INDEX($CL$5:CL138,MATCH(CP139,$CP$5:CP138,0))))</f>
        <v/>
      </c>
      <c r="CM139" s="84">
        <f>IF(NOT(AND($A139&lt;&gt;"",$C139&lt;&gt;"DOOR ONLY")),"",MAX($CM$5:CM138)+1)</f>
        <v/>
      </c>
      <c r="CN139" s="84">
        <f>IF(NOT(AND($A139&lt;&gt;"",N($BJ139)&gt;0)),"",MAX($CN$5:CN138)+1)</f>
        <v/>
      </c>
      <c r="CO139" s="84">
        <f>IF($A139="","",MAX($CO$5:CO138)+1)</f>
        <v/>
      </c>
      <c r="CP139" s="84">
        <f>IF(OR($A139="",$BH139="",$BI139=""),"",$BG139&amp;"|"&amp;$O139&amp;"|"&amp;$AL139&amp;"|"&amp;$S139&amp;"|"&amp;$P139&amp;"|"&amp;$Q139&amp;$R139&amp;"|"&amp;$C139&amp;"|"&amp;$AB139)</f>
        <v/>
      </c>
      <c r="CQ139" s="84">
        <f>N($BS139)</f>
        <v/>
      </c>
      <c r="CR139" s="84">
        <f>IF(N($AU139)&gt;0,N($AU139),4.5)</f>
        <v/>
      </c>
      <c r="CS139" s="84">
        <f>OR($A139="",$BI139="",$S139="BL",AND($C139="FRAME ONLY",OR($AC139="",$AC139="BLK")))</f>
        <v/>
      </c>
      <c r="CT139" s="84">
        <f>AND(NOT($CS139),OR($AT139="CUSTOM LOC",N($AW139)+N($AX139)+N($AY139)+N($AZ139)+N($BA139)&gt;0))</f>
        <v/>
      </c>
      <c r="CU139" s="84">
        <f>IF($BI139="","",IF($BI139&lt;=80,80,IF($BI139&lt;=84,84,96)))</f>
        <v/>
      </c>
      <c r="CV139" s="84">
        <f>ISNUMBER(MATCH($AT139&amp;"|80",LocKeys,0))</f>
        <v/>
      </c>
      <c r="CW139" s="86">
        <f>IF($CS139,"",IF($CV139,VLOOKUP($AT139&amp;"|"&amp;$CU139,LocTable,4,FALSE),5))</f>
        <v/>
      </c>
      <c r="CX139" s="86">
        <f>IF($CS139,"",IF($CV139,IF(OR($BI139=$CU139,AND($BI139&lt;$CU139,$BI139-IF(N(VLOOKUP($AT139&amp;"|"&amp;$CU139,LocTable,7,FALSE))&gt;0,VLOOKUP($AT139&amp;"|"&amp;$CU139,LocTable,7,FALSE),VLOOKUP($AT139&amp;"|"&amp;$CU139,LocTable,6,FALSE))-$CR139-0.75&gt;=2.125)),IF(N(VLOOKUP($AT139&amp;"|"&amp;$CU139,LocTable,7,FALSE))&gt;0,VLOOKUP($AT139&amp;"|"&amp;$CU139,LocTable,7,FALSE),VLOOKUP($AT139&amp;"|"&amp;$CU139,LocTable,6,FALSE)),$BI139-($CU139-IF(N(VLOOKUP($AT139&amp;"|"&amp;$CU139,LocTable,7,FALSE))&gt;0,VLOOKUP($AT139&amp;"|"&amp;$CU139,LocTable,7,FALSE),VLOOKUP($AT139&amp;"|"&amp;$CU139,LocTable,6,FALSE)))),$BI139-10-$CR139))</f>
        <v/>
      </c>
      <c r="CY139" s="85">
        <f>IF($CS139,"",TRIM(IF(ISNUMBER($BU139),"A "&amp;TRIM(TEXT($BU139,"# ?/??"))&amp;CHAR(34)&amp;"  ","")&amp;IF(ISNUMBER($BV139),"B "&amp;TRIM(TEXT($BV139,"# ?/??"))&amp;CHAR(34)&amp;"  ","")&amp;IF(ISNUMBER($BW139),"C "&amp;TRIM(TEXT($BW139,"# ?/??"))&amp;CHAR(34)&amp;"  ","")&amp;IF(ISNUMBER($BX139),"D "&amp;TRIM(TEXT($BX139,"# ?/??"))&amp;CHAR(34)&amp;"  ","")&amp;IF(ISNUMBER($BY139),"F "&amp;TRIM(TEXT($BY139,"# ?/??"))&amp;CHAR(34)&amp;"  ","")&amp;IF(ISNUMBER($BZ139),"E "&amp;TRIM(TEXT($BZ139,"# ?/??"))&amp;CHAR(34)&amp;"  ","")))</f>
        <v/>
      </c>
      <c r="CZ139" s="85">
        <f>IF(OR($CS139,N($BJ139)=0),"",TRIM(IF(ISNUMBER($BU139),"A "&amp;TRIM(TEXT($BU139-HeadClr,"# ?/??"))&amp;CHAR(34)&amp;"  ","")&amp;IF(ISNUMBER($BV139),"B "&amp;TRIM(TEXT($BV139-HeadClr,"# ?/??"))&amp;CHAR(34)&amp;"  ","")&amp;IF(ISNUMBER($BW139),"C "&amp;TRIM(TEXT($BW139-HeadClr,"# ?/??"))&amp;CHAR(34)&amp;"  ","")&amp;IF(ISNUMBER($BX139),"D "&amp;TRIM(TEXT($BX139-HeadClr,"# ?/??"))&amp;CHAR(34)&amp;"  ","")&amp;IF(ISNUMBER($BY139),"F "&amp;TRIM(TEXT($BY139-HeadClr,"# ?/??"))&amp;CHAR(34)&amp;"  ","")&amp;IF(ISNUMBER($BZ139),"E "&amp;TRIM(TEXT($BZ139-HeadClr,"# ?/??"))&amp;CHAR(34)&amp;"  ","")))</f>
        <v/>
      </c>
      <c r="DA139" s="84">
        <f>IF($A139="","",IF($AN139="",IFERROR(VLOOKUP($Z139,CODES,2,FALSE),""),IFERROR(VLOOKUP($AN139,CODES,2,FALSE),"")))</f>
        <v/>
      </c>
      <c r="DB139" s="84">
        <f>IF($A139="","",IF($O139="Y","PR",IF(OR($Z139="L",$Z139="RR",LEFT($Z139,2)="L-",LEFT($Z139,3)="RR-"),"LH","RH")))</f>
        <v/>
      </c>
      <c r="DC139" s="84">
        <f>IF($A139="","","S.HM"&amp;IF(OR($C139="DOOR ONLY",$X139&lt;&gt;"KD"),"MASONRY","DRYWALL")&amp;IF($C139="DOOR ONLY","",$U139)&amp;IF(AND($C139&lt;&gt;"FRAME ONLY",OR(LEFT($AH139,3)="OAK",LEFT($AH139,3)="BIR",LEFT($AH139,3)="MAP",$AH139="PC",$AH139="MC",$AH139="SCLC",$AH139="P-LAM")),"WD","HM")&amp;"1.75")</f>
        <v/>
      </c>
      <c r="DD139" s="84">
        <f>IF($CJ139="","",IF($O139="Y",$CJ139,SUBSTITUTE($CJ139,$BG139&amp;" "&amp;IFERROR(VLOOKUP($Z139,CODES,2,FALSE),"")&amp;" ",$BG139&amp;" ")))</f>
        <v/>
      </c>
      <c r="DE139" s="84">
        <f>IF($CK139="","",IF($O139="Y",$CK139,SUBSTITUTE($CK139,$BG139&amp;" "&amp;IF($AN139="",IFERROR(VLOOKUP($Z139,CODES,2,FALSE),""),IFERROR(VLOOKUP($AN139,CODES,2,FALSE),""))&amp;" ",$BG139&amp;" ")))</f>
        <v/>
      </c>
      <c r="DF139" s="84">
        <f>IF($CJ139="","",$DC139&amp;"|"&amp;$DD139&amp;"|"&amp;$DB139&amp;"|"&amp;$AT139&amp;"|"&amp;$V139&amp;"|"&amp;$Y139&amp;"|"&amp;$AB139)</f>
        <v/>
      </c>
      <c r="DG139" s="84">
        <f>IF(DF139="","",IF(COUNTIF($DF$6:DF139,DF139)=1,MAX($DG$5:DG138)+1,INDEX($DG$5:DG138,MATCH(DF139,$DF$5:DF138,0))))</f>
        <v/>
      </c>
      <c r="DH139" s="84">
        <f>IF($CK139="","",$DC139&amp;"|"&amp;$DE139&amp;"|"&amp;$AI139&amp;"|"&amp;$BK139&amp;"|"&amp;$BL139)</f>
        <v/>
      </c>
      <c r="DI139" s="84">
        <f>IF(DH139="","",IF(COUNTIF($DH$6:DH139,DH139)=1,MAX($DI$5:DI138)+1,INDEX($DI$5:DI138,MATCH(DH139,$DH$5:DH138,0))))</f>
        <v/>
      </c>
      <c r="DJ139" s="84">
        <f>IF($A139="","",IF($B139="","qty, ","")&amp;IF($C139="","scope, ","")&amp;IF(OR($K139="",$M139=""),"size, ","")&amp;IF(AND($A139&lt;&gt;"",$C139&lt;&gt;"DOOR ONLY"),IF($U139="","jamb depth, ","")&amp;IF($X139="","construction, ","")&amp;IF($Y139="","anchor, ","")&amp;IF($S139="","frame type, ",""),"")&amp;IF(AND(N($BJ139)&gt;0,$Z139=""),"hand, ","")&amp;IF(N($BJ139)&gt;0,IF($AH139="","door material, ","")&amp;IF($AL139="","face type, ","")&amp;IF($AP139="","lock prep, ","")&amp;IF(AND($AO139="",$AC139=""),"hinge prep, ",""),"")&amp;IF(AND($CH139&gt;0,$AH139="FRP"),"FRP cannot carry a label, ","")&amp;IF(AND($O139="Y",OR($Z139="L",$Z139="R",$Z139="LR",$Z139="RR")),"pair marked but hand is single, ","")&amp;IF(AND($O139&lt;&gt;"Y",OR($Z139="PR",AND(LEN($Z139)&gt;1,ISNUMBER(SEARCH("-",$Z139))))),"pair hand on a single door, ","")&amp;IF(AND(ISNUMBER($CI139),$CH139&lt;N($CI139)),"wall needs a "&amp;$CI139&amp;" min door, ","")&amp;IF(AND($CH139&gt;=180,AND(OR($CE139="FG",$CE139="HG",$CE139="FNV",$CE139="FV"),N($CF139)*N($CG139)&gt;100)),"180 min lite over 100 sq in, ","")&amp;IF(N($BK139)&gt;48,"leaf wider than 4'-0"&amp;CHAR(34)&amp;", ","")&amp;IF(AND($CT139,COUNT($AW139:$AZ139)=0,$CQ139&gt;0),"CUSTOM LOC with no locations typed, ",""))</f>
        <v/>
      </c>
      <c r="DK139" s="84">
        <f>IF($A139="","",IF(AND($CH139&gt;0,AND($A139&lt;&gt;"",$C139&lt;&gt;"DOOR ONLY"),$X139="KD",$E139="EXTERIOR"),"KD label on an exterior opening, ","")&amp;IF(AND($E139="EXTERIOR",OR(AND(AND($A139&lt;&gt;"",$C139&lt;&gt;"DOOR ONLY"),$W139="CR"),AND(N($BJ139)&gt;0,$AH139="CR"))),"exterior in CR steel (G9?), ","")&amp;IF(AND(ISNUMBER($BQ139),N($BQ139)&lt;32),"clear width ~"&amp;TEXT($BQ139,"0.0")&amp;CHAR(34)&amp;" under 32"&amp;CHAR(34)&amp;" (ADA), ","")&amp;IF(AND($CH139=90,AND(OR($CE139="FG",$CE139="HG",$CE139="FNV",$CE139="FV"),N($CF139)*N($CG139)&gt;100)),"90 min lite over 100 sq in (stair/exit), ","")&amp;IF(AND($CH139&gt;0,AND($A139&lt;&gt;"",$C139&lt;&gt;"DOOR ONLY"),OR($AF139="",$AF139="-")),"rated: closer reinf.?, ","")&amp;IF(OR($I139="CORRIDOR",$I139="SMOKE BARRIER"),"S label + smoke gasketing, ","")&amp;IF($CI139="?","wall type/hr not in IBC table, ","")&amp;IF(AND(N($BJ139)&gt;0,$BB139=""),"no hardware set, ","")&amp;IF(AND($BB139&lt;&gt;"",ISNA(MATCH($BB139&amp;"",HWSets,0))),"set "&amp;$BB139&amp;" not on HW Sets, ","")&amp;IF(N($BL139)&gt;96,"leaf over 8'-0"&amp;CHAR(34)&amp;" - check listing, ","")&amp;IF(AND($CT139,COUNT($AW139:$AZ139)&gt;0,COUNT($AW139:$AZ139)&lt;&gt;$CQ139),COUNT($AW139:$AZ139)&amp;" custom hinges typed, "&amp;$CQ139&amp;" expected, ","")&amp;IF(AND(ISNUMBER($CA139),OR(N($CA139)&lt;34,N($CA139)&gt;48)),"lock "&amp;TEXT($CA139,"0.0")&amp;CHAR(34)&amp;" AFF outside 34-48"&amp;CHAR(34)&amp;" (ADA), ","")&amp;IF(AND(ISNUMBER($AV139),ISNUMBER($BL139),N($AV139)&lt;IF(N($BL139)&lt;=60,2,IF(N($BL139)&lt;=90,3,IF(N($BL139)&lt;=120,4,5)))),"fewer hinges than standard, ",""))</f>
        <v/>
      </c>
    </row>
    <row r="140" ht="15" customHeight="1">
      <c r="A140" s="92" t="n"/>
      <c r="B140" s="93" t="n"/>
      <c r="C140" s="93" t="n"/>
      <c r="D140" s="93" t="n"/>
      <c r="E140" s="93" t="n"/>
      <c r="F140" s="93" t="n"/>
      <c r="G140" s="93" t="n"/>
      <c r="H140" s="93" t="n"/>
      <c r="I140" s="93" t="n"/>
      <c r="J140" s="93" t="n"/>
      <c r="K140" s="93" t="n"/>
      <c r="L140" s="93" t="n"/>
      <c r="M140" s="93" t="n"/>
      <c r="N140" s="93" t="n"/>
      <c r="O140" s="93" t="n"/>
      <c r="P140" s="93" t="n"/>
      <c r="Q140" s="93" t="n"/>
      <c r="R140" s="93" t="n"/>
      <c r="S140" s="94" t="n"/>
      <c r="T140" s="94" t="n"/>
      <c r="U140" s="94" t="n"/>
      <c r="V140" s="94" t="n"/>
      <c r="W140" s="94" t="n"/>
      <c r="X140" s="94" t="n"/>
      <c r="Y140" s="94" t="n"/>
      <c r="Z140" s="94" t="n"/>
      <c r="AA140" s="94" t="n"/>
      <c r="AB140" s="94" t="n"/>
      <c r="AC140" s="94" t="n"/>
      <c r="AD140" s="94" t="n"/>
      <c r="AE140" s="94" t="n"/>
      <c r="AF140" s="94" t="n"/>
      <c r="AG140" s="94" t="n"/>
      <c r="AH140" s="95" t="n"/>
      <c r="AI140" s="95" t="n"/>
      <c r="AJ140" s="95" t="n"/>
      <c r="AK140" s="95" t="n"/>
      <c r="AL140" s="95" t="n"/>
      <c r="AM140" s="95" t="n"/>
      <c r="AN140" s="95" t="n"/>
      <c r="AO140" s="95" t="n"/>
      <c r="AP140" s="95" t="n"/>
      <c r="AQ140" s="95" t="n"/>
      <c r="AR140" s="95" t="n"/>
      <c r="AS140" s="95" t="n"/>
      <c r="AT140" s="96" t="n"/>
      <c r="AU140" s="96" t="n"/>
      <c r="AV140" s="96" t="n"/>
      <c r="AW140" s="97" t="n"/>
      <c r="AX140" s="97" t="n"/>
      <c r="AY140" s="97" t="n"/>
      <c r="AZ140" s="97" t="n"/>
      <c r="BA140" s="97" t="n"/>
      <c r="BB140" s="98" t="n"/>
      <c r="BC140" s="98" t="n"/>
      <c r="BD140" s="99">
        <f>IF($A140="","",IF($DJ140&lt;&gt;"","FIX",IF($DK140&lt;&gt;"","CHECK","OK")))</f>
        <v/>
      </c>
      <c r="BE140" s="100">
        <f>IF($A140="","",IF($DJ140&lt;&gt;"","FIX: "&amp;LEFT($DJ140,LEN($DJ140)-2)&amp;IF($DK140&lt;&gt;"","  ·  ",""),"")&amp;IF($DK140&lt;&gt;"","CHECK: "&amp;LEFT($DK140,LEN($DK140)-2),""))</f>
        <v/>
      </c>
      <c r="BF140" s="99">
        <f>IF(OR($A140="",$K140=""),"",$K140&amp;"'-"&amp;N($L140)&amp;CHAR(34)&amp;" x "&amp;$M140&amp;"'-"&amp;N($N140)&amp;CHAR(34))</f>
        <v/>
      </c>
      <c r="BG140" s="99">
        <f>IF(OR($A140="",$K140=""),"",$K140&amp;N($L140)&amp;$M140&amp;N($N140))</f>
        <v/>
      </c>
      <c r="BH140" s="99">
        <f>IF(OR($A140="",$K140=""),"",$K140*12+N($L140))</f>
        <v/>
      </c>
      <c r="BI140" s="99">
        <f>IF(OR($A140="",$M140=""),"",$M140*12+N($N140))</f>
        <v/>
      </c>
      <c r="BJ140" s="99">
        <f>IF($A140="","",IF(OR($C140="FRAME ONLY",$S140="BL"),0,IF($O140="Y",2,1)))</f>
        <v/>
      </c>
      <c r="BK140" s="101">
        <f>IF(OR(N($BJ140)=0,$BH140=""),"",($BH140-2*EdgeClr-IF($BJ140=2,MeetClr,0))/$BJ140)</f>
        <v/>
      </c>
      <c r="BL140" s="101">
        <f>IF(OR(N($BJ140)=0,$BI140=""),"",$BI140-HeadClr-Undercut)</f>
        <v/>
      </c>
      <c r="BM140" s="101">
        <f>IF($BH140="","",$BH140+2*FaceW+IF(N($Q140)&gt;0,($Q140+FaceW)*IF($R140="LR",2,1),0))</f>
        <v/>
      </c>
      <c r="BN140" s="101">
        <f>IF($BI140="","",$BI140+IF($AB140="Y",4,FaceW)+IF(N($P140)&gt;0,$P140+FaceW,0)+IF(OR($S140="4F",$S140="BL"),FaceW,0))</f>
        <v/>
      </c>
      <c r="BO140" s="101">
        <f>IF($BM140="","",$BM140+2*ROSide)</f>
        <v/>
      </c>
      <c r="BP140" s="101">
        <f>IF($BN140="","",$BN140+ROTop)</f>
        <v/>
      </c>
      <c r="BQ140" s="102">
        <f>IF(OR(N($BJ140)=0,$BH140=""),"",$BH140/$BJ140-ClearDeduct)</f>
        <v/>
      </c>
      <c r="BR140" s="99">
        <f>IF(N($CH140)=0,"",IF($CH140&gt;=180,"A · 3 HR",IF($CH140&gt;=90,"B · 1-1/2 HR",IF($CH140&gt;=60,"B · 1 HR",IF($CH140&gt;=45,"C · 3/4 HR","20 MIN")))))&amp;IF(AND(N($CH140)&gt;0,OR($I140="CORRIDOR",$I140="SMOKE BARRIER"))," · S","")</f>
        <v/>
      </c>
      <c r="BS140" s="99">
        <f>IF($CS140,"",IF($AV140&lt;&gt;"",$AV140,IF(OR($AC140="HGC",$AO140="HGC"),"CONT",IF(($BI140-HeadClr-Undercut)&lt;=60,2,IF(($BI140-HeadClr-Undercut)&lt;=90,3,IF(($BI140-HeadClr-Undercut)&lt;=120,4,5))))))</f>
        <v/>
      </c>
      <c r="BT140" s="99">
        <f>IF($CS140,"",IF($CT140,"CUSTOM (typed)",IF($CV140,$AT140&amp;" "&amp;$CU140&amp;CHAR(34)&amp;IF($CU140&lt;&gt;$BI140,IF(AND($BI140&lt;$CU140,$BI140-IF(N(VLOOKUP($AT140&amp;"|"&amp;$CU140,LocTable,7,FALSE))&gt;0,VLOOKUP($AT140&amp;"|"&amp;$CU140,LocTable,7,FALSE),VLOOKUP($AT140&amp;"|"&amp;$CU140,LocTable,6,FALSE))-$CR140-0.75&gt;=2.125)," cut down"," adj."),""),"ANSI/SDI A250.6")))</f>
        <v/>
      </c>
      <c r="BU140" s="103">
        <f>IF($CS140,"",IF($CT140,IF(N($AW140)&gt;0,N($AW140),""),IF(1&gt;$CQ140,"",IF($CQ140=1,$CW140,$CW140+($CX140-$CW140)*0/($CQ140-1)))))</f>
        <v/>
      </c>
      <c r="BV140" s="103">
        <f>IF($CS140,"",IF($CT140,IF(N($AX140)&gt;0,N($AX140),""),IF(2&gt;$CQ140,"",IF($CQ140=1,$CW140,$CW140+($CX140-$CW140)*1/($CQ140-1)))))</f>
        <v/>
      </c>
      <c r="BW140" s="103">
        <f>IF($CS140,"",IF($CT140,IF(N($AY140)&gt;0,N($AY140),""),IF(3&gt;$CQ140,"",IF($CQ140=1,$CW140,$CW140+($CX140-$CW140)*2/($CQ140-1)))))</f>
        <v/>
      </c>
      <c r="BX140" s="103">
        <f>IF($CS140,"",IF($CT140,IF(N($AZ140)&gt;0,N($AZ140),""),IF(4&gt;$CQ140,"",IF($CQ140=1,$CW140,$CW140+($CX140-$CW140)*3/($CQ140-1)))))</f>
        <v/>
      </c>
      <c r="BY140" s="103">
        <f>IF($CS140,"",IF($CT140,"",IF(5&gt;$CQ140,"",IF($CQ140=1,$CW140,$CW140+($CX140-$CW140)*4/($CQ140-1)))))</f>
        <v/>
      </c>
      <c r="BZ140" s="103">
        <f>IF(OR($CS140,$AP140="-",AND($AP140="",$AD140="")),"",IF(N($BA140)&gt;0,N($BA140),IF($CV140,IF(AND($BI140&lt;$CU140,$BI140-IF(N(VLOOKUP($AT140&amp;"|"&amp;$CU140,LocTable,7,FALSE))&gt;0,VLOOKUP($AT140&amp;"|"&amp;$CU140,LocTable,7,FALSE),VLOOKUP($AT140&amp;"|"&amp;$CU140,LocTable,6,FALSE))-$CR140-0.75&gt;=2.125),VLOOKUP($AT140&amp;"|"&amp;$CU140,LocTable,8,FALSE),VLOOKUP($AT140&amp;"|"&amp;$CU140,LocTable,8,FALSE)+($BI140-$CU140)),$BI140-LockAFF)))</f>
        <v/>
      </c>
      <c r="CA140" s="104">
        <f>IF($BZ140="","",$BI140-$BZ140)</f>
        <v/>
      </c>
      <c r="CB140" s="99">
        <f>IF(OR(NOT(AND($A140&lt;&gt;"",$C140&lt;&gt;"DOOR ONLY")),$BI140=""),"",IF(($BI140+IF(N($P140)&gt;0,$P140+FaceW,0))&lt;=90,3,IF(($BI140+IF(N($P140)&gt;0,$P140+FaceW,0))&lt;=114,4,5)))</f>
        <v/>
      </c>
      <c r="CC140" s="99">
        <f>IF($CB140="","",$CB140*(2+IF(N($Q140)&gt;0,IF($R140="LR",2,1),0)))</f>
        <v/>
      </c>
      <c r="CD140" s="99">
        <f>IF($CB140="","",(2+IF(N($Q140)&gt;0,IF($R140="LR",2,1),0)))</f>
        <v/>
      </c>
      <c r="CE140" s="99">
        <f>IF(N($BJ140)=0,"",IF(OR($AL140="",$AL140="FLUSH"),"FLUSH",IFERROR(LEFT($AL140,FIND("-",$AL140)-1),LEFT($AL140,2))))</f>
        <v/>
      </c>
      <c r="CF140" s="99">
        <f>IF($CE140="","",IFERROR(VALUE(MID($AL140,FIND("-",$AL140)+1,FIND(CHAR(34)&amp;"x",$AL140)-FIND("-",$AL140)-1)),0))</f>
        <v/>
      </c>
      <c r="CG140" s="99">
        <f>IF($CE140="","",IFERROR(VALUE(MID($AL140,FIND(CHAR(34)&amp;"x",$AL140)+2,FIND(CHAR(34),$AL140,FIND(CHAR(34)&amp;"x",$AL140)+2)-FIND(CHAR(34)&amp;"x",$AL140)-2)),0))</f>
        <v/>
      </c>
      <c r="CH140" s="105">
        <f>IF(OR($A140="",$H140="",$H140="NO LAB"),0,IFERROR(VALUE(LEFT($H140,FIND(" ",$H140)-1)),0))</f>
        <v/>
      </c>
      <c r="CI140" s="106">
        <f>IF(OR($A140="",$I140="",$I140="NON-RATED",N($J140)=0),"",IFERROR(VLOOKUP($I140&amp;"|"&amp;$J140,IBC,2,FALSE),"?"))</f>
        <v/>
      </c>
      <c r="CJ140" s="100">
        <f>IF(NOT(AND($A140&lt;&gt;"",$C140&lt;&gt;"DOOR ONLY")),"",TRIM(IFERROR(VLOOKUP($U140,CODES,2,FALSE),"")&amp;" "&amp;$BG140&amp;" "&amp;IFERROR(VLOOKUP($Z140,CODES,2,FALSE),"")&amp;" "&amp;IFERROR(VLOOKUP($X140,CODES,2,FALSE),"")&amp;" "&amp;IFERROR(VLOOKUP($S140,CODES,2,FALSE),"")&amp;IF(N($P140)&gt;0," w/TRANSOM "&amp;$P140&amp;CHAR(34),"")&amp;IF(N($Q140)&gt;0," w/SIDELITE "&amp;$Q140&amp;CHAR(34)&amp;" "&amp;IF($R140="","R",$R140),"")&amp;IF($Y140="","  |  "," | "&amp;IFERROR(VLOOKUP($Y140,CODES,2,FALSE),"")&amp;" | ")&amp;IFERROR(VLOOKUP($AC140,CODES,2,FALSE),"")&amp;" "&amp;IFERROR(VLOOKUP($AD140,CODES,2,FALSE),"")&amp;IF(OR($AE140="",$AE140="-"),""," "&amp;$AE140)&amp;IF(OR($AF140="",$AF140="-"),""," "&amp;$AF140)&amp;IF($AB140="Y"," 4"&amp;CHAR(34)&amp;" HEAD","")&amp;" "&amp;IFERROR(VLOOKUP($H140,CODES,2,FALSE),"")&amp;IF($CT140," | LOC "&amp;$CY140,"")))</f>
        <v/>
      </c>
      <c r="CK140" s="100">
        <f>IF(NOT(AND($A140&lt;&gt;"",N($BJ140)&gt;0)),"",TRIM(IFERROR(VLOOKUP($AH140,CODES,2,FALSE),"")&amp;IF($AI140=""," "," "&amp;$AI140&amp;"GA ")&amp;$BG140&amp;" "&amp;IF($AN140="",IFERROR(VLOOKUP($Z140,CODES,2,FALSE),""),IFERROR(VLOOKUP($AN140,CODES,2,FALSE),""))&amp;IF($BJ140=2," PAIR","")&amp;" DOOR | "&amp;IF($AL140="","?",$AL140)&amp;" | "&amp;IF($AO140="",IFERROR(VLOOKUP($AC140,CODES,2,FALSE),""),IFERROR(VLOOKUP($AO140,CODES,2,FALSE),""))&amp;" "&amp;IFERROR(VLOOKUP($AP140,CODES,2,FALSE),"")&amp;IF(OR($AQ140="",$AQ140="-"),""," SEAM "&amp;$AQ140)&amp;IF($AR140="Y"," ASTRAGAL","")&amp;IF($AJ140=""," "," "&amp;$AJ140)&amp;IF($AK140=""," "," "&amp;$AK140)&amp;IF(OR($AT140="",$AT140="ANSI/SDI",$AT140="CUSTOM LOC"),""," "&amp;$AT140)&amp;IF($AM140=""," "," SERIES "&amp;$AM140)&amp;" "&amp;IFERROR(VLOOKUP($H140,CODES,2,FALSE),"")&amp;IF($CT140," | LOC "&amp;$CZ140,"")))</f>
        <v/>
      </c>
      <c r="CL140" s="99">
        <f>IF(CP140="","",IF(COUNTIF($CP$6:CP140,CP140)=1,MAX($CL$5:CL139)+1,INDEX($CL$5:CL139,MATCH(CP140,$CP$5:CP139,0))))</f>
        <v/>
      </c>
      <c r="CM140" s="99">
        <f>IF(NOT(AND($A140&lt;&gt;"",$C140&lt;&gt;"DOOR ONLY")),"",MAX($CM$5:CM139)+1)</f>
        <v/>
      </c>
      <c r="CN140" s="99">
        <f>IF(NOT(AND($A140&lt;&gt;"",N($BJ140)&gt;0)),"",MAX($CN$5:CN139)+1)</f>
        <v/>
      </c>
      <c r="CO140" s="99">
        <f>IF($A140="","",MAX($CO$5:CO139)+1)</f>
        <v/>
      </c>
      <c r="CP140" s="99">
        <f>IF(OR($A140="",$BH140="",$BI140=""),"",$BG140&amp;"|"&amp;$O140&amp;"|"&amp;$AL140&amp;"|"&amp;$S140&amp;"|"&amp;$P140&amp;"|"&amp;$Q140&amp;$R140&amp;"|"&amp;$C140&amp;"|"&amp;$AB140)</f>
        <v/>
      </c>
      <c r="CQ140" s="99">
        <f>N($BS140)</f>
        <v/>
      </c>
      <c r="CR140" s="99">
        <f>IF(N($AU140)&gt;0,N($AU140),4.5)</f>
        <v/>
      </c>
      <c r="CS140" s="99">
        <f>OR($A140="",$BI140="",$S140="BL",AND($C140="FRAME ONLY",OR($AC140="",$AC140="BLK")))</f>
        <v/>
      </c>
      <c r="CT140" s="99">
        <f>AND(NOT($CS140),OR($AT140="CUSTOM LOC",N($AW140)+N($AX140)+N($AY140)+N($AZ140)+N($BA140)&gt;0))</f>
        <v/>
      </c>
      <c r="CU140" s="99">
        <f>IF($BI140="","",IF($BI140&lt;=80,80,IF($BI140&lt;=84,84,96)))</f>
        <v/>
      </c>
      <c r="CV140" s="99">
        <f>ISNUMBER(MATCH($AT140&amp;"|80",LocKeys,0))</f>
        <v/>
      </c>
      <c r="CW140" s="101">
        <f>IF($CS140,"",IF($CV140,VLOOKUP($AT140&amp;"|"&amp;$CU140,LocTable,4,FALSE),5))</f>
        <v/>
      </c>
      <c r="CX140" s="101">
        <f>IF($CS140,"",IF($CV140,IF(OR($BI140=$CU140,AND($BI140&lt;$CU140,$BI140-IF(N(VLOOKUP($AT140&amp;"|"&amp;$CU140,LocTable,7,FALSE))&gt;0,VLOOKUP($AT140&amp;"|"&amp;$CU140,LocTable,7,FALSE),VLOOKUP($AT140&amp;"|"&amp;$CU140,LocTable,6,FALSE))-$CR140-0.75&gt;=2.125)),IF(N(VLOOKUP($AT140&amp;"|"&amp;$CU140,LocTable,7,FALSE))&gt;0,VLOOKUP($AT140&amp;"|"&amp;$CU140,LocTable,7,FALSE),VLOOKUP($AT140&amp;"|"&amp;$CU140,LocTable,6,FALSE)),$BI140-($CU140-IF(N(VLOOKUP($AT140&amp;"|"&amp;$CU140,LocTable,7,FALSE))&gt;0,VLOOKUP($AT140&amp;"|"&amp;$CU140,LocTable,7,FALSE),VLOOKUP($AT140&amp;"|"&amp;$CU140,LocTable,6,FALSE)))),$BI140-10-$CR140))</f>
        <v/>
      </c>
      <c r="CY140" s="100">
        <f>IF($CS140,"",TRIM(IF(ISNUMBER($BU140),"A "&amp;TRIM(TEXT($BU140,"# ?/??"))&amp;CHAR(34)&amp;"  ","")&amp;IF(ISNUMBER($BV140),"B "&amp;TRIM(TEXT($BV140,"# ?/??"))&amp;CHAR(34)&amp;"  ","")&amp;IF(ISNUMBER($BW140),"C "&amp;TRIM(TEXT($BW140,"# ?/??"))&amp;CHAR(34)&amp;"  ","")&amp;IF(ISNUMBER($BX140),"D "&amp;TRIM(TEXT($BX140,"# ?/??"))&amp;CHAR(34)&amp;"  ","")&amp;IF(ISNUMBER($BY140),"F "&amp;TRIM(TEXT($BY140,"# ?/??"))&amp;CHAR(34)&amp;"  ","")&amp;IF(ISNUMBER($BZ140),"E "&amp;TRIM(TEXT($BZ140,"# ?/??"))&amp;CHAR(34)&amp;"  ","")))</f>
        <v/>
      </c>
      <c r="CZ140" s="100">
        <f>IF(OR($CS140,N($BJ140)=0),"",TRIM(IF(ISNUMBER($BU140),"A "&amp;TRIM(TEXT($BU140-HeadClr,"# ?/??"))&amp;CHAR(34)&amp;"  ","")&amp;IF(ISNUMBER($BV140),"B "&amp;TRIM(TEXT($BV140-HeadClr,"# ?/??"))&amp;CHAR(34)&amp;"  ","")&amp;IF(ISNUMBER($BW140),"C "&amp;TRIM(TEXT($BW140-HeadClr,"# ?/??"))&amp;CHAR(34)&amp;"  ","")&amp;IF(ISNUMBER($BX140),"D "&amp;TRIM(TEXT($BX140-HeadClr,"# ?/??"))&amp;CHAR(34)&amp;"  ","")&amp;IF(ISNUMBER($BY140),"F "&amp;TRIM(TEXT($BY140-HeadClr,"# ?/??"))&amp;CHAR(34)&amp;"  ","")&amp;IF(ISNUMBER($BZ140),"E "&amp;TRIM(TEXT($BZ140-HeadClr,"# ?/??"))&amp;CHAR(34)&amp;"  ","")))</f>
        <v/>
      </c>
      <c r="DA140" s="99">
        <f>IF($A140="","",IF($AN140="",IFERROR(VLOOKUP($Z140,CODES,2,FALSE),""),IFERROR(VLOOKUP($AN140,CODES,2,FALSE),"")))</f>
        <v/>
      </c>
      <c r="DB140" s="99">
        <f>IF($A140="","",IF($O140="Y","PR",IF(OR($Z140="L",$Z140="RR",LEFT($Z140,2)="L-",LEFT($Z140,3)="RR-"),"LH","RH")))</f>
        <v/>
      </c>
      <c r="DC140" s="99">
        <f>IF($A140="","","S.HM"&amp;IF(OR($C140="DOOR ONLY",$X140&lt;&gt;"KD"),"MASONRY","DRYWALL")&amp;IF($C140="DOOR ONLY","",$U140)&amp;IF(AND($C140&lt;&gt;"FRAME ONLY",OR(LEFT($AH140,3)="OAK",LEFT($AH140,3)="BIR",LEFT($AH140,3)="MAP",$AH140="PC",$AH140="MC",$AH140="SCLC",$AH140="P-LAM")),"WD","HM")&amp;"1.75")</f>
        <v/>
      </c>
      <c r="DD140" s="99">
        <f>IF($CJ140="","",IF($O140="Y",$CJ140,SUBSTITUTE($CJ140,$BG140&amp;" "&amp;IFERROR(VLOOKUP($Z140,CODES,2,FALSE),"")&amp;" ",$BG140&amp;" ")))</f>
        <v/>
      </c>
      <c r="DE140" s="99">
        <f>IF($CK140="","",IF($O140="Y",$CK140,SUBSTITUTE($CK140,$BG140&amp;" "&amp;IF($AN140="",IFERROR(VLOOKUP($Z140,CODES,2,FALSE),""),IFERROR(VLOOKUP($AN140,CODES,2,FALSE),""))&amp;" ",$BG140&amp;" ")))</f>
        <v/>
      </c>
      <c r="DF140" s="99">
        <f>IF($CJ140="","",$DC140&amp;"|"&amp;$DD140&amp;"|"&amp;$DB140&amp;"|"&amp;$AT140&amp;"|"&amp;$V140&amp;"|"&amp;$Y140&amp;"|"&amp;$AB140)</f>
        <v/>
      </c>
      <c r="DG140" s="99">
        <f>IF(DF140="","",IF(COUNTIF($DF$6:DF140,DF140)=1,MAX($DG$5:DG139)+1,INDEX($DG$5:DG139,MATCH(DF140,$DF$5:DF139,0))))</f>
        <v/>
      </c>
      <c r="DH140" s="99">
        <f>IF($CK140="","",$DC140&amp;"|"&amp;$DE140&amp;"|"&amp;$AI140&amp;"|"&amp;$BK140&amp;"|"&amp;$BL140)</f>
        <v/>
      </c>
      <c r="DI140" s="99">
        <f>IF(DH140="","",IF(COUNTIF($DH$6:DH140,DH140)=1,MAX($DI$5:DI139)+1,INDEX($DI$5:DI139,MATCH(DH140,$DH$5:DH139,0))))</f>
        <v/>
      </c>
      <c r="DJ140" s="99">
        <f>IF($A140="","",IF($B140="","qty, ","")&amp;IF($C140="","scope, ","")&amp;IF(OR($K140="",$M140=""),"size, ","")&amp;IF(AND($A140&lt;&gt;"",$C140&lt;&gt;"DOOR ONLY"),IF($U140="","jamb depth, ","")&amp;IF($X140="","construction, ","")&amp;IF($Y140="","anchor, ","")&amp;IF($S140="","frame type, ",""),"")&amp;IF(AND(N($BJ140)&gt;0,$Z140=""),"hand, ","")&amp;IF(N($BJ140)&gt;0,IF($AH140="","door material, ","")&amp;IF($AL140="","face type, ","")&amp;IF($AP140="","lock prep, ","")&amp;IF(AND($AO140="",$AC140=""),"hinge prep, ",""),"")&amp;IF(AND($CH140&gt;0,$AH140="FRP"),"FRP cannot carry a label, ","")&amp;IF(AND($O140="Y",OR($Z140="L",$Z140="R",$Z140="LR",$Z140="RR")),"pair marked but hand is single, ","")&amp;IF(AND($O140&lt;&gt;"Y",OR($Z140="PR",AND(LEN($Z140)&gt;1,ISNUMBER(SEARCH("-",$Z140))))),"pair hand on a single door, ","")&amp;IF(AND(ISNUMBER($CI140),$CH140&lt;N($CI140)),"wall needs a "&amp;$CI140&amp;" min door, ","")&amp;IF(AND($CH140&gt;=180,AND(OR($CE140="FG",$CE140="HG",$CE140="FNV",$CE140="FV"),N($CF140)*N($CG140)&gt;100)),"180 min lite over 100 sq in, ","")&amp;IF(N($BK140)&gt;48,"leaf wider than 4'-0"&amp;CHAR(34)&amp;", ","")&amp;IF(AND($CT140,COUNT($AW140:$AZ140)=0,$CQ140&gt;0),"CUSTOM LOC with no locations typed, ",""))</f>
        <v/>
      </c>
      <c r="DK140" s="99">
        <f>IF($A140="","",IF(AND($CH140&gt;0,AND($A140&lt;&gt;"",$C140&lt;&gt;"DOOR ONLY"),$X140="KD",$E140="EXTERIOR"),"KD label on an exterior opening, ","")&amp;IF(AND($E140="EXTERIOR",OR(AND(AND($A140&lt;&gt;"",$C140&lt;&gt;"DOOR ONLY"),$W140="CR"),AND(N($BJ140)&gt;0,$AH140="CR"))),"exterior in CR steel (G9?), ","")&amp;IF(AND(ISNUMBER($BQ140),N($BQ140)&lt;32),"clear width ~"&amp;TEXT($BQ140,"0.0")&amp;CHAR(34)&amp;" under 32"&amp;CHAR(34)&amp;" (ADA), ","")&amp;IF(AND($CH140=90,AND(OR($CE140="FG",$CE140="HG",$CE140="FNV",$CE140="FV"),N($CF140)*N($CG140)&gt;100)),"90 min lite over 100 sq in (stair/exit), ","")&amp;IF(AND($CH140&gt;0,AND($A140&lt;&gt;"",$C140&lt;&gt;"DOOR ONLY"),OR($AF140="",$AF140="-")),"rated: closer reinf.?, ","")&amp;IF(OR($I140="CORRIDOR",$I140="SMOKE BARRIER"),"S label + smoke gasketing, ","")&amp;IF($CI140="?","wall type/hr not in IBC table, ","")&amp;IF(AND(N($BJ140)&gt;0,$BB140=""),"no hardware set, ","")&amp;IF(AND($BB140&lt;&gt;"",ISNA(MATCH($BB140&amp;"",HWSets,0))),"set "&amp;$BB140&amp;" not on HW Sets, ","")&amp;IF(N($BL140)&gt;96,"leaf over 8'-0"&amp;CHAR(34)&amp;" - check listing, ","")&amp;IF(AND($CT140,COUNT($AW140:$AZ140)&gt;0,COUNT($AW140:$AZ140)&lt;&gt;$CQ140),COUNT($AW140:$AZ140)&amp;" custom hinges typed, "&amp;$CQ140&amp;" expected, ","")&amp;IF(AND(ISNUMBER($CA140),OR(N($CA140)&lt;34,N($CA140)&gt;48)),"lock "&amp;TEXT($CA140,"0.0")&amp;CHAR(34)&amp;" AFF outside 34-48"&amp;CHAR(34)&amp;" (ADA), ","")&amp;IF(AND(ISNUMBER($AV140),ISNUMBER($BL140),N($AV140)&lt;IF(N($BL140)&lt;=60,2,IF(N($BL140)&lt;=90,3,IF(N($BL140)&lt;=120,4,5)))),"fewer hinges than standard, ",""))</f>
        <v/>
      </c>
    </row>
    <row r="141" ht="15" customHeight="1">
      <c r="A141" s="77" t="n"/>
      <c r="B141" s="78" t="n"/>
      <c r="C141" s="78" t="n"/>
      <c r="D141" s="78" t="n"/>
      <c r="E141" s="78" t="n"/>
      <c r="F141" s="78" t="n"/>
      <c r="G141" s="78" t="n"/>
      <c r="H141" s="78" t="n"/>
      <c r="I141" s="78" t="n"/>
      <c r="J141" s="78" t="n"/>
      <c r="K141" s="78" t="n"/>
      <c r="L141" s="78" t="n"/>
      <c r="M141" s="78" t="n"/>
      <c r="N141" s="78" t="n"/>
      <c r="O141" s="78" t="n"/>
      <c r="P141" s="78" t="n"/>
      <c r="Q141" s="78" t="n"/>
      <c r="R141" s="78" t="n"/>
      <c r="S141" s="79" t="n"/>
      <c r="T141" s="79" t="n"/>
      <c r="U141" s="79" t="n"/>
      <c r="V141" s="79" t="n"/>
      <c r="W141" s="79" t="n"/>
      <c r="X141" s="79" t="n"/>
      <c r="Y141" s="79" t="n"/>
      <c r="Z141" s="79" t="n"/>
      <c r="AA141" s="79" t="n"/>
      <c r="AB141" s="79" t="n"/>
      <c r="AC141" s="79" t="n"/>
      <c r="AD141" s="79" t="n"/>
      <c r="AE141" s="79" t="n"/>
      <c r="AF141" s="79" t="n"/>
      <c r="AG141" s="79" t="n"/>
      <c r="AH141" s="80" t="n"/>
      <c r="AI141" s="80" t="n"/>
      <c r="AJ141" s="80" t="n"/>
      <c r="AK141" s="80" t="n"/>
      <c r="AL141" s="80" t="n"/>
      <c r="AM141" s="80" t="n"/>
      <c r="AN141" s="80" t="n"/>
      <c r="AO141" s="80" t="n"/>
      <c r="AP141" s="80" t="n"/>
      <c r="AQ141" s="80" t="n"/>
      <c r="AR141" s="80" t="n"/>
      <c r="AS141" s="80" t="n"/>
      <c r="AT141" s="81" t="n"/>
      <c r="AU141" s="81" t="n"/>
      <c r="AV141" s="81" t="n"/>
      <c r="AW141" s="82" t="n"/>
      <c r="AX141" s="82" t="n"/>
      <c r="AY141" s="82" t="n"/>
      <c r="AZ141" s="82" t="n"/>
      <c r="BA141" s="82" t="n"/>
      <c r="BB141" s="83" t="n"/>
      <c r="BC141" s="83" t="n"/>
      <c r="BD141" s="84">
        <f>IF($A141="","",IF($DJ141&lt;&gt;"","FIX",IF($DK141&lt;&gt;"","CHECK","OK")))</f>
        <v/>
      </c>
      <c r="BE141" s="85">
        <f>IF($A141="","",IF($DJ141&lt;&gt;"","FIX: "&amp;LEFT($DJ141,LEN($DJ141)-2)&amp;IF($DK141&lt;&gt;"","  ·  ",""),"")&amp;IF($DK141&lt;&gt;"","CHECK: "&amp;LEFT($DK141,LEN($DK141)-2),""))</f>
        <v/>
      </c>
      <c r="BF141" s="84">
        <f>IF(OR($A141="",$K141=""),"",$K141&amp;"'-"&amp;N($L141)&amp;CHAR(34)&amp;" x "&amp;$M141&amp;"'-"&amp;N($N141)&amp;CHAR(34))</f>
        <v/>
      </c>
      <c r="BG141" s="84">
        <f>IF(OR($A141="",$K141=""),"",$K141&amp;N($L141)&amp;$M141&amp;N($N141))</f>
        <v/>
      </c>
      <c r="BH141" s="84">
        <f>IF(OR($A141="",$K141=""),"",$K141*12+N($L141))</f>
        <v/>
      </c>
      <c r="BI141" s="84">
        <f>IF(OR($A141="",$M141=""),"",$M141*12+N($N141))</f>
        <v/>
      </c>
      <c r="BJ141" s="84">
        <f>IF($A141="","",IF(OR($C141="FRAME ONLY",$S141="BL"),0,IF($O141="Y",2,1)))</f>
        <v/>
      </c>
      <c r="BK141" s="86">
        <f>IF(OR(N($BJ141)=0,$BH141=""),"",($BH141-2*EdgeClr-IF($BJ141=2,MeetClr,0))/$BJ141)</f>
        <v/>
      </c>
      <c r="BL141" s="86">
        <f>IF(OR(N($BJ141)=0,$BI141=""),"",$BI141-HeadClr-Undercut)</f>
        <v/>
      </c>
      <c r="BM141" s="86">
        <f>IF($BH141="","",$BH141+2*FaceW+IF(N($Q141)&gt;0,($Q141+FaceW)*IF($R141="LR",2,1),0))</f>
        <v/>
      </c>
      <c r="BN141" s="86">
        <f>IF($BI141="","",$BI141+IF($AB141="Y",4,FaceW)+IF(N($P141)&gt;0,$P141+FaceW,0)+IF(OR($S141="4F",$S141="BL"),FaceW,0))</f>
        <v/>
      </c>
      <c r="BO141" s="86">
        <f>IF($BM141="","",$BM141+2*ROSide)</f>
        <v/>
      </c>
      <c r="BP141" s="86">
        <f>IF($BN141="","",$BN141+ROTop)</f>
        <v/>
      </c>
      <c r="BQ141" s="87">
        <f>IF(OR(N($BJ141)=0,$BH141=""),"",$BH141/$BJ141-ClearDeduct)</f>
        <v/>
      </c>
      <c r="BR141" s="84">
        <f>IF(N($CH141)=0,"",IF($CH141&gt;=180,"A · 3 HR",IF($CH141&gt;=90,"B · 1-1/2 HR",IF($CH141&gt;=60,"B · 1 HR",IF($CH141&gt;=45,"C · 3/4 HR","20 MIN")))))&amp;IF(AND(N($CH141)&gt;0,OR($I141="CORRIDOR",$I141="SMOKE BARRIER"))," · S","")</f>
        <v/>
      </c>
      <c r="BS141" s="84">
        <f>IF($CS141,"",IF($AV141&lt;&gt;"",$AV141,IF(OR($AC141="HGC",$AO141="HGC"),"CONT",IF(($BI141-HeadClr-Undercut)&lt;=60,2,IF(($BI141-HeadClr-Undercut)&lt;=90,3,IF(($BI141-HeadClr-Undercut)&lt;=120,4,5))))))</f>
        <v/>
      </c>
      <c r="BT141" s="84">
        <f>IF($CS141,"",IF($CT141,"CUSTOM (typed)",IF($CV141,$AT141&amp;" "&amp;$CU141&amp;CHAR(34)&amp;IF($CU141&lt;&gt;$BI141,IF(AND($BI141&lt;$CU141,$BI141-IF(N(VLOOKUP($AT141&amp;"|"&amp;$CU141,LocTable,7,FALSE))&gt;0,VLOOKUP($AT141&amp;"|"&amp;$CU141,LocTable,7,FALSE),VLOOKUP($AT141&amp;"|"&amp;$CU141,LocTable,6,FALSE))-$CR141-0.75&gt;=2.125)," cut down"," adj."),""),"ANSI/SDI A250.6")))</f>
        <v/>
      </c>
      <c r="BU141" s="88">
        <f>IF($CS141,"",IF($CT141,IF(N($AW141)&gt;0,N($AW141),""),IF(1&gt;$CQ141,"",IF($CQ141=1,$CW141,$CW141+($CX141-$CW141)*0/($CQ141-1)))))</f>
        <v/>
      </c>
      <c r="BV141" s="88">
        <f>IF($CS141,"",IF($CT141,IF(N($AX141)&gt;0,N($AX141),""),IF(2&gt;$CQ141,"",IF($CQ141=1,$CW141,$CW141+($CX141-$CW141)*1/($CQ141-1)))))</f>
        <v/>
      </c>
      <c r="BW141" s="88">
        <f>IF($CS141,"",IF($CT141,IF(N($AY141)&gt;0,N($AY141),""),IF(3&gt;$CQ141,"",IF($CQ141=1,$CW141,$CW141+($CX141-$CW141)*2/($CQ141-1)))))</f>
        <v/>
      </c>
      <c r="BX141" s="88">
        <f>IF($CS141,"",IF($CT141,IF(N($AZ141)&gt;0,N($AZ141),""),IF(4&gt;$CQ141,"",IF($CQ141=1,$CW141,$CW141+($CX141-$CW141)*3/($CQ141-1)))))</f>
        <v/>
      </c>
      <c r="BY141" s="88">
        <f>IF($CS141,"",IF($CT141,"",IF(5&gt;$CQ141,"",IF($CQ141=1,$CW141,$CW141+($CX141-$CW141)*4/($CQ141-1)))))</f>
        <v/>
      </c>
      <c r="BZ141" s="88">
        <f>IF(OR($CS141,$AP141="-",AND($AP141="",$AD141="")),"",IF(N($BA141)&gt;0,N($BA141),IF($CV141,IF(AND($BI141&lt;$CU141,$BI141-IF(N(VLOOKUP($AT141&amp;"|"&amp;$CU141,LocTable,7,FALSE))&gt;0,VLOOKUP($AT141&amp;"|"&amp;$CU141,LocTable,7,FALSE),VLOOKUP($AT141&amp;"|"&amp;$CU141,LocTable,6,FALSE))-$CR141-0.75&gt;=2.125),VLOOKUP($AT141&amp;"|"&amp;$CU141,LocTable,8,FALSE),VLOOKUP($AT141&amp;"|"&amp;$CU141,LocTable,8,FALSE)+($BI141-$CU141)),$BI141-LockAFF)))</f>
        <v/>
      </c>
      <c r="CA141" s="89">
        <f>IF($BZ141="","",$BI141-$BZ141)</f>
        <v/>
      </c>
      <c r="CB141" s="84">
        <f>IF(OR(NOT(AND($A141&lt;&gt;"",$C141&lt;&gt;"DOOR ONLY")),$BI141=""),"",IF(($BI141+IF(N($P141)&gt;0,$P141+FaceW,0))&lt;=90,3,IF(($BI141+IF(N($P141)&gt;0,$P141+FaceW,0))&lt;=114,4,5)))</f>
        <v/>
      </c>
      <c r="CC141" s="84">
        <f>IF($CB141="","",$CB141*(2+IF(N($Q141)&gt;0,IF($R141="LR",2,1),0)))</f>
        <v/>
      </c>
      <c r="CD141" s="84">
        <f>IF($CB141="","",(2+IF(N($Q141)&gt;0,IF($R141="LR",2,1),0)))</f>
        <v/>
      </c>
      <c r="CE141" s="84">
        <f>IF(N($BJ141)=0,"",IF(OR($AL141="",$AL141="FLUSH"),"FLUSH",IFERROR(LEFT($AL141,FIND("-",$AL141)-1),LEFT($AL141,2))))</f>
        <v/>
      </c>
      <c r="CF141" s="84">
        <f>IF($CE141="","",IFERROR(VALUE(MID($AL141,FIND("-",$AL141)+1,FIND(CHAR(34)&amp;"x",$AL141)-FIND("-",$AL141)-1)),0))</f>
        <v/>
      </c>
      <c r="CG141" s="84">
        <f>IF($CE141="","",IFERROR(VALUE(MID($AL141,FIND(CHAR(34)&amp;"x",$AL141)+2,FIND(CHAR(34),$AL141,FIND(CHAR(34)&amp;"x",$AL141)+2)-FIND(CHAR(34)&amp;"x",$AL141)-2)),0))</f>
        <v/>
      </c>
      <c r="CH141" s="90">
        <f>IF(OR($A141="",$H141="",$H141="NO LAB"),0,IFERROR(VALUE(LEFT($H141,FIND(" ",$H141)-1)),0))</f>
        <v/>
      </c>
      <c r="CI141" s="91">
        <f>IF(OR($A141="",$I141="",$I141="NON-RATED",N($J141)=0),"",IFERROR(VLOOKUP($I141&amp;"|"&amp;$J141,IBC,2,FALSE),"?"))</f>
        <v/>
      </c>
      <c r="CJ141" s="85">
        <f>IF(NOT(AND($A141&lt;&gt;"",$C141&lt;&gt;"DOOR ONLY")),"",TRIM(IFERROR(VLOOKUP($U141,CODES,2,FALSE),"")&amp;" "&amp;$BG141&amp;" "&amp;IFERROR(VLOOKUP($Z141,CODES,2,FALSE),"")&amp;" "&amp;IFERROR(VLOOKUP($X141,CODES,2,FALSE),"")&amp;" "&amp;IFERROR(VLOOKUP($S141,CODES,2,FALSE),"")&amp;IF(N($P141)&gt;0," w/TRANSOM "&amp;$P141&amp;CHAR(34),"")&amp;IF(N($Q141)&gt;0," w/SIDELITE "&amp;$Q141&amp;CHAR(34)&amp;" "&amp;IF($R141="","R",$R141),"")&amp;IF($Y141="","  |  "," | "&amp;IFERROR(VLOOKUP($Y141,CODES,2,FALSE),"")&amp;" | ")&amp;IFERROR(VLOOKUP($AC141,CODES,2,FALSE),"")&amp;" "&amp;IFERROR(VLOOKUP($AD141,CODES,2,FALSE),"")&amp;IF(OR($AE141="",$AE141="-"),""," "&amp;$AE141)&amp;IF(OR($AF141="",$AF141="-"),""," "&amp;$AF141)&amp;IF($AB141="Y"," 4"&amp;CHAR(34)&amp;" HEAD","")&amp;" "&amp;IFERROR(VLOOKUP($H141,CODES,2,FALSE),"")&amp;IF($CT141," | LOC "&amp;$CY141,"")))</f>
        <v/>
      </c>
      <c r="CK141" s="85">
        <f>IF(NOT(AND($A141&lt;&gt;"",N($BJ141)&gt;0)),"",TRIM(IFERROR(VLOOKUP($AH141,CODES,2,FALSE),"")&amp;IF($AI141=""," "," "&amp;$AI141&amp;"GA ")&amp;$BG141&amp;" "&amp;IF($AN141="",IFERROR(VLOOKUP($Z141,CODES,2,FALSE),""),IFERROR(VLOOKUP($AN141,CODES,2,FALSE),""))&amp;IF($BJ141=2," PAIR","")&amp;" DOOR | "&amp;IF($AL141="","?",$AL141)&amp;" | "&amp;IF($AO141="",IFERROR(VLOOKUP($AC141,CODES,2,FALSE),""),IFERROR(VLOOKUP($AO141,CODES,2,FALSE),""))&amp;" "&amp;IFERROR(VLOOKUP($AP141,CODES,2,FALSE),"")&amp;IF(OR($AQ141="",$AQ141="-"),""," SEAM "&amp;$AQ141)&amp;IF($AR141="Y"," ASTRAGAL","")&amp;IF($AJ141=""," "," "&amp;$AJ141)&amp;IF($AK141=""," "," "&amp;$AK141)&amp;IF(OR($AT141="",$AT141="ANSI/SDI",$AT141="CUSTOM LOC"),""," "&amp;$AT141)&amp;IF($AM141=""," "," SERIES "&amp;$AM141)&amp;" "&amp;IFERROR(VLOOKUP($H141,CODES,2,FALSE),"")&amp;IF($CT141," | LOC "&amp;$CZ141,"")))</f>
        <v/>
      </c>
      <c r="CL141" s="84">
        <f>IF(CP141="","",IF(COUNTIF($CP$6:CP141,CP141)=1,MAX($CL$5:CL140)+1,INDEX($CL$5:CL140,MATCH(CP141,$CP$5:CP140,0))))</f>
        <v/>
      </c>
      <c r="CM141" s="84">
        <f>IF(NOT(AND($A141&lt;&gt;"",$C141&lt;&gt;"DOOR ONLY")),"",MAX($CM$5:CM140)+1)</f>
        <v/>
      </c>
      <c r="CN141" s="84">
        <f>IF(NOT(AND($A141&lt;&gt;"",N($BJ141)&gt;0)),"",MAX($CN$5:CN140)+1)</f>
        <v/>
      </c>
      <c r="CO141" s="84">
        <f>IF($A141="","",MAX($CO$5:CO140)+1)</f>
        <v/>
      </c>
      <c r="CP141" s="84">
        <f>IF(OR($A141="",$BH141="",$BI141=""),"",$BG141&amp;"|"&amp;$O141&amp;"|"&amp;$AL141&amp;"|"&amp;$S141&amp;"|"&amp;$P141&amp;"|"&amp;$Q141&amp;$R141&amp;"|"&amp;$C141&amp;"|"&amp;$AB141)</f>
        <v/>
      </c>
      <c r="CQ141" s="84">
        <f>N($BS141)</f>
        <v/>
      </c>
      <c r="CR141" s="84">
        <f>IF(N($AU141)&gt;0,N($AU141),4.5)</f>
        <v/>
      </c>
      <c r="CS141" s="84">
        <f>OR($A141="",$BI141="",$S141="BL",AND($C141="FRAME ONLY",OR($AC141="",$AC141="BLK")))</f>
        <v/>
      </c>
      <c r="CT141" s="84">
        <f>AND(NOT($CS141),OR($AT141="CUSTOM LOC",N($AW141)+N($AX141)+N($AY141)+N($AZ141)+N($BA141)&gt;0))</f>
        <v/>
      </c>
      <c r="CU141" s="84">
        <f>IF($BI141="","",IF($BI141&lt;=80,80,IF($BI141&lt;=84,84,96)))</f>
        <v/>
      </c>
      <c r="CV141" s="84">
        <f>ISNUMBER(MATCH($AT141&amp;"|80",LocKeys,0))</f>
        <v/>
      </c>
      <c r="CW141" s="86">
        <f>IF($CS141,"",IF($CV141,VLOOKUP($AT141&amp;"|"&amp;$CU141,LocTable,4,FALSE),5))</f>
        <v/>
      </c>
      <c r="CX141" s="86">
        <f>IF($CS141,"",IF($CV141,IF(OR($BI141=$CU141,AND($BI141&lt;$CU141,$BI141-IF(N(VLOOKUP($AT141&amp;"|"&amp;$CU141,LocTable,7,FALSE))&gt;0,VLOOKUP($AT141&amp;"|"&amp;$CU141,LocTable,7,FALSE),VLOOKUP($AT141&amp;"|"&amp;$CU141,LocTable,6,FALSE))-$CR141-0.75&gt;=2.125)),IF(N(VLOOKUP($AT141&amp;"|"&amp;$CU141,LocTable,7,FALSE))&gt;0,VLOOKUP($AT141&amp;"|"&amp;$CU141,LocTable,7,FALSE),VLOOKUP($AT141&amp;"|"&amp;$CU141,LocTable,6,FALSE)),$BI141-($CU141-IF(N(VLOOKUP($AT141&amp;"|"&amp;$CU141,LocTable,7,FALSE))&gt;0,VLOOKUP($AT141&amp;"|"&amp;$CU141,LocTable,7,FALSE),VLOOKUP($AT141&amp;"|"&amp;$CU141,LocTable,6,FALSE)))),$BI141-10-$CR141))</f>
        <v/>
      </c>
      <c r="CY141" s="85">
        <f>IF($CS141,"",TRIM(IF(ISNUMBER($BU141),"A "&amp;TRIM(TEXT($BU141,"# ?/??"))&amp;CHAR(34)&amp;"  ","")&amp;IF(ISNUMBER($BV141),"B "&amp;TRIM(TEXT($BV141,"# ?/??"))&amp;CHAR(34)&amp;"  ","")&amp;IF(ISNUMBER($BW141),"C "&amp;TRIM(TEXT($BW141,"# ?/??"))&amp;CHAR(34)&amp;"  ","")&amp;IF(ISNUMBER($BX141),"D "&amp;TRIM(TEXT($BX141,"# ?/??"))&amp;CHAR(34)&amp;"  ","")&amp;IF(ISNUMBER($BY141),"F "&amp;TRIM(TEXT($BY141,"# ?/??"))&amp;CHAR(34)&amp;"  ","")&amp;IF(ISNUMBER($BZ141),"E "&amp;TRIM(TEXT($BZ141,"# ?/??"))&amp;CHAR(34)&amp;"  ","")))</f>
        <v/>
      </c>
      <c r="CZ141" s="85">
        <f>IF(OR($CS141,N($BJ141)=0),"",TRIM(IF(ISNUMBER($BU141),"A "&amp;TRIM(TEXT($BU141-HeadClr,"# ?/??"))&amp;CHAR(34)&amp;"  ","")&amp;IF(ISNUMBER($BV141),"B "&amp;TRIM(TEXT($BV141-HeadClr,"# ?/??"))&amp;CHAR(34)&amp;"  ","")&amp;IF(ISNUMBER($BW141),"C "&amp;TRIM(TEXT($BW141-HeadClr,"# ?/??"))&amp;CHAR(34)&amp;"  ","")&amp;IF(ISNUMBER($BX141),"D "&amp;TRIM(TEXT($BX141-HeadClr,"# ?/??"))&amp;CHAR(34)&amp;"  ","")&amp;IF(ISNUMBER($BY141),"F "&amp;TRIM(TEXT($BY141-HeadClr,"# ?/??"))&amp;CHAR(34)&amp;"  ","")&amp;IF(ISNUMBER($BZ141),"E "&amp;TRIM(TEXT($BZ141-HeadClr,"# ?/??"))&amp;CHAR(34)&amp;"  ","")))</f>
        <v/>
      </c>
      <c r="DA141" s="84">
        <f>IF($A141="","",IF($AN141="",IFERROR(VLOOKUP($Z141,CODES,2,FALSE),""),IFERROR(VLOOKUP($AN141,CODES,2,FALSE),"")))</f>
        <v/>
      </c>
      <c r="DB141" s="84">
        <f>IF($A141="","",IF($O141="Y","PR",IF(OR($Z141="L",$Z141="RR",LEFT($Z141,2)="L-",LEFT($Z141,3)="RR-"),"LH","RH")))</f>
        <v/>
      </c>
      <c r="DC141" s="84">
        <f>IF($A141="","","S.HM"&amp;IF(OR($C141="DOOR ONLY",$X141&lt;&gt;"KD"),"MASONRY","DRYWALL")&amp;IF($C141="DOOR ONLY","",$U141)&amp;IF(AND($C141&lt;&gt;"FRAME ONLY",OR(LEFT($AH141,3)="OAK",LEFT($AH141,3)="BIR",LEFT($AH141,3)="MAP",$AH141="PC",$AH141="MC",$AH141="SCLC",$AH141="P-LAM")),"WD","HM")&amp;"1.75")</f>
        <v/>
      </c>
      <c r="DD141" s="84">
        <f>IF($CJ141="","",IF($O141="Y",$CJ141,SUBSTITUTE($CJ141,$BG141&amp;" "&amp;IFERROR(VLOOKUP($Z141,CODES,2,FALSE),"")&amp;" ",$BG141&amp;" ")))</f>
        <v/>
      </c>
      <c r="DE141" s="84">
        <f>IF($CK141="","",IF($O141="Y",$CK141,SUBSTITUTE($CK141,$BG141&amp;" "&amp;IF($AN141="",IFERROR(VLOOKUP($Z141,CODES,2,FALSE),""),IFERROR(VLOOKUP($AN141,CODES,2,FALSE),""))&amp;" ",$BG141&amp;" ")))</f>
        <v/>
      </c>
      <c r="DF141" s="84">
        <f>IF($CJ141="","",$DC141&amp;"|"&amp;$DD141&amp;"|"&amp;$DB141&amp;"|"&amp;$AT141&amp;"|"&amp;$V141&amp;"|"&amp;$Y141&amp;"|"&amp;$AB141)</f>
        <v/>
      </c>
      <c r="DG141" s="84">
        <f>IF(DF141="","",IF(COUNTIF($DF$6:DF141,DF141)=1,MAX($DG$5:DG140)+1,INDEX($DG$5:DG140,MATCH(DF141,$DF$5:DF140,0))))</f>
        <v/>
      </c>
      <c r="DH141" s="84">
        <f>IF($CK141="","",$DC141&amp;"|"&amp;$DE141&amp;"|"&amp;$AI141&amp;"|"&amp;$BK141&amp;"|"&amp;$BL141)</f>
        <v/>
      </c>
      <c r="DI141" s="84">
        <f>IF(DH141="","",IF(COUNTIF($DH$6:DH141,DH141)=1,MAX($DI$5:DI140)+1,INDEX($DI$5:DI140,MATCH(DH141,$DH$5:DH140,0))))</f>
        <v/>
      </c>
      <c r="DJ141" s="84">
        <f>IF($A141="","",IF($B141="","qty, ","")&amp;IF($C141="","scope, ","")&amp;IF(OR($K141="",$M141=""),"size, ","")&amp;IF(AND($A141&lt;&gt;"",$C141&lt;&gt;"DOOR ONLY"),IF($U141="","jamb depth, ","")&amp;IF($X141="","construction, ","")&amp;IF($Y141="","anchor, ","")&amp;IF($S141="","frame type, ",""),"")&amp;IF(AND(N($BJ141)&gt;0,$Z141=""),"hand, ","")&amp;IF(N($BJ141)&gt;0,IF($AH141="","door material, ","")&amp;IF($AL141="","face type, ","")&amp;IF($AP141="","lock prep, ","")&amp;IF(AND($AO141="",$AC141=""),"hinge prep, ",""),"")&amp;IF(AND($CH141&gt;0,$AH141="FRP"),"FRP cannot carry a label, ","")&amp;IF(AND($O141="Y",OR($Z141="L",$Z141="R",$Z141="LR",$Z141="RR")),"pair marked but hand is single, ","")&amp;IF(AND($O141&lt;&gt;"Y",OR($Z141="PR",AND(LEN($Z141)&gt;1,ISNUMBER(SEARCH("-",$Z141))))),"pair hand on a single door, ","")&amp;IF(AND(ISNUMBER($CI141),$CH141&lt;N($CI141)),"wall needs a "&amp;$CI141&amp;" min door, ","")&amp;IF(AND($CH141&gt;=180,AND(OR($CE141="FG",$CE141="HG",$CE141="FNV",$CE141="FV"),N($CF141)*N($CG141)&gt;100)),"180 min lite over 100 sq in, ","")&amp;IF(N($BK141)&gt;48,"leaf wider than 4'-0"&amp;CHAR(34)&amp;", ","")&amp;IF(AND($CT141,COUNT($AW141:$AZ141)=0,$CQ141&gt;0),"CUSTOM LOC with no locations typed, ",""))</f>
        <v/>
      </c>
      <c r="DK141" s="84">
        <f>IF($A141="","",IF(AND($CH141&gt;0,AND($A141&lt;&gt;"",$C141&lt;&gt;"DOOR ONLY"),$X141="KD",$E141="EXTERIOR"),"KD label on an exterior opening, ","")&amp;IF(AND($E141="EXTERIOR",OR(AND(AND($A141&lt;&gt;"",$C141&lt;&gt;"DOOR ONLY"),$W141="CR"),AND(N($BJ141)&gt;0,$AH141="CR"))),"exterior in CR steel (G9?), ","")&amp;IF(AND(ISNUMBER($BQ141),N($BQ141)&lt;32),"clear width ~"&amp;TEXT($BQ141,"0.0")&amp;CHAR(34)&amp;" under 32"&amp;CHAR(34)&amp;" (ADA), ","")&amp;IF(AND($CH141=90,AND(OR($CE141="FG",$CE141="HG",$CE141="FNV",$CE141="FV"),N($CF141)*N($CG141)&gt;100)),"90 min lite over 100 sq in (stair/exit), ","")&amp;IF(AND($CH141&gt;0,AND($A141&lt;&gt;"",$C141&lt;&gt;"DOOR ONLY"),OR($AF141="",$AF141="-")),"rated: closer reinf.?, ","")&amp;IF(OR($I141="CORRIDOR",$I141="SMOKE BARRIER"),"S label + smoke gasketing, ","")&amp;IF($CI141="?","wall type/hr not in IBC table, ","")&amp;IF(AND(N($BJ141)&gt;0,$BB141=""),"no hardware set, ","")&amp;IF(AND($BB141&lt;&gt;"",ISNA(MATCH($BB141&amp;"",HWSets,0))),"set "&amp;$BB141&amp;" not on HW Sets, ","")&amp;IF(N($BL141)&gt;96,"leaf over 8'-0"&amp;CHAR(34)&amp;" - check listing, ","")&amp;IF(AND($CT141,COUNT($AW141:$AZ141)&gt;0,COUNT($AW141:$AZ141)&lt;&gt;$CQ141),COUNT($AW141:$AZ141)&amp;" custom hinges typed, "&amp;$CQ141&amp;" expected, ","")&amp;IF(AND(ISNUMBER($CA141),OR(N($CA141)&lt;34,N($CA141)&gt;48)),"lock "&amp;TEXT($CA141,"0.0")&amp;CHAR(34)&amp;" AFF outside 34-48"&amp;CHAR(34)&amp;" (ADA), ","")&amp;IF(AND(ISNUMBER($AV141),ISNUMBER($BL141),N($AV141)&lt;IF(N($BL141)&lt;=60,2,IF(N($BL141)&lt;=90,3,IF(N($BL141)&lt;=120,4,5)))),"fewer hinges than standard, ",""))</f>
        <v/>
      </c>
    </row>
    <row r="142" ht="15" customHeight="1">
      <c r="A142" s="77" t="n"/>
      <c r="B142" s="78" t="n"/>
      <c r="C142" s="78" t="n"/>
      <c r="D142" s="78" t="n"/>
      <c r="E142" s="78" t="n"/>
      <c r="F142" s="78" t="n"/>
      <c r="G142" s="78" t="n"/>
      <c r="H142" s="78" t="n"/>
      <c r="I142" s="78" t="n"/>
      <c r="J142" s="78" t="n"/>
      <c r="K142" s="78" t="n"/>
      <c r="L142" s="78" t="n"/>
      <c r="M142" s="78" t="n"/>
      <c r="N142" s="78" t="n"/>
      <c r="O142" s="78" t="n"/>
      <c r="P142" s="78" t="n"/>
      <c r="Q142" s="78" t="n"/>
      <c r="R142" s="78" t="n"/>
      <c r="S142" s="79" t="n"/>
      <c r="T142" s="79" t="n"/>
      <c r="U142" s="79" t="n"/>
      <c r="V142" s="79" t="n"/>
      <c r="W142" s="79" t="n"/>
      <c r="X142" s="79" t="n"/>
      <c r="Y142" s="79" t="n"/>
      <c r="Z142" s="79" t="n"/>
      <c r="AA142" s="79" t="n"/>
      <c r="AB142" s="79" t="n"/>
      <c r="AC142" s="79" t="n"/>
      <c r="AD142" s="79" t="n"/>
      <c r="AE142" s="79" t="n"/>
      <c r="AF142" s="79" t="n"/>
      <c r="AG142" s="79" t="n"/>
      <c r="AH142" s="80" t="n"/>
      <c r="AI142" s="80" t="n"/>
      <c r="AJ142" s="80" t="n"/>
      <c r="AK142" s="80" t="n"/>
      <c r="AL142" s="80" t="n"/>
      <c r="AM142" s="80" t="n"/>
      <c r="AN142" s="80" t="n"/>
      <c r="AO142" s="80" t="n"/>
      <c r="AP142" s="80" t="n"/>
      <c r="AQ142" s="80" t="n"/>
      <c r="AR142" s="80" t="n"/>
      <c r="AS142" s="80" t="n"/>
      <c r="AT142" s="81" t="n"/>
      <c r="AU142" s="81" t="n"/>
      <c r="AV142" s="81" t="n"/>
      <c r="AW142" s="82" t="n"/>
      <c r="AX142" s="82" t="n"/>
      <c r="AY142" s="82" t="n"/>
      <c r="AZ142" s="82" t="n"/>
      <c r="BA142" s="82" t="n"/>
      <c r="BB142" s="83" t="n"/>
      <c r="BC142" s="83" t="n"/>
      <c r="BD142" s="84">
        <f>IF($A142="","",IF($DJ142&lt;&gt;"","FIX",IF($DK142&lt;&gt;"","CHECK","OK")))</f>
        <v/>
      </c>
      <c r="BE142" s="85">
        <f>IF($A142="","",IF($DJ142&lt;&gt;"","FIX: "&amp;LEFT($DJ142,LEN($DJ142)-2)&amp;IF($DK142&lt;&gt;"","  ·  ",""),"")&amp;IF($DK142&lt;&gt;"","CHECK: "&amp;LEFT($DK142,LEN($DK142)-2),""))</f>
        <v/>
      </c>
      <c r="BF142" s="84">
        <f>IF(OR($A142="",$K142=""),"",$K142&amp;"'-"&amp;N($L142)&amp;CHAR(34)&amp;" x "&amp;$M142&amp;"'-"&amp;N($N142)&amp;CHAR(34))</f>
        <v/>
      </c>
      <c r="BG142" s="84">
        <f>IF(OR($A142="",$K142=""),"",$K142&amp;N($L142)&amp;$M142&amp;N($N142))</f>
        <v/>
      </c>
      <c r="BH142" s="84">
        <f>IF(OR($A142="",$K142=""),"",$K142*12+N($L142))</f>
        <v/>
      </c>
      <c r="BI142" s="84">
        <f>IF(OR($A142="",$M142=""),"",$M142*12+N($N142))</f>
        <v/>
      </c>
      <c r="BJ142" s="84">
        <f>IF($A142="","",IF(OR($C142="FRAME ONLY",$S142="BL"),0,IF($O142="Y",2,1)))</f>
        <v/>
      </c>
      <c r="BK142" s="86">
        <f>IF(OR(N($BJ142)=0,$BH142=""),"",($BH142-2*EdgeClr-IF($BJ142=2,MeetClr,0))/$BJ142)</f>
        <v/>
      </c>
      <c r="BL142" s="86">
        <f>IF(OR(N($BJ142)=0,$BI142=""),"",$BI142-HeadClr-Undercut)</f>
        <v/>
      </c>
      <c r="BM142" s="86">
        <f>IF($BH142="","",$BH142+2*FaceW+IF(N($Q142)&gt;0,($Q142+FaceW)*IF($R142="LR",2,1),0))</f>
        <v/>
      </c>
      <c r="BN142" s="86">
        <f>IF($BI142="","",$BI142+IF($AB142="Y",4,FaceW)+IF(N($P142)&gt;0,$P142+FaceW,0)+IF(OR($S142="4F",$S142="BL"),FaceW,0))</f>
        <v/>
      </c>
      <c r="BO142" s="86">
        <f>IF($BM142="","",$BM142+2*ROSide)</f>
        <v/>
      </c>
      <c r="BP142" s="86">
        <f>IF($BN142="","",$BN142+ROTop)</f>
        <v/>
      </c>
      <c r="BQ142" s="87">
        <f>IF(OR(N($BJ142)=0,$BH142=""),"",$BH142/$BJ142-ClearDeduct)</f>
        <v/>
      </c>
      <c r="BR142" s="84">
        <f>IF(N($CH142)=0,"",IF($CH142&gt;=180,"A · 3 HR",IF($CH142&gt;=90,"B · 1-1/2 HR",IF($CH142&gt;=60,"B · 1 HR",IF($CH142&gt;=45,"C · 3/4 HR","20 MIN")))))&amp;IF(AND(N($CH142)&gt;0,OR($I142="CORRIDOR",$I142="SMOKE BARRIER"))," · S","")</f>
        <v/>
      </c>
      <c r="BS142" s="84">
        <f>IF($CS142,"",IF($AV142&lt;&gt;"",$AV142,IF(OR($AC142="HGC",$AO142="HGC"),"CONT",IF(($BI142-HeadClr-Undercut)&lt;=60,2,IF(($BI142-HeadClr-Undercut)&lt;=90,3,IF(($BI142-HeadClr-Undercut)&lt;=120,4,5))))))</f>
        <v/>
      </c>
      <c r="BT142" s="84">
        <f>IF($CS142,"",IF($CT142,"CUSTOM (typed)",IF($CV142,$AT142&amp;" "&amp;$CU142&amp;CHAR(34)&amp;IF($CU142&lt;&gt;$BI142,IF(AND($BI142&lt;$CU142,$BI142-IF(N(VLOOKUP($AT142&amp;"|"&amp;$CU142,LocTable,7,FALSE))&gt;0,VLOOKUP($AT142&amp;"|"&amp;$CU142,LocTable,7,FALSE),VLOOKUP($AT142&amp;"|"&amp;$CU142,LocTable,6,FALSE))-$CR142-0.75&gt;=2.125)," cut down"," adj."),""),"ANSI/SDI A250.6")))</f>
        <v/>
      </c>
      <c r="BU142" s="88">
        <f>IF($CS142,"",IF($CT142,IF(N($AW142)&gt;0,N($AW142),""),IF(1&gt;$CQ142,"",IF($CQ142=1,$CW142,$CW142+($CX142-$CW142)*0/($CQ142-1)))))</f>
        <v/>
      </c>
      <c r="BV142" s="88">
        <f>IF($CS142,"",IF($CT142,IF(N($AX142)&gt;0,N($AX142),""),IF(2&gt;$CQ142,"",IF($CQ142=1,$CW142,$CW142+($CX142-$CW142)*1/($CQ142-1)))))</f>
        <v/>
      </c>
      <c r="BW142" s="88">
        <f>IF($CS142,"",IF($CT142,IF(N($AY142)&gt;0,N($AY142),""),IF(3&gt;$CQ142,"",IF($CQ142=1,$CW142,$CW142+($CX142-$CW142)*2/($CQ142-1)))))</f>
        <v/>
      </c>
      <c r="BX142" s="88">
        <f>IF($CS142,"",IF($CT142,IF(N($AZ142)&gt;0,N($AZ142),""),IF(4&gt;$CQ142,"",IF($CQ142=1,$CW142,$CW142+($CX142-$CW142)*3/($CQ142-1)))))</f>
        <v/>
      </c>
      <c r="BY142" s="88">
        <f>IF($CS142,"",IF($CT142,"",IF(5&gt;$CQ142,"",IF($CQ142=1,$CW142,$CW142+($CX142-$CW142)*4/($CQ142-1)))))</f>
        <v/>
      </c>
      <c r="BZ142" s="88">
        <f>IF(OR($CS142,$AP142="-",AND($AP142="",$AD142="")),"",IF(N($BA142)&gt;0,N($BA142),IF($CV142,IF(AND($BI142&lt;$CU142,$BI142-IF(N(VLOOKUP($AT142&amp;"|"&amp;$CU142,LocTable,7,FALSE))&gt;0,VLOOKUP($AT142&amp;"|"&amp;$CU142,LocTable,7,FALSE),VLOOKUP($AT142&amp;"|"&amp;$CU142,LocTable,6,FALSE))-$CR142-0.75&gt;=2.125),VLOOKUP($AT142&amp;"|"&amp;$CU142,LocTable,8,FALSE),VLOOKUP($AT142&amp;"|"&amp;$CU142,LocTable,8,FALSE)+($BI142-$CU142)),$BI142-LockAFF)))</f>
        <v/>
      </c>
      <c r="CA142" s="89">
        <f>IF($BZ142="","",$BI142-$BZ142)</f>
        <v/>
      </c>
      <c r="CB142" s="84">
        <f>IF(OR(NOT(AND($A142&lt;&gt;"",$C142&lt;&gt;"DOOR ONLY")),$BI142=""),"",IF(($BI142+IF(N($P142)&gt;0,$P142+FaceW,0))&lt;=90,3,IF(($BI142+IF(N($P142)&gt;0,$P142+FaceW,0))&lt;=114,4,5)))</f>
        <v/>
      </c>
      <c r="CC142" s="84">
        <f>IF($CB142="","",$CB142*(2+IF(N($Q142)&gt;0,IF($R142="LR",2,1),0)))</f>
        <v/>
      </c>
      <c r="CD142" s="84">
        <f>IF($CB142="","",(2+IF(N($Q142)&gt;0,IF($R142="LR",2,1),0)))</f>
        <v/>
      </c>
      <c r="CE142" s="84">
        <f>IF(N($BJ142)=0,"",IF(OR($AL142="",$AL142="FLUSH"),"FLUSH",IFERROR(LEFT($AL142,FIND("-",$AL142)-1),LEFT($AL142,2))))</f>
        <v/>
      </c>
      <c r="CF142" s="84">
        <f>IF($CE142="","",IFERROR(VALUE(MID($AL142,FIND("-",$AL142)+1,FIND(CHAR(34)&amp;"x",$AL142)-FIND("-",$AL142)-1)),0))</f>
        <v/>
      </c>
      <c r="CG142" s="84">
        <f>IF($CE142="","",IFERROR(VALUE(MID($AL142,FIND(CHAR(34)&amp;"x",$AL142)+2,FIND(CHAR(34),$AL142,FIND(CHAR(34)&amp;"x",$AL142)+2)-FIND(CHAR(34)&amp;"x",$AL142)-2)),0))</f>
        <v/>
      </c>
      <c r="CH142" s="90">
        <f>IF(OR($A142="",$H142="",$H142="NO LAB"),0,IFERROR(VALUE(LEFT($H142,FIND(" ",$H142)-1)),0))</f>
        <v/>
      </c>
      <c r="CI142" s="91">
        <f>IF(OR($A142="",$I142="",$I142="NON-RATED",N($J142)=0),"",IFERROR(VLOOKUP($I142&amp;"|"&amp;$J142,IBC,2,FALSE),"?"))</f>
        <v/>
      </c>
      <c r="CJ142" s="85">
        <f>IF(NOT(AND($A142&lt;&gt;"",$C142&lt;&gt;"DOOR ONLY")),"",TRIM(IFERROR(VLOOKUP($U142,CODES,2,FALSE),"")&amp;" "&amp;$BG142&amp;" "&amp;IFERROR(VLOOKUP($Z142,CODES,2,FALSE),"")&amp;" "&amp;IFERROR(VLOOKUP($X142,CODES,2,FALSE),"")&amp;" "&amp;IFERROR(VLOOKUP($S142,CODES,2,FALSE),"")&amp;IF(N($P142)&gt;0," w/TRANSOM "&amp;$P142&amp;CHAR(34),"")&amp;IF(N($Q142)&gt;0," w/SIDELITE "&amp;$Q142&amp;CHAR(34)&amp;" "&amp;IF($R142="","R",$R142),"")&amp;IF($Y142="","  |  "," | "&amp;IFERROR(VLOOKUP($Y142,CODES,2,FALSE),"")&amp;" | ")&amp;IFERROR(VLOOKUP($AC142,CODES,2,FALSE),"")&amp;" "&amp;IFERROR(VLOOKUP($AD142,CODES,2,FALSE),"")&amp;IF(OR($AE142="",$AE142="-"),""," "&amp;$AE142)&amp;IF(OR($AF142="",$AF142="-"),""," "&amp;$AF142)&amp;IF($AB142="Y"," 4"&amp;CHAR(34)&amp;" HEAD","")&amp;" "&amp;IFERROR(VLOOKUP($H142,CODES,2,FALSE),"")&amp;IF($CT142," | LOC "&amp;$CY142,"")))</f>
        <v/>
      </c>
      <c r="CK142" s="85">
        <f>IF(NOT(AND($A142&lt;&gt;"",N($BJ142)&gt;0)),"",TRIM(IFERROR(VLOOKUP($AH142,CODES,2,FALSE),"")&amp;IF($AI142=""," "," "&amp;$AI142&amp;"GA ")&amp;$BG142&amp;" "&amp;IF($AN142="",IFERROR(VLOOKUP($Z142,CODES,2,FALSE),""),IFERROR(VLOOKUP($AN142,CODES,2,FALSE),""))&amp;IF($BJ142=2," PAIR","")&amp;" DOOR | "&amp;IF($AL142="","?",$AL142)&amp;" | "&amp;IF($AO142="",IFERROR(VLOOKUP($AC142,CODES,2,FALSE),""),IFERROR(VLOOKUP($AO142,CODES,2,FALSE),""))&amp;" "&amp;IFERROR(VLOOKUP($AP142,CODES,2,FALSE),"")&amp;IF(OR($AQ142="",$AQ142="-"),""," SEAM "&amp;$AQ142)&amp;IF($AR142="Y"," ASTRAGAL","")&amp;IF($AJ142=""," "," "&amp;$AJ142)&amp;IF($AK142=""," "," "&amp;$AK142)&amp;IF(OR($AT142="",$AT142="ANSI/SDI",$AT142="CUSTOM LOC"),""," "&amp;$AT142)&amp;IF($AM142=""," "," SERIES "&amp;$AM142)&amp;" "&amp;IFERROR(VLOOKUP($H142,CODES,2,FALSE),"")&amp;IF($CT142," | LOC "&amp;$CZ142,"")))</f>
        <v/>
      </c>
      <c r="CL142" s="84">
        <f>IF(CP142="","",IF(COUNTIF($CP$6:CP142,CP142)=1,MAX($CL$5:CL141)+1,INDEX($CL$5:CL141,MATCH(CP142,$CP$5:CP141,0))))</f>
        <v/>
      </c>
      <c r="CM142" s="84">
        <f>IF(NOT(AND($A142&lt;&gt;"",$C142&lt;&gt;"DOOR ONLY")),"",MAX($CM$5:CM141)+1)</f>
        <v/>
      </c>
      <c r="CN142" s="84">
        <f>IF(NOT(AND($A142&lt;&gt;"",N($BJ142)&gt;0)),"",MAX($CN$5:CN141)+1)</f>
        <v/>
      </c>
      <c r="CO142" s="84">
        <f>IF($A142="","",MAX($CO$5:CO141)+1)</f>
        <v/>
      </c>
      <c r="CP142" s="84">
        <f>IF(OR($A142="",$BH142="",$BI142=""),"",$BG142&amp;"|"&amp;$O142&amp;"|"&amp;$AL142&amp;"|"&amp;$S142&amp;"|"&amp;$P142&amp;"|"&amp;$Q142&amp;$R142&amp;"|"&amp;$C142&amp;"|"&amp;$AB142)</f>
        <v/>
      </c>
      <c r="CQ142" s="84">
        <f>N($BS142)</f>
        <v/>
      </c>
      <c r="CR142" s="84">
        <f>IF(N($AU142)&gt;0,N($AU142),4.5)</f>
        <v/>
      </c>
      <c r="CS142" s="84">
        <f>OR($A142="",$BI142="",$S142="BL",AND($C142="FRAME ONLY",OR($AC142="",$AC142="BLK")))</f>
        <v/>
      </c>
      <c r="CT142" s="84">
        <f>AND(NOT($CS142),OR($AT142="CUSTOM LOC",N($AW142)+N($AX142)+N($AY142)+N($AZ142)+N($BA142)&gt;0))</f>
        <v/>
      </c>
      <c r="CU142" s="84">
        <f>IF($BI142="","",IF($BI142&lt;=80,80,IF($BI142&lt;=84,84,96)))</f>
        <v/>
      </c>
      <c r="CV142" s="84">
        <f>ISNUMBER(MATCH($AT142&amp;"|80",LocKeys,0))</f>
        <v/>
      </c>
      <c r="CW142" s="86">
        <f>IF($CS142,"",IF($CV142,VLOOKUP($AT142&amp;"|"&amp;$CU142,LocTable,4,FALSE),5))</f>
        <v/>
      </c>
      <c r="CX142" s="86">
        <f>IF($CS142,"",IF($CV142,IF(OR($BI142=$CU142,AND($BI142&lt;$CU142,$BI142-IF(N(VLOOKUP($AT142&amp;"|"&amp;$CU142,LocTable,7,FALSE))&gt;0,VLOOKUP($AT142&amp;"|"&amp;$CU142,LocTable,7,FALSE),VLOOKUP($AT142&amp;"|"&amp;$CU142,LocTable,6,FALSE))-$CR142-0.75&gt;=2.125)),IF(N(VLOOKUP($AT142&amp;"|"&amp;$CU142,LocTable,7,FALSE))&gt;0,VLOOKUP($AT142&amp;"|"&amp;$CU142,LocTable,7,FALSE),VLOOKUP($AT142&amp;"|"&amp;$CU142,LocTable,6,FALSE)),$BI142-($CU142-IF(N(VLOOKUP($AT142&amp;"|"&amp;$CU142,LocTable,7,FALSE))&gt;0,VLOOKUP($AT142&amp;"|"&amp;$CU142,LocTable,7,FALSE),VLOOKUP($AT142&amp;"|"&amp;$CU142,LocTable,6,FALSE)))),$BI142-10-$CR142))</f>
        <v/>
      </c>
      <c r="CY142" s="85">
        <f>IF($CS142,"",TRIM(IF(ISNUMBER($BU142),"A "&amp;TRIM(TEXT($BU142,"# ?/??"))&amp;CHAR(34)&amp;"  ","")&amp;IF(ISNUMBER($BV142),"B "&amp;TRIM(TEXT($BV142,"# ?/??"))&amp;CHAR(34)&amp;"  ","")&amp;IF(ISNUMBER($BW142),"C "&amp;TRIM(TEXT($BW142,"# ?/??"))&amp;CHAR(34)&amp;"  ","")&amp;IF(ISNUMBER($BX142),"D "&amp;TRIM(TEXT($BX142,"# ?/??"))&amp;CHAR(34)&amp;"  ","")&amp;IF(ISNUMBER($BY142),"F "&amp;TRIM(TEXT($BY142,"# ?/??"))&amp;CHAR(34)&amp;"  ","")&amp;IF(ISNUMBER($BZ142),"E "&amp;TRIM(TEXT($BZ142,"# ?/??"))&amp;CHAR(34)&amp;"  ","")))</f>
        <v/>
      </c>
      <c r="CZ142" s="85">
        <f>IF(OR($CS142,N($BJ142)=0),"",TRIM(IF(ISNUMBER($BU142),"A "&amp;TRIM(TEXT($BU142-HeadClr,"# ?/??"))&amp;CHAR(34)&amp;"  ","")&amp;IF(ISNUMBER($BV142),"B "&amp;TRIM(TEXT($BV142-HeadClr,"# ?/??"))&amp;CHAR(34)&amp;"  ","")&amp;IF(ISNUMBER($BW142),"C "&amp;TRIM(TEXT($BW142-HeadClr,"# ?/??"))&amp;CHAR(34)&amp;"  ","")&amp;IF(ISNUMBER($BX142),"D "&amp;TRIM(TEXT($BX142-HeadClr,"# ?/??"))&amp;CHAR(34)&amp;"  ","")&amp;IF(ISNUMBER($BY142),"F "&amp;TRIM(TEXT($BY142-HeadClr,"# ?/??"))&amp;CHAR(34)&amp;"  ","")&amp;IF(ISNUMBER($BZ142),"E "&amp;TRIM(TEXT($BZ142-HeadClr,"# ?/??"))&amp;CHAR(34)&amp;"  ","")))</f>
        <v/>
      </c>
      <c r="DA142" s="84">
        <f>IF($A142="","",IF($AN142="",IFERROR(VLOOKUP($Z142,CODES,2,FALSE),""),IFERROR(VLOOKUP($AN142,CODES,2,FALSE),"")))</f>
        <v/>
      </c>
      <c r="DB142" s="84">
        <f>IF($A142="","",IF($O142="Y","PR",IF(OR($Z142="L",$Z142="RR",LEFT($Z142,2)="L-",LEFT($Z142,3)="RR-"),"LH","RH")))</f>
        <v/>
      </c>
      <c r="DC142" s="84">
        <f>IF($A142="","","S.HM"&amp;IF(OR($C142="DOOR ONLY",$X142&lt;&gt;"KD"),"MASONRY","DRYWALL")&amp;IF($C142="DOOR ONLY","",$U142)&amp;IF(AND($C142&lt;&gt;"FRAME ONLY",OR(LEFT($AH142,3)="OAK",LEFT($AH142,3)="BIR",LEFT($AH142,3)="MAP",$AH142="PC",$AH142="MC",$AH142="SCLC",$AH142="P-LAM")),"WD","HM")&amp;"1.75")</f>
        <v/>
      </c>
      <c r="DD142" s="84">
        <f>IF($CJ142="","",IF($O142="Y",$CJ142,SUBSTITUTE($CJ142,$BG142&amp;" "&amp;IFERROR(VLOOKUP($Z142,CODES,2,FALSE),"")&amp;" ",$BG142&amp;" ")))</f>
        <v/>
      </c>
      <c r="DE142" s="84">
        <f>IF($CK142="","",IF($O142="Y",$CK142,SUBSTITUTE($CK142,$BG142&amp;" "&amp;IF($AN142="",IFERROR(VLOOKUP($Z142,CODES,2,FALSE),""),IFERROR(VLOOKUP($AN142,CODES,2,FALSE),""))&amp;" ",$BG142&amp;" ")))</f>
        <v/>
      </c>
      <c r="DF142" s="84">
        <f>IF($CJ142="","",$DC142&amp;"|"&amp;$DD142&amp;"|"&amp;$DB142&amp;"|"&amp;$AT142&amp;"|"&amp;$V142&amp;"|"&amp;$Y142&amp;"|"&amp;$AB142)</f>
        <v/>
      </c>
      <c r="DG142" s="84">
        <f>IF(DF142="","",IF(COUNTIF($DF$6:DF142,DF142)=1,MAX($DG$5:DG141)+1,INDEX($DG$5:DG141,MATCH(DF142,$DF$5:DF141,0))))</f>
        <v/>
      </c>
      <c r="DH142" s="84">
        <f>IF($CK142="","",$DC142&amp;"|"&amp;$DE142&amp;"|"&amp;$AI142&amp;"|"&amp;$BK142&amp;"|"&amp;$BL142)</f>
        <v/>
      </c>
      <c r="DI142" s="84">
        <f>IF(DH142="","",IF(COUNTIF($DH$6:DH142,DH142)=1,MAX($DI$5:DI141)+1,INDEX($DI$5:DI141,MATCH(DH142,$DH$5:DH141,0))))</f>
        <v/>
      </c>
      <c r="DJ142" s="84">
        <f>IF($A142="","",IF($B142="","qty, ","")&amp;IF($C142="","scope, ","")&amp;IF(OR($K142="",$M142=""),"size, ","")&amp;IF(AND($A142&lt;&gt;"",$C142&lt;&gt;"DOOR ONLY"),IF($U142="","jamb depth, ","")&amp;IF($X142="","construction, ","")&amp;IF($Y142="","anchor, ","")&amp;IF($S142="","frame type, ",""),"")&amp;IF(AND(N($BJ142)&gt;0,$Z142=""),"hand, ","")&amp;IF(N($BJ142)&gt;0,IF($AH142="","door material, ","")&amp;IF($AL142="","face type, ","")&amp;IF($AP142="","lock prep, ","")&amp;IF(AND($AO142="",$AC142=""),"hinge prep, ",""),"")&amp;IF(AND($CH142&gt;0,$AH142="FRP"),"FRP cannot carry a label, ","")&amp;IF(AND($O142="Y",OR($Z142="L",$Z142="R",$Z142="LR",$Z142="RR")),"pair marked but hand is single, ","")&amp;IF(AND($O142&lt;&gt;"Y",OR($Z142="PR",AND(LEN($Z142)&gt;1,ISNUMBER(SEARCH("-",$Z142))))),"pair hand on a single door, ","")&amp;IF(AND(ISNUMBER($CI142),$CH142&lt;N($CI142)),"wall needs a "&amp;$CI142&amp;" min door, ","")&amp;IF(AND($CH142&gt;=180,AND(OR($CE142="FG",$CE142="HG",$CE142="FNV",$CE142="FV"),N($CF142)*N($CG142)&gt;100)),"180 min lite over 100 sq in, ","")&amp;IF(N($BK142)&gt;48,"leaf wider than 4'-0"&amp;CHAR(34)&amp;", ","")&amp;IF(AND($CT142,COUNT($AW142:$AZ142)=0,$CQ142&gt;0),"CUSTOM LOC with no locations typed, ",""))</f>
        <v/>
      </c>
      <c r="DK142" s="84">
        <f>IF($A142="","",IF(AND($CH142&gt;0,AND($A142&lt;&gt;"",$C142&lt;&gt;"DOOR ONLY"),$X142="KD",$E142="EXTERIOR"),"KD label on an exterior opening, ","")&amp;IF(AND($E142="EXTERIOR",OR(AND(AND($A142&lt;&gt;"",$C142&lt;&gt;"DOOR ONLY"),$W142="CR"),AND(N($BJ142)&gt;0,$AH142="CR"))),"exterior in CR steel (G9?), ","")&amp;IF(AND(ISNUMBER($BQ142),N($BQ142)&lt;32),"clear width ~"&amp;TEXT($BQ142,"0.0")&amp;CHAR(34)&amp;" under 32"&amp;CHAR(34)&amp;" (ADA), ","")&amp;IF(AND($CH142=90,AND(OR($CE142="FG",$CE142="HG",$CE142="FNV",$CE142="FV"),N($CF142)*N($CG142)&gt;100)),"90 min lite over 100 sq in (stair/exit), ","")&amp;IF(AND($CH142&gt;0,AND($A142&lt;&gt;"",$C142&lt;&gt;"DOOR ONLY"),OR($AF142="",$AF142="-")),"rated: closer reinf.?, ","")&amp;IF(OR($I142="CORRIDOR",$I142="SMOKE BARRIER"),"S label + smoke gasketing, ","")&amp;IF($CI142="?","wall type/hr not in IBC table, ","")&amp;IF(AND(N($BJ142)&gt;0,$BB142=""),"no hardware set, ","")&amp;IF(AND($BB142&lt;&gt;"",ISNA(MATCH($BB142&amp;"",HWSets,0))),"set "&amp;$BB142&amp;" not on HW Sets, ","")&amp;IF(N($BL142)&gt;96,"leaf over 8'-0"&amp;CHAR(34)&amp;" - check listing, ","")&amp;IF(AND($CT142,COUNT($AW142:$AZ142)&gt;0,COUNT($AW142:$AZ142)&lt;&gt;$CQ142),COUNT($AW142:$AZ142)&amp;" custom hinges typed, "&amp;$CQ142&amp;" expected, ","")&amp;IF(AND(ISNUMBER($CA142),OR(N($CA142)&lt;34,N($CA142)&gt;48)),"lock "&amp;TEXT($CA142,"0.0")&amp;CHAR(34)&amp;" AFF outside 34-48"&amp;CHAR(34)&amp;" (ADA), ","")&amp;IF(AND(ISNUMBER($AV142),ISNUMBER($BL142),N($AV142)&lt;IF(N($BL142)&lt;=60,2,IF(N($BL142)&lt;=90,3,IF(N($BL142)&lt;=120,4,5)))),"fewer hinges than standard, ",""))</f>
        <v/>
      </c>
    </row>
    <row r="143" ht="15" customHeight="1">
      <c r="A143" s="77" t="n"/>
      <c r="B143" s="78" t="n"/>
      <c r="C143" s="78" t="n"/>
      <c r="D143" s="78" t="n"/>
      <c r="E143" s="78" t="n"/>
      <c r="F143" s="78" t="n"/>
      <c r="G143" s="78" t="n"/>
      <c r="H143" s="78" t="n"/>
      <c r="I143" s="78" t="n"/>
      <c r="J143" s="78" t="n"/>
      <c r="K143" s="78" t="n"/>
      <c r="L143" s="78" t="n"/>
      <c r="M143" s="78" t="n"/>
      <c r="N143" s="78" t="n"/>
      <c r="O143" s="78" t="n"/>
      <c r="P143" s="78" t="n"/>
      <c r="Q143" s="78" t="n"/>
      <c r="R143" s="78" t="n"/>
      <c r="S143" s="79" t="n"/>
      <c r="T143" s="79" t="n"/>
      <c r="U143" s="79" t="n"/>
      <c r="V143" s="79" t="n"/>
      <c r="W143" s="79" t="n"/>
      <c r="X143" s="79" t="n"/>
      <c r="Y143" s="79" t="n"/>
      <c r="Z143" s="79" t="n"/>
      <c r="AA143" s="79" t="n"/>
      <c r="AB143" s="79" t="n"/>
      <c r="AC143" s="79" t="n"/>
      <c r="AD143" s="79" t="n"/>
      <c r="AE143" s="79" t="n"/>
      <c r="AF143" s="79" t="n"/>
      <c r="AG143" s="79" t="n"/>
      <c r="AH143" s="80" t="n"/>
      <c r="AI143" s="80" t="n"/>
      <c r="AJ143" s="80" t="n"/>
      <c r="AK143" s="80" t="n"/>
      <c r="AL143" s="80" t="n"/>
      <c r="AM143" s="80" t="n"/>
      <c r="AN143" s="80" t="n"/>
      <c r="AO143" s="80" t="n"/>
      <c r="AP143" s="80" t="n"/>
      <c r="AQ143" s="80" t="n"/>
      <c r="AR143" s="80" t="n"/>
      <c r="AS143" s="80" t="n"/>
      <c r="AT143" s="81" t="n"/>
      <c r="AU143" s="81" t="n"/>
      <c r="AV143" s="81" t="n"/>
      <c r="AW143" s="82" t="n"/>
      <c r="AX143" s="82" t="n"/>
      <c r="AY143" s="82" t="n"/>
      <c r="AZ143" s="82" t="n"/>
      <c r="BA143" s="82" t="n"/>
      <c r="BB143" s="83" t="n"/>
      <c r="BC143" s="83" t="n"/>
      <c r="BD143" s="84">
        <f>IF($A143="","",IF($DJ143&lt;&gt;"","FIX",IF($DK143&lt;&gt;"","CHECK","OK")))</f>
        <v/>
      </c>
      <c r="BE143" s="85">
        <f>IF($A143="","",IF($DJ143&lt;&gt;"","FIX: "&amp;LEFT($DJ143,LEN($DJ143)-2)&amp;IF($DK143&lt;&gt;"","  ·  ",""),"")&amp;IF($DK143&lt;&gt;"","CHECK: "&amp;LEFT($DK143,LEN($DK143)-2),""))</f>
        <v/>
      </c>
      <c r="BF143" s="84">
        <f>IF(OR($A143="",$K143=""),"",$K143&amp;"'-"&amp;N($L143)&amp;CHAR(34)&amp;" x "&amp;$M143&amp;"'-"&amp;N($N143)&amp;CHAR(34))</f>
        <v/>
      </c>
      <c r="BG143" s="84">
        <f>IF(OR($A143="",$K143=""),"",$K143&amp;N($L143)&amp;$M143&amp;N($N143))</f>
        <v/>
      </c>
      <c r="BH143" s="84">
        <f>IF(OR($A143="",$K143=""),"",$K143*12+N($L143))</f>
        <v/>
      </c>
      <c r="BI143" s="84">
        <f>IF(OR($A143="",$M143=""),"",$M143*12+N($N143))</f>
        <v/>
      </c>
      <c r="BJ143" s="84">
        <f>IF($A143="","",IF(OR($C143="FRAME ONLY",$S143="BL"),0,IF($O143="Y",2,1)))</f>
        <v/>
      </c>
      <c r="BK143" s="86">
        <f>IF(OR(N($BJ143)=0,$BH143=""),"",($BH143-2*EdgeClr-IF($BJ143=2,MeetClr,0))/$BJ143)</f>
        <v/>
      </c>
      <c r="BL143" s="86">
        <f>IF(OR(N($BJ143)=0,$BI143=""),"",$BI143-HeadClr-Undercut)</f>
        <v/>
      </c>
      <c r="BM143" s="86">
        <f>IF($BH143="","",$BH143+2*FaceW+IF(N($Q143)&gt;0,($Q143+FaceW)*IF($R143="LR",2,1),0))</f>
        <v/>
      </c>
      <c r="BN143" s="86">
        <f>IF($BI143="","",$BI143+IF($AB143="Y",4,FaceW)+IF(N($P143)&gt;0,$P143+FaceW,0)+IF(OR($S143="4F",$S143="BL"),FaceW,0))</f>
        <v/>
      </c>
      <c r="BO143" s="86">
        <f>IF($BM143="","",$BM143+2*ROSide)</f>
        <v/>
      </c>
      <c r="BP143" s="86">
        <f>IF($BN143="","",$BN143+ROTop)</f>
        <v/>
      </c>
      <c r="BQ143" s="87">
        <f>IF(OR(N($BJ143)=0,$BH143=""),"",$BH143/$BJ143-ClearDeduct)</f>
        <v/>
      </c>
      <c r="BR143" s="84">
        <f>IF(N($CH143)=0,"",IF($CH143&gt;=180,"A · 3 HR",IF($CH143&gt;=90,"B · 1-1/2 HR",IF($CH143&gt;=60,"B · 1 HR",IF($CH143&gt;=45,"C · 3/4 HR","20 MIN")))))&amp;IF(AND(N($CH143)&gt;0,OR($I143="CORRIDOR",$I143="SMOKE BARRIER"))," · S","")</f>
        <v/>
      </c>
      <c r="BS143" s="84">
        <f>IF($CS143,"",IF($AV143&lt;&gt;"",$AV143,IF(OR($AC143="HGC",$AO143="HGC"),"CONT",IF(($BI143-HeadClr-Undercut)&lt;=60,2,IF(($BI143-HeadClr-Undercut)&lt;=90,3,IF(($BI143-HeadClr-Undercut)&lt;=120,4,5))))))</f>
        <v/>
      </c>
      <c r="BT143" s="84">
        <f>IF($CS143,"",IF($CT143,"CUSTOM (typed)",IF($CV143,$AT143&amp;" "&amp;$CU143&amp;CHAR(34)&amp;IF($CU143&lt;&gt;$BI143,IF(AND($BI143&lt;$CU143,$BI143-IF(N(VLOOKUP($AT143&amp;"|"&amp;$CU143,LocTable,7,FALSE))&gt;0,VLOOKUP($AT143&amp;"|"&amp;$CU143,LocTable,7,FALSE),VLOOKUP($AT143&amp;"|"&amp;$CU143,LocTable,6,FALSE))-$CR143-0.75&gt;=2.125)," cut down"," adj."),""),"ANSI/SDI A250.6")))</f>
        <v/>
      </c>
      <c r="BU143" s="88">
        <f>IF($CS143,"",IF($CT143,IF(N($AW143)&gt;0,N($AW143),""),IF(1&gt;$CQ143,"",IF($CQ143=1,$CW143,$CW143+($CX143-$CW143)*0/($CQ143-1)))))</f>
        <v/>
      </c>
      <c r="BV143" s="88">
        <f>IF($CS143,"",IF($CT143,IF(N($AX143)&gt;0,N($AX143),""),IF(2&gt;$CQ143,"",IF($CQ143=1,$CW143,$CW143+($CX143-$CW143)*1/($CQ143-1)))))</f>
        <v/>
      </c>
      <c r="BW143" s="88">
        <f>IF($CS143,"",IF($CT143,IF(N($AY143)&gt;0,N($AY143),""),IF(3&gt;$CQ143,"",IF($CQ143=1,$CW143,$CW143+($CX143-$CW143)*2/($CQ143-1)))))</f>
        <v/>
      </c>
      <c r="BX143" s="88">
        <f>IF($CS143,"",IF($CT143,IF(N($AZ143)&gt;0,N($AZ143),""),IF(4&gt;$CQ143,"",IF($CQ143=1,$CW143,$CW143+($CX143-$CW143)*3/($CQ143-1)))))</f>
        <v/>
      </c>
      <c r="BY143" s="88">
        <f>IF($CS143,"",IF($CT143,"",IF(5&gt;$CQ143,"",IF($CQ143=1,$CW143,$CW143+($CX143-$CW143)*4/($CQ143-1)))))</f>
        <v/>
      </c>
      <c r="BZ143" s="88">
        <f>IF(OR($CS143,$AP143="-",AND($AP143="",$AD143="")),"",IF(N($BA143)&gt;0,N($BA143),IF($CV143,IF(AND($BI143&lt;$CU143,$BI143-IF(N(VLOOKUP($AT143&amp;"|"&amp;$CU143,LocTable,7,FALSE))&gt;0,VLOOKUP($AT143&amp;"|"&amp;$CU143,LocTable,7,FALSE),VLOOKUP($AT143&amp;"|"&amp;$CU143,LocTable,6,FALSE))-$CR143-0.75&gt;=2.125),VLOOKUP($AT143&amp;"|"&amp;$CU143,LocTable,8,FALSE),VLOOKUP($AT143&amp;"|"&amp;$CU143,LocTable,8,FALSE)+($BI143-$CU143)),$BI143-LockAFF)))</f>
        <v/>
      </c>
      <c r="CA143" s="89">
        <f>IF($BZ143="","",$BI143-$BZ143)</f>
        <v/>
      </c>
      <c r="CB143" s="84">
        <f>IF(OR(NOT(AND($A143&lt;&gt;"",$C143&lt;&gt;"DOOR ONLY")),$BI143=""),"",IF(($BI143+IF(N($P143)&gt;0,$P143+FaceW,0))&lt;=90,3,IF(($BI143+IF(N($P143)&gt;0,$P143+FaceW,0))&lt;=114,4,5)))</f>
        <v/>
      </c>
      <c r="CC143" s="84">
        <f>IF($CB143="","",$CB143*(2+IF(N($Q143)&gt;0,IF($R143="LR",2,1),0)))</f>
        <v/>
      </c>
      <c r="CD143" s="84">
        <f>IF($CB143="","",(2+IF(N($Q143)&gt;0,IF($R143="LR",2,1),0)))</f>
        <v/>
      </c>
      <c r="CE143" s="84">
        <f>IF(N($BJ143)=0,"",IF(OR($AL143="",$AL143="FLUSH"),"FLUSH",IFERROR(LEFT($AL143,FIND("-",$AL143)-1),LEFT($AL143,2))))</f>
        <v/>
      </c>
      <c r="CF143" s="84">
        <f>IF($CE143="","",IFERROR(VALUE(MID($AL143,FIND("-",$AL143)+1,FIND(CHAR(34)&amp;"x",$AL143)-FIND("-",$AL143)-1)),0))</f>
        <v/>
      </c>
      <c r="CG143" s="84">
        <f>IF($CE143="","",IFERROR(VALUE(MID($AL143,FIND(CHAR(34)&amp;"x",$AL143)+2,FIND(CHAR(34),$AL143,FIND(CHAR(34)&amp;"x",$AL143)+2)-FIND(CHAR(34)&amp;"x",$AL143)-2)),0))</f>
        <v/>
      </c>
      <c r="CH143" s="90">
        <f>IF(OR($A143="",$H143="",$H143="NO LAB"),0,IFERROR(VALUE(LEFT($H143,FIND(" ",$H143)-1)),0))</f>
        <v/>
      </c>
      <c r="CI143" s="91">
        <f>IF(OR($A143="",$I143="",$I143="NON-RATED",N($J143)=0),"",IFERROR(VLOOKUP($I143&amp;"|"&amp;$J143,IBC,2,FALSE),"?"))</f>
        <v/>
      </c>
      <c r="CJ143" s="85">
        <f>IF(NOT(AND($A143&lt;&gt;"",$C143&lt;&gt;"DOOR ONLY")),"",TRIM(IFERROR(VLOOKUP($U143,CODES,2,FALSE),"")&amp;" "&amp;$BG143&amp;" "&amp;IFERROR(VLOOKUP($Z143,CODES,2,FALSE),"")&amp;" "&amp;IFERROR(VLOOKUP($X143,CODES,2,FALSE),"")&amp;" "&amp;IFERROR(VLOOKUP($S143,CODES,2,FALSE),"")&amp;IF(N($P143)&gt;0," w/TRANSOM "&amp;$P143&amp;CHAR(34),"")&amp;IF(N($Q143)&gt;0," w/SIDELITE "&amp;$Q143&amp;CHAR(34)&amp;" "&amp;IF($R143="","R",$R143),"")&amp;IF($Y143="","  |  "," | "&amp;IFERROR(VLOOKUP($Y143,CODES,2,FALSE),"")&amp;" | ")&amp;IFERROR(VLOOKUP($AC143,CODES,2,FALSE),"")&amp;" "&amp;IFERROR(VLOOKUP($AD143,CODES,2,FALSE),"")&amp;IF(OR($AE143="",$AE143="-"),""," "&amp;$AE143)&amp;IF(OR($AF143="",$AF143="-"),""," "&amp;$AF143)&amp;IF($AB143="Y"," 4"&amp;CHAR(34)&amp;" HEAD","")&amp;" "&amp;IFERROR(VLOOKUP($H143,CODES,2,FALSE),"")&amp;IF($CT143," | LOC "&amp;$CY143,"")))</f>
        <v/>
      </c>
      <c r="CK143" s="85">
        <f>IF(NOT(AND($A143&lt;&gt;"",N($BJ143)&gt;0)),"",TRIM(IFERROR(VLOOKUP($AH143,CODES,2,FALSE),"")&amp;IF($AI143=""," "," "&amp;$AI143&amp;"GA ")&amp;$BG143&amp;" "&amp;IF($AN143="",IFERROR(VLOOKUP($Z143,CODES,2,FALSE),""),IFERROR(VLOOKUP($AN143,CODES,2,FALSE),""))&amp;IF($BJ143=2," PAIR","")&amp;" DOOR | "&amp;IF($AL143="","?",$AL143)&amp;" | "&amp;IF($AO143="",IFERROR(VLOOKUP($AC143,CODES,2,FALSE),""),IFERROR(VLOOKUP($AO143,CODES,2,FALSE),""))&amp;" "&amp;IFERROR(VLOOKUP($AP143,CODES,2,FALSE),"")&amp;IF(OR($AQ143="",$AQ143="-"),""," SEAM "&amp;$AQ143)&amp;IF($AR143="Y"," ASTRAGAL","")&amp;IF($AJ143=""," "," "&amp;$AJ143)&amp;IF($AK143=""," "," "&amp;$AK143)&amp;IF(OR($AT143="",$AT143="ANSI/SDI",$AT143="CUSTOM LOC"),""," "&amp;$AT143)&amp;IF($AM143=""," "," SERIES "&amp;$AM143)&amp;" "&amp;IFERROR(VLOOKUP($H143,CODES,2,FALSE),"")&amp;IF($CT143," | LOC "&amp;$CZ143,"")))</f>
        <v/>
      </c>
      <c r="CL143" s="84">
        <f>IF(CP143="","",IF(COUNTIF($CP$6:CP143,CP143)=1,MAX($CL$5:CL142)+1,INDEX($CL$5:CL142,MATCH(CP143,$CP$5:CP142,0))))</f>
        <v/>
      </c>
      <c r="CM143" s="84">
        <f>IF(NOT(AND($A143&lt;&gt;"",$C143&lt;&gt;"DOOR ONLY")),"",MAX($CM$5:CM142)+1)</f>
        <v/>
      </c>
      <c r="CN143" s="84">
        <f>IF(NOT(AND($A143&lt;&gt;"",N($BJ143)&gt;0)),"",MAX($CN$5:CN142)+1)</f>
        <v/>
      </c>
      <c r="CO143" s="84">
        <f>IF($A143="","",MAX($CO$5:CO142)+1)</f>
        <v/>
      </c>
      <c r="CP143" s="84">
        <f>IF(OR($A143="",$BH143="",$BI143=""),"",$BG143&amp;"|"&amp;$O143&amp;"|"&amp;$AL143&amp;"|"&amp;$S143&amp;"|"&amp;$P143&amp;"|"&amp;$Q143&amp;$R143&amp;"|"&amp;$C143&amp;"|"&amp;$AB143)</f>
        <v/>
      </c>
      <c r="CQ143" s="84">
        <f>N($BS143)</f>
        <v/>
      </c>
      <c r="CR143" s="84">
        <f>IF(N($AU143)&gt;0,N($AU143),4.5)</f>
        <v/>
      </c>
      <c r="CS143" s="84">
        <f>OR($A143="",$BI143="",$S143="BL",AND($C143="FRAME ONLY",OR($AC143="",$AC143="BLK")))</f>
        <v/>
      </c>
      <c r="CT143" s="84">
        <f>AND(NOT($CS143),OR($AT143="CUSTOM LOC",N($AW143)+N($AX143)+N($AY143)+N($AZ143)+N($BA143)&gt;0))</f>
        <v/>
      </c>
      <c r="CU143" s="84">
        <f>IF($BI143="","",IF($BI143&lt;=80,80,IF($BI143&lt;=84,84,96)))</f>
        <v/>
      </c>
      <c r="CV143" s="84">
        <f>ISNUMBER(MATCH($AT143&amp;"|80",LocKeys,0))</f>
        <v/>
      </c>
      <c r="CW143" s="86">
        <f>IF($CS143,"",IF($CV143,VLOOKUP($AT143&amp;"|"&amp;$CU143,LocTable,4,FALSE),5))</f>
        <v/>
      </c>
      <c r="CX143" s="86">
        <f>IF($CS143,"",IF($CV143,IF(OR($BI143=$CU143,AND($BI143&lt;$CU143,$BI143-IF(N(VLOOKUP($AT143&amp;"|"&amp;$CU143,LocTable,7,FALSE))&gt;0,VLOOKUP($AT143&amp;"|"&amp;$CU143,LocTable,7,FALSE),VLOOKUP($AT143&amp;"|"&amp;$CU143,LocTable,6,FALSE))-$CR143-0.75&gt;=2.125)),IF(N(VLOOKUP($AT143&amp;"|"&amp;$CU143,LocTable,7,FALSE))&gt;0,VLOOKUP($AT143&amp;"|"&amp;$CU143,LocTable,7,FALSE),VLOOKUP($AT143&amp;"|"&amp;$CU143,LocTable,6,FALSE)),$BI143-($CU143-IF(N(VLOOKUP($AT143&amp;"|"&amp;$CU143,LocTable,7,FALSE))&gt;0,VLOOKUP($AT143&amp;"|"&amp;$CU143,LocTable,7,FALSE),VLOOKUP($AT143&amp;"|"&amp;$CU143,LocTable,6,FALSE)))),$BI143-10-$CR143))</f>
        <v/>
      </c>
      <c r="CY143" s="85">
        <f>IF($CS143,"",TRIM(IF(ISNUMBER($BU143),"A "&amp;TRIM(TEXT($BU143,"# ?/??"))&amp;CHAR(34)&amp;"  ","")&amp;IF(ISNUMBER($BV143),"B "&amp;TRIM(TEXT($BV143,"# ?/??"))&amp;CHAR(34)&amp;"  ","")&amp;IF(ISNUMBER($BW143),"C "&amp;TRIM(TEXT($BW143,"# ?/??"))&amp;CHAR(34)&amp;"  ","")&amp;IF(ISNUMBER($BX143),"D "&amp;TRIM(TEXT($BX143,"# ?/??"))&amp;CHAR(34)&amp;"  ","")&amp;IF(ISNUMBER($BY143),"F "&amp;TRIM(TEXT($BY143,"# ?/??"))&amp;CHAR(34)&amp;"  ","")&amp;IF(ISNUMBER($BZ143),"E "&amp;TRIM(TEXT($BZ143,"# ?/??"))&amp;CHAR(34)&amp;"  ","")))</f>
        <v/>
      </c>
      <c r="CZ143" s="85">
        <f>IF(OR($CS143,N($BJ143)=0),"",TRIM(IF(ISNUMBER($BU143),"A "&amp;TRIM(TEXT($BU143-HeadClr,"# ?/??"))&amp;CHAR(34)&amp;"  ","")&amp;IF(ISNUMBER($BV143),"B "&amp;TRIM(TEXT($BV143-HeadClr,"# ?/??"))&amp;CHAR(34)&amp;"  ","")&amp;IF(ISNUMBER($BW143),"C "&amp;TRIM(TEXT($BW143-HeadClr,"# ?/??"))&amp;CHAR(34)&amp;"  ","")&amp;IF(ISNUMBER($BX143),"D "&amp;TRIM(TEXT($BX143-HeadClr,"# ?/??"))&amp;CHAR(34)&amp;"  ","")&amp;IF(ISNUMBER($BY143),"F "&amp;TRIM(TEXT($BY143-HeadClr,"# ?/??"))&amp;CHAR(34)&amp;"  ","")&amp;IF(ISNUMBER($BZ143),"E "&amp;TRIM(TEXT($BZ143-HeadClr,"# ?/??"))&amp;CHAR(34)&amp;"  ","")))</f>
        <v/>
      </c>
      <c r="DA143" s="84">
        <f>IF($A143="","",IF($AN143="",IFERROR(VLOOKUP($Z143,CODES,2,FALSE),""),IFERROR(VLOOKUP($AN143,CODES,2,FALSE),"")))</f>
        <v/>
      </c>
      <c r="DB143" s="84">
        <f>IF($A143="","",IF($O143="Y","PR",IF(OR($Z143="L",$Z143="RR",LEFT($Z143,2)="L-",LEFT($Z143,3)="RR-"),"LH","RH")))</f>
        <v/>
      </c>
      <c r="DC143" s="84">
        <f>IF($A143="","","S.HM"&amp;IF(OR($C143="DOOR ONLY",$X143&lt;&gt;"KD"),"MASONRY","DRYWALL")&amp;IF($C143="DOOR ONLY","",$U143)&amp;IF(AND($C143&lt;&gt;"FRAME ONLY",OR(LEFT($AH143,3)="OAK",LEFT($AH143,3)="BIR",LEFT($AH143,3)="MAP",$AH143="PC",$AH143="MC",$AH143="SCLC",$AH143="P-LAM")),"WD","HM")&amp;"1.75")</f>
        <v/>
      </c>
      <c r="DD143" s="84">
        <f>IF($CJ143="","",IF($O143="Y",$CJ143,SUBSTITUTE($CJ143,$BG143&amp;" "&amp;IFERROR(VLOOKUP($Z143,CODES,2,FALSE),"")&amp;" ",$BG143&amp;" ")))</f>
        <v/>
      </c>
      <c r="DE143" s="84">
        <f>IF($CK143="","",IF($O143="Y",$CK143,SUBSTITUTE($CK143,$BG143&amp;" "&amp;IF($AN143="",IFERROR(VLOOKUP($Z143,CODES,2,FALSE),""),IFERROR(VLOOKUP($AN143,CODES,2,FALSE),""))&amp;" ",$BG143&amp;" ")))</f>
        <v/>
      </c>
      <c r="DF143" s="84">
        <f>IF($CJ143="","",$DC143&amp;"|"&amp;$DD143&amp;"|"&amp;$DB143&amp;"|"&amp;$AT143&amp;"|"&amp;$V143&amp;"|"&amp;$Y143&amp;"|"&amp;$AB143)</f>
        <v/>
      </c>
      <c r="DG143" s="84">
        <f>IF(DF143="","",IF(COUNTIF($DF$6:DF143,DF143)=1,MAX($DG$5:DG142)+1,INDEX($DG$5:DG142,MATCH(DF143,$DF$5:DF142,0))))</f>
        <v/>
      </c>
      <c r="DH143" s="84">
        <f>IF($CK143="","",$DC143&amp;"|"&amp;$DE143&amp;"|"&amp;$AI143&amp;"|"&amp;$BK143&amp;"|"&amp;$BL143)</f>
        <v/>
      </c>
      <c r="DI143" s="84">
        <f>IF(DH143="","",IF(COUNTIF($DH$6:DH143,DH143)=1,MAX($DI$5:DI142)+1,INDEX($DI$5:DI142,MATCH(DH143,$DH$5:DH142,0))))</f>
        <v/>
      </c>
      <c r="DJ143" s="84">
        <f>IF($A143="","",IF($B143="","qty, ","")&amp;IF($C143="","scope, ","")&amp;IF(OR($K143="",$M143=""),"size, ","")&amp;IF(AND($A143&lt;&gt;"",$C143&lt;&gt;"DOOR ONLY"),IF($U143="","jamb depth, ","")&amp;IF($X143="","construction, ","")&amp;IF($Y143="","anchor, ","")&amp;IF($S143="","frame type, ",""),"")&amp;IF(AND(N($BJ143)&gt;0,$Z143=""),"hand, ","")&amp;IF(N($BJ143)&gt;0,IF($AH143="","door material, ","")&amp;IF($AL143="","face type, ","")&amp;IF($AP143="","lock prep, ","")&amp;IF(AND($AO143="",$AC143=""),"hinge prep, ",""),"")&amp;IF(AND($CH143&gt;0,$AH143="FRP"),"FRP cannot carry a label, ","")&amp;IF(AND($O143="Y",OR($Z143="L",$Z143="R",$Z143="LR",$Z143="RR")),"pair marked but hand is single, ","")&amp;IF(AND($O143&lt;&gt;"Y",OR($Z143="PR",AND(LEN($Z143)&gt;1,ISNUMBER(SEARCH("-",$Z143))))),"pair hand on a single door, ","")&amp;IF(AND(ISNUMBER($CI143),$CH143&lt;N($CI143)),"wall needs a "&amp;$CI143&amp;" min door, ","")&amp;IF(AND($CH143&gt;=180,AND(OR($CE143="FG",$CE143="HG",$CE143="FNV",$CE143="FV"),N($CF143)*N($CG143)&gt;100)),"180 min lite over 100 sq in, ","")&amp;IF(N($BK143)&gt;48,"leaf wider than 4'-0"&amp;CHAR(34)&amp;", ","")&amp;IF(AND($CT143,COUNT($AW143:$AZ143)=0,$CQ143&gt;0),"CUSTOM LOC with no locations typed, ",""))</f>
        <v/>
      </c>
      <c r="DK143" s="84">
        <f>IF($A143="","",IF(AND($CH143&gt;0,AND($A143&lt;&gt;"",$C143&lt;&gt;"DOOR ONLY"),$X143="KD",$E143="EXTERIOR"),"KD label on an exterior opening, ","")&amp;IF(AND($E143="EXTERIOR",OR(AND(AND($A143&lt;&gt;"",$C143&lt;&gt;"DOOR ONLY"),$W143="CR"),AND(N($BJ143)&gt;0,$AH143="CR"))),"exterior in CR steel (G9?), ","")&amp;IF(AND(ISNUMBER($BQ143),N($BQ143)&lt;32),"clear width ~"&amp;TEXT($BQ143,"0.0")&amp;CHAR(34)&amp;" under 32"&amp;CHAR(34)&amp;" (ADA), ","")&amp;IF(AND($CH143=90,AND(OR($CE143="FG",$CE143="HG",$CE143="FNV",$CE143="FV"),N($CF143)*N($CG143)&gt;100)),"90 min lite over 100 sq in (stair/exit), ","")&amp;IF(AND($CH143&gt;0,AND($A143&lt;&gt;"",$C143&lt;&gt;"DOOR ONLY"),OR($AF143="",$AF143="-")),"rated: closer reinf.?, ","")&amp;IF(OR($I143="CORRIDOR",$I143="SMOKE BARRIER"),"S label + smoke gasketing, ","")&amp;IF($CI143="?","wall type/hr not in IBC table, ","")&amp;IF(AND(N($BJ143)&gt;0,$BB143=""),"no hardware set, ","")&amp;IF(AND($BB143&lt;&gt;"",ISNA(MATCH($BB143&amp;"",HWSets,0))),"set "&amp;$BB143&amp;" not on HW Sets, ","")&amp;IF(N($BL143)&gt;96,"leaf over 8'-0"&amp;CHAR(34)&amp;" - check listing, ","")&amp;IF(AND($CT143,COUNT($AW143:$AZ143)&gt;0,COUNT($AW143:$AZ143)&lt;&gt;$CQ143),COUNT($AW143:$AZ143)&amp;" custom hinges typed, "&amp;$CQ143&amp;" expected, ","")&amp;IF(AND(ISNUMBER($CA143),OR(N($CA143)&lt;34,N($CA143)&gt;48)),"lock "&amp;TEXT($CA143,"0.0")&amp;CHAR(34)&amp;" AFF outside 34-48"&amp;CHAR(34)&amp;" (ADA), ","")&amp;IF(AND(ISNUMBER($AV143),ISNUMBER($BL143),N($AV143)&lt;IF(N($BL143)&lt;=60,2,IF(N($BL143)&lt;=90,3,IF(N($BL143)&lt;=120,4,5)))),"fewer hinges than standard, ",""))</f>
        <v/>
      </c>
    </row>
    <row r="144" ht="15" customHeight="1">
      <c r="A144" s="77" t="n"/>
      <c r="B144" s="78" t="n"/>
      <c r="C144" s="78" t="n"/>
      <c r="D144" s="78" t="n"/>
      <c r="E144" s="78" t="n"/>
      <c r="F144" s="78" t="n"/>
      <c r="G144" s="78" t="n"/>
      <c r="H144" s="78" t="n"/>
      <c r="I144" s="78" t="n"/>
      <c r="J144" s="78" t="n"/>
      <c r="K144" s="78" t="n"/>
      <c r="L144" s="78" t="n"/>
      <c r="M144" s="78" t="n"/>
      <c r="N144" s="78" t="n"/>
      <c r="O144" s="78" t="n"/>
      <c r="P144" s="78" t="n"/>
      <c r="Q144" s="78" t="n"/>
      <c r="R144" s="78" t="n"/>
      <c r="S144" s="79" t="n"/>
      <c r="T144" s="79" t="n"/>
      <c r="U144" s="79" t="n"/>
      <c r="V144" s="79" t="n"/>
      <c r="W144" s="79" t="n"/>
      <c r="X144" s="79" t="n"/>
      <c r="Y144" s="79" t="n"/>
      <c r="Z144" s="79" t="n"/>
      <c r="AA144" s="79" t="n"/>
      <c r="AB144" s="79" t="n"/>
      <c r="AC144" s="79" t="n"/>
      <c r="AD144" s="79" t="n"/>
      <c r="AE144" s="79" t="n"/>
      <c r="AF144" s="79" t="n"/>
      <c r="AG144" s="79" t="n"/>
      <c r="AH144" s="80" t="n"/>
      <c r="AI144" s="80" t="n"/>
      <c r="AJ144" s="80" t="n"/>
      <c r="AK144" s="80" t="n"/>
      <c r="AL144" s="80" t="n"/>
      <c r="AM144" s="80" t="n"/>
      <c r="AN144" s="80" t="n"/>
      <c r="AO144" s="80" t="n"/>
      <c r="AP144" s="80" t="n"/>
      <c r="AQ144" s="80" t="n"/>
      <c r="AR144" s="80" t="n"/>
      <c r="AS144" s="80" t="n"/>
      <c r="AT144" s="81" t="n"/>
      <c r="AU144" s="81" t="n"/>
      <c r="AV144" s="81" t="n"/>
      <c r="AW144" s="82" t="n"/>
      <c r="AX144" s="82" t="n"/>
      <c r="AY144" s="82" t="n"/>
      <c r="AZ144" s="82" t="n"/>
      <c r="BA144" s="82" t="n"/>
      <c r="BB144" s="83" t="n"/>
      <c r="BC144" s="83" t="n"/>
      <c r="BD144" s="84">
        <f>IF($A144="","",IF($DJ144&lt;&gt;"","FIX",IF($DK144&lt;&gt;"","CHECK","OK")))</f>
        <v/>
      </c>
      <c r="BE144" s="85">
        <f>IF($A144="","",IF($DJ144&lt;&gt;"","FIX: "&amp;LEFT($DJ144,LEN($DJ144)-2)&amp;IF($DK144&lt;&gt;"","  ·  ",""),"")&amp;IF($DK144&lt;&gt;"","CHECK: "&amp;LEFT($DK144,LEN($DK144)-2),""))</f>
        <v/>
      </c>
      <c r="BF144" s="84">
        <f>IF(OR($A144="",$K144=""),"",$K144&amp;"'-"&amp;N($L144)&amp;CHAR(34)&amp;" x "&amp;$M144&amp;"'-"&amp;N($N144)&amp;CHAR(34))</f>
        <v/>
      </c>
      <c r="BG144" s="84">
        <f>IF(OR($A144="",$K144=""),"",$K144&amp;N($L144)&amp;$M144&amp;N($N144))</f>
        <v/>
      </c>
      <c r="BH144" s="84">
        <f>IF(OR($A144="",$K144=""),"",$K144*12+N($L144))</f>
        <v/>
      </c>
      <c r="BI144" s="84">
        <f>IF(OR($A144="",$M144=""),"",$M144*12+N($N144))</f>
        <v/>
      </c>
      <c r="BJ144" s="84">
        <f>IF($A144="","",IF(OR($C144="FRAME ONLY",$S144="BL"),0,IF($O144="Y",2,1)))</f>
        <v/>
      </c>
      <c r="BK144" s="86">
        <f>IF(OR(N($BJ144)=0,$BH144=""),"",($BH144-2*EdgeClr-IF($BJ144=2,MeetClr,0))/$BJ144)</f>
        <v/>
      </c>
      <c r="BL144" s="86">
        <f>IF(OR(N($BJ144)=0,$BI144=""),"",$BI144-HeadClr-Undercut)</f>
        <v/>
      </c>
      <c r="BM144" s="86">
        <f>IF($BH144="","",$BH144+2*FaceW+IF(N($Q144)&gt;0,($Q144+FaceW)*IF($R144="LR",2,1),0))</f>
        <v/>
      </c>
      <c r="BN144" s="86">
        <f>IF($BI144="","",$BI144+IF($AB144="Y",4,FaceW)+IF(N($P144)&gt;0,$P144+FaceW,0)+IF(OR($S144="4F",$S144="BL"),FaceW,0))</f>
        <v/>
      </c>
      <c r="BO144" s="86">
        <f>IF($BM144="","",$BM144+2*ROSide)</f>
        <v/>
      </c>
      <c r="BP144" s="86">
        <f>IF($BN144="","",$BN144+ROTop)</f>
        <v/>
      </c>
      <c r="BQ144" s="87">
        <f>IF(OR(N($BJ144)=0,$BH144=""),"",$BH144/$BJ144-ClearDeduct)</f>
        <v/>
      </c>
      <c r="BR144" s="84">
        <f>IF(N($CH144)=0,"",IF($CH144&gt;=180,"A · 3 HR",IF($CH144&gt;=90,"B · 1-1/2 HR",IF($CH144&gt;=60,"B · 1 HR",IF($CH144&gt;=45,"C · 3/4 HR","20 MIN")))))&amp;IF(AND(N($CH144)&gt;0,OR($I144="CORRIDOR",$I144="SMOKE BARRIER"))," · S","")</f>
        <v/>
      </c>
      <c r="BS144" s="84">
        <f>IF($CS144,"",IF($AV144&lt;&gt;"",$AV144,IF(OR($AC144="HGC",$AO144="HGC"),"CONT",IF(($BI144-HeadClr-Undercut)&lt;=60,2,IF(($BI144-HeadClr-Undercut)&lt;=90,3,IF(($BI144-HeadClr-Undercut)&lt;=120,4,5))))))</f>
        <v/>
      </c>
      <c r="BT144" s="84">
        <f>IF($CS144,"",IF($CT144,"CUSTOM (typed)",IF($CV144,$AT144&amp;" "&amp;$CU144&amp;CHAR(34)&amp;IF($CU144&lt;&gt;$BI144,IF(AND($BI144&lt;$CU144,$BI144-IF(N(VLOOKUP($AT144&amp;"|"&amp;$CU144,LocTable,7,FALSE))&gt;0,VLOOKUP($AT144&amp;"|"&amp;$CU144,LocTable,7,FALSE),VLOOKUP($AT144&amp;"|"&amp;$CU144,LocTable,6,FALSE))-$CR144-0.75&gt;=2.125)," cut down"," adj."),""),"ANSI/SDI A250.6")))</f>
        <v/>
      </c>
      <c r="BU144" s="88">
        <f>IF($CS144,"",IF($CT144,IF(N($AW144)&gt;0,N($AW144),""),IF(1&gt;$CQ144,"",IF($CQ144=1,$CW144,$CW144+($CX144-$CW144)*0/($CQ144-1)))))</f>
        <v/>
      </c>
      <c r="BV144" s="88">
        <f>IF($CS144,"",IF($CT144,IF(N($AX144)&gt;0,N($AX144),""),IF(2&gt;$CQ144,"",IF($CQ144=1,$CW144,$CW144+($CX144-$CW144)*1/($CQ144-1)))))</f>
        <v/>
      </c>
      <c r="BW144" s="88">
        <f>IF($CS144,"",IF($CT144,IF(N($AY144)&gt;0,N($AY144),""),IF(3&gt;$CQ144,"",IF($CQ144=1,$CW144,$CW144+($CX144-$CW144)*2/($CQ144-1)))))</f>
        <v/>
      </c>
      <c r="BX144" s="88">
        <f>IF($CS144,"",IF($CT144,IF(N($AZ144)&gt;0,N($AZ144),""),IF(4&gt;$CQ144,"",IF($CQ144=1,$CW144,$CW144+($CX144-$CW144)*3/($CQ144-1)))))</f>
        <v/>
      </c>
      <c r="BY144" s="88">
        <f>IF($CS144,"",IF($CT144,"",IF(5&gt;$CQ144,"",IF($CQ144=1,$CW144,$CW144+($CX144-$CW144)*4/($CQ144-1)))))</f>
        <v/>
      </c>
      <c r="BZ144" s="88">
        <f>IF(OR($CS144,$AP144="-",AND($AP144="",$AD144="")),"",IF(N($BA144)&gt;0,N($BA144),IF($CV144,IF(AND($BI144&lt;$CU144,$BI144-IF(N(VLOOKUP($AT144&amp;"|"&amp;$CU144,LocTable,7,FALSE))&gt;0,VLOOKUP($AT144&amp;"|"&amp;$CU144,LocTable,7,FALSE),VLOOKUP($AT144&amp;"|"&amp;$CU144,LocTable,6,FALSE))-$CR144-0.75&gt;=2.125),VLOOKUP($AT144&amp;"|"&amp;$CU144,LocTable,8,FALSE),VLOOKUP($AT144&amp;"|"&amp;$CU144,LocTable,8,FALSE)+($BI144-$CU144)),$BI144-LockAFF)))</f>
        <v/>
      </c>
      <c r="CA144" s="89">
        <f>IF($BZ144="","",$BI144-$BZ144)</f>
        <v/>
      </c>
      <c r="CB144" s="84">
        <f>IF(OR(NOT(AND($A144&lt;&gt;"",$C144&lt;&gt;"DOOR ONLY")),$BI144=""),"",IF(($BI144+IF(N($P144)&gt;0,$P144+FaceW,0))&lt;=90,3,IF(($BI144+IF(N($P144)&gt;0,$P144+FaceW,0))&lt;=114,4,5)))</f>
        <v/>
      </c>
      <c r="CC144" s="84">
        <f>IF($CB144="","",$CB144*(2+IF(N($Q144)&gt;0,IF($R144="LR",2,1),0)))</f>
        <v/>
      </c>
      <c r="CD144" s="84">
        <f>IF($CB144="","",(2+IF(N($Q144)&gt;0,IF($R144="LR",2,1),0)))</f>
        <v/>
      </c>
      <c r="CE144" s="84">
        <f>IF(N($BJ144)=0,"",IF(OR($AL144="",$AL144="FLUSH"),"FLUSH",IFERROR(LEFT($AL144,FIND("-",$AL144)-1),LEFT($AL144,2))))</f>
        <v/>
      </c>
      <c r="CF144" s="84">
        <f>IF($CE144="","",IFERROR(VALUE(MID($AL144,FIND("-",$AL144)+1,FIND(CHAR(34)&amp;"x",$AL144)-FIND("-",$AL144)-1)),0))</f>
        <v/>
      </c>
      <c r="CG144" s="84">
        <f>IF($CE144="","",IFERROR(VALUE(MID($AL144,FIND(CHAR(34)&amp;"x",$AL144)+2,FIND(CHAR(34),$AL144,FIND(CHAR(34)&amp;"x",$AL144)+2)-FIND(CHAR(34)&amp;"x",$AL144)-2)),0))</f>
        <v/>
      </c>
      <c r="CH144" s="90">
        <f>IF(OR($A144="",$H144="",$H144="NO LAB"),0,IFERROR(VALUE(LEFT($H144,FIND(" ",$H144)-1)),0))</f>
        <v/>
      </c>
      <c r="CI144" s="91">
        <f>IF(OR($A144="",$I144="",$I144="NON-RATED",N($J144)=0),"",IFERROR(VLOOKUP($I144&amp;"|"&amp;$J144,IBC,2,FALSE),"?"))</f>
        <v/>
      </c>
      <c r="CJ144" s="85">
        <f>IF(NOT(AND($A144&lt;&gt;"",$C144&lt;&gt;"DOOR ONLY")),"",TRIM(IFERROR(VLOOKUP($U144,CODES,2,FALSE),"")&amp;" "&amp;$BG144&amp;" "&amp;IFERROR(VLOOKUP($Z144,CODES,2,FALSE),"")&amp;" "&amp;IFERROR(VLOOKUP($X144,CODES,2,FALSE),"")&amp;" "&amp;IFERROR(VLOOKUP($S144,CODES,2,FALSE),"")&amp;IF(N($P144)&gt;0," w/TRANSOM "&amp;$P144&amp;CHAR(34),"")&amp;IF(N($Q144)&gt;0," w/SIDELITE "&amp;$Q144&amp;CHAR(34)&amp;" "&amp;IF($R144="","R",$R144),"")&amp;IF($Y144="","  |  "," | "&amp;IFERROR(VLOOKUP($Y144,CODES,2,FALSE),"")&amp;" | ")&amp;IFERROR(VLOOKUP($AC144,CODES,2,FALSE),"")&amp;" "&amp;IFERROR(VLOOKUP($AD144,CODES,2,FALSE),"")&amp;IF(OR($AE144="",$AE144="-"),""," "&amp;$AE144)&amp;IF(OR($AF144="",$AF144="-"),""," "&amp;$AF144)&amp;IF($AB144="Y"," 4"&amp;CHAR(34)&amp;" HEAD","")&amp;" "&amp;IFERROR(VLOOKUP($H144,CODES,2,FALSE),"")&amp;IF($CT144," | LOC "&amp;$CY144,"")))</f>
        <v/>
      </c>
      <c r="CK144" s="85">
        <f>IF(NOT(AND($A144&lt;&gt;"",N($BJ144)&gt;0)),"",TRIM(IFERROR(VLOOKUP($AH144,CODES,2,FALSE),"")&amp;IF($AI144=""," "," "&amp;$AI144&amp;"GA ")&amp;$BG144&amp;" "&amp;IF($AN144="",IFERROR(VLOOKUP($Z144,CODES,2,FALSE),""),IFERROR(VLOOKUP($AN144,CODES,2,FALSE),""))&amp;IF($BJ144=2," PAIR","")&amp;" DOOR | "&amp;IF($AL144="","?",$AL144)&amp;" | "&amp;IF($AO144="",IFERROR(VLOOKUP($AC144,CODES,2,FALSE),""),IFERROR(VLOOKUP($AO144,CODES,2,FALSE),""))&amp;" "&amp;IFERROR(VLOOKUP($AP144,CODES,2,FALSE),"")&amp;IF(OR($AQ144="",$AQ144="-"),""," SEAM "&amp;$AQ144)&amp;IF($AR144="Y"," ASTRAGAL","")&amp;IF($AJ144=""," "," "&amp;$AJ144)&amp;IF($AK144=""," "," "&amp;$AK144)&amp;IF(OR($AT144="",$AT144="ANSI/SDI",$AT144="CUSTOM LOC"),""," "&amp;$AT144)&amp;IF($AM144=""," "," SERIES "&amp;$AM144)&amp;" "&amp;IFERROR(VLOOKUP($H144,CODES,2,FALSE),"")&amp;IF($CT144," | LOC "&amp;$CZ144,"")))</f>
        <v/>
      </c>
      <c r="CL144" s="84">
        <f>IF(CP144="","",IF(COUNTIF($CP$6:CP144,CP144)=1,MAX($CL$5:CL143)+1,INDEX($CL$5:CL143,MATCH(CP144,$CP$5:CP143,0))))</f>
        <v/>
      </c>
      <c r="CM144" s="84">
        <f>IF(NOT(AND($A144&lt;&gt;"",$C144&lt;&gt;"DOOR ONLY")),"",MAX($CM$5:CM143)+1)</f>
        <v/>
      </c>
      <c r="CN144" s="84">
        <f>IF(NOT(AND($A144&lt;&gt;"",N($BJ144)&gt;0)),"",MAX($CN$5:CN143)+1)</f>
        <v/>
      </c>
      <c r="CO144" s="84">
        <f>IF($A144="","",MAX($CO$5:CO143)+1)</f>
        <v/>
      </c>
      <c r="CP144" s="84">
        <f>IF(OR($A144="",$BH144="",$BI144=""),"",$BG144&amp;"|"&amp;$O144&amp;"|"&amp;$AL144&amp;"|"&amp;$S144&amp;"|"&amp;$P144&amp;"|"&amp;$Q144&amp;$R144&amp;"|"&amp;$C144&amp;"|"&amp;$AB144)</f>
        <v/>
      </c>
      <c r="CQ144" s="84">
        <f>N($BS144)</f>
        <v/>
      </c>
      <c r="CR144" s="84">
        <f>IF(N($AU144)&gt;0,N($AU144),4.5)</f>
        <v/>
      </c>
      <c r="CS144" s="84">
        <f>OR($A144="",$BI144="",$S144="BL",AND($C144="FRAME ONLY",OR($AC144="",$AC144="BLK")))</f>
        <v/>
      </c>
      <c r="CT144" s="84">
        <f>AND(NOT($CS144),OR($AT144="CUSTOM LOC",N($AW144)+N($AX144)+N($AY144)+N($AZ144)+N($BA144)&gt;0))</f>
        <v/>
      </c>
      <c r="CU144" s="84">
        <f>IF($BI144="","",IF($BI144&lt;=80,80,IF($BI144&lt;=84,84,96)))</f>
        <v/>
      </c>
      <c r="CV144" s="84">
        <f>ISNUMBER(MATCH($AT144&amp;"|80",LocKeys,0))</f>
        <v/>
      </c>
      <c r="CW144" s="86">
        <f>IF($CS144,"",IF($CV144,VLOOKUP($AT144&amp;"|"&amp;$CU144,LocTable,4,FALSE),5))</f>
        <v/>
      </c>
      <c r="CX144" s="86">
        <f>IF($CS144,"",IF($CV144,IF(OR($BI144=$CU144,AND($BI144&lt;$CU144,$BI144-IF(N(VLOOKUP($AT144&amp;"|"&amp;$CU144,LocTable,7,FALSE))&gt;0,VLOOKUP($AT144&amp;"|"&amp;$CU144,LocTable,7,FALSE),VLOOKUP($AT144&amp;"|"&amp;$CU144,LocTable,6,FALSE))-$CR144-0.75&gt;=2.125)),IF(N(VLOOKUP($AT144&amp;"|"&amp;$CU144,LocTable,7,FALSE))&gt;0,VLOOKUP($AT144&amp;"|"&amp;$CU144,LocTable,7,FALSE),VLOOKUP($AT144&amp;"|"&amp;$CU144,LocTable,6,FALSE)),$BI144-($CU144-IF(N(VLOOKUP($AT144&amp;"|"&amp;$CU144,LocTable,7,FALSE))&gt;0,VLOOKUP($AT144&amp;"|"&amp;$CU144,LocTable,7,FALSE),VLOOKUP($AT144&amp;"|"&amp;$CU144,LocTable,6,FALSE)))),$BI144-10-$CR144))</f>
        <v/>
      </c>
      <c r="CY144" s="85">
        <f>IF($CS144,"",TRIM(IF(ISNUMBER($BU144),"A "&amp;TRIM(TEXT($BU144,"# ?/??"))&amp;CHAR(34)&amp;"  ","")&amp;IF(ISNUMBER($BV144),"B "&amp;TRIM(TEXT($BV144,"# ?/??"))&amp;CHAR(34)&amp;"  ","")&amp;IF(ISNUMBER($BW144),"C "&amp;TRIM(TEXT($BW144,"# ?/??"))&amp;CHAR(34)&amp;"  ","")&amp;IF(ISNUMBER($BX144),"D "&amp;TRIM(TEXT($BX144,"# ?/??"))&amp;CHAR(34)&amp;"  ","")&amp;IF(ISNUMBER($BY144),"F "&amp;TRIM(TEXT($BY144,"# ?/??"))&amp;CHAR(34)&amp;"  ","")&amp;IF(ISNUMBER($BZ144),"E "&amp;TRIM(TEXT($BZ144,"# ?/??"))&amp;CHAR(34)&amp;"  ","")))</f>
        <v/>
      </c>
      <c r="CZ144" s="85">
        <f>IF(OR($CS144,N($BJ144)=0),"",TRIM(IF(ISNUMBER($BU144),"A "&amp;TRIM(TEXT($BU144-HeadClr,"# ?/??"))&amp;CHAR(34)&amp;"  ","")&amp;IF(ISNUMBER($BV144),"B "&amp;TRIM(TEXT($BV144-HeadClr,"# ?/??"))&amp;CHAR(34)&amp;"  ","")&amp;IF(ISNUMBER($BW144),"C "&amp;TRIM(TEXT($BW144-HeadClr,"# ?/??"))&amp;CHAR(34)&amp;"  ","")&amp;IF(ISNUMBER($BX144),"D "&amp;TRIM(TEXT($BX144-HeadClr,"# ?/??"))&amp;CHAR(34)&amp;"  ","")&amp;IF(ISNUMBER($BY144),"F "&amp;TRIM(TEXT($BY144-HeadClr,"# ?/??"))&amp;CHAR(34)&amp;"  ","")&amp;IF(ISNUMBER($BZ144),"E "&amp;TRIM(TEXT($BZ144-HeadClr,"# ?/??"))&amp;CHAR(34)&amp;"  ","")))</f>
        <v/>
      </c>
      <c r="DA144" s="84">
        <f>IF($A144="","",IF($AN144="",IFERROR(VLOOKUP($Z144,CODES,2,FALSE),""),IFERROR(VLOOKUP($AN144,CODES,2,FALSE),"")))</f>
        <v/>
      </c>
      <c r="DB144" s="84">
        <f>IF($A144="","",IF($O144="Y","PR",IF(OR($Z144="L",$Z144="RR",LEFT($Z144,2)="L-",LEFT($Z144,3)="RR-"),"LH","RH")))</f>
        <v/>
      </c>
      <c r="DC144" s="84">
        <f>IF($A144="","","S.HM"&amp;IF(OR($C144="DOOR ONLY",$X144&lt;&gt;"KD"),"MASONRY","DRYWALL")&amp;IF($C144="DOOR ONLY","",$U144)&amp;IF(AND($C144&lt;&gt;"FRAME ONLY",OR(LEFT($AH144,3)="OAK",LEFT($AH144,3)="BIR",LEFT($AH144,3)="MAP",$AH144="PC",$AH144="MC",$AH144="SCLC",$AH144="P-LAM")),"WD","HM")&amp;"1.75")</f>
        <v/>
      </c>
      <c r="DD144" s="84">
        <f>IF($CJ144="","",IF($O144="Y",$CJ144,SUBSTITUTE($CJ144,$BG144&amp;" "&amp;IFERROR(VLOOKUP($Z144,CODES,2,FALSE),"")&amp;" ",$BG144&amp;" ")))</f>
        <v/>
      </c>
      <c r="DE144" s="84">
        <f>IF($CK144="","",IF($O144="Y",$CK144,SUBSTITUTE($CK144,$BG144&amp;" "&amp;IF($AN144="",IFERROR(VLOOKUP($Z144,CODES,2,FALSE),""),IFERROR(VLOOKUP($AN144,CODES,2,FALSE),""))&amp;" ",$BG144&amp;" ")))</f>
        <v/>
      </c>
      <c r="DF144" s="84">
        <f>IF($CJ144="","",$DC144&amp;"|"&amp;$DD144&amp;"|"&amp;$DB144&amp;"|"&amp;$AT144&amp;"|"&amp;$V144&amp;"|"&amp;$Y144&amp;"|"&amp;$AB144)</f>
        <v/>
      </c>
      <c r="DG144" s="84">
        <f>IF(DF144="","",IF(COUNTIF($DF$6:DF144,DF144)=1,MAX($DG$5:DG143)+1,INDEX($DG$5:DG143,MATCH(DF144,$DF$5:DF143,0))))</f>
        <v/>
      </c>
      <c r="DH144" s="84">
        <f>IF($CK144="","",$DC144&amp;"|"&amp;$DE144&amp;"|"&amp;$AI144&amp;"|"&amp;$BK144&amp;"|"&amp;$BL144)</f>
        <v/>
      </c>
      <c r="DI144" s="84">
        <f>IF(DH144="","",IF(COUNTIF($DH$6:DH144,DH144)=1,MAX($DI$5:DI143)+1,INDEX($DI$5:DI143,MATCH(DH144,$DH$5:DH143,0))))</f>
        <v/>
      </c>
      <c r="DJ144" s="84">
        <f>IF($A144="","",IF($B144="","qty, ","")&amp;IF($C144="","scope, ","")&amp;IF(OR($K144="",$M144=""),"size, ","")&amp;IF(AND($A144&lt;&gt;"",$C144&lt;&gt;"DOOR ONLY"),IF($U144="","jamb depth, ","")&amp;IF($X144="","construction, ","")&amp;IF($Y144="","anchor, ","")&amp;IF($S144="","frame type, ",""),"")&amp;IF(AND(N($BJ144)&gt;0,$Z144=""),"hand, ","")&amp;IF(N($BJ144)&gt;0,IF($AH144="","door material, ","")&amp;IF($AL144="","face type, ","")&amp;IF($AP144="","lock prep, ","")&amp;IF(AND($AO144="",$AC144=""),"hinge prep, ",""),"")&amp;IF(AND($CH144&gt;0,$AH144="FRP"),"FRP cannot carry a label, ","")&amp;IF(AND($O144="Y",OR($Z144="L",$Z144="R",$Z144="LR",$Z144="RR")),"pair marked but hand is single, ","")&amp;IF(AND($O144&lt;&gt;"Y",OR($Z144="PR",AND(LEN($Z144)&gt;1,ISNUMBER(SEARCH("-",$Z144))))),"pair hand on a single door, ","")&amp;IF(AND(ISNUMBER($CI144),$CH144&lt;N($CI144)),"wall needs a "&amp;$CI144&amp;" min door, ","")&amp;IF(AND($CH144&gt;=180,AND(OR($CE144="FG",$CE144="HG",$CE144="FNV",$CE144="FV"),N($CF144)*N($CG144)&gt;100)),"180 min lite over 100 sq in, ","")&amp;IF(N($BK144)&gt;48,"leaf wider than 4'-0"&amp;CHAR(34)&amp;", ","")&amp;IF(AND($CT144,COUNT($AW144:$AZ144)=0,$CQ144&gt;0),"CUSTOM LOC with no locations typed, ",""))</f>
        <v/>
      </c>
      <c r="DK144" s="84">
        <f>IF($A144="","",IF(AND($CH144&gt;0,AND($A144&lt;&gt;"",$C144&lt;&gt;"DOOR ONLY"),$X144="KD",$E144="EXTERIOR"),"KD label on an exterior opening, ","")&amp;IF(AND($E144="EXTERIOR",OR(AND(AND($A144&lt;&gt;"",$C144&lt;&gt;"DOOR ONLY"),$W144="CR"),AND(N($BJ144)&gt;0,$AH144="CR"))),"exterior in CR steel (G9?), ","")&amp;IF(AND(ISNUMBER($BQ144),N($BQ144)&lt;32),"clear width ~"&amp;TEXT($BQ144,"0.0")&amp;CHAR(34)&amp;" under 32"&amp;CHAR(34)&amp;" (ADA), ","")&amp;IF(AND($CH144=90,AND(OR($CE144="FG",$CE144="HG",$CE144="FNV",$CE144="FV"),N($CF144)*N($CG144)&gt;100)),"90 min lite over 100 sq in (stair/exit), ","")&amp;IF(AND($CH144&gt;0,AND($A144&lt;&gt;"",$C144&lt;&gt;"DOOR ONLY"),OR($AF144="",$AF144="-")),"rated: closer reinf.?, ","")&amp;IF(OR($I144="CORRIDOR",$I144="SMOKE BARRIER"),"S label + smoke gasketing, ","")&amp;IF($CI144="?","wall type/hr not in IBC table, ","")&amp;IF(AND(N($BJ144)&gt;0,$BB144=""),"no hardware set, ","")&amp;IF(AND($BB144&lt;&gt;"",ISNA(MATCH($BB144&amp;"",HWSets,0))),"set "&amp;$BB144&amp;" not on HW Sets, ","")&amp;IF(N($BL144)&gt;96,"leaf over 8'-0"&amp;CHAR(34)&amp;" - check listing, ","")&amp;IF(AND($CT144,COUNT($AW144:$AZ144)&gt;0,COUNT($AW144:$AZ144)&lt;&gt;$CQ144),COUNT($AW144:$AZ144)&amp;" custom hinges typed, "&amp;$CQ144&amp;" expected, ","")&amp;IF(AND(ISNUMBER($CA144),OR(N($CA144)&lt;34,N($CA144)&gt;48)),"lock "&amp;TEXT($CA144,"0.0")&amp;CHAR(34)&amp;" AFF outside 34-48"&amp;CHAR(34)&amp;" (ADA), ","")&amp;IF(AND(ISNUMBER($AV144),ISNUMBER($BL144),N($AV144)&lt;IF(N($BL144)&lt;=60,2,IF(N($BL144)&lt;=90,3,IF(N($BL144)&lt;=120,4,5)))),"fewer hinges than standard, ",""))</f>
        <v/>
      </c>
    </row>
    <row r="145" ht="15" customHeight="1">
      <c r="A145" s="92" t="n"/>
      <c r="B145" s="93" t="n"/>
      <c r="C145" s="93" t="n"/>
      <c r="D145" s="93" t="n"/>
      <c r="E145" s="93" t="n"/>
      <c r="F145" s="93" t="n"/>
      <c r="G145" s="93" t="n"/>
      <c r="H145" s="93" t="n"/>
      <c r="I145" s="93" t="n"/>
      <c r="J145" s="93" t="n"/>
      <c r="K145" s="93" t="n"/>
      <c r="L145" s="93" t="n"/>
      <c r="M145" s="93" t="n"/>
      <c r="N145" s="93" t="n"/>
      <c r="O145" s="93" t="n"/>
      <c r="P145" s="93" t="n"/>
      <c r="Q145" s="93" t="n"/>
      <c r="R145" s="93" t="n"/>
      <c r="S145" s="94" t="n"/>
      <c r="T145" s="94" t="n"/>
      <c r="U145" s="94" t="n"/>
      <c r="V145" s="94" t="n"/>
      <c r="W145" s="94" t="n"/>
      <c r="X145" s="94" t="n"/>
      <c r="Y145" s="94" t="n"/>
      <c r="Z145" s="94" t="n"/>
      <c r="AA145" s="94" t="n"/>
      <c r="AB145" s="94" t="n"/>
      <c r="AC145" s="94" t="n"/>
      <c r="AD145" s="94" t="n"/>
      <c r="AE145" s="94" t="n"/>
      <c r="AF145" s="94" t="n"/>
      <c r="AG145" s="94" t="n"/>
      <c r="AH145" s="95" t="n"/>
      <c r="AI145" s="95" t="n"/>
      <c r="AJ145" s="95" t="n"/>
      <c r="AK145" s="95" t="n"/>
      <c r="AL145" s="95" t="n"/>
      <c r="AM145" s="95" t="n"/>
      <c r="AN145" s="95" t="n"/>
      <c r="AO145" s="95" t="n"/>
      <c r="AP145" s="95" t="n"/>
      <c r="AQ145" s="95" t="n"/>
      <c r="AR145" s="95" t="n"/>
      <c r="AS145" s="95" t="n"/>
      <c r="AT145" s="96" t="n"/>
      <c r="AU145" s="96" t="n"/>
      <c r="AV145" s="96" t="n"/>
      <c r="AW145" s="97" t="n"/>
      <c r="AX145" s="97" t="n"/>
      <c r="AY145" s="97" t="n"/>
      <c r="AZ145" s="97" t="n"/>
      <c r="BA145" s="97" t="n"/>
      <c r="BB145" s="98" t="n"/>
      <c r="BC145" s="98" t="n"/>
      <c r="BD145" s="99">
        <f>IF($A145="","",IF($DJ145&lt;&gt;"","FIX",IF($DK145&lt;&gt;"","CHECK","OK")))</f>
        <v/>
      </c>
      <c r="BE145" s="100">
        <f>IF($A145="","",IF($DJ145&lt;&gt;"","FIX: "&amp;LEFT($DJ145,LEN($DJ145)-2)&amp;IF($DK145&lt;&gt;"","  ·  ",""),"")&amp;IF($DK145&lt;&gt;"","CHECK: "&amp;LEFT($DK145,LEN($DK145)-2),""))</f>
        <v/>
      </c>
      <c r="BF145" s="99">
        <f>IF(OR($A145="",$K145=""),"",$K145&amp;"'-"&amp;N($L145)&amp;CHAR(34)&amp;" x "&amp;$M145&amp;"'-"&amp;N($N145)&amp;CHAR(34))</f>
        <v/>
      </c>
      <c r="BG145" s="99">
        <f>IF(OR($A145="",$K145=""),"",$K145&amp;N($L145)&amp;$M145&amp;N($N145))</f>
        <v/>
      </c>
      <c r="BH145" s="99">
        <f>IF(OR($A145="",$K145=""),"",$K145*12+N($L145))</f>
        <v/>
      </c>
      <c r="BI145" s="99">
        <f>IF(OR($A145="",$M145=""),"",$M145*12+N($N145))</f>
        <v/>
      </c>
      <c r="BJ145" s="99">
        <f>IF($A145="","",IF(OR($C145="FRAME ONLY",$S145="BL"),0,IF($O145="Y",2,1)))</f>
        <v/>
      </c>
      <c r="BK145" s="101">
        <f>IF(OR(N($BJ145)=0,$BH145=""),"",($BH145-2*EdgeClr-IF($BJ145=2,MeetClr,0))/$BJ145)</f>
        <v/>
      </c>
      <c r="BL145" s="101">
        <f>IF(OR(N($BJ145)=0,$BI145=""),"",$BI145-HeadClr-Undercut)</f>
        <v/>
      </c>
      <c r="BM145" s="101">
        <f>IF($BH145="","",$BH145+2*FaceW+IF(N($Q145)&gt;0,($Q145+FaceW)*IF($R145="LR",2,1),0))</f>
        <v/>
      </c>
      <c r="BN145" s="101">
        <f>IF($BI145="","",$BI145+IF($AB145="Y",4,FaceW)+IF(N($P145)&gt;0,$P145+FaceW,0)+IF(OR($S145="4F",$S145="BL"),FaceW,0))</f>
        <v/>
      </c>
      <c r="BO145" s="101">
        <f>IF($BM145="","",$BM145+2*ROSide)</f>
        <v/>
      </c>
      <c r="BP145" s="101">
        <f>IF($BN145="","",$BN145+ROTop)</f>
        <v/>
      </c>
      <c r="BQ145" s="102">
        <f>IF(OR(N($BJ145)=0,$BH145=""),"",$BH145/$BJ145-ClearDeduct)</f>
        <v/>
      </c>
      <c r="BR145" s="99">
        <f>IF(N($CH145)=0,"",IF($CH145&gt;=180,"A · 3 HR",IF($CH145&gt;=90,"B · 1-1/2 HR",IF($CH145&gt;=60,"B · 1 HR",IF($CH145&gt;=45,"C · 3/4 HR","20 MIN")))))&amp;IF(AND(N($CH145)&gt;0,OR($I145="CORRIDOR",$I145="SMOKE BARRIER"))," · S","")</f>
        <v/>
      </c>
      <c r="BS145" s="99">
        <f>IF($CS145,"",IF($AV145&lt;&gt;"",$AV145,IF(OR($AC145="HGC",$AO145="HGC"),"CONT",IF(($BI145-HeadClr-Undercut)&lt;=60,2,IF(($BI145-HeadClr-Undercut)&lt;=90,3,IF(($BI145-HeadClr-Undercut)&lt;=120,4,5))))))</f>
        <v/>
      </c>
      <c r="BT145" s="99">
        <f>IF($CS145,"",IF($CT145,"CUSTOM (typed)",IF($CV145,$AT145&amp;" "&amp;$CU145&amp;CHAR(34)&amp;IF($CU145&lt;&gt;$BI145,IF(AND($BI145&lt;$CU145,$BI145-IF(N(VLOOKUP($AT145&amp;"|"&amp;$CU145,LocTable,7,FALSE))&gt;0,VLOOKUP($AT145&amp;"|"&amp;$CU145,LocTable,7,FALSE),VLOOKUP($AT145&amp;"|"&amp;$CU145,LocTable,6,FALSE))-$CR145-0.75&gt;=2.125)," cut down"," adj."),""),"ANSI/SDI A250.6")))</f>
        <v/>
      </c>
      <c r="BU145" s="103">
        <f>IF($CS145,"",IF($CT145,IF(N($AW145)&gt;0,N($AW145),""),IF(1&gt;$CQ145,"",IF($CQ145=1,$CW145,$CW145+($CX145-$CW145)*0/($CQ145-1)))))</f>
        <v/>
      </c>
      <c r="BV145" s="103">
        <f>IF($CS145,"",IF($CT145,IF(N($AX145)&gt;0,N($AX145),""),IF(2&gt;$CQ145,"",IF($CQ145=1,$CW145,$CW145+($CX145-$CW145)*1/($CQ145-1)))))</f>
        <v/>
      </c>
      <c r="BW145" s="103">
        <f>IF($CS145,"",IF($CT145,IF(N($AY145)&gt;0,N($AY145),""),IF(3&gt;$CQ145,"",IF($CQ145=1,$CW145,$CW145+($CX145-$CW145)*2/($CQ145-1)))))</f>
        <v/>
      </c>
      <c r="BX145" s="103">
        <f>IF($CS145,"",IF($CT145,IF(N($AZ145)&gt;0,N($AZ145),""),IF(4&gt;$CQ145,"",IF($CQ145=1,$CW145,$CW145+($CX145-$CW145)*3/($CQ145-1)))))</f>
        <v/>
      </c>
      <c r="BY145" s="103">
        <f>IF($CS145,"",IF($CT145,"",IF(5&gt;$CQ145,"",IF($CQ145=1,$CW145,$CW145+($CX145-$CW145)*4/($CQ145-1)))))</f>
        <v/>
      </c>
      <c r="BZ145" s="103">
        <f>IF(OR($CS145,$AP145="-",AND($AP145="",$AD145="")),"",IF(N($BA145)&gt;0,N($BA145),IF($CV145,IF(AND($BI145&lt;$CU145,$BI145-IF(N(VLOOKUP($AT145&amp;"|"&amp;$CU145,LocTable,7,FALSE))&gt;0,VLOOKUP($AT145&amp;"|"&amp;$CU145,LocTable,7,FALSE),VLOOKUP($AT145&amp;"|"&amp;$CU145,LocTable,6,FALSE))-$CR145-0.75&gt;=2.125),VLOOKUP($AT145&amp;"|"&amp;$CU145,LocTable,8,FALSE),VLOOKUP($AT145&amp;"|"&amp;$CU145,LocTable,8,FALSE)+($BI145-$CU145)),$BI145-LockAFF)))</f>
        <v/>
      </c>
      <c r="CA145" s="104">
        <f>IF($BZ145="","",$BI145-$BZ145)</f>
        <v/>
      </c>
      <c r="CB145" s="99">
        <f>IF(OR(NOT(AND($A145&lt;&gt;"",$C145&lt;&gt;"DOOR ONLY")),$BI145=""),"",IF(($BI145+IF(N($P145)&gt;0,$P145+FaceW,0))&lt;=90,3,IF(($BI145+IF(N($P145)&gt;0,$P145+FaceW,0))&lt;=114,4,5)))</f>
        <v/>
      </c>
      <c r="CC145" s="99">
        <f>IF($CB145="","",$CB145*(2+IF(N($Q145)&gt;0,IF($R145="LR",2,1),0)))</f>
        <v/>
      </c>
      <c r="CD145" s="99">
        <f>IF($CB145="","",(2+IF(N($Q145)&gt;0,IF($R145="LR",2,1),0)))</f>
        <v/>
      </c>
      <c r="CE145" s="99">
        <f>IF(N($BJ145)=0,"",IF(OR($AL145="",$AL145="FLUSH"),"FLUSH",IFERROR(LEFT($AL145,FIND("-",$AL145)-1),LEFT($AL145,2))))</f>
        <v/>
      </c>
      <c r="CF145" s="99">
        <f>IF($CE145="","",IFERROR(VALUE(MID($AL145,FIND("-",$AL145)+1,FIND(CHAR(34)&amp;"x",$AL145)-FIND("-",$AL145)-1)),0))</f>
        <v/>
      </c>
      <c r="CG145" s="99">
        <f>IF($CE145="","",IFERROR(VALUE(MID($AL145,FIND(CHAR(34)&amp;"x",$AL145)+2,FIND(CHAR(34),$AL145,FIND(CHAR(34)&amp;"x",$AL145)+2)-FIND(CHAR(34)&amp;"x",$AL145)-2)),0))</f>
        <v/>
      </c>
      <c r="CH145" s="105">
        <f>IF(OR($A145="",$H145="",$H145="NO LAB"),0,IFERROR(VALUE(LEFT($H145,FIND(" ",$H145)-1)),0))</f>
        <v/>
      </c>
      <c r="CI145" s="106">
        <f>IF(OR($A145="",$I145="",$I145="NON-RATED",N($J145)=0),"",IFERROR(VLOOKUP($I145&amp;"|"&amp;$J145,IBC,2,FALSE),"?"))</f>
        <v/>
      </c>
      <c r="CJ145" s="100">
        <f>IF(NOT(AND($A145&lt;&gt;"",$C145&lt;&gt;"DOOR ONLY")),"",TRIM(IFERROR(VLOOKUP($U145,CODES,2,FALSE),"")&amp;" "&amp;$BG145&amp;" "&amp;IFERROR(VLOOKUP($Z145,CODES,2,FALSE),"")&amp;" "&amp;IFERROR(VLOOKUP($X145,CODES,2,FALSE),"")&amp;" "&amp;IFERROR(VLOOKUP($S145,CODES,2,FALSE),"")&amp;IF(N($P145)&gt;0," w/TRANSOM "&amp;$P145&amp;CHAR(34),"")&amp;IF(N($Q145)&gt;0," w/SIDELITE "&amp;$Q145&amp;CHAR(34)&amp;" "&amp;IF($R145="","R",$R145),"")&amp;IF($Y145="","  |  "," | "&amp;IFERROR(VLOOKUP($Y145,CODES,2,FALSE),"")&amp;" | ")&amp;IFERROR(VLOOKUP($AC145,CODES,2,FALSE),"")&amp;" "&amp;IFERROR(VLOOKUP($AD145,CODES,2,FALSE),"")&amp;IF(OR($AE145="",$AE145="-"),""," "&amp;$AE145)&amp;IF(OR($AF145="",$AF145="-"),""," "&amp;$AF145)&amp;IF($AB145="Y"," 4"&amp;CHAR(34)&amp;" HEAD","")&amp;" "&amp;IFERROR(VLOOKUP($H145,CODES,2,FALSE),"")&amp;IF($CT145," | LOC "&amp;$CY145,"")))</f>
        <v/>
      </c>
      <c r="CK145" s="100">
        <f>IF(NOT(AND($A145&lt;&gt;"",N($BJ145)&gt;0)),"",TRIM(IFERROR(VLOOKUP($AH145,CODES,2,FALSE),"")&amp;IF($AI145=""," "," "&amp;$AI145&amp;"GA ")&amp;$BG145&amp;" "&amp;IF($AN145="",IFERROR(VLOOKUP($Z145,CODES,2,FALSE),""),IFERROR(VLOOKUP($AN145,CODES,2,FALSE),""))&amp;IF($BJ145=2," PAIR","")&amp;" DOOR | "&amp;IF($AL145="","?",$AL145)&amp;" | "&amp;IF($AO145="",IFERROR(VLOOKUP($AC145,CODES,2,FALSE),""),IFERROR(VLOOKUP($AO145,CODES,2,FALSE),""))&amp;" "&amp;IFERROR(VLOOKUP($AP145,CODES,2,FALSE),"")&amp;IF(OR($AQ145="",$AQ145="-"),""," SEAM "&amp;$AQ145)&amp;IF($AR145="Y"," ASTRAGAL","")&amp;IF($AJ145=""," "," "&amp;$AJ145)&amp;IF($AK145=""," "," "&amp;$AK145)&amp;IF(OR($AT145="",$AT145="ANSI/SDI",$AT145="CUSTOM LOC"),""," "&amp;$AT145)&amp;IF($AM145=""," "," SERIES "&amp;$AM145)&amp;" "&amp;IFERROR(VLOOKUP($H145,CODES,2,FALSE),"")&amp;IF($CT145," | LOC "&amp;$CZ145,"")))</f>
        <v/>
      </c>
      <c r="CL145" s="99">
        <f>IF(CP145="","",IF(COUNTIF($CP$6:CP145,CP145)=1,MAX($CL$5:CL144)+1,INDEX($CL$5:CL144,MATCH(CP145,$CP$5:CP144,0))))</f>
        <v/>
      </c>
      <c r="CM145" s="99">
        <f>IF(NOT(AND($A145&lt;&gt;"",$C145&lt;&gt;"DOOR ONLY")),"",MAX($CM$5:CM144)+1)</f>
        <v/>
      </c>
      <c r="CN145" s="99">
        <f>IF(NOT(AND($A145&lt;&gt;"",N($BJ145)&gt;0)),"",MAX($CN$5:CN144)+1)</f>
        <v/>
      </c>
      <c r="CO145" s="99">
        <f>IF($A145="","",MAX($CO$5:CO144)+1)</f>
        <v/>
      </c>
      <c r="CP145" s="99">
        <f>IF(OR($A145="",$BH145="",$BI145=""),"",$BG145&amp;"|"&amp;$O145&amp;"|"&amp;$AL145&amp;"|"&amp;$S145&amp;"|"&amp;$P145&amp;"|"&amp;$Q145&amp;$R145&amp;"|"&amp;$C145&amp;"|"&amp;$AB145)</f>
        <v/>
      </c>
      <c r="CQ145" s="99">
        <f>N($BS145)</f>
        <v/>
      </c>
      <c r="CR145" s="99">
        <f>IF(N($AU145)&gt;0,N($AU145),4.5)</f>
        <v/>
      </c>
      <c r="CS145" s="99">
        <f>OR($A145="",$BI145="",$S145="BL",AND($C145="FRAME ONLY",OR($AC145="",$AC145="BLK")))</f>
        <v/>
      </c>
      <c r="CT145" s="99">
        <f>AND(NOT($CS145),OR($AT145="CUSTOM LOC",N($AW145)+N($AX145)+N($AY145)+N($AZ145)+N($BA145)&gt;0))</f>
        <v/>
      </c>
      <c r="CU145" s="99">
        <f>IF($BI145="","",IF($BI145&lt;=80,80,IF($BI145&lt;=84,84,96)))</f>
        <v/>
      </c>
      <c r="CV145" s="99">
        <f>ISNUMBER(MATCH($AT145&amp;"|80",LocKeys,0))</f>
        <v/>
      </c>
      <c r="CW145" s="101">
        <f>IF($CS145,"",IF($CV145,VLOOKUP($AT145&amp;"|"&amp;$CU145,LocTable,4,FALSE),5))</f>
        <v/>
      </c>
      <c r="CX145" s="101">
        <f>IF($CS145,"",IF($CV145,IF(OR($BI145=$CU145,AND($BI145&lt;$CU145,$BI145-IF(N(VLOOKUP($AT145&amp;"|"&amp;$CU145,LocTable,7,FALSE))&gt;0,VLOOKUP($AT145&amp;"|"&amp;$CU145,LocTable,7,FALSE),VLOOKUP($AT145&amp;"|"&amp;$CU145,LocTable,6,FALSE))-$CR145-0.75&gt;=2.125)),IF(N(VLOOKUP($AT145&amp;"|"&amp;$CU145,LocTable,7,FALSE))&gt;0,VLOOKUP($AT145&amp;"|"&amp;$CU145,LocTable,7,FALSE),VLOOKUP($AT145&amp;"|"&amp;$CU145,LocTable,6,FALSE)),$BI145-($CU145-IF(N(VLOOKUP($AT145&amp;"|"&amp;$CU145,LocTable,7,FALSE))&gt;0,VLOOKUP($AT145&amp;"|"&amp;$CU145,LocTable,7,FALSE),VLOOKUP($AT145&amp;"|"&amp;$CU145,LocTable,6,FALSE)))),$BI145-10-$CR145))</f>
        <v/>
      </c>
      <c r="CY145" s="100">
        <f>IF($CS145,"",TRIM(IF(ISNUMBER($BU145),"A "&amp;TRIM(TEXT($BU145,"# ?/??"))&amp;CHAR(34)&amp;"  ","")&amp;IF(ISNUMBER($BV145),"B "&amp;TRIM(TEXT($BV145,"# ?/??"))&amp;CHAR(34)&amp;"  ","")&amp;IF(ISNUMBER($BW145),"C "&amp;TRIM(TEXT($BW145,"# ?/??"))&amp;CHAR(34)&amp;"  ","")&amp;IF(ISNUMBER($BX145),"D "&amp;TRIM(TEXT($BX145,"# ?/??"))&amp;CHAR(34)&amp;"  ","")&amp;IF(ISNUMBER($BY145),"F "&amp;TRIM(TEXT($BY145,"# ?/??"))&amp;CHAR(34)&amp;"  ","")&amp;IF(ISNUMBER($BZ145),"E "&amp;TRIM(TEXT($BZ145,"# ?/??"))&amp;CHAR(34)&amp;"  ","")))</f>
        <v/>
      </c>
      <c r="CZ145" s="100">
        <f>IF(OR($CS145,N($BJ145)=0),"",TRIM(IF(ISNUMBER($BU145),"A "&amp;TRIM(TEXT($BU145-HeadClr,"# ?/??"))&amp;CHAR(34)&amp;"  ","")&amp;IF(ISNUMBER($BV145),"B "&amp;TRIM(TEXT($BV145-HeadClr,"# ?/??"))&amp;CHAR(34)&amp;"  ","")&amp;IF(ISNUMBER($BW145),"C "&amp;TRIM(TEXT($BW145-HeadClr,"# ?/??"))&amp;CHAR(34)&amp;"  ","")&amp;IF(ISNUMBER($BX145),"D "&amp;TRIM(TEXT($BX145-HeadClr,"# ?/??"))&amp;CHAR(34)&amp;"  ","")&amp;IF(ISNUMBER($BY145),"F "&amp;TRIM(TEXT($BY145-HeadClr,"# ?/??"))&amp;CHAR(34)&amp;"  ","")&amp;IF(ISNUMBER($BZ145),"E "&amp;TRIM(TEXT($BZ145-HeadClr,"# ?/??"))&amp;CHAR(34)&amp;"  ","")))</f>
        <v/>
      </c>
      <c r="DA145" s="99">
        <f>IF($A145="","",IF($AN145="",IFERROR(VLOOKUP($Z145,CODES,2,FALSE),""),IFERROR(VLOOKUP($AN145,CODES,2,FALSE),"")))</f>
        <v/>
      </c>
      <c r="DB145" s="99">
        <f>IF($A145="","",IF($O145="Y","PR",IF(OR($Z145="L",$Z145="RR",LEFT($Z145,2)="L-",LEFT($Z145,3)="RR-"),"LH","RH")))</f>
        <v/>
      </c>
      <c r="DC145" s="99">
        <f>IF($A145="","","S.HM"&amp;IF(OR($C145="DOOR ONLY",$X145&lt;&gt;"KD"),"MASONRY","DRYWALL")&amp;IF($C145="DOOR ONLY","",$U145)&amp;IF(AND($C145&lt;&gt;"FRAME ONLY",OR(LEFT($AH145,3)="OAK",LEFT($AH145,3)="BIR",LEFT($AH145,3)="MAP",$AH145="PC",$AH145="MC",$AH145="SCLC",$AH145="P-LAM")),"WD","HM")&amp;"1.75")</f>
        <v/>
      </c>
      <c r="DD145" s="99">
        <f>IF($CJ145="","",IF($O145="Y",$CJ145,SUBSTITUTE($CJ145,$BG145&amp;" "&amp;IFERROR(VLOOKUP($Z145,CODES,2,FALSE),"")&amp;" ",$BG145&amp;" ")))</f>
        <v/>
      </c>
      <c r="DE145" s="99">
        <f>IF($CK145="","",IF($O145="Y",$CK145,SUBSTITUTE($CK145,$BG145&amp;" "&amp;IF($AN145="",IFERROR(VLOOKUP($Z145,CODES,2,FALSE),""),IFERROR(VLOOKUP($AN145,CODES,2,FALSE),""))&amp;" ",$BG145&amp;" ")))</f>
        <v/>
      </c>
      <c r="DF145" s="99">
        <f>IF($CJ145="","",$DC145&amp;"|"&amp;$DD145&amp;"|"&amp;$DB145&amp;"|"&amp;$AT145&amp;"|"&amp;$V145&amp;"|"&amp;$Y145&amp;"|"&amp;$AB145)</f>
        <v/>
      </c>
      <c r="DG145" s="99">
        <f>IF(DF145="","",IF(COUNTIF($DF$6:DF145,DF145)=1,MAX($DG$5:DG144)+1,INDEX($DG$5:DG144,MATCH(DF145,$DF$5:DF144,0))))</f>
        <v/>
      </c>
      <c r="DH145" s="99">
        <f>IF($CK145="","",$DC145&amp;"|"&amp;$DE145&amp;"|"&amp;$AI145&amp;"|"&amp;$BK145&amp;"|"&amp;$BL145)</f>
        <v/>
      </c>
      <c r="DI145" s="99">
        <f>IF(DH145="","",IF(COUNTIF($DH$6:DH145,DH145)=1,MAX($DI$5:DI144)+1,INDEX($DI$5:DI144,MATCH(DH145,$DH$5:DH144,0))))</f>
        <v/>
      </c>
      <c r="DJ145" s="99">
        <f>IF($A145="","",IF($B145="","qty, ","")&amp;IF($C145="","scope, ","")&amp;IF(OR($K145="",$M145=""),"size, ","")&amp;IF(AND($A145&lt;&gt;"",$C145&lt;&gt;"DOOR ONLY"),IF($U145="","jamb depth, ","")&amp;IF($X145="","construction, ","")&amp;IF($Y145="","anchor, ","")&amp;IF($S145="","frame type, ",""),"")&amp;IF(AND(N($BJ145)&gt;0,$Z145=""),"hand, ","")&amp;IF(N($BJ145)&gt;0,IF($AH145="","door material, ","")&amp;IF($AL145="","face type, ","")&amp;IF($AP145="","lock prep, ","")&amp;IF(AND($AO145="",$AC145=""),"hinge prep, ",""),"")&amp;IF(AND($CH145&gt;0,$AH145="FRP"),"FRP cannot carry a label, ","")&amp;IF(AND($O145="Y",OR($Z145="L",$Z145="R",$Z145="LR",$Z145="RR")),"pair marked but hand is single, ","")&amp;IF(AND($O145&lt;&gt;"Y",OR($Z145="PR",AND(LEN($Z145)&gt;1,ISNUMBER(SEARCH("-",$Z145))))),"pair hand on a single door, ","")&amp;IF(AND(ISNUMBER($CI145),$CH145&lt;N($CI145)),"wall needs a "&amp;$CI145&amp;" min door, ","")&amp;IF(AND($CH145&gt;=180,AND(OR($CE145="FG",$CE145="HG",$CE145="FNV",$CE145="FV"),N($CF145)*N($CG145)&gt;100)),"180 min lite over 100 sq in, ","")&amp;IF(N($BK145)&gt;48,"leaf wider than 4'-0"&amp;CHAR(34)&amp;", ","")&amp;IF(AND($CT145,COUNT($AW145:$AZ145)=0,$CQ145&gt;0),"CUSTOM LOC with no locations typed, ",""))</f>
        <v/>
      </c>
      <c r="DK145" s="99">
        <f>IF($A145="","",IF(AND($CH145&gt;0,AND($A145&lt;&gt;"",$C145&lt;&gt;"DOOR ONLY"),$X145="KD",$E145="EXTERIOR"),"KD label on an exterior opening, ","")&amp;IF(AND($E145="EXTERIOR",OR(AND(AND($A145&lt;&gt;"",$C145&lt;&gt;"DOOR ONLY"),$W145="CR"),AND(N($BJ145)&gt;0,$AH145="CR"))),"exterior in CR steel (G9?), ","")&amp;IF(AND(ISNUMBER($BQ145),N($BQ145)&lt;32),"clear width ~"&amp;TEXT($BQ145,"0.0")&amp;CHAR(34)&amp;" under 32"&amp;CHAR(34)&amp;" (ADA), ","")&amp;IF(AND($CH145=90,AND(OR($CE145="FG",$CE145="HG",$CE145="FNV",$CE145="FV"),N($CF145)*N($CG145)&gt;100)),"90 min lite over 100 sq in (stair/exit), ","")&amp;IF(AND($CH145&gt;0,AND($A145&lt;&gt;"",$C145&lt;&gt;"DOOR ONLY"),OR($AF145="",$AF145="-")),"rated: closer reinf.?, ","")&amp;IF(OR($I145="CORRIDOR",$I145="SMOKE BARRIER"),"S label + smoke gasketing, ","")&amp;IF($CI145="?","wall type/hr not in IBC table, ","")&amp;IF(AND(N($BJ145)&gt;0,$BB145=""),"no hardware set, ","")&amp;IF(AND($BB145&lt;&gt;"",ISNA(MATCH($BB145&amp;"",HWSets,0))),"set "&amp;$BB145&amp;" not on HW Sets, ","")&amp;IF(N($BL145)&gt;96,"leaf over 8'-0"&amp;CHAR(34)&amp;" - check listing, ","")&amp;IF(AND($CT145,COUNT($AW145:$AZ145)&gt;0,COUNT($AW145:$AZ145)&lt;&gt;$CQ145),COUNT($AW145:$AZ145)&amp;" custom hinges typed, "&amp;$CQ145&amp;" expected, ","")&amp;IF(AND(ISNUMBER($CA145),OR(N($CA145)&lt;34,N($CA145)&gt;48)),"lock "&amp;TEXT($CA145,"0.0")&amp;CHAR(34)&amp;" AFF outside 34-48"&amp;CHAR(34)&amp;" (ADA), ","")&amp;IF(AND(ISNUMBER($AV145),ISNUMBER($BL145),N($AV145)&lt;IF(N($BL145)&lt;=60,2,IF(N($BL145)&lt;=90,3,IF(N($BL145)&lt;=120,4,5)))),"fewer hinges than standard, ",""))</f>
        <v/>
      </c>
    </row>
    <row r="146" ht="15" customHeight="1">
      <c r="A146" s="77" t="n"/>
      <c r="B146" s="78" t="n"/>
      <c r="C146" s="78" t="n"/>
      <c r="D146" s="78" t="n"/>
      <c r="E146" s="78" t="n"/>
      <c r="F146" s="78" t="n"/>
      <c r="G146" s="78" t="n"/>
      <c r="H146" s="78" t="n"/>
      <c r="I146" s="78" t="n"/>
      <c r="J146" s="78" t="n"/>
      <c r="K146" s="78" t="n"/>
      <c r="L146" s="78" t="n"/>
      <c r="M146" s="78" t="n"/>
      <c r="N146" s="78" t="n"/>
      <c r="O146" s="78" t="n"/>
      <c r="P146" s="78" t="n"/>
      <c r="Q146" s="78" t="n"/>
      <c r="R146" s="78" t="n"/>
      <c r="S146" s="79" t="n"/>
      <c r="T146" s="79" t="n"/>
      <c r="U146" s="79" t="n"/>
      <c r="V146" s="79" t="n"/>
      <c r="W146" s="79" t="n"/>
      <c r="X146" s="79" t="n"/>
      <c r="Y146" s="79" t="n"/>
      <c r="Z146" s="79" t="n"/>
      <c r="AA146" s="79" t="n"/>
      <c r="AB146" s="79" t="n"/>
      <c r="AC146" s="79" t="n"/>
      <c r="AD146" s="79" t="n"/>
      <c r="AE146" s="79" t="n"/>
      <c r="AF146" s="79" t="n"/>
      <c r="AG146" s="79" t="n"/>
      <c r="AH146" s="80" t="n"/>
      <c r="AI146" s="80" t="n"/>
      <c r="AJ146" s="80" t="n"/>
      <c r="AK146" s="80" t="n"/>
      <c r="AL146" s="80" t="n"/>
      <c r="AM146" s="80" t="n"/>
      <c r="AN146" s="80" t="n"/>
      <c r="AO146" s="80" t="n"/>
      <c r="AP146" s="80" t="n"/>
      <c r="AQ146" s="80" t="n"/>
      <c r="AR146" s="80" t="n"/>
      <c r="AS146" s="80" t="n"/>
      <c r="AT146" s="81" t="n"/>
      <c r="AU146" s="81" t="n"/>
      <c r="AV146" s="81" t="n"/>
      <c r="AW146" s="82" t="n"/>
      <c r="AX146" s="82" t="n"/>
      <c r="AY146" s="82" t="n"/>
      <c r="AZ146" s="82" t="n"/>
      <c r="BA146" s="82" t="n"/>
      <c r="BB146" s="83" t="n"/>
      <c r="BC146" s="83" t="n"/>
      <c r="BD146" s="84">
        <f>IF($A146="","",IF($DJ146&lt;&gt;"","FIX",IF($DK146&lt;&gt;"","CHECK","OK")))</f>
        <v/>
      </c>
      <c r="BE146" s="85">
        <f>IF($A146="","",IF($DJ146&lt;&gt;"","FIX: "&amp;LEFT($DJ146,LEN($DJ146)-2)&amp;IF($DK146&lt;&gt;"","  ·  ",""),"")&amp;IF($DK146&lt;&gt;"","CHECK: "&amp;LEFT($DK146,LEN($DK146)-2),""))</f>
        <v/>
      </c>
      <c r="BF146" s="84">
        <f>IF(OR($A146="",$K146=""),"",$K146&amp;"'-"&amp;N($L146)&amp;CHAR(34)&amp;" x "&amp;$M146&amp;"'-"&amp;N($N146)&amp;CHAR(34))</f>
        <v/>
      </c>
      <c r="BG146" s="84">
        <f>IF(OR($A146="",$K146=""),"",$K146&amp;N($L146)&amp;$M146&amp;N($N146))</f>
        <v/>
      </c>
      <c r="BH146" s="84">
        <f>IF(OR($A146="",$K146=""),"",$K146*12+N($L146))</f>
        <v/>
      </c>
      <c r="BI146" s="84">
        <f>IF(OR($A146="",$M146=""),"",$M146*12+N($N146))</f>
        <v/>
      </c>
      <c r="BJ146" s="84">
        <f>IF($A146="","",IF(OR($C146="FRAME ONLY",$S146="BL"),0,IF($O146="Y",2,1)))</f>
        <v/>
      </c>
      <c r="BK146" s="86">
        <f>IF(OR(N($BJ146)=0,$BH146=""),"",($BH146-2*EdgeClr-IF($BJ146=2,MeetClr,0))/$BJ146)</f>
        <v/>
      </c>
      <c r="BL146" s="86">
        <f>IF(OR(N($BJ146)=0,$BI146=""),"",$BI146-HeadClr-Undercut)</f>
        <v/>
      </c>
      <c r="BM146" s="86">
        <f>IF($BH146="","",$BH146+2*FaceW+IF(N($Q146)&gt;0,($Q146+FaceW)*IF($R146="LR",2,1),0))</f>
        <v/>
      </c>
      <c r="BN146" s="86">
        <f>IF($BI146="","",$BI146+IF($AB146="Y",4,FaceW)+IF(N($P146)&gt;0,$P146+FaceW,0)+IF(OR($S146="4F",$S146="BL"),FaceW,0))</f>
        <v/>
      </c>
      <c r="BO146" s="86">
        <f>IF($BM146="","",$BM146+2*ROSide)</f>
        <v/>
      </c>
      <c r="BP146" s="86">
        <f>IF($BN146="","",$BN146+ROTop)</f>
        <v/>
      </c>
      <c r="BQ146" s="87">
        <f>IF(OR(N($BJ146)=0,$BH146=""),"",$BH146/$BJ146-ClearDeduct)</f>
        <v/>
      </c>
      <c r="BR146" s="84">
        <f>IF(N($CH146)=0,"",IF($CH146&gt;=180,"A · 3 HR",IF($CH146&gt;=90,"B · 1-1/2 HR",IF($CH146&gt;=60,"B · 1 HR",IF($CH146&gt;=45,"C · 3/4 HR","20 MIN")))))&amp;IF(AND(N($CH146)&gt;0,OR($I146="CORRIDOR",$I146="SMOKE BARRIER"))," · S","")</f>
        <v/>
      </c>
      <c r="BS146" s="84">
        <f>IF($CS146,"",IF($AV146&lt;&gt;"",$AV146,IF(OR($AC146="HGC",$AO146="HGC"),"CONT",IF(($BI146-HeadClr-Undercut)&lt;=60,2,IF(($BI146-HeadClr-Undercut)&lt;=90,3,IF(($BI146-HeadClr-Undercut)&lt;=120,4,5))))))</f>
        <v/>
      </c>
      <c r="BT146" s="84">
        <f>IF($CS146,"",IF($CT146,"CUSTOM (typed)",IF($CV146,$AT146&amp;" "&amp;$CU146&amp;CHAR(34)&amp;IF($CU146&lt;&gt;$BI146,IF(AND($BI146&lt;$CU146,$BI146-IF(N(VLOOKUP($AT146&amp;"|"&amp;$CU146,LocTable,7,FALSE))&gt;0,VLOOKUP($AT146&amp;"|"&amp;$CU146,LocTable,7,FALSE),VLOOKUP($AT146&amp;"|"&amp;$CU146,LocTable,6,FALSE))-$CR146-0.75&gt;=2.125)," cut down"," adj."),""),"ANSI/SDI A250.6")))</f>
        <v/>
      </c>
      <c r="BU146" s="88">
        <f>IF($CS146,"",IF($CT146,IF(N($AW146)&gt;0,N($AW146),""),IF(1&gt;$CQ146,"",IF($CQ146=1,$CW146,$CW146+($CX146-$CW146)*0/($CQ146-1)))))</f>
        <v/>
      </c>
      <c r="BV146" s="88">
        <f>IF($CS146,"",IF($CT146,IF(N($AX146)&gt;0,N($AX146),""),IF(2&gt;$CQ146,"",IF($CQ146=1,$CW146,$CW146+($CX146-$CW146)*1/($CQ146-1)))))</f>
        <v/>
      </c>
      <c r="BW146" s="88">
        <f>IF($CS146,"",IF($CT146,IF(N($AY146)&gt;0,N($AY146),""),IF(3&gt;$CQ146,"",IF($CQ146=1,$CW146,$CW146+($CX146-$CW146)*2/($CQ146-1)))))</f>
        <v/>
      </c>
      <c r="BX146" s="88">
        <f>IF($CS146,"",IF($CT146,IF(N($AZ146)&gt;0,N($AZ146),""),IF(4&gt;$CQ146,"",IF($CQ146=1,$CW146,$CW146+($CX146-$CW146)*3/($CQ146-1)))))</f>
        <v/>
      </c>
      <c r="BY146" s="88">
        <f>IF($CS146,"",IF($CT146,"",IF(5&gt;$CQ146,"",IF($CQ146=1,$CW146,$CW146+($CX146-$CW146)*4/($CQ146-1)))))</f>
        <v/>
      </c>
      <c r="BZ146" s="88">
        <f>IF(OR($CS146,$AP146="-",AND($AP146="",$AD146="")),"",IF(N($BA146)&gt;0,N($BA146),IF($CV146,IF(AND($BI146&lt;$CU146,$BI146-IF(N(VLOOKUP($AT146&amp;"|"&amp;$CU146,LocTable,7,FALSE))&gt;0,VLOOKUP($AT146&amp;"|"&amp;$CU146,LocTable,7,FALSE),VLOOKUP($AT146&amp;"|"&amp;$CU146,LocTable,6,FALSE))-$CR146-0.75&gt;=2.125),VLOOKUP($AT146&amp;"|"&amp;$CU146,LocTable,8,FALSE),VLOOKUP($AT146&amp;"|"&amp;$CU146,LocTable,8,FALSE)+($BI146-$CU146)),$BI146-LockAFF)))</f>
        <v/>
      </c>
      <c r="CA146" s="89">
        <f>IF($BZ146="","",$BI146-$BZ146)</f>
        <v/>
      </c>
      <c r="CB146" s="84">
        <f>IF(OR(NOT(AND($A146&lt;&gt;"",$C146&lt;&gt;"DOOR ONLY")),$BI146=""),"",IF(($BI146+IF(N($P146)&gt;0,$P146+FaceW,0))&lt;=90,3,IF(($BI146+IF(N($P146)&gt;0,$P146+FaceW,0))&lt;=114,4,5)))</f>
        <v/>
      </c>
      <c r="CC146" s="84">
        <f>IF($CB146="","",$CB146*(2+IF(N($Q146)&gt;0,IF($R146="LR",2,1),0)))</f>
        <v/>
      </c>
      <c r="CD146" s="84">
        <f>IF($CB146="","",(2+IF(N($Q146)&gt;0,IF($R146="LR",2,1),0)))</f>
        <v/>
      </c>
      <c r="CE146" s="84">
        <f>IF(N($BJ146)=0,"",IF(OR($AL146="",$AL146="FLUSH"),"FLUSH",IFERROR(LEFT($AL146,FIND("-",$AL146)-1),LEFT($AL146,2))))</f>
        <v/>
      </c>
      <c r="CF146" s="84">
        <f>IF($CE146="","",IFERROR(VALUE(MID($AL146,FIND("-",$AL146)+1,FIND(CHAR(34)&amp;"x",$AL146)-FIND("-",$AL146)-1)),0))</f>
        <v/>
      </c>
      <c r="CG146" s="84">
        <f>IF($CE146="","",IFERROR(VALUE(MID($AL146,FIND(CHAR(34)&amp;"x",$AL146)+2,FIND(CHAR(34),$AL146,FIND(CHAR(34)&amp;"x",$AL146)+2)-FIND(CHAR(34)&amp;"x",$AL146)-2)),0))</f>
        <v/>
      </c>
      <c r="CH146" s="90">
        <f>IF(OR($A146="",$H146="",$H146="NO LAB"),0,IFERROR(VALUE(LEFT($H146,FIND(" ",$H146)-1)),0))</f>
        <v/>
      </c>
      <c r="CI146" s="91">
        <f>IF(OR($A146="",$I146="",$I146="NON-RATED",N($J146)=0),"",IFERROR(VLOOKUP($I146&amp;"|"&amp;$J146,IBC,2,FALSE),"?"))</f>
        <v/>
      </c>
      <c r="CJ146" s="85">
        <f>IF(NOT(AND($A146&lt;&gt;"",$C146&lt;&gt;"DOOR ONLY")),"",TRIM(IFERROR(VLOOKUP($U146,CODES,2,FALSE),"")&amp;" "&amp;$BG146&amp;" "&amp;IFERROR(VLOOKUP($Z146,CODES,2,FALSE),"")&amp;" "&amp;IFERROR(VLOOKUP($X146,CODES,2,FALSE),"")&amp;" "&amp;IFERROR(VLOOKUP($S146,CODES,2,FALSE),"")&amp;IF(N($P146)&gt;0," w/TRANSOM "&amp;$P146&amp;CHAR(34),"")&amp;IF(N($Q146)&gt;0," w/SIDELITE "&amp;$Q146&amp;CHAR(34)&amp;" "&amp;IF($R146="","R",$R146),"")&amp;IF($Y146="","  |  "," | "&amp;IFERROR(VLOOKUP($Y146,CODES,2,FALSE),"")&amp;" | ")&amp;IFERROR(VLOOKUP($AC146,CODES,2,FALSE),"")&amp;" "&amp;IFERROR(VLOOKUP($AD146,CODES,2,FALSE),"")&amp;IF(OR($AE146="",$AE146="-"),""," "&amp;$AE146)&amp;IF(OR($AF146="",$AF146="-"),""," "&amp;$AF146)&amp;IF($AB146="Y"," 4"&amp;CHAR(34)&amp;" HEAD","")&amp;" "&amp;IFERROR(VLOOKUP($H146,CODES,2,FALSE),"")&amp;IF($CT146," | LOC "&amp;$CY146,"")))</f>
        <v/>
      </c>
      <c r="CK146" s="85">
        <f>IF(NOT(AND($A146&lt;&gt;"",N($BJ146)&gt;0)),"",TRIM(IFERROR(VLOOKUP($AH146,CODES,2,FALSE),"")&amp;IF($AI146=""," "," "&amp;$AI146&amp;"GA ")&amp;$BG146&amp;" "&amp;IF($AN146="",IFERROR(VLOOKUP($Z146,CODES,2,FALSE),""),IFERROR(VLOOKUP($AN146,CODES,2,FALSE),""))&amp;IF($BJ146=2," PAIR","")&amp;" DOOR | "&amp;IF($AL146="","?",$AL146)&amp;" | "&amp;IF($AO146="",IFERROR(VLOOKUP($AC146,CODES,2,FALSE),""),IFERROR(VLOOKUP($AO146,CODES,2,FALSE),""))&amp;" "&amp;IFERROR(VLOOKUP($AP146,CODES,2,FALSE),"")&amp;IF(OR($AQ146="",$AQ146="-"),""," SEAM "&amp;$AQ146)&amp;IF($AR146="Y"," ASTRAGAL","")&amp;IF($AJ146=""," "," "&amp;$AJ146)&amp;IF($AK146=""," "," "&amp;$AK146)&amp;IF(OR($AT146="",$AT146="ANSI/SDI",$AT146="CUSTOM LOC"),""," "&amp;$AT146)&amp;IF($AM146=""," "," SERIES "&amp;$AM146)&amp;" "&amp;IFERROR(VLOOKUP($H146,CODES,2,FALSE),"")&amp;IF($CT146," | LOC "&amp;$CZ146,"")))</f>
        <v/>
      </c>
      <c r="CL146" s="84">
        <f>IF(CP146="","",IF(COUNTIF($CP$6:CP146,CP146)=1,MAX($CL$5:CL145)+1,INDEX($CL$5:CL145,MATCH(CP146,$CP$5:CP145,0))))</f>
        <v/>
      </c>
      <c r="CM146" s="84">
        <f>IF(NOT(AND($A146&lt;&gt;"",$C146&lt;&gt;"DOOR ONLY")),"",MAX($CM$5:CM145)+1)</f>
        <v/>
      </c>
      <c r="CN146" s="84">
        <f>IF(NOT(AND($A146&lt;&gt;"",N($BJ146)&gt;0)),"",MAX($CN$5:CN145)+1)</f>
        <v/>
      </c>
      <c r="CO146" s="84">
        <f>IF($A146="","",MAX($CO$5:CO145)+1)</f>
        <v/>
      </c>
      <c r="CP146" s="84">
        <f>IF(OR($A146="",$BH146="",$BI146=""),"",$BG146&amp;"|"&amp;$O146&amp;"|"&amp;$AL146&amp;"|"&amp;$S146&amp;"|"&amp;$P146&amp;"|"&amp;$Q146&amp;$R146&amp;"|"&amp;$C146&amp;"|"&amp;$AB146)</f>
        <v/>
      </c>
      <c r="CQ146" s="84">
        <f>N($BS146)</f>
        <v/>
      </c>
      <c r="CR146" s="84">
        <f>IF(N($AU146)&gt;0,N($AU146),4.5)</f>
        <v/>
      </c>
      <c r="CS146" s="84">
        <f>OR($A146="",$BI146="",$S146="BL",AND($C146="FRAME ONLY",OR($AC146="",$AC146="BLK")))</f>
        <v/>
      </c>
      <c r="CT146" s="84">
        <f>AND(NOT($CS146),OR($AT146="CUSTOM LOC",N($AW146)+N($AX146)+N($AY146)+N($AZ146)+N($BA146)&gt;0))</f>
        <v/>
      </c>
      <c r="CU146" s="84">
        <f>IF($BI146="","",IF($BI146&lt;=80,80,IF($BI146&lt;=84,84,96)))</f>
        <v/>
      </c>
      <c r="CV146" s="84">
        <f>ISNUMBER(MATCH($AT146&amp;"|80",LocKeys,0))</f>
        <v/>
      </c>
      <c r="CW146" s="86">
        <f>IF($CS146,"",IF($CV146,VLOOKUP($AT146&amp;"|"&amp;$CU146,LocTable,4,FALSE),5))</f>
        <v/>
      </c>
      <c r="CX146" s="86">
        <f>IF($CS146,"",IF($CV146,IF(OR($BI146=$CU146,AND($BI146&lt;$CU146,$BI146-IF(N(VLOOKUP($AT146&amp;"|"&amp;$CU146,LocTable,7,FALSE))&gt;0,VLOOKUP($AT146&amp;"|"&amp;$CU146,LocTable,7,FALSE),VLOOKUP($AT146&amp;"|"&amp;$CU146,LocTable,6,FALSE))-$CR146-0.75&gt;=2.125)),IF(N(VLOOKUP($AT146&amp;"|"&amp;$CU146,LocTable,7,FALSE))&gt;0,VLOOKUP($AT146&amp;"|"&amp;$CU146,LocTable,7,FALSE),VLOOKUP($AT146&amp;"|"&amp;$CU146,LocTable,6,FALSE)),$BI146-($CU146-IF(N(VLOOKUP($AT146&amp;"|"&amp;$CU146,LocTable,7,FALSE))&gt;0,VLOOKUP($AT146&amp;"|"&amp;$CU146,LocTable,7,FALSE),VLOOKUP($AT146&amp;"|"&amp;$CU146,LocTable,6,FALSE)))),$BI146-10-$CR146))</f>
        <v/>
      </c>
      <c r="CY146" s="85">
        <f>IF($CS146,"",TRIM(IF(ISNUMBER($BU146),"A "&amp;TRIM(TEXT($BU146,"# ?/??"))&amp;CHAR(34)&amp;"  ","")&amp;IF(ISNUMBER($BV146),"B "&amp;TRIM(TEXT($BV146,"# ?/??"))&amp;CHAR(34)&amp;"  ","")&amp;IF(ISNUMBER($BW146),"C "&amp;TRIM(TEXT($BW146,"# ?/??"))&amp;CHAR(34)&amp;"  ","")&amp;IF(ISNUMBER($BX146),"D "&amp;TRIM(TEXT($BX146,"# ?/??"))&amp;CHAR(34)&amp;"  ","")&amp;IF(ISNUMBER($BY146),"F "&amp;TRIM(TEXT($BY146,"# ?/??"))&amp;CHAR(34)&amp;"  ","")&amp;IF(ISNUMBER($BZ146),"E "&amp;TRIM(TEXT($BZ146,"# ?/??"))&amp;CHAR(34)&amp;"  ","")))</f>
        <v/>
      </c>
      <c r="CZ146" s="85">
        <f>IF(OR($CS146,N($BJ146)=0),"",TRIM(IF(ISNUMBER($BU146),"A "&amp;TRIM(TEXT($BU146-HeadClr,"# ?/??"))&amp;CHAR(34)&amp;"  ","")&amp;IF(ISNUMBER($BV146),"B "&amp;TRIM(TEXT($BV146-HeadClr,"# ?/??"))&amp;CHAR(34)&amp;"  ","")&amp;IF(ISNUMBER($BW146),"C "&amp;TRIM(TEXT($BW146-HeadClr,"# ?/??"))&amp;CHAR(34)&amp;"  ","")&amp;IF(ISNUMBER($BX146),"D "&amp;TRIM(TEXT($BX146-HeadClr,"# ?/??"))&amp;CHAR(34)&amp;"  ","")&amp;IF(ISNUMBER($BY146),"F "&amp;TRIM(TEXT($BY146-HeadClr,"# ?/??"))&amp;CHAR(34)&amp;"  ","")&amp;IF(ISNUMBER($BZ146),"E "&amp;TRIM(TEXT($BZ146-HeadClr,"# ?/??"))&amp;CHAR(34)&amp;"  ","")))</f>
        <v/>
      </c>
      <c r="DA146" s="84">
        <f>IF($A146="","",IF($AN146="",IFERROR(VLOOKUP($Z146,CODES,2,FALSE),""),IFERROR(VLOOKUP($AN146,CODES,2,FALSE),"")))</f>
        <v/>
      </c>
      <c r="DB146" s="84">
        <f>IF($A146="","",IF($O146="Y","PR",IF(OR($Z146="L",$Z146="RR",LEFT($Z146,2)="L-",LEFT($Z146,3)="RR-"),"LH","RH")))</f>
        <v/>
      </c>
      <c r="DC146" s="84">
        <f>IF($A146="","","S.HM"&amp;IF(OR($C146="DOOR ONLY",$X146&lt;&gt;"KD"),"MASONRY","DRYWALL")&amp;IF($C146="DOOR ONLY","",$U146)&amp;IF(AND($C146&lt;&gt;"FRAME ONLY",OR(LEFT($AH146,3)="OAK",LEFT($AH146,3)="BIR",LEFT($AH146,3)="MAP",$AH146="PC",$AH146="MC",$AH146="SCLC",$AH146="P-LAM")),"WD","HM")&amp;"1.75")</f>
        <v/>
      </c>
      <c r="DD146" s="84">
        <f>IF($CJ146="","",IF($O146="Y",$CJ146,SUBSTITUTE($CJ146,$BG146&amp;" "&amp;IFERROR(VLOOKUP($Z146,CODES,2,FALSE),"")&amp;" ",$BG146&amp;" ")))</f>
        <v/>
      </c>
      <c r="DE146" s="84">
        <f>IF($CK146="","",IF($O146="Y",$CK146,SUBSTITUTE($CK146,$BG146&amp;" "&amp;IF($AN146="",IFERROR(VLOOKUP($Z146,CODES,2,FALSE),""),IFERROR(VLOOKUP($AN146,CODES,2,FALSE),""))&amp;" ",$BG146&amp;" ")))</f>
        <v/>
      </c>
      <c r="DF146" s="84">
        <f>IF($CJ146="","",$DC146&amp;"|"&amp;$DD146&amp;"|"&amp;$DB146&amp;"|"&amp;$AT146&amp;"|"&amp;$V146&amp;"|"&amp;$Y146&amp;"|"&amp;$AB146)</f>
        <v/>
      </c>
      <c r="DG146" s="84">
        <f>IF(DF146="","",IF(COUNTIF($DF$6:DF146,DF146)=1,MAX($DG$5:DG145)+1,INDEX($DG$5:DG145,MATCH(DF146,$DF$5:DF145,0))))</f>
        <v/>
      </c>
      <c r="DH146" s="84">
        <f>IF($CK146="","",$DC146&amp;"|"&amp;$DE146&amp;"|"&amp;$AI146&amp;"|"&amp;$BK146&amp;"|"&amp;$BL146)</f>
        <v/>
      </c>
      <c r="DI146" s="84">
        <f>IF(DH146="","",IF(COUNTIF($DH$6:DH146,DH146)=1,MAX($DI$5:DI145)+1,INDEX($DI$5:DI145,MATCH(DH146,$DH$5:DH145,0))))</f>
        <v/>
      </c>
      <c r="DJ146" s="84">
        <f>IF($A146="","",IF($B146="","qty, ","")&amp;IF($C146="","scope, ","")&amp;IF(OR($K146="",$M146=""),"size, ","")&amp;IF(AND($A146&lt;&gt;"",$C146&lt;&gt;"DOOR ONLY"),IF($U146="","jamb depth, ","")&amp;IF($X146="","construction, ","")&amp;IF($Y146="","anchor, ","")&amp;IF($S146="","frame type, ",""),"")&amp;IF(AND(N($BJ146)&gt;0,$Z146=""),"hand, ","")&amp;IF(N($BJ146)&gt;0,IF($AH146="","door material, ","")&amp;IF($AL146="","face type, ","")&amp;IF($AP146="","lock prep, ","")&amp;IF(AND($AO146="",$AC146=""),"hinge prep, ",""),"")&amp;IF(AND($CH146&gt;0,$AH146="FRP"),"FRP cannot carry a label, ","")&amp;IF(AND($O146="Y",OR($Z146="L",$Z146="R",$Z146="LR",$Z146="RR")),"pair marked but hand is single, ","")&amp;IF(AND($O146&lt;&gt;"Y",OR($Z146="PR",AND(LEN($Z146)&gt;1,ISNUMBER(SEARCH("-",$Z146))))),"pair hand on a single door, ","")&amp;IF(AND(ISNUMBER($CI146),$CH146&lt;N($CI146)),"wall needs a "&amp;$CI146&amp;" min door, ","")&amp;IF(AND($CH146&gt;=180,AND(OR($CE146="FG",$CE146="HG",$CE146="FNV",$CE146="FV"),N($CF146)*N($CG146)&gt;100)),"180 min lite over 100 sq in, ","")&amp;IF(N($BK146)&gt;48,"leaf wider than 4'-0"&amp;CHAR(34)&amp;", ","")&amp;IF(AND($CT146,COUNT($AW146:$AZ146)=0,$CQ146&gt;0),"CUSTOM LOC with no locations typed, ",""))</f>
        <v/>
      </c>
      <c r="DK146" s="84">
        <f>IF($A146="","",IF(AND($CH146&gt;0,AND($A146&lt;&gt;"",$C146&lt;&gt;"DOOR ONLY"),$X146="KD",$E146="EXTERIOR"),"KD label on an exterior opening, ","")&amp;IF(AND($E146="EXTERIOR",OR(AND(AND($A146&lt;&gt;"",$C146&lt;&gt;"DOOR ONLY"),$W146="CR"),AND(N($BJ146)&gt;0,$AH146="CR"))),"exterior in CR steel (G9?), ","")&amp;IF(AND(ISNUMBER($BQ146),N($BQ146)&lt;32),"clear width ~"&amp;TEXT($BQ146,"0.0")&amp;CHAR(34)&amp;" under 32"&amp;CHAR(34)&amp;" (ADA), ","")&amp;IF(AND($CH146=90,AND(OR($CE146="FG",$CE146="HG",$CE146="FNV",$CE146="FV"),N($CF146)*N($CG146)&gt;100)),"90 min lite over 100 sq in (stair/exit), ","")&amp;IF(AND($CH146&gt;0,AND($A146&lt;&gt;"",$C146&lt;&gt;"DOOR ONLY"),OR($AF146="",$AF146="-")),"rated: closer reinf.?, ","")&amp;IF(OR($I146="CORRIDOR",$I146="SMOKE BARRIER"),"S label + smoke gasketing, ","")&amp;IF($CI146="?","wall type/hr not in IBC table, ","")&amp;IF(AND(N($BJ146)&gt;0,$BB146=""),"no hardware set, ","")&amp;IF(AND($BB146&lt;&gt;"",ISNA(MATCH($BB146&amp;"",HWSets,0))),"set "&amp;$BB146&amp;" not on HW Sets, ","")&amp;IF(N($BL146)&gt;96,"leaf over 8'-0"&amp;CHAR(34)&amp;" - check listing, ","")&amp;IF(AND($CT146,COUNT($AW146:$AZ146)&gt;0,COUNT($AW146:$AZ146)&lt;&gt;$CQ146),COUNT($AW146:$AZ146)&amp;" custom hinges typed, "&amp;$CQ146&amp;" expected, ","")&amp;IF(AND(ISNUMBER($CA146),OR(N($CA146)&lt;34,N($CA146)&gt;48)),"lock "&amp;TEXT($CA146,"0.0")&amp;CHAR(34)&amp;" AFF outside 34-48"&amp;CHAR(34)&amp;" (ADA), ","")&amp;IF(AND(ISNUMBER($AV146),ISNUMBER($BL146),N($AV146)&lt;IF(N($BL146)&lt;=60,2,IF(N($BL146)&lt;=90,3,IF(N($BL146)&lt;=120,4,5)))),"fewer hinges than standard, ",""))</f>
        <v/>
      </c>
    </row>
    <row r="147" ht="15" customHeight="1">
      <c r="A147" s="77" t="n"/>
      <c r="B147" s="78" t="n"/>
      <c r="C147" s="78" t="n"/>
      <c r="D147" s="78" t="n"/>
      <c r="E147" s="78" t="n"/>
      <c r="F147" s="78" t="n"/>
      <c r="G147" s="78" t="n"/>
      <c r="H147" s="78" t="n"/>
      <c r="I147" s="78" t="n"/>
      <c r="J147" s="78" t="n"/>
      <c r="K147" s="78" t="n"/>
      <c r="L147" s="78" t="n"/>
      <c r="M147" s="78" t="n"/>
      <c r="N147" s="78" t="n"/>
      <c r="O147" s="78" t="n"/>
      <c r="P147" s="78" t="n"/>
      <c r="Q147" s="78" t="n"/>
      <c r="R147" s="78" t="n"/>
      <c r="S147" s="79" t="n"/>
      <c r="T147" s="79" t="n"/>
      <c r="U147" s="79" t="n"/>
      <c r="V147" s="79" t="n"/>
      <c r="W147" s="79" t="n"/>
      <c r="X147" s="79" t="n"/>
      <c r="Y147" s="79" t="n"/>
      <c r="Z147" s="79" t="n"/>
      <c r="AA147" s="79" t="n"/>
      <c r="AB147" s="79" t="n"/>
      <c r="AC147" s="79" t="n"/>
      <c r="AD147" s="79" t="n"/>
      <c r="AE147" s="79" t="n"/>
      <c r="AF147" s="79" t="n"/>
      <c r="AG147" s="79" t="n"/>
      <c r="AH147" s="80" t="n"/>
      <c r="AI147" s="80" t="n"/>
      <c r="AJ147" s="80" t="n"/>
      <c r="AK147" s="80" t="n"/>
      <c r="AL147" s="80" t="n"/>
      <c r="AM147" s="80" t="n"/>
      <c r="AN147" s="80" t="n"/>
      <c r="AO147" s="80" t="n"/>
      <c r="AP147" s="80" t="n"/>
      <c r="AQ147" s="80" t="n"/>
      <c r="AR147" s="80" t="n"/>
      <c r="AS147" s="80" t="n"/>
      <c r="AT147" s="81" t="n"/>
      <c r="AU147" s="81" t="n"/>
      <c r="AV147" s="81" t="n"/>
      <c r="AW147" s="82" t="n"/>
      <c r="AX147" s="82" t="n"/>
      <c r="AY147" s="82" t="n"/>
      <c r="AZ147" s="82" t="n"/>
      <c r="BA147" s="82" t="n"/>
      <c r="BB147" s="83" t="n"/>
      <c r="BC147" s="83" t="n"/>
      <c r="BD147" s="84">
        <f>IF($A147="","",IF($DJ147&lt;&gt;"","FIX",IF($DK147&lt;&gt;"","CHECK","OK")))</f>
        <v/>
      </c>
      <c r="BE147" s="85">
        <f>IF($A147="","",IF($DJ147&lt;&gt;"","FIX: "&amp;LEFT($DJ147,LEN($DJ147)-2)&amp;IF($DK147&lt;&gt;"","  ·  ",""),"")&amp;IF($DK147&lt;&gt;"","CHECK: "&amp;LEFT($DK147,LEN($DK147)-2),""))</f>
        <v/>
      </c>
      <c r="BF147" s="84">
        <f>IF(OR($A147="",$K147=""),"",$K147&amp;"'-"&amp;N($L147)&amp;CHAR(34)&amp;" x "&amp;$M147&amp;"'-"&amp;N($N147)&amp;CHAR(34))</f>
        <v/>
      </c>
      <c r="BG147" s="84">
        <f>IF(OR($A147="",$K147=""),"",$K147&amp;N($L147)&amp;$M147&amp;N($N147))</f>
        <v/>
      </c>
      <c r="BH147" s="84">
        <f>IF(OR($A147="",$K147=""),"",$K147*12+N($L147))</f>
        <v/>
      </c>
      <c r="BI147" s="84">
        <f>IF(OR($A147="",$M147=""),"",$M147*12+N($N147))</f>
        <v/>
      </c>
      <c r="BJ147" s="84">
        <f>IF($A147="","",IF(OR($C147="FRAME ONLY",$S147="BL"),0,IF($O147="Y",2,1)))</f>
        <v/>
      </c>
      <c r="BK147" s="86">
        <f>IF(OR(N($BJ147)=0,$BH147=""),"",($BH147-2*EdgeClr-IF($BJ147=2,MeetClr,0))/$BJ147)</f>
        <v/>
      </c>
      <c r="BL147" s="86">
        <f>IF(OR(N($BJ147)=0,$BI147=""),"",$BI147-HeadClr-Undercut)</f>
        <v/>
      </c>
      <c r="BM147" s="86">
        <f>IF($BH147="","",$BH147+2*FaceW+IF(N($Q147)&gt;0,($Q147+FaceW)*IF($R147="LR",2,1),0))</f>
        <v/>
      </c>
      <c r="BN147" s="86">
        <f>IF($BI147="","",$BI147+IF($AB147="Y",4,FaceW)+IF(N($P147)&gt;0,$P147+FaceW,0)+IF(OR($S147="4F",$S147="BL"),FaceW,0))</f>
        <v/>
      </c>
      <c r="BO147" s="86">
        <f>IF($BM147="","",$BM147+2*ROSide)</f>
        <v/>
      </c>
      <c r="BP147" s="86">
        <f>IF($BN147="","",$BN147+ROTop)</f>
        <v/>
      </c>
      <c r="BQ147" s="87">
        <f>IF(OR(N($BJ147)=0,$BH147=""),"",$BH147/$BJ147-ClearDeduct)</f>
        <v/>
      </c>
      <c r="BR147" s="84">
        <f>IF(N($CH147)=0,"",IF($CH147&gt;=180,"A · 3 HR",IF($CH147&gt;=90,"B · 1-1/2 HR",IF($CH147&gt;=60,"B · 1 HR",IF($CH147&gt;=45,"C · 3/4 HR","20 MIN")))))&amp;IF(AND(N($CH147)&gt;0,OR($I147="CORRIDOR",$I147="SMOKE BARRIER"))," · S","")</f>
        <v/>
      </c>
      <c r="BS147" s="84">
        <f>IF($CS147,"",IF($AV147&lt;&gt;"",$AV147,IF(OR($AC147="HGC",$AO147="HGC"),"CONT",IF(($BI147-HeadClr-Undercut)&lt;=60,2,IF(($BI147-HeadClr-Undercut)&lt;=90,3,IF(($BI147-HeadClr-Undercut)&lt;=120,4,5))))))</f>
        <v/>
      </c>
      <c r="BT147" s="84">
        <f>IF($CS147,"",IF($CT147,"CUSTOM (typed)",IF($CV147,$AT147&amp;" "&amp;$CU147&amp;CHAR(34)&amp;IF($CU147&lt;&gt;$BI147,IF(AND($BI147&lt;$CU147,$BI147-IF(N(VLOOKUP($AT147&amp;"|"&amp;$CU147,LocTable,7,FALSE))&gt;0,VLOOKUP($AT147&amp;"|"&amp;$CU147,LocTable,7,FALSE),VLOOKUP($AT147&amp;"|"&amp;$CU147,LocTable,6,FALSE))-$CR147-0.75&gt;=2.125)," cut down"," adj."),""),"ANSI/SDI A250.6")))</f>
        <v/>
      </c>
      <c r="BU147" s="88">
        <f>IF($CS147,"",IF($CT147,IF(N($AW147)&gt;0,N($AW147),""),IF(1&gt;$CQ147,"",IF($CQ147=1,$CW147,$CW147+($CX147-$CW147)*0/($CQ147-1)))))</f>
        <v/>
      </c>
      <c r="BV147" s="88">
        <f>IF($CS147,"",IF($CT147,IF(N($AX147)&gt;0,N($AX147),""),IF(2&gt;$CQ147,"",IF($CQ147=1,$CW147,$CW147+($CX147-$CW147)*1/($CQ147-1)))))</f>
        <v/>
      </c>
      <c r="BW147" s="88">
        <f>IF($CS147,"",IF($CT147,IF(N($AY147)&gt;0,N($AY147),""),IF(3&gt;$CQ147,"",IF($CQ147=1,$CW147,$CW147+($CX147-$CW147)*2/($CQ147-1)))))</f>
        <v/>
      </c>
      <c r="BX147" s="88">
        <f>IF($CS147,"",IF($CT147,IF(N($AZ147)&gt;0,N($AZ147),""),IF(4&gt;$CQ147,"",IF($CQ147=1,$CW147,$CW147+($CX147-$CW147)*3/($CQ147-1)))))</f>
        <v/>
      </c>
      <c r="BY147" s="88">
        <f>IF($CS147,"",IF($CT147,"",IF(5&gt;$CQ147,"",IF($CQ147=1,$CW147,$CW147+($CX147-$CW147)*4/($CQ147-1)))))</f>
        <v/>
      </c>
      <c r="BZ147" s="88">
        <f>IF(OR($CS147,$AP147="-",AND($AP147="",$AD147="")),"",IF(N($BA147)&gt;0,N($BA147),IF($CV147,IF(AND($BI147&lt;$CU147,$BI147-IF(N(VLOOKUP($AT147&amp;"|"&amp;$CU147,LocTable,7,FALSE))&gt;0,VLOOKUP($AT147&amp;"|"&amp;$CU147,LocTable,7,FALSE),VLOOKUP($AT147&amp;"|"&amp;$CU147,LocTable,6,FALSE))-$CR147-0.75&gt;=2.125),VLOOKUP($AT147&amp;"|"&amp;$CU147,LocTable,8,FALSE),VLOOKUP($AT147&amp;"|"&amp;$CU147,LocTable,8,FALSE)+($BI147-$CU147)),$BI147-LockAFF)))</f>
        <v/>
      </c>
      <c r="CA147" s="89">
        <f>IF($BZ147="","",$BI147-$BZ147)</f>
        <v/>
      </c>
      <c r="CB147" s="84">
        <f>IF(OR(NOT(AND($A147&lt;&gt;"",$C147&lt;&gt;"DOOR ONLY")),$BI147=""),"",IF(($BI147+IF(N($P147)&gt;0,$P147+FaceW,0))&lt;=90,3,IF(($BI147+IF(N($P147)&gt;0,$P147+FaceW,0))&lt;=114,4,5)))</f>
        <v/>
      </c>
      <c r="CC147" s="84">
        <f>IF($CB147="","",$CB147*(2+IF(N($Q147)&gt;0,IF($R147="LR",2,1),0)))</f>
        <v/>
      </c>
      <c r="CD147" s="84">
        <f>IF($CB147="","",(2+IF(N($Q147)&gt;0,IF($R147="LR",2,1),0)))</f>
        <v/>
      </c>
      <c r="CE147" s="84">
        <f>IF(N($BJ147)=0,"",IF(OR($AL147="",$AL147="FLUSH"),"FLUSH",IFERROR(LEFT($AL147,FIND("-",$AL147)-1),LEFT($AL147,2))))</f>
        <v/>
      </c>
      <c r="CF147" s="84">
        <f>IF($CE147="","",IFERROR(VALUE(MID($AL147,FIND("-",$AL147)+1,FIND(CHAR(34)&amp;"x",$AL147)-FIND("-",$AL147)-1)),0))</f>
        <v/>
      </c>
      <c r="CG147" s="84">
        <f>IF($CE147="","",IFERROR(VALUE(MID($AL147,FIND(CHAR(34)&amp;"x",$AL147)+2,FIND(CHAR(34),$AL147,FIND(CHAR(34)&amp;"x",$AL147)+2)-FIND(CHAR(34)&amp;"x",$AL147)-2)),0))</f>
        <v/>
      </c>
      <c r="CH147" s="90">
        <f>IF(OR($A147="",$H147="",$H147="NO LAB"),0,IFERROR(VALUE(LEFT($H147,FIND(" ",$H147)-1)),0))</f>
        <v/>
      </c>
      <c r="CI147" s="91">
        <f>IF(OR($A147="",$I147="",$I147="NON-RATED",N($J147)=0),"",IFERROR(VLOOKUP($I147&amp;"|"&amp;$J147,IBC,2,FALSE),"?"))</f>
        <v/>
      </c>
      <c r="CJ147" s="85">
        <f>IF(NOT(AND($A147&lt;&gt;"",$C147&lt;&gt;"DOOR ONLY")),"",TRIM(IFERROR(VLOOKUP($U147,CODES,2,FALSE),"")&amp;" "&amp;$BG147&amp;" "&amp;IFERROR(VLOOKUP($Z147,CODES,2,FALSE),"")&amp;" "&amp;IFERROR(VLOOKUP($X147,CODES,2,FALSE),"")&amp;" "&amp;IFERROR(VLOOKUP($S147,CODES,2,FALSE),"")&amp;IF(N($P147)&gt;0," w/TRANSOM "&amp;$P147&amp;CHAR(34),"")&amp;IF(N($Q147)&gt;0," w/SIDELITE "&amp;$Q147&amp;CHAR(34)&amp;" "&amp;IF($R147="","R",$R147),"")&amp;IF($Y147="","  |  "," | "&amp;IFERROR(VLOOKUP($Y147,CODES,2,FALSE),"")&amp;" | ")&amp;IFERROR(VLOOKUP($AC147,CODES,2,FALSE),"")&amp;" "&amp;IFERROR(VLOOKUP($AD147,CODES,2,FALSE),"")&amp;IF(OR($AE147="",$AE147="-"),""," "&amp;$AE147)&amp;IF(OR($AF147="",$AF147="-"),""," "&amp;$AF147)&amp;IF($AB147="Y"," 4"&amp;CHAR(34)&amp;" HEAD","")&amp;" "&amp;IFERROR(VLOOKUP($H147,CODES,2,FALSE),"")&amp;IF($CT147," | LOC "&amp;$CY147,"")))</f>
        <v/>
      </c>
      <c r="CK147" s="85">
        <f>IF(NOT(AND($A147&lt;&gt;"",N($BJ147)&gt;0)),"",TRIM(IFERROR(VLOOKUP($AH147,CODES,2,FALSE),"")&amp;IF($AI147=""," "," "&amp;$AI147&amp;"GA ")&amp;$BG147&amp;" "&amp;IF($AN147="",IFERROR(VLOOKUP($Z147,CODES,2,FALSE),""),IFERROR(VLOOKUP($AN147,CODES,2,FALSE),""))&amp;IF($BJ147=2," PAIR","")&amp;" DOOR | "&amp;IF($AL147="","?",$AL147)&amp;" | "&amp;IF($AO147="",IFERROR(VLOOKUP($AC147,CODES,2,FALSE),""),IFERROR(VLOOKUP($AO147,CODES,2,FALSE),""))&amp;" "&amp;IFERROR(VLOOKUP($AP147,CODES,2,FALSE),"")&amp;IF(OR($AQ147="",$AQ147="-"),""," SEAM "&amp;$AQ147)&amp;IF($AR147="Y"," ASTRAGAL","")&amp;IF($AJ147=""," "," "&amp;$AJ147)&amp;IF($AK147=""," "," "&amp;$AK147)&amp;IF(OR($AT147="",$AT147="ANSI/SDI",$AT147="CUSTOM LOC"),""," "&amp;$AT147)&amp;IF($AM147=""," "," SERIES "&amp;$AM147)&amp;" "&amp;IFERROR(VLOOKUP($H147,CODES,2,FALSE),"")&amp;IF($CT147," | LOC "&amp;$CZ147,"")))</f>
        <v/>
      </c>
      <c r="CL147" s="84">
        <f>IF(CP147="","",IF(COUNTIF($CP$6:CP147,CP147)=1,MAX($CL$5:CL146)+1,INDEX($CL$5:CL146,MATCH(CP147,$CP$5:CP146,0))))</f>
        <v/>
      </c>
      <c r="CM147" s="84">
        <f>IF(NOT(AND($A147&lt;&gt;"",$C147&lt;&gt;"DOOR ONLY")),"",MAX($CM$5:CM146)+1)</f>
        <v/>
      </c>
      <c r="CN147" s="84">
        <f>IF(NOT(AND($A147&lt;&gt;"",N($BJ147)&gt;0)),"",MAX($CN$5:CN146)+1)</f>
        <v/>
      </c>
      <c r="CO147" s="84">
        <f>IF($A147="","",MAX($CO$5:CO146)+1)</f>
        <v/>
      </c>
      <c r="CP147" s="84">
        <f>IF(OR($A147="",$BH147="",$BI147=""),"",$BG147&amp;"|"&amp;$O147&amp;"|"&amp;$AL147&amp;"|"&amp;$S147&amp;"|"&amp;$P147&amp;"|"&amp;$Q147&amp;$R147&amp;"|"&amp;$C147&amp;"|"&amp;$AB147)</f>
        <v/>
      </c>
      <c r="CQ147" s="84">
        <f>N($BS147)</f>
        <v/>
      </c>
      <c r="CR147" s="84">
        <f>IF(N($AU147)&gt;0,N($AU147),4.5)</f>
        <v/>
      </c>
      <c r="CS147" s="84">
        <f>OR($A147="",$BI147="",$S147="BL",AND($C147="FRAME ONLY",OR($AC147="",$AC147="BLK")))</f>
        <v/>
      </c>
      <c r="CT147" s="84">
        <f>AND(NOT($CS147),OR($AT147="CUSTOM LOC",N($AW147)+N($AX147)+N($AY147)+N($AZ147)+N($BA147)&gt;0))</f>
        <v/>
      </c>
      <c r="CU147" s="84">
        <f>IF($BI147="","",IF($BI147&lt;=80,80,IF($BI147&lt;=84,84,96)))</f>
        <v/>
      </c>
      <c r="CV147" s="84">
        <f>ISNUMBER(MATCH($AT147&amp;"|80",LocKeys,0))</f>
        <v/>
      </c>
      <c r="CW147" s="86">
        <f>IF($CS147,"",IF($CV147,VLOOKUP($AT147&amp;"|"&amp;$CU147,LocTable,4,FALSE),5))</f>
        <v/>
      </c>
      <c r="CX147" s="86">
        <f>IF($CS147,"",IF($CV147,IF(OR($BI147=$CU147,AND($BI147&lt;$CU147,$BI147-IF(N(VLOOKUP($AT147&amp;"|"&amp;$CU147,LocTable,7,FALSE))&gt;0,VLOOKUP($AT147&amp;"|"&amp;$CU147,LocTable,7,FALSE),VLOOKUP($AT147&amp;"|"&amp;$CU147,LocTable,6,FALSE))-$CR147-0.75&gt;=2.125)),IF(N(VLOOKUP($AT147&amp;"|"&amp;$CU147,LocTable,7,FALSE))&gt;0,VLOOKUP($AT147&amp;"|"&amp;$CU147,LocTable,7,FALSE),VLOOKUP($AT147&amp;"|"&amp;$CU147,LocTable,6,FALSE)),$BI147-($CU147-IF(N(VLOOKUP($AT147&amp;"|"&amp;$CU147,LocTable,7,FALSE))&gt;0,VLOOKUP($AT147&amp;"|"&amp;$CU147,LocTable,7,FALSE),VLOOKUP($AT147&amp;"|"&amp;$CU147,LocTable,6,FALSE)))),$BI147-10-$CR147))</f>
        <v/>
      </c>
      <c r="CY147" s="85">
        <f>IF($CS147,"",TRIM(IF(ISNUMBER($BU147),"A "&amp;TRIM(TEXT($BU147,"# ?/??"))&amp;CHAR(34)&amp;"  ","")&amp;IF(ISNUMBER($BV147),"B "&amp;TRIM(TEXT($BV147,"# ?/??"))&amp;CHAR(34)&amp;"  ","")&amp;IF(ISNUMBER($BW147),"C "&amp;TRIM(TEXT($BW147,"# ?/??"))&amp;CHAR(34)&amp;"  ","")&amp;IF(ISNUMBER($BX147),"D "&amp;TRIM(TEXT($BX147,"# ?/??"))&amp;CHAR(34)&amp;"  ","")&amp;IF(ISNUMBER($BY147),"F "&amp;TRIM(TEXT($BY147,"# ?/??"))&amp;CHAR(34)&amp;"  ","")&amp;IF(ISNUMBER($BZ147),"E "&amp;TRIM(TEXT($BZ147,"# ?/??"))&amp;CHAR(34)&amp;"  ","")))</f>
        <v/>
      </c>
      <c r="CZ147" s="85">
        <f>IF(OR($CS147,N($BJ147)=0),"",TRIM(IF(ISNUMBER($BU147),"A "&amp;TRIM(TEXT($BU147-HeadClr,"# ?/??"))&amp;CHAR(34)&amp;"  ","")&amp;IF(ISNUMBER($BV147),"B "&amp;TRIM(TEXT($BV147-HeadClr,"# ?/??"))&amp;CHAR(34)&amp;"  ","")&amp;IF(ISNUMBER($BW147),"C "&amp;TRIM(TEXT($BW147-HeadClr,"# ?/??"))&amp;CHAR(34)&amp;"  ","")&amp;IF(ISNUMBER($BX147),"D "&amp;TRIM(TEXT($BX147-HeadClr,"# ?/??"))&amp;CHAR(34)&amp;"  ","")&amp;IF(ISNUMBER($BY147),"F "&amp;TRIM(TEXT($BY147-HeadClr,"# ?/??"))&amp;CHAR(34)&amp;"  ","")&amp;IF(ISNUMBER($BZ147),"E "&amp;TRIM(TEXT($BZ147-HeadClr,"# ?/??"))&amp;CHAR(34)&amp;"  ","")))</f>
        <v/>
      </c>
      <c r="DA147" s="84">
        <f>IF($A147="","",IF($AN147="",IFERROR(VLOOKUP($Z147,CODES,2,FALSE),""),IFERROR(VLOOKUP($AN147,CODES,2,FALSE),"")))</f>
        <v/>
      </c>
      <c r="DB147" s="84">
        <f>IF($A147="","",IF($O147="Y","PR",IF(OR($Z147="L",$Z147="RR",LEFT($Z147,2)="L-",LEFT($Z147,3)="RR-"),"LH","RH")))</f>
        <v/>
      </c>
      <c r="DC147" s="84">
        <f>IF($A147="","","S.HM"&amp;IF(OR($C147="DOOR ONLY",$X147&lt;&gt;"KD"),"MASONRY","DRYWALL")&amp;IF($C147="DOOR ONLY","",$U147)&amp;IF(AND($C147&lt;&gt;"FRAME ONLY",OR(LEFT($AH147,3)="OAK",LEFT($AH147,3)="BIR",LEFT($AH147,3)="MAP",$AH147="PC",$AH147="MC",$AH147="SCLC",$AH147="P-LAM")),"WD","HM")&amp;"1.75")</f>
        <v/>
      </c>
      <c r="DD147" s="84">
        <f>IF($CJ147="","",IF($O147="Y",$CJ147,SUBSTITUTE($CJ147,$BG147&amp;" "&amp;IFERROR(VLOOKUP($Z147,CODES,2,FALSE),"")&amp;" ",$BG147&amp;" ")))</f>
        <v/>
      </c>
      <c r="DE147" s="84">
        <f>IF($CK147="","",IF($O147="Y",$CK147,SUBSTITUTE($CK147,$BG147&amp;" "&amp;IF($AN147="",IFERROR(VLOOKUP($Z147,CODES,2,FALSE),""),IFERROR(VLOOKUP($AN147,CODES,2,FALSE),""))&amp;" ",$BG147&amp;" ")))</f>
        <v/>
      </c>
      <c r="DF147" s="84">
        <f>IF($CJ147="","",$DC147&amp;"|"&amp;$DD147&amp;"|"&amp;$DB147&amp;"|"&amp;$AT147&amp;"|"&amp;$V147&amp;"|"&amp;$Y147&amp;"|"&amp;$AB147)</f>
        <v/>
      </c>
      <c r="DG147" s="84">
        <f>IF(DF147="","",IF(COUNTIF($DF$6:DF147,DF147)=1,MAX($DG$5:DG146)+1,INDEX($DG$5:DG146,MATCH(DF147,$DF$5:DF146,0))))</f>
        <v/>
      </c>
      <c r="DH147" s="84">
        <f>IF($CK147="","",$DC147&amp;"|"&amp;$DE147&amp;"|"&amp;$AI147&amp;"|"&amp;$BK147&amp;"|"&amp;$BL147)</f>
        <v/>
      </c>
      <c r="DI147" s="84">
        <f>IF(DH147="","",IF(COUNTIF($DH$6:DH147,DH147)=1,MAX($DI$5:DI146)+1,INDEX($DI$5:DI146,MATCH(DH147,$DH$5:DH146,0))))</f>
        <v/>
      </c>
      <c r="DJ147" s="84">
        <f>IF($A147="","",IF($B147="","qty, ","")&amp;IF($C147="","scope, ","")&amp;IF(OR($K147="",$M147=""),"size, ","")&amp;IF(AND($A147&lt;&gt;"",$C147&lt;&gt;"DOOR ONLY"),IF($U147="","jamb depth, ","")&amp;IF($X147="","construction, ","")&amp;IF($Y147="","anchor, ","")&amp;IF($S147="","frame type, ",""),"")&amp;IF(AND(N($BJ147)&gt;0,$Z147=""),"hand, ","")&amp;IF(N($BJ147)&gt;0,IF($AH147="","door material, ","")&amp;IF($AL147="","face type, ","")&amp;IF($AP147="","lock prep, ","")&amp;IF(AND($AO147="",$AC147=""),"hinge prep, ",""),"")&amp;IF(AND($CH147&gt;0,$AH147="FRP"),"FRP cannot carry a label, ","")&amp;IF(AND($O147="Y",OR($Z147="L",$Z147="R",$Z147="LR",$Z147="RR")),"pair marked but hand is single, ","")&amp;IF(AND($O147&lt;&gt;"Y",OR($Z147="PR",AND(LEN($Z147)&gt;1,ISNUMBER(SEARCH("-",$Z147))))),"pair hand on a single door, ","")&amp;IF(AND(ISNUMBER($CI147),$CH147&lt;N($CI147)),"wall needs a "&amp;$CI147&amp;" min door, ","")&amp;IF(AND($CH147&gt;=180,AND(OR($CE147="FG",$CE147="HG",$CE147="FNV",$CE147="FV"),N($CF147)*N($CG147)&gt;100)),"180 min lite over 100 sq in, ","")&amp;IF(N($BK147)&gt;48,"leaf wider than 4'-0"&amp;CHAR(34)&amp;", ","")&amp;IF(AND($CT147,COUNT($AW147:$AZ147)=0,$CQ147&gt;0),"CUSTOM LOC with no locations typed, ",""))</f>
        <v/>
      </c>
      <c r="DK147" s="84">
        <f>IF($A147="","",IF(AND($CH147&gt;0,AND($A147&lt;&gt;"",$C147&lt;&gt;"DOOR ONLY"),$X147="KD",$E147="EXTERIOR"),"KD label on an exterior opening, ","")&amp;IF(AND($E147="EXTERIOR",OR(AND(AND($A147&lt;&gt;"",$C147&lt;&gt;"DOOR ONLY"),$W147="CR"),AND(N($BJ147)&gt;0,$AH147="CR"))),"exterior in CR steel (G9?), ","")&amp;IF(AND(ISNUMBER($BQ147),N($BQ147)&lt;32),"clear width ~"&amp;TEXT($BQ147,"0.0")&amp;CHAR(34)&amp;" under 32"&amp;CHAR(34)&amp;" (ADA), ","")&amp;IF(AND($CH147=90,AND(OR($CE147="FG",$CE147="HG",$CE147="FNV",$CE147="FV"),N($CF147)*N($CG147)&gt;100)),"90 min lite over 100 sq in (stair/exit), ","")&amp;IF(AND($CH147&gt;0,AND($A147&lt;&gt;"",$C147&lt;&gt;"DOOR ONLY"),OR($AF147="",$AF147="-")),"rated: closer reinf.?, ","")&amp;IF(OR($I147="CORRIDOR",$I147="SMOKE BARRIER"),"S label + smoke gasketing, ","")&amp;IF($CI147="?","wall type/hr not in IBC table, ","")&amp;IF(AND(N($BJ147)&gt;0,$BB147=""),"no hardware set, ","")&amp;IF(AND($BB147&lt;&gt;"",ISNA(MATCH($BB147&amp;"",HWSets,0))),"set "&amp;$BB147&amp;" not on HW Sets, ","")&amp;IF(N($BL147)&gt;96,"leaf over 8'-0"&amp;CHAR(34)&amp;" - check listing, ","")&amp;IF(AND($CT147,COUNT($AW147:$AZ147)&gt;0,COUNT($AW147:$AZ147)&lt;&gt;$CQ147),COUNT($AW147:$AZ147)&amp;" custom hinges typed, "&amp;$CQ147&amp;" expected, ","")&amp;IF(AND(ISNUMBER($CA147),OR(N($CA147)&lt;34,N($CA147)&gt;48)),"lock "&amp;TEXT($CA147,"0.0")&amp;CHAR(34)&amp;" AFF outside 34-48"&amp;CHAR(34)&amp;" (ADA), ","")&amp;IF(AND(ISNUMBER($AV147),ISNUMBER($BL147),N($AV147)&lt;IF(N($BL147)&lt;=60,2,IF(N($BL147)&lt;=90,3,IF(N($BL147)&lt;=120,4,5)))),"fewer hinges than standard, ",""))</f>
        <v/>
      </c>
    </row>
    <row r="148" ht="15" customHeight="1">
      <c r="A148" s="77" t="n"/>
      <c r="B148" s="78" t="n"/>
      <c r="C148" s="78" t="n"/>
      <c r="D148" s="78" t="n"/>
      <c r="E148" s="78" t="n"/>
      <c r="F148" s="78" t="n"/>
      <c r="G148" s="78" t="n"/>
      <c r="H148" s="78" t="n"/>
      <c r="I148" s="78" t="n"/>
      <c r="J148" s="78" t="n"/>
      <c r="K148" s="78" t="n"/>
      <c r="L148" s="78" t="n"/>
      <c r="M148" s="78" t="n"/>
      <c r="N148" s="78" t="n"/>
      <c r="O148" s="78" t="n"/>
      <c r="P148" s="78" t="n"/>
      <c r="Q148" s="78" t="n"/>
      <c r="R148" s="78" t="n"/>
      <c r="S148" s="79" t="n"/>
      <c r="T148" s="79" t="n"/>
      <c r="U148" s="79" t="n"/>
      <c r="V148" s="79" t="n"/>
      <c r="W148" s="79" t="n"/>
      <c r="X148" s="79" t="n"/>
      <c r="Y148" s="79" t="n"/>
      <c r="Z148" s="79" t="n"/>
      <c r="AA148" s="79" t="n"/>
      <c r="AB148" s="79" t="n"/>
      <c r="AC148" s="79" t="n"/>
      <c r="AD148" s="79" t="n"/>
      <c r="AE148" s="79" t="n"/>
      <c r="AF148" s="79" t="n"/>
      <c r="AG148" s="79" t="n"/>
      <c r="AH148" s="80" t="n"/>
      <c r="AI148" s="80" t="n"/>
      <c r="AJ148" s="80" t="n"/>
      <c r="AK148" s="80" t="n"/>
      <c r="AL148" s="80" t="n"/>
      <c r="AM148" s="80" t="n"/>
      <c r="AN148" s="80" t="n"/>
      <c r="AO148" s="80" t="n"/>
      <c r="AP148" s="80" t="n"/>
      <c r="AQ148" s="80" t="n"/>
      <c r="AR148" s="80" t="n"/>
      <c r="AS148" s="80" t="n"/>
      <c r="AT148" s="81" t="n"/>
      <c r="AU148" s="81" t="n"/>
      <c r="AV148" s="81" t="n"/>
      <c r="AW148" s="82" t="n"/>
      <c r="AX148" s="82" t="n"/>
      <c r="AY148" s="82" t="n"/>
      <c r="AZ148" s="82" t="n"/>
      <c r="BA148" s="82" t="n"/>
      <c r="BB148" s="83" t="n"/>
      <c r="BC148" s="83" t="n"/>
      <c r="BD148" s="84">
        <f>IF($A148="","",IF($DJ148&lt;&gt;"","FIX",IF($DK148&lt;&gt;"","CHECK","OK")))</f>
        <v/>
      </c>
      <c r="BE148" s="85">
        <f>IF($A148="","",IF($DJ148&lt;&gt;"","FIX: "&amp;LEFT($DJ148,LEN($DJ148)-2)&amp;IF($DK148&lt;&gt;"","  ·  ",""),"")&amp;IF($DK148&lt;&gt;"","CHECK: "&amp;LEFT($DK148,LEN($DK148)-2),""))</f>
        <v/>
      </c>
      <c r="BF148" s="84">
        <f>IF(OR($A148="",$K148=""),"",$K148&amp;"'-"&amp;N($L148)&amp;CHAR(34)&amp;" x "&amp;$M148&amp;"'-"&amp;N($N148)&amp;CHAR(34))</f>
        <v/>
      </c>
      <c r="BG148" s="84">
        <f>IF(OR($A148="",$K148=""),"",$K148&amp;N($L148)&amp;$M148&amp;N($N148))</f>
        <v/>
      </c>
      <c r="BH148" s="84">
        <f>IF(OR($A148="",$K148=""),"",$K148*12+N($L148))</f>
        <v/>
      </c>
      <c r="BI148" s="84">
        <f>IF(OR($A148="",$M148=""),"",$M148*12+N($N148))</f>
        <v/>
      </c>
      <c r="BJ148" s="84">
        <f>IF($A148="","",IF(OR($C148="FRAME ONLY",$S148="BL"),0,IF($O148="Y",2,1)))</f>
        <v/>
      </c>
      <c r="BK148" s="86">
        <f>IF(OR(N($BJ148)=0,$BH148=""),"",($BH148-2*EdgeClr-IF($BJ148=2,MeetClr,0))/$BJ148)</f>
        <v/>
      </c>
      <c r="BL148" s="86">
        <f>IF(OR(N($BJ148)=0,$BI148=""),"",$BI148-HeadClr-Undercut)</f>
        <v/>
      </c>
      <c r="BM148" s="86">
        <f>IF($BH148="","",$BH148+2*FaceW+IF(N($Q148)&gt;0,($Q148+FaceW)*IF($R148="LR",2,1),0))</f>
        <v/>
      </c>
      <c r="BN148" s="86">
        <f>IF($BI148="","",$BI148+IF($AB148="Y",4,FaceW)+IF(N($P148)&gt;0,$P148+FaceW,0)+IF(OR($S148="4F",$S148="BL"),FaceW,0))</f>
        <v/>
      </c>
      <c r="BO148" s="86">
        <f>IF($BM148="","",$BM148+2*ROSide)</f>
        <v/>
      </c>
      <c r="BP148" s="86">
        <f>IF($BN148="","",$BN148+ROTop)</f>
        <v/>
      </c>
      <c r="BQ148" s="87">
        <f>IF(OR(N($BJ148)=0,$BH148=""),"",$BH148/$BJ148-ClearDeduct)</f>
        <v/>
      </c>
      <c r="BR148" s="84">
        <f>IF(N($CH148)=0,"",IF($CH148&gt;=180,"A · 3 HR",IF($CH148&gt;=90,"B · 1-1/2 HR",IF($CH148&gt;=60,"B · 1 HR",IF($CH148&gt;=45,"C · 3/4 HR","20 MIN")))))&amp;IF(AND(N($CH148)&gt;0,OR($I148="CORRIDOR",$I148="SMOKE BARRIER"))," · S","")</f>
        <v/>
      </c>
      <c r="BS148" s="84">
        <f>IF($CS148,"",IF($AV148&lt;&gt;"",$AV148,IF(OR($AC148="HGC",$AO148="HGC"),"CONT",IF(($BI148-HeadClr-Undercut)&lt;=60,2,IF(($BI148-HeadClr-Undercut)&lt;=90,3,IF(($BI148-HeadClr-Undercut)&lt;=120,4,5))))))</f>
        <v/>
      </c>
      <c r="BT148" s="84">
        <f>IF($CS148,"",IF($CT148,"CUSTOM (typed)",IF($CV148,$AT148&amp;" "&amp;$CU148&amp;CHAR(34)&amp;IF($CU148&lt;&gt;$BI148,IF(AND($BI148&lt;$CU148,$BI148-IF(N(VLOOKUP($AT148&amp;"|"&amp;$CU148,LocTable,7,FALSE))&gt;0,VLOOKUP($AT148&amp;"|"&amp;$CU148,LocTable,7,FALSE),VLOOKUP($AT148&amp;"|"&amp;$CU148,LocTable,6,FALSE))-$CR148-0.75&gt;=2.125)," cut down"," adj."),""),"ANSI/SDI A250.6")))</f>
        <v/>
      </c>
      <c r="BU148" s="88">
        <f>IF($CS148,"",IF($CT148,IF(N($AW148)&gt;0,N($AW148),""),IF(1&gt;$CQ148,"",IF($CQ148=1,$CW148,$CW148+($CX148-$CW148)*0/($CQ148-1)))))</f>
        <v/>
      </c>
      <c r="BV148" s="88">
        <f>IF($CS148,"",IF($CT148,IF(N($AX148)&gt;0,N($AX148),""),IF(2&gt;$CQ148,"",IF($CQ148=1,$CW148,$CW148+($CX148-$CW148)*1/($CQ148-1)))))</f>
        <v/>
      </c>
      <c r="BW148" s="88">
        <f>IF($CS148,"",IF($CT148,IF(N($AY148)&gt;0,N($AY148),""),IF(3&gt;$CQ148,"",IF($CQ148=1,$CW148,$CW148+($CX148-$CW148)*2/($CQ148-1)))))</f>
        <v/>
      </c>
      <c r="BX148" s="88">
        <f>IF($CS148,"",IF($CT148,IF(N($AZ148)&gt;0,N($AZ148),""),IF(4&gt;$CQ148,"",IF($CQ148=1,$CW148,$CW148+($CX148-$CW148)*3/($CQ148-1)))))</f>
        <v/>
      </c>
      <c r="BY148" s="88">
        <f>IF($CS148,"",IF($CT148,"",IF(5&gt;$CQ148,"",IF($CQ148=1,$CW148,$CW148+($CX148-$CW148)*4/($CQ148-1)))))</f>
        <v/>
      </c>
      <c r="BZ148" s="88">
        <f>IF(OR($CS148,$AP148="-",AND($AP148="",$AD148="")),"",IF(N($BA148)&gt;0,N($BA148),IF($CV148,IF(AND($BI148&lt;$CU148,$BI148-IF(N(VLOOKUP($AT148&amp;"|"&amp;$CU148,LocTable,7,FALSE))&gt;0,VLOOKUP($AT148&amp;"|"&amp;$CU148,LocTable,7,FALSE),VLOOKUP($AT148&amp;"|"&amp;$CU148,LocTable,6,FALSE))-$CR148-0.75&gt;=2.125),VLOOKUP($AT148&amp;"|"&amp;$CU148,LocTable,8,FALSE),VLOOKUP($AT148&amp;"|"&amp;$CU148,LocTable,8,FALSE)+($BI148-$CU148)),$BI148-LockAFF)))</f>
        <v/>
      </c>
      <c r="CA148" s="89">
        <f>IF($BZ148="","",$BI148-$BZ148)</f>
        <v/>
      </c>
      <c r="CB148" s="84">
        <f>IF(OR(NOT(AND($A148&lt;&gt;"",$C148&lt;&gt;"DOOR ONLY")),$BI148=""),"",IF(($BI148+IF(N($P148)&gt;0,$P148+FaceW,0))&lt;=90,3,IF(($BI148+IF(N($P148)&gt;0,$P148+FaceW,0))&lt;=114,4,5)))</f>
        <v/>
      </c>
      <c r="CC148" s="84">
        <f>IF($CB148="","",$CB148*(2+IF(N($Q148)&gt;0,IF($R148="LR",2,1),0)))</f>
        <v/>
      </c>
      <c r="CD148" s="84">
        <f>IF($CB148="","",(2+IF(N($Q148)&gt;0,IF($R148="LR",2,1),0)))</f>
        <v/>
      </c>
      <c r="CE148" s="84">
        <f>IF(N($BJ148)=0,"",IF(OR($AL148="",$AL148="FLUSH"),"FLUSH",IFERROR(LEFT($AL148,FIND("-",$AL148)-1),LEFT($AL148,2))))</f>
        <v/>
      </c>
      <c r="CF148" s="84">
        <f>IF($CE148="","",IFERROR(VALUE(MID($AL148,FIND("-",$AL148)+1,FIND(CHAR(34)&amp;"x",$AL148)-FIND("-",$AL148)-1)),0))</f>
        <v/>
      </c>
      <c r="CG148" s="84">
        <f>IF($CE148="","",IFERROR(VALUE(MID($AL148,FIND(CHAR(34)&amp;"x",$AL148)+2,FIND(CHAR(34),$AL148,FIND(CHAR(34)&amp;"x",$AL148)+2)-FIND(CHAR(34)&amp;"x",$AL148)-2)),0))</f>
        <v/>
      </c>
      <c r="CH148" s="90">
        <f>IF(OR($A148="",$H148="",$H148="NO LAB"),0,IFERROR(VALUE(LEFT($H148,FIND(" ",$H148)-1)),0))</f>
        <v/>
      </c>
      <c r="CI148" s="91">
        <f>IF(OR($A148="",$I148="",$I148="NON-RATED",N($J148)=0),"",IFERROR(VLOOKUP($I148&amp;"|"&amp;$J148,IBC,2,FALSE),"?"))</f>
        <v/>
      </c>
      <c r="CJ148" s="85">
        <f>IF(NOT(AND($A148&lt;&gt;"",$C148&lt;&gt;"DOOR ONLY")),"",TRIM(IFERROR(VLOOKUP($U148,CODES,2,FALSE),"")&amp;" "&amp;$BG148&amp;" "&amp;IFERROR(VLOOKUP($Z148,CODES,2,FALSE),"")&amp;" "&amp;IFERROR(VLOOKUP($X148,CODES,2,FALSE),"")&amp;" "&amp;IFERROR(VLOOKUP($S148,CODES,2,FALSE),"")&amp;IF(N($P148)&gt;0," w/TRANSOM "&amp;$P148&amp;CHAR(34),"")&amp;IF(N($Q148)&gt;0," w/SIDELITE "&amp;$Q148&amp;CHAR(34)&amp;" "&amp;IF($R148="","R",$R148),"")&amp;IF($Y148="","  |  "," | "&amp;IFERROR(VLOOKUP($Y148,CODES,2,FALSE),"")&amp;" | ")&amp;IFERROR(VLOOKUP($AC148,CODES,2,FALSE),"")&amp;" "&amp;IFERROR(VLOOKUP($AD148,CODES,2,FALSE),"")&amp;IF(OR($AE148="",$AE148="-"),""," "&amp;$AE148)&amp;IF(OR($AF148="",$AF148="-"),""," "&amp;$AF148)&amp;IF($AB148="Y"," 4"&amp;CHAR(34)&amp;" HEAD","")&amp;" "&amp;IFERROR(VLOOKUP($H148,CODES,2,FALSE),"")&amp;IF($CT148," | LOC "&amp;$CY148,"")))</f>
        <v/>
      </c>
      <c r="CK148" s="85">
        <f>IF(NOT(AND($A148&lt;&gt;"",N($BJ148)&gt;0)),"",TRIM(IFERROR(VLOOKUP($AH148,CODES,2,FALSE),"")&amp;IF($AI148=""," "," "&amp;$AI148&amp;"GA ")&amp;$BG148&amp;" "&amp;IF($AN148="",IFERROR(VLOOKUP($Z148,CODES,2,FALSE),""),IFERROR(VLOOKUP($AN148,CODES,2,FALSE),""))&amp;IF($BJ148=2," PAIR","")&amp;" DOOR | "&amp;IF($AL148="","?",$AL148)&amp;" | "&amp;IF($AO148="",IFERROR(VLOOKUP($AC148,CODES,2,FALSE),""),IFERROR(VLOOKUP($AO148,CODES,2,FALSE),""))&amp;" "&amp;IFERROR(VLOOKUP($AP148,CODES,2,FALSE),"")&amp;IF(OR($AQ148="",$AQ148="-"),""," SEAM "&amp;$AQ148)&amp;IF($AR148="Y"," ASTRAGAL","")&amp;IF($AJ148=""," "," "&amp;$AJ148)&amp;IF($AK148=""," "," "&amp;$AK148)&amp;IF(OR($AT148="",$AT148="ANSI/SDI",$AT148="CUSTOM LOC"),""," "&amp;$AT148)&amp;IF($AM148=""," "," SERIES "&amp;$AM148)&amp;" "&amp;IFERROR(VLOOKUP($H148,CODES,2,FALSE),"")&amp;IF($CT148," | LOC "&amp;$CZ148,"")))</f>
        <v/>
      </c>
      <c r="CL148" s="84">
        <f>IF(CP148="","",IF(COUNTIF($CP$6:CP148,CP148)=1,MAX($CL$5:CL147)+1,INDEX($CL$5:CL147,MATCH(CP148,$CP$5:CP147,0))))</f>
        <v/>
      </c>
      <c r="CM148" s="84">
        <f>IF(NOT(AND($A148&lt;&gt;"",$C148&lt;&gt;"DOOR ONLY")),"",MAX($CM$5:CM147)+1)</f>
        <v/>
      </c>
      <c r="CN148" s="84">
        <f>IF(NOT(AND($A148&lt;&gt;"",N($BJ148)&gt;0)),"",MAX($CN$5:CN147)+1)</f>
        <v/>
      </c>
      <c r="CO148" s="84">
        <f>IF($A148="","",MAX($CO$5:CO147)+1)</f>
        <v/>
      </c>
      <c r="CP148" s="84">
        <f>IF(OR($A148="",$BH148="",$BI148=""),"",$BG148&amp;"|"&amp;$O148&amp;"|"&amp;$AL148&amp;"|"&amp;$S148&amp;"|"&amp;$P148&amp;"|"&amp;$Q148&amp;$R148&amp;"|"&amp;$C148&amp;"|"&amp;$AB148)</f>
        <v/>
      </c>
      <c r="CQ148" s="84">
        <f>N($BS148)</f>
        <v/>
      </c>
      <c r="CR148" s="84">
        <f>IF(N($AU148)&gt;0,N($AU148),4.5)</f>
        <v/>
      </c>
      <c r="CS148" s="84">
        <f>OR($A148="",$BI148="",$S148="BL",AND($C148="FRAME ONLY",OR($AC148="",$AC148="BLK")))</f>
        <v/>
      </c>
      <c r="CT148" s="84">
        <f>AND(NOT($CS148),OR($AT148="CUSTOM LOC",N($AW148)+N($AX148)+N($AY148)+N($AZ148)+N($BA148)&gt;0))</f>
        <v/>
      </c>
      <c r="CU148" s="84">
        <f>IF($BI148="","",IF($BI148&lt;=80,80,IF($BI148&lt;=84,84,96)))</f>
        <v/>
      </c>
      <c r="CV148" s="84">
        <f>ISNUMBER(MATCH($AT148&amp;"|80",LocKeys,0))</f>
        <v/>
      </c>
      <c r="CW148" s="86">
        <f>IF($CS148,"",IF($CV148,VLOOKUP($AT148&amp;"|"&amp;$CU148,LocTable,4,FALSE),5))</f>
        <v/>
      </c>
      <c r="CX148" s="86">
        <f>IF($CS148,"",IF($CV148,IF(OR($BI148=$CU148,AND($BI148&lt;$CU148,$BI148-IF(N(VLOOKUP($AT148&amp;"|"&amp;$CU148,LocTable,7,FALSE))&gt;0,VLOOKUP($AT148&amp;"|"&amp;$CU148,LocTable,7,FALSE),VLOOKUP($AT148&amp;"|"&amp;$CU148,LocTable,6,FALSE))-$CR148-0.75&gt;=2.125)),IF(N(VLOOKUP($AT148&amp;"|"&amp;$CU148,LocTable,7,FALSE))&gt;0,VLOOKUP($AT148&amp;"|"&amp;$CU148,LocTable,7,FALSE),VLOOKUP($AT148&amp;"|"&amp;$CU148,LocTable,6,FALSE)),$BI148-($CU148-IF(N(VLOOKUP($AT148&amp;"|"&amp;$CU148,LocTable,7,FALSE))&gt;0,VLOOKUP($AT148&amp;"|"&amp;$CU148,LocTable,7,FALSE),VLOOKUP($AT148&amp;"|"&amp;$CU148,LocTable,6,FALSE)))),$BI148-10-$CR148))</f>
        <v/>
      </c>
      <c r="CY148" s="85">
        <f>IF($CS148,"",TRIM(IF(ISNUMBER($BU148),"A "&amp;TRIM(TEXT($BU148,"# ?/??"))&amp;CHAR(34)&amp;"  ","")&amp;IF(ISNUMBER($BV148),"B "&amp;TRIM(TEXT($BV148,"# ?/??"))&amp;CHAR(34)&amp;"  ","")&amp;IF(ISNUMBER($BW148),"C "&amp;TRIM(TEXT($BW148,"# ?/??"))&amp;CHAR(34)&amp;"  ","")&amp;IF(ISNUMBER($BX148),"D "&amp;TRIM(TEXT($BX148,"# ?/??"))&amp;CHAR(34)&amp;"  ","")&amp;IF(ISNUMBER($BY148),"F "&amp;TRIM(TEXT($BY148,"# ?/??"))&amp;CHAR(34)&amp;"  ","")&amp;IF(ISNUMBER($BZ148),"E "&amp;TRIM(TEXT($BZ148,"# ?/??"))&amp;CHAR(34)&amp;"  ","")))</f>
        <v/>
      </c>
      <c r="CZ148" s="85">
        <f>IF(OR($CS148,N($BJ148)=0),"",TRIM(IF(ISNUMBER($BU148),"A "&amp;TRIM(TEXT($BU148-HeadClr,"# ?/??"))&amp;CHAR(34)&amp;"  ","")&amp;IF(ISNUMBER($BV148),"B "&amp;TRIM(TEXT($BV148-HeadClr,"# ?/??"))&amp;CHAR(34)&amp;"  ","")&amp;IF(ISNUMBER($BW148),"C "&amp;TRIM(TEXT($BW148-HeadClr,"# ?/??"))&amp;CHAR(34)&amp;"  ","")&amp;IF(ISNUMBER($BX148),"D "&amp;TRIM(TEXT($BX148-HeadClr,"# ?/??"))&amp;CHAR(34)&amp;"  ","")&amp;IF(ISNUMBER($BY148),"F "&amp;TRIM(TEXT($BY148-HeadClr,"# ?/??"))&amp;CHAR(34)&amp;"  ","")&amp;IF(ISNUMBER($BZ148),"E "&amp;TRIM(TEXT($BZ148-HeadClr,"# ?/??"))&amp;CHAR(34)&amp;"  ","")))</f>
        <v/>
      </c>
      <c r="DA148" s="84">
        <f>IF($A148="","",IF($AN148="",IFERROR(VLOOKUP($Z148,CODES,2,FALSE),""),IFERROR(VLOOKUP($AN148,CODES,2,FALSE),"")))</f>
        <v/>
      </c>
      <c r="DB148" s="84">
        <f>IF($A148="","",IF($O148="Y","PR",IF(OR($Z148="L",$Z148="RR",LEFT($Z148,2)="L-",LEFT($Z148,3)="RR-"),"LH","RH")))</f>
        <v/>
      </c>
      <c r="DC148" s="84">
        <f>IF($A148="","","S.HM"&amp;IF(OR($C148="DOOR ONLY",$X148&lt;&gt;"KD"),"MASONRY","DRYWALL")&amp;IF($C148="DOOR ONLY","",$U148)&amp;IF(AND($C148&lt;&gt;"FRAME ONLY",OR(LEFT($AH148,3)="OAK",LEFT($AH148,3)="BIR",LEFT($AH148,3)="MAP",$AH148="PC",$AH148="MC",$AH148="SCLC",$AH148="P-LAM")),"WD","HM")&amp;"1.75")</f>
        <v/>
      </c>
      <c r="DD148" s="84">
        <f>IF($CJ148="","",IF($O148="Y",$CJ148,SUBSTITUTE($CJ148,$BG148&amp;" "&amp;IFERROR(VLOOKUP($Z148,CODES,2,FALSE),"")&amp;" ",$BG148&amp;" ")))</f>
        <v/>
      </c>
      <c r="DE148" s="84">
        <f>IF($CK148="","",IF($O148="Y",$CK148,SUBSTITUTE($CK148,$BG148&amp;" "&amp;IF($AN148="",IFERROR(VLOOKUP($Z148,CODES,2,FALSE),""),IFERROR(VLOOKUP($AN148,CODES,2,FALSE),""))&amp;" ",$BG148&amp;" ")))</f>
        <v/>
      </c>
      <c r="DF148" s="84">
        <f>IF($CJ148="","",$DC148&amp;"|"&amp;$DD148&amp;"|"&amp;$DB148&amp;"|"&amp;$AT148&amp;"|"&amp;$V148&amp;"|"&amp;$Y148&amp;"|"&amp;$AB148)</f>
        <v/>
      </c>
      <c r="DG148" s="84">
        <f>IF(DF148="","",IF(COUNTIF($DF$6:DF148,DF148)=1,MAX($DG$5:DG147)+1,INDEX($DG$5:DG147,MATCH(DF148,$DF$5:DF147,0))))</f>
        <v/>
      </c>
      <c r="DH148" s="84">
        <f>IF($CK148="","",$DC148&amp;"|"&amp;$DE148&amp;"|"&amp;$AI148&amp;"|"&amp;$BK148&amp;"|"&amp;$BL148)</f>
        <v/>
      </c>
      <c r="DI148" s="84">
        <f>IF(DH148="","",IF(COUNTIF($DH$6:DH148,DH148)=1,MAX($DI$5:DI147)+1,INDEX($DI$5:DI147,MATCH(DH148,$DH$5:DH147,0))))</f>
        <v/>
      </c>
      <c r="DJ148" s="84">
        <f>IF($A148="","",IF($B148="","qty, ","")&amp;IF($C148="","scope, ","")&amp;IF(OR($K148="",$M148=""),"size, ","")&amp;IF(AND($A148&lt;&gt;"",$C148&lt;&gt;"DOOR ONLY"),IF($U148="","jamb depth, ","")&amp;IF($X148="","construction, ","")&amp;IF($Y148="","anchor, ","")&amp;IF($S148="","frame type, ",""),"")&amp;IF(AND(N($BJ148)&gt;0,$Z148=""),"hand, ","")&amp;IF(N($BJ148)&gt;0,IF($AH148="","door material, ","")&amp;IF($AL148="","face type, ","")&amp;IF($AP148="","lock prep, ","")&amp;IF(AND($AO148="",$AC148=""),"hinge prep, ",""),"")&amp;IF(AND($CH148&gt;0,$AH148="FRP"),"FRP cannot carry a label, ","")&amp;IF(AND($O148="Y",OR($Z148="L",$Z148="R",$Z148="LR",$Z148="RR")),"pair marked but hand is single, ","")&amp;IF(AND($O148&lt;&gt;"Y",OR($Z148="PR",AND(LEN($Z148)&gt;1,ISNUMBER(SEARCH("-",$Z148))))),"pair hand on a single door, ","")&amp;IF(AND(ISNUMBER($CI148),$CH148&lt;N($CI148)),"wall needs a "&amp;$CI148&amp;" min door, ","")&amp;IF(AND($CH148&gt;=180,AND(OR($CE148="FG",$CE148="HG",$CE148="FNV",$CE148="FV"),N($CF148)*N($CG148)&gt;100)),"180 min lite over 100 sq in, ","")&amp;IF(N($BK148)&gt;48,"leaf wider than 4'-0"&amp;CHAR(34)&amp;", ","")&amp;IF(AND($CT148,COUNT($AW148:$AZ148)=0,$CQ148&gt;0),"CUSTOM LOC with no locations typed, ",""))</f>
        <v/>
      </c>
      <c r="DK148" s="84">
        <f>IF($A148="","",IF(AND($CH148&gt;0,AND($A148&lt;&gt;"",$C148&lt;&gt;"DOOR ONLY"),$X148="KD",$E148="EXTERIOR"),"KD label on an exterior opening, ","")&amp;IF(AND($E148="EXTERIOR",OR(AND(AND($A148&lt;&gt;"",$C148&lt;&gt;"DOOR ONLY"),$W148="CR"),AND(N($BJ148)&gt;0,$AH148="CR"))),"exterior in CR steel (G9?), ","")&amp;IF(AND(ISNUMBER($BQ148),N($BQ148)&lt;32),"clear width ~"&amp;TEXT($BQ148,"0.0")&amp;CHAR(34)&amp;" under 32"&amp;CHAR(34)&amp;" (ADA), ","")&amp;IF(AND($CH148=90,AND(OR($CE148="FG",$CE148="HG",$CE148="FNV",$CE148="FV"),N($CF148)*N($CG148)&gt;100)),"90 min lite over 100 sq in (stair/exit), ","")&amp;IF(AND($CH148&gt;0,AND($A148&lt;&gt;"",$C148&lt;&gt;"DOOR ONLY"),OR($AF148="",$AF148="-")),"rated: closer reinf.?, ","")&amp;IF(OR($I148="CORRIDOR",$I148="SMOKE BARRIER"),"S label + smoke gasketing, ","")&amp;IF($CI148="?","wall type/hr not in IBC table, ","")&amp;IF(AND(N($BJ148)&gt;0,$BB148=""),"no hardware set, ","")&amp;IF(AND($BB148&lt;&gt;"",ISNA(MATCH($BB148&amp;"",HWSets,0))),"set "&amp;$BB148&amp;" not on HW Sets, ","")&amp;IF(N($BL148)&gt;96,"leaf over 8'-0"&amp;CHAR(34)&amp;" - check listing, ","")&amp;IF(AND($CT148,COUNT($AW148:$AZ148)&gt;0,COUNT($AW148:$AZ148)&lt;&gt;$CQ148),COUNT($AW148:$AZ148)&amp;" custom hinges typed, "&amp;$CQ148&amp;" expected, ","")&amp;IF(AND(ISNUMBER($CA148),OR(N($CA148)&lt;34,N($CA148)&gt;48)),"lock "&amp;TEXT($CA148,"0.0")&amp;CHAR(34)&amp;" AFF outside 34-48"&amp;CHAR(34)&amp;" (ADA), ","")&amp;IF(AND(ISNUMBER($AV148),ISNUMBER($BL148),N($AV148)&lt;IF(N($BL148)&lt;=60,2,IF(N($BL148)&lt;=90,3,IF(N($BL148)&lt;=120,4,5)))),"fewer hinges than standard, ",""))</f>
        <v/>
      </c>
    </row>
    <row r="149" ht="15" customHeight="1">
      <c r="A149" s="77" t="n"/>
      <c r="B149" s="78" t="n"/>
      <c r="C149" s="78" t="n"/>
      <c r="D149" s="78" t="n"/>
      <c r="E149" s="78" t="n"/>
      <c r="F149" s="78" t="n"/>
      <c r="G149" s="78" t="n"/>
      <c r="H149" s="78" t="n"/>
      <c r="I149" s="78" t="n"/>
      <c r="J149" s="78" t="n"/>
      <c r="K149" s="78" t="n"/>
      <c r="L149" s="78" t="n"/>
      <c r="M149" s="78" t="n"/>
      <c r="N149" s="78" t="n"/>
      <c r="O149" s="78" t="n"/>
      <c r="P149" s="78" t="n"/>
      <c r="Q149" s="78" t="n"/>
      <c r="R149" s="78" t="n"/>
      <c r="S149" s="79" t="n"/>
      <c r="T149" s="79" t="n"/>
      <c r="U149" s="79" t="n"/>
      <c r="V149" s="79" t="n"/>
      <c r="W149" s="79" t="n"/>
      <c r="X149" s="79" t="n"/>
      <c r="Y149" s="79" t="n"/>
      <c r="Z149" s="79" t="n"/>
      <c r="AA149" s="79" t="n"/>
      <c r="AB149" s="79" t="n"/>
      <c r="AC149" s="79" t="n"/>
      <c r="AD149" s="79" t="n"/>
      <c r="AE149" s="79" t="n"/>
      <c r="AF149" s="79" t="n"/>
      <c r="AG149" s="79" t="n"/>
      <c r="AH149" s="80" t="n"/>
      <c r="AI149" s="80" t="n"/>
      <c r="AJ149" s="80" t="n"/>
      <c r="AK149" s="80" t="n"/>
      <c r="AL149" s="80" t="n"/>
      <c r="AM149" s="80" t="n"/>
      <c r="AN149" s="80" t="n"/>
      <c r="AO149" s="80" t="n"/>
      <c r="AP149" s="80" t="n"/>
      <c r="AQ149" s="80" t="n"/>
      <c r="AR149" s="80" t="n"/>
      <c r="AS149" s="80" t="n"/>
      <c r="AT149" s="81" t="n"/>
      <c r="AU149" s="81" t="n"/>
      <c r="AV149" s="81" t="n"/>
      <c r="AW149" s="82" t="n"/>
      <c r="AX149" s="82" t="n"/>
      <c r="AY149" s="82" t="n"/>
      <c r="AZ149" s="82" t="n"/>
      <c r="BA149" s="82" t="n"/>
      <c r="BB149" s="83" t="n"/>
      <c r="BC149" s="83" t="n"/>
      <c r="BD149" s="84">
        <f>IF($A149="","",IF($DJ149&lt;&gt;"","FIX",IF($DK149&lt;&gt;"","CHECK","OK")))</f>
        <v/>
      </c>
      <c r="BE149" s="85">
        <f>IF($A149="","",IF($DJ149&lt;&gt;"","FIX: "&amp;LEFT($DJ149,LEN($DJ149)-2)&amp;IF($DK149&lt;&gt;"","  ·  ",""),"")&amp;IF($DK149&lt;&gt;"","CHECK: "&amp;LEFT($DK149,LEN($DK149)-2),""))</f>
        <v/>
      </c>
      <c r="BF149" s="84">
        <f>IF(OR($A149="",$K149=""),"",$K149&amp;"'-"&amp;N($L149)&amp;CHAR(34)&amp;" x "&amp;$M149&amp;"'-"&amp;N($N149)&amp;CHAR(34))</f>
        <v/>
      </c>
      <c r="BG149" s="84">
        <f>IF(OR($A149="",$K149=""),"",$K149&amp;N($L149)&amp;$M149&amp;N($N149))</f>
        <v/>
      </c>
      <c r="BH149" s="84">
        <f>IF(OR($A149="",$K149=""),"",$K149*12+N($L149))</f>
        <v/>
      </c>
      <c r="BI149" s="84">
        <f>IF(OR($A149="",$M149=""),"",$M149*12+N($N149))</f>
        <v/>
      </c>
      <c r="BJ149" s="84">
        <f>IF($A149="","",IF(OR($C149="FRAME ONLY",$S149="BL"),0,IF($O149="Y",2,1)))</f>
        <v/>
      </c>
      <c r="BK149" s="86">
        <f>IF(OR(N($BJ149)=0,$BH149=""),"",($BH149-2*EdgeClr-IF($BJ149=2,MeetClr,0))/$BJ149)</f>
        <v/>
      </c>
      <c r="BL149" s="86">
        <f>IF(OR(N($BJ149)=0,$BI149=""),"",$BI149-HeadClr-Undercut)</f>
        <v/>
      </c>
      <c r="BM149" s="86">
        <f>IF($BH149="","",$BH149+2*FaceW+IF(N($Q149)&gt;0,($Q149+FaceW)*IF($R149="LR",2,1),0))</f>
        <v/>
      </c>
      <c r="BN149" s="86">
        <f>IF($BI149="","",$BI149+IF($AB149="Y",4,FaceW)+IF(N($P149)&gt;0,$P149+FaceW,0)+IF(OR($S149="4F",$S149="BL"),FaceW,0))</f>
        <v/>
      </c>
      <c r="BO149" s="86">
        <f>IF($BM149="","",$BM149+2*ROSide)</f>
        <v/>
      </c>
      <c r="BP149" s="86">
        <f>IF($BN149="","",$BN149+ROTop)</f>
        <v/>
      </c>
      <c r="BQ149" s="87">
        <f>IF(OR(N($BJ149)=0,$BH149=""),"",$BH149/$BJ149-ClearDeduct)</f>
        <v/>
      </c>
      <c r="BR149" s="84">
        <f>IF(N($CH149)=0,"",IF($CH149&gt;=180,"A · 3 HR",IF($CH149&gt;=90,"B · 1-1/2 HR",IF($CH149&gt;=60,"B · 1 HR",IF($CH149&gt;=45,"C · 3/4 HR","20 MIN")))))&amp;IF(AND(N($CH149)&gt;0,OR($I149="CORRIDOR",$I149="SMOKE BARRIER"))," · S","")</f>
        <v/>
      </c>
      <c r="BS149" s="84">
        <f>IF($CS149,"",IF($AV149&lt;&gt;"",$AV149,IF(OR($AC149="HGC",$AO149="HGC"),"CONT",IF(($BI149-HeadClr-Undercut)&lt;=60,2,IF(($BI149-HeadClr-Undercut)&lt;=90,3,IF(($BI149-HeadClr-Undercut)&lt;=120,4,5))))))</f>
        <v/>
      </c>
      <c r="BT149" s="84">
        <f>IF($CS149,"",IF($CT149,"CUSTOM (typed)",IF($CV149,$AT149&amp;" "&amp;$CU149&amp;CHAR(34)&amp;IF($CU149&lt;&gt;$BI149,IF(AND($BI149&lt;$CU149,$BI149-IF(N(VLOOKUP($AT149&amp;"|"&amp;$CU149,LocTable,7,FALSE))&gt;0,VLOOKUP($AT149&amp;"|"&amp;$CU149,LocTable,7,FALSE),VLOOKUP($AT149&amp;"|"&amp;$CU149,LocTable,6,FALSE))-$CR149-0.75&gt;=2.125)," cut down"," adj."),""),"ANSI/SDI A250.6")))</f>
        <v/>
      </c>
      <c r="BU149" s="88">
        <f>IF($CS149,"",IF($CT149,IF(N($AW149)&gt;0,N($AW149),""),IF(1&gt;$CQ149,"",IF($CQ149=1,$CW149,$CW149+($CX149-$CW149)*0/($CQ149-1)))))</f>
        <v/>
      </c>
      <c r="BV149" s="88">
        <f>IF($CS149,"",IF($CT149,IF(N($AX149)&gt;0,N($AX149),""),IF(2&gt;$CQ149,"",IF($CQ149=1,$CW149,$CW149+($CX149-$CW149)*1/($CQ149-1)))))</f>
        <v/>
      </c>
      <c r="BW149" s="88">
        <f>IF($CS149,"",IF($CT149,IF(N($AY149)&gt;0,N($AY149),""),IF(3&gt;$CQ149,"",IF($CQ149=1,$CW149,$CW149+($CX149-$CW149)*2/($CQ149-1)))))</f>
        <v/>
      </c>
      <c r="BX149" s="88">
        <f>IF($CS149,"",IF($CT149,IF(N($AZ149)&gt;0,N($AZ149),""),IF(4&gt;$CQ149,"",IF($CQ149=1,$CW149,$CW149+($CX149-$CW149)*3/($CQ149-1)))))</f>
        <v/>
      </c>
      <c r="BY149" s="88">
        <f>IF($CS149,"",IF($CT149,"",IF(5&gt;$CQ149,"",IF($CQ149=1,$CW149,$CW149+($CX149-$CW149)*4/($CQ149-1)))))</f>
        <v/>
      </c>
      <c r="BZ149" s="88">
        <f>IF(OR($CS149,$AP149="-",AND($AP149="",$AD149="")),"",IF(N($BA149)&gt;0,N($BA149),IF($CV149,IF(AND($BI149&lt;$CU149,$BI149-IF(N(VLOOKUP($AT149&amp;"|"&amp;$CU149,LocTable,7,FALSE))&gt;0,VLOOKUP($AT149&amp;"|"&amp;$CU149,LocTable,7,FALSE),VLOOKUP($AT149&amp;"|"&amp;$CU149,LocTable,6,FALSE))-$CR149-0.75&gt;=2.125),VLOOKUP($AT149&amp;"|"&amp;$CU149,LocTable,8,FALSE),VLOOKUP($AT149&amp;"|"&amp;$CU149,LocTable,8,FALSE)+($BI149-$CU149)),$BI149-LockAFF)))</f>
        <v/>
      </c>
      <c r="CA149" s="89">
        <f>IF($BZ149="","",$BI149-$BZ149)</f>
        <v/>
      </c>
      <c r="CB149" s="84">
        <f>IF(OR(NOT(AND($A149&lt;&gt;"",$C149&lt;&gt;"DOOR ONLY")),$BI149=""),"",IF(($BI149+IF(N($P149)&gt;0,$P149+FaceW,0))&lt;=90,3,IF(($BI149+IF(N($P149)&gt;0,$P149+FaceW,0))&lt;=114,4,5)))</f>
        <v/>
      </c>
      <c r="CC149" s="84">
        <f>IF($CB149="","",$CB149*(2+IF(N($Q149)&gt;0,IF($R149="LR",2,1),0)))</f>
        <v/>
      </c>
      <c r="CD149" s="84">
        <f>IF($CB149="","",(2+IF(N($Q149)&gt;0,IF($R149="LR",2,1),0)))</f>
        <v/>
      </c>
      <c r="CE149" s="84">
        <f>IF(N($BJ149)=0,"",IF(OR($AL149="",$AL149="FLUSH"),"FLUSH",IFERROR(LEFT($AL149,FIND("-",$AL149)-1),LEFT($AL149,2))))</f>
        <v/>
      </c>
      <c r="CF149" s="84">
        <f>IF($CE149="","",IFERROR(VALUE(MID($AL149,FIND("-",$AL149)+1,FIND(CHAR(34)&amp;"x",$AL149)-FIND("-",$AL149)-1)),0))</f>
        <v/>
      </c>
      <c r="CG149" s="84">
        <f>IF($CE149="","",IFERROR(VALUE(MID($AL149,FIND(CHAR(34)&amp;"x",$AL149)+2,FIND(CHAR(34),$AL149,FIND(CHAR(34)&amp;"x",$AL149)+2)-FIND(CHAR(34)&amp;"x",$AL149)-2)),0))</f>
        <v/>
      </c>
      <c r="CH149" s="90">
        <f>IF(OR($A149="",$H149="",$H149="NO LAB"),0,IFERROR(VALUE(LEFT($H149,FIND(" ",$H149)-1)),0))</f>
        <v/>
      </c>
      <c r="CI149" s="91">
        <f>IF(OR($A149="",$I149="",$I149="NON-RATED",N($J149)=0),"",IFERROR(VLOOKUP($I149&amp;"|"&amp;$J149,IBC,2,FALSE),"?"))</f>
        <v/>
      </c>
      <c r="CJ149" s="85">
        <f>IF(NOT(AND($A149&lt;&gt;"",$C149&lt;&gt;"DOOR ONLY")),"",TRIM(IFERROR(VLOOKUP($U149,CODES,2,FALSE),"")&amp;" "&amp;$BG149&amp;" "&amp;IFERROR(VLOOKUP($Z149,CODES,2,FALSE),"")&amp;" "&amp;IFERROR(VLOOKUP($X149,CODES,2,FALSE),"")&amp;" "&amp;IFERROR(VLOOKUP($S149,CODES,2,FALSE),"")&amp;IF(N($P149)&gt;0," w/TRANSOM "&amp;$P149&amp;CHAR(34),"")&amp;IF(N($Q149)&gt;0," w/SIDELITE "&amp;$Q149&amp;CHAR(34)&amp;" "&amp;IF($R149="","R",$R149),"")&amp;IF($Y149="","  |  "," | "&amp;IFERROR(VLOOKUP($Y149,CODES,2,FALSE),"")&amp;" | ")&amp;IFERROR(VLOOKUP($AC149,CODES,2,FALSE),"")&amp;" "&amp;IFERROR(VLOOKUP($AD149,CODES,2,FALSE),"")&amp;IF(OR($AE149="",$AE149="-"),""," "&amp;$AE149)&amp;IF(OR($AF149="",$AF149="-"),""," "&amp;$AF149)&amp;IF($AB149="Y"," 4"&amp;CHAR(34)&amp;" HEAD","")&amp;" "&amp;IFERROR(VLOOKUP($H149,CODES,2,FALSE),"")&amp;IF($CT149," | LOC "&amp;$CY149,"")))</f>
        <v/>
      </c>
      <c r="CK149" s="85">
        <f>IF(NOT(AND($A149&lt;&gt;"",N($BJ149)&gt;0)),"",TRIM(IFERROR(VLOOKUP($AH149,CODES,2,FALSE),"")&amp;IF($AI149=""," "," "&amp;$AI149&amp;"GA ")&amp;$BG149&amp;" "&amp;IF($AN149="",IFERROR(VLOOKUP($Z149,CODES,2,FALSE),""),IFERROR(VLOOKUP($AN149,CODES,2,FALSE),""))&amp;IF($BJ149=2," PAIR","")&amp;" DOOR | "&amp;IF($AL149="","?",$AL149)&amp;" | "&amp;IF($AO149="",IFERROR(VLOOKUP($AC149,CODES,2,FALSE),""),IFERROR(VLOOKUP($AO149,CODES,2,FALSE),""))&amp;" "&amp;IFERROR(VLOOKUP($AP149,CODES,2,FALSE),"")&amp;IF(OR($AQ149="",$AQ149="-"),""," SEAM "&amp;$AQ149)&amp;IF($AR149="Y"," ASTRAGAL","")&amp;IF($AJ149=""," "," "&amp;$AJ149)&amp;IF($AK149=""," "," "&amp;$AK149)&amp;IF(OR($AT149="",$AT149="ANSI/SDI",$AT149="CUSTOM LOC"),""," "&amp;$AT149)&amp;IF($AM149=""," "," SERIES "&amp;$AM149)&amp;" "&amp;IFERROR(VLOOKUP($H149,CODES,2,FALSE),"")&amp;IF($CT149," | LOC "&amp;$CZ149,"")))</f>
        <v/>
      </c>
      <c r="CL149" s="84">
        <f>IF(CP149="","",IF(COUNTIF($CP$6:CP149,CP149)=1,MAX($CL$5:CL148)+1,INDEX($CL$5:CL148,MATCH(CP149,$CP$5:CP148,0))))</f>
        <v/>
      </c>
      <c r="CM149" s="84">
        <f>IF(NOT(AND($A149&lt;&gt;"",$C149&lt;&gt;"DOOR ONLY")),"",MAX($CM$5:CM148)+1)</f>
        <v/>
      </c>
      <c r="CN149" s="84">
        <f>IF(NOT(AND($A149&lt;&gt;"",N($BJ149)&gt;0)),"",MAX($CN$5:CN148)+1)</f>
        <v/>
      </c>
      <c r="CO149" s="84">
        <f>IF($A149="","",MAX($CO$5:CO148)+1)</f>
        <v/>
      </c>
      <c r="CP149" s="84">
        <f>IF(OR($A149="",$BH149="",$BI149=""),"",$BG149&amp;"|"&amp;$O149&amp;"|"&amp;$AL149&amp;"|"&amp;$S149&amp;"|"&amp;$P149&amp;"|"&amp;$Q149&amp;$R149&amp;"|"&amp;$C149&amp;"|"&amp;$AB149)</f>
        <v/>
      </c>
      <c r="CQ149" s="84">
        <f>N($BS149)</f>
        <v/>
      </c>
      <c r="CR149" s="84">
        <f>IF(N($AU149)&gt;0,N($AU149),4.5)</f>
        <v/>
      </c>
      <c r="CS149" s="84">
        <f>OR($A149="",$BI149="",$S149="BL",AND($C149="FRAME ONLY",OR($AC149="",$AC149="BLK")))</f>
        <v/>
      </c>
      <c r="CT149" s="84">
        <f>AND(NOT($CS149),OR($AT149="CUSTOM LOC",N($AW149)+N($AX149)+N($AY149)+N($AZ149)+N($BA149)&gt;0))</f>
        <v/>
      </c>
      <c r="CU149" s="84">
        <f>IF($BI149="","",IF($BI149&lt;=80,80,IF($BI149&lt;=84,84,96)))</f>
        <v/>
      </c>
      <c r="CV149" s="84">
        <f>ISNUMBER(MATCH($AT149&amp;"|80",LocKeys,0))</f>
        <v/>
      </c>
      <c r="CW149" s="86">
        <f>IF($CS149,"",IF($CV149,VLOOKUP($AT149&amp;"|"&amp;$CU149,LocTable,4,FALSE),5))</f>
        <v/>
      </c>
      <c r="CX149" s="86">
        <f>IF($CS149,"",IF($CV149,IF(OR($BI149=$CU149,AND($BI149&lt;$CU149,$BI149-IF(N(VLOOKUP($AT149&amp;"|"&amp;$CU149,LocTable,7,FALSE))&gt;0,VLOOKUP($AT149&amp;"|"&amp;$CU149,LocTable,7,FALSE),VLOOKUP($AT149&amp;"|"&amp;$CU149,LocTable,6,FALSE))-$CR149-0.75&gt;=2.125)),IF(N(VLOOKUP($AT149&amp;"|"&amp;$CU149,LocTable,7,FALSE))&gt;0,VLOOKUP($AT149&amp;"|"&amp;$CU149,LocTable,7,FALSE),VLOOKUP($AT149&amp;"|"&amp;$CU149,LocTable,6,FALSE)),$BI149-($CU149-IF(N(VLOOKUP($AT149&amp;"|"&amp;$CU149,LocTable,7,FALSE))&gt;0,VLOOKUP($AT149&amp;"|"&amp;$CU149,LocTable,7,FALSE),VLOOKUP($AT149&amp;"|"&amp;$CU149,LocTable,6,FALSE)))),$BI149-10-$CR149))</f>
        <v/>
      </c>
      <c r="CY149" s="85">
        <f>IF($CS149,"",TRIM(IF(ISNUMBER($BU149),"A "&amp;TRIM(TEXT($BU149,"# ?/??"))&amp;CHAR(34)&amp;"  ","")&amp;IF(ISNUMBER($BV149),"B "&amp;TRIM(TEXT($BV149,"# ?/??"))&amp;CHAR(34)&amp;"  ","")&amp;IF(ISNUMBER($BW149),"C "&amp;TRIM(TEXT($BW149,"# ?/??"))&amp;CHAR(34)&amp;"  ","")&amp;IF(ISNUMBER($BX149),"D "&amp;TRIM(TEXT($BX149,"# ?/??"))&amp;CHAR(34)&amp;"  ","")&amp;IF(ISNUMBER($BY149),"F "&amp;TRIM(TEXT($BY149,"# ?/??"))&amp;CHAR(34)&amp;"  ","")&amp;IF(ISNUMBER($BZ149),"E "&amp;TRIM(TEXT($BZ149,"# ?/??"))&amp;CHAR(34)&amp;"  ","")))</f>
        <v/>
      </c>
      <c r="CZ149" s="85">
        <f>IF(OR($CS149,N($BJ149)=0),"",TRIM(IF(ISNUMBER($BU149),"A "&amp;TRIM(TEXT($BU149-HeadClr,"# ?/??"))&amp;CHAR(34)&amp;"  ","")&amp;IF(ISNUMBER($BV149),"B "&amp;TRIM(TEXT($BV149-HeadClr,"# ?/??"))&amp;CHAR(34)&amp;"  ","")&amp;IF(ISNUMBER($BW149),"C "&amp;TRIM(TEXT($BW149-HeadClr,"# ?/??"))&amp;CHAR(34)&amp;"  ","")&amp;IF(ISNUMBER($BX149),"D "&amp;TRIM(TEXT($BX149-HeadClr,"# ?/??"))&amp;CHAR(34)&amp;"  ","")&amp;IF(ISNUMBER($BY149),"F "&amp;TRIM(TEXT($BY149-HeadClr,"# ?/??"))&amp;CHAR(34)&amp;"  ","")&amp;IF(ISNUMBER($BZ149),"E "&amp;TRIM(TEXT($BZ149-HeadClr,"# ?/??"))&amp;CHAR(34)&amp;"  ","")))</f>
        <v/>
      </c>
      <c r="DA149" s="84">
        <f>IF($A149="","",IF($AN149="",IFERROR(VLOOKUP($Z149,CODES,2,FALSE),""),IFERROR(VLOOKUP($AN149,CODES,2,FALSE),"")))</f>
        <v/>
      </c>
      <c r="DB149" s="84">
        <f>IF($A149="","",IF($O149="Y","PR",IF(OR($Z149="L",$Z149="RR",LEFT($Z149,2)="L-",LEFT($Z149,3)="RR-"),"LH","RH")))</f>
        <v/>
      </c>
      <c r="DC149" s="84">
        <f>IF($A149="","","S.HM"&amp;IF(OR($C149="DOOR ONLY",$X149&lt;&gt;"KD"),"MASONRY","DRYWALL")&amp;IF($C149="DOOR ONLY","",$U149)&amp;IF(AND($C149&lt;&gt;"FRAME ONLY",OR(LEFT($AH149,3)="OAK",LEFT($AH149,3)="BIR",LEFT($AH149,3)="MAP",$AH149="PC",$AH149="MC",$AH149="SCLC",$AH149="P-LAM")),"WD","HM")&amp;"1.75")</f>
        <v/>
      </c>
      <c r="DD149" s="84">
        <f>IF($CJ149="","",IF($O149="Y",$CJ149,SUBSTITUTE($CJ149,$BG149&amp;" "&amp;IFERROR(VLOOKUP($Z149,CODES,2,FALSE),"")&amp;" ",$BG149&amp;" ")))</f>
        <v/>
      </c>
      <c r="DE149" s="84">
        <f>IF($CK149="","",IF($O149="Y",$CK149,SUBSTITUTE($CK149,$BG149&amp;" "&amp;IF($AN149="",IFERROR(VLOOKUP($Z149,CODES,2,FALSE),""),IFERROR(VLOOKUP($AN149,CODES,2,FALSE),""))&amp;" ",$BG149&amp;" ")))</f>
        <v/>
      </c>
      <c r="DF149" s="84">
        <f>IF($CJ149="","",$DC149&amp;"|"&amp;$DD149&amp;"|"&amp;$DB149&amp;"|"&amp;$AT149&amp;"|"&amp;$V149&amp;"|"&amp;$Y149&amp;"|"&amp;$AB149)</f>
        <v/>
      </c>
      <c r="DG149" s="84">
        <f>IF(DF149="","",IF(COUNTIF($DF$6:DF149,DF149)=1,MAX($DG$5:DG148)+1,INDEX($DG$5:DG148,MATCH(DF149,$DF$5:DF148,0))))</f>
        <v/>
      </c>
      <c r="DH149" s="84">
        <f>IF($CK149="","",$DC149&amp;"|"&amp;$DE149&amp;"|"&amp;$AI149&amp;"|"&amp;$BK149&amp;"|"&amp;$BL149)</f>
        <v/>
      </c>
      <c r="DI149" s="84">
        <f>IF(DH149="","",IF(COUNTIF($DH$6:DH149,DH149)=1,MAX($DI$5:DI148)+1,INDEX($DI$5:DI148,MATCH(DH149,$DH$5:DH148,0))))</f>
        <v/>
      </c>
      <c r="DJ149" s="84">
        <f>IF($A149="","",IF($B149="","qty, ","")&amp;IF($C149="","scope, ","")&amp;IF(OR($K149="",$M149=""),"size, ","")&amp;IF(AND($A149&lt;&gt;"",$C149&lt;&gt;"DOOR ONLY"),IF($U149="","jamb depth, ","")&amp;IF($X149="","construction, ","")&amp;IF($Y149="","anchor, ","")&amp;IF($S149="","frame type, ",""),"")&amp;IF(AND(N($BJ149)&gt;0,$Z149=""),"hand, ","")&amp;IF(N($BJ149)&gt;0,IF($AH149="","door material, ","")&amp;IF($AL149="","face type, ","")&amp;IF($AP149="","lock prep, ","")&amp;IF(AND($AO149="",$AC149=""),"hinge prep, ",""),"")&amp;IF(AND($CH149&gt;0,$AH149="FRP"),"FRP cannot carry a label, ","")&amp;IF(AND($O149="Y",OR($Z149="L",$Z149="R",$Z149="LR",$Z149="RR")),"pair marked but hand is single, ","")&amp;IF(AND($O149&lt;&gt;"Y",OR($Z149="PR",AND(LEN($Z149)&gt;1,ISNUMBER(SEARCH("-",$Z149))))),"pair hand on a single door, ","")&amp;IF(AND(ISNUMBER($CI149),$CH149&lt;N($CI149)),"wall needs a "&amp;$CI149&amp;" min door, ","")&amp;IF(AND($CH149&gt;=180,AND(OR($CE149="FG",$CE149="HG",$CE149="FNV",$CE149="FV"),N($CF149)*N($CG149)&gt;100)),"180 min lite over 100 sq in, ","")&amp;IF(N($BK149)&gt;48,"leaf wider than 4'-0"&amp;CHAR(34)&amp;", ","")&amp;IF(AND($CT149,COUNT($AW149:$AZ149)=0,$CQ149&gt;0),"CUSTOM LOC with no locations typed, ",""))</f>
        <v/>
      </c>
      <c r="DK149" s="84">
        <f>IF($A149="","",IF(AND($CH149&gt;0,AND($A149&lt;&gt;"",$C149&lt;&gt;"DOOR ONLY"),$X149="KD",$E149="EXTERIOR"),"KD label on an exterior opening, ","")&amp;IF(AND($E149="EXTERIOR",OR(AND(AND($A149&lt;&gt;"",$C149&lt;&gt;"DOOR ONLY"),$W149="CR"),AND(N($BJ149)&gt;0,$AH149="CR"))),"exterior in CR steel (G9?), ","")&amp;IF(AND(ISNUMBER($BQ149),N($BQ149)&lt;32),"clear width ~"&amp;TEXT($BQ149,"0.0")&amp;CHAR(34)&amp;" under 32"&amp;CHAR(34)&amp;" (ADA), ","")&amp;IF(AND($CH149=90,AND(OR($CE149="FG",$CE149="HG",$CE149="FNV",$CE149="FV"),N($CF149)*N($CG149)&gt;100)),"90 min lite over 100 sq in (stair/exit), ","")&amp;IF(AND($CH149&gt;0,AND($A149&lt;&gt;"",$C149&lt;&gt;"DOOR ONLY"),OR($AF149="",$AF149="-")),"rated: closer reinf.?, ","")&amp;IF(OR($I149="CORRIDOR",$I149="SMOKE BARRIER"),"S label + smoke gasketing, ","")&amp;IF($CI149="?","wall type/hr not in IBC table, ","")&amp;IF(AND(N($BJ149)&gt;0,$BB149=""),"no hardware set, ","")&amp;IF(AND($BB149&lt;&gt;"",ISNA(MATCH($BB149&amp;"",HWSets,0))),"set "&amp;$BB149&amp;" not on HW Sets, ","")&amp;IF(N($BL149)&gt;96,"leaf over 8'-0"&amp;CHAR(34)&amp;" - check listing, ","")&amp;IF(AND($CT149,COUNT($AW149:$AZ149)&gt;0,COUNT($AW149:$AZ149)&lt;&gt;$CQ149),COUNT($AW149:$AZ149)&amp;" custom hinges typed, "&amp;$CQ149&amp;" expected, ","")&amp;IF(AND(ISNUMBER($CA149),OR(N($CA149)&lt;34,N($CA149)&gt;48)),"lock "&amp;TEXT($CA149,"0.0")&amp;CHAR(34)&amp;" AFF outside 34-48"&amp;CHAR(34)&amp;" (ADA), ","")&amp;IF(AND(ISNUMBER($AV149),ISNUMBER($BL149),N($AV149)&lt;IF(N($BL149)&lt;=60,2,IF(N($BL149)&lt;=90,3,IF(N($BL149)&lt;=120,4,5)))),"fewer hinges than standard, ",""))</f>
        <v/>
      </c>
    </row>
    <row r="150" ht="15" customHeight="1">
      <c r="A150" s="92" t="n"/>
      <c r="B150" s="93" t="n"/>
      <c r="C150" s="93" t="n"/>
      <c r="D150" s="93" t="n"/>
      <c r="E150" s="93" t="n"/>
      <c r="F150" s="93" t="n"/>
      <c r="G150" s="93" t="n"/>
      <c r="H150" s="93" t="n"/>
      <c r="I150" s="93" t="n"/>
      <c r="J150" s="93" t="n"/>
      <c r="K150" s="93" t="n"/>
      <c r="L150" s="93" t="n"/>
      <c r="M150" s="93" t="n"/>
      <c r="N150" s="93" t="n"/>
      <c r="O150" s="93" t="n"/>
      <c r="P150" s="93" t="n"/>
      <c r="Q150" s="93" t="n"/>
      <c r="R150" s="93" t="n"/>
      <c r="S150" s="94" t="n"/>
      <c r="T150" s="94" t="n"/>
      <c r="U150" s="94" t="n"/>
      <c r="V150" s="94" t="n"/>
      <c r="W150" s="94" t="n"/>
      <c r="X150" s="94" t="n"/>
      <c r="Y150" s="94" t="n"/>
      <c r="Z150" s="94" t="n"/>
      <c r="AA150" s="94" t="n"/>
      <c r="AB150" s="94" t="n"/>
      <c r="AC150" s="94" t="n"/>
      <c r="AD150" s="94" t="n"/>
      <c r="AE150" s="94" t="n"/>
      <c r="AF150" s="94" t="n"/>
      <c r="AG150" s="94" t="n"/>
      <c r="AH150" s="95" t="n"/>
      <c r="AI150" s="95" t="n"/>
      <c r="AJ150" s="95" t="n"/>
      <c r="AK150" s="95" t="n"/>
      <c r="AL150" s="95" t="n"/>
      <c r="AM150" s="95" t="n"/>
      <c r="AN150" s="95" t="n"/>
      <c r="AO150" s="95" t="n"/>
      <c r="AP150" s="95" t="n"/>
      <c r="AQ150" s="95" t="n"/>
      <c r="AR150" s="95" t="n"/>
      <c r="AS150" s="95" t="n"/>
      <c r="AT150" s="96" t="n"/>
      <c r="AU150" s="96" t="n"/>
      <c r="AV150" s="96" t="n"/>
      <c r="AW150" s="97" t="n"/>
      <c r="AX150" s="97" t="n"/>
      <c r="AY150" s="97" t="n"/>
      <c r="AZ150" s="97" t="n"/>
      <c r="BA150" s="97" t="n"/>
      <c r="BB150" s="98" t="n"/>
      <c r="BC150" s="98" t="n"/>
      <c r="BD150" s="99">
        <f>IF($A150="","",IF($DJ150&lt;&gt;"","FIX",IF($DK150&lt;&gt;"","CHECK","OK")))</f>
        <v/>
      </c>
      <c r="BE150" s="100">
        <f>IF($A150="","",IF($DJ150&lt;&gt;"","FIX: "&amp;LEFT($DJ150,LEN($DJ150)-2)&amp;IF($DK150&lt;&gt;"","  ·  ",""),"")&amp;IF($DK150&lt;&gt;"","CHECK: "&amp;LEFT($DK150,LEN($DK150)-2),""))</f>
        <v/>
      </c>
      <c r="BF150" s="99">
        <f>IF(OR($A150="",$K150=""),"",$K150&amp;"'-"&amp;N($L150)&amp;CHAR(34)&amp;" x "&amp;$M150&amp;"'-"&amp;N($N150)&amp;CHAR(34))</f>
        <v/>
      </c>
      <c r="BG150" s="99">
        <f>IF(OR($A150="",$K150=""),"",$K150&amp;N($L150)&amp;$M150&amp;N($N150))</f>
        <v/>
      </c>
      <c r="BH150" s="99">
        <f>IF(OR($A150="",$K150=""),"",$K150*12+N($L150))</f>
        <v/>
      </c>
      <c r="BI150" s="99">
        <f>IF(OR($A150="",$M150=""),"",$M150*12+N($N150))</f>
        <v/>
      </c>
      <c r="BJ150" s="99">
        <f>IF($A150="","",IF(OR($C150="FRAME ONLY",$S150="BL"),0,IF($O150="Y",2,1)))</f>
        <v/>
      </c>
      <c r="BK150" s="101">
        <f>IF(OR(N($BJ150)=0,$BH150=""),"",($BH150-2*EdgeClr-IF($BJ150=2,MeetClr,0))/$BJ150)</f>
        <v/>
      </c>
      <c r="BL150" s="101">
        <f>IF(OR(N($BJ150)=0,$BI150=""),"",$BI150-HeadClr-Undercut)</f>
        <v/>
      </c>
      <c r="BM150" s="101">
        <f>IF($BH150="","",$BH150+2*FaceW+IF(N($Q150)&gt;0,($Q150+FaceW)*IF($R150="LR",2,1),0))</f>
        <v/>
      </c>
      <c r="BN150" s="101">
        <f>IF($BI150="","",$BI150+IF($AB150="Y",4,FaceW)+IF(N($P150)&gt;0,$P150+FaceW,0)+IF(OR($S150="4F",$S150="BL"),FaceW,0))</f>
        <v/>
      </c>
      <c r="BO150" s="101">
        <f>IF($BM150="","",$BM150+2*ROSide)</f>
        <v/>
      </c>
      <c r="BP150" s="101">
        <f>IF($BN150="","",$BN150+ROTop)</f>
        <v/>
      </c>
      <c r="BQ150" s="102">
        <f>IF(OR(N($BJ150)=0,$BH150=""),"",$BH150/$BJ150-ClearDeduct)</f>
        <v/>
      </c>
      <c r="BR150" s="99">
        <f>IF(N($CH150)=0,"",IF($CH150&gt;=180,"A · 3 HR",IF($CH150&gt;=90,"B · 1-1/2 HR",IF($CH150&gt;=60,"B · 1 HR",IF($CH150&gt;=45,"C · 3/4 HR","20 MIN")))))&amp;IF(AND(N($CH150)&gt;0,OR($I150="CORRIDOR",$I150="SMOKE BARRIER"))," · S","")</f>
        <v/>
      </c>
      <c r="BS150" s="99">
        <f>IF($CS150,"",IF($AV150&lt;&gt;"",$AV150,IF(OR($AC150="HGC",$AO150="HGC"),"CONT",IF(($BI150-HeadClr-Undercut)&lt;=60,2,IF(($BI150-HeadClr-Undercut)&lt;=90,3,IF(($BI150-HeadClr-Undercut)&lt;=120,4,5))))))</f>
        <v/>
      </c>
      <c r="BT150" s="99">
        <f>IF($CS150,"",IF($CT150,"CUSTOM (typed)",IF($CV150,$AT150&amp;" "&amp;$CU150&amp;CHAR(34)&amp;IF($CU150&lt;&gt;$BI150,IF(AND($BI150&lt;$CU150,$BI150-IF(N(VLOOKUP($AT150&amp;"|"&amp;$CU150,LocTable,7,FALSE))&gt;0,VLOOKUP($AT150&amp;"|"&amp;$CU150,LocTable,7,FALSE),VLOOKUP($AT150&amp;"|"&amp;$CU150,LocTable,6,FALSE))-$CR150-0.75&gt;=2.125)," cut down"," adj."),""),"ANSI/SDI A250.6")))</f>
        <v/>
      </c>
      <c r="BU150" s="103">
        <f>IF($CS150,"",IF($CT150,IF(N($AW150)&gt;0,N($AW150),""),IF(1&gt;$CQ150,"",IF($CQ150=1,$CW150,$CW150+($CX150-$CW150)*0/($CQ150-1)))))</f>
        <v/>
      </c>
      <c r="BV150" s="103">
        <f>IF($CS150,"",IF($CT150,IF(N($AX150)&gt;0,N($AX150),""),IF(2&gt;$CQ150,"",IF($CQ150=1,$CW150,$CW150+($CX150-$CW150)*1/($CQ150-1)))))</f>
        <v/>
      </c>
      <c r="BW150" s="103">
        <f>IF($CS150,"",IF($CT150,IF(N($AY150)&gt;0,N($AY150),""),IF(3&gt;$CQ150,"",IF($CQ150=1,$CW150,$CW150+($CX150-$CW150)*2/($CQ150-1)))))</f>
        <v/>
      </c>
      <c r="BX150" s="103">
        <f>IF($CS150,"",IF($CT150,IF(N($AZ150)&gt;0,N($AZ150),""),IF(4&gt;$CQ150,"",IF($CQ150=1,$CW150,$CW150+($CX150-$CW150)*3/($CQ150-1)))))</f>
        <v/>
      </c>
      <c r="BY150" s="103">
        <f>IF($CS150,"",IF($CT150,"",IF(5&gt;$CQ150,"",IF($CQ150=1,$CW150,$CW150+($CX150-$CW150)*4/($CQ150-1)))))</f>
        <v/>
      </c>
      <c r="BZ150" s="103">
        <f>IF(OR($CS150,$AP150="-",AND($AP150="",$AD150="")),"",IF(N($BA150)&gt;0,N($BA150),IF($CV150,IF(AND($BI150&lt;$CU150,$BI150-IF(N(VLOOKUP($AT150&amp;"|"&amp;$CU150,LocTable,7,FALSE))&gt;0,VLOOKUP($AT150&amp;"|"&amp;$CU150,LocTable,7,FALSE),VLOOKUP($AT150&amp;"|"&amp;$CU150,LocTable,6,FALSE))-$CR150-0.75&gt;=2.125),VLOOKUP($AT150&amp;"|"&amp;$CU150,LocTable,8,FALSE),VLOOKUP($AT150&amp;"|"&amp;$CU150,LocTable,8,FALSE)+($BI150-$CU150)),$BI150-LockAFF)))</f>
        <v/>
      </c>
      <c r="CA150" s="104">
        <f>IF($BZ150="","",$BI150-$BZ150)</f>
        <v/>
      </c>
      <c r="CB150" s="99">
        <f>IF(OR(NOT(AND($A150&lt;&gt;"",$C150&lt;&gt;"DOOR ONLY")),$BI150=""),"",IF(($BI150+IF(N($P150)&gt;0,$P150+FaceW,0))&lt;=90,3,IF(($BI150+IF(N($P150)&gt;0,$P150+FaceW,0))&lt;=114,4,5)))</f>
        <v/>
      </c>
      <c r="CC150" s="99">
        <f>IF($CB150="","",$CB150*(2+IF(N($Q150)&gt;0,IF($R150="LR",2,1),0)))</f>
        <v/>
      </c>
      <c r="CD150" s="99">
        <f>IF($CB150="","",(2+IF(N($Q150)&gt;0,IF($R150="LR",2,1),0)))</f>
        <v/>
      </c>
      <c r="CE150" s="99">
        <f>IF(N($BJ150)=0,"",IF(OR($AL150="",$AL150="FLUSH"),"FLUSH",IFERROR(LEFT($AL150,FIND("-",$AL150)-1),LEFT($AL150,2))))</f>
        <v/>
      </c>
      <c r="CF150" s="99">
        <f>IF($CE150="","",IFERROR(VALUE(MID($AL150,FIND("-",$AL150)+1,FIND(CHAR(34)&amp;"x",$AL150)-FIND("-",$AL150)-1)),0))</f>
        <v/>
      </c>
      <c r="CG150" s="99">
        <f>IF($CE150="","",IFERROR(VALUE(MID($AL150,FIND(CHAR(34)&amp;"x",$AL150)+2,FIND(CHAR(34),$AL150,FIND(CHAR(34)&amp;"x",$AL150)+2)-FIND(CHAR(34)&amp;"x",$AL150)-2)),0))</f>
        <v/>
      </c>
      <c r="CH150" s="105">
        <f>IF(OR($A150="",$H150="",$H150="NO LAB"),0,IFERROR(VALUE(LEFT($H150,FIND(" ",$H150)-1)),0))</f>
        <v/>
      </c>
      <c r="CI150" s="106">
        <f>IF(OR($A150="",$I150="",$I150="NON-RATED",N($J150)=0),"",IFERROR(VLOOKUP($I150&amp;"|"&amp;$J150,IBC,2,FALSE),"?"))</f>
        <v/>
      </c>
      <c r="CJ150" s="100">
        <f>IF(NOT(AND($A150&lt;&gt;"",$C150&lt;&gt;"DOOR ONLY")),"",TRIM(IFERROR(VLOOKUP($U150,CODES,2,FALSE),"")&amp;" "&amp;$BG150&amp;" "&amp;IFERROR(VLOOKUP($Z150,CODES,2,FALSE),"")&amp;" "&amp;IFERROR(VLOOKUP($X150,CODES,2,FALSE),"")&amp;" "&amp;IFERROR(VLOOKUP($S150,CODES,2,FALSE),"")&amp;IF(N($P150)&gt;0," w/TRANSOM "&amp;$P150&amp;CHAR(34),"")&amp;IF(N($Q150)&gt;0," w/SIDELITE "&amp;$Q150&amp;CHAR(34)&amp;" "&amp;IF($R150="","R",$R150),"")&amp;IF($Y150="","  |  "," | "&amp;IFERROR(VLOOKUP($Y150,CODES,2,FALSE),"")&amp;" | ")&amp;IFERROR(VLOOKUP($AC150,CODES,2,FALSE),"")&amp;" "&amp;IFERROR(VLOOKUP($AD150,CODES,2,FALSE),"")&amp;IF(OR($AE150="",$AE150="-"),""," "&amp;$AE150)&amp;IF(OR($AF150="",$AF150="-"),""," "&amp;$AF150)&amp;IF($AB150="Y"," 4"&amp;CHAR(34)&amp;" HEAD","")&amp;" "&amp;IFERROR(VLOOKUP($H150,CODES,2,FALSE),"")&amp;IF($CT150," | LOC "&amp;$CY150,"")))</f>
        <v/>
      </c>
      <c r="CK150" s="100">
        <f>IF(NOT(AND($A150&lt;&gt;"",N($BJ150)&gt;0)),"",TRIM(IFERROR(VLOOKUP($AH150,CODES,2,FALSE),"")&amp;IF($AI150=""," "," "&amp;$AI150&amp;"GA ")&amp;$BG150&amp;" "&amp;IF($AN150="",IFERROR(VLOOKUP($Z150,CODES,2,FALSE),""),IFERROR(VLOOKUP($AN150,CODES,2,FALSE),""))&amp;IF($BJ150=2," PAIR","")&amp;" DOOR | "&amp;IF($AL150="","?",$AL150)&amp;" | "&amp;IF($AO150="",IFERROR(VLOOKUP($AC150,CODES,2,FALSE),""),IFERROR(VLOOKUP($AO150,CODES,2,FALSE),""))&amp;" "&amp;IFERROR(VLOOKUP($AP150,CODES,2,FALSE),"")&amp;IF(OR($AQ150="",$AQ150="-"),""," SEAM "&amp;$AQ150)&amp;IF($AR150="Y"," ASTRAGAL","")&amp;IF($AJ150=""," "," "&amp;$AJ150)&amp;IF($AK150=""," "," "&amp;$AK150)&amp;IF(OR($AT150="",$AT150="ANSI/SDI",$AT150="CUSTOM LOC"),""," "&amp;$AT150)&amp;IF($AM150=""," "," SERIES "&amp;$AM150)&amp;" "&amp;IFERROR(VLOOKUP($H150,CODES,2,FALSE),"")&amp;IF($CT150," | LOC "&amp;$CZ150,"")))</f>
        <v/>
      </c>
      <c r="CL150" s="99">
        <f>IF(CP150="","",IF(COUNTIF($CP$6:CP150,CP150)=1,MAX($CL$5:CL149)+1,INDEX($CL$5:CL149,MATCH(CP150,$CP$5:CP149,0))))</f>
        <v/>
      </c>
      <c r="CM150" s="99">
        <f>IF(NOT(AND($A150&lt;&gt;"",$C150&lt;&gt;"DOOR ONLY")),"",MAX($CM$5:CM149)+1)</f>
        <v/>
      </c>
      <c r="CN150" s="99">
        <f>IF(NOT(AND($A150&lt;&gt;"",N($BJ150)&gt;0)),"",MAX($CN$5:CN149)+1)</f>
        <v/>
      </c>
      <c r="CO150" s="99">
        <f>IF($A150="","",MAX($CO$5:CO149)+1)</f>
        <v/>
      </c>
      <c r="CP150" s="99">
        <f>IF(OR($A150="",$BH150="",$BI150=""),"",$BG150&amp;"|"&amp;$O150&amp;"|"&amp;$AL150&amp;"|"&amp;$S150&amp;"|"&amp;$P150&amp;"|"&amp;$Q150&amp;$R150&amp;"|"&amp;$C150&amp;"|"&amp;$AB150)</f>
        <v/>
      </c>
      <c r="CQ150" s="99">
        <f>N($BS150)</f>
        <v/>
      </c>
      <c r="CR150" s="99">
        <f>IF(N($AU150)&gt;0,N($AU150),4.5)</f>
        <v/>
      </c>
      <c r="CS150" s="99">
        <f>OR($A150="",$BI150="",$S150="BL",AND($C150="FRAME ONLY",OR($AC150="",$AC150="BLK")))</f>
        <v/>
      </c>
      <c r="CT150" s="99">
        <f>AND(NOT($CS150),OR($AT150="CUSTOM LOC",N($AW150)+N($AX150)+N($AY150)+N($AZ150)+N($BA150)&gt;0))</f>
        <v/>
      </c>
      <c r="CU150" s="99">
        <f>IF($BI150="","",IF($BI150&lt;=80,80,IF($BI150&lt;=84,84,96)))</f>
        <v/>
      </c>
      <c r="CV150" s="99">
        <f>ISNUMBER(MATCH($AT150&amp;"|80",LocKeys,0))</f>
        <v/>
      </c>
      <c r="CW150" s="101">
        <f>IF($CS150,"",IF($CV150,VLOOKUP($AT150&amp;"|"&amp;$CU150,LocTable,4,FALSE),5))</f>
        <v/>
      </c>
      <c r="CX150" s="101">
        <f>IF($CS150,"",IF($CV150,IF(OR($BI150=$CU150,AND($BI150&lt;$CU150,$BI150-IF(N(VLOOKUP($AT150&amp;"|"&amp;$CU150,LocTable,7,FALSE))&gt;0,VLOOKUP($AT150&amp;"|"&amp;$CU150,LocTable,7,FALSE),VLOOKUP($AT150&amp;"|"&amp;$CU150,LocTable,6,FALSE))-$CR150-0.75&gt;=2.125)),IF(N(VLOOKUP($AT150&amp;"|"&amp;$CU150,LocTable,7,FALSE))&gt;0,VLOOKUP($AT150&amp;"|"&amp;$CU150,LocTable,7,FALSE),VLOOKUP($AT150&amp;"|"&amp;$CU150,LocTable,6,FALSE)),$BI150-($CU150-IF(N(VLOOKUP($AT150&amp;"|"&amp;$CU150,LocTable,7,FALSE))&gt;0,VLOOKUP($AT150&amp;"|"&amp;$CU150,LocTable,7,FALSE),VLOOKUP($AT150&amp;"|"&amp;$CU150,LocTable,6,FALSE)))),$BI150-10-$CR150))</f>
        <v/>
      </c>
      <c r="CY150" s="100">
        <f>IF($CS150,"",TRIM(IF(ISNUMBER($BU150),"A "&amp;TRIM(TEXT($BU150,"# ?/??"))&amp;CHAR(34)&amp;"  ","")&amp;IF(ISNUMBER($BV150),"B "&amp;TRIM(TEXT($BV150,"# ?/??"))&amp;CHAR(34)&amp;"  ","")&amp;IF(ISNUMBER($BW150),"C "&amp;TRIM(TEXT($BW150,"# ?/??"))&amp;CHAR(34)&amp;"  ","")&amp;IF(ISNUMBER($BX150),"D "&amp;TRIM(TEXT($BX150,"# ?/??"))&amp;CHAR(34)&amp;"  ","")&amp;IF(ISNUMBER($BY150),"F "&amp;TRIM(TEXT($BY150,"# ?/??"))&amp;CHAR(34)&amp;"  ","")&amp;IF(ISNUMBER($BZ150),"E "&amp;TRIM(TEXT($BZ150,"# ?/??"))&amp;CHAR(34)&amp;"  ","")))</f>
        <v/>
      </c>
      <c r="CZ150" s="100">
        <f>IF(OR($CS150,N($BJ150)=0),"",TRIM(IF(ISNUMBER($BU150),"A "&amp;TRIM(TEXT($BU150-HeadClr,"# ?/??"))&amp;CHAR(34)&amp;"  ","")&amp;IF(ISNUMBER($BV150),"B "&amp;TRIM(TEXT($BV150-HeadClr,"# ?/??"))&amp;CHAR(34)&amp;"  ","")&amp;IF(ISNUMBER($BW150),"C "&amp;TRIM(TEXT($BW150-HeadClr,"# ?/??"))&amp;CHAR(34)&amp;"  ","")&amp;IF(ISNUMBER($BX150),"D "&amp;TRIM(TEXT($BX150-HeadClr,"# ?/??"))&amp;CHAR(34)&amp;"  ","")&amp;IF(ISNUMBER($BY150),"F "&amp;TRIM(TEXT($BY150-HeadClr,"# ?/??"))&amp;CHAR(34)&amp;"  ","")&amp;IF(ISNUMBER($BZ150),"E "&amp;TRIM(TEXT($BZ150-HeadClr,"# ?/??"))&amp;CHAR(34)&amp;"  ","")))</f>
        <v/>
      </c>
      <c r="DA150" s="99">
        <f>IF($A150="","",IF($AN150="",IFERROR(VLOOKUP($Z150,CODES,2,FALSE),""),IFERROR(VLOOKUP($AN150,CODES,2,FALSE),"")))</f>
        <v/>
      </c>
      <c r="DB150" s="99">
        <f>IF($A150="","",IF($O150="Y","PR",IF(OR($Z150="L",$Z150="RR",LEFT($Z150,2)="L-",LEFT($Z150,3)="RR-"),"LH","RH")))</f>
        <v/>
      </c>
      <c r="DC150" s="99">
        <f>IF($A150="","","S.HM"&amp;IF(OR($C150="DOOR ONLY",$X150&lt;&gt;"KD"),"MASONRY","DRYWALL")&amp;IF($C150="DOOR ONLY","",$U150)&amp;IF(AND($C150&lt;&gt;"FRAME ONLY",OR(LEFT($AH150,3)="OAK",LEFT($AH150,3)="BIR",LEFT($AH150,3)="MAP",$AH150="PC",$AH150="MC",$AH150="SCLC",$AH150="P-LAM")),"WD","HM")&amp;"1.75")</f>
        <v/>
      </c>
      <c r="DD150" s="99">
        <f>IF($CJ150="","",IF($O150="Y",$CJ150,SUBSTITUTE($CJ150,$BG150&amp;" "&amp;IFERROR(VLOOKUP($Z150,CODES,2,FALSE),"")&amp;" ",$BG150&amp;" ")))</f>
        <v/>
      </c>
      <c r="DE150" s="99">
        <f>IF($CK150="","",IF($O150="Y",$CK150,SUBSTITUTE($CK150,$BG150&amp;" "&amp;IF($AN150="",IFERROR(VLOOKUP($Z150,CODES,2,FALSE),""),IFERROR(VLOOKUP($AN150,CODES,2,FALSE),""))&amp;" ",$BG150&amp;" ")))</f>
        <v/>
      </c>
      <c r="DF150" s="99">
        <f>IF($CJ150="","",$DC150&amp;"|"&amp;$DD150&amp;"|"&amp;$DB150&amp;"|"&amp;$AT150&amp;"|"&amp;$V150&amp;"|"&amp;$Y150&amp;"|"&amp;$AB150)</f>
        <v/>
      </c>
      <c r="DG150" s="99">
        <f>IF(DF150="","",IF(COUNTIF($DF$6:DF150,DF150)=1,MAX($DG$5:DG149)+1,INDEX($DG$5:DG149,MATCH(DF150,$DF$5:DF149,0))))</f>
        <v/>
      </c>
      <c r="DH150" s="99">
        <f>IF($CK150="","",$DC150&amp;"|"&amp;$DE150&amp;"|"&amp;$AI150&amp;"|"&amp;$BK150&amp;"|"&amp;$BL150)</f>
        <v/>
      </c>
      <c r="DI150" s="99">
        <f>IF(DH150="","",IF(COUNTIF($DH$6:DH150,DH150)=1,MAX($DI$5:DI149)+1,INDEX($DI$5:DI149,MATCH(DH150,$DH$5:DH149,0))))</f>
        <v/>
      </c>
      <c r="DJ150" s="99">
        <f>IF($A150="","",IF($B150="","qty, ","")&amp;IF($C150="","scope, ","")&amp;IF(OR($K150="",$M150=""),"size, ","")&amp;IF(AND($A150&lt;&gt;"",$C150&lt;&gt;"DOOR ONLY"),IF($U150="","jamb depth, ","")&amp;IF($X150="","construction, ","")&amp;IF($Y150="","anchor, ","")&amp;IF($S150="","frame type, ",""),"")&amp;IF(AND(N($BJ150)&gt;0,$Z150=""),"hand, ","")&amp;IF(N($BJ150)&gt;0,IF($AH150="","door material, ","")&amp;IF($AL150="","face type, ","")&amp;IF($AP150="","lock prep, ","")&amp;IF(AND($AO150="",$AC150=""),"hinge prep, ",""),"")&amp;IF(AND($CH150&gt;0,$AH150="FRP"),"FRP cannot carry a label, ","")&amp;IF(AND($O150="Y",OR($Z150="L",$Z150="R",$Z150="LR",$Z150="RR")),"pair marked but hand is single, ","")&amp;IF(AND($O150&lt;&gt;"Y",OR($Z150="PR",AND(LEN($Z150)&gt;1,ISNUMBER(SEARCH("-",$Z150))))),"pair hand on a single door, ","")&amp;IF(AND(ISNUMBER($CI150),$CH150&lt;N($CI150)),"wall needs a "&amp;$CI150&amp;" min door, ","")&amp;IF(AND($CH150&gt;=180,AND(OR($CE150="FG",$CE150="HG",$CE150="FNV",$CE150="FV"),N($CF150)*N($CG150)&gt;100)),"180 min lite over 100 sq in, ","")&amp;IF(N($BK150)&gt;48,"leaf wider than 4'-0"&amp;CHAR(34)&amp;", ","")&amp;IF(AND($CT150,COUNT($AW150:$AZ150)=0,$CQ150&gt;0),"CUSTOM LOC with no locations typed, ",""))</f>
        <v/>
      </c>
      <c r="DK150" s="99">
        <f>IF($A150="","",IF(AND($CH150&gt;0,AND($A150&lt;&gt;"",$C150&lt;&gt;"DOOR ONLY"),$X150="KD",$E150="EXTERIOR"),"KD label on an exterior opening, ","")&amp;IF(AND($E150="EXTERIOR",OR(AND(AND($A150&lt;&gt;"",$C150&lt;&gt;"DOOR ONLY"),$W150="CR"),AND(N($BJ150)&gt;0,$AH150="CR"))),"exterior in CR steel (G9?), ","")&amp;IF(AND(ISNUMBER($BQ150),N($BQ150)&lt;32),"clear width ~"&amp;TEXT($BQ150,"0.0")&amp;CHAR(34)&amp;" under 32"&amp;CHAR(34)&amp;" (ADA), ","")&amp;IF(AND($CH150=90,AND(OR($CE150="FG",$CE150="HG",$CE150="FNV",$CE150="FV"),N($CF150)*N($CG150)&gt;100)),"90 min lite over 100 sq in (stair/exit), ","")&amp;IF(AND($CH150&gt;0,AND($A150&lt;&gt;"",$C150&lt;&gt;"DOOR ONLY"),OR($AF150="",$AF150="-")),"rated: closer reinf.?, ","")&amp;IF(OR($I150="CORRIDOR",$I150="SMOKE BARRIER"),"S label + smoke gasketing, ","")&amp;IF($CI150="?","wall type/hr not in IBC table, ","")&amp;IF(AND(N($BJ150)&gt;0,$BB150=""),"no hardware set, ","")&amp;IF(AND($BB150&lt;&gt;"",ISNA(MATCH($BB150&amp;"",HWSets,0))),"set "&amp;$BB150&amp;" not on HW Sets, ","")&amp;IF(N($BL150)&gt;96,"leaf over 8'-0"&amp;CHAR(34)&amp;" - check listing, ","")&amp;IF(AND($CT150,COUNT($AW150:$AZ150)&gt;0,COUNT($AW150:$AZ150)&lt;&gt;$CQ150),COUNT($AW150:$AZ150)&amp;" custom hinges typed, "&amp;$CQ150&amp;" expected, ","")&amp;IF(AND(ISNUMBER($CA150),OR(N($CA150)&lt;34,N($CA150)&gt;48)),"lock "&amp;TEXT($CA150,"0.0")&amp;CHAR(34)&amp;" AFF outside 34-48"&amp;CHAR(34)&amp;" (ADA), ","")&amp;IF(AND(ISNUMBER($AV150),ISNUMBER($BL150),N($AV150)&lt;IF(N($BL150)&lt;=60,2,IF(N($BL150)&lt;=90,3,IF(N($BL150)&lt;=120,4,5)))),"fewer hinges than standard, ",""))</f>
        <v/>
      </c>
    </row>
    <row r="151" ht="15" customHeight="1">
      <c r="A151" s="77" t="n"/>
      <c r="B151" s="78" t="n"/>
      <c r="C151" s="78" t="n"/>
      <c r="D151" s="78" t="n"/>
      <c r="E151" s="78" t="n"/>
      <c r="F151" s="78" t="n"/>
      <c r="G151" s="78" t="n"/>
      <c r="H151" s="78" t="n"/>
      <c r="I151" s="78" t="n"/>
      <c r="J151" s="78" t="n"/>
      <c r="K151" s="78" t="n"/>
      <c r="L151" s="78" t="n"/>
      <c r="M151" s="78" t="n"/>
      <c r="N151" s="78" t="n"/>
      <c r="O151" s="78" t="n"/>
      <c r="P151" s="78" t="n"/>
      <c r="Q151" s="78" t="n"/>
      <c r="R151" s="78" t="n"/>
      <c r="S151" s="79" t="n"/>
      <c r="T151" s="79" t="n"/>
      <c r="U151" s="79" t="n"/>
      <c r="V151" s="79" t="n"/>
      <c r="W151" s="79" t="n"/>
      <c r="X151" s="79" t="n"/>
      <c r="Y151" s="79" t="n"/>
      <c r="Z151" s="79" t="n"/>
      <c r="AA151" s="79" t="n"/>
      <c r="AB151" s="79" t="n"/>
      <c r="AC151" s="79" t="n"/>
      <c r="AD151" s="79" t="n"/>
      <c r="AE151" s="79" t="n"/>
      <c r="AF151" s="79" t="n"/>
      <c r="AG151" s="79" t="n"/>
      <c r="AH151" s="80" t="n"/>
      <c r="AI151" s="80" t="n"/>
      <c r="AJ151" s="80" t="n"/>
      <c r="AK151" s="80" t="n"/>
      <c r="AL151" s="80" t="n"/>
      <c r="AM151" s="80" t="n"/>
      <c r="AN151" s="80" t="n"/>
      <c r="AO151" s="80" t="n"/>
      <c r="AP151" s="80" t="n"/>
      <c r="AQ151" s="80" t="n"/>
      <c r="AR151" s="80" t="n"/>
      <c r="AS151" s="80" t="n"/>
      <c r="AT151" s="81" t="n"/>
      <c r="AU151" s="81" t="n"/>
      <c r="AV151" s="81" t="n"/>
      <c r="AW151" s="82" t="n"/>
      <c r="AX151" s="82" t="n"/>
      <c r="AY151" s="82" t="n"/>
      <c r="AZ151" s="82" t="n"/>
      <c r="BA151" s="82" t="n"/>
      <c r="BB151" s="83" t="n"/>
      <c r="BC151" s="83" t="n"/>
      <c r="BD151" s="84">
        <f>IF($A151="","",IF($DJ151&lt;&gt;"","FIX",IF($DK151&lt;&gt;"","CHECK","OK")))</f>
        <v/>
      </c>
      <c r="BE151" s="85">
        <f>IF($A151="","",IF($DJ151&lt;&gt;"","FIX: "&amp;LEFT($DJ151,LEN($DJ151)-2)&amp;IF($DK151&lt;&gt;"","  ·  ",""),"")&amp;IF($DK151&lt;&gt;"","CHECK: "&amp;LEFT($DK151,LEN($DK151)-2),""))</f>
        <v/>
      </c>
      <c r="BF151" s="84">
        <f>IF(OR($A151="",$K151=""),"",$K151&amp;"'-"&amp;N($L151)&amp;CHAR(34)&amp;" x "&amp;$M151&amp;"'-"&amp;N($N151)&amp;CHAR(34))</f>
        <v/>
      </c>
      <c r="BG151" s="84">
        <f>IF(OR($A151="",$K151=""),"",$K151&amp;N($L151)&amp;$M151&amp;N($N151))</f>
        <v/>
      </c>
      <c r="BH151" s="84">
        <f>IF(OR($A151="",$K151=""),"",$K151*12+N($L151))</f>
        <v/>
      </c>
      <c r="BI151" s="84">
        <f>IF(OR($A151="",$M151=""),"",$M151*12+N($N151))</f>
        <v/>
      </c>
      <c r="BJ151" s="84">
        <f>IF($A151="","",IF(OR($C151="FRAME ONLY",$S151="BL"),0,IF($O151="Y",2,1)))</f>
        <v/>
      </c>
      <c r="BK151" s="86">
        <f>IF(OR(N($BJ151)=0,$BH151=""),"",($BH151-2*EdgeClr-IF($BJ151=2,MeetClr,0))/$BJ151)</f>
        <v/>
      </c>
      <c r="BL151" s="86">
        <f>IF(OR(N($BJ151)=0,$BI151=""),"",$BI151-HeadClr-Undercut)</f>
        <v/>
      </c>
      <c r="BM151" s="86">
        <f>IF($BH151="","",$BH151+2*FaceW+IF(N($Q151)&gt;0,($Q151+FaceW)*IF($R151="LR",2,1),0))</f>
        <v/>
      </c>
      <c r="BN151" s="86">
        <f>IF($BI151="","",$BI151+IF($AB151="Y",4,FaceW)+IF(N($P151)&gt;0,$P151+FaceW,0)+IF(OR($S151="4F",$S151="BL"),FaceW,0))</f>
        <v/>
      </c>
      <c r="BO151" s="86">
        <f>IF($BM151="","",$BM151+2*ROSide)</f>
        <v/>
      </c>
      <c r="BP151" s="86">
        <f>IF($BN151="","",$BN151+ROTop)</f>
        <v/>
      </c>
      <c r="BQ151" s="87">
        <f>IF(OR(N($BJ151)=0,$BH151=""),"",$BH151/$BJ151-ClearDeduct)</f>
        <v/>
      </c>
      <c r="BR151" s="84">
        <f>IF(N($CH151)=0,"",IF($CH151&gt;=180,"A · 3 HR",IF($CH151&gt;=90,"B · 1-1/2 HR",IF($CH151&gt;=60,"B · 1 HR",IF($CH151&gt;=45,"C · 3/4 HR","20 MIN")))))&amp;IF(AND(N($CH151)&gt;0,OR($I151="CORRIDOR",$I151="SMOKE BARRIER"))," · S","")</f>
        <v/>
      </c>
      <c r="BS151" s="84">
        <f>IF($CS151,"",IF($AV151&lt;&gt;"",$AV151,IF(OR($AC151="HGC",$AO151="HGC"),"CONT",IF(($BI151-HeadClr-Undercut)&lt;=60,2,IF(($BI151-HeadClr-Undercut)&lt;=90,3,IF(($BI151-HeadClr-Undercut)&lt;=120,4,5))))))</f>
        <v/>
      </c>
      <c r="BT151" s="84">
        <f>IF($CS151,"",IF($CT151,"CUSTOM (typed)",IF($CV151,$AT151&amp;" "&amp;$CU151&amp;CHAR(34)&amp;IF($CU151&lt;&gt;$BI151,IF(AND($BI151&lt;$CU151,$BI151-IF(N(VLOOKUP($AT151&amp;"|"&amp;$CU151,LocTable,7,FALSE))&gt;0,VLOOKUP($AT151&amp;"|"&amp;$CU151,LocTable,7,FALSE),VLOOKUP($AT151&amp;"|"&amp;$CU151,LocTable,6,FALSE))-$CR151-0.75&gt;=2.125)," cut down"," adj."),""),"ANSI/SDI A250.6")))</f>
        <v/>
      </c>
      <c r="BU151" s="88">
        <f>IF($CS151,"",IF($CT151,IF(N($AW151)&gt;0,N($AW151),""),IF(1&gt;$CQ151,"",IF($CQ151=1,$CW151,$CW151+($CX151-$CW151)*0/($CQ151-1)))))</f>
        <v/>
      </c>
      <c r="BV151" s="88">
        <f>IF($CS151,"",IF($CT151,IF(N($AX151)&gt;0,N($AX151),""),IF(2&gt;$CQ151,"",IF($CQ151=1,$CW151,$CW151+($CX151-$CW151)*1/($CQ151-1)))))</f>
        <v/>
      </c>
      <c r="BW151" s="88">
        <f>IF($CS151,"",IF($CT151,IF(N($AY151)&gt;0,N($AY151),""),IF(3&gt;$CQ151,"",IF($CQ151=1,$CW151,$CW151+($CX151-$CW151)*2/($CQ151-1)))))</f>
        <v/>
      </c>
      <c r="BX151" s="88">
        <f>IF($CS151,"",IF($CT151,IF(N($AZ151)&gt;0,N($AZ151),""),IF(4&gt;$CQ151,"",IF($CQ151=1,$CW151,$CW151+($CX151-$CW151)*3/($CQ151-1)))))</f>
        <v/>
      </c>
      <c r="BY151" s="88">
        <f>IF($CS151,"",IF($CT151,"",IF(5&gt;$CQ151,"",IF($CQ151=1,$CW151,$CW151+($CX151-$CW151)*4/($CQ151-1)))))</f>
        <v/>
      </c>
      <c r="BZ151" s="88">
        <f>IF(OR($CS151,$AP151="-",AND($AP151="",$AD151="")),"",IF(N($BA151)&gt;0,N($BA151),IF($CV151,IF(AND($BI151&lt;$CU151,$BI151-IF(N(VLOOKUP($AT151&amp;"|"&amp;$CU151,LocTable,7,FALSE))&gt;0,VLOOKUP($AT151&amp;"|"&amp;$CU151,LocTable,7,FALSE),VLOOKUP($AT151&amp;"|"&amp;$CU151,LocTable,6,FALSE))-$CR151-0.75&gt;=2.125),VLOOKUP($AT151&amp;"|"&amp;$CU151,LocTable,8,FALSE),VLOOKUP($AT151&amp;"|"&amp;$CU151,LocTable,8,FALSE)+($BI151-$CU151)),$BI151-LockAFF)))</f>
        <v/>
      </c>
      <c r="CA151" s="89">
        <f>IF($BZ151="","",$BI151-$BZ151)</f>
        <v/>
      </c>
      <c r="CB151" s="84">
        <f>IF(OR(NOT(AND($A151&lt;&gt;"",$C151&lt;&gt;"DOOR ONLY")),$BI151=""),"",IF(($BI151+IF(N($P151)&gt;0,$P151+FaceW,0))&lt;=90,3,IF(($BI151+IF(N($P151)&gt;0,$P151+FaceW,0))&lt;=114,4,5)))</f>
        <v/>
      </c>
      <c r="CC151" s="84">
        <f>IF($CB151="","",$CB151*(2+IF(N($Q151)&gt;0,IF($R151="LR",2,1),0)))</f>
        <v/>
      </c>
      <c r="CD151" s="84">
        <f>IF($CB151="","",(2+IF(N($Q151)&gt;0,IF($R151="LR",2,1),0)))</f>
        <v/>
      </c>
      <c r="CE151" s="84">
        <f>IF(N($BJ151)=0,"",IF(OR($AL151="",$AL151="FLUSH"),"FLUSH",IFERROR(LEFT($AL151,FIND("-",$AL151)-1),LEFT($AL151,2))))</f>
        <v/>
      </c>
      <c r="CF151" s="84">
        <f>IF($CE151="","",IFERROR(VALUE(MID($AL151,FIND("-",$AL151)+1,FIND(CHAR(34)&amp;"x",$AL151)-FIND("-",$AL151)-1)),0))</f>
        <v/>
      </c>
      <c r="CG151" s="84">
        <f>IF($CE151="","",IFERROR(VALUE(MID($AL151,FIND(CHAR(34)&amp;"x",$AL151)+2,FIND(CHAR(34),$AL151,FIND(CHAR(34)&amp;"x",$AL151)+2)-FIND(CHAR(34)&amp;"x",$AL151)-2)),0))</f>
        <v/>
      </c>
      <c r="CH151" s="90">
        <f>IF(OR($A151="",$H151="",$H151="NO LAB"),0,IFERROR(VALUE(LEFT($H151,FIND(" ",$H151)-1)),0))</f>
        <v/>
      </c>
      <c r="CI151" s="91">
        <f>IF(OR($A151="",$I151="",$I151="NON-RATED",N($J151)=0),"",IFERROR(VLOOKUP($I151&amp;"|"&amp;$J151,IBC,2,FALSE),"?"))</f>
        <v/>
      </c>
      <c r="CJ151" s="85">
        <f>IF(NOT(AND($A151&lt;&gt;"",$C151&lt;&gt;"DOOR ONLY")),"",TRIM(IFERROR(VLOOKUP($U151,CODES,2,FALSE),"")&amp;" "&amp;$BG151&amp;" "&amp;IFERROR(VLOOKUP($Z151,CODES,2,FALSE),"")&amp;" "&amp;IFERROR(VLOOKUP($X151,CODES,2,FALSE),"")&amp;" "&amp;IFERROR(VLOOKUP($S151,CODES,2,FALSE),"")&amp;IF(N($P151)&gt;0," w/TRANSOM "&amp;$P151&amp;CHAR(34),"")&amp;IF(N($Q151)&gt;0," w/SIDELITE "&amp;$Q151&amp;CHAR(34)&amp;" "&amp;IF($R151="","R",$R151),"")&amp;IF($Y151="","  |  "," | "&amp;IFERROR(VLOOKUP($Y151,CODES,2,FALSE),"")&amp;" | ")&amp;IFERROR(VLOOKUP($AC151,CODES,2,FALSE),"")&amp;" "&amp;IFERROR(VLOOKUP($AD151,CODES,2,FALSE),"")&amp;IF(OR($AE151="",$AE151="-"),""," "&amp;$AE151)&amp;IF(OR($AF151="",$AF151="-"),""," "&amp;$AF151)&amp;IF($AB151="Y"," 4"&amp;CHAR(34)&amp;" HEAD","")&amp;" "&amp;IFERROR(VLOOKUP($H151,CODES,2,FALSE),"")&amp;IF($CT151," | LOC "&amp;$CY151,"")))</f>
        <v/>
      </c>
      <c r="CK151" s="85">
        <f>IF(NOT(AND($A151&lt;&gt;"",N($BJ151)&gt;0)),"",TRIM(IFERROR(VLOOKUP($AH151,CODES,2,FALSE),"")&amp;IF($AI151=""," "," "&amp;$AI151&amp;"GA ")&amp;$BG151&amp;" "&amp;IF($AN151="",IFERROR(VLOOKUP($Z151,CODES,2,FALSE),""),IFERROR(VLOOKUP($AN151,CODES,2,FALSE),""))&amp;IF($BJ151=2," PAIR","")&amp;" DOOR | "&amp;IF($AL151="","?",$AL151)&amp;" | "&amp;IF($AO151="",IFERROR(VLOOKUP($AC151,CODES,2,FALSE),""),IFERROR(VLOOKUP($AO151,CODES,2,FALSE),""))&amp;" "&amp;IFERROR(VLOOKUP($AP151,CODES,2,FALSE),"")&amp;IF(OR($AQ151="",$AQ151="-"),""," SEAM "&amp;$AQ151)&amp;IF($AR151="Y"," ASTRAGAL","")&amp;IF($AJ151=""," "," "&amp;$AJ151)&amp;IF($AK151=""," "," "&amp;$AK151)&amp;IF(OR($AT151="",$AT151="ANSI/SDI",$AT151="CUSTOM LOC"),""," "&amp;$AT151)&amp;IF($AM151=""," "," SERIES "&amp;$AM151)&amp;" "&amp;IFERROR(VLOOKUP($H151,CODES,2,FALSE),"")&amp;IF($CT151," | LOC "&amp;$CZ151,"")))</f>
        <v/>
      </c>
      <c r="CL151" s="84">
        <f>IF(CP151="","",IF(COUNTIF($CP$6:CP151,CP151)=1,MAX($CL$5:CL150)+1,INDEX($CL$5:CL150,MATCH(CP151,$CP$5:CP150,0))))</f>
        <v/>
      </c>
      <c r="CM151" s="84">
        <f>IF(NOT(AND($A151&lt;&gt;"",$C151&lt;&gt;"DOOR ONLY")),"",MAX($CM$5:CM150)+1)</f>
        <v/>
      </c>
      <c r="CN151" s="84">
        <f>IF(NOT(AND($A151&lt;&gt;"",N($BJ151)&gt;0)),"",MAX($CN$5:CN150)+1)</f>
        <v/>
      </c>
      <c r="CO151" s="84">
        <f>IF($A151="","",MAX($CO$5:CO150)+1)</f>
        <v/>
      </c>
      <c r="CP151" s="84">
        <f>IF(OR($A151="",$BH151="",$BI151=""),"",$BG151&amp;"|"&amp;$O151&amp;"|"&amp;$AL151&amp;"|"&amp;$S151&amp;"|"&amp;$P151&amp;"|"&amp;$Q151&amp;$R151&amp;"|"&amp;$C151&amp;"|"&amp;$AB151)</f>
        <v/>
      </c>
      <c r="CQ151" s="84">
        <f>N($BS151)</f>
        <v/>
      </c>
      <c r="CR151" s="84">
        <f>IF(N($AU151)&gt;0,N($AU151),4.5)</f>
        <v/>
      </c>
      <c r="CS151" s="84">
        <f>OR($A151="",$BI151="",$S151="BL",AND($C151="FRAME ONLY",OR($AC151="",$AC151="BLK")))</f>
        <v/>
      </c>
      <c r="CT151" s="84">
        <f>AND(NOT($CS151),OR($AT151="CUSTOM LOC",N($AW151)+N($AX151)+N($AY151)+N($AZ151)+N($BA151)&gt;0))</f>
        <v/>
      </c>
      <c r="CU151" s="84">
        <f>IF($BI151="","",IF($BI151&lt;=80,80,IF($BI151&lt;=84,84,96)))</f>
        <v/>
      </c>
      <c r="CV151" s="84">
        <f>ISNUMBER(MATCH($AT151&amp;"|80",LocKeys,0))</f>
        <v/>
      </c>
      <c r="CW151" s="86">
        <f>IF($CS151,"",IF($CV151,VLOOKUP($AT151&amp;"|"&amp;$CU151,LocTable,4,FALSE),5))</f>
        <v/>
      </c>
      <c r="CX151" s="86">
        <f>IF($CS151,"",IF($CV151,IF(OR($BI151=$CU151,AND($BI151&lt;$CU151,$BI151-IF(N(VLOOKUP($AT151&amp;"|"&amp;$CU151,LocTable,7,FALSE))&gt;0,VLOOKUP($AT151&amp;"|"&amp;$CU151,LocTable,7,FALSE),VLOOKUP($AT151&amp;"|"&amp;$CU151,LocTable,6,FALSE))-$CR151-0.75&gt;=2.125)),IF(N(VLOOKUP($AT151&amp;"|"&amp;$CU151,LocTable,7,FALSE))&gt;0,VLOOKUP($AT151&amp;"|"&amp;$CU151,LocTable,7,FALSE),VLOOKUP($AT151&amp;"|"&amp;$CU151,LocTable,6,FALSE)),$BI151-($CU151-IF(N(VLOOKUP($AT151&amp;"|"&amp;$CU151,LocTable,7,FALSE))&gt;0,VLOOKUP($AT151&amp;"|"&amp;$CU151,LocTable,7,FALSE),VLOOKUP($AT151&amp;"|"&amp;$CU151,LocTable,6,FALSE)))),$BI151-10-$CR151))</f>
        <v/>
      </c>
      <c r="CY151" s="85">
        <f>IF($CS151,"",TRIM(IF(ISNUMBER($BU151),"A "&amp;TRIM(TEXT($BU151,"# ?/??"))&amp;CHAR(34)&amp;"  ","")&amp;IF(ISNUMBER($BV151),"B "&amp;TRIM(TEXT($BV151,"# ?/??"))&amp;CHAR(34)&amp;"  ","")&amp;IF(ISNUMBER($BW151),"C "&amp;TRIM(TEXT($BW151,"# ?/??"))&amp;CHAR(34)&amp;"  ","")&amp;IF(ISNUMBER($BX151),"D "&amp;TRIM(TEXT($BX151,"# ?/??"))&amp;CHAR(34)&amp;"  ","")&amp;IF(ISNUMBER($BY151),"F "&amp;TRIM(TEXT($BY151,"# ?/??"))&amp;CHAR(34)&amp;"  ","")&amp;IF(ISNUMBER($BZ151),"E "&amp;TRIM(TEXT($BZ151,"# ?/??"))&amp;CHAR(34)&amp;"  ","")))</f>
        <v/>
      </c>
      <c r="CZ151" s="85">
        <f>IF(OR($CS151,N($BJ151)=0),"",TRIM(IF(ISNUMBER($BU151),"A "&amp;TRIM(TEXT($BU151-HeadClr,"# ?/??"))&amp;CHAR(34)&amp;"  ","")&amp;IF(ISNUMBER($BV151),"B "&amp;TRIM(TEXT($BV151-HeadClr,"# ?/??"))&amp;CHAR(34)&amp;"  ","")&amp;IF(ISNUMBER($BW151),"C "&amp;TRIM(TEXT($BW151-HeadClr,"# ?/??"))&amp;CHAR(34)&amp;"  ","")&amp;IF(ISNUMBER($BX151),"D "&amp;TRIM(TEXT($BX151-HeadClr,"# ?/??"))&amp;CHAR(34)&amp;"  ","")&amp;IF(ISNUMBER($BY151),"F "&amp;TRIM(TEXT($BY151-HeadClr,"# ?/??"))&amp;CHAR(34)&amp;"  ","")&amp;IF(ISNUMBER($BZ151),"E "&amp;TRIM(TEXT($BZ151-HeadClr,"# ?/??"))&amp;CHAR(34)&amp;"  ","")))</f>
        <v/>
      </c>
      <c r="DA151" s="84">
        <f>IF($A151="","",IF($AN151="",IFERROR(VLOOKUP($Z151,CODES,2,FALSE),""),IFERROR(VLOOKUP($AN151,CODES,2,FALSE),"")))</f>
        <v/>
      </c>
      <c r="DB151" s="84">
        <f>IF($A151="","",IF($O151="Y","PR",IF(OR($Z151="L",$Z151="RR",LEFT($Z151,2)="L-",LEFT($Z151,3)="RR-"),"LH","RH")))</f>
        <v/>
      </c>
      <c r="DC151" s="84">
        <f>IF($A151="","","S.HM"&amp;IF(OR($C151="DOOR ONLY",$X151&lt;&gt;"KD"),"MASONRY","DRYWALL")&amp;IF($C151="DOOR ONLY","",$U151)&amp;IF(AND($C151&lt;&gt;"FRAME ONLY",OR(LEFT($AH151,3)="OAK",LEFT($AH151,3)="BIR",LEFT($AH151,3)="MAP",$AH151="PC",$AH151="MC",$AH151="SCLC",$AH151="P-LAM")),"WD","HM")&amp;"1.75")</f>
        <v/>
      </c>
      <c r="DD151" s="84">
        <f>IF($CJ151="","",IF($O151="Y",$CJ151,SUBSTITUTE($CJ151,$BG151&amp;" "&amp;IFERROR(VLOOKUP($Z151,CODES,2,FALSE),"")&amp;" ",$BG151&amp;" ")))</f>
        <v/>
      </c>
      <c r="DE151" s="84">
        <f>IF($CK151="","",IF($O151="Y",$CK151,SUBSTITUTE($CK151,$BG151&amp;" "&amp;IF($AN151="",IFERROR(VLOOKUP($Z151,CODES,2,FALSE),""),IFERROR(VLOOKUP($AN151,CODES,2,FALSE),""))&amp;" ",$BG151&amp;" ")))</f>
        <v/>
      </c>
      <c r="DF151" s="84">
        <f>IF($CJ151="","",$DC151&amp;"|"&amp;$DD151&amp;"|"&amp;$DB151&amp;"|"&amp;$AT151&amp;"|"&amp;$V151&amp;"|"&amp;$Y151&amp;"|"&amp;$AB151)</f>
        <v/>
      </c>
      <c r="DG151" s="84">
        <f>IF(DF151="","",IF(COUNTIF($DF$6:DF151,DF151)=1,MAX($DG$5:DG150)+1,INDEX($DG$5:DG150,MATCH(DF151,$DF$5:DF150,0))))</f>
        <v/>
      </c>
      <c r="DH151" s="84">
        <f>IF($CK151="","",$DC151&amp;"|"&amp;$DE151&amp;"|"&amp;$AI151&amp;"|"&amp;$BK151&amp;"|"&amp;$BL151)</f>
        <v/>
      </c>
      <c r="DI151" s="84">
        <f>IF(DH151="","",IF(COUNTIF($DH$6:DH151,DH151)=1,MAX($DI$5:DI150)+1,INDEX($DI$5:DI150,MATCH(DH151,$DH$5:DH150,0))))</f>
        <v/>
      </c>
      <c r="DJ151" s="84">
        <f>IF($A151="","",IF($B151="","qty, ","")&amp;IF($C151="","scope, ","")&amp;IF(OR($K151="",$M151=""),"size, ","")&amp;IF(AND($A151&lt;&gt;"",$C151&lt;&gt;"DOOR ONLY"),IF($U151="","jamb depth, ","")&amp;IF($X151="","construction, ","")&amp;IF($Y151="","anchor, ","")&amp;IF($S151="","frame type, ",""),"")&amp;IF(AND(N($BJ151)&gt;0,$Z151=""),"hand, ","")&amp;IF(N($BJ151)&gt;0,IF($AH151="","door material, ","")&amp;IF($AL151="","face type, ","")&amp;IF($AP151="","lock prep, ","")&amp;IF(AND($AO151="",$AC151=""),"hinge prep, ",""),"")&amp;IF(AND($CH151&gt;0,$AH151="FRP"),"FRP cannot carry a label, ","")&amp;IF(AND($O151="Y",OR($Z151="L",$Z151="R",$Z151="LR",$Z151="RR")),"pair marked but hand is single, ","")&amp;IF(AND($O151&lt;&gt;"Y",OR($Z151="PR",AND(LEN($Z151)&gt;1,ISNUMBER(SEARCH("-",$Z151))))),"pair hand on a single door, ","")&amp;IF(AND(ISNUMBER($CI151),$CH151&lt;N($CI151)),"wall needs a "&amp;$CI151&amp;" min door, ","")&amp;IF(AND($CH151&gt;=180,AND(OR($CE151="FG",$CE151="HG",$CE151="FNV",$CE151="FV"),N($CF151)*N($CG151)&gt;100)),"180 min lite over 100 sq in, ","")&amp;IF(N($BK151)&gt;48,"leaf wider than 4'-0"&amp;CHAR(34)&amp;", ","")&amp;IF(AND($CT151,COUNT($AW151:$AZ151)=0,$CQ151&gt;0),"CUSTOM LOC with no locations typed, ",""))</f>
        <v/>
      </c>
      <c r="DK151" s="84">
        <f>IF($A151="","",IF(AND($CH151&gt;0,AND($A151&lt;&gt;"",$C151&lt;&gt;"DOOR ONLY"),$X151="KD",$E151="EXTERIOR"),"KD label on an exterior opening, ","")&amp;IF(AND($E151="EXTERIOR",OR(AND(AND($A151&lt;&gt;"",$C151&lt;&gt;"DOOR ONLY"),$W151="CR"),AND(N($BJ151)&gt;0,$AH151="CR"))),"exterior in CR steel (G9?), ","")&amp;IF(AND(ISNUMBER($BQ151),N($BQ151)&lt;32),"clear width ~"&amp;TEXT($BQ151,"0.0")&amp;CHAR(34)&amp;" under 32"&amp;CHAR(34)&amp;" (ADA), ","")&amp;IF(AND($CH151=90,AND(OR($CE151="FG",$CE151="HG",$CE151="FNV",$CE151="FV"),N($CF151)*N($CG151)&gt;100)),"90 min lite over 100 sq in (stair/exit), ","")&amp;IF(AND($CH151&gt;0,AND($A151&lt;&gt;"",$C151&lt;&gt;"DOOR ONLY"),OR($AF151="",$AF151="-")),"rated: closer reinf.?, ","")&amp;IF(OR($I151="CORRIDOR",$I151="SMOKE BARRIER"),"S label + smoke gasketing, ","")&amp;IF($CI151="?","wall type/hr not in IBC table, ","")&amp;IF(AND(N($BJ151)&gt;0,$BB151=""),"no hardware set, ","")&amp;IF(AND($BB151&lt;&gt;"",ISNA(MATCH($BB151&amp;"",HWSets,0))),"set "&amp;$BB151&amp;" not on HW Sets, ","")&amp;IF(N($BL151)&gt;96,"leaf over 8'-0"&amp;CHAR(34)&amp;" - check listing, ","")&amp;IF(AND($CT151,COUNT($AW151:$AZ151)&gt;0,COUNT($AW151:$AZ151)&lt;&gt;$CQ151),COUNT($AW151:$AZ151)&amp;" custom hinges typed, "&amp;$CQ151&amp;" expected, ","")&amp;IF(AND(ISNUMBER($CA151),OR(N($CA151)&lt;34,N($CA151)&gt;48)),"lock "&amp;TEXT($CA151,"0.0")&amp;CHAR(34)&amp;" AFF outside 34-48"&amp;CHAR(34)&amp;" (ADA), ","")&amp;IF(AND(ISNUMBER($AV151),ISNUMBER($BL151),N($AV151)&lt;IF(N($BL151)&lt;=60,2,IF(N($BL151)&lt;=90,3,IF(N($BL151)&lt;=120,4,5)))),"fewer hinges than standard, ",""))</f>
        <v/>
      </c>
    </row>
    <row r="152" ht="15" customHeight="1">
      <c r="A152" s="77" t="n"/>
      <c r="B152" s="78" t="n"/>
      <c r="C152" s="78" t="n"/>
      <c r="D152" s="78" t="n"/>
      <c r="E152" s="78" t="n"/>
      <c r="F152" s="78" t="n"/>
      <c r="G152" s="78" t="n"/>
      <c r="H152" s="78" t="n"/>
      <c r="I152" s="78" t="n"/>
      <c r="J152" s="78" t="n"/>
      <c r="K152" s="78" t="n"/>
      <c r="L152" s="78" t="n"/>
      <c r="M152" s="78" t="n"/>
      <c r="N152" s="78" t="n"/>
      <c r="O152" s="78" t="n"/>
      <c r="P152" s="78" t="n"/>
      <c r="Q152" s="78" t="n"/>
      <c r="R152" s="78" t="n"/>
      <c r="S152" s="79" t="n"/>
      <c r="T152" s="79" t="n"/>
      <c r="U152" s="79" t="n"/>
      <c r="V152" s="79" t="n"/>
      <c r="W152" s="79" t="n"/>
      <c r="X152" s="79" t="n"/>
      <c r="Y152" s="79" t="n"/>
      <c r="Z152" s="79" t="n"/>
      <c r="AA152" s="79" t="n"/>
      <c r="AB152" s="79" t="n"/>
      <c r="AC152" s="79" t="n"/>
      <c r="AD152" s="79" t="n"/>
      <c r="AE152" s="79" t="n"/>
      <c r="AF152" s="79" t="n"/>
      <c r="AG152" s="79" t="n"/>
      <c r="AH152" s="80" t="n"/>
      <c r="AI152" s="80" t="n"/>
      <c r="AJ152" s="80" t="n"/>
      <c r="AK152" s="80" t="n"/>
      <c r="AL152" s="80" t="n"/>
      <c r="AM152" s="80" t="n"/>
      <c r="AN152" s="80" t="n"/>
      <c r="AO152" s="80" t="n"/>
      <c r="AP152" s="80" t="n"/>
      <c r="AQ152" s="80" t="n"/>
      <c r="AR152" s="80" t="n"/>
      <c r="AS152" s="80" t="n"/>
      <c r="AT152" s="81" t="n"/>
      <c r="AU152" s="81" t="n"/>
      <c r="AV152" s="81" t="n"/>
      <c r="AW152" s="82" t="n"/>
      <c r="AX152" s="82" t="n"/>
      <c r="AY152" s="82" t="n"/>
      <c r="AZ152" s="82" t="n"/>
      <c r="BA152" s="82" t="n"/>
      <c r="BB152" s="83" t="n"/>
      <c r="BC152" s="83" t="n"/>
      <c r="BD152" s="84">
        <f>IF($A152="","",IF($DJ152&lt;&gt;"","FIX",IF($DK152&lt;&gt;"","CHECK","OK")))</f>
        <v/>
      </c>
      <c r="BE152" s="85">
        <f>IF($A152="","",IF($DJ152&lt;&gt;"","FIX: "&amp;LEFT($DJ152,LEN($DJ152)-2)&amp;IF($DK152&lt;&gt;"","  ·  ",""),"")&amp;IF($DK152&lt;&gt;"","CHECK: "&amp;LEFT($DK152,LEN($DK152)-2),""))</f>
        <v/>
      </c>
      <c r="BF152" s="84">
        <f>IF(OR($A152="",$K152=""),"",$K152&amp;"'-"&amp;N($L152)&amp;CHAR(34)&amp;" x "&amp;$M152&amp;"'-"&amp;N($N152)&amp;CHAR(34))</f>
        <v/>
      </c>
      <c r="BG152" s="84">
        <f>IF(OR($A152="",$K152=""),"",$K152&amp;N($L152)&amp;$M152&amp;N($N152))</f>
        <v/>
      </c>
      <c r="BH152" s="84">
        <f>IF(OR($A152="",$K152=""),"",$K152*12+N($L152))</f>
        <v/>
      </c>
      <c r="BI152" s="84">
        <f>IF(OR($A152="",$M152=""),"",$M152*12+N($N152))</f>
        <v/>
      </c>
      <c r="BJ152" s="84">
        <f>IF($A152="","",IF(OR($C152="FRAME ONLY",$S152="BL"),0,IF($O152="Y",2,1)))</f>
        <v/>
      </c>
      <c r="BK152" s="86">
        <f>IF(OR(N($BJ152)=0,$BH152=""),"",($BH152-2*EdgeClr-IF($BJ152=2,MeetClr,0))/$BJ152)</f>
        <v/>
      </c>
      <c r="BL152" s="86">
        <f>IF(OR(N($BJ152)=0,$BI152=""),"",$BI152-HeadClr-Undercut)</f>
        <v/>
      </c>
      <c r="BM152" s="86">
        <f>IF($BH152="","",$BH152+2*FaceW+IF(N($Q152)&gt;0,($Q152+FaceW)*IF($R152="LR",2,1),0))</f>
        <v/>
      </c>
      <c r="BN152" s="86">
        <f>IF($BI152="","",$BI152+IF($AB152="Y",4,FaceW)+IF(N($P152)&gt;0,$P152+FaceW,0)+IF(OR($S152="4F",$S152="BL"),FaceW,0))</f>
        <v/>
      </c>
      <c r="BO152" s="86">
        <f>IF($BM152="","",$BM152+2*ROSide)</f>
        <v/>
      </c>
      <c r="BP152" s="86">
        <f>IF($BN152="","",$BN152+ROTop)</f>
        <v/>
      </c>
      <c r="BQ152" s="87">
        <f>IF(OR(N($BJ152)=0,$BH152=""),"",$BH152/$BJ152-ClearDeduct)</f>
        <v/>
      </c>
      <c r="BR152" s="84">
        <f>IF(N($CH152)=0,"",IF($CH152&gt;=180,"A · 3 HR",IF($CH152&gt;=90,"B · 1-1/2 HR",IF($CH152&gt;=60,"B · 1 HR",IF($CH152&gt;=45,"C · 3/4 HR","20 MIN")))))&amp;IF(AND(N($CH152)&gt;0,OR($I152="CORRIDOR",$I152="SMOKE BARRIER"))," · S","")</f>
        <v/>
      </c>
      <c r="BS152" s="84">
        <f>IF($CS152,"",IF($AV152&lt;&gt;"",$AV152,IF(OR($AC152="HGC",$AO152="HGC"),"CONT",IF(($BI152-HeadClr-Undercut)&lt;=60,2,IF(($BI152-HeadClr-Undercut)&lt;=90,3,IF(($BI152-HeadClr-Undercut)&lt;=120,4,5))))))</f>
        <v/>
      </c>
      <c r="BT152" s="84">
        <f>IF($CS152,"",IF($CT152,"CUSTOM (typed)",IF($CV152,$AT152&amp;" "&amp;$CU152&amp;CHAR(34)&amp;IF($CU152&lt;&gt;$BI152,IF(AND($BI152&lt;$CU152,$BI152-IF(N(VLOOKUP($AT152&amp;"|"&amp;$CU152,LocTable,7,FALSE))&gt;0,VLOOKUP($AT152&amp;"|"&amp;$CU152,LocTable,7,FALSE),VLOOKUP($AT152&amp;"|"&amp;$CU152,LocTable,6,FALSE))-$CR152-0.75&gt;=2.125)," cut down"," adj."),""),"ANSI/SDI A250.6")))</f>
        <v/>
      </c>
      <c r="BU152" s="88">
        <f>IF($CS152,"",IF($CT152,IF(N($AW152)&gt;0,N($AW152),""),IF(1&gt;$CQ152,"",IF($CQ152=1,$CW152,$CW152+($CX152-$CW152)*0/($CQ152-1)))))</f>
        <v/>
      </c>
      <c r="BV152" s="88">
        <f>IF($CS152,"",IF($CT152,IF(N($AX152)&gt;0,N($AX152),""),IF(2&gt;$CQ152,"",IF($CQ152=1,$CW152,$CW152+($CX152-$CW152)*1/($CQ152-1)))))</f>
        <v/>
      </c>
      <c r="BW152" s="88">
        <f>IF($CS152,"",IF($CT152,IF(N($AY152)&gt;0,N($AY152),""),IF(3&gt;$CQ152,"",IF($CQ152=1,$CW152,$CW152+($CX152-$CW152)*2/($CQ152-1)))))</f>
        <v/>
      </c>
      <c r="BX152" s="88">
        <f>IF($CS152,"",IF($CT152,IF(N($AZ152)&gt;0,N($AZ152),""),IF(4&gt;$CQ152,"",IF($CQ152=1,$CW152,$CW152+($CX152-$CW152)*3/($CQ152-1)))))</f>
        <v/>
      </c>
      <c r="BY152" s="88">
        <f>IF($CS152,"",IF($CT152,"",IF(5&gt;$CQ152,"",IF($CQ152=1,$CW152,$CW152+($CX152-$CW152)*4/($CQ152-1)))))</f>
        <v/>
      </c>
      <c r="BZ152" s="88">
        <f>IF(OR($CS152,$AP152="-",AND($AP152="",$AD152="")),"",IF(N($BA152)&gt;0,N($BA152),IF($CV152,IF(AND($BI152&lt;$CU152,$BI152-IF(N(VLOOKUP($AT152&amp;"|"&amp;$CU152,LocTable,7,FALSE))&gt;0,VLOOKUP($AT152&amp;"|"&amp;$CU152,LocTable,7,FALSE),VLOOKUP($AT152&amp;"|"&amp;$CU152,LocTable,6,FALSE))-$CR152-0.75&gt;=2.125),VLOOKUP($AT152&amp;"|"&amp;$CU152,LocTable,8,FALSE),VLOOKUP($AT152&amp;"|"&amp;$CU152,LocTable,8,FALSE)+($BI152-$CU152)),$BI152-LockAFF)))</f>
        <v/>
      </c>
      <c r="CA152" s="89">
        <f>IF($BZ152="","",$BI152-$BZ152)</f>
        <v/>
      </c>
      <c r="CB152" s="84">
        <f>IF(OR(NOT(AND($A152&lt;&gt;"",$C152&lt;&gt;"DOOR ONLY")),$BI152=""),"",IF(($BI152+IF(N($P152)&gt;0,$P152+FaceW,0))&lt;=90,3,IF(($BI152+IF(N($P152)&gt;0,$P152+FaceW,0))&lt;=114,4,5)))</f>
        <v/>
      </c>
      <c r="CC152" s="84">
        <f>IF($CB152="","",$CB152*(2+IF(N($Q152)&gt;0,IF($R152="LR",2,1),0)))</f>
        <v/>
      </c>
      <c r="CD152" s="84">
        <f>IF($CB152="","",(2+IF(N($Q152)&gt;0,IF($R152="LR",2,1),0)))</f>
        <v/>
      </c>
      <c r="CE152" s="84">
        <f>IF(N($BJ152)=0,"",IF(OR($AL152="",$AL152="FLUSH"),"FLUSH",IFERROR(LEFT($AL152,FIND("-",$AL152)-1),LEFT($AL152,2))))</f>
        <v/>
      </c>
      <c r="CF152" s="84">
        <f>IF($CE152="","",IFERROR(VALUE(MID($AL152,FIND("-",$AL152)+1,FIND(CHAR(34)&amp;"x",$AL152)-FIND("-",$AL152)-1)),0))</f>
        <v/>
      </c>
      <c r="CG152" s="84">
        <f>IF($CE152="","",IFERROR(VALUE(MID($AL152,FIND(CHAR(34)&amp;"x",$AL152)+2,FIND(CHAR(34),$AL152,FIND(CHAR(34)&amp;"x",$AL152)+2)-FIND(CHAR(34)&amp;"x",$AL152)-2)),0))</f>
        <v/>
      </c>
      <c r="CH152" s="90">
        <f>IF(OR($A152="",$H152="",$H152="NO LAB"),0,IFERROR(VALUE(LEFT($H152,FIND(" ",$H152)-1)),0))</f>
        <v/>
      </c>
      <c r="CI152" s="91">
        <f>IF(OR($A152="",$I152="",$I152="NON-RATED",N($J152)=0),"",IFERROR(VLOOKUP($I152&amp;"|"&amp;$J152,IBC,2,FALSE),"?"))</f>
        <v/>
      </c>
      <c r="CJ152" s="85">
        <f>IF(NOT(AND($A152&lt;&gt;"",$C152&lt;&gt;"DOOR ONLY")),"",TRIM(IFERROR(VLOOKUP($U152,CODES,2,FALSE),"")&amp;" "&amp;$BG152&amp;" "&amp;IFERROR(VLOOKUP($Z152,CODES,2,FALSE),"")&amp;" "&amp;IFERROR(VLOOKUP($X152,CODES,2,FALSE),"")&amp;" "&amp;IFERROR(VLOOKUP($S152,CODES,2,FALSE),"")&amp;IF(N($P152)&gt;0," w/TRANSOM "&amp;$P152&amp;CHAR(34),"")&amp;IF(N($Q152)&gt;0," w/SIDELITE "&amp;$Q152&amp;CHAR(34)&amp;" "&amp;IF($R152="","R",$R152),"")&amp;IF($Y152="","  |  "," | "&amp;IFERROR(VLOOKUP($Y152,CODES,2,FALSE),"")&amp;" | ")&amp;IFERROR(VLOOKUP($AC152,CODES,2,FALSE),"")&amp;" "&amp;IFERROR(VLOOKUP($AD152,CODES,2,FALSE),"")&amp;IF(OR($AE152="",$AE152="-"),""," "&amp;$AE152)&amp;IF(OR($AF152="",$AF152="-"),""," "&amp;$AF152)&amp;IF($AB152="Y"," 4"&amp;CHAR(34)&amp;" HEAD","")&amp;" "&amp;IFERROR(VLOOKUP($H152,CODES,2,FALSE),"")&amp;IF($CT152," | LOC "&amp;$CY152,"")))</f>
        <v/>
      </c>
      <c r="CK152" s="85">
        <f>IF(NOT(AND($A152&lt;&gt;"",N($BJ152)&gt;0)),"",TRIM(IFERROR(VLOOKUP($AH152,CODES,2,FALSE),"")&amp;IF($AI152=""," "," "&amp;$AI152&amp;"GA ")&amp;$BG152&amp;" "&amp;IF($AN152="",IFERROR(VLOOKUP($Z152,CODES,2,FALSE),""),IFERROR(VLOOKUP($AN152,CODES,2,FALSE),""))&amp;IF($BJ152=2," PAIR","")&amp;" DOOR | "&amp;IF($AL152="","?",$AL152)&amp;" | "&amp;IF($AO152="",IFERROR(VLOOKUP($AC152,CODES,2,FALSE),""),IFERROR(VLOOKUP($AO152,CODES,2,FALSE),""))&amp;" "&amp;IFERROR(VLOOKUP($AP152,CODES,2,FALSE),"")&amp;IF(OR($AQ152="",$AQ152="-"),""," SEAM "&amp;$AQ152)&amp;IF($AR152="Y"," ASTRAGAL","")&amp;IF($AJ152=""," "," "&amp;$AJ152)&amp;IF($AK152=""," "," "&amp;$AK152)&amp;IF(OR($AT152="",$AT152="ANSI/SDI",$AT152="CUSTOM LOC"),""," "&amp;$AT152)&amp;IF($AM152=""," "," SERIES "&amp;$AM152)&amp;" "&amp;IFERROR(VLOOKUP($H152,CODES,2,FALSE),"")&amp;IF($CT152," | LOC "&amp;$CZ152,"")))</f>
        <v/>
      </c>
      <c r="CL152" s="84">
        <f>IF(CP152="","",IF(COUNTIF($CP$6:CP152,CP152)=1,MAX($CL$5:CL151)+1,INDEX($CL$5:CL151,MATCH(CP152,$CP$5:CP151,0))))</f>
        <v/>
      </c>
      <c r="CM152" s="84">
        <f>IF(NOT(AND($A152&lt;&gt;"",$C152&lt;&gt;"DOOR ONLY")),"",MAX($CM$5:CM151)+1)</f>
        <v/>
      </c>
      <c r="CN152" s="84">
        <f>IF(NOT(AND($A152&lt;&gt;"",N($BJ152)&gt;0)),"",MAX($CN$5:CN151)+1)</f>
        <v/>
      </c>
      <c r="CO152" s="84">
        <f>IF($A152="","",MAX($CO$5:CO151)+1)</f>
        <v/>
      </c>
      <c r="CP152" s="84">
        <f>IF(OR($A152="",$BH152="",$BI152=""),"",$BG152&amp;"|"&amp;$O152&amp;"|"&amp;$AL152&amp;"|"&amp;$S152&amp;"|"&amp;$P152&amp;"|"&amp;$Q152&amp;$R152&amp;"|"&amp;$C152&amp;"|"&amp;$AB152)</f>
        <v/>
      </c>
      <c r="CQ152" s="84">
        <f>N($BS152)</f>
        <v/>
      </c>
      <c r="CR152" s="84">
        <f>IF(N($AU152)&gt;0,N($AU152),4.5)</f>
        <v/>
      </c>
      <c r="CS152" s="84">
        <f>OR($A152="",$BI152="",$S152="BL",AND($C152="FRAME ONLY",OR($AC152="",$AC152="BLK")))</f>
        <v/>
      </c>
      <c r="CT152" s="84">
        <f>AND(NOT($CS152),OR($AT152="CUSTOM LOC",N($AW152)+N($AX152)+N($AY152)+N($AZ152)+N($BA152)&gt;0))</f>
        <v/>
      </c>
      <c r="CU152" s="84">
        <f>IF($BI152="","",IF($BI152&lt;=80,80,IF($BI152&lt;=84,84,96)))</f>
        <v/>
      </c>
      <c r="CV152" s="84">
        <f>ISNUMBER(MATCH($AT152&amp;"|80",LocKeys,0))</f>
        <v/>
      </c>
      <c r="CW152" s="86">
        <f>IF($CS152,"",IF($CV152,VLOOKUP($AT152&amp;"|"&amp;$CU152,LocTable,4,FALSE),5))</f>
        <v/>
      </c>
      <c r="CX152" s="86">
        <f>IF($CS152,"",IF($CV152,IF(OR($BI152=$CU152,AND($BI152&lt;$CU152,$BI152-IF(N(VLOOKUP($AT152&amp;"|"&amp;$CU152,LocTable,7,FALSE))&gt;0,VLOOKUP($AT152&amp;"|"&amp;$CU152,LocTable,7,FALSE),VLOOKUP($AT152&amp;"|"&amp;$CU152,LocTable,6,FALSE))-$CR152-0.75&gt;=2.125)),IF(N(VLOOKUP($AT152&amp;"|"&amp;$CU152,LocTable,7,FALSE))&gt;0,VLOOKUP($AT152&amp;"|"&amp;$CU152,LocTable,7,FALSE),VLOOKUP($AT152&amp;"|"&amp;$CU152,LocTable,6,FALSE)),$BI152-($CU152-IF(N(VLOOKUP($AT152&amp;"|"&amp;$CU152,LocTable,7,FALSE))&gt;0,VLOOKUP($AT152&amp;"|"&amp;$CU152,LocTable,7,FALSE),VLOOKUP($AT152&amp;"|"&amp;$CU152,LocTable,6,FALSE)))),$BI152-10-$CR152))</f>
        <v/>
      </c>
      <c r="CY152" s="85">
        <f>IF($CS152,"",TRIM(IF(ISNUMBER($BU152),"A "&amp;TRIM(TEXT($BU152,"# ?/??"))&amp;CHAR(34)&amp;"  ","")&amp;IF(ISNUMBER($BV152),"B "&amp;TRIM(TEXT($BV152,"# ?/??"))&amp;CHAR(34)&amp;"  ","")&amp;IF(ISNUMBER($BW152),"C "&amp;TRIM(TEXT($BW152,"# ?/??"))&amp;CHAR(34)&amp;"  ","")&amp;IF(ISNUMBER($BX152),"D "&amp;TRIM(TEXT($BX152,"# ?/??"))&amp;CHAR(34)&amp;"  ","")&amp;IF(ISNUMBER($BY152),"F "&amp;TRIM(TEXT($BY152,"# ?/??"))&amp;CHAR(34)&amp;"  ","")&amp;IF(ISNUMBER($BZ152),"E "&amp;TRIM(TEXT($BZ152,"# ?/??"))&amp;CHAR(34)&amp;"  ","")))</f>
        <v/>
      </c>
      <c r="CZ152" s="85">
        <f>IF(OR($CS152,N($BJ152)=0),"",TRIM(IF(ISNUMBER($BU152),"A "&amp;TRIM(TEXT($BU152-HeadClr,"# ?/??"))&amp;CHAR(34)&amp;"  ","")&amp;IF(ISNUMBER($BV152),"B "&amp;TRIM(TEXT($BV152-HeadClr,"# ?/??"))&amp;CHAR(34)&amp;"  ","")&amp;IF(ISNUMBER($BW152),"C "&amp;TRIM(TEXT($BW152-HeadClr,"# ?/??"))&amp;CHAR(34)&amp;"  ","")&amp;IF(ISNUMBER($BX152),"D "&amp;TRIM(TEXT($BX152-HeadClr,"# ?/??"))&amp;CHAR(34)&amp;"  ","")&amp;IF(ISNUMBER($BY152),"F "&amp;TRIM(TEXT($BY152-HeadClr,"# ?/??"))&amp;CHAR(34)&amp;"  ","")&amp;IF(ISNUMBER($BZ152),"E "&amp;TRIM(TEXT($BZ152-HeadClr,"# ?/??"))&amp;CHAR(34)&amp;"  ","")))</f>
        <v/>
      </c>
      <c r="DA152" s="84">
        <f>IF($A152="","",IF($AN152="",IFERROR(VLOOKUP($Z152,CODES,2,FALSE),""),IFERROR(VLOOKUP($AN152,CODES,2,FALSE),"")))</f>
        <v/>
      </c>
      <c r="DB152" s="84">
        <f>IF($A152="","",IF($O152="Y","PR",IF(OR($Z152="L",$Z152="RR",LEFT($Z152,2)="L-",LEFT($Z152,3)="RR-"),"LH","RH")))</f>
        <v/>
      </c>
      <c r="DC152" s="84">
        <f>IF($A152="","","S.HM"&amp;IF(OR($C152="DOOR ONLY",$X152&lt;&gt;"KD"),"MASONRY","DRYWALL")&amp;IF($C152="DOOR ONLY","",$U152)&amp;IF(AND($C152&lt;&gt;"FRAME ONLY",OR(LEFT($AH152,3)="OAK",LEFT($AH152,3)="BIR",LEFT($AH152,3)="MAP",$AH152="PC",$AH152="MC",$AH152="SCLC",$AH152="P-LAM")),"WD","HM")&amp;"1.75")</f>
        <v/>
      </c>
      <c r="DD152" s="84">
        <f>IF($CJ152="","",IF($O152="Y",$CJ152,SUBSTITUTE($CJ152,$BG152&amp;" "&amp;IFERROR(VLOOKUP($Z152,CODES,2,FALSE),"")&amp;" ",$BG152&amp;" ")))</f>
        <v/>
      </c>
      <c r="DE152" s="84">
        <f>IF($CK152="","",IF($O152="Y",$CK152,SUBSTITUTE($CK152,$BG152&amp;" "&amp;IF($AN152="",IFERROR(VLOOKUP($Z152,CODES,2,FALSE),""),IFERROR(VLOOKUP($AN152,CODES,2,FALSE),""))&amp;" ",$BG152&amp;" ")))</f>
        <v/>
      </c>
      <c r="DF152" s="84">
        <f>IF($CJ152="","",$DC152&amp;"|"&amp;$DD152&amp;"|"&amp;$DB152&amp;"|"&amp;$AT152&amp;"|"&amp;$V152&amp;"|"&amp;$Y152&amp;"|"&amp;$AB152)</f>
        <v/>
      </c>
      <c r="DG152" s="84">
        <f>IF(DF152="","",IF(COUNTIF($DF$6:DF152,DF152)=1,MAX($DG$5:DG151)+1,INDEX($DG$5:DG151,MATCH(DF152,$DF$5:DF151,0))))</f>
        <v/>
      </c>
      <c r="DH152" s="84">
        <f>IF($CK152="","",$DC152&amp;"|"&amp;$DE152&amp;"|"&amp;$AI152&amp;"|"&amp;$BK152&amp;"|"&amp;$BL152)</f>
        <v/>
      </c>
      <c r="DI152" s="84">
        <f>IF(DH152="","",IF(COUNTIF($DH$6:DH152,DH152)=1,MAX($DI$5:DI151)+1,INDEX($DI$5:DI151,MATCH(DH152,$DH$5:DH151,0))))</f>
        <v/>
      </c>
      <c r="DJ152" s="84">
        <f>IF($A152="","",IF($B152="","qty, ","")&amp;IF($C152="","scope, ","")&amp;IF(OR($K152="",$M152=""),"size, ","")&amp;IF(AND($A152&lt;&gt;"",$C152&lt;&gt;"DOOR ONLY"),IF($U152="","jamb depth, ","")&amp;IF($X152="","construction, ","")&amp;IF($Y152="","anchor, ","")&amp;IF($S152="","frame type, ",""),"")&amp;IF(AND(N($BJ152)&gt;0,$Z152=""),"hand, ","")&amp;IF(N($BJ152)&gt;0,IF($AH152="","door material, ","")&amp;IF($AL152="","face type, ","")&amp;IF($AP152="","lock prep, ","")&amp;IF(AND($AO152="",$AC152=""),"hinge prep, ",""),"")&amp;IF(AND($CH152&gt;0,$AH152="FRP"),"FRP cannot carry a label, ","")&amp;IF(AND($O152="Y",OR($Z152="L",$Z152="R",$Z152="LR",$Z152="RR")),"pair marked but hand is single, ","")&amp;IF(AND($O152&lt;&gt;"Y",OR($Z152="PR",AND(LEN($Z152)&gt;1,ISNUMBER(SEARCH("-",$Z152))))),"pair hand on a single door, ","")&amp;IF(AND(ISNUMBER($CI152),$CH152&lt;N($CI152)),"wall needs a "&amp;$CI152&amp;" min door, ","")&amp;IF(AND($CH152&gt;=180,AND(OR($CE152="FG",$CE152="HG",$CE152="FNV",$CE152="FV"),N($CF152)*N($CG152)&gt;100)),"180 min lite over 100 sq in, ","")&amp;IF(N($BK152)&gt;48,"leaf wider than 4'-0"&amp;CHAR(34)&amp;", ","")&amp;IF(AND($CT152,COUNT($AW152:$AZ152)=0,$CQ152&gt;0),"CUSTOM LOC with no locations typed, ",""))</f>
        <v/>
      </c>
      <c r="DK152" s="84">
        <f>IF($A152="","",IF(AND($CH152&gt;0,AND($A152&lt;&gt;"",$C152&lt;&gt;"DOOR ONLY"),$X152="KD",$E152="EXTERIOR"),"KD label on an exterior opening, ","")&amp;IF(AND($E152="EXTERIOR",OR(AND(AND($A152&lt;&gt;"",$C152&lt;&gt;"DOOR ONLY"),$W152="CR"),AND(N($BJ152)&gt;0,$AH152="CR"))),"exterior in CR steel (G9?), ","")&amp;IF(AND(ISNUMBER($BQ152),N($BQ152)&lt;32),"clear width ~"&amp;TEXT($BQ152,"0.0")&amp;CHAR(34)&amp;" under 32"&amp;CHAR(34)&amp;" (ADA), ","")&amp;IF(AND($CH152=90,AND(OR($CE152="FG",$CE152="HG",$CE152="FNV",$CE152="FV"),N($CF152)*N($CG152)&gt;100)),"90 min lite over 100 sq in (stair/exit), ","")&amp;IF(AND($CH152&gt;0,AND($A152&lt;&gt;"",$C152&lt;&gt;"DOOR ONLY"),OR($AF152="",$AF152="-")),"rated: closer reinf.?, ","")&amp;IF(OR($I152="CORRIDOR",$I152="SMOKE BARRIER"),"S label + smoke gasketing, ","")&amp;IF($CI152="?","wall type/hr not in IBC table, ","")&amp;IF(AND(N($BJ152)&gt;0,$BB152=""),"no hardware set, ","")&amp;IF(AND($BB152&lt;&gt;"",ISNA(MATCH($BB152&amp;"",HWSets,0))),"set "&amp;$BB152&amp;" not on HW Sets, ","")&amp;IF(N($BL152)&gt;96,"leaf over 8'-0"&amp;CHAR(34)&amp;" - check listing, ","")&amp;IF(AND($CT152,COUNT($AW152:$AZ152)&gt;0,COUNT($AW152:$AZ152)&lt;&gt;$CQ152),COUNT($AW152:$AZ152)&amp;" custom hinges typed, "&amp;$CQ152&amp;" expected, ","")&amp;IF(AND(ISNUMBER($CA152),OR(N($CA152)&lt;34,N($CA152)&gt;48)),"lock "&amp;TEXT($CA152,"0.0")&amp;CHAR(34)&amp;" AFF outside 34-48"&amp;CHAR(34)&amp;" (ADA), ","")&amp;IF(AND(ISNUMBER($AV152),ISNUMBER($BL152),N($AV152)&lt;IF(N($BL152)&lt;=60,2,IF(N($BL152)&lt;=90,3,IF(N($BL152)&lt;=120,4,5)))),"fewer hinges than standard, ",""))</f>
        <v/>
      </c>
    </row>
    <row r="153" ht="15" customHeight="1">
      <c r="A153" s="77" t="n"/>
      <c r="B153" s="78" t="n"/>
      <c r="C153" s="78" t="n"/>
      <c r="D153" s="78" t="n"/>
      <c r="E153" s="78" t="n"/>
      <c r="F153" s="78" t="n"/>
      <c r="G153" s="78" t="n"/>
      <c r="H153" s="78" t="n"/>
      <c r="I153" s="78" t="n"/>
      <c r="J153" s="78" t="n"/>
      <c r="K153" s="78" t="n"/>
      <c r="L153" s="78" t="n"/>
      <c r="M153" s="78" t="n"/>
      <c r="N153" s="78" t="n"/>
      <c r="O153" s="78" t="n"/>
      <c r="P153" s="78" t="n"/>
      <c r="Q153" s="78" t="n"/>
      <c r="R153" s="78" t="n"/>
      <c r="S153" s="79" t="n"/>
      <c r="T153" s="79" t="n"/>
      <c r="U153" s="79" t="n"/>
      <c r="V153" s="79" t="n"/>
      <c r="W153" s="79" t="n"/>
      <c r="X153" s="79" t="n"/>
      <c r="Y153" s="79" t="n"/>
      <c r="Z153" s="79" t="n"/>
      <c r="AA153" s="79" t="n"/>
      <c r="AB153" s="79" t="n"/>
      <c r="AC153" s="79" t="n"/>
      <c r="AD153" s="79" t="n"/>
      <c r="AE153" s="79" t="n"/>
      <c r="AF153" s="79" t="n"/>
      <c r="AG153" s="79" t="n"/>
      <c r="AH153" s="80" t="n"/>
      <c r="AI153" s="80" t="n"/>
      <c r="AJ153" s="80" t="n"/>
      <c r="AK153" s="80" t="n"/>
      <c r="AL153" s="80" t="n"/>
      <c r="AM153" s="80" t="n"/>
      <c r="AN153" s="80" t="n"/>
      <c r="AO153" s="80" t="n"/>
      <c r="AP153" s="80" t="n"/>
      <c r="AQ153" s="80" t="n"/>
      <c r="AR153" s="80" t="n"/>
      <c r="AS153" s="80" t="n"/>
      <c r="AT153" s="81" t="n"/>
      <c r="AU153" s="81" t="n"/>
      <c r="AV153" s="81" t="n"/>
      <c r="AW153" s="82" t="n"/>
      <c r="AX153" s="82" t="n"/>
      <c r="AY153" s="82" t="n"/>
      <c r="AZ153" s="82" t="n"/>
      <c r="BA153" s="82" t="n"/>
      <c r="BB153" s="83" t="n"/>
      <c r="BC153" s="83" t="n"/>
      <c r="BD153" s="84">
        <f>IF($A153="","",IF($DJ153&lt;&gt;"","FIX",IF($DK153&lt;&gt;"","CHECK","OK")))</f>
        <v/>
      </c>
      <c r="BE153" s="85">
        <f>IF($A153="","",IF($DJ153&lt;&gt;"","FIX: "&amp;LEFT($DJ153,LEN($DJ153)-2)&amp;IF($DK153&lt;&gt;"","  ·  ",""),"")&amp;IF($DK153&lt;&gt;"","CHECK: "&amp;LEFT($DK153,LEN($DK153)-2),""))</f>
        <v/>
      </c>
      <c r="BF153" s="84">
        <f>IF(OR($A153="",$K153=""),"",$K153&amp;"'-"&amp;N($L153)&amp;CHAR(34)&amp;" x "&amp;$M153&amp;"'-"&amp;N($N153)&amp;CHAR(34))</f>
        <v/>
      </c>
      <c r="BG153" s="84">
        <f>IF(OR($A153="",$K153=""),"",$K153&amp;N($L153)&amp;$M153&amp;N($N153))</f>
        <v/>
      </c>
      <c r="BH153" s="84">
        <f>IF(OR($A153="",$K153=""),"",$K153*12+N($L153))</f>
        <v/>
      </c>
      <c r="BI153" s="84">
        <f>IF(OR($A153="",$M153=""),"",$M153*12+N($N153))</f>
        <v/>
      </c>
      <c r="BJ153" s="84">
        <f>IF($A153="","",IF(OR($C153="FRAME ONLY",$S153="BL"),0,IF($O153="Y",2,1)))</f>
        <v/>
      </c>
      <c r="BK153" s="86">
        <f>IF(OR(N($BJ153)=0,$BH153=""),"",($BH153-2*EdgeClr-IF($BJ153=2,MeetClr,0))/$BJ153)</f>
        <v/>
      </c>
      <c r="BL153" s="86">
        <f>IF(OR(N($BJ153)=0,$BI153=""),"",$BI153-HeadClr-Undercut)</f>
        <v/>
      </c>
      <c r="BM153" s="86">
        <f>IF($BH153="","",$BH153+2*FaceW+IF(N($Q153)&gt;0,($Q153+FaceW)*IF($R153="LR",2,1),0))</f>
        <v/>
      </c>
      <c r="BN153" s="86">
        <f>IF($BI153="","",$BI153+IF($AB153="Y",4,FaceW)+IF(N($P153)&gt;0,$P153+FaceW,0)+IF(OR($S153="4F",$S153="BL"),FaceW,0))</f>
        <v/>
      </c>
      <c r="BO153" s="86">
        <f>IF($BM153="","",$BM153+2*ROSide)</f>
        <v/>
      </c>
      <c r="BP153" s="86">
        <f>IF($BN153="","",$BN153+ROTop)</f>
        <v/>
      </c>
      <c r="BQ153" s="87">
        <f>IF(OR(N($BJ153)=0,$BH153=""),"",$BH153/$BJ153-ClearDeduct)</f>
        <v/>
      </c>
      <c r="BR153" s="84">
        <f>IF(N($CH153)=0,"",IF($CH153&gt;=180,"A · 3 HR",IF($CH153&gt;=90,"B · 1-1/2 HR",IF($CH153&gt;=60,"B · 1 HR",IF($CH153&gt;=45,"C · 3/4 HR","20 MIN")))))&amp;IF(AND(N($CH153)&gt;0,OR($I153="CORRIDOR",$I153="SMOKE BARRIER"))," · S","")</f>
        <v/>
      </c>
      <c r="BS153" s="84">
        <f>IF($CS153,"",IF($AV153&lt;&gt;"",$AV153,IF(OR($AC153="HGC",$AO153="HGC"),"CONT",IF(($BI153-HeadClr-Undercut)&lt;=60,2,IF(($BI153-HeadClr-Undercut)&lt;=90,3,IF(($BI153-HeadClr-Undercut)&lt;=120,4,5))))))</f>
        <v/>
      </c>
      <c r="BT153" s="84">
        <f>IF($CS153,"",IF($CT153,"CUSTOM (typed)",IF($CV153,$AT153&amp;" "&amp;$CU153&amp;CHAR(34)&amp;IF($CU153&lt;&gt;$BI153,IF(AND($BI153&lt;$CU153,$BI153-IF(N(VLOOKUP($AT153&amp;"|"&amp;$CU153,LocTable,7,FALSE))&gt;0,VLOOKUP($AT153&amp;"|"&amp;$CU153,LocTable,7,FALSE),VLOOKUP($AT153&amp;"|"&amp;$CU153,LocTable,6,FALSE))-$CR153-0.75&gt;=2.125)," cut down"," adj."),""),"ANSI/SDI A250.6")))</f>
        <v/>
      </c>
      <c r="BU153" s="88">
        <f>IF($CS153,"",IF($CT153,IF(N($AW153)&gt;0,N($AW153),""),IF(1&gt;$CQ153,"",IF($CQ153=1,$CW153,$CW153+($CX153-$CW153)*0/($CQ153-1)))))</f>
        <v/>
      </c>
      <c r="BV153" s="88">
        <f>IF($CS153,"",IF($CT153,IF(N($AX153)&gt;0,N($AX153),""),IF(2&gt;$CQ153,"",IF($CQ153=1,$CW153,$CW153+($CX153-$CW153)*1/($CQ153-1)))))</f>
        <v/>
      </c>
      <c r="BW153" s="88">
        <f>IF($CS153,"",IF($CT153,IF(N($AY153)&gt;0,N($AY153),""),IF(3&gt;$CQ153,"",IF($CQ153=1,$CW153,$CW153+($CX153-$CW153)*2/($CQ153-1)))))</f>
        <v/>
      </c>
      <c r="BX153" s="88">
        <f>IF($CS153,"",IF($CT153,IF(N($AZ153)&gt;0,N($AZ153),""),IF(4&gt;$CQ153,"",IF($CQ153=1,$CW153,$CW153+($CX153-$CW153)*3/($CQ153-1)))))</f>
        <v/>
      </c>
      <c r="BY153" s="88">
        <f>IF($CS153,"",IF($CT153,"",IF(5&gt;$CQ153,"",IF($CQ153=1,$CW153,$CW153+($CX153-$CW153)*4/($CQ153-1)))))</f>
        <v/>
      </c>
      <c r="BZ153" s="88">
        <f>IF(OR($CS153,$AP153="-",AND($AP153="",$AD153="")),"",IF(N($BA153)&gt;0,N($BA153),IF($CV153,IF(AND($BI153&lt;$CU153,$BI153-IF(N(VLOOKUP($AT153&amp;"|"&amp;$CU153,LocTable,7,FALSE))&gt;0,VLOOKUP($AT153&amp;"|"&amp;$CU153,LocTable,7,FALSE),VLOOKUP($AT153&amp;"|"&amp;$CU153,LocTable,6,FALSE))-$CR153-0.75&gt;=2.125),VLOOKUP($AT153&amp;"|"&amp;$CU153,LocTable,8,FALSE),VLOOKUP($AT153&amp;"|"&amp;$CU153,LocTable,8,FALSE)+($BI153-$CU153)),$BI153-LockAFF)))</f>
        <v/>
      </c>
      <c r="CA153" s="89">
        <f>IF($BZ153="","",$BI153-$BZ153)</f>
        <v/>
      </c>
      <c r="CB153" s="84">
        <f>IF(OR(NOT(AND($A153&lt;&gt;"",$C153&lt;&gt;"DOOR ONLY")),$BI153=""),"",IF(($BI153+IF(N($P153)&gt;0,$P153+FaceW,0))&lt;=90,3,IF(($BI153+IF(N($P153)&gt;0,$P153+FaceW,0))&lt;=114,4,5)))</f>
        <v/>
      </c>
      <c r="CC153" s="84">
        <f>IF($CB153="","",$CB153*(2+IF(N($Q153)&gt;0,IF($R153="LR",2,1),0)))</f>
        <v/>
      </c>
      <c r="CD153" s="84">
        <f>IF($CB153="","",(2+IF(N($Q153)&gt;0,IF($R153="LR",2,1),0)))</f>
        <v/>
      </c>
      <c r="CE153" s="84">
        <f>IF(N($BJ153)=0,"",IF(OR($AL153="",$AL153="FLUSH"),"FLUSH",IFERROR(LEFT($AL153,FIND("-",$AL153)-1),LEFT($AL153,2))))</f>
        <v/>
      </c>
      <c r="CF153" s="84">
        <f>IF($CE153="","",IFERROR(VALUE(MID($AL153,FIND("-",$AL153)+1,FIND(CHAR(34)&amp;"x",$AL153)-FIND("-",$AL153)-1)),0))</f>
        <v/>
      </c>
      <c r="CG153" s="84">
        <f>IF($CE153="","",IFERROR(VALUE(MID($AL153,FIND(CHAR(34)&amp;"x",$AL153)+2,FIND(CHAR(34),$AL153,FIND(CHAR(34)&amp;"x",$AL153)+2)-FIND(CHAR(34)&amp;"x",$AL153)-2)),0))</f>
        <v/>
      </c>
      <c r="CH153" s="90">
        <f>IF(OR($A153="",$H153="",$H153="NO LAB"),0,IFERROR(VALUE(LEFT($H153,FIND(" ",$H153)-1)),0))</f>
        <v/>
      </c>
      <c r="CI153" s="91">
        <f>IF(OR($A153="",$I153="",$I153="NON-RATED",N($J153)=0),"",IFERROR(VLOOKUP($I153&amp;"|"&amp;$J153,IBC,2,FALSE),"?"))</f>
        <v/>
      </c>
      <c r="CJ153" s="85">
        <f>IF(NOT(AND($A153&lt;&gt;"",$C153&lt;&gt;"DOOR ONLY")),"",TRIM(IFERROR(VLOOKUP($U153,CODES,2,FALSE),"")&amp;" "&amp;$BG153&amp;" "&amp;IFERROR(VLOOKUP($Z153,CODES,2,FALSE),"")&amp;" "&amp;IFERROR(VLOOKUP($X153,CODES,2,FALSE),"")&amp;" "&amp;IFERROR(VLOOKUP($S153,CODES,2,FALSE),"")&amp;IF(N($P153)&gt;0," w/TRANSOM "&amp;$P153&amp;CHAR(34),"")&amp;IF(N($Q153)&gt;0," w/SIDELITE "&amp;$Q153&amp;CHAR(34)&amp;" "&amp;IF($R153="","R",$R153),"")&amp;IF($Y153="","  |  "," | "&amp;IFERROR(VLOOKUP($Y153,CODES,2,FALSE),"")&amp;" | ")&amp;IFERROR(VLOOKUP($AC153,CODES,2,FALSE),"")&amp;" "&amp;IFERROR(VLOOKUP($AD153,CODES,2,FALSE),"")&amp;IF(OR($AE153="",$AE153="-"),""," "&amp;$AE153)&amp;IF(OR($AF153="",$AF153="-"),""," "&amp;$AF153)&amp;IF($AB153="Y"," 4"&amp;CHAR(34)&amp;" HEAD","")&amp;" "&amp;IFERROR(VLOOKUP($H153,CODES,2,FALSE),"")&amp;IF($CT153," | LOC "&amp;$CY153,"")))</f>
        <v/>
      </c>
      <c r="CK153" s="85">
        <f>IF(NOT(AND($A153&lt;&gt;"",N($BJ153)&gt;0)),"",TRIM(IFERROR(VLOOKUP($AH153,CODES,2,FALSE),"")&amp;IF($AI153=""," "," "&amp;$AI153&amp;"GA ")&amp;$BG153&amp;" "&amp;IF($AN153="",IFERROR(VLOOKUP($Z153,CODES,2,FALSE),""),IFERROR(VLOOKUP($AN153,CODES,2,FALSE),""))&amp;IF($BJ153=2," PAIR","")&amp;" DOOR | "&amp;IF($AL153="","?",$AL153)&amp;" | "&amp;IF($AO153="",IFERROR(VLOOKUP($AC153,CODES,2,FALSE),""),IFERROR(VLOOKUP($AO153,CODES,2,FALSE),""))&amp;" "&amp;IFERROR(VLOOKUP($AP153,CODES,2,FALSE),"")&amp;IF(OR($AQ153="",$AQ153="-"),""," SEAM "&amp;$AQ153)&amp;IF($AR153="Y"," ASTRAGAL","")&amp;IF($AJ153=""," "," "&amp;$AJ153)&amp;IF($AK153=""," "," "&amp;$AK153)&amp;IF(OR($AT153="",$AT153="ANSI/SDI",$AT153="CUSTOM LOC"),""," "&amp;$AT153)&amp;IF($AM153=""," "," SERIES "&amp;$AM153)&amp;" "&amp;IFERROR(VLOOKUP($H153,CODES,2,FALSE),"")&amp;IF($CT153," | LOC "&amp;$CZ153,"")))</f>
        <v/>
      </c>
      <c r="CL153" s="84">
        <f>IF(CP153="","",IF(COUNTIF($CP$6:CP153,CP153)=1,MAX($CL$5:CL152)+1,INDEX($CL$5:CL152,MATCH(CP153,$CP$5:CP152,0))))</f>
        <v/>
      </c>
      <c r="CM153" s="84">
        <f>IF(NOT(AND($A153&lt;&gt;"",$C153&lt;&gt;"DOOR ONLY")),"",MAX($CM$5:CM152)+1)</f>
        <v/>
      </c>
      <c r="CN153" s="84">
        <f>IF(NOT(AND($A153&lt;&gt;"",N($BJ153)&gt;0)),"",MAX($CN$5:CN152)+1)</f>
        <v/>
      </c>
      <c r="CO153" s="84">
        <f>IF($A153="","",MAX($CO$5:CO152)+1)</f>
        <v/>
      </c>
      <c r="CP153" s="84">
        <f>IF(OR($A153="",$BH153="",$BI153=""),"",$BG153&amp;"|"&amp;$O153&amp;"|"&amp;$AL153&amp;"|"&amp;$S153&amp;"|"&amp;$P153&amp;"|"&amp;$Q153&amp;$R153&amp;"|"&amp;$C153&amp;"|"&amp;$AB153)</f>
        <v/>
      </c>
      <c r="CQ153" s="84">
        <f>N($BS153)</f>
        <v/>
      </c>
      <c r="CR153" s="84">
        <f>IF(N($AU153)&gt;0,N($AU153),4.5)</f>
        <v/>
      </c>
      <c r="CS153" s="84">
        <f>OR($A153="",$BI153="",$S153="BL",AND($C153="FRAME ONLY",OR($AC153="",$AC153="BLK")))</f>
        <v/>
      </c>
      <c r="CT153" s="84">
        <f>AND(NOT($CS153),OR($AT153="CUSTOM LOC",N($AW153)+N($AX153)+N($AY153)+N($AZ153)+N($BA153)&gt;0))</f>
        <v/>
      </c>
      <c r="CU153" s="84">
        <f>IF($BI153="","",IF($BI153&lt;=80,80,IF($BI153&lt;=84,84,96)))</f>
        <v/>
      </c>
      <c r="CV153" s="84">
        <f>ISNUMBER(MATCH($AT153&amp;"|80",LocKeys,0))</f>
        <v/>
      </c>
      <c r="CW153" s="86">
        <f>IF($CS153,"",IF($CV153,VLOOKUP($AT153&amp;"|"&amp;$CU153,LocTable,4,FALSE),5))</f>
        <v/>
      </c>
      <c r="CX153" s="86">
        <f>IF($CS153,"",IF($CV153,IF(OR($BI153=$CU153,AND($BI153&lt;$CU153,$BI153-IF(N(VLOOKUP($AT153&amp;"|"&amp;$CU153,LocTable,7,FALSE))&gt;0,VLOOKUP($AT153&amp;"|"&amp;$CU153,LocTable,7,FALSE),VLOOKUP($AT153&amp;"|"&amp;$CU153,LocTable,6,FALSE))-$CR153-0.75&gt;=2.125)),IF(N(VLOOKUP($AT153&amp;"|"&amp;$CU153,LocTable,7,FALSE))&gt;0,VLOOKUP($AT153&amp;"|"&amp;$CU153,LocTable,7,FALSE),VLOOKUP($AT153&amp;"|"&amp;$CU153,LocTable,6,FALSE)),$BI153-($CU153-IF(N(VLOOKUP($AT153&amp;"|"&amp;$CU153,LocTable,7,FALSE))&gt;0,VLOOKUP($AT153&amp;"|"&amp;$CU153,LocTable,7,FALSE),VLOOKUP($AT153&amp;"|"&amp;$CU153,LocTable,6,FALSE)))),$BI153-10-$CR153))</f>
        <v/>
      </c>
      <c r="CY153" s="85">
        <f>IF($CS153,"",TRIM(IF(ISNUMBER($BU153),"A "&amp;TRIM(TEXT($BU153,"# ?/??"))&amp;CHAR(34)&amp;"  ","")&amp;IF(ISNUMBER($BV153),"B "&amp;TRIM(TEXT($BV153,"# ?/??"))&amp;CHAR(34)&amp;"  ","")&amp;IF(ISNUMBER($BW153),"C "&amp;TRIM(TEXT($BW153,"# ?/??"))&amp;CHAR(34)&amp;"  ","")&amp;IF(ISNUMBER($BX153),"D "&amp;TRIM(TEXT($BX153,"# ?/??"))&amp;CHAR(34)&amp;"  ","")&amp;IF(ISNUMBER($BY153),"F "&amp;TRIM(TEXT($BY153,"# ?/??"))&amp;CHAR(34)&amp;"  ","")&amp;IF(ISNUMBER($BZ153),"E "&amp;TRIM(TEXT($BZ153,"# ?/??"))&amp;CHAR(34)&amp;"  ","")))</f>
        <v/>
      </c>
      <c r="CZ153" s="85">
        <f>IF(OR($CS153,N($BJ153)=0),"",TRIM(IF(ISNUMBER($BU153),"A "&amp;TRIM(TEXT($BU153-HeadClr,"# ?/??"))&amp;CHAR(34)&amp;"  ","")&amp;IF(ISNUMBER($BV153),"B "&amp;TRIM(TEXT($BV153-HeadClr,"# ?/??"))&amp;CHAR(34)&amp;"  ","")&amp;IF(ISNUMBER($BW153),"C "&amp;TRIM(TEXT($BW153-HeadClr,"# ?/??"))&amp;CHAR(34)&amp;"  ","")&amp;IF(ISNUMBER($BX153),"D "&amp;TRIM(TEXT($BX153-HeadClr,"# ?/??"))&amp;CHAR(34)&amp;"  ","")&amp;IF(ISNUMBER($BY153),"F "&amp;TRIM(TEXT($BY153-HeadClr,"# ?/??"))&amp;CHAR(34)&amp;"  ","")&amp;IF(ISNUMBER($BZ153),"E "&amp;TRIM(TEXT($BZ153-HeadClr,"# ?/??"))&amp;CHAR(34)&amp;"  ","")))</f>
        <v/>
      </c>
      <c r="DA153" s="84">
        <f>IF($A153="","",IF($AN153="",IFERROR(VLOOKUP($Z153,CODES,2,FALSE),""),IFERROR(VLOOKUP($AN153,CODES,2,FALSE),"")))</f>
        <v/>
      </c>
      <c r="DB153" s="84">
        <f>IF($A153="","",IF($O153="Y","PR",IF(OR($Z153="L",$Z153="RR",LEFT($Z153,2)="L-",LEFT($Z153,3)="RR-"),"LH","RH")))</f>
        <v/>
      </c>
      <c r="DC153" s="84">
        <f>IF($A153="","","S.HM"&amp;IF(OR($C153="DOOR ONLY",$X153&lt;&gt;"KD"),"MASONRY","DRYWALL")&amp;IF($C153="DOOR ONLY","",$U153)&amp;IF(AND($C153&lt;&gt;"FRAME ONLY",OR(LEFT($AH153,3)="OAK",LEFT($AH153,3)="BIR",LEFT($AH153,3)="MAP",$AH153="PC",$AH153="MC",$AH153="SCLC",$AH153="P-LAM")),"WD","HM")&amp;"1.75")</f>
        <v/>
      </c>
      <c r="DD153" s="84">
        <f>IF($CJ153="","",IF($O153="Y",$CJ153,SUBSTITUTE($CJ153,$BG153&amp;" "&amp;IFERROR(VLOOKUP($Z153,CODES,2,FALSE),"")&amp;" ",$BG153&amp;" ")))</f>
        <v/>
      </c>
      <c r="DE153" s="84">
        <f>IF($CK153="","",IF($O153="Y",$CK153,SUBSTITUTE($CK153,$BG153&amp;" "&amp;IF($AN153="",IFERROR(VLOOKUP($Z153,CODES,2,FALSE),""),IFERROR(VLOOKUP($AN153,CODES,2,FALSE),""))&amp;" ",$BG153&amp;" ")))</f>
        <v/>
      </c>
      <c r="DF153" s="84">
        <f>IF($CJ153="","",$DC153&amp;"|"&amp;$DD153&amp;"|"&amp;$DB153&amp;"|"&amp;$AT153&amp;"|"&amp;$V153&amp;"|"&amp;$Y153&amp;"|"&amp;$AB153)</f>
        <v/>
      </c>
      <c r="DG153" s="84">
        <f>IF(DF153="","",IF(COUNTIF($DF$6:DF153,DF153)=1,MAX($DG$5:DG152)+1,INDEX($DG$5:DG152,MATCH(DF153,$DF$5:DF152,0))))</f>
        <v/>
      </c>
      <c r="DH153" s="84">
        <f>IF($CK153="","",$DC153&amp;"|"&amp;$DE153&amp;"|"&amp;$AI153&amp;"|"&amp;$BK153&amp;"|"&amp;$BL153)</f>
        <v/>
      </c>
      <c r="DI153" s="84">
        <f>IF(DH153="","",IF(COUNTIF($DH$6:DH153,DH153)=1,MAX($DI$5:DI152)+1,INDEX($DI$5:DI152,MATCH(DH153,$DH$5:DH152,0))))</f>
        <v/>
      </c>
      <c r="DJ153" s="84">
        <f>IF($A153="","",IF($B153="","qty, ","")&amp;IF($C153="","scope, ","")&amp;IF(OR($K153="",$M153=""),"size, ","")&amp;IF(AND($A153&lt;&gt;"",$C153&lt;&gt;"DOOR ONLY"),IF($U153="","jamb depth, ","")&amp;IF($X153="","construction, ","")&amp;IF($Y153="","anchor, ","")&amp;IF($S153="","frame type, ",""),"")&amp;IF(AND(N($BJ153)&gt;0,$Z153=""),"hand, ","")&amp;IF(N($BJ153)&gt;0,IF($AH153="","door material, ","")&amp;IF($AL153="","face type, ","")&amp;IF($AP153="","lock prep, ","")&amp;IF(AND($AO153="",$AC153=""),"hinge prep, ",""),"")&amp;IF(AND($CH153&gt;0,$AH153="FRP"),"FRP cannot carry a label, ","")&amp;IF(AND($O153="Y",OR($Z153="L",$Z153="R",$Z153="LR",$Z153="RR")),"pair marked but hand is single, ","")&amp;IF(AND($O153&lt;&gt;"Y",OR($Z153="PR",AND(LEN($Z153)&gt;1,ISNUMBER(SEARCH("-",$Z153))))),"pair hand on a single door, ","")&amp;IF(AND(ISNUMBER($CI153),$CH153&lt;N($CI153)),"wall needs a "&amp;$CI153&amp;" min door, ","")&amp;IF(AND($CH153&gt;=180,AND(OR($CE153="FG",$CE153="HG",$CE153="FNV",$CE153="FV"),N($CF153)*N($CG153)&gt;100)),"180 min lite over 100 sq in, ","")&amp;IF(N($BK153)&gt;48,"leaf wider than 4'-0"&amp;CHAR(34)&amp;", ","")&amp;IF(AND($CT153,COUNT($AW153:$AZ153)=0,$CQ153&gt;0),"CUSTOM LOC with no locations typed, ",""))</f>
        <v/>
      </c>
      <c r="DK153" s="84">
        <f>IF($A153="","",IF(AND($CH153&gt;0,AND($A153&lt;&gt;"",$C153&lt;&gt;"DOOR ONLY"),$X153="KD",$E153="EXTERIOR"),"KD label on an exterior opening, ","")&amp;IF(AND($E153="EXTERIOR",OR(AND(AND($A153&lt;&gt;"",$C153&lt;&gt;"DOOR ONLY"),$W153="CR"),AND(N($BJ153)&gt;0,$AH153="CR"))),"exterior in CR steel (G9?), ","")&amp;IF(AND(ISNUMBER($BQ153),N($BQ153)&lt;32),"clear width ~"&amp;TEXT($BQ153,"0.0")&amp;CHAR(34)&amp;" under 32"&amp;CHAR(34)&amp;" (ADA), ","")&amp;IF(AND($CH153=90,AND(OR($CE153="FG",$CE153="HG",$CE153="FNV",$CE153="FV"),N($CF153)*N($CG153)&gt;100)),"90 min lite over 100 sq in (stair/exit), ","")&amp;IF(AND($CH153&gt;0,AND($A153&lt;&gt;"",$C153&lt;&gt;"DOOR ONLY"),OR($AF153="",$AF153="-")),"rated: closer reinf.?, ","")&amp;IF(OR($I153="CORRIDOR",$I153="SMOKE BARRIER"),"S label + smoke gasketing, ","")&amp;IF($CI153="?","wall type/hr not in IBC table, ","")&amp;IF(AND(N($BJ153)&gt;0,$BB153=""),"no hardware set, ","")&amp;IF(AND($BB153&lt;&gt;"",ISNA(MATCH($BB153&amp;"",HWSets,0))),"set "&amp;$BB153&amp;" not on HW Sets, ","")&amp;IF(N($BL153)&gt;96,"leaf over 8'-0"&amp;CHAR(34)&amp;" - check listing, ","")&amp;IF(AND($CT153,COUNT($AW153:$AZ153)&gt;0,COUNT($AW153:$AZ153)&lt;&gt;$CQ153),COUNT($AW153:$AZ153)&amp;" custom hinges typed, "&amp;$CQ153&amp;" expected, ","")&amp;IF(AND(ISNUMBER($CA153),OR(N($CA153)&lt;34,N($CA153)&gt;48)),"lock "&amp;TEXT($CA153,"0.0")&amp;CHAR(34)&amp;" AFF outside 34-48"&amp;CHAR(34)&amp;" (ADA), ","")&amp;IF(AND(ISNUMBER($AV153),ISNUMBER($BL153),N($AV153)&lt;IF(N($BL153)&lt;=60,2,IF(N($BL153)&lt;=90,3,IF(N($BL153)&lt;=120,4,5)))),"fewer hinges than standard, ",""))</f>
        <v/>
      </c>
    </row>
    <row r="154" ht="15" customHeight="1">
      <c r="A154" s="77" t="n"/>
      <c r="B154" s="78" t="n"/>
      <c r="C154" s="78" t="n"/>
      <c r="D154" s="78" t="n"/>
      <c r="E154" s="78" t="n"/>
      <c r="F154" s="78" t="n"/>
      <c r="G154" s="78" t="n"/>
      <c r="H154" s="78" t="n"/>
      <c r="I154" s="78" t="n"/>
      <c r="J154" s="78" t="n"/>
      <c r="K154" s="78" t="n"/>
      <c r="L154" s="78" t="n"/>
      <c r="M154" s="78" t="n"/>
      <c r="N154" s="78" t="n"/>
      <c r="O154" s="78" t="n"/>
      <c r="P154" s="78" t="n"/>
      <c r="Q154" s="78" t="n"/>
      <c r="R154" s="78" t="n"/>
      <c r="S154" s="79" t="n"/>
      <c r="T154" s="79" t="n"/>
      <c r="U154" s="79" t="n"/>
      <c r="V154" s="79" t="n"/>
      <c r="W154" s="79" t="n"/>
      <c r="X154" s="79" t="n"/>
      <c r="Y154" s="79" t="n"/>
      <c r="Z154" s="79" t="n"/>
      <c r="AA154" s="79" t="n"/>
      <c r="AB154" s="79" t="n"/>
      <c r="AC154" s="79" t="n"/>
      <c r="AD154" s="79" t="n"/>
      <c r="AE154" s="79" t="n"/>
      <c r="AF154" s="79" t="n"/>
      <c r="AG154" s="79" t="n"/>
      <c r="AH154" s="80" t="n"/>
      <c r="AI154" s="80" t="n"/>
      <c r="AJ154" s="80" t="n"/>
      <c r="AK154" s="80" t="n"/>
      <c r="AL154" s="80" t="n"/>
      <c r="AM154" s="80" t="n"/>
      <c r="AN154" s="80" t="n"/>
      <c r="AO154" s="80" t="n"/>
      <c r="AP154" s="80" t="n"/>
      <c r="AQ154" s="80" t="n"/>
      <c r="AR154" s="80" t="n"/>
      <c r="AS154" s="80" t="n"/>
      <c r="AT154" s="81" t="n"/>
      <c r="AU154" s="81" t="n"/>
      <c r="AV154" s="81" t="n"/>
      <c r="AW154" s="82" t="n"/>
      <c r="AX154" s="82" t="n"/>
      <c r="AY154" s="82" t="n"/>
      <c r="AZ154" s="82" t="n"/>
      <c r="BA154" s="82" t="n"/>
      <c r="BB154" s="83" t="n"/>
      <c r="BC154" s="83" t="n"/>
      <c r="BD154" s="84">
        <f>IF($A154="","",IF($DJ154&lt;&gt;"","FIX",IF($DK154&lt;&gt;"","CHECK","OK")))</f>
        <v/>
      </c>
      <c r="BE154" s="85">
        <f>IF($A154="","",IF($DJ154&lt;&gt;"","FIX: "&amp;LEFT($DJ154,LEN($DJ154)-2)&amp;IF($DK154&lt;&gt;"","  ·  ",""),"")&amp;IF($DK154&lt;&gt;"","CHECK: "&amp;LEFT($DK154,LEN($DK154)-2),""))</f>
        <v/>
      </c>
      <c r="BF154" s="84">
        <f>IF(OR($A154="",$K154=""),"",$K154&amp;"'-"&amp;N($L154)&amp;CHAR(34)&amp;" x "&amp;$M154&amp;"'-"&amp;N($N154)&amp;CHAR(34))</f>
        <v/>
      </c>
      <c r="BG154" s="84">
        <f>IF(OR($A154="",$K154=""),"",$K154&amp;N($L154)&amp;$M154&amp;N($N154))</f>
        <v/>
      </c>
      <c r="BH154" s="84">
        <f>IF(OR($A154="",$K154=""),"",$K154*12+N($L154))</f>
        <v/>
      </c>
      <c r="BI154" s="84">
        <f>IF(OR($A154="",$M154=""),"",$M154*12+N($N154))</f>
        <v/>
      </c>
      <c r="BJ154" s="84">
        <f>IF($A154="","",IF(OR($C154="FRAME ONLY",$S154="BL"),0,IF($O154="Y",2,1)))</f>
        <v/>
      </c>
      <c r="BK154" s="86">
        <f>IF(OR(N($BJ154)=0,$BH154=""),"",($BH154-2*EdgeClr-IF($BJ154=2,MeetClr,0))/$BJ154)</f>
        <v/>
      </c>
      <c r="BL154" s="86">
        <f>IF(OR(N($BJ154)=0,$BI154=""),"",$BI154-HeadClr-Undercut)</f>
        <v/>
      </c>
      <c r="BM154" s="86">
        <f>IF($BH154="","",$BH154+2*FaceW+IF(N($Q154)&gt;0,($Q154+FaceW)*IF($R154="LR",2,1),0))</f>
        <v/>
      </c>
      <c r="BN154" s="86">
        <f>IF($BI154="","",$BI154+IF($AB154="Y",4,FaceW)+IF(N($P154)&gt;0,$P154+FaceW,0)+IF(OR($S154="4F",$S154="BL"),FaceW,0))</f>
        <v/>
      </c>
      <c r="BO154" s="86">
        <f>IF($BM154="","",$BM154+2*ROSide)</f>
        <v/>
      </c>
      <c r="BP154" s="86">
        <f>IF($BN154="","",$BN154+ROTop)</f>
        <v/>
      </c>
      <c r="BQ154" s="87">
        <f>IF(OR(N($BJ154)=0,$BH154=""),"",$BH154/$BJ154-ClearDeduct)</f>
        <v/>
      </c>
      <c r="BR154" s="84">
        <f>IF(N($CH154)=0,"",IF($CH154&gt;=180,"A · 3 HR",IF($CH154&gt;=90,"B · 1-1/2 HR",IF($CH154&gt;=60,"B · 1 HR",IF($CH154&gt;=45,"C · 3/4 HR","20 MIN")))))&amp;IF(AND(N($CH154)&gt;0,OR($I154="CORRIDOR",$I154="SMOKE BARRIER"))," · S","")</f>
        <v/>
      </c>
      <c r="BS154" s="84">
        <f>IF($CS154,"",IF($AV154&lt;&gt;"",$AV154,IF(OR($AC154="HGC",$AO154="HGC"),"CONT",IF(($BI154-HeadClr-Undercut)&lt;=60,2,IF(($BI154-HeadClr-Undercut)&lt;=90,3,IF(($BI154-HeadClr-Undercut)&lt;=120,4,5))))))</f>
        <v/>
      </c>
      <c r="BT154" s="84">
        <f>IF($CS154,"",IF($CT154,"CUSTOM (typed)",IF($CV154,$AT154&amp;" "&amp;$CU154&amp;CHAR(34)&amp;IF($CU154&lt;&gt;$BI154,IF(AND($BI154&lt;$CU154,$BI154-IF(N(VLOOKUP($AT154&amp;"|"&amp;$CU154,LocTable,7,FALSE))&gt;0,VLOOKUP($AT154&amp;"|"&amp;$CU154,LocTable,7,FALSE),VLOOKUP($AT154&amp;"|"&amp;$CU154,LocTable,6,FALSE))-$CR154-0.75&gt;=2.125)," cut down"," adj."),""),"ANSI/SDI A250.6")))</f>
        <v/>
      </c>
      <c r="BU154" s="88">
        <f>IF($CS154,"",IF($CT154,IF(N($AW154)&gt;0,N($AW154),""),IF(1&gt;$CQ154,"",IF($CQ154=1,$CW154,$CW154+($CX154-$CW154)*0/($CQ154-1)))))</f>
        <v/>
      </c>
      <c r="BV154" s="88">
        <f>IF($CS154,"",IF($CT154,IF(N($AX154)&gt;0,N($AX154),""),IF(2&gt;$CQ154,"",IF($CQ154=1,$CW154,$CW154+($CX154-$CW154)*1/($CQ154-1)))))</f>
        <v/>
      </c>
      <c r="BW154" s="88">
        <f>IF($CS154,"",IF($CT154,IF(N($AY154)&gt;0,N($AY154),""),IF(3&gt;$CQ154,"",IF($CQ154=1,$CW154,$CW154+($CX154-$CW154)*2/($CQ154-1)))))</f>
        <v/>
      </c>
      <c r="BX154" s="88">
        <f>IF($CS154,"",IF($CT154,IF(N($AZ154)&gt;0,N($AZ154),""),IF(4&gt;$CQ154,"",IF($CQ154=1,$CW154,$CW154+($CX154-$CW154)*3/($CQ154-1)))))</f>
        <v/>
      </c>
      <c r="BY154" s="88">
        <f>IF($CS154,"",IF($CT154,"",IF(5&gt;$CQ154,"",IF($CQ154=1,$CW154,$CW154+($CX154-$CW154)*4/($CQ154-1)))))</f>
        <v/>
      </c>
      <c r="BZ154" s="88">
        <f>IF(OR($CS154,$AP154="-",AND($AP154="",$AD154="")),"",IF(N($BA154)&gt;0,N($BA154),IF($CV154,IF(AND($BI154&lt;$CU154,$BI154-IF(N(VLOOKUP($AT154&amp;"|"&amp;$CU154,LocTable,7,FALSE))&gt;0,VLOOKUP($AT154&amp;"|"&amp;$CU154,LocTable,7,FALSE),VLOOKUP($AT154&amp;"|"&amp;$CU154,LocTable,6,FALSE))-$CR154-0.75&gt;=2.125),VLOOKUP($AT154&amp;"|"&amp;$CU154,LocTable,8,FALSE),VLOOKUP($AT154&amp;"|"&amp;$CU154,LocTable,8,FALSE)+($BI154-$CU154)),$BI154-LockAFF)))</f>
        <v/>
      </c>
      <c r="CA154" s="89">
        <f>IF($BZ154="","",$BI154-$BZ154)</f>
        <v/>
      </c>
      <c r="CB154" s="84">
        <f>IF(OR(NOT(AND($A154&lt;&gt;"",$C154&lt;&gt;"DOOR ONLY")),$BI154=""),"",IF(($BI154+IF(N($P154)&gt;0,$P154+FaceW,0))&lt;=90,3,IF(($BI154+IF(N($P154)&gt;0,$P154+FaceW,0))&lt;=114,4,5)))</f>
        <v/>
      </c>
      <c r="CC154" s="84">
        <f>IF($CB154="","",$CB154*(2+IF(N($Q154)&gt;0,IF($R154="LR",2,1),0)))</f>
        <v/>
      </c>
      <c r="CD154" s="84">
        <f>IF($CB154="","",(2+IF(N($Q154)&gt;0,IF($R154="LR",2,1),0)))</f>
        <v/>
      </c>
      <c r="CE154" s="84">
        <f>IF(N($BJ154)=0,"",IF(OR($AL154="",$AL154="FLUSH"),"FLUSH",IFERROR(LEFT($AL154,FIND("-",$AL154)-1),LEFT($AL154,2))))</f>
        <v/>
      </c>
      <c r="CF154" s="84">
        <f>IF($CE154="","",IFERROR(VALUE(MID($AL154,FIND("-",$AL154)+1,FIND(CHAR(34)&amp;"x",$AL154)-FIND("-",$AL154)-1)),0))</f>
        <v/>
      </c>
      <c r="CG154" s="84">
        <f>IF($CE154="","",IFERROR(VALUE(MID($AL154,FIND(CHAR(34)&amp;"x",$AL154)+2,FIND(CHAR(34),$AL154,FIND(CHAR(34)&amp;"x",$AL154)+2)-FIND(CHAR(34)&amp;"x",$AL154)-2)),0))</f>
        <v/>
      </c>
      <c r="CH154" s="90">
        <f>IF(OR($A154="",$H154="",$H154="NO LAB"),0,IFERROR(VALUE(LEFT($H154,FIND(" ",$H154)-1)),0))</f>
        <v/>
      </c>
      <c r="CI154" s="91">
        <f>IF(OR($A154="",$I154="",$I154="NON-RATED",N($J154)=0),"",IFERROR(VLOOKUP($I154&amp;"|"&amp;$J154,IBC,2,FALSE),"?"))</f>
        <v/>
      </c>
      <c r="CJ154" s="85">
        <f>IF(NOT(AND($A154&lt;&gt;"",$C154&lt;&gt;"DOOR ONLY")),"",TRIM(IFERROR(VLOOKUP($U154,CODES,2,FALSE),"")&amp;" "&amp;$BG154&amp;" "&amp;IFERROR(VLOOKUP($Z154,CODES,2,FALSE),"")&amp;" "&amp;IFERROR(VLOOKUP($X154,CODES,2,FALSE),"")&amp;" "&amp;IFERROR(VLOOKUP($S154,CODES,2,FALSE),"")&amp;IF(N($P154)&gt;0," w/TRANSOM "&amp;$P154&amp;CHAR(34),"")&amp;IF(N($Q154)&gt;0," w/SIDELITE "&amp;$Q154&amp;CHAR(34)&amp;" "&amp;IF($R154="","R",$R154),"")&amp;IF($Y154="","  |  "," | "&amp;IFERROR(VLOOKUP($Y154,CODES,2,FALSE),"")&amp;" | ")&amp;IFERROR(VLOOKUP($AC154,CODES,2,FALSE),"")&amp;" "&amp;IFERROR(VLOOKUP($AD154,CODES,2,FALSE),"")&amp;IF(OR($AE154="",$AE154="-"),""," "&amp;$AE154)&amp;IF(OR($AF154="",$AF154="-"),""," "&amp;$AF154)&amp;IF($AB154="Y"," 4"&amp;CHAR(34)&amp;" HEAD","")&amp;" "&amp;IFERROR(VLOOKUP($H154,CODES,2,FALSE),"")&amp;IF($CT154," | LOC "&amp;$CY154,"")))</f>
        <v/>
      </c>
      <c r="CK154" s="85">
        <f>IF(NOT(AND($A154&lt;&gt;"",N($BJ154)&gt;0)),"",TRIM(IFERROR(VLOOKUP($AH154,CODES,2,FALSE),"")&amp;IF($AI154=""," "," "&amp;$AI154&amp;"GA ")&amp;$BG154&amp;" "&amp;IF($AN154="",IFERROR(VLOOKUP($Z154,CODES,2,FALSE),""),IFERROR(VLOOKUP($AN154,CODES,2,FALSE),""))&amp;IF($BJ154=2," PAIR","")&amp;" DOOR | "&amp;IF($AL154="","?",$AL154)&amp;" | "&amp;IF($AO154="",IFERROR(VLOOKUP($AC154,CODES,2,FALSE),""),IFERROR(VLOOKUP($AO154,CODES,2,FALSE),""))&amp;" "&amp;IFERROR(VLOOKUP($AP154,CODES,2,FALSE),"")&amp;IF(OR($AQ154="",$AQ154="-"),""," SEAM "&amp;$AQ154)&amp;IF($AR154="Y"," ASTRAGAL","")&amp;IF($AJ154=""," "," "&amp;$AJ154)&amp;IF($AK154=""," "," "&amp;$AK154)&amp;IF(OR($AT154="",$AT154="ANSI/SDI",$AT154="CUSTOM LOC"),""," "&amp;$AT154)&amp;IF($AM154=""," "," SERIES "&amp;$AM154)&amp;" "&amp;IFERROR(VLOOKUP($H154,CODES,2,FALSE),"")&amp;IF($CT154," | LOC "&amp;$CZ154,"")))</f>
        <v/>
      </c>
      <c r="CL154" s="84">
        <f>IF(CP154="","",IF(COUNTIF($CP$6:CP154,CP154)=1,MAX($CL$5:CL153)+1,INDEX($CL$5:CL153,MATCH(CP154,$CP$5:CP153,0))))</f>
        <v/>
      </c>
      <c r="CM154" s="84">
        <f>IF(NOT(AND($A154&lt;&gt;"",$C154&lt;&gt;"DOOR ONLY")),"",MAX($CM$5:CM153)+1)</f>
        <v/>
      </c>
      <c r="CN154" s="84">
        <f>IF(NOT(AND($A154&lt;&gt;"",N($BJ154)&gt;0)),"",MAX($CN$5:CN153)+1)</f>
        <v/>
      </c>
      <c r="CO154" s="84">
        <f>IF($A154="","",MAX($CO$5:CO153)+1)</f>
        <v/>
      </c>
      <c r="CP154" s="84">
        <f>IF(OR($A154="",$BH154="",$BI154=""),"",$BG154&amp;"|"&amp;$O154&amp;"|"&amp;$AL154&amp;"|"&amp;$S154&amp;"|"&amp;$P154&amp;"|"&amp;$Q154&amp;$R154&amp;"|"&amp;$C154&amp;"|"&amp;$AB154)</f>
        <v/>
      </c>
      <c r="CQ154" s="84">
        <f>N($BS154)</f>
        <v/>
      </c>
      <c r="CR154" s="84">
        <f>IF(N($AU154)&gt;0,N($AU154),4.5)</f>
        <v/>
      </c>
      <c r="CS154" s="84">
        <f>OR($A154="",$BI154="",$S154="BL",AND($C154="FRAME ONLY",OR($AC154="",$AC154="BLK")))</f>
        <v/>
      </c>
      <c r="CT154" s="84">
        <f>AND(NOT($CS154),OR($AT154="CUSTOM LOC",N($AW154)+N($AX154)+N($AY154)+N($AZ154)+N($BA154)&gt;0))</f>
        <v/>
      </c>
      <c r="CU154" s="84">
        <f>IF($BI154="","",IF($BI154&lt;=80,80,IF($BI154&lt;=84,84,96)))</f>
        <v/>
      </c>
      <c r="CV154" s="84">
        <f>ISNUMBER(MATCH($AT154&amp;"|80",LocKeys,0))</f>
        <v/>
      </c>
      <c r="CW154" s="86">
        <f>IF($CS154,"",IF($CV154,VLOOKUP($AT154&amp;"|"&amp;$CU154,LocTable,4,FALSE),5))</f>
        <v/>
      </c>
      <c r="CX154" s="86">
        <f>IF($CS154,"",IF($CV154,IF(OR($BI154=$CU154,AND($BI154&lt;$CU154,$BI154-IF(N(VLOOKUP($AT154&amp;"|"&amp;$CU154,LocTable,7,FALSE))&gt;0,VLOOKUP($AT154&amp;"|"&amp;$CU154,LocTable,7,FALSE),VLOOKUP($AT154&amp;"|"&amp;$CU154,LocTable,6,FALSE))-$CR154-0.75&gt;=2.125)),IF(N(VLOOKUP($AT154&amp;"|"&amp;$CU154,LocTable,7,FALSE))&gt;0,VLOOKUP($AT154&amp;"|"&amp;$CU154,LocTable,7,FALSE),VLOOKUP($AT154&amp;"|"&amp;$CU154,LocTable,6,FALSE)),$BI154-($CU154-IF(N(VLOOKUP($AT154&amp;"|"&amp;$CU154,LocTable,7,FALSE))&gt;0,VLOOKUP($AT154&amp;"|"&amp;$CU154,LocTable,7,FALSE),VLOOKUP($AT154&amp;"|"&amp;$CU154,LocTable,6,FALSE)))),$BI154-10-$CR154))</f>
        <v/>
      </c>
      <c r="CY154" s="85">
        <f>IF($CS154,"",TRIM(IF(ISNUMBER($BU154),"A "&amp;TRIM(TEXT($BU154,"# ?/??"))&amp;CHAR(34)&amp;"  ","")&amp;IF(ISNUMBER($BV154),"B "&amp;TRIM(TEXT($BV154,"# ?/??"))&amp;CHAR(34)&amp;"  ","")&amp;IF(ISNUMBER($BW154),"C "&amp;TRIM(TEXT($BW154,"# ?/??"))&amp;CHAR(34)&amp;"  ","")&amp;IF(ISNUMBER($BX154),"D "&amp;TRIM(TEXT($BX154,"# ?/??"))&amp;CHAR(34)&amp;"  ","")&amp;IF(ISNUMBER($BY154),"F "&amp;TRIM(TEXT($BY154,"# ?/??"))&amp;CHAR(34)&amp;"  ","")&amp;IF(ISNUMBER($BZ154),"E "&amp;TRIM(TEXT($BZ154,"# ?/??"))&amp;CHAR(34)&amp;"  ","")))</f>
        <v/>
      </c>
      <c r="CZ154" s="85">
        <f>IF(OR($CS154,N($BJ154)=0),"",TRIM(IF(ISNUMBER($BU154),"A "&amp;TRIM(TEXT($BU154-HeadClr,"# ?/??"))&amp;CHAR(34)&amp;"  ","")&amp;IF(ISNUMBER($BV154),"B "&amp;TRIM(TEXT($BV154-HeadClr,"# ?/??"))&amp;CHAR(34)&amp;"  ","")&amp;IF(ISNUMBER($BW154),"C "&amp;TRIM(TEXT($BW154-HeadClr,"# ?/??"))&amp;CHAR(34)&amp;"  ","")&amp;IF(ISNUMBER($BX154),"D "&amp;TRIM(TEXT($BX154-HeadClr,"# ?/??"))&amp;CHAR(34)&amp;"  ","")&amp;IF(ISNUMBER($BY154),"F "&amp;TRIM(TEXT($BY154-HeadClr,"# ?/??"))&amp;CHAR(34)&amp;"  ","")&amp;IF(ISNUMBER($BZ154),"E "&amp;TRIM(TEXT($BZ154-HeadClr,"# ?/??"))&amp;CHAR(34)&amp;"  ","")))</f>
        <v/>
      </c>
      <c r="DA154" s="84">
        <f>IF($A154="","",IF($AN154="",IFERROR(VLOOKUP($Z154,CODES,2,FALSE),""),IFERROR(VLOOKUP($AN154,CODES,2,FALSE),"")))</f>
        <v/>
      </c>
      <c r="DB154" s="84">
        <f>IF($A154="","",IF($O154="Y","PR",IF(OR($Z154="L",$Z154="RR",LEFT($Z154,2)="L-",LEFT($Z154,3)="RR-"),"LH","RH")))</f>
        <v/>
      </c>
      <c r="DC154" s="84">
        <f>IF($A154="","","S.HM"&amp;IF(OR($C154="DOOR ONLY",$X154&lt;&gt;"KD"),"MASONRY","DRYWALL")&amp;IF($C154="DOOR ONLY","",$U154)&amp;IF(AND($C154&lt;&gt;"FRAME ONLY",OR(LEFT($AH154,3)="OAK",LEFT($AH154,3)="BIR",LEFT($AH154,3)="MAP",$AH154="PC",$AH154="MC",$AH154="SCLC",$AH154="P-LAM")),"WD","HM")&amp;"1.75")</f>
        <v/>
      </c>
      <c r="DD154" s="84">
        <f>IF($CJ154="","",IF($O154="Y",$CJ154,SUBSTITUTE($CJ154,$BG154&amp;" "&amp;IFERROR(VLOOKUP($Z154,CODES,2,FALSE),"")&amp;" ",$BG154&amp;" ")))</f>
        <v/>
      </c>
      <c r="DE154" s="84">
        <f>IF($CK154="","",IF($O154="Y",$CK154,SUBSTITUTE($CK154,$BG154&amp;" "&amp;IF($AN154="",IFERROR(VLOOKUP($Z154,CODES,2,FALSE),""),IFERROR(VLOOKUP($AN154,CODES,2,FALSE),""))&amp;" ",$BG154&amp;" ")))</f>
        <v/>
      </c>
      <c r="DF154" s="84">
        <f>IF($CJ154="","",$DC154&amp;"|"&amp;$DD154&amp;"|"&amp;$DB154&amp;"|"&amp;$AT154&amp;"|"&amp;$V154&amp;"|"&amp;$Y154&amp;"|"&amp;$AB154)</f>
        <v/>
      </c>
      <c r="DG154" s="84">
        <f>IF(DF154="","",IF(COUNTIF($DF$6:DF154,DF154)=1,MAX($DG$5:DG153)+1,INDEX($DG$5:DG153,MATCH(DF154,$DF$5:DF153,0))))</f>
        <v/>
      </c>
      <c r="DH154" s="84">
        <f>IF($CK154="","",$DC154&amp;"|"&amp;$DE154&amp;"|"&amp;$AI154&amp;"|"&amp;$BK154&amp;"|"&amp;$BL154)</f>
        <v/>
      </c>
      <c r="DI154" s="84">
        <f>IF(DH154="","",IF(COUNTIF($DH$6:DH154,DH154)=1,MAX($DI$5:DI153)+1,INDEX($DI$5:DI153,MATCH(DH154,$DH$5:DH153,0))))</f>
        <v/>
      </c>
      <c r="DJ154" s="84">
        <f>IF($A154="","",IF($B154="","qty, ","")&amp;IF($C154="","scope, ","")&amp;IF(OR($K154="",$M154=""),"size, ","")&amp;IF(AND($A154&lt;&gt;"",$C154&lt;&gt;"DOOR ONLY"),IF($U154="","jamb depth, ","")&amp;IF($X154="","construction, ","")&amp;IF($Y154="","anchor, ","")&amp;IF($S154="","frame type, ",""),"")&amp;IF(AND(N($BJ154)&gt;0,$Z154=""),"hand, ","")&amp;IF(N($BJ154)&gt;0,IF($AH154="","door material, ","")&amp;IF($AL154="","face type, ","")&amp;IF($AP154="","lock prep, ","")&amp;IF(AND($AO154="",$AC154=""),"hinge prep, ",""),"")&amp;IF(AND($CH154&gt;0,$AH154="FRP"),"FRP cannot carry a label, ","")&amp;IF(AND($O154="Y",OR($Z154="L",$Z154="R",$Z154="LR",$Z154="RR")),"pair marked but hand is single, ","")&amp;IF(AND($O154&lt;&gt;"Y",OR($Z154="PR",AND(LEN($Z154)&gt;1,ISNUMBER(SEARCH("-",$Z154))))),"pair hand on a single door, ","")&amp;IF(AND(ISNUMBER($CI154),$CH154&lt;N($CI154)),"wall needs a "&amp;$CI154&amp;" min door, ","")&amp;IF(AND($CH154&gt;=180,AND(OR($CE154="FG",$CE154="HG",$CE154="FNV",$CE154="FV"),N($CF154)*N($CG154)&gt;100)),"180 min lite over 100 sq in, ","")&amp;IF(N($BK154)&gt;48,"leaf wider than 4'-0"&amp;CHAR(34)&amp;", ","")&amp;IF(AND($CT154,COUNT($AW154:$AZ154)=0,$CQ154&gt;0),"CUSTOM LOC with no locations typed, ",""))</f>
        <v/>
      </c>
      <c r="DK154" s="84">
        <f>IF($A154="","",IF(AND($CH154&gt;0,AND($A154&lt;&gt;"",$C154&lt;&gt;"DOOR ONLY"),$X154="KD",$E154="EXTERIOR"),"KD label on an exterior opening, ","")&amp;IF(AND($E154="EXTERIOR",OR(AND(AND($A154&lt;&gt;"",$C154&lt;&gt;"DOOR ONLY"),$W154="CR"),AND(N($BJ154)&gt;0,$AH154="CR"))),"exterior in CR steel (G9?), ","")&amp;IF(AND(ISNUMBER($BQ154),N($BQ154)&lt;32),"clear width ~"&amp;TEXT($BQ154,"0.0")&amp;CHAR(34)&amp;" under 32"&amp;CHAR(34)&amp;" (ADA), ","")&amp;IF(AND($CH154=90,AND(OR($CE154="FG",$CE154="HG",$CE154="FNV",$CE154="FV"),N($CF154)*N($CG154)&gt;100)),"90 min lite over 100 sq in (stair/exit), ","")&amp;IF(AND($CH154&gt;0,AND($A154&lt;&gt;"",$C154&lt;&gt;"DOOR ONLY"),OR($AF154="",$AF154="-")),"rated: closer reinf.?, ","")&amp;IF(OR($I154="CORRIDOR",$I154="SMOKE BARRIER"),"S label + smoke gasketing, ","")&amp;IF($CI154="?","wall type/hr not in IBC table, ","")&amp;IF(AND(N($BJ154)&gt;0,$BB154=""),"no hardware set, ","")&amp;IF(AND($BB154&lt;&gt;"",ISNA(MATCH($BB154&amp;"",HWSets,0))),"set "&amp;$BB154&amp;" not on HW Sets, ","")&amp;IF(N($BL154)&gt;96,"leaf over 8'-0"&amp;CHAR(34)&amp;" - check listing, ","")&amp;IF(AND($CT154,COUNT($AW154:$AZ154)&gt;0,COUNT($AW154:$AZ154)&lt;&gt;$CQ154),COUNT($AW154:$AZ154)&amp;" custom hinges typed, "&amp;$CQ154&amp;" expected, ","")&amp;IF(AND(ISNUMBER($CA154),OR(N($CA154)&lt;34,N($CA154)&gt;48)),"lock "&amp;TEXT($CA154,"0.0")&amp;CHAR(34)&amp;" AFF outside 34-48"&amp;CHAR(34)&amp;" (ADA), ","")&amp;IF(AND(ISNUMBER($AV154),ISNUMBER($BL154),N($AV154)&lt;IF(N($BL154)&lt;=60,2,IF(N($BL154)&lt;=90,3,IF(N($BL154)&lt;=120,4,5)))),"fewer hinges than standard, ",""))</f>
        <v/>
      </c>
    </row>
    <row r="155" ht="15" customHeight="1">
      <c r="A155" s="92" t="n"/>
      <c r="B155" s="93" t="n"/>
      <c r="C155" s="93" t="n"/>
      <c r="D155" s="93" t="n"/>
      <c r="E155" s="93" t="n"/>
      <c r="F155" s="93" t="n"/>
      <c r="G155" s="93" t="n"/>
      <c r="H155" s="93" t="n"/>
      <c r="I155" s="93" t="n"/>
      <c r="J155" s="93" t="n"/>
      <c r="K155" s="93" t="n"/>
      <c r="L155" s="93" t="n"/>
      <c r="M155" s="93" t="n"/>
      <c r="N155" s="93" t="n"/>
      <c r="O155" s="93" t="n"/>
      <c r="P155" s="93" t="n"/>
      <c r="Q155" s="93" t="n"/>
      <c r="R155" s="93" t="n"/>
      <c r="S155" s="94" t="n"/>
      <c r="T155" s="94" t="n"/>
      <c r="U155" s="94" t="n"/>
      <c r="V155" s="94" t="n"/>
      <c r="W155" s="94" t="n"/>
      <c r="X155" s="94" t="n"/>
      <c r="Y155" s="94" t="n"/>
      <c r="Z155" s="94" t="n"/>
      <c r="AA155" s="94" t="n"/>
      <c r="AB155" s="94" t="n"/>
      <c r="AC155" s="94" t="n"/>
      <c r="AD155" s="94" t="n"/>
      <c r="AE155" s="94" t="n"/>
      <c r="AF155" s="94" t="n"/>
      <c r="AG155" s="94" t="n"/>
      <c r="AH155" s="95" t="n"/>
      <c r="AI155" s="95" t="n"/>
      <c r="AJ155" s="95" t="n"/>
      <c r="AK155" s="95" t="n"/>
      <c r="AL155" s="95" t="n"/>
      <c r="AM155" s="95" t="n"/>
      <c r="AN155" s="95" t="n"/>
      <c r="AO155" s="95" t="n"/>
      <c r="AP155" s="95" t="n"/>
      <c r="AQ155" s="95" t="n"/>
      <c r="AR155" s="95" t="n"/>
      <c r="AS155" s="95" t="n"/>
      <c r="AT155" s="96" t="n"/>
      <c r="AU155" s="96" t="n"/>
      <c r="AV155" s="96" t="n"/>
      <c r="AW155" s="97" t="n"/>
      <c r="AX155" s="97" t="n"/>
      <c r="AY155" s="97" t="n"/>
      <c r="AZ155" s="97" t="n"/>
      <c r="BA155" s="97" t="n"/>
      <c r="BB155" s="98" t="n"/>
      <c r="BC155" s="98" t="n"/>
      <c r="BD155" s="99">
        <f>IF($A155="","",IF($DJ155&lt;&gt;"","FIX",IF($DK155&lt;&gt;"","CHECK","OK")))</f>
        <v/>
      </c>
      <c r="BE155" s="100">
        <f>IF($A155="","",IF($DJ155&lt;&gt;"","FIX: "&amp;LEFT($DJ155,LEN($DJ155)-2)&amp;IF($DK155&lt;&gt;"","  ·  ",""),"")&amp;IF($DK155&lt;&gt;"","CHECK: "&amp;LEFT($DK155,LEN($DK155)-2),""))</f>
        <v/>
      </c>
      <c r="BF155" s="99">
        <f>IF(OR($A155="",$K155=""),"",$K155&amp;"'-"&amp;N($L155)&amp;CHAR(34)&amp;" x "&amp;$M155&amp;"'-"&amp;N($N155)&amp;CHAR(34))</f>
        <v/>
      </c>
      <c r="BG155" s="99">
        <f>IF(OR($A155="",$K155=""),"",$K155&amp;N($L155)&amp;$M155&amp;N($N155))</f>
        <v/>
      </c>
      <c r="BH155" s="99">
        <f>IF(OR($A155="",$K155=""),"",$K155*12+N($L155))</f>
        <v/>
      </c>
      <c r="BI155" s="99">
        <f>IF(OR($A155="",$M155=""),"",$M155*12+N($N155))</f>
        <v/>
      </c>
      <c r="BJ155" s="99">
        <f>IF($A155="","",IF(OR($C155="FRAME ONLY",$S155="BL"),0,IF($O155="Y",2,1)))</f>
        <v/>
      </c>
      <c r="BK155" s="101">
        <f>IF(OR(N($BJ155)=0,$BH155=""),"",($BH155-2*EdgeClr-IF($BJ155=2,MeetClr,0))/$BJ155)</f>
        <v/>
      </c>
      <c r="BL155" s="101">
        <f>IF(OR(N($BJ155)=0,$BI155=""),"",$BI155-HeadClr-Undercut)</f>
        <v/>
      </c>
      <c r="BM155" s="101">
        <f>IF($BH155="","",$BH155+2*FaceW+IF(N($Q155)&gt;0,($Q155+FaceW)*IF($R155="LR",2,1),0))</f>
        <v/>
      </c>
      <c r="BN155" s="101">
        <f>IF($BI155="","",$BI155+IF($AB155="Y",4,FaceW)+IF(N($P155)&gt;0,$P155+FaceW,0)+IF(OR($S155="4F",$S155="BL"),FaceW,0))</f>
        <v/>
      </c>
      <c r="BO155" s="101">
        <f>IF($BM155="","",$BM155+2*ROSide)</f>
        <v/>
      </c>
      <c r="BP155" s="101">
        <f>IF($BN155="","",$BN155+ROTop)</f>
        <v/>
      </c>
      <c r="BQ155" s="102">
        <f>IF(OR(N($BJ155)=0,$BH155=""),"",$BH155/$BJ155-ClearDeduct)</f>
        <v/>
      </c>
      <c r="BR155" s="99">
        <f>IF(N($CH155)=0,"",IF($CH155&gt;=180,"A · 3 HR",IF($CH155&gt;=90,"B · 1-1/2 HR",IF($CH155&gt;=60,"B · 1 HR",IF($CH155&gt;=45,"C · 3/4 HR","20 MIN")))))&amp;IF(AND(N($CH155)&gt;0,OR($I155="CORRIDOR",$I155="SMOKE BARRIER"))," · S","")</f>
        <v/>
      </c>
      <c r="BS155" s="99">
        <f>IF($CS155,"",IF($AV155&lt;&gt;"",$AV155,IF(OR($AC155="HGC",$AO155="HGC"),"CONT",IF(($BI155-HeadClr-Undercut)&lt;=60,2,IF(($BI155-HeadClr-Undercut)&lt;=90,3,IF(($BI155-HeadClr-Undercut)&lt;=120,4,5))))))</f>
        <v/>
      </c>
      <c r="BT155" s="99">
        <f>IF($CS155,"",IF($CT155,"CUSTOM (typed)",IF($CV155,$AT155&amp;" "&amp;$CU155&amp;CHAR(34)&amp;IF($CU155&lt;&gt;$BI155,IF(AND($BI155&lt;$CU155,$BI155-IF(N(VLOOKUP($AT155&amp;"|"&amp;$CU155,LocTable,7,FALSE))&gt;0,VLOOKUP($AT155&amp;"|"&amp;$CU155,LocTable,7,FALSE),VLOOKUP($AT155&amp;"|"&amp;$CU155,LocTable,6,FALSE))-$CR155-0.75&gt;=2.125)," cut down"," adj."),""),"ANSI/SDI A250.6")))</f>
        <v/>
      </c>
      <c r="BU155" s="103">
        <f>IF($CS155,"",IF($CT155,IF(N($AW155)&gt;0,N($AW155),""),IF(1&gt;$CQ155,"",IF($CQ155=1,$CW155,$CW155+($CX155-$CW155)*0/($CQ155-1)))))</f>
        <v/>
      </c>
      <c r="BV155" s="103">
        <f>IF($CS155,"",IF($CT155,IF(N($AX155)&gt;0,N($AX155),""),IF(2&gt;$CQ155,"",IF($CQ155=1,$CW155,$CW155+($CX155-$CW155)*1/($CQ155-1)))))</f>
        <v/>
      </c>
      <c r="BW155" s="103">
        <f>IF($CS155,"",IF($CT155,IF(N($AY155)&gt;0,N($AY155),""),IF(3&gt;$CQ155,"",IF($CQ155=1,$CW155,$CW155+($CX155-$CW155)*2/($CQ155-1)))))</f>
        <v/>
      </c>
      <c r="BX155" s="103">
        <f>IF($CS155,"",IF($CT155,IF(N($AZ155)&gt;0,N($AZ155),""),IF(4&gt;$CQ155,"",IF($CQ155=1,$CW155,$CW155+($CX155-$CW155)*3/($CQ155-1)))))</f>
        <v/>
      </c>
      <c r="BY155" s="103">
        <f>IF($CS155,"",IF($CT155,"",IF(5&gt;$CQ155,"",IF($CQ155=1,$CW155,$CW155+($CX155-$CW155)*4/($CQ155-1)))))</f>
        <v/>
      </c>
      <c r="BZ155" s="103">
        <f>IF(OR($CS155,$AP155="-",AND($AP155="",$AD155="")),"",IF(N($BA155)&gt;0,N($BA155),IF($CV155,IF(AND($BI155&lt;$CU155,$BI155-IF(N(VLOOKUP($AT155&amp;"|"&amp;$CU155,LocTable,7,FALSE))&gt;0,VLOOKUP($AT155&amp;"|"&amp;$CU155,LocTable,7,FALSE),VLOOKUP($AT155&amp;"|"&amp;$CU155,LocTable,6,FALSE))-$CR155-0.75&gt;=2.125),VLOOKUP($AT155&amp;"|"&amp;$CU155,LocTable,8,FALSE),VLOOKUP($AT155&amp;"|"&amp;$CU155,LocTable,8,FALSE)+($BI155-$CU155)),$BI155-LockAFF)))</f>
        <v/>
      </c>
      <c r="CA155" s="104">
        <f>IF($BZ155="","",$BI155-$BZ155)</f>
        <v/>
      </c>
      <c r="CB155" s="99">
        <f>IF(OR(NOT(AND($A155&lt;&gt;"",$C155&lt;&gt;"DOOR ONLY")),$BI155=""),"",IF(($BI155+IF(N($P155)&gt;0,$P155+FaceW,0))&lt;=90,3,IF(($BI155+IF(N($P155)&gt;0,$P155+FaceW,0))&lt;=114,4,5)))</f>
        <v/>
      </c>
      <c r="CC155" s="99">
        <f>IF($CB155="","",$CB155*(2+IF(N($Q155)&gt;0,IF($R155="LR",2,1),0)))</f>
        <v/>
      </c>
      <c r="CD155" s="99">
        <f>IF($CB155="","",(2+IF(N($Q155)&gt;0,IF($R155="LR",2,1),0)))</f>
        <v/>
      </c>
      <c r="CE155" s="99">
        <f>IF(N($BJ155)=0,"",IF(OR($AL155="",$AL155="FLUSH"),"FLUSH",IFERROR(LEFT($AL155,FIND("-",$AL155)-1),LEFT($AL155,2))))</f>
        <v/>
      </c>
      <c r="CF155" s="99">
        <f>IF($CE155="","",IFERROR(VALUE(MID($AL155,FIND("-",$AL155)+1,FIND(CHAR(34)&amp;"x",$AL155)-FIND("-",$AL155)-1)),0))</f>
        <v/>
      </c>
      <c r="CG155" s="99">
        <f>IF($CE155="","",IFERROR(VALUE(MID($AL155,FIND(CHAR(34)&amp;"x",$AL155)+2,FIND(CHAR(34),$AL155,FIND(CHAR(34)&amp;"x",$AL155)+2)-FIND(CHAR(34)&amp;"x",$AL155)-2)),0))</f>
        <v/>
      </c>
      <c r="CH155" s="105">
        <f>IF(OR($A155="",$H155="",$H155="NO LAB"),0,IFERROR(VALUE(LEFT($H155,FIND(" ",$H155)-1)),0))</f>
        <v/>
      </c>
      <c r="CI155" s="106">
        <f>IF(OR($A155="",$I155="",$I155="NON-RATED",N($J155)=0),"",IFERROR(VLOOKUP($I155&amp;"|"&amp;$J155,IBC,2,FALSE),"?"))</f>
        <v/>
      </c>
      <c r="CJ155" s="100">
        <f>IF(NOT(AND($A155&lt;&gt;"",$C155&lt;&gt;"DOOR ONLY")),"",TRIM(IFERROR(VLOOKUP($U155,CODES,2,FALSE),"")&amp;" "&amp;$BG155&amp;" "&amp;IFERROR(VLOOKUP($Z155,CODES,2,FALSE),"")&amp;" "&amp;IFERROR(VLOOKUP($X155,CODES,2,FALSE),"")&amp;" "&amp;IFERROR(VLOOKUP($S155,CODES,2,FALSE),"")&amp;IF(N($P155)&gt;0," w/TRANSOM "&amp;$P155&amp;CHAR(34),"")&amp;IF(N($Q155)&gt;0," w/SIDELITE "&amp;$Q155&amp;CHAR(34)&amp;" "&amp;IF($R155="","R",$R155),"")&amp;IF($Y155="","  |  "," | "&amp;IFERROR(VLOOKUP($Y155,CODES,2,FALSE),"")&amp;" | ")&amp;IFERROR(VLOOKUP($AC155,CODES,2,FALSE),"")&amp;" "&amp;IFERROR(VLOOKUP($AD155,CODES,2,FALSE),"")&amp;IF(OR($AE155="",$AE155="-"),""," "&amp;$AE155)&amp;IF(OR($AF155="",$AF155="-"),""," "&amp;$AF155)&amp;IF($AB155="Y"," 4"&amp;CHAR(34)&amp;" HEAD","")&amp;" "&amp;IFERROR(VLOOKUP($H155,CODES,2,FALSE),"")&amp;IF($CT155," | LOC "&amp;$CY155,"")))</f>
        <v/>
      </c>
      <c r="CK155" s="100">
        <f>IF(NOT(AND($A155&lt;&gt;"",N($BJ155)&gt;0)),"",TRIM(IFERROR(VLOOKUP($AH155,CODES,2,FALSE),"")&amp;IF($AI155=""," "," "&amp;$AI155&amp;"GA ")&amp;$BG155&amp;" "&amp;IF($AN155="",IFERROR(VLOOKUP($Z155,CODES,2,FALSE),""),IFERROR(VLOOKUP($AN155,CODES,2,FALSE),""))&amp;IF($BJ155=2," PAIR","")&amp;" DOOR | "&amp;IF($AL155="","?",$AL155)&amp;" | "&amp;IF($AO155="",IFERROR(VLOOKUP($AC155,CODES,2,FALSE),""),IFERROR(VLOOKUP($AO155,CODES,2,FALSE),""))&amp;" "&amp;IFERROR(VLOOKUP($AP155,CODES,2,FALSE),"")&amp;IF(OR($AQ155="",$AQ155="-"),""," SEAM "&amp;$AQ155)&amp;IF($AR155="Y"," ASTRAGAL","")&amp;IF($AJ155=""," "," "&amp;$AJ155)&amp;IF($AK155=""," "," "&amp;$AK155)&amp;IF(OR($AT155="",$AT155="ANSI/SDI",$AT155="CUSTOM LOC"),""," "&amp;$AT155)&amp;IF($AM155=""," "," SERIES "&amp;$AM155)&amp;" "&amp;IFERROR(VLOOKUP($H155,CODES,2,FALSE),"")&amp;IF($CT155," | LOC "&amp;$CZ155,"")))</f>
        <v/>
      </c>
      <c r="CL155" s="99">
        <f>IF(CP155="","",IF(COUNTIF($CP$6:CP155,CP155)=1,MAX($CL$5:CL154)+1,INDEX($CL$5:CL154,MATCH(CP155,$CP$5:CP154,0))))</f>
        <v/>
      </c>
      <c r="CM155" s="99">
        <f>IF(NOT(AND($A155&lt;&gt;"",$C155&lt;&gt;"DOOR ONLY")),"",MAX($CM$5:CM154)+1)</f>
        <v/>
      </c>
      <c r="CN155" s="99">
        <f>IF(NOT(AND($A155&lt;&gt;"",N($BJ155)&gt;0)),"",MAX($CN$5:CN154)+1)</f>
        <v/>
      </c>
      <c r="CO155" s="99">
        <f>IF($A155="","",MAX($CO$5:CO154)+1)</f>
        <v/>
      </c>
      <c r="CP155" s="99">
        <f>IF(OR($A155="",$BH155="",$BI155=""),"",$BG155&amp;"|"&amp;$O155&amp;"|"&amp;$AL155&amp;"|"&amp;$S155&amp;"|"&amp;$P155&amp;"|"&amp;$Q155&amp;$R155&amp;"|"&amp;$C155&amp;"|"&amp;$AB155)</f>
        <v/>
      </c>
      <c r="CQ155" s="99">
        <f>N($BS155)</f>
        <v/>
      </c>
      <c r="CR155" s="99">
        <f>IF(N($AU155)&gt;0,N($AU155),4.5)</f>
        <v/>
      </c>
      <c r="CS155" s="99">
        <f>OR($A155="",$BI155="",$S155="BL",AND($C155="FRAME ONLY",OR($AC155="",$AC155="BLK")))</f>
        <v/>
      </c>
      <c r="CT155" s="99">
        <f>AND(NOT($CS155),OR($AT155="CUSTOM LOC",N($AW155)+N($AX155)+N($AY155)+N($AZ155)+N($BA155)&gt;0))</f>
        <v/>
      </c>
      <c r="CU155" s="99">
        <f>IF($BI155="","",IF($BI155&lt;=80,80,IF($BI155&lt;=84,84,96)))</f>
        <v/>
      </c>
      <c r="CV155" s="99">
        <f>ISNUMBER(MATCH($AT155&amp;"|80",LocKeys,0))</f>
        <v/>
      </c>
      <c r="CW155" s="101">
        <f>IF($CS155,"",IF($CV155,VLOOKUP($AT155&amp;"|"&amp;$CU155,LocTable,4,FALSE),5))</f>
        <v/>
      </c>
      <c r="CX155" s="101">
        <f>IF($CS155,"",IF($CV155,IF(OR($BI155=$CU155,AND($BI155&lt;$CU155,$BI155-IF(N(VLOOKUP($AT155&amp;"|"&amp;$CU155,LocTable,7,FALSE))&gt;0,VLOOKUP($AT155&amp;"|"&amp;$CU155,LocTable,7,FALSE),VLOOKUP($AT155&amp;"|"&amp;$CU155,LocTable,6,FALSE))-$CR155-0.75&gt;=2.125)),IF(N(VLOOKUP($AT155&amp;"|"&amp;$CU155,LocTable,7,FALSE))&gt;0,VLOOKUP($AT155&amp;"|"&amp;$CU155,LocTable,7,FALSE),VLOOKUP($AT155&amp;"|"&amp;$CU155,LocTable,6,FALSE)),$BI155-($CU155-IF(N(VLOOKUP($AT155&amp;"|"&amp;$CU155,LocTable,7,FALSE))&gt;0,VLOOKUP($AT155&amp;"|"&amp;$CU155,LocTable,7,FALSE),VLOOKUP($AT155&amp;"|"&amp;$CU155,LocTable,6,FALSE)))),$BI155-10-$CR155))</f>
        <v/>
      </c>
      <c r="CY155" s="100">
        <f>IF($CS155,"",TRIM(IF(ISNUMBER($BU155),"A "&amp;TRIM(TEXT($BU155,"# ?/??"))&amp;CHAR(34)&amp;"  ","")&amp;IF(ISNUMBER($BV155),"B "&amp;TRIM(TEXT($BV155,"# ?/??"))&amp;CHAR(34)&amp;"  ","")&amp;IF(ISNUMBER($BW155),"C "&amp;TRIM(TEXT($BW155,"# ?/??"))&amp;CHAR(34)&amp;"  ","")&amp;IF(ISNUMBER($BX155),"D "&amp;TRIM(TEXT($BX155,"# ?/??"))&amp;CHAR(34)&amp;"  ","")&amp;IF(ISNUMBER($BY155),"F "&amp;TRIM(TEXT($BY155,"# ?/??"))&amp;CHAR(34)&amp;"  ","")&amp;IF(ISNUMBER($BZ155),"E "&amp;TRIM(TEXT($BZ155,"# ?/??"))&amp;CHAR(34)&amp;"  ","")))</f>
        <v/>
      </c>
      <c r="CZ155" s="100">
        <f>IF(OR($CS155,N($BJ155)=0),"",TRIM(IF(ISNUMBER($BU155),"A "&amp;TRIM(TEXT($BU155-HeadClr,"# ?/??"))&amp;CHAR(34)&amp;"  ","")&amp;IF(ISNUMBER($BV155),"B "&amp;TRIM(TEXT($BV155-HeadClr,"# ?/??"))&amp;CHAR(34)&amp;"  ","")&amp;IF(ISNUMBER($BW155),"C "&amp;TRIM(TEXT($BW155-HeadClr,"# ?/??"))&amp;CHAR(34)&amp;"  ","")&amp;IF(ISNUMBER($BX155),"D "&amp;TRIM(TEXT($BX155-HeadClr,"# ?/??"))&amp;CHAR(34)&amp;"  ","")&amp;IF(ISNUMBER($BY155),"F "&amp;TRIM(TEXT($BY155-HeadClr,"# ?/??"))&amp;CHAR(34)&amp;"  ","")&amp;IF(ISNUMBER($BZ155),"E "&amp;TRIM(TEXT($BZ155-HeadClr,"# ?/??"))&amp;CHAR(34)&amp;"  ","")))</f>
        <v/>
      </c>
      <c r="DA155" s="99">
        <f>IF($A155="","",IF($AN155="",IFERROR(VLOOKUP($Z155,CODES,2,FALSE),""),IFERROR(VLOOKUP($AN155,CODES,2,FALSE),"")))</f>
        <v/>
      </c>
      <c r="DB155" s="99">
        <f>IF($A155="","",IF($O155="Y","PR",IF(OR($Z155="L",$Z155="RR",LEFT($Z155,2)="L-",LEFT($Z155,3)="RR-"),"LH","RH")))</f>
        <v/>
      </c>
      <c r="DC155" s="99">
        <f>IF($A155="","","S.HM"&amp;IF(OR($C155="DOOR ONLY",$X155&lt;&gt;"KD"),"MASONRY","DRYWALL")&amp;IF($C155="DOOR ONLY","",$U155)&amp;IF(AND($C155&lt;&gt;"FRAME ONLY",OR(LEFT($AH155,3)="OAK",LEFT($AH155,3)="BIR",LEFT($AH155,3)="MAP",$AH155="PC",$AH155="MC",$AH155="SCLC",$AH155="P-LAM")),"WD","HM")&amp;"1.75")</f>
        <v/>
      </c>
      <c r="DD155" s="99">
        <f>IF($CJ155="","",IF($O155="Y",$CJ155,SUBSTITUTE($CJ155,$BG155&amp;" "&amp;IFERROR(VLOOKUP($Z155,CODES,2,FALSE),"")&amp;" ",$BG155&amp;" ")))</f>
        <v/>
      </c>
      <c r="DE155" s="99">
        <f>IF($CK155="","",IF($O155="Y",$CK155,SUBSTITUTE($CK155,$BG155&amp;" "&amp;IF($AN155="",IFERROR(VLOOKUP($Z155,CODES,2,FALSE),""),IFERROR(VLOOKUP($AN155,CODES,2,FALSE),""))&amp;" ",$BG155&amp;" ")))</f>
        <v/>
      </c>
      <c r="DF155" s="99">
        <f>IF($CJ155="","",$DC155&amp;"|"&amp;$DD155&amp;"|"&amp;$DB155&amp;"|"&amp;$AT155&amp;"|"&amp;$V155&amp;"|"&amp;$Y155&amp;"|"&amp;$AB155)</f>
        <v/>
      </c>
      <c r="DG155" s="99">
        <f>IF(DF155="","",IF(COUNTIF($DF$6:DF155,DF155)=1,MAX($DG$5:DG154)+1,INDEX($DG$5:DG154,MATCH(DF155,$DF$5:DF154,0))))</f>
        <v/>
      </c>
      <c r="DH155" s="99">
        <f>IF($CK155="","",$DC155&amp;"|"&amp;$DE155&amp;"|"&amp;$AI155&amp;"|"&amp;$BK155&amp;"|"&amp;$BL155)</f>
        <v/>
      </c>
      <c r="DI155" s="99">
        <f>IF(DH155="","",IF(COUNTIF($DH$6:DH155,DH155)=1,MAX($DI$5:DI154)+1,INDEX($DI$5:DI154,MATCH(DH155,$DH$5:DH154,0))))</f>
        <v/>
      </c>
      <c r="DJ155" s="99">
        <f>IF($A155="","",IF($B155="","qty, ","")&amp;IF($C155="","scope, ","")&amp;IF(OR($K155="",$M155=""),"size, ","")&amp;IF(AND($A155&lt;&gt;"",$C155&lt;&gt;"DOOR ONLY"),IF($U155="","jamb depth, ","")&amp;IF($X155="","construction, ","")&amp;IF($Y155="","anchor, ","")&amp;IF($S155="","frame type, ",""),"")&amp;IF(AND(N($BJ155)&gt;0,$Z155=""),"hand, ","")&amp;IF(N($BJ155)&gt;0,IF($AH155="","door material, ","")&amp;IF($AL155="","face type, ","")&amp;IF($AP155="","lock prep, ","")&amp;IF(AND($AO155="",$AC155=""),"hinge prep, ",""),"")&amp;IF(AND($CH155&gt;0,$AH155="FRP"),"FRP cannot carry a label, ","")&amp;IF(AND($O155="Y",OR($Z155="L",$Z155="R",$Z155="LR",$Z155="RR")),"pair marked but hand is single, ","")&amp;IF(AND($O155&lt;&gt;"Y",OR($Z155="PR",AND(LEN($Z155)&gt;1,ISNUMBER(SEARCH("-",$Z155))))),"pair hand on a single door, ","")&amp;IF(AND(ISNUMBER($CI155),$CH155&lt;N($CI155)),"wall needs a "&amp;$CI155&amp;" min door, ","")&amp;IF(AND($CH155&gt;=180,AND(OR($CE155="FG",$CE155="HG",$CE155="FNV",$CE155="FV"),N($CF155)*N($CG155)&gt;100)),"180 min lite over 100 sq in, ","")&amp;IF(N($BK155)&gt;48,"leaf wider than 4'-0"&amp;CHAR(34)&amp;", ","")&amp;IF(AND($CT155,COUNT($AW155:$AZ155)=0,$CQ155&gt;0),"CUSTOM LOC with no locations typed, ",""))</f>
        <v/>
      </c>
      <c r="DK155" s="99">
        <f>IF($A155="","",IF(AND($CH155&gt;0,AND($A155&lt;&gt;"",$C155&lt;&gt;"DOOR ONLY"),$X155="KD",$E155="EXTERIOR"),"KD label on an exterior opening, ","")&amp;IF(AND($E155="EXTERIOR",OR(AND(AND($A155&lt;&gt;"",$C155&lt;&gt;"DOOR ONLY"),$W155="CR"),AND(N($BJ155)&gt;0,$AH155="CR"))),"exterior in CR steel (G9?), ","")&amp;IF(AND(ISNUMBER($BQ155),N($BQ155)&lt;32),"clear width ~"&amp;TEXT($BQ155,"0.0")&amp;CHAR(34)&amp;" under 32"&amp;CHAR(34)&amp;" (ADA), ","")&amp;IF(AND($CH155=90,AND(OR($CE155="FG",$CE155="HG",$CE155="FNV",$CE155="FV"),N($CF155)*N($CG155)&gt;100)),"90 min lite over 100 sq in (stair/exit), ","")&amp;IF(AND($CH155&gt;0,AND($A155&lt;&gt;"",$C155&lt;&gt;"DOOR ONLY"),OR($AF155="",$AF155="-")),"rated: closer reinf.?, ","")&amp;IF(OR($I155="CORRIDOR",$I155="SMOKE BARRIER"),"S label + smoke gasketing, ","")&amp;IF($CI155="?","wall type/hr not in IBC table, ","")&amp;IF(AND(N($BJ155)&gt;0,$BB155=""),"no hardware set, ","")&amp;IF(AND($BB155&lt;&gt;"",ISNA(MATCH($BB155&amp;"",HWSets,0))),"set "&amp;$BB155&amp;" not on HW Sets, ","")&amp;IF(N($BL155)&gt;96,"leaf over 8'-0"&amp;CHAR(34)&amp;" - check listing, ","")&amp;IF(AND($CT155,COUNT($AW155:$AZ155)&gt;0,COUNT($AW155:$AZ155)&lt;&gt;$CQ155),COUNT($AW155:$AZ155)&amp;" custom hinges typed, "&amp;$CQ155&amp;" expected, ","")&amp;IF(AND(ISNUMBER($CA155),OR(N($CA155)&lt;34,N($CA155)&gt;48)),"lock "&amp;TEXT($CA155,"0.0")&amp;CHAR(34)&amp;" AFF outside 34-48"&amp;CHAR(34)&amp;" (ADA), ","")&amp;IF(AND(ISNUMBER($AV155),ISNUMBER($BL155),N($AV155)&lt;IF(N($BL155)&lt;=60,2,IF(N($BL155)&lt;=90,3,IF(N($BL155)&lt;=120,4,5)))),"fewer hinges than standard, ",""))</f>
        <v/>
      </c>
    </row>
    <row r="156" ht="15" customHeight="1">
      <c r="A156" s="77" t="n"/>
      <c r="B156" s="78" t="n"/>
      <c r="C156" s="78" t="n"/>
      <c r="D156" s="78" t="n"/>
      <c r="E156" s="78" t="n"/>
      <c r="F156" s="78" t="n"/>
      <c r="G156" s="78" t="n"/>
      <c r="H156" s="78" t="n"/>
      <c r="I156" s="78" t="n"/>
      <c r="J156" s="78" t="n"/>
      <c r="K156" s="78" t="n"/>
      <c r="L156" s="78" t="n"/>
      <c r="M156" s="78" t="n"/>
      <c r="N156" s="78" t="n"/>
      <c r="O156" s="78" t="n"/>
      <c r="P156" s="78" t="n"/>
      <c r="Q156" s="78" t="n"/>
      <c r="R156" s="78" t="n"/>
      <c r="S156" s="79" t="n"/>
      <c r="T156" s="79" t="n"/>
      <c r="U156" s="79" t="n"/>
      <c r="V156" s="79" t="n"/>
      <c r="W156" s="79" t="n"/>
      <c r="X156" s="79" t="n"/>
      <c r="Y156" s="79" t="n"/>
      <c r="Z156" s="79" t="n"/>
      <c r="AA156" s="79" t="n"/>
      <c r="AB156" s="79" t="n"/>
      <c r="AC156" s="79" t="n"/>
      <c r="AD156" s="79" t="n"/>
      <c r="AE156" s="79" t="n"/>
      <c r="AF156" s="79" t="n"/>
      <c r="AG156" s="79" t="n"/>
      <c r="AH156" s="80" t="n"/>
      <c r="AI156" s="80" t="n"/>
      <c r="AJ156" s="80" t="n"/>
      <c r="AK156" s="80" t="n"/>
      <c r="AL156" s="80" t="n"/>
      <c r="AM156" s="80" t="n"/>
      <c r="AN156" s="80" t="n"/>
      <c r="AO156" s="80" t="n"/>
      <c r="AP156" s="80" t="n"/>
      <c r="AQ156" s="80" t="n"/>
      <c r="AR156" s="80" t="n"/>
      <c r="AS156" s="80" t="n"/>
      <c r="AT156" s="81" t="n"/>
      <c r="AU156" s="81" t="n"/>
      <c r="AV156" s="81" t="n"/>
      <c r="AW156" s="82" t="n"/>
      <c r="AX156" s="82" t="n"/>
      <c r="AY156" s="82" t="n"/>
      <c r="AZ156" s="82" t="n"/>
      <c r="BA156" s="82" t="n"/>
      <c r="BB156" s="83" t="n"/>
      <c r="BC156" s="83" t="n"/>
      <c r="BD156" s="84">
        <f>IF($A156="","",IF($DJ156&lt;&gt;"","FIX",IF($DK156&lt;&gt;"","CHECK","OK")))</f>
        <v/>
      </c>
      <c r="BE156" s="85">
        <f>IF($A156="","",IF($DJ156&lt;&gt;"","FIX: "&amp;LEFT($DJ156,LEN($DJ156)-2)&amp;IF($DK156&lt;&gt;"","  ·  ",""),"")&amp;IF($DK156&lt;&gt;"","CHECK: "&amp;LEFT($DK156,LEN($DK156)-2),""))</f>
        <v/>
      </c>
      <c r="BF156" s="84">
        <f>IF(OR($A156="",$K156=""),"",$K156&amp;"'-"&amp;N($L156)&amp;CHAR(34)&amp;" x "&amp;$M156&amp;"'-"&amp;N($N156)&amp;CHAR(34))</f>
        <v/>
      </c>
      <c r="BG156" s="84">
        <f>IF(OR($A156="",$K156=""),"",$K156&amp;N($L156)&amp;$M156&amp;N($N156))</f>
        <v/>
      </c>
      <c r="BH156" s="84">
        <f>IF(OR($A156="",$K156=""),"",$K156*12+N($L156))</f>
        <v/>
      </c>
      <c r="BI156" s="84">
        <f>IF(OR($A156="",$M156=""),"",$M156*12+N($N156))</f>
        <v/>
      </c>
      <c r="BJ156" s="84">
        <f>IF($A156="","",IF(OR($C156="FRAME ONLY",$S156="BL"),0,IF($O156="Y",2,1)))</f>
        <v/>
      </c>
      <c r="BK156" s="86">
        <f>IF(OR(N($BJ156)=0,$BH156=""),"",($BH156-2*EdgeClr-IF($BJ156=2,MeetClr,0))/$BJ156)</f>
        <v/>
      </c>
      <c r="BL156" s="86">
        <f>IF(OR(N($BJ156)=0,$BI156=""),"",$BI156-HeadClr-Undercut)</f>
        <v/>
      </c>
      <c r="BM156" s="86">
        <f>IF($BH156="","",$BH156+2*FaceW+IF(N($Q156)&gt;0,($Q156+FaceW)*IF($R156="LR",2,1),0))</f>
        <v/>
      </c>
      <c r="BN156" s="86">
        <f>IF($BI156="","",$BI156+IF($AB156="Y",4,FaceW)+IF(N($P156)&gt;0,$P156+FaceW,0)+IF(OR($S156="4F",$S156="BL"),FaceW,0))</f>
        <v/>
      </c>
      <c r="BO156" s="86">
        <f>IF($BM156="","",$BM156+2*ROSide)</f>
        <v/>
      </c>
      <c r="BP156" s="86">
        <f>IF($BN156="","",$BN156+ROTop)</f>
        <v/>
      </c>
      <c r="BQ156" s="87">
        <f>IF(OR(N($BJ156)=0,$BH156=""),"",$BH156/$BJ156-ClearDeduct)</f>
        <v/>
      </c>
      <c r="BR156" s="84">
        <f>IF(N($CH156)=0,"",IF($CH156&gt;=180,"A · 3 HR",IF($CH156&gt;=90,"B · 1-1/2 HR",IF($CH156&gt;=60,"B · 1 HR",IF($CH156&gt;=45,"C · 3/4 HR","20 MIN")))))&amp;IF(AND(N($CH156)&gt;0,OR($I156="CORRIDOR",$I156="SMOKE BARRIER"))," · S","")</f>
        <v/>
      </c>
      <c r="BS156" s="84">
        <f>IF($CS156,"",IF($AV156&lt;&gt;"",$AV156,IF(OR($AC156="HGC",$AO156="HGC"),"CONT",IF(($BI156-HeadClr-Undercut)&lt;=60,2,IF(($BI156-HeadClr-Undercut)&lt;=90,3,IF(($BI156-HeadClr-Undercut)&lt;=120,4,5))))))</f>
        <v/>
      </c>
      <c r="BT156" s="84">
        <f>IF($CS156,"",IF($CT156,"CUSTOM (typed)",IF($CV156,$AT156&amp;" "&amp;$CU156&amp;CHAR(34)&amp;IF($CU156&lt;&gt;$BI156,IF(AND($BI156&lt;$CU156,$BI156-IF(N(VLOOKUP($AT156&amp;"|"&amp;$CU156,LocTable,7,FALSE))&gt;0,VLOOKUP($AT156&amp;"|"&amp;$CU156,LocTable,7,FALSE),VLOOKUP($AT156&amp;"|"&amp;$CU156,LocTable,6,FALSE))-$CR156-0.75&gt;=2.125)," cut down"," adj."),""),"ANSI/SDI A250.6")))</f>
        <v/>
      </c>
      <c r="BU156" s="88">
        <f>IF($CS156,"",IF($CT156,IF(N($AW156)&gt;0,N($AW156),""),IF(1&gt;$CQ156,"",IF($CQ156=1,$CW156,$CW156+($CX156-$CW156)*0/($CQ156-1)))))</f>
        <v/>
      </c>
      <c r="BV156" s="88">
        <f>IF($CS156,"",IF($CT156,IF(N($AX156)&gt;0,N($AX156),""),IF(2&gt;$CQ156,"",IF($CQ156=1,$CW156,$CW156+($CX156-$CW156)*1/($CQ156-1)))))</f>
        <v/>
      </c>
      <c r="BW156" s="88">
        <f>IF($CS156,"",IF($CT156,IF(N($AY156)&gt;0,N($AY156),""),IF(3&gt;$CQ156,"",IF($CQ156=1,$CW156,$CW156+($CX156-$CW156)*2/($CQ156-1)))))</f>
        <v/>
      </c>
      <c r="BX156" s="88">
        <f>IF($CS156,"",IF($CT156,IF(N($AZ156)&gt;0,N($AZ156),""),IF(4&gt;$CQ156,"",IF($CQ156=1,$CW156,$CW156+($CX156-$CW156)*3/($CQ156-1)))))</f>
        <v/>
      </c>
      <c r="BY156" s="88">
        <f>IF($CS156,"",IF($CT156,"",IF(5&gt;$CQ156,"",IF($CQ156=1,$CW156,$CW156+($CX156-$CW156)*4/($CQ156-1)))))</f>
        <v/>
      </c>
      <c r="BZ156" s="88">
        <f>IF(OR($CS156,$AP156="-",AND($AP156="",$AD156="")),"",IF(N($BA156)&gt;0,N($BA156),IF($CV156,IF(AND($BI156&lt;$CU156,$BI156-IF(N(VLOOKUP($AT156&amp;"|"&amp;$CU156,LocTable,7,FALSE))&gt;0,VLOOKUP($AT156&amp;"|"&amp;$CU156,LocTable,7,FALSE),VLOOKUP($AT156&amp;"|"&amp;$CU156,LocTable,6,FALSE))-$CR156-0.75&gt;=2.125),VLOOKUP($AT156&amp;"|"&amp;$CU156,LocTable,8,FALSE),VLOOKUP($AT156&amp;"|"&amp;$CU156,LocTable,8,FALSE)+($BI156-$CU156)),$BI156-LockAFF)))</f>
        <v/>
      </c>
      <c r="CA156" s="89">
        <f>IF($BZ156="","",$BI156-$BZ156)</f>
        <v/>
      </c>
      <c r="CB156" s="84">
        <f>IF(OR(NOT(AND($A156&lt;&gt;"",$C156&lt;&gt;"DOOR ONLY")),$BI156=""),"",IF(($BI156+IF(N($P156)&gt;0,$P156+FaceW,0))&lt;=90,3,IF(($BI156+IF(N($P156)&gt;0,$P156+FaceW,0))&lt;=114,4,5)))</f>
        <v/>
      </c>
      <c r="CC156" s="84">
        <f>IF($CB156="","",$CB156*(2+IF(N($Q156)&gt;0,IF($R156="LR",2,1),0)))</f>
        <v/>
      </c>
      <c r="CD156" s="84">
        <f>IF($CB156="","",(2+IF(N($Q156)&gt;0,IF($R156="LR",2,1),0)))</f>
        <v/>
      </c>
      <c r="CE156" s="84">
        <f>IF(N($BJ156)=0,"",IF(OR($AL156="",$AL156="FLUSH"),"FLUSH",IFERROR(LEFT($AL156,FIND("-",$AL156)-1),LEFT($AL156,2))))</f>
        <v/>
      </c>
      <c r="CF156" s="84">
        <f>IF($CE156="","",IFERROR(VALUE(MID($AL156,FIND("-",$AL156)+1,FIND(CHAR(34)&amp;"x",$AL156)-FIND("-",$AL156)-1)),0))</f>
        <v/>
      </c>
      <c r="CG156" s="84">
        <f>IF($CE156="","",IFERROR(VALUE(MID($AL156,FIND(CHAR(34)&amp;"x",$AL156)+2,FIND(CHAR(34),$AL156,FIND(CHAR(34)&amp;"x",$AL156)+2)-FIND(CHAR(34)&amp;"x",$AL156)-2)),0))</f>
        <v/>
      </c>
      <c r="CH156" s="90">
        <f>IF(OR($A156="",$H156="",$H156="NO LAB"),0,IFERROR(VALUE(LEFT($H156,FIND(" ",$H156)-1)),0))</f>
        <v/>
      </c>
      <c r="CI156" s="91">
        <f>IF(OR($A156="",$I156="",$I156="NON-RATED",N($J156)=0),"",IFERROR(VLOOKUP($I156&amp;"|"&amp;$J156,IBC,2,FALSE),"?"))</f>
        <v/>
      </c>
      <c r="CJ156" s="85">
        <f>IF(NOT(AND($A156&lt;&gt;"",$C156&lt;&gt;"DOOR ONLY")),"",TRIM(IFERROR(VLOOKUP($U156,CODES,2,FALSE),"")&amp;" "&amp;$BG156&amp;" "&amp;IFERROR(VLOOKUP($Z156,CODES,2,FALSE),"")&amp;" "&amp;IFERROR(VLOOKUP($X156,CODES,2,FALSE),"")&amp;" "&amp;IFERROR(VLOOKUP($S156,CODES,2,FALSE),"")&amp;IF(N($P156)&gt;0," w/TRANSOM "&amp;$P156&amp;CHAR(34),"")&amp;IF(N($Q156)&gt;0," w/SIDELITE "&amp;$Q156&amp;CHAR(34)&amp;" "&amp;IF($R156="","R",$R156),"")&amp;IF($Y156="","  |  "," | "&amp;IFERROR(VLOOKUP($Y156,CODES,2,FALSE),"")&amp;" | ")&amp;IFERROR(VLOOKUP($AC156,CODES,2,FALSE),"")&amp;" "&amp;IFERROR(VLOOKUP($AD156,CODES,2,FALSE),"")&amp;IF(OR($AE156="",$AE156="-"),""," "&amp;$AE156)&amp;IF(OR($AF156="",$AF156="-"),""," "&amp;$AF156)&amp;IF($AB156="Y"," 4"&amp;CHAR(34)&amp;" HEAD","")&amp;" "&amp;IFERROR(VLOOKUP($H156,CODES,2,FALSE),"")&amp;IF($CT156," | LOC "&amp;$CY156,"")))</f>
        <v/>
      </c>
      <c r="CK156" s="85">
        <f>IF(NOT(AND($A156&lt;&gt;"",N($BJ156)&gt;0)),"",TRIM(IFERROR(VLOOKUP($AH156,CODES,2,FALSE),"")&amp;IF($AI156=""," "," "&amp;$AI156&amp;"GA ")&amp;$BG156&amp;" "&amp;IF($AN156="",IFERROR(VLOOKUP($Z156,CODES,2,FALSE),""),IFERROR(VLOOKUP($AN156,CODES,2,FALSE),""))&amp;IF($BJ156=2," PAIR","")&amp;" DOOR | "&amp;IF($AL156="","?",$AL156)&amp;" | "&amp;IF($AO156="",IFERROR(VLOOKUP($AC156,CODES,2,FALSE),""),IFERROR(VLOOKUP($AO156,CODES,2,FALSE),""))&amp;" "&amp;IFERROR(VLOOKUP($AP156,CODES,2,FALSE),"")&amp;IF(OR($AQ156="",$AQ156="-"),""," SEAM "&amp;$AQ156)&amp;IF($AR156="Y"," ASTRAGAL","")&amp;IF($AJ156=""," "," "&amp;$AJ156)&amp;IF($AK156=""," "," "&amp;$AK156)&amp;IF(OR($AT156="",$AT156="ANSI/SDI",$AT156="CUSTOM LOC"),""," "&amp;$AT156)&amp;IF($AM156=""," "," SERIES "&amp;$AM156)&amp;" "&amp;IFERROR(VLOOKUP($H156,CODES,2,FALSE),"")&amp;IF($CT156," | LOC "&amp;$CZ156,"")))</f>
        <v/>
      </c>
      <c r="CL156" s="84">
        <f>IF(CP156="","",IF(COUNTIF($CP$6:CP156,CP156)=1,MAX($CL$5:CL155)+1,INDEX($CL$5:CL155,MATCH(CP156,$CP$5:CP155,0))))</f>
        <v/>
      </c>
      <c r="CM156" s="84">
        <f>IF(NOT(AND($A156&lt;&gt;"",$C156&lt;&gt;"DOOR ONLY")),"",MAX($CM$5:CM155)+1)</f>
        <v/>
      </c>
      <c r="CN156" s="84">
        <f>IF(NOT(AND($A156&lt;&gt;"",N($BJ156)&gt;0)),"",MAX($CN$5:CN155)+1)</f>
        <v/>
      </c>
      <c r="CO156" s="84">
        <f>IF($A156="","",MAX($CO$5:CO155)+1)</f>
        <v/>
      </c>
      <c r="CP156" s="84">
        <f>IF(OR($A156="",$BH156="",$BI156=""),"",$BG156&amp;"|"&amp;$O156&amp;"|"&amp;$AL156&amp;"|"&amp;$S156&amp;"|"&amp;$P156&amp;"|"&amp;$Q156&amp;$R156&amp;"|"&amp;$C156&amp;"|"&amp;$AB156)</f>
        <v/>
      </c>
      <c r="CQ156" s="84">
        <f>N($BS156)</f>
        <v/>
      </c>
      <c r="CR156" s="84">
        <f>IF(N($AU156)&gt;0,N($AU156),4.5)</f>
        <v/>
      </c>
      <c r="CS156" s="84">
        <f>OR($A156="",$BI156="",$S156="BL",AND($C156="FRAME ONLY",OR($AC156="",$AC156="BLK")))</f>
        <v/>
      </c>
      <c r="CT156" s="84">
        <f>AND(NOT($CS156),OR($AT156="CUSTOM LOC",N($AW156)+N($AX156)+N($AY156)+N($AZ156)+N($BA156)&gt;0))</f>
        <v/>
      </c>
      <c r="CU156" s="84">
        <f>IF($BI156="","",IF($BI156&lt;=80,80,IF($BI156&lt;=84,84,96)))</f>
        <v/>
      </c>
      <c r="CV156" s="84">
        <f>ISNUMBER(MATCH($AT156&amp;"|80",LocKeys,0))</f>
        <v/>
      </c>
      <c r="CW156" s="86">
        <f>IF($CS156,"",IF($CV156,VLOOKUP($AT156&amp;"|"&amp;$CU156,LocTable,4,FALSE),5))</f>
        <v/>
      </c>
      <c r="CX156" s="86">
        <f>IF($CS156,"",IF($CV156,IF(OR($BI156=$CU156,AND($BI156&lt;$CU156,$BI156-IF(N(VLOOKUP($AT156&amp;"|"&amp;$CU156,LocTable,7,FALSE))&gt;0,VLOOKUP($AT156&amp;"|"&amp;$CU156,LocTable,7,FALSE),VLOOKUP($AT156&amp;"|"&amp;$CU156,LocTable,6,FALSE))-$CR156-0.75&gt;=2.125)),IF(N(VLOOKUP($AT156&amp;"|"&amp;$CU156,LocTable,7,FALSE))&gt;0,VLOOKUP($AT156&amp;"|"&amp;$CU156,LocTable,7,FALSE),VLOOKUP($AT156&amp;"|"&amp;$CU156,LocTable,6,FALSE)),$BI156-($CU156-IF(N(VLOOKUP($AT156&amp;"|"&amp;$CU156,LocTable,7,FALSE))&gt;0,VLOOKUP($AT156&amp;"|"&amp;$CU156,LocTable,7,FALSE),VLOOKUP($AT156&amp;"|"&amp;$CU156,LocTable,6,FALSE)))),$BI156-10-$CR156))</f>
        <v/>
      </c>
      <c r="CY156" s="85">
        <f>IF($CS156,"",TRIM(IF(ISNUMBER($BU156),"A "&amp;TRIM(TEXT($BU156,"# ?/??"))&amp;CHAR(34)&amp;"  ","")&amp;IF(ISNUMBER($BV156),"B "&amp;TRIM(TEXT($BV156,"# ?/??"))&amp;CHAR(34)&amp;"  ","")&amp;IF(ISNUMBER($BW156),"C "&amp;TRIM(TEXT($BW156,"# ?/??"))&amp;CHAR(34)&amp;"  ","")&amp;IF(ISNUMBER($BX156),"D "&amp;TRIM(TEXT($BX156,"# ?/??"))&amp;CHAR(34)&amp;"  ","")&amp;IF(ISNUMBER($BY156),"F "&amp;TRIM(TEXT($BY156,"# ?/??"))&amp;CHAR(34)&amp;"  ","")&amp;IF(ISNUMBER($BZ156),"E "&amp;TRIM(TEXT($BZ156,"# ?/??"))&amp;CHAR(34)&amp;"  ","")))</f>
        <v/>
      </c>
      <c r="CZ156" s="85">
        <f>IF(OR($CS156,N($BJ156)=0),"",TRIM(IF(ISNUMBER($BU156),"A "&amp;TRIM(TEXT($BU156-HeadClr,"# ?/??"))&amp;CHAR(34)&amp;"  ","")&amp;IF(ISNUMBER($BV156),"B "&amp;TRIM(TEXT($BV156-HeadClr,"# ?/??"))&amp;CHAR(34)&amp;"  ","")&amp;IF(ISNUMBER($BW156),"C "&amp;TRIM(TEXT($BW156-HeadClr,"# ?/??"))&amp;CHAR(34)&amp;"  ","")&amp;IF(ISNUMBER($BX156),"D "&amp;TRIM(TEXT($BX156-HeadClr,"# ?/??"))&amp;CHAR(34)&amp;"  ","")&amp;IF(ISNUMBER($BY156),"F "&amp;TRIM(TEXT($BY156-HeadClr,"# ?/??"))&amp;CHAR(34)&amp;"  ","")&amp;IF(ISNUMBER($BZ156),"E "&amp;TRIM(TEXT($BZ156-HeadClr,"# ?/??"))&amp;CHAR(34)&amp;"  ","")))</f>
        <v/>
      </c>
      <c r="DA156" s="84">
        <f>IF($A156="","",IF($AN156="",IFERROR(VLOOKUP($Z156,CODES,2,FALSE),""),IFERROR(VLOOKUP($AN156,CODES,2,FALSE),"")))</f>
        <v/>
      </c>
      <c r="DB156" s="84">
        <f>IF($A156="","",IF($O156="Y","PR",IF(OR($Z156="L",$Z156="RR",LEFT($Z156,2)="L-",LEFT($Z156,3)="RR-"),"LH","RH")))</f>
        <v/>
      </c>
      <c r="DC156" s="84">
        <f>IF($A156="","","S.HM"&amp;IF(OR($C156="DOOR ONLY",$X156&lt;&gt;"KD"),"MASONRY","DRYWALL")&amp;IF($C156="DOOR ONLY","",$U156)&amp;IF(AND($C156&lt;&gt;"FRAME ONLY",OR(LEFT($AH156,3)="OAK",LEFT($AH156,3)="BIR",LEFT($AH156,3)="MAP",$AH156="PC",$AH156="MC",$AH156="SCLC",$AH156="P-LAM")),"WD","HM")&amp;"1.75")</f>
        <v/>
      </c>
      <c r="DD156" s="84">
        <f>IF($CJ156="","",IF($O156="Y",$CJ156,SUBSTITUTE($CJ156,$BG156&amp;" "&amp;IFERROR(VLOOKUP($Z156,CODES,2,FALSE),"")&amp;" ",$BG156&amp;" ")))</f>
        <v/>
      </c>
      <c r="DE156" s="84">
        <f>IF($CK156="","",IF($O156="Y",$CK156,SUBSTITUTE($CK156,$BG156&amp;" "&amp;IF($AN156="",IFERROR(VLOOKUP($Z156,CODES,2,FALSE),""),IFERROR(VLOOKUP($AN156,CODES,2,FALSE),""))&amp;" ",$BG156&amp;" ")))</f>
        <v/>
      </c>
      <c r="DF156" s="84">
        <f>IF($CJ156="","",$DC156&amp;"|"&amp;$DD156&amp;"|"&amp;$DB156&amp;"|"&amp;$AT156&amp;"|"&amp;$V156&amp;"|"&amp;$Y156&amp;"|"&amp;$AB156)</f>
        <v/>
      </c>
      <c r="DG156" s="84">
        <f>IF(DF156="","",IF(COUNTIF($DF$6:DF156,DF156)=1,MAX($DG$5:DG155)+1,INDEX($DG$5:DG155,MATCH(DF156,$DF$5:DF155,0))))</f>
        <v/>
      </c>
      <c r="DH156" s="84">
        <f>IF($CK156="","",$DC156&amp;"|"&amp;$DE156&amp;"|"&amp;$AI156&amp;"|"&amp;$BK156&amp;"|"&amp;$BL156)</f>
        <v/>
      </c>
      <c r="DI156" s="84">
        <f>IF(DH156="","",IF(COUNTIF($DH$6:DH156,DH156)=1,MAX($DI$5:DI155)+1,INDEX($DI$5:DI155,MATCH(DH156,$DH$5:DH155,0))))</f>
        <v/>
      </c>
      <c r="DJ156" s="84">
        <f>IF($A156="","",IF($B156="","qty, ","")&amp;IF($C156="","scope, ","")&amp;IF(OR($K156="",$M156=""),"size, ","")&amp;IF(AND($A156&lt;&gt;"",$C156&lt;&gt;"DOOR ONLY"),IF($U156="","jamb depth, ","")&amp;IF($X156="","construction, ","")&amp;IF($Y156="","anchor, ","")&amp;IF($S156="","frame type, ",""),"")&amp;IF(AND(N($BJ156)&gt;0,$Z156=""),"hand, ","")&amp;IF(N($BJ156)&gt;0,IF($AH156="","door material, ","")&amp;IF($AL156="","face type, ","")&amp;IF($AP156="","lock prep, ","")&amp;IF(AND($AO156="",$AC156=""),"hinge prep, ",""),"")&amp;IF(AND($CH156&gt;0,$AH156="FRP"),"FRP cannot carry a label, ","")&amp;IF(AND($O156="Y",OR($Z156="L",$Z156="R",$Z156="LR",$Z156="RR")),"pair marked but hand is single, ","")&amp;IF(AND($O156&lt;&gt;"Y",OR($Z156="PR",AND(LEN($Z156)&gt;1,ISNUMBER(SEARCH("-",$Z156))))),"pair hand on a single door, ","")&amp;IF(AND(ISNUMBER($CI156),$CH156&lt;N($CI156)),"wall needs a "&amp;$CI156&amp;" min door, ","")&amp;IF(AND($CH156&gt;=180,AND(OR($CE156="FG",$CE156="HG",$CE156="FNV",$CE156="FV"),N($CF156)*N($CG156)&gt;100)),"180 min lite over 100 sq in, ","")&amp;IF(N($BK156)&gt;48,"leaf wider than 4'-0"&amp;CHAR(34)&amp;", ","")&amp;IF(AND($CT156,COUNT($AW156:$AZ156)=0,$CQ156&gt;0),"CUSTOM LOC with no locations typed, ",""))</f>
        <v/>
      </c>
      <c r="DK156" s="84">
        <f>IF($A156="","",IF(AND($CH156&gt;0,AND($A156&lt;&gt;"",$C156&lt;&gt;"DOOR ONLY"),$X156="KD",$E156="EXTERIOR"),"KD label on an exterior opening, ","")&amp;IF(AND($E156="EXTERIOR",OR(AND(AND($A156&lt;&gt;"",$C156&lt;&gt;"DOOR ONLY"),$W156="CR"),AND(N($BJ156)&gt;0,$AH156="CR"))),"exterior in CR steel (G9?), ","")&amp;IF(AND(ISNUMBER($BQ156),N($BQ156)&lt;32),"clear width ~"&amp;TEXT($BQ156,"0.0")&amp;CHAR(34)&amp;" under 32"&amp;CHAR(34)&amp;" (ADA), ","")&amp;IF(AND($CH156=90,AND(OR($CE156="FG",$CE156="HG",$CE156="FNV",$CE156="FV"),N($CF156)*N($CG156)&gt;100)),"90 min lite over 100 sq in (stair/exit), ","")&amp;IF(AND($CH156&gt;0,AND($A156&lt;&gt;"",$C156&lt;&gt;"DOOR ONLY"),OR($AF156="",$AF156="-")),"rated: closer reinf.?, ","")&amp;IF(OR($I156="CORRIDOR",$I156="SMOKE BARRIER"),"S label + smoke gasketing, ","")&amp;IF($CI156="?","wall type/hr not in IBC table, ","")&amp;IF(AND(N($BJ156)&gt;0,$BB156=""),"no hardware set, ","")&amp;IF(AND($BB156&lt;&gt;"",ISNA(MATCH($BB156&amp;"",HWSets,0))),"set "&amp;$BB156&amp;" not on HW Sets, ","")&amp;IF(N($BL156)&gt;96,"leaf over 8'-0"&amp;CHAR(34)&amp;" - check listing, ","")&amp;IF(AND($CT156,COUNT($AW156:$AZ156)&gt;0,COUNT($AW156:$AZ156)&lt;&gt;$CQ156),COUNT($AW156:$AZ156)&amp;" custom hinges typed, "&amp;$CQ156&amp;" expected, ","")&amp;IF(AND(ISNUMBER($CA156),OR(N($CA156)&lt;34,N($CA156)&gt;48)),"lock "&amp;TEXT($CA156,"0.0")&amp;CHAR(34)&amp;" AFF outside 34-48"&amp;CHAR(34)&amp;" (ADA), ","")&amp;IF(AND(ISNUMBER($AV156),ISNUMBER($BL156),N($AV156)&lt;IF(N($BL156)&lt;=60,2,IF(N($BL156)&lt;=90,3,IF(N($BL156)&lt;=120,4,5)))),"fewer hinges than standard, ",""))</f>
        <v/>
      </c>
    </row>
    <row r="157" ht="15" customHeight="1">
      <c r="A157" s="77" t="n"/>
      <c r="B157" s="78" t="n"/>
      <c r="C157" s="78" t="n"/>
      <c r="D157" s="78" t="n"/>
      <c r="E157" s="78" t="n"/>
      <c r="F157" s="78" t="n"/>
      <c r="G157" s="78" t="n"/>
      <c r="H157" s="78" t="n"/>
      <c r="I157" s="78" t="n"/>
      <c r="J157" s="78" t="n"/>
      <c r="K157" s="78" t="n"/>
      <c r="L157" s="78" t="n"/>
      <c r="M157" s="78" t="n"/>
      <c r="N157" s="78" t="n"/>
      <c r="O157" s="78" t="n"/>
      <c r="P157" s="78" t="n"/>
      <c r="Q157" s="78" t="n"/>
      <c r="R157" s="78" t="n"/>
      <c r="S157" s="79" t="n"/>
      <c r="T157" s="79" t="n"/>
      <c r="U157" s="79" t="n"/>
      <c r="V157" s="79" t="n"/>
      <c r="W157" s="79" t="n"/>
      <c r="X157" s="79" t="n"/>
      <c r="Y157" s="79" t="n"/>
      <c r="Z157" s="79" t="n"/>
      <c r="AA157" s="79" t="n"/>
      <c r="AB157" s="79" t="n"/>
      <c r="AC157" s="79" t="n"/>
      <c r="AD157" s="79" t="n"/>
      <c r="AE157" s="79" t="n"/>
      <c r="AF157" s="79" t="n"/>
      <c r="AG157" s="79" t="n"/>
      <c r="AH157" s="80" t="n"/>
      <c r="AI157" s="80" t="n"/>
      <c r="AJ157" s="80" t="n"/>
      <c r="AK157" s="80" t="n"/>
      <c r="AL157" s="80" t="n"/>
      <c r="AM157" s="80" t="n"/>
      <c r="AN157" s="80" t="n"/>
      <c r="AO157" s="80" t="n"/>
      <c r="AP157" s="80" t="n"/>
      <c r="AQ157" s="80" t="n"/>
      <c r="AR157" s="80" t="n"/>
      <c r="AS157" s="80" t="n"/>
      <c r="AT157" s="81" t="n"/>
      <c r="AU157" s="81" t="n"/>
      <c r="AV157" s="81" t="n"/>
      <c r="AW157" s="82" t="n"/>
      <c r="AX157" s="82" t="n"/>
      <c r="AY157" s="82" t="n"/>
      <c r="AZ157" s="82" t="n"/>
      <c r="BA157" s="82" t="n"/>
      <c r="BB157" s="83" t="n"/>
      <c r="BC157" s="83" t="n"/>
      <c r="BD157" s="84">
        <f>IF($A157="","",IF($DJ157&lt;&gt;"","FIX",IF($DK157&lt;&gt;"","CHECK","OK")))</f>
        <v/>
      </c>
      <c r="BE157" s="85">
        <f>IF($A157="","",IF($DJ157&lt;&gt;"","FIX: "&amp;LEFT($DJ157,LEN($DJ157)-2)&amp;IF($DK157&lt;&gt;"","  ·  ",""),"")&amp;IF($DK157&lt;&gt;"","CHECK: "&amp;LEFT($DK157,LEN($DK157)-2),""))</f>
        <v/>
      </c>
      <c r="BF157" s="84">
        <f>IF(OR($A157="",$K157=""),"",$K157&amp;"'-"&amp;N($L157)&amp;CHAR(34)&amp;" x "&amp;$M157&amp;"'-"&amp;N($N157)&amp;CHAR(34))</f>
        <v/>
      </c>
      <c r="BG157" s="84">
        <f>IF(OR($A157="",$K157=""),"",$K157&amp;N($L157)&amp;$M157&amp;N($N157))</f>
        <v/>
      </c>
      <c r="BH157" s="84">
        <f>IF(OR($A157="",$K157=""),"",$K157*12+N($L157))</f>
        <v/>
      </c>
      <c r="BI157" s="84">
        <f>IF(OR($A157="",$M157=""),"",$M157*12+N($N157))</f>
        <v/>
      </c>
      <c r="BJ157" s="84">
        <f>IF($A157="","",IF(OR($C157="FRAME ONLY",$S157="BL"),0,IF($O157="Y",2,1)))</f>
        <v/>
      </c>
      <c r="BK157" s="86">
        <f>IF(OR(N($BJ157)=0,$BH157=""),"",($BH157-2*EdgeClr-IF($BJ157=2,MeetClr,0))/$BJ157)</f>
        <v/>
      </c>
      <c r="BL157" s="86">
        <f>IF(OR(N($BJ157)=0,$BI157=""),"",$BI157-HeadClr-Undercut)</f>
        <v/>
      </c>
      <c r="BM157" s="86">
        <f>IF($BH157="","",$BH157+2*FaceW+IF(N($Q157)&gt;0,($Q157+FaceW)*IF($R157="LR",2,1),0))</f>
        <v/>
      </c>
      <c r="BN157" s="86">
        <f>IF($BI157="","",$BI157+IF($AB157="Y",4,FaceW)+IF(N($P157)&gt;0,$P157+FaceW,0)+IF(OR($S157="4F",$S157="BL"),FaceW,0))</f>
        <v/>
      </c>
      <c r="BO157" s="86">
        <f>IF($BM157="","",$BM157+2*ROSide)</f>
        <v/>
      </c>
      <c r="BP157" s="86">
        <f>IF($BN157="","",$BN157+ROTop)</f>
        <v/>
      </c>
      <c r="BQ157" s="87">
        <f>IF(OR(N($BJ157)=0,$BH157=""),"",$BH157/$BJ157-ClearDeduct)</f>
        <v/>
      </c>
      <c r="BR157" s="84">
        <f>IF(N($CH157)=0,"",IF($CH157&gt;=180,"A · 3 HR",IF($CH157&gt;=90,"B · 1-1/2 HR",IF($CH157&gt;=60,"B · 1 HR",IF($CH157&gt;=45,"C · 3/4 HR","20 MIN")))))&amp;IF(AND(N($CH157)&gt;0,OR($I157="CORRIDOR",$I157="SMOKE BARRIER"))," · S","")</f>
        <v/>
      </c>
      <c r="BS157" s="84">
        <f>IF($CS157,"",IF($AV157&lt;&gt;"",$AV157,IF(OR($AC157="HGC",$AO157="HGC"),"CONT",IF(($BI157-HeadClr-Undercut)&lt;=60,2,IF(($BI157-HeadClr-Undercut)&lt;=90,3,IF(($BI157-HeadClr-Undercut)&lt;=120,4,5))))))</f>
        <v/>
      </c>
      <c r="BT157" s="84">
        <f>IF($CS157,"",IF($CT157,"CUSTOM (typed)",IF($CV157,$AT157&amp;" "&amp;$CU157&amp;CHAR(34)&amp;IF($CU157&lt;&gt;$BI157,IF(AND($BI157&lt;$CU157,$BI157-IF(N(VLOOKUP($AT157&amp;"|"&amp;$CU157,LocTable,7,FALSE))&gt;0,VLOOKUP($AT157&amp;"|"&amp;$CU157,LocTable,7,FALSE),VLOOKUP($AT157&amp;"|"&amp;$CU157,LocTable,6,FALSE))-$CR157-0.75&gt;=2.125)," cut down"," adj."),""),"ANSI/SDI A250.6")))</f>
        <v/>
      </c>
      <c r="BU157" s="88">
        <f>IF($CS157,"",IF($CT157,IF(N($AW157)&gt;0,N($AW157),""),IF(1&gt;$CQ157,"",IF($CQ157=1,$CW157,$CW157+($CX157-$CW157)*0/($CQ157-1)))))</f>
        <v/>
      </c>
      <c r="BV157" s="88">
        <f>IF($CS157,"",IF($CT157,IF(N($AX157)&gt;0,N($AX157),""),IF(2&gt;$CQ157,"",IF($CQ157=1,$CW157,$CW157+($CX157-$CW157)*1/($CQ157-1)))))</f>
        <v/>
      </c>
      <c r="BW157" s="88">
        <f>IF($CS157,"",IF($CT157,IF(N($AY157)&gt;0,N($AY157),""),IF(3&gt;$CQ157,"",IF($CQ157=1,$CW157,$CW157+($CX157-$CW157)*2/($CQ157-1)))))</f>
        <v/>
      </c>
      <c r="BX157" s="88">
        <f>IF($CS157,"",IF($CT157,IF(N($AZ157)&gt;0,N($AZ157),""),IF(4&gt;$CQ157,"",IF($CQ157=1,$CW157,$CW157+($CX157-$CW157)*3/($CQ157-1)))))</f>
        <v/>
      </c>
      <c r="BY157" s="88">
        <f>IF($CS157,"",IF($CT157,"",IF(5&gt;$CQ157,"",IF($CQ157=1,$CW157,$CW157+($CX157-$CW157)*4/($CQ157-1)))))</f>
        <v/>
      </c>
      <c r="BZ157" s="88">
        <f>IF(OR($CS157,$AP157="-",AND($AP157="",$AD157="")),"",IF(N($BA157)&gt;0,N($BA157),IF($CV157,IF(AND($BI157&lt;$CU157,$BI157-IF(N(VLOOKUP($AT157&amp;"|"&amp;$CU157,LocTable,7,FALSE))&gt;0,VLOOKUP($AT157&amp;"|"&amp;$CU157,LocTable,7,FALSE),VLOOKUP($AT157&amp;"|"&amp;$CU157,LocTable,6,FALSE))-$CR157-0.75&gt;=2.125),VLOOKUP($AT157&amp;"|"&amp;$CU157,LocTable,8,FALSE),VLOOKUP($AT157&amp;"|"&amp;$CU157,LocTable,8,FALSE)+($BI157-$CU157)),$BI157-LockAFF)))</f>
        <v/>
      </c>
      <c r="CA157" s="89">
        <f>IF($BZ157="","",$BI157-$BZ157)</f>
        <v/>
      </c>
      <c r="CB157" s="84">
        <f>IF(OR(NOT(AND($A157&lt;&gt;"",$C157&lt;&gt;"DOOR ONLY")),$BI157=""),"",IF(($BI157+IF(N($P157)&gt;0,$P157+FaceW,0))&lt;=90,3,IF(($BI157+IF(N($P157)&gt;0,$P157+FaceW,0))&lt;=114,4,5)))</f>
        <v/>
      </c>
      <c r="CC157" s="84">
        <f>IF($CB157="","",$CB157*(2+IF(N($Q157)&gt;0,IF($R157="LR",2,1),0)))</f>
        <v/>
      </c>
      <c r="CD157" s="84">
        <f>IF($CB157="","",(2+IF(N($Q157)&gt;0,IF($R157="LR",2,1),0)))</f>
        <v/>
      </c>
      <c r="CE157" s="84">
        <f>IF(N($BJ157)=0,"",IF(OR($AL157="",$AL157="FLUSH"),"FLUSH",IFERROR(LEFT($AL157,FIND("-",$AL157)-1),LEFT($AL157,2))))</f>
        <v/>
      </c>
      <c r="CF157" s="84">
        <f>IF($CE157="","",IFERROR(VALUE(MID($AL157,FIND("-",$AL157)+1,FIND(CHAR(34)&amp;"x",$AL157)-FIND("-",$AL157)-1)),0))</f>
        <v/>
      </c>
      <c r="CG157" s="84">
        <f>IF($CE157="","",IFERROR(VALUE(MID($AL157,FIND(CHAR(34)&amp;"x",$AL157)+2,FIND(CHAR(34),$AL157,FIND(CHAR(34)&amp;"x",$AL157)+2)-FIND(CHAR(34)&amp;"x",$AL157)-2)),0))</f>
        <v/>
      </c>
      <c r="CH157" s="90">
        <f>IF(OR($A157="",$H157="",$H157="NO LAB"),0,IFERROR(VALUE(LEFT($H157,FIND(" ",$H157)-1)),0))</f>
        <v/>
      </c>
      <c r="CI157" s="91">
        <f>IF(OR($A157="",$I157="",$I157="NON-RATED",N($J157)=0),"",IFERROR(VLOOKUP($I157&amp;"|"&amp;$J157,IBC,2,FALSE),"?"))</f>
        <v/>
      </c>
      <c r="CJ157" s="85">
        <f>IF(NOT(AND($A157&lt;&gt;"",$C157&lt;&gt;"DOOR ONLY")),"",TRIM(IFERROR(VLOOKUP($U157,CODES,2,FALSE),"")&amp;" "&amp;$BG157&amp;" "&amp;IFERROR(VLOOKUP($Z157,CODES,2,FALSE),"")&amp;" "&amp;IFERROR(VLOOKUP($X157,CODES,2,FALSE),"")&amp;" "&amp;IFERROR(VLOOKUP($S157,CODES,2,FALSE),"")&amp;IF(N($P157)&gt;0," w/TRANSOM "&amp;$P157&amp;CHAR(34),"")&amp;IF(N($Q157)&gt;0," w/SIDELITE "&amp;$Q157&amp;CHAR(34)&amp;" "&amp;IF($R157="","R",$R157),"")&amp;IF($Y157="","  |  "," | "&amp;IFERROR(VLOOKUP($Y157,CODES,2,FALSE),"")&amp;" | ")&amp;IFERROR(VLOOKUP($AC157,CODES,2,FALSE),"")&amp;" "&amp;IFERROR(VLOOKUP($AD157,CODES,2,FALSE),"")&amp;IF(OR($AE157="",$AE157="-"),""," "&amp;$AE157)&amp;IF(OR($AF157="",$AF157="-"),""," "&amp;$AF157)&amp;IF($AB157="Y"," 4"&amp;CHAR(34)&amp;" HEAD","")&amp;" "&amp;IFERROR(VLOOKUP($H157,CODES,2,FALSE),"")&amp;IF($CT157," | LOC "&amp;$CY157,"")))</f>
        <v/>
      </c>
      <c r="CK157" s="85">
        <f>IF(NOT(AND($A157&lt;&gt;"",N($BJ157)&gt;0)),"",TRIM(IFERROR(VLOOKUP($AH157,CODES,2,FALSE),"")&amp;IF($AI157=""," "," "&amp;$AI157&amp;"GA ")&amp;$BG157&amp;" "&amp;IF($AN157="",IFERROR(VLOOKUP($Z157,CODES,2,FALSE),""),IFERROR(VLOOKUP($AN157,CODES,2,FALSE),""))&amp;IF($BJ157=2," PAIR","")&amp;" DOOR | "&amp;IF($AL157="","?",$AL157)&amp;" | "&amp;IF($AO157="",IFERROR(VLOOKUP($AC157,CODES,2,FALSE),""),IFERROR(VLOOKUP($AO157,CODES,2,FALSE),""))&amp;" "&amp;IFERROR(VLOOKUP($AP157,CODES,2,FALSE),"")&amp;IF(OR($AQ157="",$AQ157="-"),""," SEAM "&amp;$AQ157)&amp;IF($AR157="Y"," ASTRAGAL","")&amp;IF($AJ157=""," "," "&amp;$AJ157)&amp;IF($AK157=""," "," "&amp;$AK157)&amp;IF(OR($AT157="",$AT157="ANSI/SDI",$AT157="CUSTOM LOC"),""," "&amp;$AT157)&amp;IF($AM157=""," "," SERIES "&amp;$AM157)&amp;" "&amp;IFERROR(VLOOKUP($H157,CODES,2,FALSE),"")&amp;IF($CT157," | LOC "&amp;$CZ157,"")))</f>
        <v/>
      </c>
      <c r="CL157" s="84">
        <f>IF(CP157="","",IF(COUNTIF($CP$6:CP157,CP157)=1,MAX($CL$5:CL156)+1,INDEX($CL$5:CL156,MATCH(CP157,$CP$5:CP156,0))))</f>
        <v/>
      </c>
      <c r="CM157" s="84">
        <f>IF(NOT(AND($A157&lt;&gt;"",$C157&lt;&gt;"DOOR ONLY")),"",MAX($CM$5:CM156)+1)</f>
        <v/>
      </c>
      <c r="CN157" s="84">
        <f>IF(NOT(AND($A157&lt;&gt;"",N($BJ157)&gt;0)),"",MAX($CN$5:CN156)+1)</f>
        <v/>
      </c>
      <c r="CO157" s="84">
        <f>IF($A157="","",MAX($CO$5:CO156)+1)</f>
        <v/>
      </c>
      <c r="CP157" s="84">
        <f>IF(OR($A157="",$BH157="",$BI157=""),"",$BG157&amp;"|"&amp;$O157&amp;"|"&amp;$AL157&amp;"|"&amp;$S157&amp;"|"&amp;$P157&amp;"|"&amp;$Q157&amp;$R157&amp;"|"&amp;$C157&amp;"|"&amp;$AB157)</f>
        <v/>
      </c>
      <c r="CQ157" s="84">
        <f>N($BS157)</f>
        <v/>
      </c>
      <c r="CR157" s="84">
        <f>IF(N($AU157)&gt;0,N($AU157),4.5)</f>
        <v/>
      </c>
      <c r="CS157" s="84">
        <f>OR($A157="",$BI157="",$S157="BL",AND($C157="FRAME ONLY",OR($AC157="",$AC157="BLK")))</f>
        <v/>
      </c>
      <c r="CT157" s="84">
        <f>AND(NOT($CS157),OR($AT157="CUSTOM LOC",N($AW157)+N($AX157)+N($AY157)+N($AZ157)+N($BA157)&gt;0))</f>
        <v/>
      </c>
      <c r="CU157" s="84">
        <f>IF($BI157="","",IF($BI157&lt;=80,80,IF($BI157&lt;=84,84,96)))</f>
        <v/>
      </c>
      <c r="CV157" s="84">
        <f>ISNUMBER(MATCH($AT157&amp;"|80",LocKeys,0))</f>
        <v/>
      </c>
      <c r="CW157" s="86">
        <f>IF($CS157,"",IF($CV157,VLOOKUP($AT157&amp;"|"&amp;$CU157,LocTable,4,FALSE),5))</f>
        <v/>
      </c>
      <c r="CX157" s="86">
        <f>IF($CS157,"",IF($CV157,IF(OR($BI157=$CU157,AND($BI157&lt;$CU157,$BI157-IF(N(VLOOKUP($AT157&amp;"|"&amp;$CU157,LocTable,7,FALSE))&gt;0,VLOOKUP($AT157&amp;"|"&amp;$CU157,LocTable,7,FALSE),VLOOKUP($AT157&amp;"|"&amp;$CU157,LocTable,6,FALSE))-$CR157-0.75&gt;=2.125)),IF(N(VLOOKUP($AT157&amp;"|"&amp;$CU157,LocTable,7,FALSE))&gt;0,VLOOKUP($AT157&amp;"|"&amp;$CU157,LocTable,7,FALSE),VLOOKUP($AT157&amp;"|"&amp;$CU157,LocTable,6,FALSE)),$BI157-($CU157-IF(N(VLOOKUP($AT157&amp;"|"&amp;$CU157,LocTable,7,FALSE))&gt;0,VLOOKUP($AT157&amp;"|"&amp;$CU157,LocTable,7,FALSE),VLOOKUP($AT157&amp;"|"&amp;$CU157,LocTable,6,FALSE)))),$BI157-10-$CR157))</f>
        <v/>
      </c>
      <c r="CY157" s="85">
        <f>IF($CS157,"",TRIM(IF(ISNUMBER($BU157),"A "&amp;TRIM(TEXT($BU157,"# ?/??"))&amp;CHAR(34)&amp;"  ","")&amp;IF(ISNUMBER($BV157),"B "&amp;TRIM(TEXT($BV157,"# ?/??"))&amp;CHAR(34)&amp;"  ","")&amp;IF(ISNUMBER($BW157),"C "&amp;TRIM(TEXT($BW157,"# ?/??"))&amp;CHAR(34)&amp;"  ","")&amp;IF(ISNUMBER($BX157),"D "&amp;TRIM(TEXT($BX157,"# ?/??"))&amp;CHAR(34)&amp;"  ","")&amp;IF(ISNUMBER($BY157),"F "&amp;TRIM(TEXT($BY157,"# ?/??"))&amp;CHAR(34)&amp;"  ","")&amp;IF(ISNUMBER($BZ157),"E "&amp;TRIM(TEXT($BZ157,"# ?/??"))&amp;CHAR(34)&amp;"  ","")))</f>
        <v/>
      </c>
      <c r="CZ157" s="85">
        <f>IF(OR($CS157,N($BJ157)=0),"",TRIM(IF(ISNUMBER($BU157),"A "&amp;TRIM(TEXT($BU157-HeadClr,"# ?/??"))&amp;CHAR(34)&amp;"  ","")&amp;IF(ISNUMBER($BV157),"B "&amp;TRIM(TEXT($BV157-HeadClr,"# ?/??"))&amp;CHAR(34)&amp;"  ","")&amp;IF(ISNUMBER($BW157),"C "&amp;TRIM(TEXT($BW157-HeadClr,"# ?/??"))&amp;CHAR(34)&amp;"  ","")&amp;IF(ISNUMBER($BX157),"D "&amp;TRIM(TEXT($BX157-HeadClr,"# ?/??"))&amp;CHAR(34)&amp;"  ","")&amp;IF(ISNUMBER($BY157),"F "&amp;TRIM(TEXT($BY157-HeadClr,"# ?/??"))&amp;CHAR(34)&amp;"  ","")&amp;IF(ISNUMBER($BZ157),"E "&amp;TRIM(TEXT($BZ157-HeadClr,"# ?/??"))&amp;CHAR(34)&amp;"  ","")))</f>
        <v/>
      </c>
      <c r="DA157" s="84">
        <f>IF($A157="","",IF($AN157="",IFERROR(VLOOKUP($Z157,CODES,2,FALSE),""),IFERROR(VLOOKUP($AN157,CODES,2,FALSE),"")))</f>
        <v/>
      </c>
      <c r="DB157" s="84">
        <f>IF($A157="","",IF($O157="Y","PR",IF(OR($Z157="L",$Z157="RR",LEFT($Z157,2)="L-",LEFT($Z157,3)="RR-"),"LH","RH")))</f>
        <v/>
      </c>
      <c r="DC157" s="84">
        <f>IF($A157="","","S.HM"&amp;IF(OR($C157="DOOR ONLY",$X157&lt;&gt;"KD"),"MASONRY","DRYWALL")&amp;IF($C157="DOOR ONLY","",$U157)&amp;IF(AND($C157&lt;&gt;"FRAME ONLY",OR(LEFT($AH157,3)="OAK",LEFT($AH157,3)="BIR",LEFT($AH157,3)="MAP",$AH157="PC",$AH157="MC",$AH157="SCLC",$AH157="P-LAM")),"WD","HM")&amp;"1.75")</f>
        <v/>
      </c>
      <c r="DD157" s="84">
        <f>IF($CJ157="","",IF($O157="Y",$CJ157,SUBSTITUTE($CJ157,$BG157&amp;" "&amp;IFERROR(VLOOKUP($Z157,CODES,2,FALSE),"")&amp;" ",$BG157&amp;" ")))</f>
        <v/>
      </c>
      <c r="DE157" s="84">
        <f>IF($CK157="","",IF($O157="Y",$CK157,SUBSTITUTE($CK157,$BG157&amp;" "&amp;IF($AN157="",IFERROR(VLOOKUP($Z157,CODES,2,FALSE),""),IFERROR(VLOOKUP($AN157,CODES,2,FALSE),""))&amp;" ",$BG157&amp;" ")))</f>
        <v/>
      </c>
      <c r="DF157" s="84">
        <f>IF($CJ157="","",$DC157&amp;"|"&amp;$DD157&amp;"|"&amp;$DB157&amp;"|"&amp;$AT157&amp;"|"&amp;$V157&amp;"|"&amp;$Y157&amp;"|"&amp;$AB157)</f>
        <v/>
      </c>
      <c r="DG157" s="84">
        <f>IF(DF157="","",IF(COUNTIF($DF$6:DF157,DF157)=1,MAX($DG$5:DG156)+1,INDEX($DG$5:DG156,MATCH(DF157,$DF$5:DF156,0))))</f>
        <v/>
      </c>
      <c r="DH157" s="84">
        <f>IF($CK157="","",$DC157&amp;"|"&amp;$DE157&amp;"|"&amp;$AI157&amp;"|"&amp;$BK157&amp;"|"&amp;$BL157)</f>
        <v/>
      </c>
      <c r="DI157" s="84">
        <f>IF(DH157="","",IF(COUNTIF($DH$6:DH157,DH157)=1,MAX($DI$5:DI156)+1,INDEX($DI$5:DI156,MATCH(DH157,$DH$5:DH156,0))))</f>
        <v/>
      </c>
      <c r="DJ157" s="84">
        <f>IF($A157="","",IF($B157="","qty, ","")&amp;IF($C157="","scope, ","")&amp;IF(OR($K157="",$M157=""),"size, ","")&amp;IF(AND($A157&lt;&gt;"",$C157&lt;&gt;"DOOR ONLY"),IF($U157="","jamb depth, ","")&amp;IF($X157="","construction, ","")&amp;IF($Y157="","anchor, ","")&amp;IF($S157="","frame type, ",""),"")&amp;IF(AND(N($BJ157)&gt;0,$Z157=""),"hand, ","")&amp;IF(N($BJ157)&gt;0,IF($AH157="","door material, ","")&amp;IF($AL157="","face type, ","")&amp;IF($AP157="","lock prep, ","")&amp;IF(AND($AO157="",$AC157=""),"hinge prep, ",""),"")&amp;IF(AND($CH157&gt;0,$AH157="FRP"),"FRP cannot carry a label, ","")&amp;IF(AND($O157="Y",OR($Z157="L",$Z157="R",$Z157="LR",$Z157="RR")),"pair marked but hand is single, ","")&amp;IF(AND($O157&lt;&gt;"Y",OR($Z157="PR",AND(LEN($Z157)&gt;1,ISNUMBER(SEARCH("-",$Z157))))),"pair hand on a single door, ","")&amp;IF(AND(ISNUMBER($CI157),$CH157&lt;N($CI157)),"wall needs a "&amp;$CI157&amp;" min door, ","")&amp;IF(AND($CH157&gt;=180,AND(OR($CE157="FG",$CE157="HG",$CE157="FNV",$CE157="FV"),N($CF157)*N($CG157)&gt;100)),"180 min lite over 100 sq in, ","")&amp;IF(N($BK157)&gt;48,"leaf wider than 4'-0"&amp;CHAR(34)&amp;", ","")&amp;IF(AND($CT157,COUNT($AW157:$AZ157)=0,$CQ157&gt;0),"CUSTOM LOC with no locations typed, ",""))</f>
        <v/>
      </c>
      <c r="DK157" s="84">
        <f>IF($A157="","",IF(AND($CH157&gt;0,AND($A157&lt;&gt;"",$C157&lt;&gt;"DOOR ONLY"),$X157="KD",$E157="EXTERIOR"),"KD label on an exterior opening, ","")&amp;IF(AND($E157="EXTERIOR",OR(AND(AND($A157&lt;&gt;"",$C157&lt;&gt;"DOOR ONLY"),$W157="CR"),AND(N($BJ157)&gt;0,$AH157="CR"))),"exterior in CR steel (G9?), ","")&amp;IF(AND(ISNUMBER($BQ157),N($BQ157)&lt;32),"clear width ~"&amp;TEXT($BQ157,"0.0")&amp;CHAR(34)&amp;" under 32"&amp;CHAR(34)&amp;" (ADA), ","")&amp;IF(AND($CH157=90,AND(OR($CE157="FG",$CE157="HG",$CE157="FNV",$CE157="FV"),N($CF157)*N($CG157)&gt;100)),"90 min lite over 100 sq in (stair/exit), ","")&amp;IF(AND($CH157&gt;0,AND($A157&lt;&gt;"",$C157&lt;&gt;"DOOR ONLY"),OR($AF157="",$AF157="-")),"rated: closer reinf.?, ","")&amp;IF(OR($I157="CORRIDOR",$I157="SMOKE BARRIER"),"S label + smoke gasketing, ","")&amp;IF($CI157="?","wall type/hr not in IBC table, ","")&amp;IF(AND(N($BJ157)&gt;0,$BB157=""),"no hardware set, ","")&amp;IF(AND($BB157&lt;&gt;"",ISNA(MATCH($BB157&amp;"",HWSets,0))),"set "&amp;$BB157&amp;" not on HW Sets, ","")&amp;IF(N($BL157)&gt;96,"leaf over 8'-0"&amp;CHAR(34)&amp;" - check listing, ","")&amp;IF(AND($CT157,COUNT($AW157:$AZ157)&gt;0,COUNT($AW157:$AZ157)&lt;&gt;$CQ157),COUNT($AW157:$AZ157)&amp;" custom hinges typed, "&amp;$CQ157&amp;" expected, ","")&amp;IF(AND(ISNUMBER($CA157),OR(N($CA157)&lt;34,N($CA157)&gt;48)),"lock "&amp;TEXT($CA157,"0.0")&amp;CHAR(34)&amp;" AFF outside 34-48"&amp;CHAR(34)&amp;" (ADA), ","")&amp;IF(AND(ISNUMBER($AV157),ISNUMBER($BL157),N($AV157)&lt;IF(N($BL157)&lt;=60,2,IF(N($BL157)&lt;=90,3,IF(N($BL157)&lt;=120,4,5)))),"fewer hinges than standard, ",""))</f>
        <v/>
      </c>
    </row>
    <row r="158" ht="15" customHeight="1">
      <c r="A158" s="77" t="n"/>
      <c r="B158" s="78" t="n"/>
      <c r="C158" s="78" t="n"/>
      <c r="D158" s="78" t="n"/>
      <c r="E158" s="78" t="n"/>
      <c r="F158" s="78" t="n"/>
      <c r="G158" s="78" t="n"/>
      <c r="H158" s="78" t="n"/>
      <c r="I158" s="78" t="n"/>
      <c r="J158" s="78" t="n"/>
      <c r="K158" s="78" t="n"/>
      <c r="L158" s="78" t="n"/>
      <c r="M158" s="78" t="n"/>
      <c r="N158" s="78" t="n"/>
      <c r="O158" s="78" t="n"/>
      <c r="P158" s="78" t="n"/>
      <c r="Q158" s="78" t="n"/>
      <c r="R158" s="78" t="n"/>
      <c r="S158" s="79" t="n"/>
      <c r="T158" s="79" t="n"/>
      <c r="U158" s="79" t="n"/>
      <c r="V158" s="79" t="n"/>
      <c r="W158" s="79" t="n"/>
      <c r="X158" s="79" t="n"/>
      <c r="Y158" s="79" t="n"/>
      <c r="Z158" s="79" t="n"/>
      <c r="AA158" s="79" t="n"/>
      <c r="AB158" s="79" t="n"/>
      <c r="AC158" s="79" t="n"/>
      <c r="AD158" s="79" t="n"/>
      <c r="AE158" s="79" t="n"/>
      <c r="AF158" s="79" t="n"/>
      <c r="AG158" s="79" t="n"/>
      <c r="AH158" s="80" t="n"/>
      <c r="AI158" s="80" t="n"/>
      <c r="AJ158" s="80" t="n"/>
      <c r="AK158" s="80" t="n"/>
      <c r="AL158" s="80" t="n"/>
      <c r="AM158" s="80" t="n"/>
      <c r="AN158" s="80" t="n"/>
      <c r="AO158" s="80" t="n"/>
      <c r="AP158" s="80" t="n"/>
      <c r="AQ158" s="80" t="n"/>
      <c r="AR158" s="80" t="n"/>
      <c r="AS158" s="80" t="n"/>
      <c r="AT158" s="81" t="n"/>
      <c r="AU158" s="81" t="n"/>
      <c r="AV158" s="81" t="n"/>
      <c r="AW158" s="82" t="n"/>
      <c r="AX158" s="82" t="n"/>
      <c r="AY158" s="82" t="n"/>
      <c r="AZ158" s="82" t="n"/>
      <c r="BA158" s="82" t="n"/>
      <c r="BB158" s="83" t="n"/>
      <c r="BC158" s="83" t="n"/>
      <c r="BD158" s="84">
        <f>IF($A158="","",IF($DJ158&lt;&gt;"","FIX",IF($DK158&lt;&gt;"","CHECK","OK")))</f>
        <v/>
      </c>
      <c r="BE158" s="85">
        <f>IF($A158="","",IF($DJ158&lt;&gt;"","FIX: "&amp;LEFT($DJ158,LEN($DJ158)-2)&amp;IF($DK158&lt;&gt;"","  ·  ",""),"")&amp;IF($DK158&lt;&gt;"","CHECK: "&amp;LEFT($DK158,LEN($DK158)-2),""))</f>
        <v/>
      </c>
      <c r="BF158" s="84">
        <f>IF(OR($A158="",$K158=""),"",$K158&amp;"'-"&amp;N($L158)&amp;CHAR(34)&amp;" x "&amp;$M158&amp;"'-"&amp;N($N158)&amp;CHAR(34))</f>
        <v/>
      </c>
      <c r="BG158" s="84">
        <f>IF(OR($A158="",$K158=""),"",$K158&amp;N($L158)&amp;$M158&amp;N($N158))</f>
        <v/>
      </c>
      <c r="BH158" s="84">
        <f>IF(OR($A158="",$K158=""),"",$K158*12+N($L158))</f>
        <v/>
      </c>
      <c r="BI158" s="84">
        <f>IF(OR($A158="",$M158=""),"",$M158*12+N($N158))</f>
        <v/>
      </c>
      <c r="BJ158" s="84">
        <f>IF($A158="","",IF(OR($C158="FRAME ONLY",$S158="BL"),0,IF($O158="Y",2,1)))</f>
        <v/>
      </c>
      <c r="BK158" s="86">
        <f>IF(OR(N($BJ158)=0,$BH158=""),"",($BH158-2*EdgeClr-IF($BJ158=2,MeetClr,0))/$BJ158)</f>
        <v/>
      </c>
      <c r="BL158" s="86">
        <f>IF(OR(N($BJ158)=0,$BI158=""),"",$BI158-HeadClr-Undercut)</f>
        <v/>
      </c>
      <c r="BM158" s="86">
        <f>IF($BH158="","",$BH158+2*FaceW+IF(N($Q158)&gt;0,($Q158+FaceW)*IF($R158="LR",2,1),0))</f>
        <v/>
      </c>
      <c r="BN158" s="86">
        <f>IF($BI158="","",$BI158+IF($AB158="Y",4,FaceW)+IF(N($P158)&gt;0,$P158+FaceW,0)+IF(OR($S158="4F",$S158="BL"),FaceW,0))</f>
        <v/>
      </c>
      <c r="BO158" s="86">
        <f>IF($BM158="","",$BM158+2*ROSide)</f>
        <v/>
      </c>
      <c r="BP158" s="86">
        <f>IF($BN158="","",$BN158+ROTop)</f>
        <v/>
      </c>
      <c r="BQ158" s="87">
        <f>IF(OR(N($BJ158)=0,$BH158=""),"",$BH158/$BJ158-ClearDeduct)</f>
        <v/>
      </c>
      <c r="BR158" s="84">
        <f>IF(N($CH158)=0,"",IF($CH158&gt;=180,"A · 3 HR",IF($CH158&gt;=90,"B · 1-1/2 HR",IF($CH158&gt;=60,"B · 1 HR",IF($CH158&gt;=45,"C · 3/4 HR","20 MIN")))))&amp;IF(AND(N($CH158)&gt;0,OR($I158="CORRIDOR",$I158="SMOKE BARRIER"))," · S","")</f>
        <v/>
      </c>
      <c r="BS158" s="84">
        <f>IF($CS158,"",IF($AV158&lt;&gt;"",$AV158,IF(OR($AC158="HGC",$AO158="HGC"),"CONT",IF(($BI158-HeadClr-Undercut)&lt;=60,2,IF(($BI158-HeadClr-Undercut)&lt;=90,3,IF(($BI158-HeadClr-Undercut)&lt;=120,4,5))))))</f>
        <v/>
      </c>
      <c r="BT158" s="84">
        <f>IF($CS158,"",IF($CT158,"CUSTOM (typed)",IF($CV158,$AT158&amp;" "&amp;$CU158&amp;CHAR(34)&amp;IF($CU158&lt;&gt;$BI158,IF(AND($BI158&lt;$CU158,$BI158-IF(N(VLOOKUP($AT158&amp;"|"&amp;$CU158,LocTable,7,FALSE))&gt;0,VLOOKUP($AT158&amp;"|"&amp;$CU158,LocTable,7,FALSE),VLOOKUP($AT158&amp;"|"&amp;$CU158,LocTable,6,FALSE))-$CR158-0.75&gt;=2.125)," cut down"," adj."),""),"ANSI/SDI A250.6")))</f>
        <v/>
      </c>
      <c r="BU158" s="88">
        <f>IF($CS158,"",IF($CT158,IF(N($AW158)&gt;0,N($AW158),""),IF(1&gt;$CQ158,"",IF($CQ158=1,$CW158,$CW158+($CX158-$CW158)*0/($CQ158-1)))))</f>
        <v/>
      </c>
      <c r="BV158" s="88">
        <f>IF($CS158,"",IF($CT158,IF(N($AX158)&gt;0,N($AX158),""),IF(2&gt;$CQ158,"",IF($CQ158=1,$CW158,$CW158+($CX158-$CW158)*1/($CQ158-1)))))</f>
        <v/>
      </c>
      <c r="BW158" s="88">
        <f>IF($CS158,"",IF($CT158,IF(N($AY158)&gt;0,N($AY158),""),IF(3&gt;$CQ158,"",IF($CQ158=1,$CW158,$CW158+($CX158-$CW158)*2/($CQ158-1)))))</f>
        <v/>
      </c>
      <c r="BX158" s="88">
        <f>IF($CS158,"",IF($CT158,IF(N($AZ158)&gt;0,N($AZ158),""),IF(4&gt;$CQ158,"",IF($CQ158=1,$CW158,$CW158+($CX158-$CW158)*3/($CQ158-1)))))</f>
        <v/>
      </c>
      <c r="BY158" s="88">
        <f>IF($CS158,"",IF($CT158,"",IF(5&gt;$CQ158,"",IF($CQ158=1,$CW158,$CW158+($CX158-$CW158)*4/($CQ158-1)))))</f>
        <v/>
      </c>
      <c r="BZ158" s="88">
        <f>IF(OR($CS158,$AP158="-",AND($AP158="",$AD158="")),"",IF(N($BA158)&gt;0,N($BA158),IF($CV158,IF(AND($BI158&lt;$CU158,$BI158-IF(N(VLOOKUP($AT158&amp;"|"&amp;$CU158,LocTable,7,FALSE))&gt;0,VLOOKUP($AT158&amp;"|"&amp;$CU158,LocTable,7,FALSE),VLOOKUP($AT158&amp;"|"&amp;$CU158,LocTable,6,FALSE))-$CR158-0.75&gt;=2.125),VLOOKUP($AT158&amp;"|"&amp;$CU158,LocTable,8,FALSE),VLOOKUP($AT158&amp;"|"&amp;$CU158,LocTable,8,FALSE)+($BI158-$CU158)),$BI158-LockAFF)))</f>
        <v/>
      </c>
      <c r="CA158" s="89">
        <f>IF($BZ158="","",$BI158-$BZ158)</f>
        <v/>
      </c>
      <c r="CB158" s="84">
        <f>IF(OR(NOT(AND($A158&lt;&gt;"",$C158&lt;&gt;"DOOR ONLY")),$BI158=""),"",IF(($BI158+IF(N($P158)&gt;0,$P158+FaceW,0))&lt;=90,3,IF(($BI158+IF(N($P158)&gt;0,$P158+FaceW,0))&lt;=114,4,5)))</f>
        <v/>
      </c>
      <c r="CC158" s="84">
        <f>IF($CB158="","",$CB158*(2+IF(N($Q158)&gt;0,IF($R158="LR",2,1),0)))</f>
        <v/>
      </c>
      <c r="CD158" s="84">
        <f>IF($CB158="","",(2+IF(N($Q158)&gt;0,IF($R158="LR",2,1),0)))</f>
        <v/>
      </c>
      <c r="CE158" s="84">
        <f>IF(N($BJ158)=0,"",IF(OR($AL158="",$AL158="FLUSH"),"FLUSH",IFERROR(LEFT($AL158,FIND("-",$AL158)-1),LEFT($AL158,2))))</f>
        <v/>
      </c>
      <c r="CF158" s="84">
        <f>IF($CE158="","",IFERROR(VALUE(MID($AL158,FIND("-",$AL158)+1,FIND(CHAR(34)&amp;"x",$AL158)-FIND("-",$AL158)-1)),0))</f>
        <v/>
      </c>
      <c r="CG158" s="84">
        <f>IF($CE158="","",IFERROR(VALUE(MID($AL158,FIND(CHAR(34)&amp;"x",$AL158)+2,FIND(CHAR(34),$AL158,FIND(CHAR(34)&amp;"x",$AL158)+2)-FIND(CHAR(34)&amp;"x",$AL158)-2)),0))</f>
        <v/>
      </c>
      <c r="CH158" s="90">
        <f>IF(OR($A158="",$H158="",$H158="NO LAB"),0,IFERROR(VALUE(LEFT($H158,FIND(" ",$H158)-1)),0))</f>
        <v/>
      </c>
      <c r="CI158" s="91">
        <f>IF(OR($A158="",$I158="",$I158="NON-RATED",N($J158)=0),"",IFERROR(VLOOKUP($I158&amp;"|"&amp;$J158,IBC,2,FALSE),"?"))</f>
        <v/>
      </c>
      <c r="CJ158" s="85">
        <f>IF(NOT(AND($A158&lt;&gt;"",$C158&lt;&gt;"DOOR ONLY")),"",TRIM(IFERROR(VLOOKUP($U158,CODES,2,FALSE),"")&amp;" "&amp;$BG158&amp;" "&amp;IFERROR(VLOOKUP($Z158,CODES,2,FALSE),"")&amp;" "&amp;IFERROR(VLOOKUP($X158,CODES,2,FALSE),"")&amp;" "&amp;IFERROR(VLOOKUP($S158,CODES,2,FALSE),"")&amp;IF(N($P158)&gt;0," w/TRANSOM "&amp;$P158&amp;CHAR(34),"")&amp;IF(N($Q158)&gt;0," w/SIDELITE "&amp;$Q158&amp;CHAR(34)&amp;" "&amp;IF($R158="","R",$R158),"")&amp;IF($Y158="","  |  "," | "&amp;IFERROR(VLOOKUP($Y158,CODES,2,FALSE),"")&amp;" | ")&amp;IFERROR(VLOOKUP($AC158,CODES,2,FALSE),"")&amp;" "&amp;IFERROR(VLOOKUP($AD158,CODES,2,FALSE),"")&amp;IF(OR($AE158="",$AE158="-"),""," "&amp;$AE158)&amp;IF(OR($AF158="",$AF158="-"),""," "&amp;$AF158)&amp;IF($AB158="Y"," 4"&amp;CHAR(34)&amp;" HEAD","")&amp;" "&amp;IFERROR(VLOOKUP($H158,CODES,2,FALSE),"")&amp;IF($CT158," | LOC "&amp;$CY158,"")))</f>
        <v/>
      </c>
      <c r="CK158" s="85">
        <f>IF(NOT(AND($A158&lt;&gt;"",N($BJ158)&gt;0)),"",TRIM(IFERROR(VLOOKUP($AH158,CODES,2,FALSE),"")&amp;IF($AI158=""," "," "&amp;$AI158&amp;"GA ")&amp;$BG158&amp;" "&amp;IF($AN158="",IFERROR(VLOOKUP($Z158,CODES,2,FALSE),""),IFERROR(VLOOKUP($AN158,CODES,2,FALSE),""))&amp;IF($BJ158=2," PAIR","")&amp;" DOOR | "&amp;IF($AL158="","?",$AL158)&amp;" | "&amp;IF($AO158="",IFERROR(VLOOKUP($AC158,CODES,2,FALSE),""),IFERROR(VLOOKUP($AO158,CODES,2,FALSE),""))&amp;" "&amp;IFERROR(VLOOKUP($AP158,CODES,2,FALSE),"")&amp;IF(OR($AQ158="",$AQ158="-"),""," SEAM "&amp;$AQ158)&amp;IF($AR158="Y"," ASTRAGAL","")&amp;IF($AJ158=""," "," "&amp;$AJ158)&amp;IF($AK158=""," "," "&amp;$AK158)&amp;IF(OR($AT158="",$AT158="ANSI/SDI",$AT158="CUSTOM LOC"),""," "&amp;$AT158)&amp;IF($AM158=""," "," SERIES "&amp;$AM158)&amp;" "&amp;IFERROR(VLOOKUP($H158,CODES,2,FALSE),"")&amp;IF($CT158," | LOC "&amp;$CZ158,"")))</f>
        <v/>
      </c>
      <c r="CL158" s="84">
        <f>IF(CP158="","",IF(COUNTIF($CP$6:CP158,CP158)=1,MAX($CL$5:CL157)+1,INDEX($CL$5:CL157,MATCH(CP158,$CP$5:CP157,0))))</f>
        <v/>
      </c>
      <c r="CM158" s="84">
        <f>IF(NOT(AND($A158&lt;&gt;"",$C158&lt;&gt;"DOOR ONLY")),"",MAX($CM$5:CM157)+1)</f>
        <v/>
      </c>
      <c r="CN158" s="84">
        <f>IF(NOT(AND($A158&lt;&gt;"",N($BJ158)&gt;0)),"",MAX($CN$5:CN157)+1)</f>
        <v/>
      </c>
      <c r="CO158" s="84">
        <f>IF($A158="","",MAX($CO$5:CO157)+1)</f>
        <v/>
      </c>
      <c r="CP158" s="84">
        <f>IF(OR($A158="",$BH158="",$BI158=""),"",$BG158&amp;"|"&amp;$O158&amp;"|"&amp;$AL158&amp;"|"&amp;$S158&amp;"|"&amp;$P158&amp;"|"&amp;$Q158&amp;$R158&amp;"|"&amp;$C158&amp;"|"&amp;$AB158)</f>
        <v/>
      </c>
      <c r="CQ158" s="84">
        <f>N($BS158)</f>
        <v/>
      </c>
      <c r="CR158" s="84">
        <f>IF(N($AU158)&gt;0,N($AU158),4.5)</f>
        <v/>
      </c>
      <c r="CS158" s="84">
        <f>OR($A158="",$BI158="",$S158="BL",AND($C158="FRAME ONLY",OR($AC158="",$AC158="BLK")))</f>
        <v/>
      </c>
      <c r="CT158" s="84">
        <f>AND(NOT($CS158),OR($AT158="CUSTOM LOC",N($AW158)+N($AX158)+N($AY158)+N($AZ158)+N($BA158)&gt;0))</f>
        <v/>
      </c>
      <c r="CU158" s="84">
        <f>IF($BI158="","",IF($BI158&lt;=80,80,IF($BI158&lt;=84,84,96)))</f>
        <v/>
      </c>
      <c r="CV158" s="84">
        <f>ISNUMBER(MATCH($AT158&amp;"|80",LocKeys,0))</f>
        <v/>
      </c>
      <c r="CW158" s="86">
        <f>IF($CS158,"",IF($CV158,VLOOKUP($AT158&amp;"|"&amp;$CU158,LocTable,4,FALSE),5))</f>
        <v/>
      </c>
      <c r="CX158" s="86">
        <f>IF($CS158,"",IF($CV158,IF(OR($BI158=$CU158,AND($BI158&lt;$CU158,$BI158-IF(N(VLOOKUP($AT158&amp;"|"&amp;$CU158,LocTable,7,FALSE))&gt;0,VLOOKUP($AT158&amp;"|"&amp;$CU158,LocTable,7,FALSE),VLOOKUP($AT158&amp;"|"&amp;$CU158,LocTable,6,FALSE))-$CR158-0.75&gt;=2.125)),IF(N(VLOOKUP($AT158&amp;"|"&amp;$CU158,LocTable,7,FALSE))&gt;0,VLOOKUP($AT158&amp;"|"&amp;$CU158,LocTable,7,FALSE),VLOOKUP($AT158&amp;"|"&amp;$CU158,LocTable,6,FALSE)),$BI158-($CU158-IF(N(VLOOKUP($AT158&amp;"|"&amp;$CU158,LocTable,7,FALSE))&gt;0,VLOOKUP($AT158&amp;"|"&amp;$CU158,LocTable,7,FALSE),VLOOKUP($AT158&amp;"|"&amp;$CU158,LocTable,6,FALSE)))),$BI158-10-$CR158))</f>
        <v/>
      </c>
      <c r="CY158" s="85">
        <f>IF($CS158,"",TRIM(IF(ISNUMBER($BU158),"A "&amp;TRIM(TEXT($BU158,"# ?/??"))&amp;CHAR(34)&amp;"  ","")&amp;IF(ISNUMBER($BV158),"B "&amp;TRIM(TEXT($BV158,"# ?/??"))&amp;CHAR(34)&amp;"  ","")&amp;IF(ISNUMBER($BW158),"C "&amp;TRIM(TEXT($BW158,"# ?/??"))&amp;CHAR(34)&amp;"  ","")&amp;IF(ISNUMBER($BX158),"D "&amp;TRIM(TEXT($BX158,"# ?/??"))&amp;CHAR(34)&amp;"  ","")&amp;IF(ISNUMBER($BY158),"F "&amp;TRIM(TEXT($BY158,"# ?/??"))&amp;CHAR(34)&amp;"  ","")&amp;IF(ISNUMBER($BZ158),"E "&amp;TRIM(TEXT($BZ158,"# ?/??"))&amp;CHAR(34)&amp;"  ","")))</f>
        <v/>
      </c>
      <c r="CZ158" s="85">
        <f>IF(OR($CS158,N($BJ158)=0),"",TRIM(IF(ISNUMBER($BU158),"A "&amp;TRIM(TEXT($BU158-HeadClr,"# ?/??"))&amp;CHAR(34)&amp;"  ","")&amp;IF(ISNUMBER($BV158),"B "&amp;TRIM(TEXT($BV158-HeadClr,"# ?/??"))&amp;CHAR(34)&amp;"  ","")&amp;IF(ISNUMBER($BW158),"C "&amp;TRIM(TEXT($BW158-HeadClr,"# ?/??"))&amp;CHAR(34)&amp;"  ","")&amp;IF(ISNUMBER($BX158),"D "&amp;TRIM(TEXT($BX158-HeadClr,"# ?/??"))&amp;CHAR(34)&amp;"  ","")&amp;IF(ISNUMBER($BY158),"F "&amp;TRIM(TEXT($BY158-HeadClr,"# ?/??"))&amp;CHAR(34)&amp;"  ","")&amp;IF(ISNUMBER($BZ158),"E "&amp;TRIM(TEXT($BZ158-HeadClr,"# ?/??"))&amp;CHAR(34)&amp;"  ","")))</f>
        <v/>
      </c>
      <c r="DA158" s="84">
        <f>IF($A158="","",IF($AN158="",IFERROR(VLOOKUP($Z158,CODES,2,FALSE),""),IFERROR(VLOOKUP($AN158,CODES,2,FALSE),"")))</f>
        <v/>
      </c>
      <c r="DB158" s="84">
        <f>IF($A158="","",IF($O158="Y","PR",IF(OR($Z158="L",$Z158="RR",LEFT($Z158,2)="L-",LEFT($Z158,3)="RR-"),"LH","RH")))</f>
        <v/>
      </c>
      <c r="DC158" s="84">
        <f>IF($A158="","","S.HM"&amp;IF(OR($C158="DOOR ONLY",$X158&lt;&gt;"KD"),"MASONRY","DRYWALL")&amp;IF($C158="DOOR ONLY","",$U158)&amp;IF(AND($C158&lt;&gt;"FRAME ONLY",OR(LEFT($AH158,3)="OAK",LEFT($AH158,3)="BIR",LEFT($AH158,3)="MAP",$AH158="PC",$AH158="MC",$AH158="SCLC",$AH158="P-LAM")),"WD","HM")&amp;"1.75")</f>
        <v/>
      </c>
      <c r="DD158" s="84">
        <f>IF($CJ158="","",IF($O158="Y",$CJ158,SUBSTITUTE($CJ158,$BG158&amp;" "&amp;IFERROR(VLOOKUP($Z158,CODES,2,FALSE),"")&amp;" ",$BG158&amp;" ")))</f>
        <v/>
      </c>
      <c r="DE158" s="84">
        <f>IF($CK158="","",IF($O158="Y",$CK158,SUBSTITUTE($CK158,$BG158&amp;" "&amp;IF($AN158="",IFERROR(VLOOKUP($Z158,CODES,2,FALSE),""),IFERROR(VLOOKUP($AN158,CODES,2,FALSE),""))&amp;" ",$BG158&amp;" ")))</f>
        <v/>
      </c>
      <c r="DF158" s="84">
        <f>IF($CJ158="","",$DC158&amp;"|"&amp;$DD158&amp;"|"&amp;$DB158&amp;"|"&amp;$AT158&amp;"|"&amp;$V158&amp;"|"&amp;$Y158&amp;"|"&amp;$AB158)</f>
        <v/>
      </c>
      <c r="DG158" s="84">
        <f>IF(DF158="","",IF(COUNTIF($DF$6:DF158,DF158)=1,MAX($DG$5:DG157)+1,INDEX($DG$5:DG157,MATCH(DF158,$DF$5:DF157,0))))</f>
        <v/>
      </c>
      <c r="DH158" s="84">
        <f>IF($CK158="","",$DC158&amp;"|"&amp;$DE158&amp;"|"&amp;$AI158&amp;"|"&amp;$BK158&amp;"|"&amp;$BL158)</f>
        <v/>
      </c>
      <c r="DI158" s="84">
        <f>IF(DH158="","",IF(COUNTIF($DH$6:DH158,DH158)=1,MAX($DI$5:DI157)+1,INDEX($DI$5:DI157,MATCH(DH158,$DH$5:DH157,0))))</f>
        <v/>
      </c>
      <c r="DJ158" s="84">
        <f>IF($A158="","",IF($B158="","qty, ","")&amp;IF($C158="","scope, ","")&amp;IF(OR($K158="",$M158=""),"size, ","")&amp;IF(AND($A158&lt;&gt;"",$C158&lt;&gt;"DOOR ONLY"),IF($U158="","jamb depth, ","")&amp;IF($X158="","construction, ","")&amp;IF($Y158="","anchor, ","")&amp;IF($S158="","frame type, ",""),"")&amp;IF(AND(N($BJ158)&gt;0,$Z158=""),"hand, ","")&amp;IF(N($BJ158)&gt;0,IF($AH158="","door material, ","")&amp;IF($AL158="","face type, ","")&amp;IF($AP158="","lock prep, ","")&amp;IF(AND($AO158="",$AC158=""),"hinge prep, ",""),"")&amp;IF(AND($CH158&gt;0,$AH158="FRP"),"FRP cannot carry a label, ","")&amp;IF(AND($O158="Y",OR($Z158="L",$Z158="R",$Z158="LR",$Z158="RR")),"pair marked but hand is single, ","")&amp;IF(AND($O158&lt;&gt;"Y",OR($Z158="PR",AND(LEN($Z158)&gt;1,ISNUMBER(SEARCH("-",$Z158))))),"pair hand on a single door, ","")&amp;IF(AND(ISNUMBER($CI158),$CH158&lt;N($CI158)),"wall needs a "&amp;$CI158&amp;" min door, ","")&amp;IF(AND($CH158&gt;=180,AND(OR($CE158="FG",$CE158="HG",$CE158="FNV",$CE158="FV"),N($CF158)*N($CG158)&gt;100)),"180 min lite over 100 sq in, ","")&amp;IF(N($BK158)&gt;48,"leaf wider than 4'-0"&amp;CHAR(34)&amp;", ","")&amp;IF(AND($CT158,COUNT($AW158:$AZ158)=0,$CQ158&gt;0),"CUSTOM LOC with no locations typed, ",""))</f>
        <v/>
      </c>
      <c r="DK158" s="84">
        <f>IF($A158="","",IF(AND($CH158&gt;0,AND($A158&lt;&gt;"",$C158&lt;&gt;"DOOR ONLY"),$X158="KD",$E158="EXTERIOR"),"KD label on an exterior opening, ","")&amp;IF(AND($E158="EXTERIOR",OR(AND(AND($A158&lt;&gt;"",$C158&lt;&gt;"DOOR ONLY"),$W158="CR"),AND(N($BJ158)&gt;0,$AH158="CR"))),"exterior in CR steel (G9?), ","")&amp;IF(AND(ISNUMBER($BQ158),N($BQ158)&lt;32),"clear width ~"&amp;TEXT($BQ158,"0.0")&amp;CHAR(34)&amp;" under 32"&amp;CHAR(34)&amp;" (ADA), ","")&amp;IF(AND($CH158=90,AND(OR($CE158="FG",$CE158="HG",$CE158="FNV",$CE158="FV"),N($CF158)*N($CG158)&gt;100)),"90 min lite over 100 sq in (stair/exit), ","")&amp;IF(AND($CH158&gt;0,AND($A158&lt;&gt;"",$C158&lt;&gt;"DOOR ONLY"),OR($AF158="",$AF158="-")),"rated: closer reinf.?, ","")&amp;IF(OR($I158="CORRIDOR",$I158="SMOKE BARRIER"),"S label + smoke gasketing, ","")&amp;IF($CI158="?","wall type/hr not in IBC table, ","")&amp;IF(AND(N($BJ158)&gt;0,$BB158=""),"no hardware set, ","")&amp;IF(AND($BB158&lt;&gt;"",ISNA(MATCH($BB158&amp;"",HWSets,0))),"set "&amp;$BB158&amp;" not on HW Sets, ","")&amp;IF(N($BL158)&gt;96,"leaf over 8'-0"&amp;CHAR(34)&amp;" - check listing, ","")&amp;IF(AND($CT158,COUNT($AW158:$AZ158)&gt;0,COUNT($AW158:$AZ158)&lt;&gt;$CQ158),COUNT($AW158:$AZ158)&amp;" custom hinges typed, "&amp;$CQ158&amp;" expected, ","")&amp;IF(AND(ISNUMBER($CA158),OR(N($CA158)&lt;34,N($CA158)&gt;48)),"lock "&amp;TEXT($CA158,"0.0")&amp;CHAR(34)&amp;" AFF outside 34-48"&amp;CHAR(34)&amp;" (ADA), ","")&amp;IF(AND(ISNUMBER($AV158),ISNUMBER($BL158),N($AV158)&lt;IF(N($BL158)&lt;=60,2,IF(N($BL158)&lt;=90,3,IF(N($BL158)&lt;=120,4,5)))),"fewer hinges than standard, ",""))</f>
        <v/>
      </c>
    </row>
    <row r="159" ht="15" customHeight="1">
      <c r="A159" s="77" t="n"/>
      <c r="B159" s="78" t="n"/>
      <c r="C159" s="78" t="n"/>
      <c r="D159" s="78" t="n"/>
      <c r="E159" s="78" t="n"/>
      <c r="F159" s="78" t="n"/>
      <c r="G159" s="78" t="n"/>
      <c r="H159" s="78" t="n"/>
      <c r="I159" s="78" t="n"/>
      <c r="J159" s="78" t="n"/>
      <c r="K159" s="78" t="n"/>
      <c r="L159" s="78" t="n"/>
      <c r="M159" s="78" t="n"/>
      <c r="N159" s="78" t="n"/>
      <c r="O159" s="78" t="n"/>
      <c r="P159" s="78" t="n"/>
      <c r="Q159" s="78" t="n"/>
      <c r="R159" s="78" t="n"/>
      <c r="S159" s="79" t="n"/>
      <c r="T159" s="79" t="n"/>
      <c r="U159" s="79" t="n"/>
      <c r="V159" s="79" t="n"/>
      <c r="W159" s="79" t="n"/>
      <c r="X159" s="79" t="n"/>
      <c r="Y159" s="79" t="n"/>
      <c r="Z159" s="79" t="n"/>
      <c r="AA159" s="79" t="n"/>
      <c r="AB159" s="79" t="n"/>
      <c r="AC159" s="79" t="n"/>
      <c r="AD159" s="79" t="n"/>
      <c r="AE159" s="79" t="n"/>
      <c r="AF159" s="79" t="n"/>
      <c r="AG159" s="79" t="n"/>
      <c r="AH159" s="80" t="n"/>
      <c r="AI159" s="80" t="n"/>
      <c r="AJ159" s="80" t="n"/>
      <c r="AK159" s="80" t="n"/>
      <c r="AL159" s="80" t="n"/>
      <c r="AM159" s="80" t="n"/>
      <c r="AN159" s="80" t="n"/>
      <c r="AO159" s="80" t="n"/>
      <c r="AP159" s="80" t="n"/>
      <c r="AQ159" s="80" t="n"/>
      <c r="AR159" s="80" t="n"/>
      <c r="AS159" s="80" t="n"/>
      <c r="AT159" s="81" t="n"/>
      <c r="AU159" s="81" t="n"/>
      <c r="AV159" s="81" t="n"/>
      <c r="AW159" s="82" t="n"/>
      <c r="AX159" s="82" t="n"/>
      <c r="AY159" s="82" t="n"/>
      <c r="AZ159" s="82" t="n"/>
      <c r="BA159" s="82" t="n"/>
      <c r="BB159" s="83" t="n"/>
      <c r="BC159" s="83" t="n"/>
      <c r="BD159" s="84">
        <f>IF($A159="","",IF($DJ159&lt;&gt;"","FIX",IF($DK159&lt;&gt;"","CHECK","OK")))</f>
        <v/>
      </c>
      <c r="BE159" s="85">
        <f>IF($A159="","",IF($DJ159&lt;&gt;"","FIX: "&amp;LEFT($DJ159,LEN($DJ159)-2)&amp;IF($DK159&lt;&gt;"","  ·  ",""),"")&amp;IF($DK159&lt;&gt;"","CHECK: "&amp;LEFT($DK159,LEN($DK159)-2),""))</f>
        <v/>
      </c>
      <c r="BF159" s="84">
        <f>IF(OR($A159="",$K159=""),"",$K159&amp;"'-"&amp;N($L159)&amp;CHAR(34)&amp;" x "&amp;$M159&amp;"'-"&amp;N($N159)&amp;CHAR(34))</f>
        <v/>
      </c>
      <c r="BG159" s="84">
        <f>IF(OR($A159="",$K159=""),"",$K159&amp;N($L159)&amp;$M159&amp;N($N159))</f>
        <v/>
      </c>
      <c r="BH159" s="84">
        <f>IF(OR($A159="",$K159=""),"",$K159*12+N($L159))</f>
        <v/>
      </c>
      <c r="BI159" s="84">
        <f>IF(OR($A159="",$M159=""),"",$M159*12+N($N159))</f>
        <v/>
      </c>
      <c r="BJ159" s="84">
        <f>IF($A159="","",IF(OR($C159="FRAME ONLY",$S159="BL"),0,IF($O159="Y",2,1)))</f>
        <v/>
      </c>
      <c r="BK159" s="86">
        <f>IF(OR(N($BJ159)=0,$BH159=""),"",($BH159-2*EdgeClr-IF($BJ159=2,MeetClr,0))/$BJ159)</f>
        <v/>
      </c>
      <c r="BL159" s="86">
        <f>IF(OR(N($BJ159)=0,$BI159=""),"",$BI159-HeadClr-Undercut)</f>
        <v/>
      </c>
      <c r="BM159" s="86">
        <f>IF($BH159="","",$BH159+2*FaceW+IF(N($Q159)&gt;0,($Q159+FaceW)*IF($R159="LR",2,1),0))</f>
        <v/>
      </c>
      <c r="BN159" s="86">
        <f>IF($BI159="","",$BI159+IF($AB159="Y",4,FaceW)+IF(N($P159)&gt;0,$P159+FaceW,0)+IF(OR($S159="4F",$S159="BL"),FaceW,0))</f>
        <v/>
      </c>
      <c r="BO159" s="86">
        <f>IF($BM159="","",$BM159+2*ROSide)</f>
        <v/>
      </c>
      <c r="BP159" s="86">
        <f>IF($BN159="","",$BN159+ROTop)</f>
        <v/>
      </c>
      <c r="BQ159" s="87">
        <f>IF(OR(N($BJ159)=0,$BH159=""),"",$BH159/$BJ159-ClearDeduct)</f>
        <v/>
      </c>
      <c r="BR159" s="84">
        <f>IF(N($CH159)=0,"",IF($CH159&gt;=180,"A · 3 HR",IF($CH159&gt;=90,"B · 1-1/2 HR",IF($CH159&gt;=60,"B · 1 HR",IF($CH159&gt;=45,"C · 3/4 HR","20 MIN")))))&amp;IF(AND(N($CH159)&gt;0,OR($I159="CORRIDOR",$I159="SMOKE BARRIER"))," · S","")</f>
        <v/>
      </c>
      <c r="BS159" s="84">
        <f>IF($CS159,"",IF($AV159&lt;&gt;"",$AV159,IF(OR($AC159="HGC",$AO159="HGC"),"CONT",IF(($BI159-HeadClr-Undercut)&lt;=60,2,IF(($BI159-HeadClr-Undercut)&lt;=90,3,IF(($BI159-HeadClr-Undercut)&lt;=120,4,5))))))</f>
        <v/>
      </c>
      <c r="BT159" s="84">
        <f>IF($CS159,"",IF($CT159,"CUSTOM (typed)",IF($CV159,$AT159&amp;" "&amp;$CU159&amp;CHAR(34)&amp;IF($CU159&lt;&gt;$BI159,IF(AND($BI159&lt;$CU159,$BI159-IF(N(VLOOKUP($AT159&amp;"|"&amp;$CU159,LocTable,7,FALSE))&gt;0,VLOOKUP($AT159&amp;"|"&amp;$CU159,LocTable,7,FALSE),VLOOKUP($AT159&amp;"|"&amp;$CU159,LocTable,6,FALSE))-$CR159-0.75&gt;=2.125)," cut down"," adj."),""),"ANSI/SDI A250.6")))</f>
        <v/>
      </c>
      <c r="BU159" s="88">
        <f>IF($CS159,"",IF($CT159,IF(N($AW159)&gt;0,N($AW159),""),IF(1&gt;$CQ159,"",IF($CQ159=1,$CW159,$CW159+($CX159-$CW159)*0/($CQ159-1)))))</f>
        <v/>
      </c>
      <c r="BV159" s="88">
        <f>IF($CS159,"",IF($CT159,IF(N($AX159)&gt;0,N($AX159),""),IF(2&gt;$CQ159,"",IF($CQ159=1,$CW159,$CW159+($CX159-$CW159)*1/($CQ159-1)))))</f>
        <v/>
      </c>
      <c r="BW159" s="88">
        <f>IF($CS159,"",IF($CT159,IF(N($AY159)&gt;0,N($AY159),""),IF(3&gt;$CQ159,"",IF($CQ159=1,$CW159,$CW159+($CX159-$CW159)*2/($CQ159-1)))))</f>
        <v/>
      </c>
      <c r="BX159" s="88">
        <f>IF($CS159,"",IF($CT159,IF(N($AZ159)&gt;0,N($AZ159),""),IF(4&gt;$CQ159,"",IF($CQ159=1,$CW159,$CW159+($CX159-$CW159)*3/($CQ159-1)))))</f>
        <v/>
      </c>
      <c r="BY159" s="88">
        <f>IF($CS159,"",IF($CT159,"",IF(5&gt;$CQ159,"",IF($CQ159=1,$CW159,$CW159+($CX159-$CW159)*4/($CQ159-1)))))</f>
        <v/>
      </c>
      <c r="BZ159" s="88">
        <f>IF(OR($CS159,$AP159="-",AND($AP159="",$AD159="")),"",IF(N($BA159)&gt;0,N($BA159),IF($CV159,IF(AND($BI159&lt;$CU159,$BI159-IF(N(VLOOKUP($AT159&amp;"|"&amp;$CU159,LocTable,7,FALSE))&gt;0,VLOOKUP($AT159&amp;"|"&amp;$CU159,LocTable,7,FALSE),VLOOKUP($AT159&amp;"|"&amp;$CU159,LocTable,6,FALSE))-$CR159-0.75&gt;=2.125),VLOOKUP($AT159&amp;"|"&amp;$CU159,LocTable,8,FALSE),VLOOKUP($AT159&amp;"|"&amp;$CU159,LocTable,8,FALSE)+($BI159-$CU159)),$BI159-LockAFF)))</f>
        <v/>
      </c>
      <c r="CA159" s="89">
        <f>IF($BZ159="","",$BI159-$BZ159)</f>
        <v/>
      </c>
      <c r="CB159" s="84">
        <f>IF(OR(NOT(AND($A159&lt;&gt;"",$C159&lt;&gt;"DOOR ONLY")),$BI159=""),"",IF(($BI159+IF(N($P159)&gt;0,$P159+FaceW,0))&lt;=90,3,IF(($BI159+IF(N($P159)&gt;0,$P159+FaceW,0))&lt;=114,4,5)))</f>
        <v/>
      </c>
      <c r="CC159" s="84">
        <f>IF($CB159="","",$CB159*(2+IF(N($Q159)&gt;0,IF($R159="LR",2,1),0)))</f>
        <v/>
      </c>
      <c r="CD159" s="84">
        <f>IF($CB159="","",(2+IF(N($Q159)&gt;0,IF($R159="LR",2,1),0)))</f>
        <v/>
      </c>
      <c r="CE159" s="84">
        <f>IF(N($BJ159)=0,"",IF(OR($AL159="",$AL159="FLUSH"),"FLUSH",IFERROR(LEFT($AL159,FIND("-",$AL159)-1),LEFT($AL159,2))))</f>
        <v/>
      </c>
      <c r="CF159" s="84">
        <f>IF($CE159="","",IFERROR(VALUE(MID($AL159,FIND("-",$AL159)+1,FIND(CHAR(34)&amp;"x",$AL159)-FIND("-",$AL159)-1)),0))</f>
        <v/>
      </c>
      <c r="CG159" s="84">
        <f>IF($CE159="","",IFERROR(VALUE(MID($AL159,FIND(CHAR(34)&amp;"x",$AL159)+2,FIND(CHAR(34),$AL159,FIND(CHAR(34)&amp;"x",$AL159)+2)-FIND(CHAR(34)&amp;"x",$AL159)-2)),0))</f>
        <v/>
      </c>
      <c r="CH159" s="90">
        <f>IF(OR($A159="",$H159="",$H159="NO LAB"),0,IFERROR(VALUE(LEFT($H159,FIND(" ",$H159)-1)),0))</f>
        <v/>
      </c>
      <c r="CI159" s="91">
        <f>IF(OR($A159="",$I159="",$I159="NON-RATED",N($J159)=0),"",IFERROR(VLOOKUP($I159&amp;"|"&amp;$J159,IBC,2,FALSE),"?"))</f>
        <v/>
      </c>
      <c r="CJ159" s="85">
        <f>IF(NOT(AND($A159&lt;&gt;"",$C159&lt;&gt;"DOOR ONLY")),"",TRIM(IFERROR(VLOOKUP($U159,CODES,2,FALSE),"")&amp;" "&amp;$BG159&amp;" "&amp;IFERROR(VLOOKUP($Z159,CODES,2,FALSE),"")&amp;" "&amp;IFERROR(VLOOKUP($X159,CODES,2,FALSE),"")&amp;" "&amp;IFERROR(VLOOKUP($S159,CODES,2,FALSE),"")&amp;IF(N($P159)&gt;0," w/TRANSOM "&amp;$P159&amp;CHAR(34),"")&amp;IF(N($Q159)&gt;0," w/SIDELITE "&amp;$Q159&amp;CHAR(34)&amp;" "&amp;IF($R159="","R",$R159),"")&amp;IF($Y159="","  |  "," | "&amp;IFERROR(VLOOKUP($Y159,CODES,2,FALSE),"")&amp;" | ")&amp;IFERROR(VLOOKUP($AC159,CODES,2,FALSE),"")&amp;" "&amp;IFERROR(VLOOKUP($AD159,CODES,2,FALSE),"")&amp;IF(OR($AE159="",$AE159="-"),""," "&amp;$AE159)&amp;IF(OR($AF159="",$AF159="-"),""," "&amp;$AF159)&amp;IF($AB159="Y"," 4"&amp;CHAR(34)&amp;" HEAD","")&amp;" "&amp;IFERROR(VLOOKUP($H159,CODES,2,FALSE),"")&amp;IF($CT159," | LOC "&amp;$CY159,"")))</f>
        <v/>
      </c>
      <c r="CK159" s="85">
        <f>IF(NOT(AND($A159&lt;&gt;"",N($BJ159)&gt;0)),"",TRIM(IFERROR(VLOOKUP($AH159,CODES,2,FALSE),"")&amp;IF($AI159=""," "," "&amp;$AI159&amp;"GA ")&amp;$BG159&amp;" "&amp;IF($AN159="",IFERROR(VLOOKUP($Z159,CODES,2,FALSE),""),IFERROR(VLOOKUP($AN159,CODES,2,FALSE),""))&amp;IF($BJ159=2," PAIR","")&amp;" DOOR | "&amp;IF($AL159="","?",$AL159)&amp;" | "&amp;IF($AO159="",IFERROR(VLOOKUP($AC159,CODES,2,FALSE),""),IFERROR(VLOOKUP($AO159,CODES,2,FALSE),""))&amp;" "&amp;IFERROR(VLOOKUP($AP159,CODES,2,FALSE),"")&amp;IF(OR($AQ159="",$AQ159="-"),""," SEAM "&amp;$AQ159)&amp;IF($AR159="Y"," ASTRAGAL","")&amp;IF($AJ159=""," "," "&amp;$AJ159)&amp;IF($AK159=""," "," "&amp;$AK159)&amp;IF(OR($AT159="",$AT159="ANSI/SDI",$AT159="CUSTOM LOC"),""," "&amp;$AT159)&amp;IF($AM159=""," "," SERIES "&amp;$AM159)&amp;" "&amp;IFERROR(VLOOKUP($H159,CODES,2,FALSE),"")&amp;IF($CT159," | LOC "&amp;$CZ159,"")))</f>
        <v/>
      </c>
      <c r="CL159" s="84">
        <f>IF(CP159="","",IF(COUNTIF($CP$6:CP159,CP159)=1,MAX($CL$5:CL158)+1,INDEX($CL$5:CL158,MATCH(CP159,$CP$5:CP158,0))))</f>
        <v/>
      </c>
      <c r="CM159" s="84">
        <f>IF(NOT(AND($A159&lt;&gt;"",$C159&lt;&gt;"DOOR ONLY")),"",MAX($CM$5:CM158)+1)</f>
        <v/>
      </c>
      <c r="CN159" s="84">
        <f>IF(NOT(AND($A159&lt;&gt;"",N($BJ159)&gt;0)),"",MAX($CN$5:CN158)+1)</f>
        <v/>
      </c>
      <c r="CO159" s="84">
        <f>IF($A159="","",MAX($CO$5:CO158)+1)</f>
        <v/>
      </c>
      <c r="CP159" s="84">
        <f>IF(OR($A159="",$BH159="",$BI159=""),"",$BG159&amp;"|"&amp;$O159&amp;"|"&amp;$AL159&amp;"|"&amp;$S159&amp;"|"&amp;$P159&amp;"|"&amp;$Q159&amp;$R159&amp;"|"&amp;$C159&amp;"|"&amp;$AB159)</f>
        <v/>
      </c>
      <c r="CQ159" s="84">
        <f>N($BS159)</f>
        <v/>
      </c>
      <c r="CR159" s="84">
        <f>IF(N($AU159)&gt;0,N($AU159),4.5)</f>
        <v/>
      </c>
      <c r="CS159" s="84">
        <f>OR($A159="",$BI159="",$S159="BL",AND($C159="FRAME ONLY",OR($AC159="",$AC159="BLK")))</f>
        <v/>
      </c>
      <c r="CT159" s="84">
        <f>AND(NOT($CS159),OR($AT159="CUSTOM LOC",N($AW159)+N($AX159)+N($AY159)+N($AZ159)+N($BA159)&gt;0))</f>
        <v/>
      </c>
      <c r="CU159" s="84">
        <f>IF($BI159="","",IF($BI159&lt;=80,80,IF($BI159&lt;=84,84,96)))</f>
        <v/>
      </c>
      <c r="CV159" s="84">
        <f>ISNUMBER(MATCH($AT159&amp;"|80",LocKeys,0))</f>
        <v/>
      </c>
      <c r="CW159" s="86">
        <f>IF($CS159,"",IF($CV159,VLOOKUP($AT159&amp;"|"&amp;$CU159,LocTable,4,FALSE),5))</f>
        <v/>
      </c>
      <c r="CX159" s="86">
        <f>IF($CS159,"",IF($CV159,IF(OR($BI159=$CU159,AND($BI159&lt;$CU159,$BI159-IF(N(VLOOKUP($AT159&amp;"|"&amp;$CU159,LocTable,7,FALSE))&gt;0,VLOOKUP($AT159&amp;"|"&amp;$CU159,LocTable,7,FALSE),VLOOKUP($AT159&amp;"|"&amp;$CU159,LocTable,6,FALSE))-$CR159-0.75&gt;=2.125)),IF(N(VLOOKUP($AT159&amp;"|"&amp;$CU159,LocTable,7,FALSE))&gt;0,VLOOKUP($AT159&amp;"|"&amp;$CU159,LocTable,7,FALSE),VLOOKUP($AT159&amp;"|"&amp;$CU159,LocTable,6,FALSE)),$BI159-($CU159-IF(N(VLOOKUP($AT159&amp;"|"&amp;$CU159,LocTable,7,FALSE))&gt;0,VLOOKUP($AT159&amp;"|"&amp;$CU159,LocTable,7,FALSE),VLOOKUP($AT159&amp;"|"&amp;$CU159,LocTable,6,FALSE)))),$BI159-10-$CR159))</f>
        <v/>
      </c>
      <c r="CY159" s="85">
        <f>IF($CS159,"",TRIM(IF(ISNUMBER($BU159),"A "&amp;TRIM(TEXT($BU159,"# ?/??"))&amp;CHAR(34)&amp;"  ","")&amp;IF(ISNUMBER($BV159),"B "&amp;TRIM(TEXT($BV159,"# ?/??"))&amp;CHAR(34)&amp;"  ","")&amp;IF(ISNUMBER($BW159),"C "&amp;TRIM(TEXT($BW159,"# ?/??"))&amp;CHAR(34)&amp;"  ","")&amp;IF(ISNUMBER($BX159),"D "&amp;TRIM(TEXT($BX159,"# ?/??"))&amp;CHAR(34)&amp;"  ","")&amp;IF(ISNUMBER($BY159),"F "&amp;TRIM(TEXT($BY159,"# ?/??"))&amp;CHAR(34)&amp;"  ","")&amp;IF(ISNUMBER($BZ159),"E "&amp;TRIM(TEXT($BZ159,"# ?/??"))&amp;CHAR(34)&amp;"  ","")))</f>
        <v/>
      </c>
      <c r="CZ159" s="85">
        <f>IF(OR($CS159,N($BJ159)=0),"",TRIM(IF(ISNUMBER($BU159),"A "&amp;TRIM(TEXT($BU159-HeadClr,"# ?/??"))&amp;CHAR(34)&amp;"  ","")&amp;IF(ISNUMBER($BV159),"B "&amp;TRIM(TEXT($BV159-HeadClr,"# ?/??"))&amp;CHAR(34)&amp;"  ","")&amp;IF(ISNUMBER($BW159),"C "&amp;TRIM(TEXT($BW159-HeadClr,"# ?/??"))&amp;CHAR(34)&amp;"  ","")&amp;IF(ISNUMBER($BX159),"D "&amp;TRIM(TEXT($BX159-HeadClr,"# ?/??"))&amp;CHAR(34)&amp;"  ","")&amp;IF(ISNUMBER($BY159),"F "&amp;TRIM(TEXT($BY159-HeadClr,"# ?/??"))&amp;CHAR(34)&amp;"  ","")&amp;IF(ISNUMBER($BZ159),"E "&amp;TRIM(TEXT($BZ159-HeadClr,"# ?/??"))&amp;CHAR(34)&amp;"  ","")))</f>
        <v/>
      </c>
      <c r="DA159" s="84">
        <f>IF($A159="","",IF($AN159="",IFERROR(VLOOKUP($Z159,CODES,2,FALSE),""),IFERROR(VLOOKUP($AN159,CODES,2,FALSE),"")))</f>
        <v/>
      </c>
      <c r="DB159" s="84">
        <f>IF($A159="","",IF($O159="Y","PR",IF(OR($Z159="L",$Z159="RR",LEFT($Z159,2)="L-",LEFT($Z159,3)="RR-"),"LH","RH")))</f>
        <v/>
      </c>
      <c r="DC159" s="84">
        <f>IF($A159="","","S.HM"&amp;IF(OR($C159="DOOR ONLY",$X159&lt;&gt;"KD"),"MASONRY","DRYWALL")&amp;IF($C159="DOOR ONLY","",$U159)&amp;IF(AND($C159&lt;&gt;"FRAME ONLY",OR(LEFT($AH159,3)="OAK",LEFT($AH159,3)="BIR",LEFT($AH159,3)="MAP",$AH159="PC",$AH159="MC",$AH159="SCLC",$AH159="P-LAM")),"WD","HM")&amp;"1.75")</f>
        <v/>
      </c>
      <c r="DD159" s="84">
        <f>IF($CJ159="","",IF($O159="Y",$CJ159,SUBSTITUTE($CJ159,$BG159&amp;" "&amp;IFERROR(VLOOKUP($Z159,CODES,2,FALSE),"")&amp;" ",$BG159&amp;" ")))</f>
        <v/>
      </c>
      <c r="DE159" s="84">
        <f>IF($CK159="","",IF($O159="Y",$CK159,SUBSTITUTE($CK159,$BG159&amp;" "&amp;IF($AN159="",IFERROR(VLOOKUP($Z159,CODES,2,FALSE),""),IFERROR(VLOOKUP($AN159,CODES,2,FALSE),""))&amp;" ",$BG159&amp;" ")))</f>
        <v/>
      </c>
      <c r="DF159" s="84">
        <f>IF($CJ159="","",$DC159&amp;"|"&amp;$DD159&amp;"|"&amp;$DB159&amp;"|"&amp;$AT159&amp;"|"&amp;$V159&amp;"|"&amp;$Y159&amp;"|"&amp;$AB159)</f>
        <v/>
      </c>
      <c r="DG159" s="84">
        <f>IF(DF159="","",IF(COUNTIF($DF$6:DF159,DF159)=1,MAX($DG$5:DG158)+1,INDEX($DG$5:DG158,MATCH(DF159,$DF$5:DF158,0))))</f>
        <v/>
      </c>
      <c r="DH159" s="84">
        <f>IF($CK159="","",$DC159&amp;"|"&amp;$DE159&amp;"|"&amp;$AI159&amp;"|"&amp;$BK159&amp;"|"&amp;$BL159)</f>
        <v/>
      </c>
      <c r="DI159" s="84">
        <f>IF(DH159="","",IF(COUNTIF($DH$6:DH159,DH159)=1,MAX($DI$5:DI158)+1,INDEX($DI$5:DI158,MATCH(DH159,$DH$5:DH158,0))))</f>
        <v/>
      </c>
      <c r="DJ159" s="84">
        <f>IF($A159="","",IF($B159="","qty, ","")&amp;IF($C159="","scope, ","")&amp;IF(OR($K159="",$M159=""),"size, ","")&amp;IF(AND($A159&lt;&gt;"",$C159&lt;&gt;"DOOR ONLY"),IF($U159="","jamb depth, ","")&amp;IF($X159="","construction, ","")&amp;IF($Y159="","anchor, ","")&amp;IF($S159="","frame type, ",""),"")&amp;IF(AND(N($BJ159)&gt;0,$Z159=""),"hand, ","")&amp;IF(N($BJ159)&gt;0,IF($AH159="","door material, ","")&amp;IF($AL159="","face type, ","")&amp;IF($AP159="","lock prep, ","")&amp;IF(AND($AO159="",$AC159=""),"hinge prep, ",""),"")&amp;IF(AND($CH159&gt;0,$AH159="FRP"),"FRP cannot carry a label, ","")&amp;IF(AND($O159="Y",OR($Z159="L",$Z159="R",$Z159="LR",$Z159="RR")),"pair marked but hand is single, ","")&amp;IF(AND($O159&lt;&gt;"Y",OR($Z159="PR",AND(LEN($Z159)&gt;1,ISNUMBER(SEARCH("-",$Z159))))),"pair hand on a single door, ","")&amp;IF(AND(ISNUMBER($CI159),$CH159&lt;N($CI159)),"wall needs a "&amp;$CI159&amp;" min door, ","")&amp;IF(AND($CH159&gt;=180,AND(OR($CE159="FG",$CE159="HG",$CE159="FNV",$CE159="FV"),N($CF159)*N($CG159)&gt;100)),"180 min lite over 100 sq in, ","")&amp;IF(N($BK159)&gt;48,"leaf wider than 4'-0"&amp;CHAR(34)&amp;", ","")&amp;IF(AND($CT159,COUNT($AW159:$AZ159)=0,$CQ159&gt;0),"CUSTOM LOC with no locations typed, ",""))</f>
        <v/>
      </c>
      <c r="DK159" s="84">
        <f>IF($A159="","",IF(AND($CH159&gt;0,AND($A159&lt;&gt;"",$C159&lt;&gt;"DOOR ONLY"),$X159="KD",$E159="EXTERIOR"),"KD label on an exterior opening, ","")&amp;IF(AND($E159="EXTERIOR",OR(AND(AND($A159&lt;&gt;"",$C159&lt;&gt;"DOOR ONLY"),$W159="CR"),AND(N($BJ159)&gt;0,$AH159="CR"))),"exterior in CR steel (G9?), ","")&amp;IF(AND(ISNUMBER($BQ159),N($BQ159)&lt;32),"clear width ~"&amp;TEXT($BQ159,"0.0")&amp;CHAR(34)&amp;" under 32"&amp;CHAR(34)&amp;" (ADA), ","")&amp;IF(AND($CH159=90,AND(OR($CE159="FG",$CE159="HG",$CE159="FNV",$CE159="FV"),N($CF159)*N($CG159)&gt;100)),"90 min lite over 100 sq in (stair/exit), ","")&amp;IF(AND($CH159&gt;0,AND($A159&lt;&gt;"",$C159&lt;&gt;"DOOR ONLY"),OR($AF159="",$AF159="-")),"rated: closer reinf.?, ","")&amp;IF(OR($I159="CORRIDOR",$I159="SMOKE BARRIER"),"S label + smoke gasketing, ","")&amp;IF($CI159="?","wall type/hr not in IBC table, ","")&amp;IF(AND(N($BJ159)&gt;0,$BB159=""),"no hardware set, ","")&amp;IF(AND($BB159&lt;&gt;"",ISNA(MATCH($BB159&amp;"",HWSets,0))),"set "&amp;$BB159&amp;" not on HW Sets, ","")&amp;IF(N($BL159)&gt;96,"leaf over 8'-0"&amp;CHAR(34)&amp;" - check listing, ","")&amp;IF(AND($CT159,COUNT($AW159:$AZ159)&gt;0,COUNT($AW159:$AZ159)&lt;&gt;$CQ159),COUNT($AW159:$AZ159)&amp;" custom hinges typed, "&amp;$CQ159&amp;" expected, ","")&amp;IF(AND(ISNUMBER($CA159),OR(N($CA159)&lt;34,N($CA159)&gt;48)),"lock "&amp;TEXT($CA159,"0.0")&amp;CHAR(34)&amp;" AFF outside 34-48"&amp;CHAR(34)&amp;" (ADA), ","")&amp;IF(AND(ISNUMBER($AV159),ISNUMBER($BL159),N($AV159)&lt;IF(N($BL159)&lt;=60,2,IF(N($BL159)&lt;=90,3,IF(N($BL159)&lt;=120,4,5)))),"fewer hinges than standard, ",""))</f>
        <v/>
      </c>
    </row>
    <row r="160" ht="15" customHeight="1">
      <c r="A160" s="92" t="n"/>
      <c r="B160" s="93" t="n"/>
      <c r="C160" s="93" t="n"/>
      <c r="D160" s="93" t="n"/>
      <c r="E160" s="93" t="n"/>
      <c r="F160" s="93" t="n"/>
      <c r="G160" s="93" t="n"/>
      <c r="H160" s="93" t="n"/>
      <c r="I160" s="93" t="n"/>
      <c r="J160" s="93" t="n"/>
      <c r="K160" s="93" t="n"/>
      <c r="L160" s="93" t="n"/>
      <c r="M160" s="93" t="n"/>
      <c r="N160" s="93" t="n"/>
      <c r="O160" s="93" t="n"/>
      <c r="P160" s="93" t="n"/>
      <c r="Q160" s="93" t="n"/>
      <c r="R160" s="93" t="n"/>
      <c r="S160" s="94" t="n"/>
      <c r="T160" s="94" t="n"/>
      <c r="U160" s="94" t="n"/>
      <c r="V160" s="94" t="n"/>
      <c r="W160" s="94" t="n"/>
      <c r="X160" s="94" t="n"/>
      <c r="Y160" s="94" t="n"/>
      <c r="Z160" s="94" t="n"/>
      <c r="AA160" s="94" t="n"/>
      <c r="AB160" s="94" t="n"/>
      <c r="AC160" s="94" t="n"/>
      <c r="AD160" s="94" t="n"/>
      <c r="AE160" s="94" t="n"/>
      <c r="AF160" s="94" t="n"/>
      <c r="AG160" s="94" t="n"/>
      <c r="AH160" s="95" t="n"/>
      <c r="AI160" s="95" t="n"/>
      <c r="AJ160" s="95" t="n"/>
      <c r="AK160" s="95" t="n"/>
      <c r="AL160" s="95" t="n"/>
      <c r="AM160" s="95" t="n"/>
      <c r="AN160" s="95" t="n"/>
      <c r="AO160" s="95" t="n"/>
      <c r="AP160" s="95" t="n"/>
      <c r="AQ160" s="95" t="n"/>
      <c r="AR160" s="95" t="n"/>
      <c r="AS160" s="95" t="n"/>
      <c r="AT160" s="96" t="n"/>
      <c r="AU160" s="96" t="n"/>
      <c r="AV160" s="96" t="n"/>
      <c r="AW160" s="97" t="n"/>
      <c r="AX160" s="97" t="n"/>
      <c r="AY160" s="97" t="n"/>
      <c r="AZ160" s="97" t="n"/>
      <c r="BA160" s="97" t="n"/>
      <c r="BB160" s="98" t="n"/>
      <c r="BC160" s="98" t="n"/>
      <c r="BD160" s="99">
        <f>IF($A160="","",IF($DJ160&lt;&gt;"","FIX",IF($DK160&lt;&gt;"","CHECK","OK")))</f>
        <v/>
      </c>
      <c r="BE160" s="100">
        <f>IF($A160="","",IF($DJ160&lt;&gt;"","FIX: "&amp;LEFT($DJ160,LEN($DJ160)-2)&amp;IF($DK160&lt;&gt;"","  ·  ",""),"")&amp;IF($DK160&lt;&gt;"","CHECK: "&amp;LEFT($DK160,LEN($DK160)-2),""))</f>
        <v/>
      </c>
      <c r="BF160" s="99">
        <f>IF(OR($A160="",$K160=""),"",$K160&amp;"'-"&amp;N($L160)&amp;CHAR(34)&amp;" x "&amp;$M160&amp;"'-"&amp;N($N160)&amp;CHAR(34))</f>
        <v/>
      </c>
      <c r="BG160" s="99">
        <f>IF(OR($A160="",$K160=""),"",$K160&amp;N($L160)&amp;$M160&amp;N($N160))</f>
        <v/>
      </c>
      <c r="BH160" s="99">
        <f>IF(OR($A160="",$K160=""),"",$K160*12+N($L160))</f>
        <v/>
      </c>
      <c r="BI160" s="99">
        <f>IF(OR($A160="",$M160=""),"",$M160*12+N($N160))</f>
        <v/>
      </c>
      <c r="BJ160" s="99">
        <f>IF($A160="","",IF(OR($C160="FRAME ONLY",$S160="BL"),0,IF($O160="Y",2,1)))</f>
        <v/>
      </c>
      <c r="BK160" s="101">
        <f>IF(OR(N($BJ160)=0,$BH160=""),"",($BH160-2*EdgeClr-IF($BJ160=2,MeetClr,0))/$BJ160)</f>
        <v/>
      </c>
      <c r="BL160" s="101">
        <f>IF(OR(N($BJ160)=0,$BI160=""),"",$BI160-HeadClr-Undercut)</f>
        <v/>
      </c>
      <c r="BM160" s="101">
        <f>IF($BH160="","",$BH160+2*FaceW+IF(N($Q160)&gt;0,($Q160+FaceW)*IF($R160="LR",2,1),0))</f>
        <v/>
      </c>
      <c r="BN160" s="101">
        <f>IF($BI160="","",$BI160+IF($AB160="Y",4,FaceW)+IF(N($P160)&gt;0,$P160+FaceW,0)+IF(OR($S160="4F",$S160="BL"),FaceW,0))</f>
        <v/>
      </c>
      <c r="BO160" s="101">
        <f>IF($BM160="","",$BM160+2*ROSide)</f>
        <v/>
      </c>
      <c r="BP160" s="101">
        <f>IF($BN160="","",$BN160+ROTop)</f>
        <v/>
      </c>
      <c r="BQ160" s="102">
        <f>IF(OR(N($BJ160)=0,$BH160=""),"",$BH160/$BJ160-ClearDeduct)</f>
        <v/>
      </c>
      <c r="BR160" s="99">
        <f>IF(N($CH160)=0,"",IF($CH160&gt;=180,"A · 3 HR",IF($CH160&gt;=90,"B · 1-1/2 HR",IF($CH160&gt;=60,"B · 1 HR",IF($CH160&gt;=45,"C · 3/4 HR","20 MIN")))))&amp;IF(AND(N($CH160)&gt;0,OR($I160="CORRIDOR",$I160="SMOKE BARRIER"))," · S","")</f>
        <v/>
      </c>
      <c r="BS160" s="99">
        <f>IF($CS160,"",IF($AV160&lt;&gt;"",$AV160,IF(OR($AC160="HGC",$AO160="HGC"),"CONT",IF(($BI160-HeadClr-Undercut)&lt;=60,2,IF(($BI160-HeadClr-Undercut)&lt;=90,3,IF(($BI160-HeadClr-Undercut)&lt;=120,4,5))))))</f>
        <v/>
      </c>
      <c r="BT160" s="99">
        <f>IF($CS160,"",IF($CT160,"CUSTOM (typed)",IF($CV160,$AT160&amp;" "&amp;$CU160&amp;CHAR(34)&amp;IF($CU160&lt;&gt;$BI160,IF(AND($BI160&lt;$CU160,$BI160-IF(N(VLOOKUP($AT160&amp;"|"&amp;$CU160,LocTable,7,FALSE))&gt;0,VLOOKUP($AT160&amp;"|"&amp;$CU160,LocTable,7,FALSE),VLOOKUP($AT160&amp;"|"&amp;$CU160,LocTable,6,FALSE))-$CR160-0.75&gt;=2.125)," cut down"," adj."),""),"ANSI/SDI A250.6")))</f>
        <v/>
      </c>
      <c r="BU160" s="103">
        <f>IF($CS160,"",IF($CT160,IF(N($AW160)&gt;0,N($AW160),""),IF(1&gt;$CQ160,"",IF($CQ160=1,$CW160,$CW160+($CX160-$CW160)*0/($CQ160-1)))))</f>
        <v/>
      </c>
      <c r="BV160" s="103">
        <f>IF($CS160,"",IF($CT160,IF(N($AX160)&gt;0,N($AX160),""),IF(2&gt;$CQ160,"",IF($CQ160=1,$CW160,$CW160+($CX160-$CW160)*1/($CQ160-1)))))</f>
        <v/>
      </c>
      <c r="BW160" s="103">
        <f>IF($CS160,"",IF($CT160,IF(N($AY160)&gt;0,N($AY160),""),IF(3&gt;$CQ160,"",IF($CQ160=1,$CW160,$CW160+($CX160-$CW160)*2/($CQ160-1)))))</f>
        <v/>
      </c>
      <c r="BX160" s="103">
        <f>IF($CS160,"",IF($CT160,IF(N($AZ160)&gt;0,N($AZ160),""),IF(4&gt;$CQ160,"",IF($CQ160=1,$CW160,$CW160+($CX160-$CW160)*3/($CQ160-1)))))</f>
        <v/>
      </c>
      <c r="BY160" s="103">
        <f>IF($CS160,"",IF($CT160,"",IF(5&gt;$CQ160,"",IF($CQ160=1,$CW160,$CW160+($CX160-$CW160)*4/($CQ160-1)))))</f>
        <v/>
      </c>
      <c r="BZ160" s="103">
        <f>IF(OR($CS160,$AP160="-",AND($AP160="",$AD160="")),"",IF(N($BA160)&gt;0,N($BA160),IF($CV160,IF(AND($BI160&lt;$CU160,$BI160-IF(N(VLOOKUP($AT160&amp;"|"&amp;$CU160,LocTable,7,FALSE))&gt;0,VLOOKUP($AT160&amp;"|"&amp;$CU160,LocTable,7,FALSE),VLOOKUP($AT160&amp;"|"&amp;$CU160,LocTable,6,FALSE))-$CR160-0.75&gt;=2.125),VLOOKUP($AT160&amp;"|"&amp;$CU160,LocTable,8,FALSE),VLOOKUP($AT160&amp;"|"&amp;$CU160,LocTable,8,FALSE)+($BI160-$CU160)),$BI160-LockAFF)))</f>
        <v/>
      </c>
      <c r="CA160" s="104">
        <f>IF($BZ160="","",$BI160-$BZ160)</f>
        <v/>
      </c>
      <c r="CB160" s="99">
        <f>IF(OR(NOT(AND($A160&lt;&gt;"",$C160&lt;&gt;"DOOR ONLY")),$BI160=""),"",IF(($BI160+IF(N($P160)&gt;0,$P160+FaceW,0))&lt;=90,3,IF(($BI160+IF(N($P160)&gt;0,$P160+FaceW,0))&lt;=114,4,5)))</f>
        <v/>
      </c>
      <c r="CC160" s="99">
        <f>IF($CB160="","",$CB160*(2+IF(N($Q160)&gt;0,IF($R160="LR",2,1),0)))</f>
        <v/>
      </c>
      <c r="CD160" s="99">
        <f>IF($CB160="","",(2+IF(N($Q160)&gt;0,IF($R160="LR",2,1),0)))</f>
        <v/>
      </c>
      <c r="CE160" s="99">
        <f>IF(N($BJ160)=0,"",IF(OR($AL160="",$AL160="FLUSH"),"FLUSH",IFERROR(LEFT($AL160,FIND("-",$AL160)-1),LEFT($AL160,2))))</f>
        <v/>
      </c>
      <c r="CF160" s="99">
        <f>IF($CE160="","",IFERROR(VALUE(MID($AL160,FIND("-",$AL160)+1,FIND(CHAR(34)&amp;"x",$AL160)-FIND("-",$AL160)-1)),0))</f>
        <v/>
      </c>
      <c r="CG160" s="99">
        <f>IF($CE160="","",IFERROR(VALUE(MID($AL160,FIND(CHAR(34)&amp;"x",$AL160)+2,FIND(CHAR(34),$AL160,FIND(CHAR(34)&amp;"x",$AL160)+2)-FIND(CHAR(34)&amp;"x",$AL160)-2)),0))</f>
        <v/>
      </c>
      <c r="CH160" s="105">
        <f>IF(OR($A160="",$H160="",$H160="NO LAB"),0,IFERROR(VALUE(LEFT($H160,FIND(" ",$H160)-1)),0))</f>
        <v/>
      </c>
      <c r="CI160" s="106">
        <f>IF(OR($A160="",$I160="",$I160="NON-RATED",N($J160)=0),"",IFERROR(VLOOKUP($I160&amp;"|"&amp;$J160,IBC,2,FALSE),"?"))</f>
        <v/>
      </c>
      <c r="CJ160" s="100">
        <f>IF(NOT(AND($A160&lt;&gt;"",$C160&lt;&gt;"DOOR ONLY")),"",TRIM(IFERROR(VLOOKUP($U160,CODES,2,FALSE),"")&amp;" "&amp;$BG160&amp;" "&amp;IFERROR(VLOOKUP($Z160,CODES,2,FALSE),"")&amp;" "&amp;IFERROR(VLOOKUP($X160,CODES,2,FALSE),"")&amp;" "&amp;IFERROR(VLOOKUP($S160,CODES,2,FALSE),"")&amp;IF(N($P160)&gt;0," w/TRANSOM "&amp;$P160&amp;CHAR(34),"")&amp;IF(N($Q160)&gt;0," w/SIDELITE "&amp;$Q160&amp;CHAR(34)&amp;" "&amp;IF($R160="","R",$R160),"")&amp;IF($Y160="","  |  "," | "&amp;IFERROR(VLOOKUP($Y160,CODES,2,FALSE),"")&amp;" | ")&amp;IFERROR(VLOOKUP($AC160,CODES,2,FALSE),"")&amp;" "&amp;IFERROR(VLOOKUP($AD160,CODES,2,FALSE),"")&amp;IF(OR($AE160="",$AE160="-"),""," "&amp;$AE160)&amp;IF(OR($AF160="",$AF160="-"),""," "&amp;$AF160)&amp;IF($AB160="Y"," 4"&amp;CHAR(34)&amp;" HEAD","")&amp;" "&amp;IFERROR(VLOOKUP($H160,CODES,2,FALSE),"")&amp;IF($CT160," | LOC "&amp;$CY160,"")))</f>
        <v/>
      </c>
      <c r="CK160" s="100">
        <f>IF(NOT(AND($A160&lt;&gt;"",N($BJ160)&gt;0)),"",TRIM(IFERROR(VLOOKUP($AH160,CODES,2,FALSE),"")&amp;IF($AI160=""," "," "&amp;$AI160&amp;"GA ")&amp;$BG160&amp;" "&amp;IF($AN160="",IFERROR(VLOOKUP($Z160,CODES,2,FALSE),""),IFERROR(VLOOKUP($AN160,CODES,2,FALSE),""))&amp;IF($BJ160=2," PAIR","")&amp;" DOOR | "&amp;IF($AL160="","?",$AL160)&amp;" | "&amp;IF($AO160="",IFERROR(VLOOKUP($AC160,CODES,2,FALSE),""),IFERROR(VLOOKUP($AO160,CODES,2,FALSE),""))&amp;" "&amp;IFERROR(VLOOKUP($AP160,CODES,2,FALSE),"")&amp;IF(OR($AQ160="",$AQ160="-"),""," SEAM "&amp;$AQ160)&amp;IF($AR160="Y"," ASTRAGAL","")&amp;IF($AJ160=""," "," "&amp;$AJ160)&amp;IF($AK160=""," "," "&amp;$AK160)&amp;IF(OR($AT160="",$AT160="ANSI/SDI",$AT160="CUSTOM LOC"),""," "&amp;$AT160)&amp;IF($AM160=""," "," SERIES "&amp;$AM160)&amp;" "&amp;IFERROR(VLOOKUP($H160,CODES,2,FALSE),"")&amp;IF($CT160," | LOC "&amp;$CZ160,"")))</f>
        <v/>
      </c>
      <c r="CL160" s="99">
        <f>IF(CP160="","",IF(COUNTIF($CP$6:CP160,CP160)=1,MAX($CL$5:CL159)+1,INDEX($CL$5:CL159,MATCH(CP160,$CP$5:CP159,0))))</f>
        <v/>
      </c>
      <c r="CM160" s="99">
        <f>IF(NOT(AND($A160&lt;&gt;"",$C160&lt;&gt;"DOOR ONLY")),"",MAX($CM$5:CM159)+1)</f>
        <v/>
      </c>
      <c r="CN160" s="99">
        <f>IF(NOT(AND($A160&lt;&gt;"",N($BJ160)&gt;0)),"",MAX($CN$5:CN159)+1)</f>
        <v/>
      </c>
      <c r="CO160" s="99">
        <f>IF($A160="","",MAX($CO$5:CO159)+1)</f>
        <v/>
      </c>
      <c r="CP160" s="99">
        <f>IF(OR($A160="",$BH160="",$BI160=""),"",$BG160&amp;"|"&amp;$O160&amp;"|"&amp;$AL160&amp;"|"&amp;$S160&amp;"|"&amp;$P160&amp;"|"&amp;$Q160&amp;$R160&amp;"|"&amp;$C160&amp;"|"&amp;$AB160)</f>
        <v/>
      </c>
      <c r="CQ160" s="99">
        <f>N($BS160)</f>
        <v/>
      </c>
      <c r="CR160" s="99">
        <f>IF(N($AU160)&gt;0,N($AU160),4.5)</f>
        <v/>
      </c>
      <c r="CS160" s="99">
        <f>OR($A160="",$BI160="",$S160="BL",AND($C160="FRAME ONLY",OR($AC160="",$AC160="BLK")))</f>
        <v/>
      </c>
      <c r="CT160" s="99">
        <f>AND(NOT($CS160),OR($AT160="CUSTOM LOC",N($AW160)+N($AX160)+N($AY160)+N($AZ160)+N($BA160)&gt;0))</f>
        <v/>
      </c>
      <c r="CU160" s="99">
        <f>IF($BI160="","",IF($BI160&lt;=80,80,IF($BI160&lt;=84,84,96)))</f>
        <v/>
      </c>
      <c r="CV160" s="99">
        <f>ISNUMBER(MATCH($AT160&amp;"|80",LocKeys,0))</f>
        <v/>
      </c>
      <c r="CW160" s="101">
        <f>IF($CS160,"",IF($CV160,VLOOKUP($AT160&amp;"|"&amp;$CU160,LocTable,4,FALSE),5))</f>
        <v/>
      </c>
      <c r="CX160" s="101">
        <f>IF($CS160,"",IF($CV160,IF(OR($BI160=$CU160,AND($BI160&lt;$CU160,$BI160-IF(N(VLOOKUP($AT160&amp;"|"&amp;$CU160,LocTable,7,FALSE))&gt;0,VLOOKUP($AT160&amp;"|"&amp;$CU160,LocTable,7,FALSE),VLOOKUP($AT160&amp;"|"&amp;$CU160,LocTable,6,FALSE))-$CR160-0.75&gt;=2.125)),IF(N(VLOOKUP($AT160&amp;"|"&amp;$CU160,LocTable,7,FALSE))&gt;0,VLOOKUP($AT160&amp;"|"&amp;$CU160,LocTable,7,FALSE),VLOOKUP($AT160&amp;"|"&amp;$CU160,LocTable,6,FALSE)),$BI160-($CU160-IF(N(VLOOKUP($AT160&amp;"|"&amp;$CU160,LocTable,7,FALSE))&gt;0,VLOOKUP($AT160&amp;"|"&amp;$CU160,LocTable,7,FALSE),VLOOKUP($AT160&amp;"|"&amp;$CU160,LocTable,6,FALSE)))),$BI160-10-$CR160))</f>
        <v/>
      </c>
      <c r="CY160" s="100">
        <f>IF($CS160,"",TRIM(IF(ISNUMBER($BU160),"A "&amp;TRIM(TEXT($BU160,"# ?/??"))&amp;CHAR(34)&amp;"  ","")&amp;IF(ISNUMBER($BV160),"B "&amp;TRIM(TEXT($BV160,"# ?/??"))&amp;CHAR(34)&amp;"  ","")&amp;IF(ISNUMBER($BW160),"C "&amp;TRIM(TEXT($BW160,"# ?/??"))&amp;CHAR(34)&amp;"  ","")&amp;IF(ISNUMBER($BX160),"D "&amp;TRIM(TEXT($BX160,"# ?/??"))&amp;CHAR(34)&amp;"  ","")&amp;IF(ISNUMBER($BY160),"F "&amp;TRIM(TEXT($BY160,"# ?/??"))&amp;CHAR(34)&amp;"  ","")&amp;IF(ISNUMBER($BZ160),"E "&amp;TRIM(TEXT($BZ160,"# ?/??"))&amp;CHAR(34)&amp;"  ","")))</f>
        <v/>
      </c>
      <c r="CZ160" s="100">
        <f>IF(OR($CS160,N($BJ160)=0),"",TRIM(IF(ISNUMBER($BU160),"A "&amp;TRIM(TEXT($BU160-HeadClr,"# ?/??"))&amp;CHAR(34)&amp;"  ","")&amp;IF(ISNUMBER($BV160),"B "&amp;TRIM(TEXT($BV160-HeadClr,"# ?/??"))&amp;CHAR(34)&amp;"  ","")&amp;IF(ISNUMBER($BW160),"C "&amp;TRIM(TEXT($BW160-HeadClr,"# ?/??"))&amp;CHAR(34)&amp;"  ","")&amp;IF(ISNUMBER($BX160),"D "&amp;TRIM(TEXT($BX160-HeadClr,"# ?/??"))&amp;CHAR(34)&amp;"  ","")&amp;IF(ISNUMBER($BY160),"F "&amp;TRIM(TEXT($BY160-HeadClr,"# ?/??"))&amp;CHAR(34)&amp;"  ","")&amp;IF(ISNUMBER($BZ160),"E "&amp;TRIM(TEXT($BZ160-HeadClr,"# ?/??"))&amp;CHAR(34)&amp;"  ","")))</f>
        <v/>
      </c>
      <c r="DA160" s="99">
        <f>IF($A160="","",IF($AN160="",IFERROR(VLOOKUP($Z160,CODES,2,FALSE),""),IFERROR(VLOOKUP($AN160,CODES,2,FALSE),"")))</f>
        <v/>
      </c>
      <c r="DB160" s="99">
        <f>IF($A160="","",IF($O160="Y","PR",IF(OR($Z160="L",$Z160="RR",LEFT($Z160,2)="L-",LEFT($Z160,3)="RR-"),"LH","RH")))</f>
        <v/>
      </c>
      <c r="DC160" s="99">
        <f>IF($A160="","","S.HM"&amp;IF(OR($C160="DOOR ONLY",$X160&lt;&gt;"KD"),"MASONRY","DRYWALL")&amp;IF($C160="DOOR ONLY","",$U160)&amp;IF(AND($C160&lt;&gt;"FRAME ONLY",OR(LEFT($AH160,3)="OAK",LEFT($AH160,3)="BIR",LEFT($AH160,3)="MAP",$AH160="PC",$AH160="MC",$AH160="SCLC",$AH160="P-LAM")),"WD","HM")&amp;"1.75")</f>
        <v/>
      </c>
      <c r="DD160" s="99">
        <f>IF($CJ160="","",IF($O160="Y",$CJ160,SUBSTITUTE($CJ160,$BG160&amp;" "&amp;IFERROR(VLOOKUP($Z160,CODES,2,FALSE),"")&amp;" ",$BG160&amp;" ")))</f>
        <v/>
      </c>
      <c r="DE160" s="99">
        <f>IF($CK160="","",IF($O160="Y",$CK160,SUBSTITUTE($CK160,$BG160&amp;" "&amp;IF($AN160="",IFERROR(VLOOKUP($Z160,CODES,2,FALSE),""),IFERROR(VLOOKUP($AN160,CODES,2,FALSE),""))&amp;" ",$BG160&amp;" ")))</f>
        <v/>
      </c>
      <c r="DF160" s="99">
        <f>IF($CJ160="","",$DC160&amp;"|"&amp;$DD160&amp;"|"&amp;$DB160&amp;"|"&amp;$AT160&amp;"|"&amp;$V160&amp;"|"&amp;$Y160&amp;"|"&amp;$AB160)</f>
        <v/>
      </c>
      <c r="DG160" s="99">
        <f>IF(DF160="","",IF(COUNTIF($DF$6:DF160,DF160)=1,MAX($DG$5:DG159)+1,INDEX($DG$5:DG159,MATCH(DF160,$DF$5:DF159,0))))</f>
        <v/>
      </c>
      <c r="DH160" s="99">
        <f>IF($CK160="","",$DC160&amp;"|"&amp;$DE160&amp;"|"&amp;$AI160&amp;"|"&amp;$BK160&amp;"|"&amp;$BL160)</f>
        <v/>
      </c>
      <c r="DI160" s="99">
        <f>IF(DH160="","",IF(COUNTIF($DH$6:DH160,DH160)=1,MAX($DI$5:DI159)+1,INDEX($DI$5:DI159,MATCH(DH160,$DH$5:DH159,0))))</f>
        <v/>
      </c>
      <c r="DJ160" s="99">
        <f>IF($A160="","",IF($B160="","qty, ","")&amp;IF($C160="","scope, ","")&amp;IF(OR($K160="",$M160=""),"size, ","")&amp;IF(AND($A160&lt;&gt;"",$C160&lt;&gt;"DOOR ONLY"),IF($U160="","jamb depth, ","")&amp;IF($X160="","construction, ","")&amp;IF($Y160="","anchor, ","")&amp;IF($S160="","frame type, ",""),"")&amp;IF(AND(N($BJ160)&gt;0,$Z160=""),"hand, ","")&amp;IF(N($BJ160)&gt;0,IF($AH160="","door material, ","")&amp;IF($AL160="","face type, ","")&amp;IF($AP160="","lock prep, ","")&amp;IF(AND($AO160="",$AC160=""),"hinge prep, ",""),"")&amp;IF(AND($CH160&gt;0,$AH160="FRP"),"FRP cannot carry a label, ","")&amp;IF(AND($O160="Y",OR($Z160="L",$Z160="R",$Z160="LR",$Z160="RR")),"pair marked but hand is single, ","")&amp;IF(AND($O160&lt;&gt;"Y",OR($Z160="PR",AND(LEN($Z160)&gt;1,ISNUMBER(SEARCH("-",$Z160))))),"pair hand on a single door, ","")&amp;IF(AND(ISNUMBER($CI160),$CH160&lt;N($CI160)),"wall needs a "&amp;$CI160&amp;" min door, ","")&amp;IF(AND($CH160&gt;=180,AND(OR($CE160="FG",$CE160="HG",$CE160="FNV",$CE160="FV"),N($CF160)*N($CG160)&gt;100)),"180 min lite over 100 sq in, ","")&amp;IF(N($BK160)&gt;48,"leaf wider than 4'-0"&amp;CHAR(34)&amp;", ","")&amp;IF(AND($CT160,COUNT($AW160:$AZ160)=0,$CQ160&gt;0),"CUSTOM LOC with no locations typed, ",""))</f>
        <v/>
      </c>
      <c r="DK160" s="99">
        <f>IF($A160="","",IF(AND($CH160&gt;0,AND($A160&lt;&gt;"",$C160&lt;&gt;"DOOR ONLY"),$X160="KD",$E160="EXTERIOR"),"KD label on an exterior opening, ","")&amp;IF(AND($E160="EXTERIOR",OR(AND(AND($A160&lt;&gt;"",$C160&lt;&gt;"DOOR ONLY"),$W160="CR"),AND(N($BJ160)&gt;0,$AH160="CR"))),"exterior in CR steel (G9?), ","")&amp;IF(AND(ISNUMBER($BQ160),N($BQ160)&lt;32),"clear width ~"&amp;TEXT($BQ160,"0.0")&amp;CHAR(34)&amp;" under 32"&amp;CHAR(34)&amp;" (ADA), ","")&amp;IF(AND($CH160=90,AND(OR($CE160="FG",$CE160="HG",$CE160="FNV",$CE160="FV"),N($CF160)*N($CG160)&gt;100)),"90 min lite over 100 sq in (stair/exit), ","")&amp;IF(AND($CH160&gt;0,AND($A160&lt;&gt;"",$C160&lt;&gt;"DOOR ONLY"),OR($AF160="",$AF160="-")),"rated: closer reinf.?, ","")&amp;IF(OR($I160="CORRIDOR",$I160="SMOKE BARRIER"),"S label + smoke gasketing, ","")&amp;IF($CI160="?","wall type/hr not in IBC table, ","")&amp;IF(AND(N($BJ160)&gt;0,$BB160=""),"no hardware set, ","")&amp;IF(AND($BB160&lt;&gt;"",ISNA(MATCH($BB160&amp;"",HWSets,0))),"set "&amp;$BB160&amp;" not on HW Sets, ","")&amp;IF(N($BL160)&gt;96,"leaf over 8'-0"&amp;CHAR(34)&amp;" - check listing, ","")&amp;IF(AND($CT160,COUNT($AW160:$AZ160)&gt;0,COUNT($AW160:$AZ160)&lt;&gt;$CQ160),COUNT($AW160:$AZ160)&amp;" custom hinges typed, "&amp;$CQ160&amp;" expected, ","")&amp;IF(AND(ISNUMBER($CA160),OR(N($CA160)&lt;34,N($CA160)&gt;48)),"lock "&amp;TEXT($CA160,"0.0")&amp;CHAR(34)&amp;" AFF outside 34-48"&amp;CHAR(34)&amp;" (ADA), ","")&amp;IF(AND(ISNUMBER($AV160),ISNUMBER($BL160),N($AV160)&lt;IF(N($BL160)&lt;=60,2,IF(N($BL160)&lt;=90,3,IF(N($BL160)&lt;=120,4,5)))),"fewer hinges than standard, ",""))</f>
        <v/>
      </c>
    </row>
    <row r="161" ht="15" customHeight="1">
      <c r="A161" s="77" t="n"/>
      <c r="B161" s="78" t="n"/>
      <c r="C161" s="78" t="n"/>
      <c r="D161" s="78" t="n"/>
      <c r="E161" s="78" t="n"/>
      <c r="F161" s="78" t="n"/>
      <c r="G161" s="78" t="n"/>
      <c r="H161" s="78" t="n"/>
      <c r="I161" s="78" t="n"/>
      <c r="J161" s="78" t="n"/>
      <c r="K161" s="78" t="n"/>
      <c r="L161" s="78" t="n"/>
      <c r="M161" s="78" t="n"/>
      <c r="N161" s="78" t="n"/>
      <c r="O161" s="78" t="n"/>
      <c r="P161" s="78" t="n"/>
      <c r="Q161" s="78" t="n"/>
      <c r="R161" s="78" t="n"/>
      <c r="S161" s="79" t="n"/>
      <c r="T161" s="79" t="n"/>
      <c r="U161" s="79" t="n"/>
      <c r="V161" s="79" t="n"/>
      <c r="W161" s="79" t="n"/>
      <c r="X161" s="79" t="n"/>
      <c r="Y161" s="79" t="n"/>
      <c r="Z161" s="79" t="n"/>
      <c r="AA161" s="79" t="n"/>
      <c r="AB161" s="79" t="n"/>
      <c r="AC161" s="79" t="n"/>
      <c r="AD161" s="79" t="n"/>
      <c r="AE161" s="79" t="n"/>
      <c r="AF161" s="79" t="n"/>
      <c r="AG161" s="79" t="n"/>
      <c r="AH161" s="80" t="n"/>
      <c r="AI161" s="80" t="n"/>
      <c r="AJ161" s="80" t="n"/>
      <c r="AK161" s="80" t="n"/>
      <c r="AL161" s="80" t="n"/>
      <c r="AM161" s="80" t="n"/>
      <c r="AN161" s="80" t="n"/>
      <c r="AO161" s="80" t="n"/>
      <c r="AP161" s="80" t="n"/>
      <c r="AQ161" s="80" t="n"/>
      <c r="AR161" s="80" t="n"/>
      <c r="AS161" s="80" t="n"/>
      <c r="AT161" s="81" t="n"/>
      <c r="AU161" s="81" t="n"/>
      <c r="AV161" s="81" t="n"/>
      <c r="AW161" s="82" t="n"/>
      <c r="AX161" s="82" t="n"/>
      <c r="AY161" s="82" t="n"/>
      <c r="AZ161" s="82" t="n"/>
      <c r="BA161" s="82" t="n"/>
      <c r="BB161" s="83" t="n"/>
      <c r="BC161" s="83" t="n"/>
      <c r="BD161" s="84">
        <f>IF($A161="","",IF($DJ161&lt;&gt;"","FIX",IF($DK161&lt;&gt;"","CHECK","OK")))</f>
        <v/>
      </c>
      <c r="BE161" s="85">
        <f>IF($A161="","",IF($DJ161&lt;&gt;"","FIX: "&amp;LEFT($DJ161,LEN($DJ161)-2)&amp;IF($DK161&lt;&gt;"","  ·  ",""),"")&amp;IF($DK161&lt;&gt;"","CHECK: "&amp;LEFT($DK161,LEN($DK161)-2),""))</f>
        <v/>
      </c>
      <c r="BF161" s="84">
        <f>IF(OR($A161="",$K161=""),"",$K161&amp;"'-"&amp;N($L161)&amp;CHAR(34)&amp;" x "&amp;$M161&amp;"'-"&amp;N($N161)&amp;CHAR(34))</f>
        <v/>
      </c>
      <c r="BG161" s="84">
        <f>IF(OR($A161="",$K161=""),"",$K161&amp;N($L161)&amp;$M161&amp;N($N161))</f>
        <v/>
      </c>
      <c r="BH161" s="84">
        <f>IF(OR($A161="",$K161=""),"",$K161*12+N($L161))</f>
        <v/>
      </c>
      <c r="BI161" s="84">
        <f>IF(OR($A161="",$M161=""),"",$M161*12+N($N161))</f>
        <v/>
      </c>
      <c r="BJ161" s="84">
        <f>IF($A161="","",IF(OR($C161="FRAME ONLY",$S161="BL"),0,IF($O161="Y",2,1)))</f>
        <v/>
      </c>
      <c r="BK161" s="86">
        <f>IF(OR(N($BJ161)=0,$BH161=""),"",($BH161-2*EdgeClr-IF($BJ161=2,MeetClr,0))/$BJ161)</f>
        <v/>
      </c>
      <c r="BL161" s="86">
        <f>IF(OR(N($BJ161)=0,$BI161=""),"",$BI161-HeadClr-Undercut)</f>
        <v/>
      </c>
      <c r="BM161" s="86">
        <f>IF($BH161="","",$BH161+2*FaceW+IF(N($Q161)&gt;0,($Q161+FaceW)*IF($R161="LR",2,1),0))</f>
        <v/>
      </c>
      <c r="BN161" s="86">
        <f>IF($BI161="","",$BI161+IF($AB161="Y",4,FaceW)+IF(N($P161)&gt;0,$P161+FaceW,0)+IF(OR($S161="4F",$S161="BL"),FaceW,0))</f>
        <v/>
      </c>
      <c r="BO161" s="86">
        <f>IF($BM161="","",$BM161+2*ROSide)</f>
        <v/>
      </c>
      <c r="BP161" s="86">
        <f>IF($BN161="","",$BN161+ROTop)</f>
        <v/>
      </c>
      <c r="BQ161" s="87">
        <f>IF(OR(N($BJ161)=0,$BH161=""),"",$BH161/$BJ161-ClearDeduct)</f>
        <v/>
      </c>
      <c r="BR161" s="84">
        <f>IF(N($CH161)=0,"",IF($CH161&gt;=180,"A · 3 HR",IF($CH161&gt;=90,"B · 1-1/2 HR",IF($CH161&gt;=60,"B · 1 HR",IF($CH161&gt;=45,"C · 3/4 HR","20 MIN")))))&amp;IF(AND(N($CH161)&gt;0,OR($I161="CORRIDOR",$I161="SMOKE BARRIER"))," · S","")</f>
        <v/>
      </c>
      <c r="BS161" s="84">
        <f>IF($CS161,"",IF($AV161&lt;&gt;"",$AV161,IF(OR($AC161="HGC",$AO161="HGC"),"CONT",IF(($BI161-HeadClr-Undercut)&lt;=60,2,IF(($BI161-HeadClr-Undercut)&lt;=90,3,IF(($BI161-HeadClr-Undercut)&lt;=120,4,5))))))</f>
        <v/>
      </c>
      <c r="BT161" s="84">
        <f>IF($CS161,"",IF($CT161,"CUSTOM (typed)",IF($CV161,$AT161&amp;" "&amp;$CU161&amp;CHAR(34)&amp;IF($CU161&lt;&gt;$BI161,IF(AND($BI161&lt;$CU161,$BI161-IF(N(VLOOKUP($AT161&amp;"|"&amp;$CU161,LocTable,7,FALSE))&gt;0,VLOOKUP($AT161&amp;"|"&amp;$CU161,LocTable,7,FALSE),VLOOKUP($AT161&amp;"|"&amp;$CU161,LocTable,6,FALSE))-$CR161-0.75&gt;=2.125)," cut down"," adj."),""),"ANSI/SDI A250.6")))</f>
        <v/>
      </c>
      <c r="BU161" s="88">
        <f>IF($CS161,"",IF($CT161,IF(N($AW161)&gt;0,N($AW161),""),IF(1&gt;$CQ161,"",IF($CQ161=1,$CW161,$CW161+($CX161-$CW161)*0/($CQ161-1)))))</f>
        <v/>
      </c>
      <c r="BV161" s="88">
        <f>IF($CS161,"",IF($CT161,IF(N($AX161)&gt;0,N($AX161),""),IF(2&gt;$CQ161,"",IF($CQ161=1,$CW161,$CW161+($CX161-$CW161)*1/($CQ161-1)))))</f>
        <v/>
      </c>
      <c r="BW161" s="88">
        <f>IF($CS161,"",IF($CT161,IF(N($AY161)&gt;0,N($AY161),""),IF(3&gt;$CQ161,"",IF($CQ161=1,$CW161,$CW161+($CX161-$CW161)*2/($CQ161-1)))))</f>
        <v/>
      </c>
      <c r="BX161" s="88">
        <f>IF($CS161,"",IF($CT161,IF(N($AZ161)&gt;0,N($AZ161),""),IF(4&gt;$CQ161,"",IF($CQ161=1,$CW161,$CW161+($CX161-$CW161)*3/($CQ161-1)))))</f>
        <v/>
      </c>
      <c r="BY161" s="88">
        <f>IF($CS161,"",IF($CT161,"",IF(5&gt;$CQ161,"",IF($CQ161=1,$CW161,$CW161+($CX161-$CW161)*4/($CQ161-1)))))</f>
        <v/>
      </c>
      <c r="BZ161" s="88">
        <f>IF(OR($CS161,$AP161="-",AND($AP161="",$AD161="")),"",IF(N($BA161)&gt;0,N($BA161),IF($CV161,IF(AND($BI161&lt;$CU161,$BI161-IF(N(VLOOKUP($AT161&amp;"|"&amp;$CU161,LocTable,7,FALSE))&gt;0,VLOOKUP($AT161&amp;"|"&amp;$CU161,LocTable,7,FALSE),VLOOKUP($AT161&amp;"|"&amp;$CU161,LocTable,6,FALSE))-$CR161-0.75&gt;=2.125),VLOOKUP($AT161&amp;"|"&amp;$CU161,LocTable,8,FALSE),VLOOKUP($AT161&amp;"|"&amp;$CU161,LocTable,8,FALSE)+($BI161-$CU161)),$BI161-LockAFF)))</f>
        <v/>
      </c>
      <c r="CA161" s="89">
        <f>IF($BZ161="","",$BI161-$BZ161)</f>
        <v/>
      </c>
      <c r="CB161" s="84">
        <f>IF(OR(NOT(AND($A161&lt;&gt;"",$C161&lt;&gt;"DOOR ONLY")),$BI161=""),"",IF(($BI161+IF(N($P161)&gt;0,$P161+FaceW,0))&lt;=90,3,IF(($BI161+IF(N($P161)&gt;0,$P161+FaceW,0))&lt;=114,4,5)))</f>
        <v/>
      </c>
      <c r="CC161" s="84">
        <f>IF($CB161="","",$CB161*(2+IF(N($Q161)&gt;0,IF($R161="LR",2,1),0)))</f>
        <v/>
      </c>
      <c r="CD161" s="84">
        <f>IF($CB161="","",(2+IF(N($Q161)&gt;0,IF($R161="LR",2,1),0)))</f>
        <v/>
      </c>
      <c r="CE161" s="84">
        <f>IF(N($BJ161)=0,"",IF(OR($AL161="",$AL161="FLUSH"),"FLUSH",IFERROR(LEFT($AL161,FIND("-",$AL161)-1),LEFT($AL161,2))))</f>
        <v/>
      </c>
      <c r="CF161" s="84">
        <f>IF($CE161="","",IFERROR(VALUE(MID($AL161,FIND("-",$AL161)+1,FIND(CHAR(34)&amp;"x",$AL161)-FIND("-",$AL161)-1)),0))</f>
        <v/>
      </c>
      <c r="CG161" s="84">
        <f>IF($CE161="","",IFERROR(VALUE(MID($AL161,FIND(CHAR(34)&amp;"x",$AL161)+2,FIND(CHAR(34),$AL161,FIND(CHAR(34)&amp;"x",$AL161)+2)-FIND(CHAR(34)&amp;"x",$AL161)-2)),0))</f>
        <v/>
      </c>
      <c r="CH161" s="90">
        <f>IF(OR($A161="",$H161="",$H161="NO LAB"),0,IFERROR(VALUE(LEFT($H161,FIND(" ",$H161)-1)),0))</f>
        <v/>
      </c>
      <c r="CI161" s="91">
        <f>IF(OR($A161="",$I161="",$I161="NON-RATED",N($J161)=0),"",IFERROR(VLOOKUP($I161&amp;"|"&amp;$J161,IBC,2,FALSE),"?"))</f>
        <v/>
      </c>
      <c r="CJ161" s="85">
        <f>IF(NOT(AND($A161&lt;&gt;"",$C161&lt;&gt;"DOOR ONLY")),"",TRIM(IFERROR(VLOOKUP($U161,CODES,2,FALSE),"")&amp;" "&amp;$BG161&amp;" "&amp;IFERROR(VLOOKUP($Z161,CODES,2,FALSE),"")&amp;" "&amp;IFERROR(VLOOKUP($X161,CODES,2,FALSE),"")&amp;" "&amp;IFERROR(VLOOKUP($S161,CODES,2,FALSE),"")&amp;IF(N($P161)&gt;0," w/TRANSOM "&amp;$P161&amp;CHAR(34),"")&amp;IF(N($Q161)&gt;0," w/SIDELITE "&amp;$Q161&amp;CHAR(34)&amp;" "&amp;IF($R161="","R",$R161),"")&amp;IF($Y161="","  |  "," | "&amp;IFERROR(VLOOKUP($Y161,CODES,2,FALSE),"")&amp;" | ")&amp;IFERROR(VLOOKUP($AC161,CODES,2,FALSE),"")&amp;" "&amp;IFERROR(VLOOKUP($AD161,CODES,2,FALSE),"")&amp;IF(OR($AE161="",$AE161="-"),""," "&amp;$AE161)&amp;IF(OR($AF161="",$AF161="-"),""," "&amp;$AF161)&amp;IF($AB161="Y"," 4"&amp;CHAR(34)&amp;" HEAD","")&amp;" "&amp;IFERROR(VLOOKUP($H161,CODES,2,FALSE),"")&amp;IF($CT161," | LOC "&amp;$CY161,"")))</f>
        <v/>
      </c>
      <c r="CK161" s="85">
        <f>IF(NOT(AND($A161&lt;&gt;"",N($BJ161)&gt;0)),"",TRIM(IFERROR(VLOOKUP($AH161,CODES,2,FALSE),"")&amp;IF($AI161=""," "," "&amp;$AI161&amp;"GA ")&amp;$BG161&amp;" "&amp;IF($AN161="",IFERROR(VLOOKUP($Z161,CODES,2,FALSE),""),IFERROR(VLOOKUP($AN161,CODES,2,FALSE),""))&amp;IF($BJ161=2," PAIR","")&amp;" DOOR | "&amp;IF($AL161="","?",$AL161)&amp;" | "&amp;IF($AO161="",IFERROR(VLOOKUP($AC161,CODES,2,FALSE),""),IFERROR(VLOOKUP($AO161,CODES,2,FALSE),""))&amp;" "&amp;IFERROR(VLOOKUP($AP161,CODES,2,FALSE),"")&amp;IF(OR($AQ161="",$AQ161="-"),""," SEAM "&amp;$AQ161)&amp;IF($AR161="Y"," ASTRAGAL","")&amp;IF($AJ161=""," "," "&amp;$AJ161)&amp;IF($AK161=""," "," "&amp;$AK161)&amp;IF(OR($AT161="",$AT161="ANSI/SDI",$AT161="CUSTOM LOC"),""," "&amp;$AT161)&amp;IF($AM161=""," "," SERIES "&amp;$AM161)&amp;" "&amp;IFERROR(VLOOKUP($H161,CODES,2,FALSE),"")&amp;IF($CT161," | LOC "&amp;$CZ161,"")))</f>
        <v/>
      </c>
      <c r="CL161" s="84">
        <f>IF(CP161="","",IF(COUNTIF($CP$6:CP161,CP161)=1,MAX($CL$5:CL160)+1,INDEX($CL$5:CL160,MATCH(CP161,$CP$5:CP160,0))))</f>
        <v/>
      </c>
      <c r="CM161" s="84">
        <f>IF(NOT(AND($A161&lt;&gt;"",$C161&lt;&gt;"DOOR ONLY")),"",MAX($CM$5:CM160)+1)</f>
        <v/>
      </c>
      <c r="CN161" s="84">
        <f>IF(NOT(AND($A161&lt;&gt;"",N($BJ161)&gt;0)),"",MAX($CN$5:CN160)+1)</f>
        <v/>
      </c>
      <c r="CO161" s="84">
        <f>IF($A161="","",MAX($CO$5:CO160)+1)</f>
        <v/>
      </c>
      <c r="CP161" s="84">
        <f>IF(OR($A161="",$BH161="",$BI161=""),"",$BG161&amp;"|"&amp;$O161&amp;"|"&amp;$AL161&amp;"|"&amp;$S161&amp;"|"&amp;$P161&amp;"|"&amp;$Q161&amp;$R161&amp;"|"&amp;$C161&amp;"|"&amp;$AB161)</f>
        <v/>
      </c>
      <c r="CQ161" s="84">
        <f>N($BS161)</f>
        <v/>
      </c>
      <c r="CR161" s="84">
        <f>IF(N($AU161)&gt;0,N($AU161),4.5)</f>
        <v/>
      </c>
      <c r="CS161" s="84">
        <f>OR($A161="",$BI161="",$S161="BL",AND($C161="FRAME ONLY",OR($AC161="",$AC161="BLK")))</f>
        <v/>
      </c>
      <c r="CT161" s="84">
        <f>AND(NOT($CS161),OR($AT161="CUSTOM LOC",N($AW161)+N($AX161)+N($AY161)+N($AZ161)+N($BA161)&gt;0))</f>
        <v/>
      </c>
      <c r="CU161" s="84">
        <f>IF($BI161="","",IF($BI161&lt;=80,80,IF($BI161&lt;=84,84,96)))</f>
        <v/>
      </c>
      <c r="CV161" s="84">
        <f>ISNUMBER(MATCH($AT161&amp;"|80",LocKeys,0))</f>
        <v/>
      </c>
      <c r="CW161" s="86">
        <f>IF($CS161,"",IF($CV161,VLOOKUP($AT161&amp;"|"&amp;$CU161,LocTable,4,FALSE),5))</f>
        <v/>
      </c>
      <c r="CX161" s="86">
        <f>IF($CS161,"",IF($CV161,IF(OR($BI161=$CU161,AND($BI161&lt;$CU161,$BI161-IF(N(VLOOKUP($AT161&amp;"|"&amp;$CU161,LocTable,7,FALSE))&gt;0,VLOOKUP($AT161&amp;"|"&amp;$CU161,LocTable,7,FALSE),VLOOKUP($AT161&amp;"|"&amp;$CU161,LocTable,6,FALSE))-$CR161-0.75&gt;=2.125)),IF(N(VLOOKUP($AT161&amp;"|"&amp;$CU161,LocTable,7,FALSE))&gt;0,VLOOKUP($AT161&amp;"|"&amp;$CU161,LocTable,7,FALSE),VLOOKUP($AT161&amp;"|"&amp;$CU161,LocTable,6,FALSE)),$BI161-($CU161-IF(N(VLOOKUP($AT161&amp;"|"&amp;$CU161,LocTable,7,FALSE))&gt;0,VLOOKUP($AT161&amp;"|"&amp;$CU161,LocTable,7,FALSE),VLOOKUP($AT161&amp;"|"&amp;$CU161,LocTable,6,FALSE)))),$BI161-10-$CR161))</f>
        <v/>
      </c>
      <c r="CY161" s="85">
        <f>IF($CS161,"",TRIM(IF(ISNUMBER($BU161),"A "&amp;TRIM(TEXT($BU161,"# ?/??"))&amp;CHAR(34)&amp;"  ","")&amp;IF(ISNUMBER($BV161),"B "&amp;TRIM(TEXT($BV161,"# ?/??"))&amp;CHAR(34)&amp;"  ","")&amp;IF(ISNUMBER($BW161),"C "&amp;TRIM(TEXT($BW161,"# ?/??"))&amp;CHAR(34)&amp;"  ","")&amp;IF(ISNUMBER($BX161),"D "&amp;TRIM(TEXT($BX161,"# ?/??"))&amp;CHAR(34)&amp;"  ","")&amp;IF(ISNUMBER($BY161),"F "&amp;TRIM(TEXT($BY161,"# ?/??"))&amp;CHAR(34)&amp;"  ","")&amp;IF(ISNUMBER($BZ161),"E "&amp;TRIM(TEXT($BZ161,"# ?/??"))&amp;CHAR(34)&amp;"  ","")))</f>
        <v/>
      </c>
      <c r="CZ161" s="85">
        <f>IF(OR($CS161,N($BJ161)=0),"",TRIM(IF(ISNUMBER($BU161),"A "&amp;TRIM(TEXT($BU161-HeadClr,"# ?/??"))&amp;CHAR(34)&amp;"  ","")&amp;IF(ISNUMBER($BV161),"B "&amp;TRIM(TEXT($BV161-HeadClr,"# ?/??"))&amp;CHAR(34)&amp;"  ","")&amp;IF(ISNUMBER($BW161),"C "&amp;TRIM(TEXT($BW161-HeadClr,"# ?/??"))&amp;CHAR(34)&amp;"  ","")&amp;IF(ISNUMBER($BX161),"D "&amp;TRIM(TEXT($BX161-HeadClr,"# ?/??"))&amp;CHAR(34)&amp;"  ","")&amp;IF(ISNUMBER($BY161),"F "&amp;TRIM(TEXT($BY161-HeadClr,"# ?/??"))&amp;CHAR(34)&amp;"  ","")&amp;IF(ISNUMBER($BZ161),"E "&amp;TRIM(TEXT($BZ161-HeadClr,"# ?/??"))&amp;CHAR(34)&amp;"  ","")))</f>
        <v/>
      </c>
      <c r="DA161" s="84">
        <f>IF($A161="","",IF($AN161="",IFERROR(VLOOKUP($Z161,CODES,2,FALSE),""),IFERROR(VLOOKUP($AN161,CODES,2,FALSE),"")))</f>
        <v/>
      </c>
      <c r="DB161" s="84">
        <f>IF($A161="","",IF($O161="Y","PR",IF(OR($Z161="L",$Z161="RR",LEFT($Z161,2)="L-",LEFT($Z161,3)="RR-"),"LH","RH")))</f>
        <v/>
      </c>
      <c r="DC161" s="84">
        <f>IF($A161="","","S.HM"&amp;IF(OR($C161="DOOR ONLY",$X161&lt;&gt;"KD"),"MASONRY","DRYWALL")&amp;IF($C161="DOOR ONLY","",$U161)&amp;IF(AND($C161&lt;&gt;"FRAME ONLY",OR(LEFT($AH161,3)="OAK",LEFT($AH161,3)="BIR",LEFT($AH161,3)="MAP",$AH161="PC",$AH161="MC",$AH161="SCLC",$AH161="P-LAM")),"WD","HM")&amp;"1.75")</f>
        <v/>
      </c>
      <c r="DD161" s="84">
        <f>IF($CJ161="","",IF($O161="Y",$CJ161,SUBSTITUTE($CJ161,$BG161&amp;" "&amp;IFERROR(VLOOKUP($Z161,CODES,2,FALSE),"")&amp;" ",$BG161&amp;" ")))</f>
        <v/>
      </c>
      <c r="DE161" s="84">
        <f>IF($CK161="","",IF($O161="Y",$CK161,SUBSTITUTE($CK161,$BG161&amp;" "&amp;IF($AN161="",IFERROR(VLOOKUP($Z161,CODES,2,FALSE),""),IFERROR(VLOOKUP($AN161,CODES,2,FALSE),""))&amp;" ",$BG161&amp;" ")))</f>
        <v/>
      </c>
      <c r="DF161" s="84">
        <f>IF($CJ161="","",$DC161&amp;"|"&amp;$DD161&amp;"|"&amp;$DB161&amp;"|"&amp;$AT161&amp;"|"&amp;$V161&amp;"|"&amp;$Y161&amp;"|"&amp;$AB161)</f>
        <v/>
      </c>
      <c r="DG161" s="84">
        <f>IF(DF161="","",IF(COUNTIF($DF$6:DF161,DF161)=1,MAX($DG$5:DG160)+1,INDEX($DG$5:DG160,MATCH(DF161,$DF$5:DF160,0))))</f>
        <v/>
      </c>
      <c r="DH161" s="84">
        <f>IF($CK161="","",$DC161&amp;"|"&amp;$DE161&amp;"|"&amp;$AI161&amp;"|"&amp;$BK161&amp;"|"&amp;$BL161)</f>
        <v/>
      </c>
      <c r="DI161" s="84">
        <f>IF(DH161="","",IF(COUNTIF($DH$6:DH161,DH161)=1,MAX($DI$5:DI160)+1,INDEX($DI$5:DI160,MATCH(DH161,$DH$5:DH160,0))))</f>
        <v/>
      </c>
      <c r="DJ161" s="84">
        <f>IF($A161="","",IF($B161="","qty, ","")&amp;IF($C161="","scope, ","")&amp;IF(OR($K161="",$M161=""),"size, ","")&amp;IF(AND($A161&lt;&gt;"",$C161&lt;&gt;"DOOR ONLY"),IF($U161="","jamb depth, ","")&amp;IF($X161="","construction, ","")&amp;IF($Y161="","anchor, ","")&amp;IF($S161="","frame type, ",""),"")&amp;IF(AND(N($BJ161)&gt;0,$Z161=""),"hand, ","")&amp;IF(N($BJ161)&gt;0,IF($AH161="","door material, ","")&amp;IF($AL161="","face type, ","")&amp;IF($AP161="","lock prep, ","")&amp;IF(AND($AO161="",$AC161=""),"hinge prep, ",""),"")&amp;IF(AND($CH161&gt;0,$AH161="FRP"),"FRP cannot carry a label, ","")&amp;IF(AND($O161="Y",OR($Z161="L",$Z161="R",$Z161="LR",$Z161="RR")),"pair marked but hand is single, ","")&amp;IF(AND($O161&lt;&gt;"Y",OR($Z161="PR",AND(LEN($Z161)&gt;1,ISNUMBER(SEARCH("-",$Z161))))),"pair hand on a single door, ","")&amp;IF(AND(ISNUMBER($CI161),$CH161&lt;N($CI161)),"wall needs a "&amp;$CI161&amp;" min door, ","")&amp;IF(AND($CH161&gt;=180,AND(OR($CE161="FG",$CE161="HG",$CE161="FNV",$CE161="FV"),N($CF161)*N($CG161)&gt;100)),"180 min lite over 100 sq in, ","")&amp;IF(N($BK161)&gt;48,"leaf wider than 4'-0"&amp;CHAR(34)&amp;", ","")&amp;IF(AND($CT161,COUNT($AW161:$AZ161)=0,$CQ161&gt;0),"CUSTOM LOC with no locations typed, ",""))</f>
        <v/>
      </c>
      <c r="DK161" s="84">
        <f>IF($A161="","",IF(AND($CH161&gt;0,AND($A161&lt;&gt;"",$C161&lt;&gt;"DOOR ONLY"),$X161="KD",$E161="EXTERIOR"),"KD label on an exterior opening, ","")&amp;IF(AND($E161="EXTERIOR",OR(AND(AND($A161&lt;&gt;"",$C161&lt;&gt;"DOOR ONLY"),$W161="CR"),AND(N($BJ161)&gt;0,$AH161="CR"))),"exterior in CR steel (G9?), ","")&amp;IF(AND(ISNUMBER($BQ161),N($BQ161)&lt;32),"clear width ~"&amp;TEXT($BQ161,"0.0")&amp;CHAR(34)&amp;" under 32"&amp;CHAR(34)&amp;" (ADA), ","")&amp;IF(AND($CH161=90,AND(OR($CE161="FG",$CE161="HG",$CE161="FNV",$CE161="FV"),N($CF161)*N($CG161)&gt;100)),"90 min lite over 100 sq in (stair/exit), ","")&amp;IF(AND($CH161&gt;0,AND($A161&lt;&gt;"",$C161&lt;&gt;"DOOR ONLY"),OR($AF161="",$AF161="-")),"rated: closer reinf.?, ","")&amp;IF(OR($I161="CORRIDOR",$I161="SMOKE BARRIER"),"S label + smoke gasketing, ","")&amp;IF($CI161="?","wall type/hr not in IBC table, ","")&amp;IF(AND(N($BJ161)&gt;0,$BB161=""),"no hardware set, ","")&amp;IF(AND($BB161&lt;&gt;"",ISNA(MATCH($BB161&amp;"",HWSets,0))),"set "&amp;$BB161&amp;" not on HW Sets, ","")&amp;IF(N($BL161)&gt;96,"leaf over 8'-0"&amp;CHAR(34)&amp;" - check listing, ","")&amp;IF(AND($CT161,COUNT($AW161:$AZ161)&gt;0,COUNT($AW161:$AZ161)&lt;&gt;$CQ161),COUNT($AW161:$AZ161)&amp;" custom hinges typed, "&amp;$CQ161&amp;" expected, ","")&amp;IF(AND(ISNUMBER($CA161),OR(N($CA161)&lt;34,N($CA161)&gt;48)),"lock "&amp;TEXT($CA161,"0.0")&amp;CHAR(34)&amp;" AFF outside 34-48"&amp;CHAR(34)&amp;" (ADA), ","")&amp;IF(AND(ISNUMBER($AV161),ISNUMBER($BL161),N($AV161)&lt;IF(N($BL161)&lt;=60,2,IF(N($BL161)&lt;=90,3,IF(N($BL161)&lt;=120,4,5)))),"fewer hinges than standard, ",""))</f>
        <v/>
      </c>
    </row>
    <row r="162" ht="15" customHeight="1">
      <c r="A162" s="77" t="n"/>
      <c r="B162" s="78" t="n"/>
      <c r="C162" s="78" t="n"/>
      <c r="D162" s="78" t="n"/>
      <c r="E162" s="78" t="n"/>
      <c r="F162" s="78" t="n"/>
      <c r="G162" s="78" t="n"/>
      <c r="H162" s="78" t="n"/>
      <c r="I162" s="78" t="n"/>
      <c r="J162" s="78" t="n"/>
      <c r="K162" s="78" t="n"/>
      <c r="L162" s="78" t="n"/>
      <c r="M162" s="78" t="n"/>
      <c r="N162" s="78" t="n"/>
      <c r="O162" s="78" t="n"/>
      <c r="P162" s="78" t="n"/>
      <c r="Q162" s="78" t="n"/>
      <c r="R162" s="78" t="n"/>
      <c r="S162" s="79" t="n"/>
      <c r="T162" s="79" t="n"/>
      <c r="U162" s="79" t="n"/>
      <c r="V162" s="79" t="n"/>
      <c r="W162" s="79" t="n"/>
      <c r="X162" s="79" t="n"/>
      <c r="Y162" s="79" t="n"/>
      <c r="Z162" s="79" t="n"/>
      <c r="AA162" s="79" t="n"/>
      <c r="AB162" s="79" t="n"/>
      <c r="AC162" s="79" t="n"/>
      <c r="AD162" s="79" t="n"/>
      <c r="AE162" s="79" t="n"/>
      <c r="AF162" s="79" t="n"/>
      <c r="AG162" s="79" t="n"/>
      <c r="AH162" s="80" t="n"/>
      <c r="AI162" s="80" t="n"/>
      <c r="AJ162" s="80" t="n"/>
      <c r="AK162" s="80" t="n"/>
      <c r="AL162" s="80" t="n"/>
      <c r="AM162" s="80" t="n"/>
      <c r="AN162" s="80" t="n"/>
      <c r="AO162" s="80" t="n"/>
      <c r="AP162" s="80" t="n"/>
      <c r="AQ162" s="80" t="n"/>
      <c r="AR162" s="80" t="n"/>
      <c r="AS162" s="80" t="n"/>
      <c r="AT162" s="81" t="n"/>
      <c r="AU162" s="81" t="n"/>
      <c r="AV162" s="81" t="n"/>
      <c r="AW162" s="82" t="n"/>
      <c r="AX162" s="82" t="n"/>
      <c r="AY162" s="82" t="n"/>
      <c r="AZ162" s="82" t="n"/>
      <c r="BA162" s="82" t="n"/>
      <c r="BB162" s="83" t="n"/>
      <c r="BC162" s="83" t="n"/>
      <c r="BD162" s="84">
        <f>IF($A162="","",IF($DJ162&lt;&gt;"","FIX",IF($DK162&lt;&gt;"","CHECK","OK")))</f>
        <v/>
      </c>
      <c r="BE162" s="85">
        <f>IF($A162="","",IF($DJ162&lt;&gt;"","FIX: "&amp;LEFT($DJ162,LEN($DJ162)-2)&amp;IF($DK162&lt;&gt;"","  ·  ",""),"")&amp;IF($DK162&lt;&gt;"","CHECK: "&amp;LEFT($DK162,LEN($DK162)-2),""))</f>
        <v/>
      </c>
      <c r="BF162" s="84">
        <f>IF(OR($A162="",$K162=""),"",$K162&amp;"'-"&amp;N($L162)&amp;CHAR(34)&amp;" x "&amp;$M162&amp;"'-"&amp;N($N162)&amp;CHAR(34))</f>
        <v/>
      </c>
      <c r="BG162" s="84">
        <f>IF(OR($A162="",$K162=""),"",$K162&amp;N($L162)&amp;$M162&amp;N($N162))</f>
        <v/>
      </c>
      <c r="BH162" s="84">
        <f>IF(OR($A162="",$K162=""),"",$K162*12+N($L162))</f>
        <v/>
      </c>
      <c r="BI162" s="84">
        <f>IF(OR($A162="",$M162=""),"",$M162*12+N($N162))</f>
        <v/>
      </c>
      <c r="BJ162" s="84">
        <f>IF($A162="","",IF(OR($C162="FRAME ONLY",$S162="BL"),0,IF($O162="Y",2,1)))</f>
        <v/>
      </c>
      <c r="BK162" s="86">
        <f>IF(OR(N($BJ162)=0,$BH162=""),"",($BH162-2*EdgeClr-IF($BJ162=2,MeetClr,0))/$BJ162)</f>
        <v/>
      </c>
      <c r="BL162" s="86">
        <f>IF(OR(N($BJ162)=0,$BI162=""),"",$BI162-HeadClr-Undercut)</f>
        <v/>
      </c>
      <c r="BM162" s="86">
        <f>IF($BH162="","",$BH162+2*FaceW+IF(N($Q162)&gt;0,($Q162+FaceW)*IF($R162="LR",2,1),0))</f>
        <v/>
      </c>
      <c r="BN162" s="86">
        <f>IF($BI162="","",$BI162+IF($AB162="Y",4,FaceW)+IF(N($P162)&gt;0,$P162+FaceW,0)+IF(OR($S162="4F",$S162="BL"),FaceW,0))</f>
        <v/>
      </c>
      <c r="BO162" s="86">
        <f>IF($BM162="","",$BM162+2*ROSide)</f>
        <v/>
      </c>
      <c r="BP162" s="86">
        <f>IF($BN162="","",$BN162+ROTop)</f>
        <v/>
      </c>
      <c r="BQ162" s="87">
        <f>IF(OR(N($BJ162)=0,$BH162=""),"",$BH162/$BJ162-ClearDeduct)</f>
        <v/>
      </c>
      <c r="BR162" s="84">
        <f>IF(N($CH162)=0,"",IF($CH162&gt;=180,"A · 3 HR",IF($CH162&gt;=90,"B · 1-1/2 HR",IF($CH162&gt;=60,"B · 1 HR",IF($CH162&gt;=45,"C · 3/4 HR","20 MIN")))))&amp;IF(AND(N($CH162)&gt;0,OR($I162="CORRIDOR",$I162="SMOKE BARRIER"))," · S","")</f>
        <v/>
      </c>
      <c r="BS162" s="84">
        <f>IF($CS162,"",IF($AV162&lt;&gt;"",$AV162,IF(OR($AC162="HGC",$AO162="HGC"),"CONT",IF(($BI162-HeadClr-Undercut)&lt;=60,2,IF(($BI162-HeadClr-Undercut)&lt;=90,3,IF(($BI162-HeadClr-Undercut)&lt;=120,4,5))))))</f>
        <v/>
      </c>
      <c r="BT162" s="84">
        <f>IF($CS162,"",IF($CT162,"CUSTOM (typed)",IF($CV162,$AT162&amp;" "&amp;$CU162&amp;CHAR(34)&amp;IF($CU162&lt;&gt;$BI162,IF(AND($BI162&lt;$CU162,$BI162-IF(N(VLOOKUP($AT162&amp;"|"&amp;$CU162,LocTable,7,FALSE))&gt;0,VLOOKUP($AT162&amp;"|"&amp;$CU162,LocTable,7,FALSE),VLOOKUP($AT162&amp;"|"&amp;$CU162,LocTable,6,FALSE))-$CR162-0.75&gt;=2.125)," cut down"," adj."),""),"ANSI/SDI A250.6")))</f>
        <v/>
      </c>
      <c r="BU162" s="88">
        <f>IF($CS162,"",IF($CT162,IF(N($AW162)&gt;0,N($AW162),""),IF(1&gt;$CQ162,"",IF($CQ162=1,$CW162,$CW162+($CX162-$CW162)*0/($CQ162-1)))))</f>
        <v/>
      </c>
      <c r="BV162" s="88">
        <f>IF($CS162,"",IF($CT162,IF(N($AX162)&gt;0,N($AX162),""),IF(2&gt;$CQ162,"",IF($CQ162=1,$CW162,$CW162+($CX162-$CW162)*1/($CQ162-1)))))</f>
        <v/>
      </c>
      <c r="BW162" s="88">
        <f>IF($CS162,"",IF($CT162,IF(N($AY162)&gt;0,N($AY162),""),IF(3&gt;$CQ162,"",IF($CQ162=1,$CW162,$CW162+($CX162-$CW162)*2/($CQ162-1)))))</f>
        <v/>
      </c>
      <c r="BX162" s="88">
        <f>IF($CS162,"",IF($CT162,IF(N($AZ162)&gt;0,N($AZ162),""),IF(4&gt;$CQ162,"",IF($CQ162=1,$CW162,$CW162+($CX162-$CW162)*3/($CQ162-1)))))</f>
        <v/>
      </c>
      <c r="BY162" s="88">
        <f>IF($CS162,"",IF($CT162,"",IF(5&gt;$CQ162,"",IF($CQ162=1,$CW162,$CW162+($CX162-$CW162)*4/($CQ162-1)))))</f>
        <v/>
      </c>
      <c r="BZ162" s="88">
        <f>IF(OR($CS162,$AP162="-",AND($AP162="",$AD162="")),"",IF(N($BA162)&gt;0,N($BA162),IF($CV162,IF(AND($BI162&lt;$CU162,$BI162-IF(N(VLOOKUP($AT162&amp;"|"&amp;$CU162,LocTable,7,FALSE))&gt;0,VLOOKUP($AT162&amp;"|"&amp;$CU162,LocTable,7,FALSE),VLOOKUP($AT162&amp;"|"&amp;$CU162,LocTable,6,FALSE))-$CR162-0.75&gt;=2.125),VLOOKUP($AT162&amp;"|"&amp;$CU162,LocTable,8,FALSE),VLOOKUP($AT162&amp;"|"&amp;$CU162,LocTable,8,FALSE)+($BI162-$CU162)),$BI162-LockAFF)))</f>
        <v/>
      </c>
      <c r="CA162" s="89">
        <f>IF($BZ162="","",$BI162-$BZ162)</f>
        <v/>
      </c>
      <c r="CB162" s="84">
        <f>IF(OR(NOT(AND($A162&lt;&gt;"",$C162&lt;&gt;"DOOR ONLY")),$BI162=""),"",IF(($BI162+IF(N($P162)&gt;0,$P162+FaceW,0))&lt;=90,3,IF(($BI162+IF(N($P162)&gt;0,$P162+FaceW,0))&lt;=114,4,5)))</f>
        <v/>
      </c>
      <c r="CC162" s="84">
        <f>IF($CB162="","",$CB162*(2+IF(N($Q162)&gt;0,IF($R162="LR",2,1),0)))</f>
        <v/>
      </c>
      <c r="CD162" s="84">
        <f>IF($CB162="","",(2+IF(N($Q162)&gt;0,IF($R162="LR",2,1),0)))</f>
        <v/>
      </c>
      <c r="CE162" s="84">
        <f>IF(N($BJ162)=0,"",IF(OR($AL162="",$AL162="FLUSH"),"FLUSH",IFERROR(LEFT($AL162,FIND("-",$AL162)-1),LEFT($AL162,2))))</f>
        <v/>
      </c>
      <c r="CF162" s="84">
        <f>IF($CE162="","",IFERROR(VALUE(MID($AL162,FIND("-",$AL162)+1,FIND(CHAR(34)&amp;"x",$AL162)-FIND("-",$AL162)-1)),0))</f>
        <v/>
      </c>
      <c r="CG162" s="84">
        <f>IF($CE162="","",IFERROR(VALUE(MID($AL162,FIND(CHAR(34)&amp;"x",$AL162)+2,FIND(CHAR(34),$AL162,FIND(CHAR(34)&amp;"x",$AL162)+2)-FIND(CHAR(34)&amp;"x",$AL162)-2)),0))</f>
        <v/>
      </c>
      <c r="CH162" s="90">
        <f>IF(OR($A162="",$H162="",$H162="NO LAB"),0,IFERROR(VALUE(LEFT($H162,FIND(" ",$H162)-1)),0))</f>
        <v/>
      </c>
      <c r="CI162" s="91">
        <f>IF(OR($A162="",$I162="",$I162="NON-RATED",N($J162)=0),"",IFERROR(VLOOKUP($I162&amp;"|"&amp;$J162,IBC,2,FALSE),"?"))</f>
        <v/>
      </c>
      <c r="CJ162" s="85">
        <f>IF(NOT(AND($A162&lt;&gt;"",$C162&lt;&gt;"DOOR ONLY")),"",TRIM(IFERROR(VLOOKUP($U162,CODES,2,FALSE),"")&amp;" "&amp;$BG162&amp;" "&amp;IFERROR(VLOOKUP($Z162,CODES,2,FALSE),"")&amp;" "&amp;IFERROR(VLOOKUP($X162,CODES,2,FALSE),"")&amp;" "&amp;IFERROR(VLOOKUP($S162,CODES,2,FALSE),"")&amp;IF(N($P162)&gt;0," w/TRANSOM "&amp;$P162&amp;CHAR(34),"")&amp;IF(N($Q162)&gt;0," w/SIDELITE "&amp;$Q162&amp;CHAR(34)&amp;" "&amp;IF($R162="","R",$R162),"")&amp;IF($Y162="","  |  "," | "&amp;IFERROR(VLOOKUP($Y162,CODES,2,FALSE),"")&amp;" | ")&amp;IFERROR(VLOOKUP($AC162,CODES,2,FALSE),"")&amp;" "&amp;IFERROR(VLOOKUP($AD162,CODES,2,FALSE),"")&amp;IF(OR($AE162="",$AE162="-"),""," "&amp;$AE162)&amp;IF(OR($AF162="",$AF162="-"),""," "&amp;$AF162)&amp;IF($AB162="Y"," 4"&amp;CHAR(34)&amp;" HEAD","")&amp;" "&amp;IFERROR(VLOOKUP($H162,CODES,2,FALSE),"")&amp;IF($CT162," | LOC "&amp;$CY162,"")))</f>
        <v/>
      </c>
      <c r="CK162" s="85">
        <f>IF(NOT(AND($A162&lt;&gt;"",N($BJ162)&gt;0)),"",TRIM(IFERROR(VLOOKUP($AH162,CODES,2,FALSE),"")&amp;IF($AI162=""," "," "&amp;$AI162&amp;"GA ")&amp;$BG162&amp;" "&amp;IF($AN162="",IFERROR(VLOOKUP($Z162,CODES,2,FALSE),""),IFERROR(VLOOKUP($AN162,CODES,2,FALSE),""))&amp;IF($BJ162=2," PAIR","")&amp;" DOOR | "&amp;IF($AL162="","?",$AL162)&amp;" | "&amp;IF($AO162="",IFERROR(VLOOKUP($AC162,CODES,2,FALSE),""),IFERROR(VLOOKUP($AO162,CODES,2,FALSE),""))&amp;" "&amp;IFERROR(VLOOKUP($AP162,CODES,2,FALSE),"")&amp;IF(OR($AQ162="",$AQ162="-"),""," SEAM "&amp;$AQ162)&amp;IF($AR162="Y"," ASTRAGAL","")&amp;IF($AJ162=""," "," "&amp;$AJ162)&amp;IF($AK162=""," "," "&amp;$AK162)&amp;IF(OR($AT162="",$AT162="ANSI/SDI",$AT162="CUSTOM LOC"),""," "&amp;$AT162)&amp;IF($AM162=""," "," SERIES "&amp;$AM162)&amp;" "&amp;IFERROR(VLOOKUP($H162,CODES,2,FALSE),"")&amp;IF($CT162," | LOC "&amp;$CZ162,"")))</f>
        <v/>
      </c>
      <c r="CL162" s="84">
        <f>IF(CP162="","",IF(COUNTIF($CP$6:CP162,CP162)=1,MAX($CL$5:CL161)+1,INDEX($CL$5:CL161,MATCH(CP162,$CP$5:CP161,0))))</f>
        <v/>
      </c>
      <c r="CM162" s="84">
        <f>IF(NOT(AND($A162&lt;&gt;"",$C162&lt;&gt;"DOOR ONLY")),"",MAX($CM$5:CM161)+1)</f>
        <v/>
      </c>
      <c r="CN162" s="84">
        <f>IF(NOT(AND($A162&lt;&gt;"",N($BJ162)&gt;0)),"",MAX($CN$5:CN161)+1)</f>
        <v/>
      </c>
      <c r="CO162" s="84">
        <f>IF($A162="","",MAX($CO$5:CO161)+1)</f>
        <v/>
      </c>
      <c r="CP162" s="84">
        <f>IF(OR($A162="",$BH162="",$BI162=""),"",$BG162&amp;"|"&amp;$O162&amp;"|"&amp;$AL162&amp;"|"&amp;$S162&amp;"|"&amp;$P162&amp;"|"&amp;$Q162&amp;$R162&amp;"|"&amp;$C162&amp;"|"&amp;$AB162)</f>
        <v/>
      </c>
      <c r="CQ162" s="84">
        <f>N($BS162)</f>
        <v/>
      </c>
      <c r="CR162" s="84">
        <f>IF(N($AU162)&gt;0,N($AU162),4.5)</f>
        <v/>
      </c>
      <c r="CS162" s="84">
        <f>OR($A162="",$BI162="",$S162="BL",AND($C162="FRAME ONLY",OR($AC162="",$AC162="BLK")))</f>
        <v/>
      </c>
      <c r="CT162" s="84">
        <f>AND(NOT($CS162),OR($AT162="CUSTOM LOC",N($AW162)+N($AX162)+N($AY162)+N($AZ162)+N($BA162)&gt;0))</f>
        <v/>
      </c>
      <c r="CU162" s="84">
        <f>IF($BI162="","",IF($BI162&lt;=80,80,IF($BI162&lt;=84,84,96)))</f>
        <v/>
      </c>
      <c r="CV162" s="84">
        <f>ISNUMBER(MATCH($AT162&amp;"|80",LocKeys,0))</f>
        <v/>
      </c>
      <c r="CW162" s="86">
        <f>IF($CS162,"",IF($CV162,VLOOKUP($AT162&amp;"|"&amp;$CU162,LocTable,4,FALSE),5))</f>
        <v/>
      </c>
      <c r="CX162" s="86">
        <f>IF($CS162,"",IF($CV162,IF(OR($BI162=$CU162,AND($BI162&lt;$CU162,$BI162-IF(N(VLOOKUP($AT162&amp;"|"&amp;$CU162,LocTable,7,FALSE))&gt;0,VLOOKUP($AT162&amp;"|"&amp;$CU162,LocTable,7,FALSE),VLOOKUP($AT162&amp;"|"&amp;$CU162,LocTable,6,FALSE))-$CR162-0.75&gt;=2.125)),IF(N(VLOOKUP($AT162&amp;"|"&amp;$CU162,LocTable,7,FALSE))&gt;0,VLOOKUP($AT162&amp;"|"&amp;$CU162,LocTable,7,FALSE),VLOOKUP($AT162&amp;"|"&amp;$CU162,LocTable,6,FALSE)),$BI162-($CU162-IF(N(VLOOKUP($AT162&amp;"|"&amp;$CU162,LocTable,7,FALSE))&gt;0,VLOOKUP($AT162&amp;"|"&amp;$CU162,LocTable,7,FALSE),VLOOKUP($AT162&amp;"|"&amp;$CU162,LocTable,6,FALSE)))),$BI162-10-$CR162))</f>
        <v/>
      </c>
      <c r="CY162" s="85">
        <f>IF($CS162,"",TRIM(IF(ISNUMBER($BU162),"A "&amp;TRIM(TEXT($BU162,"# ?/??"))&amp;CHAR(34)&amp;"  ","")&amp;IF(ISNUMBER($BV162),"B "&amp;TRIM(TEXT($BV162,"# ?/??"))&amp;CHAR(34)&amp;"  ","")&amp;IF(ISNUMBER($BW162),"C "&amp;TRIM(TEXT($BW162,"# ?/??"))&amp;CHAR(34)&amp;"  ","")&amp;IF(ISNUMBER($BX162),"D "&amp;TRIM(TEXT($BX162,"# ?/??"))&amp;CHAR(34)&amp;"  ","")&amp;IF(ISNUMBER($BY162),"F "&amp;TRIM(TEXT($BY162,"# ?/??"))&amp;CHAR(34)&amp;"  ","")&amp;IF(ISNUMBER($BZ162),"E "&amp;TRIM(TEXT($BZ162,"# ?/??"))&amp;CHAR(34)&amp;"  ","")))</f>
        <v/>
      </c>
      <c r="CZ162" s="85">
        <f>IF(OR($CS162,N($BJ162)=0),"",TRIM(IF(ISNUMBER($BU162),"A "&amp;TRIM(TEXT($BU162-HeadClr,"# ?/??"))&amp;CHAR(34)&amp;"  ","")&amp;IF(ISNUMBER($BV162),"B "&amp;TRIM(TEXT($BV162-HeadClr,"# ?/??"))&amp;CHAR(34)&amp;"  ","")&amp;IF(ISNUMBER($BW162),"C "&amp;TRIM(TEXT($BW162-HeadClr,"# ?/??"))&amp;CHAR(34)&amp;"  ","")&amp;IF(ISNUMBER($BX162),"D "&amp;TRIM(TEXT($BX162-HeadClr,"# ?/??"))&amp;CHAR(34)&amp;"  ","")&amp;IF(ISNUMBER($BY162),"F "&amp;TRIM(TEXT($BY162-HeadClr,"# ?/??"))&amp;CHAR(34)&amp;"  ","")&amp;IF(ISNUMBER($BZ162),"E "&amp;TRIM(TEXT($BZ162-HeadClr,"# ?/??"))&amp;CHAR(34)&amp;"  ","")))</f>
        <v/>
      </c>
      <c r="DA162" s="84">
        <f>IF($A162="","",IF($AN162="",IFERROR(VLOOKUP($Z162,CODES,2,FALSE),""),IFERROR(VLOOKUP($AN162,CODES,2,FALSE),"")))</f>
        <v/>
      </c>
      <c r="DB162" s="84">
        <f>IF($A162="","",IF($O162="Y","PR",IF(OR($Z162="L",$Z162="RR",LEFT($Z162,2)="L-",LEFT($Z162,3)="RR-"),"LH","RH")))</f>
        <v/>
      </c>
      <c r="DC162" s="84">
        <f>IF($A162="","","S.HM"&amp;IF(OR($C162="DOOR ONLY",$X162&lt;&gt;"KD"),"MASONRY","DRYWALL")&amp;IF($C162="DOOR ONLY","",$U162)&amp;IF(AND($C162&lt;&gt;"FRAME ONLY",OR(LEFT($AH162,3)="OAK",LEFT($AH162,3)="BIR",LEFT($AH162,3)="MAP",$AH162="PC",$AH162="MC",$AH162="SCLC",$AH162="P-LAM")),"WD","HM")&amp;"1.75")</f>
        <v/>
      </c>
      <c r="DD162" s="84">
        <f>IF($CJ162="","",IF($O162="Y",$CJ162,SUBSTITUTE($CJ162,$BG162&amp;" "&amp;IFERROR(VLOOKUP($Z162,CODES,2,FALSE),"")&amp;" ",$BG162&amp;" ")))</f>
        <v/>
      </c>
      <c r="DE162" s="84">
        <f>IF($CK162="","",IF($O162="Y",$CK162,SUBSTITUTE($CK162,$BG162&amp;" "&amp;IF($AN162="",IFERROR(VLOOKUP($Z162,CODES,2,FALSE),""),IFERROR(VLOOKUP($AN162,CODES,2,FALSE),""))&amp;" ",$BG162&amp;" ")))</f>
        <v/>
      </c>
      <c r="DF162" s="84">
        <f>IF($CJ162="","",$DC162&amp;"|"&amp;$DD162&amp;"|"&amp;$DB162&amp;"|"&amp;$AT162&amp;"|"&amp;$V162&amp;"|"&amp;$Y162&amp;"|"&amp;$AB162)</f>
        <v/>
      </c>
      <c r="DG162" s="84">
        <f>IF(DF162="","",IF(COUNTIF($DF$6:DF162,DF162)=1,MAX($DG$5:DG161)+1,INDEX($DG$5:DG161,MATCH(DF162,$DF$5:DF161,0))))</f>
        <v/>
      </c>
      <c r="DH162" s="84">
        <f>IF($CK162="","",$DC162&amp;"|"&amp;$DE162&amp;"|"&amp;$AI162&amp;"|"&amp;$BK162&amp;"|"&amp;$BL162)</f>
        <v/>
      </c>
      <c r="DI162" s="84">
        <f>IF(DH162="","",IF(COUNTIF($DH$6:DH162,DH162)=1,MAX($DI$5:DI161)+1,INDEX($DI$5:DI161,MATCH(DH162,$DH$5:DH161,0))))</f>
        <v/>
      </c>
      <c r="DJ162" s="84">
        <f>IF($A162="","",IF($B162="","qty, ","")&amp;IF($C162="","scope, ","")&amp;IF(OR($K162="",$M162=""),"size, ","")&amp;IF(AND($A162&lt;&gt;"",$C162&lt;&gt;"DOOR ONLY"),IF($U162="","jamb depth, ","")&amp;IF($X162="","construction, ","")&amp;IF($Y162="","anchor, ","")&amp;IF($S162="","frame type, ",""),"")&amp;IF(AND(N($BJ162)&gt;0,$Z162=""),"hand, ","")&amp;IF(N($BJ162)&gt;0,IF($AH162="","door material, ","")&amp;IF($AL162="","face type, ","")&amp;IF($AP162="","lock prep, ","")&amp;IF(AND($AO162="",$AC162=""),"hinge prep, ",""),"")&amp;IF(AND($CH162&gt;0,$AH162="FRP"),"FRP cannot carry a label, ","")&amp;IF(AND($O162="Y",OR($Z162="L",$Z162="R",$Z162="LR",$Z162="RR")),"pair marked but hand is single, ","")&amp;IF(AND($O162&lt;&gt;"Y",OR($Z162="PR",AND(LEN($Z162)&gt;1,ISNUMBER(SEARCH("-",$Z162))))),"pair hand on a single door, ","")&amp;IF(AND(ISNUMBER($CI162),$CH162&lt;N($CI162)),"wall needs a "&amp;$CI162&amp;" min door, ","")&amp;IF(AND($CH162&gt;=180,AND(OR($CE162="FG",$CE162="HG",$CE162="FNV",$CE162="FV"),N($CF162)*N($CG162)&gt;100)),"180 min lite over 100 sq in, ","")&amp;IF(N($BK162)&gt;48,"leaf wider than 4'-0"&amp;CHAR(34)&amp;", ","")&amp;IF(AND($CT162,COUNT($AW162:$AZ162)=0,$CQ162&gt;0),"CUSTOM LOC with no locations typed, ",""))</f>
        <v/>
      </c>
      <c r="DK162" s="84">
        <f>IF($A162="","",IF(AND($CH162&gt;0,AND($A162&lt;&gt;"",$C162&lt;&gt;"DOOR ONLY"),$X162="KD",$E162="EXTERIOR"),"KD label on an exterior opening, ","")&amp;IF(AND($E162="EXTERIOR",OR(AND(AND($A162&lt;&gt;"",$C162&lt;&gt;"DOOR ONLY"),$W162="CR"),AND(N($BJ162)&gt;0,$AH162="CR"))),"exterior in CR steel (G9?), ","")&amp;IF(AND(ISNUMBER($BQ162),N($BQ162)&lt;32),"clear width ~"&amp;TEXT($BQ162,"0.0")&amp;CHAR(34)&amp;" under 32"&amp;CHAR(34)&amp;" (ADA), ","")&amp;IF(AND($CH162=90,AND(OR($CE162="FG",$CE162="HG",$CE162="FNV",$CE162="FV"),N($CF162)*N($CG162)&gt;100)),"90 min lite over 100 sq in (stair/exit), ","")&amp;IF(AND($CH162&gt;0,AND($A162&lt;&gt;"",$C162&lt;&gt;"DOOR ONLY"),OR($AF162="",$AF162="-")),"rated: closer reinf.?, ","")&amp;IF(OR($I162="CORRIDOR",$I162="SMOKE BARRIER"),"S label + smoke gasketing, ","")&amp;IF($CI162="?","wall type/hr not in IBC table, ","")&amp;IF(AND(N($BJ162)&gt;0,$BB162=""),"no hardware set, ","")&amp;IF(AND($BB162&lt;&gt;"",ISNA(MATCH($BB162&amp;"",HWSets,0))),"set "&amp;$BB162&amp;" not on HW Sets, ","")&amp;IF(N($BL162)&gt;96,"leaf over 8'-0"&amp;CHAR(34)&amp;" - check listing, ","")&amp;IF(AND($CT162,COUNT($AW162:$AZ162)&gt;0,COUNT($AW162:$AZ162)&lt;&gt;$CQ162),COUNT($AW162:$AZ162)&amp;" custom hinges typed, "&amp;$CQ162&amp;" expected, ","")&amp;IF(AND(ISNUMBER($CA162),OR(N($CA162)&lt;34,N($CA162)&gt;48)),"lock "&amp;TEXT($CA162,"0.0")&amp;CHAR(34)&amp;" AFF outside 34-48"&amp;CHAR(34)&amp;" (ADA), ","")&amp;IF(AND(ISNUMBER($AV162),ISNUMBER($BL162),N($AV162)&lt;IF(N($BL162)&lt;=60,2,IF(N($BL162)&lt;=90,3,IF(N($BL162)&lt;=120,4,5)))),"fewer hinges than standard, ",""))</f>
        <v/>
      </c>
    </row>
    <row r="163" ht="15" customHeight="1">
      <c r="A163" s="77" t="n"/>
      <c r="B163" s="78" t="n"/>
      <c r="C163" s="78" t="n"/>
      <c r="D163" s="78" t="n"/>
      <c r="E163" s="78" t="n"/>
      <c r="F163" s="78" t="n"/>
      <c r="G163" s="78" t="n"/>
      <c r="H163" s="78" t="n"/>
      <c r="I163" s="78" t="n"/>
      <c r="J163" s="78" t="n"/>
      <c r="K163" s="78" t="n"/>
      <c r="L163" s="78" t="n"/>
      <c r="M163" s="78" t="n"/>
      <c r="N163" s="78" t="n"/>
      <c r="O163" s="78" t="n"/>
      <c r="P163" s="78" t="n"/>
      <c r="Q163" s="78" t="n"/>
      <c r="R163" s="78" t="n"/>
      <c r="S163" s="79" t="n"/>
      <c r="T163" s="79" t="n"/>
      <c r="U163" s="79" t="n"/>
      <c r="V163" s="79" t="n"/>
      <c r="W163" s="79" t="n"/>
      <c r="X163" s="79" t="n"/>
      <c r="Y163" s="79" t="n"/>
      <c r="Z163" s="79" t="n"/>
      <c r="AA163" s="79" t="n"/>
      <c r="AB163" s="79" t="n"/>
      <c r="AC163" s="79" t="n"/>
      <c r="AD163" s="79" t="n"/>
      <c r="AE163" s="79" t="n"/>
      <c r="AF163" s="79" t="n"/>
      <c r="AG163" s="79" t="n"/>
      <c r="AH163" s="80" t="n"/>
      <c r="AI163" s="80" t="n"/>
      <c r="AJ163" s="80" t="n"/>
      <c r="AK163" s="80" t="n"/>
      <c r="AL163" s="80" t="n"/>
      <c r="AM163" s="80" t="n"/>
      <c r="AN163" s="80" t="n"/>
      <c r="AO163" s="80" t="n"/>
      <c r="AP163" s="80" t="n"/>
      <c r="AQ163" s="80" t="n"/>
      <c r="AR163" s="80" t="n"/>
      <c r="AS163" s="80" t="n"/>
      <c r="AT163" s="81" t="n"/>
      <c r="AU163" s="81" t="n"/>
      <c r="AV163" s="81" t="n"/>
      <c r="AW163" s="82" t="n"/>
      <c r="AX163" s="82" t="n"/>
      <c r="AY163" s="82" t="n"/>
      <c r="AZ163" s="82" t="n"/>
      <c r="BA163" s="82" t="n"/>
      <c r="BB163" s="83" t="n"/>
      <c r="BC163" s="83" t="n"/>
      <c r="BD163" s="84">
        <f>IF($A163="","",IF($DJ163&lt;&gt;"","FIX",IF($DK163&lt;&gt;"","CHECK","OK")))</f>
        <v/>
      </c>
      <c r="BE163" s="85">
        <f>IF($A163="","",IF($DJ163&lt;&gt;"","FIX: "&amp;LEFT($DJ163,LEN($DJ163)-2)&amp;IF($DK163&lt;&gt;"","  ·  ",""),"")&amp;IF($DK163&lt;&gt;"","CHECK: "&amp;LEFT($DK163,LEN($DK163)-2),""))</f>
        <v/>
      </c>
      <c r="BF163" s="84">
        <f>IF(OR($A163="",$K163=""),"",$K163&amp;"'-"&amp;N($L163)&amp;CHAR(34)&amp;" x "&amp;$M163&amp;"'-"&amp;N($N163)&amp;CHAR(34))</f>
        <v/>
      </c>
      <c r="BG163" s="84">
        <f>IF(OR($A163="",$K163=""),"",$K163&amp;N($L163)&amp;$M163&amp;N($N163))</f>
        <v/>
      </c>
      <c r="BH163" s="84">
        <f>IF(OR($A163="",$K163=""),"",$K163*12+N($L163))</f>
        <v/>
      </c>
      <c r="BI163" s="84">
        <f>IF(OR($A163="",$M163=""),"",$M163*12+N($N163))</f>
        <v/>
      </c>
      <c r="BJ163" s="84">
        <f>IF($A163="","",IF(OR($C163="FRAME ONLY",$S163="BL"),0,IF($O163="Y",2,1)))</f>
        <v/>
      </c>
      <c r="BK163" s="86">
        <f>IF(OR(N($BJ163)=0,$BH163=""),"",($BH163-2*EdgeClr-IF($BJ163=2,MeetClr,0))/$BJ163)</f>
        <v/>
      </c>
      <c r="BL163" s="86">
        <f>IF(OR(N($BJ163)=0,$BI163=""),"",$BI163-HeadClr-Undercut)</f>
        <v/>
      </c>
      <c r="BM163" s="86">
        <f>IF($BH163="","",$BH163+2*FaceW+IF(N($Q163)&gt;0,($Q163+FaceW)*IF($R163="LR",2,1),0))</f>
        <v/>
      </c>
      <c r="BN163" s="86">
        <f>IF($BI163="","",$BI163+IF($AB163="Y",4,FaceW)+IF(N($P163)&gt;0,$P163+FaceW,0)+IF(OR($S163="4F",$S163="BL"),FaceW,0))</f>
        <v/>
      </c>
      <c r="BO163" s="86">
        <f>IF($BM163="","",$BM163+2*ROSide)</f>
        <v/>
      </c>
      <c r="BP163" s="86">
        <f>IF($BN163="","",$BN163+ROTop)</f>
        <v/>
      </c>
      <c r="BQ163" s="87">
        <f>IF(OR(N($BJ163)=0,$BH163=""),"",$BH163/$BJ163-ClearDeduct)</f>
        <v/>
      </c>
      <c r="BR163" s="84">
        <f>IF(N($CH163)=0,"",IF($CH163&gt;=180,"A · 3 HR",IF($CH163&gt;=90,"B · 1-1/2 HR",IF($CH163&gt;=60,"B · 1 HR",IF($CH163&gt;=45,"C · 3/4 HR","20 MIN")))))&amp;IF(AND(N($CH163)&gt;0,OR($I163="CORRIDOR",$I163="SMOKE BARRIER"))," · S","")</f>
        <v/>
      </c>
      <c r="BS163" s="84">
        <f>IF($CS163,"",IF($AV163&lt;&gt;"",$AV163,IF(OR($AC163="HGC",$AO163="HGC"),"CONT",IF(($BI163-HeadClr-Undercut)&lt;=60,2,IF(($BI163-HeadClr-Undercut)&lt;=90,3,IF(($BI163-HeadClr-Undercut)&lt;=120,4,5))))))</f>
        <v/>
      </c>
      <c r="BT163" s="84">
        <f>IF($CS163,"",IF($CT163,"CUSTOM (typed)",IF($CV163,$AT163&amp;" "&amp;$CU163&amp;CHAR(34)&amp;IF($CU163&lt;&gt;$BI163,IF(AND($BI163&lt;$CU163,$BI163-IF(N(VLOOKUP($AT163&amp;"|"&amp;$CU163,LocTable,7,FALSE))&gt;0,VLOOKUP($AT163&amp;"|"&amp;$CU163,LocTable,7,FALSE),VLOOKUP($AT163&amp;"|"&amp;$CU163,LocTable,6,FALSE))-$CR163-0.75&gt;=2.125)," cut down"," adj."),""),"ANSI/SDI A250.6")))</f>
        <v/>
      </c>
      <c r="BU163" s="88">
        <f>IF($CS163,"",IF($CT163,IF(N($AW163)&gt;0,N($AW163),""),IF(1&gt;$CQ163,"",IF($CQ163=1,$CW163,$CW163+($CX163-$CW163)*0/($CQ163-1)))))</f>
        <v/>
      </c>
      <c r="BV163" s="88">
        <f>IF($CS163,"",IF($CT163,IF(N($AX163)&gt;0,N($AX163),""),IF(2&gt;$CQ163,"",IF($CQ163=1,$CW163,$CW163+($CX163-$CW163)*1/($CQ163-1)))))</f>
        <v/>
      </c>
      <c r="BW163" s="88">
        <f>IF($CS163,"",IF($CT163,IF(N($AY163)&gt;0,N($AY163),""),IF(3&gt;$CQ163,"",IF($CQ163=1,$CW163,$CW163+($CX163-$CW163)*2/($CQ163-1)))))</f>
        <v/>
      </c>
      <c r="BX163" s="88">
        <f>IF($CS163,"",IF($CT163,IF(N($AZ163)&gt;0,N($AZ163),""),IF(4&gt;$CQ163,"",IF($CQ163=1,$CW163,$CW163+($CX163-$CW163)*3/($CQ163-1)))))</f>
        <v/>
      </c>
      <c r="BY163" s="88">
        <f>IF($CS163,"",IF($CT163,"",IF(5&gt;$CQ163,"",IF($CQ163=1,$CW163,$CW163+($CX163-$CW163)*4/($CQ163-1)))))</f>
        <v/>
      </c>
      <c r="BZ163" s="88">
        <f>IF(OR($CS163,$AP163="-",AND($AP163="",$AD163="")),"",IF(N($BA163)&gt;0,N($BA163),IF($CV163,IF(AND($BI163&lt;$CU163,$BI163-IF(N(VLOOKUP($AT163&amp;"|"&amp;$CU163,LocTable,7,FALSE))&gt;0,VLOOKUP($AT163&amp;"|"&amp;$CU163,LocTable,7,FALSE),VLOOKUP($AT163&amp;"|"&amp;$CU163,LocTable,6,FALSE))-$CR163-0.75&gt;=2.125),VLOOKUP($AT163&amp;"|"&amp;$CU163,LocTable,8,FALSE),VLOOKUP($AT163&amp;"|"&amp;$CU163,LocTable,8,FALSE)+($BI163-$CU163)),$BI163-LockAFF)))</f>
        <v/>
      </c>
      <c r="CA163" s="89">
        <f>IF($BZ163="","",$BI163-$BZ163)</f>
        <v/>
      </c>
      <c r="CB163" s="84">
        <f>IF(OR(NOT(AND($A163&lt;&gt;"",$C163&lt;&gt;"DOOR ONLY")),$BI163=""),"",IF(($BI163+IF(N($P163)&gt;0,$P163+FaceW,0))&lt;=90,3,IF(($BI163+IF(N($P163)&gt;0,$P163+FaceW,0))&lt;=114,4,5)))</f>
        <v/>
      </c>
      <c r="CC163" s="84">
        <f>IF($CB163="","",$CB163*(2+IF(N($Q163)&gt;0,IF($R163="LR",2,1),0)))</f>
        <v/>
      </c>
      <c r="CD163" s="84">
        <f>IF($CB163="","",(2+IF(N($Q163)&gt;0,IF($R163="LR",2,1),0)))</f>
        <v/>
      </c>
      <c r="CE163" s="84">
        <f>IF(N($BJ163)=0,"",IF(OR($AL163="",$AL163="FLUSH"),"FLUSH",IFERROR(LEFT($AL163,FIND("-",$AL163)-1),LEFT($AL163,2))))</f>
        <v/>
      </c>
      <c r="CF163" s="84">
        <f>IF($CE163="","",IFERROR(VALUE(MID($AL163,FIND("-",$AL163)+1,FIND(CHAR(34)&amp;"x",$AL163)-FIND("-",$AL163)-1)),0))</f>
        <v/>
      </c>
      <c r="CG163" s="84">
        <f>IF($CE163="","",IFERROR(VALUE(MID($AL163,FIND(CHAR(34)&amp;"x",$AL163)+2,FIND(CHAR(34),$AL163,FIND(CHAR(34)&amp;"x",$AL163)+2)-FIND(CHAR(34)&amp;"x",$AL163)-2)),0))</f>
        <v/>
      </c>
      <c r="CH163" s="90">
        <f>IF(OR($A163="",$H163="",$H163="NO LAB"),0,IFERROR(VALUE(LEFT($H163,FIND(" ",$H163)-1)),0))</f>
        <v/>
      </c>
      <c r="CI163" s="91">
        <f>IF(OR($A163="",$I163="",$I163="NON-RATED",N($J163)=0),"",IFERROR(VLOOKUP($I163&amp;"|"&amp;$J163,IBC,2,FALSE),"?"))</f>
        <v/>
      </c>
      <c r="CJ163" s="85">
        <f>IF(NOT(AND($A163&lt;&gt;"",$C163&lt;&gt;"DOOR ONLY")),"",TRIM(IFERROR(VLOOKUP($U163,CODES,2,FALSE),"")&amp;" "&amp;$BG163&amp;" "&amp;IFERROR(VLOOKUP($Z163,CODES,2,FALSE),"")&amp;" "&amp;IFERROR(VLOOKUP($X163,CODES,2,FALSE),"")&amp;" "&amp;IFERROR(VLOOKUP($S163,CODES,2,FALSE),"")&amp;IF(N($P163)&gt;0," w/TRANSOM "&amp;$P163&amp;CHAR(34),"")&amp;IF(N($Q163)&gt;0," w/SIDELITE "&amp;$Q163&amp;CHAR(34)&amp;" "&amp;IF($R163="","R",$R163),"")&amp;IF($Y163="","  |  "," | "&amp;IFERROR(VLOOKUP($Y163,CODES,2,FALSE),"")&amp;" | ")&amp;IFERROR(VLOOKUP($AC163,CODES,2,FALSE),"")&amp;" "&amp;IFERROR(VLOOKUP($AD163,CODES,2,FALSE),"")&amp;IF(OR($AE163="",$AE163="-"),""," "&amp;$AE163)&amp;IF(OR($AF163="",$AF163="-"),""," "&amp;$AF163)&amp;IF($AB163="Y"," 4"&amp;CHAR(34)&amp;" HEAD","")&amp;" "&amp;IFERROR(VLOOKUP($H163,CODES,2,FALSE),"")&amp;IF($CT163," | LOC "&amp;$CY163,"")))</f>
        <v/>
      </c>
      <c r="CK163" s="85">
        <f>IF(NOT(AND($A163&lt;&gt;"",N($BJ163)&gt;0)),"",TRIM(IFERROR(VLOOKUP($AH163,CODES,2,FALSE),"")&amp;IF($AI163=""," "," "&amp;$AI163&amp;"GA ")&amp;$BG163&amp;" "&amp;IF($AN163="",IFERROR(VLOOKUP($Z163,CODES,2,FALSE),""),IFERROR(VLOOKUP($AN163,CODES,2,FALSE),""))&amp;IF($BJ163=2," PAIR","")&amp;" DOOR | "&amp;IF($AL163="","?",$AL163)&amp;" | "&amp;IF($AO163="",IFERROR(VLOOKUP($AC163,CODES,2,FALSE),""),IFERROR(VLOOKUP($AO163,CODES,2,FALSE),""))&amp;" "&amp;IFERROR(VLOOKUP($AP163,CODES,2,FALSE),"")&amp;IF(OR($AQ163="",$AQ163="-"),""," SEAM "&amp;$AQ163)&amp;IF($AR163="Y"," ASTRAGAL","")&amp;IF($AJ163=""," "," "&amp;$AJ163)&amp;IF($AK163=""," "," "&amp;$AK163)&amp;IF(OR($AT163="",$AT163="ANSI/SDI",$AT163="CUSTOM LOC"),""," "&amp;$AT163)&amp;IF($AM163=""," "," SERIES "&amp;$AM163)&amp;" "&amp;IFERROR(VLOOKUP($H163,CODES,2,FALSE),"")&amp;IF($CT163," | LOC "&amp;$CZ163,"")))</f>
        <v/>
      </c>
      <c r="CL163" s="84">
        <f>IF(CP163="","",IF(COUNTIF($CP$6:CP163,CP163)=1,MAX($CL$5:CL162)+1,INDEX($CL$5:CL162,MATCH(CP163,$CP$5:CP162,0))))</f>
        <v/>
      </c>
      <c r="CM163" s="84">
        <f>IF(NOT(AND($A163&lt;&gt;"",$C163&lt;&gt;"DOOR ONLY")),"",MAX($CM$5:CM162)+1)</f>
        <v/>
      </c>
      <c r="CN163" s="84">
        <f>IF(NOT(AND($A163&lt;&gt;"",N($BJ163)&gt;0)),"",MAX($CN$5:CN162)+1)</f>
        <v/>
      </c>
      <c r="CO163" s="84">
        <f>IF($A163="","",MAX($CO$5:CO162)+1)</f>
        <v/>
      </c>
      <c r="CP163" s="84">
        <f>IF(OR($A163="",$BH163="",$BI163=""),"",$BG163&amp;"|"&amp;$O163&amp;"|"&amp;$AL163&amp;"|"&amp;$S163&amp;"|"&amp;$P163&amp;"|"&amp;$Q163&amp;$R163&amp;"|"&amp;$C163&amp;"|"&amp;$AB163)</f>
        <v/>
      </c>
      <c r="CQ163" s="84">
        <f>N($BS163)</f>
        <v/>
      </c>
      <c r="CR163" s="84">
        <f>IF(N($AU163)&gt;0,N($AU163),4.5)</f>
        <v/>
      </c>
      <c r="CS163" s="84">
        <f>OR($A163="",$BI163="",$S163="BL",AND($C163="FRAME ONLY",OR($AC163="",$AC163="BLK")))</f>
        <v/>
      </c>
      <c r="CT163" s="84">
        <f>AND(NOT($CS163),OR($AT163="CUSTOM LOC",N($AW163)+N($AX163)+N($AY163)+N($AZ163)+N($BA163)&gt;0))</f>
        <v/>
      </c>
      <c r="CU163" s="84">
        <f>IF($BI163="","",IF($BI163&lt;=80,80,IF($BI163&lt;=84,84,96)))</f>
        <v/>
      </c>
      <c r="CV163" s="84">
        <f>ISNUMBER(MATCH($AT163&amp;"|80",LocKeys,0))</f>
        <v/>
      </c>
      <c r="CW163" s="86">
        <f>IF($CS163,"",IF($CV163,VLOOKUP($AT163&amp;"|"&amp;$CU163,LocTable,4,FALSE),5))</f>
        <v/>
      </c>
      <c r="CX163" s="86">
        <f>IF($CS163,"",IF($CV163,IF(OR($BI163=$CU163,AND($BI163&lt;$CU163,$BI163-IF(N(VLOOKUP($AT163&amp;"|"&amp;$CU163,LocTable,7,FALSE))&gt;0,VLOOKUP($AT163&amp;"|"&amp;$CU163,LocTable,7,FALSE),VLOOKUP($AT163&amp;"|"&amp;$CU163,LocTable,6,FALSE))-$CR163-0.75&gt;=2.125)),IF(N(VLOOKUP($AT163&amp;"|"&amp;$CU163,LocTable,7,FALSE))&gt;0,VLOOKUP($AT163&amp;"|"&amp;$CU163,LocTable,7,FALSE),VLOOKUP($AT163&amp;"|"&amp;$CU163,LocTable,6,FALSE)),$BI163-($CU163-IF(N(VLOOKUP($AT163&amp;"|"&amp;$CU163,LocTable,7,FALSE))&gt;0,VLOOKUP($AT163&amp;"|"&amp;$CU163,LocTable,7,FALSE),VLOOKUP($AT163&amp;"|"&amp;$CU163,LocTable,6,FALSE)))),$BI163-10-$CR163))</f>
        <v/>
      </c>
      <c r="CY163" s="85">
        <f>IF($CS163,"",TRIM(IF(ISNUMBER($BU163),"A "&amp;TRIM(TEXT($BU163,"# ?/??"))&amp;CHAR(34)&amp;"  ","")&amp;IF(ISNUMBER($BV163),"B "&amp;TRIM(TEXT($BV163,"# ?/??"))&amp;CHAR(34)&amp;"  ","")&amp;IF(ISNUMBER($BW163),"C "&amp;TRIM(TEXT($BW163,"# ?/??"))&amp;CHAR(34)&amp;"  ","")&amp;IF(ISNUMBER($BX163),"D "&amp;TRIM(TEXT($BX163,"# ?/??"))&amp;CHAR(34)&amp;"  ","")&amp;IF(ISNUMBER($BY163),"F "&amp;TRIM(TEXT($BY163,"# ?/??"))&amp;CHAR(34)&amp;"  ","")&amp;IF(ISNUMBER($BZ163),"E "&amp;TRIM(TEXT($BZ163,"# ?/??"))&amp;CHAR(34)&amp;"  ","")))</f>
        <v/>
      </c>
      <c r="CZ163" s="85">
        <f>IF(OR($CS163,N($BJ163)=0),"",TRIM(IF(ISNUMBER($BU163),"A "&amp;TRIM(TEXT($BU163-HeadClr,"# ?/??"))&amp;CHAR(34)&amp;"  ","")&amp;IF(ISNUMBER($BV163),"B "&amp;TRIM(TEXT($BV163-HeadClr,"# ?/??"))&amp;CHAR(34)&amp;"  ","")&amp;IF(ISNUMBER($BW163),"C "&amp;TRIM(TEXT($BW163-HeadClr,"# ?/??"))&amp;CHAR(34)&amp;"  ","")&amp;IF(ISNUMBER($BX163),"D "&amp;TRIM(TEXT($BX163-HeadClr,"# ?/??"))&amp;CHAR(34)&amp;"  ","")&amp;IF(ISNUMBER($BY163),"F "&amp;TRIM(TEXT($BY163-HeadClr,"# ?/??"))&amp;CHAR(34)&amp;"  ","")&amp;IF(ISNUMBER($BZ163),"E "&amp;TRIM(TEXT($BZ163-HeadClr,"# ?/??"))&amp;CHAR(34)&amp;"  ","")))</f>
        <v/>
      </c>
      <c r="DA163" s="84">
        <f>IF($A163="","",IF($AN163="",IFERROR(VLOOKUP($Z163,CODES,2,FALSE),""),IFERROR(VLOOKUP($AN163,CODES,2,FALSE),"")))</f>
        <v/>
      </c>
      <c r="DB163" s="84">
        <f>IF($A163="","",IF($O163="Y","PR",IF(OR($Z163="L",$Z163="RR",LEFT($Z163,2)="L-",LEFT($Z163,3)="RR-"),"LH","RH")))</f>
        <v/>
      </c>
      <c r="DC163" s="84">
        <f>IF($A163="","","S.HM"&amp;IF(OR($C163="DOOR ONLY",$X163&lt;&gt;"KD"),"MASONRY","DRYWALL")&amp;IF($C163="DOOR ONLY","",$U163)&amp;IF(AND($C163&lt;&gt;"FRAME ONLY",OR(LEFT($AH163,3)="OAK",LEFT($AH163,3)="BIR",LEFT($AH163,3)="MAP",$AH163="PC",$AH163="MC",$AH163="SCLC",$AH163="P-LAM")),"WD","HM")&amp;"1.75")</f>
        <v/>
      </c>
      <c r="DD163" s="84">
        <f>IF($CJ163="","",IF($O163="Y",$CJ163,SUBSTITUTE($CJ163,$BG163&amp;" "&amp;IFERROR(VLOOKUP($Z163,CODES,2,FALSE),"")&amp;" ",$BG163&amp;" ")))</f>
        <v/>
      </c>
      <c r="DE163" s="84">
        <f>IF($CK163="","",IF($O163="Y",$CK163,SUBSTITUTE($CK163,$BG163&amp;" "&amp;IF($AN163="",IFERROR(VLOOKUP($Z163,CODES,2,FALSE),""),IFERROR(VLOOKUP($AN163,CODES,2,FALSE),""))&amp;" ",$BG163&amp;" ")))</f>
        <v/>
      </c>
      <c r="DF163" s="84">
        <f>IF($CJ163="","",$DC163&amp;"|"&amp;$DD163&amp;"|"&amp;$DB163&amp;"|"&amp;$AT163&amp;"|"&amp;$V163&amp;"|"&amp;$Y163&amp;"|"&amp;$AB163)</f>
        <v/>
      </c>
      <c r="DG163" s="84">
        <f>IF(DF163="","",IF(COUNTIF($DF$6:DF163,DF163)=1,MAX($DG$5:DG162)+1,INDEX($DG$5:DG162,MATCH(DF163,$DF$5:DF162,0))))</f>
        <v/>
      </c>
      <c r="DH163" s="84">
        <f>IF($CK163="","",$DC163&amp;"|"&amp;$DE163&amp;"|"&amp;$AI163&amp;"|"&amp;$BK163&amp;"|"&amp;$BL163)</f>
        <v/>
      </c>
      <c r="DI163" s="84">
        <f>IF(DH163="","",IF(COUNTIF($DH$6:DH163,DH163)=1,MAX($DI$5:DI162)+1,INDEX($DI$5:DI162,MATCH(DH163,$DH$5:DH162,0))))</f>
        <v/>
      </c>
      <c r="DJ163" s="84">
        <f>IF($A163="","",IF($B163="","qty, ","")&amp;IF($C163="","scope, ","")&amp;IF(OR($K163="",$M163=""),"size, ","")&amp;IF(AND($A163&lt;&gt;"",$C163&lt;&gt;"DOOR ONLY"),IF($U163="","jamb depth, ","")&amp;IF($X163="","construction, ","")&amp;IF($Y163="","anchor, ","")&amp;IF($S163="","frame type, ",""),"")&amp;IF(AND(N($BJ163)&gt;0,$Z163=""),"hand, ","")&amp;IF(N($BJ163)&gt;0,IF($AH163="","door material, ","")&amp;IF($AL163="","face type, ","")&amp;IF($AP163="","lock prep, ","")&amp;IF(AND($AO163="",$AC163=""),"hinge prep, ",""),"")&amp;IF(AND($CH163&gt;0,$AH163="FRP"),"FRP cannot carry a label, ","")&amp;IF(AND($O163="Y",OR($Z163="L",$Z163="R",$Z163="LR",$Z163="RR")),"pair marked but hand is single, ","")&amp;IF(AND($O163&lt;&gt;"Y",OR($Z163="PR",AND(LEN($Z163)&gt;1,ISNUMBER(SEARCH("-",$Z163))))),"pair hand on a single door, ","")&amp;IF(AND(ISNUMBER($CI163),$CH163&lt;N($CI163)),"wall needs a "&amp;$CI163&amp;" min door, ","")&amp;IF(AND($CH163&gt;=180,AND(OR($CE163="FG",$CE163="HG",$CE163="FNV",$CE163="FV"),N($CF163)*N($CG163)&gt;100)),"180 min lite over 100 sq in, ","")&amp;IF(N($BK163)&gt;48,"leaf wider than 4'-0"&amp;CHAR(34)&amp;", ","")&amp;IF(AND($CT163,COUNT($AW163:$AZ163)=0,$CQ163&gt;0),"CUSTOM LOC with no locations typed, ",""))</f>
        <v/>
      </c>
      <c r="DK163" s="84">
        <f>IF($A163="","",IF(AND($CH163&gt;0,AND($A163&lt;&gt;"",$C163&lt;&gt;"DOOR ONLY"),$X163="KD",$E163="EXTERIOR"),"KD label on an exterior opening, ","")&amp;IF(AND($E163="EXTERIOR",OR(AND(AND($A163&lt;&gt;"",$C163&lt;&gt;"DOOR ONLY"),$W163="CR"),AND(N($BJ163)&gt;0,$AH163="CR"))),"exterior in CR steel (G9?), ","")&amp;IF(AND(ISNUMBER($BQ163),N($BQ163)&lt;32),"clear width ~"&amp;TEXT($BQ163,"0.0")&amp;CHAR(34)&amp;" under 32"&amp;CHAR(34)&amp;" (ADA), ","")&amp;IF(AND($CH163=90,AND(OR($CE163="FG",$CE163="HG",$CE163="FNV",$CE163="FV"),N($CF163)*N($CG163)&gt;100)),"90 min lite over 100 sq in (stair/exit), ","")&amp;IF(AND($CH163&gt;0,AND($A163&lt;&gt;"",$C163&lt;&gt;"DOOR ONLY"),OR($AF163="",$AF163="-")),"rated: closer reinf.?, ","")&amp;IF(OR($I163="CORRIDOR",$I163="SMOKE BARRIER"),"S label + smoke gasketing, ","")&amp;IF($CI163="?","wall type/hr not in IBC table, ","")&amp;IF(AND(N($BJ163)&gt;0,$BB163=""),"no hardware set, ","")&amp;IF(AND($BB163&lt;&gt;"",ISNA(MATCH($BB163&amp;"",HWSets,0))),"set "&amp;$BB163&amp;" not on HW Sets, ","")&amp;IF(N($BL163)&gt;96,"leaf over 8'-0"&amp;CHAR(34)&amp;" - check listing, ","")&amp;IF(AND($CT163,COUNT($AW163:$AZ163)&gt;0,COUNT($AW163:$AZ163)&lt;&gt;$CQ163),COUNT($AW163:$AZ163)&amp;" custom hinges typed, "&amp;$CQ163&amp;" expected, ","")&amp;IF(AND(ISNUMBER($CA163),OR(N($CA163)&lt;34,N($CA163)&gt;48)),"lock "&amp;TEXT($CA163,"0.0")&amp;CHAR(34)&amp;" AFF outside 34-48"&amp;CHAR(34)&amp;" (ADA), ","")&amp;IF(AND(ISNUMBER($AV163),ISNUMBER($BL163),N($AV163)&lt;IF(N($BL163)&lt;=60,2,IF(N($BL163)&lt;=90,3,IF(N($BL163)&lt;=120,4,5)))),"fewer hinges than standard, ",""))</f>
        <v/>
      </c>
    </row>
    <row r="164" ht="15" customHeight="1">
      <c r="A164" s="77" t="n"/>
      <c r="B164" s="78" t="n"/>
      <c r="C164" s="78" t="n"/>
      <c r="D164" s="78" t="n"/>
      <c r="E164" s="78" t="n"/>
      <c r="F164" s="78" t="n"/>
      <c r="G164" s="78" t="n"/>
      <c r="H164" s="78" t="n"/>
      <c r="I164" s="78" t="n"/>
      <c r="J164" s="78" t="n"/>
      <c r="K164" s="78" t="n"/>
      <c r="L164" s="78" t="n"/>
      <c r="M164" s="78" t="n"/>
      <c r="N164" s="78" t="n"/>
      <c r="O164" s="78" t="n"/>
      <c r="P164" s="78" t="n"/>
      <c r="Q164" s="78" t="n"/>
      <c r="R164" s="78" t="n"/>
      <c r="S164" s="79" t="n"/>
      <c r="T164" s="79" t="n"/>
      <c r="U164" s="79" t="n"/>
      <c r="V164" s="79" t="n"/>
      <c r="W164" s="79" t="n"/>
      <c r="X164" s="79" t="n"/>
      <c r="Y164" s="79" t="n"/>
      <c r="Z164" s="79" t="n"/>
      <c r="AA164" s="79" t="n"/>
      <c r="AB164" s="79" t="n"/>
      <c r="AC164" s="79" t="n"/>
      <c r="AD164" s="79" t="n"/>
      <c r="AE164" s="79" t="n"/>
      <c r="AF164" s="79" t="n"/>
      <c r="AG164" s="79" t="n"/>
      <c r="AH164" s="80" t="n"/>
      <c r="AI164" s="80" t="n"/>
      <c r="AJ164" s="80" t="n"/>
      <c r="AK164" s="80" t="n"/>
      <c r="AL164" s="80" t="n"/>
      <c r="AM164" s="80" t="n"/>
      <c r="AN164" s="80" t="n"/>
      <c r="AO164" s="80" t="n"/>
      <c r="AP164" s="80" t="n"/>
      <c r="AQ164" s="80" t="n"/>
      <c r="AR164" s="80" t="n"/>
      <c r="AS164" s="80" t="n"/>
      <c r="AT164" s="81" t="n"/>
      <c r="AU164" s="81" t="n"/>
      <c r="AV164" s="81" t="n"/>
      <c r="AW164" s="82" t="n"/>
      <c r="AX164" s="82" t="n"/>
      <c r="AY164" s="82" t="n"/>
      <c r="AZ164" s="82" t="n"/>
      <c r="BA164" s="82" t="n"/>
      <c r="BB164" s="83" t="n"/>
      <c r="BC164" s="83" t="n"/>
      <c r="BD164" s="84">
        <f>IF($A164="","",IF($DJ164&lt;&gt;"","FIX",IF($DK164&lt;&gt;"","CHECK","OK")))</f>
        <v/>
      </c>
      <c r="BE164" s="85">
        <f>IF($A164="","",IF($DJ164&lt;&gt;"","FIX: "&amp;LEFT($DJ164,LEN($DJ164)-2)&amp;IF($DK164&lt;&gt;"","  ·  ",""),"")&amp;IF($DK164&lt;&gt;"","CHECK: "&amp;LEFT($DK164,LEN($DK164)-2),""))</f>
        <v/>
      </c>
      <c r="BF164" s="84">
        <f>IF(OR($A164="",$K164=""),"",$K164&amp;"'-"&amp;N($L164)&amp;CHAR(34)&amp;" x "&amp;$M164&amp;"'-"&amp;N($N164)&amp;CHAR(34))</f>
        <v/>
      </c>
      <c r="BG164" s="84">
        <f>IF(OR($A164="",$K164=""),"",$K164&amp;N($L164)&amp;$M164&amp;N($N164))</f>
        <v/>
      </c>
      <c r="BH164" s="84">
        <f>IF(OR($A164="",$K164=""),"",$K164*12+N($L164))</f>
        <v/>
      </c>
      <c r="BI164" s="84">
        <f>IF(OR($A164="",$M164=""),"",$M164*12+N($N164))</f>
        <v/>
      </c>
      <c r="BJ164" s="84">
        <f>IF($A164="","",IF(OR($C164="FRAME ONLY",$S164="BL"),0,IF($O164="Y",2,1)))</f>
        <v/>
      </c>
      <c r="BK164" s="86">
        <f>IF(OR(N($BJ164)=0,$BH164=""),"",($BH164-2*EdgeClr-IF($BJ164=2,MeetClr,0))/$BJ164)</f>
        <v/>
      </c>
      <c r="BL164" s="86">
        <f>IF(OR(N($BJ164)=0,$BI164=""),"",$BI164-HeadClr-Undercut)</f>
        <v/>
      </c>
      <c r="BM164" s="86">
        <f>IF($BH164="","",$BH164+2*FaceW+IF(N($Q164)&gt;0,($Q164+FaceW)*IF($R164="LR",2,1),0))</f>
        <v/>
      </c>
      <c r="BN164" s="86">
        <f>IF($BI164="","",$BI164+IF($AB164="Y",4,FaceW)+IF(N($P164)&gt;0,$P164+FaceW,0)+IF(OR($S164="4F",$S164="BL"),FaceW,0))</f>
        <v/>
      </c>
      <c r="BO164" s="86">
        <f>IF($BM164="","",$BM164+2*ROSide)</f>
        <v/>
      </c>
      <c r="BP164" s="86">
        <f>IF($BN164="","",$BN164+ROTop)</f>
        <v/>
      </c>
      <c r="BQ164" s="87">
        <f>IF(OR(N($BJ164)=0,$BH164=""),"",$BH164/$BJ164-ClearDeduct)</f>
        <v/>
      </c>
      <c r="BR164" s="84">
        <f>IF(N($CH164)=0,"",IF($CH164&gt;=180,"A · 3 HR",IF($CH164&gt;=90,"B · 1-1/2 HR",IF($CH164&gt;=60,"B · 1 HR",IF($CH164&gt;=45,"C · 3/4 HR","20 MIN")))))&amp;IF(AND(N($CH164)&gt;0,OR($I164="CORRIDOR",$I164="SMOKE BARRIER"))," · S","")</f>
        <v/>
      </c>
      <c r="BS164" s="84">
        <f>IF($CS164,"",IF($AV164&lt;&gt;"",$AV164,IF(OR($AC164="HGC",$AO164="HGC"),"CONT",IF(($BI164-HeadClr-Undercut)&lt;=60,2,IF(($BI164-HeadClr-Undercut)&lt;=90,3,IF(($BI164-HeadClr-Undercut)&lt;=120,4,5))))))</f>
        <v/>
      </c>
      <c r="BT164" s="84">
        <f>IF($CS164,"",IF($CT164,"CUSTOM (typed)",IF($CV164,$AT164&amp;" "&amp;$CU164&amp;CHAR(34)&amp;IF($CU164&lt;&gt;$BI164,IF(AND($BI164&lt;$CU164,$BI164-IF(N(VLOOKUP($AT164&amp;"|"&amp;$CU164,LocTable,7,FALSE))&gt;0,VLOOKUP($AT164&amp;"|"&amp;$CU164,LocTable,7,FALSE),VLOOKUP($AT164&amp;"|"&amp;$CU164,LocTable,6,FALSE))-$CR164-0.75&gt;=2.125)," cut down"," adj."),""),"ANSI/SDI A250.6")))</f>
        <v/>
      </c>
      <c r="BU164" s="88">
        <f>IF($CS164,"",IF($CT164,IF(N($AW164)&gt;0,N($AW164),""),IF(1&gt;$CQ164,"",IF($CQ164=1,$CW164,$CW164+($CX164-$CW164)*0/($CQ164-1)))))</f>
        <v/>
      </c>
      <c r="BV164" s="88">
        <f>IF($CS164,"",IF($CT164,IF(N($AX164)&gt;0,N($AX164),""),IF(2&gt;$CQ164,"",IF($CQ164=1,$CW164,$CW164+($CX164-$CW164)*1/($CQ164-1)))))</f>
        <v/>
      </c>
      <c r="BW164" s="88">
        <f>IF($CS164,"",IF($CT164,IF(N($AY164)&gt;0,N($AY164),""),IF(3&gt;$CQ164,"",IF($CQ164=1,$CW164,$CW164+($CX164-$CW164)*2/($CQ164-1)))))</f>
        <v/>
      </c>
      <c r="BX164" s="88">
        <f>IF($CS164,"",IF($CT164,IF(N($AZ164)&gt;0,N($AZ164),""),IF(4&gt;$CQ164,"",IF($CQ164=1,$CW164,$CW164+($CX164-$CW164)*3/($CQ164-1)))))</f>
        <v/>
      </c>
      <c r="BY164" s="88">
        <f>IF($CS164,"",IF($CT164,"",IF(5&gt;$CQ164,"",IF($CQ164=1,$CW164,$CW164+($CX164-$CW164)*4/($CQ164-1)))))</f>
        <v/>
      </c>
      <c r="BZ164" s="88">
        <f>IF(OR($CS164,$AP164="-",AND($AP164="",$AD164="")),"",IF(N($BA164)&gt;0,N($BA164),IF($CV164,IF(AND($BI164&lt;$CU164,$BI164-IF(N(VLOOKUP($AT164&amp;"|"&amp;$CU164,LocTable,7,FALSE))&gt;0,VLOOKUP($AT164&amp;"|"&amp;$CU164,LocTable,7,FALSE),VLOOKUP($AT164&amp;"|"&amp;$CU164,LocTable,6,FALSE))-$CR164-0.75&gt;=2.125),VLOOKUP($AT164&amp;"|"&amp;$CU164,LocTable,8,FALSE),VLOOKUP($AT164&amp;"|"&amp;$CU164,LocTable,8,FALSE)+($BI164-$CU164)),$BI164-LockAFF)))</f>
        <v/>
      </c>
      <c r="CA164" s="89">
        <f>IF($BZ164="","",$BI164-$BZ164)</f>
        <v/>
      </c>
      <c r="CB164" s="84">
        <f>IF(OR(NOT(AND($A164&lt;&gt;"",$C164&lt;&gt;"DOOR ONLY")),$BI164=""),"",IF(($BI164+IF(N($P164)&gt;0,$P164+FaceW,0))&lt;=90,3,IF(($BI164+IF(N($P164)&gt;0,$P164+FaceW,0))&lt;=114,4,5)))</f>
        <v/>
      </c>
      <c r="CC164" s="84">
        <f>IF($CB164="","",$CB164*(2+IF(N($Q164)&gt;0,IF($R164="LR",2,1),0)))</f>
        <v/>
      </c>
      <c r="CD164" s="84">
        <f>IF($CB164="","",(2+IF(N($Q164)&gt;0,IF($R164="LR",2,1),0)))</f>
        <v/>
      </c>
      <c r="CE164" s="84">
        <f>IF(N($BJ164)=0,"",IF(OR($AL164="",$AL164="FLUSH"),"FLUSH",IFERROR(LEFT($AL164,FIND("-",$AL164)-1),LEFT($AL164,2))))</f>
        <v/>
      </c>
      <c r="CF164" s="84">
        <f>IF($CE164="","",IFERROR(VALUE(MID($AL164,FIND("-",$AL164)+1,FIND(CHAR(34)&amp;"x",$AL164)-FIND("-",$AL164)-1)),0))</f>
        <v/>
      </c>
      <c r="CG164" s="84">
        <f>IF($CE164="","",IFERROR(VALUE(MID($AL164,FIND(CHAR(34)&amp;"x",$AL164)+2,FIND(CHAR(34),$AL164,FIND(CHAR(34)&amp;"x",$AL164)+2)-FIND(CHAR(34)&amp;"x",$AL164)-2)),0))</f>
        <v/>
      </c>
      <c r="CH164" s="90">
        <f>IF(OR($A164="",$H164="",$H164="NO LAB"),0,IFERROR(VALUE(LEFT($H164,FIND(" ",$H164)-1)),0))</f>
        <v/>
      </c>
      <c r="CI164" s="91">
        <f>IF(OR($A164="",$I164="",$I164="NON-RATED",N($J164)=0),"",IFERROR(VLOOKUP($I164&amp;"|"&amp;$J164,IBC,2,FALSE),"?"))</f>
        <v/>
      </c>
      <c r="CJ164" s="85">
        <f>IF(NOT(AND($A164&lt;&gt;"",$C164&lt;&gt;"DOOR ONLY")),"",TRIM(IFERROR(VLOOKUP($U164,CODES,2,FALSE),"")&amp;" "&amp;$BG164&amp;" "&amp;IFERROR(VLOOKUP($Z164,CODES,2,FALSE),"")&amp;" "&amp;IFERROR(VLOOKUP($X164,CODES,2,FALSE),"")&amp;" "&amp;IFERROR(VLOOKUP($S164,CODES,2,FALSE),"")&amp;IF(N($P164)&gt;0," w/TRANSOM "&amp;$P164&amp;CHAR(34),"")&amp;IF(N($Q164)&gt;0," w/SIDELITE "&amp;$Q164&amp;CHAR(34)&amp;" "&amp;IF($R164="","R",$R164),"")&amp;IF($Y164="","  |  "," | "&amp;IFERROR(VLOOKUP($Y164,CODES,2,FALSE),"")&amp;" | ")&amp;IFERROR(VLOOKUP($AC164,CODES,2,FALSE),"")&amp;" "&amp;IFERROR(VLOOKUP($AD164,CODES,2,FALSE),"")&amp;IF(OR($AE164="",$AE164="-"),""," "&amp;$AE164)&amp;IF(OR($AF164="",$AF164="-"),""," "&amp;$AF164)&amp;IF($AB164="Y"," 4"&amp;CHAR(34)&amp;" HEAD","")&amp;" "&amp;IFERROR(VLOOKUP($H164,CODES,2,FALSE),"")&amp;IF($CT164," | LOC "&amp;$CY164,"")))</f>
        <v/>
      </c>
      <c r="CK164" s="85">
        <f>IF(NOT(AND($A164&lt;&gt;"",N($BJ164)&gt;0)),"",TRIM(IFERROR(VLOOKUP($AH164,CODES,2,FALSE),"")&amp;IF($AI164=""," "," "&amp;$AI164&amp;"GA ")&amp;$BG164&amp;" "&amp;IF($AN164="",IFERROR(VLOOKUP($Z164,CODES,2,FALSE),""),IFERROR(VLOOKUP($AN164,CODES,2,FALSE),""))&amp;IF($BJ164=2," PAIR","")&amp;" DOOR | "&amp;IF($AL164="","?",$AL164)&amp;" | "&amp;IF($AO164="",IFERROR(VLOOKUP($AC164,CODES,2,FALSE),""),IFERROR(VLOOKUP($AO164,CODES,2,FALSE),""))&amp;" "&amp;IFERROR(VLOOKUP($AP164,CODES,2,FALSE),"")&amp;IF(OR($AQ164="",$AQ164="-"),""," SEAM "&amp;$AQ164)&amp;IF($AR164="Y"," ASTRAGAL","")&amp;IF($AJ164=""," "," "&amp;$AJ164)&amp;IF($AK164=""," "," "&amp;$AK164)&amp;IF(OR($AT164="",$AT164="ANSI/SDI",$AT164="CUSTOM LOC"),""," "&amp;$AT164)&amp;IF($AM164=""," "," SERIES "&amp;$AM164)&amp;" "&amp;IFERROR(VLOOKUP($H164,CODES,2,FALSE),"")&amp;IF($CT164," | LOC "&amp;$CZ164,"")))</f>
        <v/>
      </c>
      <c r="CL164" s="84">
        <f>IF(CP164="","",IF(COUNTIF($CP$6:CP164,CP164)=1,MAX($CL$5:CL163)+1,INDEX($CL$5:CL163,MATCH(CP164,$CP$5:CP163,0))))</f>
        <v/>
      </c>
      <c r="CM164" s="84">
        <f>IF(NOT(AND($A164&lt;&gt;"",$C164&lt;&gt;"DOOR ONLY")),"",MAX($CM$5:CM163)+1)</f>
        <v/>
      </c>
      <c r="CN164" s="84">
        <f>IF(NOT(AND($A164&lt;&gt;"",N($BJ164)&gt;0)),"",MAX($CN$5:CN163)+1)</f>
        <v/>
      </c>
      <c r="CO164" s="84">
        <f>IF($A164="","",MAX($CO$5:CO163)+1)</f>
        <v/>
      </c>
      <c r="CP164" s="84">
        <f>IF(OR($A164="",$BH164="",$BI164=""),"",$BG164&amp;"|"&amp;$O164&amp;"|"&amp;$AL164&amp;"|"&amp;$S164&amp;"|"&amp;$P164&amp;"|"&amp;$Q164&amp;$R164&amp;"|"&amp;$C164&amp;"|"&amp;$AB164)</f>
        <v/>
      </c>
      <c r="CQ164" s="84">
        <f>N($BS164)</f>
        <v/>
      </c>
      <c r="CR164" s="84">
        <f>IF(N($AU164)&gt;0,N($AU164),4.5)</f>
        <v/>
      </c>
      <c r="CS164" s="84">
        <f>OR($A164="",$BI164="",$S164="BL",AND($C164="FRAME ONLY",OR($AC164="",$AC164="BLK")))</f>
        <v/>
      </c>
      <c r="CT164" s="84">
        <f>AND(NOT($CS164),OR($AT164="CUSTOM LOC",N($AW164)+N($AX164)+N($AY164)+N($AZ164)+N($BA164)&gt;0))</f>
        <v/>
      </c>
      <c r="CU164" s="84">
        <f>IF($BI164="","",IF($BI164&lt;=80,80,IF($BI164&lt;=84,84,96)))</f>
        <v/>
      </c>
      <c r="CV164" s="84">
        <f>ISNUMBER(MATCH($AT164&amp;"|80",LocKeys,0))</f>
        <v/>
      </c>
      <c r="CW164" s="86">
        <f>IF($CS164,"",IF($CV164,VLOOKUP($AT164&amp;"|"&amp;$CU164,LocTable,4,FALSE),5))</f>
        <v/>
      </c>
      <c r="CX164" s="86">
        <f>IF($CS164,"",IF($CV164,IF(OR($BI164=$CU164,AND($BI164&lt;$CU164,$BI164-IF(N(VLOOKUP($AT164&amp;"|"&amp;$CU164,LocTable,7,FALSE))&gt;0,VLOOKUP($AT164&amp;"|"&amp;$CU164,LocTable,7,FALSE),VLOOKUP($AT164&amp;"|"&amp;$CU164,LocTable,6,FALSE))-$CR164-0.75&gt;=2.125)),IF(N(VLOOKUP($AT164&amp;"|"&amp;$CU164,LocTable,7,FALSE))&gt;0,VLOOKUP($AT164&amp;"|"&amp;$CU164,LocTable,7,FALSE),VLOOKUP($AT164&amp;"|"&amp;$CU164,LocTable,6,FALSE)),$BI164-($CU164-IF(N(VLOOKUP($AT164&amp;"|"&amp;$CU164,LocTable,7,FALSE))&gt;0,VLOOKUP($AT164&amp;"|"&amp;$CU164,LocTable,7,FALSE),VLOOKUP($AT164&amp;"|"&amp;$CU164,LocTable,6,FALSE)))),$BI164-10-$CR164))</f>
        <v/>
      </c>
      <c r="CY164" s="85">
        <f>IF($CS164,"",TRIM(IF(ISNUMBER($BU164),"A "&amp;TRIM(TEXT($BU164,"# ?/??"))&amp;CHAR(34)&amp;"  ","")&amp;IF(ISNUMBER($BV164),"B "&amp;TRIM(TEXT($BV164,"# ?/??"))&amp;CHAR(34)&amp;"  ","")&amp;IF(ISNUMBER($BW164),"C "&amp;TRIM(TEXT($BW164,"# ?/??"))&amp;CHAR(34)&amp;"  ","")&amp;IF(ISNUMBER($BX164),"D "&amp;TRIM(TEXT($BX164,"# ?/??"))&amp;CHAR(34)&amp;"  ","")&amp;IF(ISNUMBER($BY164),"F "&amp;TRIM(TEXT($BY164,"# ?/??"))&amp;CHAR(34)&amp;"  ","")&amp;IF(ISNUMBER($BZ164),"E "&amp;TRIM(TEXT($BZ164,"# ?/??"))&amp;CHAR(34)&amp;"  ","")))</f>
        <v/>
      </c>
      <c r="CZ164" s="85">
        <f>IF(OR($CS164,N($BJ164)=0),"",TRIM(IF(ISNUMBER($BU164),"A "&amp;TRIM(TEXT($BU164-HeadClr,"# ?/??"))&amp;CHAR(34)&amp;"  ","")&amp;IF(ISNUMBER($BV164),"B "&amp;TRIM(TEXT($BV164-HeadClr,"# ?/??"))&amp;CHAR(34)&amp;"  ","")&amp;IF(ISNUMBER($BW164),"C "&amp;TRIM(TEXT($BW164-HeadClr,"# ?/??"))&amp;CHAR(34)&amp;"  ","")&amp;IF(ISNUMBER($BX164),"D "&amp;TRIM(TEXT($BX164-HeadClr,"# ?/??"))&amp;CHAR(34)&amp;"  ","")&amp;IF(ISNUMBER($BY164),"F "&amp;TRIM(TEXT($BY164-HeadClr,"# ?/??"))&amp;CHAR(34)&amp;"  ","")&amp;IF(ISNUMBER($BZ164),"E "&amp;TRIM(TEXT($BZ164-HeadClr,"# ?/??"))&amp;CHAR(34)&amp;"  ","")))</f>
        <v/>
      </c>
      <c r="DA164" s="84">
        <f>IF($A164="","",IF($AN164="",IFERROR(VLOOKUP($Z164,CODES,2,FALSE),""),IFERROR(VLOOKUP($AN164,CODES,2,FALSE),"")))</f>
        <v/>
      </c>
      <c r="DB164" s="84">
        <f>IF($A164="","",IF($O164="Y","PR",IF(OR($Z164="L",$Z164="RR",LEFT($Z164,2)="L-",LEFT($Z164,3)="RR-"),"LH","RH")))</f>
        <v/>
      </c>
      <c r="DC164" s="84">
        <f>IF($A164="","","S.HM"&amp;IF(OR($C164="DOOR ONLY",$X164&lt;&gt;"KD"),"MASONRY","DRYWALL")&amp;IF($C164="DOOR ONLY","",$U164)&amp;IF(AND($C164&lt;&gt;"FRAME ONLY",OR(LEFT($AH164,3)="OAK",LEFT($AH164,3)="BIR",LEFT($AH164,3)="MAP",$AH164="PC",$AH164="MC",$AH164="SCLC",$AH164="P-LAM")),"WD","HM")&amp;"1.75")</f>
        <v/>
      </c>
      <c r="DD164" s="84">
        <f>IF($CJ164="","",IF($O164="Y",$CJ164,SUBSTITUTE($CJ164,$BG164&amp;" "&amp;IFERROR(VLOOKUP($Z164,CODES,2,FALSE),"")&amp;" ",$BG164&amp;" ")))</f>
        <v/>
      </c>
      <c r="DE164" s="84">
        <f>IF($CK164="","",IF($O164="Y",$CK164,SUBSTITUTE($CK164,$BG164&amp;" "&amp;IF($AN164="",IFERROR(VLOOKUP($Z164,CODES,2,FALSE),""),IFERROR(VLOOKUP($AN164,CODES,2,FALSE),""))&amp;" ",$BG164&amp;" ")))</f>
        <v/>
      </c>
      <c r="DF164" s="84">
        <f>IF($CJ164="","",$DC164&amp;"|"&amp;$DD164&amp;"|"&amp;$DB164&amp;"|"&amp;$AT164&amp;"|"&amp;$V164&amp;"|"&amp;$Y164&amp;"|"&amp;$AB164)</f>
        <v/>
      </c>
      <c r="DG164" s="84">
        <f>IF(DF164="","",IF(COUNTIF($DF$6:DF164,DF164)=1,MAX($DG$5:DG163)+1,INDEX($DG$5:DG163,MATCH(DF164,$DF$5:DF163,0))))</f>
        <v/>
      </c>
      <c r="DH164" s="84">
        <f>IF($CK164="","",$DC164&amp;"|"&amp;$DE164&amp;"|"&amp;$AI164&amp;"|"&amp;$BK164&amp;"|"&amp;$BL164)</f>
        <v/>
      </c>
      <c r="DI164" s="84">
        <f>IF(DH164="","",IF(COUNTIF($DH$6:DH164,DH164)=1,MAX($DI$5:DI163)+1,INDEX($DI$5:DI163,MATCH(DH164,$DH$5:DH163,0))))</f>
        <v/>
      </c>
      <c r="DJ164" s="84">
        <f>IF($A164="","",IF($B164="","qty, ","")&amp;IF($C164="","scope, ","")&amp;IF(OR($K164="",$M164=""),"size, ","")&amp;IF(AND($A164&lt;&gt;"",$C164&lt;&gt;"DOOR ONLY"),IF($U164="","jamb depth, ","")&amp;IF($X164="","construction, ","")&amp;IF($Y164="","anchor, ","")&amp;IF($S164="","frame type, ",""),"")&amp;IF(AND(N($BJ164)&gt;0,$Z164=""),"hand, ","")&amp;IF(N($BJ164)&gt;0,IF($AH164="","door material, ","")&amp;IF($AL164="","face type, ","")&amp;IF($AP164="","lock prep, ","")&amp;IF(AND($AO164="",$AC164=""),"hinge prep, ",""),"")&amp;IF(AND($CH164&gt;0,$AH164="FRP"),"FRP cannot carry a label, ","")&amp;IF(AND($O164="Y",OR($Z164="L",$Z164="R",$Z164="LR",$Z164="RR")),"pair marked but hand is single, ","")&amp;IF(AND($O164&lt;&gt;"Y",OR($Z164="PR",AND(LEN($Z164)&gt;1,ISNUMBER(SEARCH("-",$Z164))))),"pair hand on a single door, ","")&amp;IF(AND(ISNUMBER($CI164),$CH164&lt;N($CI164)),"wall needs a "&amp;$CI164&amp;" min door, ","")&amp;IF(AND($CH164&gt;=180,AND(OR($CE164="FG",$CE164="HG",$CE164="FNV",$CE164="FV"),N($CF164)*N($CG164)&gt;100)),"180 min lite over 100 sq in, ","")&amp;IF(N($BK164)&gt;48,"leaf wider than 4'-0"&amp;CHAR(34)&amp;", ","")&amp;IF(AND($CT164,COUNT($AW164:$AZ164)=0,$CQ164&gt;0),"CUSTOM LOC with no locations typed, ",""))</f>
        <v/>
      </c>
      <c r="DK164" s="84">
        <f>IF($A164="","",IF(AND($CH164&gt;0,AND($A164&lt;&gt;"",$C164&lt;&gt;"DOOR ONLY"),$X164="KD",$E164="EXTERIOR"),"KD label on an exterior opening, ","")&amp;IF(AND($E164="EXTERIOR",OR(AND(AND($A164&lt;&gt;"",$C164&lt;&gt;"DOOR ONLY"),$W164="CR"),AND(N($BJ164)&gt;0,$AH164="CR"))),"exterior in CR steel (G9?), ","")&amp;IF(AND(ISNUMBER($BQ164),N($BQ164)&lt;32),"clear width ~"&amp;TEXT($BQ164,"0.0")&amp;CHAR(34)&amp;" under 32"&amp;CHAR(34)&amp;" (ADA), ","")&amp;IF(AND($CH164=90,AND(OR($CE164="FG",$CE164="HG",$CE164="FNV",$CE164="FV"),N($CF164)*N($CG164)&gt;100)),"90 min lite over 100 sq in (stair/exit), ","")&amp;IF(AND($CH164&gt;0,AND($A164&lt;&gt;"",$C164&lt;&gt;"DOOR ONLY"),OR($AF164="",$AF164="-")),"rated: closer reinf.?, ","")&amp;IF(OR($I164="CORRIDOR",$I164="SMOKE BARRIER"),"S label + smoke gasketing, ","")&amp;IF($CI164="?","wall type/hr not in IBC table, ","")&amp;IF(AND(N($BJ164)&gt;0,$BB164=""),"no hardware set, ","")&amp;IF(AND($BB164&lt;&gt;"",ISNA(MATCH($BB164&amp;"",HWSets,0))),"set "&amp;$BB164&amp;" not on HW Sets, ","")&amp;IF(N($BL164)&gt;96,"leaf over 8'-0"&amp;CHAR(34)&amp;" - check listing, ","")&amp;IF(AND($CT164,COUNT($AW164:$AZ164)&gt;0,COUNT($AW164:$AZ164)&lt;&gt;$CQ164),COUNT($AW164:$AZ164)&amp;" custom hinges typed, "&amp;$CQ164&amp;" expected, ","")&amp;IF(AND(ISNUMBER($CA164),OR(N($CA164)&lt;34,N($CA164)&gt;48)),"lock "&amp;TEXT($CA164,"0.0")&amp;CHAR(34)&amp;" AFF outside 34-48"&amp;CHAR(34)&amp;" (ADA), ","")&amp;IF(AND(ISNUMBER($AV164),ISNUMBER($BL164),N($AV164)&lt;IF(N($BL164)&lt;=60,2,IF(N($BL164)&lt;=90,3,IF(N($BL164)&lt;=120,4,5)))),"fewer hinges than standard, ",""))</f>
        <v/>
      </c>
    </row>
    <row r="165" ht="15" customHeight="1">
      <c r="A165" s="92" t="n"/>
      <c r="B165" s="93" t="n"/>
      <c r="C165" s="93" t="n"/>
      <c r="D165" s="93" t="n"/>
      <c r="E165" s="93" t="n"/>
      <c r="F165" s="93" t="n"/>
      <c r="G165" s="93" t="n"/>
      <c r="H165" s="93" t="n"/>
      <c r="I165" s="93" t="n"/>
      <c r="J165" s="93" t="n"/>
      <c r="K165" s="93" t="n"/>
      <c r="L165" s="93" t="n"/>
      <c r="M165" s="93" t="n"/>
      <c r="N165" s="93" t="n"/>
      <c r="O165" s="93" t="n"/>
      <c r="P165" s="93" t="n"/>
      <c r="Q165" s="93" t="n"/>
      <c r="R165" s="93" t="n"/>
      <c r="S165" s="94" t="n"/>
      <c r="T165" s="94" t="n"/>
      <c r="U165" s="94" t="n"/>
      <c r="V165" s="94" t="n"/>
      <c r="W165" s="94" t="n"/>
      <c r="X165" s="94" t="n"/>
      <c r="Y165" s="94" t="n"/>
      <c r="Z165" s="94" t="n"/>
      <c r="AA165" s="94" t="n"/>
      <c r="AB165" s="94" t="n"/>
      <c r="AC165" s="94" t="n"/>
      <c r="AD165" s="94" t="n"/>
      <c r="AE165" s="94" t="n"/>
      <c r="AF165" s="94" t="n"/>
      <c r="AG165" s="94" t="n"/>
      <c r="AH165" s="95" t="n"/>
      <c r="AI165" s="95" t="n"/>
      <c r="AJ165" s="95" t="n"/>
      <c r="AK165" s="95" t="n"/>
      <c r="AL165" s="95" t="n"/>
      <c r="AM165" s="95" t="n"/>
      <c r="AN165" s="95" t="n"/>
      <c r="AO165" s="95" t="n"/>
      <c r="AP165" s="95" t="n"/>
      <c r="AQ165" s="95" t="n"/>
      <c r="AR165" s="95" t="n"/>
      <c r="AS165" s="95" t="n"/>
      <c r="AT165" s="96" t="n"/>
      <c r="AU165" s="96" t="n"/>
      <c r="AV165" s="96" t="n"/>
      <c r="AW165" s="97" t="n"/>
      <c r="AX165" s="97" t="n"/>
      <c r="AY165" s="97" t="n"/>
      <c r="AZ165" s="97" t="n"/>
      <c r="BA165" s="97" t="n"/>
      <c r="BB165" s="98" t="n"/>
      <c r="BC165" s="98" t="n"/>
      <c r="BD165" s="99">
        <f>IF($A165="","",IF($DJ165&lt;&gt;"","FIX",IF($DK165&lt;&gt;"","CHECK","OK")))</f>
        <v/>
      </c>
      <c r="BE165" s="100">
        <f>IF($A165="","",IF($DJ165&lt;&gt;"","FIX: "&amp;LEFT($DJ165,LEN($DJ165)-2)&amp;IF($DK165&lt;&gt;"","  ·  ",""),"")&amp;IF($DK165&lt;&gt;"","CHECK: "&amp;LEFT($DK165,LEN($DK165)-2),""))</f>
        <v/>
      </c>
      <c r="BF165" s="99">
        <f>IF(OR($A165="",$K165=""),"",$K165&amp;"'-"&amp;N($L165)&amp;CHAR(34)&amp;" x "&amp;$M165&amp;"'-"&amp;N($N165)&amp;CHAR(34))</f>
        <v/>
      </c>
      <c r="BG165" s="99">
        <f>IF(OR($A165="",$K165=""),"",$K165&amp;N($L165)&amp;$M165&amp;N($N165))</f>
        <v/>
      </c>
      <c r="BH165" s="99">
        <f>IF(OR($A165="",$K165=""),"",$K165*12+N($L165))</f>
        <v/>
      </c>
      <c r="BI165" s="99">
        <f>IF(OR($A165="",$M165=""),"",$M165*12+N($N165))</f>
        <v/>
      </c>
      <c r="BJ165" s="99">
        <f>IF($A165="","",IF(OR($C165="FRAME ONLY",$S165="BL"),0,IF($O165="Y",2,1)))</f>
        <v/>
      </c>
      <c r="BK165" s="101">
        <f>IF(OR(N($BJ165)=0,$BH165=""),"",($BH165-2*EdgeClr-IF($BJ165=2,MeetClr,0))/$BJ165)</f>
        <v/>
      </c>
      <c r="BL165" s="101">
        <f>IF(OR(N($BJ165)=0,$BI165=""),"",$BI165-HeadClr-Undercut)</f>
        <v/>
      </c>
      <c r="BM165" s="101">
        <f>IF($BH165="","",$BH165+2*FaceW+IF(N($Q165)&gt;0,($Q165+FaceW)*IF($R165="LR",2,1),0))</f>
        <v/>
      </c>
      <c r="BN165" s="101">
        <f>IF($BI165="","",$BI165+IF($AB165="Y",4,FaceW)+IF(N($P165)&gt;0,$P165+FaceW,0)+IF(OR($S165="4F",$S165="BL"),FaceW,0))</f>
        <v/>
      </c>
      <c r="BO165" s="101">
        <f>IF($BM165="","",$BM165+2*ROSide)</f>
        <v/>
      </c>
      <c r="BP165" s="101">
        <f>IF($BN165="","",$BN165+ROTop)</f>
        <v/>
      </c>
      <c r="BQ165" s="102">
        <f>IF(OR(N($BJ165)=0,$BH165=""),"",$BH165/$BJ165-ClearDeduct)</f>
        <v/>
      </c>
      <c r="BR165" s="99">
        <f>IF(N($CH165)=0,"",IF($CH165&gt;=180,"A · 3 HR",IF($CH165&gt;=90,"B · 1-1/2 HR",IF($CH165&gt;=60,"B · 1 HR",IF($CH165&gt;=45,"C · 3/4 HR","20 MIN")))))&amp;IF(AND(N($CH165)&gt;0,OR($I165="CORRIDOR",$I165="SMOKE BARRIER"))," · S","")</f>
        <v/>
      </c>
      <c r="BS165" s="99">
        <f>IF($CS165,"",IF($AV165&lt;&gt;"",$AV165,IF(OR($AC165="HGC",$AO165="HGC"),"CONT",IF(($BI165-HeadClr-Undercut)&lt;=60,2,IF(($BI165-HeadClr-Undercut)&lt;=90,3,IF(($BI165-HeadClr-Undercut)&lt;=120,4,5))))))</f>
        <v/>
      </c>
      <c r="BT165" s="99">
        <f>IF($CS165,"",IF($CT165,"CUSTOM (typed)",IF($CV165,$AT165&amp;" "&amp;$CU165&amp;CHAR(34)&amp;IF($CU165&lt;&gt;$BI165,IF(AND($BI165&lt;$CU165,$BI165-IF(N(VLOOKUP($AT165&amp;"|"&amp;$CU165,LocTable,7,FALSE))&gt;0,VLOOKUP($AT165&amp;"|"&amp;$CU165,LocTable,7,FALSE),VLOOKUP($AT165&amp;"|"&amp;$CU165,LocTable,6,FALSE))-$CR165-0.75&gt;=2.125)," cut down"," adj."),""),"ANSI/SDI A250.6")))</f>
        <v/>
      </c>
      <c r="BU165" s="103">
        <f>IF($CS165,"",IF($CT165,IF(N($AW165)&gt;0,N($AW165),""),IF(1&gt;$CQ165,"",IF($CQ165=1,$CW165,$CW165+($CX165-$CW165)*0/($CQ165-1)))))</f>
        <v/>
      </c>
      <c r="BV165" s="103">
        <f>IF($CS165,"",IF($CT165,IF(N($AX165)&gt;0,N($AX165),""),IF(2&gt;$CQ165,"",IF($CQ165=1,$CW165,$CW165+($CX165-$CW165)*1/($CQ165-1)))))</f>
        <v/>
      </c>
      <c r="BW165" s="103">
        <f>IF($CS165,"",IF($CT165,IF(N($AY165)&gt;0,N($AY165),""),IF(3&gt;$CQ165,"",IF($CQ165=1,$CW165,$CW165+($CX165-$CW165)*2/($CQ165-1)))))</f>
        <v/>
      </c>
      <c r="BX165" s="103">
        <f>IF($CS165,"",IF($CT165,IF(N($AZ165)&gt;0,N($AZ165),""),IF(4&gt;$CQ165,"",IF($CQ165=1,$CW165,$CW165+($CX165-$CW165)*3/($CQ165-1)))))</f>
        <v/>
      </c>
      <c r="BY165" s="103">
        <f>IF($CS165,"",IF($CT165,"",IF(5&gt;$CQ165,"",IF($CQ165=1,$CW165,$CW165+($CX165-$CW165)*4/($CQ165-1)))))</f>
        <v/>
      </c>
      <c r="BZ165" s="103">
        <f>IF(OR($CS165,$AP165="-",AND($AP165="",$AD165="")),"",IF(N($BA165)&gt;0,N($BA165),IF($CV165,IF(AND($BI165&lt;$CU165,$BI165-IF(N(VLOOKUP($AT165&amp;"|"&amp;$CU165,LocTable,7,FALSE))&gt;0,VLOOKUP($AT165&amp;"|"&amp;$CU165,LocTable,7,FALSE),VLOOKUP($AT165&amp;"|"&amp;$CU165,LocTable,6,FALSE))-$CR165-0.75&gt;=2.125),VLOOKUP($AT165&amp;"|"&amp;$CU165,LocTable,8,FALSE),VLOOKUP($AT165&amp;"|"&amp;$CU165,LocTable,8,FALSE)+($BI165-$CU165)),$BI165-LockAFF)))</f>
        <v/>
      </c>
      <c r="CA165" s="104">
        <f>IF($BZ165="","",$BI165-$BZ165)</f>
        <v/>
      </c>
      <c r="CB165" s="99">
        <f>IF(OR(NOT(AND($A165&lt;&gt;"",$C165&lt;&gt;"DOOR ONLY")),$BI165=""),"",IF(($BI165+IF(N($P165)&gt;0,$P165+FaceW,0))&lt;=90,3,IF(($BI165+IF(N($P165)&gt;0,$P165+FaceW,0))&lt;=114,4,5)))</f>
        <v/>
      </c>
      <c r="CC165" s="99">
        <f>IF($CB165="","",$CB165*(2+IF(N($Q165)&gt;0,IF($R165="LR",2,1),0)))</f>
        <v/>
      </c>
      <c r="CD165" s="99">
        <f>IF($CB165="","",(2+IF(N($Q165)&gt;0,IF($R165="LR",2,1),0)))</f>
        <v/>
      </c>
      <c r="CE165" s="99">
        <f>IF(N($BJ165)=0,"",IF(OR($AL165="",$AL165="FLUSH"),"FLUSH",IFERROR(LEFT($AL165,FIND("-",$AL165)-1),LEFT($AL165,2))))</f>
        <v/>
      </c>
      <c r="CF165" s="99">
        <f>IF($CE165="","",IFERROR(VALUE(MID($AL165,FIND("-",$AL165)+1,FIND(CHAR(34)&amp;"x",$AL165)-FIND("-",$AL165)-1)),0))</f>
        <v/>
      </c>
      <c r="CG165" s="99">
        <f>IF($CE165="","",IFERROR(VALUE(MID($AL165,FIND(CHAR(34)&amp;"x",$AL165)+2,FIND(CHAR(34),$AL165,FIND(CHAR(34)&amp;"x",$AL165)+2)-FIND(CHAR(34)&amp;"x",$AL165)-2)),0))</f>
        <v/>
      </c>
      <c r="CH165" s="105">
        <f>IF(OR($A165="",$H165="",$H165="NO LAB"),0,IFERROR(VALUE(LEFT($H165,FIND(" ",$H165)-1)),0))</f>
        <v/>
      </c>
      <c r="CI165" s="106">
        <f>IF(OR($A165="",$I165="",$I165="NON-RATED",N($J165)=0),"",IFERROR(VLOOKUP($I165&amp;"|"&amp;$J165,IBC,2,FALSE),"?"))</f>
        <v/>
      </c>
      <c r="CJ165" s="100">
        <f>IF(NOT(AND($A165&lt;&gt;"",$C165&lt;&gt;"DOOR ONLY")),"",TRIM(IFERROR(VLOOKUP($U165,CODES,2,FALSE),"")&amp;" "&amp;$BG165&amp;" "&amp;IFERROR(VLOOKUP($Z165,CODES,2,FALSE),"")&amp;" "&amp;IFERROR(VLOOKUP($X165,CODES,2,FALSE),"")&amp;" "&amp;IFERROR(VLOOKUP($S165,CODES,2,FALSE),"")&amp;IF(N($P165)&gt;0," w/TRANSOM "&amp;$P165&amp;CHAR(34),"")&amp;IF(N($Q165)&gt;0," w/SIDELITE "&amp;$Q165&amp;CHAR(34)&amp;" "&amp;IF($R165="","R",$R165),"")&amp;IF($Y165="","  |  "," | "&amp;IFERROR(VLOOKUP($Y165,CODES,2,FALSE),"")&amp;" | ")&amp;IFERROR(VLOOKUP($AC165,CODES,2,FALSE),"")&amp;" "&amp;IFERROR(VLOOKUP($AD165,CODES,2,FALSE),"")&amp;IF(OR($AE165="",$AE165="-"),""," "&amp;$AE165)&amp;IF(OR($AF165="",$AF165="-"),""," "&amp;$AF165)&amp;IF($AB165="Y"," 4"&amp;CHAR(34)&amp;" HEAD","")&amp;" "&amp;IFERROR(VLOOKUP($H165,CODES,2,FALSE),"")&amp;IF($CT165," | LOC "&amp;$CY165,"")))</f>
        <v/>
      </c>
      <c r="CK165" s="100">
        <f>IF(NOT(AND($A165&lt;&gt;"",N($BJ165)&gt;0)),"",TRIM(IFERROR(VLOOKUP($AH165,CODES,2,FALSE),"")&amp;IF($AI165=""," "," "&amp;$AI165&amp;"GA ")&amp;$BG165&amp;" "&amp;IF($AN165="",IFERROR(VLOOKUP($Z165,CODES,2,FALSE),""),IFERROR(VLOOKUP($AN165,CODES,2,FALSE),""))&amp;IF($BJ165=2," PAIR","")&amp;" DOOR | "&amp;IF($AL165="","?",$AL165)&amp;" | "&amp;IF($AO165="",IFERROR(VLOOKUP($AC165,CODES,2,FALSE),""),IFERROR(VLOOKUP($AO165,CODES,2,FALSE),""))&amp;" "&amp;IFERROR(VLOOKUP($AP165,CODES,2,FALSE),"")&amp;IF(OR($AQ165="",$AQ165="-"),""," SEAM "&amp;$AQ165)&amp;IF($AR165="Y"," ASTRAGAL","")&amp;IF($AJ165=""," "," "&amp;$AJ165)&amp;IF($AK165=""," "," "&amp;$AK165)&amp;IF(OR($AT165="",$AT165="ANSI/SDI",$AT165="CUSTOM LOC"),""," "&amp;$AT165)&amp;IF($AM165=""," "," SERIES "&amp;$AM165)&amp;" "&amp;IFERROR(VLOOKUP($H165,CODES,2,FALSE),"")&amp;IF($CT165," | LOC "&amp;$CZ165,"")))</f>
        <v/>
      </c>
      <c r="CL165" s="99">
        <f>IF(CP165="","",IF(COUNTIF($CP$6:CP165,CP165)=1,MAX($CL$5:CL164)+1,INDEX($CL$5:CL164,MATCH(CP165,$CP$5:CP164,0))))</f>
        <v/>
      </c>
      <c r="CM165" s="99">
        <f>IF(NOT(AND($A165&lt;&gt;"",$C165&lt;&gt;"DOOR ONLY")),"",MAX($CM$5:CM164)+1)</f>
        <v/>
      </c>
      <c r="CN165" s="99">
        <f>IF(NOT(AND($A165&lt;&gt;"",N($BJ165)&gt;0)),"",MAX($CN$5:CN164)+1)</f>
        <v/>
      </c>
      <c r="CO165" s="99">
        <f>IF($A165="","",MAX($CO$5:CO164)+1)</f>
        <v/>
      </c>
      <c r="CP165" s="99">
        <f>IF(OR($A165="",$BH165="",$BI165=""),"",$BG165&amp;"|"&amp;$O165&amp;"|"&amp;$AL165&amp;"|"&amp;$S165&amp;"|"&amp;$P165&amp;"|"&amp;$Q165&amp;$R165&amp;"|"&amp;$C165&amp;"|"&amp;$AB165)</f>
        <v/>
      </c>
      <c r="CQ165" s="99">
        <f>N($BS165)</f>
        <v/>
      </c>
      <c r="CR165" s="99">
        <f>IF(N($AU165)&gt;0,N($AU165),4.5)</f>
        <v/>
      </c>
      <c r="CS165" s="99">
        <f>OR($A165="",$BI165="",$S165="BL",AND($C165="FRAME ONLY",OR($AC165="",$AC165="BLK")))</f>
        <v/>
      </c>
      <c r="CT165" s="99">
        <f>AND(NOT($CS165),OR($AT165="CUSTOM LOC",N($AW165)+N($AX165)+N($AY165)+N($AZ165)+N($BA165)&gt;0))</f>
        <v/>
      </c>
      <c r="CU165" s="99">
        <f>IF($BI165="","",IF($BI165&lt;=80,80,IF($BI165&lt;=84,84,96)))</f>
        <v/>
      </c>
      <c r="CV165" s="99">
        <f>ISNUMBER(MATCH($AT165&amp;"|80",LocKeys,0))</f>
        <v/>
      </c>
      <c r="CW165" s="101">
        <f>IF($CS165,"",IF($CV165,VLOOKUP($AT165&amp;"|"&amp;$CU165,LocTable,4,FALSE),5))</f>
        <v/>
      </c>
      <c r="CX165" s="101">
        <f>IF($CS165,"",IF($CV165,IF(OR($BI165=$CU165,AND($BI165&lt;$CU165,$BI165-IF(N(VLOOKUP($AT165&amp;"|"&amp;$CU165,LocTable,7,FALSE))&gt;0,VLOOKUP($AT165&amp;"|"&amp;$CU165,LocTable,7,FALSE),VLOOKUP($AT165&amp;"|"&amp;$CU165,LocTable,6,FALSE))-$CR165-0.75&gt;=2.125)),IF(N(VLOOKUP($AT165&amp;"|"&amp;$CU165,LocTable,7,FALSE))&gt;0,VLOOKUP($AT165&amp;"|"&amp;$CU165,LocTable,7,FALSE),VLOOKUP($AT165&amp;"|"&amp;$CU165,LocTable,6,FALSE)),$BI165-($CU165-IF(N(VLOOKUP($AT165&amp;"|"&amp;$CU165,LocTable,7,FALSE))&gt;0,VLOOKUP($AT165&amp;"|"&amp;$CU165,LocTable,7,FALSE),VLOOKUP($AT165&amp;"|"&amp;$CU165,LocTable,6,FALSE)))),$BI165-10-$CR165))</f>
        <v/>
      </c>
      <c r="CY165" s="100">
        <f>IF($CS165,"",TRIM(IF(ISNUMBER($BU165),"A "&amp;TRIM(TEXT($BU165,"# ?/??"))&amp;CHAR(34)&amp;"  ","")&amp;IF(ISNUMBER($BV165),"B "&amp;TRIM(TEXT($BV165,"# ?/??"))&amp;CHAR(34)&amp;"  ","")&amp;IF(ISNUMBER($BW165),"C "&amp;TRIM(TEXT($BW165,"# ?/??"))&amp;CHAR(34)&amp;"  ","")&amp;IF(ISNUMBER($BX165),"D "&amp;TRIM(TEXT($BX165,"# ?/??"))&amp;CHAR(34)&amp;"  ","")&amp;IF(ISNUMBER($BY165),"F "&amp;TRIM(TEXT($BY165,"# ?/??"))&amp;CHAR(34)&amp;"  ","")&amp;IF(ISNUMBER($BZ165),"E "&amp;TRIM(TEXT($BZ165,"# ?/??"))&amp;CHAR(34)&amp;"  ","")))</f>
        <v/>
      </c>
      <c r="CZ165" s="100">
        <f>IF(OR($CS165,N($BJ165)=0),"",TRIM(IF(ISNUMBER($BU165),"A "&amp;TRIM(TEXT($BU165-HeadClr,"# ?/??"))&amp;CHAR(34)&amp;"  ","")&amp;IF(ISNUMBER($BV165),"B "&amp;TRIM(TEXT($BV165-HeadClr,"# ?/??"))&amp;CHAR(34)&amp;"  ","")&amp;IF(ISNUMBER($BW165),"C "&amp;TRIM(TEXT($BW165-HeadClr,"# ?/??"))&amp;CHAR(34)&amp;"  ","")&amp;IF(ISNUMBER($BX165),"D "&amp;TRIM(TEXT($BX165-HeadClr,"# ?/??"))&amp;CHAR(34)&amp;"  ","")&amp;IF(ISNUMBER($BY165),"F "&amp;TRIM(TEXT($BY165-HeadClr,"# ?/??"))&amp;CHAR(34)&amp;"  ","")&amp;IF(ISNUMBER($BZ165),"E "&amp;TRIM(TEXT($BZ165-HeadClr,"# ?/??"))&amp;CHAR(34)&amp;"  ","")))</f>
        <v/>
      </c>
      <c r="DA165" s="99">
        <f>IF($A165="","",IF($AN165="",IFERROR(VLOOKUP($Z165,CODES,2,FALSE),""),IFERROR(VLOOKUP($AN165,CODES,2,FALSE),"")))</f>
        <v/>
      </c>
      <c r="DB165" s="99">
        <f>IF($A165="","",IF($O165="Y","PR",IF(OR($Z165="L",$Z165="RR",LEFT($Z165,2)="L-",LEFT($Z165,3)="RR-"),"LH","RH")))</f>
        <v/>
      </c>
      <c r="DC165" s="99">
        <f>IF($A165="","","S.HM"&amp;IF(OR($C165="DOOR ONLY",$X165&lt;&gt;"KD"),"MASONRY","DRYWALL")&amp;IF($C165="DOOR ONLY","",$U165)&amp;IF(AND($C165&lt;&gt;"FRAME ONLY",OR(LEFT($AH165,3)="OAK",LEFT($AH165,3)="BIR",LEFT($AH165,3)="MAP",$AH165="PC",$AH165="MC",$AH165="SCLC",$AH165="P-LAM")),"WD","HM")&amp;"1.75")</f>
        <v/>
      </c>
      <c r="DD165" s="99">
        <f>IF($CJ165="","",IF($O165="Y",$CJ165,SUBSTITUTE($CJ165,$BG165&amp;" "&amp;IFERROR(VLOOKUP($Z165,CODES,2,FALSE),"")&amp;" ",$BG165&amp;" ")))</f>
        <v/>
      </c>
      <c r="DE165" s="99">
        <f>IF($CK165="","",IF($O165="Y",$CK165,SUBSTITUTE($CK165,$BG165&amp;" "&amp;IF($AN165="",IFERROR(VLOOKUP($Z165,CODES,2,FALSE),""),IFERROR(VLOOKUP($AN165,CODES,2,FALSE),""))&amp;" ",$BG165&amp;" ")))</f>
        <v/>
      </c>
      <c r="DF165" s="99">
        <f>IF($CJ165="","",$DC165&amp;"|"&amp;$DD165&amp;"|"&amp;$DB165&amp;"|"&amp;$AT165&amp;"|"&amp;$V165&amp;"|"&amp;$Y165&amp;"|"&amp;$AB165)</f>
        <v/>
      </c>
      <c r="DG165" s="99">
        <f>IF(DF165="","",IF(COUNTIF($DF$6:DF165,DF165)=1,MAX($DG$5:DG164)+1,INDEX($DG$5:DG164,MATCH(DF165,$DF$5:DF164,0))))</f>
        <v/>
      </c>
      <c r="DH165" s="99">
        <f>IF($CK165="","",$DC165&amp;"|"&amp;$DE165&amp;"|"&amp;$AI165&amp;"|"&amp;$BK165&amp;"|"&amp;$BL165)</f>
        <v/>
      </c>
      <c r="DI165" s="99">
        <f>IF(DH165="","",IF(COUNTIF($DH$6:DH165,DH165)=1,MAX($DI$5:DI164)+1,INDEX($DI$5:DI164,MATCH(DH165,$DH$5:DH164,0))))</f>
        <v/>
      </c>
      <c r="DJ165" s="99">
        <f>IF($A165="","",IF($B165="","qty, ","")&amp;IF($C165="","scope, ","")&amp;IF(OR($K165="",$M165=""),"size, ","")&amp;IF(AND($A165&lt;&gt;"",$C165&lt;&gt;"DOOR ONLY"),IF($U165="","jamb depth, ","")&amp;IF($X165="","construction, ","")&amp;IF($Y165="","anchor, ","")&amp;IF($S165="","frame type, ",""),"")&amp;IF(AND(N($BJ165)&gt;0,$Z165=""),"hand, ","")&amp;IF(N($BJ165)&gt;0,IF($AH165="","door material, ","")&amp;IF($AL165="","face type, ","")&amp;IF($AP165="","lock prep, ","")&amp;IF(AND($AO165="",$AC165=""),"hinge prep, ",""),"")&amp;IF(AND($CH165&gt;0,$AH165="FRP"),"FRP cannot carry a label, ","")&amp;IF(AND($O165="Y",OR($Z165="L",$Z165="R",$Z165="LR",$Z165="RR")),"pair marked but hand is single, ","")&amp;IF(AND($O165&lt;&gt;"Y",OR($Z165="PR",AND(LEN($Z165)&gt;1,ISNUMBER(SEARCH("-",$Z165))))),"pair hand on a single door, ","")&amp;IF(AND(ISNUMBER($CI165),$CH165&lt;N($CI165)),"wall needs a "&amp;$CI165&amp;" min door, ","")&amp;IF(AND($CH165&gt;=180,AND(OR($CE165="FG",$CE165="HG",$CE165="FNV",$CE165="FV"),N($CF165)*N($CG165)&gt;100)),"180 min lite over 100 sq in, ","")&amp;IF(N($BK165)&gt;48,"leaf wider than 4'-0"&amp;CHAR(34)&amp;", ","")&amp;IF(AND($CT165,COUNT($AW165:$AZ165)=0,$CQ165&gt;0),"CUSTOM LOC with no locations typed, ",""))</f>
        <v/>
      </c>
      <c r="DK165" s="99">
        <f>IF($A165="","",IF(AND($CH165&gt;0,AND($A165&lt;&gt;"",$C165&lt;&gt;"DOOR ONLY"),$X165="KD",$E165="EXTERIOR"),"KD label on an exterior opening, ","")&amp;IF(AND($E165="EXTERIOR",OR(AND(AND($A165&lt;&gt;"",$C165&lt;&gt;"DOOR ONLY"),$W165="CR"),AND(N($BJ165)&gt;0,$AH165="CR"))),"exterior in CR steel (G9?), ","")&amp;IF(AND(ISNUMBER($BQ165),N($BQ165)&lt;32),"clear width ~"&amp;TEXT($BQ165,"0.0")&amp;CHAR(34)&amp;" under 32"&amp;CHAR(34)&amp;" (ADA), ","")&amp;IF(AND($CH165=90,AND(OR($CE165="FG",$CE165="HG",$CE165="FNV",$CE165="FV"),N($CF165)*N($CG165)&gt;100)),"90 min lite over 100 sq in (stair/exit), ","")&amp;IF(AND($CH165&gt;0,AND($A165&lt;&gt;"",$C165&lt;&gt;"DOOR ONLY"),OR($AF165="",$AF165="-")),"rated: closer reinf.?, ","")&amp;IF(OR($I165="CORRIDOR",$I165="SMOKE BARRIER"),"S label + smoke gasketing, ","")&amp;IF($CI165="?","wall type/hr not in IBC table, ","")&amp;IF(AND(N($BJ165)&gt;0,$BB165=""),"no hardware set, ","")&amp;IF(AND($BB165&lt;&gt;"",ISNA(MATCH($BB165&amp;"",HWSets,0))),"set "&amp;$BB165&amp;" not on HW Sets, ","")&amp;IF(N($BL165)&gt;96,"leaf over 8'-0"&amp;CHAR(34)&amp;" - check listing, ","")&amp;IF(AND($CT165,COUNT($AW165:$AZ165)&gt;0,COUNT($AW165:$AZ165)&lt;&gt;$CQ165),COUNT($AW165:$AZ165)&amp;" custom hinges typed, "&amp;$CQ165&amp;" expected, ","")&amp;IF(AND(ISNUMBER($CA165),OR(N($CA165)&lt;34,N($CA165)&gt;48)),"lock "&amp;TEXT($CA165,"0.0")&amp;CHAR(34)&amp;" AFF outside 34-48"&amp;CHAR(34)&amp;" (ADA), ","")&amp;IF(AND(ISNUMBER($AV165),ISNUMBER($BL165),N($AV165)&lt;IF(N($BL165)&lt;=60,2,IF(N($BL165)&lt;=90,3,IF(N($BL165)&lt;=120,4,5)))),"fewer hinges than standard, ",""))</f>
        <v/>
      </c>
    </row>
    <row r="166" ht="15" customHeight="1">
      <c r="A166" s="77" t="n"/>
      <c r="B166" s="78" t="n"/>
      <c r="C166" s="78" t="n"/>
      <c r="D166" s="78" t="n"/>
      <c r="E166" s="78" t="n"/>
      <c r="F166" s="78" t="n"/>
      <c r="G166" s="78" t="n"/>
      <c r="H166" s="78" t="n"/>
      <c r="I166" s="78" t="n"/>
      <c r="J166" s="78" t="n"/>
      <c r="K166" s="78" t="n"/>
      <c r="L166" s="78" t="n"/>
      <c r="M166" s="78" t="n"/>
      <c r="N166" s="78" t="n"/>
      <c r="O166" s="78" t="n"/>
      <c r="P166" s="78" t="n"/>
      <c r="Q166" s="78" t="n"/>
      <c r="R166" s="78" t="n"/>
      <c r="S166" s="79" t="n"/>
      <c r="T166" s="79" t="n"/>
      <c r="U166" s="79" t="n"/>
      <c r="V166" s="79" t="n"/>
      <c r="W166" s="79" t="n"/>
      <c r="X166" s="79" t="n"/>
      <c r="Y166" s="79" t="n"/>
      <c r="Z166" s="79" t="n"/>
      <c r="AA166" s="79" t="n"/>
      <c r="AB166" s="79" t="n"/>
      <c r="AC166" s="79" t="n"/>
      <c r="AD166" s="79" t="n"/>
      <c r="AE166" s="79" t="n"/>
      <c r="AF166" s="79" t="n"/>
      <c r="AG166" s="79" t="n"/>
      <c r="AH166" s="80" t="n"/>
      <c r="AI166" s="80" t="n"/>
      <c r="AJ166" s="80" t="n"/>
      <c r="AK166" s="80" t="n"/>
      <c r="AL166" s="80" t="n"/>
      <c r="AM166" s="80" t="n"/>
      <c r="AN166" s="80" t="n"/>
      <c r="AO166" s="80" t="n"/>
      <c r="AP166" s="80" t="n"/>
      <c r="AQ166" s="80" t="n"/>
      <c r="AR166" s="80" t="n"/>
      <c r="AS166" s="80" t="n"/>
      <c r="AT166" s="81" t="n"/>
      <c r="AU166" s="81" t="n"/>
      <c r="AV166" s="81" t="n"/>
      <c r="AW166" s="82" t="n"/>
      <c r="AX166" s="82" t="n"/>
      <c r="AY166" s="82" t="n"/>
      <c r="AZ166" s="82" t="n"/>
      <c r="BA166" s="82" t="n"/>
      <c r="BB166" s="83" t="n"/>
      <c r="BC166" s="83" t="n"/>
      <c r="BD166" s="84">
        <f>IF($A166="","",IF($DJ166&lt;&gt;"","FIX",IF($DK166&lt;&gt;"","CHECK","OK")))</f>
        <v/>
      </c>
      <c r="BE166" s="85">
        <f>IF($A166="","",IF($DJ166&lt;&gt;"","FIX: "&amp;LEFT($DJ166,LEN($DJ166)-2)&amp;IF($DK166&lt;&gt;"","  ·  ",""),"")&amp;IF($DK166&lt;&gt;"","CHECK: "&amp;LEFT($DK166,LEN($DK166)-2),""))</f>
        <v/>
      </c>
      <c r="BF166" s="84">
        <f>IF(OR($A166="",$K166=""),"",$K166&amp;"'-"&amp;N($L166)&amp;CHAR(34)&amp;" x "&amp;$M166&amp;"'-"&amp;N($N166)&amp;CHAR(34))</f>
        <v/>
      </c>
      <c r="BG166" s="84">
        <f>IF(OR($A166="",$K166=""),"",$K166&amp;N($L166)&amp;$M166&amp;N($N166))</f>
        <v/>
      </c>
      <c r="BH166" s="84">
        <f>IF(OR($A166="",$K166=""),"",$K166*12+N($L166))</f>
        <v/>
      </c>
      <c r="BI166" s="84">
        <f>IF(OR($A166="",$M166=""),"",$M166*12+N($N166))</f>
        <v/>
      </c>
      <c r="BJ166" s="84">
        <f>IF($A166="","",IF(OR($C166="FRAME ONLY",$S166="BL"),0,IF($O166="Y",2,1)))</f>
        <v/>
      </c>
      <c r="BK166" s="86">
        <f>IF(OR(N($BJ166)=0,$BH166=""),"",($BH166-2*EdgeClr-IF($BJ166=2,MeetClr,0))/$BJ166)</f>
        <v/>
      </c>
      <c r="BL166" s="86">
        <f>IF(OR(N($BJ166)=0,$BI166=""),"",$BI166-HeadClr-Undercut)</f>
        <v/>
      </c>
      <c r="BM166" s="86">
        <f>IF($BH166="","",$BH166+2*FaceW+IF(N($Q166)&gt;0,($Q166+FaceW)*IF($R166="LR",2,1),0))</f>
        <v/>
      </c>
      <c r="BN166" s="86">
        <f>IF($BI166="","",$BI166+IF($AB166="Y",4,FaceW)+IF(N($P166)&gt;0,$P166+FaceW,0)+IF(OR($S166="4F",$S166="BL"),FaceW,0))</f>
        <v/>
      </c>
      <c r="BO166" s="86">
        <f>IF($BM166="","",$BM166+2*ROSide)</f>
        <v/>
      </c>
      <c r="BP166" s="86">
        <f>IF($BN166="","",$BN166+ROTop)</f>
        <v/>
      </c>
      <c r="BQ166" s="87">
        <f>IF(OR(N($BJ166)=0,$BH166=""),"",$BH166/$BJ166-ClearDeduct)</f>
        <v/>
      </c>
      <c r="BR166" s="84">
        <f>IF(N($CH166)=0,"",IF($CH166&gt;=180,"A · 3 HR",IF($CH166&gt;=90,"B · 1-1/2 HR",IF($CH166&gt;=60,"B · 1 HR",IF($CH166&gt;=45,"C · 3/4 HR","20 MIN")))))&amp;IF(AND(N($CH166)&gt;0,OR($I166="CORRIDOR",$I166="SMOKE BARRIER"))," · S","")</f>
        <v/>
      </c>
      <c r="BS166" s="84">
        <f>IF($CS166,"",IF($AV166&lt;&gt;"",$AV166,IF(OR($AC166="HGC",$AO166="HGC"),"CONT",IF(($BI166-HeadClr-Undercut)&lt;=60,2,IF(($BI166-HeadClr-Undercut)&lt;=90,3,IF(($BI166-HeadClr-Undercut)&lt;=120,4,5))))))</f>
        <v/>
      </c>
      <c r="BT166" s="84">
        <f>IF($CS166,"",IF($CT166,"CUSTOM (typed)",IF($CV166,$AT166&amp;" "&amp;$CU166&amp;CHAR(34)&amp;IF($CU166&lt;&gt;$BI166,IF(AND($BI166&lt;$CU166,$BI166-IF(N(VLOOKUP($AT166&amp;"|"&amp;$CU166,LocTable,7,FALSE))&gt;0,VLOOKUP($AT166&amp;"|"&amp;$CU166,LocTable,7,FALSE),VLOOKUP($AT166&amp;"|"&amp;$CU166,LocTable,6,FALSE))-$CR166-0.75&gt;=2.125)," cut down"," adj."),""),"ANSI/SDI A250.6")))</f>
        <v/>
      </c>
      <c r="BU166" s="88">
        <f>IF($CS166,"",IF($CT166,IF(N($AW166)&gt;0,N($AW166),""),IF(1&gt;$CQ166,"",IF($CQ166=1,$CW166,$CW166+($CX166-$CW166)*0/($CQ166-1)))))</f>
        <v/>
      </c>
      <c r="BV166" s="88">
        <f>IF($CS166,"",IF($CT166,IF(N($AX166)&gt;0,N($AX166),""),IF(2&gt;$CQ166,"",IF($CQ166=1,$CW166,$CW166+($CX166-$CW166)*1/($CQ166-1)))))</f>
        <v/>
      </c>
      <c r="BW166" s="88">
        <f>IF($CS166,"",IF($CT166,IF(N($AY166)&gt;0,N($AY166),""),IF(3&gt;$CQ166,"",IF($CQ166=1,$CW166,$CW166+($CX166-$CW166)*2/($CQ166-1)))))</f>
        <v/>
      </c>
      <c r="BX166" s="88">
        <f>IF($CS166,"",IF($CT166,IF(N($AZ166)&gt;0,N($AZ166),""),IF(4&gt;$CQ166,"",IF($CQ166=1,$CW166,$CW166+($CX166-$CW166)*3/($CQ166-1)))))</f>
        <v/>
      </c>
      <c r="BY166" s="88">
        <f>IF($CS166,"",IF($CT166,"",IF(5&gt;$CQ166,"",IF($CQ166=1,$CW166,$CW166+($CX166-$CW166)*4/($CQ166-1)))))</f>
        <v/>
      </c>
      <c r="BZ166" s="88">
        <f>IF(OR($CS166,$AP166="-",AND($AP166="",$AD166="")),"",IF(N($BA166)&gt;0,N($BA166),IF($CV166,IF(AND($BI166&lt;$CU166,$BI166-IF(N(VLOOKUP($AT166&amp;"|"&amp;$CU166,LocTable,7,FALSE))&gt;0,VLOOKUP($AT166&amp;"|"&amp;$CU166,LocTable,7,FALSE),VLOOKUP($AT166&amp;"|"&amp;$CU166,LocTable,6,FALSE))-$CR166-0.75&gt;=2.125),VLOOKUP($AT166&amp;"|"&amp;$CU166,LocTable,8,FALSE),VLOOKUP($AT166&amp;"|"&amp;$CU166,LocTable,8,FALSE)+($BI166-$CU166)),$BI166-LockAFF)))</f>
        <v/>
      </c>
      <c r="CA166" s="89">
        <f>IF($BZ166="","",$BI166-$BZ166)</f>
        <v/>
      </c>
      <c r="CB166" s="84">
        <f>IF(OR(NOT(AND($A166&lt;&gt;"",$C166&lt;&gt;"DOOR ONLY")),$BI166=""),"",IF(($BI166+IF(N($P166)&gt;0,$P166+FaceW,0))&lt;=90,3,IF(($BI166+IF(N($P166)&gt;0,$P166+FaceW,0))&lt;=114,4,5)))</f>
        <v/>
      </c>
      <c r="CC166" s="84">
        <f>IF($CB166="","",$CB166*(2+IF(N($Q166)&gt;0,IF($R166="LR",2,1),0)))</f>
        <v/>
      </c>
      <c r="CD166" s="84">
        <f>IF($CB166="","",(2+IF(N($Q166)&gt;0,IF($R166="LR",2,1),0)))</f>
        <v/>
      </c>
      <c r="CE166" s="84">
        <f>IF(N($BJ166)=0,"",IF(OR($AL166="",$AL166="FLUSH"),"FLUSH",IFERROR(LEFT($AL166,FIND("-",$AL166)-1),LEFT($AL166,2))))</f>
        <v/>
      </c>
      <c r="CF166" s="84">
        <f>IF($CE166="","",IFERROR(VALUE(MID($AL166,FIND("-",$AL166)+1,FIND(CHAR(34)&amp;"x",$AL166)-FIND("-",$AL166)-1)),0))</f>
        <v/>
      </c>
      <c r="CG166" s="84">
        <f>IF($CE166="","",IFERROR(VALUE(MID($AL166,FIND(CHAR(34)&amp;"x",$AL166)+2,FIND(CHAR(34),$AL166,FIND(CHAR(34)&amp;"x",$AL166)+2)-FIND(CHAR(34)&amp;"x",$AL166)-2)),0))</f>
        <v/>
      </c>
      <c r="CH166" s="90">
        <f>IF(OR($A166="",$H166="",$H166="NO LAB"),0,IFERROR(VALUE(LEFT($H166,FIND(" ",$H166)-1)),0))</f>
        <v/>
      </c>
      <c r="CI166" s="91">
        <f>IF(OR($A166="",$I166="",$I166="NON-RATED",N($J166)=0),"",IFERROR(VLOOKUP($I166&amp;"|"&amp;$J166,IBC,2,FALSE),"?"))</f>
        <v/>
      </c>
      <c r="CJ166" s="85">
        <f>IF(NOT(AND($A166&lt;&gt;"",$C166&lt;&gt;"DOOR ONLY")),"",TRIM(IFERROR(VLOOKUP($U166,CODES,2,FALSE),"")&amp;" "&amp;$BG166&amp;" "&amp;IFERROR(VLOOKUP($Z166,CODES,2,FALSE),"")&amp;" "&amp;IFERROR(VLOOKUP($X166,CODES,2,FALSE),"")&amp;" "&amp;IFERROR(VLOOKUP($S166,CODES,2,FALSE),"")&amp;IF(N($P166)&gt;0," w/TRANSOM "&amp;$P166&amp;CHAR(34),"")&amp;IF(N($Q166)&gt;0," w/SIDELITE "&amp;$Q166&amp;CHAR(34)&amp;" "&amp;IF($R166="","R",$R166),"")&amp;IF($Y166="","  |  "," | "&amp;IFERROR(VLOOKUP($Y166,CODES,2,FALSE),"")&amp;" | ")&amp;IFERROR(VLOOKUP($AC166,CODES,2,FALSE),"")&amp;" "&amp;IFERROR(VLOOKUP($AD166,CODES,2,FALSE),"")&amp;IF(OR($AE166="",$AE166="-"),""," "&amp;$AE166)&amp;IF(OR($AF166="",$AF166="-"),""," "&amp;$AF166)&amp;IF($AB166="Y"," 4"&amp;CHAR(34)&amp;" HEAD","")&amp;" "&amp;IFERROR(VLOOKUP($H166,CODES,2,FALSE),"")&amp;IF($CT166," | LOC "&amp;$CY166,"")))</f>
        <v/>
      </c>
      <c r="CK166" s="85">
        <f>IF(NOT(AND($A166&lt;&gt;"",N($BJ166)&gt;0)),"",TRIM(IFERROR(VLOOKUP($AH166,CODES,2,FALSE),"")&amp;IF($AI166=""," "," "&amp;$AI166&amp;"GA ")&amp;$BG166&amp;" "&amp;IF($AN166="",IFERROR(VLOOKUP($Z166,CODES,2,FALSE),""),IFERROR(VLOOKUP($AN166,CODES,2,FALSE),""))&amp;IF($BJ166=2," PAIR","")&amp;" DOOR | "&amp;IF($AL166="","?",$AL166)&amp;" | "&amp;IF($AO166="",IFERROR(VLOOKUP($AC166,CODES,2,FALSE),""),IFERROR(VLOOKUP($AO166,CODES,2,FALSE),""))&amp;" "&amp;IFERROR(VLOOKUP($AP166,CODES,2,FALSE),"")&amp;IF(OR($AQ166="",$AQ166="-"),""," SEAM "&amp;$AQ166)&amp;IF($AR166="Y"," ASTRAGAL","")&amp;IF($AJ166=""," "," "&amp;$AJ166)&amp;IF($AK166=""," "," "&amp;$AK166)&amp;IF(OR($AT166="",$AT166="ANSI/SDI",$AT166="CUSTOM LOC"),""," "&amp;$AT166)&amp;IF($AM166=""," "," SERIES "&amp;$AM166)&amp;" "&amp;IFERROR(VLOOKUP($H166,CODES,2,FALSE),"")&amp;IF($CT166," | LOC "&amp;$CZ166,"")))</f>
        <v/>
      </c>
      <c r="CL166" s="84">
        <f>IF(CP166="","",IF(COUNTIF($CP$6:CP166,CP166)=1,MAX($CL$5:CL165)+1,INDEX($CL$5:CL165,MATCH(CP166,$CP$5:CP165,0))))</f>
        <v/>
      </c>
      <c r="CM166" s="84">
        <f>IF(NOT(AND($A166&lt;&gt;"",$C166&lt;&gt;"DOOR ONLY")),"",MAX($CM$5:CM165)+1)</f>
        <v/>
      </c>
      <c r="CN166" s="84">
        <f>IF(NOT(AND($A166&lt;&gt;"",N($BJ166)&gt;0)),"",MAX($CN$5:CN165)+1)</f>
        <v/>
      </c>
      <c r="CO166" s="84">
        <f>IF($A166="","",MAX($CO$5:CO165)+1)</f>
        <v/>
      </c>
      <c r="CP166" s="84">
        <f>IF(OR($A166="",$BH166="",$BI166=""),"",$BG166&amp;"|"&amp;$O166&amp;"|"&amp;$AL166&amp;"|"&amp;$S166&amp;"|"&amp;$P166&amp;"|"&amp;$Q166&amp;$R166&amp;"|"&amp;$C166&amp;"|"&amp;$AB166)</f>
        <v/>
      </c>
      <c r="CQ166" s="84">
        <f>N($BS166)</f>
        <v/>
      </c>
      <c r="CR166" s="84">
        <f>IF(N($AU166)&gt;0,N($AU166),4.5)</f>
        <v/>
      </c>
      <c r="CS166" s="84">
        <f>OR($A166="",$BI166="",$S166="BL",AND($C166="FRAME ONLY",OR($AC166="",$AC166="BLK")))</f>
        <v/>
      </c>
      <c r="CT166" s="84">
        <f>AND(NOT($CS166),OR($AT166="CUSTOM LOC",N($AW166)+N($AX166)+N($AY166)+N($AZ166)+N($BA166)&gt;0))</f>
        <v/>
      </c>
      <c r="CU166" s="84">
        <f>IF($BI166="","",IF($BI166&lt;=80,80,IF($BI166&lt;=84,84,96)))</f>
        <v/>
      </c>
      <c r="CV166" s="84">
        <f>ISNUMBER(MATCH($AT166&amp;"|80",LocKeys,0))</f>
        <v/>
      </c>
      <c r="CW166" s="86">
        <f>IF($CS166,"",IF($CV166,VLOOKUP($AT166&amp;"|"&amp;$CU166,LocTable,4,FALSE),5))</f>
        <v/>
      </c>
      <c r="CX166" s="86">
        <f>IF($CS166,"",IF($CV166,IF(OR($BI166=$CU166,AND($BI166&lt;$CU166,$BI166-IF(N(VLOOKUP($AT166&amp;"|"&amp;$CU166,LocTable,7,FALSE))&gt;0,VLOOKUP($AT166&amp;"|"&amp;$CU166,LocTable,7,FALSE),VLOOKUP($AT166&amp;"|"&amp;$CU166,LocTable,6,FALSE))-$CR166-0.75&gt;=2.125)),IF(N(VLOOKUP($AT166&amp;"|"&amp;$CU166,LocTable,7,FALSE))&gt;0,VLOOKUP($AT166&amp;"|"&amp;$CU166,LocTable,7,FALSE),VLOOKUP($AT166&amp;"|"&amp;$CU166,LocTable,6,FALSE)),$BI166-($CU166-IF(N(VLOOKUP($AT166&amp;"|"&amp;$CU166,LocTable,7,FALSE))&gt;0,VLOOKUP($AT166&amp;"|"&amp;$CU166,LocTable,7,FALSE),VLOOKUP($AT166&amp;"|"&amp;$CU166,LocTable,6,FALSE)))),$BI166-10-$CR166))</f>
        <v/>
      </c>
      <c r="CY166" s="85">
        <f>IF($CS166,"",TRIM(IF(ISNUMBER($BU166),"A "&amp;TRIM(TEXT($BU166,"# ?/??"))&amp;CHAR(34)&amp;"  ","")&amp;IF(ISNUMBER($BV166),"B "&amp;TRIM(TEXT($BV166,"# ?/??"))&amp;CHAR(34)&amp;"  ","")&amp;IF(ISNUMBER($BW166),"C "&amp;TRIM(TEXT($BW166,"# ?/??"))&amp;CHAR(34)&amp;"  ","")&amp;IF(ISNUMBER($BX166),"D "&amp;TRIM(TEXT($BX166,"# ?/??"))&amp;CHAR(34)&amp;"  ","")&amp;IF(ISNUMBER($BY166),"F "&amp;TRIM(TEXT($BY166,"# ?/??"))&amp;CHAR(34)&amp;"  ","")&amp;IF(ISNUMBER($BZ166),"E "&amp;TRIM(TEXT($BZ166,"# ?/??"))&amp;CHAR(34)&amp;"  ","")))</f>
        <v/>
      </c>
      <c r="CZ166" s="85">
        <f>IF(OR($CS166,N($BJ166)=0),"",TRIM(IF(ISNUMBER($BU166),"A "&amp;TRIM(TEXT($BU166-HeadClr,"# ?/??"))&amp;CHAR(34)&amp;"  ","")&amp;IF(ISNUMBER($BV166),"B "&amp;TRIM(TEXT($BV166-HeadClr,"# ?/??"))&amp;CHAR(34)&amp;"  ","")&amp;IF(ISNUMBER($BW166),"C "&amp;TRIM(TEXT($BW166-HeadClr,"# ?/??"))&amp;CHAR(34)&amp;"  ","")&amp;IF(ISNUMBER($BX166),"D "&amp;TRIM(TEXT($BX166-HeadClr,"# ?/??"))&amp;CHAR(34)&amp;"  ","")&amp;IF(ISNUMBER($BY166),"F "&amp;TRIM(TEXT($BY166-HeadClr,"# ?/??"))&amp;CHAR(34)&amp;"  ","")&amp;IF(ISNUMBER($BZ166),"E "&amp;TRIM(TEXT($BZ166-HeadClr,"# ?/??"))&amp;CHAR(34)&amp;"  ","")))</f>
        <v/>
      </c>
      <c r="DA166" s="84">
        <f>IF($A166="","",IF($AN166="",IFERROR(VLOOKUP($Z166,CODES,2,FALSE),""),IFERROR(VLOOKUP($AN166,CODES,2,FALSE),"")))</f>
        <v/>
      </c>
      <c r="DB166" s="84">
        <f>IF($A166="","",IF($O166="Y","PR",IF(OR($Z166="L",$Z166="RR",LEFT($Z166,2)="L-",LEFT($Z166,3)="RR-"),"LH","RH")))</f>
        <v/>
      </c>
      <c r="DC166" s="84">
        <f>IF($A166="","","S.HM"&amp;IF(OR($C166="DOOR ONLY",$X166&lt;&gt;"KD"),"MASONRY","DRYWALL")&amp;IF($C166="DOOR ONLY","",$U166)&amp;IF(AND($C166&lt;&gt;"FRAME ONLY",OR(LEFT($AH166,3)="OAK",LEFT($AH166,3)="BIR",LEFT($AH166,3)="MAP",$AH166="PC",$AH166="MC",$AH166="SCLC",$AH166="P-LAM")),"WD","HM")&amp;"1.75")</f>
        <v/>
      </c>
      <c r="DD166" s="84">
        <f>IF($CJ166="","",IF($O166="Y",$CJ166,SUBSTITUTE($CJ166,$BG166&amp;" "&amp;IFERROR(VLOOKUP($Z166,CODES,2,FALSE),"")&amp;" ",$BG166&amp;" ")))</f>
        <v/>
      </c>
      <c r="DE166" s="84">
        <f>IF($CK166="","",IF($O166="Y",$CK166,SUBSTITUTE($CK166,$BG166&amp;" "&amp;IF($AN166="",IFERROR(VLOOKUP($Z166,CODES,2,FALSE),""),IFERROR(VLOOKUP($AN166,CODES,2,FALSE),""))&amp;" ",$BG166&amp;" ")))</f>
        <v/>
      </c>
      <c r="DF166" s="84">
        <f>IF($CJ166="","",$DC166&amp;"|"&amp;$DD166&amp;"|"&amp;$DB166&amp;"|"&amp;$AT166&amp;"|"&amp;$V166&amp;"|"&amp;$Y166&amp;"|"&amp;$AB166)</f>
        <v/>
      </c>
      <c r="DG166" s="84">
        <f>IF(DF166="","",IF(COUNTIF($DF$6:DF166,DF166)=1,MAX($DG$5:DG165)+1,INDEX($DG$5:DG165,MATCH(DF166,$DF$5:DF165,0))))</f>
        <v/>
      </c>
      <c r="DH166" s="84">
        <f>IF($CK166="","",$DC166&amp;"|"&amp;$DE166&amp;"|"&amp;$AI166&amp;"|"&amp;$BK166&amp;"|"&amp;$BL166)</f>
        <v/>
      </c>
      <c r="DI166" s="84">
        <f>IF(DH166="","",IF(COUNTIF($DH$6:DH166,DH166)=1,MAX($DI$5:DI165)+1,INDEX($DI$5:DI165,MATCH(DH166,$DH$5:DH165,0))))</f>
        <v/>
      </c>
      <c r="DJ166" s="84">
        <f>IF($A166="","",IF($B166="","qty, ","")&amp;IF($C166="","scope, ","")&amp;IF(OR($K166="",$M166=""),"size, ","")&amp;IF(AND($A166&lt;&gt;"",$C166&lt;&gt;"DOOR ONLY"),IF($U166="","jamb depth, ","")&amp;IF($X166="","construction, ","")&amp;IF($Y166="","anchor, ","")&amp;IF($S166="","frame type, ",""),"")&amp;IF(AND(N($BJ166)&gt;0,$Z166=""),"hand, ","")&amp;IF(N($BJ166)&gt;0,IF($AH166="","door material, ","")&amp;IF($AL166="","face type, ","")&amp;IF($AP166="","lock prep, ","")&amp;IF(AND($AO166="",$AC166=""),"hinge prep, ",""),"")&amp;IF(AND($CH166&gt;0,$AH166="FRP"),"FRP cannot carry a label, ","")&amp;IF(AND($O166="Y",OR($Z166="L",$Z166="R",$Z166="LR",$Z166="RR")),"pair marked but hand is single, ","")&amp;IF(AND($O166&lt;&gt;"Y",OR($Z166="PR",AND(LEN($Z166)&gt;1,ISNUMBER(SEARCH("-",$Z166))))),"pair hand on a single door, ","")&amp;IF(AND(ISNUMBER($CI166),$CH166&lt;N($CI166)),"wall needs a "&amp;$CI166&amp;" min door, ","")&amp;IF(AND($CH166&gt;=180,AND(OR($CE166="FG",$CE166="HG",$CE166="FNV",$CE166="FV"),N($CF166)*N($CG166)&gt;100)),"180 min lite over 100 sq in, ","")&amp;IF(N($BK166)&gt;48,"leaf wider than 4'-0"&amp;CHAR(34)&amp;", ","")&amp;IF(AND($CT166,COUNT($AW166:$AZ166)=0,$CQ166&gt;0),"CUSTOM LOC with no locations typed, ",""))</f>
        <v/>
      </c>
      <c r="DK166" s="84">
        <f>IF($A166="","",IF(AND($CH166&gt;0,AND($A166&lt;&gt;"",$C166&lt;&gt;"DOOR ONLY"),$X166="KD",$E166="EXTERIOR"),"KD label on an exterior opening, ","")&amp;IF(AND($E166="EXTERIOR",OR(AND(AND($A166&lt;&gt;"",$C166&lt;&gt;"DOOR ONLY"),$W166="CR"),AND(N($BJ166)&gt;0,$AH166="CR"))),"exterior in CR steel (G9?), ","")&amp;IF(AND(ISNUMBER($BQ166),N($BQ166)&lt;32),"clear width ~"&amp;TEXT($BQ166,"0.0")&amp;CHAR(34)&amp;" under 32"&amp;CHAR(34)&amp;" (ADA), ","")&amp;IF(AND($CH166=90,AND(OR($CE166="FG",$CE166="HG",$CE166="FNV",$CE166="FV"),N($CF166)*N($CG166)&gt;100)),"90 min lite over 100 sq in (stair/exit), ","")&amp;IF(AND($CH166&gt;0,AND($A166&lt;&gt;"",$C166&lt;&gt;"DOOR ONLY"),OR($AF166="",$AF166="-")),"rated: closer reinf.?, ","")&amp;IF(OR($I166="CORRIDOR",$I166="SMOKE BARRIER"),"S label + smoke gasketing, ","")&amp;IF($CI166="?","wall type/hr not in IBC table, ","")&amp;IF(AND(N($BJ166)&gt;0,$BB166=""),"no hardware set, ","")&amp;IF(AND($BB166&lt;&gt;"",ISNA(MATCH($BB166&amp;"",HWSets,0))),"set "&amp;$BB166&amp;" not on HW Sets, ","")&amp;IF(N($BL166)&gt;96,"leaf over 8'-0"&amp;CHAR(34)&amp;" - check listing, ","")&amp;IF(AND($CT166,COUNT($AW166:$AZ166)&gt;0,COUNT($AW166:$AZ166)&lt;&gt;$CQ166),COUNT($AW166:$AZ166)&amp;" custom hinges typed, "&amp;$CQ166&amp;" expected, ","")&amp;IF(AND(ISNUMBER($CA166),OR(N($CA166)&lt;34,N($CA166)&gt;48)),"lock "&amp;TEXT($CA166,"0.0")&amp;CHAR(34)&amp;" AFF outside 34-48"&amp;CHAR(34)&amp;" (ADA), ","")&amp;IF(AND(ISNUMBER($AV166),ISNUMBER($BL166),N($AV166)&lt;IF(N($BL166)&lt;=60,2,IF(N($BL166)&lt;=90,3,IF(N($BL166)&lt;=120,4,5)))),"fewer hinges than standard, ",""))</f>
        <v/>
      </c>
    </row>
    <row r="167" ht="15" customHeight="1">
      <c r="A167" s="77" t="n"/>
      <c r="B167" s="78" t="n"/>
      <c r="C167" s="78" t="n"/>
      <c r="D167" s="78" t="n"/>
      <c r="E167" s="78" t="n"/>
      <c r="F167" s="78" t="n"/>
      <c r="G167" s="78" t="n"/>
      <c r="H167" s="78" t="n"/>
      <c r="I167" s="78" t="n"/>
      <c r="J167" s="78" t="n"/>
      <c r="K167" s="78" t="n"/>
      <c r="L167" s="78" t="n"/>
      <c r="M167" s="78" t="n"/>
      <c r="N167" s="78" t="n"/>
      <c r="O167" s="78" t="n"/>
      <c r="P167" s="78" t="n"/>
      <c r="Q167" s="78" t="n"/>
      <c r="R167" s="78" t="n"/>
      <c r="S167" s="79" t="n"/>
      <c r="T167" s="79" t="n"/>
      <c r="U167" s="79" t="n"/>
      <c r="V167" s="79" t="n"/>
      <c r="W167" s="79" t="n"/>
      <c r="X167" s="79" t="n"/>
      <c r="Y167" s="79" t="n"/>
      <c r="Z167" s="79" t="n"/>
      <c r="AA167" s="79" t="n"/>
      <c r="AB167" s="79" t="n"/>
      <c r="AC167" s="79" t="n"/>
      <c r="AD167" s="79" t="n"/>
      <c r="AE167" s="79" t="n"/>
      <c r="AF167" s="79" t="n"/>
      <c r="AG167" s="79" t="n"/>
      <c r="AH167" s="80" t="n"/>
      <c r="AI167" s="80" t="n"/>
      <c r="AJ167" s="80" t="n"/>
      <c r="AK167" s="80" t="n"/>
      <c r="AL167" s="80" t="n"/>
      <c r="AM167" s="80" t="n"/>
      <c r="AN167" s="80" t="n"/>
      <c r="AO167" s="80" t="n"/>
      <c r="AP167" s="80" t="n"/>
      <c r="AQ167" s="80" t="n"/>
      <c r="AR167" s="80" t="n"/>
      <c r="AS167" s="80" t="n"/>
      <c r="AT167" s="81" t="n"/>
      <c r="AU167" s="81" t="n"/>
      <c r="AV167" s="81" t="n"/>
      <c r="AW167" s="82" t="n"/>
      <c r="AX167" s="82" t="n"/>
      <c r="AY167" s="82" t="n"/>
      <c r="AZ167" s="82" t="n"/>
      <c r="BA167" s="82" t="n"/>
      <c r="BB167" s="83" t="n"/>
      <c r="BC167" s="83" t="n"/>
      <c r="BD167" s="84">
        <f>IF($A167="","",IF($DJ167&lt;&gt;"","FIX",IF($DK167&lt;&gt;"","CHECK","OK")))</f>
        <v/>
      </c>
      <c r="BE167" s="85">
        <f>IF($A167="","",IF($DJ167&lt;&gt;"","FIX: "&amp;LEFT($DJ167,LEN($DJ167)-2)&amp;IF($DK167&lt;&gt;"","  ·  ",""),"")&amp;IF($DK167&lt;&gt;"","CHECK: "&amp;LEFT($DK167,LEN($DK167)-2),""))</f>
        <v/>
      </c>
      <c r="BF167" s="84">
        <f>IF(OR($A167="",$K167=""),"",$K167&amp;"'-"&amp;N($L167)&amp;CHAR(34)&amp;" x "&amp;$M167&amp;"'-"&amp;N($N167)&amp;CHAR(34))</f>
        <v/>
      </c>
      <c r="BG167" s="84">
        <f>IF(OR($A167="",$K167=""),"",$K167&amp;N($L167)&amp;$M167&amp;N($N167))</f>
        <v/>
      </c>
      <c r="BH167" s="84">
        <f>IF(OR($A167="",$K167=""),"",$K167*12+N($L167))</f>
        <v/>
      </c>
      <c r="BI167" s="84">
        <f>IF(OR($A167="",$M167=""),"",$M167*12+N($N167))</f>
        <v/>
      </c>
      <c r="BJ167" s="84">
        <f>IF($A167="","",IF(OR($C167="FRAME ONLY",$S167="BL"),0,IF($O167="Y",2,1)))</f>
        <v/>
      </c>
      <c r="BK167" s="86">
        <f>IF(OR(N($BJ167)=0,$BH167=""),"",($BH167-2*EdgeClr-IF($BJ167=2,MeetClr,0))/$BJ167)</f>
        <v/>
      </c>
      <c r="BL167" s="86">
        <f>IF(OR(N($BJ167)=0,$BI167=""),"",$BI167-HeadClr-Undercut)</f>
        <v/>
      </c>
      <c r="BM167" s="86">
        <f>IF($BH167="","",$BH167+2*FaceW+IF(N($Q167)&gt;0,($Q167+FaceW)*IF($R167="LR",2,1),0))</f>
        <v/>
      </c>
      <c r="BN167" s="86">
        <f>IF($BI167="","",$BI167+IF($AB167="Y",4,FaceW)+IF(N($P167)&gt;0,$P167+FaceW,0)+IF(OR($S167="4F",$S167="BL"),FaceW,0))</f>
        <v/>
      </c>
      <c r="BO167" s="86">
        <f>IF($BM167="","",$BM167+2*ROSide)</f>
        <v/>
      </c>
      <c r="BP167" s="86">
        <f>IF($BN167="","",$BN167+ROTop)</f>
        <v/>
      </c>
      <c r="BQ167" s="87">
        <f>IF(OR(N($BJ167)=0,$BH167=""),"",$BH167/$BJ167-ClearDeduct)</f>
        <v/>
      </c>
      <c r="BR167" s="84">
        <f>IF(N($CH167)=0,"",IF($CH167&gt;=180,"A · 3 HR",IF($CH167&gt;=90,"B · 1-1/2 HR",IF($CH167&gt;=60,"B · 1 HR",IF($CH167&gt;=45,"C · 3/4 HR","20 MIN")))))&amp;IF(AND(N($CH167)&gt;0,OR($I167="CORRIDOR",$I167="SMOKE BARRIER"))," · S","")</f>
        <v/>
      </c>
      <c r="BS167" s="84">
        <f>IF($CS167,"",IF($AV167&lt;&gt;"",$AV167,IF(OR($AC167="HGC",$AO167="HGC"),"CONT",IF(($BI167-HeadClr-Undercut)&lt;=60,2,IF(($BI167-HeadClr-Undercut)&lt;=90,3,IF(($BI167-HeadClr-Undercut)&lt;=120,4,5))))))</f>
        <v/>
      </c>
      <c r="BT167" s="84">
        <f>IF($CS167,"",IF($CT167,"CUSTOM (typed)",IF($CV167,$AT167&amp;" "&amp;$CU167&amp;CHAR(34)&amp;IF($CU167&lt;&gt;$BI167,IF(AND($BI167&lt;$CU167,$BI167-IF(N(VLOOKUP($AT167&amp;"|"&amp;$CU167,LocTable,7,FALSE))&gt;0,VLOOKUP($AT167&amp;"|"&amp;$CU167,LocTable,7,FALSE),VLOOKUP($AT167&amp;"|"&amp;$CU167,LocTable,6,FALSE))-$CR167-0.75&gt;=2.125)," cut down"," adj."),""),"ANSI/SDI A250.6")))</f>
        <v/>
      </c>
      <c r="BU167" s="88">
        <f>IF($CS167,"",IF($CT167,IF(N($AW167)&gt;0,N($AW167),""),IF(1&gt;$CQ167,"",IF($CQ167=1,$CW167,$CW167+($CX167-$CW167)*0/($CQ167-1)))))</f>
        <v/>
      </c>
      <c r="BV167" s="88">
        <f>IF($CS167,"",IF($CT167,IF(N($AX167)&gt;0,N($AX167),""),IF(2&gt;$CQ167,"",IF($CQ167=1,$CW167,$CW167+($CX167-$CW167)*1/($CQ167-1)))))</f>
        <v/>
      </c>
      <c r="BW167" s="88">
        <f>IF($CS167,"",IF($CT167,IF(N($AY167)&gt;0,N($AY167),""),IF(3&gt;$CQ167,"",IF($CQ167=1,$CW167,$CW167+($CX167-$CW167)*2/($CQ167-1)))))</f>
        <v/>
      </c>
      <c r="BX167" s="88">
        <f>IF($CS167,"",IF($CT167,IF(N($AZ167)&gt;0,N($AZ167),""),IF(4&gt;$CQ167,"",IF($CQ167=1,$CW167,$CW167+($CX167-$CW167)*3/($CQ167-1)))))</f>
        <v/>
      </c>
      <c r="BY167" s="88">
        <f>IF($CS167,"",IF($CT167,"",IF(5&gt;$CQ167,"",IF($CQ167=1,$CW167,$CW167+($CX167-$CW167)*4/($CQ167-1)))))</f>
        <v/>
      </c>
      <c r="BZ167" s="88">
        <f>IF(OR($CS167,$AP167="-",AND($AP167="",$AD167="")),"",IF(N($BA167)&gt;0,N($BA167),IF($CV167,IF(AND($BI167&lt;$CU167,$BI167-IF(N(VLOOKUP($AT167&amp;"|"&amp;$CU167,LocTable,7,FALSE))&gt;0,VLOOKUP($AT167&amp;"|"&amp;$CU167,LocTable,7,FALSE),VLOOKUP($AT167&amp;"|"&amp;$CU167,LocTable,6,FALSE))-$CR167-0.75&gt;=2.125),VLOOKUP($AT167&amp;"|"&amp;$CU167,LocTable,8,FALSE),VLOOKUP($AT167&amp;"|"&amp;$CU167,LocTable,8,FALSE)+($BI167-$CU167)),$BI167-LockAFF)))</f>
        <v/>
      </c>
      <c r="CA167" s="89">
        <f>IF($BZ167="","",$BI167-$BZ167)</f>
        <v/>
      </c>
      <c r="CB167" s="84">
        <f>IF(OR(NOT(AND($A167&lt;&gt;"",$C167&lt;&gt;"DOOR ONLY")),$BI167=""),"",IF(($BI167+IF(N($P167)&gt;0,$P167+FaceW,0))&lt;=90,3,IF(($BI167+IF(N($P167)&gt;0,$P167+FaceW,0))&lt;=114,4,5)))</f>
        <v/>
      </c>
      <c r="CC167" s="84">
        <f>IF($CB167="","",$CB167*(2+IF(N($Q167)&gt;0,IF($R167="LR",2,1),0)))</f>
        <v/>
      </c>
      <c r="CD167" s="84">
        <f>IF($CB167="","",(2+IF(N($Q167)&gt;0,IF($R167="LR",2,1),0)))</f>
        <v/>
      </c>
      <c r="CE167" s="84">
        <f>IF(N($BJ167)=0,"",IF(OR($AL167="",$AL167="FLUSH"),"FLUSH",IFERROR(LEFT($AL167,FIND("-",$AL167)-1),LEFT($AL167,2))))</f>
        <v/>
      </c>
      <c r="CF167" s="84">
        <f>IF($CE167="","",IFERROR(VALUE(MID($AL167,FIND("-",$AL167)+1,FIND(CHAR(34)&amp;"x",$AL167)-FIND("-",$AL167)-1)),0))</f>
        <v/>
      </c>
      <c r="CG167" s="84">
        <f>IF($CE167="","",IFERROR(VALUE(MID($AL167,FIND(CHAR(34)&amp;"x",$AL167)+2,FIND(CHAR(34),$AL167,FIND(CHAR(34)&amp;"x",$AL167)+2)-FIND(CHAR(34)&amp;"x",$AL167)-2)),0))</f>
        <v/>
      </c>
      <c r="CH167" s="90">
        <f>IF(OR($A167="",$H167="",$H167="NO LAB"),0,IFERROR(VALUE(LEFT($H167,FIND(" ",$H167)-1)),0))</f>
        <v/>
      </c>
      <c r="CI167" s="91">
        <f>IF(OR($A167="",$I167="",$I167="NON-RATED",N($J167)=0),"",IFERROR(VLOOKUP($I167&amp;"|"&amp;$J167,IBC,2,FALSE),"?"))</f>
        <v/>
      </c>
      <c r="CJ167" s="85">
        <f>IF(NOT(AND($A167&lt;&gt;"",$C167&lt;&gt;"DOOR ONLY")),"",TRIM(IFERROR(VLOOKUP($U167,CODES,2,FALSE),"")&amp;" "&amp;$BG167&amp;" "&amp;IFERROR(VLOOKUP($Z167,CODES,2,FALSE),"")&amp;" "&amp;IFERROR(VLOOKUP($X167,CODES,2,FALSE),"")&amp;" "&amp;IFERROR(VLOOKUP($S167,CODES,2,FALSE),"")&amp;IF(N($P167)&gt;0," w/TRANSOM "&amp;$P167&amp;CHAR(34),"")&amp;IF(N($Q167)&gt;0," w/SIDELITE "&amp;$Q167&amp;CHAR(34)&amp;" "&amp;IF($R167="","R",$R167),"")&amp;IF($Y167="","  |  "," | "&amp;IFERROR(VLOOKUP($Y167,CODES,2,FALSE),"")&amp;" | ")&amp;IFERROR(VLOOKUP($AC167,CODES,2,FALSE),"")&amp;" "&amp;IFERROR(VLOOKUP($AD167,CODES,2,FALSE),"")&amp;IF(OR($AE167="",$AE167="-"),""," "&amp;$AE167)&amp;IF(OR($AF167="",$AF167="-"),""," "&amp;$AF167)&amp;IF($AB167="Y"," 4"&amp;CHAR(34)&amp;" HEAD","")&amp;" "&amp;IFERROR(VLOOKUP($H167,CODES,2,FALSE),"")&amp;IF($CT167," | LOC "&amp;$CY167,"")))</f>
        <v/>
      </c>
      <c r="CK167" s="85">
        <f>IF(NOT(AND($A167&lt;&gt;"",N($BJ167)&gt;0)),"",TRIM(IFERROR(VLOOKUP($AH167,CODES,2,FALSE),"")&amp;IF($AI167=""," "," "&amp;$AI167&amp;"GA ")&amp;$BG167&amp;" "&amp;IF($AN167="",IFERROR(VLOOKUP($Z167,CODES,2,FALSE),""),IFERROR(VLOOKUP($AN167,CODES,2,FALSE),""))&amp;IF($BJ167=2," PAIR","")&amp;" DOOR | "&amp;IF($AL167="","?",$AL167)&amp;" | "&amp;IF($AO167="",IFERROR(VLOOKUP($AC167,CODES,2,FALSE),""),IFERROR(VLOOKUP($AO167,CODES,2,FALSE),""))&amp;" "&amp;IFERROR(VLOOKUP($AP167,CODES,2,FALSE),"")&amp;IF(OR($AQ167="",$AQ167="-"),""," SEAM "&amp;$AQ167)&amp;IF($AR167="Y"," ASTRAGAL","")&amp;IF($AJ167=""," "," "&amp;$AJ167)&amp;IF($AK167=""," "," "&amp;$AK167)&amp;IF(OR($AT167="",$AT167="ANSI/SDI",$AT167="CUSTOM LOC"),""," "&amp;$AT167)&amp;IF($AM167=""," "," SERIES "&amp;$AM167)&amp;" "&amp;IFERROR(VLOOKUP($H167,CODES,2,FALSE),"")&amp;IF($CT167," | LOC "&amp;$CZ167,"")))</f>
        <v/>
      </c>
      <c r="CL167" s="84">
        <f>IF(CP167="","",IF(COUNTIF($CP$6:CP167,CP167)=1,MAX($CL$5:CL166)+1,INDEX($CL$5:CL166,MATCH(CP167,$CP$5:CP166,0))))</f>
        <v/>
      </c>
      <c r="CM167" s="84">
        <f>IF(NOT(AND($A167&lt;&gt;"",$C167&lt;&gt;"DOOR ONLY")),"",MAX($CM$5:CM166)+1)</f>
        <v/>
      </c>
      <c r="CN167" s="84">
        <f>IF(NOT(AND($A167&lt;&gt;"",N($BJ167)&gt;0)),"",MAX($CN$5:CN166)+1)</f>
        <v/>
      </c>
      <c r="CO167" s="84">
        <f>IF($A167="","",MAX($CO$5:CO166)+1)</f>
        <v/>
      </c>
      <c r="CP167" s="84">
        <f>IF(OR($A167="",$BH167="",$BI167=""),"",$BG167&amp;"|"&amp;$O167&amp;"|"&amp;$AL167&amp;"|"&amp;$S167&amp;"|"&amp;$P167&amp;"|"&amp;$Q167&amp;$R167&amp;"|"&amp;$C167&amp;"|"&amp;$AB167)</f>
        <v/>
      </c>
      <c r="CQ167" s="84">
        <f>N($BS167)</f>
        <v/>
      </c>
      <c r="CR167" s="84">
        <f>IF(N($AU167)&gt;0,N($AU167),4.5)</f>
        <v/>
      </c>
      <c r="CS167" s="84">
        <f>OR($A167="",$BI167="",$S167="BL",AND($C167="FRAME ONLY",OR($AC167="",$AC167="BLK")))</f>
        <v/>
      </c>
      <c r="CT167" s="84">
        <f>AND(NOT($CS167),OR($AT167="CUSTOM LOC",N($AW167)+N($AX167)+N($AY167)+N($AZ167)+N($BA167)&gt;0))</f>
        <v/>
      </c>
      <c r="CU167" s="84">
        <f>IF($BI167="","",IF($BI167&lt;=80,80,IF($BI167&lt;=84,84,96)))</f>
        <v/>
      </c>
      <c r="CV167" s="84">
        <f>ISNUMBER(MATCH($AT167&amp;"|80",LocKeys,0))</f>
        <v/>
      </c>
      <c r="CW167" s="86">
        <f>IF($CS167,"",IF($CV167,VLOOKUP($AT167&amp;"|"&amp;$CU167,LocTable,4,FALSE),5))</f>
        <v/>
      </c>
      <c r="CX167" s="86">
        <f>IF($CS167,"",IF($CV167,IF(OR($BI167=$CU167,AND($BI167&lt;$CU167,$BI167-IF(N(VLOOKUP($AT167&amp;"|"&amp;$CU167,LocTable,7,FALSE))&gt;0,VLOOKUP($AT167&amp;"|"&amp;$CU167,LocTable,7,FALSE),VLOOKUP($AT167&amp;"|"&amp;$CU167,LocTable,6,FALSE))-$CR167-0.75&gt;=2.125)),IF(N(VLOOKUP($AT167&amp;"|"&amp;$CU167,LocTable,7,FALSE))&gt;0,VLOOKUP($AT167&amp;"|"&amp;$CU167,LocTable,7,FALSE),VLOOKUP($AT167&amp;"|"&amp;$CU167,LocTable,6,FALSE)),$BI167-($CU167-IF(N(VLOOKUP($AT167&amp;"|"&amp;$CU167,LocTable,7,FALSE))&gt;0,VLOOKUP($AT167&amp;"|"&amp;$CU167,LocTable,7,FALSE),VLOOKUP($AT167&amp;"|"&amp;$CU167,LocTable,6,FALSE)))),$BI167-10-$CR167))</f>
        <v/>
      </c>
      <c r="CY167" s="85">
        <f>IF($CS167,"",TRIM(IF(ISNUMBER($BU167),"A "&amp;TRIM(TEXT($BU167,"# ?/??"))&amp;CHAR(34)&amp;"  ","")&amp;IF(ISNUMBER($BV167),"B "&amp;TRIM(TEXT($BV167,"# ?/??"))&amp;CHAR(34)&amp;"  ","")&amp;IF(ISNUMBER($BW167),"C "&amp;TRIM(TEXT($BW167,"# ?/??"))&amp;CHAR(34)&amp;"  ","")&amp;IF(ISNUMBER($BX167),"D "&amp;TRIM(TEXT($BX167,"# ?/??"))&amp;CHAR(34)&amp;"  ","")&amp;IF(ISNUMBER($BY167),"F "&amp;TRIM(TEXT($BY167,"# ?/??"))&amp;CHAR(34)&amp;"  ","")&amp;IF(ISNUMBER($BZ167),"E "&amp;TRIM(TEXT($BZ167,"# ?/??"))&amp;CHAR(34)&amp;"  ","")))</f>
        <v/>
      </c>
      <c r="CZ167" s="85">
        <f>IF(OR($CS167,N($BJ167)=0),"",TRIM(IF(ISNUMBER($BU167),"A "&amp;TRIM(TEXT($BU167-HeadClr,"# ?/??"))&amp;CHAR(34)&amp;"  ","")&amp;IF(ISNUMBER($BV167),"B "&amp;TRIM(TEXT($BV167-HeadClr,"# ?/??"))&amp;CHAR(34)&amp;"  ","")&amp;IF(ISNUMBER($BW167),"C "&amp;TRIM(TEXT($BW167-HeadClr,"# ?/??"))&amp;CHAR(34)&amp;"  ","")&amp;IF(ISNUMBER($BX167),"D "&amp;TRIM(TEXT($BX167-HeadClr,"# ?/??"))&amp;CHAR(34)&amp;"  ","")&amp;IF(ISNUMBER($BY167),"F "&amp;TRIM(TEXT($BY167-HeadClr,"# ?/??"))&amp;CHAR(34)&amp;"  ","")&amp;IF(ISNUMBER($BZ167),"E "&amp;TRIM(TEXT($BZ167-HeadClr,"# ?/??"))&amp;CHAR(34)&amp;"  ","")))</f>
        <v/>
      </c>
      <c r="DA167" s="84">
        <f>IF($A167="","",IF($AN167="",IFERROR(VLOOKUP($Z167,CODES,2,FALSE),""),IFERROR(VLOOKUP($AN167,CODES,2,FALSE),"")))</f>
        <v/>
      </c>
      <c r="DB167" s="84">
        <f>IF($A167="","",IF($O167="Y","PR",IF(OR($Z167="L",$Z167="RR",LEFT($Z167,2)="L-",LEFT($Z167,3)="RR-"),"LH","RH")))</f>
        <v/>
      </c>
      <c r="DC167" s="84">
        <f>IF($A167="","","S.HM"&amp;IF(OR($C167="DOOR ONLY",$X167&lt;&gt;"KD"),"MASONRY","DRYWALL")&amp;IF($C167="DOOR ONLY","",$U167)&amp;IF(AND($C167&lt;&gt;"FRAME ONLY",OR(LEFT($AH167,3)="OAK",LEFT($AH167,3)="BIR",LEFT($AH167,3)="MAP",$AH167="PC",$AH167="MC",$AH167="SCLC",$AH167="P-LAM")),"WD","HM")&amp;"1.75")</f>
        <v/>
      </c>
      <c r="DD167" s="84">
        <f>IF($CJ167="","",IF($O167="Y",$CJ167,SUBSTITUTE($CJ167,$BG167&amp;" "&amp;IFERROR(VLOOKUP($Z167,CODES,2,FALSE),"")&amp;" ",$BG167&amp;" ")))</f>
        <v/>
      </c>
      <c r="DE167" s="84">
        <f>IF($CK167="","",IF($O167="Y",$CK167,SUBSTITUTE($CK167,$BG167&amp;" "&amp;IF($AN167="",IFERROR(VLOOKUP($Z167,CODES,2,FALSE),""),IFERROR(VLOOKUP($AN167,CODES,2,FALSE),""))&amp;" ",$BG167&amp;" ")))</f>
        <v/>
      </c>
      <c r="DF167" s="84">
        <f>IF($CJ167="","",$DC167&amp;"|"&amp;$DD167&amp;"|"&amp;$DB167&amp;"|"&amp;$AT167&amp;"|"&amp;$V167&amp;"|"&amp;$Y167&amp;"|"&amp;$AB167)</f>
        <v/>
      </c>
      <c r="DG167" s="84">
        <f>IF(DF167="","",IF(COUNTIF($DF$6:DF167,DF167)=1,MAX($DG$5:DG166)+1,INDEX($DG$5:DG166,MATCH(DF167,$DF$5:DF166,0))))</f>
        <v/>
      </c>
      <c r="DH167" s="84">
        <f>IF($CK167="","",$DC167&amp;"|"&amp;$DE167&amp;"|"&amp;$AI167&amp;"|"&amp;$BK167&amp;"|"&amp;$BL167)</f>
        <v/>
      </c>
      <c r="DI167" s="84">
        <f>IF(DH167="","",IF(COUNTIF($DH$6:DH167,DH167)=1,MAX($DI$5:DI166)+1,INDEX($DI$5:DI166,MATCH(DH167,$DH$5:DH166,0))))</f>
        <v/>
      </c>
      <c r="DJ167" s="84">
        <f>IF($A167="","",IF($B167="","qty, ","")&amp;IF($C167="","scope, ","")&amp;IF(OR($K167="",$M167=""),"size, ","")&amp;IF(AND($A167&lt;&gt;"",$C167&lt;&gt;"DOOR ONLY"),IF($U167="","jamb depth, ","")&amp;IF($X167="","construction, ","")&amp;IF($Y167="","anchor, ","")&amp;IF($S167="","frame type, ",""),"")&amp;IF(AND(N($BJ167)&gt;0,$Z167=""),"hand, ","")&amp;IF(N($BJ167)&gt;0,IF($AH167="","door material, ","")&amp;IF($AL167="","face type, ","")&amp;IF($AP167="","lock prep, ","")&amp;IF(AND($AO167="",$AC167=""),"hinge prep, ",""),"")&amp;IF(AND($CH167&gt;0,$AH167="FRP"),"FRP cannot carry a label, ","")&amp;IF(AND($O167="Y",OR($Z167="L",$Z167="R",$Z167="LR",$Z167="RR")),"pair marked but hand is single, ","")&amp;IF(AND($O167&lt;&gt;"Y",OR($Z167="PR",AND(LEN($Z167)&gt;1,ISNUMBER(SEARCH("-",$Z167))))),"pair hand on a single door, ","")&amp;IF(AND(ISNUMBER($CI167),$CH167&lt;N($CI167)),"wall needs a "&amp;$CI167&amp;" min door, ","")&amp;IF(AND($CH167&gt;=180,AND(OR($CE167="FG",$CE167="HG",$CE167="FNV",$CE167="FV"),N($CF167)*N($CG167)&gt;100)),"180 min lite over 100 sq in, ","")&amp;IF(N($BK167)&gt;48,"leaf wider than 4'-0"&amp;CHAR(34)&amp;", ","")&amp;IF(AND($CT167,COUNT($AW167:$AZ167)=0,$CQ167&gt;0),"CUSTOM LOC with no locations typed, ",""))</f>
        <v/>
      </c>
      <c r="DK167" s="84">
        <f>IF($A167="","",IF(AND($CH167&gt;0,AND($A167&lt;&gt;"",$C167&lt;&gt;"DOOR ONLY"),$X167="KD",$E167="EXTERIOR"),"KD label on an exterior opening, ","")&amp;IF(AND($E167="EXTERIOR",OR(AND(AND($A167&lt;&gt;"",$C167&lt;&gt;"DOOR ONLY"),$W167="CR"),AND(N($BJ167)&gt;0,$AH167="CR"))),"exterior in CR steel (G9?), ","")&amp;IF(AND(ISNUMBER($BQ167),N($BQ167)&lt;32),"clear width ~"&amp;TEXT($BQ167,"0.0")&amp;CHAR(34)&amp;" under 32"&amp;CHAR(34)&amp;" (ADA), ","")&amp;IF(AND($CH167=90,AND(OR($CE167="FG",$CE167="HG",$CE167="FNV",$CE167="FV"),N($CF167)*N($CG167)&gt;100)),"90 min lite over 100 sq in (stair/exit), ","")&amp;IF(AND($CH167&gt;0,AND($A167&lt;&gt;"",$C167&lt;&gt;"DOOR ONLY"),OR($AF167="",$AF167="-")),"rated: closer reinf.?, ","")&amp;IF(OR($I167="CORRIDOR",$I167="SMOKE BARRIER"),"S label + smoke gasketing, ","")&amp;IF($CI167="?","wall type/hr not in IBC table, ","")&amp;IF(AND(N($BJ167)&gt;0,$BB167=""),"no hardware set, ","")&amp;IF(AND($BB167&lt;&gt;"",ISNA(MATCH($BB167&amp;"",HWSets,0))),"set "&amp;$BB167&amp;" not on HW Sets, ","")&amp;IF(N($BL167)&gt;96,"leaf over 8'-0"&amp;CHAR(34)&amp;" - check listing, ","")&amp;IF(AND($CT167,COUNT($AW167:$AZ167)&gt;0,COUNT($AW167:$AZ167)&lt;&gt;$CQ167),COUNT($AW167:$AZ167)&amp;" custom hinges typed, "&amp;$CQ167&amp;" expected, ","")&amp;IF(AND(ISNUMBER($CA167),OR(N($CA167)&lt;34,N($CA167)&gt;48)),"lock "&amp;TEXT($CA167,"0.0")&amp;CHAR(34)&amp;" AFF outside 34-48"&amp;CHAR(34)&amp;" (ADA), ","")&amp;IF(AND(ISNUMBER($AV167),ISNUMBER($BL167),N($AV167)&lt;IF(N($BL167)&lt;=60,2,IF(N($BL167)&lt;=90,3,IF(N($BL167)&lt;=120,4,5)))),"fewer hinges than standard, ",""))</f>
        <v/>
      </c>
    </row>
    <row r="168" ht="15" customHeight="1">
      <c r="A168" s="77" t="n"/>
      <c r="B168" s="78" t="n"/>
      <c r="C168" s="78" t="n"/>
      <c r="D168" s="78" t="n"/>
      <c r="E168" s="78" t="n"/>
      <c r="F168" s="78" t="n"/>
      <c r="G168" s="78" t="n"/>
      <c r="H168" s="78" t="n"/>
      <c r="I168" s="78" t="n"/>
      <c r="J168" s="78" t="n"/>
      <c r="K168" s="78" t="n"/>
      <c r="L168" s="78" t="n"/>
      <c r="M168" s="78" t="n"/>
      <c r="N168" s="78" t="n"/>
      <c r="O168" s="78" t="n"/>
      <c r="P168" s="78" t="n"/>
      <c r="Q168" s="78" t="n"/>
      <c r="R168" s="78" t="n"/>
      <c r="S168" s="79" t="n"/>
      <c r="T168" s="79" t="n"/>
      <c r="U168" s="79" t="n"/>
      <c r="V168" s="79" t="n"/>
      <c r="W168" s="79" t="n"/>
      <c r="X168" s="79" t="n"/>
      <c r="Y168" s="79" t="n"/>
      <c r="Z168" s="79" t="n"/>
      <c r="AA168" s="79" t="n"/>
      <c r="AB168" s="79" t="n"/>
      <c r="AC168" s="79" t="n"/>
      <c r="AD168" s="79" t="n"/>
      <c r="AE168" s="79" t="n"/>
      <c r="AF168" s="79" t="n"/>
      <c r="AG168" s="79" t="n"/>
      <c r="AH168" s="80" t="n"/>
      <c r="AI168" s="80" t="n"/>
      <c r="AJ168" s="80" t="n"/>
      <c r="AK168" s="80" t="n"/>
      <c r="AL168" s="80" t="n"/>
      <c r="AM168" s="80" t="n"/>
      <c r="AN168" s="80" t="n"/>
      <c r="AO168" s="80" t="n"/>
      <c r="AP168" s="80" t="n"/>
      <c r="AQ168" s="80" t="n"/>
      <c r="AR168" s="80" t="n"/>
      <c r="AS168" s="80" t="n"/>
      <c r="AT168" s="81" t="n"/>
      <c r="AU168" s="81" t="n"/>
      <c r="AV168" s="81" t="n"/>
      <c r="AW168" s="82" t="n"/>
      <c r="AX168" s="82" t="n"/>
      <c r="AY168" s="82" t="n"/>
      <c r="AZ168" s="82" t="n"/>
      <c r="BA168" s="82" t="n"/>
      <c r="BB168" s="83" t="n"/>
      <c r="BC168" s="83" t="n"/>
      <c r="BD168" s="84">
        <f>IF($A168="","",IF($DJ168&lt;&gt;"","FIX",IF($DK168&lt;&gt;"","CHECK","OK")))</f>
        <v/>
      </c>
      <c r="BE168" s="85">
        <f>IF($A168="","",IF($DJ168&lt;&gt;"","FIX: "&amp;LEFT($DJ168,LEN($DJ168)-2)&amp;IF($DK168&lt;&gt;"","  ·  ",""),"")&amp;IF($DK168&lt;&gt;"","CHECK: "&amp;LEFT($DK168,LEN($DK168)-2),""))</f>
        <v/>
      </c>
      <c r="BF168" s="84">
        <f>IF(OR($A168="",$K168=""),"",$K168&amp;"'-"&amp;N($L168)&amp;CHAR(34)&amp;" x "&amp;$M168&amp;"'-"&amp;N($N168)&amp;CHAR(34))</f>
        <v/>
      </c>
      <c r="BG168" s="84">
        <f>IF(OR($A168="",$K168=""),"",$K168&amp;N($L168)&amp;$M168&amp;N($N168))</f>
        <v/>
      </c>
      <c r="BH168" s="84">
        <f>IF(OR($A168="",$K168=""),"",$K168*12+N($L168))</f>
        <v/>
      </c>
      <c r="BI168" s="84">
        <f>IF(OR($A168="",$M168=""),"",$M168*12+N($N168))</f>
        <v/>
      </c>
      <c r="BJ168" s="84">
        <f>IF($A168="","",IF(OR($C168="FRAME ONLY",$S168="BL"),0,IF($O168="Y",2,1)))</f>
        <v/>
      </c>
      <c r="BK168" s="86">
        <f>IF(OR(N($BJ168)=0,$BH168=""),"",($BH168-2*EdgeClr-IF($BJ168=2,MeetClr,0))/$BJ168)</f>
        <v/>
      </c>
      <c r="BL168" s="86">
        <f>IF(OR(N($BJ168)=0,$BI168=""),"",$BI168-HeadClr-Undercut)</f>
        <v/>
      </c>
      <c r="BM168" s="86">
        <f>IF($BH168="","",$BH168+2*FaceW+IF(N($Q168)&gt;0,($Q168+FaceW)*IF($R168="LR",2,1),0))</f>
        <v/>
      </c>
      <c r="BN168" s="86">
        <f>IF($BI168="","",$BI168+IF($AB168="Y",4,FaceW)+IF(N($P168)&gt;0,$P168+FaceW,0)+IF(OR($S168="4F",$S168="BL"),FaceW,0))</f>
        <v/>
      </c>
      <c r="BO168" s="86">
        <f>IF($BM168="","",$BM168+2*ROSide)</f>
        <v/>
      </c>
      <c r="BP168" s="86">
        <f>IF($BN168="","",$BN168+ROTop)</f>
        <v/>
      </c>
      <c r="BQ168" s="87">
        <f>IF(OR(N($BJ168)=0,$BH168=""),"",$BH168/$BJ168-ClearDeduct)</f>
        <v/>
      </c>
      <c r="BR168" s="84">
        <f>IF(N($CH168)=0,"",IF($CH168&gt;=180,"A · 3 HR",IF($CH168&gt;=90,"B · 1-1/2 HR",IF($CH168&gt;=60,"B · 1 HR",IF($CH168&gt;=45,"C · 3/4 HR","20 MIN")))))&amp;IF(AND(N($CH168)&gt;0,OR($I168="CORRIDOR",$I168="SMOKE BARRIER"))," · S","")</f>
        <v/>
      </c>
      <c r="BS168" s="84">
        <f>IF($CS168,"",IF($AV168&lt;&gt;"",$AV168,IF(OR($AC168="HGC",$AO168="HGC"),"CONT",IF(($BI168-HeadClr-Undercut)&lt;=60,2,IF(($BI168-HeadClr-Undercut)&lt;=90,3,IF(($BI168-HeadClr-Undercut)&lt;=120,4,5))))))</f>
        <v/>
      </c>
      <c r="BT168" s="84">
        <f>IF($CS168,"",IF($CT168,"CUSTOM (typed)",IF($CV168,$AT168&amp;" "&amp;$CU168&amp;CHAR(34)&amp;IF($CU168&lt;&gt;$BI168,IF(AND($BI168&lt;$CU168,$BI168-IF(N(VLOOKUP($AT168&amp;"|"&amp;$CU168,LocTable,7,FALSE))&gt;0,VLOOKUP($AT168&amp;"|"&amp;$CU168,LocTable,7,FALSE),VLOOKUP($AT168&amp;"|"&amp;$CU168,LocTable,6,FALSE))-$CR168-0.75&gt;=2.125)," cut down"," adj."),""),"ANSI/SDI A250.6")))</f>
        <v/>
      </c>
      <c r="BU168" s="88">
        <f>IF($CS168,"",IF($CT168,IF(N($AW168)&gt;0,N($AW168),""),IF(1&gt;$CQ168,"",IF($CQ168=1,$CW168,$CW168+($CX168-$CW168)*0/($CQ168-1)))))</f>
        <v/>
      </c>
      <c r="BV168" s="88">
        <f>IF($CS168,"",IF($CT168,IF(N($AX168)&gt;0,N($AX168),""),IF(2&gt;$CQ168,"",IF($CQ168=1,$CW168,$CW168+($CX168-$CW168)*1/($CQ168-1)))))</f>
        <v/>
      </c>
      <c r="BW168" s="88">
        <f>IF($CS168,"",IF($CT168,IF(N($AY168)&gt;0,N($AY168),""),IF(3&gt;$CQ168,"",IF($CQ168=1,$CW168,$CW168+($CX168-$CW168)*2/($CQ168-1)))))</f>
        <v/>
      </c>
      <c r="BX168" s="88">
        <f>IF($CS168,"",IF($CT168,IF(N($AZ168)&gt;0,N($AZ168),""),IF(4&gt;$CQ168,"",IF($CQ168=1,$CW168,$CW168+($CX168-$CW168)*3/($CQ168-1)))))</f>
        <v/>
      </c>
      <c r="BY168" s="88">
        <f>IF($CS168,"",IF($CT168,"",IF(5&gt;$CQ168,"",IF($CQ168=1,$CW168,$CW168+($CX168-$CW168)*4/($CQ168-1)))))</f>
        <v/>
      </c>
      <c r="BZ168" s="88">
        <f>IF(OR($CS168,$AP168="-",AND($AP168="",$AD168="")),"",IF(N($BA168)&gt;0,N($BA168),IF($CV168,IF(AND($BI168&lt;$CU168,$BI168-IF(N(VLOOKUP($AT168&amp;"|"&amp;$CU168,LocTable,7,FALSE))&gt;0,VLOOKUP($AT168&amp;"|"&amp;$CU168,LocTable,7,FALSE),VLOOKUP($AT168&amp;"|"&amp;$CU168,LocTable,6,FALSE))-$CR168-0.75&gt;=2.125),VLOOKUP($AT168&amp;"|"&amp;$CU168,LocTable,8,FALSE),VLOOKUP($AT168&amp;"|"&amp;$CU168,LocTable,8,FALSE)+($BI168-$CU168)),$BI168-LockAFF)))</f>
        <v/>
      </c>
      <c r="CA168" s="89">
        <f>IF($BZ168="","",$BI168-$BZ168)</f>
        <v/>
      </c>
      <c r="CB168" s="84">
        <f>IF(OR(NOT(AND($A168&lt;&gt;"",$C168&lt;&gt;"DOOR ONLY")),$BI168=""),"",IF(($BI168+IF(N($P168)&gt;0,$P168+FaceW,0))&lt;=90,3,IF(($BI168+IF(N($P168)&gt;0,$P168+FaceW,0))&lt;=114,4,5)))</f>
        <v/>
      </c>
      <c r="CC168" s="84">
        <f>IF($CB168="","",$CB168*(2+IF(N($Q168)&gt;0,IF($R168="LR",2,1),0)))</f>
        <v/>
      </c>
      <c r="CD168" s="84">
        <f>IF($CB168="","",(2+IF(N($Q168)&gt;0,IF($R168="LR",2,1),0)))</f>
        <v/>
      </c>
      <c r="CE168" s="84">
        <f>IF(N($BJ168)=0,"",IF(OR($AL168="",$AL168="FLUSH"),"FLUSH",IFERROR(LEFT($AL168,FIND("-",$AL168)-1),LEFT($AL168,2))))</f>
        <v/>
      </c>
      <c r="CF168" s="84">
        <f>IF($CE168="","",IFERROR(VALUE(MID($AL168,FIND("-",$AL168)+1,FIND(CHAR(34)&amp;"x",$AL168)-FIND("-",$AL168)-1)),0))</f>
        <v/>
      </c>
      <c r="CG168" s="84">
        <f>IF($CE168="","",IFERROR(VALUE(MID($AL168,FIND(CHAR(34)&amp;"x",$AL168)+2,FIND(CHAR(34),$AL168,FIND(CHAR(34)&amp;"x",$AL168)+2)-FIND(CHAR(34)&amp;"x",$AL168)-2)),0))</f>
        <v/>
      </c>
      <c r="CH168" s="90">
        <f>IF(OR($A168="",$H168="",$H168="NO LAB"),0,IFERROR(VALUE(LEFT($H168,FIND(" ",$H168)-1)),0))</f>
        <v/>
      </c>
      <c r="CI168" s="91">
        <f>IF(OR($A168="",$I168="",$I168="NON-RATED",N($J168)=0),"",IFERROR(VLOOKUP($I168&amp;"|"&amp;$J168,IBC,2,FALSE),"?"))</f>
        <v/>
      </c>
      <c r="CJ168" s="85">
        <f>IF(NOT(AND($A168&lt;&gt;"",$C168&lt;&gt;"DOOR ONLY")),"",TRIM(IFERROR(VLOOKUP($U168,CODES,2,FALSE),"")&amp;" "&amp;$BG168&amp;" "&amp;IFERROR(VLOOKUP($Z168,CODES,2,FALSE),"")&amp;" "&amp;IFERROR(VLOOKUP($X168,CODES,2,FALSE),"")&amp;" "&amp;IFERROR(VLOOKUP($S168,CODES,2,FALSE),"")&amp;IF(N($P168)&gt;0," w/TRANSOM "&amp;$P168&amp;CHAR(34),"")&amp;IF(N($Q168)&gt;0," w/SIDELITE "&amp;$Q168&amp;CHAR(34)&amp;" "&amp;IF($R168="","R",$R168),"")&amp;IF($Y168="","  |  "," | "&amp;IFERROR(VLOOKUP($Y168,CODES,2,FALSE),"")&amp;" | ")&amp;IFERROR(VLOOKUP($AC168,CODES,2,FALSE),"")&amp;" "&amp;IFERROR(VLOOKUP($AD168,CODES,2,FALSE),"")&amp;IF(OR($AE168="",$AE168="-"),""," "&amp;$AE168)&amp;IF(OR($AF168="",$AF168="-"),""," "&amp;$AF168)&amp;IF($AB168="Y"," 4"&amp;CHAR(34)&amp;" HEAD","")&amp;" "&amp;IFERROR(VLOOKUP($H168,CODES,2,FALSE),"")&amp;IF($CT168," | LOC "&amp;$CY168,"")))</f>
        <v/>
      </c>
      <c r="CK168" s="85">
        <f>IF(NOT(AND($A168&lt;&gt;"",N($BJ168)&gt;0)),"",TRIM(IFERROR(VLOOKUP($AH168,CODES,2,FALSE),"")&amp;IF($AI168=""," "," "&amp;$AI168&amp;"GA ")&amp;$BG168&amp;" "&amp;IF($AN168="",IFERROR(VLOOKUP($Z168,CODES,2,FALSE),""),IFERROR(VLOOKUP($AN168,CODES,2,FALSE),""))&amp;IF($BJ168=2," PAIR","")&amp;" DOOR | "&amp;IF($AL168="","?",$AL168)&amp;" | "&amp;IF($AO168="",IFERROR(VLOOKUP($AC168,CODES,2,FALSE),""),IFERROR(VLOOKUP($AO168,CODES,2,FALSE),""))&amp;" "&amp;IFERROR(VLOOKUP($AP168,CODES,2,FALSE),"")&amp;IF(OR($AQ168="",$AQ168="-"),""," SEAM "&amp;$AQ168)&amp;IF($AR168="Y"," ASTRAGAL","")&amp;IF($AJ168=""," "," "&amp;$AJ168)&amp;IF($AK168=""," "," "&amp;$AK168)&amp;IF(OR($AT168="",$AT168="ANSI/SDI",$AT168="CUSTOM LOC"),""," "&amp;$AT168)&amp;IF($AM168=""," "," SERIES "&amp;$AM168)&amp;" "&amp;IFERROR(VLOOKUP($H168,CODES,2,FALSE),"")&amp;IF($CT168," | LOC "&amp;$CZ168,"")))</f>
        <v/>
      </c>
      <c r="CL168" s="84">
        <f>IF(CP168="","",IF(COUNTIF($CP$6:CP168,CP168)=1,MAX($CL$5:CL167)+1,INDEX($CL$5:CL167,MATCH(CP168,$CP$5:CP167,0))))</f>
        <v/>
      </c>
      <c r="CM168" s="84">
        <f>IF(NOT(AND($A168&lt;&gt;"",$C168&lt;&gt;"DOOR ONLY")),"",MAX($CM$5:CM167)+1)</f>
        <v/>
      </c>
      <c r="CN168" s="84">
        <f>IF(NOT(AND($A168&lt;&gt;"",N($BJ168)&gt;0)),"",MAX($CN$5:CN167)+1)</f>
        <v/>
      </c>
      <c r="CO168" s="84">
        <f>IF($A168="","",MAX($CO$5:CO167)+1)</f>
        <v/>
      </c>
      <c r="CP168" s="84">
        <f>IF(OR($A168="",$BH168="",$BI168=""),"",$BG168&amp;"|"&amp;$O168&amp;"|"&amp;$AL168&amp;"|"&amp;$S168&amp;"|"&amp;$P168&amp;"|"&amp;$Q168&amp;$R168&amp;"|"&amp;$C168&amp;"|"&amp;$AB168)</f>
        <v/>
      </c>
      <c r="CQ168" s="84">
        <f>N($BS168)</f>
        <v/>
      </c>
      <c r="CR168" s="84">
        <f>IF(N($AU168)&gt;0,N($AU168),4.5)</f>
        <v/>
      </c>
      <c r="CS168" s="84">
        <f>OR($A168="",$BI168="",$S168="BL",AND($C168="FRAME ONLY",OR($AC168="",$AC168="BLK")))</f>
        <v/>
      </c>
      <c r="CT168" s="84">
        <f>AND(NOT($CS168),OR($AT168="CUSTOM LOC",N($AW168)+N($AX168)+N($AY168)+N($AZ168)+N($BA168)&gt;0))</f>
        <v/>
      </c>
      <c r="CU168" s="84">
        <f>IF($BI168="","",IF($BI168&lt;=80,80,IF($BI168&lt;=84,84,96)))</f>
        <v/>
      </c>
      <c r="CV168" s="84">
        <f>ISNUMBER(MATCH($AT168&amp;"|80",LocKeys,0))</f>
        <v/>
      </c>
      <c r="CW168" s="86">
        <f>IF($CS168,"",IF($CV168,VLOOKUP($AT168&amp;"|"&amp;$CU168,LocTable,4,FALSE),5))</f>
        <v/>
      </c>
      <c r="CX168" s="86">
        <f>IF($CS168,"",IF($CV168,IF(OR($BI168=$CU168,AND($BI168&lt;$CU168,$BI168-IF(N(VLOOKUP($AT168&amp;"|"&amp;$CU168,LocTable,7,FALSE))&gt;0,VLOOKUP($AT168&amp;"|"&amp;$CU168,LocTable,7,FALSE),VLOOKUP($AT168&amp;"|"&amp;$CU168,LocTable,6,FALSE))-$CR168-0.75&gt;=2.125)),IF(N(VLOOKUP($AT168&amp;"|"&amp;$CU168,LocTable,7,FALSE))&gt;0,VLOOKUP($AT168&amp;"|"&amp;$CU168,LocTable,7,FALSE),VLOOKUP($AT168&amp;"|"&amp;$CU168,LocTable,6,FALSE)),$BI168-($CU168-IF(N(VLOOKUP($AT168&amp;"|"&amp;$CU168,LocTable,7,FALSE))&gt;0,VLOOKUP($AT168&amp;"|"&amp;$CU168,LocTable,7,FALSE),VLOOKUP($AT168&amp;"|"&amp;$CU168,LocTable,6,FALSE)))),$BI168-10-$CR168))</f>
        <v/>
      </c>
      <c r="CY168" s="85">
        <f>IF($CS168,"",TRIM(IF(ISNUMBER($BU168),"A "&amp;TRIM(TEXT($BU168,"# ?/??"))&amp;CHAR(34)&amp;"  ","")&amp;IF(ISNUMBER($BV168),"B "&amp;TRIM(TEXT($BV168,"# ?/??"))&amp;CHAR(34)&amp;"  ","")&amp;IF(ISNUMBER($BW168),"C "&amp;TRIM(TEXT($BW168,"# ?/??"))&amp;CHAR(34)&amp;"  ","")&amp;IF(ISNUMBER($BX168),"D "&amp;TRIM(TEXT($BX168,"# ?/??"))&amp;CHAR(34)&amp;"  ","")&amp;IF(ISNUMBER($BY168),"F "&amp;TRIM(TEXT($BY168,"# ?/??"))&amp;CHAR(34)&amp;"  ","")&amp;IF(ISNUMBER($BZ168),"E "&amp;TRIM(TEXT($BZ168,"# ?/??"))&amp;CHAR(34)&amp;"  ","")))</f>
        <v/>
      </c>
      <c r="CZ168" s="85">
        <f>IF(OR($CS168,N($BJ168)=0),"",TRIM(IF(ISNUMBER($BU168),"A "&amp;TRIM(TEXT($BU168-HeadClr,"# ?/??"))&amp;CHAR(34)&amp;"  ","")&amp;IF(ISNUMBER($BV168),"B "&amp;TRIM(TEXT($BV168-HeadClr,"# ?/??"))&amp;CHAR(34)&amp;"  ","")&amp;IF(ISNUMBER($BW168),"C "&amp;TRIM(TEXT($BW168-HeadClr,"# ?/??"))&amp;CHAR(34)&amp;"  ","")&amp;IF(ISNUMBER($BX168),"D "&amp;TRIM(TEXT($BX168-HeadClr,"# ?/??"))&amp;CHAR(34)&amp;"  ","")&amp;IF(ISNUMBER($BY168),"F "&amp;TRIM(TEXT($BY168-HeadClr,"# ?/??"))&amp;CHAR(34)&amp;"  ","")&amp;IF(ISNUMBER($BZ168),"E "&amp;TRIM(TEXT($BZ168-HeadClr,"# ?/??"))&amp;CHAR(34)&amp;"  ","")))</f>
        <v/>
      </c>
      <c r="DA168" s="84">
        <f>IF($A168="","",IF($AN168="",IFERROR(VLOOKUP($Z168,CODES,2,FALSE),""),IFERROR(VLOOKUP($AN168,CODES,2,FALSE),"")))</f>
        <v/>
      </c>
      <c r="DB168" s="84">
        <f>IF($A168="","",IF($O168="Y","PR",IF(OR($Z168="L",$Z168="RR",LEFT($Z168,2)="L-",LEFT($Z168,3)="RR-"),"LH","RH")))</f>
        <v/>
      </c>
      <c r="DC168" s="84">
        <f>IF($A168="","","S.HM"&amp;IF(OR($C168="DOOR ONLY",$X168&lt;&gt;"KD"),"MASONRY","DRYWALL")&amp;IF($C168="DOOR ONLY","",$U168)&amp;IF(AND($C168&lt;&gt;"FRAME ONLY",OR(LEFT($AH168,3)="OAK",LEFT($AH168,3)="BIR",LEFT($AH168,3)="MAP",$AH168="PC",$AH168="MC",$AH168="SCLC",$AH168="P-LAM")),"WD","HM")&amp;"1.75")</f>
        <v/>
      </c>
      <c r="DD168" s="84">
        <f>IF($CJ168="","",IF($O168="Y",$CJ168,SUBSTITUTE($CJ168,$BG168&amp;" "&amp;IFERROR(VLOOKUP($Z168,CODES,2,FALSE),"")&amp;" ",$BG168&amp;" ")))</f>
        <v/>
      </c>
      <c r="DE168" s="84">
        <f>IF($CK168="","",IF($O168="Y",$CK168,SUBSTITUTE($CK168,$BG168&amp;" "&amp;IF($AN168="",IFERROR(VLOOKUP($Z168,CODES,2,FALSE),""),IFERROR(VLOOKUP($AN168,CODES,2,FALSE),""))&amp;" ",$BG168&amp;" ")))</f>
        <v/>
      </c>
      <c r="DF168" s="84">
        <f>IF($CJ168="","",$DC168&amp;"|"&amp;$DD168&amp;"|"&amp;$DB168&amp;"|"&amp;$AT168&amp;"|"&amp;$V168&amp;"|"&amp;$Y168&amp;"|"&amp;$AB168)</f>
        <v/>
      </c>
      <c r="DG168" s="84">
        <f>IF(DF168="","",IF(COUNTIF($DF$6:DF168,DF168)=1,MAX($DG$5:DG167)+1,INDEX($DG$5:DG167,MATCH(DF168,$DF$5:DF167,0))))</f>
        <v/>
      </c>
      <c r="DH168" s="84">
        <f>IF($CK168="","",$DC168&amp;"|"&amp;$DE168&amp;"|"&amp;$AI168&amp;"|"&amp;$BK168&amp;"|"&amp;$BL168)</f>
        <v/>
      </c>
      <c r="DI168" s="84">
        <f>IF(DH168="","",IF(COUNTIF($DH$6:DH168,DH168)=1,MAX($DI$5:DI167)+1,INDEX($DI$5:DI167,MATCH(DH168,$DH$5:DH167,0))))</f>
        <v/>
      </c>
      <c r="DJ168" s="84">
        <f>IF($A168="","",IF($B168="","qty, ","")&amp;IF($C168="","scope, ","")&amp;IF(OR($K168="",$M168=""),"size, ","")&amp;IF(AND($A168&lt;&gt;"",$C168&lt;&gt;"DOOR ONLY"),IF($U168="","jamb depth, ","")&amp;IF($X168="","construction, ","")&amp;IF($Y168="","anchor, ","")&amp;IF($S168="","frame type, ",""),"")&amp;IF(AND(N($BJ168)&gt;0,$Z168=""),"hand, ","")&amp;IF(N($BJ168)&gt;0,IF($AH168="","door material, ","")&amp;IF($AL168="","face type, ","")&amp;IF($AP168="","lock prep, ","")&amp;IF(AND($AO168="",$AC168=""),"hinge prep, ",""),"")&amp;IF(AND($CH168&gt;0,$AH168="FRP"),"FRP cannot carry a label, ","")&amp;IF(AND($O168="Y",OR($Z168="L",$Z168="R",$Z168="LR",$Z168="RR")),"pair marked but hand is single, ","")&amp;IF(AND($O168&lt;&gt;"Y",OR($Z168="PR",AND(LEN($Z168)&gt;1,ISNUMBER(SEARCH("-",$Z168))))),"pair hand on a single door, ","")&amp;IF(AND(ISNUMBER($CI168),$CH168&lt;N($CI168)),"wall needs a "&amp;$CI168&amp;" min door, ","")&amp;IF(AND($CH168&gt;=180,AND(OR($CE168="FG",$CE168="HG",$CE168="FNV",$CE168="FV"),N($CF168)*N($CG168)&gt;100)),"180 min lite over 100 sq in, ","")&amp;IF(N($BK168)&gt;48,"leaf wider than 4'-0"&amp;CHAR(34)&amp;", ","")&amp;IF(AND($CT168,COUNT($AW168:$AZ168)=0,$CQ168&gt;0),"CUSTOM LOC with no locations typed, ",""))</f>
        <v/>
      </c>
      <c r="DK168" s="84">
        <f>IF($A168="","",IF(AND($CH168&gt;0,AND($A168&lt;&gt;"",$C168&lt;&gt;"DOOR ONLY"),$X168="KD",$E168="EXTERIOR"),"KD label on an exterior opening, ","")&amp;IF(AND($E168="EXTERIOR",OR(AND(AND($A168&lt;&gt;"",$C168&lt;&gt;"DOOR ONLY"),$W168="CR"),AND(N($BJ168)&gt;0,$AH168="CR"))),"exterior in CR steel (G9?), ","")&amp;IF(AND(ISNUMBER($BQ168),N($BQ168)&lt;32),"clear width ~"&amp;TEXT($BQ168,"0.0")&amp;CHAR(34)&amp;" under 32"&amp;CHAR(34)&amp;" (ADA), ","")&amp;IF(AND($CH168=90,AND(OR($CE168="FG",$CE168="HG",$CE168="FNV",$CE168="FV"),N($CF168)*N($CG168)&gt;100)),"90 min lite over 100 sq in (stair/exit), ","")&amp;IF(AND($CH168&gt;0,AND($A168&lt;&gt;"",$C168&lt;&gt;"DOOR ONLY"),OR($AF168="",$AF168="-")),"rated: closer reinf.?, ","")&amp;IF(OR($I168="CORRIDOR",$I168="SMOKE BARRIER"),"S label + smoke gasketing, ","")&amp;IF($CI168="?","wall type/hr not in IBC table, ","")&amp;IF(AND(N($BJ168)&gt;0,$BB168=""),"no hardware set, ","")&amp;IF(AND($BB168&lt;&gt;"",ISNA(MATCH($BB168&amp;"",HWSets,0))),"set "&amp;$BB168&amp;" not on HW Sets, ","")&amp;IF(N($BL168)&gt;96,"leaf over 8'-0"&amp;CHAR(34)&amp;" - check listing, ","")&amp;IF(AND($CT168,COUNT($AW168:$AZ168)&gt;0,COUNT($AW168:$AZ168)&lt;&gt;$CQ168),COUNT($AW168:$AZ168)&amp;" custom hinges typed, "&amp;$CQ168&amp;" expected, ","")&amp;IF(AND(ISNUMBER($CA168),OR(N($CA168)&lt;34,N($CA168)&gt;48)),"lock "&amp;TEXT($CA168,"0.0")&amp;CHAR(34)&amp;" AFF outside 34-48"&amp;CHAR(34)&amp;" (ADA), ","")&amp;IF(AND(ISNUMBER($AV168),ISNUMBER($BL168),N($AV168)&lt;IF(N($BL168)&lt;=60,2,IF(N($BL168)&lt;=90,3,IF(N($BL168)&lt;=120,4,5)))),"fewer hinges than standard, ",""))</f>
        <v/>
      </c>
    </row>
    <row r="169" ht="15" customHeight="1">
      <c r="A169" s="77" t="n"/>
      <c r="B169" s="78" t="n"/>
      <c r="C169" s="78" t="n"/>
      <c r="D169" s="78" t="n"/>
      <c r="E169" s="78" t="n"/>
      <c r="F169" s="78" t="n"/>
      <c r="G169" s="78" t="n"/>
      <c r="H169" s="78" t="n"/>
      <c r="I169" s="78" t="n"/>
      <c r="J169" s="78" t="n"/>
      <c r="K169" s="78" t="n"/>
      <c r="L169" s="78" t="n"/>
      <c r="M169" s="78" t="n"/>
      <c r="N169" s="78" t="n"/>
      <c r="O169" s="78" t="n"/>
      <c r="P169" s="78" t="n"/>
      <c r="Q169" s="78" t="n"/>
      <c r="R169" s="78" t="n"/>
      <c r="S169" s="79" t="n"/>
      <c r="T169" s="79" t="n"/>
      <c r="U169" s="79" t="n"/>
      <c r="V169" s="79" t="n"/>
      <c r="W169" s="79" t="n"/>
      <c r="X169" s="79" t="n"/>
      <c r="Y169" s="79" t="n"/>
      <c r="Z169" s="79" t="n"/>
      <c r="AA169" s="79" t="n"/>
      <c r="AB169" s="79" t="n"/>
      <c r="AC169" s="79" t="n"/>
      <c r="AD169" s="79" t="n"/>
      <c r="AE169" s="79" t="n"/>
      <c r="AF169" s="79" t="n"/>
      <c r="AG169" s="79" t="n"/>
      <c r="AH169" s="80" t="n"/>
      <c r="AI169" s="80" t="n"/>
      <c r="AJ169" s="80" t="n"/>
      <c r="AK169" s="80" t="n"/>
      <c r="AL169" s="80" t="n"/>
      <c r="AM169" s="80" t="n"/>
      <c r="AN169" s="80" t="n"/>
      <c r="AO169" s="80" t="n"/>
      <c r="AP169" s="80" t="n"/>
      <c r="AQ169" s="80" t="n"/>
      <c r="AR169" s="80" t="n"/>
      <c r="AS169" s="80" t="n"/>
      <c r="AT169" s="81" t="n"/>
      <c r="AU169" s="81" t="n"/>
      <c r="AV169" s="81" t="n"/>
      <c r="AW169" s="82" t="n"/>
      <c r="AX169" s="82" t="n"/>
      <c r="AY169" s="82" t="n"/>
      <c r="AZ169" s="82" t="n"/>
      <c r="BA169" s="82" t="n"/>
      <c r="BB169" s="83" t="n"/>
      <c r="BC169" s="83" t="n"/>
      <c r="BD169" s="84">
        <f>IF($A169="","",IF($DJ169&lt;&gt;"","FIX",IF($DK169&lt;&gt;"","CHECK","OK")))</f>
        <v/>
      </c>
      <c r="BE169" s="85">
        <f>IF($A169="","",IF($DJ169&lt;&gt;"","FIX: "&amp;LEFT($DJ169,LEN($DJ169)-2)&amp;IF($DK169&lt;&gt;"","  ·  ",""),"")&amp;IF($DK169&lt;&gt;"","CHECK: "&amp;LEFT($DK169,LEN($DK169)-2),""))</f>
        <v/>
      </c>
      <c r="BF169" s="84">
        <f>IF(OR($A169="",$K169=""),"",$K169&amp;"'-"&amp;N($L169)&amp;CHAR(34)&amp;" x "&amp;$M169&amp;"'-"&amp;N($N169)&amp;CHAR(34))</f>
        <v/>
      </c>
      <c r="BG169" s="84">
        <f>IF(OR($A169="",$K169=""),"",$K169&amp;N($L169)&amp;$M169&amp;N($N169))</f>
        <v/>
      </c>
      <c r="BH169" s="84">
        <f>IF(OR($A169="",$K169=""),"",$K169*12+N($L169))</f>
        <v/>
      </c>
      <c r="BI169" s="84">
        <f>IF(OR($A169="",$M169=""),"",$M169*12+N($N169))</f>
        <v/>
      </c>
      <c r="BJ169" s="84">
        <f>IF($A169="","",IF(OR($C169="FRAME ONLY",$S169="BL"),0,IF($O169="Y",2,1)))</f>
        <v/>
      </c>
      <c r="BK169" s="86">
        <f>IF(OR(N($BJ169)=0,$BH169=""),"",($BH169-2*EdgeClr-IF($BJ169=2,MeetClr,0))/$BJ169)</f>
        <v/>
      </c>
      <c r="BL169" s="86">
        <f>IF(OR(N($BJ169)=0,$BI169=""),"",$BI169-HeadClr-Undercut)</f>
        <v/>
      </c>
      <c r="BM169" s="86">
        <f>IF($BH169="","",$BH169+2*FaceW+IF(N($Q169)&gt;0,($Q169+FaceW)*IF($R169="LR",2,1),0))</f>
        <v/>
      </c>
      <c r="BN169" s="86">
        <f>IF($BI169="","",$BI169+IF($AB169="Y",4,FaceW)+IF(N($P169)&gt;0,$P169+FaceW,0)+IF(OR($S169="4F",$S169="BL"),FaceW,0))</f>
        <v/>
      </c>
      <c r="BO169" s="86">
        <f>IF($BM169="","",$BM169+2*ROSide)</f>
        <v/>
      </c>
      <c r="BP169" s="86">
        <f>IF($BN169="","",$BN169+ROTop)</f>
        <v/>
      </c>
      <c r="BQ169" s="87">
        <f>IF(OR(N($BJ169)=0,$BH169=""),"",$BH169/$BJ169-ClearDeduct)</f>
        <v/>
      </c>
      <c r="BR169" s="84">
        <f>IF(N($CH169)=0,"",IF($CH169&gt;=180,"A · 3 HR",IF($CH169&gt;=90,"B · 1-1/2 HR",IF($CH169&gt;=60,"B · 1 HR",IF($CH169&gt;=45,"C · 3/4 HR","20 MIN")))))&amp;IF(AND(N($CH169)&gt;0,OR($I169="CORRIDOR",$I169="SMOKE BARRIER"))," · S","")</f>
        <v/>
      </c>
      <c r="BS169" s="84">
        <f>IF($CS169,"",IF($AV169&lt;&gt;"",$AV169,IF(OR($AC169="HGC",$AO169="HGC"),"CONT",IF(($BI169-HeadClr-Undercut)&lt;=60,2,IF(($BI169-HeadClr-Undercut)&lt;=90,3,IF(($BI169-HeadClr-Undercut)&lt;=120,4,5))))))</f>
        <v/>
      </c>
      <c r="BT169" s="84">
        <f>IF($CS169,"",IF($CT169,"CUSTOM (typed)",IF($CV169,$AT169&amp;" "&amp;$CU169&amp;CHAR(34)&amp;IF($CU169&lt;&gt;$BI169,IF(AND($BI169&lt;$CU169,$BI169-IF(N(VLOOKUP($AT169&amp;"|"&amp;$CU169,LocTable,7,FALSE))&gt;0,VLOOKUP($AT169&amp;"|"&amp;$CU169,LocTable,7,FALSE),VLOOKUP($AT169&amp;"|"&amp;$CU169,LocTable,6,FALSE))-$CR169-0.75&gt;=2.125)," cut down"," adj."),""),"ANSI/SDI A250.6")))</f>
        <v/>
      </c>
      <c r="BU169" s="88">
        <f>IF($CS169,"",IF($CT169,IF(N($AW169)&gt;0,N($AW169),""),IF(1&gt;$CQ169,"",IF($CQ169=1,$CW169,$CW169+($CX169-$CW169)*0/($CQ169-1)))))</f>
        <v/>
      </c>
      <c r="BV169" s="88">
        <f>IF($CS169,"",IF($CT169,IF(N($AX169)&gt;0,N($AX169),""),IF(2&gt;$CQ169,"",IF($CQ169=1,$CW169,$CW169+($CX169-$CW169)*1/($CQ169-1)))))</f>
        <v/>
      </c>
      <c r="BW169" s="88">
        <f>IF($CS169,"",IF($CT169,IF(N($AY169)&gt;0,N($AY169),""),IF(3&gt;$CQ169,"",IF($CQ169=1,$CW169,$CW169+($CX169-$CW169)*2/($CQ169-1)))))</f>
        <v/>
      </c>
      <c r="BX169" s="88">
        <f>IF($CS169,"",IF($CT169,IF(N($AZ169)&gt;0,N($AZ169),""),IF(4&gt;$CQ169,"",IF($CQ169=1,$CW169,$CW169+($CX169-$CW169)*3/($CQ169-1)))))</f>
        <v/>
      </c>
      <c r="BY169" s="88">
        <f>IF($CS169,"",IF($CT169,"",IF(5&gt;$CQ169,"",IF($CQ169=1,$CW169,$CW169+($CX169-$CW169)*4/($CQ169-1)))))</f>
        <v/>
      </c>
      <c r="BZ169" s="88">
        <f>IF(OR($CS169,$AP169="-",AND($AP169="",$AD169="")),"",IF(N($BA169)&gt;0,N($BA169),IF($CV169,IF(AND($BI169&lt;$CU169,$BI169-IF(N(VLOOKUP($AT169&amp;"|"&amp;$CU169,LocTable,7,FALSE))&gt;0,VLOOKUP($AT169&amp;"|"&amp;$CU169,LocTable,7,FALSE),VLOOKUP($AT169&amp;"|"&amp;$CU169,LocTable,6,FALSE))-$CR169-0.75&gt;=2.125),VLOOKUP($AT169&amp;"|"&amp;$CU169,LocTable,8,FALSE),VLOOKUP($AT169&amp;"|"&amp;$CU169,LocTable,8,FALSE)+($BI169-$CU169)),$BI169-LockAFF)))</f>
        <v/>
      </c>
      <c r="CA169" s="89">
        <f>IF($BZ169="","",$BI169-$BZ169)</f>
        <v/>
      </c>
      <c r="CB169" s="84">
        <f>IF(OR(NOT(AND($A169&lt;&gt;"",$C169&lt;&gt;"DOOR ONLY")),$BI169=""),"",IF(($BI169+IF(N($P169)&gt;0,$P169+FaceW,0))&lt;=90,3,IF(($BI169+IF(N($P169)&gt;0,$P169+FaceW,0))&lt;=114,4,5)))</f>
        <v/>
      </c>
      <c r="CC169" s="84">
        <f>IF($CB169="","",$CB169*(2+IF(N($Q169)&gt;0,IF($R169="LR",2,1),0)))</f>
        <v/>
      </c>
      <c r="CD169" s="84">
        <f>IF($CB169="","",(2+IF(N($Q169)&gt;0,IF($R169="LR",2,1),0)))</f>
        <v/>
      </c>
      <c r="CE169" s="84">
        <f>IF(N($BJ169)=0,"",IF(OR($AL169="",$AL169="FLUSH"),"FLUSH",IFERROR(LEFT($AL169,FIND("-",$AL169)-1),LEFT($AL169,2))))</f>
        <v/>
      </c>
      <c r="CF169" s="84">
        <f>IF($CE169="","",IFERROR(VALUE(MID($AL169,FIND("-",$AL169)+1,FIND(CHAR(34)&amp;"x",$AL169)-FIND("-",$AL169)-1)),0))</f>
        <v/>
      </c>
      <c r="CG169" s="84">
        <f>IF($CE169="","",IFERROR(VALUE(MID($AL169,FIND(CHAR(34)&amp;"x",$AL169)+2,FIND(CHAR(34),$AL169,FIND(CHAR(34)&amp;"x",$AL169)+2)-FIND(CHAR(34)&amp;"x",$AL169)-2)),0))</f>
        <v/>
      </c>
      <c r="CH169" s="90">
        <f>IF(OR($A169="",$H169="",$H169="NO LAB"),0,IFERROR(VALUE(LEFT($H169,FIND(" ",$H169)-1)),0))</f>
        <v/>
      </c>
      <c r="CI169" s="91">
        <f>IF(OR($A169="",$I169="",$I169="NON-RATED",N($J169)=0),"",IFERROR(VLOOKUP($I169&amp;"|"&amp;$J169,IBC,2,FALSE),"?"))</f>
        <v/>
      </c>
      <c r="CJ169" s="85">
        <f>IF(NOT(AND($A169&lt;&gt;"",$C169&lt;&gt;"DOOR ONLY")),"",TRIM(IFERROR(VLOOKUP($U169,CODES,2,FALSE),"")&amp;" "&amp;$BG169&amp;" "&amp;IFERROR(VLOOKUP($Z169,CODES,2,FALSE),"")&amp;" "&amp;IFERROR(VLOOKUP($X169,CODES,2,FALSE),"")&amp;" "&amp;IFERROR(VLOOKUP($S169,CODES,2,FALSE),"")&amp;IF(N($P169)&gt;0," w/TRANSOM "&amp;$P169&amp;CHAR(34),"")&amp;IF(N($Q169)&gt;0," w/SIDELITE "&amp;$Q169&amp;CHAR(34)&amp;" "&amp;IF($R169="","R",$R169),"")&amp;IF($Y169="","  |  "," | "&amp;IFERROR(VLOOKUP($Y169,CODES,2,FALSE),"")&amp;" | ")&amp;IFERROR(VLOOKUP($AC169,CODES,2,FALSE),"")&amp;" "&amp;IFERROR(VLOOKUP($AD169,CODES,2,FALSE),"")&amp;IF(OR($AE169="",$AE169="-"),""," "&amp;$AE169)&amp;IF(OR($AF169="",$AF169="-"),""," "&amp;$AF169)&amp;IF($AB169="Y"," 4"&amp;CHAR(34)&amp;" HEAD","")&amp;" "&amp;IFERROR(VLOOKUP($H169,CODES,2,FALSE),"")&amp;IF($CT169," | LOC "&amp;$CY169,"")))</f>
        <v/>
      </c>
      <c r="CK169" s="85">
        <f>IF(NOT(AND($A169&lt;&gt;"",N($BJ169)&gt;0)),"",TRIM(IFERROR(VLOOKUP($AH169,CODES,2,FALSE),"")&amp;IF($AI169=""," "," "&amp;$AI169&amp;"GA ")&amp;$BG169&amp;" "&amp;IF($AN169="",IFERROR(VLOOKUP($Z169,CODES,2,FALSE),""),IFERROR(VLOOKUP($AN169,CODES,2,FALSE),""))&amp;IF($BJ169=2," PAIR","")&amp;" DOOR | "&amp;IF($AL169="","?",$AL169)&amp;" | "&amp;IF($AO169="",IFERROR(VLOOKUP($AC169,CODES,2,FALSE),""),IFERROR(VLOOKUP($AO169,CODES,2,FALSE),""))&amp;" "&amp;IFERROR(VLOOKUP($AP169,CODES,2,FALSE),"")&amp;IF(OR($AQ169="",$AQ169="-"),""," SEAM "&amp;$AQ169)&amp;IF($AR169="Y"," ASTRAGAL","")&amp;IF($AJ169=""," "," "&amp;$AJ169)&amp;IF($AK169=""," "," "&amp;$AK169)&amp;IF(OR($AT169="",$AT169="ANSI/SDI",$AT169="CUSTOM LOC"),""," "&amp;$AT169)&amp;IF($AM169=""," "," SERIES "&amp;$AM169)&amp;" "&amp;IFERROR(VLOOKUP($H169,CODES,2,FALSE),"")&amp;IF($CT169," | LOC "&amp;$CZ169,"")))</f>
        <v/>
      </c>
      <c r="CL169" s="84">
        <f>IF(CP169="","",IF(COUNTIF($CP$6:CP169,CP169)=1,MAX($CL$5:CL168)+1,INDEX($CL$5:CL168,MATCH(CP169,$CP$5:CP168,0))))</f>
        <v/>
      </c>
      <c r="CM169" s="84">
        <f>IF(NOT(AND($A169&lt;&gt;"",$C169&lt;&gt;"DOOR ONLY")),"",MAX($CM$5:CM168)+1)</f>
        <v/>
      </c>
      <c r="CN169" s="84">
        <f>IF(NOT(AND($A169&lt;&gt;"",N($BJ169)&gt;0)),"",MAX($CN$5:CN168)+1)</f>
        <v/>
      </c>
      <c r="CO169" s="84">
        <f>IF($A169="","",MAX($CO$5:CO168)+1)</f>
        <v/>
      </c>
      <c r="CP169" s="84">
        <f>IF(OR($A169="",$BH169="",$BI169=""),"",$BG169&amp;"|"&amp;$O169&amp;"|"&amp;$AL169&amp;"|"&amp;$S169&amp;"|"&amp;$P169&amp;"|"&amp;$Q169&amp;$R169&amp;"|"&amp;$C169&amp;"|"&amp;$AB169)</f>
        <v/>
      </c>
      <c r="CQ169" s="84">
        <f>N($BS169)</f>
        <v/>
      </c>
      <c r="CR169" s="84">
        <f>IF(N($AU169)&gt;0,N($AU169),4.5)</f>
        <v/>
      </c>
      <c r="CS169" s="84">
        <f>OR($A169="",$BI169="",$S169="BL",AND($C169="FRAME ONLY",OR($AC169="",$AC169="BLK")))</f>
        <v/>
      </c>
      <c r="CT169" s="84">
        <f>AND(NOT($CS169),OR($AT169="CUSTOM LOC",N($AW169)+N($AX169)+N($AY169)+N($AZ169)+N($BA169)&gt;0))</f>
        <v/>
      </c>
      <c r="CU169" s="84">
        <f>IF($BI169="","",IF($BI169&lt;=80,80,IF($BI169&lt;=84,84,96)))</f>
        <v/>
      </c>
      <c r="CV169" s="84">
        <f>ISNUMBER(MATCH($AT169&amp;"|80",LocKeys,0))</f>
        <v/>
      </c>
      <c r="CW169" s="86">
        <f>IF($CS169,"",IF($CV169,VLOOKUP($AT169&amp;"|"&amp;$CU169,LocTable,4,FALSE),5))</f>
        <v/>
      </c>
      <c r="CX169" s="86">
        <f>IF($CS169,"",IF($CV169,IF(OR($BI169=$CU169,AND($BI169&lt;$CU169,$BI169-IF(N(VLOOKUP($AT169&amp;"|"&amp;$CU169,LocTable,7,FALSE))&gt;0,VLOOKUP($AT169&amp;"|"&amp;$CU169,LocTable,7,FALSE),VLOOKUP($AT169&amp;"|"&amp;$CU169,LocTable,6,FALSE))-$CR169-0.75&gt;=2.125)),IF(N(VLOOKUP($AT169&amp;"|"&amp;$CU169,LocTable,7,FALSE))&gt;0,VLOOKUP($AT169&amp;"|"&amp;$CU169,LocTable,7,FALSE),VLOOKUP($AT169&amp;"|"&amp;$CU169,LocTable,6,FALSE)),$BI169-($CU169-IF(N(VLOOKUP($AT169&amp;"|"&amp;$CU169,LocTable,7,FALSE))&gt;0,VLOOKUP($AT169&amp;"|"&amp;$CU169,LocTable,7,FALSE),VLOOKUP($AT169&amp;"|"&amp;$CU169,LocTable,6,FALSE)))),$BI169-10-$CR169))</f>
        <v/>
      </c>
      <c r="CY169" s="85">
        <f>IF($CS169,"",TRIM(IF(ISNUMBER($BU169),"A "&amp;TRIM(TEXT($BU169,"# ?/??"))&amp;CHAR(34)&amp;"  ","")&amp;IF(ISNUMBER($BV169),"B "&amp;TRIM(TEXT($BV169,"# ?/??"))&amp;CHAR(34)&amp;"  ","")&amp;IF(ISNUMBER($BW169),"C "&amp;TRIM(TEXT($BW169,"# ?/??"))&amp;CHAR(34)&amp;"  ","")&amp;IF(ISNUMBER($BX169),"D "&amp;TRIM(TEXT($BX169,"# ?/??"))&amp;CHAR(34)&amp;"  ","")&amp;IF(ISNUMBER($BY169),"F "&amp;TRIM(TEXT($BY169,"# ?/??"))&amp;CHAR(34)&amp;"  ","")&amp;IF(ISNUMBER($BZ169),"E "&amp;TRIM(TEXT($BZ169,"# ?/??"))&amp;CHAR(34)&amp;"  ","")))</f>
        <v/>
      </c>
      <c r="CZ169" s="85">
        <f>IF(OR($CS169,N($BJ169)=0),"",TRIM(IF(ISNUMBER($BU169),"A "&amp;TRIM(TEXT($BU169-HeadClr,"# ?/??"))&amp;CHAR(34)&amp;"  ","")&amp;IF(ISNUMBER($BV169),"B "&amp;TRIM(TEXT($BV169-HeadClr,"# ?/??"))&amp;CHAR(34)&amp;"  ","")&amp;IF(ISNUMBER($BW169),"C "&amp;TRIM(TEXT($BW169-HeadClr,"# ?/??"))&amp;CHAR(34)&amp;"  ","")&amp;IF(ISNUMBER($BX169),"D "&amp;TRIM(TEXT($BX169-HeadClr,"# ?/??"))&amp;CHAR(34)&amp;"  ","")&amp;IF(ISNUMBER($BY169),"F "&amp;TRIM(TEXT($BY169-HeadClr,"# ?/??"))&amp;CHAR(34)&amp;"  ","")&amp;IF(ISNUMBER($BZ169),"E "&amp;TRIM(TEXT($BZ169-HeadClr,"# ?/??"))&amp;CHAR(34)&amp;"  ","")))</f>
        <v/>
      </c>
      <c r="DA169" s="84">
        <f>IF($A169="","",IF($AN169="",IFERROR(VLOOKUP($Z169,CODES,2,FALSE),""),IFERROR(VLOOKUP($AN169,CODES,2,FALSE),"")))</f>
        <v/>
      </c>
      <c r="DB169" s="84">
        <f>IF($A169="","",IF($O169="Y","PR",IF(OR($Z169="L",$Z169="RR",LEFT($Z169,2)="L-",LEFT($Z169,3)="RR-"),"LH","RH")))</f>
        <v/>
      </c>
      <c r="DC169" s="84">
        <f>IF($A169="","","S.HM"&amp;IF(OR($C169="DOOR ONLY",$X169&lt;&gt;"KD"),"MASONRY","DRYWALL")&amp;IF($C169="DOOR ONLY","",$U169)&amp;IF(AND($C169&lt;&gt;"FRAME ONLY",OR(LEFT($AH169,3)="OAK",LEFT($AH169,3)="BIR",LEFT($AH169,3)="MAP",$AH169="PC",$AH169="MC",$AH169="SCLC",$AH169="P-LAM")),"WD","HM")&amp;"1.75")</f>
        <v/>
      </c>
      <c r="DD169" s="84">
        <f>IF($CJ169="","",IF($O169="Y",$CJ169,SUBSTITUTE($CJ169,$BG169&amp;" "&amp;IFERROR(VLOOKUP($Z169,CODES,2,FALSE),"")&amp;" ",$BG169&amp;" ")))</f>
        <v/>
      </c>
      <c r="DE169" s="84">
        <f>IF($CK169="","",IF($O169="Y",$CK169,SUBSTITUTE($CK169,$BG169&amp;" "&amp;IF($AN169="",IFERROR(VLOOKUP($Z169,CODES,2,FALSE),""),IFERROR(VLOOKUP($AN169,CODES,2,FALSE),""))&amp;" ",$BG169&amp;" ")))</f>
        <v/>
      </c>
      <c r="DF169" s="84">
        <f>IF($CJ169="","",$DC169&amp;"|"&amp;$DD169&amp;"|"&amp;$DB169&amp;"|"&amp;$AT169&amp;"|"&amp;$V169&amp;"|"&amp;$Y169&amp;"|"&amp;$AB169)</f>
        <v/>
      </c>
      <c r="DG169" s="84">
        <f>IF(DF169="","",IF(COUNTIF($DF$6:DF169,DF169)=1,MAX($DG$5:DG168)+1,INDEX($DG$5:DG168,MATCH(DF169,$DF$5:DF168,0))))</f>
        <v/>
      </c>
      <c r="DH169" s="84">
        <f>IF($CK169="","",$DC169&amp;"|"&amp;$DE169&amp;"|"&amp;$AI169&amp;"|"&amp;$BK169&amp;"|"&amp;$BL169)</f>
        <v/>
      </c>
      <c r="DI169" s="84">
        <f>IF(DH169="","",IF(COUNTIF($DH$6:DH169,DH169)=1,MAX($DI$5:DI168)+1,INDEX($DI$5:DI168,MATCH(DH169,$DH$5:DH168,0))))</f>
        <v/>
      </c>
      <c r="DJ169" s="84">
        <f>IF($A169="","",IF($B169="","qty, ","")&amp;IF($C169="","scope, ","")&amp;IF(OR($K169="",$M169=""),"size, ","")&amp;IF(AND($A169&lt;&gt;"",$C169&lt;&gt;"DOOR ONLY"),IF($U169="","jamb depth, ","")&amp;IF($X169="","construction, ","")&amp;IF($Y169="","anchor, ","")&amp;IF($S169="","frame type, ",""),"")&amp;IF(AND(N($BJ169)&gt;0,$Z169=""),"hand, ","")&amp;IF(N($BJ169)&gt;0,IF($AH169="","door material, ","")&amp;IF($AL169="","face type, ","")&amp;IF($AP169="","lock prep, ","")&amp;IF(AND($AO169="",$AC169=""),"hinge prep, ",""),"")&amp;IF(AND($CH169&gt;0,$AH169="FRP"),"FRP cannot carry a label, ","")&amp;IF(AND($O169="Y",OR($Z169="L",$Z169="R",$Z169="LR",$Z169="RR")),"pair marked but hand is single, ","")&amp;IF(AND($O169&lt;&gt;"Y",OR($Z169="PR",AND(LEN($Z169)&gt;1,ISNUMBER(SEARCH("-",$Z169))))),"pair hand on a single door, ","")&amp;IF(AND(ISNUMBER($CI169),$CH169&lt;N($CI169)),"wall needs a "&amp;$CI169&amp;" min door, ","")&amp;IF(AND($CH169&gt;=180,AND(OR($CE169="FG",$CE169="HG",$CE169="FNV",$CE169="FV"),N($CF169)*N($CG169)&gt;100)),"180 min lite over 100 sq in, ","")&amp;IF(N($BK169)&gt;48,"leaf wider than 4'-0"&amp;CHAR(34)&amp;", ","")&amp;IF(AND($CT169,COUNT($AW169:$AZ169)=0,$CQ169&gt;0),"CUSTOM LOC with no locations typed, ",""))</f>
        <v/>
      </c>
      <c r="DK169" s="84">
        <f>IF($A169="","",IF(AND($CH169&gt;0,AND($A169&lt;&gt;"",$C169&lt;&gt;"DOOR ONLY"),$X169="KD",$E169="EXTERIOR"),"KD label on an exterior opening, ","")&amp;IF(AND($E169="EXTERIOR",OR(AND(AND($A169&lt;&gt;"",$C169&lt;&gt;"DOOR ONLY"),$W169="CR"),AND(N($BJ169)&gt;0,$AH169="CR"))),"exterior in CR steel (G9?), ","")&amp;IF(AND(ISNUMBER($BQ169),N($BQ169)&lt;32),"clear width ~"&amp;TEXT($BQ169,"0.0")&amp;CHAR(34)&amp;" under 32"&amp;CHAR(34)&amp;" (ADA), ","")&amp;IF(AND($CH169=90,AND(OR($CE169="FG",$CE169="HG",$CE169="FNV",$CE169="FV"),N($CF169)*N($CG169)&gt;100)),"90 min lite over 100 sq in (stair/exit), ","")&amp;IF(AND($CH169&gt;0,AND($A169&lt;&gt;"",$C169&lt;&gt;"DOOR ONLY"),OR($AF169="",$AF169="-")),"rated: closer reinf.?, ","")&amp;IF(OR($I169="CORRIDOR",$I169="SMOKE BARRIER"),"S label + smoke gasketing, ","")&amp;IF($CI169="?","wall type/hr not in IBC table, ","")&amp;IF(AND(N($BJ169)&gt;0,$BB169=""),"no hardware set, ","")&amp;IF(AND($BB169&lt;&gt;"",ISNA(MATCH($BB169&amp;"",HWSets,0))),"set "&amp;$BB169&amp;" not on HW Sets, ","")&amp;IF(N($BL169)&gt;96,"leaf over 8'-0"&amp;CHAR(34)&amp;" - check listing, ","")&amp;IF(AND($CT169,COUNT($AW169:$AZ169)&gt;0,COUNT($AW169:$AZ169)&lt;&gt;$CQ169),COUNT($AW169:$AZ169)&amp;" custom hinges typed, "&amp;$CQ169&amp;" expected, ","")&amp;IF(AND(ISNUMBER($CA169),OR(N($CA169)&lt;34,N($CA169)&gt;48)),"lock "&amp;TEXT($CA169,"0.0")&amp;CHAR(34)&amp;" AFF outside 34-48"&amp;CHAR(34)&amp;" (ADA), ","")&amp;IF(AND(ISNUMBER($AV169),ISNUMBER($BL169),N($AV169)&lt;IF(N($BL169)&lt;=60,2,IF(N($BL169)&lt;=90,3,IF(N($BL169)&lt;=120,4,5)))),"fewer hinges than standard, ",""))</f>
        <v/>
      </c>
    </row>
    <row r="170" ht="15" customHeight="1">
      <c r="A170" s="92" t="n"/>
      <c r="B170" s="93" t="n"/>
      <c r="C170" s="93" t="n"/>
      <c r="D170" s="93" t="n"/>
      <c r="E170" s="93" t="n"/>
      <c r="F170" s="93" t="n"/>
      <c r="G170" s="93" t="n"/>
      <c r="H170" s="93" t="n"/>
      <c r="I170" s="93" t="n"/>
      <c r="J170" s="93" t="n"/>
      <c r="K170" s="93" t="n"/>
      <c r="L170" s="93" t="n"/>
      <c r="M170" s="93" t="n"/>
      <c r="N170" s="93" t="n"/>
      <c r="O170" s="93" t="n"/>
      <c r="P170" s="93" t="n"/>
      <c r="Q170" s="93" t="n"/>
      <c r="R170" s="93" t="n"/>
      <c r="S170" s="94" t="n"/>
      <c r="T170" s="94" t="n"/>
      <c r="U170" s="94" t="n"/>
      <c r="V170" s="94" t="n"/>
      <c r="W170" s="94" t="n"/>
      <c r="X170" s="94" t="n"/>
      <c r="Y170" s="94" t="n"/>
      <c r="Z170" s="94" t="n"/>
      <c r="AA170" s="94" t="n"/>
      <c r="AB170" s="94" t="n"/>
      <c r="AC170" s="94" t="n"/>
      <c r="AD170" s="94" t="n"/>
      <c r="AE170" s="94" t="n"/>
      <c r="AF170" s="94" t="n"/>
      <c r="AG170" s="94" t="n"/>
      <c r="AH170" s="95" t="n"/>
      <c r="AI170" s="95" t="n"/>
      <c r="AJ170" s="95" t="n"/>
      <c r="AK170" s="95" t="n"/>
      <c r="AL170" s="95" t="n"/>
      <c r="AM170" s="95" t="n"/>
      <c r="AN170" s="95" t="n"/>
      <c r="AO170" s="95" t="n"/>
      <c r="AP170" s="95" t="n"/>
      <c r="AQ170" s="95" t="n"/>
      <c r="AR170" s="95" t="n"/>
      <c r="AS170" s="95" t="n"/>
      <c r="AT170" s="96" t="n"/>
      <c r="AU170" s="96" t="n"/>
      <c r="AV170" s="96" t="n"/>
      <c r="AW170" s="97" t="n"/>
      <c r="AX170" s="97" t="n"/>
      <c r="AY170" s="97" t="n"/>
      <c r="AZ170" s="97" t="n"/>
      <c r="BA170" s="97" t="n"/>
      <c r="BB170" s="98" t="n"/>
      <c r="BC170" s="98" t="n"/>
      <c r="BD170" s="99">
        <f>IF($A170="","",IF($DJ170&lt;&gt;"","FIX",IF($DK170&lt;&gt;"","CHECK","OK")))</f>
        <v/>
      </c>
      <c r="BE170" s="100">
        <f>IF($A170="","",IF($DJ170&lt;&gt;"","FIX: "&amp;LEFT($DJ170,LEN($DJ170)-2)&amp;IF($DK170&lt;&gt;"","  ·  ",""),"")&amp;IF($DK170&lt;&gt;"","CHECK: "&amp;LEFT($DK170,LEN($DK170)-2),""))</f>
        <v/>
      </c>
      <c r="BF170" s="99">
        <f>IF(OR($A170="",$K170=""),"",$K170&amp;"'-"&amp;N($L170)&amp;CHAR(34)&amp;" x "&amp;$M170&amp;"'-"&amp;N($N170)&amp;CHAR(34))</f>
        <v/>
      </c>
      <c r="BG170" s="99">
        <f>IF(OR($A170="",$K170=""),"",$K170&amp;N($L170)&amp;$M170&amp;N($N170))</f>
        <v/>
      </c>
      <c r="BH170" s="99">
        <f>IF(OR($A170="",$K170=""),"",$K170*12+N($L170))</f>
        <v/>
      </c>
      <c r="BI170" s="99">
        <f>IF(OR($A170="",$M170=""),"",$M170*12+N($N170))</f>
        <v/>
      </c>
      <c r="BJ170" s="99">
        <f>IF($A170="","",IF(OR($C170="FRAME ONLY",$S170="BL"),0,IF($O170="Y",2,1)))</f>
        <v/>
      </c>
      <c r="BK170" s="101">
        <f>IF(OR(N($BJ170)=0,$BH170=""),"",($BH170-2*EdgeClr-IF($BJ170=2,MeetClr,0))/$BJ170)</f>
        <v/>
      </c>
      <c r="BL170" s="101">
        <f>IF(OR(N($BJ170)=0,$BI170=""),"",$BI170-HeadClr-Undercut)</f>
        <v/>
      </c>
      <c r="BM170" s="101">
        <f>IF($BH170="","",$BH170+2*FaceW+IF(N($Q170)&gt;0,($Q170+FaceW)*IF($R170="LR",2,1),0))</f>
        <v/>
      </c>
      <c r="BN170" s="101">
        <f>IF($BI170="","",$BI170+IF($AB170="Y",4,FaceW)+IF(N($P170)&gt;0,$P170+FaceW,0)+IF(OR($S170="4F",$S170="BL"),FaceW,0))</f>
        <v/>
      </c>
      <c r="BO170" s="101">
        <f>IF($BM170="","",$BM170+2*ROSide)</f>
        <v/>
      </c>
      <c r="BP170" s="101">
        <f>IF($BN170="","",$BN170+ROTop)</f>
        <v/>
      </c>
      <c r="BQ170" s="102">
        <f>IF(OR(N($BJ170)=0,$BH170=""),"",$BH170/$BJ170-ClearDeduct)</f>
        <v/>
      </c>
      <c r="BR170" s="99">
        <f>IF(N($CH170)=0,"",IF($CH170&gt;=180,"A · 3 HR",IF($CH170&gt;=90,"B · 1-1/2 HR",IF($CH170&gt;=60,"B · 1 HR",IF($CH170&gt;=45,"C · 3/4 HR","20 MIN")))))&amp;IF(AND(N($CH170)&gt;0,OR($I170="CORRIDOR",$I170="SMOKE BARRIER"))," · S","")</f>
        <v/>
      </c>
      <c r="BS170" s="99">
        <f>IF($CS170,"",IF($AV170&lt;&gt;"",$AV170,IF(OR($AC170="HGC",$AO170="HGC"),"CONT",IF(($BI170-HeadClr-Undercut)&lt;=60,2,IF(($BI170-HeadClr-Undercut)&lt;=90,3,IF(($BI170-HeadClr-Undercut)&lt;=120,4,5))))))</f>
        <v/>
      </c>
      <c r="BT170" s="99">
        <f>IF($CS170,"",IF($CT170,"CUSTOM (typed)",IF($CV170,$AT170&amp;" "&amp;$CU170&amp;CHAR(34)&amp;IF($CU170&lt;&gt;$BI170,IF(AND($BI170&lt;$CU170,$BI170-IF(N(VLOOKUP($AT170&amp;"|"&amp;$CU170,LocTable,7,FALSE))&gt;0,VLOOKUP($AT170&amp;"|"&amp;$CU170,LocTable,7,FALSE),VLOOKUP($AT170&amp;"|"&amp;$CU170,LocTable,6,FALSE))-$CR170-0.75&gt;=2.125)," cut down"," adj."),""),"ANSI/SDI A250.6")))</f>
        <v/>
      </c>
      <c r="BU170" s="103">
        <f>IF($CS170,"",IF($CT170,IF(N($AW170)&gt;0,N($AW170),""),IF(1&gt;$CQ170,"",IF($CQ170=1,$CW170,$CW170+($CX170-$CW170)*0/($CQ170-1)))))</f>
        <v/>
      </c>
      <c r="BV170" s="103">
        <f>IF($CS170,"",IF($CT170,IF(N($AX170)&gt;0,N($AX170),""),IF(2&gt;$CQ170,"",IF($CQ170=1,$CW170,$CW170+($CX170-$CW170)*1/($CQ170-1)))))</f>
        <v/>
      </c>
      <c r="BW170" s="103">
        <f>IF($CS170,"",IF($CT170,IF(N($AY170)&gt;0,N($AY170),""),IF(3&gt;$CQ170,"",IF($CQ170=1,$CW170,$CW170+($CX170-$CW170)*2/($CQ170-1)))))</f>
        <v/>
      </c>
      <c r="BX170" s="103">
        <f>IF($CS170,"",IF($CT170,IF(N($AZ170)&gt;0,N($AZ170),""),IF(4&gt;$CQ170,"",IF($CQ170=1,$CW170,$CW170+($CX170-$CW170)*3/($CQ170-1)))))</f>
        <v/>
      </c>
      <c r="BY170" s="103">
        <f>IF($CS170,"",IF($CT170,"",IF(5&gt;$CQ170,"",IF($CQ170=1,$CW170,$CW170+($CX170-$CW170)*4/($CQ170-1)))))</f>
        <v/>
      </c>
      <c r="BZ170" s="103">
        <f>IF(OR($CS170,$AP170="-",AND($AP170="",$AD170="")),"",IF(N($BA170)&gt;0,N($BA170),IF($CV170,IF(AND($BI170&lt;$CU170,$BI170-IF(N(VLOOKUP($AT170&amp;"|"&amp;$CU170,LocTable,7,FALSE))&gt;0,VLOOKUP($AT170&amp;"|"&amp;$CU170,LocTable,7,FALSE),VLOOKUP($AT170&amp;"|"&amp;$CU170,LocTable,6,FALSE))-$CR170-0.75&gt;=2.125),VLOOKUP($AT170&amp;"|"&amp;$CU170,LocTable,8,FALSE),VLOOKUP($AT170&amp;"|"&amp;$CU170,LocTable,8,FALSE)+($BI170-$CU170)),$BI170-LockAFF)))</f>
        <v/>
      </c>
      <c r="CA170" s="104">
        <f>IF($BZ170="","",$BI170-$BZ170)</f>
        <v/>
      </c>
      <c r="CB170" s="99">
        <f>IF(OR(NOT(AND($A170&lt;&gt;"",$C170&lt;&gt;"DOOR ONLY")),$BI170=""),"",IF(($BI170+IF(N($P170)&gt;0,$P170+FaceW,0))&lt;=90,3,IF(($BI170+IF(N($P170)&gt;0,$P170+FaceW,0))&lt;=114,4,5)))</f>
        <v/>
      </c>
      <c r="CC170" s="99">
        <f>IF($CB170="","",$CB170*(2+IF(N($Q170)&gt;0,IF($R170="LR",2,1),0)))</f>
        <v/>
      </c>
      <c r="CD170" s="99">
        <f>IF($CB170="","",(2+IF(N($Q170)&gt;0,IF($R170="LR",2,1),0)))</f>
        <v/>
      </c>
      <c r="CE170" s="99">
        <f>IF(N($BJ170)=0,"",IF(OR($AL170="",$AL170="FLUSH"),"FLUSH",IFERROR(LEFT($AL170,FIND("-",$AL170)-1),LEFT($AL170,2))))</f>
        <v/>
      </c>
      <c r="CF170" s="99">
        <f>IF($CE170="","",IFERROR(VALUE(MID($AL170,FIND("-",$AL170)+1,FIND(CHAR(34)&amp;"x",$AL170)-FIND("-",$AL170)-1)),0))</f>
        <v/>
      </c>
      <c r="CG170" s="99">
        <f>IF($CE170="","",IFERROR(VALUE(MID($AL170,FIND(CHAR(34)&amp;"x",$AL170)+2,FIND(CHAR(34),$AL170,FIND(CHAR(34)&amp;"x",$AL170)+2)-FIND(CHAR(34)&amp;"x",$AL170)-2)),0))</f>
        <v/>
      </c>
      <c r="CH170" s="105">
        <f>IF(OR($A170="",$H170="",$H170="NO LAB"),0,IFERROR(VALUE(LEFT($H170,FIND(" ",$H170)-1)),0))</f>
        <v/>
      </c>
      <c r="CI170" s="106">
        <f>IF(OR($A170="",$I170="",$I170="NON-RATED",N($J170)=0),"",IFERROR(VLOOKUP($I170&amp;"|"&amp;$J170,IBC,2,FALSE),"?"))</f>
        <v/>
      </c>
      <c r="CJ170" s="100">
        <f>IF(NOT(AND($A170&lt;&gt;"",$C170&lt;&gt;"DOOR ONLY")),"",TRIM(IFERROR(VLOOKUP($U170,CODES,2,FALSE),"")&amp;" "&amp;$BG170&amp;" "&amp;IFERROR(VLOOKUP($Z170,CODES,2,FALSE),"")&amp;" "&amp;IFERROR(VLOOKUP($X170,CODES,2,FALSE),"")&amp;" "&amp;IFERROR(VLOOKUP($S170,CODES,2,FALSE),"")&amp;IF(N($P170)&gt;0," w/TRANSOM "&amp;$P170&amp;CHAR(34),"")&amp;IF(N($Q170)&gt;0," w/SIDELITE "&amp;$Q170&amp;CHAR(34)&amp;" "&amp;IF($R170="","R",$R170),"")&amp;IF($Y170="","  |  "," | "&amp;IFERROR(VLOOKUP($Y170,CODES,2,FALSE),"")&amp;" | ")&amp;IFERROR(VLOOKUP($AC170,CODES,2,FALSE),"")&amp;" "&amp;IFERROR(VLOOKUP($AD170,CODES,2,FALSE),"")&amp;IF(OR($AE170="",$AE170="-"),""," "&amp;$AE170)&amp;IF(OR($AF170="",$AF170="-"),""," "&amp;$AF170)&amp;IF($AB170="Y"," 4"&amp;CHAR(34)&amp;" HEAD","")&amp;" "&amp;IFERROR(VLOOKUP($H170,CODES,2,FALSE),"")&amp;IF($CT170," | LOC "&amp;$CY170,"")))</f>
        <v/>
      </c>
      <c r="CK170" s="100">
        <f>IF(NOT(AND($A170&lt;&gt;"",N($BJ170)&gt;0)),"",TRIM(IFERROR(VLOOKUP($AH170,CODES,2,FALSE),"")&amp;IF($AI170=""," "," "&amp;$AI170&amp;"GA ")&amp;$BG170&amp;" "&amp;IF($AN170="",IFERROR(VLOOKUP($Z170,CODES,2,FALSE),""),IFERROR(VLOOKUP($AN170,CODES,2,FALSE),""))&amp;IF($BJ170=2," PAIR","")&amp;" DOOR | "&amp;IF($AL170="","?",$AL170)&amp;" | "&amp;IF($AO170="",IFERROR(VLOOKUP($AC170,CODES,2,FALSE),""),IFERROR(VLOOKUP($AO170,CODES,2,FALSE),""))&amp;" "&amp;IFERROR(VLOOKUP($AP170,CODES,2,FALSE),"")&amp;IF(OR($AQ170="",$AQ170="-"),""," SEAM "&amp;$AQ170)&amp;IF($AR170="Y"," ASTRAGAL","")&amp;IF($AJ170=""," "," "&amp;$AJ170)&amp;IF($AK170=""," "," "&amp;$AK170)&amp;IF(OR($AT170="",$AT170="ANSI/SDI",$AT170="CUSTOM LOC"),""," "&amp;$AT170)&amp;IF($AM170=""," "," SERIES "&amp;$AM170)&amp;" "&amp;IFERROR(VLOOKUP($H170,CODES,2,FALSE),"")&amp;IF($CT170," | LOC "&amp;$CZ170,"")))</f>
        <v/>
      </c>
      <c r="CL170" s="99">
        <f>IF(CP170="","",IF(COUNTIF($CP$6:CP170,CP170)=1,MAX($CL$5:CL169)+1,INDEX($CL$5:CL169,MATCH(CP170,$CP$5:CP169,0))))</f>
        <v/>
      </c>
      <c r="CM170" s="99">
        <f>IF(NOT(AND($A170&lt;&gt;"",$C170&lt;&gt;"DOOR ONLY")),"",MAX($CM$5:CM169)+1)</f>
        <v/>
      </c>
      <c r="CN170" s="99">
        <f>IF(NOT(AND($A170&lt;&gt;"",N($BJ170)&gt;0)),"",MAX($CN$5:CN169)+1)</f>
        <v/>
      </c>
      <c r="CO170" s="99">
        <f>IF($A170="","",MAX($CO$5:CO169)+1)</f>
        <v/>
      </c>
      <c r="CP170" s="99">
        <f>IF(OR($A170="",$BH170="",$BI170=""),"",$BG170&amp;"|"&amp;$O170&amp;"|"&amp;$AL170&amp;"|"&amp;$S170&amp;"|"&amp;$P170&amp;"|"&amp;$Q170&amp;$R170&amp;"|"&amp;$C170&amp;"|"&amp;$AB170)</f>
        <v/>
      </c>
      <c r="CQ170" s="99">
        <f>N($BS170)</f>
        <v/>
      </c>
      <c r="CR170" s="99">
        <f>IF(N($AU170)&gt;0,N($AU170),4.5)</f>
        <v/>
      </c>
      <c r="CS170" s="99">
        <f>OR($A170="",$BI170="",$S170="BL",AND($C170="FRAME ONLY",OR($AC170="",$AC170="BLK")))</f>
        <v/>
      </c>
      <c r="CT170" s="99">
        <f>AND(NOT($CS170),OR($AT170="CUSTOM LOC",N($AW170)+N($AX170)+N($AY170)+N($AZ170)+N($BA170)&gt;0))</f>
        <v/>
      </c>
      <c r="CU170" s="99">
        <f>IF($BI170="","",IF($BI170&lt;=80,80,IF($BI170&lt;=84,84,96)))</f>
        <v/>
      </c>
      <c r="CV170" s="99">
        <f>ISNUMBER(MATCH($AT170&amp;"|80",LocKeys,0))</f>
        <v/>
      </c>
      <c r="CW170" s="101">
        <f>IF($CS170,"",IF($CV170,VLOOKUP($AT170&amp;"|"&amp;$CU170,LocTable,4,FALSE),5))</f>
        <v/>
      </c>
      <c r="CX170" s="101">
        <f>IF($CS170,"",IF($CV170,IF(OR($BI170=$CU170,AND($BI170&lt;$CU170,$BI170-IF(N(VLOOKUP($AT170&amp;"|"&amp;$CU170,LocTable,7,FALSE))&gt;0,VLOOKUP($AT170&amp;"|"&amp;$CU170,LocTable,7,FALSE),VLOOKUP($AT170&amp;"|"&amp;$CU170,LocTable,6,FALSE))-$CR170-0.75&gt;=2.125)),IF(N(VLOOKUP($AT170&amp;"|"&amp;$CU170,LocTable,7,FALSE))&gt;0,VLOOKUP($AT170&amp;"|"&amp;$CU170,LocTable,7,FALSE),VLOOKUP($AT170&amp;"|"&amp;$CU170,LocTable,6,FALSE)),$BI170-($CU170-IF(N(VLOOKUP($AT170&amp;"|"&amp;$CU170,LocTable,7,FALSE))&gt;0,VLOOKUP($AT170&amp;"|"&amp;$CU170,LocTable,7,FALSE),VLOOKUP($AT170&amp;"|"&amp;$CU170,LocTable,6,FALSE)))),$BI170-10-$CR170))</f>
        <v/>
      </c>
      <c r="CY170" s="100">
        <f>IF($CS170,"",TRIM(IF(ISNUMBER($BU170),"A "&amp;TRIM(TEXT($BU170,"# ?/??"))&amp;CHAR(34)&amp;"  ","")&amp;IF(ISNUMBER($BV170),"B "&amp;TRIM(TEXT($BV170,"# ?/??"))&amp;CHAR(34)&amp;"  ","")&amp;IF(ISNUMBER($BW170),"C "&amp;TRIM(TEXT($BW170,"# ?/??"))&amp;CHAR(34)&amp;"  ","")&amp;IF(ISNUMBER($BX170),"D "&amp;TRIM(TEXT($BX170,"# ?/??"))&amp;CHAR(34)&amp;"  ","")&amp;IF(ISNUMBER($BY170),"F "&amp;TRIM(TEXT($BY170,"# ?/??"))&amp;CHAR(34)&amp;"  ","")&amp;IF(ISNUMBER($BZ170),"E "&amp;TRIM(TEXT($BZ170,"# ?/??"))&amp;CHAR(34)&amp;"  ","")))</f>
        <v/>
      </c>
      <c r="CZ170" s="100">
        <f>IF(OR($CS170,N($BJ170)=0),"",TRIM(IF(ISNUMBER($BU170),"A "&amp;TRIM(TEXT($BU170-HeadClr,"# ?/??"))&amp;CHAR(34)&amp;"  ","")&amp;IF(ISNUMBER($BV170),"B "&amp;TRIM(TEXT($BV170-HeadClr,"# ?/??"))&amp;CHAR(34)&amp;"  ","")&amp;IF(ISNUMBER($BW170),"C "&amp;TRIM(TEXT($BW170-HeadClr,"# ?/??"))&amp;CHAR(34)&amp;"  ","")&amp;IF(ISNUMBER($BX170),"D "&amp;TRIM(TEXT($BX170-HeadClr,"# ?/??"))&amp;CHAR(34)&amp;"  ","")&amp;IF(ISNUMBER($BY170),"F "&amp;TRIM(TEXT($BY170-HeadClr,"# ?/??"))&amp;CHAR(34)&amp;"  ","")&amp;IF(ISNUMBER($BZ170),"E "&amp;TRIM(TEXT($BZ170-HeadClr,"# ?/??"))&amp;CHAR(34)&amp;"  ","")))</f>
        <v/>
      </c>
      <c r="DA170" s="99">
        <f>IF($A170="","",IF($AN170="",IFERROR(VLOOKUP($Z170,CODES,2,FALSE),""),IFERROR(VLOOKUP($AN170,CODES,2,FALSE),"")))</f>
        <v/>
      </c>
      <c r="DB170" s="99">
        <f>IF($A170="","",IF($O170="Y","PR",IF(OR($Z170="L",$Z170="RR",LEFT($Z170,2)="L-",LEFT($Z170,3)="RR-"),"LH","RH")))</f>
        <v/>
      </c>
      <c r="DC170" s="99">
        <f>IF($A170="","","S.HM"&amp;IF(OR($C170="DOOR ONLY",$X170&lt;&gt;"KD"),"MASONRY","DRYWALL")&amp;IF($C170="DOOR ONLY","",$U170)&amp;IF(AND($C170&lt;&gt;"FRAME ONLY",OR(LEFT($AH170,3)="OAK",LEFT($AH170,3)="BIR",LEFT($AH170,3)="MAP",$AH170="PC",$AH170="MC",$AH170="SCLC",$AH170="P-LAM")),"WD","HM")&amp;"1.75")</f>
        <v/>
      </c>
      <c r="DD170" s="99">
        <f>IF($CJ170="","",IF($O170="Y",$CJ170,SUBSTITUTE($CJ170,$BG170&amp;" "&amp;IFERROR(VLOOKUP($Z170,CODES,2,FALSE),"")&amp;" ",$BG170&amp;" ")))</f>
        <v/>
      </c>
      <c r="DE170" s="99">
        <f>IF($CK170="","",IF($O170="Y",$CK170,SUBSTITUTE($CK170,$BG170&amp;" "&amp;IF($AN170="",IFERROR(VLOOKUP($Z170,CODES,2,FALSE),""),IFERROR(VLOOKUP($AN170,CODES,2,FALSE),""))&amp;" ",$BG170&amp;" ")))</f>
        <v/>
      </c>
      <c r="DF170" s="99">
        <f>IF($CJ170="","",$DC170&amp;"|"&amp;$DD170&amp;"|"&amp;$DB170&amp;"|"&amp;$AT170&amp;"|"&amp;$V170&amp;"|"&amp;$Y170&amp;"|"&amp;$AB170)</f>
        <v/>
      </c>
      <c r="DG170" s="99">
        <f>IF(DF170="","",IF(COUNTIF($DF$6:DF170,DF170)=1,MAX($DG$5:DG169)+1,INDEX($DG$5:DG169,MATCH(DF170,$DF$5:DF169,0))))</f>
        <v/>
      </c>
      <c r="DH170" s="99">
        <f>IF($CK170="","",$DC170&amp;"|"&amp;$DE170&amp;"|"&amp;$AI170&amp;"|"&amp;$BK170&amp;"|"&amp;$BL170)</f>
        <v/>
      </c>
      <c r="DI170" s="99">
        <f>IF(DH170="","",IF(COUNTIF($DH$6:DH170,DH170)=1,MAX($DI$5:DI169)+1,INDEX($DI$5:DI169,MATCH(DH170,$DH$5:DH169,0))))</f>
        <v/>
      </c>
      <c r="DJ170" s="99">
        <f>IF($A170="","",IF($B170="","qty, ","")&amp;IF($C170="","scope, ","")&amp;IF(OR($K170="",$M170=""),"size, ","")&amp;IF(AND($A170&lt;&gt;"",$C170&lt;&gt;"DOOR ONLY"),IF($U170="","jamb depth, ","")&amp;IF($X170="","construction, ","")&amp;IF($Y170="","anchor, ","")&amp;IF($S170="","frame type, ",""),"")&amp;IF(AND(N($BJ170)&gt;0,$Z170=""),"hand, ","")&amp;IF(N($BJ170)&gt;0,IF($AH170="","door material, ","")&amp;IF($AL170="","face type, ","")&amp;IF($AP170="","lock prep, ","")&amp;IF(AND($AO170="",$AC170=""),"hinge prep, ",""),"")&amp;IF(AND($CH170&gt;0,$AH170="FRP"),"FRP cannot carry a label, ","")&amp;IF(AND($O170="Y",OR($Z170="L",$Z170="R",$Z170="LR",$Z170="RR")),"pair marked but hand is single, ","")&amp;IF(AND($O170&lt;&gt;"Y",OR($Z170="PR",AND(LEN($Z170)&gt;1,ISNUMBER(SEARCH("-",$Z170))))),"pair hand on a single door, ","")&amp;IF(AND(ISNUMBER($CI170),$CH170&lt;N($CI170)),"wall needs a "&amp;$CI170&amp;" min door, ","")&amp;IF(AND($CH170&gt;=180,AND(OR($CE170="FG",$CE170="HG",$CE170="FNV",$CE170="FV"),N($CF170)*N($CG170)&gt;100)),"180 min lite over 100 sq in, ","")&amp;IF(N($BK170)&gt;48,"leaf wider than 4'-0"&amp;CHAR(34)&amp;", ","")&amp;IF(AND($CT170,COUNT($AW170:$AZ170)=0,$CQ170&gt;0),"CUSTOM LOC with no locations typed, ",""))</f>
        <v/>
      </c>
      <c r="DK170" s="99">
        <f>IF($A170="","",IF(AND($CH170&gt;0,AND($A170&lt;&gt;"",$C170&lt;&gt;"DOOR ONLY"),$X170="KD",$E170="EXTERIOR"),"KD label on an exterior opening, ","")&amp;IF(AND($E170="EXTERIOR",OR(AND(AND($A170&lt;&gt;"",$C170&lt;&gt;"DOOR ONLY"),$W170="CR"),AND(N($BJ170)&gt;0,$AH170="CR"))),"exterior in CR steel (G9?), ","")&amp;IF(AND(ISNUMBER($BQ170),N($BQ170)&lt;32),"clear width ~"&amp;TEXT($BQ170,"0.0")&amp;CHAR(34)&amp;" under 32"&amp;CHAR(34)&amp;" (ADA), ","")&amp;IF(AND($CH170=90,AND(OR($CE170="FG",$CE170="HG",$CE170="FNV",$CE170="FV"),N($CF170)*N($CG170)&gt;100)),"90 min lite over 100 sq in (stair/exit), ","")&amp;IF(AND($CH170&gt;0,AND($A170&lt;&gt;"",$C170&lt;&gt;"DOOR ONLY"),OR($AF170="",$AF170="-")),"rated: closer reinf.?, ","")&amp;IF(OR($I170="CORRIDOR",$I170="SMOKE BARRIER"),"S label + smoke gasketing, ","")&amp;IF($CI170="?","wall type/hr not in IBC table, ","")&amp;IF(AND(N($BJ170)&gt;0,$BB170=""),"no hardware set, ","")&amp;IF(AND($BB170&lt;&gt;"",ISNA(MATCH($BB170&amp;"",HWSets,0))),"set "&amp;$BB170&amp;" not on HW Sets, ","")&amp;IF(N($BL170)&gt;96,"leaf over 8'-0"&amp;CHAR(34)&amp;" - check listing, ","")&amp;IF(AND($CT170,COUNT($AW170:$AZ170)&gt;0,COUNT($AW170:$AZ170)&lt;&gt;$CQ170),COUNT($AW170:$AZ170)&amp;" custom hinges typed, "&amp;$CQ170&amp;" expected, ","")&amp;IF(AND(ISNUMBER($CA170),OR(N($CA170)&lt;34,N($CA170)&gt;48)),"lock "&amp;TEXT($CA170,"0.0")&amp;CHAR(34)&amp;" AFF outside 34-48"&amp;CHAR(34)&amp;" (ADA), ","")&amp;IF(AND(ISNUMBER($AV170),ISNUMBER($BL170),N($AV170)&lt;IF(N($BL170)&lt;=60,2,IF(N($BL170)&lt;=90,3,IF(N($BL170)&lt;=120,4,5)))),"fewer hinges than standard, ",""))</f>
        <v/>
      </c>
    </row>
    <row r="171" ht="15" customHeight="1">
      <c r="A171" s="77" t="n"/>
      <c r="B171" s="78" t="n"/>
      <c r="C171" s="78" t="n"/>
      <c r="D171" s="78" t="n"/>
      <c r="E171" s="78" t="n"/>
      <c r="F171" s="78" t="n"/>
      <c r="G171" s="78" t="n"/>
      <c r="H171" s="78" t="n"/>
      <c r="I171" s="78" t="n"/>
      <c r="J171" s="78" t="n"/>
      <c r="K171" s="78" t="n"/>
      <c r="L171" s="78" t="n"/>
      <c r="M171" s="78" t="n"/>
      <c r="N171" s="78" t="n"/>
      <c r="O171" s="78" t="n"/>
      <c r="P171" s="78" t="n"/>
      <c r="Q171" s="78" t="n"/>
      <c r="R171" s="78" t="n"/>
      <c r="S171" s="79" t="n"/>
      <c r="T171" s="79" t="n"/>
      <c r="U171" s="79" t="n"/>
      <c r="V171" s="79" t="n"/>
      <c r="W171" s="79" t="n"/>
      <c r="X171" s="79" t="n"/>
      <c r="Y171" s="79" t="n"/>
      <c r="Z171" s="79" t="n"/>
      <c r="AA171" s="79" t="n"/>
      <c r="AB171" s="79" t="n"/>
      <c r="AC171" s="79" t="n"/>
      <c r="AD171" s="79" t="n"/>
      <c r="AE171" s="79" t="n"/>
      <c r="AF171" s="79" t="n"/>
      <c r="AG171" s="79" t="n"/>
      <c r="AH171" s="80" t="n"/>
      <c r="AI171" s="80" t="n"/>
      <c r="AJ171" s="80" t="n"/>
      <c r="AK171" s="80" t="n"/>
      <c r="AL171" s="80" t="n"/>
      <c r="AM171" s="80" t="n"/>
      <c r="AN171" s="80" t="n"/>
      <c r="AO171" s="80" t="n"/>
      <c r="AP171" s="80" t="n"/>
      <c r="AQ171" s="80" t="n"/>
      <c r="AR171" s="80" t="n"/>
      <c r="AS171" s="80" t="n"/>
      <c r="AT171" s="81" t="n"/>
      <c r="AU171" s="81" t="n"/>
      <c r="AV171" s="81" t="n"/>
      <c r="AW171" s="82" t="n"/>
      <c r="AX171" s="82" t="n"/>
      <c r="AY171" s="82" t="n"/>
      <c r="AZ171" s="82" t="n"/>
      <c r="BA171" s="82" t="n"/>
      <c r="BB171" s="83" t="n"/>
      <c r="BC171" s="83" t="n"/>
      <c r="BD171" s="84">
        <f>IF($A171="","",IF($DJ171&lt;&gt;"","FIX",IF($DK171&lt;&gt;"","CHECK","OK")))</f>
        <v/>
      </c>
      <c r="BE171" s="85">
        <f>IF($A171="","",IF($DJ171&lt;&gt;"","FIX: "&amp;LEFT($DJ171,LEN($DJ171)-2)&amp;IF($DK171&lt;&gt;"","  ·  ",""),"")&amp;IF($DK171&lt;&gt;"","CHECK: "&amp;LEFT($DK171,LEN($DK171)-2),""))</f>
        <v/>
      </c>
      <c r="BF171" s="84">
        <f>IF(OR($A171="",$K171=""),"",$K171&amp;"'-"&amp;N($L171)&amp;CHAR(34)&amp;" x "&amp;$M171&amp;"'-"&amp;N($N171)&amp;CHAR(34))</f>
        <v/>
      </c>
      <c r="BG171" s="84">
        <f>IF(OR($A171="",$K171=""),"",$K171&amp;N($L171)&amp;$M171&amp;N($N171))</f>
        <v/>
      </c>
      <c r="BH171" s="84">
        <f>IF(OR($A171="",$K171=""),"",$K171*12+N($L171))</f>
        <v/>
      </c>
      <c r="BI171" s="84">
        <f>IF(OR($A171="",$M171=""),"",$M171*12+N($N171))</f>
        <v/>
      </c>
      <c r="BJ171" s="84">
        <f>IF($A171="","",IF(OR($C171="FRAME ONLY",$S171="BL"),0,IF($O171="Y",2,1)))</f>
        <v/>
      </c>
      <c r="BK171" s="86">
        <f>IF(OR(N($BJ171)=0,$BH171=""),"",($BH171-2*EdgeClr-IF($BJ171=2,MeetClr,0))/$BJ171)</f>
        <v/>
      </c>
      <c r="BL171" s="86">
        <f>IF(OR(N($BJ171)=0,$BI171=""),"",$BI171-HeadClr-Undercut)</f>
        <v/>
      </c>
      <c r="BM171" s="86">
        <f>IF($BH171="","",$BH171+2*FaceW+IF(N($Q171)&gt;0,($Q171+FaceW)*IF($R171="LR",2,1),0))</f>
        <v/>
      </c>
      <c r="BN171" s="86">
        <f>IF($BI171="","",$BI171+IF($AB171="Y",4,FaceW)+IF(N($P171)&gt;0,$P171+FaceW,0)+IF(OR($S171="4F",$S171="BL"),FaceW,0))</f>
        <v/>
      </c>
      <c r="BO171" s="86">
        <f>IF($BM171="","",$BM171+2*ROSide)</f>
        <v/>
      </c>
      <c r="BP171" s="86">
        <f>IF($BN171="","",$BN171+ROTop)</f>
        <v/>
      </c>
      <c r="BQ171" s="87">
        <f>IF(OR(N($BJ171)=0,$BH171=""),"",$BH171/$BJ171-ClearDeduct)</f>
        <v/>
      </c>
      <c r="BR171" s="84">
        <f>IF(N($CH171)=0,"",IF($CH171&gt;=180,"A · 3 HR",IF($CH171&gt;=90,"B · 1-1/2 HR",IF($CH171&gt;=60,"B · 1 HR",IF($CH171&gt;=45,"C · 3/4 HR","20 MIN")))))&amp;IF(AND(N($CH171)&gt;0,OR($I171="CORRIDOR",$I171="SMOKE BARRIER"))," · S","")</f>
        <v/>
      </c>
      <c r="BS171" s="84">
        <f>IF($CS171,"",IF($AV171&lt;&gt;"",$AV171,IF(OR($AC171="HGC",$AO171="HGC"),"CONT",IF(($BI171-HeadClr-Undercut)&lt;=60,2,IF(($BI171-HeadClr-Undercut)&lt;=90,3,IF(($BI171-HeadClr-Undercut)&lt;=120,4,5))))))</f>
        <v/>
      </c>
      <c r="BT171" s="84">
        <f>IF($CS171,"",IF($CT171,"CUSTOM (typed)",IF($CV171,$AT171&amp;" "&amp;$CU171&amp;CHAR(34)&amp;IF($CU171&lt;&gt;$BI171,IF(AND($BI171&lt;$CU171,$BI171-IF(N(VLOOKUP($AT171&amp;"|"&amp;$CU171,LocTable,7,FALSE))&gt;0,VLOOKUP($AT171&amp;"|"&amp;$CU171,LocTable,7,FALSE),VLOOKUP($AT171&amp;"|"&amp;$CU171,LocTable,6,FALSE))-$CR171-0.75&gt;=2.125)," cut down"," adj."),""),"ANSI/SDI A250.6")))</f>
        <v/>
      </c>
      <c r="BU171" s="88">
        <f>IF($CS171,"",IF($CT171,IF(N($AW171)&gt;0,N($AW171),""),IF(1&gt;$CQ171,"",IF($CQ171=1,$CW171,$CW171+($CX171-$CW171)*0/($CQ171-1)))))</f>
        <v/>
      </c>
      <c r="BV171" s="88">
        <f>IF($CS171,"",IF($CT171,IF(N($AX171)&gt;0,N($AX171),""),IF(2&gt;$CQ171,"",IF($CQ171=1,$CW171,$CW171+($CX171-$CW171)*1/($CQ171-1)))))</f>
        <v/>
      </c>
      <c r="BW171" s="88">
        <f>IF($CS171,"",IF($CT171,IF(N($AY171)&gt;0,N($AY171),""),IF(3&gt;$CQ171,"",IF($CQ171=1,$CW171,$CW171+($CX171-$CW171)*2/($CQ171-1)))))</f>
        <v/>
      </c>
      <c r="BX171" s="88">
        <f>IF($CS171,"",IF($CT171,IF(N($AZ171)&gt;0,N($AZ171),""),IF(4&gt;$CQ171,"",IF($CQ171=1,$CW171,$CW171+($CX171-$CW171)*3/($CQ171-1)))))</f>
        <v/>
      </c>
      <c r="BY171" s="88">
        <f>IF($CS171,"",IF($CT171,"",IF(5&gt;$CQ171,"",IF($CQ171=1,$CW171,$CW171+($CX171-$CW171)*4/($CQ171-1)))))</f>
        <v/>
      </c>
      <c r="BZ171" s="88">
        <f>IF(OR($CS171,$AP171="-",AND($AP171="",$AD171="")),"",IF(N($BA171)&gt;0,N($BA171),IF($CV171,IF(AND($BI171&lt;$CU171,$BI171-IF(N(VLOOKUP($AT171&amp;"|"&amp;$CU171,LocTable,7,FALSE))&gt;0,VLOOKUP($AT171&amp;"|"&amp;$CU171,LocTable,7,FALSE),VLOOKUP($AT171&amp;"|"&amp;$CU171,LocTable,6,FALSE))-$CR171-0.75&gt;=2.125),VLOOKUP($AT171&amp;"|"&amp;$CU171,LocTable,8,FALSE),VLOOKUP($AT171&amp;"|"&amp;$CU171,LocTable,8,FALSE)+($BI171-$CU171)),$BI171-LockAFF)))</f>
        <v/>
      </c>
      <c r="CA171" s="89">
        <f>IF($BZ171="","",$BI171-$BZ171)</f>
        <v/>
      </c>
      <c r="CB171" s="84">
        <f>IF(OR(NOT(AND($A171&lt;&gt;"",$C171&lt;&gt;"DOOR ONLY")),$BI171=""),"",IF(($BI171+IF(N($P171)&gt;0,$P171+FaceW,0))&lt;=90,3,IF(($BI171+IF(N($P171)&gt;0,$P171+FaceW,0))&lt;=114,4,5)))</f>
        <v/>
      </c>
      <c r="CC171" s="84">
        <f>IF($CB171="","",$CB171*(2+IF(N($Q171)&gt;0,IF($R171="LR",2,1),0)))</f>
        <v/>
      </c>
      <c r="CD171" s="84">
        <f>IF($CB171="","",(2+IF(N($Q171)&gt;0,IF($R171="LR",2,1),0)))</f>
        <v/>
      </c>
      <c r="CE171" s="84">
        <f>IF(N($BJ171)=0,"",IF(OR($AL171="",$AL171="FLUSH"),"FLUSH",IFERROR(LEFT($AL171,FIND("-",$AL171)-1),LEFT($AL171,2))))</f>
        <v/>
      </c>
      <c r="CF171" s="84">
        <f>IF($CE171="","",IFERROR(VALUE(MID($AL171,FIND("-",$AL171)+1,FIND(CHAR(34)&amp;"x",$AL171)-FIND("-",$AL171)-1)),0))</f>
        <v/>
      </c>
      <c r="CG171" s="84">
        <f>IF($CE171="","",IFERROR(VALUE(MID($AL171,FIND(CHAR(34)&amp;"x",$AL171)+2,FIND(CHAR(34),$AL171,FIND(CHAR(34)&amp;"x",$AL171)+2)-FIND(CHAR(34)&amp;"x",$AL171)-2)),0))</f>
        <v/>
      </c>
      <c r="CH171" s="90">
        <f>IF(OR($A171="",$H171="",$H171="NO LAB"),0,IFERROR(VALUE(LEFT($H171,FIND(" ",$H171)-1)),0))</f>
        <v/>
      </c>
      <c r="CI171" s="91">
        <f>IF(OR($A171="",$I171="",$I171="NON-RATED",N($J171)=0),"",IFERROR(VLOOKUP($I171&amp;"|"&amp;$J171,IBC,2,FALSE),"?"))</f>
        <v/>
      </c>
      <c r="CJ171" s="85">
        <f>IF(NOT(AND($A171&lt;&gt;"",$C171&lt;&gt;"DOOR ONLY")),"",TRIM(IFERROR(VLOOKUP($U171,CODES,2,FALSE),"")&amp;" "&amp;$BG171&amp;" "&amp;IFERROR(VLOOKUP($Z171,CODES,2,FALSE),"")&amp;" "&amp;IFERROR(VLOOKUP($X171,CODES,2,FALSE),"")&amp;" "&amp;IFERROR(VLOOKUP($S171,CODES,2,FALSE),"")&amp;IF(N($P171)&gt;0," w/TRANSOM "&amp;$P171&amp;CHAR(34),"")&amp;IF(N($Q171)&gt;0," w/SIDELITE "&amp;$Q171&amp;CHAR(34)&amp;" "&amp;IF($R171="","R",$R171),"")&amp;IF($Y171="","  |  "," | "&amp;IFERROR(VLOOKUP($Y171,CODES,2,FALSE),"")&amp;" | ")&amp;IFERROR(VLOOKUP($AC171,CODES,2,FALSE),"")&amp;" "&amp;IFERROR(VLOOKUP($AD171,CODES,2,FALSE),"")&amp;IF(OR($AE171="",$AE171="-"),""," "&amp;$AE171)&amp;IF(OR($AF171="",$AF171="-"),""," "&amp;$AF171)&amp;IF($AB171="Y"," 4"&amp;CHAR(34)&amp;" HEAD","")&amp;" "&amp;IFERROR(VLOOKUP($H171,CODES,2,FALSE),"")&amp;IF($CT171," | LOC "&amp;$CY171,"")))</f>
        <v/>
      </c>
      <c r="CK171" s="85">
        <f>IF(NOT(AND($A171&lt;&gt;"",N($BJ171)&gt;0)),"",TRIM(IFERROR(VLOOKUP($AH171,CODES,2,FALSE),"")&amp;IF($AI171=""," "," "&amp;$AI171&amp;"GA ")&amp;$BG171&amp;" "&amp;IF($AN171="",IFERROR(VLOOKUP($Z171,CODES,2,FALSE),""),IFERROR(VLOOKUP($AN171,CODES,2,FALSE),""))&amp;IF($BJ171=2," PAIR","")&amp;" DOOR | "&amp;IF($AL171="","?",$AL171)&amp;" | "&amp;IF($AO171="",IFERROR(VLOOKUP($AC171,CODES,2,FALSE),""),IFERROR(VLOOKUP($AO171,CODES,2,FALSE),""))&amp;" "&amp;IFERROR(VLOOKUP($AP171,CODES,2,FALSE),"")&amp;IF(OR($AQ171="",$AQ171="-"),""," SEAM "&amp;$AQ171)&amp;IF($AR171="Y"," ASTRAGAL","")&amp;IF($AJ171=""," "," "&amp;$AJ171)&amp;IF($AK171=""," "," "&amp;$AK171)&amp;IF(OR($AT171="",$AT171="ANSI/SDI",$AT171="CUSTOM LOC"),""," "&amp;$AT171)&amp;IF($AM171=""," "," SERIES "&amp;$AM171)&amp;" "&amp;IFERROR(VLOOKUP($H171,CODES,2,FALSE),"")&amp;IF($CT171," | LOC "&amp;$CZ171,"")))</f>
        <v/>
      </c>
      <c r="CL171" s="84">
        <f>IF(CP171="","",IF(COUNTIF($CP$6:CP171,CP171)=1,MAX($CL$5:CL170)+1,INDEX($CL$5:CL170,MATCH(CP171,$CP$5:CP170,0))))</f>
        <v/>
      </c>
      <c r="CM171" s="84">
        <f>IF(NOT(AND($A171&lt;&gt;"",$C171&lt;&gt;"DOOR ONLY")),"",MAX($CM$5:CM170)+1)</f>
        <v/>
      </c>
      <c r="CN171" s="84">
        <f>IF(NOT(AND($A171&lt;&gt;"",N($BJ171)&gt;0)),"",MAX($CN$5:CN170)+1)</f>
        <v/>
      </c>
      <c r="CO171" s="84">
        <f>IF($A171="","",MAX($CO$5:CO170)+1)</f>
        <v/>
      </c>
      <c r="CP171" s="84">
        <f>IF(OR($A171="",$BH171="",$BI171=""),"",$BG171&amp;"|"&amp;$O171&amp;"|"&amp;$AL171&amp;"|"&amp;$S171&amp;"|"&amp;$P171&amp;"|"&amp;$Q171&amp;$R171&amp;"|"&amp;$C171&amp;"|"&amp;$AB171)</f>
        <v/>
      </c>
      <c r="CQ171" s="84">
        <f>N($BS171)</f>
        <v/>
      </c>
      <c r="CR171" s="84">
        <f>IF(N($AU171)&gt;0,N($AU171),4.5)</f>
        <v/>
      </c>
      <c r="CS171" s="84">
        <f>OR($A171="",$BI171="",$S171="BL",AND($C171="FRAME ONLY",OR($AC171="",$AC171="BLK")))</f>
        <v/>
      </c>
      <c r="CT171" s="84">
        <f>AND(NOT($CS171),OR($AT171="CUSTOM LOC",N($AW171)+N($AX171)+N($AY171)+N($AZ171)+N($BA171)&gt;0))</f>
        <v/>
      </c>
      <c r="CU171" s="84">
        <f>IF($BI171="","",IF($BI171&lt;=80,80,IF($BI171&lt;=84,84,96)))</f>
        <v/>
      </c>
      <c r="CV171" s="84">
        <f>ISNUMBER(MATCH($AT171&amp;"|80",LocKeys,0))</f>
        <v/>
      </c>
      <c r="CW171" s="86">
        <f>IF($CS171,"",IF($CV171,VLOOKUP($AT171&amp;"|"&amp;$CU171,LocTable,4,FALSE),5))</f>
        <v/>
      </c>
      <c r="CX171" s="86">
        <f>IF($CS171,"",IF($CV171,IF(OR($BI171=$CU171,AND($BI171&lt;$CU171,$BI171-IF(N(VLOOKUP($AT171&amp;"|"&amp;$CU171,LocTable,7,FALSE))&gt;0,VLOOKUP($AT171&amp;"|"&amp;$CU171,LocTable,7,FALSE),VLOOKUP($AT171&amp;"|"&amp;$CU171,LocTable,6,FALSE))-$CR171-0.75&gt;=2.125)),IF(N(VLOOKUP($AT171&amp;"|"&amp;$CU171,LocTable,7,FALSE))&gt;0,VLOOKUP($AT171&amp;"|"&amp;$CU171,LocTable,7,FALSE),VLOOKUP($AT171&amp;"|"&amp;$CU171,LocTable,6,FALSE)),$BI171-($CU171-IF(N(VLOOKUP($AT171&amp;"|"&amp;$CU171,LocTable,7,FALSE))&gt;0,VLOOKUP($AT171&amp;"|"&amp;$CU171,LocTable,7,FALSE),VLOOKUP($AT171&amp;"|"&amp;$CU171,LocTable,6,FALSE)))),$BI171-10-$CR171))</f>
        <v/>
      </c>
      <c r="CY171" s="85">
        <f>IF($CS171,"",TRIM(IF(ISNUMBER($BU171),"A "&amp;TRIM(TEXT($BU171,"# ?/??"))&amp;CHAR(34)&amp;"  ","")&amp;IF(ISNUMBER($BV171),"B "&amp;TRIM(TEXT($BV171,"# ?/??"))&amp;CHAR(34)&amp;"  ","")&amp;IF(ISNUMBER($BW171),"C "&amp;TRIM(TEXT($BW171,"# ?/??"))&amp;CHAR(34)&amp;"  ","")&amp;IF(ISNUMBER($BX171),"D "&amp;TRIM(TEXT($BX171,"# ?/??"))&amp;CHAR(34)&amp;"  ","")&amp;IF(ISNUMBER($BY171),"F "&amp;TRIM(TEXT($BY171,"# ?/??"))&amp;CHAR(34)&amp;"  ","")&amp;IF(ISNUMBER($BZ171),"E "&amp;TRIM(TEXT($BZ171,"# ?/??"))&amp;CHAR(34)&amp;"  ","")))</f>
        <v/>
      </c>
      <c r="CZ171" s="85">
        <f>IF(OR($CS171,N($BJ171)=0),"",TRIM(IF(ISNUMBER($BU171),"A "&amp;TRIM(TEXT($BU171-HeadClr,"# ?/??"))&amp;CHAR(34)&amp;"  ","")&amp;IF(ISNUMBER($BV171),"B "&amp;TRIM(TEXT($BV171-HeadClr,"# ?/??"))&amp;CHAR(34)&amp;"  ","")&amp;IF(ISNUMBER($BW171),"C "&amp;TRIM(TEXT($BW171-HeadClr,"# ?/??"))&amp;CHAR(34)&amp;"  ","")&amp;IF(ISNUMBER($BX171),"D "&amp;TRIM(TEXT($BX171-HeadClr,"# ?/??"))&amp;CHAR(34)&amp;"  ","")&amp;IF(ISNUMBER($BY171),"F "&amp;TRIM(TEXT($BY171-HeadClr,"# ?/??"))&amp;CHAR(34)&amp;"  ","")&amp;IF(ISNUMBER($BZ171),"E "&amp;TRIM(TEXT($BZ171-HeadClr,"# ?/??"))&amp;CHAR(34)&amp;"  ","")))</f>
        <v/>
      </c>
      <c r="DA171" s="84">
        <f>IF($A171="","",IF($AN171="",IFERROR(VLOOKUP($Z171,CODES,2,FALSE),""),IFERROR(VLOOKUP($AN171,CODES,2,FALSE),"")))</f>
        <v/>
      </c>
      <c r="DB171" s="84">
        <f>IF($A171="","",IF($O171="Y","PR",IF(OR($Z171="L",$Z171="RR",LEFT($Z171,2)="L-",LEFT($Z171,3)="RR-"),"LH","RH")))</f>
        <v/>
      </c>
      <c r="DC171" s="84">
        <f>IF($A171="","","S.HM"&amp;IF(OR($C171="DOOR ONLY",$X171&lt;&gt;"KD"),"MASONRY","DRYWALL")&amp;IF($C171="DOOR ONLY","",$U171)&amp;IF(AND($C171&lt;&gt;"FRAME ONLY",OR(LEFT($AH171,3)="OAK",LEFT($AH171,3)="BIR",LEFT($AH171,3)="MAP",$AH171="PC",$AH171="MC",$AH171="SCLC",$AH171="P-LAM")),"WD","HM")&amp;"1.75")</f>
        <v/>
      </c>
      <c r="DD171" s="84">
        <f>IF($CJ171="","",IF($O171="Y",$CJ171,SUBSTITUTE($CJ171,$BG171&amp;" "&amp;IFERROR(VLOOKUP($Z171,CODES,2,FALSE),"")&amp;" ",$BG171&amp;" ")))</f>
        <v/>
      </c>
      <c r="DE171" s="84">
        <f>IF($CK171="","",IF($O171="Y",$CK171,SUBSTITUTE($CK171,$BG171&amp;" "&amp;IF($AN171="",IFERROR(VLOOKUP($Z171,CODES,2,FALSE),""),IFERROR(VLOOKUP($AN171,CODES,2,FALSE),""))&amp;" ",$BG171&amp;" ")))</f>
        <v/>
      </c>
      <c r="DF171" s="84">
        <f>IF($CJ171="","",$DC171&amp;"|"&amp;$DD171&amp;"|"&amp;$DB171&amp;"|"&amp;$AT171&amp;"|"&amp;$V171&amp;"|"&amp;$Y171&amp;"|"&amp;$AB171)</f>
        <v/>
      </c>
      <c r="DG171" s="84">
        <f>IF(DF171="","",IF(COUNTIF($DF$6:DF171,DF171)=1,MAX($DG$5:DG170)+1,INDEX($DG$5:DG170,MATCH(DF171,$DF$5:DF170,0))))</f>
        <v/>
      </c>
      <c r="DH171" s="84">
        <f>IF($CK171="","",$DC171&amp;"|"&amp;$DE171&amp;"|"&amp;$AI171&amp;"|"&amp;$BK171&amp;"|"&amp;$BL171)</f>
        <v/>
      </c>
      <c r="DI171" s="84">
        <f>IF(DH171="","",IF(COUNTIF($DH$6:DH171,DH171)=1,MAX($DI$5:DI170)+1,INDEX($DI$5:DI170,MATCH(DH171,$DH$5:DH170,0))))</f>
        <v/>
      </c>
      <c r="DJ171" s="84">
        <f>IF($A171="","",IF($B171="","qty, ","")&amp;IF($C171="","scope, ","")&amp;IF(OR($K171="",$M171=""),"size, ","")&amp;IF(AND($A171&lt;&gt;"",$C171&lt;&gt;"DOOR ONLY"),IF($U171="","jamb depth, ","")&amp;IF($X171="","construction, ","")&amp;IF($Y171="","anchor, ","")&amp;IF($S171="","frame type, ",""),"")&amp;IF(AND(N($BJ171)&gt;0,$Z171=""),"hand, ","")&amp;IF(N($BJ171)&gt;0,IF($AH171="","door material, ","")&amp;IF($AL171="","face type, ","")&amp;IF($AP171="","lock prep, ","")&amp;IF(AND($AO171="",$AC171=""),"hinge prep, ",""),"")&amp;IF(AND($CH171&gt;0,$AH171="FRP"),"FRP cannot carry a label, ","")&amp;IF(AND($O171="Y",OR($Z171="L",$Z171="R",$Z171="LR",$Z171="RR")),"pair marked but hand is single, ","")&amp;IF(AND($O171&lt;&gt;"Y",OR($Z171="PR",AND(LEN($Z171)&gt;1,ISNUMBER(SEARCH("-",$Z171))))),"pair hand on a single door, ","")&amp;IF(AND(ISNUMBER($CI171),$CH171&lt;N($CI171)),"wall needs a "&amp;$CI171&amp;" min door, ","")&amp;IF(AND($CH171&gt;=180,AND(OR($CE171="FG",$CE171="HG",$CE171="FNV",$CE171="FV"),N($CF171)*N($CG171)&gt;100)),"180 min lite over 100 sq in, ","")&amp;IF(N($BK171)&gt;48,"leaf wider than 4'-0"&amp;CHAR(34)&amp;", ","")&amp;IF(AND($CT171,COUNT($AW171:$AZ171)=0,$CQ171&gt;0),"CUSTOM LOC with no locations typed, ",""))</f>
        <v/>
      </c>
      <c r="DK171" s="84">
        <f>IF($A171="","",IF(AND($CH171&gt;0,AND($A171&lt;&gt;"",$C171&lt;&gt;"DOOR ONLY"),$X171="KD",$E171="EXTERIOR"),"KD label on an exterior opening, ","")&amp;IF(AND($E171="EXTERIOR",OR(AND(AND($A171&lt;&gt;"",$C171&lt;&gt;"DOOR ONLY"),$W171="CR"),AND(N($BJ171)&gt;0,$AH171="CR"))),"exterior in CR steel (G9?), ","")&amp;IF(AND(ISNUMBER($BQ171),N($BQ171)&lt;32),"clear width ~"&amp;TEXT($BQ171,"0.0")&amp;CHAR(34)&amp;" under 32"&amp;CHAR(34)&amp;" (ADA), ","")&amp;IF(AND($CH171=90,AND(OR($CE171="FG",$CE171="HG",$CE171="FNV",$CE171="FV"),N($CF171)*N($CG171)&gt;100)),"90 min lite over 100 sq in (stair/exit), ","")&amp;IF(AND($CH171&gt;0,AND($A171&lt;&gt;"",$C171&lt;&gt;"DOOR ONLY"),OR($AF171="",$AF171="-")),"rated: closer reinf.?, ","")&amp;IF(OR($I171="CORRIDOR",$I171="SMOKE BARRIER"),"S label + smoke gasketing, ","")&amp;IF($CI171="?","wall type/hr not in IBC table, ","")&amp;IF(AND(N($BJ171)&gt;0,$BB171=""),"no hardware set, ","")&amp;IF(AND($BB171&lt;&gt;"",ISNA(MATCH($BB171&amp;"",HWSets,0))),"set "&amp;$BB171&amp;" not on HW Sets, ","")&amp;IF(N($BL171)&gt;96,"leaf over 8'-0"&amp;CHAR(34)&amp;" - check listing, ","")&amp;IF(AND($CT171,COUNT($AW171:$AZ171)&gt;0,COUNT($AW171:$AZ171)&lt;&gt;$CQ171),COUNT($AW171:$AZ171)&amp;" custom hinges typed, "&amp;$CQ171&amp;" expected, ","")&amp;IF(AND(ISNUMBER($CA171),OR(N($CA171)&lt;34,N($CA171)&gt;48)),"lock "&amp;TEXT($CA171,"0.0")&amp;CHAR(34)&amp;" AFF outside 34-48"&amp;CHAR(34)&amp;" (ADA), ","")&amp;IF(AND(ISNUMBER($AV171),ISNUMBER($BL171),N($AV171)&lt;IF(N($BL171)&lt;=60,2,IF(N($BL171)&lt;=90,3,IF(N($BL171)&lt;=120,4,5)))),"fewer hinges than standard, ",""))</f>
        <v/>
      </c>
    </row>
    <row r="172" ht="15" customHeight="1">
      <c r="A172" s="77" t="n"/>
      <c r="B172" s="78" t="n"/>
      <c r="C172" s="78" t="n"/>
      <c r="D172" s="78" t="n"/>
      <c r="E172" s="78" t="n"/>
      <c r="F172" s="78" t="n"/>
      <c r="G172" s="78" t="n"/>
      <c r="H172" s="78" t="n"/>
      <c r="I172" s="78" t="n"/>
      <c r="J172" s="78" t="n"/>
      <c r="K172" s="78" t="n"/>
      <c r="L172" s="78" t="n"/>
      <c r="M172" s="78" t="n"/>
      <c r="N172" s="78" t="n"/>
      <c r="O172" s="78" t="n"/>
      <c r="P172" s="78" t="n"/>
      <c r="Q172" s="78" t="n"/>
      <c r="R172" s="78" t="n"/>
      <c r="S172" s="79" t="n"/>
      <c r="T172" s="79" t="n"/>
      <c r="U172" s="79" t="n"/>
      <c r="V172" s="79" t="n"/>
      <c r="W172" s="79" t="n"/>
      <c r="X172" s="79" t="n"/>
      <c r="Y172" s="79" t="n"/>
      <c r="Z172" s="79" t="n"/>
      <c r="AA172" s="79" t="n"/>
      <c r="AB172" s="79" t="n"/>
      <c r="AC172" s="79" t="n"/>
      <c r="AD172" s="79" t="n"/>
      <c r="AE172" s="79" t="n"/>
      <c r="AF172" s="79" t="n"/>
      <c r="AG172" s="79" t="n"/>
      <c r="AH172" s="80" t="n"/>
      <c r="AI172" s="80" t="n"/>
      <c r="AJ172" s="80" t="n"/>
      <c r="AK172" s="80" t="n"/>
      <c r="AL172" s="80" t="n"/>
      <c r="AM172" s="80" t="n"/>
      <c r="AN172" s="80" t="n"/>
      <c r="AO172" s="80" t="n"/>
      <c r="AP172" s="80" t="n"/>
      <c r="AQ172" s="80" t="n"/>
      <c r="AR172" s="80" t="n"/>
      <c r="AS172" s="80" t="n"/>
      <c r="AT172" s="81" t="n"/>
      <c r="AU172" s="81" t="n"/>
      <c r="AV172" s="81" t="n"/>
      <c r="AW172" s="82" t="n"/>
      <c r="AX172" s="82" t="n"/>
      <c r="AY172" s="82" t="n"/>
      <c r="AZ172" s="82" t="n"/>
      <c r="BA172" s="82" t="n"/>
      <c r="BB172" s="83" t="n"/>
      <c r="BC172" s="83" t="n"/>
      <c r="BD172" s="84">
        <f>IF($A172="","",IF($DJ172&lt;&gt;"","FIX",IF($DK172&lt;&gt;"","CHECK","OK")))</f>
        <v/>
      </c>
      <c r="BE172" s="85">
        <f>IF($A172="","",IF($DJ172&lt;&gt;"","FIX: "&amp;LEFT($DJ172,LEN($DJ172)-2)&amp;IF($DK172&lt;&gt;"","  ·  ",""),"")&amp;IF($DK172&lt;&gt;"","CHECK: "&amp;LEFT($DK172,LEN($DK172)-2),""))</f>
        <v/>
      </c>
      <c r="BF172" s="84">
        <f>IF(OR($A172="",$K172=""),"",$K172&amp;"'-"&amp;N($L172)&amp;CHAR(34)&amp;" x "&amp;$M172&amp;"'-"&amp;N($N172)&amp;CHAR(34))</f>
        <v/>
      </c>
      <c r="BG172" s="84">
        <f>IF(OR($A172="",$K172=""),"",$K172&amp;N($L172)&amp;$M172&amp;N($N172))</f>
        <v/>
      </c>
      <c r="BH172" s="84">
        <f>IF(OR($A172="",$K172=""),"",$K172*12+N($L172))</f>
        <v/>
      </c>
      <c r="BI172" s="84">
        <f>IF(OR($A172="",$M172=""),"",$M172*12+N($N172))</f>
        <v/>
      </c>
      <c r="BJ172" s="84">
        <f>IF($A172="","",IF(OR($C172="FRAME ONLY",$S172="BL"),0,IF($O172="Y",2,1)))</f>
        <v/>
      </c>
      <c r="BK172" s="86">
        <f>IF(OR(N($BJ172)=0,$BH172=""),"",($BH172-2*EdgeClr-IF($BJ172=2,MeetClr,0))/$BJ172)</f>
        <v/>
      </c>
      <c r="BL172" s="86">
        <f>IF(OR(N($BJ172)=0,$BI172=""),"",$BI172-HeadClr-Undercut)</f>
        <v/>
      </c>
      <c r="BM172" s="86">
        <f>IF($BH172="","",$BH172+2*FaceW+IF(N($Q172)&gt;0,($Q172+FaceW)*IF($R172="LR",2,1),0))</f>
        <v/>
      </c>
      <c r="BN172" s="86">
        <f>IF($BI172="","",$BI172+IF($AB172="Y",4,FaceW)+IF(N($P172)&gt;0,$P172+FaceW,0)+IF(OR($S172="4F",$S172="BL"),FaceW,0))</f>
        <v/>
      </c>
      <c r="BO172" s="86">
        <f>IF($BM172="","",$BM172+2*ROSide)</f>
        <v/>
      </c>
      <c r="BP172" s="86">
        <f>IF($BN172="","",$BN172+ROTop)</f>
        <v/>
      </c>
      <c r="BQ172" s="87">
        <f>IF(OR(N($BJ172)=0,$BH172=""),"",$BH172/$BJ172-ClearDeduct)</f>
        <v/>
      </c>
      <c r="BR172" s="84">
        <f>IF(N($CH172)=0,"",IF($CH172&gt;=180,"A · 3 HR",IF($CH172&gt;=90,"B · 1-1/2 HR",IF($CH172&gt;=60,"B · 1 HR",IF($CH172&gt;=45,"C · 3/4 HR","20 MIN")))))&amp;IF(AND(N($CH172)&gt;0,OR($I172="CORRIDOR",$I172="SMOKE BARRIER"))," · S","")</f>
        <v/>
      </c>
      <c r="BS172" s="84">
        <f>IF($CS172,"",IF($AV172&lt;&gt;"",$AV172,IF(OR($AC172="HGC",$AO172="HGC"),"CONT",IF(($BI172-HeadClr-Undercut)&lt;=60,2,IF(($BI172-HeadClr-Undercut)&lt;=90,3,IF(($BI172-HeadClr-Undercut)&lt;=120,4,5))))))</f>
        <v/>
      </c>
      <c r="BT172" s="84">
        <f>IF($CS172,"",IF($CT172,"CUSTOM (typed)",IF($CV172,$AT172&amp;" "&amp;$CU172&amp;CHAR(34)&amp;IF($CU172&lt;&gt;$BI172,IF(AND($BI172&lt;$CU172,$BI172-IF(N(VLOOKUP($AT172&amp;"|"&amp;$CU172,LocTable,7,FALSE))&gt;0,VLOOKUP($AT172&amp;"|"&amp;$CU172,LocTable,7,FALSE),VLOOKUP($AT172&amp;"|"&amp;$CU172,LocTable,6,FALSE))-$CR172-0.75&gt;=2.125)," cut down"," adj."),""),"ANSI/SDI A250.6")))</f>
        <v/>
      </c>
      <c r="BU172" s="88">
        <f>IF($CS172,"",IF($CT172,IF(N($AW172)&gt;0,N($AW172),""),IF(1&gt;$CQ172,"",IF($CQ172=1,$CW172,$CW172+($CX172-$CW172)*0/($CQ172-1)))))</f>
        <v/>
      </c>
      <c r="BV172" s="88">
        <f>IF($CS172,"",IF($CT172,IF(N($AX172)&gt;0,N($AX172),""),IF(2&gt;$CQ172,"",IF($CQ172=1,$CW172,$CW172+($CX172-$CW172)*1/($CQ172-1)))))</f>
        <v/>
      </c>
      <c r="BW172" s="88">
        <f>IF($CS172,"",IF($CT172,IF(N($AY172)&gt;0,N($AY172),""),IF(3&gt;$CQ172,"",IF($CQ172=1,$CW172,$CW172+($CX172-$CW172)*2/($CQ172-1)))))</f>
        <v/>
      </c>
      <c r="BX172" s="88">
        <f>IF($CS172,"",IF($CT172,IF(N($AZ172)&gt;0,N($AZ172),""),IF(4&gt;$CQ172,"",IF($CQ172=1,$CW172,$CW172+($CX172-$CW172)*3/($CQ172-1)))))</f>
        <v/>
      </c>
      <c r="BY172" s="88">
        <f>IF($CS172,"",IF($CT172,"",IF(5&gt;$CQ172,"",IF($CQ172=1,$CW172,$CW172+($CX172-$CW172)*4/($CQ172-1)))))</f>
        <v/>
      </c>
      <c r="BZ172" s="88">
        <f>IF(OR($CS172,$AP172="-",AND($AP172="",$AD172="")),"",IF(N($BA172)&gt;0,N($BA172),IF($CV172,IF(AND($BI172&lt;$CU172,$BI172-IF(N(VLOOKUP($AT172&amp;"|"&amp;$CU172,LocTable,7,FALSE))&gt;0,VLOOKUP($AT172&amp;"|"&amp;$CU172,LocTable,7,FALSE),VLOOKUP($AT172&amp;"|"&amp;$CU172,LocTable,6,FALSE))-$CR172-0.75&gt;=2.125),VLOOKUP($AT172&amp;"|"&amp;$CU172,LocTable,8,FALSE),VLOOKUP($AT172&amp;"|"&amp;$CU172,LocTable,8,FALSE)+($BI172-$CU172)),$BI172-LockAFF)))</f>
        <v/>
      </c>
      <c r="CA172" s="89">
        <f>IF($BZ172="","",$BI172-$BZ172)</f>
        <v/>
      </c>
      <c r="CB172" s="84">
        <f>IF(OR(NOT(AND($A172&lt;&gt;"",$C172&lt;&gt;"DOOR ONLY")),$BI172=""),"",IF(($BI172+IF(N($P172)&gt;0,$P172+FaceW,0))&lt;=90,3,IF(($BI172+IF(N($P172)&gt;0,$P172+FaceW,0))&lt;=114,4,5)))</f>
        <v/>
      </c>
      <c r="CC172" s="84">
        <f>IF($CB172="","",$CB172*(2+IF(N($Q172)&gt;0,IF($R172="LR",2,1),0)))</f>
        <v/>
      </c>
      <c r="CD172" s="84">
        <f>IF($CB172="","",(2+IF(N($Q172)&gt;0,IF($R172="LR",2,1),0)))</f>
        <v/>
      </c>
      <c r="CE172" s="84">
        <f>IF(N($BJ172)=0,"",IF(OR($AL172="",$AL172="FLUSH"),"FLUSH",IFERROR(LEFT($AL172,FIND("-",$AL172)-1),LEFT($AL172,2))))</f>
        <v/>
      </c>
      <c r="CF172" s="84">
        <f>IF($CE172="","",IFERROR(VALUE(MID($AL172,FIND("-",$AL172)+1,FIND(CHAR(34)&amp;"x",$AL172)-FIND("-",$AL172)-1)),0))</f>
        <v/>
      </c>
      <c r="CG172" s="84">
        <f>IF($CE172="","",IFERROR(VALUE(MID($AL172,FIND(CHAR(34)&amp;"x",$AL172)+2,FIND(CHAR(34),$AL172,FIND(CHAR(34)&amp;"x",$AL172)+2)-FIND(CHAR(34)&amp;"x",$AL172)-2)),0))</f>
        <v/>
      </c>
      <c r="CH172" s="90">
        <f>IF(OR($A172="",$H172="",$H172="NO LAB"),0,IFERROR(VALUE(LEFT($H172,FIND(" ",$H172)-1)),0))</f>
        <v/>
      </c>
      <c r="CI172" s="91">
        <f>IF(OR($A172="",$I172="",$I172="NON-RATED",N($J172)=0),"",IFERROR(VLOOKUP($I172&amp;"|"&amp;$J172,IBC,2,FALSE),"?"))</f>
        <v/>
      </c>
      <c r="CJ172" s="85">
        <f>IF(NOT(AND($A172&lt;&gt;"",$C172&lt;&gt;"DOOR ONLY")),"",TRIM(IFERROR(VLOOKUP($U172,CODES,2,FALSE),"")&amp;" "&amp;$BG172&amp;" "&amp;IFERROR(VLOOKUP($Z172,CODES,2,FALSE),"")&amp;" "&amp;IFERROR(VLOOKUP($X172,CODES,2,FALSE),"")&amp;" "&amp;IFERROR(VLOOKUP($S172,CODES,2,FALSE),"")&amp;IF(N($P172)&gt;0," w/TRANSOM "&amp;$P172&amp;CHAR(34),"")&amp;IF(N($Q172)&gt;0," w/SIDELITE "&amp;$Q172&amp;CHAR(34)&amp;" "&amp;IF($R172="","R",$R172),"")&amp;IF($Y172="","  |  "," | "&amp;IFERROR(VLOOKUP($Y172,CODES,2,FALSE),"")&amp;" | ")&amp;IFERROR(VLOOKUP($AC172,CODES,2,FALSE),"")&amp;" "&amp;IFERROR(VLOOKUP($AD172,CODES,2,FALSE),"")&amp;IF(OR($AE172="",$AE172="-"),""," "&amp;$AE172)&amp;IF(OR($AF172="",$AF172="-"),""," "&amp;$AF172)&amp;IF($AB172="Y"," 4"&amp;CHAR(34)&amp;" HEAD","")&amp;" "&amp;IFERROR(VLOOKUP($H172,CODES,2,FALSE),"")&amp;IF($CT172," | LOC "&amp;$CY172,"")))</f>
        <v/>
      </c>
      <c r="CK172" s="85">
        <f>IF(NOT(AND($A172&lt;&gt;"",N($BJ172)&gt;0)),"",TRIM(IFERROR(VLOOKUP($AH172,CODES,2,FALSE),"")&amp;IF($AI172=""," "," "&amp;$AI172&amp;"GA ")&amp;$BG172&amp;" "&amp;IF($AN172="",IFERROR(VLOOKUP($Z172,CODES,2,FALSE),""),IFERROR(VLOOKUP($AN172,CODES,2,FALSE),""))&amp;IF($BJ172=2," PAIR","")&amp;" DOOR | "&amp;IF($AL172="","?",$AL172)&amp;" | "&amp;IF($AO172="",IFERROR(VLOOKUP($AC172,CODES,2,FALSE),""),IFERROR(VLOOKUP($AO172,CODES,2,FALSE),""))&amp;" "&amp;IFERROR(VLOOKUP($AP172,CODES,2,FALSE),"")&amp;IF(OR($AQ172="",$AQ172="-"),""," SEAM "&amp;$AQ172)&amp;IF($AR172="Y"," ASTRAGAL","")&amp;IF($AJ172=""," "," "&amp;$AJ172)&amp;IF($AK172=""," "," "&amp;$AK172)&amp;IF(OR($AT172="",$AT172="ANSI/SDI",$AT172="CUSTOM LOC"),""," "&amp;$AT172)&amp;IF($AM172=""," "," SERIES "&amp;$AM172)&amp;" "&amp;IFERROR(VLOOKUP($H172,CODES,2,FALSE),"")&amp;IF($CT172," | LOC "&amp;$CZ172,"")))</f>
        <v/>
      </c>
      <c r="CL172" s="84">
        <f>IF(CP172="","",IF(COUNTIF($CP$6:CP172,CP172)=1,MAX($CL$5:CL171)+1,INDEX($CL$5:CL171,MATCH(CP172,$CP$5:CP171,0))))</f>
        <v/>
      </c>
      <c r="CM172" s="84">
        <f>IF(NOT(AND($A172&lt;&gt;"",$C172&lt;&gt;"DOOR ONLY")),"",MAX($CM$5:CM171)+1)</f>
        <v/>
      </c>
      <c r="CN172" s="84">
        <f>IF(NOT(AND($A172&lt;&gt;"",N($BJ172)&gt;0)),"",MAX($CN$5:CN171)+1)</f>
        <v/>
      </c>
      <c r="CO172" s="84">
        <f>IF($A172="","",MAX($CO$5:CO171)+1)</f>
        <v/>
      </c>
      <c r="CP172" s="84">
        <f>IF(OR($A172="",$BH172="",$BI172=""),"",$BG172&amp;"|"&amp;$O172&amp;"|"&amp;$AL172&amp;"|"&amp;$S172&amp;"|"&amp;$P172&amp;"|"&amp;$Q172&amp;$R172&amp;"|"&amp;$C172&amp;"|"&amp;$AB172)</f>
        <v/>
      </c>
      <c r="CQ172" s="84">
        <f>N($BS172)</f>
        <v/>
      </c>
      <c r="CR172" s="84">
        <f>IF(N($AU172)&gt;0,N($AU172),4.5)</f>
        <v/>
      </c>
      <c r="CS172" s="84">
        <f>OR($A172="",$BI172="",$S172="BL",AND($C172="FRAME ONLY",OR($AC172="",$AC172="BLK")))</f>
        <v/>
      </c>
      <c r="CT172" s="84">
        <f>AND(NOT($CS172),OR($AT172="CUSTOM LOC",N($AW172)+N($AX172)+N($AY172)+N($AZ172)+N($BA172)&gt;0))</f>
        <v/>
      </c>
      <c r="CU172" s="84">
        <f>IF($BI172="","",IF($BI172&lt;=80,80,IF($BI172&lt;=84,84,96)))</f>
        <v/>
      </c>
      <c r="CV172" s="84">
        <f>ISNUMBER(MATCH($AT172&amp;"|80",LocKeys,0))</f>
        <v/>
      </c>
      <c r="CW172" s="86">
        <f>IF($CS172,"",IF($CV172,VLOOKUP($AT172&amp;"|"&amp;$CU172,LocTable,4,FALSE),5))</f>
        <v/>
      </c>
      <c r="CX172" s="86">
        <f>IF($CS172,"",IF($CV172,IF(OR($BI172=$CU172,AND($BI172&lt;$CU172,$BI172-IF(N(VLOOKUP($AT172&amp;"|"&amp;$CU172,LocTable,7,FALSE))&gt;0,VLOOKUP($AT172&amp;"|"&amp;$CU172,LocTable,7,FALSE),VLOOKUP($AT172&amp;"|"&amp;$CU172,LocTable,6,FALSE))-$CR172-0.75&gt;=2.125)),IF(N(VLOOKUP($AT172&amp;"|"&amp;$CU172,LocTable,7,FALSE))&gt;0,VLOOKUP($AT172&amp;"|"&amp;$CU172,LocTable,7,FALSE),VLOOKUP($AT172&amp;"|"&amp;$CU172,LocTable,6,FALSE)),$BI172-($CU172-IF(N(VLOOKUP($AT172&amp;"|"&amp;$CU172,LocTable,7,FALSE))&gt;0,VLOOKUP($AT172&amp;"|"&amp;$CU172,LocTable,7,FALSE),VLOOKUP($AT172&amp;"|"&amp;$CU172,LocTable,6,FALSE)))),$BI172-10-$CR172))</f>
        <v/>
      </c>
      <c r="CY172" s="85">
        <f>IF($CS172,"",TRIM(IF(ISNUMBER($BU172),"A "&amp;TRIM(TEXT($BU172,"# ?/??"))&amp;CHAR(34)&amp;"  ","")&amp;IF(ISNUMBER($BV172),"B "&amp;TRIM(TEXT($BV172,"# ?/??"))&amp;CHAR(34)&amp;"  ","")&amp;IF(ISNUMBER($BW172),"C "&amp;TRIM(TEXT($BW172,"# ?/??"))&amp;CHAR(34)&amp;"  ","")&amp;IF(ISNUMBER($BX172),"D "&amp;TRIM(TEXT($BX172,"# ?/??"))&amp;CHAR(34)&amp;"  ","")&amp;IF(ISNUMBER($BY172),"F "&amp;TRIM(TEXT($BY172,"# ?/??"))&amp;CHAR(34)&amp;"  ","")&amp;IF(ISNUMBER($BZ172),"E "&amp;TRIM(TEXT($BZ172,"# ?/??"))&amp;CHAR(34)&amp;"  ","")))</f>
        <v/>
      </c>
      <c r="CZ172" s="85">
        <f>IF(OR($CS172,N($BJ172)=0),"",TRIM(IF(ISNUMBER($BU172),"A "&amp;TRIM(TEXT($BU172-HeadClr,"# ?/??"))&amp;CHAR(34)&amp;"  ","")&amp;IF(ISNUMBER($BV172),"B "&amp;TRIM(TEXT($BV172-HeadClr,"# ?/??"))&amp;CHAR(34)&amp;"  ","")&amp;IF(ISNUMBER($BW172),"C "&amp;TRIM(TEXT($BW172-HeadClr,"# ?/??"))&amp;CHAR(34)&amp;"  ","")&amp;IF(ISNUMBER($BX172),"D "&amp;TRIM(TEXT($BX172-HeadClr,"# ?/??"))&amp;CHAR(34)&amp;"  ","")&amp;IF(ISNUMBER($BY172),"F "&amp;TRIM(TEXT($BY172-HeadClr,"# ?/??"))&amp;CHAR(34)&amp;"  ","")&amp;IF(ISNUMBER($BZ172),"E "&amp;TRIM(TEXT($BZ172-HeadClr,"# ?/??"))&amp;CHAR(34)&amp;"  ","")))</f>
        <v/>
      </c>
      <c r="DA172" s="84">
        <f>IF($A172="","",IF($AN172="",IFERROR(VLOOKUP($Z172,CODES,2,FALSE),""),IFERROR(VLOOKUP($AN172,CODES,2,FALSE),"")))</f>
        <v/>
      </c>
      <c r="DB172" s="84">
        <f>IF($A172="","",IF($O172="Y","PR",IF(OR($Z172="L",$Z172="RR",LEFT($Z172,2)="L-",LEFT($Z172,3)="RR-"),"LH","RH")))</f>
        <v/>
      </c>
      <c r="DC172" s="84">
        <f>IF($A172="","","S.HM"&amp;IF(OR($C172="DOOR ONLY",$X172&lt;&gt;"KD"),"MASONRY","DRYWALL")&amp;IF($C172="DOOR ONLY","",$U172)&amp;IF(AND($C172&lt;&gt;"FRAME ONLY",OR(LEFT($AH172,3)="OAK",LEFT($AH172,3)="BIR",LEFT($AH172,3)="MAP",$AH172="PC",$AH172="MC",$AH172="SCLC",$AH172="P-LAM")),"WD","HM")&amp;"1.75")</f>
        <v/>
      </c>
      <c r="DD172" s="84">
        <f>IF($CJ172="","",IF($O172="Y",$CJ172,SUBSTITUTE($CJ172,$BG172&amp;" "&amp;IFERROR(VLOOKUP($Z172,CODES,2,FALSE),"")&amp;" ",$BG172&amp;" ")))</f>
        <v/>
      </c>
      <c r="DE172" s="84">
        <f>IF($CK172="","",IF($O172="Y",$CK172,SUBSTITUTE($CK172,$BG172&amp;" "&amp;IF($AN172="",IFERROR(VLOOKUP($Z172,CODES,2,FALSE),""),IFERROR(VLOOKUP($AN172,CODES,2,FALSE),""))&amp;" ",$BG172&amp;" ")))</f>
        <v/>
      </c>
      <c r="DF172" s="84">
        <f>IF($CJ172="","",$DC172&amp;"|"&amp;$DD172&amp;"|"&amp;$DB172&amp;"|"&amp;$AT172&amp;"|"&amp;$V172&amp;"|"&amp;$Y172&amp;"|"&amp;$AB172)</f>
        <v/>
      </c>
      <c r="DG172" s="84">
        <f>IF(DF172="","",IF(COUNTIF($DF$6:DF172,DF172)=1,MAX($DG$5:DG171)+1,INDEX($DG$5:DG171,MATCH(DF172,$DF$5:DF171,0))))</f>
        <v/>
      </c>
      <c r="DH172" s="84">
        <f>IF($CK172="","",$DC172&amp;"|"&amp;$DE172&amp;"|"&amp;$AI172&amp;"|"&amp;$BK172&amp;"|"&amp;$BL172)</f>
        <v/>
      </c>
      <c r="DI172" s="84">
        <f>IF(DH172="","",IF(COUNTIF($DH$6:DH172,DH172)=1,MAX($DI$5:DI171)+1,INDEX($DI$5:DI171,MATCH(DH172,$DH$5:DH171,0))))</f>
        <v/>
      </c>
      <c r="DJ172" s="84">
        <f>IF($A172="","",IF($B172="","qty, ","")&amp;IF($C172="","scope, ","")&amp;IF(OR($K172="",$M172=""),"size, ","")&amp;IF(AND($A172&lt;&gt;"",$C172&lt;&gt;"DOOR ONLY"),IF($U172="","jamb depth, ","")&amp;IF($X172="","construction, ","")&amp;IF($Y172="","anchor, ","")&amp;IF($S172="","frame type, ",""),"")&amp;IF(AND(N($BJ172)&gt;0,$Z172=""),"hand, ","")&amp;IF(N($BJ172)&gt;0,IF($AH172="","door material, ","")&amp;IF($AL172="","face type, ","")&amp;IF($AP172="","lock prep, ","")&amp;IF(AND($AO172="",$AC172=""),"hinge prep, ",""),"")&amp;IF(AND($CH172&gt;0,$AH172="FRP"),"FRP cannot carry a label, ","")&amp;IF(AND($O172="Y",OR($Z172="L",$Z172="R",$Z172="LR",$Z172="RR")),"pair marked but hand is single, ","")&amp;IF(AND($O172&lt;&gt;"Y",OR($Z172="PR",AND(LEN($Z172)&gt;1,ISNUMBER(SEARCH("-",$Z172))))),"pair hand on a single door, ","")&amp;IF(AND(ISNUMBER($CI172),$CH172&lt;N($CI172)),"wall needs a "&amp;$CI172&amp;" min door, ","")&amp;IF(AND($CH172&gt;=180,AND(OR($CE172="FG",$CE172="HG",$CE172="FNV",$CE172="FV"),N($CF172)*N($CG172)&gt;100)),"180 min lite over 100 sq in, ","")&amp;IF(N($BK172)&gt;48,"leaf wider than 4'-0"&amp;CHAR(34)&amp;", ","")&amp;IF(AND($CT172,COUNT($AW172:$AZ172)=0,$CQ172&gt;0),"CUSTOM LOC with no locations typed, ",""))</f>
        <v/>
      </c>
      <c r="DK172" s="84">
        <f>IF($A172="","",IF(AND($CH172&gt;0,AND($A172&lt;&gt;"",$C172&lt;&gt;"DOOR ONLY"),$X172="KD",$E172="EXTERIOR"),"KD label on an exterior opening, ","")&amp;IF(AND($E172="EXTERIOR",OR(AND(AND($A172&lt;&gt;"",$C172&lt;&gt;"DOOR ONLY"),$W172="CR"),AND(N($BJ172)&gt;0,$AH172="CR"))),"exterior in CR steel (G9?), ","")&amp;IF(AND(ISNUMBER($BQ172),N($BQ172)&lt;32),"clear width ~"&amp;TEXT($BQ172,"0.0")&amp;CHAR(34)&amp;" under 32"&amp;CHAR(34)&amp;" (ADA), ","")&amp;IF(AND($CH172=90,AND(OR($CE172="FG",$CE172="HG",$CE172="FNV",$CE172="FV"),N($CF172)*N($CG172)&gt;100)),"90 min lite over 100 sq in (stair/exit), ","")&amp;IF(AND($CH172&gt;0,AND($A172&lt;&gt;"",$C172&lt;&gt;"DOOR ONLY"),OR($AF172="",$AF172="-")),"rated: closer reinf.?, ","")&amp;IF(OR($I172="CORRIDOR",$I172="SMOKE BARRIER"),"S label + smoke gasketing, ","")&amp;IF($CI172="?","wall type/hr not in IBC table, ","")&amp;IF(AND(N($BJ172)&gt;0,$BB172=""),"no hardware set, ","")&amp;IF(AND($BB172&lt;&gt;"",ISNA(MATCH($BB172&amp;"",HWSets,0))),"set "&amp;$BB172&amp;" not on HW Sets, ","")&amp;IF(N($BL172)&gt;96,"leaf over 8'-0"&amp;CHAR(34)&amp;" - check listing, ","")&amp;IF(AND($CT172,COUNT($AW172:$AZ172)&gt;0,COUNT($AW172:$AZ172)&lt;&gt;$CQ172),COUNT($AW172:$AZ172)&amp;" custom hinges typed, "&amp;$CQ172&amp;" expected, ","")&amp;IF(AND(ISNUMBER($CA172),OR(N($CA172)&lt;34,N($CA172)&gt;48)),"lock "&amp;TEXT($CA172,"0.0")&amp;CHAR(34)&amp;" AFF outside 34-48"&amp;CHAR(34)&amp;" (ADA), ","")&amp;IF(AND(ISNUMBER($AV172),ISNUMBER($BL172),N($AV172)&lt;IF(N($BL172)&lt;=60,2,IF(N($BL172)&lt;=90,3,IF(N($BL172)&lt;=120,4,5)))),"fewer hinges than standard, ",""))</f>
        <v/>
      </c>
    </row>
    <row r="173" ht="15" customHeight="1">
      <c r="A173" s="77" t="n"/>
      <c r="B173" s="78" t="n"/>
      <c r="C173" s="78" t="n"/>
      <c r="D173" s="78" t="n"/>
      <c r="E173" s="78" t="n"/>
      <c r="F173" s="78" t="n"/>
      <c r="G173" s="78" t="n"/>
      <c r="H173" s="78" t="n"/>
      <c r="I173" s="78" t="n"/>
      <c r="J173" s="78" t="n"/>
      <c r="K173" s="78" t="n"/>
      <c r="L173" s="78" t="n"/>
      <c r="M173" s="78" t="n"/>
      <c r="N173" s="78" t="n"/>
      <c r="O173" s="78" t="n"/>
      <c r="P173" s="78" t="n"/>
      <c r="Q173" s="78" t="n"/>
      <c r="R173" s="78" t="n"/>
      <c r="S173" s="79" t="n"/>
      <c r="T173" s="79" t="n"/>
      <c r="U173" s="79" t="n"/>
      <c r="V173" s="79" t="n"/>
      <c r="W173" s="79" t="n"/>
      <c r="X173" s="79" t="n"/>
      <c r="Y173" s="79" t="n"/>
      <c r="Z173" s="79" t="n"/>
      <c r="AA173" s="79" t="n"/>
      <c r="AB173" s="79" t="n"/>
      <c r="AC173" s="79" t="n"/>
      <c r="AD173" s="79" t="n"/>
      <c r="AE173" s="79" t="n"/>
      <c r="AF173" s="79" t="n"/>
      <c r="AG173" s="79" t="n"/>
      <c r="AH173" s="80" t="n"/>
      <c r="AI173" s="80" t="n"/>
      <c r="AJ173" s="80" t="n"/>
      <c r="AK173" s="80" t="n"/>
      <c r="AL173" s="80" t="n"/>
      <c r="AM173" s="80" t="n"/>
      <c r="AN173" s="80" t="n"/>
      <c r="AO173" s="80" t="n"/>
      <c r="AP173" s="80" t="n"/>
      <c r="AQ173" s="80" t="n"/>
      <c r="AR173" s="80" t="n"/>
      <c r="AS173" s="80" t="n"/>
      <c r="AT173" s="81" t="n"/>
      <c r="AU173" s="81" t="n"/>
      <c r="AV173" s="81" t="n"/>
      <c r="AW173" s="82" t="n"/>
      <c r="AX173" s="82" t="n"/>
      <c r="AY173" s="82" t="n"/>
      <c r="AZ173" s="82" t="n"/>
      <c r="BA173" s="82" t="n"/>
      <c r="BB173" s="83" t="n"/>
      <c r="BC173" s="83" t="n"/>
      <c r="BD173" s="84">
        <f>IF($A173="","",IF($DJ173&lt;&gt;"","FIX",IF($DK173&lt;&gt;"","CHECK","OK")))</f>
        <v/>
      </c>
      <c r="BE173" s="85">
        <f>IF($A173="","",IF($DJ173&lt;&gt;"","FIX: "&amp;LEFT($DJ173,LEN($DJ173)-2)&amp;IF($DK173&lt;&gt;"","  ·  ",""),"")&amp;IF($DK173&lt;&gt;"","CHECK: "&amp;LEFT($DK173,LEN($DK173)-2),""))</f>
        <v/>
      </c>
      <c r="BF173" s="84">
        <f>IF(OR($A173="",$K173=""),"",$K173&amp;"'-"&amp;N($L173)&amp;CHAR(34)&amp;" x "&amp;$M173&amp;"'-"&amp;N($N173)&amp;CHAR(34))</f>
        <v/>
      </c>
      <c r="BG173" s="84">
        <f>IF(OR($A173="",$K173=""),"",$K173&amp;N($L173)&amp;$M173&amp;N($N173))</f>
        <v/>
      </c>
      <c r="BH173" s="84">
        <f>IF(OR($A173="",$K173=""),"",$K173*12+N($L173))</f>
        <v/>
      </c>
      <c r="BI173" s="84">
        <f>IF(OR($A173="",$M173=""),"",$M173*12+N($N173))</f>
        <v/>
      </c>
      <c r="BJ173" s="84">
        <f>IF($A173="","",IF(OR($C173="FRAME ONLY",$S173="BL"),0,IF($O173="Y",2,1)))</f>
        <v/>
      </c>
      <c r="BK173" s="86">
        <f>IF(OR(N($BJ173)=0,$BH173=""),"",($BH173-2*EdgeClr-IF($BJ173=2,MeetClr,0))/$BJ173)</f>
        <v/>
      </c>
      <c r="BL173" s="86">
        <f>IF(OR(N($BJ173)=0,$BI173=""),"",$BI173-HeadClr-Undercut)</f>
        <v/>
      </c>
      <c r="BM173" s="86">
        <f>IF($BH173="","",$BH173+2*FaceW+IF(N($Q173)&gt;0,($Q173+FaceW)*IF($R173="LR",2,1),0))</f>
        <v/>
      </c>
      <c r="BN173" s="86">
        <f>IF($BI173="","",$BI173+IF($AB173="Y",4,FaceW)+IF(N($P173)&gt;0,$P173+FaceW,0)+IF(OR($S173="4F",$S173="BL"),FaceW,0))</f>
        <v/>
      </c>
      <c r="BO173" s="86">
        <f>IF($BM173="","",$BM173+2*ROSide)</f>
        <v/>
      </c>
      <c r="BP173" s="86">
        <f>IF($BN173="","",$BN173+ROTop)</f>
        <v/>
      </c>
      <c r="BQ173" s="87">
        <f>IF(OR(N($BJ173)=0,$BH173=""),"",$BH173/$BJ173-ClearDeduct)</f>
        <v/>
      </c>
      <c r="BR173" s="84">
        <f>IF(N($CH173)=0,"",IF($CH173&gt;=180,"A · 3 HR",IF($CH173&gt;=90,"B · 1-1/2 HR",IF($CH173&gt;=60,"B · 1 HR",IF($CH173&gt;=45,"C · 3/4 HR","20 MIN")))))&amp;IF(AND(N($CH173)&gt;0,OR($I173="CORRIDOR",$I173="SMOKE BARRIER"))," · S","")</f>
        <v/>
      </c>
      <c r="BS173" s="84">
        <f>IF($CS173,"",IF($AV173&lt;&gt;"",$AV173,IF(OR($AC173="HGC",$AO173="HGC"),"CONT",IF(($BI173-HeadClr-Undercut)&lt;=60,2,IF(($BI173-HeadClr-Undercut)&lt;=90,3,IF(($BI173-HeadClr-Undercut)&lt;=120,4,5))))))</f>
        <v/>
      </c>
      <c r="BT173" s="84">
        <f>IF($CS173,"",IF($CT173,"CUSTOM (typed)",IF($CV173,$AT173&amp;" "&amp;$CU173&amp;CHAR(34)&amp;IF($CU173&lt;&gt;$BI173,IF(AND($BI173&lt;$CU173,$BI173-IF(N(VLOOKUP($AT173&amp;"|"&amp;$CU173,LocTable,7,FALSE))&gt;0,VLOOKUP($AT173&amp;"|"&amp;$CU173,LocTable,7,FALSE),VLOOKUP($AT173&amp;"|"&amp;$CU173,LocTable,6,FALSE))-$CR173-0.75&gt;=2.125)," cut down"," adj."),""),"ANSI/SDI A250.6")))</f>
        <v/>
      </c>
      <c r="BU173" s="88">
        <f>IF($CS173,"",IF($CT173,IF(N($AW173)&gt;0,N($AW173),""),IF(1&gt;$CQ173,"",IF($CQ173=1,$CW173,$CW173+($CX173-$CW173)*0/($CQ173-1)))))</f>
        <v/>
      </c>
      <c r="BV173" s="88">
        <f>IF($CS173,"",IF($CT173,IF(N($AX173)&gt;0,N($AX173),""),IF(2&gt;$CQ173,"",IF($CQ173=1,$CW173,$CW173+($CX173-$CW173)*1/($CQ173-1)))))</f>
        <v/>
      </c>
      <c r="BW173" s="88">
        <f>IF($CS173,"",IF($CT173,IF(N($AY173)&gt;0,N($AY173),""),IF(3&gt;$CQ173,"",IF($CQ173=1,$CW173,$CW173+($CX173-$CW173)*2/($CQ173-1)))))</f>
        <v/>
      </c>
      <c r="BX173" s="88">
        <f>IF($CS173,"",IF($CT173,IF(N($AZ173)&gt;0,N($AZ173),""),IF(4&gt;$CQ173,"",IF($CQ173=1,$CW173,$CW173+($CX173-$CW173)*3/($CQ173-1)))))</f>
        <v/>
      </c>
      <c r="BY173" s="88">
        <f>IF($CS173,"",IF($CT173,"",IF(5&gt;$CQ173,"",IF($CQ173=1,$CW173,$CW173+($CX173-$CW173)*4/($CQ173-1)))))</f>
        <v/>
      </c>
      <c r="BZ173" s="88">
        <f>IF(OR($CS173,$AP173="-",AND($AP173="",$AD173="")),"",IF(N($BA173)&gt;0,N($BA173),IF($CV173,IF(AND($BI173&lt;$CU173,$BI173-IF(N(VLOOKUP($AT173&amp;"|"&amp;$CU173,LocTable,7,FALSE))&gt;0,VLOOKUP($AT173&amp;"|"&amp;$CU173,LocTable,7,FALSE),VLOOKUP($AT173&amp;"|"&amp;$CU173,LocTable,6,FALSE))-$CR173-0.75&gt;=2.125),VLOOKUP($AT173&amp;"|"&amp;$CU173,LocTable,8,FALSE),VLOOKUP($AT173&amp;"|"&amp;$CU173,LocTable,8,FALSE)+($BI173-$CU173)),$BI173-LockAFF)))</f>
        <v/>
      </c>
      <c r="CA173" s="89">
        <f>IF($BZ173="","",$BI173-$BZ173)</f>
        <v/>
      </c>
      <c r="CB173" s="84">
        <f>IF(OR(NOT(AND($A173&lt;&gt;"",$C173&lt;&gt;"DOOR ONLY")),$BI173=""),"",IF(($BI173+IF(N($P173)&gt;0,$P173+FaceW,0))&lt;=90,3,IF(($BI173+IF(N($P173)&gt;0,$P173+FaceW,0))&lt;=114,4,5)))</f>
        <v/>
      </c>
      <c r="CC173" s="84">
        <f>IF($CB173="","",$CB173*(2+IF(N($Q173)&gt;0,IF($R173="LR",2,1),0)))</f>
        <v/>
      </c>
      <c r="CD173" s="84">
        <f>IF($CB173="","",(2+IF(N($Q173)&gt;0,IF($R173="LR",2,1),0)))</f>
        <v/>
      </c>
      <c r="CE173" s="84">
        <f>IF(N($BJ173)=0,"",IF(OR($AL173="",$AL173="FLUSH"),"FLUSH",IFERROR(LEFT($AL173,FIND("-",$AL173)-1),LEFT($AL173,2))))</f>
        <v/>
      </c>
      <c r="CF173" s="84">
        <f>IF($CE173="","",IFERROR(VALUE(MID($AL173,FIND("-",$AL173)+1,FIND(CHAR(34)&amp;"x",$AL173)-FIND("-",$AL173)-1)),0))</f>
        <v/>
      </c>
      <c r="CG173" s="84">
        <f>IF($CE173="","",IFERROR(VALUE(MID($AL173,FIND(CHAR(34)&amp;"x",$AL173)+2,FIND(CHAR(34),$AL173,FIND(CHAR(34)&amp;"x",$AL173)+2)-FIND(CHAR(34)&amp;"x",$AL173)-2)),0))</f>
        <v/>
      </c>
      <c r="CH173" s="90">
        <f>IF(OR($A173="",$H173="",$H173="NO LAB"),0,IFERROR(VALUE(LEFT($H173,FIND(" ",$H173)-1)),0))</f>
        <v/>
      </c>
      <c r="CI173" s="91">
        <f>IF(OR($A173="",$I173="",$I173="NON-RATED",N($J173)=0),"",IFERROR(VLOOKUP($I173&amp;"|"&amp;$J173,IBC,2,FALSE),"?"))</f>
        <v/>
      </c>
      <c r="CJ173" s="85">
        <f>IF(NOT(AND($A173&lt;&gt;"",$C173&lt;&gt;"DOOR ONLY")),"",TRIM(IFERROR(VLOOKUP($U173,CODES,2,FALSE),"")&amp;" "&amp;$BG173&amp;" "&amp;IFERROR(VLOOKUP($Z173,CODES,2,FALSE),"")&amp;" "&amp;IFERROR(VLOOKUP($X173,CODES,2,FALSE),"")&amp;" "&amp;IFERROR(VLOOKUP($S173,CODES,2,FALSE),"")&amp;IF(N($P173)&gt;0," w/TRANSOM "&amp;$P173&amp;CHAR(34),"")&amp;IF(N($Q173)&gt;0," w/SIDELITE "&amp;$Q173&amp;CHAR(34)&amp;" "&amp;IF($R173="","R",$R173),"")&amp;IF($Y173="","  |  "," | "&amp;IFERROR(VLOOKUP($Y173,CODES,2,FALSE),"")&amp;" | ")&amp;IFERROR(VLOOKUP($AC173,CODES,2,FALSE),"")&amp;" "&amp;IFERROR(VLOOKUP($AD173,CODES,2,FALSE),"")&amp;IF(OR($AE173="",$AE173="-"),""," "&amp;$AE173)&amp;IF(OR($AF173="",$AF173="-"),""," "&amp;$AF173)&amp;IF($AB173="Y"," 4"&amp;CHAR(34)&amp;" HEAD","")&amp;" "&amp;IFERROR(VLOOKUP($H173,CODES,2,FALSE),"")&amp;IF($CT173," | LOC "&amp;$CY173,"")))</f>
        <v/>
      </c>
      <c r="CK173" s="85">
        <f>IF(NOT(AND($A173&lt;&gt;"",N($BJ173)&gt;0)),"",TRIM(IFERROR(VLOOKUP($AH173,CODES,2,FALSE),"")&amp;IF($AI173=""," "," "&amp;$AI173&amp;"GA ")&amp;$BG173&amp;" "&amp;IF($AN173="",IFERROR(VLOOKUP($Z173,CODES,2,FALSE),""),IFERROR(VLOOKUP($AN173,CODES,2,FALSE),""))&amp;IF($BJ173=2," PAIR","")&amp;" DOOR | "&amp;IF($AL173="","?",$AL173)&amp;" | "&amp;IF($AO173="",IFERROR(VLOOKUP($AC173,CODES,2,FALSE),""),IFERROR(VLOOKUP($AO173,CODES,2,FALSE),""))&amp;" "&amp;IFERROR(VLOOKUP($AP173,CODES,2,FALSE),"")&amp;IF(OR($AQ173="",$AQ173="-"),""," SEAM "&amp;$AQ173)&amp;IF($AR173="Y"," ASTRAGAL","")&amp;IF($AJ173=""," "," "&amp;$AJ173)&amp;IF($AK173=""," "," "&amp;$AK173)&amp;IF(OR($AT173="",$AT173="ANSI/SDI",$AT173="CUSTOM LOC"),""," "&amp;$AT173)&amp;IF($AM173=""," "," SERIES "&amp;$AM173)&amp;" "&amp;IFERROR(VLOOKUP($H173,CODES,2,FALSE),"")&amp;IF($CT173," | LOC "&amp;$CZ173,"")))</f>
        <v/>
      </c>
      <c r="CL173" s="84">
        <f>IF(CP173="","",IF(COUNTIF($CP$6:CP173,CP173)=1,MAX($CL$5:CL172)+1,INDEX($CL$5:CL172,MATCH(CP173,$CP$5:CP172,0))))</f>
        <v/>
      </c>
      <c r="CM173" s="84">
        <f>IF(NOT(AND($A173&lt;&gt;"",$C173&lt;&gt;"DOOR ONLY")),"",MAX($CM$5:CM172)+1)</f>
        <v/>
      </c>
      <c r="CN173" s="84">
        <f>IF(NOT(AND($A173&lt;&gt;"",N($BJ173)&gt;0)),"",MAX($CN$5:CN172)+1)</f>
        <v/>
      </c>
      <c r="CO173" s="84">
        <f>IF($A173="","",MAX($CO$5:CO172)+1)</f>
        <v/>
      </c>
      <c r="CP173" s="84">
        <f>IF(OR($A173="",$BH173="",$BI173=""),"",$BG173&amp;"|"&amp;$O173&amp;"|"&amp;$AL173&amp;"|"&amp;$S173&amp;"|"&amp;$P173&amp;"|"&amp;$Q173&amp;$R173&amp;"|"&amp;$C173&amp;"|"&amp;$AB173)</f>
        <v/>
      </c>
      <c r="CQ173" s="84">
        <f>N($BS173)</f>
        <v/>
      </c>
      <c r="CR173" s="84">
        <f>IF(N($AU173)&gt;0,N($AU173),4.5)</f>
        <v/>
      </c>
      <c r="CS173" s="84">
        <f>OR($A173="",$BI173="",$S173="BL",AND($C173="FRAME ONLY",OR($AC173="",$AC173="BLK")))</f>
        <v/>
      </c>
      <c r="CT173" s="84">
        <f>AND(NOT($CS173),OR($AT173="CUSTOM LOC",N($AW173)+N($AX173)+N($AY173)+N($AZ173)+N($BA173)&gt;0))</f>
        <v/>
      </c>
      <c r="CU173" s="84">
        <f>IF($BI173="","",IF($BI173&lt;=80,80,IF($BI173&lt;=84,84,96)))</f>
        <v/>
      </c>
      <c r="CV173" s="84">
        <f>ISNUMBER(MATCH($AT173&amp;"|80",LocKeys,0))</f>
        <v/>
      </c>
      <c r="CW173" s="86">
        <f>IF($CS173,"",IF($CV173,VLOOKUP($AT173&amp;"|"&amp;$CU173,LocTable,4,FALSE),5))</f>
        <v/>
      </c>
      <c r="CX173" s="86">
        <f>IF($CS173,"",IF($CV173,IF(OR($BI173=$CU173,AND($BI173&lt;$CU173,$BI173-IF(N(VLOOKUP($AT173&amp;"|"&amp;$CU173,LocTable,7,FALSE))&gt;0,VLOOKUP($AT173&amp;"|"&amp;$CU173,LocTable,7,FALSE),VLOOKUP($AT173&amp;"|"&amp;$CU173,LocTable,6,FALSE))-$CR173-0.75&gt;=2.125)),IF(N(VLOOKUP($AT173&amp;"|"&amp;$CU173,LocTable,7,FALSE))&gt;0,VLOOKUP($AT173&amp;"|"&amp;$CU173,LocTable,7,FALSE),VLOOKUP($AT173&amp;"|"&amp;$CU173,LocTable,6,FALSE)),$BI173-($CU173-IF(N(VLOOKUP($AT173&amp;"|"&amp;$CU173,LocTable,7,FALSE))&gt;0,VLOOKUP($AT173&amp;"|"&amp;$CU173,LocTable,7,FALSE),VLOOKUP($AT173&amp;"|"&amp;$CU173,LocTable,6,FALSE)))),$BI173-10-$CR173))</f>
        <v/>
      </c>
      <c r="CY173" s="85">
        <f>IF($CS173,"",TRIM(IF(ISNUMBER($BU173),"A "&amp;TRIM(TEXT($BU173,"# ?/??"))&amp;CHAR(34)&amp;"  ","")&amp;IF(ISNUMBER($BV173),"B "&amp;TRIM(TEXT($BV173,"# ?/??"))&amp;CHAR(34)&amp;"  ","")&amp;IF(ISNUMBER($BW173),"C "&amp;TRIM(TEXT($BW173,"# ?/??"))&amp;CHAR(34)&amp;"  ","")&amp;IF(ISNUMBER($BX173),"D "&amp;TRIM(TEXT($BX173,"# ?/??"))&amp;CHAR(34)&amp;"  ","")&amp;IF(ISNUMBER($BY173),"F "&amp;TRIM(TEXT($BY173,"# ?/??"))&amp;CHAR(34)&amp;"  ","")&amp;IF(ISNUMBER($BZ173),"E "&amp;TRIM(TEXT($BZ173,"# ?/??"))&amp;CHAR(34)&amp;"  ","")))</f>
        <v/>
      </c>
      <c r="CZ173" s="85">
        <f>IF(OR($CS173,N($BJ173)=0),"",TRIM(IF(ISNUMBER($BU173),"A "&amp;TRIM(TEXT($BU173-HeadClr,"# ?/??"))&amp;CHAR(34)&amp;"  ","")&amp;IF(ISNUMBER($BV173),"B "&amp;TRIM(TEXT($BV173-HeadClr,"# ?/??"))&amp;CHAR(34)&amp;"  ","")&amp;IF(ISNUMBER($BW173),"C "&amp;TRIM(TEXT($BW173-HeadClr,"# ?/??"))&amp;CHAR(34)&amp;"  ","")&amp;IF(ISNUMBER($BX173),"D "&amp;TRIM(TEXT($BX173-HeadClr,"# ?/??"))&amp;CHAR(34)&amp;"  ","")&amp;IF(ISNUMBER($BY173),"F "&amp;TRIM(TEXT($BY173-HeadClr,"# ?/??"))&amp;CHAR(34)&amp;"  ","")&amp;IF(ISNUMBER($BZ173),"E "&amp;TRIM(TEXT($BZ173-HeadClr,"# ?/??"))&amp;CHAR(34)&amp;"  ","")))</f>
        <v/>
      </c>
      <c r="DA173" s="84">
        <f>IF($A173="","",IF($AN173="",IFERROR(VLOOKUP($Z173,CODES,2,FALSE),""),IFERROR(VLOOKUP($AN173,CODES,2,FALSE),"")))</f>
        <v/>
      </c>
      <c r="DB173" s="84">
        <f>IF($A173="","",IF($O173="Y","PR",IF(OR($Z173="L",$Z173="RR",LEFT($Z173,2)="L-",LEFT($Z173,3)="RR-"),"LH","RH")))</f>
        <v/>
      </c>
      <c r="DC173" s="84">
        <f>IF($A173="","","S.HM"&amp;IF(OR($C173="DOOR ONLY",$X173&lt;&gt;"KD"),"MASONRY","DRYWALL")&amp;IF($C173="DOOR ONLY","",$U173)&amp;IF(AND($C173&lt;&gt;"FRAME ONLY",OR(LEFT($AH173,3)="OAK",LEFT($AH173,3)="BIR",LEFT($AH173,3)="MAP",$AH173="PC",$AH173="MC",$AH173="SCLC",$AH173="P-LAM")),"WD","HM")&amp;"1.75")</f>
        <v/>
      </c>
      <c r="DD173" s="84">
        <f>IF($CJ173="","",IF($O173="Y",$CJ173,SUBSTITUTE($CJ173,$BG173&amp;" "&amp;IFERROR(VLOOKUP($Z173,CODES,2,FALSE),"")&amp;" ",$BG173&amp;" ")))</f>
        <v/>
      </c>
      <c r="DE173" s="84">
        <f>IF($CK173="","",IF($O173="Y",$CK173,SUBSTITUTE($CK173,$BG173&amp;" "&amp;IF($AN173="",IFERROR(VLOOKUP($Z173,CODES,2,FALSE),""),IFERROR(VLOOKUP($AN173,CODES,2,FALSE),""))&amp;" ",$BG173&amp;" ")))</f>
        <v/>
      </c>
      <c r="DF173" s="84">
        <f>IF($CJ173="","",$DC173&amp;"|"&amp;$DD173&amp;"|"&amp;$DB173&amp;"|"&amp;$AT173&amp;"|"&amp;$V173&amp;"|"&amp;$Y173&amp;"|"&amp;$AB173)</f>
        <v/>
      </c>
      <c r="DG173" s="84">
        <f>IF(DF173="","",IF(COUNTIF($DF$6:DF173,DF173)=1,MAX($DG$5:DG172)+1,INDEX($DG$5:DG172,MATCH(DF173,$DF$5:DF172,0))))</f>
        <v/>
      </c>
      <c r="DH173" s="84">
        <f>IF($CK173="","",$DC173&amp;"|"&amp;$DE173&amp;"|"&amp;$AI173&amp;"|"&amp;$BK173&amp;"|"&amp;$BL173)</f>
        <v/>
      </c>
      <c r="DI173" s="84">
        <f>IF(DH173="","",IF(COUNTIF($DH$6:DH173,DH173)=1,MAX($DI$5:DI172)+1,INDEX($DI$5:DI172,MATCH(DH173,$DH$5:DH172,0))))</f>
        <v/>
      </c>
      <c r="DJ173" s="84">
        <f>IF($A173="","",IF($B173="","qty, ","")&amp;IF($C173="","scope, ","")&amp;IF(OR($K173="",$M173=""),"size, ","")&amp;IF(AND($A173&lt;&gt;"",$C173&lt;&gt;"DOOR ONLY"),IF($U173="","jamb depth, ","")&amp;IF($X173="","construction, ","")&amp;IF($Y173="","anchor, ","")&amp;IF($S173="","frame type, ",""),"")&amp;IF(AND(N($BJ173)&gt;0,$Z173=""),"hand, ","")&amp;IF(N($BJ173)&gt;0,IF($AH173="","door material, ","")&amp;IF($AL173="","face type, ","")&amp;IF($AP173="","lock prep, ","")&amp;IF(AND($AO173="",$AC173=""),"hinge prep, ",""),"")&amp;IF(AND($CH173&gt;0,$AH173="FRP"),"FRP cannot carry a label, ","")&amp;IF(AND($O173="Y",OR($Z173="L",$Z173="R",$Z173="LR",$Z173="RR")),"pair marked but hand is single, ","")&amp;IF(AND($O173&lt;&gt;"Y",OR($Z173="PR",AND(LEN($Z173)&gt;1,ISNUMBER(SEARCH("-",$Z173))))),"pair hand on a single door, ","")&amp;IF(AND(ISNUMBER($CI173),$CH173&lt;N($CI173)),"wall needs a "&amp;$CI173&amp;" min door, ","")&amp;IF(AND($CH173&gt;=180,AND(OR($CE173="FG",$CE173="HG",$CE173="FNV",$CE173="FV"),N($CF173)*N($CG173)&gt;100)),"180 min lite over 100 sq in, ","")&amp;IF(N($BK173)&gt;48,"leaf wider than 4'-0"&amp;CHAR(34)&amp;", ","")&amp;IF(AND($CT173,COUNT($AW173:$AZ173)=0,$CQ173&gt;0),"CUSTOM LOC with no locations typed, ",""))</f>
        <v/>
      </c>
      <c r="DK173" s="84">
        <f>IF($A173="","",IF(AND($CH173&gt;0,AND($A173&lt;&gt;"",$C173&lt;&gt;"DOOR ONLY"),$X173="KD",$E173="EXTERIOR"),"KD label on an exterior opening, ","")&amp;IF(AND($E173="EXTERIOR",OR(AND(AND($A173&lt;&gt;"",$C173&lt;&gt;"DOOR ONLY"),$W173="CR"),AND(N($BJ173)&gt;0,$AH173="CR"))),"exterior in CR steel (G9?), ","")&amp;IF(AND(ISNUMBER($BQ173),N($BQ173)&lt;32),"clear width ~"&amp;TEXT($BQ173,"0.0")&amp;CHAR(34)&amp;" under 32"&amp;CHAR(34)&amp;" (ADA), ","")&amp;IF(AND($CH173=90,AND(OR($CE173="FG",$CE173="HG",$CE173="FNV",$CE173="FV"),N($CF173)*N($CG173)&gt;100)),"90 min lite over 100 sq in (stair/exit), ","")&amp;IF(AND($CH173&gt;0,AND($A173&lt;&gt;"",$C173&lt;&gt;"DOOR ONLY"),OR($AF173="",$AF173="-")),"rated: closer reinf.?, ","")&amp;IF(OR($I173="CORRIDOR",$I173="SMOKE BARRIER"),"S label + smoke gasketing, ","")&amp;IF($CI173="?","wall type/hr not in IBC table, ","")&amp;IF(AND(N($BJ173)&gt;0,$BB173=""),"no hardware set, ","")&amp;IF(AND($BB173&lt;&gt;"",ISNA(MATCH($BB173&amp;"",HWSets,0))),"set "&amp;$BB173&amp;" not on HW Sets, ","")&amp;IF(N($BL173)&gt;96,"leaf over 8'-0"&amp;CHAR(34)&amp;" - check listing, ","")&amp;IF(AND($CT173,COUNT($AW173:$AZ173)&gt;0,COUNT($AW173:$AZ173)&lt;&gt;$CQ173),COUNT($AW173:$AZ173)&amp;" custom hinges typed, "&amp;$CQ173&amp;" expected, ","")&amp;IF(AND(ISNUMBER($CA173),OR(N($CA173)&lt;34,N($CA173)&gt;48)),"lock "&amp;TEXT($CA173,"0.0")&amp;CHAR(34)&amp;" AFF outside 34-48"&amp;CHAR(34)&amp;" (ADA), ","")&amp;IF(AND(ISNUMBER($AV173),ISNUMBER($BL173),N($AV173)&lt;IF(N($BL173)&lt;=60,2,IF(N($BL173)&lt;=90,3,IF(N($BL173)&lt;=120,4,5)))),"fewer hinges than standard, ",""))</f>
        <v/>
      </c>
    </row>
    <row r="174" ht="15" customHeight="1">
      <c r="A174" s="77" t="n"/>
      <c r="B174" s="78" t="n"/>
      <c r="C174" s="78" t="n"/>
      <c r="D174" s="78" t="n"/>
      <c r="E174" s="78" t="n"/>
      <c r="F174" s="78" t="n"/>
      <c r="G174" s="78" t="n"/>
      <c r="H174" s="78" t="n"/>
      <c r="I174" s="78" t="n"/>
      <c r="J174" s="78" t="n"/>
      <c r="K174" s="78" t="n"/>
      <c r="L174" s="78" t="n"/>
      <c r="M174" s="78" t="n"/>
      <c r="N174" s="78" t="n"/>
      <c r="O174" s="78" t="n"/>
      <c r="P174" s="78" t="n"/>
      <c r="Q174" s="78" t="n"/>
      <c r="R174" s="78" t="n"/>
      <c r="S174" s="79" t="n"/>
      <c r="T174" s="79" t="n"/>
      <c r="U174" s="79" t="n"/>
      <c r="V174" s="79" t="n"/>
      <c r="W174" s="79" t="n"/>
      <c r="X174" s="79" t="n"/>
      <c r="Y174" s="79" t="n"/>
      <c r="Z174" s="79" t="n"/>
      <c r="AA174" s="79" t="n"/>
      <c r="AB174" s="79" t="n"/>
      <c r="AC174" s="79" t="n"/>
      <c r="AD174" s="79" t="n"/>
      <c r="AE174" s="79" t="n"/>
      <c r="AF174" s="79" t="n"/>
      <c r="AG174" s="79" t="n"/>
      <c r="AH174" s="80" t="n"/>
      <c r="AI174" s="80" t="n"/>
      <c r="AJ174" s="80" t="n"/>
      <c r="AK174" s="80" t="n"/>
      <c r="AL174" s="80" t="n"/>
      <c r="AM174" s="80" t="n"/>
      <c r="AN174" s="80" t="n"/>
      <c r="AO174" s="80" t="n"/>
      <c r="AP174" s="80" t="n"/>
      <c r="AQ174" s="80" t="n"/>
      <c r="AR174" s="80" t="n"/>
      <c r="AS174" s="80" t="n"/>
      <c r="AT174" s="81" t="n"/>
      <c r="AU174" s="81" t="n"/>
      <c r="AV174" s="81" t="n"/>
      <c r="AW174" s="82" t="n"/>
      <c r="AX174" s="82" t="n"/>
      <c r="AY174" s="82" t="n"/>
      <c r="AZ174" s="82" t="n"/>
      <c r="BA174" s="82" t="n"/>
      <c r="BB174" s="83" t="n"/>
      <c r="BC174" s="83" t="n"/>
      <c r="BD174" s="84">
        <f>IF($A174="","",IF($DJ174&lt;&gt;"","FIX",IF($DK174&lt;&gt;"","CHECK","OK")))</f>
        <v/>
      </c>
      <c r="BE174" s="85">
        <f>IF($A174="","",IF($DJ174&lt;&gt;"","FIX: "&amp;LEFT($DJ174,LEN($DJ174)-2)&amp;IF($DK174&lt;&gt;"","  ·  ",""),"")&amp;IF($DK174&lt;&gt;"","CHECK: "&amp;LEFT($DK174,LEN($DK174)-2),""))</f>
        <v/>
      </c>
      <c r="BF174" s="84">
        <f>IF(OR($A174="",$K174=""),"",$K174&amp;"'-"&amp;N($L174)&amp;CHAR(34)&amp;" x "&amp;$M174&amp;"'-"&amp;N($N174)&amp;CHAR(34))</f>
        <v/>
      </c>
      <c r="BG174" s="84">
        <f>IF(OR($A174="",$K174=""),"",$K174&amp;N($L174)&amp;$M174&amp;N($N174))</f>
        <v/>
      </c>
      <c r="BH174" s="84">
        <f>IF(OR($A174="",$K174=""),"",$K174*12+N($L174))</f>
        <v/>
      </c>
      <c r="BI174" s="84">
        <f>IF(OR($A174="",$M174=""),"",$M174*12+N($N174))</f>
        <v/>
      </c>
      <c r="BJ174" s="84">
        <f>IF($A174="","",IF(OR($C174="FRAME ONLY",$S174="BL"),0,IF($O174="Y",2,1)))</f>
        <v/>
      </c>
      <c r="BK174" s="86">
        <f>IF(OR(N($BJ174)=0,$BH174=""),"",($BH174-2*EdgeClr-IF($BJ174=2,MeetClr,0))/$BJ174)</f>
        <v/>
      </c>
      <c r="BL174" s="86">
        <f>IF(OR(N($BJ174)=0,$BI174=""),"",$BI174-HeadClr-Undercut)</f>
        <v/>
      </c>
      <c r="BM174" s="86">
        <f>IF($BH174="","",$BH174+2*FaceW+IF(N($Q174)&gt;0,($Q174+FaceW)*IF($R174="LR",2,1),0))</f>
        <v/>
      </c>
      <c r="BN174" s="86">
        <f>IF($BI174="","",$BI174+IF($AB174="Y",4,FaceW)+IF(N($P174)&gt;0,$P174+FaceW,0)+IF(OR($S174="4F",$S174="BL"),FaceW,0))</f>
        <v/>
      </c>
      <c r="BO174" s="86">
        <f>IF($BM174="","",$BM174+2*ROSide)</f>
        <v/>
      </c>
      <c r="BP174" s="86">
        <f>IF($BN174="","",$BN174+ROTop)</f>
        <v/>
      </c>
      <c r="BQ174" s="87">
        <f>IF(OR(N($BJ174)=0,$BH174=""),"",$BH174/$BJ174-ClearDeduct)</f>
        <v/>
      </c>
      <c r="BR174" s="84">
        <f>IF(N($CH174)=0,"",IF($CH174&gt;=180,"A · 3 HR",IF($CH174&gt;=90,"B · 1-1/2 HR",IF($CH174&gt;=60,"B · 1 HR",IF($CH174&gt;=45,"C · 3/4 HR","20 MIN")))))&amp;IF(AND(N($CH174)&gt;0,OR($I174="CORRIDOR",$I174="SMOKE BARRIER"))," · S","")</f>
        <v/>
      </c>
      <c r="BS174" s="84">
        <f>IF($CS174,"",IF($AV174&lt;&gt;"",$AV174,IF(OR($AC174="HGC",$AO174="HGC"),"CONT",IF(($BI174-HeadClr-Undercut)&lt;=60,2,IF(($BI174-HeadClr-Undercut)&lt;=90,3,IF(($BI174-HeadClr-Undercut)&lt;=120,4,5))))))</f>
        <v/>
      </c>
      <c r="BT174" s="84">
        <f>IF($CS174,"",IF($CT174,"CUSTOM (typed)",IF($CV174,$AT174&amp;" "&amp;$CU174&amp;CHAR(34)&amp;IF($CU174&lt;&gt;$BI174,IF(AND($BI174&lt;$CU174,$BI174-IF(N(VLOOKUP($AT174&amp;"|"&amp;$CU174,LocTable,7,FALSE))&gt;0,VLOOKUP($AT174&amp;"|"&amp;$CU174,LocTable,7,FALSE),VLOOKUP($AT174&amp;"|"&amp;$CU174,LocTable,6,FALSE))-$CR174-0.75&gt;=2.125)," cut down"," adj."),""),"ANSI/SDI A250.6")))</f>
        <v/>
      </c>
      <c r="BU174" s="88">
        <f>IF($CS174,"",IF($CT174,IF(N($AW174)&gt;0,N($AW174),""),IF(1&gt;$CQ174,"",IF($CQ174=1,$CW174,$CW174+($CX174-$CW174)*0/($CQ174-1)))))</f>
        <v/>
      </c>
      <c r="BV174" s="88">
        <f>IF($CS174,"",IF($CT174,IF(N($AX174)&gt;0,N($AX174),""),IF(2&gt;$CQ174,"",IF($CQ174=1,$CW174,$CW174+($CX174-$CW174)*1/($CQ174-1)))))</f>
        <v/>
      </c>
      <c r="BW174" s="88">
        <f>IF($CS174,"",IF($CT174,IF(N($AY174)&gt;0,N($AY174),""),IF(3&gt;$CQ174,"",IF($CQ174=1,$CW174,$CW174+($CX174-$CW174)*2/($CQ174-1)))))</f>
        <v/>
      </c>
      <c r="BX174" s="88">
        <f>IF($CS174,"",IF($CT174,IF(N($AZ174)&gt;0,N($AZ174),""),IF(4&gt;$CQ174,"",IF($CQ174=1,$CW174,$CW174+($CX174-$CW174)*3/($CQ174-1)))))</f>
        <v/>
      </c>
      <c r="BY174" s="88">
        <f>IF($CS174,"",IF($CT174,"",IF(5&gt;$CQ174,"",IF($CQ174=1,$CW174,$CW174+($CX174-$CW174)*4/($CQ174-1)))))</f>
        <v/>
      </c>
      <c r="BZ174" s="88">
        <f>IF(OR($CS174,$AP174="-",AND($AP174="",$AD174="")),"",IF(N($BA174)&gt;0,N($BA174),IF($CV174,IF(AND($BI174&lt;$CU174,$BI174-IF(N(VLOOKUP($AT174&amp;"|"&amp;$CU174,LocTable,7,FALSE))&gt;0,VLOOKUP($AT174&amp;"|"&amp;$CU174,LocTable,7,FALSE),VLOOKUP($AT174&amp;"|"&amp;$CU174,LocTable,6,FALSE))-$CR174-0.75&gt;=2.125),VLOOKUP($AT174&amp;"|"&amp;$CU174,LocTable,8,FALSE),VLOOKUP($AT174&amp;"|"&amp;$CU174,LocTable,8,FALSE)+($BI174-$CU174)),$BI174-LockAFF)))</f>
        <v/>
      </c>
      <c r="CA174" s="89">
        <f>IF($BZ174="","",$BI174-$BZ174)</f>
        <v/>
      </c>
      <c r="CB174" s="84">
        <f>IF(OR(NOT(AND($A174&lt;&gt;"",$C174&lt;&gt;"DOOR ONLY")),$BI174=""),"",IF(($BI174+IF(N($P174)&gt;0,$P174+FaceW,0))&lt;=90,3,IF(($BI174+IF(N($P174)&gt;0,$P174+FaceW,0))&lt;=114,4,5)))</f>
        <v/>
      </c>
      <c r="CC174" s="84">
        <f>IF($CB174="","",$CB174*(2+IF(N($Q174)&gt;0,IF($R174="LR",2,1),0)))</f>
        <v/>
      </c>
      <c r="CD174" s="84">
        <f>IF($CB174="","",(2+IF(N($Q174)&gt;0,IF($R174="LR",2,1),0)))</f>
        <v/>
      </c>
      <c r="CE174" s="84">
        <f>IF(N($BJ174)=0,"",IF(OR($AL174="",$AL174="FLUSH"),"FLUSH",IFERROR(LEFT($AL174,FIND("-",$AL174)-1),LEFT($AL174,2))))</f>
        <v/>
      </c>
      <c r="CF174" s="84">
        <f>IF($CE174="","",IFERROR(VALUE(MID($AL174,FIND("-",$AL174)+1,FIND(CHAR(34)&amp;"x",$AL174)-FIND("-",$AL174)-1)),0))</f>
        <v/>
      </c>
      <c r="CG174" s="84">
        <f>IF($CE174="","",IFERROR(VALUE(MID($AL174,FIND(CHAR(34)&amp;"x",$AL174)+2,FIND(CHAR(34),$AL174,FIND(CHAR(34)&amp;"x",$AL174)+2)-FIND(CHAR(34)&amp;"x",$AL174)-2)),0))</f>
        <v/>
      </c>
      <c r="CH174" s="90">
        <f>IF(OR($A174="",$H174="",$H174="NO LAB"),0,IFERROR(VALUE(LEFT($H174,FIND(" ",$H174)-1)),0))</f>
        <v/>
      </c>
      <c r="CI174" s="91">
        <f>IF(OR($A174="",$I174="",$I174="NON-RATED",N($J174)=0),"",IFERROR(VLOOKUP($I174&amp;"|"&amp;$J174,IBC,2,FALSE),"?"))</f>
        <v/>
      </c>
      <c r="CJ174" s="85">
        <f>IF(NOT(AND($A174&lt;&gt;"",$C174&lt;&gt;"DOOR ONLY")),"",TRIM(IFERROR(VLOOKUP($U174,CODES,2,FALSE),"")&amp;" "&amp;$BG174&amp;" "&amp;IFERROR(VLOOKUP($Z174,CODES,2,FALSE),"")&amp;" "&amp;IFERROR(VLOOKUP($X174,CODES,2,FALSE),"")&amp;" "&amp;IFERROR(VLOOKUP($S174,CODES,2,FALSE),"")&amp;IF(N($P174)&gt;0," w/TRANSOM "&amp;$P174&amp;CHAR(34),"")&amp;IF(N($Q174)&gt;0," w/SIDELITE "&amp;$Q174&amp;CHAR(34)&amp;" "&amp;IF($R174="","R",$R174),"")&amp;IF($Y174="","  |  "," | "&amp;IFERROR(VLOOKUP($Y174,CODES,2,FALSE),"")&amp;" | ")&amp;IFERROR(VLOOKUP($AC174,CODES,2,FALSE),"")&amp;" "&amp;IFERROR(VLOOKUP($AD174,CODES,2,FALSE),"")&amp;IF(OR($AE174="",$AE174="-"),""," "&amp;$AE174)&amp;IF(OR($AF174="",$AF174="-"),""," "&amp;$AF174)&amp;IF($AB174="Y"," 4"&amp;CHAR(34)&amp;" HEAD","")&amp;" "&amp;IFERROR(VLOOKUP($H174,CODES,2,FALSE),"")&amp;IF($CT174," | LOC "&amp;$CY174,"")))</f>
        <v/>
      </c>
      <c r="CK174" s="85">
        <f>IF(NOT(AND($A174&lt;&gt;"",N($BJ174)&gt;0)),"",TRIM(IFERROR(VLOOKUP($AH174,CODES,2,FALSE),"")&amp;IF($AI174=""," "," "&amp;$AI174&amp;"GA ")&amp;$BG174&amp;" "&amp;IF($AN174="",IFERROR(VLOOKUP($Z174,CODES,2,FALSE),""),IFERROR(VLOOKUP($AN174,CODES,2,FALSE),""))&amp;IF($BJ174=2," PAIR","")&amp;" DOOR | "&amp;IF($AL174="","?",$AL174)&amp;" | "&amp;IF($AO174="",IFERROR(VLOOKUP($AC174,CODES,2,FALSE),""),IFERROR(VLOOKUP($AO174,CODES,2,FALSE),""))&amp;" "&amp;IFERROR(VLOOKUP($AP174,CODES,2,FALSE),"")&amp;IF(OR($AQ174="",$AQ174="-"),""," SEAM "&amp;$AQ174)&amp;IF($AR174="Y"," ASTRAGAL","")&amp;IF($AJ174=""," "," "&amp;$AJ174)&amp;IF($AK174=""," "," "&amp;$AK174)&amp;IF(OR($AT174="",$AT174="ANSI/SDI",$AT174="CUSTOM LOC"),""," "&amp;$AT174)&amp;IF($AM174=""," "," SERIES "&amp;$AM174)&amp;" "&amp;IFERROR(VLOOKUP($H174,CODES,2,FALSE),"")&amp;IF($CT174," | LOC "&amp;$CZ174,"")))</f>
        <v/>
      </c>
      <c r="CL174" s="84">
        <f>IF(CP174="","",IF(COUNTIF($CP$6:CP174,CP174)=1,MAX($CL$5:CL173)+1,INDEX($CL$5:CL173,MATCH(CP174,$CP$5:CP173,0))))</f>
        <v/>
      </c>
      <c r="CM174" s="84">
        <f>IF(NOT(AND($A174&lt;&gt;"",$C174&lt;&gt;"DOOR ONLY")),"",MAX($CM$5:CM173)+1)</f>
        <v/>
      </c>
      <c r="CN174" s="84">
        <f>IF(NOT(AND($A174&lt;&gt;"",N($BJ174)&gt;0)),"",MAX($CN$5:CN173)+1)</f>
        <v/>
      </c>
      <c r="CO174" s="84">
        <f>IF($A174="","",MAX($CO$5:CO173)+1)</f>
        <v/>
      </c>
      <c r="CP174" s="84">
        <f>IF(OR($A174="",$BH174="",$BI174=""),"",$BG174&amp;"|"&amp;$O174&amp;"|"&amp;$AL174&amp;"|"&amp;$S174&amp;"|"&amp;$P174&amp;"|"&amp;$Q174&amp;$R174&amp;"|"&amp;$C174&amp;"|"&amp;$AB174)</f>
        <v/>
      </c>
      <c r="CQ174" s="84">
        <f>N($BS174)</f>
        <v/>
      </c>
      <c r="CR174" s="84">
        <f>IF(N($AU174)&gt;0,N($AU174),4.5)</f>
        <v/>
      </c>
      <c r="CS174" s="84">
        <f>OR($A174="",$BI174="",$S174="BL",AND($C174="FRAME ONLY",OR($AC174="",$AC174="BLK")))</f>
        <v/>
      </c>
      <c r="CT174" s="84">
        <f>AND(NOT($CS174),OR($AT174="CUSTOM LOC",N($AW174)+N($AX174)+N($AY174)+N($AZ174)+N($BA174)&gt;0))</f>
        <v/>
      </c>
      <c r="CU174" s="84">
        <f>IF($BI174="","",IF($BI174&lt;=80,80,IF($BI174&lt;=84,84,96)))</f>
        <v/>
      </c>
      <c r="CV174" s="84">
        <f>ISNUMBER(MATCH($AT174&amp;"|80",LocKeys,0))</f>
        <v/>
      </c>
      <c r="CW174" s="86">
        <f>IF($CS174,"",IF($CV174,VLOOKUP($AT174&amp;"|"&amp;$CU174,LocTable,4,FALSE),5))</f>
        <v/>
      </c>
      <c r="CX174" s="86">
        <f>IF($CS174,"",IF($CV174,IF(OR($BI174=$CU174,AND($BI174&lt;$CU174,$BI174-IF(N(VLOOKUP($AT174&amp;"|"&amp;$CU174,LocTable,7,FALSE))&gt;0,VLOOKUP($AT174&amp;"|"&amp;$CU174,LocTable,7,FALSE),VLOOKUP($AT174&amp;"|"&amp;$CU174,LocTable,6,FALSE))-$CR174-0.75&gt;=2.125)),IF(N(VLOOKUP($AT174&amp;"|"&amp;$CU174,LocTable,7,FALSE))&gt;0,VLOOKUP($AT174&amp;"|"&amp;$CU174,LocTable,7,FALSE),VLOOKUP($AT174&amp;"|"&amp;$CU174,LocTable,6,FALSE)),$BI174-($CU174-IF(N(VLOOKUP($AT174&amp;"|"&amp;$CU174,LocTable,7,FALSE))&gt;0,VLOOKUP($AT174&amp;"|"&amp;$CU174,LocTable,7,FALSE),VLOOKUP($AT174&amp;"|"&amp;$CU174,LocTable,6,FALSE)))),$BI174-10-$CR174))</f>
        <v/>
      </c>
      <c r="CY174" s="85">
        <f>IF($CS174,"",TRIM(IF(ISNUMBER($BU174),"A "&amp;TRIM(TEXT($BU174,"# ?/??"))&amp;CHAR(34)&amp;"  ","")&amp;IF(ISNUMBER($BV174),"B "&amp;TRIM(TEXT($BV174,"# ?/??"))&amp;CHAR(34)&amp;"  ","")&amp;IF(ISNUMBER($BW174),"C "&amp;TRIM(TEXT($BW174,"# ?/??"))&amp;CHAR(34)&amp;"  ","")&amp;IF(ISNUMBER($BX174),"D "&amp;TRIM(TEXT($BX174,"# ?/??"))&amp;CHAR(34)&amp;"  ","")&amp;IF(ISNUMBER($BY174),"F "&amp;TRIM(TEXT($BY174,"# ?/??"))&amp;CHAR(34)&amp;"  ","")&amp;IF(ISNUMBER($BZ174),"E "&amp;TRIM(TEXT($BZ174,"# ?/??"))&amp;CHAR(34)&amp;"  ","")))</f>
        <v/>
      </c>
      <c r="CZ174" s="85">
        <f>IF(OR($CS174,N($BJ174)=0),"",TRIM(IF(ISNUMBER($BU174),"A "&amp;TRIM(TEXT($BU174-HeadClr,"# ?/??"))&amp;CHAR(34)&amp;"  ","")&amp;IF(ISNUMBER($BV174),"B "&amp;TRIM(TEXT($BV174-HeadClr,"# ?/??"))&amp;CHAR(34)&amp;"  ","")&amp;IF(ISNUMBER($BW174),"C "&amp;TRIM(TEXT($BW174-HeadClr,"# ?/??"))&amp;CHAR(34)&amp;"  ","")&amp;IF(ISNUMBER($BX174),"D "&amp;TRIM(TEXT($BX174-HeadClr,"# ?/??"))&amp;CHAR(34)&amp;"  ","")&amp;IF(ISNUMBER($BY174),"F "&amp;TRIM(TEXT($BY174-HeadClr,"# ?/??"))&amp;CHAR(34)&amp;"  ","")&amp;IF(ISNUMBER($BZ174),"E "&amp;TRIM(TEXT($BZ174-HeadClr,"# ?/??"))&amp;CHAR(34)&amp;"  ","")))</f>
        <v/>
      </c>
      <c r="DA174" s="84">
        <f>IF($A174="","",IF($AN174="",IFERROR(VLOOKUP($Z174,CODES,2,FALSE),""),IFERROR(VLOOKUP($AN174,CODES,2,FALSE),"")))</f>
        <v/>
      </c>
      <c r="DB174" s="84">
        <f>IF($A174="","",IF($O174="Y","PR",IF(OR($Z174="L",$Z174="RR",LEFT($Z174,2)="L-",LEFT($Z174,3)="RR-"),"LH","RH")))</f>
        <v/>
      </c>
      <c r="DC174" s="84">
        <f>IF($A174="","","S.HM"&amp;IF(OR($C174="DOOR ONLY",$X174&lt;&gt;"KD"),"MASONRY","DRYWALL")&amp;IF($C174="DOOR ONLY","",$U174)&amp;IF(AND($C174&lt;&gt;"FRAME ONLY",OR(LEFT($AH174,3)="OAK",LEFT($AH174,3)="BIR",LEFT($AH174,3)="MAP",$AH174="PC",$AH174="MC",$AH174="SCLC",$AH174="P-LAM")),"WD","HM")&amp;"1.75")</f>
        <v/>
      </c>
      <c r="DD174" s="84">
        <f>IF($CJ174="","",IF($O174="Y",$CJ174,SUBSTITUTE($CJ174,$BG174&amp;" "&amp;IFERROR(VLOOKUP($Z174,CODES,2,FALSE),"")&amp;" ",$BG174&amp;" ")))</f>
        <v/>
      </c>
      <c r="DE174" s="84">
        <f>IF($CK174="","",IF($O174="Y",$CK174,SUBSTITUTE($CK174,$BG174&amp;" "&amp;IF($AN174="",IFERROR(VLOOKUP($Z174,CODES,2,FALSE),""),IFERROR(VLOOKUP($AN174,CODES,2,FALSE),""))&amp;" ",$BG174&amp;" ")))</f>
        <v/>
      </c>
      <c r="DF174" s="84">
        <f>IF($CJ174="","",$DC174&amp;"|"&amp;$DD174&amp;"|"&amp;$DB174&amp;"|"&amp;$AT174&amp;"|"&amp;$V174&amp;"|"&amp;$Y174&amp;"|"&amp;$AB174)</f>
        <v/>
      </c>
      <c r="DG174" s="84">
        <f>IF(DF174="","",IF(COUNTIF($DF$6:DF174,DF174)=1,MAX($DG$5:DG173)+1,INDEX($DG$5:DG173,MATCH(DF174,$DF$5:DF173,0))))</f>
        <v/>
      </c>
      <c r="DH174" s="84">
        <f>IF($CK174="","",$DC174&amp;"|"&amp;$DE174&amp;"|"&amp;$AI174&amp;"|"&amp;$BK174&amp;"|"&amp;$BL174)</f>
        <v/>
      </c>
      <c r="DI174" s="84">
        <f>IF(DH174="","",IF(COUNTIF($DH$6:DH174,DH174)=1,MAX($DI$5:DI173)+1,INDEX($DI$5:DI173,MATCH(DH174,$DH$5:DH173,0))))</f>
        <v/>
      </c>
      <c r="DJ174" s="84">
        <f>IF($A174="","",IF($B174="","qty, ","")&amp;IF($C174="","scope, ","")&amp;IF(OR($K174="",$M174=""),"size, ","")&amp;IF(AND($A174&lt;&gt;"",$C174&lt;&gt;"DOOR ONLY"),IF($U174="","jamb depth, ","")&amp;IF($X174="","construction, ","")&amp;IF($Y174="","anchor, ","")&amp;IF($S174="","frame type, ",""),"")&amp;IF(AND(N($BJ174)&gt;0,$Z174=""),"hand, ","")&amp;IF(N($BJ174)&gt;0,IF($AH174="","door material, ","")&amp;IF($AL174="","face type, ","")&amp;IF($AP174="","lock prep, ","")&amp;IF(AND($AO174="",$AC174=""),"hinge prep, ",""),"")&amp;IF(AND($CH174&gt;0,$AH174="FRP"),"FRP cannot carry a label, ","")&amp;IF(AND($O174="Y",OR($Z174="L",$Z174="R",$Z174="LR",$Z174="RR")),"pair marked but hand is single, ","")&amp;IF(AND($O174&lt;&gt;"Y",OR($Z174="PR",AND(LEN($Z174)&gt;1,ISNUMBER(SEARCH("-",$Z174))))),"pair hand on a single door, ","")&amp;IF(AND(ISNUMBER($CI174),$CH174&lt;N($CI174)),"wall needs a "&amp;$CI174&amp;" min door, ","")&amp;IF(AND($CH174&gt;=180,AND(OR($CE174="FG",$CE174="HG",$CE174="FNV",$CE174="FV"),N($CF174)*N($CG174)&gt;100)),"180 min lite over 100 sq in, ","")&amp;IF(N($BK174)&gt;48,"leaf wider than 4'-0"&amp;CHAR(34)&amp;", ","")&amp;IF(AND($CT174,COUNT($AW174:$AZ174)=0,$CQ174&gt;0),"CUSTOM LOC with no locations typed, ",""))</f>
        <v/>
      </c>
      <c r="DK174" s="84">
        <f>IF($A174="","",IF(AND($CH174&gt;0,AND($A174&lt;&gt;"",$C174&lt;&gt;"DOOR ONLY"),$X174="KD",$E174="EXTERIOR"),"KD label on an exterior opening, ","")&amp;IF(AND($E174="EXTERIOR",OR(AND(AND($A174&lt;&gt;"",$C174&lt;&gt;"DOOR ONLY"),$W174="CR"),AND(N($BJ174)&gt;0,$AH174="CR"))),"exterior in CR steel (G9?), ","")&amp;IF(AND(ISNUMBER($BQ174),N($BQ174)&lt;32),"clear width ~"&amp;TEXT($BQ174,"0.0")&amp;CHAR(34)&amp;" under 32"&amp;CHAR(34)&amp;" (ADA), ","")&amp;IF(AND($CH174=90,AND(OR($CE174="FG",$CE174="HG",$CE174="FNV",$CE174="FV"),N($CF174)*N($CG174)&gt;100)),"90 min lite over 100 sq in (stair/exit), ","")&amp;IF(AND($CH174&gt;0,AND($A174&lt;&gt;"",$C174&lt;&gt;"DOOR ONLY"),OR($AF174="",$AF174="-")),"rated: closer reinf.?, ","")&amp;IF(OR($I174="CORRIDOR",$I174="SMOKE BARRIER"),"S label + smoke gasketing, ","")&amp;IF($CI174="?","wall type/hr not in IBC table, ","")&amp;IF(AND(N($BJ174)&gt;0,$BB174=""),"no hardware set, ","")&amp;IF(AND($BB174&lt;&gt;"",ISNA(MATCH($BB174&amp;"",HWSets,0))),"set "&amp;$BB174&amp;" not on HW Sets, ","")&amp;IF(N($BL174)&gt;96,"leaf over 8'-0"&amp;CHAR(34)&amp;" - check listing, ","")&amp;IF(AND($CT174,COUNT($AW174:$AZ174)&gt;0,COUNT($AW174:$AZ174)&lt;&gt;$CQ174),COUNT($AW174:$AZ174)&amp;" custom hinges typed, "&amp;$CQ174&amp;" expected, ","")&amp;IF(AND(ISNUMBER($CA174),OR(N($CA174)&lt;34,N($CA174)&gt;48)),"lock "&amp;TEXT($CA174,"0.0")&amp;CHAR(34)&amp;" AFF outside 34-48"&amp;CHAR(34)&amp;" (ADA), ","")&amp;IF(AND(ISNUMBER($AV174),ISNUMBER($BL174),N($AV174)&lt;IF(N($BL174)&lt;=60,2,IF(N($BL174)&lt;=90,3,IF(N($BL174)&lt;=120,4,5)))),"fewer hinges than standard, ",""))</f>
        <v/>
      </c>
    </row>
    <row r="175" ht="15" customHeight="1">
      <c r="A175" s="92" t="n"/>
      <c r="B175" s="93" t="n"/>
      <c r="C175" s="93" t="n"/>
      <c r="D175" s="93" t="n"/>
      <c r="E175" s="93" t="n"/>
      <c r="F175" s="93" t="n"/>
      <c r="G175" s="93" t="n"/>
      <c r="H175" s="93" t="n"/>
      <c r="I175" s="93" t="n"/>
      <c r="J175" s="93" t="n"/>
      <c r="K175" s="93" t="n"/>
      <c r="L175" s="93" t="n"/>
      <c r="M175" s="93" t="n"/>
      <c r="N175" s="93" t="n"/>
      <c r="O175" s="93" t="n"/>
      <c r="P175" s="93" t="n"/>
      <c r="Q175" s="93" t="n"/>
      <c r="R175" s="93" t="n"/>
      <c r="S175" s="94" t="n"/>
      <c r="T175" s="94" t="n"/>
      <c r="U175" s="94" t="n"/>
      <c r="V175" s="94" t="n"/>
      <c r="W175" s="94" t="n"/>
      <c r="X175" s="94" t="n"/>
      <c r="Y175" s="94" t="n"/>
      <c r="Z175" s="94" t="n"/>
      <c r="AA175" s="94" t="n"/>
      <c r="AB175" s="94" t="n"/>
      <c r="AC175" s="94" t="n"/>
      <c r="AD175" s="94" t="n"/>
      <c r="AE175" s="94" t="n"/>
      <c r="AF175" s="94" t="n"/>
      <c r="AG175" s="94" t="n"/>
      <c r="AH175" s="95" t="n"/>
      <c r="AI175" s="95" t="n"/>
      <c r="AJ175" s="95" t="n"/>
      <c r="AK175" s="95" t="n"/>
      <c r="AL175" s="95" t="n"/>
      <c r="AM175" s="95" t="n"/>
      <c r="AN175" s="95" t="n"/>
      <c r="AO175" s="95" t="n"/>
      <c r="AP175" s="95" t="n"/>
      <c r="AQ175" s="95" t="n"/>
      <c r="AR175" s="95" t="n"/>
      <c r="AS175" s="95" t="n"/>
      <c r="AT175" s="96" t="n"/>
      <c r="AU175" s="96" t="n"/>
      <c r="AV175" s="96" t="n"/>
      <c r="AW175" s="97" t="n"/>
      <c r="AX175" s="97" t="n"/>
      <c r="AY175" s="97" t="n"/>
      <c r="AZ175" s="97" t="n"/>
      <c r="BA175" s="97" t="n"/>
      <c r="BB175" s="98" t="n"/>
      <c r="BC175" s="98" t="n"/>
      <c r="BD175" s="99">
        <f>IF($A175="","",IF($DJ175&lt;&gt;"","FIX",IF($DK175&lt;&gt;"","CHECK","OK")))</f>
        <v/>
      </c>
      <c r="BE175" s="100">
        <f>IF($A175="","",IF($DJ175&lt;&gt;"","FIX: "&amp;LEFT($DJ175,LEN($DJ175)-2)&amp;IF($DK175&lt;&gt;"","  ·  ",""),"")&amp;IF($DK175&lt;&gt;"","CHECK: "&amp;LEFT($DK175,LEN($DK175)-2),""))</f>
        <v/>
      </c>
      <c r="BF175" s="99">
        <f>IF(OR($A175="",$K175=""),"",$K175&amp;"'-"&amp;N($L175)&amp;CHAR(34)&amp;" x "&amp;$M175&amp;"'-"&amp;N($N175)&amp;CHAR(34))</f>
        <v/>
      </c>
      <c r="BG175" s="99">
        <f>IF(OR($A175="",$K175=""),"",$K175&amp;N($L175)&amp;$M175&amp;N($N175))</f>
        <v/>
      </c>
      <c r="BH175" s="99">
        <f>IF(OR($A175="",$K175=""),"",$K175*12+N($L175))</f>
        <v/>
      </c>
      <c r="BI175" s="99">
        <f>IF(OR($A175="",$M175=""),"",$M175*12+N($N175))</f>
        <v/>
      </c>
      <c r="BJ175" s="99">
        <f>IF($A175="","",IF(OR($C175="FRAME ONLY",$S175="BL"),0,IF($O175="Y",2,1)))</f>
        <v/>
      </c>
      <c r="BK175" s="101">
        <f>IF(OR(N($BJ175)=0,$BH175=""),"",($BH175-2*EdgeClr-IF($BJ175=2,MeetClr,0))/$BJ175)</f>
        <v/>
      </c>
      <c r="BL175" s="101">
        <f>IF(OR(N($BJ175)=0,$BI175=""),"",$BI175-HeadClr-Undercut)</f>
        <v/>
      </c>
      <c r="BM175" s="101">
        <f>IF($BH175="","",$BH175+2*FaceW+IF(N($Q175)&gt;0,($Q175+FaceW)*IF($R175="LR",2,1),0))</f>
        <v/>
      </c>
      <c r="BN175" s="101">
        <f>IF($BI175="","",$BI175+IF($AB175="Y",4,FaceW)+IF(N($P175)&gt;0,$P175+FaceW,0)+IF(OR($S175="4F",$S175="BL"),FaceW,0))</f>
        <v/>
      </c>
      <c r="BO175" s="101">
        <f>IF($BM175="","",$BM175+2*ROSide)</f>
        <v/>
      </c>
      <c r="BP175" s="101">
        <f>IF($BN175="","",$BN175+ROTop)</f>
        <v/>
      </c>
      <c r="BQ175" s="102">
        <f>IF(OR(N($BJ175)=0,$BH175=""),"",$BH175/$BJ175-ClearDeduct)</f>
        <v/>
      </c>
      <c r="BR175" s="99">
        <f>IF(N($CH175)=0,"",IF($CH175&gt;=180,"A · 3 HR",IF($CH175&gt;=90,"B · 1-1/2 HR",IF($CH175&gt;=60,"B · 1 HR",IF($CH175&gt;=45,"C · 3/4 HR","20 MIN")))))&amp;IF(AND(N($CH175)&gt;0,OR($I175="CORRIDOR",$I175="SMOKE BARRIER"))," · S","")</f>
        <v/>
      </c>
      <c r="BS175" s="99">
        <f>IF($CS175,"",IF($AV175&lt;&gt;"",$AV175,IF(OR($AC175="HGC",$AO175="HGC"),"CONT",IF(($BI175-HeadClr-Undercut)&lt;=60,2,IF(($BI175-HeadClr-Undercut)&lt;=90,3,IF(($BI175-HeadClr-Undercut)&lt;=120,4,5))))))</f>
        <v/>
      </c>
      <c r="BT175" s="99">
        <f>IF($CS175,"",IF($CT175,"CUSTOM (typed)",IF($CV175,$AT175&amp;" "&amp;$CU175&amp;CHAR(34)&amp;IF($CU175&lt;&gt;$BI175,IF(AND($BI175&lt;$CU175,$BI175-IF(N(VLOOKUP($AT175&amp;"|"&amp;$CU175,LocTable,7,FALSE))&gt;0,VLOOKUP($AT175&amp;"|"&amp;$CU175,LocTable,7,FALSE),VLOOKUP($AT175&amp;"|"&amp;$CU175,LocTable,6,FALSE))-$CR175-0.75&gt;=2.125)," cut down"," adj."),""),"ANSI/SDI A250.6")))</f>
        <v/>
      </c>
      <c r="BU175" s="103">
        <f>IF($CS175,"",IF($CT175,IF(N($AW175)&gt;0,N($AW175),""),IF(1&gt;$CQ175,"",IF($CQ175=1,$CW175,$CW175+($CX175-$CW175)*0/($CQ175-1)))))</f>
        <v/>
      </c>
      <c r="BV175" s="103">
        <f>IF($CS175,"",IF($CT175,IF(N($AX175)&gt;0,N($AX175),""),IF(2&gt;$CQ175,"",IF($CQ175=1,$CW175,$CW175+($CX175-$CW175)*1/($CQ175-1)))))</f>
        <v/>
      </c>
      <c r="BW175" s="103">
        <f>IF($CS175,"",IF($CT175,IF(N($AY175)&gt;0,N($AY175),""),IF(3&gt;$CQ175,"",IF($CQ175=1,$CW175,$CW175+($CX175-$CW175)*2/($CQ175-1)))))</f>
        <v/>
      </c>
      <c r="BX175" s="103">
        <f>IF($CS175,"",IF($CT175,IF(N($AZ175)&gt;0,N($AZ175),""),IF(4&gt;$CQ175,"",IF($CQ175=1,$CW175,$CW175+($CX175-$CW175)*3/($CQ175-1)))))</f>
        <v/>
      </c>
      <c r="BY175" s="103">
        <f>IF($CS175,"",IF($CT175,"",IF(5&gt;$CQ175,"",IF($CQ175=1,$CW175,$CW175+($CX175-$CW175)*4/($CQ175-1)))))</f>
        <v/>
      </c>
      <c r="BZ175" s="103">
        <f>IF(OR($CS175,$AP175="-",AND($AP175="",$AD175="")),"",IF(N($BA175)&gt;0,N($BA175),IF($CV175,IF(AND($BI175&lt;$CU175,$BI175-IF(N(VLOOKUP($AT175&amp;"|"&amp;$CU175,LocTable,7,FALSE))&gt;0,VLOOKUP($AT175&amp;"|"&amp;$CU175,LocTable,7,FALSE),VLOOKUP($AT175&amp;"|"&amp;$CU175,LocTable,6,FALSE))-$CR175-0.75&gt;=2.125),VLOOKUP($AT175&amp;"|"&amp;$CU175,LocTable,8,FALSE),VLOOKUP($AT175&amp;"|"&amp;$CU175,LocTable,8,FALSE)+($BI175-$CU175)),$BI175-LockAFF)))</f>
        <v/>
      </c>
      <c r="CA175" s="104">
        <f>IF($BZ175="","",$BI175-$BZ175)</f>
        <v/>
      </c>
      <c r="CB175" s="99">
        <f>IF(OR(NOT(AND($A175&lt;&gt;"",$C175&lt;&gt;"DOOR ONLY")),$BI175=""),"",IF(($BI175+IF(N($P175)&gt;0,$P175+FaceW,0))&lt;=90,3,IF(($BI175+IF(N($P175)&gt;0,$P175+FaceW,0))&lt;=114,4,5)))</f>
        <v/>
      </c>
      <c r="CC175" s="99">
        <f>IF($CB175="","",$CB175*(2+IF(N($Q175)&gt;0,IF($R175="LR",2,1),0)))</f>
        <v/>
      </c>
      <c r="CD175" s="99">
        <f>IF($CB175="","",(2+IF(N($Q175)&gt;0,IF($R175="LR",2,1),0)))</f>
        <v/>
      </c>
      <c r="CE175" s="99">
        <f>IF(N($BJ175)=0,"",IF(OR($AL175="",$AL175="FLUSH"),"FLUSH",IFERROR(LEFT($AL175,FIND("-",$AL175)-1),LEFT($AL175,2))))</f>
        <v/>
      </c>
      <c r="CF175" s="99">
        <f>IF($CE175="","",IFERROR(VALUE(MID($AL175,FIND("-",$AL175)+1,FIND(CHAR(34)&amp;"x",$AL175)-FIND("-",$AL175)-1)),0))</f>
        <v/>
      </c>
      <c r="CG175" s="99">
        <f>IF($CE175="","",IFERROR(VALUE(MID($AL175,FIND(CHAR(34)&amp;"x",$AL175)+2,FIND(CHAR(34),$AL175,FIND(CHAR(34)&amp;"x",$AL175)+2)-FIND(CHAR(34)&amp;"x",$AL175)-2)),0))</f>
        <v/>
      </c>
      <c r="CH175" s="105">
        <f>IF(OR($A175="",$H175="",$H175="NO LAB"),0,IFERROR(VALUE(LEFT($H175,FIND(" ",$H175)-1)),0))</f>
        <v/>
      </c>
      <c r="CI175" s="106">
        <f>IF(OR($A175="",$I175="",$I175="NON-RATED",N($J175)=0),"",IFERROR(VLOOKUP($I175&amp;"|"&amp;$J175,IBC,2,FALSE),"?"))</f>
        <v/>
      </c>
      <c r="CJ175" s="100">
        <f>IF(NOT(AND($A175&lt;&gt;"",$C175&lt;&gt;"DOOR ONLY")),"",TRIM(IFERROR(VLOOKUP($U175,CODES,2,FALSE),"")&amp;" "&amp;$BG175&amp;" "&amp;IFERROR(VLOOKUP($Z175,CODES,2,FALSE),"")&amp;" "&amp;IFERROR(VLOOKUP($X175,CODES,2,FALSE),"")&amp;" "&amp;IFERROR(VLOOKUP($S175,CODES,2,FALSE),"")&amp;IF(N($P175)&gt;0," w/TRANSOM "&amp;$P175&amp;CHAR(34),"")&amp;IF(N($Q175)&gt;0," w/SIDELITE "&amp;$Q175&amp;CHAR(34)&amp;" "&amp;IF($R175="","R",$R175),"")&amp;IF($Y175="","  |  "," | "&amp;IFERROR(VLOOKUP($Y175,CODES,2,FALSE),"")&amp;" | ")&amp;IFERROR(VLOOKUP($AC175,CODES,2,FALSE),"")&amp;" "&amp;IFERROR(VLOOKUP($AD175,CODES,2,FALSE),"")&amp;IF(OR($AE175="",$AE175="-"),""," "&amp;$AE175)&amp;IF(OR($AF175="",$AF175="-"),""," "&amp;$AF175)&amp;IF($AB175="Y"," 4"&amp;CHAR(34)&amp;" HEAD","")&amp;" "&amp;IFERROR(VLOOKUP($H175,CODES,2,FALSE),"")&amp;IF($CT175," | LOC "&amp;$CY175,"")))</f>
        <v/>
      </c>
      <c r="CK175" s="100">
        <f>IF(NOT(AND($A175&lt;&gt;"",N($BJ175)&gt;0)),"",TRIM(IFERROR(VLOOKUP($AH175,CODES,2,FALSE),"")&amp;IF($AI175=""," "," "&amp;$AI175&amp;"GA ")&amp;$BG175&amp;" "&amp;IF($AN175="",IFERROR(VLOOKUP($Z175,CODES,2,FALSE),""),IFERROR(VLOOKUP($AN175,CODES,2,FALSE),""))&amp;IF($BJ175=2," PAIR","")&amp;" DOOR | "&amp;IF($AL175="","?",$AL175)&amp;" | "&amp;IF($AO175="",IFERROR(VLOOKUP($AC175,CODES,2,FALSE),""),IFERROR(VLOOKUP($AO175,CODES,2,FALSE),""))&amp;" "&amp;IFERROR(VLOOKUP($AP175,CODES,2,FALSE),"")&amp;IF(OR($AQ175="",$AQ175="-"),""," SEAM "&amp;$AQ175)&amp;IF($AR175="Y"," ASTRAGAL","")&amp;IF($AJ175=""," "," "&amp;$AJ175)&amp;IF($AK175=""," "," "&amp;$AK175)&amp;IF(OR($AT175="",$AT175="ANSI/SDI",$AT175="CUSTOM LOC"),""," "&amp;$AT175)&amp;IF($AM175=""," "," SERIES "&amp;$AM175)&amp;" "&amp;IFERROR(VLOOKUP($H175,CODES,2,FALSE),"")&amp;IF($CT175," | LOC "&amp;$CZ175,"")))</f>
        <v/>
      </c>
      <c r="CL175" s="99">
        <f>IF(CP175="","",IF(COUNTIF($CP$6:CP175,CP175)=1,MAX($CL$5:CL174)+1,INDEX($CL$5:CL174,MATCH(CP175,$CP$5:CP174,0))))</f>
        <v/>
      </c>
      <c r="CM175" s="99">
        <f>IF(NOT(AND($A175&lt;&gt;"",$C175&lt;&gt;"DOOR ONLY")),"",MAX($CM$5:CM174)+1)</f>
        <v/>
      </c>
      <c r="CN175" s="99">
        <f>IF(NOT(AND($A175&lt;&gt;"",N($BJ175)&gt;0)),"",MAX($CN$5:CN174)+1)</f>
        <v/>
      </c>
      <c r="CO175" s="99">
        <f>IF($A175="","",MAX($CO$5:CO174)+1)</f>
        <v/>
      </c>
      <c r="CP175" s="99">
        <f>IF(OR($A175="",$BH175="",$BI175=""),"",$BG175&amp;"|"&amp;$O175&amp;"|"&amp;$AL175&amp;"|"&amp;$S175&amp;"|"&amp;$P175&amp;"|"&amp;$Q175&amp;$R175&amp;"|"&amp;$C175&amp;"|"&amp;$AB175)</f>
        <v/>
      </c>
      <c r="CQ175" s="99">
        <f>N($BS175)</f>
        <v/>
      </c>
      <c r="CR175" s="99">
        <f>IF(N($AU175)&gt;0,N($AU175),4.5)</f>
        <v/>
      </c>
      <c r="CS175" s="99">
        <f>OR($A175="",$BI175="",$S175="BL",AND($C175="FRAME ONLY",OR($AC175="",$AC175="BLK")))</f>
        <v/>
      </c>
      <c r="CT175" s="99">
        <f>AND(NOT($CS175),OR($AT175="CUSTOM LOC",N($AW175)+N($AX175)+N($AY175)+N($AZ175)+N($BA175)&gt;0))</f>
        <v/>
      </c>
      <c r="CU175" s="99">
        <f>IF($BI175="","",IF($BI175&lt;=80,80,IF($BI175&lt;=84,84,96)))</f>
        <v/>
      </c>
      <c r="CV175" s="99">
        <f>ISNUMBER(MATCH($AT175&amp;"|80",LocKeys,0))</f>
        <v/>
      </c>
      <c r="CW175" s="101">
        <f>IF($CS175,"",IF($CV175,VLOOKUP($AT175&amp;"|"&amp;$CU175,LocTable,4,FALSE),5))</f>
        <v/>
      </c>
      <c r="CX175" s="101">
        <f>IF($CS175,"",IF($CV175,IF(OR($BI175=$CU175,AND($BI175&lt;$CU175,$BI175-IF(N(VLOOKUP($AT175&amp;"|"&amp;$CU175,LocTable,7,FALSE))&gt;0,VLOOKUP($AT175&amp;"|"&amp;$CU175,LocTable,7,FALSE),VLOOKUP($AT175&amp;"|"&amp;$CU175,LocTable,6,FALSE))-$CR175-0.75&gt;=2.125)),IF(N(VLOOKUP($AT175&amp;"|"&amp;$CU175,LocTable,7,FALSE))&gt;0,VLOOKUP($AT175&amp;"|"&amp;$CU175,LocTable,7,FALSE),VLOOKUP($AT175&amp;"|"&amp;$CU175,LocTable,6,FALSE)),$BI175-($CU175-IF(N(VLOOKUP($AT175&amp;"|"&amp;$CU175,LocTable,7,FALSE))&gt;0,VLOOKUP($AT175&amp;"|"&amp;$CU175,LocTable,7,FALSE),VLOOKUP($AT175&amp;"|"&amp;$CU175,LocTable,6,FALSE)))),$BI175-10-$CR175))</f>
        <v/>
      </c>
      <c r="CY175" s="100">
        <f>IF($CS175,"",TRIM(IF(ISNUMBER($BU175),"A "&amp;TRIM(TEXT($BU175,"# ?/??"))&amp;CHAR(34)&amp;"  ","")&amp;IF(ISNUMBER($BV175),"B "&amp;TRIM(TEXT($BV175,"# ?/??"))&amp;CHAR(34)&amp;"  ","")&amp;IF(ISNUMBER($BW175),"C "&amp;TRIM(TEXT($BW175,"# ?/??"))&amp;CHAR(34)&amp;"  ","")&amp;IF(ISNUMBER($BX175),"D "&amp;TRIM(TEXT($BX175,"# ?/??"))&amp;CHAR(34)&amp;"  ","")&amp;IF(ISNUMBER($BY175),"F "&amp;TRIM(TEXT($BY175,"# ?/??"))&amp;CHAR(34)&amp;"  ","")&amp;IF(ISNUMBER($BZ175),"E "&amp;TRIM(TEXT($BZ175,"# ?/??"))&amp;CHAR(34)&amp;"  ","")))</f>
        <v/>
      </c>
      <c r="CZ175" s="100">
        <f>IF(OR($CS175,N($BJ175)=0),"",TRIM(IF(ISNUMBER($BU175),"A "&amp;TRIM(TEXT($BU175-HeadClr,"# ?/??"))&amp;CHAR(34)&amp;"  ","")&amp;IF(ISNUMBER($BV175),"B "&amp;TRIM(TEXT($BV175-HeadClr,"# ?/??"))&amp;CHAR(34)&amp;"  ","")&amp;IF(ISNUMBER($BW175),"C "&amp;TRIM(TEXT($BW175-HeadClr,"# ?/??"))&amp;CHAR(34)&amp;"  ","")&amp;IF(ISNUMBER($BX175),"D "&amp;TRIM(TEXT($BX175-HeadClr,"# ?/??"))&amp;CHAR(34)&amp;"  ","")&amp;IF(ISNUMBER($BY175),"F "&amp;TRIM(TEXT($BY175-HeadClr,"# ?/??"))&amp;CHAR(34)&amp;"  ","")&amp;IF(ISNUMBER($BZ175),"E "&amp;TRIM(TEXT($BZ175-HeadClr,"# ?/??"))&amp;CHAR(34)&amp;"  ","")))</f>
        <v/>
      </c>
      <c r="DA175" s="99">
        <f>IF($A175="","",IF($AN175="",IFERROR(VLOOKUP($Z175,CODES,2,FALSE),""),IFERROR(VLOOKUP($AN175,CODES,2,FALSE),"")))</f>
        <v/>
      </c>
      <c r="DB175" s="99">
        <f>IF($A175="","",IF($O175="Y","PR",IF(OR($Z175="L",$Z175="RR",LEFT($Z175,2)="L-",LEFT($Z175,3)="RR-"),"LH","RH")))</f>
        <v/>
      </c>
      <c r="DC175" s="99">
        <f>IF($A175="","","S.HM"&amp;IF(OR($C175="DOOR ONLY",$X175&lt;&gt;"KD"),"MASONRY","DRYWALL")&amp;IF($C175="DOOR ONLY","",$U175)&amp;IF(AND($C175&lt;&gt;"FRAME ONLY",OR(LEFT($AH175,3)="OAK",LEFT($AH175,3)="BIR",LEFT($AH175,3)="MAP",$AH175="PC",$AH175="MC",$AH175="SCLC",$AH175="P-LAM")),"WD","HM")&amp;"1.75")</f>
        <v/>
      </c>
      <c r="DD175" s="99">
        <f>IF($CJ175="","",IF($O175="Y",$CJ175,SUBSTITUTE($CJ175,$BG175&amp;" "&amp;IFERROR(VLOOKUP($Z175,CODES,2,FALSE),"")&amp;" ",$BG175&amp;" ")))</f>
        <v/>
      </c>
      <c r="DE175" s="99">
        <f>IF($CK175="","",IF($O175="Y",$CK175,SUBSTITUTE($CK175,$BG175&amp;" "&amp;IF($AN175="",IFERROR(VLOOKUP($Z175,CODES,2,FALSE),""),IFERROR(VLOOKUP($AN175,CODES,2,FALSE),""))&amp;" ",$BG175&amp;" ")))</f>
        <v/>
      </c>
      <c r="DF175" s="99">
        <f>IF($CJ175="","",$DC175&amp;"|"&amp;$DD175&amp;"|"&amp;$DB175&amp;"|"&amp;$AT175&amp;"|"&amp;$V175&amp;"|"&amp;$Y175&amp;"|"&amp;$AB175)</f>
        <v/>
      </c>
      <c r="DG175" s="99">
        <f>IF(DF175="","",IF(COUNTIF($DF$6:DF175,DF175)=1,MAX($DG$5:DG174)+1,INDEX($DG$5:DG174,MATCH(DF175,$DF$5:DF174,0))))</f>
        <v/>
      </c>
      <c r="DH175" s="99">
        <f>IF($CK175="","",$DC175&amp;"|"&amp;$DE175&amp;"|"&amp;$AI175&amp;"|"&amp;$BK175&amp;"|"&amp;$BL175)</f>
        <v/>
      </c>
      <c r="DI175" s="99">
        <f>IF(DH175="","",IF(COUNTIF($DH$6:DH175,DH175)=1,MAX($DI$5:DI174)+1,INDEX($DI$5:DI174,MATCH(DH175,$DH$5:DH174,0))))</f>
        <v/>
      </c>
      <c r="DJ175" s="99">
        <f>IF($A175="","",IF($B175="","qty, ","")&amp;IF($C175="","scope, ","")&amp;IF(OR($K175="",$M175=""),"size, ","")&amp;IF(AND($A175&lt;&gt;"",$C175&lt;&gt;"DOOR ONLY"),IF($U175="","jamb depth, ","")&amp;IF($X175="","construction, ","")&amp;IF($Y175="","anchor, ","")&amp;IF($S175="","frame type, ",""),"")&amp;IF(AND(N($BJ175)&gt;0,$Z175=""),"hand, ","")&amp;IF(N($BJ175)&gt;0,IF($AH175="","door material, ","")&amp;IF($AL175="","face type, ","")&amp;IF($AP175="","lock prep, ","")&amp;IF(AND($AO175="",$AC175=""),"hinge prep, ",""),"")&amp;IF(AND($CH175&gt;0,$AH175="FRP"),"FRP cannot carry a label, ","")&amp;IF(AND($O175="Y",OR($Z175="L",$Z175="R",$Z175="LR",$Z175="RR")),"pair marked but hand is single, ","")&amp;IF(AND($O175&lt;&gt;"Y",OR($Z175="PR",AND(LEN($Z175)&gt;1,ISNUMBER(SEARCH("-",$Z175))))),"pair hand on a single door, ","")&amp;IF(AND(ISNUMBER($CI175),$CH175&lt;N($CI175)),"wall needs a "&amp;$CI175&amp;" min door, ","")&amp;IF(AND($CH175&gt;=180,AND(OR($CE175="FG",$CE175="HG",$CE175="FNV",$CE175="FV"),N($CF175)*N($CG175)&gt;100)),"180 min lite over 100 sq in, ","")&amp;IF(N($BK175)&gt;48,"leaf wider than 4'-0"&amp;CHAR(34)&amp;", ","")&amp;IF(AND($CT175,COUNT($AW175:$AZ175)=0,$CQ175&gt;0),"CUSTOM LOC with no locations typed, ",""))</f>
        <v/>
      </c>
      <c r="DK175" s="99">
        <f>IF($A175="","",IF(AND($CH175&gt;0,AND($A175&lt;&gt;"",$C175&lt;&gt;"DOOR ONLY"),$X175="KD",$E175="EXTERIOR"),"KD label on an exterior opening, ","")&amp;IF(AND($E175="EXTERIOR",OR(AND(AND($A175&lt;&gt;"",$C175&lt;&gt;"DOOR ONLY"),$W175="CR"),AND(N($BJ175)&gt;0,$AH175="CR"))),"exterior in CR steel (G9?), ","")&amp;IF(AND(ISNUMBER($BQ175),N($BQ175)&lt;32),"clear width ~"&amp;TEXT($BQ175,"0.0")&amp;CHAR(34)&amp;" under 32"&amp;CHAR(34)&amp;" (ADA), ","")&amp;IF(AND($CH175=90,AND(OR($CE175="FG",$CE175="HG",$CE175="FNV",$CE175="FV"),N($CF175)*N($CG175)&gt;100)),"90 min lite over 100 sq in (stair/exit), ","")&amp;IF(AND($CH175&gt;0,AND($A175&lt;&gt;"",$C175&lt;&gt;"DOOR ONLY"),OR($AF175="",$AF175="-")),"rated: closer reinf.?, ","")&amp;IF(OR($I175="CORRIDOR",$I175="SMOKE BARRIER"),"S label + smoke gasketing, ","")&amp;IF($CI175="?","wall type/hr not in IBC table, ","")&amp;IF(AND(N($BJ175)&gt;0,$BB175=""),"no hardware set, ","")&amp;IF(AND($BB175&lt;&gt;"",ISNA(MATCH($BB175&amp;"",HWSets,0))),"set "&amp;$BB175&amp;" not on HW Sets, ","")&amp;IF(N($BL175)&gt;96,"leaf over 8'-0"&amp;CHAR(34)&amp;" - check listing, ","")&amp;IF(AND($CT175,COUNT($AW175:$AZ175)&gt;0,COUNT($AW175:$AZ175)&lt;&gt;$CQ175),COUNT($AW175:$AZ175)&amp;" custom hinges typed, "&amp;$CQ175&amp;" expected, ","")&amp;IF(AND(ISNUMBER($CA175),OR(N($CA175)&lt;34,N($CA175)&gt;48)),"lock "&amp;TEXT($CA175,"0.0")&amp;CHAR(34)&amp;" AFF outside 34-48"&amp;CHAR(34)&amp;" (ADA), ","")&amp;IF(AND(ISNUMBER($AV175),ISNUMBER($BL175),N($AV175)&lt;IF(N($BL175)&lt;=60,2,IF(N($BL175)&lt;=90,3,IF(N($BL175)&lt;=120,4,5)))),"fewer hinges than standard, ",""))</f>
        <v/>
      </c>
    </row>
    <row r="176" ht="15" customHeight="1">
      <c r="A176" s="77" t="n"/>
      <c r="B176" s="78" t="n"/>
      <c r="C176" s="78" t="n"/>
      <c r="D176" s="78" t="n"/>
      <c r="E176" s="78" t="n"/>
      <c r="F176" s="78" t="n"/>
      <c r="G176" s="78" t="n"/>
      <c r="H176" s="78" t="n"/>
      <c r="I176" s="78" t="n"/>
      <c r="J176" s="78" t="n"/>
      <c r="K176" s="78" t="n"/>
      <c r="L176" s="78" t="n"/>
      <c r="M176" s="78" t="n"/>
      <c r="N176" s="78" t="n"/>
      <c r="O176" s="78" t="n"/>
      <c r="P176" s="78" t="n"/>
      <c r="Q176" s="78" t="n"/>
      <c r="R176" s="78" t="n"/>
      <c r="S176" s="79" t="n"/>
      <c r="T176" s="79" t="n"/>
      <c r="U176" s="79" t="n"/>
      <c r="V176" s="79" t="n"/>
      <c r="W176" s="79" t="n"/>
      <c r="X176" s="79" t="n"/>
      <c r="Y176" s="79" t="n"/>
      <c r="Z176" s="79" t="n"/>
      <c r="AA176" s="79" t="n"/>
      <c r="AB176" s="79" t="n"/>
      <c r="AC176" s="79" t="n"/>
      <c r="AD176" s="79" t="n"/>
      <c r="AE176" s="79" t="n"/>
      <c r="AF176" s="79" t="n"/>
      <c r="AG176" s="79" t="n"/>
      <c r="AH176" s="80" t="n"/>
      <c r="AI176" s="80" t="n"/>
      <c r="AJ176" s="80" t="n"/>
      <c r="AK176" s="80" t="n"/>
      <c r="AL176" s="80" t="n"/>
      <c r="AM176" s="80" t="n"/>
      <c r="AN176" s="80" t="n"/>
      <c r="AO176" s="80" t="n"/>
      <c r="AP176" s="80" t="n"/>
      <c r="AQ176" s="80" t="n"/>
      <c r="AR176" s="80" t="n"/>
      <c r="AS176" s="80" t="n"/>
      <c r="AT176" s="81" t="n"/>
      <c r="AU176" s="81" t="n"/>
      <c r="AV176" s="81" t="n"/>
      <c r="AW176" s="82" t="n"/>
      <c r="AX176" s="82" t="n"/>
      <c r="AY176" s="82" t="n"/>
      <c r="AZ176" s="82" t="n"/>
      <c r="BA176" s="82" t="n"/>
      <c r="BB176" s="83" t="n"/>
      <c r="BC176" s="83" t="n"/>
      <c r="BD176" s="84">
        <f>IF($A176="","",IF($DJ176&lt;&gt;"","FIX",IF($DK176&lt;&gt;"","CHECK","OK")))</f>
        <v/>
      </c>
      <c r="BE176" s="85">
        <f>IF($A176="","",IF($DJ176&lt;&gt;"","FIX: "&amp;LEFT($DJ176,LEN($DJ176)-2)&amp;IF($DK176&lt;&gt;"","  ·  ",""),"")&amp;IF($DK176&lt;&gt;"","CHECK: "&amp;LEFT($DK176,LEN($DK176)-2),""))</f>
        <v/>
      </c>
      <c r="BF176" s="84">
        <f>IF(OR($A176="",$K176=""),"",$K176&amp;"'-"&amp;N($L176)&amp;CHAR(34)&amp;" x "&amp;$M176&amp;"'-"&amp;N($N176)&amp;CHAR(34))</f>
        <v/>
      </c>
      <c r="BG176" s="84">
        <f>IF(OR($A176="",$K176=""),"",$K176&amp;N($L176)&amp;$M176&amp;N($N176))</f>
        <v/>
      </c>
      <c r="BH176" s="84">
        <f>IF(OR($A176="",$K176=""),"",$K176*12+N($L176))</f>
        <v/>
      </c>
      <c r="BI176" s="84">
        <f>IF(OR($A176="",$M176=""),"",$M176*12+N($N176))</f>
        <v/>
      </c>
      <c r="BJ176" s="84">
        <f>IF($A176="","",IF(OR($C176="FRAME ONLY",$S176="BL"),0,IF($O176="Y",2,1)))</f>
        <v/>
      </c>
      <c r="BK176" s="86">
        <f>IF(OR(N($BJ176)=0,$BH176=""),"",($BH176-2*EdgeClr-IF($BJ176=2,MeetClr,0))/$BJ176)</f>
        <v/>
      </c>
      <c r="BL176" s="86">
        <f>IF(OR(N($BJ176)=0,$BI176=""),"",$BI176-HeadClr-Undercut)</f>
        <v/>
      </c>
      <c r="BM176" s="86">
        <f>IF($BH176="","",$BH176+2*FaceW+IF(N($Q176)&gt;0,($Q176+FaceW)*IF($R176="LR",2,1),0))</f>
        <v/>
      </c>
      <c r="BN176" s="86">
        <f>IF($BI176="","",$BI176+IF($AB176="Y",4,FaceW)+IF(N($P176)&gt;0,$P176+FaceW,0)+IF(OR($S176="4F",$S176="BL"),FaceW,0))</f>
        <v/>
      </c>
      <c r="BO176" s="86">
        <f>IF($BM176="","",$BM176+2*ROSide)</f>
        <v/>
      </c>
      <c r="BP176" s="86">
        <f>IF($BN176="","",$BN176+ROTop)</f>
        <v/>
      </c>
      <c r="BQ176" s="87">
        <f>IF(OR(N($BJ176)=0,$BH176=""),"",$BH176/$BJ176-ClearDeduct)</f>
        <v/>
      </c>
      <c r="BR176" s="84">
        <f>IF(N($CH176)=0,"",IF($CH176&gt;=180,"A · 3 HR",IF($CH176&gt;=90,"B · 1-1/2 HR",IF($CH176&gt;=60,"B · 1 HR",IF($CH176&gt;=45,"C · 3/4 HR","20 MIN")))))&amp;IF(AND(N($CH176)&gt;0,OR($I176="CORRIDOR",$I176="SMOKE BARRIER"))," · S","")</f>
        <v/>
      </c>
      <c r="BS176" s="84">
        <f>IF($CS176,"",IF($AV176&lt;&gt;"",$AV176,IF(OR($AC176="HGC",$AO176="HGC"),"CONT",IF(($BI176-HeadClr-Undercut)&lt;=60,2,IF(($BI176-HeadClr-Undercut)&lt;=90,3,IF(($BI176-HeadClr-Undercut)&lt;=120,4,5))))))</f>
        <v/>
      </c>
      <c r="BT176" s="84">
        <f>IF($CS176,"",IF($CT176,"CUSTOM (typed)",IF($CV176,$AT176&amp;" "&amp;$CU176&amp;CHAR(34)&amp;IF($CU176&lt;&gt;$BI176,IF(AND($BI176&lt;$CU176,$BI176-IF(N(VLOOKUP($AT176&amp;"|"&amp;$CU176,LocTable,7,FALSE))&gt;0,VLOOKUP($AT176&amp;"|"&amp;$CU176,LocTable,7,FALSE),VLOOKUP($AT176&amp;"|"&amp;$CU176,LocTable,6,FALSE))-$CR176-0.75&gt;=2.125)," cut down"," adj."),""),"ANSI/SDI A250.6")))</f>
        <v/>
      </c>
      <c r="BU176" s="88">
        <f>IF($CS176,"",IF($CT176,IF(N($AW176)&gt;0,N($AW176),""),IF(1&gt;$CQ176,"",IF($CQ176=1,$CW176,$CW176+($CX176-$CW176)*0/($CQ176-1)))))</f>
        <v/>
      </c>
      <c r="BV176" s="88">
        <f>IF($CS176,"",IF($CT176,IF(N($AX176)&gt;0,N($AX176),""),IF(2&gt;$CQ176,"",IF($CQ176=1,$CW176,$CW176+($CX176-$CW176)*1/($CQ176-1)))))</f>
        <v/>
      </c>
      <c r="BW176" s="88">
        <f>IF($CS176,"",IF($CT176,IF(N($AY176)&gt;0,N($AY176),""),IF(3&gt;$CQ176,"",IF($CQ176=1,$CW176,$CW176+($CX176-$CW176)*2/($CQ176-1)))))</f>
        <v/>
      </c>
      <c r="BX176" s="88">
        <f>IF($CS176,"",IF($CT176,IF(N($AZ176)&gt;0,N($AZ176),""),IF(4&gt;$CQ176,"",IF($CQ176=1,$CW176,$CW176+($CX176-$CW176)*3/($CQ176-1)))))</f>
        <v/>
      </c>
      <c r="BY176" s="88">
        <f>IF($CS176,"",IF($CT176,"",IF(5&gt;$CQ176,"",IF($CQ176=1,$CW176,$CW176+($CX176-$CW176)*4/($CQ176-1)))))</f>
        <v/>
      </c>
      <c r="BZ176" s="88">
        <f>IF(OR($CS176,$AP176="-",AND($AP176="",$AD176="")),"",IF(N($BA176)&gt;0,N($BA176),IF($CV176,IF(AND($BI176&lt;$CU176,$BI176-IF(N(VLOOKUP($AT176&amp;"|"&amp;$CU176,LocTable,7,FALSE))&gt;0,VLOOKUP($AT176&amp;"|"&amp;$CU176,LocTable,7,FALSE),VLOOKUP($AT176&amp;"|"&amp;$CU176,LocTable,6,FALSE))-$CR176-0.75&gt;=2.125),VLOOKUP($AT176&amp;"|"&amp;$CU176,LocTable,8,FALSE),VLOOKUP($AT176&amp;"|"&amp;$CU176,LocTable,8,FALSE)+($BI176-$CU176)),$BI176-LockAFF)))</f>
        <v/>
      </c>
      <c r="CA176" s="89">
        <f>IF($BZ176="","",$BI176-$BZ176)</f>
        <v/>
      </c>
      <c r="CB176" s="84">
        <f>IF(OR(NOT(AND($A176&lt;&gt;"",$C176&lt;&gt;"DOOR ONLY")),$BI176=""),"",IF(($BI176+IF(N($P176)&gt;0,$P176+FaceW,0))&lt;=90,3,IF(($BI176+IF(N($P176)&gt;0,$P176+FaceW,0))&lt;=114,4,5)))</f>
        <v/>
      </c>
      <c r="CC176" s="84">
        <f>IF($CB176="","",$CB176*(2+IF(N($Q176)&gt;0,IF($R176="LR",2,1),0)))</f>
        <v/>
      </c>
      <c r="CD176" s="84">
        <f>IF($CB176="","",(2+IF(N($Q176)&gt;0,IF($R176="LR",2,1),0)))</f>
        <v/>
      </c>
      <c r="CE176" s="84">
        <f>IF(N($BJ176)=0,"",IF(OR($AL176="",$AL176="FLUSH"),"FLUSH",IFERROR(LEFT($AL176,FIND("-",$AL176)-1),LEFT($AL176,2))))</f>
        <v/>
      </c>
      <c r="CF176" s="84">
        <f>IF($CE176="","",IFERROR(VALUE(MID($AL176,FIND("-",$AL176)+1,FIND(CHAR(34)&amp;"x",$AL176)-FIND("-",$AL176)-1)),0))</f>
        <v/>
      </c>
      <c r="CG176" s="84">
        <f>IF($CE176="","",IFERROR(VALUE(MID($AL176,FIND(CHAR(34)&amp;"x",$AL176)+2,FIND(CHAR(34),$AL176,FIND(CHAR(34)&amp;"x",$AL176)+2)-FIND(CHAR(34)&amp;"x",$AL176)-2)),0))</f>
        <v/>
      </c>
      <c r="CH176" s="90">
        <f>IF(OR($A176="",$H176="",$H176="NO LAB"),0,IFERROR(VALUE(LEFT($H176,FIND(" ",$H176)-1)),0))</f>
        <v/>
      </c>
      <c r="CI176" s="91">
        <f>IF(OR($A176="",$I176="",$I176="NON-RATED",N($J176)=0),"",IFERROR(VLOOKUP($I176&amp;"|"&amp;$J176,IBC,2,FALSE),"?"))</f>
        <v/>
      </c>
      <c r="CJ176" s="85">
        <f>IF(NOT(AND($A176&lt;&gt;"",$C176&lt;&gt;"DOOR ONLY")),"",TRIM(IFERROR(VLOOKUP($U176,CODES,2,FALSE),"")&amp;" "&amp;$BG176&amp;" "&amp;IFERROR(VLOOKUP($Z176,CODES,2,FALSE),"")&amp;" "&amp;IFERROR(VLOOKUP($X176,CODES,2,FALSE),"")&amp;" "&amp;IFERROR(VLOOKUP($S176,CODES,2,FALSE),"")&amp;IF(N($P176)&gt;0," w/TRANSOM "&amp;$P176&amp;CHAR(34),"")&amp;IF(N($Q176)&gt;0," w/SIDELITE "&amp;$Q176&amp;CHAR(34)&amp;" "&amp;IF($R176="","R",$R176),"")&amp;IF($Y176="","  |  "," | "&amp;IFERROR(VLOOKUP($Y176,CODES,2,FALSE),"")&amp;" | ")&amp;IFERROR(VLOOKUP($AC176,CODES,2,FALSE),"")&amp;" "&amp;IFERROR(VLOOKUP($AD176,CODES,2,FALSE),"")&amp;IF(OR($AE176="",$AE176="-"),""," "&amp;$AE176)&amp;IF(OR($AF176="",$AF176="-"),""," "&amp;$AF176)&amp;IF($AB176="Y"," 4"&amp;CHAR(34)&amp;" HEAD","")&amp;" "&amp;IFERROR(VLOOKUP($H176,CODES,2,FALSE),"")&amp;IF($CT176," | LOC "&amp;$CY176,"")))</f>
        <v/>
      </c>
      <c r="CK176" s="85">
        <f>IF(NOT(AND($A176&lt;&gt;"",N($BJ176)&gt;0)),"",TRIM(IFERROR(VLOOKUP($AH176,CODES,2,FALSE),"")&amp;IF($AI176=""," "," "&amp;$AI176&amp;"GA ")&amp;$BG176&amp;" "&amp;IF($AN176="",IFERROR(VLOOKUP($Z176,CODES,2,FALSE),""),IFERROR(VLOOKUP($AN176,CODES,2,FALSE),""))&amp;IF($BJ176=2," PAIR","")&amp;" DOOR | "&amp;IF($AL176="","?",$AL176)&amp;" | "&amp;IF($AO176="",IFERROR(VLOOKUP($AC176,CODES,2,FALSE),""),IFERROR(VLOOKUP($AO176,CODES,2,FALSE),""))&amp;" "&amp;IFERROR(VLOOKUP($AP176,CODES,2,FALSE),"")&amp;IF(OR($AQ176="",$AQ176="-"),""," SEAM "&amp;$AQ176)&amp;IF($AR176="Y"," ASTRAGAL","")&amp;IF($AJ176=""," "," "&amp;$AJ176)&amp;IF($AK176=""," "," "&amp;$AK176)&amp;IF(OR($AT176="",$AT176="ANSI/SDI",$AT176="CUSTOM LOC"),""," "&amp;$AT176)&amp;IF($AM176=""," "," SERIES "&amp;$AM176)&amp;" "&amp;IFERROR(VLOOKUP($H176,CODES,2,FALSE),"")&amp;IF($CT176," | LOC "&amp;$CZ176,"")))</f>
        <v/>
      </c>
      <c r="CL176" s="84">
        <f>IF(CP176="","",IF(COUNTIF($CP$6:CP176,CP176)=1,MAX($CL$5:CL175)+1,INDEX($CL$5:CL175,MATCH(CP176,$CP$5:CP175,0))))</f>
        <v/>
      </c>
      <c r="CM176" s="84">
        <f>IF(NOT(AND($A176&lt;&gt;"",$C176&lt;&gt;"DOOR ONLY")),"",MAX($CM$5:CM175)+1)</f>
        <v/>
      </c>
      <c r="CN176" s="84">
        <f>IF(NOT(AND($A176&lt;&gt;"",N($BJ176)&gt;0)),"",MAX($CN$5:CN175)+1)</f>
        <v/>
      </c>
      <c r="CO176" s="84">
        <f>IF($A176="","",MAX($CO$5:CO175)+1)</f>
        <v/>
      </c>
      <c r="CP176" s="84">
        <f>IF(OR($A176="",$BH176="",$BI176=""),"",$BG176&amp;"|"&amp;$O176&amp;"|"&amp;$AL176&amp;"|"&amp;$S176&amp;"|"&amp;$P176&amp;"|"&amp;$Q176&amp;$R176&amp;"|"&amp;$C176&amp;"|"&amp;$AB176)</f>
        <v/>
      </c>
      <c r="CQ176" s="84">
        <f>N($BS176)</f>
        <v/>
      </c>
      <c r="CR176" s="84">
        <f>IF(N($AU176)&gt;0,N($AU176),4.5)</f>
        <v/>
      </c>
      <c r="CS176" s="84">
        <f>OR($A176="",$BI176="",$S176="BL",AND($C176="FRAME ONLY",OR($AC176="",$AC176="BLK")))</f>
        <v/>
      </c>
      <c r="CT176" s="84">
        <f>AND(NOT($CS176),OR($AT176="CUSTOM LOC",N($AW176)+N($AX176)+N($AY176)+N($AZ176)+N($BA176)&gt;0))</f>
        <v/>
      </c>
      <c r="CU176" s="84">
        <f>IF($BI176="","",IF($BI176&lt;=80,80,IF($BI176&lt;=84,84,96)))</f>
        <v/>
      </c>
      <c r="CV176" s="84">
        <f>ISNUMBER(MATCH($AT176&amp;"|80",LocKeys,0))</f>
        <v/>
      </c>
      <c r="CW176" s="86">
        <f>IF($CS176,"",IF($CV176,VLOOKUP($AT176&amp;"|"&amp;$CU176,LocTable,4,FALSE),5))</f>
        <v/>
      </c>
      <c r="CX176" s="86">
        <f>IF($CS176,"",IF($CV176,IF(OR($BI176=$CU176,AND($BI176&lt;$CU176,$BI176-IF(N(VLOOKUP($AT176&amp;"|"&amp;$CU176,LocTable,7,FALSE))&gt;0,VLOOKUP($AT176&amp;"|"&amp;$CU176,LocTable,7,FALSE),VLOOKUP($AT176&amp;"|"&amp;$CU176,LocTable,6,FALSE))-$CR176-0.75&gt;=2.125)),IF(N(VLOOKUP($AT176&amp;"|"&amp;$CU176,LocTable,7,FALSE))&gt;0,VLOOKUP($AT176&amp;"|"&amp;$CU176,LocTable,7,FALSE),VLOOKUP($AT176&amp;"|"&amp;$CU176,LocTable,6,FALSE)),$BI176-($CU176-IF(N(VLOOKUP($AT176&amp;"|"&amp;$CU176,LocTable,7,FALSE))&gt;0,VLOOKUP($AT176&amp;"|"&amp;$CU176,LocTable,7,FALSE),VLOOKUP($AT176&amp;"|"&amp;$CU176,LocTable,6,FALSE)))),$BI176-10-$CR176))</f>
        <v/>
      </c>
      <c r="CY176" s="85">
        <f>IF($CS176,"",TRIM(IF(ISNUMBER($BU176),"A "&amp;TRIM(TEXT($BU176,"# ?/??"))&amp;CHAR(34)&amp;"  ","")&amp;IF(ISNUMBER($BV176),"B "&amp;TRIM(TEXT($BV176,"# ?/??"))&amp;CHAR(34)&amp;"  ","")&amp;IF(ISNUMBER($BW176),"C "&amp;TRIM(TEXT($BW176,"# ?/??"))&amp;CHAR(34)&amp;"  ","")&amp;IF(ISNUMBER($BX176),"D "&amp;TRIM(TEXT($BX176,"# ?/??"))&amp;CHAR(34)&amp;"  ","")&amp;IF(ISNUMBER($BY176),"F "&amp;TRIM(TEXT($BY176,"# ?/??"))&amp;CHAR(34)&amp;"  ","")&amp;IF(ISNUMBER($BZ176),"E "&amp;TRIM(TEXT($BZ176,"# ?/??"))&amp;CHAR(34)&amp;"  ","")))</f>
        <v/>
      </c>
      <c r="CZ176" s="85">
        <f>IF(OR($CS176,N($BJ176)=0),"",TRIM(IF(ISNUMBER($BU176),"A "&amp;TRIM(TEXT($BU176-HeadClr,"# ?/??"))&amp;CHAR(34)&amp;"  ","")&amp;IF(ISNUMBER($BV176),"B "&amp;TRIM(TEXT($BV176-HeadClr,"# ?/??"))&amp;CHAR(34)&amp;"  ","")&amp;IF(ISNUMBER($BW176),"C "&amp;TRIM(TEXT($BW176-HeadClr,"# ?/??"))&amp;CHAR(34)&amp;"  ","")&amp;IF(ISNUMBER($BX176),"D "&amp;TRIM(TEXT($BX176-HeadClr,"# ?/??"))&amp;CHAR(34)&amp;"  ","")&amp;IF(ISNUMBER($BY176),"F "&amp;TRIM(TEXT($BY176-HeadClr,"# ?/??"))&amp;CHAR(34)&amp;"  ","")&amp;IF(ISNUMBER($BZ176),"E "&amp;TRIM(TEXT($BZ176-HeadClr,"# ?/??"))&amp;CHAR(34)&amp;"  ","")))</f>
        <v/>
      </c>
      <c r="DA176" s="84">
        <f>IF($A176="","",IF($AN176="",IFERROR(VLOOKUP($Z176,CODES,2,FALSE),""),IFERROR(VLOOKUP($AN176,CODES,2,FALSE),"")))</f>
        <v/>
      </c>
      <c r="DB176" s="84">
        <f>IF($A176="","",IF($O176="Y","PR",IF(OR($Z176="L",$Z176="RR",LEFT($Z176,2)="L-",LEFT($Z176,3)="RR-"),"LH","RH")))</f>
        <v/>
      </c>
      <c r="DC176" s="84">
        <f>IF($A176="","","S.HM"&amp;IF(OR($C176="DOOR ONLY",$X176&lt;&gt;"KD"),"MASONRY","DRYWALL")&amp;IF($C176="DOOR ONLY","",$U176)&amp;IF(AND($C176&lt;&gt;"FRAME ONLY",OR(LEFT($AH176,3)="OAK",LEFT($AH176,3)="BIR",LEFT($AH176,3)="MAP",$AH176="PC",$AH176="MC",$AH176="SCLC",$AH176="P-LAM")),"WD","HM")&amp;"1.75")</f>
        <v/>
      </c>
      <c r="DD176" s="84">
        <f>IF($CJ176="","",IF($O176="Y",$CJ176,SUBSTITUTE($CJ176,$BG176&amp;" "&amp;IFERROR(VLOOKUP($Z176,CODES,2,FALSE),"")&amp;" ",$BG176&amp;" ")))</f>
        <v/>
      </c>
      <c r="DE176" s="84">
        <f>IF($CK176="","",IF($O176="Y",$CK176,SUBSTITUTE($CK176,$BG176&amp;" "&amp;IF($AN176="",IFERROR(VLOOKUP($Z176,CODES,2,FALSE),""),IFERROR(VLOOKUP($AN176,CODES,2,FALSE),""))&amp;" ",$BG176&amp;" ")))</f>
        <v/>
      </c>
      <c r="DF176" s="84">
        <f>IF($CJ176="","",$DC176&amp;"|"&amp;$DD176&amp;"|"&amp;$DB176&amp;"|"&amp;$AT176&amp;"|"&amp;$V176&amp;"|"&amp;$Y176&amp;"|"&amp;$AB176)</f>
        <v/>
      </c>
      <c r="DG176" s="84">
        <f>IF(DF176="","",IF(COUNTIF($DF$6:DF176,DF176)=1,MAX($DG$5:DG175)+1,INDEX($DG$5:DG175,MATCH(DF176,$DF$5:DF175,0))))</f>
        <v/>
      </c>
      <c r="DH176" s="84">
        <f>IF($CK176="","",$DC176&amp;"|"&amp;$DE176&amp;"|"&amp;$AI176&amp;"|"&amp;$BK176&amp;"|"&amp;$BL176)</f>
        <v/>
      </c>
      <c r="DI176" s="84">
        <f>IF(DH176="","",IF(COUNTIF($DH$6:DH176,DH176)=1,MAX($DI$5:DI175)+1,INDEX($DI$5:DI175,MATCH(DH176,$DH$5:DH175,0))))</f>
        <v/>
      </c>
      <c r="DJ176" s="84">
        <f>IF($A176="","",IF($B176="","qty, ","")&amp;IF($C176="","scope, ","")&amp;IF(OR($K176="",$M176=""),"size, ","")&amp;IF(AND($A176&lt;&gt;"",$C176&lt;&gt;"DOOR ONLY"),IF($U176="","jamb depth, ","")&amp;IF($X176="","construction, ","")&amp;IF($Y176="","anchor, ","")&amp;IF($S176="","frame type, ",""),"")&amp;IF(AND(N($BJ176)&gt;0,$Z176=""),"hand, ","")&amp;IF(N($BJ176)&gt;0,IF($AH176="","door material, ","")&amp;IF($AL176="","face type, ","")&amp;IF($AP176="","lock prep, ","")&amp;IF(AND($AO176="",$AC176=""),"hinge prep, ",""),"")&amp;IF(AND($CH176&gt;0,$AH176="FRP"),"FRP cannot carry a label, ","")&amp;IF(AND($O176="Y",OR($Z176="L",$Z176="R",$Z176="LR",$Z176="RR")),"pair marked but hand is single, ","")&amp;IF(AND($O176&lt;&gt;"Y",OR($Z176="PR",AND(LEN($Z176)&gt;1,ISNUMBER(SEARCH("-",$Z176))))),"pair hand on a single door, ","")&amp;IF(AND(ISNUMBER($CI176),$CH176&lt;N($CI176)),"wall needs a "&amp;$CI176&amp;" min door, ","")&amp;IF(AND($CH176&gt;=180,AND(OR($CE176="FG",$CE176="HG",$CE176="FNV",$CE176="FV"),N($CF176)*N($CG176)&gt;100)),"180 min lite over 100 sq in, ","")&amp;IF(N($BK176)&gt;48,"leaf wider than 4'-0"&amp;CHAR(34)&amp;", ","")&amp;IF(AND($CT176,COUNT($AW176:$AZ176)=0,$CQ176&gt;0),"CUSTOM LOC with no locations typed, ",""))</f>
        <v/>
      </c>
      <c r="DK176" s="84">
        <f>IF($A176="","",IF(AND($CH176&gt;0,AND($A176&lt;&gt;"",$C176&lt;&gt;"DOOR ONLY"),$X176="KD",$E176="EXTERIOR"),"KD label on an exterior opening, ","")&amp;IF(AND($E176="EXTERIOR",OR(AND(AND($A176&lt;&gt;"",$C176&lt;&gt;"DOOR ONLY"),$W176="CR"),AND(N($BJ176)&gt;0,$AH176="CR"))),"exterior in CR steel (G9?), ","")&amp;IF(AND(ISNUMBER($BQ176),N($BQ176)&lt;32),"clear width ~"&amp;TEXT($BQ176,"0.0")&amp;CHAR(34)&amp;" under 32"&amp;CHAR(34)&amp;" (ADA), ","")&amp;IF(AND($CH176=90,AND(OR($CE176="FG",$CE176="HG",$CE176="FNV",$CE176="FV"),N($CF176)*N($CG176)&gt;100)),"90 min lite over 100 sq in (stair/exit), ","")&amp;IF(AND($CH176&gt;0,AND($A176&lt;&gt;"",$C176&lt;&gt;"DOOR ONLY"),OR($AF176="",$AF176="-")),"rated: closer reinf.?, ","")&amp;IF(OR($I176="CORRIDOR",$I176="SMOKE BARRIER"),"S label + smoke gasketing, ","")&amp;IF($CI176="?","wall type/hr not in IBC table, ","")&amp;IF(AND(N($BJ176)&gt;0,$BB176=""),"no hardware set, ","")&amp;IF(AND($BB176&lt;&gt;"",ISNA(MATCH($BB176&amp;"",HWSets,0))),"set "&amp;$BB176&amp;" not on HW Sets, ","")&amp;IF(N($BL176)&gt;96,"leaf over 8'-0"&amp;CHAR(34)&amp;" - check listing, ","")&amp;IF(AND($CT176,COUNT($AW176:$AZ176)&gt;0,COUNT($AW176:$AZ176)&lt;&gt;$CQ176),COUNT($AW176:$AZ176)&amp;" custom hinges typed, "&amp;$CQ176&amp;" expected, ","")&amp;IF(AND(ISNUMBER($CA176),OR(N($CA176)&lt;34,N($CA176)&gt;48)),"lock "&amp;TEXT($CA176,"0.0")&amp;CHAR(34)&amp;" AFF outside 34-48"&amp;CHAR(34)&amp;" (ADA), ","")&amp;IF(AND(ISNUMBER($AV176),ISNUMBER($BL176),N($AV176)&lt;IF(N($BL176)&lt;=60,2,IF(N($BL176)&lt;=90,3,IF(N($BL176)&lt;=120,4,5)))),"fewer hinges than standard, ",""))</f>
        <v/>
      </c>
    </row>
    <row r="177" ht="15" customHeight="1">
      <c r="A177" s="77" t="n"/>
      <c r="B177" s="78" t="n"/>
      <c r="C177" s="78" t="n"/>
      <c r="D177" s="78" t="n"/>
      <c r="E177" s="78" t="n"/>
      <c r="F177" s="78" t="n"/>
      <c r="G177" s="78" t="n"/>
      <c r="H177" s="78" t="n"/>
      <c r="I177" s="78" t="n"/>
      <c r="J177" s="78" t="n"/>
      <c r="K177" s="78" t="n"/>
      <c r="L177" s="78" t="n"/>
      <c r="M177" s="78" t="n"/>
      <c r="N177" s="78" t="n"/>
      <c r="O177" s="78" t="n"/>
      <c r="P177" s="78" t="n"/>
      <c r="Q177" s="78" t="n"/>
      <c r="R177" s="78" t="n"/>
      <c r="S177" s="79" t="n"/>
      <c r="T177" s="79" t="n"/>
      <c r="U177" s="79" t="n"/>
      <c r="V177" s="79" t="n"/>
      <c r="W177" s="79" t="n"/>
      <c r="X177" s="79" t="n"/>
      <c r="Y177" s="79" t="n"/>
      <c r="Z177" s="79" t="n"/>
      <c r="AA177" s="79" t="n"/>
      <c r="AB177" s="79" t="n"/>
      <c r="AC177" s="79" t="n"/>
      <c r="AD177" s="79" t="n"/>
      <c r="AE177" s="79" t="n"/>
      <c r="AF177" s="79" t="n"/>
      <c r="AG177" s="79" t="n"/>
      <c r="AH177" s="80" t="n"/>
      <c r="AI177" s="80" t="n"/>
      <c r="AJ177" s="80" t="n"/>
      <c r="AK177" s="80" t="n"/>
      <c r="AL177" s="80" t="n"/>
      <c r="AM177" s="80" t="n"/>
      <c r="AN177" s="80" t="n"/>
      <c r="AO177" s="80" t="n"/>
      <c r="AP177" s="80" t="n"/>
      <c r="AQ177" s="80" t="n"/>
      <c r="AR177" s="80" t="n"/>
      <c r="AS177" s="80" t="n"/>
      <c r="AT177" s="81" t="n"/>
      <c r="AU177" s="81" t="n"/>
      <c r="AV177" s="81" t="n"/>
      <c r="AW177" s="82" t="n"/>
      <c r="AX177" s="82" t="n"/>
      <c r="AY177" s="82" t="n"/>
      <c r="AZ177" s="82" t="n"/>
      <c r="BA177" s="82" t="n"/>
      <c r="BB177" s="83" t="n"/>
      <c r="BC177" s="83" t="n"/>
      <c r="BD177" s="84">
        <f>IF($A177="","",IF($DJ177&lt;&gt;"","FIX",IF($DK177&lt;&gt;"","CHECK","OK")))</f>
        <v/>
      </c>
      <c r="BE177" s="85">
        <f>IF($A177="","",IF($DJ177&lt;&gt;"","FIX: "&amp;LEFT($DJ177,LEN($DJ177)-2)&amp;IF($DK177&lt;&gt;"","  ·  ",""),"")&amp;IF($DK177&lt;&gt;"","CHECK: "&amp;LEFT($DK177,LEN($DK177)-2),""))</f>
        <v/>
      </c>
      <c r="BF177" s="84">
        <f>IF(OR($A177="",$K177=""),"",$K177&amp;"'-"&amp;N($L177)&amp;CHAR(34)&amp;" x "&amp;$M177&amp;"'-"&amp;N($N177)&amp;CHAR(34))</f>
        <v/>
      </c>
      <c r="BG177" s="84">
        <f>IF(OR($A177="",$K177=""),"",$K177&amp;N($L177)&amp;$M177&amp;N($N177))</f>
        <v/>
      </c>
      <c r="BH177" s="84">
        <f>IF(OR($A177="",$K177=""),"",$K177*12+N($L177))</f>
        <v/>
      </c>
      <c r="BI177" s="84">
        <f>IF(OR($A177="",$M177=""),"",$M177*12+N($N177))</f>
        <v/>
      </c>
      <c r="BJ177" s="84">
        <f>IF($A177="","",IF(OR($C177="FRAME ONLY",$S177="BL"),0,IF($O177="Y",2,1)))</f>
        <v/>
      </c>
      <c r="BK177" s="86">
        <f>IF(OR(N($BJ177)=0,$BH177=""),"",($BH177-2*EdgeClr-IF($BJ177=2,MeetClr,0))/$BJ177)</f>
        <v/>
      </c>
      <c r="BL177" s="86">
        <f>IF(OR(N($BJ177)=0,$BI177=""),"",$BI177-HeadClr-Undercut)</f>
        <v/>
      </c>
      <c r="BM177" s="86">
        <f>IF($BH177="","",$BH177+2*FaceW+IF(N($Q177)&gt;0,($Q177+FaceW)*IF($R177="LR",2,1),0))</f>
        <v/>
      </c>
      <c r="BN177" s="86">
        <f>IF($BI177="","",$BI177+IF($AB177="Y",4,FaceW)+IF(N($P177)&gt;0,$P177+FaceW,0)+IF(OR($S177="4F",$S177="BL"),FaceW,0))</f>
        <v/>
      </c>
      <c r="BO177" s="86">
        <f>IF($BM177="","",$BM177+2*ROSide)</f>
        <v/>
      </c>
      <c r="BP177" s="86">
        <f>IF($BN177="","",$BN177+ROTop)</f>
        <v/>
      </c>
      <c r="BQ177" s="87">
        <f>IF(OR(N($BJ177)=0,$BH177=""),"",$BH177/$BJ177-ClearDeduct)</f>
        <v/>
      </c>
      <c r="BR177" s="84">
        <f>IF(N($CH177)=0,"",IF($CH177&gt;=180,"A · 3 HR",IF($CH177&gt;=90,"B · 1-1/2 HR",IF($CH177&gt;=60,"B · 1 HR",IF($CH177&gt;=45,"C · 3/4 HR","20 MIN")))))&amp;IF(AND(N($CH177)&gt;0,OR($I177="CORRIDOR",$I177="SMOKE BARRIER"))," · S","")</f>
        <v/>
      </c>
      <c r="BS177" s="84">
        <f>IF($CS177,"",IF($AV177&lt;&gt;"",$AV177,IF(OR($AC177="HGC",$AO177="HGC"),"CONT",IF(($BI177-HeadClr-Undercut)&lt;=60,2,IF(($BI177-HeadClr-Undercut)&lt;=90,3,IF(($BI177-HeadClr-Undercut)&lt;=120,4,5))))))</f>
        <v/>
      </c>
      <c r="BT177" s="84">
        <f>IF($CS177,"",IF($CT177,"CUSTOM (typed)",IF($CV177,$AT177&amp;" "&amp;$CU177&amp;CHAR(34)&amp;IF($CU177&lt;&gt;$BI177,IF(AND($BI177&lt;$CU177,$BI177-IF(N(VLOOKUP($AT177&amp;"|"&amp;$CU177,LocTable,7,FALSE))&gt;0,VLOOKUP($AT177&amp;"|"&amp;$CU177,LocTable,7,FALSE),VLOOKUP($AT177&amp;"|"&amp;$CU177,LocTable,6,FALSE))-$CR177-0.75&gt;=2.125)," cut down"," adj."),""),"ANSI/SDI A250.6")))</f>
        <v/>
      </c>
      <c r="BU177" s="88">
        <f>IF($CS177,"",IF($CT177,IF(N($AW177)&gt;0,N($AW177),""),IF(1&gt;$CQ177,"",IF($CQ177=1,$CW177,$CW177+($CX177-$CW177)*0/($CQ177-1)))))</f>
        <v/>
      </c>
      <c r="BV177" s="88">
        <f>IF($CS177,"",IF($CT177,IF(N($AX177)&gt;0,N($AX177),""),IF(2&gt;$CQ177,"",IF($CQ177=1,$CW177,$CW177+($CX177-$CW177)*1/($CQ177-1)))))</f>
        <v/>
      </c>
      <c r="BW177" s="88">
        <f>IF($CS177,"",IF($CT177,IF(N($AY177)&gt;0,N($AY177),""),IF(3&gt;$CQ177,"",IF($CQ177=1,$CW177,$CW177+($CX177-$CW177)*2/($CQ177-1)))))</f>
        <v/>
      </c>
      <c r="BX177" s="88">
        <f>IF($CS177,"",IF($CT177,IF(N($AZ177)&gt;0,N($AZ177),""),IF(4&gt;$CQ177,"",IF($CQ177=1,$CW177,$CW177+($CX177-$CW177)*3/($CQ177-1)))))</f>
        <v/>
      </c>
      <c r="BY177" s="88">
        <f>IF($CS177,"",IF($CT177,"",IF(5&gt;$CQ177,"",IF($CQ177=1,$CW177,$CW177+($CX177-$CW177)*4/($CQ177-1)))))</f>
        <v/>
      </c>
      <c r="BZ177" s="88">
        <f>IF(OR($CS177,$AP177="-",AND($AP177="",$AD177="")),"",IF(N($BA177)&gt;0,N($BA177),IF($CV177,IF(AND($BI177&lt;$CU177,$BI177-IF(N(VLOOKUP($AT177&amp;"|"&amp;$CU177,LocTable,7,FALSE))&gt;0,VLOOKUP($AT177&amp;"|"&amp;$CU177,LocTable,7,FALSE),VLOOKUP($AT177&amp;"|"&amp;$CU177,LocTable,6,FALSE))-$CR177-0.75&gt;=2.125),VLOOKUP($AT177&amp;"|"&amp;$CU177,LocTable,8,FALSE),VLOOKUP($AT177&amp;"|"&amp;$CU177,LocTable,8,FALSE)+($BI177-$CU177)),$BI177-LockAFF)))</f>
        <v/>
      </c>
      <c r="CA177" s="89">
        <f>IF($BZ177="","",$BI177-$BZ177)</f>
        <v/>
      </c>
      <c r="CB177" s="84">
        <f>IF(OR(NOT(AND($A177&lt;&gt;"",$C177&lt;&gt;"DOOR ONLY")),$BI177=""),"",IF(($BI177+IF(N($P177)&gt;0,$P177+FaceW,0))&lt;=90,3,IF(($BI177+IF(N($P177)&gt;0,$P177+FaceW,0))&lt;=114,4,5)))</f>
        <v/>
      </c>
      <c r="CC177" s="84">
        <f>IF($CB177="","",$CB177*(2+IF(N($Q177)&gt;0,IF($R177="LR",2,1),0)))</f>
        <v/>
      </c>
      <c r="CD177" s="84">
        <f>IF($CB177="","",(2+IF(N($Q177)&gt;0,IF($R177="LR",2,1),0)))</f>
        <v/>
      </c>
      <c r="CE177" s="84">
        <f>IF(N($BJ177)=0,"",IF(OR($AL177="",$AL177="FLUSH"),"FLUSH",IFERROR(LEFT($AL177,FIND("-",$AL177)-1),LEFT($AL177,2))))</f>
        <v/>
      </c>
      <c r="CF177" s="84">
        <f>IF($CE177="","",IFERROR(VALUE(MID($AL177,FIND("-",$AL177)+1,FIND(CHAR(34)&amp;"x",$AL177)-FIND("-",$AL177)-1)),0))</f>
        <v/>
      </c>
      <c r="CG177" s="84">
        <f>IF($CE177="","",IFERROR(VALUE(MID($AL177,FIND(CHAR(34)&amp;"x",$AL177)+2,FIND(CHAR(34),$AL177,FIND(CHAR(34)&amp;"x",$AL177)+2)-FIND(CHAR(34)&amp;"x",$AL177)-2)),0))</f>
        <v/>
      </c>
      <c r="CH177" s="90">
        <f>IF(OR($A177="",$H177="",$H177="NO LAB"),0,IFERROR(VALUE(LEFT($H177,FIND(" ",$H177)-1)),0))</f>
        <v/>
      </c>
      <c r="CI177" s="91">
        <f>IF(OR($A177="",$I177="",$I177="NON-RATED",N($J177)=0),"",IFERROR(VLOOKUP($I177&amp;"|"&amp;$J177,IBC,2,FALSE),"?"))</f>
        <v/>
      </c>
      <c r="CJ177" s="85">
        <f>IF(NOT(AND($A177&lt;&gt;"",$C177&lt;&gt;"DOOR ONLY")),"",TRIM(IFERROR(VLOOKUP($U177,CODES,2,FALSE),"")&amp;" "&amp;$BG177&amp;" "&amp;IFERROR(VLOOKUP($Z177,CODES,2,FALSE),"")&amp;" "&amp;IFERROR(VLOOKUP($X177,CODES,2,FALSE),"")&amp;" "&amp;IFERROR(VLOOKUP($S177,CODES,2,FALSE),"")&amp;IF(N($P177)&gt;0," w/TRANSOM "&amp;$P177&amp;CHAR(34),"")&amp;IF(N($Q177)&gt;0," w/SIDELITE "&amp;$Q177&amp;CHAR(34)&amp;" "&amp;IF($R177="","R",$R177),"")&amp;IF($Y177="","  |  "," | "&amp;IFERROR(VLOOKUP($Y177,CODES,2,FALSE),"")&amp;" | ")&amp;IFERROR(VLOOKUP($AC177,CODES,2,FALSE),"")&amp;" "&amp;IFERROR(VLOOKUP($AD177,CODES,2,FALSE),"")&amp;IF(OR($AE177="",$AE177="-"),""," "&amp;$AE177)&amp;IF(OR($AF177="",$AF177="-"),""," "&amp;$AF177)&amp;IF($AB177="Y"," 4"&amp;CHAR(34)&amp;" HEAD","")&amp;" "&amp;IFERROR(VLOOKUP($H177,CODES,2,FALSE),"")&amp;IF($CT177," | LOC "&amp;$CY177,"")))</f>
        <v/>
      </c>
      <c r="CK177" s="85">
        <f>IF(NOT(AND($A177&lt;&gt;"",N($BJ177)&gt;0)),"",TRIM(IFERROR(VLOOKUP($AH177,CODES,2,FALSE),"")&amp;IF($AI177=""," "," "&amp;$AI177&amp;"GA ")&amp;$BG177&amp;" "&amp;IF($AN177="",IFERROR(VLOOKUP($Z177,CODES,2,FALSE),""),IFERROR(VLOOKUP($AN177,CODES,2,FALSE),""))&amp;IF($BJ177=2," PAIR","")&amp;" DOOR | "&amp;IF($AL177="","?",$AL177)&amp;" | "&amp;IF($AO177="",IFERROR(VLOOKUP($AC177,CODES,2,FALSE),""),IFERROR(VLOOKUP($AO177,CODES,2,FALSE),""))&amp;" "&amp;IFERROR(VLOOKUP($AP177,CODES,2,FALSE),"")&amp;IF(OR($AQ177="",$AQ177="-"),""," SEAM "&amp;$AQ177)&amp;IF($AR177="Y"," ASTRAGAL","")&amp;IF($AJ177=""," "," "&amp;$AJ177)&amp;IF($AK177=""," "," "&amp;$AK177)&amp;IF(OR($AT177="",$AT177="ANSI/SDI",$AT177="CUSTOM LOC"),""," "&amp;$AT177)&amp;IF($AM177=""," "," SERIES "&amp;$AM177)&amp;" "&amp;IFERROR(VLOOKUP($H177,CODES,2,FALSE),"")&amp;IF($CT177," | LOC "&amp;$CZ177,"")))</f>
        <v/>
      </c>
      <c r="CL177" s="84">
        <f>IF(CP177="","",IF(COUNTIF($CP$6:CP177,CP177)=1,MAX($CL$5:CL176)+1,INDEX($CL$5:CL176,MATCH(CP177,$CP$5:CP176,0))))</f>
        <v/>
      </c>
      <c r="CM177" s="84">
        <f>IF(NOT(AND($A177&lt;&gt;"",$C177&lt;&gt;"DOOR ONLY")),"",MAX($CM$5:CM176)+1)</f>
        <v/>
      </c>
      <c r="CN177" s="84">
        <f>IF(NOT(AND($A177&lt;&gt;"",N($BJ177)&gt;0)),"",MAX($CN$5:CN176)+1)</f>
        <v/>
      </c>
      <c r="CO177" s="84">
        <f>IF($A177="","",MAX($CO$5:CO176)+1)</f>
        <v/>
      </c>
      <c r="CP177" s="84">
        <f>IF(OR($A177="",$BH177="",$BI177=""),"",$BG177&amp;"|"&amp;$O177&amp;"|"&amp;$AL177&amp;"|"&amp;$S177&amp;"|"&amp;$P177&amp;"|"&amp;$Q177&amp;$R177&amp;"|"&amp;$C177&amp;"|"&amp;$AB177)</f>
        <v/>
      </c>
      <c r="CQ177" s="84">
        <f>N($BS177)</f>
        <v/>
      </c>
      <c r="CR177" s="84">
        <f>IF(N($AU177)&gt;0,N($AU177),4.5)</f>
        <v/>
      </c>
      <c r="CS177" s="84">
        <f>OR($A177="",$BI177="",$S177="BL",AND($C177="FRAME ONLY",OR($AC177="",$AC177="BLK")))</f>
        <v/>
      </c>
      <c r="CT177" s="84">
        <f>AND(NOT($CS177),OR($AT177="CUSTOM LOC",N($AW177)+N($AX177)+N($AY177)+N($AZ177)+N($BA177)&gt;0))</f>
        <v/>
      </c>
      <c r="CU177" s="84">
        <f>IF($BI177="","",IF($BI177&lt;=80,80,IF($BI177&lt;=84,84,96)))</f>
        <v/>
      </c>
      <c r="CV177" s="84">
        <f>ISNUMBER(MATCH($AT177&amp;"|80",LocKeys,0))</f>
        <v/>
      </c>
      <c r="CW177" s="86">
        <f>IF($CS177,"",IF($CV177,VLOOKUP($AT177&amp;"|"&amp;$CU177,LocTable,4,FALSE),5))</f>
        <v/>
      </c>
      <c r="CX177" s="86">
        <f>IF($CS177,"",IF($CV177,IF(OR($BI177=$CU177,AND($BI177&lt;$CU177,$BI177-IF(N(VLOOKUP($AT177&amp;"|"&amp;$CU177,LocTable,7,FALSE))&gt;0,VLOOKUP($AT177&amp;"|"&amp;$CU177,LocTable,7,FALSE),VLOOKUP($AT177&amp;"|"&amp;$CU177,LocTable,6,FALSE))-$CR177-0.75&gt;=2.125)),IF(N(VLOOKUP($AT177&amp;"|"&amp;$CU177,LocTable,7,FALSE))&gt;0,VLOOKUP($AT177&amp;"|"&amp;$CU177,LocTable,7,FALSE),VLOOKUP($AT177&amp;"|"&amp;$CU177,LocTable,6,FALSE)),$BI177-($CU177-IF(N(VLOOKUP($AT177&amp;"|"&amp;$CU177,LocTable,7,FALSE))&gt;0,VLOOKUP($AT177&amp;"|"&amp;$CU177,LocTable,7,FALSE),VLOOKUP($AT177&amp;"|"&amp;$CU177,LocTable,6,FALSE)))),$BI177-10-$CR177))</f>
        <v/>
      </c>
      <c r="CY177" s="85">
        <f>IF($CS177,"",TRIM(IF(ISNUMBER($BU177),"A "&amp;TRIM(TEXT($BU177,"# ?/??"))&amp;CHAR(34)&amp;"  ","")&amp;IF(ISNUMBER($BV177),"B "&amp;TRIM(TEXT($BV177,"# ?/??"))&amp;CHAR(34)&amp;"  ","")&amp;IF(ISNUMBER($BW177),"C "&amp;TRIM(TEXT($BW177,"# ?/??"))&amp;CHAR(34)&amp;"  ","")&amp;IF(ISNUMBER($BX177),"D "&amp;TRIM(TEXT($BX177,"# ?/??"))&amp;CHAR(34)&amp;"  ","")&amp;IF(ISNUMBER($BY177),"F "&amp;TRIM(TEXT($BY177,"# ?/??"))&amp;CHAR(34)&amp;"  ","")&amp;IF(ISNUMBER($BZ177),"E "&amp;TRIM(TEXT($BZ177,"# ?/??"))&amp;CHAR(34)&amp;"  ","")))</f>
        <v/>
      </c>
      <c r="CZ177" s="85">
        <f>IF(OR($CS177,N($BJ177)=0),"",TRIM(IF(ISNUMBER($BU177),"A "&amp;TRIM(TEXT($BU177-HeadClr,"# ?/??"))&amp;CHAR(34)&amp;"  ","")&amp;IF(ISNUMBER($BV177),"B "&amp;TRIM(TEXT($BV177-HeadClr,"# ?/??"))&amp;CHAR(34)&amp;"  ","")&amp;IF(ISNUMBER($BW177),"C "&amp;TRIM(TEXT($BW177-HeadClr,"# ?/??"))&amp;CHAR(34)&amp;"  ","")&amp;IF(ISNUMBER($BX177),"D "&amp;TRIM(TEXT($BX177-HeadClr,"# ?/??"))&amp;CHAR(34)&amp;"  ","")&amp;IF(ISNUMBER($BY177),"F "&amp;TRIM(TEXT($BY177-HeadClr,"# ?/??"))&amp;CHAR(34)&amp;"  ","")&amp;IF(ISNUMBER($BZ177),"E "&amp;TRIM(TEXT($BZ177-HeadClr,"# ?/??"))&amp;CHAR(34)&amp;"  ","")))</f>
        <v/>
      </c>
      <c r="DA177" s="84">
        <f>IF($A177="","",IF($AN177="",IFERROR(VLOOKUP($Z177,CODES,2,FALSE),""),IFERROR(VLOOKUP($AN177,CODES,2,FALSE),"")))</f>
        <v/>
      </c>
      <c r="DB177" s="84">
        <f>IF($A177="","",IF($O177="Y","PR",IF(OR($Z177="L",$Z177="RR",LEFT($Z177,2)="L-",LEFT($Z177,3)="RR-"),"LH","RH")))</f>
        <v/>
      </c>
      <c r="DC177" s="84">
        <f>IF($A177="","","S.HM"&amp;IF(OR($C177="DOOR ONLY",$X177&lt;&gt;"KD"),"MASONRY","DRYWALL")&amp;IF($C177="DOOR ONLY","",$U177)&amp;IF(AND($C177&lt;&gt;"FRAME ONLY",OR(LEFT($AH177,3)="OAK",LEFT($AH177,3)="BIR",LEFT($AH177,3)="MAP",$AH177="PC",$AH177="MC",$AH177="SCLC",$AH177="P-LAM")),"WD","HM")&amp;"1.75")</f>
        <v/>
      </c>
      <c r="DD177" s="84">
        <f>IF($CJ177="","",IF($O177="Y",$CJ177,SUBSTITUTE($CJ177,$BG177&amp;" "&amp;IFERROR(VLOOKUP($Z177,CODES,2,FALSE),"")&amp;" ",$BG177&amp;" ")))</f>
        <v/>
      </c>
      <c r="DE177" s="84">
        <f>IF($CK177="","",IF($O177="Y",$CK177,SUBSTITUTE($CK177,$BG177&amp;" "&amp;IF($AN177="",IFERROR(VLOOKUP($Z177,CODES,2,FALSE),""),IFERROR(VLOOKUP($AN177,CODES,2,FALSE),""))&amp;" ",$BG177&amp;" ")))</f>
        <v/>
      </c>
      <c r="DF177" s="84">
        <f>IF($CJ177="","",$DC177&amp;"|"&amp;$DD177&amp;"|"&amp;$DB177&amp;"|"&amp;$AT177&amp;"|"&amp;$V177&amp;"|"&amp;$Y177&amp;"|"&amp;$AB177)</f>
        <v/>
      </c>
      <c r="DG177" s="84">
        <f>IF(DF177="","",IF(COUNTIF($DF$6:DF177,DF177)=1,MAX($DG$5:DG176)+1,INDEX($DG$5:DG176,MATCH(DF177,$DF$5:DF176,0))))</f>
        <v/>
      </c>
      <c r="DH177" s="84">
        <f>IF($CK177="","",$DC177&amp;"|"&amp;$DE177&amp;"|"&amp;$AI177&amp;"|"&amp;$BK177&amp;"|"&amp;$BL177)</f>
        <v/>
      </c>
      <c r="DI177" s="84">
        <f>IF(DH177="","",IF(COUNTIF($DH$6:DH177,DH177)=1,MAX($DI$5:DI176)+1,INDEX($DI$5:DI176,MATCH(DH177,$DH$5:DH176,0))))</f>
        <v/>
      </c>
      <c r="DJ177" s="84">
        <f>IF($A177="","",IF($B177="","qty, ","")&amp;IF($C177="","scope, ","")&amp;IF(OR($K177="",$M177=""),"size, ","")&amp;IF(AND($A177&lt;&gt;"",$C177&lt;&gt;"DOOR ONLY"),IF($U177="","jamb depth, ","")&amp;IF($X177="","construction, ","")&amp;IF($Y177="","anchor, ","")&amp;IF($S177="","frame type, ",""),"")&amp;IF(AND(N($BJ177)&gt;0,$Z177=""),"hand, ","")&amp;IF(N($BJ177)&gt;0,IF($AH177="","door material, ","")&amp;IF($AL177="","face type, ","")&amp;IF($AP177="","lock prep, ","")&amp;IF(AND($AO177="",$AC177=""),"hinge prep, ",""),"")&amp;IF(AND($CH177&gt;0,$AH177="FRP"),"FRP cannot carry a label, ","")&amp;IF(AND($O177="Y",OR($Z177="L",$Z177="R",$Z177="LR",$Z177="RR")),"pair marked but hand is single, ","")&amp;IF(AND($O177&lt;&gt;"Y",OR($Z177="PR",AND(LEN($Z177)&gt;1,ISNUMBER(SEARCH("-",$Z177))))),"pair hand on a single door, ","")&amp;IF(AND(ISNUMBER($CI177),$CH177&lt;N($CI177)),"wall needs a "&amp;$CI177&amp;" min door, ","")&amp;IF(AND($CH177&gt;=180,AND(OR($CE177="FG",$CE177="HG",$CE177="FNV",$CE177="FV"),N($CF177)*N($CG177)&gt;100)),"180 min lite over 100 sq in, ","")&amp;IF(N($BK177)&gt;48,"leaf wider than 4'-0"&amp;CHAR(34)&amp;", ","")&amp;IF(AND($CT177,COUNT($AW177:$AZ177)=0,$CQ177&gt;0),"CUSTOM LOC with no locations typed, ",""))</f>
        <v/>
      </c>
      <c r="DK177" s="84">
        <f>IF($A177="","",IF(AND($CH177&gt;0,AND($A177&lt;&gt;"",$C177&lt;&gt;"DOOR ONLY"),$X177="KD",$E177="EXTERIOR"),"KD label on an exterior opening, ","")&amp;IF(AND($E177="EXTERIOR",OR(AND(AND($A177&lt;&gt;"",$C177&lt;&gt;"DOOR ONLY"),$W177="CR"),AND(N($BJ177)&gt;0,$AH177="CR"))),"exterior in CR steel (G9?), ","")&amp;IF(AND(ISNUMBER($BQ177),N($BQ177)&lt;32),"clear width ~"&amp;TEXT($BQ177,"0.0")&amp;CHAR(34)&amp;" under 32"&amp;CHAR(34)&amp;" (ADA), ","")&amp;IF(AND($CH177=90,AND(OR($CE177="FG",$CE177="HG",$CE177="FNV",$CE177="FV"),N($CF177)*N($CG177)&gt;100)),"90 min lite over 100 sq in (stair/exit), ","")&amp;IF(AND($CH177&gt;0,AND($A177&lt;&gt;"",$C177&lt;&gt;"DOOR ONLY"),OR($AF177="",$AF177="-")),"rated: closer reinf.?, ","")&amp;IF(OR($I177="CORRIDOR",$I177="SMOKE BARRIER"),"S label + smoke gasketing, ","")&amp;IF($CI177="?","wall type/hr not in IBC table, ","")&amp;IF(AND(N($BJ177)&gt;0,$BB177=""),"no hardware set, ","")&amp;IF(AND($BB177&lt;&gt;"",ISNA(MATCH($BB177&amp;"",HWSets,0))),"set "&amp;$BB177&amp;" not on HW Sets, ","")&amp;IF(N($BL177)&gt;96,"leaf over 8'-0"&amp;CHAR(34)&amp;" - check listing, ","")&amp;IF(AND($CT177,COUNT($AW177:$AZ177)&gt;0,COUNT($AW177:$AZ177)&lt;&gt;$CQ177),COUNT($AW177:$AZ177)&amp;" custom hinges typed, "&amp;$CQ177&amp;" expected, ","")&amp;IF(AND(ISNUMBER($CA177),OR(N($CA177)&lt;34,N($CA177)&gt;48)),"lock "&amp;TEXT($CA177,"0.0")&amp;CHAR(34)&amp;" AFF outside 34-48"&amp;CHAR(34)&amp;" (ADA), ","")&amp;IF(AND(ISNUMBER($AV177),ISNUMBER($BL177),N($AV177)&lt;IF(N($BL177)&lt;=60,2,IF(N($BL177)&lt;=90,3,IF(N($BL177)&lt;=120,4,5)))),"fewer hinges than standard, ",""))</f>
        <v/>
      </c>
    </row>
    <row r="178" ht="15" customHeight="1">
      <c r="A178" s="77" t="n"/>
      <c r="B178" s="78" t="n"/>
      <c r="C178" s="78" t="n"/>
      <c r="D178" s="78" t="n"/>
      <c r="E178" s="78" t="n"/>
      <c r="F178" s="78" t="n"/>
      <c r="G178" s="78" t="n"/>
      <c r="H178" s="78" t="n"/>
      <c r="I178" s="78" t="n"/>
      <c r="J178" s="78" t="n"/>
      <c r="K178" s="78" t="n"/>
      <c r="L178" s="78" t="n"/>
      <c r="M178" s="78" t="n"/>
      <c r="N178" s="78" t="n"/>
      <c r="O178" s="78" t="n"/>
      <c r="P178" s="78" t="n"/>
      <c r="Q178" s="78" t="n"/>
      <c r="R178" s="78" t="n"/>
      <c r="S178" s="79" t="n"/>
      <c r="T178" s="79" t="n"/>
      <c r="U178" s="79" t="n"/>
      <c r="V178" s="79" t="n"/>
      <c r="W178" s="79" t="n"/>
      <c r="X178" s="79" t="n"/>
      <c r="Y178" s="79" t="n"/>
      <c r="Z178" s="79" t="n"/>
      <c r="AA178" s="79" t="n"/>
      <c r="AB178" s="79" t="n"/>
      <c r="AC178" s="79" t="n"/>
      <c r="AD178" s="79" t="n"/>
      <c r="AE178" s="79" t="n"/>
      <c r="AF178" s="79" t="n"/>
      <c r="AG178" s="79" t="n"/>
      <c r="AH178" s="80" t="n"/>
      <c r="AI178" s="80" t="n"/>
      <c r="AJ178" s="80" t="n"/>
      <c r="AK178" s="80" t="n"/>
      <c r="AL178" s="80" t="n"/>
      <c r="AM178" s="80" t="n"/>
      <c r="AN178" s="80" t="n"/>
      <c r="AO178" s="80" t="n"/>
      <c r="AP178" s="80" t="n"/>
      <c r="AQ178" s="80" t="n"/>
      <c r="AR178" s="80" t="n"/>
      <c r="AS178" s="80" t="n"/>
      <c r="AT178" s="81" t="n"/>
      <c r="AU178" s="81" t="n"/>
      <c r="AV178" s="81" t="n"/>
      <c r="AW178" s="82" t="n"/>
      <c r="AX178" s="82" t="n"/>
      <c r="AY178" s="82" t="n"/>
      <c r="AZ178" s="82" t="n"/>
      <c r="BA178" s="82" t="n"/>
      <c r="BB178" s="83" t="n"/>
      <c r="BC178" s="83" t="n"/>
      <c r="BD178" s="84">
        <f>IF($A178="","",IF($DJ178&lt;&gt;"","FIX",IF($DK178&lt;&gt;"","CHECK","OK")))</f>
        <v/>
      </c>
      <c r="BE178" s="85">
        <f>IF($A178="","",IF($DJ178&lt;&gt;"","FIX: "&amp;LEFT($DJ178,LEN($DJ178)-2)&amp;IF($DK178&lt;&gt;"","  ·  ",""),"")&amp;IF($DK178&lt;&gt;"","CHECK: "&amp;LEFT($DK178,LEN($DK178)-2),""))</f>
        <v/>
      </c>
      <c r="BF178" s="84">
        <f>IF(OR($A178="",$K178=""),"",$K178&amp;"'-"&amp;N($L178)&amp;CHAR(34)&amp;" x "&amp;$M178&amp;"'-"&amp;N($N178)&amp;CHAR(34))</f>
        <v/>
      </c>
      <c r="BG178" s="84">
        <f>IF(OR($A178="",$K178=""),"",$K178&amp;N($L178)&amp;$M178&amp;N($N178))</f>
        <v/>
      </c>
      <c r="BH178" s="84">
        <f>IF(OR($A178="",$K178=""),"",$K178*12+N($L178))</f>
        <v/>
      </c>
      <c r="BI178" s="84">
        <f>IF(OR($A178="",$M178=""),"",$M178*12+N($N178))</f>
        <v/>
      </c>
      <c r="BJ178" s="84">
        <f>IF($A178="","",IF(OR($C178="FRAME ONLY",$S178="BL"),0,IF($O178="Y",2,1)))</f>
        <v/>
      </c>
      <c r="BK178" s="86">
        <f>IF(OR(N($BJ178)=0,$BH178=""),"",($BH178-2*EdgeClr-IF($BJ178=2,MeetClr,0))/$BJ178)</f>
        <v/>
      </c>
      <c r="BL178" s="86">
        <f>IF(OR(N($BJ178)=0,$BI178=""),"",$BI178-HeadClr-Undercut)</f>
        <v/>
      </c>
      <c r="BM178" s="86">
        <f>IF($BH178="","",$BH178+2*FaceW+IF(N($Q178)&gt;0,($Q178+FaceW)*IF($R178="LR",2,1),0))</f>
        <v/>
      </c>
      <c r="BN178" s="86">
        <f>IF($BI178="","",$BI178+IF($AB178="Y",4,FaceW)+IF(N($P178)&gt;0,$P178+FaceW,0)+IF(OR($S178="4F",$S178="BL"),FaceW,0))</f>
        <v/>
      </c>
      <c r="BO178" s="86">
        <f>IF($BM178="","",$BM178+2*ROSide)</f>
        <v/>
      </c>
      <c r="BP178" s="86">
        <f>IF($BN178="","",$BN178+ROTop)</f>
        <v/>
      </c>
      <c r="BQ178" s="87">
        <f>IF(OR(N($BJ178)=0,$BH178=""),"",$BH178/$BJ178-ClearDeduct)</f>
        <v/>
      </c>
      <c r="BR178" s="84">
        <f>IF(N($CH178)=0,"",IF($CH178&gt;=180,"A · 3 HR",IF($CH178&gt;=90,"B · 1-1/2 HR",IF($CH178&gt;=60,"B · 1 HR",IF($CH178&gt;=45,"C · 3/4 HR","20 MIN")))))&amp;IF(AND(N($CH178)&gt;0,OR($I178="CORRIDOR",$I178="SMOKE BARRIER"))," · S","")</f>
        <v/>
      </c>
      <c r="BS178" s="84">
        <f>IF($CS178,"",IF($AV178&lt;&gt;"",$AV178,IF(OR($AC178="HGC",$AO178="HGC"),"CONT",IF(($BI178-HeadClr-Undercut)&lt;=60,2,IF(($BI178-HeadClr-Undercut)&lt;=90,3,IF(($BI178-HeadClr-Undercut)&lt;=120,4,5))))))</f>
        <v/>
      </c>
      <c r="BT178" s="84">
        <f>IF($CS178,"",IF($CT178,"CUSTOM (typed)",IF($CV178,$AT178&amp;" "&amp;$CU178&amp;CHAR(34)&amp;IF($CU178&lt;&gt;$BI178,IF(AND($BI178&lt;$CU178,$BI178-IF(N(VLOOKUP($AT178&amp;"|"&amp;$CU178,LocTable,7,FALSE))&gt;0,VLOOKUP($AT178&amp;"|"&amp;$CU178,LocTable,7,FALSE),VLOOKUP($AT178&amp;"|"&amp;$CU178,LocTable,6,FALSE))-$CR178-0.75&gt;=2.125)," cut down"," adj."),""),"ANSI/SDI A250.6")))</f>
        <v/>
      </c>
      <c r="BU178" s="88">
        <f>IF($CS178,"",IF($CT178,IF(N($AW178)&gt;0,N($AW178),""),IF(1&gt;$CQ178,"",IF($CQ178=1,$CW178,$CW178+($CX178-$CW178)*0/($CQ178-1)))))</f>
        <v/>
      </c>
      <c r="BV178" s="88">
        <f>IF($CS178,"",IF($CT178,IF(N($AX178)&gt;0,N($AX178),""),IF(2&gt;$CQ178,"",IF($CQ178=1,$CW178,$CW178+($CX178-$CW178)*1/($CQ178-1)))))</f>
        <v/>
      </c>
      <c r="BW178" s="88">
        <f>IF($CS178,"",IF($CT178,IF(N($AY178)&gt;0,N($AY178),""),IF(3&gt;$CQ178,"",IF($CQ178=1,$CW178,$CW178+($CX178-$CW178)*2/($CQ178-1)))))</f>
        <v/>
      </c>
      <c r="BX178" s="88">
        <f>IF($CS178,"",IF($CT178,IF(N($AZ178)&gt;0,N($AZ178),""),IF(4&gt;$CQ178,"",IF($CQ178=1,$CW178,$CW178+($CX178-$CW178)*3/($CQ178-1)))))</f>
        <v/>
      </c>
      <c r="BY178" s="88">
        <f>IF($CS178,"",IF($CT178,"",IF(5&gt;$CQ178,"",IF($CQ178=1,$CW178,$CW178+($CX178-$CW178)*4/($CQ178-1)))))</f>
        <v/>
      </c>
      <c r="BZ178" s="88">
        <f>IF(OR($CS178,$AP178="-",AND($AP178="",$AD178="")),"",IF(N($BA178)&gt;0,N($BA178),IF($CV178,IF(AND($BI178&lt;$CU178,$BI178-IF(N(VLOOKUP($AT178&amp;"|"&amp;$CU178,LocTable,7,FALSE))&gt;0,VLOOKUP($AT178&amp;"|"&amp;$CU178,LocTable,7,FALSE),VLOOKUP($AT178&amp;"|"&amp;$CU178,LocTable,6,FALSE))-$CR178-0.75&gt;=2.125),VLOOKUP($AT178&amp;"|"&amp;$CU178,LocTable,8,FALSE),VLOOKUP($AT178&amp;"|"&amp;$CU178,LocTable,8,FALSE)+($BI178-$CU178)),$BI178-LockAFF)))</f>
        <v/>
      </c>
      <c r="CA178" s="89">
        <f>IF($BZ178="","",$BI178-$BZ178)</f>
        <v/>
      </c>
      <c r="CB178" s="84">
        <f>IF(OR(NOT(AND($A178&lt;&gt;"",$C178&lt;&gt;"DOOR ONLY")),$BI178=""),"",IF(($BI178+IF(N($P178)&gt;0,$P178+FaceW,0))&lt;=90,3,IF(($BI178+IF(N($P178)&gt;0,$P178+FaceW,0))&lt;=114,4,5)))</f>
        <v/>
      </c>
      <c r="CC178" s="84">
        <f>IF($CB178="","",$CB178*(2+IF(N($Q178)&gt;0,IF($R178="LR",2,1),0)))</f>
        <v/>
      </c>
      <c r="CD178" s="84">
        <f>IF($CB178="","",(2+IF(N($Q178)&gt;0,IF($R178="LR",2,1),0)))</f>
        <v/>
      </c>
      <c r="CE178" s="84">
        <f>IF(N($BJ178)=0,"",IF(OR($AL178="",$AL178="FLUSH"),"FLUSH",IFERROR(LEFT($AL178,FIND("-",$AL178)-1),LEFT($AL178,2))))</f>
        <v/>
      </c>
      <c r="CF178" s="84">
        <f>IF($CE178="","",IFERROR(VALUE(MID($AL178,FIND("-",$AL178)+1,FIND(CHAR(34)&amp;"x",$AL178)-FIND("-",$AL178)-1)),0))</f>
        <v/>
      </c>
      <c r="CG178" s="84">
        <f>IF($CE178="","",IFERROR(VALUE(MID($AL178,FIND(CHAR(34)&amp;"x",$AL178)+2,FIND(CHAR(34),$AL178,FIND(CHAR(34)&amp;"x",$AL178)+2)-FIND(CHAR(34)&amp;"x",$AL178)-2)),0))</f>
        <v/>
      </c>
      <c r="CH178" s="90">
        <f>IF(OR($A178="",$H178="",$H178="NO LAB"),0,IFERROR(VALUE(LEFT($H178,FIND(" ",$H178)-1)),0))</f>
        <v/>
      </c>
      <c r="CI178" s="91">
        <f>IF(OR($A178="",$I178="",$I178="NON-RATED",N($J178)=0),"",IFERROR(VLOOKUP($I178&amp;"|"&amp;$J178,IBC,2,FALSE),"?"))</f>
        <v/>
      </c>
      <c r="CJ178" s="85">
        <f>IF(NOT(AND($A178&lt;&gt;"",$C178&lt;&gt;"DOOR ONLY")),"",TRIM(IFERROR(VLOOKUP($U178,CODES,2,FALSE),"")&amp;" "&amp;$BG178&amp;" "&amp;IFERROR(VLOOKUP($Z178,CODES,2,FALSE),"")&amp;" "&amp;IFERROR(VLOOKUP($X178,CODES,2,FALSE),"")&amp;" "&amp;IFERROR(VLOOKUP($S178,CODES,2,FALSE),"")&amp;IF(N($P178)&gt;0," w/TRANSOM "&amp;$P178&amp;CHAR(34),"")&amp;IF(N($Q178)&gt;0," w/SIDELITE "&amp;$Q178&amp;CHAR(34)&amp;" "&amp;IF($R178="","R",$R178),"")&amp;IF($Y178="","  |  "," | "&amp;IFERROR(VLOOKUP($Y178,CODES,2,FALSE),"")&amp;" | ")&amp;IFERROR(VLOOKUP($AC178,CODES,2,FALSE),"")&amp;" "&amp;IFERROR(VLOOKUP($AD178,CODES,2,FALSE),"")&amp;IF(OR($AE178="",$AE178="-"),""," "&amp;$AE178)&amp;IF(OR($AF178="",$AF178="-"),""," "&amp;$AF178)&amp;IF($AB178="Y"," 4"&amp;CHAR(34)&amp;" HEAD","")&amp;" "&amp;IFERROR(VLOOKUP($H178,CODES,2,FALSE),"")&amp;IF($CT178," | LOC "&amp;$CY178,"")))</f>
        <v/>
      </c>
      <c r="CK178" s="85">
        <f>IF(NOT(AND($A178&lt;&gt;"",N($BJ178)&gt;0)),"",TRIM(IFERROR(VLOOKUP($AH178,CODES,2,FALSE),"")&amp;IF($AI178=""," "," "&amp;$AI178&amp;"GA ")&amp;$BG178&amp;" "&amp;IF($AN178="",IFERROR(VLOOKUP($Z178,CODES,2,FALSE),""),IFERROR(VLOOKUP($AN178,CODES,2,FALSE),""))&amp;IF($BJ178=2," PAIR","")&amp;" DOOR | "&amp;IF($AL178="","?",$AL178)&amp;" | "&amp;IF($AO178="",IFERROR(VLOOKUP($AC178,CODES,2,FALSE),""),IFERROR(VLOOKUP($AO178,CODES,2,FALSE),""))&amp;" "&amp;IFERROR(VLOOKUP($AP178,CODES,2,FALSE),"")&amp;IF(OR($AQ178="",$AQ178="-"),""," SEAM "&amp;$AQ178)&amp;IF($AR178="Y"," ASTRAGAL","")&amp;IF($AJ178=""," "," "&amp;$AJ178)&amp;IF($AK178=""," "," "&amp;$AK178)&amp;IF(OR($AT178="",$AT178="ANSI/SDI",$AT178="CUSTOM LOC"),""," "&amp;$AT178)&amp;IF($AM178=""," "," SERIES "&amp;$AM178)&amp;" "&amp;IFERROR(VLOOKUP($H178,CODES,2,FALSE),"")&amp;IF($CT178," | LOC "&amp;$CZ178,"")))</f>
        <v/>
      </c>
      <c r="CL178" s="84">
        <f>IF(CP178="","",IF(COUNTIF($CP$6:CP178,CP178)=1,MAX($CL$5:CL177)+1,INDEX($CL$5:CL177,MATCH(CP178,$CP$5:CP177,0))))</f>
        <v/>
      </c>
      <c r="CM178" s="84">
        <f>IF(NOT(AND($A178&lt;&gt;"",$C178&lt;&gt;"DOOR ONLY")),"",MAX($CM$5:CM177)+1)</f>
        <v/>
      </c>
      <c r="CN178" s="84">
        <f>IF(NOT(AND($A178&lt;&gt;"",N($BJ178)&gt;0)),"",MAX($CN$5:CN177)+1)</f>
        <v/>
      </c>
      <c r="CO178" s="84">
        <f>IF($A178="","",MAX($CO$5:CO177)+1)</f>
        <v/>
      </c>
      <c r="CP178" s="84">
        <f>IF(OR($A178="",$BH178="",$BI178=""),"",$BG178&amp;"|"&amp;$O178&amp;"|"&amp;$AL178&amp;"|"&amp;$S178&amp;"|"&amp;$P178&amp;"|"&amp;$Q178&amp;$R178&amp;"|"&amp;$C178&amp;"|"&amp;$AB178)</f>
        <v/>
      </c>
      <c r="CQ178" s="84">
        <f>N($BS178)</f>
        <v/>
      </c>
      <c r="CR178" s="84">
        <f>IF(N($AU178)&gt;0,N($AU178),4.5)</f>
        <v/>
      </c>
      <c r="CS178" s="84">
        <f>OR($A178="",$BI178="",$S178="BL",AND($C178="FRAME ONLY",OR($AC178="",$AC178="BLK")))</f>
        <v/>
      </c>
      <c r="CT178" s="84">
        <f>AND(NOT($CS178),OR($AT178="CUSTOM LOC",N($AW178)+N($AX178)+N($AY178)+N($AZ178)+N($BA178)&gt;0))</f>
        <v/>
      </c>
      <c r="CU178" s="84">
        <f>IF($BI178="","",IF($BI178&lt;=80,80,IF($BI178&lt;=84,84,96)))</f>
        <v/>
      </c>
      <c r="CV178" s="84">
        <f>ISNUMBER(MATCH($AT178&amp;"|80",LocKeys,0))</f>
        <v/>
      </c>
      <c r="CW178" s="86">
        <f>IF($CS178,"",IF($CV178,VLOOKUP($AT178&amp;"|"&amp;$CU178,LocTable,4,FALSE),5))</f>
        <v/>
      </c>
      <c r="CX178" s="86">
        <f>IF($CS178,"",IF($CV178,IF(OR($BI178=$CU178,AND($BI178&lt;$CU178,$BI178-IF(N(VLOOKUP($AT178&amp;"|"&amp;$CU178,LocTable,7,FALSE))&gt;0,VLOOKUP($AT178&amp;"|"&amp;$CU178,LocTable,7,FALSE),VLOOKUP($AT178&amp;"|"&amp;$CU178,LocTable,6,FALSE))-$CR178-0.75&gt;=2.125)),IF(N(VLOOKUP($AT178&amp;"|"&amp;$CU178,LocTable,7,FALSE))&gt;0,VLOOKUP($AT178&amp;"|"&amp;$CU178,LocTable,7,FALSE),VLOOKUP($AT178&amp;"|"&amp;$CU178,LocTable,6,FALSE)),$BI178-($CU178-IF(N(VLOOKUP($AT178&amp;"|"&amp;$CU178,LocTable,7,FALSE))&gt;0,VLOOKUP($AT178&amp;"|"&amp;$CU178,LocTable,7,FALSE),VLOOKUP($AT178&amp;"|"&amp;$CU178,LocTable,6,FALSE)))),$BI178-10-$CR178))</f>
        <v/>
      </c>
      <c r="CY178" s="85">
        <f>IF($CS178,"",TRIM(IF(ISNUMBER($BU178),"A "&amp;TRIM(TEXT($BU178,"# ?/??"))&amp;CHAR(34)&amp;"  ","")&amp;IF(ISNUMBER($BV178),"B "&amp;TRIM(TEXT($BV178,"# ?/??"))&amp;CHAR(34)&amp;"  ","")&amp;IF(ISNUMBER($BW178),"C "&amp;TRIM(TEXT($BW178,"# ?/??"))&amp;CHAR(34)&amp;"  ","")&amp;IF(ISNUMBER($BX178),"D "&amp;TRIM(TEXT($BX178,"# ?/??"))&amp;CHAR(34)&amp;"  ","")&amp;IF(ISNUMBER($BY178),"F "&amp;TRIM(TEXT($BY178,"# ?/??"))&amp;CHAR(34)&amp;"  ","")&amp;IF(ISNUMBER($BZ178),"E "&amp;TRIM(TEXT($BZ178,"# ?/??"))&amp;CHAR(34)&amp;"  ","")))</f>
        <v/>
      </c>
      <c r="CZ178" s="85">
        <f>IF(OR($CS178,N($BJ178)=0),"",TRIM(IF(ISNUMBER($BU178),"A "&amp;TRIM(TEXT($BU178-HeadClr,"# ?/??"))&amp;CHAR(34)&amp;"  ","")&amp;IF(ISNUMBER($BV178),"B "&amp;TRIM(TEXT($BV178-HeadClr,"# ?/??"))&amp;CHAR(34)&amp;"  ","")&amp;IF(ISNUMBER($BW178),"C "&amp;TRIM(TEXT($BW178-HeadClr,"# ?/??"))&amp;CHAR(34)&amp;"  ","")&amp;IF(ISNUMBER($BX178),"D "&amp;TRIM(TEXT($BX178-HeadClr,"# ?/??"))&amp;CHAR(34)&amp;"  ","")&amp;IF(ISNUMBER($BY178),"F "&amp;TRIM(TEXT($BY178-HeadClr,"# ?/??"))&amp;CHAR(34)&amp;"  ","")&amp;IF(ISNUMBER($BZ178),"E "&amp;TRIM(TEXT($BZ178-HeadClr,"# ?/??"))&amp;CHAR(34)&amp;"  ","")))</f>
        <v/>
      </c>
      <c r="DA178" s="84">
        <f>IF($A178="","",IF($AN178="",IFERROR(VLOOKUP($Z178,CODES,2,FALSE),""),IFERROR(VLOOKUP($AN178,CODES,2,FALSE),"")))</f>
        <v/>
      </c>
      <c r="DB178" s="84">
        <f>IF($A178="","",IF($O178="Y","PR",IF(OR($Z178="L",$Z178="RR",LEFT($Z178,2)="L-",LEFT($Z178,3)="RR-"),"LH","RH")))</f>
        <v/>
      </c>
      <c r="DC178" s="84">
        <f>IF($A178="","","S.HM"&amp;IF(OR($C178="DOOR ONLY",$X178&lt;&gt;"KD"),"MASONRY","DRYWALL")&amp;IF($C178="DOOR ONLY","",$U178)&amp;IF(AND($C178&lt;&gt;"FRAME ONLY",OR(LEFT($AH178,3)="OAK",LEFT($AH178,3)="BIR",LEFT($AH178,3)="MAP",$AH178="PC",$AH178="MC",$AH178="SCLC",$AH178="P-LAM")),"WD","HM")&amp;"1.75")</f>
        <v/>
      </c>
      <c r="DD178" s="84">
        <f>IF($CJ178="","",IF($O178="Y",$CJ178,SUBSTITUTE($CJ178,$BG178&amp;" "&amp;IFERROR(VLOOKUP($Z178,CODES,2,FALSE),"")&amp;" ",$BG178&amp;" ")))</f>
        <v/>
      </c>
      <c r="DE178" s="84">
        <f>IF($CK178="","",IF($O178="Y",$CK178,SUBSTITUTE($CK178,$BG178&amp;" "&amp;IF($AN178="",IFERROR(VLOOKUP($Z178,CODES,2,FALSE),""),IFERROR(VLOOKUP($AN178,CODES,2,FALSE),""))&amp;" ",$BG178&amp;" ")))</f>
        <v/>
      </c>
      <c r="DF178" s="84">
        <f>IF($CJ178="","",$DC178&amp;"|"&amp;$DD178&amp;"|"&amp;$DB178&amp;"|"&amp;$AT178&amp;"|"&amp;$V178&amp;"|"&amp;$Y178&amp;"|"&amp;$AB178)</f>
        <v/>
      </c>
      <c r="DG178" s="84">
        <f>IF(DF178="","",IF(COUNTIF($DF$6:DF178,DF178)=1,MAX($DG$5:DG177)+1,INDEX($DG$5:DG177,MATCH(DF178,$DF$5:DF177,0))))</f>
        <v/>
      </c>
      <c r="DH178" s="84">
        <f>IF($CK178="","",$DC178&amp;"|"&amp;$DE178&amp;"|"&amp;$AI178&amp;"|"&amp;$BK178&amp;"|"&amp;$BL178)</f>
        <v/>
      </c>
      <c r="DI178" s="84">
        <f>IF(DH178="","",IF(COUNTIF($DH$6:DH178,DH178)=1,MAX($DI$5:DI177)+1,INDEX($DI$5:DI177,MATCH(DH178,$DH$5:DH177,0))))</f>
        <v/>
      </c>
      <c r="DJ178" s="84">
        <f>IF($A178="","",IF($B178="","qty, ","")&amp;IF($C178="","scope, ","")&amp;IF(OR($K178="",$M178=""),"size, ","")&amp;IF(AND($A178&lt;&gt;"",$C178&lt;&gt;"DOOR ONLY"),IF($U178="","jamb depth, ","")&amp;IF($X178="","construction, ","")&amp;IF($Y178="","anchor, ","")&amp;IF($S178="","frame type, ",""),"")&amp;IF(AND(N($BJ178)&gt;0,$Z178=""),"hand, ","")&amp;IF(N($BJ178)&gt;0,IF($AH178="","door material, ","")&amp;IF($AL178="","face type, ","")&amp;IF($AP178="","lock prep, ","")&amp;IF(AND($AO178="",$AC178=""),"hinge prep, ",""),"")&amp;IF(AND($CH178&gt;0,$AH178="FRP"),"FRP cannot carry a label, ","")&amp;IF(AND($O178="Y",OR($Z178="L",$Z178="R",$Z178="LR",$Z178="RR")),"pair marked but hand is single, ","")&amp;IF(AND($O178&lt;&gt;"Y",OR($Z178="PR",AND(LEN($Z178)&gt;1,ISNUMBER(SEARCH("-",$Z178))))),"pair hand on a single door, ","")&amp;IF(AND(ISNUMBER($CI178),$CH178&lt;N($CI178)),"wall needs a "&amp;$CI178&amp;" min door, ","")&amp;IF(AND($CH178&gt;=180,AND(OR($CE178="FG",$CE178="HG",$CE178="FNV",$CE178="FV"),N($CF178)*N($CG178)&gt;100)),"180 min lite over 100 sq in, ","")&amp;IF(N($BK178)&gt;48,"leaf wider than 4'-0"&amp;CHAR(34)&amp;", ","")&amp;IF(AND($CT178,COUNT($AW178:$AZ178)=0,$CQ178&gt;0),"CUSTOM LOC with no locations typed, ",""))</f>
        <v/>
      </c>
      <c r="DK178" s="84">
        <f>IF($A178="","",IF(AND($CH178&gt;0,AND($A178&lt;&gt;"",$C178&lt;&gt;"DOOR ONLY"),$X178="KD",$E178="EXTERIOR"),"KD label on an exterior opening, ","")&amp;IF(AND($E178="EXTERIOR",OR(AND(AND($A178&lt;&gt;"",$C178&lt;&gt;"DOOR ONLY"),$W178="CR"),AND(N($BJ178)&gt;0,$AH178="CR"))),"exterior in CR steel (G9?), ","")&amp;IF(AND(ISNUMBER($BQ178),N($BQ178)&lt;32),"clear width ~"&amp;TEXT($BQ178,"0.0")&amp;CHAR(34)&amp;" under 32"&amp;CHAR(34)&amp;" (ADA), ","")&amp;IF(AND($CH178=90,AND(OR($CE178="FG",$CE178="HG",$CE178="FNV",$CE178="FV"),N($CF178)*N($CG178)&gt;100)),"90 min lite over 100 sq in (stair/exit), ","")&amp;IF(AND($CH178&gt;0,AND($A178&lt;&gt;"",$C178&lt;&gt;"DOOR ONLY"),OR($AF178="",$AF178="-")),"rated: closer reinf.?, ","")&amp;IF(OR($I178="CORRIDOR",$I178="SMOKE BARRIER"),"S label + smoke gasketing, ","")&amp;IF($CI178="?","wall type/hr not in IBC table, ","")&amp;IF(AND(N($BJ178)&gt;0,$BB178=""),"no hardware set, ","")&amp;IF(AND($BB178&lt;&gt;"",ISNA(MATCH($BB178&amp;"",HWSets,0))),"set "&amp;$BB178&amp;" not on HW Sets, ","")&amp;IF(N($BL178)&gt;96,"leaf over 8'-0"&amp;CHAR(34)&amp;" - check listing, ","")&amp;IF(AND($CT178,COUNT($AW178:$AZ178)&gt;0,COUNT($AW178:$AZ178)&lt;&gt;$CQ178),COUNT($AW178:$AZ178)&amp;" custom hinges typed, "&amp;$CQ178&amp;" expected, ","")&amp;IF(AND(ISNUMBER($CA178),OR(N($CA178)&lt;34,N($CA178)&gt;48)),"lock "&amp;TEXT($CA178,"0.0")&amp;CHAR(34)&amp;" AFF outside 34-48"&amp;CHAR(34)&amp;" (ADA), ","")&amp;IF(AND(ISNUMBER($AV178),ISNUMBER($BL178),N($AV178)&lt;IF(N($BL178)&lt;=60,2,IF(N($BL178)&lt;=90,3,IF(N($BL178)&lt;=120,4,5)))),"fewer hinges than standard, ",""))</f>
        <v/>
      </c>
    </row>
    <row r="179" ht="15" customHeight="1">
      <c r="A179" s="77" t="n"/>
      <c r="B179" s="78" t="n"/>
      <c r="C179" s="78" t="n"/>
      <c r="D179" s="78" t="n"/>
      <c r="E179" s="78" t="n"/>
      <c r="F179" s="78" t="n"/>
      <c r="G179" s="78" t="n"/>
      <c r="H179" s="78" t="n"/>
      <c r="I179" s="78" t="n"/>
      <c r="J179" s="78" t="n"/>
      <c r="K179" s="78" t="n"/>
      <c r="L179" s="78" t="n"/>
      <c r="M179" s="78" t="n"/>
      <c r="N179" s="78" t="n"/>
      <c r="O179" s="78" t="n"/>
      <c r="P179" s="78" t="n"/>
      <c r="Q179" s="78" t="n"/>
      <c r="R179" s="78" t="n"/>
      <c r="S179" s="79" t="n"/>
      <c r="T179" s="79" t="n"/>
      <c r="U179" s="79" t="n"/>
      <c r="V179" s="79" t="n"/>
      <c r="W179" s="79" t="n"/>
      <c r="X179" s="79" t="n"/>
      <c r="Y179" s="79" t="n"/>
      <c r="Z179" s="79" t="n"/>
      <c r="AA179" s="79" t="n"/>
      <c r="AB179" s="79" t="n"/>
      <c r="AC179" s="79" t="n"/>
      <c r="AD179" s="79" t="n"/>
      <c r="AE179" s="79" t="n"/>
      <c r="AF179" s="79" t="n"/>
      <c r="AG179" s="79" t="n"/>
      <c r="AH179" s="80" t="n"/>
      <c r="AI179" s="80" t="n"/>
      <c r="AJ179" s="80" t="n"/>
      <c r="AK179" s="80" t="n"/>
      <c r="AL179" s="80" t="n"/>
      <c r="AM179" s="80" t="n"/>
      <c r="AN179" s="80" t="n"/>
      <c r="AO179" s="80" t="n"/>
      <c r="AP179" s="80" t="n"/>
      <c r="AQ179" s="80" t="n"/>
      <c r="AR179" s="80" t="n"/>
      <c r="AS179" s="80" t="n"/>
      <c r="AT179" s="81" t="n"/>
      <c r="AU179" s="81" t="n"/>
      <c r="AV179" s="81" t="n"/>
      <c r="AW179" s="82" t="n"/>
      <c r="AX179" s="82" t="n"/>
      <c r="AY179" s="82" t="n"/>
      <c r="AZ179" s="82" t="n"/>
      <c r="BA179" s="82" t="n"/>
      <c r="BB179" s="83" t="n"/>
      <c r="BC179" s="83" t="n"/>
      <c r="BD179" s="84">
        <f>IF($A179="","",IF($DJ179&lt;&gt;"","FIX",IF($DK179&lt;&gt;"","CHECK","OK")))</f>
        <v/>
      </c>
      <c r="BE179" s="85">
        <f>IF($A179="","",IF($DJ179&lt;&gt;"","FIX: "&amp;LEFT($DJ179,LEN($DJ179)-2)&amp;IF($DK179&lt;&gt;"","  ·  ",""),"")&amp;IF($DK179&lt;&gt;"","CHECK: "&amp;LEFT($DK179,LEN($DK179)-2),""))</f>
        <v/>
      </c>
      <c r="BF179" s="84">
        <f>IF(OR($A179="",$K179=""),"",$K179&amp;"'-"&amp;N($L179)&amp;CHAR(34)&amp;" x "&amp;$M179&amp;"'-"&amp;N($N179)&amp;CHAR(34))</f>
        <v/>
      </c>
      <c r="BG179" s="84">
        <f>IF(OR($A179="",$K179=""),"",$K179&amp;N($L179)&amp;$M179&amp;N($N179))</f>
        <v/>
      </c>
      <c r="BH179" s="84">
        <f>IF(OR($A179="",$K179=""),"",$K179*12+N($L179))</f>
        <v/>
      </c>
      <c r="BI179" s="84">
        <f>IF(OR($A179="",$M179=""),"",$M179*12+N($N179))</f>
        <v/>
      </c>
      <c r="BJ179" s="84">
        <f>IF($A179="","",IF(OR($C179="FRAME ONLY",$S179="BL"),0,IF($O179="Y",2,1)))</f>
        <v/>
      </c>
      <c r="BK179" s="86">
        <f>IF(OR(N($BJ179)=0,$BH179=""),"",($BH179-2*EdgeClr-IF($BJ179=2,MeetClr,0))/$BJ179)</f>
        <v/>
      </c>
      <c r="BL179" s="86">
        <f>IF(OR(N($BJ179)=0,$BI179=""),"",$BI179-HeadClr-Undercut)</f>
        <v/>
      </c>
      <c r="BM179" s="86">
        <f>IF($BH179="","",$BH179+2*FaceW+IF(N($Q179)&gt;0,($Q179+FaceW)*IF($R179="LR",2,1),0))</f>
        <v/>
      </c>
      <c r="BN179" s="86">
        <f>IF($BI179="","",$BI179+IF($AB179="Y",4,FaceW)+IF(N($P179)&gt;0,$P179+FaceW,0)+IF(OR($S179="4F",$S179="BL"),FaceW,0))</f>
        <v/>
      </c>
      <c r="BO179" s="86">
        <f>IF($BM179="","",$BM179+2*ROSide)</f>
        <v/>
      </c>
      <c r="BP179" s="86">
        <f>IF($BN179="","",$BN179+ROTop)</f>
        <v/>
      </c>
      <c r="BQ179" s="87">
        <f>IF(OR(N($BJ179)=0,$BH179=""),"",$BH179/$BJ179-ClearDeduct)</f>
        <v/>
      </c>
      <c r="BR179" s="84">
        <f>IF(N($CH179)=0,"",IF($CH179&gt;=180,"A · 3 HR",IF($CH179&gt;=90,"B · 1-1/2 HR",IF($CH179&gt;=60,"B · 1 HR",IF($CH179&gt;=45,"C · 3/4 HR","20 MIN")))))&amp;IF(AND(N($CH179)&gt;0,OR($I179="CORRIDOR",$I179="SMOKE BARRIER"))," · S","")</f>
        <v/>
      </c>
      <c r="BS179" s="84">
        <f>IF($CS179,"",IF($AV179&lt;&gt;"",$AV179,IF(OR($AC179="HGC",$AO179="HGC"),"CONT",IF(($BI179-HeadClr-Undercut)&lt;=60,2,IF(($BI179-HeadClr-Undercut)&lt;=90,3,IF(($BI179-HeadClr-Undercut)&lt;=120,4,5))))))</f>
        <v/>
      </c>
      <c r="BT179" s="84">
        <f>IF($CS179,"",IF($CT179,"CUSTOM (typed)",IF($CV179,$AT179&amp;" "&amp;$CU179&amp;CHAR(34)&amp;IF($CU179&lt;&gt;$BI179,IF(AND($BI179&lt;$CU179,$BI179-IF(N(VLOOKUP($AT179&amp;"|"&amp;$CU179,LocTable,7,FALSE))&gt;0,VLOOKUP($AT179&amp;"|"&amp;$CU179,LocTable,7,FALSE),VLOOKUP($AT179&amp;"|"&amp;$CU179,LocTable,6,FALSE))-$CR179-0.75&gt;=2.125)," cut down"," adj."),""),"ANSI/SDI A250.6")))</f>
        <v/>
      </c>
      <c r="BU179" s="88">
        <f>IF($CS179,"",IF($CT179,IF(N($AW179)&gt;0,N($AW179),""),IF(1&gt;$CQ179,"",IF($CQ179=1,$CW179,$CW179+($CX179-$CW179)*0/($CQ179-1)))))</f>
        <v/>
      </c>
      <c r="BV179" s="88">
        <f>IF($CS179,"",IF($CT179,IF(N($AX179)&gt;0,N($AX179),""),IF(2&gt;$CQ179,"",IF($CQ179=1,$CW179,$CW179+($CX179-$CW179)*1/($CQ179-1)))))</f>
        <v/>
      </c>
      <c r="BW179" s="88">
        <f>IF($CS179,"",IF($CT179,IF(N($AY179)&gt;0,N($AY179),""),IF(3&gt;$CQ179,"",IF($CQ179=1,$CW179,$CW179+($CX179-$CW179)*2/($CQ179-1)))))</f>
        <v/>
      </c>
      <c r="BX179" s="88">
        <f>IF($CS179,"",IF($CT179,IF(N($AZ179)&gt;0,N($AZ179),""),IF(4&gt;$CQ179,"",IF($CQ179=1,$CW179,$CW179+($CX179-$CW179)*3/($CQ179-1)))))</f>
        <v/>
      </c>
      <c r="BY179" s="88">
        <f>IF($CS179,"",IF($CT179,"",IF(5&gt;$CQ179,"",IF($CQ179=1,$CW179,$CW179+($CX179-$CW179)*4/($CQ179-1)))))</f>
        <v/>
      </c>
      <c r="BZ179" s="88">
        <f>IF(OR($CS179,$AP179="-",AND($AP179="",$AD179="")),"",IF(N($BA179)&gt;0,N($BA179),IF($CV179,IF(AND($BI179&lt;$CU179,$BI179-IF(N(VLOOKUP($AT179&amp;"|"&amp;$CU179,LocTable,7,FALSE))&gt;0,VLOOKUP($AT179&amp;"|"&amp;$CU179,LocTable,7,FALSE),VLOOKUP($AT179&amp;"|"&amp;$CU179,LocTable,6,FALSE))-$CR179-0.75&gt;=2.125),VLOOKUP($AT179&amp;"|"&amp;$CU179,LocTable,8,FALSE),VLOOKUP($AT179&amp;"|"&amp;$CU179,LocTable,8,FALSE)+($BI179-$CU179)),$BI179-LockAFF)))</f>
        <v/>
      </c>
      <c r="CA179" s="89">
        <f>IF($BZ179="","",$BI179-$BZ179)</f>
        <v/>
      </c>
      <c r="CB179" s="84">
        <f>IF(OR(NOT(AND($A179&lt;&gt;"",$C179&lt;&gt;"DOOR ONLY")),$BI179=""),"",IF(($BI179+IF(N($P179)&gt;0,$P179+FaceW,0))&lt;=90,3,IF(($BI179+IF(N($P179)&gt;0,$P179+FaceW,0))&lt;=114,4,5)))</f>
        <v/>
      </c>
      <c r="CC179" s="84">
        <f>IF($CB179="","",$CB179*(2+IF(N($Q179)&gt;0,IF($R179="LR",2,1),0)))</f>
        <v/>
      </c>
      <c r="CD179" s="84">
        <f>IF($CB179="","",(2+IF(N($Q179)&gt;0,IF($R179="LR",2,1),0)))</f>
        <v/>
      </c>
      <c r="CE179" s="84">
        <f>IF(N($BJ179)=0,"",IF(OR($AL179="",$AL179="FLUSH"),"FLUSH",IFERROR(LEFT($AL179,FIND("-",$AL179)-1),LEFT($AL179,2))))</f>
        <v/>
      </c>
      <c r="CF179" s="84">
        <f>IF($CE179="","",IFERROR(VALUE(MID($AL179,FIND("-",$AL179)+1,FIND(CHAR(34)&amp;"x",$AL179)-FIND("-",$AL179)-1)),0))</f>
        <v/>
      </c>
      <c r="CG179" s="84">
        <f>IF($CE179="","",IFERROR(VALUE(MID($AL179,FIND(CHAR(34)&amp;"x",$AL179)+2,FIND(CHAR(34),$AL179,FIND(CHAR(34)&amp;"x",$AL179)+2)-FIND(CHAR(34)&amp;"x",$AL179)-2)),0))</f>
        <v/>
      </c>
      <c r="CH179" s="90">
        <f>IF(OR($A179="",$H179="",$H179="NO LAB"),0,IFERROR(VALUE(LEFT($H179,FIND(" ",$H179)-1)),0))</f>
        <v/>
      </c>
      <c r="CI179" s="91">
        <f>IF(OR($A179="",$I179="",$I179="NON-RATED",N($J179)=0),"",IFERROR(VLOOKUP($I179&amp;"|"&amp;$J179,IBC,2,FALSE),"?"))</f>
        <v/>
      </c>
      <c r="CJ179" s="85">
        <f>IF(NOT(AND($A179&lt;&gt;"",$C179&lt;&gt;"DOOR ONLY")),"",TRIM(IFERROR(VLOOKUP($U179,CODES,2,FALSE),"")&amp;" "&amp;$BG179&amp;" "&amp;IFERROR(VLOOKUP($Z179,CODES,2,FALSE),"")&amp;" "&amp;IFERROR(VLOOKUP($X179,CODES,2,FALSE),"")&amp;" "&amp;IFERROR(VLOOKUP($S179,CODES,2,FALSE),"")&amp;IF(N($P179)&gt;0," w/TRANSOM "&amp;$P179&amp;CHAR(34),"")&amp;IF(N($Q179)&gt;0," w/SIDELITE "&amp;$Q179&amp;CHAR(34)&amp;" "&amp;IF($R179="","R",$R179),"")&amp;IF($Y179="","  |  "," | "&amp;IFERROR(VLOOKUP($Y179,CODES,2,FALSE),"")&amp;" | ")&amp;IFERROR(VLOOKUP($AC179,CODES,2,FALSE),"")&amp;" "&amp;IFERROR(VLOOKUP($AD179,CODES,2,FALSE),"")&amp;IF(OR($AE179="",$AE179="-"),""," "&amp;$AE179)&amp;IF(OR($AF179="",$AF179="-"),""," "&amp;$AF179)&amp;IF($AB179="Y"," 4"&amp;CHAR(34)&amp;" HEAD","")&amp;" "&amp;IFERROR(VLOOKUP($H179,CODES,2,FALSE),"")&amp;IF($CT179," | LOC "&amp;$CY179,"")))</f>
        <v/>
      </c>
      <c r="CK179" s="85">
        <f>IF(NOT(AND($A179&lt;&gt;"",N($BJ179)&gt;0)),"",TRIM(IFERROR(VLOOKUP($AH179,CODES,2,FALSE),"")&amp;IF($AI179=""," "," "&amp;$AI179&amp;"GA ")&amp;$BG179&amp;" "&amp;IF($AN179="",IFERROR(VLOOKUP($Z179,CODES,2,FALSE),""),IFERROR(VLOOKUP($AN179,CODES,2,FALSE),""))&amp;IF($BJ179=2," PAIR","")&amp;" DOOR | "&amp;IF($AL179="","?",$AL179)&amp;" | "&amp;IF($AO179="",IFERROR(VLOOKUP($AC179,CODES,2,FALSE),""),IFERROR(VLOOKUP($AO179,CODES,2,FALSE),""))&amp;" "&amp;IFERROR(VLOOKUP($AP179,CODES,2,FALSE),"")&amp;IF(OR($AQ179="",$AQ179="-"),""," SEAM "&amp;$AQ179)&amp;IF($AR179="Y"," ASTRAGAL","")&amp;IF($AJ179=""," "," "&amp;$AJ179)&amp;IF($AK179=""," "," "&amp;$AK179)&amp;IF(OR($AT179="",$AT179="ANSI/SDI",$AT179="CUSTOM LOC"),""," "&amp;$AT179)&amp;IF($AM179=""," "," SERIES "&amp;$AM179)&amp;" "&amp;IFERROR(VLOOKUP($H179,CODES,2,FALSE),"")&amp;IF($CT179," | LOC "&amp;$CZ179,"")))</f>
        <v/>
      </c>
      <c r="CL179" s="84">
        <f>IF(CP179="","",IF(COUNTIF($CP$6:CP179,CP179)=1,MAX($CL$5:CL178)+1,INDEX($CL$5:CL178,MATCH(CP179,$CP$5:CP178,0))))</f>
        <v/>
      </c>
      <c r="CM179" s="84">
        <f>IF(NOT(AND($A179&lt;&gt;"",$C179&lt;&gt;"DOOR ONLY")),"",MAX($CM$5:CM178)+1)</f>
        <v/>
      </c>
      <c r="CN179" s="84">
        <f>IF(NOT(AND($A179&lt;&gt;"",N($BJ179)&gt;0)),"",MAX($CN$5:CN178)+1)</f>
        <v/>
      </c>
      <c r="CO179" s="84">
        <f>IF($A179="","",MAX($CO$5:CO178)+1)</f>
        <v/>
      </c>
      <c r="CP179" s="84">
        <f>IF(OR($A179="",$BH179="",$BI179=""),"",$BG179&amp;"|"&amp;$O179&amp;"|"&amp;$AL179&amp;"|"&amp;$S179&amp;"|"&amp;$P179&amp;"|"&amp;$Q179&amp;$R179&amp;"|"&amp;$C179&amp;"|"&amp;$AB179)</f>
        <v/>
      </c>
      <c r="CQ179" s="84">
        <f>N($BS179)</f>
        <v/>
      </c>
      <c r="CR179" s="84">
        <f>IF(N($AU179)&gt;0,N($AU179),4.5)</f>
        <v/>
      </c>
      <c r="CS179" s="84">
        <f>OR($A179="",$BI179="",$S179="BL",AND($C179="FRAME ONLY",OR($AC179="",$AC179="BLK")))</f>
        <v/>
      </c>
      <c r="CT179" s="84">
        <f>AND(NOT($CS179),OR($AT179="CUSTOM LOC",N($AW179)+N($AX179)+N($AY179)+N($AZ179)+N($BA179)&gt;0))</f>
        <v/>
      </c>
      <c r="CU179" s="84">
        <f>IF($BI179="","",IF($BI179&lt;=80,80,IF($BI179&lt;=84,84,96)))</f>
        <v/>
      </c>
      <c r="CV179" s="84">
        <f>ISNUMBER(MATCH($AT179&amp;"|80",LocKeys,0))</f>
        <v/>
      </c>
      <c r="CW179" s="86">
        <f>IF($CS179,"",IF($CV179,VLOOKUP($AT179&amp;"|"&amp;$CU179,LocTable,4,FALSE),5))</f>
        <v/>
      </c>
      <c r="CX179" s="86">
        <f>IF($CS179,"",IF($CV179,IF(OR($BI179=$CU179,AND($BI179&lt;$CU179,$BI179-IF(N(VLOOKUP($AT179&amp;"|"&amp;$CU179,LocTable,7,FALSE))&gt;0,VLOOKUP($AT179&amp;"|"&amp;$CU179,LocTable,7,FALSE),VLOOKUP($AT179&amp;"|"&amp;$CU179,LocTable,6,FALSE))-$CR179-0.75&gt;=2.125)),IF(N(VLOOKUP($AT179&amp;"|"&amp;$CU179,LocTable,7,FALSE))&gt;0,VLOOKUP($AT179&amp;"|"&amp;$CU179,LocTable,7,FALSE),VLOOKUP($AT179&amp;"|"&amp;$CU179,LocTable,6,FALSE)),$BI179-($CU179-IF(N(VLOOKUP($AT179&amp;"|"&amp;$CU179,LocTable,7,FALSE))&gt;0,VLOOKUP($AT179&amp;"|"&amp;$CU179,LocTable,7,FALSE),VLOOKUP($AT179&amp;"|"&amp;$CU179,LocTable,6,FALSE)))),$BI179-10-$CR179))</f>
        <v/>
      </c>
      <c r="CY179" s="85">
        <f>IF($CS179,"",TRIM(IF(ISNUMBER($BU179),"A "&amp;TRIM(TEXT($BU179,"# ?/??"))&amp;CHAR(34)&amp;"  ","")&amp;IF(ISNUMBER($BV179),"B "&amp;TRIM(TEXT($BV179,"# ?/??"))&amp;CHAR(34)&amp;"  ","")&amp;IF(ISNUMBER($BW179),"C "&amp;TRIM(TEXT($BW179,"# ?/??"))&amp;CHAR(34)&amp;"  ","")&amp;IF(ISNUMBER($BX179),"D "&amp;TRIM(TEXT($BX179,"# ?/??"))&amp;CHAR(34)&amp;"  ","")&amp;IF(ISNUMBER($BY179),"F "&amp;TRIM(TEXT($BY179,"# ?/??"))&amp;CHAR(34)&amp;"  ","")&amp;IF(ISNUMBER($BZ179),"E "&amp;TRIM(TEXT($BZ179,"# ?/??"))&amp;CHAR(34)&amp;"  ","")))</f>
        <v/>
      </c>
      <c r="CZ179" s="85">
        <f>IF(OR($CS179,N($BJ179)=0),"",TRIM(IF(ISNUMBER($BU179),"A "&amp;TRIM(TEXT($BU179-HeadClr,"# ?/??"))&amp;CHAR(34)&amp;"  ","")&amp;IF(ISNUMBER($BV179),"B "&amp;TRIM(TEXT($BV179-HeadClr,"# ?/??"))&amp;CHAR(34)&amp;"  ","")&amp;IF(ISNUMBER($BW179),"C "&amp;TRIM(TEXT($BW179-HeadClr,"# ?/??"))&amp;CHAR(34)&amp;"  ","")&amp;IF(ISNUMBER($BX179),"D "&amp;TRIM(TEXT($BX179-HeadClr,"# ?/??"))&amp;CHAR(34)&amp;"  ","")&amp;IF(ISNUMBER($BY179),"F "&amp;TRIM(TEXT($BY179-HeadClr,"# ?/??"))&amp;CHAR(34)&amp;"  ","")&amp;IF(ISNUMBER($BZ179),"E "&amp;TRIM(TEXT($BZ179-HeadClr,"# ?/??"))&amp;CHAR(34)&amp;"  ","")))</f>
        <v/>
      </c>
      <c r="DA179" s="84">
        <f>IF($A179="","",IF($AN179="",IFERROR(VLOOKUP($Z179,CODES,2,FALSE),""),IFERROR(VLOOKUP($AN179,CODES,2,FALSE),"")))</f>
        <v/>
      </c>
      <c r="DB179" s="84">
        <f>IF($A179="","",IF($O179="Y","PR",IF(OR($Z179="L",$Z179="RR",LEFT($Z179,2)="L-",LEFT($Z179,3)="RR-"),"LH","RH")))</f>
        <v/>
      </c>
      <c r="DC179" s="84">
        <f>IF($A179="","","S.HM"&amp;IF(OR($C179="DOOR ONLY",$X179&lt;&gt;"KD"),"MASONRY","DRYWALL")&amp;IF($C179="DOOR ONLY","",$U179)&amp;IF(AND($C179&lt;&gt;"FRAME ONLY",OR(LEFT($AH179,3)="OAK",LEFT($AH179,3)="BIR",LEFT($AH179,3)="MAP",$AH179="PC",$AH179="MC",$AH179="SCLC",$AH179="P-LAM")),"WD","HM")&amp;"1.75")</f>
        <v/>
      </c>
      <c r="DD179" s="84">
        <f>IF($CJ179="","",IF($O179="Y",$CJ179,SUBSTITUTE($CJ179,$BG179&amp;" "&amp;IFERROR(VLOOKUP($Z179,CODES,2,FALSE),"")&amp;" ",$BG179&amp;" ")))</f>
        <v/>
      </c>
      <c r="DE179" s="84">
        <f>IF($CK179="","",IF($O179="Y",$CK179,SUBSTITUTE($CK179,$BG179&amp;" "&amp;IF($AN179="",IFERROR(VLOOKUP($Z179,CODES,2,FALSE),""),IFERROR(VLOOKUP($AN179,CODES,2,FALSE),""))&amp;" ",$BG179&amp;" ")))</f>
        <v/>
      </c>
      <c r="DF179" s="84">
        <f>IF($CJ179="","",$DC179&amp;"|"&amp;$DD179&amp;"|"&amp;$DB179&amp;"|"&amp;$AT179&amp;"|"&amp;$V179&amp;"|"&amp;$Y179&amp;"|"&amp;$AB179)</f>
        <v/>
      </c>
      <c r="DG179" s="84">
        <f>IF(DF179="","",IF(COUNTIF($DF$6:DF179,DF179)=1,MAX($DG$5:DG178)+1,INDEX($DG$5:DG178,MATCH(DF179,$DF$5:DF178,0))))</f>
        <v/>
      </c>
      <c r="DH179" s="84">
        <f>IF($CK179="","",$DC179&amp;"|"&amp;$DE179&amp;"|"&amp;$AI179&amp;"|"&amp;$BK179&amp;"|"&amp;$BL179)</f>
        <v/>
      </c>
      <c r="DI179" s="84">
        <f>IF(DH179="","",IF(COUNTIF($DH$6:DH179,DH179)=1,MAX($DI$5:DI178)+1,INDEX($DI$5:DI178,MATCH(DH179,$DH$5:DH178,0))))</f>
        <v/>
      </c>
      <c r="DJ179" s="84">
        <f>IF($A179="","",IF($B179="","qty, ","")&amp;IF($C179="","scope, ","")&amp;IF(OR($K179="",$M179=""),"size, ","")&amp;IF(AND($A179&lt;&gt;"",$C179&lt;&gt;"DOOR ONLY"),IF($U179="","jamb depth, ","")&amp;IF($X179="","construction, ","")&amp;IF($Y179="","anchor, ","")&amp;IF($S179="","frame type, ",""),"")&amp;IF(AND(N($BJ179)&gt;0,$Z179=""),"hand, ","")&amp;IF(N($BJ179)&gt;0,IF($AH179="","door material, ","")&amp;IF($AL179="","face type, ","")&amp;IF($AP179="","lock prep, ","")&amp;IF(AND($AO179="",$AC179=""),"hinge prep, ",""),"")&amp;IF(AND($CH179&gt;0,$AH179="FRP"),"FRP cannot carry a label, ","")&amp;IF(AND($O179="Y",OR($Z179="L",$Z179="R",$Z179="LR",$Z179="RR")),"pair marked but hand is single, ","")&amp;IF(AND($O179&lt;&gt;"Y",OR($Z179="PR",AND(LEN($Z179)&gt;1,ISNUMBER(SEARCH("-",$Z179))))),"pair hand on a single door, ","")&amp;IF(AND(ISNUMBER($CI179),$CH179&lt;N($CI179)),"wall needs a "&amp;$CI179&amp;" min door, ","")&amp;IF(AND($CH179&gt;=180,AND(OR($CE179="FG",$CE179="HG",$CE179="FNV",$CE179="FV"),N($CF179)*N($CG179)&gt;100)),"180 min lite over 100 sq in, ","")&amp;IF(N($BK179)&gt;48,"leaf wider than 4'-0"&amp;CHAR(34)&amp;", ","")&amp;IF(AND($CT179,COUNT($AW179:$AZ179)=0,$CQ179&gt;0),"CUSTOM LOC with no locations typed, ",""))</f>
        <v/>
      </c>
      <c r="DK179" s="84">
        <f>IF($A179="","",IF(AND($CH179&gt;0,AND($A179&lt;&gt;"",$C179&lt;&gt;"DOOR ONLY"),$X179="KD",$E179="EXTERIOR"),"KD label on an exterior opening, ","")&amp;IF(AND($E179="EXTERIOR",OR(AND(AND($A179&lt;&gt;"",$C179&lt;&gt;"DOOR ONLY"),$W179="CR"),AND(N($BJ179)&gt;0,$AH179="CR"))),"exterior in CR steel (G9?), ","")&amp;IF(AND(ISNUMBER($BQ179),N($BQ179)&lt;32),"clear width ~"&amp;TEXT($BQ179,"0.0")&amp;CHAR(34)&amp;" under 32"&amp;CHAR(34)&amp;" (ADA), ","")&amp;IF(AND($CH179=90,AND(OR($CE179="FG",$CE179="HG",$CE179="FNV",$CE179="FV"),N($CF179)*N($CG179)&gt;100)),"90 min lite over 100 sq in (stair/exit), ","")&amp;IF(AND($CH179&gt;0,AND($A179&lt;&gt;"",$C179&lt;&gt;"DOOR ONLY"),OR($AF179="",$AF179="-")),"rated: closer reinf.?, ","")&amp;IF(OR($I179="CORRIDOR",$I179="SMOKE BARRIER"),"S label + smoke gasketing, ","")&amp;IF($CI179="?","wall type/hr not in IBC table, ","")&amp;IF(AND(N($BJ179)&gt;0,$BB179=""),"no hardware set, ","")&amp;IF(AND($BB179&lt;&gt;"",ISNA(MATCH($BB179&amp;"",HWSets,0))),"set "&amp;$BB179&amp;" not on HW Sets, ","")&amp;IF(N($BL179)&gt;96,"leaf over 8'-0"&amp;CHAR(34)&amp;" - check listing, ","")&amp;IF(AND($CT179,COUNT($AW179:$AZ179)&gt;0,COUNT($AW179:$AZ179)&lt;&gt;$CQ179),COUNT($AW179:$AZ179)&amp;" custom hinges typed, "&amp;$CQ179&amp;" expected, ","")&amp;IF(AND(ISNUMBER($CA179),OR(N($CA179)&lt;34,N($CA179)&gt;48)),"lock "&amp;TEXT($CA179,"0.0")&amp;CHAR(34)&amp;" AFF outside 34-48"&amp;CHAR(34)&amp;" (ADA), ","")&amp;IF(AND(ISNUMBER($AV179),ISNUMBER($BL179),N($AV179)&lt;IF(N($BL179)&lt;=60,2,IF(N($BL179)&lt;=90,3,IF(N($BL179)&lt;=120,4,5)))),"fewer hinges than standard, ",""))</f>
        <v/>
      </c>
    </row>
    <row r="180" ht="15" customHeight="1">
      <c r="A180" s="92" t="n"/>
      <c r="B180" s="93" t="n"/>
      <c r="C180" s="93" t="n"/>
      <c r="D180" s="93" t="n"/>
      <c r="E180" s="93" t="n"/>
      <c r="F180" s="93" t="n"/>
      <c r="G180" s="93" t="n"/>
      <c r="H180" s="93" t="n"/>
      <c r="I180" s="93" t="n"/>
      <c r="J180" s="93" t="n"/>
      <c r="K180" s="93" t="n"/>
      <c r="L180" s="93" t="n"/>
      <c r="M180" s="93" t="n"/>
      <c r="N180" s="93" t="n"/>
      <c r="O180" s="93" t="n"/>
      <c r="P180" s="93" t="n"/>
      <c r="Q180" s="93" t="n"/>
      <c r="R180" s="93" t="n"/>
      <c r="S180" s="94" t="n"/>
      <c r="T180" s="94" t="n"/>
      <c r="U180" s="94" t="n"/>
      <c r="V180" s="94" t="n"/>
      <c r="W180" s="94" t="n"/>
      <c r="X180" s="94" t="n"/>
      <c r="Y180" s="94" t="n"/>
      <c r="Z180" s="94" t="n"/>
      <c r="AA180" s="94" t="n"/>
      <c r="AB180" s="94" t="n"/>
      <c r="AC180" s="94" t="n"/>
      <c r="AD180" s="94" t="n"/>
      <c r="AE180" s="94" t="n"/>
      <c r="AF180" s="94" t="n"/>
      <c r="AG180" s="94" t="n"/>
      <c r="AH180" s="95" t="n"/>
      <c r="AI180" s="95" t="n"/>
      <c r="AJ180" s="95" t="n"/>
      <c r="AK180" s="95" t="n"/>
      <c r="AL180" s="95" t="n"/>
      <c r="AM180" s="95" t="n"/>
      <c r="AN180" s="95" t="n"/>
      <c r="AO180" s="95" t="n"/>
      <c r="AP180" s="95" t="n"/>
      <c r="AQ180" s="95" t="n"/>
      <c r="AR180" s="95" t="n"/>
      <c r="AS180" s="95" t="n"/>
      <c r="AT180" s="96" t="n"/>
      <c r="AU180" s="96" t="n"/>
      <c r="AV180" s="96" t="n"/>
      <c r="AW180" s="97" t="n"/>
      <c r="AX180" s="97" t="n"/>
      <c r="AY180" s="97" t="n"/>
      <c r="AZ180" s="97" t="n"/>
      <c r="BA180" s="97" t="n"/>
      <c r="BB180" s="98" t="n"/>
      <c r="BC180" s="98" t="n"/>
      <c r="BD180" s="99">
        <f>IF($A180="","",IF($DJ180&lt;&gt;"","FIX",IF($DK180&lt;&gt;"","CHECK","OK")))</f>
        <v/>
      </c>
      <c r="BE180" s="100">
        <f>IF($A180="","",IF($DJ180&lt;&gt;"","FIX: "&amp;LEFT($DJ180,LEN($DJ180)-2)&amp;IF($DK180&lt;&gt;"","  ·  ",""),"")&amp;IF($DK180&lt;&gt;"","CHECK: "&amp;LEFT($DK180,LEN($DK180)-2),""))</f>
        <v/>
      </c>
      <c r="BF180" s="99">
        <f>IF(OR($A180="",$K180=""),"",$K180&amp;"'-"&amp;N($L180)&amp;CHAR(34)&amp;" x "&amp;$M180&amp;"'-"&amp;N($N180)&amp;CHAR(34))</f>
        <v/>
      </c>
      <c r="BG180" s="99">
        <f>IF(OR($A180="",$K180=""),"",$K180&amp;N($L180)&amp;$M180&amp;N($N180))</f>
        <v/>
      </c>
      <c r="BH180" s="99">
        <f>IF(OR($A180="",$K180=""),"",$K180*12+N($L180))</f>
        <v/>
      </c>
      <c r="BI180" s="99">
        <f>IF(OR($A180="",$M180=""),"",$M180*12+N($N180))</f>
        <v/>
      </c>
      <c r="BJ180" s="99">
        <f>IF($A180="","",IF(OR($C180="FRAME ONLY",$S180="BL"),0,IF($O180="Y",2,1)))</f>
        <v/>
      </c>
      <c r="BK180" s="101">
        <f>IF(OR(N($BJ180)=0,$BH180=""),"",($BH180-2*EdgeClr-IF($BJ180=2,MeetClr,0))/$BJ180)</f>
        <v/>
      </c>
      <c r="BL180" s="101">
        <f>IF(OR(N($BJ180)=0,$BI180=""),"",$BI180-HeadClr-Undercut)</f>
        <v/>
      </c>
      <c r="BM180" s="101">
        <f>IF($BH180="","",$BH180+2*FaceW+IF(N($Q180)&gt;0,($Q180+FaceW)*IF($R180="LR",2,1),0))</f>
        <v/>
      </c>
      <c r="BN180" s="101">
        <f>IF($BI180="","",$BI180+IF($AB180="Y",4,FaceW)+IF(N($P180)&gt;0,$P180+FaceW,0)+IF(OR($S180="4F",$S180="BL"),FaceW,0))</f>
        <v/>
      </c>
      <c r="BO180" s="101">
        <f>IF($BM180="","",$BM180+2*ROSide)</f>
        <v/>
      </c>
      <c r="BP180" s="101">
        <f>IF($BN180="","",$BN180+ROTop)</f>
        <v/>
      </c>
      <c r="BQ180" s="102">
        <f>IF(OR(N($BJ180)=0,$BH180=""),"",$BH180/$BJ180-ClearDeduct)</f>
        <v/>
      </c>
      <c r="BR180" s="99">
        <f>IF(N($CH180)=0,"",IF($CH180&gt;=180,"A · 3 HR",IF($CH180&gt;=90,"B · 1-1/2 HR",IF($CH180&gt;=60,"B · 1 HR",IF($CH180&gt;=45,"C · 3/4 HR","20 MIN")))))&amp;IF(AND(N($CH180)&gt;0,OR($I180="CORRIDOR",$I180="SMOKE BARRIER"))," · S","")</f>
        <v/>
      </c>
      <c r="BS180" s="99">
        <f>IF($CS180,"",IF($AV180&lt;&gt;"",$AV180,IF(OR($AC180="HGC",$AO180="HGC"),"CONT",IF(($BI180-HeadClr-Undercut)&lt;=60,2,IF(($BI180-HeadClr-Undercut)&lt;=90,3,IF(($BI180-HeadClr-Undercut)&lt;=120,4,5))))))</f>
        <v/>
      </c>
      <c r="BT180" s="99">
        <f>IF($CS180,"",IF($CT180,"CUSTOM (typed)",IF($CV180,$AT180&amp;" "&amp;$CU180&amp;CHAR(34)&amp;IF($CU180&lt;&gt;$BI180,IF(AND($BI180&lt;$CU180,$BI180-IF(N(VLOOKUP($AT180&amp;"|"&amp;$CU180,LocTable,7,FALSE))&gt;0,VLOOKUP($AT180&amp;"|"&amp;$CU180,LocTable,7,FALSE),VLOOKUP($AT180&amp;"|"&amp;$CU180,LocTable,6,FALSE))-$CR180-0.75&gt;=2.125)," cut down"," adj."),""),"ANSI/SDI A250.6")))</f>
        <v/>
      </c>
      <c r="BU180" s="103">
        <f>IF($CS180,"",IF($CT180,IF(N($AW180)&gt;0,N($AW180),""),IF(1&gt;$CQ180,"",IF($CQ180=1,$CW180,$CW180+($CX180-$CW180)*0/($CQ180-1)))))</f>
        <v/>
      </c>
      <c r="BV180" s="103">
        <f>IF($CS180,"",IF($CT180,IF(N($AX180)&gt;0,N($AX180),""),IF(2&gt;$CQ180,"",IF($CQ180=1,$CW180,$CW180+($CX180-$CW180)*1/($CQ180-1)))))</f>
        <v/>
      </c>
      <c r="BW180" s="103">
        <f>IF($CS180,"",IF($CT180,IF(N($AY180)&gt;0,N($AY180),""),IF(3&gt;$CQ180,"",IF($CQ180=1,$CW180,$CW180+($CX180-$CW180)*2/($CQ180-1)))))</f>
        <v/>
      </c>
      <c r="BX180" s="103">
        <f>IF($CS180,"",IF($CT180,IF(N($AZ180)&gt;0,N($AZ180),""),IF(4&gt;$CQ180,"",IF($CQ180=1,$CW180,$CW180+($CX180-$CW180)*3/($CQ180-1)))))</f>
        <v/>
      </c>
      <c r="BY180" s="103">
        <f>IF($CS180,"",IF($CT180,"",IF(5&gt;$CQ180,"",IF($CQ180=1,$CW180,$CW180+($CX180-$CW180)*4/($CQ180-1)))))</f>
        <v/>
      </c>
      <c r="BZ180" s="103">
        <f>IF(OR($CS180,$AP180="-",AND($AP180="",$AD180="")),"",IF(N($BA180)&gt;0,N($BA180),IF($CV180,IF(AND($BI180&lt;$CU180,$BI180-IF(N(VLOOKUP($AT180&amp;"|"&amp;$CU180,LocTable,7,FALSE))&gt;0,VLOOKUP($AT180&amp;"|"&amp;$CU180,LocTable,7,FALSE),VLOOKUP($AT180&amp;"|"&amp;$CU180,LocTable,6,FALSE))-$CR180-0.75&gt;=2.125),VLOOKUP($AT180&amp;"|"&amp;$CU180,LocTable,8,FALSE),VLOOKUP($AT180&amp;"|"&amp;$CU180,LocTable,8,FALSE)+($BI180-$CU180)),$BI180-LockAFF)))</f>
        <v/>
      </c>
      <c r="CA180" s="104">
        <f>IF($BZ180="","",$BI180-$BZ180)</f>
        <v/>
      </c>
      <c r="CB180" s="99">
        <f>IF(OR(NOT(AND($A180&lt;&gt;"",$C180&lt;&gt;"DOOR ONLY")),$BI180=""),"",IF(($BI180+IF(N($P180)&gt;0,$P180+FaceW,0))&lt;=90,3,IF(($BI180+IF(N($P180)&gt;0,$P180+FaceW,0))&lt;=114,4,5)))</f>
        <v/>
      </c>
      <c r="CC180" s="99">
        <f>IF($CB180="","",$CB180*(2+IF(N($Q180)&gt;0,IF($R180="LR",2,1),0)))</f>
        <v/>
      </c>
      <c r="CD180" s="99">
        <f>IF($CB180="","",(2+IF(N($Q180)&gt;0,IF($R180="LR",2,1),0)))</f>
        <v/>
      </c>
      <c r="CE180" s="99">
        <f>IF(N($BJ180)=0,"",IF(OR($AL180="",$AL180="FLUSH"),"FLUSH",IFERROR(LEFT($AL180,FIND("-",$AL180)-1),LEFT($AL180,2))))</f>
        <v/>
      </c>
      <c r="CF180" s="99">
        <f>IF($CE180="","",IFERROR(VALUE(MID($AL180,FIND("-",$AL180)+1,FIND(CHAR(34)&amp;"x",$AL180)-FIND("-",$AL180)-1)),0))</f>
        <v/>
      </c>
      <c r="CG180" s="99">
        <f>IF($CE180="","",IFERROR(VALUE(MID($AL180,FIND(CHAR(34)&amp;"x",$AL180)+2,FIND(CHAR(34),$AL180,FIND(CHAR(34)&amp;"x",$AL180)+2)-FIND(CHAR(34)&amp;"x",$AL180)-2)),0))</f>
        <v/>
      </c>
      <c r="CH180" s="105">
        <f>IF(OR($A180="",$H180="",$H180="NO LAB"),0,IFERROR(VALUE(LEFT($H180,FIND(" ",$H180)-1)),0))</f>
        <v/>
      </c>
      <c r="CI180" s="106">
        <f>IF(OR($A180="",$I180="",$I180="NON-RATED",N($J180)=0),"",IFERROR(VLOOKUP($I180&amp;"|"&amp;$J180,IBC,2,FALSE),"?"))</f>
        <v/>
      </c>
      <c r="CJ180" s="100">
        <f>IF(NOT(AND($A180&lt;&gt;"",$C180&lt;&gt;"DOOR ONLY")),"",TRIM(IFERROR(VLOOKUP($U180,CODES,2,FALSE),"")&amp;" "&amp;$BG180&amp;" "&amp;IFERROR(VLOOKUP($Z180,CODES,2,FALSE),"")&amp;" "&amp;IFERROR(VLOOKUP($X180,CODES,2,FALSE),"")&amp;" "&amp;IFERROR(VLOOKUP($S180,CODES,2,FALSE),"")&amp;IF(N($P180)&gt;0," w/TRANSOM "&amp;$P180&amp;CHAR(34),"")&amp;IF(N($Q180)&gt;0," w/SIDELITE "&amp;$Q180&amp;CHAR(34)&amp;" "&amp;IF($R180="","R",$R180),"")&amp;IF($Y180="","  |  "," | "&amp;IFERROR(VLOOKUP($Y180,CODES,2,FALSE),"")&amp;" | ")&amp;IFERROR(VLOOKUP($AC180,CODES,2,FALSE),"")&amp;" "&amp;IFERROR(VLOOKUP($AD180,CODES,2,FALSE),"")&amp;IF(OR($AE180="",$AE180="-"),""," "&amp;$AE180)&amp;IF(OR($AF180="",$AF180="-"),""," "&amp;$AF180)&amp;IF($AB180="Y"," 4"&amp;CHAR(34)&amp;" HEAD","")&amp;" "&amp;IFERROR(VLOOKUP($H180,CODES,2,FALSE),"")&amp;IF($CT180," | LOC "&amp;$CY180,"")))</f>
        <v/>
      </c>
      <c r="CK180" s="100">
        <f>IF(NOT(AND($A180&lt;&gt;"",N($BJ180)&gt;0)),"",TRIM(IFERROR(VLOOKUP($AH180,CODES,2,FALSE),"")&amp;IF($AI180=""," "," "&amp;$AI180&amp;"GA ")&amp;$BG180&amp;" "&amp;IF($AN180="",IFERROR(VLOOKUP($Z180,CODES,2,FALSE),""),IFERROR(VLOOKUP($AN180,CODES,2,FALSE),""))&amp;IF($BJ180=2," PAIR","")&amp;" DOOR | "&amp;IF($AL180="","?",$AL180)&amp;" | "&amp;IF($AO180="",IFERROR(VLOOKUP($AC180,CODES,2,FALSE),""),IFERROR(VLOOKUP($AO180,CODES,2,FALSE),""))&amp;" "&amp;IFERROR(VLOOKUP($AP180,CODES,2,FALSE),"")&amp;IF(OR($AQ180="",$AQ180="-"),""," SEAM "&amp;$AQ180)&amp;IF($AR180="Y"," ASTRAGAL","")&amp;IF($AJ180=""," "," "&amp;$AJ180)&amp;IF($AK180=""," "," "&amp;$AK180)&amp;IF(OR($AT180="",$AT180="ANSI/SDI",$AT180="CUSTOM LOC"),""," "&amp;$AT180)&amp;IF($AM180=""," "," SERIES "&amp;$AM180)&amp;" "&amp;IFERROR(VLOOKUP($H180,CODES,2,FALSE),"")&amp;IF($CT180," | LOC "&amp;$CZ180,"")))</f>
        <v/>
      </c>
      <c r="CL180" s="99">
        <f>IF(CP180="","",IF(COUNTIF($CP$6:CP180,CP180)=1,MAX($CL$5:CL179)+1,INDEX($CL$5:CL179,MATCH(CP180,$CP$5:CP179,0))))</f>
        <v/>
      </c>
      <c r="CM180" s="99">
        <f>IF(NOT(AND($A180&lt;&gt;"",$C180&lt;&gt;"DOOR ONLY")),"",MAX($CM$5:CM179)+1)</f>
        <v/>
      </c>
      <c r="CN180" s="99">
        <f>IF(NOT(AND($A180&lt;&gt;"",N($BJ180)&gt;0)),"",MAX($CN$5:CN179)+1)</f>
        <v/>
      </c>
      <c r="CO180" s="99">
        <f>IF($A180="","",MAX($CO$5:CO179)+1)</f>
        <v/>
      </c>
      <c r="CP180" s="99">
        <f>IF(OR($A180="",$BH180="",$BI180=""),"",$BG180&amp;"|"&amp;$O180&amp;"|"&amp;$AL180&amp;"|"&amp;$S180&amp;"|"&amp;$P180&amp;"|"&amp;$Q180&amp;$R180&amp;"|"&amp;$C180&amp;"|"&amp;$AB180)</f>
        <v/>
      </c>
      <c r="CQ180" s="99">
        <f>N($BS180)</f>
        <v/>
      </c>
      <c r="CR180" s="99">
        <f>IF(N($AU180)&gt;0,N($AU180),4.5)</f>
        <v/>
      </c>
      <c r="CS180" s="99">
        <f>OR($A180="",$BI180="",$S180="BL",AND($C180="FRAME ONLY",OR($AC180="",$AC180="BLK")))</f>
        <v/>
      </c>
      <c r="CT180" s="99">
        <f>AND(NOT($CS180),OR($AT180="CUSTOM LOC",N($AW180)+N($AX180)+N($AY180)+N($AZ180)+N($BA180)&gt;0))</f>
        <v/>
      </c>
      <c r="CU180" s="99">
        <f>IF($BI180="","",IF($BI180&lt;=80,80,IF($BI180&lt;=84,84,96)))</f>
        <v/>
      </c>
      <c r="CV180" s="99">
        <f>ISNUMBER(MATCH($AT180&amp;"|80",LocKeys,0))</f>
        <v/>
      </c>
      <c r="CW180" s="101">
        <f>IF($CS180,"",IF($CV180,VLOOKUP($AT180&amp;"|"&amp;$CU180,LocTable,4,FALSE),5))</f>
        <v/>
      </c>
      <c r="CX180" s="101">
        <f>IF($CS180,"",IF($CV180,IF(OR($BI180=$CU180,AND($BI180&lt;$CU180,$BI180-IF(N(VLOOKUP($AT180&amp;"|"&amp;$CU180,LocTable,7,FALSE))&gt;0,VLOOKUP($AT180&amp;"|"&amp;$CU180,LocTable,7,FALSE),VLOOKUP($AT180&amp;"|"&amp;$CU180,LocTable,6,FALSE))-$CR180-0.75&gt;=2.125)),IF(N(VLOOKUP($AT180&amp;"|"&amp;$CU180,LocTable,7,FALSE))&gt;0,VLOOKUP($AT180&amp;"|"&amp;$CU180,LocTable,7,FALSE),VLOOKUP($AT180&amp;"|"&amp;$CU180,LocTable,6,FALSE)),$BI180-($CU180-IF(N(VLOOKUP($AT180&amp;"|"&amp;$CU180,LocTable,7,FALSE))&gt;0,VLOOKUP($AT180&amp;"|"&amp;$CU180,LocTable,7,FALSE),VLOOKUP($AT180&amp;"|"&amp;$CU180,LocTable,6,FALSE)))),$BI180-10-$CR180))</f>
        <v/>
      </c>
      <c r="CY180" s="100">
        <f>IF($CS180,"",TRIM(IF(ISNUMBER($BU180),"A "&amp;TRIM(TEXT($BU180,"# ?/??"))&amp;CHAR(34)&amp;"  ","")&amp;IF(ISNUMBER($BV180),"B "&amp;TRIM(TEXT($BV180,"# ?/??"))&amp;CHAR(34)&amp;"  ","")&amp;IF(ISNUMBER($BW180),"C "&amp;TRIM(TEXT($BW180,"# ?/??"))&amp;CHAR(34)&amp;"  ","")&amp;IF(ISNUMBER($BX180),"D "&amp;TRIM(TEXT($BX180,"# ?/??"))&amp;CHAR(34)&amp;"  ","")&amp;IF(ISNUMBER($BY180),"F "&amp;TRIM(TEXT($BY180,"# ?/??"))&amp;CHAR(34)&amp;"  ","")&amp;IF(ISNUMBER($BZ180),"E "&amp;TRIM(TEXT($BZ180,"# ?/??"))&amp;CHAR(34)&amp;"  ","")))</f>
        <v/>
      </c>
      <c r="CZ180" s="100">
        <f>IF(OR($CS180,N($BJ180)=0),"",TRIM(IF(ISNUMBER($BU180),"A "&amp;TRIM(TEXT($BU180-HeadClr,"# ?/??"))&amp;CHAR(34)&amp;"  ","")&amp;IF(ISNUMBER($BV180),"B "&amp;TRIM(TEXT($BV180-HeadClr,"# ?/??"))&amp;CHAR(34)&amp;"  ","")&amp;IF(ISNUMBER($BW180),"C "&amp;TRIM(TEXT($BW180-HeadClr,"# ?/??"))&amp;CHAR(34)&amp;"  ","")&amp;IF(ISNUMBER($BX180),"D "&amp;TRIM(TEXT($BX180-HeadClr,"# ?/??"))&amp;CHAR(34)&amp;"  ","")&amp;IF(ISNUMBER($BY180),"F "&amp;TRIM(TEXT($BY180-HeadClr,"# ?/??"))&amp;CHAR(34)&amp;"  ","")&amp;IF(ISNUMBER($BZ180),"E "&amp;TRIM(TEXT($BZ180-HeadClr,"# ?/??"))&amp;CHAR(34)&amp;"  ","")))</f>
        <v/>
      </c>
      <c r="DA180" s="99">
        <f>IF($A180="","",IF($AN180="",IFERROR(VLOOKUP($Z180,CODES,2,FALSE),""),IFERROR(VLOOKUP($AN180,CODES,2,FALSE),"")))</f>
        <v/>
      </c>
      <c r="DB180" s="99">
        <f>IF($A180="","",IF($O180="Y","PR",IF(OR($Z180="L",$Z180="RR",LEFT($Z180,2)="L-",LEFT($Z180,3)="RR-"),"LH","RH")))</f>
        <v/>
      </c>
      <c r="DC180" s="99">
        <f>IF($A180="","","S.HM"&amp;IF(OR($C180="DOOR ONLY",$X180&lt;&gt;"KD"),"MASONRY","DRYWALL")&amp;IF($C180="DOOR ONLY","",$U180)&amp;IF(AND($C180&lt;&gt;"FRAME ONLY",OR(LEFT($AH180,3)="OAK",LEFT($AH180,3)="BIR",LEFT($AH180,3)="MAP",$AH180="PC",$AH180="MC",$AH180="SCLC",$AH180="P-LAM")),"WD","HM")&amp;"1.75")</f>
        <v/>
      </c>
      <c r="DD180" s="99">
        <f>IF($CJ180="","",IF($O180="Y",$CJ180,SUBSTITUTE($CJ180,$BG180&amp;" "&amp;IFERROR(VLOOKUP($Z180,CODES,2,FALSE),"")&amp;" ",$BG180&amp;" ")))</f>
        <v/>
      </c>
      <c r="DE180" s="99">
        <f>IF($CK180="","",IF($O180="Y",$CK180,SUBSTITUTE($CK180,$BG180&amp;" "&amp;IF($AN180="",IFERROR(VLOOKUP($Z180,CODES,2,FALSE),""),IFERROR(VLOOKUP($AN180,CODES,2,FALSE),""))&amp;" ",$BG180&amp;" ")))</f>
        <v/>
      </c>
      <c r="DF180" s="99">
        <f>IF($CJ180="","",$DC180&amp;"|"&amp;$DD180&amp;"|"&amp;$DB180&amp;"|"&amp;$AT180&amp;"|"&amp;$V180&amp;"|"&amp;$Y180&amp;"|"&amp;$AB180)</f>
        <v/>
      </c>
      <c r="DG180" s="99">
        <f>IF(DF180="","",IF(COUNTIF($DF$6:DF180,DF180)=1,MAX($DG$5:DG179)+1,INDEX($DG$5:DG179,MATCH(DF180,$DF$5:DF179,0))))</f>
        <v/>
      </c>
      <c r="DH180" s="99">
        <f>IF($CK180="","",$DC180&amp;"|"&amp;$DE180&amp;"|"&amp;$AI180&amp;"|"&amp;$BK180&amp;"|"&amp;$BL180)</f>
        <v/>
      </c>
      <c r="DI180" s="99">
        <f>IF(DH180="","",IF(COUNTIF($DH$6:DH180,DH180)=1,MAX($DI$5:DI179)+1,INDEX($DI$5:DI179,MATCH(DH180,$DH$5:DH179,0))))</f>
        <v/>
      </c>
      <c r="DJ180" s="99">
        <f>IF($A180="","",IF($B180="","qty, ","")&amp;IF($C180="","scope, ","")&amp;IF(OR($K180="",$M180=""),"size, ","")&amp;IF(AND($A180&lt;&gt;"",$C180&lt;&gt;"DOOR ONLY"),IF($U180="","jamb depth, ","")&amp;IF($X180="","construction, ","")&amp;IF($Y180="","anchor, ","")&amp;IF($S180="","frame type, ",""),"")&amp;IF(AND(N($BJ180)&gt;0,$Z180=""),"hand, ","")&amp;IF(N($BJ180)&gt;0,IF($AH180="","door material, ","")&amp;IF($AL180="","face type, ","")&amp;IF($AP180="","lock prep, ","")&amp;IF(AND($AO180="",$AC180=""),"hinge prep, ",""),"")&amp;IF(AND($CH180&gt;0,$AH180="FRP"),"FRP cannot carry a label, ","")&amp;IF(AND($O180="Y",OR($Z180="L",$Z180="R",$Z180="LR",$Z180="RR")),"pair marked but hand is single, ","")&amp;IF(AND($O180&lt;&gt;"Y",OR($Z180="PR",AND(LEN($Z180)&gt;1,ISNUMBER(SEARCH("-",$Z180))))),"pair hand on a single door, ","")&amp;IF(AND(ISNUMBER($CI180),$CH180&lt;N($CI180)),"wall needs a "&amp;$CI180&amp;" min door, ","")&amp;IF(AND($CH180&gt;=180,AND(OR($CE180="FG",$CE180="HG",$CE180="FNV",$CE180="FV"),N($CF180)*N($CG180)&gt;100)),"180 min lite over 100 sq in, ","")&amp;IF(N($BK180)&gt;48,"leaf wider than 4'-0"&amp;CHAR(34)&amp;", ","")&amp;IF(AND($CT180,COUNT($AW180:$AZ180)=0,$CQ180&gt;0),"CUSTOM LOC with no locations typed, ",""))</f>
        <v/>
      </c>
      <c r="DK180" s="99">
        <f>IF($A180="","",IF(AND($CH180&gt;0,AND($A180&lt;&gt;"",$C180&lt;&gt;"DOOR ONLY"),$X180="KD",$E180="EXTERIOR"),"KD label on an exterior opening, ","")&amp;IF(AND($E180="EXTERIOR",OR(AND(AND($A180&lt;&gt;"",$C180&lt;&gt;"DOOR ONLY"),$W180="CR"),AND(N($BJ180)&gt;0,$AH180="CR"))),"exterior in CR steel (G9?), ","")&amp;IF(AND(ISNUMBER($BQ180),N($BQ180)&lt;32),"clear width ~"&amp;TEXT($BQ180,"0.0")&amp;CHAR(34)&amp;" under 32"&amp;CHAR(34)&amp;" (ADA), ","")&amp;IF(AND($CH180=90,AND(OR($CE180="FG",$CE180="HG",$CE180="FNV",$CE180="FV"),N($CF180)*N($CG180)&gt;100)),"90 min lite over 100 sq in (stair/exit), ","")&amp;IF(AND($CH180&gt;0,AND($A180&lt;&gt;"",$C180&lt;&gt;"DOOR ONLY"),OR($AF180="",$AF180="-")),"rated: closer reinf.?, ","")&amp;IF(OR($I180="CORRIDOR",$I180="SMOKE BARRIER"),"S label + smoke gasketing, ","")&amp;IF($CI180="?","wall type/hr not in IBC table, ","")&amp;IF(AND(N($BJ180)&gt;0,$BB180=""),"no hardware set, ","")&amp;IF(AND($BB180&lt;&gt;"",ISNA(MATCH($BB180&amp;"",HWSets,0))),"set "&amp;$BB180&amp;" not on HW Sets, ","")&amp;IF(N($BL180)&gt;96,"leaf over 8'-0"&amp;CHAR(34)&amp;" - check listing, ","")&amp;IF(AND($CT180,COUNT($AW180:$AZ180)&gt;0,COUNT($AW180:$AZ180)&lt;&gt;$CQ180),COUNT($AW180:$AZ180)&amp;" custom hinges typed, "&amp;$CQ180&amp;" expected, ","")&amp;IF(AND(ISNUMBER($CA180),OR(N($CA180)&lt;34,N($CA180)&gt;48)),"lock "&amp;TEXT($CA180,"0.0")&amp;CHAR(34)&amp;" AFF outside 34-48"&amp;CHAR(34)&amp;" (ADA), ","")&amp;IF(AND(ISNUMBER($AV180),ISNUMBER($BL180),N($AV180)&lt;IF(N($BL180)&lt;=60,2,IF(N($BL180)&lt;=90,3,IF(N($BL180)&lt;=120,4,5)))),"fewer hinges than standard, ",""))</f>
        <v/>
      </c>
    </row>
    <row r="181" ht="15" customHeight="1">
      <c r="A181" s="77" t="n"/>
      <c r="B181" s="78" t="n"/>
      <c r="C181" s="78" t="n"/>
      <c r="D181" s="78" t="n"/>
      <c r="E181" s="78" t="n"/>
      <c r="F181" s="78" t="n"/>
      <c r="G181" s="78" t="n"/>
      <c r="H181" s="78" t="n"/>
      <c r="I181" s="78" t="n"/>
      <c r="J181" s="78" t="n"/>
      <c r="K181" s="78" t="n"/>
      <c r="L181" s="78" t="n"/>
      <c r="M181" s="78" t="n"/>
      <c r="N181" s="78" t="n"/>
      <c r="O181" s="78" t="n"/>
      <c r="P181" s="78" t="n"/>
      <c r="Q181" s="78" t="n"/>
      <c r="R181" s="78" t="n"/>
      <c r="S181" s="79" t="n"/>
      <c r="T181" s="79" t="n"/>
      <c r="U181" s="79" t="n"/>
      <c r="V181" s="79" t="n"/>
      <c r="W181" s="79" t="n"/>
      <c r="X181" s="79" t="n"/>
      <c r="Y181" s="79" t="n"/>
      <c r="Z181" s="79" t="n"/>
      <c r="AA181" s="79" t="n"/>
      <c r="AB181" s="79" t="n"/>
      <c r="AC181" s="79" t="n"/>
      <c r="AD181" s="79" t="n"/>
      <c r="AE181" s="79" t="n"/>
      <c r="AF181" s="79" t="n"/>
      <c r="AG181" s="79" t="n"/>
      <c r="AH181" s="80" t="n"/>
      <c r="AI181" s="80" t="n"/>
      <c r="AJ181" s="80" t="n"/>
      <c r="AK181" s="80" t="n"/>
      <c r="AL181" s="80" t="n"/>
      <c r="AM181" s="80" t="n"/>
      <c r="AN181" s="80" t="n"/>
      <c r="AO181" s="80" t="n"/>
      <c r="AP181" s="80" t="n"/>
      <c r="AQ181" s="80" t="n"/>
      <c r="AR181" s="80" t="n"/>
      <c r="AS181" s="80" t="n"/>
      <c r="AT181" s="81" t="n"/>
      <c r="AU181" s="81" t="n"/>
      <c r="AV181" s="81" t="n"/>
      <c r="AW181" s="82" t="n"/>
      <c r="AX181" s="82" t="n"/>
      <c r="AY181" s="82" t="n"/>
      <c r="AZ181" s="82" t="n"/>
      <c r="BA181" s="82" t="n"/>
      <c r="BB181" s="83" t="n"/>
      <c r="BC181" s="83" t="n"/>
      <c r="BD181" s="84">
        <f>IF($A181="","",IF($DJ181&lt;&gt;"","FIX",IF($DK181&lt;&gt;"","CHECK","OK")))</f>
        <v/>
      </c>
      <c r="BE181" s="85">
        <f>IF($A181="","",IF($DJ181&lt;&gt;"","FIX: "&amp;LEFT($DJ181,LEN($DJ181)-2)&amp;IF($DK181&lt;&gt;"","  ·  ",""),"")&amp;IF($DK181&lt;&gt;"","CHECK: "&amp;LEFT($DK181,LEN($DK181)-2),""))</f>
        <v/>
      </c>
      <c r="BF181" s="84">
        <f>IF(OR($A181="",$K181=""),"",$K181&amp;"'-"&amp;N($L181)&amp;CHAR(34)&amp;" x "&amp;$M181&amp;"'-"&amp;N($N181)&amp;CHAR(34))</f>
        <v/>
      </c>
      <c r="BG181" s="84">
        <f>IF(OR($A181="",$K181=""),"",$K181&amp;N($L181)&amp;$M181&amp;N($N181))</f>
        <v/>
      </c>
      <c r="BH181" s="84">
        <f>IF(OR($A181="",$K181=""),"",$K181*12+N($L181))</f>
        <v/>
      </c>
      <c r="BI181" s="84">
        <f>IF(OR($A181="",$M181=""),"",$M181*12+N($N181))</f>
        <v/>
      </c>
      <c r="BJ181" s="84">
        <f>IF($A181="","",IF(OR($C181="FRAME ONLY",$S181="BL"),0,IF($O181="Y",2,1)))</f>
        <v/>
      </c>
      <c r="BK181" s="86">
        <f>IF(OR(N($BJ181)=0,$BH181=""),"",($BH181-2*EdgeClr-IF($BJ181=2,MeetClr,0))/$BJ181)</f>
        <v/>
      </c>
      <c r="BL181" s="86">
        <f>IF(OR(N($BJ181)=0,$BI181=""),"",$BI181-HeadClr-Undercut)</f>
        <v/>
      </c>
      <c r="BM181" s="86">
        <f>IF($BH181="","",$BH181+2*FaceW+IF(N($Q181)&gt;0,($Q181+FaceW)*IF($R181="LR",2,1),0))</f>
        <v/>
      </c>
      <c r="BN181" s="86">
        <f>IF($BI181="","",$BI181+IF($AB181="Y",4,FaceW)+IF(N($P181)&gt;0,$P181+FaceW,0)+IF(OR($S181="4F",$S181="BL"),FaceW,0))</f>
        <v/>
      </c>
      <c r="BO181" s="86">
        <f>IF($BM181="","",$BM181+2*ROSide)</f>
        <v/>
      </c>
      <c r="BP181" s="86">
        <f>IF($BN181="","",$BN181+ROTop)</f>
        <v/>
      </c>
      <c r="BQ181" s="87">
        <f>IF(OR(N($BJ181)=0,$BH181=""),"",$BH181/$BJ181-ClearDeduct)</f>
        <v/>
      </c>
      <c r="BR181" s="84">
        <f>IF(N($CH181)=0,"",IF($CH181&gt;=180,"A · 3 HR",IF($CH181&gt;=90,"B · 1-1/2 HR",IF($CH181&gt;=60,"B · 1 HR",IF($CH181&gt;=45,"C · 3/4 HR","20 MIN")))))&amp;IF(AND(N($CH181)&gt;0,OR($I181="CORRIDOR",$I181="SMOKE BARRIER"))," · S","")</f>
        <v/>
      </c>
      <c r="BS181" s="84">
        <f>IF($CS181,"",IF($AV181&lt;&gt;"",$AV181,IF(OR($AC181="HGC",$AO181="HGC"),"CONT",IF(($BI181-HeadClr-Undercut)&lt;=60,2,IF(($BI181-HeadClr-Undercut)&lt;=90,3,IF(($BI181-HeadClr-Undercut)&lt;=120,4,5))))))</f>
        <v/>
      </c>
      <c r="BT181" s="84">
        <f>IF($CS181,"",IF($CT181,"CUSTOM (typed)",IF($CV181,$AT181&amp;" "&amp;$CU181&amp;CHAR(34)&amp;IF($CU181&lt;&gt;$BI181,IF(AND($BI181&lt;$CU181,$BI181-IF(N(VLOOKUP($AT181&amp;"|"&amp;$CU181,LocTable,7,FALSE))&gt;0,VLOOKUP($AT181&amp;"|"&amp;$CU181,LocTable,7,FALSE),VLOOKUP($AT181&amp;"|"&amp;$CU181,LocTable,6,FALSE))-$CR181-0.75&gt;=2.125)," cut down"," adj."),""),"ANSI/SDI A250.6")))</f>
        <v/>
      </c>
      <c r="BU181" s="88">
        <f>IF($CS181,"",IF($CT181,IF(N($AW181)&gt;0,N($AW181),""),IF(1&gt;$CQ181,"",IF($CQ181=1,$CW181,$CW181+($CX181-$CW181)*0/($CQ181-1)))))</f>
        <v/>
      </c>
      <c r="BV181" s="88">
        <f>IF($CS181,"",IF($CT181,IF(N($AX181)&gt;0,N($AX181),""),IF(2&gt;$CQ181,"",IF($CQ181=1,$CW181,$CW181+($CX181-$CW181)*1/($CQ181-1)))))</f>
        <v/>
      </c>
      <c r="BW181" s="88">
        <f>IF($CS181,"",IF($CT181,IF(N($AY181)&gt;0,N($AY181),""),IF(3&gt;$CQ181,"",IF($CQ181=1,$CW181,$CW181+($CX181-$CW181)*2/($CQ181-1)))))</f>
        <v/>
      </c>
      <c r="BX181" s="88">
        <f>IF($CS181,"",IF($CT181,IF(N($AZ181)&gt;0,N($AZ181),""),IF(4&gt;$CQ181,"",IF($CQ181=1,$CW181,$CW181+($CX181-$CW181)*3/($CQ181-1)))))</f>
        <v/>
      </c>
      <c r="BY181" s="88">
        <f>IF($CS181,"",IF($CT181,"",IF(5&gt;$CQ181,"",IF($CQ181=1,$CW181,$CW181+($CX181-$CW181)*4/($CQ181-1)))))</f>
        <v/>
      </c>
      <c r="BZ181" s="88">
        <f>IF(OR($CS181,$AP181="-",AND($AP181="",$AD181="")),"",IF(N($BA181)&gt;0,N($BA181),IF($CV181,IF(AND($BI181&lt;$CU181,$BI181-IF(N(VLOOKUP($AT181&amp;"|"&amp;$CU181,LocTable,7,FALSE))&gt;0,VLOOKUP($AT181&amp;"|"&amp;$CU181,LocTable,7,FALSE),VLOOKUP($AT181&amp;"|"&amp;$CU181,LocTable,6,FALSE))-$CR181-0.75&gt;=2.125),VLOOKUP($AT181&amp;"|"&amp;$CU181,LocTable,8,FALSE),VLOOKUP($AT181&amp;"|"&amp;$CU181,LocTable,8,FALSE)+($BI181-$CU181)),$BI181-LockAFF)))</f>
        <v/>
      </c>
      <c r="CA181" s="89">
        <f>IF($BZ181="","",$BI181-$BZ181)</f>
        <v/>
      </c>
      <c r="CB181" s="84">
        <f>IF(OR(NOT(AND($A181&lt;&gt;"",$C181&lt;&gt;"DOOR ONLY")),$BI181=""),"",IF(($BI181+IF(N($P181)&gt;0,$P181+FaceW,0))&lt;=90,3,IF(($BI181+IF(N($P181)&gt;0,$P181+FaceW,0))&lt;=114,4,5)))</f>
        <v/>
      </c>
      <c r="CC181" s="84">
        <f>IF($CB181="","",$CB181*(2+IF(N($Q181)&gt;0,IF($R181="LR",2,1),0)))</f>
        <v/>
      </c>
      <c r="CD181" s="84">
        <f>IF($CB181="","",(2+IF(N($Q181)&gt;0,IF($R181="LR",2,1),0)))</f>
        <v/>
      </c>
      <c r="CE181" s="84">
        <f>IF(N($BJ181)=0,"",IF(OR($AL181="",$AL181="FLUSH"),"FLUSH",IFERROR(LEFT($AL181,FIND("-",$AL181)-1),LEFT($AL181,2))))</f>
        <v/>
      </c>
      <c r="CF181" s="84">
        <f>IF($CE181="","",IFERROR(VALUE(MID($AL181,FIND("-",$AL181)+1,FIND(CHAR(34)&amp;"x",$AL181)-FIND("-",$AL181)-1)),0))</f>
        <v/>
      </c>
      <c r="CG181" s="84">
        <f>IF($CE181="","",IFERROR(VALUE(MID($AL181,FIND(CHAR(34)&amp;"x",$AL181)+2,FIND(CHAR(34),$AL181,FIND(CHAR(34)&amp;"x",$AL181)+2)-FIND(CHAR(34)&amp;"x",$AL181)-2)),0))</f>
        <v/>
      </c>
      <c r="CH181" s="90">
        <f>IF(OR($A181="",$H181="",$H181="NO LAB"),0,IFERROR(VALUE(LEFT($H181,FIND(" ",$H181)-1)),0))</f>
        <v/>
      </c>
      <c r="CI181" s="91">
        <f>IF(OR($A181="",$I181="",$I181="NON-RATED",N($J181)=0),"",IFERROR(VLOOKUP($I181&amp;"|"&amp;$J181,IBC,2,FALSE),"?"))</f>
        <v/>
      </c>
      <c r="CJ181" s="85">
        <f>IF(NOT(AND($A181&lt;&gt;"",$C181&lt;&gt;"DOOR ONLY")),"",TRIM(IFERROR(VLOOKUP($U181,CODES,2,FALSE),"")&amp;" "&amp;$BG181&amp;" "&amp;IFERROR(VLOOKUP($Z181,CODES,2,FALSE),"")&amp;" "&amp;IFERROR(VLOOKUP($X181,CODES,2,FALSE),"")&amp;" "&amp;IFERROR(VLOOKUP($S181,CODES,2,FALSE),"")&amp;IF(N($P181)&gt;0," w/TRANSOM "&amp;$P181&amp;CHAR(34),"")&amp;IF(N($Q181)&gt;0," w/SIDELITE "&amp;$Q181&amp;CHAR(34)&amp;" "&amp;IF($R181="","R",$R181),"")&amp;IF($Y181="","  |  "," | "&amp;IFERROR(VLOOKUP($Y181,CODES,2,FALSE),"")&amp;" | ")&amp;IFERROR(VLOOKUP($AC181,CODES,2,FALSE),"")&amp;" "&amp;IFERROR(VLOOKUP($AD181,CODES,2,FALSE),"")&amp;IF(OR($AE181="",$AE181="-"),""," "&amp;$AE181)&amp;IF(OR($AF181="",$AF181="-"),""," "&amp;$AF181)&amp;IF($AB181="Y"," 4"&amp;CHAR(34)&amp;" HEAD","")&amp;" "&amp;IFERROR(VLOOKUP($H181,CODES,2,FALSE),"")&amp;IF($CT181," | LOC "&amp;$CY181,"")))</f>
        <v/>
      </c>
      <c r="CK181" s="85">
        <f>IF(NOT(AND($A181&lt;&gt;"",N($BJ181)&gt;0)),"",TRIM(IFERROR(VLOOKUP($AH181,CODES,2,FALSE),"")&amp;IF($AI181=""," "," "&amp;$AI181&amp;"GA ")&amp;$BG181&amp;" "&amp;IF($AN181="",IFERROR(VLOOKUP($Z181,CODES,2,FALSE),""),IFERROR(VLOOKUP($AN181,CODES,2,FALSE),""))&amp;IF($BJ181=2," PAIR","")&amp;" DOOR | "&amp;IF($AL181="","?",$AL181)&amp;" | "&amp;IF($AO181="",IFERROR(VLOOKUP($AC181,CODES,2,FALSE),""),IFERROR(VLOOKUP($AO181,CODES,2,FALSE),""))&amp;" "&amp;IFERROR(VLOOKUP($AP181,CODES,2,FALSE),"")&amp;IF(OR($AQ181="",$AQ181="-"),""," SEAM "&amp;$AQ181)&amp;IF($AR181="Y"," ASTRAGAL","")&amp;IF($AJ181=""," "," "&amp;$AJ181)&amp;IF($AK181=""," "," "&amp;$AK181)&amp;IF(OR($AT181="",$AT181="ANSI/SDI",$AT181="CUSTOM LOC"),""," "&amp;$AT181)&amp;IF($AM181=""," "," SERIES "&amp;$AM181)&amp;" "&amp;IFERROR(VLOOKUP($H181,CODES,2,FALSE),"")&amp;IF($CT181," | LOC "&amp;$CZ181,"")))</f>
        <v/>
      </c>
      <c r="CL181" s="84">
        <f>IF(CP181="","",IF(COUNTIF($CP$6:CP181,CP181)=1,MAX($CL$5:CL180)+1,INDEX($CL$5:CL180,MATCH(CP181,$CP$5:CP180,0))))</f>
        <v/>
      </c>
      <c r="CM181" s="84">
        <f>IF(NOT(AND($A181&lt;&gt;"",$C181&lt;&gt;"DOOR ONLY")),"",MAX($CM$5:CM180)+1)</f>
        <v/>
      </c>
      <c r="CN181" s="84">
        <f>IF(NOT(AND($A181&lt;&gt;"",N($BJ181)&gt;0)),"",MAX($CN$5:CN180)+1)</f>
        <v/>
      </c>
      <c r="CO181" s="84">
        <f>IF($A181="","",MAX($CO$5:CO180)+1)</f>
        <v/>
      </c>
      <c r="CP181" s="84">
        <f>IF(OR($A181="",$BH181="",$BI181=""),"",$BG181&amp;"|"&amp;$O181&amp;"|"&amp;$AL181&amp;"|"&amp;$S181&amp;"|"&amp;$P181&amp;"|"&amp;$Q181&amp;$R181&amp;"|"&amp;$C181&amp;"|"&amp;$AB181)</f>
        <v/>
      </c>
      <c r="CQ181" s="84">
        <f>N($BS181)</f>
        <v/>
      </c>
      <c r="CR181" s="84">
        <f>IF(N($AU181)&gt;0,N($AU181),4.5)</f>
        <v/>
      </c>
      <c r="CS181" s="84">
        <f>OR($A181="",$BI181="",$S181="BL",AND($C181="FRAME ONLY",OR($AC181="",$AC181="BLK")))</f>
        <v/>
      </c>
      <c r="CT181" s="84">
        <f>AND(NOT($CS181),OR($AT181="CUSTOM LOC",N($AW181)+N($AX181)+N($AY181)+N($AZ181)+N($BA181)&gt;0))</f>
        <v/>
      </c>
      <c r="CU181" s="84">
        <f>IF($BI181="","",IF($BI181&lt;=80,80,IF($BI181&lt;=84,84,96)))</f>
        <v/>
      </c>
      <c r="CV181" s="84">
        <f>ISNUMBER(MATCH($AT181&amp;"|80",LocKeys,0))</f>
        <v/>
      </c>
      <c r="CW181" s="86">
        <f>IF($CS181,"",IF($CV181,VLOOKUP($AT181&amp;"|"&amp;$CU181,LocTable,4,FALSE),5))</f>
        <v/>
      </c>
      <c r="CX181" s="86">
        <f>IF($CS181,"",IF($CV181,IF(OR($BI181=$CU181,AND($BI181&lt;$CU181,$BI181-IF(N(VLOOKUP($AT181&amp;"|"&amp;$CU181,LocTable,7,FALSE))&gt;0,VLOOKUP($AT181&amp;"|"&amp;$CU181,LocTable,7,FALSE),VLOOKUP($AT181&amp;"|"&amp;$CU181,LocTable,6,FALSE))-$CR181-0.75&gt;=2.125)),IF(N(VLOOKUP($AT181&amp;"|"&amp;$CU181,LocTable,7,FALSE))&gt;0,VLOOKUP($AT181&amp;"|"&amp;$CU181,LocTable,7,FALSE),VLOOKUP($AT181&amp;"|"&amp;$CU181,LocTable,6,FALSE)),$BI181-($CU181-IF(N(VLOOKUP($AT181&amp;"|"&amp;$CU181,LocTable,7,FALSE))&gt;0,VLOOKUP($AT181&amp;"|"&amp;$CU181,LocTable,7,FALSE),VLOOKUP($AT181&amp;"|"&amp;$CU181,LocTable,6,FALSE)))),$BI181-10-$CR181))</f>
        <v/>
      </c>
      <c r="CY181" s="85">
        <f>IF($CS181,"",TRIM(IF(ISNUMBER($BU181),"A "&amp;TRIM(TEXT($BU181,"# ?/??"))&amp;CHAR(34)&amp;"  ","")&amp;IF(ISNUMBER($BV181),"B "&amp;TRIM(TEXT($BV181,"# ?/??"))&amp;CHAR(34)&amp;"  ","")&amp;IF(ISNUMBER($BW181),"C "&amp;TRIM(TEXT($BW181,"# ?/??"))&amp;CHAR(34)&amp;"  ","")&amp;IF(ISNUMBER($BX181),"D "&amp;TRIM(TEXT($BX181,"# ?/??"))&amp;CHAR(34)&amp;"  ","")&amp;IF(ISNUMBER($BY181),"F "&amp;TRIM(TEXT($BY181,"# ?/??"))&amp;CHAR(34)&amp;"  ","")&amp;IF(ISNUMBER($BZ181),"E "&amp;TRIM(TEXT($BZ181,"# ?/??"))&amp;CHAR(34)&amp;"  ","")))</f>
        <v/>
      </c>
      <c r="CZ181" s="85">
        <f>IF(OR($CS181,N($BJ181)=0),"",TRIM(IF(ISNUMBER($BU181),"A "&amp;TRIM(TEXT($BU181-HeadClr,"# ?/??"))&amp;CHAR(34)&amp;"  ","")&amp;IF(ISNUMBER($BV181),"B "&amp;TRIM(TEXT($BV181-HeadClr,"# ?/??"))&amp;CHAR(34)&amp;"  ","")&amp;IF(ISNUMBER($BW181),"C "&amp;TRIM(TEXT($BW181-HeadClr,"# ?/??"))&amp;CHAR(34)&amp;"  ","")&amp;IF(ISNUMBER($BX181),"D "&amp;TRIM(TEXT($BX181-HeadClr,"# ?/??"))&amp;CHAR(34)&amp;"  ","")&amp;IF(ISNUMBER($BY181),"F "&amp;TRIM(TEXT($BY181-HeadClr,"# ?/??"))&amp;CHAR(34)&amp;"  ","")&amp;IF(ISNUMBER($BZ181),"E "&amp;TRIM(TEXT($BZ181-HeadClr,"# ?/??"))&amp;CHAR(34)&amp;"  ","")))</f>
        <v/>
      </c>
      <c r="DA181" s="84">
        <f>IF($A181="","",IF($AN181="",IFERROR(VLOOKUP($Z181,CODES,2,FALSE),""),IFERROR(VLOOKUP($AN181,CODES,2,FALSE),"")))</f>
        <v/>
      </c>
      <c r="DB181" s="84">
        <f>IF($A181="","",IF($O181="Y","PR",IF(OR($Z181="L",$Z181="RR",LEFT($Z181,2)="L-",LEFT($Z181,3)="RR-"),"LH","RH")))</f>
        <v/>
      </c>
      <c r="DC181" s="84">
        <f>IF($A181="","","S.HM"&amp;IF(OR($C181="DOOR ONLY",$X181&lt;&gt;"KD"),"MASONRY","DRYWALL")&amp;IF($C181="DOOR ONLY","",$U181)&amp;IF(AND($C181&lt;&gt;"FRAME ONLY",OR(LEFT($AH181,3)="OAK",LEFT($AH181,3)="BIR",LEFT($AH181,3)="MAP",$AH181="PC",$AH181="MC",$AH181="SCLC",$AH181="P-LAM")),"WD","HM")&amp;"1.75")</f>
        <v/>
      </c>
      <c r="DD181" s="84">
        <f>IF($CJ181="","",IF($O181="Y",$CJ181,SUBSTITUTE($CJ181,$BG181&amp;" "&amp;IFERROR(VLOOKUP($Z181,CODES,2,FALSE),"")&amp;" ",$BG181&amp;" ")))</f>
        <v/>
      </c>
      <c r="DE181" s="84">
        <f>IF($CK181="","",IF($O181="Y",$CK181,SUBSTITUTE($CK181,$BG181&amp;" "&amp;IF($AN181="",IFERROR(VLOOKUP($Z181,CODES,2,FALSE),""),IFERROR(VLOOKUP($AN181,CODES,2,FALSE),""))&amp;" ",$BG181&amp;" ")))</f>
        <v/>
      </c>
      <c r="DF181" s="84">
        <f>IF($CJ181="","",$DC181&amp;"|"&amp;$DD181&amp;"|"&amp;$DB181&amp;"|"&amp;$AT181&amp;"|"&amp;$V181&amp;"|"&amp;$Y181&amp;"|"&amp;$AB181)</f>
        <v/>
      </c>
      <c r="DG181" s="84">
        <f>IF(DF181="","",IF(COUNTIF($DF$6:DF181,DF181)=1,MAX($DG$5:DG180)+1,INDEX($DG$5:DG180,MATCH(DF181,$DF$5:DF180,0))))</f>
        <v/>
      </c>
      <c r="DH181" s="84">
        <f>IF($CK181="","",$DC181&amp;"|"&amp;$DE181&amp;"|"&amp;$AI181&amp;"|"&amp;$BK181&amp;"|"&amp;$BL181)</f>
        <v/>
      </c>
      <c r="DI181" s="84">
        <f>IF(DH181="","",IF(COUNTIF($DH$6:DH181,DH181)=1,MAX($DI$5:DI180)+1,INDEX($DI$5:DI180,MATCH(DH181,$DH$5:DH180,0))))</f>
        <v/>
      </c>
      <c r="DJ181" s="84">
        <f>IF($A181="","",IF($B181="","qty, ","")&amp;IF($C181="","scope, ","")&amp;IF(OR($K181="",$M181=""),"size, ","")&amp;IF(AND($A181&lt;&gt;"",$C181&lt;&gt;"DOOR ONLY"),IF($U181="","jamb depth, ","")&amp;IF($X181="","construction, ","")&amp;IF($Y181="","anchor, ","")&amp;IF($S181="","frame type, ",""),"")&amp;IF(AND(N($BJ181)&gt;0,$Z181=""),"hand, ","")&amp;IF(N($BJ181)&gt;0,IF($AH181="","door material, ","")&amp;IF($AL181="","face type, ","")&amp;IF($AP181="","lock prep, ","")&amp;IF(AND($AO181="",$AC181=""),"hinge prep, ",""),"")&amp;IF(AND($CH181&gt;0,$AH181="FRP"),"FRP cannot carry a label, ","")&amp;IF(AND($O181="Y",OR($Z181="L",$Z181="R",$Z181="LR",$Z181="RR")),"pair marked but hand is single, ","")&amp;IF(AND($O181&lt;&gt;"Y",OR($Z181="PR",AND(LEN($Z181)&gt;1,ISNUMBER(SEARCH("-",$Z181))))),"pair hand on a single door, ","")&amp;IF(AND(ISNUMBER($CI181),$CH181&lt;N($CI181)),"wall needs a "&amp;$CI181&amp;" min door, ","")&amp;IF(AND($CH181&gt;=180,AND(OR($CE181="FG",$CE181="HG",$CE181="FNV",$CE181="FV"),N($CF181)*N($CG181)&gt;100)),"180 min lite over 100 sq in, ","")&amp;IF(N($BK181)&gt;48,"leaf wider than 4'-0"&amp;CHAR(34)&amp;", ","")&amp;IF(AND($CT181,COUNT($AW181:$AZ181)=0,$CQ181&gt;0),"CUSTOM LOC with no locations typed, ",""))</f>
        <v/>
      </c>
      <c r="DK181" s="84">
        <f>IF($A181="","",IF(AND($CH181&gt;0,AND($A181&lt;&gt;"",$C181&lt;&gt;"DOOR ONLY"),$X181="KD",$E181="EXTERIOR"),"KD label on an exterior opening, ","")&amp;IF(AND($E181="EXTERIOR",OR(AND(AND($A181&lt;&gt;"",$C181&lt;&gt;"DOOR ONLY"),$W181="CR"),AND(N($BJ181)&gt;0,$AH181="CR"))),"exterior in CR steel (G9?), ","")&amp;IF(AND(ISNUMBER($BQ181),N($BQ181)&lt;32),"clear width ~"&amp;TEXT($BQ181,"0.0")&amp;CHAR(34)&amp;" under 32"&amp;CHAR(34)&amp;" (ADA), ","")&amp;IF(AND($CH181=90,AND(OR($CE181="FG",$CE181="HG",$CE181="FNV",$CE181="FV"),N($CF181)*N($CG181)&gt;100)),"90 min lite over 100 sq in (stair/exit), ","")&amp;IF(AND($CH181&gt;0,AND($A181&lt;&gt;"",$C181&lt;&gt;"DOOR ONLY"),OR($AF181="",$AF181="-")),"rated: closer reinf.?, ","")&amp;IF(OR($I181="CORRIDOR",$I181="SMOKE BARRIER"),"S label + smoke gasketing, ","")&amp;IF($CI181="?","wall type/hr not in IBC table, ","")&amp;IF(AND(N($BJ181)&gt;0,$BB181=""),"no hardware set, ","")&amp;IF(AND($BB181&lt;&gt;"",ISNA(MATCH($BB181&amp;"",HWSets,0))),"set "&amp;$BB181&amp;" not on HW Sets, ","")&amp;IF(N($BL181)&gt;96,"leaf over 8'-0"&amp;CHAR(34)&amp;" - check listing, ","")&amp;IF(AND($CT181,COUNT($AW181:$AZ181)&gt;0,COUNT($AW181:$AZ181)&lt;&gt;$CQ181),COUNT($AW181:$AZ181)&amp;" custom hinges typed, "&amp;$CQ181&amp;" expected, ","")&amp;IF(AND(ISNUMBER($CA181),OR(N($CA181)&lt;34,N($CA181)&gt;48)),"lock "&amp;TEXT($CA181,"0.0")&amp;CHAR(34)&amp;" AFF outside 34-48"&amp;CHAR(34)&amp;" (ADA), ","")&amp;IF(AND(ISNUMBER($AV181),ISNUMBER($BL181),N($AV181)&lt;IF(N($BL181)&lt;=60,2,IF(N($BL181)&lt;=90,3,IF(N($BL181)&lt;=120,4,5)))),"fewer hinges than standard, ",""))</f>
        <v/>
      </c>
    </row>
    <row r="182" ht="15" customHeight="1">
      <c r="A182" s="77" t="n"/>
      <c r="B182" s="78" t="n"/>
      <c r="C182" s="78" t="n"/>
      <c r="D182" s="78" t="n"/>
      <c r="E182" s="78" t="n"/>
      <c r="F182" s="78" t="n"/>
      <c r="G182" s="78" t="n"/>
      <c r="H182" s="78" t="n"/>
      <c r="I182" s="78" t="n"/>
      <c r="J182" s="78" t="n"/>
      <c r="K182" s="78" t="n"/>
      <c r="L182" s="78" t="n"/>
      <c r="M182" s="78" t="n"/>
      <c r="N182" s="78" t="n"/>
      <c r="O182" s="78" t="n"/>
      <c r="P182" s="78" t="n"/>
      <c r="Q182" s="78" t="n"/>
      <c r="R182" s="78" t="n"/>
      <c r="S182" s="79" t="n"/>
      <c r="T182" s="79" t="n"/>
      <c r="U182" s="79" t="n"/>
      <c r="V182" s="79" t="n"/>
      <c r="W182" s="79" t="n"/>
      <c r="X182" s="79" t="n"/>
      <c r="Y182" s="79" t="n"/>
      <c r="Z182" s="79" t="n"/>
      <c r="AA182" s="79" t="n"/>
      <c r="AB182" s="79" t="n"/>
      <c r="AC182" s="79" t="n"/>
      <c r="AD182" s="79" t="n"/>
      <c r="AE182" s="79" t="n"/>
      <c r="AF182" s="79" t="n"/>
      <c r="AG182" s="79" t="n"/>
      <c r="AH182" s="80" t="n"/>
      <c r="AI182" s="80" t="n"/>
      <c r="AJ182" s="80" t="n"/>
      <c r="AK182" s="80" t="n"/>
      <c r="AL182" s="80" t="n"/>
      <c r="AM182" s="80" t="n"/>
      <c r="AN182" s="80" t="n"/>
      <c r="AO182" s="80" t="n"/>
      <c r="AP182" s="80" t="n"/>
      <c r="AQ182" s="80" t="n"/>
      <c r="AR182" s="80" t="n"/>
      <c r="AS182" s="80" t="n"/>
      <c r="AT182" s="81" t="n"/>
      <c r="AU182" s="81" t="n"/>
      <c r="AV182" s="81" t="n"/>
      <c r="AW182" s="82" t="n"/>
      <c r="AX182" s="82" t="n"/>
      <c r="AY182" s="82" t="n"/>
      <c r="AZ182" s="82" t="n"/>
      <c r="BA182" s="82" t="n"/>
      <c r="BB182" s="83" t="n"/>
      <c r="BC182" s="83" t="n"/>
      <c r="BD182" s="84">
        <f>IF($A182="","",IF($DJ182&lt;&gt;"","FIX",IF($DK182&lt;&gt;"","CHECK","OK")))</f>
        <v/>
      </c>
      <c r="BE182" s="85">
        <f>IF($A182="","",IF($DJ182&lt;&gt;"","FIX: "&amp;LEFT($DJ182,LEN($DJ182)-2)&amp;IF($DK182&lt;&gt;"","  ·  ",""),"")&amp;IF($DK182&lt;&gt;"","CHECK: "&amp;LEFT($DK182,LEN($DK182)-2),""))</f>
        <v/>
      </c>
      <c r="BF182" s="84">
        <f>IF(OR($A182="",$K182=""),"",$K182&amp;"'-"&amp;N($L182)&amp;CHAR(34)&amp;" x "&amp;$M182&amp;"'-"&amp;N($N182)&amp;CHAR(34))</f>
        <v/>
      </c>
      <c r="BG182" s="84">
        <f>IF(OR($A182="",$K182=""),"",$K182&amp;N($L182)&amp;$M182&amp;N($N182))</f>
        <v/>
      </c>
      <c r="BH182" s="84">
        <f>IF(OR($A182="",$K182=""),"",$K182*12+N($L182))</f>
        <v/>
      </c>
      <c r="BI182" s="84">
        <f>IF(OR($A182="",$M182=""),"",$M182*12+N($N182))</f>
        <v/>
      </c>
      <c r="BJ182" s="84">
        <f>IF($A182="","",IF(OR($C182="FRAME ONLY",$S182="BL"),0,IF($O182="Y",2,1)))</f>
        <v/>
      </c>
      <c r="BK182" s="86">
        <f>IF(OR(N($BJ182)=0,$BH182=""),"",($BH182-2*EdgeClr-IF($BJ182=2,MeetClr,0))/$BJ182)</f>
        <v/>
      </c>
      <c r="BL182" s="86">
        <f>IF(OR(N($BJ182)=0,$BI182=""),"",$BI182-HeadClr-Undercut)</f>
        <v/>
      </c>
      <c r="BM182" s="86">
        <f>IF($BH182="","",$BH182+2*FaceW+IF(N($Q182)&gt;0,($Q182+FaceW)*IF($R182="LR",2,1),0))</f>
        <v/>
      </c>
      <c r="BN182" s="86">
        <f>IF($BI182="","",$BI182+IF($AB182="Y",4,FaceW)+IF(N($P182)&gt;0,$P182+FaceW,0)+IF(OR($S182="4F",$S182="BL"),FaceW,0))</f>
        <v/>
      </c>
      <c r="BO182" s="86">
        <f>IF($BM182="","",$BM182+2*ROSide)</f>
        <v/>
      </c>
      <c r="BP182" s="86">
        <f>IF($BN182="","",$BN182+ROTop)</f>
        <v/>
      </c>
      <c r="BQ182" s="87">
        <f>IF(OR(N($BJ182)=0,$BH182=""),"",$BH182/$BJ182-ClearDeduct)</f>
        <v/>
      </c>
      <c r="BR182" s="84">
        <f>IF(N($CH182)=0,"",IF($CH182&gt;=180,"A · 3 HR",IF($CH182&gt;=90,"B · 1-1/2 HR",IF($CH182&gt;=60,"B · 1 HR",IF($CH182&gt;=45,"C · 3/4 HR","20 MIN")))))&amp;IF(AND(N($CH182)&gt;0,OR($I182="CORRIDOR",$I182="SMOKE BARRIER"))," · S","")</f>
        <v/>
      </c>
      <c r="BS182" s="84">
        <f>IF($CS182,"",IF($AV182&lt;&gt;"",$AV182,IF(OR($AC182="HGC",$AO182="HGC"),"CONT",IF(($BI182-HeadClr-Undercut)&lt;=60,2,IF(($BI182-HeadClr-Undercut)&lt;=90,3,IF(($BI182-HeadClr-Undercut)&lt;=120,4,5))))))</f>
        <v/>
      </c>
      <c r="BT182" s="84">
        <f>IF($CS182,"",IF($CT182,"CUSTOM (typed)",IF($CV182,$AT182&amp;" "&amp;$CU182&amp;CHAR(34)&amp;IF($CU182&lt;&gt;$BI182,IF(AND($BI182&lt;$CU182,$BI182-IF(N(VLOOKUP($AT182&amp;"|"&amp;$CU182,LocTable,7,FALSE))&gt;0,VLOOKUP($AT182&amp;"|"&amp;$CU182,LocTable,7,FALSE),VLOOKUP($AT182&amp;"|"&amp;$CU182,LocTable,6,FALSE))-$CR182-0.75&gt;=2.125)," cut down"," adj."),""),"ANSI/SDI A250.6")))</f>
        <v/>
      </c>
      <c r="BU182" s="88">
        <f>IF($CS182,"",IF($CT182,IF(N($AW182)&gt;0,N($AW182),""),IF(1&gt;$CQ182,"",IF($CQ182=1,$CW182,$CW182+($CX182-$CW182)*0/($CQ182-1)))))</f>
        <v/>
      </c>
      <c r="BV182" s="88">
        <f>IF($CS182,"",IF($CT182,IF(N($AX182)&gt;0,N($AX182),""),IF(2&gt;$CQ182,"",IF($CQ182=1,$CW182,$CW182+($CX182-$CW182)*1/($CQ182-1)))))</f>
        <v/>
      </c>
      <c r="BW182" s="88">
        <f>IF($CS182,"",IF($CT182,IF(N($AY182)&gt;0,N($AY182),""),IF(3&gt;$CQ182,"",IF($CQ182=1,$CW182,$CW182+($CX182-$CW182)*2/($CQ182-1)))))</f>
        <v/>
      </c>
      <c r="BX182" s="88">
        <f>IF($CS182,"",IF($CT182,IF(N($AZ182)&gt;0,N($AZ182),""),IF(4&gt;$CQ182,"",IF($CQ182=1,$CW182,$CW182+($CX182-$CW182)*3/($CQ182-1)))))</f>
        <v/>
      </c>
      <c r="BY182" s="88">
        <f>IF($CS182,"",IF($CT182,"",IF(5&gt;$CQ182,"",IF($CQ182=1,$CW182,$CW182+($CX182-$CW182)*4/($CQ182-1)))))</f>
        <v/>
      </c>
      <c r="BZ182" s="88">
        <f>IF(OR($CS182,$AP182="-",AND($AP182="",$AD182="")),"",IF(N($BA182)&gt;0,N($BA182),IF($CV182,IF(AND($BI182&lt;$CU182,$BI182-IF(N(VLOOKUP($AT182&amp;"|"&amp;$CU182,LocTable,7,FALSE))&gt;0,VLOOKUP($AT182&amp;"|"&amp;$CU182,LocTable,7,FALSE),VLOOKUP($AT182&amp;"|"&amp;$CU182,LocTable,6,FALSE))-$CR182-0.75&gt;=2.125),VLOOKUP($AT182&amp;"|"&amp;$CU182,LocTable,8,FALSE),VLOOKUP($AT182&amp;"|"&amp;$CU182,LocTable,8,FALSE)+($BI182-$CU182)),$BI182-LockAFF)))</f>
        <v/>
      </c>
      <c r="CA182" s="89">
        <f>IF($BZ182="","",$BI182-$BZ182)</f>
        <v/>
      </c>
      <c r="CB182" s="84">
        <f>IF(OR(NOT(AND($A182&lt;&gt;"",$C182&lt;&gt;"DOOR ONLY")),$BI182=""),"",IF(($BI182+IF(N($P182)&gt;0,$P182+FaceW,0))&lt;=90,3,IF(($BI182+IF(N($P182)&gt;0,$P182+FaceW,0))&lt;=114,4,5)))</f>
        <v/>
      </c>
      <c r="CC182" s="84">
        <f>IF($CB182="","",$CB182*(2+IF(N($Q182)&gt;0,IF($R182="LR",2,1),0)))</f>
        <v/>
      </c>
      <c r="CD182" s="84">
        <f>IF($CB182="","",(2+IF(N($Q182)&gt;0,IF($R182="LR",2,1),0)))</f>
        <v/>
      </c>
      <c r="CE182" s="84">
        <f>IF(N($BJ182)=0,"",IF(OR($AL182="",$AL182="FLUSH"),"FLUSH",IFERROR(LEFT($AL182,FIND("-",$AL182)-1),LEFT($AL182,2))))</f>
        <v/>
      </c>
      <c r="CF182" s="84">
        <f>IF($CE182="","",IFERROR(VALUE(MID($AL182,FIND("-",$AL182)+1,FIND(CHAR(34)&amp;"x",$AL182)-FIND("-",$AL182)-1)),0))</f>
        <v/>
      </c>
      <c r="CG182" s="84">
        <f>IF($CE182="","",IFERROR(VALUE(MID($AL182,FIND(CHAR(34)&amp;"x",$AL182)+2,FIND(CHAR(34),$AL182,FIND(CHAR(34)&amp;"x",$AL182)+2)-FIND(CHAR(34)&amp;"x",$AL182)-2)),0))</f>
        <v/>
      </c>
      <c r="CH182" s="90">
        <f>IF(OR($A182="",$H182="",$H182="NO LAB"),0,IFERROR(VALUE(LEFT($H182,FIND(" ",$H182)-1)),0))</f>
        <v/>
      </c>
      <c r="CI182" s="91">
        <f>IF(OR($A182="",$I182="",$I182="NON-RATED",N($J182)=0),"",IFERROR(VLOOKUP($I182&amp;"|"&amp;$J182,IBC,2,FALSE),"?"))</f>
        <v/>
      </c>
      <c r="CJ182" s="85">
        <f>IF(NOT(AND($A182&lt;&gt;"",$C182&lt;&gt;"DOOR ONLY")),"",TRIM(IFERROR(VLOOKUP($U182,CODES,2,FALSE),"")&amp;" "&amp;$BG182&amp;" "&amp;IFERROR(VLOOKUP($Z182,CODES,2,FALSE),"")&amp;" "&amp;IFERROR(VLOOKUP($X182,CODES,2,FALSE),"")&amp;" "&amp;IFERROR(VLOOKUP($S182,CODES,2,FALSE),"")&amp;IF(N($P182)&gt;0," w/TRANSOM "&amp;$P182&amp;CHAR(34),"")&amp;IF(N($Q182)&gt;0," w/SIDELITE "&amp;$Q182&amp;CHAR(34)&amp;" "&amp;IF($R182="","R",$R182),"")&amp;IF($Y182="","  |  "," | "&amp;IFERROR(VLOOKUP($Y182,CODES,2,FALSE),"")&amp;" | ")&amp;IFERROR(VLOOKUP($AC182,CODES,2,FALSE),"")&amp;" "&amp;IFERROR(VLOOKUP($AD182,CODES,2,FALSE),"")&amp;IF(OR($AE182="",$AE182="-"),""," "&amp;$AE182)&amp;IF(OR($AF182="",$AF182="-"),""," "&amp;$AF182)&amp;IF($AB182="Y"," 4"&amp;CHAR(34)&amp;" HEAD","")&amp;" "&amp;IFERROR(VLOOKUP($H182,CODES,2,FALSE),"")&amp;IF($CT182," | LOC "&amp;$CY182,"")))</f>
        <v/>
      </c>
      <c r="CK182" s="85">
        <f>IF(NOT(AND($A182&lt;&gt;"",N($BJ182)&gt;0)),"",TRIM(IFERROR(VLOOKUP($AH182,CODES,2,FALSE),"")&amp;IF($AI182=""," "," "&amp;$AI182&amp;"GA ")&amp;$BG182&amp;" "&amp;IF($AN182="",IFERROR(VLOOKUP($Z182,CODES,2,FALSE),""),IFERROR(VLOOKUP($AN182,CODES,2,FALSE),""))&amp;IF($BJ182=2," PAIR","")&amp;" DOOR | "&amp;IF($AL182="","?",$AL182)&amp;" | "&amp;IF($AO182="",IFERROR(VLOOKUP($AC182,CODES,2,FALSE),""),IFERROR(VLOOKUP($AO182,CODES,2,FALSE),""))&amp;" "&amp;IFERROR(VLOOKUP($AP182,CODES,2,FALSE),"")&amp;IF(OR($AQ182="",$AQ182="-"),""," SEAM "&amp;$AQ182)&amp;IF($AR182="Y"," ASTRAGAL","")&amp;IF($AJ182=""," "," "&amp;$AJ182)&amp;IF($AK182=""," "," "&amp;$AK182)&amp;IF(OR($AT182="",$AT182="ANSI/SDI",$AT182="CUSTOM LOC"),""," "&amp;$AT182)&amp;IF($AM182=""," "," SERIES "&amp;$AM182)&amp;" "&amp;IFERROR(VLOOKUP($H182,CODES,2,FALSE),"")&amp;IF($CT182," | LOC "&amp;$CZ182,"")))</f>
        <v/>
      </c>
      <c r="CL182" s="84">
        <f>IF(CP182="","",IF(COUNTIF($CP$6:CP182,CP182)=1,MAX($CL$5:CL181)+1,INDEX($CL$5:CL181,MATCH(CP182,$CP$5:CP181,0))))</f>
        <v/>
      </c>
      <c r="CM182" s="84">
        <f>IF(NOT(AND($A182&lt;&gt;"",$C182&lt;&gt;"DOOR ONLY")),"",MAX($CM$5:CM181)+1)</f>
        <v/>
      </c>
      <c r="CN182" s="84">
        <f>IF(NOT(AND($A182&lt;&gt;"",N($BJ182)&gt;0)),"",MAX($CN$5:CN181)+1)</f>
        <v/>
      </c>
      <c r="CO182" s="84">
        <f>IF($A182="","",MAX($CO$5:CO181)+1)</f>
        <v/>
      </c>
      <c r="CP182" s="84">
        <f>IF(OR($A182="",$BH182="",$BI182=""),"",$BG182&amp;"|"&amp;$O182&amp;"|"&amp;$AL182&amp;"|"&amp;$S182&amp;"|"&amp;$P182&amp;"|"&amp;$Q182&amp;$R182&amp;"|"&amp;$C182&amp;"|"&amp;$AB182)</f>
        <v/>
      </c>
      <c r="CQ182" s="84">
        <f>N($BS182)</f>
        <v/>
      </c>
      <c r="CR182" s="84">
        <f>IF(N($AU182)&gt;0,N($AU182),4.5)</f>
        <v/>
      </c>
      <c r="CS182" s="84">
        <f>OR($A182="",$BI182="",$S182="BL",AND($C182="FRAME ONLY",OR($AC182="",$AC182="BLK")))</f>
        <v/>
      </c>
      <c r="CT182" s="84">
        <f>AND(NOT($CS182),OR($AT182="CUSTOM LOC",N($AW182)+N($AX182)+N($AY182)+N($AZ182)+N($BA182)&gt;0))</f>
        <v/>
      </c>
      <c r="CU182" s="84">
        <f>IF($BI182="","",IF($BI182&lt;=80,80,IF($BI182&lt;=84,84,96)))</f>
        <v/>
      </c>
      <c r="CV182" s="84">
        <f>ISNUMBER(MATCH($AT182&amp;"|80",LocKeys,0))</f>
        <v/>
      </c>
      <c r="CW182" s="86">
        <f>IF($CS182,"",IF($CV182,VLOOKUP($AT182&amp;"|"&amp;$CU182,LocTable,4,FALSE),5))</f>
        <v/>
      </c>
      <c r="CX182" s="86">
        <f>IF($CS182,"",IF($CV182,IF(OR($BI182=$CU182,AND($BI182&lt;$CU182,$BI182-IF(N(VLOOKUP($AT182&amp;"|"&amp;$CU182,LocTable,7,FALSE))&gt;0,VLOOKUP($AT182&amp;"|"&amp;$CU182,LocTable,7,FALSE),VLOOKUP($AT182&amp;"|"&amp;$CU182,LocTable,6,FALSE))-$CR182-0.75&gt;=2.125)),IF(N(VLOOKUP($AT182&amp;"|"&amp;$CU182,LocTable,7,FALSE))&gt;0,VLOOKUP($AT182&amp;"|"&amp;$CU182,LocTable,7,FALSE),VLOOKUP($AT182&amp;"|"&amp;$CU182,LocTable,6,FALSE)),$BI182-($CU182-IF(N(VLOOKUP($AT182&amp;"|"&amp;$CU182,LocTable,7,FALSE))&gt;0,VLOOKUP($AT182&amp;"|"&amp;$CU182,LocTable,7,FALSE),VLOOKUP($AT182&amp;"|"&amp;$CU182,LocTable,6,FALSE)))),$BI182-10-$CR182))</f>
        <v/>
      </c>
      <c r="CY182" s="85">
        <f>IF($CS182,"",TRIM(IF(ISNUMBER($BU182),"A "&amp;TRIM(TEXT($BU182,"# ?/??"))&amp;CHAR(34)&amp;"  ","")&amp;IF(ISNUMBER($BV182),"B "&amp;TRIM(TEXT($BV182,"# ?/??"))&amp;CHAR(34)&amp;"  ","")&amp;IF(ISNUMBER($BW182),"C "&amp;TRIM(TEXT($BW182,"# ?/??"))&amp;CHAR(34)&amp;"  ","")&amp;IF(ISNUMBER($BX182),"D "&amp;TRIM(TEXT($BX182,"# ?/??"))&amp;CHAR(34)&amp;"  ","")&amp;IF(ISNUMBER($BY182),"F "&amp;TRIM(TEXT($BY182,"# ?/??"))&amp;CHAR(34)&amp;"  ","")&amp;IF(ISNUMBER($BZ182),"E "&amp;TRIM(TEXT($BZ182,"# ?/??"))&amp;CHAR(34)&amp;"  ","")))</f>
        <v/>
      </c>
      <c r="CZ182" s="85">
        <f>IF(OR($CS182,N($BJ182)=0),"",TRIM(IF(ISNUMBER($BU182),"A "&amp;TRIM(TEXT($BU182-HeadClr,"# ?/??"))&amp;CHAR(34)&amp;"  ","")&amp;IF(ISNUMBER($BV182),"B "&amp;TRIM(TEXT($BV182-HeadClr,"# ?/??"))&amp;CHAR(34)&amp;"  ","")&amp;IF(ISNUMBER($BW182),"C "&amp;TRIM(TEXT($BW182-HeadClr,"# ?/??"))&amp;CHAR(34)&amp;"  ","")&amp;IF(ISNUMBER($BX182),"D "&amp;TRIM(TEXT($BX182-HeadClr,"# ?/??"))&amp;CHAR(34)&amp;"  ","")&amp;IF(ISNUMBER($BY182),"F "&amp;TRIM(TEXT($BY182-HeadClr,"# ?/??"))&amp;CHAR(34)&amp;"  ","")&amp;IF(ISNUMBER($BZ182),"E "&amp;TRIM(TEXT($BZ182-HeadClr,"# ?/??"))&amp;CHAR(34)&amp;"  ","")))</f>
        <v/>
      </c>
      <c r="DA182" s="84">
        <f>IF($A182="","",IF($AN182="",IFERROR(VLOOKUP($Z182,CODES,2,FALSE),""),IFERROR(VLOOKUP($AN182,CODES,2,FALSE),"")))</f>
        <v/>
      </c>
      <c r="DB182" s="84">
        <f>IF($A182="","",IF($O182="Y","PR",IF(OR($Z182="L",$Z182="RR",LEFT($Z182,2)="L-",LEFT($Z182,3)="RR-"),"LH","RH")))</f>
        <v/>
      </c>
      <c r="DC182" s="84">
        <f>IF($A182="","","S.HM"&amp;IF(OR($C182="DOOR ONLY",$X182&lt;&gt;"KD"),"MASONRY","DRYWALL")&amp;IF($C182="DOOR ONLY","",$U182)&amp;IF(AND($C182&lt;&gt;"FRAME ONLY",OR(LEFT($AH182,3)="OAK",LEFT($AH182,3)="BIR",LEFT($AH182,3)="MAP",$AH182="PC",$AH182="MC",$AH182="SCLC",$AH182="P-LAM")),"WD","HM")&amp;"1.75")</f>
        <v/>
      </c>
      <c r="DD182" s="84">
        <f>IF($CJ182="","",IF($O182="Y",$CJ182,SUBSTITUTE($CJ182,$BG182&amp;" "&amp;IFERROR(VLOOKUP($Z182,CODES,2,FALSE),"")&amp;" ",$BG182&amp;" ")))</f>
        <v/>
      </c>
      <c r="DE182" s="84">
        <f>IF($CK182="","",IF($O182="Y",$CK182,SUBSTITUTE($CK182,$BG182&amp;" "&amp;IF($AN182="",IFERROR(VLOOKUP($Z182,CODES,2,FALSE),""),IFERROR(VLOOKUP($AN182,CODES,2,FALSE),""))&amp;" ",$BG182&amp;" ")))</f>
        <v/>
      </c>
      <c r="DF182" s="84">
        <f>IF($CJ182="","",$DC182&amp;"|"&amp;$DD182&amp;"|"&amp;$DB182&amp;"|"&amp;$AT182&amp;"|"&amp;$V182&amp;"|"&amp;$Y182&amp;"|"&amp;$AB182)</f>
        <v/>
      </c>
      <c r="DG182" s="84">
        <f>IF(DF182="","",IF(COUNTIF($DF$6:DF182,DF182)=1,MAX($DG$5:DG181)+1,INDEX($DG$5:DG181,MATCH(DF182,$DF$5:DF181,0))))</f>
        <v/>
      </c>
      <c r="DH182" s="84">
        <f>IF($CK182="","",$DC182&amp;"|"&amp;$DE182&amp;"|"&amp;$AI182&amp;"|"&amp;$BK182&amp;"|"&amp;$BL182)</f>
        <v/>
      </c>
      <c r="DI182" s="84">
        <f>IF(DH182="","",IF(COUNTIF($DH$6:DH182,DH182)=1,MAX($DI$5:DI181)+1,INDEX($DI$5:DI181,MATCH(DH182,$DH$5:DH181,0))))</f>
        <v/>
      </c>
      <c r="DJ182" s="84">
        <f>IF($A182="","",IF($B182="","qty, ","")&amp;IF($C182="","scope, ","")&amp;IF(OR($K182="",$M182=""),"size, ","")&amp;IF(AND($A182&lt;&gt;"",$C182&lt;&gt;"DOOR ONLY"),IF($U182="","jamb depth, ","")&amp;IF($X182="","construction, ","")&amp;IF($Y182="","anchor, ","")&amp;IF($S182="","frame type, ",""),"")&amp;IF(AND(N($BJ182)&gt;0,$Z182=""),"hand, ","")&amp;IF(N($BJ182)&gt;0,IF($AH182="","door material, ","")&amp;IF($AL182="","face type, ","")&amp;IF($AP182="","lock prep, ","")&amp;IF(AND($AO182="",$AC182=""),"hinge prep, ",""),"")&amp;IF(AND($CH182&gt;0,$AH182="FRP"),"FRP cannot carry a label, ","")&amp;IF(AND($O182="Y",OR($Z182="L",$Z182="R",$Z182="LR",$Z182="RR")),"pair marked but hand is single, ","")&amp;IF(AND($O182&lt;&gt;"Y",OR($Z182="PR",AND(LEN($Z182)&gt;1,ISNUMBER(SEARCH("-",$Z182))))),"pair hand on a single door, ","")&amp;IF(AND(ISNUMBER($CI182),$CH182&lt;N($CI182)),"wall needs a "&amp;$CI182&amp;" min door, ","")&amp;IF(AND($CH182&gt;=180,AND(OR($CE182="FG",$CE182="HG",$CE182="FNV",$CE182="FV"),N($CF182)*N($CG182)&gt;100)),"180 min lite over 100 sq in, ","")&amp;IF(N($BK182)&gt;48,"leaf wider than 4'-0"&amp;CHAR(34)&amp;", ","")&amp;IF(AND($CT182,COUNT($AW182:$AZ182)=0,$CQ182&gt;0),"CUSTOM LOC with no locations typed, ",""))</f>
        <v/>
      </c>
      <c r="DK182" s="84">
        <f>IF($A182="","",IF(AND($CH182&gt;0,AND($A182&lt;&gt;"",$C182&lt;&gt;"DOOR ONLY"),$X182="KD",$E182="EXTERIOR"),"KD label on an exterior opening, ","")&amp;IF(AND($E182="EXTERIOR",OR(AND(AND($A182&lt;&gt;"",$C182&lt;&gt;"DOOR ONLY"),$W182="CR"),AND(N($BJ182)&gt;0,$AH182="CR"))),"exterior in CR steel (G9?), ","")&amp;IF(AND(ISNUMBER($BQ182),N($BQ182)&lt;32),"clear width ~"&amp;TEXT($BQ182,"0.0")&amp;CHAR(34)&amp;" under 32"&amp;CHAR(34)&amp;" (ADA), ","")&amp;IF(AND($CH182=90,AND(OR($CE182="FG",$CE182="HG",$CE182="FNV",$CE182="FV"),N($CF182)*N($CG182)&gt;100)),"90 min lite over 100 sq in (stair/exit), ","")&amp;IF(AND($CH182&gt;0,AND($A182&lt;&gt;"",$C182&lt;&gt;"DOOR ONLY"),OR($AF182="",$AF182="-")),"rated: closer reinf.?, ","")&amp;IF(OR($I182="CORRIDOR",$I182="SMOKE BARRIER"),"S label + smoke gasketing, ","")&amp;IF($CI182="?","wall type/hr not in IBC table, ","")&amp;IF(AND(N($BJ182)&gt;0,$BB182=""),"no hardware set, ","")&amp;IF(AND($BB182&lt;&gt;"",ISNA(MATCH($BB182&amp;"",HWSets,0))),"set "&amp;$BB182&amp;" not on HW Sets, ","")&amp;IF(N($BL182)&gt;96,"leaf over 8'-0"&amp;CHAR(34)&amp;" - check listing, ","")&amp;IF(AND($CT182,COUNT($AW182:$AZ182)&gt;0,COUNT($AW182:$AZ182)&lt;&gt;$CQ182),COUNT($AW182:$AZ182)&amp;" custom hinges typed, "&amp;$CQ182&amp;" expected, ","")&amp;IF(AND(ISNUMBER($CA182),OR(N($CA182)&lt;34,N($CA182)&gt;48)),"lock "&amp;TEXT($CA182,"0.0")&amp;CHAR(34)&amp;" AFF outside 34-48"&amp;CHAR(34)&amp;" (ADA), ","")&amp;IF(AND(ISNUMBER($AV182),ISNUMBER($BL182),N($AV182)&lt;IF(N($BL182)&lt;=60,2,IF(N($BL182)&lt;=90,3,IF(N($BL182)&lt;=120,4,5)))),"fewer hinges than standard, ",""))</f>
        <v/>
      </c>
    </row>
    <row r="183" ht="15" customHeight="1">
      <c r="A183" s="77" t="n"/>
      <c r="B183" s="78" t="n"/>
      <c r="C183" s="78" t="n"/>
      <c r="D183" s="78" t="n"/>
      <c r="E183" s="78" t="n"/>
      <c r="F183" s="78" t="n"/>
      <c r="G183" s="78" t="n"/>
      <c r="H183" s="78" t="n"/>
      <c r="I183" s="78" t="n"/>
      <c r="J183" s="78" t="n"/>
      <c r="K183" s="78" t="n"/>
      <c r="L183" s="78" t="n"/>
      <c r="M183" s="78" t="n"/>
      <c r="N183" s="78" t="n"/>
      <c r="O183" s="78" t="n"/>
      <c r="P183" s="78" t="n"/>
      <c r="Q183" s="78" t="n"/>
      <c r="R183" s="78" t="n"/>
      <c r="S183" s="79" t="n"/>
      <c r="T183" s="79" t="n"/>
      <c r="U183" s="79" t="n"/>
      <c r="V183" s="79" t="n"/>
      <c r="W183" s="79" t="n"/>
      <c r="X183" s="79" t="n"/>
      <c r="Y183" s="79" t="n"/>
      <c r="Z183" s="79" t="n"/>
      <c r="AA183" s="79" t="n"/>
      <c r="AB183" s="79" t="n"/>
      <c r="AC183" s="79" t="n"/>
      <c r="AD183" s="79" t="n"/>
      <c r="AE183" s="79" t="n"/>
      <c r="AF183" s="79" t="n"/>
      <c r="AG183" s="79" t="n"/>
      <c r="AH183" s="80" t="n"/>
      <c r="AI183" s="80" t="n"/>
      <c r="AJ183" s="80" t="n"/>
      <c r="AK183" s="80" t="n"/>
      <c r="AL183" s="80" t="n"/>
      <c r="AM183" s="80" t="n"/>
      <c r="AN183" s="80" t="n"/>
      <c r="AO183" s="80" t="n"/>
      <c r="AP183" s="80" t="n"/>
      <c r="AQ183" s="80" t="n"/>
      <c r="AR183" s="80" t="n"/>
      <c r="AS183" s="80" t="n"/>
      <c r="AT183" s="81" t="n"/>
      <c r="AU183" s="81" t="n"/>
      <c r="AV183" s="81" t="n"/>
      <c r="AW183" s="82" t="n"/>
      <c r="AX183" s="82" t="n"/>
      <c r="AY183" s="82" t="n"/>
      <c r="AZ183" s="82" t="n"/>
      <c r="BA183" s="82" t="n"/>
      <c r="BB183" s="83" t="n"/>
      <c r="BC183" s="83" t="n"/>
      <c r="BD183" s="84">
        <f>IF($A183="","",IF($DJ183&lt;&gt;"","FIX",IF($DK183&lt;&gt;"","CHECK","OK")))</f>
        <v/>
      </c>
      <c r="BE183" s="85">
        <f>IF($A183="","",IF($DJ183&lt;&gt;"","FIX: "&amp;LEFT($DJ183,LEN($DJ183)-2)&amp;IF($DK183&lt;&gt;"","  ·  ",""),"")&amp;IF($DK183&lt;&gt;"","CHECK: "&amp;LEFT($DK183,LEN($DK183)-2),""))</f>
        <v/>
      </c>
      <c r="BF183" s="84">
        <f>IF(OR($A183="",$K183=""),"",$K183&amp;"'-"&amp;N($L183)&amp;CHAR(34)&amp;" x "&amp;$M183&amp;"'-"&amp;N($N183)&amp;CHAR(34))</f>
        <v/>
      </c>
      <c r="BG183" s="84">
        <f>IF(OR($A183="",$K183=""),"",$K183&amp;N($L183)&amp;$M183&amp;N($N183))</f>
        <v/>
      </c>
      <c r="BH183" s="84">
        <f>IF(OR($A183="",$K183=""),"",$K183*12+N($L183))</f>
        <v/>
      </c>
      <c r="BI183" s="84">
        <f>IF(OR($A183="",$M183=""),"",$M183*12+N($N183))</f>
        <v/>
      </c>
      <c r="BJ183" s="84">
        <f>IF($A183="","",IF(OR($C183="FRAME ONLY",$S183="BL"),0,IF($O183="Y",2,1)))</f>
        <v/>
      </c>
      <c r="BK183" s="86">
        <f>IF(OR(N($BJ183)=0,$BH183=""),"",($BH183-2*EdgeClr-IF($BJ183=2,MeetClr,0))/$BJ183)</f>
        <v/>
      </c>
      <c r="BL183" s="86">
        <f>IF(OR(N($BJ183)=0,$BI183=""),"",$BI183-HeadClr-Undercut)</f>
        <v/>
      </c>
      <c r="BM183" s="86">
        <f>IF($BH183="","",$BH183+2*FaceW+IF(N($Q183)&gt;0,($Q183+FaceW)*IF($R183="LR",2,1),0))</f>
        <v/>
      </c>
      <c r="BN183" s="86">
        <f>IF($BI183="","",$BI183+IF($AB183="Y",4,FaceW)+IF(N($P183)&gt;0,$P183+FaceW,0)+IF(OR($S183="4F",$S183="BL"),FaceW,0))</f>
        <v/>
      </c>
      <c r="BO183" s="86">
        <f>IF($BM183="","",$BM183+2*ROSide)</f>
        <v/>
      </c>
      <c r="BP183" s="86">
        <f>IF($BN183="","",$BN183+ROTop)</f>
        <v/>
      </c>
      <c r="BQ183" s="87">
        <f>IF(OR(N($BJ183)=0,$BH183=""),"",$BH183/$BJ183-ClearDeduct)</f>
        <v/>
      </c>
      <c r="BR183" s="84">
        <f>IF(N($CH183)=0,"",IF($CH183&gt;=180,"A · 3 HR",IF($CH183&gt;=90,"B · 1-1/2 HR",IF($CH183&gt;=60,"B · 1 HR",IF($CH183&gt;=45,"C · 3/4 HR","20 MIN")))))&amp;IF(AND(N($CH183)&gt;0,OR($I183="CORRIDOR",$I183="SMOKE BARRIER"))," · S","")</f>
        <v/>
      </c>
      <c r="BS183" s="84">
        <f>IF($CS183,"",IF($AV183&lt;&gt;"",$AV183,IF(OR($AC183="HGC",$AO183="HGC"),"CONT",IF(($BI183-HeadClr-Undercut)&lt;=60,2,IF(($BI183-HeadClr-Undercut)&lt;=90,3,IF(($BI183-HeadClr-Undercut)&lt;=120,4,5))))))</f>
        <v/>
      </c>
      <c r="BT183" s="84">
        <f>IF($CS183,"",IF($CT183,"CUSTOM (typed)",IF($CV183,$AT183&amp;" "&amp;$CU183&amp;CHAR(34)&amp;IF($CU183&lt;&gt;$BI183,IF(AND($BI183&lt;$CU183,$BI183-IF(N(VLOOKUP($AT183&amp;"|"&amp;$CU183,LocTable,7,FALSE))&gt;0,VLOOKUP($AT183&amp;"|"&amp;$CU183,LocTable,7,FALSE),VLOOKUP($AT183&amp;"|"&amp;$CU183,LocTable,6,FALSE))-$CR183-0.75&gt;=2.125)," cut down"," adj."),""),"ANSI/SDI A250.6")))</f>
        <v/>
      </c>
      <c r="BU183" s="88">
        <f>IF($CS183,"",IF($CT183,IF(N($AW183)&gt;0,N($AW183),""),IF(1&gt;$CQ183,"",IF($CQ183=1,$CW183,$CW183+($CX183-$CW183)*0/($CQ183-1)))))</f>
        <v/>
      </c>
      <c r="BV183" s="88">
        <f>IF($CS183,"",IF($CT183,IF(N($AX183)&gt;0,N($AX183),""),IF(2&gt;$CQ183,"",IF($CQ183=1,$CW183,$CW183+($CX183-$CW183)*1/($CQ183-1)))))</f>
        <v/>
      </c>
      <c r="BW183" s="88">
        <f>IF($CS183,"",IF($CT183,IF(N($AY183)&gt;0,N($AY183),""),IF(3&gt;$CQ183,"",IF($CQ183=1,$CW183,$CW183+($CX183-$CW183)*2/($CQ183-1)))))</f>
        <v/>
      </c>
      <c r="BX183" s="88">
        <f>IF($CS183,"",IF($CT183,IF(N($AZ183)&gt;0,N($AZ183),""),IF(4&gt;$CQ183,"",IF($CQ183=1,$CW183,$CW183+($CX183-$CW183)*3/($CQ183-1)))))</f>
        <v/>
      </c>
      <c r="BY183" s="88">
        <f>IF($CS183,"",IF($CT183,"",IF(5&gt;$CQ183,"",IF($CQ183=1,$CW183,$CW183+($CX183-$CW183)*4/($CQ183-1)))))</f>
        <v/>
      </c>
      <c r="BZ183" s="88">
        <f>IF(OR($CS183,$AP183="-",AND($AP183="",$AD183="")),"",IF(N($BA183)&gt;0,N($BA183),IF($CV183,IF(AND($BI183&lt;$CU183,$BI183-IF(N(VLOOKUP($AT183&amp;"|"&amp;$CU183,LocTable,7,FALSE))&gt;0,VLOOKUP($AT183&amp;"|"&amp;$CU183,LocTable,7,FALSE),VLOOKUP($AT183&amp;"|"&amp;$CU183,LocTable,6,FALSE))-$CR183-0.75&gt;=2.125),VLOOKUP($AT183&amp;"|"&amp;$CU183,LocTable,8,FALSE),VLOOKUP($AT183&amp;"|"&amp;$CU183,LocTable,8,FALSE)+($BI183-$CU183)),$BI183-LockAFF)))</f>
        <v/>
      </c>
      <c r="CA183" s="89">
        <f>IF($BZ183="","",$BI183-$BZ183)</f>
        <v/>
      </c>
      <c r="CB183" s="84">
        <f>IF(OR(NOT(AND($A183&lt;&gt;"",$C183&lt;&gt;"DOOR ONLY")),$BI183=""),"",IF(($BI183+IF(N($P183)&gt;0,$P183+FaceW,0))&lt;=90,3,IF(($BI183+IF(N($P183)&gt;0,$P183+FaceW,0))&lt;=114,4,5)))</f>
        <v/>
      </c>
      <c r="CC183" s="84">
        <f>IF($CB183="","",$CB183*(2+IF(N($Q183)&gt;0,IF($R183="LR",2,1),0)))</f>
        <v/>
      </c>
      <c r="CD183" s="84">
        <f>IF($CB183="","",(2+IF(N($Q183)&gt;0,IF($R183="LR",2,1),0)))</f>
        <v/>
      </c>
      <c r="CE183" s="84">
        <f>IF(N($BJ183)=0,"",IF(OR($AL183="",$AL183="FLUSH"),"FLUSH",IFERROR(LEFT($AL183,FIND("-",$AL183)-1),LEFT($AL183,2))))</f>
        <v/>
      </c>
      <c r="CF183" s="84">
        <f>IF($CE183="","",IFERROR(VALUE(MID($AL183,FIND("-",$AL183)+1,FIND(CHAR(34)&amp;"x",$AL183)-FIND("-",$AL183)-1)),0))</f>
        <v/>
      </c>
      <c r="CG183" s="84">
        <f>IF($CE183="","",IFERROR(VALUE(MID($AL183,FIND(CHAR(34)&amp;"x",$AL183)+2,FIND(CHAR(34),$AL183,FIND(CHAR(34)&amp;"x",$AL183)+2)-FIND(CHAR(34)&amp;"x",$AL183)-2)),0))</f>
        <v/>
      </c>
      <c r="CH183" s="90">
        <f>IF(OR($A183="",$H183="",$H183="NO LAB"),0,IFERROR(VALUE(LEFT($H183,FIND(" ",$H183)-1)),0))</f>
        <v/>
      </c>
      <c r="CI183" s="91">
        <f>IF(OR($A183="",$I183="",$I183="NON-RATED",N($J183)=0),"",IFERROR(VLOOKUP($I183&amp;"|"&amp;$J183,IBC,2,FALSE),"?"))</f>
        <v/>
      </c>
      <c r="CJ183" s="85">
        <f>IF(NOT(AND($A183&lt;&gt;"",$C183&lt;&gt;"DOOR ONLY")),"",TRIM(IFERROR(VLOOKUP($U183,CODES,2,FALSE),"")&amp;" "&amp;$BG183&amp;" "&amp;IFERROR(VLOOKUP($Z183,CODES,2,FALSE),"")&amp;" "&amp;IFERROR(VLOOKUP($X183,CODES,2,FALSE),"")&amp;" "&amp;IFERROR(VLOOKUP($S183,CODES,2,FALSE),"")&amp;IF(N($P183)&gt;0," w/TRANSOM "&amp;$P183&amp;CHAR(34),"")&amp;IF(N($Q183)&gt;0," w/SIDELITE "&amp;$Q183&amp;CHAR(34)&amp;" "&amp;IF($R183="","R",$R183),"")&amp;IF($Y183="","  |  "," | "&amp;IFERROR(VLOOKUP($Y183,CODES,2,FALSE),"")&amp;" | ")&amp;IFERROR(VLOOKUP($AC183,CODES,2,FALSE),"")&amp;" "&amp;IFERROR(VLOOKUP($AD183,CODES,2,FALSE),"")&amp;IF(OR($AE183="",$AE183="-"),""," "&amp;$AE183)&amp;IF(OR($AF183="",$AF183="-"),""," "&amp;$AF183)&amp;IF($AB183="Y"," 4"&amp;CHAR(34)&amp;" HEAD","")&amp;" "&amp;IFERROR(VLOOKUP($H183,CODES,2,FALSE),"")&amp;IF($CT183," | LOC "&amp;$CY183,"")))</f>
        <v/>
      </c>
      <c r="CK183" s="85">
        <f>IF(NOT(AND($A183&lt;&gt;"",N($BJ183)&gt;0)),"",TRIM(IFERROR(VLOOKUP($AH183,CODES,2,FALSE),"")&amp;IF($AI183=""," "," "&amp;$AI183&amp;"GA ")&amp;$BG183&amp;" "&amp;IF($AN183="",IFERROR(VLOOKUP($Z183,CODES,2,FALSE),""),IFERROR(VLOOKUP($AN183,CODES,2,FALSE),""))&amp;IF($BJ183=2," PAIR","")&amp;" DOOR | "&amp;IF($AL183="","?",$AL183)&amp;" | "&amp;IF($AO183="",IFERROR(VLOOKUP($AC183,CODES,2,FALSE),""),IFERROR(VLOOKUP($AO183,CODES,2,FALSE),""))&amp;" "&amp;IFERROR(VLOOKUP($AP183,CODES,2,FALSE),"")&amp;IF(OR($AQ183="",$AQ183="-"),""," SEAM "&amp;$AQ183)&amp;IF($AR183="Y"," ASTRAGAL","")&amp;IF($AJ183=""," "," "&amp;$AJ183)&amp;IF($AK183=""," "," "&amp;$AK183)&amp;IF(OR($AT183="",$AT183="ANSI/SDI",$AT183="CUSTOM LOC"),""," "&amp;$AT183)&amp;IF($AM183=""," "," SERIES "&amp;$AM183)&amp;" "&amp;IFERROR(VLOOKUP($H183,CODES,2,FALSE),"")&amp;IF($CT183," | LOC "&amp;$CZ183,"")))</f>
        <v/>
      </c>
      <c r="CL183" s="84">
        <f>IF(CP183="","",IF(COUNTIF($CP$6:CP183,CP183)=1,MAX($CL$5:CL182)+1,INDEX($CL$5:CL182,MATCH(CP183,$CP$5:CP182,0))))</f>
        <v/>
      </c>
      <c r="CM183" s="84">
        <f>IF(NOT(AND($A183&lt;&gt;"",$C183&lt;&gt;"DOOR ONLY")),"",MAX($CM$5:CM182)+1)</f>
        <v/>
      </c>
      <c r="CN183" s="84">
        <f>IF(NOT(AND($A183&lt;&gt;"",N($BJ183)&gt;0)),"",MAX($CN$5:CN182)+1)</f>
        <v/>
      </c>
      <c r="CO183" s="84">
        <f>IF($A183="","",MAX($CO$5:CO182)+1)</f>
        <v/>
      </c>
      <c r="CP183" s="84">
        <f>IF(OR($A183="",$BH183="",$BI183=""),"",$BG183&amp;"|"&amp;$O183&amp;"|"&amp;$AL183&amp;"|"&amp;$S183&amp;"|"&amp;$P183&amp;"|"&amp;$Q183&amp;$R183&amp;"|"&amp;$C183&amp;"|"&amp;$AB183)</f>
        <v/>
      </c>
      <c r="CQ183" s="84">
        <f>N($BS183)</f>
        <v/>
      </c>
      <c r="CR183" s="84">
        <f>IF(N($AU183)&gt;0,N($AU183),4.5)</f>
        <v/>
      </c>
      <c r="CS183" s="84">
        <f>OR($A183="",$BI183="",$S183="BL",AND($C183="FRAME ONLY",OR($AC183="",$AC183="BLK")))</f>
        <v/>
      </c>
      <c r="CT183" s="84">
        <f>AND(NOT($CS183),OR($AT183="CUSTOM LOC",N($AW183)+N($AX183)+N($AY183)+N($AZ183)+N($BA183)&gt;0))</f>
        <v/>
      </c>
      <c r="CU183" s="84">
        <f>IF($BI183="","",IF($BI183&lt;=80,80,IF($BI183&lt;=84,84,96)))</f>
        <v/>
      </c>
      <c r="CV183" s="84">
        <f>ISNUMBER(MATCH($AT183&amp;"|80",LocKeys,0))</f>
        <v/>
      </c>
      <c r="CW183" s="86">
        <f>IF($CS183,"",IF($CV183,VLOOKUP($AT183&amp;"|"&amp;$CU183,LocTable,4,FALSE),5))</f>
        <v/>
      </c>
      <c r="CX183" s="86">
        <f>IF($CS183,"",IF($CV183,IF(OR($BI183=$CU183,AND($BI183&lt;$CU183,$BI183-IF(N(VLOOKUP($AT183&amp;"|"&amp;$CU183,LocTable,7,FALSE))&gt;0,VLOOKUP($AT183&amp;"|"&amp;$CU183,LocTable,7,FALSE),VLOOKUP($AT183&amp;"|"&amp;$CU183,LocTable,6,FALSE))-$CR183-0.75&gt;=2.125)),IF(N(VLOOKUP($AT183&amp;"|"&amp;$CU183,LocTable,7,FALSE))&gt;0,VLOOKUP($AT183&amp;"|"&amp;$CU183,LocTable,7,FALSE),VLOOKUP($AT183&amp;"|"&amp;$CU183,LocTable,6,FALSE)),$BI183-($CU183-IF(N(VLOOKUP($AT183&amp;"|"&amp;$CU183,LocTable,7,FALSE))&gt;0,VLOOKUP($AT183&amp;"|"&amp;$CU183,LocTable,7,FALSE),VLOOKUP($AT183&amp;"|"&amp;$CU183,LocTable,6,FALSE)))),$BI183-10-$CR183))</f>
        <v/>
      </c>
      <c r="CY183" s="85">
        <f>IF($CS183,"",TRIM(IF(ISNUMBER($BU183),"A "&amp;TRIM(TEXT($BU183,"# ?/??"))&amp;CHAR(34)&amp;"  ","")&amp;IF(ISNUMBER($BV183),"B "&amp;TRIM(TEXT($BV183,"# ?/??"))&amp;CHAR(34)&amp;"  ","")&amp;IF(ISNUMBER($BW183),"C "&amp;TRIM(TEXT($BW183,"# ?/??"))&amp;CHAR(34)&amp;"  ","")&amp;IF(ISNUMBER($BX183),"D "&amp;TRIM(TEXT($BX183,"# ?/??"))&amp;CHAR(34)&amp;"  ","")&amp;IF(ISNUMBER($BY183),"F "&amp;TRIM(TEXT($BY183,"# ?/??"))&amp;CHAR(34)&amp;"  ","")&amp;IF(ISNUMBER($BZ183),"E "&amp;TRIM(TEXT($BZ183,"# ?/??"))&amp;CHAR(34)&amp;"  ","")))</f>
        <v/>
      </c>
      <c r="CZ183" s="85">
        <f>IF(OR($CS183,N($BJ183)=0),"",TRIM(IF(ISNUMBER($BU183),"A "&amp;TRIM(TEXT($BU183-HeadClr,"# ?/??"))&amp;CHAR(34)&amp;"  ","")&amp;IF(ISNUMBER($BV183),"B "&amp;TRIM(TEXT($BV183-HeadClr,"# ?/??"))&amp;CHAR(34)&amp;"  ","")&amp;IF(ISNUMBER($BW183),"C "&amp;TRIM(TEXT($BW183-HeadClr,"# ?/??"))&amp;CHAR(34)&amp;"  ","")&amp;IF(ISNUMBER($BX183),"D "&amp;TRIM(TEXT($BX183-HeadClr,"# ?/??"))&amp;CHAR(34)&amp;"  ","")&amp;IF(ISNUMBER($BY183),"F "&amp;TRIM(TEXT($BY183-HeadClr,"# ?/??"))&amp;CHAR(34)&amp;"  ","")&amp;IF(ISNUMBER($BZ183),"E "&amp;TRIM(TEXT($BZ183-HeadClr,"# ?/??"))&amp;CHAR(34)&amp;"  ","")))</f>
        <v/>
      </c>
      <c r="DA183" s="84">
        <f>IF($A183="","",IF($AN183="",IFERROR(VLOOKUP($Z183,CODES,2,FALSE),""),IFERROR(VLOOKUP($AN183,CODES,2,FALSE),"")))</f>
        <v/>
      </c>
      <c r="DB183" s="84">
        <f>IF($A183="","",IF($O183="Y","PR",IF(OR($Z183="L",$Z183="RR",LEFT($Z183,2)="L-",LEFT($Z183,3)="RR-"),"LH","RH")))</f>
        <v/>
      </c>
      <c r="DC183" s="84">
        <f>IF($A183="","","S.HM"&amp;IF(OR($C183="DOOR ONLY",$X183&lt;&gt;"KD"),"MASONRY","DRYWALL")&amp;IF($C183="DOOR ONLY","",$U183)&amp;IF(AND($C183&lt;&gt;"FRAME ONLY",OR(LEFT($AH183,3)="OAK",LEFT($AH183,3)="BIR",LEFT($AH183,3)="MAP",$AH183="PC",$AH183="MC",$AH183="SCLC",$AH183="P-LAM")),"WD","HM")&amp;"1.75")</f>
        <v/>
      </c>
      <c r="DD183" s="84">
        <f>IF($CJ183="","",IF($O183="Y",$CJ183,SUBSTITUTE($CJ183,$BG183&amp;" "&amp;IFERROR(VLOOKUP($Z183,CODES,2,FALSE),"")&amp;" ",$BG183&amp;" ")))</f>
        <v/>
      </c>
      <c r="DE183" s="84">
        <f>IF($CK183="","",IF($O183="Y",$CK183,SUBSTITUTE($CK183,$BG183&amp;" "&amp;IF($AN183="",IFERROR(VLOOKUP($Z183,CODES,2,FALSE),""),IFERROR(VLOOKUP($AN183,CODES,2,FALSE),""))&amp;" ",$BG183&amp;" ")))</f>
        <v/>
      </c>
      <c r="DF183" s="84">
        <f>IF($CJ183="","",$DC183&amp;"|"&amp;$DD183&amp;"|"&amp;$DB183&amp;"|"&amp;$AT183&amp;"|"&amp;$V183&amp;"|"&amp;$Y183&amp;"|"&amp;$AB183)</f>
        <v/>
      </c>
      <c r="DG183" s="84">
        <f>IF(DF183="","",IF(COUNTIF($DF$6:DF183,DF183)=1,MAX($DG$5:DG182)+1,INDEX($DG$5:DG182,MATCH(DF183,$DF$5:DF182,0))))</f>
        <v/>
      </c>
      <c r="DH183" s="84">
        <f>IF($CK183="","",$DC183&amp;"|"&amp;$DE183&amp;"|"&amp;$AI183&amp;"|"&amp;$BK183&amp;"|"&amp;$BL183)</f>
        <v/>
      </c>
      <c r="DI183" s="84">
        <f>IF(DH183="","",IF(COUNTIF($DH$6:DH183,DH183)=1,MAX($DI$5:DI182)+1,INDEX($DI$5:DI182,MATCH(DH183,$DH$5:DH182,0))))</f>
        <v/>
      </c>
      <c r="DJ183" s="84">
        <f>IF($A183="","",IF($B183="","qty, ","")&amp;IF($C183="","scope, ","")&amp;IF(OR($K183="",$M183=""),"size, ","")&amp;IF(AND($A183&lt;&gt;"",$C183&lt;&gt;"DOOR ONLY"),IF($U183="","jamb depth, ","")&amp;IF($X183="","construction, ","")&amp;IF($Y183="","anchor, ","")&amp;IF($S183="","frame type, ",""),"")&amp;IF(AND(N($BJ183)&gt;0,$Z183=""),"hand, ","")&amp;IF(N($BJ183)&gt;0,IF($AH183="","door material, ","")&amp;IF($AL183="","face type, ","")&amp;IF($AP183="","lock prep, ","")&amp;IF(AND($AO183="",$AC183=""),"hinge prep, ",""),"")&amp;IF(AND($CH183&gt;0,$AH183="FRP"),"FRP cannot carry a label, ","")&amp;IF(AND($O183="Y",OR($Z183="L",$Z183="R",$Z183="LR",$Z183="RR")),"pair marked but hand is single, ","")&amp;IF(AND($O183&lt;&gt;"Y",OR($Z183="PR",AND(LEN($Z183)&gt;1,ISNUMBER(SEARCH("-",$Z183))))),"pair hand on a single door, ","")&amp;IF(AND(ISNUMBER($CI183),$CH183&lt;N($CI183)),"wall needs a "&amp;$CI183&amp;" min door, ","")&amp;IF(AND($CH183&gt;=180,AND(OR($CE183="FG",$CE183="HG",$CE183="FNV",$CE183="FV"),N($CF183)*N($CG183)&gt;100)),"180 min lite over 100 sq in, ","")&amp;IF(N($BK183)&gt;48,"leaf wider than 4'-0"&amp;CHAR(34)&amp;", ","")&amp;IF(AND($CT183,COUNT($AW183:$AZ183)=0,$CQ183&gt;0),"CUSTOM LOC with no locations typed, ",""))</f>
        <v/>
      </c>
      <c r="DK183" s="84">
        <f>IF($A183="","",IF(AND($CH183&gt;0,AND($A183&lt;&gt;"",$C183&lt;&gt;"DOOR ONLY"),$X183="KD",$E183="EXTERIOR"),"KD label on an exterior opening, ","")&amp;IF(AND($E183="EXTERIOR",OR(AND(AND($A183&lt;&gt;"",$C183&lt;&gt;"DOOR ONLY"),$W183="CR"),AND(N($BJ183)&gt;0,$AH183="CR"))),"exterior in CR steel (G9?), ","")&amp;IF(AND(ISNUMBER($BQ183),N($BQ183)&lt;32),"clear width ~"&amp;TEXT($BQ183,"0.0")&amp;CHAR(34)&amp;" under 32"&amp;CHAR(34)&amp;" (ADA), ","")&amp;IF(AND($CH183=90,AND(OR($CE183="FG",$CE183="HG",$CE183="FNV",$CE183="FV"),N($CF183)*N($CG183)&gt;100)),"90 min lite over 100 sq in (stair/exit), ","")&amp;IF(AND($CH183&gt;0,AND($A183&lt;&gt;"",$C183&lt;&gt;"DOOR ONLY"),OR($AF183="",$AF183="-")),"rated: closer reinf.?, ","")&amp;IF(OR($I183="CORRIDOR",$I183="SMOKE BARRIER"),"S label + smoke gasketing, ","")&amp;IF($CI183="?","wall type/hr not in IBC table, ","")&amp;IF(AND(N($BJ183)&gt;0,$BB183=""),"no hardware set, ","")&amp;IF(AND($BB183&lt;&gt;"",ISNA(MATCH($BB183&amp;"",HWSets,0))),"set "&amp;$BB183&amp;" not on HW Sets, ","")&amp;IF(N($BL183)&gt;96,"leaf over 8'-0"&amp;CHAR(34)&amp;" - check listing, ","")&amp;IF(AND($CT183,COUNT($AW183:$AZ183)&gt;0,COUNT($AW183:$AZ183)&lt;&gt;$CQ183),COUNT($AW183:$AZ183)&amp;" custom hinges typed, "&amp;$CQ183&amp;" expected, ","")&amp;IF(AND(ISNUMBER($CA183),OR(N($CA183)&lt;34,N($CA183)&gt;48)),"lock "&amp;TEXT($CA183,"0.0")&amp;CHAR(34)&amp;" AFF outside 34-48"&amp;CHAR(34)&amp;" (ADA), ","")&amp;IF(AND(ISNUMBER($AV183),ISNUMBER($BL183),N($AV183)&lt;IF(N($BL183)&lt;=60,2,IF(N($BL183)&lt;=90,3,IF(N($BL183)&lt;=120,4,5)))),"fewer hinges than standard, ",""))</f>
        <v/>
      </c>
    </row>
    <row r="184" ht="15" customHeight="1">
      <c r="A184" s="77" t="n"/>
      <c r="B184" s="78" t="n"/>
      <c r="C184" s="78" t="n"/>
      <c r="D184" s="78" t="n"/>
      <c r="E184" s="78" t="n"/>
      <c r="F184" s="78" t="n"/>
      <c r="G184" s="78" t="n"/>
      <c r="H184" s="78" t="n"/>
      <c r="I184" s="78" t="n"/>
      <c r="J184" s="78" t="n"/>
      <c r="K184" s="78" t="n"/>
      <c r="L184" s="78" t="n"/>
      <c r="M184" s="78" t="n"/>
      <c r="N184" s="78" t="n"/>
      <c r="O184" s="78" t="n"/>
      <c r="P184" s="78" t="n"/>
      <c r="Q184" s="78" t="n"/>
      <c r="R184" s="78" t="n"/>
      <c r="S184" s="79" t="n"/>
      <c r="T184" s="79" t="n"/>
      <c r="U184" s="79" t="n"/>
      <c r="V184" s="79" t="n"/>
      <c r="W184" s="79" t="n"/>
      <c r="X184" s="79" t="n"/>
      <c r="Y184" s="79" t="n"/>
      <c r="Z184" s="79" t="n"/>
      <c r="AA184" s="79" t="n"/>
      <c r="AB184" s="79" t="n"/>
      <c r="AC184" s="79" t="n"/>
      <c r="AD184" s="79" t="n"/>
      <c r="AE184" s="79" t="n"/>
      <c r="AF184" s="79" t="n"/>
      <c r="AG184" s="79" t="n"/>
      <c r="AH184" s="80" t="n"/>
      <c r="AI184" s="80" t="n"/>
      <c r="AJ184" s="80" t="n"/>
      <c r="AK184" s="80" t="n"/>
      <c r="AL184" s="80" t="n"/>
      <c r="AM184" s="80" t="n"/>
      <c r="AN184" s="80" t="n"/>
      <c r="AO184" s="80" t="n"/>
      <c r="AP184" s="80" t="n"/>
      <c r="AQ184" s="80" t="n"/>
      <c r="AR184" s="80" t="n"/>
      <c r="AS184" s="80" t="n"/>
      <c r="AT184" s="81" t="n"/>
      <c r="AU184" s="81" t="n"/>
      <c r="AV184" s="81" t="n"/>
      <c r="AW184" s="82" t="n"/>
      <c r="AX184" s="82" t="n"/>
      <c r="AY184" s="82" t="n"/>
      <c r="AZ184" s="82" t="n"/>
      <c r="BA184" s="82" t="n"/>
      <c r="BB184" s="83" t="n"/>
      <c r="BC184" s="83" t="n"/>
      <c r="BD184" s="84">
        <f>IF($A184="","",IF($DJ184&lt;&gt;"","FIX",IF($DK184&lt;&gt;"","CHECK","OK")))</f>
        <v/>
      </c>
      <c r="BE184" s="85">
        <f>IF($A184="","",IF($DJ184&lt;&gt;"","FIX: "&amp;LEFT($DJ184,LEN($DJ184)-2)&amp;IF($DK184&lt;&gt;"","  ·  ",""),"")&amp;IF($DK184&lt;&gt;"","CHECK: "&amp;LEFT($DK184,LEN($DK184)-2),""))</f>
        <v/>
      </c>
      <c r="BF184" s="84">
        <f>IF(OR($A184="",$K184=""),"",$K184&amp;"'-"&amp;N($L184)&amp;CHAR(34)&amp;" x "&amp;$M184&amp;"'-"&amp;N($N184)&amp;CHAR(34))</f>
        <v/>
      </c>
      <c r="BG184" s="84">
        <f>IF(OR($A184="",$K184=""),"",$K184&amp;N($L184)&amp;$M184&amp;N($N184))</f>
        <v/>
      </c>
      <c r="BH184" s="84">
        <f>IF(OR($A184="",$K184=""),"",$K184*12+N($L184))</f>
        <v/>
      </c>
      <c r="BI184" s="84">
        <f>IF(OR($A184="",$M184=""),"",$M184*12+N($N184))</f>
        <v/>
      </c>
      <c r="BJ184" s="84">
        <f>IF($A184="","",IF(OR($C184="FRAME ONLY",$S184="BL"),0,IF($O184="Y",2,1)))</f>
        <v/>
      </c>
      <c r="BK184" s="86">
        <f>IF(OR(N($BJ184)=0,$BH184=""),"",($BH184-2*EdgeClr-IF($BJ184=2,MeetClr,0))/$BJ184)</f>
        <v/>
      </c>
      <c r="BL184" s="86">
        <f>IF(OR(N($BJ184)=0,$BI184=""),"",$BI184-HeadClr-Undercut)</f>
        <v/>
      </c>
      <c r="BM184" s="86">
        <f>IF($BH184="","",$BH184+2*FaceW+IF(N($Q184)&gt;0,($Q184+FaceW)*IF($R184="LR",2,1),0))</f>
        <v/>
      </c>
      <c r="BN184" s="86">
        <f>IF($BI184="","",$BI184+IF($AB184="Y",4,FaceW)+IF(N($P184)&gt;0,$P184+FaceW,0)+IF(OR($S184="4F",$S184="BL"),FaceW,0))</f>
        <v/>
      </c>
      <c r="BO184" s="86">
        <f>IF($BM184="","",$BM184+2*ROSide)</f>
        <v/>
      </c>
      <c r="BP184" s="86">
        <f>IF($BN184="","",$BN184+ROTop)</f>
        <v/>
      </c>
      <c r="BQ184" s="87">
        <f>IF(OR(N($BJ184)=0,$BH184=""),"",$BH184/$BJ184-ClearDeduct)</f>
        <v/>
      </c>
      <c r="BR184" s="84">
        <f>IF(N($CH184)=0,"",IF($CH184&gt;=180,"A · 3 HR",IF($CH184&gt;=90,"B · 1-1/2 HR",IF($CH184&gt;=60,"B · 1 HR",IF($CH184&gt;=45,"C · 3/4 HR","20 MIN")))))&amp;IF(AND(N($CH184)&gt;0,OR($I184="CORRIDOR",$I184="SMOKE BARRIER"))," · S","")</f>
        <v/>
      </c>
      <c r="BS184" s="84">
        <f>IF($CS184,"",IF($AV184&lt;&gt;"",$AV184,IF(OR($AC184="HGC",$AO184="HGC"),"CONT",IF(($BI184-HeadClr-Undercut)&lt;=60,2,IF(($BI184-HeadClr-Undercut)&lt;=90,3,IF(($BI184-HeadClr-Undercut)&lt;=120,4,5))))))</f>
        <v/>
      </c>
      <c r="BT184" s="84">
        <f>IF($CS184,"",IF($CT184,"CUSTOM (typed)",IF($CV184,$AT184&amp;" "&amp;$CU184&amp;CHAR(34)&amp;IF($CU184&lt;&gt;$BI184,IF(AND($BI184&lt;$CU184,$BI184-IF(N(VLOOKUP($AT184&amp;"|"&amp;$CU184,LocTable,7,FALSE))&gt;0,VLOOKUP($AT184&amp;"|"&amp;$CU184,LocTable,7,FALSE),VLOOKUP($AT184&amp;"|"&amp;$CU184,LocTable,6,FALSE))-$CR184-0.75&gt;=2.125)," cut down"," adj."),""),"ANSI/SDI A250.6")))</f>
        <v/>
      </c>
      <c r="BU184" s="88">
        <f>IF($CS184,"",IF($CT184,IF(N($AW184)&gt;0,N($AW184),""),IF(1&gt;$CQ184,"",IF($CQ184=1,$CW184,$CW184+($CX184-$CW184)*0/($CQ184-1)))))</f>
        <v/>
      </c>
      <c r="BV184" s="88">
        <f>IF($CS184,"",IF($CT184,IF(N($AX184)&gt;0,N($AX184),""),IF(2&gt;$CQ184,"",IF($CQ184=1,$CW184,$CW184+($CX184-$CW184)*1/($CQ184-1)))))</f>
        <v/>
      </c>
      <c r="BW184" s="88">
        <f>IF($CS184,"",IF($CT184,IF(N($AY184)&gt;0,N($AY184),""),IF(3&gt;$CQ184,"",IF($CQ184=1,$CW184,$CW184+($CX184-$CW184)*2/($CQ184-1)))))</f>
        <v/>
      </c>
      <c r="BX184" s="88">
        <f>IF($CS184,"",IF($CT184,IF(N($AZ184)&gt;0,N($AZ184),""),IF(4&gt;$CQ184,"",IF($CQ184=1,$CW184,$CW184+($CX184-$CW184)*3/($CQ184-1)))))</f>
        <v/>
      </c>
      <c r="BY184" s="88">
        <f>IF($CS184,"",IF($CT184,"",IF(5&gt;$CQ184,"",IF($CQ184=1,$CW184,$CW184+($CX184-$CW184)*4/($CQ184-1)))))</f>
        <v/>
      </c>
      <c r="BZ184" s="88">
        <f>IF(OR($CS184,$AP184="-",AND($AP184="",$AD184="")),"",IF(N($BA184)&gt;0,N($BA184),IF($CV184,IF(AND($BI184&lt;$CU184,$BI184-IF(N(VLOOKUP($AT184&amp;"|"&amp;$CU184,LocTable,7,FALSE))&gt;0,VLOOKUP($AT184&amp;"|"&amp;$CU184,LocTable,7,FALSE),VLOOKUP($AT184&amp;"|"&amp;$CU184,LocTable,6,FALSE))-$CR184-0.75&gt;=2.125),VLOOKUP($AT184&amp;"|"&amp;$CU184,LocTable,8,FALSE),VLOOKUP($AT184&amp;"|"&amp;$CU184,LocTable,8,FALSE)+($BI184-$CU184)),$BI184-LockAFF)))</f>
        <v/>
      </c>
      <c r="CA184" s="89">
        <f>IF($BZ184="","",$BI184-$BZ184)</f>
        <v/>
      </c>
      <c r="CB184" s="84">
        <f>IF(OR(NOT(AND($A184&lt;&gt;"",$C184&lt;&gt;"DOOR ONLY")),$BI184=""),"",IF(($BI184+IF(N($P184)&gt;0,$P184+FaceW,0))&lt;=90,3,IF(($BI184+IF(N($P184)&gt;0,$P184+FaceW,0))&lt;=114,4,5)))</f>
        <v/>
      </c>
      <c r="CC184" s="84">
        <f>IF($CB184="","",$CB184*(2+IF(N($Q184)&gt;0,IF($R184="LR",2,1),0)))</f>
        <v/>
      </c>
      <c r="CD184" s="84">
        <f>IF($CB184="","",(2+IF(N($Q184)&gt;0,IF($R184="LR",2,1),0)))</f>
        <v/>
      </c>
      <c r="CE184" s="84">
        <f>IF(N($BJ184)=0,"",IF(OR($AL184="",$AL184="FLUSH"),"FLUSH",IFERROR(LEFT($AL184,FIND("-",$AL184)-1),LEFT($AL184,2))))</f>
        <v/>
      </c>
      <c r="CF184" s="84">
        <f>IF($CE184="","",IFERROR(VALUE(MID($AL184,FIND("-",$AL184)+1,FIND(CHAR(34)&amp;"x",$AL184)-FIND("-",$AL184)-1)),0))</f>
        <v/>
      </c>
      <c r="CG184" s="84">
        <f>IF($CE184="","",IFERROR(VALUE(MID($AL184,FIND(CHAR(34)&amp;"x",$AL184)+2,FIND(CHAR(34),$AL184,FIND(CHAR(34)&amp;"x",$AL184)+2)-FIND(CHAR(34)&amp;"x",$AL184)-2)),0))</f>
        <v/>
      </c>
      <c r="CH184" s="90">
        <f>IF(OR($A184="",$H184="",$H184="NO LAB"),0,IFERROR(VALUE(LEFT($H184,FIND(" ",$H184)-1)),0))</f>
        <v/>
      </c>
      <c r="CI184" s="91">
        <f>IF(OR($A184="",$I184="",$I184="NON-RATED",N($J184)=0),"",IFERROR(VLOOKUP($I184&amp;"|"&amp;$J184,IBC,2,FALSE),"?"))</f>
        <v/>
      </c>
      <c r="CJ184" s="85">
        <f>IF(NOT(AND($A184&lt;&gt;"",$C184&lt;&gt;"DOOR ONLY")),"",TRIM(IFERROR(VLOOKUP($U184,CODES,2,FALSE),"")&amp;" "&amp;$BG184&amp;" "&amp;IFERROR(VLOOKUP($Z184,CODES,2,FALSE),"")&amp;" "&amp;IFERROR(VLOOKUP($X184,CODES,2,FALSE),"")&amp;" "&amp;IFERROR(VLOOKUP($S184,CODES,2,FALSE),"")&amp;IF(N($P184)&gt;0," w/TRANSOM "&amp;$P184&amp;CHAR(34),"")&amp;IF(N($Q184)&gt;0," w/SIDELITE "&amp;$Q184&amp;CHAR(34)&amp;" "&amp;IF($R184="","R",$R184),"")&amp;IF($Y184="","  |  "," | "&amp;IFERROR(VLOOKUP($Y184,CODES,2,FALSE),"")&amp;" | ")&amp;IFERROR(VLOOKUP($AC184,CODES,2,FALSE),"")&amp;" "&amp;IFERROR(VLOOKUP($AD184,CODES,2,FALSE),"")&amp;IF(OR($AE184="",$AE184="-"),""," "&amp;$AE184)&amp;IF(OR($AF184="",$AF184="-"),""," "&amp;$AF184)&amp;IF($AB184="Y"," 4"&amp;CHAR(34)&amp;" HEAD","")&amp;" "&amp;IFERROR(VLOOKUP($H184,CODES,2,FALSE),"")&amp;IF($CT184," | LOC "&amp;$CY184,"")))</f>
        <v/>
      </c>
      <c r="CK184" s="85">
        <f>IF(NOT(AND($A184&lt;&gt;"",N($BJ184)&gt;0)),"",TRIM(IFERROR(VLOOKUP($AH184,CODES,2,FALSE),"")&amp;IF($AI184=""," "," "&amp;$AI184&amp;"GA ")&amp;$BG184&amp;" "&amp;IF($AN184="",IFERROR(VLOOKUP($Z184,CODES,2,FALSE),""),IFERROR(VLOOKUP($AN184,CODES,2,FALSE),""))&amp;IF($BJ184=2," PAIR","")&amp;" DOOR | "&amp;IF($AL184="","?",$AL184)&amp;" | "&amp;IF($AO184="",IFERROR(VLOOKUP($AC184,CODES,2,FALSE),""),IFERROR(VLOOKUP($AO184,CODES,2,FALSE),""))&amp;" "&amp;IFERROR(VLOOKUP($AP184,CODES,2,FALSE),"")&amp;IF(OR($AQ184="",$AQ184="-"),""," SEAM "&amp;$AQ184)&amp;IF($AR184="Y"," ASTRAGAL","")&amp;IF($AJ184=""," "," "&amp;$AJ184)&amp;IF($AK184=""," "," "&amp;$AK184)&amp;IF(OR($AT184="",$AT184="ANSI/SDI",$AT184="CUSTOM LOC"),""," "&amp;$AT184)&amp;IF($AM184=""," "," SERIES "&amp;$AM184)&amp;" "&amp;IFERROR(VLOOKUP($H184,CODES,2,FALSE),"")&amp;IF($CT184," | LOC "&amp;$CZ184,"")))</f>
        <v/>
      </c>
      <c r="CL184" s="84">
        <f>IF(CP184="","",IF(COUNTIF($CP$6:CP184,CP184)=1,MAX($CL$5:CL183)+1,INDEX($CL$5:CL183,MATCH(CP184,$CP$5:CP183,0))))</f>
        <v/>
      </c>
      <c r="CM184" s="84">
        <f>IF(NOT(AND($A184&lt;&gt;"",$C184&lt;&gt;"DOOR ONLY")),"",MAX($CM$5:CM183)+1)</f>
        <v/>
      </c>
      <c r="CN184" s="84">
        <f>IF(NOT(AND($A184&lt;&gt;"",N($BJ184)&gt;0)),"",MAX($CN$5:CN183)+1)</f>
        <v/>
      </c>
      <c r="CO184" s="84">
        <f>IF($A184="","",MAX($CO$5:CO183)+1)</f>
        <v/>
      </c>
      <c r="CP184" s="84">
        <f>IF(OR($A184="",$BH184="",$BI184=""),"",$BG184&amp;"|"&amp;$O184&amp;"|"&amp;$AL184&amp;"|"&amp;$S184&amp;"|"&amp;$P184&amp;"|"&amp;$Q184&amp;$R184&amp;"|"&amp;$C184&amp;"|"&amp;$AB184)</f>
        <v/>
      </c>
      <c r="CQ184" s="84">
        <f>N($BS184)</f>
        <v/>
      </c>
      <c r="CR184" s="84">
        <f>IF(N($AU184)&gt;0,N($AU184),4.5)</f>
        <v/>
      </c>
      <c r="CS184" s="84">
        <f>OR($A184="",$BI184="",$S184="BL",AND($C184="FRAME ONLY",OR($AC184="",$AC184="BLK")))</f>
        <v/>
      </c>
      <c r="CT184" s="84">
        <f>AND(NOT($CS184),OR($AT184="CUSTOM LOC",N($AW184)+N($AX184)+N($AY184)+N($AZ184)+N($BA184)&gt;0))</f>
        <v/>
      </c>
      <c r="CU184" s="84">
        <f>IF($BI184="","",IF($BI184&lt;=80,80,IF($BI184&lt;=84,84,96)))</f>
        <v/>
      </c>
      <c r="CV184" s="84">
        <f>ISNUMBER(MATCH($AT184&amp;"|80",LocKeys,0))</f>
        <v/>
      </c>
      <c r="CW184" s="86">
        <f>IF($CS184,"",IF($CV184,VLOOKUP($AT184&amp;"|"&amp;$CU184,LocTable,4,FALSE),5))</f>
        <v/>
      </c>
      <c r="CX184" s="86">
        <f>IF($CS184,"",IF($CV184,IF(OR($BI184=$CU184,AND($BI184&lt;$CU184,$BI184-IF(N(VLOOKUP($AT184&amp;"|"&amp;$CU184,LocTable,7,FALSE))&gt;0,VLOOKUP($AT184&amp;"|"&amp;$CU184,LocTable,7,FALSE),VLOOKUP($AT184&amp;"|"&amp;$CU184,LocTable,6,FALSE))-$CR184-0.75&gt;=2.125)),IF(N(VLOOKUP($AT184&amp;"|"&amp;$CU184,LocTable,7,FALSE))&gt;0,VLOOKUP($AT184&amp;"|"&amp;$CU184,LocTable,7,FALSE),VLOOKUP($AT184&amp;"|"&amp;$CU184,LocTable,6,FALSE)),$BI184-($CU184-IF(N(VLOOKUP($AT184&amp;"|"&amp;$CU184,LocTable,7,FALSE))&gt;0,VLOOKUP($AT184&amp;"|"&amp;$CU184,LocTable,7,FALSE),VLOOKUP($AT184&amp;"|"&amp;$CU184,LocTable,6,FALSE)))),$BI184-10-$CR184))</f>
        <v/>
      </c>
      <c r="CY184" s="85">
        <f>IF($CS184,"",TRIM(IF(ISNUMBER($BU184),"A "&amp;TRIM(TEXT($BU184,"# ?/??"))&amp;CHAR(34)&amp;"  ","")&amp;IF(ISNUMBER($BV184),"B "&amp;TRIM(TEXT($BV184,"# ?/??"))&amp;CHAR(34)&amp;"  ","")&amp;IF(ISNUMBER($BW184),"C "&amp;TRIM(TEXT($BW184,"# ?/??"))&amp;CHAR(34)&amp;"  ","")&amp;IF(ISNUMBER($BX184),"D "&amp;TRIM(TEXT($BX184,"# ?/??"))&amp;CHAR(34)&amp;"  ","")&amp;IF(ISNUMBER($BY184),"F "&amp;TRIM(TEXT($BY184,"# ?/??"))&amp;CHAR(34)&amp;"  ","")&amp;IF(ISNUMBER($BZ184),"E "&amp;TRIM(TEXT($BZ184,"# ?/??"))&amp;CHAR(34)&amp;"  ","")))</f>
        <v/>
      </c>
      <c r="CZ184" s="85">
        <f>IF(OR($CS184,N($BJ184)=0),"",TRIM(IF(ISNUMBER($BU184),"A "&amp;TRIM(TEXT($BU184-HeadClr,"# ?/??"))&amp;CHAR(34)&amp;"  ","")&amp;IF(ISNUMBER($BV184),"B "&amp;TRIM(TEXT($BV184-HeadClr,"# ?/??"))&amp;CHAR(34)&amp;"  ","")&amp;IF(ISNUMBER($BW184),"C "&amp;TRIM(TEXT($BW184-HeadClr,"# ?/??"))&amp;CHAR(34)&amp;"  ","")&amp;IF(ISNUMBER($BX184),"D "&amp;TRIM(TEXT($BX184-HeadClr,"# ?/??"))&amp;CHAR(34)&amp;"  ","")&amp;IF(ISNUMBER($BY184),"F "&amp;TRIM(TEXT($BY184-HeadClr,"# ?/??"))&amp;CHAR(34)&amp;"  ","")&amp;IF(ISNUMBER($BZ184),"E "&amp;TRIM(TEXT($BZ184-HeadClr,"# ?/??"))&amp;CHAR(34)&amp;"  ","")))</f>
        <v/>
      </c>
      <c r="DA184" s="84">
        <f>IF($A184="","",IF($AN184="",IFERROR(VLOOKUP($Z184,CODES,2,FALSE),""),IFERROR(VLOOKUP($AN184,CODES,2,FALSE),"")))</f>
        <v/>
      </c>
      <c r="DB184" s="84">
        <f>IF($A184="","",IF($O184="Y","PR",IF(OR($Z184="L",$Z184="RR",LEFT($Z184,2)="L-",LEFT($Z184,3)="RR-"),"LH","RH")))</f>
        <v/>
      </c>
      <c r="DC184" s="84">
        <f>IF($A184="","","S.HM"&amp;IF(OR($C184="DOOR ONLY",$X184&lt;&gt;"KD"),"MASONRY","DRYWALL")&amp;IF($C184="DOOR ONLY","",$U184)&amp;IF(AND($C184&lt;&gt;"FRAME ONLY",OR(LEFT($AH184,3)="OAK",LEFT($AH184,3)="BIR",LEFT($AH184,3)="MAP",$AH184="PC",$AH184="MC",$AH184="SCLC",$AH184="P-LAM")),"WD","HM")&amp;"1.75")</f>
        <v/>
      </c>
      <c r="DD184" s="84">
        <f>IF($CJ184="","",IF($O184="Y",$CJ184,SUBSTITUTE($CJ184,$BG184&amp;" "&amp;IFERROR(VLOOKUP($Z184,CODES,2,FALSE),"")&amp;" ",$BG184&amp;" ")))</f>
        <v/>
      </c>
      <c r="DE184" s="84">
        <f>IF($CK184="","",IF($O184="Y",$CK184,SUBSTITUTE($CK184,$BG184&amp;" "&amp;IF($AN184="",IFERROR(VLOOKUP($Z184,CODES,2,FALSE),""),IFERROR(VLOOKUP($AN184,CODES,2,FALSE),""))&amp;" ",$BG184&amp;" ")))</f>
        <v/>
      </c>
      <c r="DF184" s="84">
        <f>IF($CJ184="","",$DC184&amp;"|"&amp;$DD184&amp;"|"&amp;$DB184&amp;"|"&amp;$AT184&amp;"|"&amp;$V184&amp;"|"&amp;$Y184&amp;"|"&amp;$AB184)</f>
        <v/>
      </c>
      <c r="DG184" s="84">
        <f>IF(DF184="","",IF(COUNTIF($DF$6:DF184,DF184)=1,MAX($DG$5:DG183)+1,INDEX($DG$5:DG183,MATCH(DF184,$DF$5:DF183,0))))</f>
        <v/>
      </c>
      <c r="DH184" s="84">
        <f>IF($CK184="","",$DC184&amp;"|"&amp;$DE184&amp;"|"&amp;$AI184&amp;"|"&amp;$BK184&amp;"|"&amp;$BL184)</f>
        <v/>
      </c>
      <c r="DI184" s="84">
        <f>IF(DH184="","",IF(COUNTIF($DH$6:DH184,DH184)=1,MAX($DI$5:DI183)+1,INDEX($DI$5:DI183,MATCH(DH184,$DH$5:DH183,0))))</f>
        <v/>
      </c>
      <c r="DJ184" s="84">
        <f>IF($A184="","",IF($B184="","qty, ","")&amp;IF($C184="","scope, ","")&amp;IF(OR($K184="",$M184=""),"size, ","")&amp;IF(AND($A184&lt;&gt;"",$C184&lt;&gt;"DOOR ONLY"),IF($U184="","jamb depth, ","")&amp;IF($X184="","construction, ","")&amp;IF($Y184="","anchor, ","")&amp;IF($S184="","frame type, ",""),"")&amp;IF(AND(N($BJ184)&gt;0,$Z184=""),"hand, ","")&amp;IF(N($BJ184)&gt;0,IF($AH184="","door material, ","")&amp;IF($AL184="","face type, ","")&amp;IF($AP184="","lock prep, ","")&amp;IF(AND($AO184="",$AC184=""),"hinge prep, ",""),"")&amp;IF(AND($CH184&gt;0,$AH184="FRP"),"FRP cannot carry a label, ","")&amp;IF(AND($O184="Y",OR($Z184="L",$Z184="R",$Z184="LR",$Z184="RR")),"pair marked but hand is single, ","")&amp;IF(AND($O184&lt;&gt;"Y",OR($Z184="PR",AND(LEN($Z184)&gt;1,ISNUMBER(SEARCH("-",$Z184))))),"pair hand on a single door, ","")&amp;IF(AND(ISNUMBER($CI184),$CH184&lt;N($CI184)),"wall needs a "&amp;$CI184&amp;" min door, ","")&amp;IF(AND($CH184&gt;=180,AND(OR($CE184="FG",$CE184="HG",$CE184="FNV",$CE184="FV"),N($CF184)*N($CG184)&gt;100)),"180 min lite over 100 sq in, ","")&amp;IF(N($BK184)&gt;48,"leaf wider than 4'-0"&amp;CHAR(34)&amp;", ","")&amp;IF(AND($CT184,COUNT($AW184:$AZ184)=0,$CQ184&gt;0),"CUSTOM LOC with no locations typed, ",""))</f>
        <v/>
      </c>
      <c r="DK184" s="84">
        <f>IF($A184="","",IF(AND($CH184&gt;0,AND($A184&lt;&gt;"",$C184&lt;&gt;"DOOR ONLY"),$X184="KD",$E184="EXTERIOR"),"KD label on an exterior opening, ","")&amp;IF(AND($E184="EXTERIOR",OR(AND(AND($A184&lt;&gt;"",$C184&lt;&gt;"DOOR ONLY"),$W184="CR"),AND(N($BJ184)&gt;0,$AH184="CR"))),"exterior in CR steel (G9?), ","")&amp;IF(AND(ISNUMBER($BQ184),N($BQ184)&lt;32),"clear width ~"&amp;TEXT($BQ184,"0.0")&amp;CHAR(34)&amp;" under 32"&amp;CHAR(34)&amp;" (ADA), ","")&amp;IF(AND($CH184=90,AND(OR($CE184="FG",$CE184="HG",$CE184="FNV",$CE184="FV"),N($CF184)*N($CG184)&gt;100)),"90 min lite over 100 sq in (stair/exit), ","")&amp;IF(AND($CH184&gt;0,AND($A184&lt;&gt;"",$C184&lt;&gt;"DOOR ONLY"),OR($AF184="",$AF184="-")),"rated: closer reinf.?, ","")&amp;IF(OR($I184="CORRIDOR",$I184="SMOKE BARRIER"),"S label + smoke gasketing, ","")&amp;IF($CI184="?","wall type/hr not in IBC table, ","")&amp;IF(AND(N($BJ184)&gt;0,$BB184=""),"no hardware set, ","")&amp;IF(AND($BB184&lt;&gt;"",ISNA(MATCH($BB184&amp;"",HWSets,0))),"set "&amp;$BB184&amp;" not on HW Sets, ","")&amp;IF(N($BL184)&gt;96,"leaf over 8'-0"&amp;CHAR(34)&amp;" - check listing, ","")&amp;IF(AND($CT184,COUNT($AW184:$AZ184)&gt;0,COUNT($AW184:$AZ184)&lt;&gt;$CQ184),COUNT($AW184:$AZ184)&amp;" custom hinges typed, "&amp;$CQ184&amp;" expected, ","")&amp;IF(AND(ISNUMBER($CA184),OR(N($CA184)&lt;34,N($CA184)&gt;48)),"lock "&amp;TEXT($CA184,"0.0")&amp;CHAR(34)&amp;" AFF outside 34-48"&amp;CHAR(34)&amp;" (ADA), ","")&amp;IF(AND(ISNUMBER($AV184),ISNUMBER($BL184),N($AV184)&lt;IF(N($BL184)&lt;=60,2,IF(N($BL184)&lt;=90,3,IF(N($BL184)&lt;=120,4,5)))),"fewer hinges than standard, ",""))</f>
        <v/>
      </c>
    </row>
    <row r="185" ht="15" customHeight="1">
      <c r="A185" s="92" t="n"/>
      <c r="B185" s="93" t="n"/>
      <c r="C185" s="93" t="n"/>
      <c r="D185" s="93" t="n"/>
      <c r="E185" s="93" t="n"/>
      <c r="F185" s="93" t="n"/>
      <c r="G185" s="93" t="n"/>
      <c r="H185" s="93" t="n"/>
      <c r="I185" s="93" t="n"/>
      <c r="J185" s="93" t="n"/>
      <c r="K185" s="93" t="n"/>
      <c r="L185" s="93" t="n"/>
      <c r="M185" s="93" t="n"/>
      <c r="N185" s="93" t="n"/>
      <c r="O185" s="93" t="n"/>
      <c r="P185" s="93" t="n"/>
      <c r="Q185" s="93" t="n"/>
      <c r="R185" s="93" t="n"/>
      <c r="S185" s="94" t="n"/>
      <c r="T185" s="94" t="n"/>
      <c r="U185" s="94" t="n"/>
      <c r="V185" s="94" t="n"/>
      <c r="W185" s="94" t="n"/>
      <c r="X185" s="94" t="n"/>
      <c r="Y185" s="94" t="n"/>
      <c r="Z185" s="94" t="n"/>
      <c r="AA185" s="94" t="n"/>
      <c r="AB185" s="94" t="n"/>
      <c r="AC185" s="94" t="n"/>
      <c r="AD185" s="94" t="n"/>
      <c r="AE185" s="94" t="n"/>
      <c r="AF185" s="94" t="n"/>
      <c r="AG185" s="94" t="n"/>
      <c r="AH185" s="95" t="n"/>
      <c r="AI185" s="95" t="n"/>
      <c r="AJ185" s="95" t="n"/>
      <c r="AK185" s="95" t="n"/>
      <c r="AL185" s="95" t="n"/>
      <c r="AM185" s="95" t="n"/>
      <c r="AN185" s="95" t="n"/>
      <c r="AO185" s="95" t="n"/>
      <c r="AP185" s="95" t="n"/>
      <c r="AQ185" s="95" t="n"/>
      <c r="AR185" s="95" t="n"/>
      <c r="AS185" s="95" t="n"/>
      <c r="AT185" s="96" t="n"/>
      <c r="AU185" s="96" t="n"/>
      <c r="AV185" s="96" t="n"/>
      <c r="AW185" s="97" t="n"/>
      <c r="AX185" s="97" t="n"/>
      <c r="AY185" s="97" t="n"/>
      <c r="AZ185" s="97" t="n"/>
      <c r="BA185" s="97" t="n"/>
      <c r="BB185" s="98" t="n"/>
      <c r="BC185" s="98" t="n"/>
      <c r="BD185" s="99">
        <f>IF($A185="","",IF($DJ185&lt;&gt;"","FIX",IF($DK185&lt;&gt;"","CHECK","OK")))</f>
        <v/>
      </c>
      <c r="BE185" s="100">
        <f>IF($A185="","",IF($DJ185&lt;&gt;"","FIX: "&amp;LEFT($DJ185,LEN($DJ185)-2)&amp;IF($DK185&lt;&gt;"","  ·  ",""),"")&amp;IF($DK185&lt;&gt;"","CHECK: "&amp;LEFT($DK185,LEN($DK185)-2),""))</f>
        <v/>
      </c>
      <c r="BF185" s="99">
        <f>IF(OR($A185="",$K185=""),"",$K185&amp;"'-"&amp;N($L185)&amp;CHAR(34)&amp;" x "&amp;$M185&amp;"'-"&amp;N($N185)&amp;CHAR(34))</f>
        <v/>
      </c>
      <c r="BG185" s="99">
        <f>IF(OR($A185="",$K185=""),"",$K185&amp;N($L185)&amp;$M185&amp;N($N185))</f>
        <v/>
      </c>
      <c r="BH185" s="99">
        <f>IF(OR($A185="",$K185=""),"",$K185*12+N($L185))</f>
        <v/>
      </c>
      <c r="BI185" s="99">
        <f>IF(OR($A185="",$M185=""),"",$M185*12+N($N185))</f>
        <v/>
      </c>
      <c r="BJ185" s="99">
        <f>IF($A185="","",IF(OR($C185="FRAME ONLY",$S185="BL"),0,IF($O185="Y",2,1)))</f>
        <v/>
      </c>
      <c r="BK185" s="101">
        <f>IF(OR(N($BJ185)=0,$BH185=""),"",($BH185-2*EdgeClr-IF($BJ185=2,MeetClr,0))/$BJ185)</f>
        <v/>
      </c>
      <c r="BL185" s="101">
        <f>IF(OR(N($BJ185)=0,$BI185=""),"",$BI185-HeadClr-Undercut)</f>
        <v/>
      </c>
      <c r="BM185" s="101">
        <f>IF($BH185="","",$BH185+2*FaceW+IF(N($Q185)&gt;0,($Q185+FaceW)*IF($R185="LR",2,1),0))</f>
        <v/>
      </c>
      <c r="BN185" s="101">
        <f>IF($BI185="","",$BI185+IF($AB185="Y",4,FaceW)+IF(N($P185)&gt;0,$P185+FaceW,0)+IF(OR($S185="4F",$S185="BL"),FaceW,0))</f>
        <v/>
      </c>
      <c r="BO185" s="101">
        <f>IF($BM185="","",$BM185+2*ROSide)</f>
        <v/>
      </c>
      <c r="BP185" s="101">
        <f>IF($BN185="","",$BN185+ROTop)</f>
        <v/>
      </c>
      <c r="BQ185" s="102">
        <f>IF(OR(N($BJ185)=0,$BH185=""),"",$BH185/$BJ185-ClearDeduct)</f>
        <v/>
      </c>
      <c r="BR185" s="99">
        <f>IF(N($CH185)=0,"",IF($CH185&gt;=180,"A · 3 HR",IF($CH185&gt;=90,"B · 1-1/2 HR",IF($CH185&gt;=60,"B · 1 HR",IF($CH185&gt;=45,"C · 3/4 HR","20 MIN")))))&amp;IF(AND(N($CH185)&gt;0,OR($I185="CORRIDOR",$I185="SMOKE BARRIER"))," · S","")</f>
        <v/>
      </c>
      <c r="BS185" s="99">
        <f>IF($CS185,"",IF($AV185&lt;&gt;"",$AV185,IF(OR($AC185="HGC",$AO185="HGC"),"CONT",IF(($BI185-HeadClr-Undercut)&lt;=60,2,IF(($BI185-HeadClr-Undercut)&lt;=90,3,IF(($BI185-HeadClr-Undercut)&lt;=120,4,5))))))</f>
        <v/>
      </c>
      <c r="BT185" s="99">
        <f>IF($CS185,"",IF($CT185,"CUSTOM (typed)",IF($CV185,$AT185&amp;" "&amp;$CU185&amp;CHAR(34)&amp;IF($CU185&lt;&gt;$BI185,IF(AND($BI185&lt;$CU185,$BI185-IF(N(VLOOKUP($AT185&amp;"|"&amp;$CU185,LocTable,7,FALSE))&gt;0,VLOOKUP($AT185&amp;"|"&amp;$CU185,LocTable,7,FALSE),VLOOKUP($AT185&amp;"|"&amp;$CU185,LocTable,6,FALSE))-$CR185-0.75&gt;=2.125)," cut down"," adj."),""),"ANSI/SDI A250.6")))</f>
        <v/>
      </c>
      <c r="BU185" s="103">
        <f>IF($CS185,"",IF($CT185,IF(N($AW185)&gt;0,N($AW185),""),IF(1&gt;$CQ185,"",IF($CQ185=1,$CW185,$CW185+($CX185-$CW185)*0/($CQ185-1)))))</f>
        <v/>
      </c>
      <c r="BV185" s="103">
        <f>IF($CS185,"",IF($CT185,IF(N($AX185)&gt;0,N($AX185),""),IF(2&gt;$CQ185,"",IF($CQ185=1,$CW185,$CW185+($CX185-$CW185)*1/($CQ185-1)))))</f>
        <v/>
      </c>
      <c r="BW185" s="103">
        <f>IF($CS185,"",IF($CT185,IF(N($AY185)&gt;0,N($AY185),""),IF(3&gt;$CQ185,"",IF($CQ185=1,$CW185,$CW185+($CX185-$CW185)*2/($CQ185-1)))))</f>
        <v/>
      </c>
      <c r="BX185" s="103">
        <f>IF($CS185,"",IF($CT185,IF(N($AZ185)&gt;0,N($AZ185),""),IF(4&gt;$CQ185,"",IF($CQ185=1,$CW185,$CW185+($CX185-$CW185)*3/($CQ185-1)))))</f>
        <v/>
      </c>
      <c r="BY185" s="103">
        <f>IF($CS185,"",IF($CT185,"",IF(5&gt;$CQ185,"",IF($CQ185=1,$CW185,$CW185+($CX185-$CW185)*4/($CQ185-1)))))</f>
        <v/>
      </c>
      <c r="BZ185" s="103">
        <f>IF(OR($CS185,$AP185="-",AND($AP185="",$AD185="")),"",IF(N($BA185)&gt;0,N($BA185),IF($CV185,IF(AND($BI185&lt;$CU185,$BI185-IF(N(VLOOKUP($AT185&amp;"|"&amp;$CU185,LocTable,7,FALSE))&gt;0,VLOOKUP($AT185&amp;"|"&amp;$CU185,LocTable,7,FALSE),VLOOKUP($AT185&amp;"|"&amp;$CU185,LocTable,6,FALSE))-$CR185-0.75&gt;=2.125),VLOOKUP($AT185&amp;"|"&amp;$CU185,LocTable,8,FALSE),VLOOKUP($AT185&amp;"|"&amp;$CU185,LocTable,8,FALSE)+($BI185-$CU185)),$BI185-LockAFF)))</f>
        <v/>
      </c>
      <c r="CA185" s="104">
        <f>IF($BZ185="","",$BI185-$BZ185)</f>
        <v/>
      </c>
      <c r="CB185" s="99">
        <f>IF(OR(NOT(AND($A185&lt;&gt;"",$C185&lt;&gt;"DOOR ONLY")),$BI185=""),"",IF(($BI185+IF(N($P185)&gt;0,$P185+FaceW,0))&lt;=90,3,IF(($BI185+IF(N($P185)&gt;0,$P185+FaceW,0))&lt;=114,4,5)))</f>
        <v/>
      </c>
      <c r="CC185" s="99">
        <f>IF($CB185="","",$CB185*(2+IF(N($Q185)&gt;0,IF($R185="LR",2,1),0)))</f>
        <v/>
      </c>
      <c r="CD185" s="99">
        <f>IF($CB185="","",(2+IF(N($Q185)&gt;0,IF($R185="LR",2,1),0)))</f>
        <v/>
      </c>
      <c r="CE185" s="99">
        <f>IF(N($BJ185)=0,"",IF(OR($AL185="",$AL185="FLUSH"),"FLUSH",IFERROR(LEFT($AL185,FIND("-",$AL185)-1),LEFT($AL185,2))))</f>
        <v/>
      </c>
      <c r="CF185" s="99">
        <f>IF($CE185="","",IFERROR(VALUE(MID($AL185,FIND("-",$AL185)+1,FIND(CHAR(34)&amp;"x",$AL185)-FIND("-",$AL185)-1)),0))</f>
        <v/>
      </c>
      <c r="CG185" s="99">
        <f>IF($CE185="","",IFERROR(VALUE(MID($AL185,FIND(CHAR(34)&amp;"x",$AL185)+2,FIND(CHAR(34),$AL185,FIND(CHAR(34)&amp;"x",$AL185)+2)-FIND(CHAR(34)&amp;"x",$AL185)-2)),0))</f>
        <v/>
      </c>
      <c r="CH185" s="105">
        <f>IF(OR($A185="",$H185="",$H185="NO LAB"),0,IFERROR(VALUE(LEFT($H185,FIND(" ",$H185)-1)),0))</f>
        <v/>
      </c>
      <c r="CI185" s="106">
        <f>IF(OR($A185="",$I185="",$I185="NON-RATED",N($J185)=0),"",IFERROR(VLOOKUP($I185&amp;"|"&amp;$J185,IBC,2,FALSE),"?"))</f>
        <v/>
      </c>
      <c r="CJ185" s="100">
        <f>IF(NOT(AND($A185&lt;&gt;"",$C185&lt;&gt;"DOOR ONLY")),"",TRIM(IFERROR(VLOOKUP($U185,CODES,2,FALSE),"")&amp;" "&amp;$BG185&amp;" "&amp;IFERROR(VLOOKUP($Z185,CODES,2,FALSE),"")&amp;" "&amp;IFERROR(VLOOKUP($X185,CODES,2,FALSE),"")&amp;" "&amp;IFERROR(VLOOKUP($S185,CODES,2,FALSE),"")&amp;IF(N($P185)&gt;0," w/TRANSOM "&amp;$P185&amp;CHAR(34),"")&amp;IF(N($Q185)&gt;0," w/SIDELITE "&amp;$Q185&amp;CHAR(34)&amp;" "&amp;IF($R185="","R",$R185),"")&amp;IF($Y185="","  |  "," | "&amp;IFERROR(VLOOKUP($Y185,CODES,2,FALSE),"")&amp;" | ")&amp;IFERROR(VLOOKUP($AC185,CODES,2,FALSE),"")&amp;" "&amp;IFERROR(VLOOKUP($AD185,CODES,2,FALSE),"")&amp;IF(OR($AE185="",$AE185="-"),""," "&amp;$AE185)&amp;IF(OR($AF185="",$AF185="-"),""," "&amp;$AF185)&amp;IF($AB185="Y"," 4"&amp;CHAR(34)&amp;" HEAD","")&amp;" "&amp;IFERROR(VLOOKUP($H185,CODES,2,FALSE),"")&amp;IF($CT185," | LOC "&amp;$CY185,"")))</f>
        <v/>
      </c>
      <c r="CK185" s="100">
        <f>IF(NOT(AND($A185&lt;&gt;"",N($BJ185)&gt;0)),"",TRIM(IFERROR(VLOOKUP($AH185,CODES,2,FALSE),"")&amp;IF($AI185=""," "," "&amp;$AI185&amp;"GA ")&amp;$BG185&amp;" "&amp;IF($AN185="",IFERROR(VLOOKUP($Z185,CODES,2,FALSE),""),IFERROR(VLOOKUP($AN185,CODES,2,FALSE),""))&amp;IF($BJ185=2," PAIR","")&amp;" DOOR | "&amp;IF($AL185="","?",$AL185)&amp;" | "&amp;IF($AO185="",IFERROR(VLOOKUP($AC185,CODES,2,FALSE),""),IFERROR(VLOOKUP($AO185,CODES,2,FALSE),""))&amp;" "&amp;IFERROR(VLOOKUP($AP185,CODES,2,FALSE),"")&amp;IF(OR($AQ185="",$AQ185="-"),""," SEAM "&amp;$AQ185)&amp;IF($AR185="Y"," ASTRAGAL","")&amp;IF($AJ185=""," "," "&amp;$AJ185)&amp;IF($AK185=""," "," "&amp;$AK185)&amp;IF(OR($AT185="",$AT185="ANSI/SDI",$AT185="CUSTOM LOC"),""," "&amp;$AT185)&amp;IF($AM185=""," "," SERIES "&amp;$AM185)&amp;" "&amp;IFERROR(VLOOKUP($H185,CODES,2,FALSE),"")&amp;IF($CT185," | LOC "&amp;$CZ185,"")))</f>
        <v/>
      </c>
      <c r="CL185" s="99">
        <f>IF(CP185="","",IF(COUNTIF($CP$6:CP185,CP185)=1,MAX($CL$5:CL184)+1,INDEX($CL$5:CL184,MATCH(CP185,$CP$5:CP184,0))))</f>
        <v/>
      </c>
      <c r="CM185" s="99">
        <f>IF(NOT(AND($A185&lt;&gt;"",$C185&lt;&gt;"DOOR ONLY")),"",MAX($CM$5:CM184)+1)</f>
        <v/>
      </c>
      <c r="CN185" s="99">
        <f>IF(NOT(AND($A185&lt;&gt;"",N($BJ185)&gt;0)),"",MAX($CN$5:CN184)+1)</f>
        <v/>
      </c>
      <c r="CO185" s="99">
        <f>IF($A185="","",MAX($CO$5:CO184)+1)</f>
        <v/>
      </c>
      <c r="CP185" s="99">
        <f>IF(OR($A185="",$BH185="",$BI185=""),"",$BG185&amp;"|"&amp;$O185&amp;"|"&amp;$AL185&amp;"|"&amp;$S185&amp;"|"&amp;$P185&amp;"|"&amp;$Q185&amp;$R185&amp;"|"&amp;$C185&amp;"|"&amp;$AB185)</f>
        <v/>
      </c>
      <c r="CQ185" s="99">
        <f>N($BS185)</f>
        <v/>
      </c>
      <c r="CR185" s="99">
        <f>IF(N($AU185)&gt;0,N($AU185),4.5)</f>
        <v/>
      </c>
      <c r="CS185" s="99">
        <f>OR($A185="",$BI185="",$S185="BL",AND($C185="FRAME ONLY",OR($AC185="",$AC185="BLK")))</f>
        <v/>
      </c>
      <c r="CT185" s="99">
        <f>AND(NOT($CS185),OR($AT185="CUSTOM LOC",N($AW185)+N($AX185)+N($AY185)+N($AZ185)+N($BA185)&gt;0))</f>
        <v/>
      </c>
      <c r="CU185" s="99">
        <f>IF($BI185="","",IF($BI185&lt;=80,80,IF($BI185&lt;=84,84,96)))</f>
        <v/>
      </c>
      <c r="CV185" s="99">
        <f>ISNUMBER(MATCH($AT185&amp;"|80",LocKeys,0))</f>
        <v/>
      </c>
      <c r="CW185" s="101">
        <f>IF($CS185,"",IF($CV185,VLOOKUP($AT185&amp;"|"&amp;$CU185,LocTable,4,FALSE),5))</f>
        <v/>
      </c>
      <c r="CX185" s="101">
        <f>IF($CS185,"",IF($CV185,IF(OR($BI185=$CU185,AND($BI185&lt;$CU185,$BI185-IF(N(VLOOKUP($AT185&amp;"|"&amp;$CU185,LocTable,7,FALSE))&gt;0,VLOOKUP($AT185&amp;"|"&amp;$CU185,LocTable,7,FALSE),VLOOKUP($AT185&amp;"|"&amp;$CU185,LocTable,6,FALSE))-$CR185-0.75&gt;=2.125)),IF(N(VLOOKUP($AT185&amp;"|"&amp;$CU185,LocTable,7,FALSE))&gt;0,VLOOKUP($AT185&amp;"|"&amp;$CU185,LocTable,7,FALSE),VLOOKUP($AT185&amp;"|"&amp;$CU185,LocTable,6,FALSE)),$BI185-($CU185-IF(N(VLOOKUP($AT185&amp;"|"&amp;$CU185,LocTable,7,FALSE))&gt;0,VLOOKUP($AT185&amp;"|"&amp;$CU185,LocTable,7,FALSE),VLOOKUP($AT185&amp;"|"&amp;$CU185,LocTable,6,FALSE)))),$BI185-10-$CR185))</f>
        <v/>
      </c>
      <c r="CY185" s="100">
        <f>IF($CS185,"",TRIM(IF(ISNUMBER($BU185),"A "&amp;TRIM(TEXT($BU185,"# ?/??"))&amp;CHAR(34)&amp;"  ","")&amp;IF(ISNUMBER($BV185),"B "&amp;TRIM(TEXT($BV185,"# ?/??"))&amp;CHAR(34)&amp;"  ","")&amp;IF(ISNUMBER($BW185),"C "&amp;TRIM(TEXT($BW185,"# ?/??"))&amp;CHAR(34)&amp;"  ","")&amp;IF(ISNUMBER($BX185),"D "&amp;TRIM(TEXT($BX185,"# ?/??"))&amp;CHAR(34)&amp;"  ","")&amp;IF(ISNUMBER($BY185),"F "&amp;TRIM(TEXT($BY185,"# ?/??"))&amp;CHAR(34)&amp;"  ","")&amp;IF(ISNUMBER($BZ185),"E "&amp;TRIM(TEXT($BZ185,"# ?/??"))&amp;CHAR(34)&amp;"  ","")))</f>
        <v/>
      </c>
      <c r="CZ185" s="100">
        <f>IF(OR($CS185,N($BJ185)=0),"",TRIM(IF(ISNUMBER($BU185),"A "&amp;TRIM(TEXT($BU185-HeadClr,"# ?/??"))&amp;CHAR(34)&amp;"  ","")&amp;IF(ISNUMBER($BV185),"B "&amp;TRIM(TEXT($BV185-HeadClr,"# ?/??"))&amp;CHAR(34)&amp;"  ","")&amp;IF(ISNUMBER($BW185),"C "&amp;TRIM(TEXT($BW185-HeadClr,"# ?/??"))&amp;CHAR(34)&amp;"  ","")&amp;IF(ISNUMBER($BX185),"D "&amp;TRIM(TEXT($BX185-HeadClr,"# ?/??"))&amp;CHAR(34)&amp;"  ","")&amp;IF(ISNUMBER($BY185),"F "&amp;TRIM(TEXT($BY185-HeadClr,"# ?/??"))&amp;CHAR(34)&amp;"  ","")&amp;IF(ISNUMBER($BZ185),"E "&amp;TRIM(TEXT($BZ185-HeadClr,"# ?/??"))&amp;CHAR(34)&amp;"  ","")))</f>
        <v/>
      </c>
      <c r="DA185" s="99">
        <f>IF($A185="","",IF($AN185="",IFERROR(VLOOKUP($Z185,CODES,2,FALSE),""),IFERROR(VLOOKUP($AN185,CODES,2,FALSE),"")))</f>
        <v/>
      </c>
      <c r="DB185" s="99">
        <f>IF($A185="","",IF($O185="Y","PR",IF(OR($Z185="L",$Z185="RR",LEFT($Z185,2)="L-",LEFT($Z185,3)="RR-"),"LH","RH")))</f>
        <v/>
      </c>
      <c r="DC185" s="99">
        <f>IF($A185="","","S.HM"&amp;IF(OR($C185="DOOR ONLY",$X185&lt;&gt;"KD"),"MASONRY","DRYWALL")&amp;IF($C185="DOOR ONLY","",$U185)&amp;IF(AND($C185&lt;&gt;"FRAME ONLY",OR(LEFT($AH185,3)="OAK",LEFT($AH185,3)="BIR",LEFT($AH185,3)="MAP",$AH185="PC",$AH185="MC",$AH185="SCLC",$AH185="P-LAM")),"WD","HM")&amp;"1.75")</f>
        <v/>
      </c>
      <c r="DD185" s="99">
        <f>IF($CJ185="","",IF($O185="Y",$CJ185,SUBSTITUTE($CJ185,$BG185&amp;" "&amp;IFERROR(VLOOKUP($Z185,CODES,2,FALSE),"")&amp;" ",$BG185&amp;" ")))</f>
        <v/>
      </c>
      <c r="DE185" s="99">
        <f>IF($CK185="","",IF($O185="Y",$CK185,SUBSTITUTE($CK185,$BG185&amp;" "&amp;IF($AN185="",IFERROR(VLOOKUP($Z185,CODES,2,FALSE),""),IFERROR(VLOOKUP($AN185,CODES,2,FALSE),""))&amp;" ",$BG185&amp;" ")))</f>
        <v/>
      </c>
      <c r="DF185" s="99">
        <f>IF($CJ185="","",$DC185&amp;"|"&amp;$DD185&amp;"|"&amp;$DB185&amp;"|"&amp;$AT185&amp;"|"&amp;$V185&amp;"|"&amp;$Y185&amp;"|"&amp;$AB185)</f>
        <v/>
      </c>
      <c r="DG185" s="99">
        <f>IF(DF185="","",IF(COUNTIF($DF$6:DF185,DF185)=1,MAX($DG$5:DG184)+1,INDEX($DG$5:DG184,MATCH(DF185,$DF$5:DF184,0))))</f>
        <v/>
      </c>
      <c r="DH185" s="99">
        <f>IF($CK185="","",$DC185&amp;"|"&amp;$DE185&amp;"|"&amp;$AI185&amp;"|"&amp;$BK185&amp;"|"&amp;$BL185)</f>
        <v/>
      </c>
      <c r="DI185" s="99">
        <f>IF(DH185="","",IF(COUNTIF($DH$6:DH185,DH185)=1,MAX($DI$5:DI184)+1,INDEX($DI$5:DI184,MATCH(DH185,$DH$5:DH184,0))))</f>
        <v/>
      </c>
      <c r="DJ185" s="99">
        <f>IF($A185="","",IF($B185="","qty, ","")&amp;IF($C185="","scope, ","")&amp;IF(OR($K185="",$M185=""),"size, ","")&amp;IF(AND($A185&lt;&gt;"",$C185&lt;&gt;"DOOR ONLY"),IF($U185="","jamb depth, ","")&amp;IF($X185="","construction, ","")&amp;IF($Y185="","anchor, ","")&amp;IF($S185="","frame type, ",""),"")&amp;IF(AND(N($BJ185)&gt;0,$Z185=""),"hand, ","")&amp;IF(N($BJ185)&gt;0,IF($AH185="","door material, ","")&amp;IF($AL185="","face type, ","")&amp;IF($AP185="","lock prep, ","")&amp;IF(AND($AO185="",$AC185=""),"hinge prep, ",""),"")&amp;IF(AND($CH185&gt;0,$AH185="FRP"),"FRP cannot carry a label, ","")&amp;IF(AND($O185="Y",OR($Z185="L",$Z185="R",$Z185="LR",$Z185="RR")),"pair marked but hand is single, ","")&amp;IF(AND($O185&lt;&gt;"Y",OR($Z185="PR",AND(LEN($Z185)&gt;1,ISNUMBER(SEARCH("-",$Z185))))),"pair hand on a single door, ","")&amp;IF(AND(ISNUMBER($CI185),$CH185&lt;N($CI185)),"wall needs a "&amp;$CI185&amp;" min door, ","")&amp;IF(AND($CH185&gt;=180,AND(OR($CE185="FG",$CE185="HG",$CE185="FNV",$CE185="FV"),N($CF185)*N($CG185)&gt;100)),"180 min lite over 100 sq in, ","")&amp;IF(N($BK185)&gt;48,"leaf wider than 4'-0"&amp;CHAR(34)&amp;", ","")&amp;IF(AND($CT185,COUNT($AW185:$AZ185)=0,$CQ185&gt;0),"CUSTOM LOC with no locations typed, ",""))</f>
        <v/>
      </c>
      <c r="DK185" s="99">
        <f>IF($A185="","",IF(AND($CH185&gt;0,AND($A185&lt;&gt;"",$C185&lt;&gt;"DOOR ONLY"),$X185="KD",$E185="EXTERIOR"),"KD label on an exterior opening, ","")&amp;IF(AND($E185="EXTERIOR",OR(AND(AND($A185&lt;&gt;"",$C185&lt;&gt;"DOOR ONLY"),$W185="CR"),AND(N($BJ185)&gt;0,$AH185="CR"))),"exterior in CR steel (G9?), ","")&amp;IF(AND(ISNUMBER($BQ185),N($BQ185)&lt;32),"clear width ~"&amp;TEXT($BQ185,"0.0")&amp;CHAR(34)&amp;" under 32"&amp;CHAR(34)&amp;" (ADA), ","")&amp;IF(AND($CH185=90,AND(OR($CE185="FG",$CE185="HG",$CE185="FNV",$CE185="FV"),N($CF185)*N($CG185)&gt;100)),"90 min lite over 100 sq in (stair/exit), ","")&amp;IF(AND($CH185&gt;0,AND($A185&lt;&gt;"",$C185&lt;&gt;"DOOR ONLY"),OR($AF185="",$AF185="-")),"rated: closer reinf.?, ","")&amp;IF(OR($I185="CORRIDOR",$I185="SMOKE BARRIER"),"S label + smoke gasketing, ","")&amp;IF($CI185="?","wall type/hr not in IBC table, ","")&amp;IF(AND(N($BJ185)&gt;0,$BB185=""),"no hardware set, ","")&amp;IF(AND($BB185&lt;&gt;"",ISNA(MATCH($BB185&amp;"",HWSets,0))),"set "&amp;$BB185&amp;" not on HW Sets, ","")&amp;IF(N($BL185)&gt;96,"leaf over 8'-0"&amp;CHAR(34)&amp;" - check listing, ","")&amp;IF(AND($CT185,COUNT($AW185:$AZ185)&gt;0,COUNT($AW185:$AZ185)&lt;&gt;$CQ185),COUNT($AW185:$AZ185)&amp;" custom hinges typed, "&amp;$CQ185&amp;" expected, ","")&amp;IF(AND(ISNUMBER($CA185),OR(N($CA185)&lt;34,N($CA185)&gt;48)),"lock "&amp;TEXT($CA185,"0.0")&amp;CHAR(34)&amp;" AFF outside 34-48"&amp;CHAR(34)&amp;" (ADA), ","")&amp;IF(AND(ISNUMBER($AV185),ISNUMBER($BL185),N($AV185)&lt;IF(N($BL185)&lt;=60,2,IF(N($BL185)&lt;=90,3,IF(N($BL185)&lt;=120,4,5)))),"fewer hinges than standard, ",""))</f>
        <v/>
      </c>
    </row>
    <row r="186" ht="15" customHeight="1">
      <c r="A186" s="77" t="n"/>
      <c r="B186" s="78" t="n"/>
      <c r="C186" s="78" t="n"/>
      <c r="D186" s="78" t="n"/>
      <c r="E186" s="78" t="n"/>
      <c r="F186" s="78" t="n"/>
      <c r="G186" s="78" t="n"/>
      <c r="H186" s="78" t="n"/>
      <c r="I186" s="78" t="n"/>
      <c r="J186" s="78" t="n"/>
      <c r="K186" s="78" t="n"/>
      <c r="L186" s="78" t="n"/>
      <c r="M186" s="78" t="n"/>
      <c r="N186" s="78" t="n"/>
      <c r="O186" s="78" t="n"/>
      <c r="P186" s="78" t="n"/>
      <c r="Q186" s="78" t="n"/>
      <c r="R186" s="78" t="n"/>
      <c r="S186" s="79" t="n"/>
      <c r="T186" s="79" t="n"/>
      <c r="U186" s="79" t="n"/>
      <c r="V186" s="79" t="n"/>
      <c r="W186" s="79" t="n"/>
      <c r="X186" s="79" t="n"/>
      <c r="Y186" s="79" t="n"/>
      <c r="Z186" s="79" t="n"/>
      <c r="AA186" s="79" t="n"/>
      <c r="AB186" s="79" t="n"/>
      <c r="AC186" s="79" t="n"/>
      <c r="AD186" s="79" t="n"/>
      <c r="AE186" s="79" t="n"/>
      <c r="AF186" s="79" t="n"/>
      <c r="AG186" s="79" t="n"/>
      <c r="AH186" s="80" t="n"/>
      <c r="AI186" s="80" t="n"/>
      <c r="AJ186" s="80" t="n"/>
      <c r="AK186" s="80" t="n"/>
      <c r="AL186" s="80" t="n"/>
      <c r="AM186" s="80" t="n"/>
      <c r="AN186" s="80" t="n"/>
      <c r="AO186" s="80" t="n"/>
      <c r="AP186" s="80" t="n"/>
      <c r="AQ186" s="80" t="n"/>
      <c r="AR186" s="80" t="n"/>
      <c r="AS186" s="80" t="n"/>
      <c r="AT186" s="81" t="n"/>
      <c r="AU186" s="81" t="n"/>
      <c r="AV186" s="81" t="n"/>
      <c r="AW186" s="82" t="n"/>
      <c r="AX186" s="82" t="n"/>
      <c r="AY186" s="82" t="n"/>
      <c r="AZ186" s="82" t="n"/>
      <c r="BA186" s="82" t="n"/>
      <c r="BB186" s="83" t="n"/>
      <c r="BC186" s="83" t="n"/>
      <c r="BD186" s="84">
        <f>IF($A186="","",IF($DJ186&lt;&gt;"","FIX",IF($DK186&lt;&gt;"","CHECK","OK")))</f>
        <v/>
      </c>
      <c r="BE186" s="85">
        <f>IF($A186="","",IF($DJ186&lt;&gt;"","FIX: "&amp;LEFT($DJ186,LEN($DJ186)-2)&amp;IF($DK186&lt;&gt;"","  ·  ",""),"")&amp;IF($DK186&lt;&gt;"","CHECK: "&amp;LEFT($DK186,LEN($DK186)-2),""))</f>
        <v/>
      </c>
      <c r="BF186" s="84">
        <f>IF(OR($A186="",$K186=""),"",$K186&amp;"'-"&amp;N($L186)&amp;CHAR(34)&amp;" x "&amp;$M186&amp;"'-"&amp;N($N186)&amp;CHAR(34))</f>
        <v/>
      </c>
      <c r="BG186" s="84">
        <f>IF(OR($A186="",$K186=""),"",$K186&amp;N($L186)&amp;$M186&amp;N($N186))</f>
        <v/>
      </c>
      <c r="BH186" s="84">
        <f>IF(OR($A186="",$K186=""),"",$K186*12+N($L186))</f>
        <v/>
      </c>
      <c r="BI186" s="84">
        <f>IF(OR($A186="",$M186=""),"",$M186*12+N($N186))</f>
        <v/>
      </c>
      <c r="BJ186" s="84">
        <f>IF($A186="","",IF(OR($C186="FRAME ONLY",$S186="BL"),0,IF($O186="Y",2,1)))</f>
        <v/>
      </c>
      <c r="BK186" s="86">
        <f>IF(OR(N($BJ186)=0,$BH186=""),"",($BH186-2*EdgeClr-IF($BJ186=2,MeetClr,0))/$BJ186)</f>
        <v/>
      </c>
      <c r="BL186" s="86">
        <f>IF(OR(N($BJ186)=0,$BI186=""),"",$BI186-HeadClr-Undercut)</f>
        <v/>
      </c>
      <c r="BM186" s="86">
        <f>IF($BH186="","",$BH186+2*FaceW+IF(N($Q186)&gt;0,($Q186+FaceW)*IF($R186="LR",2,1),0))</f>
        <v/>
      </c>
      <c r="BN186" s="86">
        <f>IF($BI186="","",$BI186+IF($AB186="Y",4,FaceW)+IF(N($P186)&gt;0,$P186+FaceW,0)+IF(OR($S186="4F",$S186="BL"),FaceW,0))</f>
        <v/>
      </c>
      <c r="BO186" s="86">
        <f>IF($BM186="","",$BM186+2*ROSide)</f>
        <v/>
      </c>
      <c r="BP186" s="86">
        <f>IF($BN186="","",$BN186+ROTop)</f>
        <v/>
      </c>
      <c r="BQ186" s="87">
        <f>IF(OR(N($BJ186)=0,$BH186=""),"",$BH186/$BJ186-ClearDeduct)</f>
        <v/>
      </c>
      <c r="BR186" s="84">
        <f>IF(N($CH186)=0,"",IF($CH186&gt;=180,"A · 3 HR",IF($CH186&gt;=90,"B · 1-1/2 HR",IF($CH186&gt;=60,"B · 1 HR",IF($CH186&gt;=45,"C · 3/4 HR","20 MIN")))))&amp;IF(AND(N($CH186)&gt;0,OR($I186="CORRIDOR",$I186="SMOKE BARRIER"))," · S","")</f>
        <v/>
      </c>
      <c r="BS186" s="84">
        <f>IF($CS186,"",IF($AV186&lt;&gt;"",$AV186,IF(OR($AC186="HGC",$AO186="HGC"),"CONT",IF(($BI186-HeadClr-Undercut)&lt;=60,2,IF(($BI186-HeadClr-Undercut)&lt;=90,3,IF(($BI186-HeadClr-Undercut)&lt;=120,4,5))))))</f>
        <v/>
      </c>
      <c r="BT186" s="84">
        <f>IF($CS186,"",IF($CT186,"CUSTOM (typed)",IF($CV186,$AT186&amp;" "&amp;$CU186&amp;CHAR(34)&amp;IF($CU186&lt;&gt;$BI186,IF(AND($BI186&lt;$CU186,$BI186-IF(N(VLOOKUP($AT186&amp;"|"&amp;$CU186,LocTable,7,FALSE))&gt;0,VLOOKUP($AT186&amp;"|"&amp;$CU186,LocTable,7,FALSE),VLOOKUP($AT186&amp;"|"&amp;$CU186,LocTable,6,FALSE))-$CR186-0.75&gt;=2.125)," cut down"," adj."),""),"ANSI/SDI A250.6")))</f>
        <v/>
      </c>
      <c r="BU186" s="88">
        <f>IF($CS186,"",IF($CT186,IF(N($AW186)&gt;0,N($AW186),""),IF(1&gt;$CQ186,"",IF($CQ186=1,$CW186,$CW186+($CX186-$CW186)*0/($CQ186-1)))))</f>
        <v/>
      </c>
      <c r="BV186" s="88">
        <f>IF($CS186,"",IF($CT186,IF(N($AX186)&gt;0,N($AX186),""),IF(2&gt;$CQ186,"",IF($CQ186=1,$CW186,$CW186+($CX186-$CW186)*1/($CQ186-1)))))</f>
        <v/>
      </c>
      <c r="BW186" s="88">
        <f>IF($CS186,"",IF($CT186,IF(N($AY186)&gt;0,N($AY186),""),IF(3&gt;$CQ186,"",IF($CQ186=1,$CW186,$CW186+($CX186-$CW186)*2/($CQ186-1)))))</f>
        <v/>
      </c>
      <c r="BX186" s="88">
        <f>IF($CS186,"",IF($CT186,IF(N($AZ186)&gt;0,N($AZ186),""),IF(4&gt;$CQ186,"",IF($CQ186=1,$CW186,$CW186+($CX186-$CW186)*3/($CQ186-1)))))</f>
        <v/>
      </c>
      <c r="BY186" s="88">
        <f>IF($CS186,"",IF($CT186,"",IF(5&gt;$CQ186,"",IF($CQ186=1,$CW186,$CW186+($CX186-$CW186)*4/($CQ186-1)))))</f>
        <v/>
      </c>
      <c r="BZ186" s="88">
        <f>IF(OR($CS186,$AP186="-",AND($AP186="",$AD186="")),"",IF(N($BA186)&gt;0,N($BA186),IF($CV186,IF(AND($BI186&lt;$CU186,$BI186-IF(N(VLOOKUP($AT186&amp;"|"&amp;$CU186,LocTable,7,FALSE))&gt;0,VLOOKUP($AT186&amp;"|"&amp;$CU186,LocTable,7,FALSE),VLOOKUP($AT186&amp;"|"&amp;$CU186,LocTable,6,FALSE))-$CR186-0.75&gt;=2.125),VLOOKUP($AT186&amp;"|"&amp;$CU186,LocTable,8,FALSE),VLOOKUP($AT186&amp;"|"&amp;$CU186,LocTable,8,FALSE)+($BI186-$CU186)),$BI186-LockAFF)))</f>
        <v/>
      </c>
      <c r="CA186" s="89">
        <f>IF($BZ186="","",$BI186-$BZ186)</f>
        <v/>
      </c>
      <c r="CB186" s="84">
        <f>IF(OR(NOT(AND($A186&lt;&gt;"",$C186&lt;&gt;"DOOR ONLY")),$BI186=""),"",IF(($BI186+IF(N($P186)&gt;0,$P186+FaceW,0))&lt;=90,3,IF(($BI186+IF(N($P186)&gt;0,$P186+FaceW,0))&lt;=114,4,5)))</f>
        <v/>
      </c>
      <c r="CC186" s="84">
        <f>IF($CB186="","",$CB186*(2+IF(N($Q186)&gt;0,IF($R186="LR",2,1),0)))</f>
        <v/>
      </c>
      <c r="CD186" s="84">
        <f>IF($CB186="","",(2+IF(N($Q186)&gt;0,IF($R186="LR",2,1),0)))</f>
        <v/>
      </c>
      <c r="CE186" s="84">
        <f>IF(N($BJ186)=0,"",IF(OR($AL186="",$AL186="FLUSH"),"FLUSH",IFERROR(LEFT($AL186,FIND("-",$AL186)-1),LEFT($AL186,2))))</f>
        <v/>
      </c>
      <c r="CF186" s="84">
        <f>IF($CE186="","",IFERROR(VALUE(MID($AL186,FIND("-",$AL186)+1,FIND(CHAR(34)&amp;"x",$AL186)-FIND("-",$AL186)-1)),0))</f>
        <v/>
      </c>
      <c r="CG186" s="84">
        <f>IF($CE186="","",IFERROR(VALUE(MID($AL186,FIND(CHAR(34)&amp;"x",$AL186)+2,FIND(CHAR(34),$AL186,FIND(CHAR(34)&amp;"x",$AL186)+2)-FIND(CHAR(34)&amp;"x",$AL186)-2)),0))</f>
        <v/>
      </c>
      <c r="CH186" s="90">
        <f>IF(OR($A186="",$H186="",$H186="NO LAB"),0,IFERROR(VALUE(LEFT($H186,FIND(" ",$H186)-1)),0))</f>
        <v/>
      </c>
      <c r="CI186" s="91">
        <f>IF(OR($A186="",$I186="",$I186="NON-RATED",N($J186)=0),"",IFERROR(VLOOKUP($I186&amp;"|"&amp;$J186,IBC,2,FALSE),"?"))</f>
        <v/>
      </c>
      <c r="CJ186" s="85">
        <f>IF(NOT(AND($A186&lt;&gt;"",$C186&lt;&gt;"DOOR ONLY")),"",TRIM(IFERROR(VLOOKUP($U186,CODES,2,FALSE),"")&amp;" "&amp;$BG186&amp;" "&amp;IFERROR(VLOOKUP($Z186,CODES,2,FALSE),"")&amp;" "&amp;IFERROR(VLOOKUP($X186,CODES,2,FALSE),"")&amp;" "&amp;IFERROR(VLOOKUP($S186,CODES,2,FALSE),"")&amp;IF(N($P186)&gt;0," w/TRANSOM "&amp;$P186&amp;CHAR(34),"")&amp;IF(N($Q186)&gt;0," w/SIDELITE "&amp;$Q186&amp;CHAR(34)&amp;" "&amp;IF($R186="","R",$R186),"")&amp;IF($Y186="","  |  "," | "&amp;IFERROR(VLOOKUP($Y186,CODES,2,FALSE),"")&amp;" | ")&amp;IFERROR(VLOOKUP($AC186,CODES,2,FALSE),"")&amp;" "&amp;IFERROR(VLOOKUP($AD186,CODES,2,FALSE),"")&amp;IF(OR($AE186="",$AE186="-"),""," "&amp;$AE186)&amp;IF(OR($AF186="",$AF186="-"),""," "&amp;$AF186)&amp;IF($AB186="Y"," 4"&amp;CHAR(34)&amp;" HEAD","")&amp;" "&amp;IFERROR(VLOOKUP($H186,CODES,2,FALSE),"")&amp;IF($CT186," | LOC "&amp;$CY186,"")))</f>
        <v/>
      </c>
      <c r="CK186" s="85">
        <f>IF(NOT(AND($A186&lt;&gt;"",N($BJ186)&gt;0)),"",TRIM(IFERROR(VLOOKUP($AH186,CODES,2,FALSE),"")&amp;IF($AI186=""," "," "&amp;$AI186&amp;"GA ")&amp;$BG186&amp;" "&amp;IF($AN186="",IFERROR(VLOOKUP($Z186,CODES,2,FALSE),""),IFERROR(VLOOKUP($AN186,CODES,2,FALSE),""))&amp;IF($BJ186=2," PAIR","")&amp;" DOOR | "&amp;IF($AL186="","?",$AL186)&amp;" | "&amp;IF($AO186="",IFERROR(VLOOKUP($AC186,CODES,2,FALSE),""),IFERROR(VLOOKUP($AO186,CODES,2,FALSE),""))&amp;" "&amp;IFERROR(VLOOKUP($AP186,CODES,2,FALSE),"")&amp;IF(OR($AQ186="",$AQ186="-"),""," SEAM "&amp;$AQ186)&amp;IF($AR186="Y"," ASTRAGAL","")&amp;IF($AJ186=""," "," "&amp;$AJ186)&amp;IF($AK186=""," "," "&amp;$AK186)&amp;IF(OR($AT186="",$AT186="ANSI/SDI",$AT186="CUSTOM LOC"),""," "&amp;$AT186)&amp;IF($AM186=""," "," SERIES "&amp;$AM186)&amp;" "&amp;IFERROR(VLOOKUP($H186,CODES,2,FALSE),"")&amp;IF($CT186," | LOC "&amp;$CZ186,"")))</f>
        <v/>
      </c>
      <c r="CL186" s="84">
        <f>IF(CP186="","",IF(COUNTIF($CP$6:CP186,CP186)=1,MAX($CL$5:CL185)+1,INDEX($CL$5:CL185,MATCH(CP186,$CP$5:CP185,0))))</f>
        <v/>
      </c>
      <c r="CM186" s="84">
        <f>IF(NOT(AND($A186&lt;&gt;"",$C186&lt;&gt;"DOOR ONLY")),"",MAX($CM$5:CM185)+1)</f>
        <v/>
      </c>
      <c r="CN186" s="84">
        <f>IF(NOT(AND($A186&lt;&gt;"",N($BJ186)&gt;0)),"",MAX($CN$5:CN185)+1)</f>
        <v/>
      </c>
      <c r="CO186" s="84">
        <f>IF($A186="","",MAX($CO$5:CO185)+1)</f>
        <v/>
      </c>
      <c r="CP186" s="84">
        <f>IF(OR($A186="",$BH186="",$BI186=""),"",$BG186&amp;"|"&amp;$O186&amp;"|"&amp;$AL186&amp;"|"&amp;$S186&amp;"|"&amp;$P186&amp;"|"&amp;$Q186&amp;$R186&amp;"|"&amp;$C186&amp;"|"&amp;$AB186)</f>
        <v/>
      </c>
      <c r="CQ186" s="84">
        <f>N($BS186)</f>
        <v/>
      </c>
      <c r="CR186" s="84">
        <f>IF(N($AU186)&gt;0,N($AU186),4.5)</f>
        <v/>
      </c>
      <c r="CS186" s="84">
        <f>OR($A186="",$BI186="",$S186="BL",AND($C186="FRAME ONLY",OR($AC186="",$AC186="BLK")))</f>
        <v/>
      </c>
      <c r="CT186" s="84">
        <f>AND(NOT($CS186),OR($AT186="CUSTOM LOC",N($AW186)+N($AX186)+N($AY186)+N($AZ186)+N($BA186)&gt;0))</f>
        <v/>
      </c>
      <c r="CU186" s="84">
        <f>IF($BI186="","",IF($BI186&lt;=80,80,IF($BI186&lt;=84,84,96)))</f>
        <v/>
      </c>
      <c r="CV186" s="84">
        <f>ISNUMBER(MATCH($AT186&amp;"|80",LocKeys,0))</f>
        <v/>
      </c>
      <c r="CW186" s="86">
        <f>IF($CS186,"",IF($CV186,VLOOKUP($AT186&amp;"|"&amp;$CU186,LocTable,4,FALSE),5))</f>
        <v/>
      </c>
      <c r="CX186" s="86">
        <f>IF($CS186,"",IF($CV186,IF(OR($BI186=$CU186,AND($BI186&lt;$CU186,$BI186-IF(N(VLOOKUP($AT186&amp;"|"&amp;$CU186,LocTable,7,FALSE))&gt;0,VLOOKUP($AT186&amp;"|"&amp;$CU186,LocTable,7,FALSE),VLOOKUP($AT186&amp;"|"&amp;$CU186,LocTable,6,FALSE))-$CR186-0.75&gt;=2.125)),IF(N(VLOOKUP($AT186&amp;"|"&amp;$CU186,LocTable,7,FALSE))&gt;0,VLOOKUP($AT186&amp;"|"&amp;$CU186,LocTable,7,FALSE),VLOOKUP($AT186&amp;"|"&amp;$CU186,LocTable,6,FALSE)),$BI186-($CU186-IF(N(VLOOKUP($AT186&amp;"|"&amp;$CU186,LocTable,7,FALSE))&gt;0,VLOOKUP($AT186&amp;"|"&amp;$CU186,LocTable,7,FALSE),VLOOKUP($AT186&amp;"|"&amp;$CU186,LocTable,6,FALSE)))),$BI186-10-$CR186))</f>
        <v/>
      </c>
      <c r="CY186" s="85">
        <f>IF($CS186,"",TRIM(IF(ISNUMBER($BU186),"A "&amp;TRIM(TEXT($BU186,"# ?/??"))&amp;CHAR(34)&amp;"  ","")&amp;IF(ISNUMBER($BV186),"B "&amp;TRIM(TEXT($BV186,"# ?/??"))&amp;CHAR(34)&amp;"  ","")&amp;IF(ISNUMBER($BW186),"C "&amp;TRIM(TEXT($BW186,"# ?/??"))&amp;CHAR(34)&amp;"  ","")&amp;IF(ISNUMBER($BX186),"D "&amp;TRIM(TEXT($BX186,"# ?/??"))&amp;CHAR(34)&amp;"  ","")&amp;IF(ISNUMBER($BY186),"F "&amp;TRIM(TEXT($BY186,"# ?/??"))&amp;CHAR(34)&amp;"  ","")&amp;IF(ISNUMBER($BZ186),"E "&amp;TRIM(TEXT($BZ186,"# ?/??"))&amp;CHAR(34)&amp;"  ","")))</f>
        <v/>
      </c>
      <c r="CZ186" s="85">
        <f>IF(OR($CS186,N($BJ186)=0),"",TRIM(IF(ISNUMBER($BU186),"A "&amp;TRIM(TEXT($BU186-HeadClr,"# ?/??"))&amp;CHAR(34)&amp;"  ","")&amp;IF(ISNUMBER($BV186),"B "&amp;TRIM(TEXT($BV186-HeadClr,"# ?/??"))&amp;CHAR(34)&amp;"  ","")&amp;IF(ISNUMBER($BW186),"C "&amp;TRIM(TEXT($BW186-HeadClr,"# ?/??"))&amp;CHAR(34)&amp;"  ","")&amp;IF(ISNUMBER($BX186),"D "&amp;TRIM(TEXT($BX186-HeadClr,"# ?/??"))&amp;CHAR(34)&amp;"  ","")&amp;IF(ISNUMBER($BY186),"F "&amp;TRIM(TEXT($BY186-HeadClr,"# ?/??"))&amp;CHAR(34)&amp;"  ","")&amp;IF(ISNUMBER($BZ186),"E "&amp;TRIM(TEXT($BZ186-HeadClr,"# ?/??"))&amp;CHAR(34)&amp;"  ","")))</f>
        <v/>
      </c>
      <c r="DA186" s="84">
        <f>IF($A186="","",IF($AN186="",IFERROR(VLOOKUP($Z186,CODES,2,FALSE),""),IFERROR(VLOOKUP($AN186,CODES,2,FALSE),"")))</f>
        <v/>
      </c>
      <c r="DB186" s="84">
        <f>IF($A186="","",IF($O186="Y","PR",IF(OR($Z186="L",$Z186="RR",LEFT($Z186,2)="L-",LEFT($Z186,3)="RR-"),"LH","RH")))</f>
        <v/>
      </c>
      <c r="DC186" s="84">
        <f>IF($A186="","","S.HM"&amp;IF(OR($C186="DOOR ONLY",$X186&lt;&gt;"KD"),"MASONRY","DRYWALL")&amp;IF($C186="DOOR ONLY","",$U186)&amp;IF(AND($C186&lt;&gt;"FRAME ONLY",OR(LEFT($AH186,3)="OAK",LEFT($AH186,3)="BIR",LEFT($AH186,3)="MAP",$AH186="PC",$AH186="MC",$AH186="SCLC",$AH186="P-LAM")),"WD","HM")&amp;"1.75")</f>
        <v/>
      </c>
      <c r="DD186" s="84">
        <f>IF($CJ186="","",IF($O186="Y",$CJ186,SUBSTITUTE($CJ186,$BG186&amp;" "&amp;IFERROR(VLOOKUP($Z186,CODES,2,FALSE),"")&amp;" ",$BG186&amp;" ")))</f>
        <v/>
      </c>
      <c r="DE186" s="84">
        <f>IF($CK186="","",IF($O186="Y",$CK186,SUBSTITUTE($CK186,$BG186&amp;" "&amp;IF($AN186="",IFERROR(VLOOKUP($Z186,CODES,2,FALSE),""),IFERROR(VLOOKUP($AN186,CODES,2,FALSE),""))&amp;" ",$BG186&amp;" ")))</f>
        <v/>
      </c>
      <c r="DF186" s="84">
        <f>IF($CJ186="","",$DC186&amp;"|"&amp;$DD186&amp;"|"&amp;$DB186&amp;"|"&amp;$AT186&amp;"|"&amp;$V186&amp;"|"&amp;$Y186&amp;"|"&amp;$AB186)</f>
        <v/>
      </c>
      <c r="DG186" s="84">
        <f>IF(DF186="","",IF(COUNTIF($DF$6:DF186,DF186)=1,MAX($DG$5:DG185)+1,INDEX($DG$5:DG185,MATCH(DF186,$DF$5:DF185,0))))</f>
        <v/>
      </c>
      <c r="DH186" s="84">
        <f>IF($CK186="","",$DC186&amp;"|"&amp;$DE186&amp;"|"&amp;$AI186&amp;"|"&amp;$BK186&amp;"|"&amp;$BL186)</f>
        <v/>
      </c>
      <c r="DI186" s="84">
        <f>IF(DH186="","",IF(COUNTIF($DH$6:DH186,DH186)=1,MAX($DI$5:DI185)+1,INDEX($DI$5:DI185,MATCH(DH186,$DH$5:DH185,0))))</f>
        <v/>
      </c>
      <c r="DJ186" s="84">
        <f>IF($A186="","",IF($B186="","qty, ","")&amp;IF($C186="","scope, ","")&amp;IF(OR($K186="",$M186=""),"size, ","")&amp;IF(AND($A186&lt;&gt;"",$C186&lt;&gt;"DOOR ONLY"),IF($U186="","jamb depth, ","")&amp;IF($X186="","construction, ","")&amp;IF($Y186="","anchor, ","")&amp;IF($S186="","frame type, ",""),"")&amp;IF(AND(N($BJ186)&gt;0,$Z186=""),"hand, ","")&amp;IF(N($BJ186)&gt;0,IF($AH186="","door material, ","")&amp;IF($AL186="","face type, ","")&amp;IF($AP186="","lock prep, ","")&amp;IF(AND($AO186="",$AC186=""),"hinge prep, ",""),"")&amp;IF(AND($CH186&gt;0,$AH186="FRP"),"FRP cannot carry a label, ","")&amp;IF(AND($O186="Y",OR($Z186="L",$Z186="R",$Z186="LR",$Z186="RR")),"pair marked but hand is single, ","")&amp;IF(AND($O186&lt;&gt;"Y",OR($Z186="PR",AND(LEN($Z186)&gt;1,ISNUMBER(SEARCH("-",$Z186))))),"pair hand on a single door, ","")&amp;IF(AND(ISNUMBER($CI186),$CH186&lt;N($CI186)),"wall needs a "&amp;$CI186&amp;" min door, ","")&amp;IF(AND($CH186&gt;=180,AND(OR($CE186="FG",$CE186="HG",$CE186="FNV",$CE186="FV"),N($CF186)*N($CG186)&gt;100)),"180 min lite over 100 sq in, ","")&amp;IF(N($BK186)&gt;48,"leaf wider than 4'-0"&amp;CHAR(34)&amp;", ","")&amp;IF(AND($CT186,COUNT($AW186:$AZ186)=0,$CQ186&gt;0),"CUSTOM LOC with no locations typed, ",""))</f>
        <v/>
      </c>
      <c r="DK186" s="84">
        <f>IF($A186="","",IF(AND($CH186&gt;0,AND($A186&lt;&gt;"",$C186&lt;&gt;"DOOR ONLY"),$X186="KD",$E186="EXTERIOR"),"KD label on an exterior opening, ","")&amp;IF(AND($E186="EXTERIOR",OR(AND(AND($A186&lt;&gt;"",$C186&lt;&gt;"DOOR ONLY"),$W186="CR"),AND(N($BJ186)&gt;0,$AH186="CR"))),"exterior in CR steel (G9?), ","")&amp;IF(AND(ISNUMBER($BQ186),N($BQ186)&lt;32),"clear width ~"&amp;TEXT($BQ186,"0.0")&amp;CHAR(34)&amp;" under 32"&amp;CHAR(34)&amp;" (ADA), ","")&amp;IF(AND($CH186=90,AND(OR($CE186="FG",$CE186="HG",$CE186="FNV",$CE186="FV"),N($CF186)*N($CG186)&gt;100)),"90 min lite over 100 sq in (stair/exit), ","")&amp;IF(AND($CH186&gt;0,AND($A186&lt;&gt;"",$C186&lt;&gt;"DOOR ONLY"),OR($AF186="",$AF186="-")),"rated: closer reinf.?, ","")&amp;IF(OR($I186="CORRIDOR",$I186="SMOKE BARRIER"),"S label + smoke gasketing, ","")&amp;IF($CI186="?","wall type/hr not in IBC table, ","")&amp;IF(AND(N($BJ186)&gt;0,$BB186=""),"no hardware set, ","")&amp;IF(AND($BB186&lt;&gt;"",ISNA(MATCH($BB186&amp;"",HWSets,0))),"set "&amp;$BB186&amp;" not on HW Sets, ","")&amp;IF(N($BL186)&gt;96,"leaf over 8'-0"&amp;CHAR(34)&amp;" - check listing, ","")&amp;IF(AND($CT186,COUNT($AW186:$AZ186)&gt;0,COUNT($AW186:$AZ186)&lt;&gt;$CQ186),COUNT($AW186:$AZ186)&amp;" custom hinges typed, "&amp;$CQ186&amp;" expected, ","")&amp;IF(AND(ISNUMBER($CA186),OR(N($CA186)&lt;34,N($CA186)&gt;48)),"lock "&amp;TEXT($CA186,"0.0")&amp;CHAR(34)&amp;" AFF outside 34-48"&amp;CHAR(34)&amp;" (ADA), ","")&amp;IF(AND(ISNUMBER($AV186),ISNUMBER($BL186),N($AV186)&lt;IF(N($BL186)&lt;=60,2,IF(N($BL186)&lt;=90,3,IF(N($BL186)&lt;=120,4,5)))),"fewer hinges than standard, ",""))</f>
        <v/>
      </c>
    </row>
    <row r="187" ht="15" customHeight="1">
      <c r="A187" s="77" t="n"/>
      <c r="B187" s="78" t="n"/>
      <c r="C187" s="78" t="n"/>
      <c r="D187" s="78" t="n"/>
      <c r="E187" s="78" t="n"/>
      <c r="F187" s="78" t="n"/>
      <c r="G187" s="78" t="n"/>
      <c r="H187" s="78" t="n"/>
      <c r="I187" s="78" t="n"/>
      <c r="J187" s="78" t="n"/>
      <c r="K187" s="78" t="n"/>
      <c r="L187" s="78" t="n"/>
      <c r="M187" s="78" t="n"/>
      <c r="N187" s="78" t="n"/>
      <c r="O187" s="78" t="n"/>
      <c r="P187" s="78" t="n"/>
      <c r="Q187" s="78" t="n"/>
      <c r="R187" s="78" t="n"/>
      <c r="S187" s="79" t="n"/>
      <c r="T187" s="79" t="n"/>
      <c r="U187" s="79" t="n"/>
      <c r="V187" s="79" t="n"/>
      <c r="W187" s="79" t="n"/>
      <c r="X187" s="79" t="n"/>
      <c r="Y187" s="79" t="n"/>
      <c r="Z187" s="79" t="n"/>
      <c r="AA187" s="79" t="n"/>
      <c r="AB187" s="79" t="n"/>
      <c r="AC187" s="79" t="n"/>
      <c r="AD187" s="79" t="n"/>
      <c r="AE187" s="79" t="n"/>
      <c r="AF187" s="79" t="n"/>
      <c r="AG187" s="79" t="n"/>
      <c r="AH187" s="80" t="n"/>
      <c r="AI187" s="80" t="n"/>
      <c r="AJ187" s="80" t="n"/>
      <c r="AK187" s="80" t="n"/>
      <c r="AL187" s="80" t="n"/>
      <c r="AM187" s="80" t="n"/>
      <c r="AN187" s="80" t="n"/>
      <c r="AO187" s="80" t="n"/>
      <c r="AP187" s="80" t="n"/>
      <c r="AQ187" s="80" t="n"/>
      <c r="AR187" s="80" t="n"/>
      <c r="AS187" s="80" t="n"/>
      <c r="AT187" s="81" t="n"/>
      <c r="AU187" s="81" t="n"/>
      <c r="AV187" s="81" t="n"/>
      <c r="AW187" s="82" t="n"/>
      <c r="AX187" s="82" t="n"/>
      <c r="AY187" s="82" t="n"/>
      <c r="AZ187" s="82" t="n"/>
      <c r="BA187" s="82" t="n"/>
      <c r="BB187" s="83" t="n"/>
      <c r="BC187" s="83" t="n"/>
      <c r="BD187" s="84">
        <f>IF($A187="","",IF($DJ187&lt;&gt;"","FIX",IF($DK187&lt;&gt;"","CHECK","OK")))</f>
        <v/>
      </c>
      <c r="BE187" s="85">
        <f>IF($A187="","",IF($DJ187&lt;&gt;"","FIX: "&amp;LEFT($DJ187,LEN($DJ187)-2)&amp;IF($DK187&lt;&gt;"","  ·  ",""),"")&amp;IF($DK187&lt;&gt;"","CHECK: "&amp;LEFT($DK187,LEN($DK187)-2),""))</f>
        <v/>
      </c>
      <c r="BF187" s="84">
        <f>IF(OR($A187="",$K187=""),"",$K187&amp;"'-"&amp;N($L187)&amp;CHAR(34)&amp;" x "&amp;$M187&amp;"'-"&amp;N($N187)&amp;CHAR(34))</f>
        <v/>
      </c>
      <c r="BG187" s="84">
        <f>IF(OR($A187="",$K187=""),"",$K187&amp;N($L187)&amp;$M187&amp;N($N187))</f>
        <v/>
      </c>
      <c r="BH187" s="84">
        <f>IF(OR($A187="",$K187=""),"",$K187*12+N($L187))</f>
        <v/>
      </c>
      <c r="BI187" s="84">
        <f>IF(OR($A187="",$M187=""),"",$M187*12+N($N187))</f>
        <v/>
      </c>
      <c r="BJ187" s="84">
        <f>IF($A187="","",IF(OR($C187="FRAME ONLY",$S187="BL"),0,IF($O187="Y",2,1)))</f>
        <v/>
      </c>
      <c r="BK187" s="86">
        <f>IF(OR(N($BJ187)=0,$BH187=""),"",($BH187-2*EdgeClr-IF($BJ187=2,MeetClr,0))/$BJ187)</f>
        <v/>
      </c>
      <c r="BL187" s="86">
        <f>IF(OR(N($BJ187)=0,$BI187=""),"",$BI187-HeadClr-Undercut)</f>
        <v/>
      </c>
      <c r="BM187" s="86">
        <f>IF($BH187="","",$BH187+2*FaceW+IF(N($Q187)&gt;0,($Q187+FaceW)*IF($R187="LR",2,1),0))</f>
        <v/>
      </c>
      <c r="BN187" s="86">
        <f>IF($BI187="","",$BI187+IF($AB187="Y",4,FaceW)+IF(N($P187)&gt;0,$P187+FaceW,0)+IF(OR($S187="4F",$S187="BL"),FaceW,0))</f>
        <v/>
      </c>
      <c r="BO187" s="86">
        <f>IF($BM187="","",$BM187+2*ROSide)</f>
        <v/>
      </c>
      <c r="BP187" s="86">
        <f>IF($BN187="","",$BN187+ROTop)</f>
        <v/>
      </c>
      <c r="BQ187" s="87">
        <f>IF(OR(N($BJ187)=0,$BH187=""),"",$BH187/$BJ187-ClearDeduct)</f>
        <v/>
      </c>
      <c r="BR187" s="84">
        <f>IF(N($CH187)=0,"",IF($CH187&gt;=180,"A · 3 HR",IF($CH187&gt;=90,"B · 1-1/2 HR",IF($CH187&gt;=60,"B · 1 HR",IF($CH187&gt;=45,"C · 3/4 HR","20 MIN")))))&amp;IF(AND(N($CH187)&gt;0,OR($I187="CORRIDOR",$I187="SMOKE BARRIER"))," · S","")</f>
        <v/>
      </c>
      <c r="BS187" s="84">
        <f>IF($CS187,"",IF($AV187&lt;&gt;"",$AV187,IF(OR($AC187="HGC",$AO187="HGC"),"CONT",IF(($BI187-HeadClr-Undercut)&lt;=60,2,IF(($BI187-HeadClr-Undercut)&lt;=90,3,IF(($BI187-HeadClr-Undercut)&lt;=120,4,5))))))</f>
        <v/>
      </c>
      <c r="BT187" s="84">
        <f>IF($CS187,"",IF($CT187,"CUSTOM (typed)",IF($CV187,$AT187&amp;" "&amp;$CU187&amp;CHAR(34)&amp;IF($CU187&lt;&gt;$BI187,IF(AND($BI187&lt;$CU187,$BI187-IF(N(VLOOKUP($AT187&amp;"|"&amp;$CU187,LocTable,7,FALSE))&gt;0,VLOOKUP($AT187&amp;"|"&amp;$CU187,LocTable,7,FALSE),VLOOKUP($AT187&amp;"|"&amp;$CU187,LocTable,6,FALSE))-$CR187-0.75&gt;=2.125)," cut down"," adj."),""),"ANSI/SDI A250.6")))</f>
        <v/>
      </c>
      <c r="BU187" s="88">
        <f>IF($CS187,"",IF($CT187,IF(N($AW187)&gt;0,N($AW187),""),IF(1&gt;$CQ187,"",IF($CQ187=1,$CW187,$CW187+($CX187-$CW187)*0/($CQ187-1)))))</f>
        <v/>
      </c>
      <c r="BV187" s="88">
        <f>IF($CS187,"",IF($CT187,IF(N($AX187)&gt;0,N($AX187),""),IF(2&gt;$CQ187,"",IF($CQ187=1,$CW187,$CW187+($CX187-$CW187)*1/($CQ187-1)))))</f>
        <v/>
      </c>
      <c r="BW187" s="88">
        <f>IF($CS187,"",IF($CT187,IF(N($AY187)&gt;0,N($AY187),""),IF(3&gt;$CQ187,"",IF($CQ187=1,$CW187,$CW187+($CX187-$CW187)*2/($CQ187-1)))))</f>
        <v/>
      </c>
      <c r="BX187" s="88">
        <f>IF($CS187,"",IF($CT187,IF(N($AZ187)&gt;0,N($AZ187),""),IF(4&gt;$CQ187,"",IF($CQ187=1,$CW187,$CW187+($CX187-$CW187)*3/($CQ187-1)))))</f>
        <v/>
      </c>
      <c r="BY187" s="88">
        <f>IF($CS187,"",IF($CT187,"",IF(5&gt;$CQ187,"",IF($CQ187=1,$CW187,$CW187+($CX187-$CW187)*4/($CQ187-1)))))</f>
        <v/>
      </c>
      <c r="BZ187" s="88">
        <f>IF(OR($CS187,$AP187="-",AND($AP187="",$AD187="")),"",IF(N($BA187)&gt;0,N($BA187),IF($CV187,IF(AND($BI187&lt;$CU187,$BI187-IF(N(VLOOKUP($AT187&amp;"|"&amp;$CU187,LocTable,7,FALSE))&gt;0,VLOOKUP($AT187&amp;"|"&amp;$CU187,LocTable,7,FALSE),VLOOKUP($AT187&amp;"|"&amp;$CU187,LocTable,6,FALSE))-$CR187-0.75&gt;=2.125),VLOOKUP($AT187&amp;"|"&amp;$CU187,LocTable,8,FALSE),VLOOKUP($AT187&amp;"|"&amp;$CU187,LocTable,8,FALSE)+($BI187-$CU187)),$BI187-LockAFF)))</f>
        <v/>
      </c>
      <c r="CA187" s="89">
        <f>IF($BZ187="","",$BI187-$BZ187)</f>
        <v/>
      </c>
      <c r="CB187" s="84">
        <f>IF(OR(NOT(AND($A187&lt;&gt;"",$C187&lt;&gt;"DOOR ONLY")),$BI187=""),"",IF(($BI187+IF(N($P187)&gt;0,$P187+FaceW,0))&lt;=90,3,IF(($BI187+IF(N($P187)&gt;0,$P187+FaceW,0))&lt;=114,4,5)))</f>
        <v/>
      </c>
      <c r="CC187" s="84">
        <f>IF($CB187="","",$CB187*(2+IF(N($Q187)&gt;0,IF($R187="LR",2,1),0)))</f>
        <v/>
      </c>
      <c r="CD187" s="84">
        <f>IF($CB187="","",(2+IF(N($Q187)&gt;0,IF($R187="LR",2,1),0)))</f>
        <v/>
      </c>
      <c r="CE187" s="84">
        <f>IF(N($BJ187)=0,"",IF(OR($AL187="",$AL187="FLUSH"),"FLUSH",IFERROR(LEFT($AL187,FIND("-",$AL187)-1),LEFT($AL187,2))))</f>
        <v/>
      </c>
      <c r="CF187" s="84">
        <f>IF($CE187="","",IFERROR(VALUE(MID($AL187,FIND("-",$AL187)+1,FIND(CHAR(34)&amp;"x",$AL187)-FIND("-",$AL187)-1)),0))</f>
        <v/>
      </c>
      <c r="CG187" s="84">
        <f>IF($CE187="","",IFERROR(VALUE(MID($AL187,FIND(CHAR(34)&amp;"x",$AL187)+2,FIND(CHAR(34),$AL187,FIND(CHAR(34)&amp;"x",$AL187)+2)-FIND(CHAR(34)&amp;"x",$AL187)-2)),0))</f>
        <v/>
      </c>
      <c r="CH187" s="90">
        <f>IF(OR($A187="",$H187="",$H187="NO LAB"),0,IFERROR(VALUE(LEFT($H187,FIND(" ",$H187)-1)),0))</f>
        <v/>
      </c>
      <c r="CI187" s="91">
        <f>IF(OR($A187="",$I187="",$I187="NON-RATED",N($J187)=0),"",IFERROR(VLOOKUP($I187&amp;"|"&amp;$J187,IBC,2,FALSE),"?"))</f>
        <v/>
      </c>
      <c r="CJ187" s="85">
        <f>IF(NOT(AND($A187&lt;&gt;"",$C187&lt;&gt;"DOOR ONLY")),"",TRIM(IFERROR(VLOOKUP($U187,CODES,2,FALSE),"")&amp;" "&amp;$BG187&amp;" "&amp;IFERROR(VLOOKUP($Z187,CODES,2,FALSE),"")&amp;" "&amp;IFERROR(VLOOKUP($X187,CODES,2,FALSE),"")&amp;" "&amp;IFERROR(VLOOKUP($S187,CODES,2,FALSE),"")&amp;IF(N($P187)&gt;0," w/TRANSOM "&amp;$P187&amp;CHAR(34),"")&amp;IF(N($Q187)&gt;0," w/SIDELITE "&amp;$Q187&amp;CHAR(34)&amp;" "&amp;IF($R187="","R",$R187),"")&amp;IF($Y187="","  |  "," | "&amp;IFERROR(VLOOKUP($Y187,CODES,2,FALSE),"")&amp;" | ")&amp;IFERROR(VLOOKUP($AC187,CODES,2,FALSE),"")&amp;" "&amp;IFERROR(VLOOKUP($AD187,CODES,2,FALSE),"")&amp;IF(OR($AE187="",$AE187="-"),""," "&amp;$AE187)&amp;IF(OR($AF187="",$AF187="-"),""," "&amp;$AF187)&amp;IF($AB187="Y"," 4"&amp;CHAR(34)&amp;" HEAD","")&amp;" "&amp;IFERROR(VLOOKUP($H187,CODES,2,FALSE),"")&amp;IF($CT187," | LOC "&amp;$CY187,"")))</f>
        <v/>
      </c>
      <c r="CK187" s="85">
        <f>IF(NOT(AND($A187&lt;&gt;"",N($BJ187)&gt;0)),"",TRIM(IFERROR(VLOOKUP($AH187,CODES,2,FALSE),"")&amp;IF($AI187=""," "," "&amp;$AI187&amp;"GA ")&amp;$BG187&amp;" "&amp;IF($AN187="",IFERROR(VLOOKUP($Z187,CODES,2,FALSE),""),IFERROR(VLOOKUP($AN187,CODES,2,FALSE),""))&amp;IF($BJ187=2," PAIR","")&amp;" DOOR | "&amp;IF($AL187="","?",$AL187)&amp;" | "&amp;IF($AO187="",IFERROR(VLOOKUP($AC187,CODES,2,FALSE),""),IFERROR(VLOOKUP($AO187,CODES,2,FALSE),""))&amp;" "&amp;IFERROR(VLOOKUP($AP187,CODES,2,FALSE),"")&amp;IF(OR($AQ187="",$AQ187="-"),""," SEAM "&amp;$AQ187)&amp;IF($AR187="Y"," ASTRAGAL","")&amp;IF($AJ187=""," "," "&amp;$AJ187)&amp;IF($AK187=""," "," "&amp;$AK187)&amp;IF(OR($AT187="",$AT187="ANSI/SDI",$AT187="CUSTOM LOC"),""," "&amp;$AT187)&amp;IF($AM187=""," "," SERIES "&amp;$AM187)&amp;" "&amp;IFERROR(VLOOKUP($H187,CODES,2,FALSE),"")&amp;IF($CT187," | LOC "&amp;$CZ187,"")))</f>
        <v/>
      </c>
      <c r="CL187" s="84">
        <f>IF(CP187="","",IF(COUNTIF($CP$6:CP187,CP187)=1,MAX($CL$5:CL186)+1,INDEX($CL$5:CL186,MATCH(CP187,$CP$5:CP186,0))))</f>
        <v/>
      </c>
      <c r="CM187" s="84">
        <f>IF(NOT(AND($A187&lt;&gt;"",$C187&lt;&gt;"DOOR ONLY")),"",MAX($CM$5:CM186)+1)</f>
        <v/>
      </c>
      <c r="CN187" s="84">
        <f>IF(NOT(AND($A187&lt;&gt;"",N($BJ187)&gt;0)),"",MAX($CN$5:CN186)+1)</f>
        <v/>
      </c>
      <c r="CO187" s="84">
        <f>IF($A187="","",MAX($CO$5:CO186)+1)</f>
        <v/>
      </c>
      <c r="CP187" s="84">
        <f>IF(OR($A187="",$BH187="",$BI187=""),"",$BG187&amp;"|"&amp;$O187&amp;"|"&amp;$AL187&amp;"|"&amp;$S187&amp;"|"&amp;$P187&amp;"|"&amp;$Q187&amp;$R187&amp;"|"&amp;$C187&amp;"|"&amp;$AB187)</f>
        <v/>
      </c>
      <c r="CQ187" s="84">
        <f>N($BS187)</f>
        <v/>
      </c>
      <c r="CR187" s="84">
        <f>IF(N($AU187)&gt;0,N($AU187),4.5)</f>
        <v/>
      </c>
      <c r="CS187" s="84">
        <f>OR($A187="",$BI187="",$S187="BL",AND($C187="FRAME ONLY",OR($AC187="",$AC187="BLK")))</f>
        <v/>
      </c>
      <c r="CT187" s="84">
        <f>AND(NOT($CS187),OR($AT187="CUSTOM LOC",N($AW187)+N($AX187)+N($AY187)+N($AZ187)+N($BA187)&gt;0))</f>
        <v/>
      </c>
      <c r="CU187" s="84">
        <f>IF($BI187="","",IF($BI187&lt;=80,80,IF($BI187&lt;=84,84,96)))</f>
        <v/>
      </c>
      <c r="CV187" s="84">
        <f>ISNUMBER(MATCH($AT187&amp;"|80",LocKeys,0))</f>
        <v/>
      </c>
      <c r="CW187" s="86">
        <f>IF($CS187,"",IF($CV187,VLOOKUP($AT187&amp;"|"&amp;$CU187,LocTable,4,FALSE),5))</f>
        <v/>
      </c>
      <c r="CX187" s="86">
        <f>IF($CS187,"",IF($CV187,IF(OR($BI187=$CU187,AND($BI187&lt;$CU187,$BI187-IF(N(VLOOKUP($AT187&amp;"|"&amp;$CU187,LocTable,7,FALSE))&gt;0,VLOOKUP($AT187&amp;"|"&amp;$CU187,LocTable,7,FALSE),VLOOKUP($AT187&amp;"|"&amp;$CU187,LocTable,6,FALSE))-$CR187-0.75&gt;=2.125)),IF(N(VLOOKUP($AT187&amp;"|"&amp;$CU187,LocTable,7,FALSE))&gt;0,VLOOKUP($AT187&amp;"|"&amp;$CU187,LocTable,7,FALSE),VLOOKUP($AT187&amp;"|"&amp;$CU187,LocTable,6,FALSE)),$BI187-($CU187-IF(N(VLOOKUP($AT187&amp;"|"&amp;$CU187,LocTable,7,FALSE))&gt;0,VLOOKUP($AT187&amp;"|"&amp;$CU187,LocTable,7,FALSE),VLOOKUP($AT187&amp;"|"&amp;$CU187,LocTable,6,FALSE)))),$BI187-10-$CR187))</f>
        <v/>
      </c>
      <c r="CY187" s="85">
        <f>IF($CS187,"",TRIM(IF(ISNUMBER($BU187),"A "&amp;TRIM(TEXT($BU187,"# ?/??"))&amp;CHAR(34)&amp;"  ","")&amp;IF(ISNUMBER($BV187),"B "&amp;TRIM(TEXT($BV187,"# ?/??"))&amp;CHAR(34)&amp;"  ","")&amp;IF(ISNUMBER($BW187),"C "&amp;TRIM(TEXT($BW187,"# ?/??"))&amp;CHAR(34)&amp;"  ","")&amp;IF(ISNUMBER($BX187),"D "&amp;TRIM(TEXT($BX187,"# ?/??"))&amp;CHAR(34)&amp;"  ","")&amp;IF(ISNUMBER($BY187),"F "&amp;TRIM(TEXT($BY187,"# ?/??"))&amp;CHAR(34)&amp;"  ","")&amp;IF(ISNUMBER($BZ187),"E "&amp;TRIM(TEXT($BZ187,"# ?/??"))&amp;CHAR(34)&amp;"  ","")))</f>
        <v/>
      </c>
      <c r="CZ187" s="85">
        <f>IF(OR($CS187,N($BJ187)=0),"",TRIM(IF(ISNUMBER($BU187),"A "&amp;TRIM(TEXT($BU187-HeadClr,"# ?/??"))&amp;CHAR(34)&amp;"  ","")&amp;IF(ISNUMBER($BV187),"B "&amp;TRIM(TEXT($BV187-HeadClr,"# ?/??"))&amp;CHAR(34)&amp;"  ","")&amp;IF(ISNUMBER($BW187),"C "&amp;TRIM(TEXT($BW187-HeadClr,"# ?/??"))&amp;CHAR(34)&amp;"  ","")&amp;IF(ISNUMBER($BX187),"D "&amp;TRIM(TEXT($BX187-HeadClr,"# ?/??"))&amp;CHAR(34)&amp;"  ","")&amp;IF(ISNUMBER($BY187),"F "&amp;TRIM(TEXT($BY187-HeadClr,"# ?/??"))&amp;CHAR(34)&amp;"  ","")&amp;IF(ISNUMBER($BZ187),"E "&amp;TRIM(TEXT($BZ187-HeadClr,"# ?/??"))&amp;CHAR(34)&amp;"  ","")))</f>
        <v/>
      </c>
      <c r="DA187" s="84">
        <f>IF($A187="","",IF($AN187="",IFERROR(VLOOKUP($Z187,CODES,2,FALSE),""),IFERROR(VLOOKUP($AN187,CODES,2,FALSE),"")))</f>
        <v/>
      </c>
      <c r="DB187" s="84">
        <f>IF($A187="","",IF($O187="Y","PR",IF(OR($Z187="L",$Z187="RR",LEFT($Z187,2)="L-",LEFT($Z187,3)="RR-"),"LH","RH")))</f>
        <v/>
      </c>
      <c r="DC187" s="84">
        <f>IF($A187="","","S.HM"&amp;IF(OR($C187="DOOR ONLY",$X187&lt;&gt;"KD"),"MASONRY","DRYWALL")&amp;IF($C187="DOOR ONLY","",$U187)&amp;IF(AND($C187&lt;&gt;"FRAME ONLY",OR(LEFT($AH187,3)="OAK",LEFT($AH187,3)="BIR",LEFT($AH187,3)="MAP",$AH187="PC",$AH187="MC",$AH187="SCLC",$AH187="P-LAM")),"WD","HM")&amp;"1.75")</f>
        <v/>
      </c>
      <c r="DD187" s="84">
        <f>IF($CJ187="","",IF($O187="Y",$CJ187,SUBSTITUTE($CJ187,$BG187&amp;" "&amp;IFERROR(VLOOKUP($Z187,CODES,2,FALSE),"")&amp;" ",$BG187&amp;" ")))</f>
        <v/>
      </c>
      <c r="DE187" s="84">
        <f>IF($CK187="","",IF($O187="Y",$CK187,SUBSTITUTE($CK187,$BG187&amp;" "&amp;IF($AN187="",IFERROR(VLOOKUP($Z187,CODES,2,FALSE),""),IFERROR(VLOOKUP($AN187,CODES,2,FALSE),""))&amp;" ",$BG187&amp;" ")))</f>
        <v/>
      </c>
      <c r="DF187" s="84">
        <f>IF($CJ187="","",$DC187&amp;"|"&amp;$DD187&amp;"|"&amp;$DB187&amp;"|"&amp;$AT187&amp;"|"&amp;$V187&amp;"|"&amp;$Y187&amp;"|"&amp;$AB187)</f>
        <v/>
      </c>
      <c r="DG187" s="84">
        <f>IF(DF187="","",IF(COUNTIF($DF$6:DF187,DF187)=1,MAX($DG$5:DG186)+1,INDEX($DG$5:DG186,MATCH(DF187,$DF$5:DF186,0))))</f>
        <v/>
      </c>
      <c r="DH187" s="84">
        <f>IF($CK187="","",$DC187&amp;"|"&amp;$DE187&amp;"|"&amp;$AI187&amp;"|"&amp;$BK187&amp;"|"&amp;$BL187)</f>
        <v/>
      </c>
      <c r="DI187" s="84">
        <f>IF(DH187="","",IF(COUNTIF($DH$6:DH187,DH187)=1,MAX($DI$5:DI186)+1,INDEX($DI$5:DI186,MATCH(DH187,$DH$5:DH186,0))))</f>
        <v/>
      </c>
      <c r="DJ187" s="84">
        <f>IF($A187="","",IF($B187="","qty, ","")&amp;IF($C187="","scope, ","")&amp;IF(OR($K187="",$M187=""),"size, ","")&amp;IF(AND($A187&lt;&gt;"",$C187&lt;&gt;"DOOR ONLY"),IF($U187="","jamb depth, ","")&amp;IF($X187="","construction, ","")&amp;IF($Y187="","anchor, ","")&amp;IF($S187="","frame type, ",""),"")&amp;IF(AND(N($BJ187)&gt;0,$Z187=""),"hand, ","")&amp;IF(N($BJ187)&gt;0,IF($AH187="","door material, ","")&amp;IF($AL187="","face type, ","")&amp;IF($AP187="","lock prep, ","")&amp;IF(AND($AO187="",$AC187=""),"hinge prep, ",""),"")&amp;IF(AND($CH187&gt;0,$AH187="FRP"),"FRP cannot carry a label, ","")&amp;IF(AND($O187="Y",OR($Z187="L",$Z187="R",$Z187="LR",$Z187="RR")),"pair marked but hand is single, ","")&amp;IF(AND($O187&lt;&gt;"Y",OR($Z187="PR",AND(LEN($Z187)&gt;1,ISNUMBER(SEARCH("-",$Z187))))),"pair hand on a single door, ","")&amp;IF(AND(ISNUMBER($CI187),$CH187&lt;N($CI187)),"wall needs a "&amp;$CI187&amp;" min door, ","")&amp;IF(AND($CH187&gt;=180,AND(OR($CE187="FG",$CE187="HG",$CE187="FNV",$CE187="FV"),N($CF187)*N($CG187)&gt;100)),"180 min lite over 100 sq in, ","")&amp;IF(N($BK187)&gt;48,"leaf wider than 4'-0"&amp;CHAR(34)&amp;", ","")&amp;IF(AND($CT187,COUNT($AW187:$AZ187)=0,$CQ187&gt;0),"CUSTOM LOC with no locations typed, ",""))</f>
        <v/>
      </c>
      <c r="DK187" s="84">
        <f>IF($A187="","",IF(AND($CH187&gt;0,AND($A187&lt;&gt;"",$C187&lt;&gt;"DOOR ONLY"),$X187="KD",$E187="EXTERIOR"),"KD label on an exterior opening, ","")&amp;IF(AND($E187="EXTERIOR",OR(AND(AND($A187&lt;&gt;"",$C187&lt;&gt;"DOOR ONLY"),$W187="CR"),AND(N($BJ187)&gt;0,$AH187="CR"))),"exterior in CR steel (G9?), ","")&amp;IF(AND(ISNUMBER($BQ187),N($BQ187)&lt;32),"clear width ~"&amp;TEXT($BQ187,"0.0")&amp;CHAR(34)&amp;" under 32"&amp;CHAR(34)&amp;" (ADA), ","")&amp;IF(AND($CH187=90,AND(OR($CE187="FG",$CE187="HG",$CE187="FNV",$CE187="FV"),N($CF187)*N($CG187)&gt;100)),"90 min lite over 100 sq in (stair/exit), ","")&amp;IF(AND($CH187&gt;0,AND($A187&lt;&gt;"",$C187&lt;&gt;"DOOR ONLY"),OR($AF187="",$AF187="-")),"rated: closer reinf.?, ","")&amp;IF(OR($I187="CORRIDOR",$I187="SMOKE BARRIER"),"S label + smoke gasketing, ","")&amp;IF($CI187="?","wall type/hr not in IBC table, ","")&amp;IF(AND(N($BJ187)&gt;0,$BB187=""),"no hardware set, ","")&amp;IF(AND($BB187&lt;&gt;"",ISNA(MATCH($BB187&amp;"",HWSets,0))),"set "&amp;$BB187&amp;" not on HW Sets, ","")&amp;IF(N($BL187)&gt;96,"leaf over 8'-0"&amp;CHAR(34)&amp;" - check listing, ","")&amp;IF(AND($CT187,COUNT($AW187:$AZ187)&gt;0,COUNT($AW187:$AZ187)&lt;&gt;$CQ187),COUNT($AW187:$AZ187)&amp;" custom hinges typed, "&amp;$CQ187&amp;" expected, ","")&amp;IF(AND(ISNUMBER($CA187),OR(N($CA187)&lt;34,N($CA187)&gt;48)),"lock "&amp;TEXT($CA187,"0.0")&amp;CHAR(34)&amp;" AFF outside 34-48"&amp;CHAR(34)&amp;" (ADA), ","")&amp;IF(AND(ISNUMBER($AV187),ISNUMBER($BL187),N($AV187)&lt;IF(N($BL187)&lt;=60,2,IF(N($BL187)&lt;=90,3,IF(N($BL187)&lt;=120,4,5)))),"fewer hinges than standard, ",""))</f>
        <v/>
      </c>
    </row>
    <row r="188" ht="15" customHeight="1">
      <c r="A188" s="77" t="n"/>
      <c r="B188" s="78" t="n"/>
      <c r="C188" s="78" t="n"/>
      <c r="D188" s="78" t="n"/>
      <c r="E188" s="78" t="n"/>
      <c r="F188" s="78" t="n"/>
      <c r="G188" s="78" t="n"/>
      <c r="H188" s="78" t="n"/>
      <c r="I188" s="78" t="n"/>
      <c r="J188" s="78" t="n"/>
      <c r="K188" s="78" t="n"/>
      <c r="L188" s="78" t="n"/>
      <c r="M188" s="78" t="n"/>
      <c r="N188" s="78" t="n"/>
      <c r="O188" s="78" t="n"/>
      <c r="P188" s="78" t="n"/>
      <c r="Q188" s="78" t="n"/>
      <c r="R188" s="78" t="n"/>
      <c r="S188" s="79" t="n"/>
      <c r="T188" s="79" t="n"/>
      <c r="U188" s="79" t="n"/>
      <c r="V188" s="79" t="n"/>
      <c r="W188" s="79" t="n"/>
      <c r="X188" s="79" t="n"/>
      <c r="Y188" s="79" t="n"/>
      <c r="Z188" s="79" t="n"/>
      <c r="AA188" s="79" t="n"/>
      <c r="AB188" s="79" t="n"/>
      <c r="AC188" s="79" t="n"/>
      <c r="AD188" s="79" t="n"/>
      <c r="AE188" s="79" t="n"/>
      <c r="AF188" s="79" t="n"/>
      <c r="AG188" s="79" t="n"/>
      <c r="AH188" s="80" t="n"/>
      <c r="AI188" s="80" t="n"/>
      <c r="AJ188" s="80" t="n"/>
      <c r="AK188" s="80" t="n"/>
      <c r="AL188" s="80" t="n"/>
      <c r="AM188" s="80" t="n"/>
      <c r="AN188" s="80" t="n"/>
      <c r="AO188" s="80" t="n"/>
      <c r="AP188" s="80" t="n"/>
      <c r="AQ188" s="80" t="n"/>
      <c r="AR188" s="80" t="n"/>
      <c r="AS188" s="80" t="n"/>
      <c r="AT188" s="81" t="n"/>
      <c r="AU188" s="81" t="n"/>
      <c r="AV188" s="81" t="n"/>
      <c r="AW188" s="82" t="n"/>
      <c r="AX188" s="82" t="n"/>
      <c r="AY188" s="82" t="n"/>
      <c r="AZ188" s="82" t="n"/>
      <c r="BA188" s="82" t="n"/>
      <c r="BB188" s="83" t="n"/>
      <c r="BC188" s="83" t="n"/>
      <c r="BD188" s="84">
        <f>IF($A188="","",IF($DJ188&lt;&gt;"","FIX",IF($DK188&lt;&gt;"","CHECK","OK")))</f>
        <v/>
      </c>
      <c r="BE188" s="85">
        <f>IF($A188="","",IF($DJ188&lt;&gt;"","FIX: "&amp;LEFT($DJ188,LEN($DJ188)-2)&amp;IF($DK188&lt;&gt;"","  ·  ",""),"")&amp;IF($DK188&lt;&gt;"","CHECK: "&amp;LEFT($DK188,LEN($DK188)-2),""))</f>
        <v/>
      </c>
      <c r="BF188" s="84">
        <f>IF(OR($A188="",$K188=""),"",$K188&amp;"'-"&amp;N($L188)&amp;CHAR(34)&amp;" x "&amp;$M188&amp;"'-"&amp;N($N188)&amp;CHAR(34))</f>
        <v/>
      </c>
      <c r="BG188" s="84">
        <f>IF(OR($A188="",$K188=""),"",$K188&amp;N($L188)&amp;$M188&amp;N($N188))</f>
        <v/>
      </c>
      <c r="BH188" s="84">
        <f>IF(OR($A188="",$K188=""),"",$K188*12+N($L188))</f>
        <v/>
      </c>
      <c r="BI188" s="84">
        <f>IF(OR($A188="",$M188=""),"",$M188*12+N($N188))</f>
        <v/>
      </c>
      <c r="BJ188" s="84">
        <f>IF($A188="","",IF(OR($C188="FRAME ONLY",$S188="BL"),0,IF($O188="Y",2,1)))</f>
        <v/>
      </c>
      <c r="BK188" s="86">
        <f>IF(OR(N($BJ188)=0,$BH188=""),"",($BH188-2*EdgeClr-IF($BJ188=2,MeetClr,0))/$BJ188)</f>
        <v/>
      </c>
      <c r="BL188" s="86">
        <f>IF(OR(N($BJ188)=0,$BI188=""),"",$BI188-HeadClr-Undercut)</f>
        <v/>
      </c>
      <c r="BM188" s="86">
        <f>IF($BH188="","",$BH188+2*FaceW+IF(N($Q188)&gt;0,($Q188+FaceW)*IF($R188="LR",2,1),0))</f>
        <v/>
      </c>
      <c r="BN188" s="86">
        <f>IF($BI188="","",$BI188+IF($AB188="Y",4,FaceW)+IF(N($P188)&gt;0,$P188+FaceW,0)+IF(OR($S188="4F",$S188="BL"),FaceW,0))</f>
        <v/>
      </c>
      <c r="BO188" s="86">
        <f>IF($BM188="","",$BM188+2*ROSide)</f>
        <v/>
      </c>
      <c r="BP188" s="86">
        <f>IF($BN188="","",$BN188+ROTop)</f>
        <v/>
      </c>
      <c r="BQ188" s="87">
        <f>IF(OR(N($BJ188)=0,$BH188=""),"",$BH188/$BJ188-ClearDeduct)</f>
        <v/>
      </c>
      <c r="BR188" s="84">
        <f>IF(N($CH188)=0,"",IF($CH188&gt;=180,"A · 3 HR",IF($CH188&gt;=90,"B · 1-1/2 HR",IF($CH188&gt;=60,"B · 1 HR",IF($CH188&gt;=45,"C · 3/4 HR","20 MIN")))))&amp;IF(AND(N($CH188)&gt;0,OR($I188="CORRIDOR",$I188="SMOKE BARRIER"))," · S","")</f>
        <v/>
      </c>
      <c r="BS188" s="84">
        <f>IF($CS188,"",IF($AV188&lt;&gt;"",$AV188,IF(OR($AC188="HGC",$AO188="HGC"),"CONT",IF(($BI188-HeadClr-Undercut)&lt;=60,2,IF(($BI188-HeadClr-Undercut)&lt;=90,3,IF(($BI188-HeadClr-Undercut)&lt;=120,4,5))))))</f>
        <v/>
      </c>
      <c r="BT188" s="84">
        <f>IF($CS188,"",IF($CT188,"CUSTOM (typed)",IF($CV188,$AT188&amp;" "&amp;$CU188&amp;CHAR(34)&amp;IF($CU188&lt;&gt;$BI188,IF(AND($BI188&lt;$CU188,$BI188-IF(N(VLOOKUP($AT188&amp;"|"&amp;$CU188,LocTable,7,FALSE))&gt;0,VLOOKUP($AT188&amp;"|"&amp;$CU188,LocTable,7,FALSE),VLOOKUP($AT188&amp;"|"&amp;$CU188,LocTable,6,FALSE))-$CR188-0.75&gt;=2.125)," cut down"," adj."),""),"ANSI/SDI A250.6")))</f>
        <v/>
      </c>
      <c r="BU188" s="88">
        <f>IF($CS188,"",IF($CT188,IF(N($AW188)&gt;0,N($AW188),""),IF(1&gt;$CQ188,"",IF($CQ188=1,$CW188,$CW188+($CX188-$CW188)*0/($CQ188-1)))))</f>
        <v/>
      </c>
      <c r="BV188" s="88">
        <f>IF($CS188,"",IF($CT188,IF(N($AX188)&gt;0,N($AX188),""),IF(2&gt;$CQ188,"",IF($CQ188=1,$CW188,$CW188+($CX188-$CW188)*1/($CQ188-1)))))</f>
        <v/>
      </c>
      <c r="BW188" s="88">
        <f>IF($CS188,"",IF($CT188,IF(N($AY188)&gt;0,N($AY188),""),IF(3&gt;$CQ188,"",IF($CQ188=1,$CW188,$CW188+($CX188-$CW188)*2/($CQ188-1)))))</f>
        <v/>
      </c>
      <c r="BX188" s="88">
        <f>IF($CS188,"",IF($CT188,IF(N($AZ188)&gt;0,N($AZ188),""),IF(4&gt;$CQ188,"",IF($CQ188=1,$CW188,$CW188+($CX188-$CW188)*3/($CQ188-1)))))</f>
        <v/>
      </c>
      <c r="BY188" s="88">
        <f>IF($CS188,"",IF($CT188,"",IF(5&gt;$CQ188,"",IF($CQ188=1,$CW188,$CW188+($CX188-$CW188)*4/($CQ188-1)))))</f>
        <v/>
      </c>
      <c r="BZ188" s="88">
        <f>IF(OR($CS188,$AP188="-",AND($AP188="",$AD188="")),"",IF(N($BA188)&gt;0,N($BA188),IF($CV188,IF(AND($BI188&lt;$CU188,$BI188-IF(N(VLOOKUP($AT188&amp;"|"&amp;$CU188,LocTable,7,FALSE))&gt;0,VLOOKUP($AT188&amp;"|"&amp;$CU188,LocTable,7,FALSE),VLOOKUP($AT188&amp;"|"&amp;$CU188,LocTable,6,FALSE))-$CR188-0.75&gt;=2.125),VLOOKUP($AT188&amp;"|"&amp;$CU188,LocTable,8,FALSE),VLOOKUP($AT188&amp;"|"&amp;$CU188,LocTable,8,FALSE)+($BI188-$CU188)),$BI188-LockAFF)))</f>
        <v/>
      </c>
      <c r="CA188" s="89">
        <f>IF($BZ188="","",$BI188-$BZ188)</f>
        <v/>
      </c>
      <c r="CB188" s="84">
        <f>IF(OR(NOT(AND($A188&lt;&gt;"",$C188&lt;&gt;"DOOR ONLY")),$BI188=""),"",IF(($BI188+IF(N($P188)&gt;0,$P188+FaceW,0))&lt;=90,3,IF(($BI188+IF(N($P188)&gt;0,$P188+FaceW,0))&lt;=114,4,5)))</f>
        <v/>
      </c>
      <c r="CC188" s="84">
        <f>IF($CB188="","",$CB188*(2+IF(N($Q188)&gt;0,IF($R188="LR",2,1),0)))</f>
        <v/>
      </c>
      <c r="CD188" s="84">
        <f>IF($CB188="","",(2+IF(N($Q188)&gt;0,IF($R188="LR",2,1),0)))</f>
        <v/>
      </c>
      <c r="CE188" s="84">
        <f>IF(N($BJ188)=0,"",IF(OR($AL188="",$AL188="FLUSH"),"FLUSH",IFERROR(LEFT($AL188,FIND("-",$AL188)-1),LEFT($AL188,2))))</f>
        <v/>
      </c>
      <c r="CF188" s="84">
        <f>IF($CE188="","",IFERROR(VALUE(MID($AL188,FIND("-",$AL188)+1,FIND(CHAR(34)&amp;"x",$AL188)-FIND("-",$AL188)-1)),0))</f>
        <v/>
      </c>
      <c r="CG188" s="84">
        <f>IF($CE188="","",IFERROR(VALUE(MID($AL188,FIND(CHAR(34)&amp;"x",$AL188)+2,FIND(CHAR(34),$AL188,FIND(CHAR(34)&amp;"x",$AL188)+2)-FIND(CHAR(34)&amp;"x",$AL188)-2)),0))</f>
        <v/>
      </c>
      <c r="CH188" s="90">
        <f>IF(OR($A188="",$H188="",$H188="NO LAB"),0,IFERROR(VALUE(LEFT($H188,FIND(" ",$H188)-1)),0))</f>
        <v/>
      </c>
      <c r="CI188" s="91">
        <f>IF(OR($A188="",$I188="",$I188="NON-RATED",N($J188)=0),"",IFERROR(VLOOKUP($I188&amp;"|"&amp;$J188,IBC,2,FALSE),"?"))</f>
        <v/>
      </c>
      <c r="CJ188" s="85">
        <f>IF(NOT(AND($A188&lt;&gt;"",$C188&lt;&gt;"DOOR ONLY")),"",TRIM(IFERROR(VLOOKUP($U188,CODES,2,FALSE),"")&amp;" "&amp;$BG188&amp;" "&amp;IFERROR(VLOOKUP($Z188,CODES,2,FALSE),"")&amp;" "&amp;IFERROR(VLOOKUP($X188,CODES,2,FALSE),"")&amp;" "&amp;IFERROR(VLOOKUP($S188,CODES,2,FALSE),"")&amp;IF(N($P188)&gt;0," w/TRANSOM "&amp;$P188&amp;CHAR(34),"")&amp;IF(N($Q188)&gt;0," w/SIDELITE "&amp;$Q188&amp;CHAR(34)&amp;" "&amp;IF($R188="","R",$R188),"")&amp;IF($Y188="","  |  "," | "&amp;IFERROR(VLOOKUP($Y188,CODES,2,FALSE),"")&amp;" | ")&amp;IFERROR(VLOOKUP($AC188,CODES,2,FALSE),"")&amp;" "&amp;IFERROR(VLOOKUP($AD188,CODES,2,FALSE),"")&amp;IF(OR($AE188="",$AE188="-"),""," "&amp;$AE188)&amp;IF(OR($AF188="",$AF188="-"),""," "&amp;$AF188)&amp;IF($AB188="Y"," 4"&amp;CHAR(34)&amp;" HEAD","")&amp;" "&amp;IFERROR(VLOOKUP($H188,CODES,2,FALSE),"")&amp;IF($CT188," | LOC "&amp;$CY188,"")))</f>
        <v/>
      </c>
      <c r="CK188" s="85">
        <f>IF(NOT(AND($A188&lt;&gt;"",N($BJ188)&gt;0)),"",TRIM(IFERROR(VLOOKUP($AH188,CODES,2,FALSE),"")&amp;IF($AI188=""," "," "&amp;$AI188&amp;"GA ")&amp;$BG188&amp;" "&amp;IF($AN188="",IFERROR(VLOOKUP($Z188,CODES,2,FALSE),""),IFERROR(VLOOKUP($AN188,CODES,2,FALSE),""))&amp;IF($BJ188=2," PAIR","")&amp;" DOOR | "&amp;IF($AL188="","?",$AL188)&amp;" | "&amp;IF($AO188="",IFERROR(VLOOKUP($AC188,CODES,2,FALSE),""),IFERROR(VLOOKUP($AO188,CODES,2,FALSE),""))&amp;" "&amp;IFERROR(VLOOKUP($AP188,CODES,2,FALSE),"")&amp;IF(OR($AQ188="",$AQ188="-"),""," SEAM "&amp;$AQ188)&amp;IF($AR188="Y"," ASTRAGAL","")&amp;IF($AJ188=""," "," "&amp;$AJ188)&amp;IF($AK188=""," "," "&amp;$AK188)&amp;IF(OR($AT188="",$AT188="ANSI/SDI",$AT188="CUSTOM LOC"),""," "&amp;$AT188)&amp;IF($AM188=""," "," SERIES "&amp;$AM188)&amp;" "&amp;IFERROR(VLOOKUP($H188,CODES,2,FALSE),"")&amp;IF($CT188," | LOC "&amp;$CZ188,"")))</f>
        <v/>
      </c>
      <c r="CL188" s="84">
        <f>IF(CP188="","",IF(COUNTIF($CP$6:CP188,CP188)=1,MAX($CL$5:CL187)+1,INDEX($CL$5:CL187,MATCH(CP188,$CP$5:CP187,0))))</f>
        <v/>
      </c>
      <c r="CM188" s="84">
        <f>IF(NOT(AND($A188&lt;&gt;"",$C188&lt;&gt;"DOOR ONLY")),"",MAX($CM$5:CM187)+1)</f>
        <v/>
      </c>
      <c r="CN188" s="84">
        <f>IF(NOT(AND($A188&lt;&gt;"",N($BJ188)&gt;0)),"",MAX($CN$5:CN187)+1)</f>
        <v/>
      </c>
      <c r="CO188" s="84">
        <f>IF($A188="","",MAX($CO$5:CO187)+1)</f>
        <v/>
      </c>
      <c r="CP188" s="84">
        <f>IF(OR($A188="",$BH188="",$BI188=""),"",$BG188&amp;"|"&amp;$O188&amp;"|"&amp;$AL188&amp;"|"&amp;$S188&amp;"|"&amp;$P188&amp;"|"&amp;$Q188&amp;$R188&amp;"|"&amp;$C188&amp;"|"&amp;$AB188)</f>
        <v/>
      </c>
      <c r="CQ188" s="84">
        <f>N($BS188)</f>
        <v/>
      </c>
      <c r="CR188" s="84">
        <f>IF(N($AU188)&gt;0,N($AU188),4.5)</f>
        <v/>
      </c>
      <c r="CS188" s="84">
        <f>OR($A188="",$BI188="",$S188="BL",AND($C188="FRAME ONLY",OR($AC188="",$AC188="BLK")))</f>
        <v/>
      </c>
      <c r="CT188" s="84">
        <f>AND(NOT($CS188),OR($AT188="CUSTOM LOC",N($AW188)+N($AX188)+N($AY188)+N($AZ188)+N($BA188)&gt;0))</f>
        <v/>
      </c>
      <c r="CU188" s="84">
        <f>IF($BI188="","",IF($BI188&lt;=80,80,IF($BI188&lt;=84,84,96)))</f>
        <v/>
      </c>
      <c r="CV188" s="84">
        <f>ISNUMBER(MATCH($AT188&amp;"|80",LocKeys,0))</f>
        <v/>
      </c>
      <c r="CW188" s="86">
        <f>IF($CS188,"",IF($CV188,VLOOKUP($AT188&amp;"|"&amp;$CU188,LocTable,4,FALSE),5))</f>
        <v/>
      </c>
      <c r="CX188" s="86">
        <f>IF($CS188,"",IF($CV188,IF(OR($BI188=$CU188,AND($BI188&lt;$CU188,$BI188-IF(N(VLOOKUP($AT188&amp;"|"&amp;$CU188,LocTable,7,FALSE))&gt;0,VLOOKUP($AT188&amp;"|"&amp;$CU188,LocTable,7,FALSE),VLOOKUP($AT188&amp;"|"&amp;$CU188,LocTable,6,FALSE))-$CR188-0.75&gt;=2.125)),IF(N(VLOOKUP($AT188&amp;"|"&amp;$CU188,LocTable,7,FALSE))&gt;0,VLOOKUP($AT188&amp;"|"&amp;$CU188,LocTable,7,FALSE),VLOOKUP($AT188&amp;"|"&amp;$CU188,LocTable,6,FALSE)),$BI188-($CU188-IF(N(VLOOKUP($AT188&amp;"|"&amp;$CU188,LocTable,7,FALSE))&gt;0,VLOOKUP($AT188&amp;"|"&amp;$CU188,LocTable,7,FALSE),VLOOKUP($AT188&amp;"|"&amp;$CU188,LocTable,6,FALSE)))),$BI188-10-$CR188))</f>
        <v/>
      </c>
      <c r="CY188" s="85">
        <f>IF($CS188,"",TRIM(IF(ISNUMBER($BU188),"A "&amp;TRIM(TEXT($BU188,"# ?/??"))&amp;CHAR(34)&amp;"  ","")&amp;IF(ISNUMBER($BV188),"B "&amp;TRIM(TEXT($BV188,"# ?/??"))&amp;CHAR(34)&amp;"  ","")&amp;IF(ISNUMBER($BW188),"C "&amp;TRIM(TEXT($BW188,"# ?/??"))&amp;CHAR(34)&amp;"  ","")&amp;IF(ISNUMBER($BX188),"D "&amp;TRIM(TEXT($BX188,"# ?/??"))&amp;CHAR(34)&amp;"  ","")&amp;IF(ISNUMBER($BY188),"F "&amp;TRIM(TEXT($BY188,"# ?/??"))&amp;CHAR(34)&amp;"  ","")&amp;IF(ISNUMBER($BZ188),"E "&amp;TRIM(TEXT($BZ188,"# ?/??"))&amp;CHAR(34)&amp;"  ","")))</f>
        <v/>
      </c>
      <c r="CZ188" s="85">
        <f>IF(OR($CS188,N($BJ188)=0),"",TRIM(IF(ISNUMBER($BU188),"A "&amp;TRIM(TEXT($BU188-HeadClr,"# ?/??"))&amp;CHAR(34)&amp;"  ","")&amp;IF(ISNUMBER($BV188),"B "&amp;TRIM(TEXT($BV188-HeadClr,"# ?/??"))&amp;CHAR(34)&amp;"  ","")&amp;IF(ISNUMBER($BW188),"C "&amp;TRIM(TEXT($BW188-HeadClr,"# ?/??"))&amp;CHAR(34)&amp;"  ","")&amp;IF(ISNUMBER($BX188),"D "&amp;TRIM(TEXT($BX188-HeadClr,"# ?/??"))&amp;CHAR(34)&amp;"  ","")&amp;IF(ISNUMBER($BY188),"F "&amp;TRIM(TEXT($BY188-HeadClr,"# ?/??"))&amp;CHAR(34)&amp;"  ","")&amp;IF(ISNUMBER($BZ188),"E "&amp;TRIM(TEXT($BZ188-HeadClr,"# ?/??"))&amp;CHAR(34)&amp;"  ","")))</f>
        <v/>
      </c>
      <c r="DA188" s="84">
        <f>IF($A188="","",IF($AN188="",IFERROR(VLOOKUP($Z188,CODES,2,FALSE),""),IFERROR(VLOOKUP($AN188,CODES,2,FALSE),"")))</f>
        <v/>
      </c>
      <c r="DB188" s="84">
        <f>IF($A188="","",IF($O188="Y","PR",IF(OR($Z188="L",$Z188="RR",LEFT($Z188,2)="L-",LEFT($Z188,3)="RR-"),"LH","RH")))</f>
        <v/>
      </c>
      <c r="DC188" s="84">
        <f>IF($A188="","","S.HM"&amp;IF(OR($C188="DOOR ONLY",$X188&lt;&gt;"KD"),"MASONRY","DRYWALL")&amp;IF($C188="DOOR ONLY","",$U188)&amp;IF(AND($C188&lt;&gt;"FRAME ONLY",OR(LEFT($AH188,3)="OAK",LEFT($AH188,3)="BIR",LEFT($AH188,3)="MAP",$AH188="PC",$AH188="MC",$AH188="SCLC",$AH188="P-LAM")),"WD","HM")&amp;"1.75")</f>
        <v/>
      </c>
      <c r="DD188" s="84">
        <f>IF($CJ188="","",IF($O188="Y",$CJ188,SUBSTITUTE($CJ188,$BG188&amp;" "&amp;IFERROR(VLOOKUP($Z188,CODES,2,FALSE),"")&amp;" ",$BG188&amp;" ")))</f>
        <v/>
      </c>
      <c r="DE188" s="84">
        <f>IF($CK188="","",IF($O188="Y",$CK188,SUBSTITUTE($CK188,$BG188&amp;" "&amp;IF($AN188="",IFERROR(VLOOKUP($Z188,CODES,2,FALSE),""),IFERROR(VLOOKUP($AN188,CODES,2,FALSE),""))&amp;" ",$BG188&amp;" ")))</f>
        <v/>
      </c>
      <c r="DF188" s="84">
        <f>IF($CJ188="","",$DC188&amp;"|"&amp;$DD188&amp;"|"&amp;$DB188&amp;"|"&amp;$AT188&amp;"|"&amp;$V188&amp;"|"&amp;$Y188&amp;"|"&amp;$AB188)</f>
        <v/>
      </c>
      <c r="DG188" s="84">
        <f>IF(DF188="","",IF(COUNTIF($DF$6:DF188,DF188)=1,MAX($DG$5:DG187)+1,INDEX($DG$5:DG187,MATCH(DF188,$DF$5:DF187,0))))</f>
        <v/>
      </c>
      <c r="DH188" s="84">
        <f>IF($CK188="","",$DC188&amp;"|"&amp;$DE188&amp;"|"&amp;$AI188&amp;"|"&amp;$BK188&amp;"|"&amp;$BL188)</f>
        <v/>
      </c>
      <c r="DI188" s="84">
        <f>IF(DH188="","",IF(COUNTIF($DH$6:DH188,DH188)=1,MAX($DI$5:DI187)+1,INDEX($DI$5:DI187,MATCH(DH188,$DH$5:DH187,0))))</f>
        <v/>
      </c>
      <c r="DJ188" s="84">
        <f>IF($A188="","",IF($B188="","qty, ","")&amp;IF($C188="","scope, ","")&amp;IF(OR($K188="",$M188=""),"size, ","")&amp;IF(AND($A188&lt;&gt;"",$C188&lt;&gt;"DOOR ONLY"),IF($U188="","jamb depth, ","")&amp;IF($X188="","construction, ","")&amp;IF($Y188="","anchor, ","")&amp;IF($S188="","frame type, ",""),"")&amp;IF(AND(N($BJ188)&gt;0,$Z188=""),"hand, ","")&amp;IF(N($BJ188)&gt;0,IF($AH188="","door material, ","")&amp;IF($AL188="","face type, ","")&amp;IF($AP188="","lock prep, ","")&amp;IF(AND($AO188="",$AC188=""),"hinge prep, ",""),"")&amp;IF(AND($CH188&gt;0,$AH188="FRP"),"FRP cannot carry a label, ","")&amp;IF(AND($O188="Y",OR($Z188="L",$Z188="R",$Z188="LR",$Z188="RR")),"pair marked but hand is single, ","")&amp;IF(AND($O188&lt;&gt;"Y",OR($Z188="PR",AND(LEN($Z188)&gt;1,ISNUMBER(SEARCH("-",$Z188))))),"pair hand on a single door, ","")&amp;IF(AND(ISNUMBER($CI188),$CH188&lt;N($CI188)),"wall needs a "&amp;$CI188&amp;" min door, ","")&amp;IF(AND($CH188&gt;=180,AND(OR($CE188="FG",$CE188="HG",$CE188="FNV",$CE188="FV"),N($CF188)*N($CG188)&gt;100)),"180 min lite over 100 sq in, ","")&amp;IF(N($BK188)&gt;48,"leaf wider than 4'-0"&amp;CHAR(34)&amp;", ","")&amp;IF(AND($CT188,COUNT($AW188:$AZ188)=0,$CQ188&gt;0),"CUSTOM LOC with no locations typed, ",""))</f>
        <v/>
      </c>
      <c r="DK188" s="84">
        <f>IF($A188="","",IF(AND($CH188&gt;0,AND($A188&lt;&gt;"",$C188&lt;&gt;"DOOR ONLY"),$X188="KD",$E188="EXTERIOR"),"KD label on an exterior opening, ","")&amp;IF(AND($E188="EXTERIOR",OR(AND(AND($A188&lt;&gt;"",$C188&lt;&gt;"DOOR ONLY"),$W188="CR"),AND(N($BJ188)&gt;0,$AH188="CR"))),"exterior in CR steel (G9?), ","")&amp;IF(AND(ISNUMBER($BQ188),N($BQ188)&lt;32),"clear width ~"&amp;TEXT($BQ188,"0.0")&amp;CHAR(34)&amp;" under 32"&amp;CHAR(34)&amp;" (ADA), ","")&amp;IF(AND($CH188=90,AND(OR($CE188="FG",$CE188="HG",$CE188="FNV",$CE188="FV"),N($CF188)*N($CG188)&gt;100)),"90 min lite over 100 sq in (stair/exit), ","")&amp;IF(AND($CH188&gt;0,AND($A188&lt;&gt;"",$C188&lt;&gt;"DOOR ONLY"),OR($AF188="",$AF188="-")),"rated: closer reinf.?, ","")&amp;IF(OR($I188="CORRIDOR",$I188="SMOKE BARRIER"),"S label + smoke gasketing, ","")&amp;IF($CI188="?","wall type/hr not in IBC table, ","")&amp;IF(AND(N($BJ188)&gt;0,$BB188=""),"no hardware set, ","")&amp;IF(AND($BB188&lt;&gt;"",ISNA(MATCH($BB188&amp;"",HWSets,0))),"set "&amp;$BB188&amp;" not on HW Sets, ","")&amp;IF(N($BL188)&gt;96,"leaf over 8'-0"&amp;CHAR(34)&amp;" - check listing, ","")&amp;IF(AND($CT188,COUNT($AW188:$AZ188)&gt;0,COUNT($AW188:$AZ188)&lt;&gt;$CQ188),COUNT($AW188:$AZ188)&amp;" custom hinges typed, "&amp;$CQ188&amp;" expected, ","")&amp;IF(AND(ISNUMBER($CA188),OR(N($CA188)&lt;34,N($CA188)&gt;48)),"lock "&amp;TEXT($CA188,"0.0")&amp;CHAR(34)&amp;" AFF outside 34-48"&amp;CHAR(34)&amp;" (ADA), ","")&amp;IF(AND(ISNUMBER($AV188),ISNUMBER($BL188),N($AV188)&lt;IF(N($BL188)&lt;=60,2,IF(N($BL188)&lt;=90,3,IF(N($BL188)&lt;=120,4,5)))),"fewer hinges than standard, ",""))</f>
        <v/>
      </c>
    </row>
    <row r="189" ht="15" customHeight="1">
      <c r="A189" s="77" t="n"/>
      <c r="B189" s="78" t="n"/>
      <c r="C189" s="78" t="n"/>
      <c r="D189" s="78" t="n"/>
      <c r="E189" s="78" t="n"/>
      <c r="F189" s="78" t="n"/>
      <c r="G189" s="78" t="n"/>
      <c r="H189" s="78" t="n"/>
      <c r="I189" s="78" t="n"/>
      <c r="J189" s="78" t="n"/>
      <c r="K189" s="78" t="n"/>
      <c r="L189" s="78" t="n"/>
      <c r="M189" s="78" t="n"/>
      <c r="N189" s="78" t="n"/>
      <c r="O189" s="78" t="n"/>
      <c r="P189" s="78" t="n"/>
      <c r="Q189" s="78" t="n"/>
      <c r="R189" s="78" t="n"/>
      <c r="S189" s="79" t="n"/>
      <c r="T189" s="79" t="n"/>
      <c r="U189" s="79" t="n"/>
      <c r="V189" s="79" t="n"/>
      <c r="W189" s="79" t="n"/>
      <c r="X189" s="79" t="n"/>
      <c r="Y189" s="79" t="n"/>
      <c r="Z189" s="79" t="n"/>
      <c r="AA189" s="79" t="n"/>
      <c r="AB189" s="79" t="n"/>
      <c r="AC189" s="79" t="n"/>
      <c r="AD189" s="79" t="n"/>
      <c r="AE189" s="79" t="n"/>
      <c r="AF189" s="79" t="n"/>
      <c r="AG189" s="79" t="n"/>
      <c r="AH189" s="80" t="n"/>
      <c r="AI189" s="80" t="n"/>
      <c r="AJ189" s="80" t="n"/>
      <c r="AK189" s="80" t="n"/>
      <c r="AL189" s="80" t="n"/>
      <c r="AM189" s="80" t="n"/>
      <c r="AN189" s="80" t="n"/>
      <c r="AO189" s="80" t="n"/>
      <c r="AP189" s="80" t="n"/>
      <c r="AQ189" s="80" t="n"/>
      <c r="AR189" s="80" t="n"/>
      <c r="AS189" s="80" t="n"/>
      <c r="AT189" s="81" t="n"/>
      <c r="AU189" s="81" t="n"/>
      <c r="AV189" s="81" t="n"/>
      <c r="AW189" s="82" t="n"/>
      <c r="AX189" s="82" t="n"/>
      <c r="AY189" s="82" t="n"/>
      <c r="AZ189" s="82" t="n"/>
      <c r="BA189" s="82" t="n"/>
      <c r="BB189" s="83" t="n"/>
      <c r="BC189" s="83" t="n"/>
      <c r="BD189" s="84">
        <f>IF($A189="","",IF($DJ189&lt;&gt;"","FIX",IF($DK189&lt;&gt;"","CHECK","OK")))</f>
        <v/>
      </c>
      <c r="BE189" s="85">
        <f>IF($A189="","",IF($DJ189&lt;&gt;"","FIX: "&amp;LEFT($DJ189,LEN($DJ189)-2)&amp;IF($DK189&lt;&gt;"","  ·  ",""),"")&amp;IF($DK189&lt;&gt;"","CHECK: "&amp;LEFT($DK189,LEN($DK189)-2),""))</f>
        <v/>
      </c>
      <c r="BF189" s="84">
        <f>IF(OR($A189="",$K189=""),"",$K189&amp;"'-"&amp;N($L189)&amp;CHAR(34)&amp;" x "&amp;$M189&amp;"'-"&amp;N($N189)&amp;CHAR(34))</f>
        <v/>
      </c>
      <c r="BG189" s="84">
        <f>IF(OR($A189="",$K189=""),"",$K189&amp;N($L189)&amp;$M189&amp;N($N189))</f>
        <v/>
      </c>
      <c r="BH189" s="84">
        <f>IF(OR($A189="",$K189=""),"",$K189*12+N($L189))</f>
        <v/>
      </c>
      <c r="BI189" s="84">
        <f>IF(OR($A189="",$M189=""),"",$M189*12+N($N189))</f>
        <v/>
      </c>
      <c r="BJ189" s="84">
        <f>IF($A189="","",IF(OR($C189="FRAME ONLY",$S189="BL"),0,IF($O189="Y",2,1)))</f>
        <v/>
      </c>
      <c r="BK189" s="86">
        <f>IF(OR(N($BJ189)=0,$BH189=""),"",($BH189-2*EdgeClr-IF($BJ189=2,MeetClr,0))/$BJ189)</f>
        <v/>
      </c>
      <c r="BL189" s="86">
        <f>IF(OR(N($BJ189)=0,$BI189=""),"",$BI189-HeadClr-Undercut)</f>
        <v/>
      </c>
      <c r="BM189" s="86">
        <f>IF($BH189="","",$BH189+2*FaceW+IF(N($Q189)&gt;0,($Q189+FaceW)*IF($R189="LR",2,1),0))</f>
        <v/>
      </c>
      <c r="BN189" s="86">
        <f>IF($BI189="","",$BI189+IF($AB189="Y",4,FaceW)+IF(N($P189)&gt;0,$P189+FaceW,0)+IF(OR($S189="4F",$S189="BL"),FaceW,0))</f>
        <v/>
      </c>
      <c r="BO189" s="86">
        <f>IF($BM189="","",$BM189+2*ROSide)</f>
        <v/>
      </c>
      <c r="BP189" s="86">
        <f>IF($BN189="","",$BN189+ROTop)</f>
        <v/>
      </c>
      <c r="BQ189" s="87">
        <f>IF(OR(N($BJ189)=0,$BH189=""),"",$BH189/$BJ189-ClearDeduct)</f>
        <v/>
      </c>
      <c r="BR189" s="84">
        <f>IF(N($CH189)=0,"",IF($CH189&gt;=180,"A · 3 HR",IF($CH189&gt;=90,"B · 1-1/2 HR",IF($CH189&gt;=60,"B · 1 HR",IF($CH189&gt;=45,"C · 3/4 HR","20 MIN")))))&amp;IF(AND(N($CH189)&gt;0,OR($I189="CORRIDOR",$I189="SMOKE BARRIER"))," · S","")</f>
        <v/>
      </c>
      <c r="BS189" s="84">
        <f>IF($CS189,"",IF($AV189&lt;&gt;"",$AV189,IF(OR($AC189="HGC",$AO189="HGC"),"CONT",IF(($BI189-HeadClr-Undercut)&lt;=60,2,IF(($BI189-HeadClr-Undercut)&lt;=90,3,IF(($BI189-HeadClr-Undercut)&lt;=120,4,5))))))</f>
        <v/>
      </c>
      <c r="BT189" s="84">
        <f>IF($CS189,"",IF($CT189,"CUSTOM (typed)",IF($CV189,$AT189&amp;" "&amp;$CU189&amp;CHAR(34)&amp;IF($CU189&lt;&gt;$BI189,IF(AND($BI189&lt;$CU189,$BI189-IF(N(VLOOKUP($AT189&amp;"|"&amp;$CU189,LocTable,7,FALSE))&gt;0,VLOOKUP($AT189&amp;"|"&amp;$CU189,LocTable,7,FALSE),VLOOKUP($AT189&amp;"|"&amp;$CU189,LocTable,6,FALSE))-$CR189-0.75&gt;=2.125)," cut down"," adj."),""),"ANSI/SDI A250.6")))</f>
        <v/>
      </c>
      <c r="BU189" s="88">
        <f>IF($CS189,"",IF($CT189,IF(N($AW189)&gt;0,N($AW189),""),IF(1&gt;$CQ189,"",IF($CQ189=1,$CW189,$CW189+($CX189-$CW189)*0/($CQ189-1)))))</f>
        <v/>
      </c>
      <c r="BV189" s="88">
        <f>IF($CS189,"",IF($CT189,IF(N($AX189)&gt;0,N($AX189),""),IF(2&gt;$CQ189,"",IF($CQ189=1,$CW189,$CW189+($CX189-$CW189)*1/($CQ189-1)))))</f>
        <v/>
      </c>
      <c r="BW189" s="88">
        <f>IF($CS189,"",IF($CT189,IF(N($AY189)&gt;0,N($AY189),""),IF(3&gt;$CQ189,"",IF($CQ189=1,$CW189,$CW189+($CX189-$CW189)*2/($CQ189-1)))))</f>
        <v/>
      </c>
      <c r="BX189" s="88">
        <f>IF($CS189,"",IF($CT189,IF(N($AZ189)&gt;0,N($AZ189),""),IF(4&gt;$CQ189,"",IF($CQ189=1,$CW189,$CW189+($CX189-$CW189)*3/($CQ189-1)))))</f>
        <v/>
      </c>
      <c r="BY189" s="88">
        <f>IF($CS189,"",IF($CT189,"",IF(5&gt;$CQ189,"",IF($CQ189=1,$CW189,$CW189+($CX189-$CW189)*4/($CQ189-1)))))</f>
        <v/>
      </c>
      <c r="BZ189" s="88">
        <f>IF(OR($CS189,$AP189="-",AND($AP189="",$AD189="")),"",IF(N($BA189)&gt;0,N($BA189),IF($CV189,IF(AND($BI189&lt;$CU189,$BI189-IF(N(VLOOKUP($AT189&amp;"|"&amp;$CU189,LocTable,7,FALSE))&gt;0,VLOOKUP($AT189&amp;"|"&amp;$CU189,LocTable,7,FALSE),VLOOKUP($AT189&amp;"|"&amp;$CU189,LocTable,6,FALSE))-$CR189-0.75&gt;=2.125),VLOOKUP($AT189&amp;"|"&amp;$CU189,LocTable,8,FALSE),VLOOKUP($AT189&amp;"|"&amp;$CU189,LocTable,8,FALSE)+($BI189-$CU189)),$BI189-LockAFF)))</f>
        <v/>
      </c>
      <c r="CA189" s="89">
        <f>IF($BZ189="","",$BI189-$BZ189)</f>
        <v/>
      </c>
      <c r="CB189" s="84">
        <f>IF(OR(NOT(AND($A189&lt;&gt;"",$C189&lt;&gt;"DOOR ONLY")),$BI189=""),"",IF(($BI189+IF(N($P189)&gt;0,$P189+FaceW,0))&lt;=90,3,IF(($BI189+IF(N($P189)&gt;0,$P189+FaceW,0))&lt;=114,4,5)))</f>
        <v/>
      </c>
      <c r="CC189" s="84">
        <f>IF($CB189="","",$CB189*(2+IF(N($Q189)&gt;0,IF($R189="LR",2,1),0)))</f>
        <v/>
      </c>
      <c r="CD189" s="84">
        <f>IF($CB189="","",(2+IF(N($Q189)&gt;0,IF($R189="LR",2,1),0)))</f>
        <v/>
      </c>
      <c r="CE189" s="84">
        <f>IF(N($BJ189)=0,"",IF(OR($AL189="",$AL189="FLUSH"),"FLUSH",IFERROR(LEFT($AL189,FIND("-",$AL189)-1),LEFT($AL189,2))))</f>
        <v/>
      </c>
      <c r="CF189" s="84">
        <f>IF($CE189="","",IFERROR(VALUE(MID($AL189,FIND("-",$AL189)+1,FIND(CHAR(34)&amp;"x",$AL189)-FIND("-",$AL189)-1)),0))</f>
        <v/>
      </c>
      <c r="CG189" s="84">
        <f>IF($CE189="","",IFERROR(VALUE(MID($AL189,FIND(CHAR(34)&amp;"x",$AL189)+2,FIND(CHAR(34),$AL189,FIND(CHAR(34)&amp;"x",$AL189)+2)-FIND(CHAR(34)&amp;"x",$AL189)-2)),0))</f>
        <v/>
      </c>
      <c r="CH189" s="90">
        <f>IF(OR($A189="",$H189="",$H189="NO LAB"),0,IFERROR(VALUE(LEFT($H189,FIND(" ",$H189)-1)),0))</f>
        <v/>
      </c>
      <c r="CI189" s="91">
        <f>IF(OR($A189="",$I189="",$I189="NON-RATED",N($J189)=0),"",IFERROR(VLOOKUP($I189&amp;"|"&amp;$J189,IBC,2,FALSE),"?"))</f>
        <v/>
      </c>
      <c r="CJ189" s="85">
        <f>IF(NOT(AND($A189&lt;&gt;"",$C189&lt;&gt;"DOOR ONLY")),"",TRIM(IFERROR(VLOOKUP($U189,CODES,2,FALSE),"")&amp;" "&amp;$BG189&amp;" "&amp;IFERROR(VLOOKUP($Z189,CODES,2,FALSE),"")&amp;" "&amp;IFERROR(VLOOKUP($X189,CODES,2,FALSE),"")&amp;" "&amp;IFERROR(VLOOKUP($S189,CODES,2,FALSE),"")&amp;IF(N($P189)&gt;0," w/TRANSOM "&amp;$P189&amp;CHAR(34),"")&amp;IF(N($Q189)&gt;0," w/SIDELITE "&amp;$Q189&amp;CHAR(34)&amp;" "&amp;IF($R189="","R",$R189),"")&amp;IF($Y189="","  |  "," | "&amp;IFERROR(VLOOKUP($Y189,CODES,2,FALSE),"")&amp;" | ")&amp;IFERROR(VLOOKUP($AC189,CODES,2,FALSE),"")&amp;" "&amp;IFERROR(VLOOKUP($AD189,CODES,2,FALSE),"")&amp;IF(OR($AE189="",$AE189="-"),""," "&amp;$AE189)&amp;IF(OR($AF189="",$AF189="-"),""," "&amp;$AF189)&amp;IF($AB189="Y"," 4"&amp;CHAR(34)&amp;" HEAD","")&amp;" "&amp;IFERROR(VLOOKUP($H189,CODES,2,FALSE),"")&amp;IF($CT189," | LOC "&amp;$CY189,"")))</f>
        <v/>
      </c>
      <c r="CK189" s="85">
        <f>IF(NOT(AND($A189&lt;&gt;"",N($BJ189)&gt;0)),"",TRIM(IFERROR(VLOOKUP($AH189,CODES,2,FALSE),"")&amp;IF($AI189=""," "," "&amp;$AI189&amp;"GA ")&amp;$BG189&amp;" "&amp;IF($AN189="",IFERROR(VLOOKUP($Z189,CODES,2,FALSE),""),IFERROR(VLOOKUP($AN189,CODES,2,FALSE),""))&amp;IF($BJ189=2," PAIR","")&amp;" DOOR | "&amp;IF($AL189="","?",$AL189)&amp;" | "&amp;IF($AO189="",IFERROR(VLOOKUP($AC189,CODES,2,FALSE),""),IFERROR(VLOOKUP($AO189,CODES,2,FALSE),""))&amp;" "&amp;IFERROR(VLOOKUP($AP189,CODES,2,FALSE),"")&amp;IF(OR($AQ189="",$AQ189="-"),""," SEAM "&amp;$AQ189)&amp;IF($AR189="Y"," ASTRAGAL","")&amp;IF($AJ189=""," "," "&amp;$AJ189)&amp;IF($AK189=""," "," "&amp;$AK189)&amp;IF(OR($AT189="",$AT189="ANSI/SDI",$AT189="CUSTOM LOC"),""," "&amp;$AT189)&amp;IF($AM189=""," "," SERIES "&amp;$AM189)&amp;" "&amp;IFERROR(VLOOKUP($H189,CODES,2,FALSE),"")&amp;IF($CT189," | LOC "&amp;$CZ189,"")))</f>
        <v/>
      </c>
      <c r="CL189" s="84">
        <f>IF(CP189="","",IF(COUNTIF($CP$6:CP189,CP189)=1,MAX($CL$5:CL188)+1,INDEX($CL$5:CL188,MATCH(CP189,$CP$5:CP188,0))))</f>
        <v/>
      </c>
      <c r="CM189" s="84">
        <f>IF(NOT(AND($A189&lt;&gt;"",$C189&lt;&gt;"DOOR ONLY")),"",MAX($CM$5:CM188)+1)</f>
        <v/>
      </c>
      <c r="CN189" s="84">
        <f>IF(NOT(AND($A189&lt;&gt;"",N($BJ189)&gt;0)),"",MAX($CN$5:CN188)+1)</f>
        <v/>
      </c>
      <c r="CO189" s="84">
        <f>IF($A189="","",MAX($CO$5:CO188)+1)</f>
        <v/>
      </c>
      <c r="CP189" s="84">
        <f>IF(OR($A189="",$BH189="",$BI189=""),"",$BG189&amp;"|"&amp;$O189&amp;"|"&amp;$AL189&amp;"|"&amp;$S189&amp;"|"&amp;$P189&amp;"|"&amp;$Q189&amp;$R189&amp;"|"&amp;$C189&amp;"|"&amp;$AB189)</f>
        <v/>
      </c>
      <c r="CQ189" s="84">
        <f>N($BS189)</f>
        <v/>
      </c>
      <c r="CR189" s="84">
        <f>IF(N($AU189)&gt;0,N($AU189),4.5)</f>
        <v/>
      </c>
      <c r="CS189" s="84">
        <f>OR($A189="",$BI189="",$S189="BL",AND($C189="FRAME ONLY",OR($AC189="",$AC189="BLK")))</f>
        <v/>
      </c>
      <c r="CT189" s="84">
        <f>AND(NOT($CS189),OR($AT189="CUSTOM LOC",N($AW189)+N($AX189)+N($AY189)+N($AZ189)+N($BA189)&gt;0))</f>
        <v/>
      </c>
      <c r="CU189" s="84">
        <f>IF($BI189="","",IF($BI189&lt;=80,80,IF($BI189&lt;=84,84,96)))</f>
        <v/>
      </c>
      <c r="CV189" s="84">
        <f>ISNUMBER(MATCH($AT189&amp;"|80",LocKeys,0))</f>
        <v/>
      </c>
      <c r="CW189" s="86">
        <f>IF($CS189,"",IF($CV189,VLOOKUP($AT189&amp;"|"&amp;$CU189,LocTable,4,FALSE),5))</f>
        <v/>
      </c>
      <c r="CX189" s="86">
        <f>IF($CS189,"",IF($CV189,IF(OR($BI189=$CU189,AND($BI189&lt;$CU189,$BI189-IF(N(VLOOKUP($AT189&amp;"|"&amp;$CU189,LocTable,7,FALSE))&gt;0,VLOOKUP($AT189&amp;"|"&amp;$CU189,LocTable,7,FALSE),VLOOKUP($AT189&amp;"|"&amp;$CU189,LocTable,6,FALSE))-$CR189-0.75&gt;=2.125)),IF(N(VLOOKUP($AT189&amp;"|"&amp;$CU189,LocTable,7,FALSE))&gt;0,VLOOKUP($AT189&amp;"|"&amp;$CU189,LocTable,7,FALSE),VLOOKUP($AT189&amp;"|"&amp;$CU189,LocTable,6,FALSE)),$BI189-($CU189-IF(N(VLOOKUP($AT189&amp;"|"&amp;$CU189,LocTable,7,FALSE))&gt;0,VLOOKUP($AT189&amp;"|"&amp;$CU189,LocTable,7,FALSE),VLOOKUP($AT189&amp;"|"&amp;$CU189,LocTable,6,FALSE)))),$BI189-10-$CR189))</f>
        <v/>
      </c>
      <c r="CY189" s="85">
        <f>IF($CS189,"",TRIM(IF(ISNUMBER($BU189),"A "&amp;TRIM(TEXT($BU189,"# ?/??"))&amp;CHAR(34)&amp;"  ","")&amp;IF(ISNUMBER($BV189),"B "&amp;TRIM(TEXT($BV189,"# ?/??"))&amp;CHAR(34)&amp;"  ","")&amp;IF(ISNUMBER($BW189),"C "&amp;TRIM(TEXT($BW189,"# ?/??"))&amp;CHAR(34)&amp;"  ","")&amp;IF(ISNUMBER($BX189),"D "&amp;TRIM(TEXT($BX189,"# ?/??"))&amp;CHAR(34)&amp;"  ","")&amp;IF(ISNUMBER($BY189),"F "&amp;TRIM(TEXT($BY189,"# ?/??"))&amp;CHAR(34)&amp;"  ","")&amp;IF(ISNUMBER($BZ189),"E "&amp;TRIM(TEXT($BZ189,"# ?/??"))&amp;CHAR(34)&amp;"  ","")))</f>
        <v/>
      </c>
      <c r="CZ189" s="85">
        <f>IF(OR($CS189,N($BJ189)=0),"",TRIM(IF(ISNUMBER($BU189),"A "&amp;TRIM(TEXT($BU189-HeadClr,"# ?/??"))&amp;CHAR(34)&amp;"  ","")&amp;IF(ISNUMBER($BV189),"B "&amp;TRIM(TEXT($BV189-HeadClr,"# ?/??"))&amp;CHAR(34)&amp;"  ","")&amp;IF(ISNUMBER($BW189),"C "&amp;TRIM(TEXT($BW189-HeadClr,"# ?/??"))&amp;CHAR(34)&amp;"  ","")&amp;IF(ISNUMBER($BX189),"D "&amp;TRIM(TEXT($BX189-HeadClr,"# ?/??"))&amp;CHAR(34)&amp;"  ","")&amp;IF(ISNUMBER($BY189),"F "&amp;TRIM(TEXT($BY189-HeadClr,"# ?/??"))&amp;CHAR(34)&amp;"  ","")&amp;IF(ISNUMBER($BZ189),"E "&amp;TRIM(TEXT($BZ189-HeadClr,"# ?/??"))&amp;CHAR(34)&amp;"  ","")))</f>
        <v/>
      </c>
      <c r="DA189" s="84">
        <f>IF($A189="","",IF($AN189="",IFERROR(VLOOKUP($Z189,CODES,2,FALSE),""),IFERROR(VLOOKUP($AN189,CODES,2,FALSE),"")))</f>
        <v/>
      </c>
      <c r="DB189" s="84">
        <f>IF($A189="","",IF($O189="Y","PR",IF(OR($Z189="L",$Z189="RR",LEFT($Z189,2)="L-",LEFT($Z189,3)="RR-"),"LH","RH")))</f>
        <v/>
      </c>
      <c r="DC189" s="84">
        <f>IF($A189="","","S.HM"&amp;IF(OR($C189="DOOR ONLY",$X189&lt;&gt;"KD"),"MASONRY","DRYWALL")&amp;IF($C189="DOOR ONLY","",$U189)&amp;IF(AND($C189&lt;&gt;"FRAME ONLY",OR(LEFT($AH189,3)="OAK",LEFT($AH189,3)="BIR",LEFT($AH189,3)="MAP",$AH189="PC",$AH189="MC",$AH189="SCLC",$AH189="P-LAM")),"WD","HM")&amp;"1.75")</f>
        <v/>
      </c>
      <c r="DD189" s="84">
        <f>IF($CJ189="","",IF($O189="Y",$CJ189,SUBSTITUTE($CJ189,$BG189&amp;" "&amp;IFERROR(VLOOKUP($Z189,CODES,2,FALSE),"")&amp;" ",$BG189&amp;" ")))</f>
        <v/>
      </c>
      <c r="DE189" s="84">
        <f>IF($CK189="","",IF($O189="Y",$CK189,SUBSTITUTE($CK189,$BG189&amp;" "&amp;IF($AN189="",IFERROR(VLOOKUP($Z189,CODES,2,FALSE),""),IFERROR(VLOOKUP($AN189,CODES,2,FALSE),""))&amp;" ",$BG189&amp;" ")))</f>
        <v/>
      </c>
      <c r="DF189" s="84">
        <f>IF($CJ189="","",$DC189&amp;"|"&amp;$DD189&amp;"|"&amp;$DB189&amp;"|"&amp;$AT189&amp;"|"&amp;$V189&amp;"|"&amp;$Y189&amp;"|"&amp;$AB189)</f>
        <v/>
      </c>
      <c r="DG189" s="84">
        <f>IF(DF189="","",IF(COUNTIF($DF$6:DF189,DF189)=1,MAX($DG$5:DG188)+1,INDEX($DG$5:DG188,MATCH(DF189,$DF$5:DF188,0))))</f>
        <v/>
      </c>
      <c r="DH189" s="84">
        <f>IF($CK189="","",$DC189&amp;"|"&amp;$DE189&amp;"|"&amp;$AI189&amp;"|"&amp;$BK189&amp;"|"&amp;$BL189)</f>
        <v/>
      </c>
      <c r="DI189" s="84">
        <f>IF(DH189="","",IF(COUNTIF($DH$6:DH189,DH189)=1,MAX($DI$5:DI188)+1,INDEX($DI$5:DI188,MATCH(DH189,$DH$5:DH188,0))))</f>
        <v/>
      </c>
      <c r="DJ189" s="84">
        <f>IF($A189="","",IF($B189="","qty, ","")&amp;IF($C189="","scope, ","")&amp;IF(OR($K189="",$M189=""),"size, ","")&amp;IF(AND($A189&lt;&gt;"",$C189&lt;&gt;"DOOR ONLY"),IF($U189="","jamb depth, ","")&amp;IF($X189="","construction, ","")&amp;IF($Y189="","anchor, ","")&amp;IF($S189="","frame type, ",""),"")&amp;IF(AND(N($BJ189)&gt;0,$Z189=""),"hand, ","")&amp;IF(N($BJ189)&gt;0,IF($AH189="","door material, ","")&amp;IF($AL189="","face type, ","")&amp;IF($AP189="","lock prep, ","")&amp;IF(AND($AO189="",$AC189=""),"hinge prep, ",""),"")&amp;IF(AND($CH189&gt;0,$AH189="FRP"),"FRP cannot carry a label, ","")&amp;IF(AND($O189="Y",OR($Z189="L",$Z189="R",$Z189="LR",$Z189="RR")),"pair marked but hand is single, ","")&amp;IF(AND($O189&lt;&gt;"Y",OR($Z189="PR",AND(LEN($Z189)&gt;1,ISNUMBER(SEARCH("-",$Z189))))),"pair hand on a single door, ","")&amp;IF(AND(ISNUMBER($CI189),$CH189&lt;N($CI189)),"wall needs a "&amp;$CI189&amp;" min door, ","")&amp;IF(AND($CH189&gt;=180,AND(OR($CE189="FG",$CE189="HG",$CE189="FNV",$CE189="FV"),N($CF189)*N($CG189)&gt;100)),"180 min lite over 100 sq in, ","")&amp;IF(N($BK189)&gt;48,"leaf wider than 4'-0"&amp;CHAR(34)&amp;", ","")&amp;IF(AND($CT189,COUNT($AW189:$AZ189)=0,$CQ189&gt;0),"CUSTOM LOC with no locations typed, ",""))</f>
        <v/>
      </c>
      <c r="DK189" s="84">
        <f>IF($A189="","",IF(AND($CH189&gt;0,AND($A189&lt;&gt;"",$C189&lt;&gt;"DOOR ONLY"),$X189="KD",$E189="EXTERIOR"),"KD label on an exterior opening, ","")&amp;IF(AND($E189="EXTERIOR",OR(AND(AND($A189&lt;&gt;"",$C189&lt;&gt;"DOOR ONLY"),$W189="CR"),AND(N($BJ189)&gt;0,$AH189="CR"))),"exterior in CR steel (G9?), ","")&amp;IF(AND(ISNUMBER($BQ189),N($BQ189)&lt;32),"clear width ~"&amp;TEXT($BQ189,"0.0")&amp;CHAR(34)&amp;" under 32"&amp;CHAR(34)&amp;" (ADA), ","")&amp;IF(AND($CH189=90,AND(OR($CE189="FG",$CE189="HG",$CE189="FNV",$CE189="FV"),N($CF189)*N($CG189)&gt;100)),"90 min lite over 100 sq in (stair/exit), ","")&amp;IF(AND($CH189&gt;0,AND($A189&lt;&gt;"",$C189&lt;&gt;"DOOR ONLY"),OR($AF189="",$AF189="-")),"rated: closer reinf.?, ","")&amp;IF(OR($I189="CORRIDOR",$I189="SMOKE BARRIER"),"S label + smoke gasketing, ","")&amp;IF($CI189="?","wall type/hr not in IBC table, ","")&amp;IF(AND(N($BJ189)&gt;0,$BB189=""),"no hardware set, ","")&amp;IF(AND($BB189&lt;&gt;"",ISNA(MATCH($BB189&amp;"",HWSets,0))),"set "&amp;$BB189&amp;" not on HW Sets, ","")&amp;IF(N($BL189)&gt;96,"leaf over 8'-0"&amp;CHAR(34)&amp;" - check listing, ","")&amp;IF(AND($CT189,COUNT($AW189:$AZ189)&gt;0,COUNT($AW189:$AZ189)&lt;&gt;$CQ189),COUNT($AW189:$AZ189)&amp;" custom hinges typed, "&amp;$CQ189&amp;" expected, ","")&amp;IF(AND(ISNUMBER($CA189),OR(N($CA189)&lt;34,N($CA189)&gt;48)),"lock "&amp;TEXT($CA189,"0.0")&amp;CHAR(34)&amp;" AFF outside 34-48"&amp;CHAR(34)&amp;" (ADA), ","")&amp;IF(AND(ISNUMBER($AV189),ISNUMBER($BL189),N($AV189)&lt;IF(N($BL189)&lt;=60,2,IF(N($BL189)&lt;=90,3,IF(N($BL189)&lt;=120,4,5)))),"fewer hinges than standard, ",""))</f>
        <v/>
      </c>
    </row>
    <row r="190" ht="15" customHeight="1">
      <c r="A190" s="92" t="n"/>
      <c r="B190" s="93" t="n"/>
      <c r="C190" s="93" t="n"/>
      <c r="D190" s="93" t="n"/>
      <c r="E190" s="93" t="n"/>
      <c r="F190" s="93" t="n"/>
      <c r="G190" s="93" t="n"/>
      <c r="H190" s="93" t="n"/>
      <c r="I190" s="93" t="n"/>
      <c r="J190" s="93" t="n"/>
      <c r="K190" s="93" t="n"/>
      <c r="L190" s="93" t="n"/>
      <c r="M190" s="93" t="n"/>
      <c r="N190" s="93" t="n"/>
      <c r="O190" s="93" t="n"/>
      <c r="P190" s="93" t="n"/>
      <c r="Q190" s="93" t="n"/>
      <c r="R190" s="93" t="n"/>
      <c r="S190" s="94" t="n"/>
      <c r="T190" s="94" t="n"/>
      <c r="U190" s="94" t="n"/>
      <c r="V190" s="94" t="n"/>
      <c r="W190" s="94" t="n"/>
      <c r="X190" s="94" t="n"/>
      <c r="Y190" s="94" t="n"/>
      <c r="Z190" s="94" t="n"/>
      <c r="AA190" s="94" t="n"/>
      <c r="AB190" s="94" t="n"/>
      <c r="AC190" s="94" t="n"/>
      <c r="AD190" s="94" t="n"/>
      <c r="AE190" s="94" t="n"/>
      <c r="AF190" s="94" t="n"/>
      <c r="AG190" s="94" t="n"/>
      <c r="AH190" s="95" t="n"/>
      <c r="AI190" s="95" t="n"/>
      <c r="AJ190" s="95" t="n"/>
      <c r="AK190" s="95" t="n"/>
      <c r="AL190" s="95" t="n"/>
      <c r="AM190" s="95" t="n"/>
      <c r="AN190" s="95" t="n"/>
      <c r="AO190" s="95" t="n"/>
      <c r="AP190" s="95" t="n"/>
      <c r="AQ190" s="95" t="n"/>
      <c r="AR190" s="95" t="n"/>
      <c r="AS190" s="95" t="n"/>
      <c r="AT190" s="96" t="n"/>
      <c r="AU190" s="96" t="n"/>
      <c r="AV190" s="96" t="n"/>
      <c r="AW190" s="97" t="n"/>
      <c r="AX190" s="97" t="n"/>
      <c r="AY190" s="97" t="n"/>
      <c r="AZ190" s="97" t="n"/>
      <c r="BA190" s="97" t="n"/>
      <c r="BB190" s="98" t="n"/>
      <c r="BC190" s="98" t="n"/>
      <c r="BD190" s="99">
        <f>IF($A190="","",IF($DJ190&lt;&gt;"","FIX",IF($DK190&lt;&gt;"","CHECK","OK")))</f>
        <v/>
      </c>
      <c r="BE190" s="100">
        <f>IF($A190="","",IF($DJ190&lt;&gt;"","FIX: "&amp;LEFT($DJ190,LEN($DJ190)-2)&amp;IF($DK190&lt;&gt;"","  ·  ",""),"")&amp;IF($DK190&lt;&gt;"","CHECK: "&amp;LEFT($DK190,LEN($DK190)-2),""))</f>
        <v/>
      </c>
      <c r="BF190" s="99">
        <f>IF(OR($A190="",$K190=""),"",$K190&amp;"'-"&amp;N($L190)&amp;CHAR(34)&amp;" x "&amp;$M190&amp;"'-"&amp;N($N190)&amp;CHAR(34))</f>
        <v/>
      </c>
      <c r="BG190" s="99">
        <f>IF(OR($A190="",$K190=""),"",$K190&amp;N($L190)&amp;$M190&amp;N($N190))</f>
        <v/>
      </c>
      <c r="BH190" s="99">
        <f>IF(OR($A190="",$K190=""),"",$K190*12+N($L190))</f>
        <v/>
      </c>
      <c r="BI190" s="99">
        <f>IF(OR($A190="",$M190=""),"",$M190*12+N($N190))</f>
        <v/>
      </c>
      <c r="BJ190" s="99">
        <f>IF($A190="","",IF(OR($C190="FRAME ONLY",$S190="BL"),0,IF($O190="Y",2,1)))</f>
        <v/>
      </c>
      <c r="BK190" s="101">
        <f>IF(OR(N($BJ190)=0,$BH190=""),"",($BH190-2*EdgeClr-IF($BJ190=2,MeetClr,0))/$BJ190)</f>
        <v/>
      </c>
      <c r="BL190" s="101">
        <f>IF(OR(N($BJ190)=0,$BI190=""),"",$BI190-HeadClr-Undercut)</f>
        <v/>
      </c>
      <c r="BM190" s="101">
        <f>IF($BH190="","",$BH190+2*FaceW+IF(N($Q190)&gt;0,($Q190+FaceW)*IF($R190="LR",2,1),0))</f>
        <v/>
      </c>
      <c r="BN190" s="101">
        <f>IF($BI190="","",$BI190+IF($AB190="Y",4,FaceW)+IF(N($P190)&gt;0,$P190+FaceW,0)+IF(OR($S190="4F",$S190="BL"),FaceW,0))</f>
        <v/>
      </c>
      <c r="BO190" s="101">
        <f>IF($BM190="","",$BM190+2*ROSide)</f>
        <v/>
      </c>
      <c r="BP190" s="101">
        <f>IF($BN190="","",$BN190+ROTop)</f>
        <v/>
      </c>
      <c r="BQ190" s="102">
        <f>IF(OR(N($BJ190)=0,$BH190=""),"",$BH190/$BJ190-ClearDeduct)</f>
        <v/>
      </c>
      <c r="BR190" s="99">
        <f>IF(N($CH190)=0,"",IF($CH190&gt;=180,"A · 3 HR",IF($CH190&gt;=90,"B · 1-1/2 HR",IF($CH190&gt;=60,"B · 1 HR",IF($CH190&gt;=45,"C · 3/4 HR","20 MIN")))))&amp;IF(AND(N($CH190)&gt;0,OR($I190="CORRIDOR",$I190="SMOKE BARRIER"))," · S","")</f>
        <v/>
      </c>
      <c r="BS190" s="99">
        <f>IF($CS190,"",IF($AV190&lt;&gt;"",$AV190,IF(OR($AC190="HGC",$AO190="HGC"),"CONT",IF(($BI190-HeadClr-Undercut)&lt;=60,2,IF(($BI190-HeadClr-Undercut)&lt;=90,3,IF(($BI190-HeadClr-Undercut)&lt;=120,4,5))))))</f>
        <v/>
      </c>
      <c r="BT190" s="99">
        <f>IF($CS190,"",IF($CT190,"CUSTOM (typed)",IF($CV190,$AT190&amp;" "&amp;$CU190&amp;CHAR(34)&amp;IF($CU190&lt;&gt;$BI190,IF(AND($BI190&lt;$CU190,$BI190-IF(N(VLOOKUP($AT190&amp;"|"&amp;$CU190,LocTable,7,FALSE))&gt;0,VLOOKUP($AT190&amp;"|"&amp;$CU190,LocTable,7,FALSE),VLOOKUP($AT190&amp;"|"&amp;$CU190,LocTable,6,FALSE))-$CR190-0.75&gt;=2.125)," cut down"," adj."),""),"ANSI/SDI A250.6")))</f>
        <v/>
      </c>
      <c r="BU190" s="103">
        <f>IF($CS190,"",IF($CT190,IF(N($AW190)&gt;0,N($AW190),""),IF(1&gt;$CQ190,"",IF($CQ190=1,$CW190,$CW190+($CX190-$CW190)*0/($CQ190-1)))))</f>
        <v/>
      </c>
      <c r="BV190" s="103">
        <f>IF($CS190,"",IF($CT190,IF(N($AX190)&gt;0,N($AX190),""),IF(2&gt;$CQ190,"",IF($CQ190=1,$CW190,$CW190+($CX190-$CW190)*1/($CQ190-1)))))</f>
        <v/>
      </c>
      <c r="BW190" s="103">
        <f>IF($CS190,"",IF($CT190,IF(N($AY190)&gt;0,N($AY190),""),IF(3&gt;$CQ190,"",IF($CQ190=1,$CW190,$CW190+($CX190-$CW190)*2/($CQ190-1)))))</f>
        <v/>
      </c>
      <c r="BX190" s="103">
        <f>IF($CS190,"",IF($CT190,IF(N($AZ190)&gt;0,N($AZ190),""),IF(4&gt;$CQ190,"",IF($CQ190=1,$CW190,$CW190+($CX190-$CW190)*3/($CQ190-1)))))</f>
        <v/>
      </c>
      <c r="BY190" s="103">
        <f>IF($CS190,"",IF($CT190,"",IF(5&gt;$CQ190,"",IF($CQ190=1,$CW190,$CW190+($CX190-$CW190)*4/($CQ190-1)))))</f>
        <v/>
      </c>
      <c r="BZ190" s="103">
        <f>IF(OR($CS190,$AP190="-",AND($AP190="",$AD190="")),"",IF(N($BA190)&gt;0,N($BA190),IF($CV190,IF(AND($BI190&lt;$CU190,$BI190-IF(N(VLOOKUP($AT190&amp;"|"&amp;$CU190,LocTable,7,FALSE))&gt;0,VLOOKUP($AT190&amp;"|"&amp;$CU190,LocTable,7,FALSE),VLOOKUP($AT190&amp;"|"&amp;$CU190,LocTable,6,FALSE))-$CR190-0.75&gt;=2.125),VLOOKUP($AT190&amp;"|"&amp;$CU190,LocTable,8,FALSE),VLOOKUP($AT190&amp;"|"&amp;$CU190,LocTable,8,FALSE)+($BI190-$CU190)),$BI190-LockAFF)))</f>
        <v/>
      </c>
      <c r="CA190" s="104">
        <f>IF($BZ190="","",$BI190-$BZ190)</f>
        <v/>
      </c>
      <c r="CB190" s="99">
        <f>IF(OR(NOT(AND($A190&lt;&gt;"",$C190&lt;&gt;"DOOR ONLY")),$BI190=""),"",IF(($BI190+IF(N($P190)&gt;0,$P190+FaceW,0))&lt;=90,3,IF(($BI190+IF(N($P190)&gt;0,$P190+FaceW,0))&lt;=114,4,5)))</f>
        <v/>
      </c>
      <c r="CC190" s="99">
        <f>IF($CB190="","",$CB190*(2+IF(N($Q190)&gt;0,IF($R190="LR",2,1),0)))</f>
        <v/>
      </c>
      <c r="CD190" s="99">
        <f>IF($CB190="","",(2+IF(N($Q190)&gt;0,IF($R190="LR",2,1),0)))</f>
        <v/>
      </c>
      <c r="CE190" s="99">
        <f>IF(N($BJ190)=0,"",IF(OR($AL190="",$AL190="FLUSH"),"FLUSH",IFERROR(LEFT($AL190,FIND("-",$AL190)-1),LEFT($AL190,2))))</f>
        <v/>
      </c>
      <c r="CF190" s="99">
        <f>IF($CE190="","",IFERROR(VALUE(MID($AL190,FIND("-",$AL190)+1,FIND(CHAR(34)&amp;"x",$AL190)-FIND("-",$AL190)-1)),0))</f>
        <v/>
      </c>
      <c r="CG190" s="99">
        <f>IF($CE190="","",IFERROR(VALUE(MID($AL190,FIND(CHAR(34)&amp;"x",$AL190)+2,FIND(CHAR(34),$AL190,FIND(CHAR(34)&amp;"x",$AL190)+2)-FIND(CHAR(34)&amp;"x",$AL190)-2)),0))</f>
        <v/>
      </c>
      <c r="CH190" s="105">
        <f>IF(OR($A190="",$H190="",$H190="NO LAB"),0,IFERROR(VALUE(LEFT($H190,FIND(" ",$H190)-1)),0))</f>
        <v/>
      </c>
      <c r="CI190" s="106">
        <f>IF(OR($A190="",$I190="",$I190="NON-RATED",N($J190)=0),"",IFERROR(VLOOKUP($I190&amp;"|"&amp;$J190,IBC,2,FALSE),"?"))</f>
        <v/>
      </c>
      <c r="CJ190" s="100">
        <f>IF(NOT(AND($A190&lt;&gt;"",$C190&lt;&gt;"DOOR ONLY")),"",TRIM(IFERROR(VLOOKUP($U190,CODES,2,FALSE),"")&amp;" "&amp;$BG190&amp;" "&amp;IFERROR(VLOOKUP($Z190,CODES,2,FALSE),"")&amp;" "&amp;IFERROR(VLOOKUP($X190,CODES,2,FALSE),"")&amp;" "&amp;IFERROR(VLOOKUP($S190,CODES,2,FALSE),"")&amp;IF(N($P190)&gt;0," w/TRANSOM "&amp;$P190&amp;CHAR(34),"")&amp;IF(N($Q190)&gt;0," w/SIDELITE "&amp;$Q190&amp;CHAR(34)&amp;" "&amp;IF($R190="","R",$R190),"")&amp;IF($Y190="","  |  "," | "&amp;IFERROR(VLOOKUP($Y190,CODES,2,FALSE),"")&amp;" | ")&amp;IFERROR(VLOOKUP($AC190,CODES,2,FALSE),"")&amp;" "&amp;IFERROR(VLOOKUP($AD190,CODES,2,FALSE),"")&amp;IF(OR($AE190="",$AE190="-"),""," "&amp;$AE190)&amp;IF(OR($AF190="",$AF190="-"),""," "&amp;$AF190)&amp;IF($AB190="Y"," 4"&amp;CHAR(34)&amp;" HEAD","")&amp;" "&amp;IFERROR(VLOOKUP($H190,CODES,2,FALSE),"")&amp;IF($CT190," | LOC "&amp;$CY190,"")))</f>
        <v/>
      </c>
      <c r="CK190" s="100">
        <f>IF(NOT(AND($A190&lt;&gt;"",N($BJ190)&gt;0)),"",TRIM(IFERROR(VLOOKUP($AH190,CODES,2,FALSE),"")&amp;IF($AI190=""," "," "&amp;$AI190&amp;"GA ")&amp;$BG190&amp;" "&amp;IF($AN190="",IFERROR(VLOOKUP($Z190,CODES,2,FALSE),""),IFERROR(VLOOKUP($AN190,CODES,2,FALSE),""))&amp;IF($BJ190=2," PAIR","")&amp;" DOOR | "&amp;IF($AL190="","?",$AL190)&amp;" | "&amp;IF($AO190="",IFERROR(VLOOKUP($AC190,CODES,2,FALSE),""),IFERROR(VLOOKUP($AO190,CODES,2,FALSE),""))&amp;" "&amp;IFERROR(VLOOKUP($AP190,CODES,2,FALSE),"")&amp;IF(OR($AQ190="",$AQ190="-"),""," SEAM "&amp;$AQ190)&amp;IF($AR190="Y"," ASTRAGAL","")&amp;IF($AJ190=""," "," "&amp;$AJ190)&amp;IF($AK190=""," "," "&amp;$AK190)&amp;IF(OR($AT190="",$AT190="ANSI/SDI",$AT190="CUSTOM LOC"),""," "&amp;$AT190)&amp;IF($AM190=""," "," SERIES "&amp;$AM190)&amp;" "&amp;IFERROR(VLOOKUP($H190,CODES,2,FALSE),"")&amp;IF($CT190," | LOC "&amp;$CZ190,"")))</f>
        <v/>
      </c>
      <c r="CL190" s="99">
        <f>IF(CP190="","",IF(COUNTIF($CP$6:CP190,CP190)=1,MAX($CL$5:CL189)+1,INDEX($CL$5:CL189,MATCH(CP190,$CP$5:CP189,0))))</f>
        <v/>
      </c>
      <c r="CM190" s="99">
        <f>IF(NOT(AND($A190&lt;&gt;"",$C190&lt;&gt;"DOOR ONLY")),"",MAX($CM$5:CM189)+1)</f>
        <v/>
      </c>
      <c r="CN190" s="99">
        <f>IF(NOT(AND($A190&lt;&gt;"",N($BJ190)&gt;0)),"",MAX($CN$5:CN189)+1)</f>
        <v/>
      </c>
      <c r="CO190" s="99">
        <f>IF($A190="","",MAX($CO$5:CO189)+1)</f>
        <v/>
      </c>
      <c r="CP190" s="99">
        <f>IF(OR($A190="",$BH190="",$BI190=""),"",$BG190&amp;"|"&amp;$O190&amp;"|"&amp;$AL190&amp;"|"&amp;$S190&amp;"|"&amp;$P190&amp;"|"&amp;$Q190&amp;$R190&amp;"|"&amp;$C190&amp;"|"&amp;$AB190)</f>
        <v/>
      </c>
      <c r="CQ190" s="99">
        <f>N($BS190)</f>
        <v/>
      </c>
      <c r="CR190" s="99">
        <f>IF(N($AU190)&gt;0,N($AU190),4.5)</f>
        <v/>
      </c>
      <c r="CS190" s="99">
        <f>OR($A190="",$BI190="",$S190="BL",AND($C190="FRAME ONLY",OR($AC190="",$AC190="BLK")))</f>
        <v/>
      </c>
      <c r="CT190" s="99">
        <f>AND(NOT($CS190),OR($AT190="CUSTOM LOC",N($AW190)+N($AX190)+N($AY190)+N($AZ190)+N($BA190)&gt;0))</f>
        <v/>
      </c>
      <c r="CU190" s="99">
        <f>IF($BI190="","",IF($BI190&lt;=80,80,IF($BI190&lt;=84,84,96)))</f>
        <v/>
      </c>
      <c r="CV190" s="99">
        <f>ISNUMBER(MATCH($AT190&amp;"|80",LocKeys,0))</f>
        <v/>
      </c>
      <c r="CW190" s="101">
        <f>IF($CS190,"",IF($CV190,VLOOKUP($AT190&amp;"|"&amp;$CU190,LocTable,4,FALSE),5))</f>
        <v/>
      </c>
      <c r="CX190" s="101">
        <f>IF($CS190,"",IF($CV190,IF(OR($BI190=$CU190,AND($BI190&lt;$CU190,$BI190-IF(N(VLOOKUP($AT190&amp;"|"&amp;$CU190,LocTable,7,FALSE))&gt;0,VLOOKUP($AT190&amp;"|"&amp;$CU190,LocTable,7,FALSE),VLOOKUP($AT190&amp;"|"&amp;$CU190,LocTable,6,FALSE))-$CR190-0.75&gt;=2.125)),IF(N(VLOOKUP($AT190&amp;"|"&amp;$CU190,LocTable,7,FALSE))&gt;0,VLOOKUP($AT190&amp;"|"&amp;$CU190,LocTable,7,FALSE),VLOOKUP($AT190&amp;"|"&amp;$CU190,LocTable,6,FALSE)),$BI190-($CU190-IF(N(VLOOKUP($AT190&amp;"|"&amp;$CU190,LocTable,7,FALSE))&gt;0,VLOOKUP($AT190&amp;"|"&amp;$CU190,LocTable,7,FALSE),VLOOKUP($AT190&amp;"|"&amp;$CU190,LocTable,6,FALSE)))),$BI190-10-$CR190))</f>
        <v/>
      </c>
      <c r="CY190" s="100">
        <f>IF($CS190,"",TRIM(IF(ISNUMBER($BU190),"A "&amp;TRIM(TEXT($BU190,"# ?/??"))&amp;CHAR(34)&amp;"  ","")&amp;IF(ISNUMBER($BV190),"B "&amp;TRIM(TEXT($BV190,"# ?/??"))&amp;CHAR(34)&amp;"  ","")&amp;IF(ISNUMBER($BW190),"C "&amp;TRIM(TEXT($BW190,"# ?/??"))&amp;CHAR(34)&amp;"  ","")&amp;IF(ISNUMBER($BX190),"D "&amp;TRIM(TEXT($BX190,"# ?/??"))&amp;CHAR(34)&amp;"  ","")&amp;IF(ISNUMBER($BY190),"F "&amp;TRIM(TEXT($BY190,"# ?/??"))&amp;CHAR(34)&amp;"  ","")&amp;IF(ISNUMBER($BZ190),"E "&amp;TRIM(TEXT($BZ190,"# ?/??"))&amp;CHAR(34)&amp;"  ","")))</f>
        <v/>
      </c>
      <c r="CZ190" s="100">
        <f>IF(OR($CS190,N($BJ190)=0),"",TRIM(IF(ISNUMBER($BU190),"A "&amp;TRIM(TEXT($BU190-HeadClr,"# ?/??"))&amp;CHAR(34)&amp;"  ","")&amp;IF(ISNUMBER($BV190),"B "&amp;TRIM(TEXT($BV190-HeadClr,"# ?/??"))&amp;CHAR(34)&amp;"  ","")&amp;IF(ISNUMBER($BW190),"C "&amp;TRIM(TEXT($BW190-HeadClr,"# ?/??"))&amp;CHAR(34)&amp;"  ","")&amp;IF(ISNUMBER($BX190),"D "&amp;TRIM(TEXT($BX190-HeadClr,"# ?/??"))&amp;CHAR(34)&amp;"  ","")&amp;IF(ISNUMBER($BY190),"F "&amp;TRIM(TEXT($BY190-HeadClr,"# ?/??"))&amp;CHAR(34)&amp;"  ","")&amp;IF(ISNUMBER($BZ190),"E "&amp;TRIM(TEXT($BZ190-HeadClr,"# ?/??"))&amp;CHAR(34)&amp;"  ","")))</f>
        <v/>
      </c>
      <c r="DA190" s="99">
        <f>IF($A190="","",IF($AN190="",IFERROR(VLOOKUP($Z190,CODES,2,FALSE),""),IFERROR(VLOOKUP($AN190,CODES,2,FALSE),"")))</f>
        <v/>
      </c>
      <c r="DB190" s="99">
        <f>IF($A190="","",IF($O190="Y","PR",IF(OR($Z190="L",$Z190="RR",LEFT($Z190,2)="L-",LEFT($Z190,3)="RR-"),"LH","RH")))</f>
        <v/>
      </c>
      <c r="DC190" s="99">
        <f>IF($A190="","","S.HM"&amp;IF(OR($C190="DOOR ONLY",$X190&lt;&gt;"KD"),"MASONRY","DRYWALL")&amp;IF($C190="DOOR ONLY","",$U190)&amp;IF(AND($C190&lt;&gt;"FRAME ONLY",OR(LEFT($AH190,3)="OAK",LEFT($AH190,3)="BIR",LEFT($AH190,3)="MAP",$AH190="PC",$AH190="MC",$AH190="SCLC",$AH190="P-LAM")),"WD","HM")&amp;"1.75")</f>
        <v/>
      </c>
      <c r="DD190" s="99">
        <f>IF($CJ190="","",IF($O190="Y",$CJ190,SUBSTITUTE($CJ190,$BG190&amp;" "&amp;IFERROR(VLOOKUP($Z190,CODES,2,FALSE),"")&amp;" ",$BG190&amp;" ")))</f>
        <v/>
      </c>
      <c r="DE190" s="99">
        <f>IF($CK190="","",IF($O190="Y",$CK190,SUBSTITUTE($CK190,$BG190&amp;" "&amp;IF($AN190="",IFERROR(VLOOKUP($Z190,CODES,2,FALSE),""),IFERROR(VLOOKUP($AN190,CODES,2,FALSE),""))&amp;" ",$BG190&amp;" ")))</f>
        <v/>
      </c>
      <c r="DF190" s="99">
        <f>IF($CJ190="","",$DC190&amp;"|"&amp;$DD190&amp;"|"&amp;$DB190&amp;"|"&amp;$AT190&amp;"|"&amp;$V190&amp;"|"&amp;$Y190&amp;"|"&amp;$AB190)</f>
        <v/>
      </c>
      <c r="DG190" s="99">
        <f>IF(DF190="","",IF(COUNTIF($DF$6:DF190,DF190)=1,MAX($DG$5:DG189)+1,INDEX($DG$5:DG189,MATCH(DF190,$DF$5:DF189,0))))</f>
        <v/>
      </c>
      <c r="DH190" s="99">
        <f>IF($CK190="","",$DC190&amp;"|"&amp;$DE190&amp;"|"&amp;$AI190&amp;"|"&amp;$BK190&amp;"|"&amp;$BL190)</f>
        <v/>
      </c>
      <c r="DI190" s="99">
        <f>IF(DH190="","",IF(COUNTIF($DH$6:DH190,DH190)=1,MAX($DI$5:DI189)+1,INDEX($DI$5:DI189,MATCH(DH190,$DH$5:DH189,0))))</f>
        <v/>
      </c>
      <c r="DJ190" s="99">
        <f>IF($A190="","",IF($B190="","qty, ","")&amp;IF($C190="","scope, ","")&amp;IF(OR($K190="",$M190=""),"size, ","")&amp;IF(AND($A190&lt;&gt;"",$C190&lt;&gt;"DOOR ONLY"),IF($U190="","jamb depth, ","")&amp;IF($X190="","construction, ","")&amp;IF($Y190="","anchor, ","")&amp;IF($S190="","frame type, ",""),"")&amp;IF(AND(N($BJ190)&gt;0,$Z190=""),"hand, ","")&amp;IF(N($BJ190)&gt;0,IF($AH190="","door material, ","")&amp;IF($AL190="","face type, ","")&amp;IF($AP190="","lock prep, ","")&amp;IF(AND($AO190="",$AC190=""),"hinge prep, ",""),"")&amp;IF(AND($CH190&gt;0,$AH190="FRP"),"FRP cannot carry a label, ","")&amp;IF(AND($O190="Y",OR($Z190="L",$Z190="R",$Z190="LR",$Z190="RR")),"pair marked but hand is single, ","")&amp;IF(AND($O190&lt;&gt;"Y",OR($Z190="PR",AND(LEN($Z190)&gt;1,ISNUMBER(SEARCH("-",$Z190))))),"pair hand on a single door, ","")&amp;IF(AND(ISNUMBER($CI190),$CH190&lt;N($CI190)),"wall needs a "&amp;$CI190&amp;" min door, ","")&amp;IF(AND($CH190&gt;=180,AND(OR($CE190="FG",$CE190="HG",$CE190="FNV",$CE190="FV"),N($CF190)*N($CG190)&gt;100)),"180 min lite over 100 sq in, ","")&amp;IF(N($BK190)&gt;48,"leaf wider than 4'-0"&amp;CHAR(34)&amp;", ","")&amp;IF(AND($CT190,COUNT($AW190:$AZ190)=0,$CQ190&gt;0),"CUSTOM LOC with no locations typed, ",""))</f>
        <v/>
      </c>
      <c r="DK190" s="99">
        <f>IF($A190="","",IF(AND($CH190&gt;0,AND($A190&lt;&gt;"",$C190&lt;&gt;"DOOR ONLY"),$X190="KD",$E190="EXTERIOR"),"KD label on an exterior opening, ","")&amp;IF(AND($E190="EXTERIOR",OR(AND(AND($A190&lt;&gt;"",$C190&lt;&gt;"DOOR ONLY"),$W190="CR"),AND(N($BJ190)&gt;0,$AH190="CR"))),"exterior in CR steel (G9?), ","")&amp;IF(AND(ISNUMBER($BQ190),N($BQ190)&lt;32),"clear width ~"&amp;TEXT($BQ190,"0.0")&amp;CHAR(34)&amp;" under 32"&amp;CHAR(34)&amp;" (ADA), ","")&amp;IF(AND($CH190=90,AND(OR($CE190="FG",$CE190="HG",$CE190="FNV",$CE190="FV"),N($CF190)*N($CG190)&gt;100)),"90 min lite over 100 sq in (stair/exit), ","")&amp;IF(AND($CH190&gt;0,AND($A190&lt;&gt;"",$C190&lt;&gt;"DOOR ONLY"),OR($AF190="",$AF190="-")),"rated: closer reinf.?, ","")&amp;IF(OR($I190="CORRIDOR",$I190="SMOKE BARRIER"),"S label + smoke gasketing, ","")&amp;IF($CI190="?","wall type/hr not in IBC table, ","")&amp;IF(AND(N($BJ190)&gt;0,$BB190=""),"no hardware set, ","")&amp;IF(AND($BB190&lt;&gt;"",ISNA(MATCH($BB190&amp;"",HWSets,0))),"set "&amp;$BB190&amp;" not on HW Sets, ","")&amp;IF(N($BL190)&gt;96,"leaf over 8'-0"&amp;CHAR(34)&amp;" - check listing, ","")&amp;IF(AND($CT190,COUNT($AW190:$AZ190)&gt;0,COUNT($AW190:$AZ190)&lt;&gt;$CQ190),COUNT($AW190:$AZ190)&amp;" custom hinges typed, "&amp;$CQ190&amp;" expected, ","")&amp;IF(AND(ISNUMBER($CA190),OR(N($CA190)&lt;34,N($CA190)&gt;48)),"lock "&amp;TEXT($CA190,"0.0")&amp;CHAR(34)&amp;" AFF outside 34-48"&amp;CHAR(34)&amp;" (ADA), ","")&amp;IF(AND(ISNUMBER($AV190),ISNUMBER($BL190),N($AV190)&lt;IF(N($BL190)&lt;=60,2,IF(N($BL190)&lt;=90,3,IF(N($BL190)&lt;=120,4,5)))),"fewer hinges than standard, ",""))</f>
        <v/>
      </c>
    </row>
    <row r="191" ht="15" customHeight="1">
      <c r="A191" s="77" t="n"/>
      <c r="B191" s="78" t="n"/>
      <c r="C191" s="78" t="n"/>
      <c r="D191" s="78" t="n"/>
      <c r="E191" s="78" t="n"/>
      <c r="F191" s="78" t="n"/>
      <c r="G191" s="78" t="n"/>
      <c r="H191" s="78" t="n"/>
      <c r="I191" s="78" t="n"/>
      <c r="J191" s="78" t="n"/>
      <c r="K191" s="78" t="n"/>
      <c r="L191" s="78" t="n"/>
      <c r="M191" s="78" t="n"/>
      <c r="N191" s="78" t="n"/>
      <c r="O191" s="78" t="n"/>
      <c r="P191" s="78" t="n"/>
      <c r="Q191" s="78" t="n"/>
      <c r="R191" s="78" t="n"/>
      <c r="S191" s="79" t="n"/>
      <c r="T191" s="79" t="n"/>
      <c r="U191" s="79" t="n"/>
      <c r="V191" s="79" t="n"/>
      <c r="W191" s="79" t="n"/>
      <c r="X191" s="79" t="n"/>
      <c r="Y191" s="79" t="n"/>
      <c r="Z191" s="79" t="n"/>
      <c r="AA191" s="79" t="n"/>
      <c r="AB191" s="79" t="n"/>
      <c r="AC191" s="79" t="n"/>
      <c r="AD191" s="79" t="n"/>
      <c r="AE191" s="79" t="n"/>
      <c r="AF191" s="79" t="n"/>
      <c r="AG191" s="79" t="n"/>
      <c r="AH191" s="80" t="n"/>
      <c r="AI191" s="80" t="n"/>
      <c r="AJ191" s="80" t="n"/>
      <c r="AK191" s="80" t="n"/>
      <c r="AL191" s="80" t="n"/>
      <c r="AM191" s="80" t="n"/>
      <c r="AN191" s="80" t="n"/>
      <c r="AO191" s="80" t="n"/>
      <c r="AP191" s="80" t="n"/>
      <c r="AQ191" s="80" t="n"/>
      <c r="AR191" s="80" t="n"/>
      <c r="AS191" s="80" t="n"/>
      <c r="AT191" s="81" t="n"/>
      <c r="AU191" s="81" t="n"/>
      <c r="AV191" s="81" t="n"/>
      <c r="AW191" s="82" t="n"/>
      <c r="AX191" s="82" t="n"/>
      <c r="AY191" s="82" t="n"/>
      <c r="AZ191" s="82" t="n"/>
      <c r="BA191" s="82" t="n"/>
      <c r="BB191" s="83" t="n"/>
      <c r="BC191" s="83" t="n"/>
      <c r="BD191" s="84">
        <f>IF($A191="","",IF($DJ191&lt;&gt;"","FIX",IF($DK191&lt;&gt;"","CHECK","OK")))</f>
        <v/>
      </c>
      <c r="BE191" s="85">
        <f>IF($A191="","",IF($DJ191&lt;&gt;"","FIX: "&amp;LEFT($DJ191,LEN($DJ191)-2)&amp;IF($DK191&lt;&gt;"","  ·  ",""),"")&amp;IF($DK191&lt;&gt;"","CHECK: "&amp;LEFT($DK191,LEN($DK191)-2),""))</f>
        <v/>
      </c>
      <c r="BF191" s="84">
        <f>IF(OR($A191="",$K191=""),"",$K191&amp;"'-"&amp;N($L191)&amp;CHAR(34)&amp;" x "&amp;$M191&amp;"'-"&amp;N($N191)&amp;CHAR(34))</f>
        <v/>
      </c>
      <c r="BG191" s="84">
        <f>IF(OR($A191="",$K191=""),"",$K191&amp;N($L191)&amp;$M191&amp;N($N191))</f>
        <v/>
      </c>
      <c r="BH191" s="84">
        <f>IF(OR($A191="",$K191=""),"",$K191*12+N($L191))</f>
        <v/>
      </c>
      <c r="BI191" s="84">
        <f>IF(OR($A191="",$M191=""),"",$M191*12+N($N191))</f>
        <v/>
      </c>
      <c r="BJ191" s="84">
        <f>IF($A191="","",IF(OR($C191="FRAME ONLY",$S191="BL"),0,IF($O191="Y",2,1)))</f>
        <v/>
      </c>
      <c r="BK191" s="86">
        <f>IF(OR(N($BJ191)=0,$BH191=""),"",($BH191-2*EdgeClr-IF($BJ191=2,MeetClr,0))/$BJ191)</f>
        <v/>
      </c>
      <c r="BL191" s="86">
        <f>IF(OR(N($BJ191)=0,$BI191=""),"",$BI191-HeadClr-Undercut)</f>
        <v/>
      </c>
      <c r="BM191" s="86">
        <f>IF($BH191="","",$BH191+2*FaceW+IF(N($Q191)&gt;0,($Q191+FaceW)*IF($R191="LR",2,1),0))</f>
        <v/>
      </c>
      <c r="BN191" s="86">
        <f>IF($BI191="","",$BI191+IF($AB191="Y",4,FaceW)+IF(N($P191)&gt;0,$P191+FaceW,0)+IF(OR($S191="4F",$S191="BL"),FaceW,0))</f>
        <v/>
      </c>
      <c r="BO191" s="86">
        <f>IF($BM191="","",$BM191+2*ROSide)</f>
        <v/>
      </c>
      <c r="BP191" s="86">
        <f>IF($BN191="","",$BN191+ROTop)</f>
        <v/>
      </c>
      <c r="BQ191" s="87">
        <f>IF(OR(N($BJ191)=0,$BH191=""),"",$BH191/$BJ191-ClearDeduct)</f>
        <v/>
      </c>
      <c r="BR191" s="84">
        <f>IF(N($CH191)=0,"",IF($CH191&gt;=180,"A · 3 HR",IF($CH191&gt;=90,"B · 1-1/2 HR",IF($CH191&gt;=60,"B · 1 HR",IF($CH191&gt;=45,"C · 3/4 HR","20 MIN")))))&amp;IF(AND(N($CH191)&gt;0,OR($I191="CORRIDOR",$I191="SMOKE BARRIER"))," · S","")</f>
        <v/>
      </c>
      <c r="BS191" s="84">
        <f>IF($CS191,"",IF($AV191&lt;&gt;"",$AV191,IF(OR($AC191="HGC",$AO191="HGC"),"CONT",IF(($BI191-HeadClr-Undercut)&lt;=60,2,IF(($BI191-HeadClr-Undercut)&lt;=90,3,IF(($BI191-HeadClr-Undercut)&lt;=120,4,5))))))</f>
        <v/>
      </c>
      <c r="BT191" s="84">
        <f>IF($CS191,"",IF($CT191,"CUSTOM (typed)",IF($CV191,$AT191&amp;" "&amp;$CU191&amp;CHAR(34)&amp;IF($CU191&lt;&gt;$BI191,IF(AND($BI191&lt;$CU191,$BI191-IF(N(VLOOKUP($AT191&amp;"|"&amp;$CU191,LocTable,7,FALSE))&gt;0,VLOOKUP($AT191&amp;"|"&amp;$CU191,LocTable,7,FALSE),VLOOKUP($AT191&amp;"|"&amp;$CU191,LocTable,6,FALSE))-$CR191-0.75&gt;=2.125)," cut down"," adj."),""),"ANSI/SDI A250.6")))</f>
        <v/>
      </c>
      <c r="BU191" s="88">
        <f>IF($CS191,"",IF($CT191,IF(N($AW191)&gt;0,N($AW191),""),IF(1&gt;$CQ191,"",IF($CQ191=1,$CW191,$CW191+($CX191-$CW191)*0/($CQ191-1)))))</f>
        <v/>
      </c>
      <c r="BV191" s="88">
        <f>IF($CS191,"",IF($CT191,IF(N($AX191)&gt;0,N($AX191),""),IF(2&gt;$CQ191,"",IF($CQ191=1,$CW191,$CW191+($CX191-$CW191)*1/($CQ191-1)))))</f>
        <v/>
      </c>
      <c r="BW191" s="88">
        <f>IF($CS191,"",IF($CT191,IF(N($AY191)&gt;0,N($AY191),""),IF(3&gt;$CQ191,"",IF($CQ191=1,$CW191,$CW191+($CX191-$CW191)*2/($CQ191-1)))))</f>
        <v/>
      </c>
      <c r="BX191" s="88">
        <f>IF($CS191,"",IF($CT191,IF(N($AZ191)&gt;0,N($AZ191),""),IF(4&gt;$CQ191,"",IF($CQ191=1,$CW191,$CW191+($CX191-$CW191)*3/($CQ191-1)))))</f>
        <v/>
      </c>
      <c r="BY191" s="88">
        <f>IF($CS191,"",IF($CT191,"",IF(5&gt;$CQ191,"",IF($CQ191=1,$CW191,$CW191+($CX191-$CW191)*4/($CQ191-1)))))</f>
        <v/>
      </c>
      <c r="BZ191" s="88">
        <f>IF(OR($CS191,$AP191="-",AND($AP191="",$AD191="")),"",IF(N($BA191)&gt;0,N($BA191),IF($CV191,IF(AND($BI191&lt;$CU191,$BI191-IF(N(VLOOKUP($AT191&amp;"|"&amp;$CU191,LocTable,7,FALSE))&gt;0,VLOOKUP($AT191&amp;"|"&amp;$CU191,LocTable,7,FALSE),VLOOKUP($AT191&amp;"|"&amp;$CU191,LocTable,6,FALSE))-$CR191-0.75&gt;=2.125),VLOOKUP($AT191&amp;"|"&amp;$CU191,LocTable,8,FALSE),VLOOKUP($AT191&amp;"|"&amp;$CU191,LocTable,8,FALSE)+($BI191-$CU191)),$BI191-LockAFF)))</f>
        <v/>
      </c>
      <c r="CA191" s="89">
        <f>IF($BZ191="","",$BI191-$BZ191)</f>
        <v/>
      </c>
      <c r="CB191" s="84">
        <f>IF(OR(NOT(AND($A191&lt;&gt;"",$C191&lt;&gt;"DOOR ONLY")),$BI191=""),"",IF(($BI191+IF(N($P191)&gt;0,$P191+FaceW,0))&lt;=90,3,IF(($BI191+IF(N($P191)&gt;0,$P191+FaceW,0))&lt;=114,4,5)))</f>
        <v/>
      </c>
      <c r="CC191" s="84">
        <f>IF($CB191="","",$CB191*(2+IF(N($Q191)&gt;0,IF($R191="LR",2,1),0)))</f>
        <v/>
      </c>
      <c r="CD191" s="84">
        <f>IF($CB191="","",(2+IF(N($Q191)&gt;0,IF($R191="LR",2,1),0)))</f>
        <v/>
      </c>
      <c r="CE191" s="84">
        <f>IF(N($BJ191)=0,"",IF(OR($AL191="",$AL191="FLUSH"),"FLUSH",IFERROR(LEFT($AL191,FIND("-",$AL191)-1),LEFT($AL191,2))))</f>
        <v/>
      </c>
      <c r="CF191" s="84">
        <f>IF($CE191="","",IFERROR(VALUE(MID($AL191,FIND("-",$AL191)+1,FIND(CHAR(34)&amp;"x",$AL191)-FIND("-",$AL191)-1)),0))</f>
        <v/>
      </c>
      <c r="CG191" s="84">
        <f>IF($CE191="","",IFERROR(VALUE(MID($AL191,FIND(CHAR(34)&amp;"x",$AL191)+2,FIND(CHAR(34),$AL191,FIND(CHAR(34)&amp;"x",$AL191)+2)-FIND(CHAR(34)&amp;"x",$AL191)-2)),0))</f>
        <v/>
      </c>
      <c r="CH191" s="90">
        <f>IF(OR($A191="",$H191="",$H191="NO LAB"),0,IFERROR(VALUE(LEFT($H191,FIND(" ",$H191)-1)),0))</f>
        <v/>
      </c>
      <c r="CI191" s="91">
        <f>IF(OR($A191="",$I191="",$I191="NON-RATED",N($J191)=0),"",IFERROR(VLOOKUP($I191&amp;"|"&amp;$J191,IBC,2,FALSE),"?"))</f>
        <v/>
      </c>
      <c r="CJ191" s="85">
        <f>IF(NOT(AND($A191&lt;&gt;"",$C191&lt;&gt;"DOOR ONLY")),"",TRIM(IFERROR(VLOOKUP($U191,CODES,2,FALSE),"")&amp;" "&amp;$BG191&amp;" "&amp;IFERROR(VLOOKUP($Z191,CODES,2,FALSE),"")&amp;" "&amp;IFERROR(VLOOKUP($X191,CODES,2,FALSE),"")&amp;" "&amp;IFERROR(VLOOKUP($S191,CODES,2,FALSE),"")&amp;IF(N($P191)&gt;0," w/TRANSOM "&amp;$P191&amp;CHAR(34),"")&amp;IF(N($Q191)&gt;0," w/SIDELITE "&amp;$Q191&amp;CHAR(34)&amp;" "&amp;IF($R191="","R",$R191),"")&amp;IF($Y191="","  |  "," | "&amp;IFERROR(VLOOKUP($Y191,CODES,2,FALSE),"")&amp;" | ")&amp;IFERROR(VLOOKUP($AC191,CODES,2,FALSE),"")&amp;" "&amp;IFERROR(VLOOKUP($AD191,CODES,2,FALSE),"")&amp;IF(OR($AE191="",$AE191="-"),""," "&amp;$AE191)&amp;IF(OR($AF191="",$AF191="-"),""," "&amp;$AF191)&amp;IF($AB191="Y"," 4"&amp;CHAR(34)&amp;" HEAD","")&amp;" "&amp;IFERROR(VLOOKUP($H191,CODES,2,FALSE),"")&amp;IF($CT191," | LOC "&amp;$CY191,"")))</f>
        <v/>
      </c>
      <c r="CK191" s="85">
        <f>IF(NOT(AND($A191&lt;&gt;"",N($BJ191)&gt;0)),"",TRIM(IFERROR(VLOOKUP($AH191,CODES,2,FALSE),"")&amp;IF($AI191=""," "," "&amp;$AI191&amp;"GA ")&amp;$BG191&amp;" "&amp;IF($AN191="",IFERROR(VLOOKUP($Z191,CODES,2,FALSE),""),IFERROR(VLOOKUP($AN191,CODES,2,FALSE),""))&amp;IF($BJ191=2," PAIR","")&amp;" DOOR | "&amp;IF($AL191="","?",$AL191)&amp;" | "&amp;IF($AO191="",IFERROR(VLOOKUP($AC191,CODES,2,FALSE),""),IFERROR(VLOOKUP($AO191,CODES,2,FALSE),""))&amp;" "&amp;IFERROR(VLOOKUP($AP191,CODES,2,FALSE),"")&amp;IF(OR($AQ191="",$AQ191="-"),""," SEAM "&amp;$AQ191)&amp;IF($AR191="Y"," ASTRAGAL","")&amp;IF($AJ191=""," "," "&amp;$AJ191)&amp;IF($AK191=""," "," "&amp;$AK191)&amp;IF(OR($AT191="",$AT191="ANSI/SDI",$AT191="CUSTOM LOC"),""," "&amp;$AT191)&amp;IF($AM191=""," "," SERIES "&amp;$AM191)&amp;" "&amp;IFERROR(VLOOKUP($H191,CODES,2,FALSE),"")&amp;IF($CT191," | LOC "&amp;$CZ191,"")))</f>
        <v/>
      </c>
      <c r="CL191" s="84">
        <f>IF(CP191="","",IF(COUNTIF($CP$6:CP191,CP191)=1,MAX($CL$5:CL190)+1,INDEX($CL$5:CL190,MATCH(CP191,$CP$5:CP190,0))))</f>
        <v/>
      </c>
      <c r="CM191" s="84">
        <f>IF(NOT(AND($A191&lt;&gt;"",$C191&lt;&gt;"DOOR ONLY")),"",MAX($CM$5:CM190)+1)</f>
        <v/>
      </c>
      <c r="CN191" s="84">
        <f>IF(NOT(AND($A191&lt;&gt;"",N($BJ191)&gt;0)),"",MAX($CN$5:CN190)+1)</f>
        <v/>
      </c>
      <c r="CO191" s="84">
        <f>IF($A191="","",MAX($CO$5:CO190)+1)</f>
        <v/>
      </c>
      <c r="CP191" s="84">
        <f>IF(OR($A191="",$BH191="",$BI191=""),"",$BG191&amp;"|"&amp;$O191&amp;"|"&amp;$AL191&amp;"|"&amp;$S191&amp;"|"&amp;$P191&amp;"|"&amp;$Q191&amp;$R191&amp;"|"&amp;$C191&amp;"|"&amp;$AB191)</f>
        <v/>
      </c>
      <c r="CQ191" s="84">
        <f>N($BS191)</f>
        <v/>
      </c>
      <c r="CR191" s="84">
        <f>IF(N($AU191)&gt;0,N($AU191),4.5)</f>
        <v/>
      </c>
      <c r="CS191" s="84">
        <f>OR($A191="",$BI191="",$S191="BL",AND($C191="FRAME ONLY",OR($AC191="",$AC191="BLK")))</f>
        <v/>
      </c>
      <c r="CT191" s="84">
        <f>AND(NOT($CS191),OR($AT191="CUSTOM LOC",N($AW191)+N($AX191)+N($AY191)+N($AZ191)+N($BA191)&gt;0))</f>
        <v/>
      </c>
      <c r="CU191" s="84">
        <f>IF($BI191="","",IF($BI191&lt;=80,80,IF($BI191&lt;=84,84,96)))</f>
        <v/>
      </c>
      <c r="CV191" s="84">
        <f>ISNUMBER(MATCH($AT191&amp;"|80",LocKeys,0))</f>
        <v/>
      </c>
      <c r="CW191" s="86">
        <f>IF($CS191,"",IF($CV191,VLOOKUP($AT191&amp;"|"&amp;$CU191,LocTable,4,FALSE),5))</f>
        <v/>
      </c>
      <c r="CX191" s="86">
        <f>IF($CS191,"",IF($CV191,IF(OR($BI191=$CU191,AND($BI191&lt;$CU191,$BI191-IF(N(VLOOKUP($AT191&amp;"|"&amp;$CU191,LocTable,7,FALSE))&gt;0,VLOOKUP($AT191&amp;"|"&amp;$CU191,LocTable,7,FALSE),VLOOKUP($AT191&amp;"|"&amp;$CU191,LocTable,6,FALSE))-$CR191-0.75&gt;=2.125)),IF(N(VLOOKUP($AT191&amp;"|"&amp;$CU191,LocTable,7,FALSE))&gt;0,VLOOKUP($AT191&amp;"|"&amp;$CU191,LocTable,7,FALSE),VLOOKUP($AT191&amp;"|"&amp;$CU191,LocTable,6,FALSE)),$BI191-($CU191-IF(N(VLOOKUP($AT191&amp;"|"&amp;$CU191,LocTable,7,FALSE))&gt;0,VLOOKUP($AT191&amp;"|"&amp;$CU191,LocTable,7,FALSE),VLOOKUP($AT191&amp;"|"&amp;$CU191,LocTable,6,FALSE)))),$BI191-10-$CR191))</f>
        <v/>
      </c>
      <c r="CY191" s="85">
        <f>IF($CS191,"",TRIM(IF(ISNUMBER($BU191),"A "&amp;TRIM(TEXT($BU191,"# ?/??"))&amp;CHAR(34)&amp;"  ","")&amp;IF(ISNUMBER($BV191),"B "&amp;TRIM(TEXT($BV191,"# ?/??"))&amp;CHAR(34)&amp;"  ","")&amp;IF(ISNUMBER($BW191),"C "&amp;TRIM(TEXT($BW191,"# ?/??"))&amp;CHAR(34)&amp;"  ","")&amp;IF(ISNUMBER($BX191),"D "&amp;TRIM(TEXT($BX191,"# ?/??"))&amp;CHAR(34)&amp;"  ","")&amp;IF(ISNUMBER($BY191),"F "&amp;TRIM(TEXT($BY191,"# ?/??"))&amp;CHAR(34)&amp;"  ","")&amp;IF(ISNUMBER($BZ191),"E "&amp;TRIM(TEXT($BZ191,"# ?/??"))&amp;CHAR(34)&amp;"  ","")))</f>
        <v/>
      </c>
      <c r="CZ191" s="85">
        <f>IF(OR($CS191,N($BJ191)=0),"",TRIM(IF(ISNUMBER($BU191),"A "&amp;TRIM(TEXT($BU191-HeadClr,"# ?/??"))&amp;CHAR(34)&amp;"  ","")&amp;IF(ISNUMBER($BV191),"B "&amp;TRIM(TEXT($BV191-HeadClr,"# ?/??"))&amp;CHAR(34)&amp;"  ","")&amp;IF(ISNUMBER($BW191),"C "&amp;TRIM(TEXT($BW191-HeadClr,"# ?/??"))&amp;CHAR(34)&amp;"  ","")&amp;IF(ISNUMBER($BX191),"D "&amp;TRIM(TEXT($BX191-HeadClr,"# ?/??"))&amp;CHAR(34)&amp;"  ","")&amp;IF(ISNUMBER($BY191),"F "&amp;TRIM(TEXT($BY191-HeadClr,"# ?/??"))&amp;CHAR(34)&amp;"  ","")&amp;IF(ISNUMBER($BZ191),"E "&amp;TRIM(TEXT($BZ191-HeadClr,"# ?/??"))&amp;CHAR(34)&amp;"  ","")))</f>
        <v/>
      </c>
      <c r="DA191" s="84">
        <f>IF($A191="","",IF($AN191="",IFERROR(VLOOKUP($Z191,CODES,2,FALSE),""),IFERROR(VLOOKUP($AN191,CODES,2,FALSE),"")))</f>
        <v/>
      </c>
      <c r="DB191" s="84">
        <f>IF($A191="","",IF($O191="Y","PR",IF(OR($Z191="L",$Z191="RR",LEFT($Z191,2)="L-",LEFT($Z191,3)="RR-"),"LH","RH")))</f>
        <v/>
      </c>
      <c r="DC191" s="84">
        <f>IF($A191="","","S.HM"&amp;IF(OR($C191="DOOR ONLY",$X191&lt;&gt;"KD"),"MASONRY","DRYWALL")&amp;IF($C191="DOOR ONLY","",$U191)&amp;IF(AND($C191&lt;&gt;"FRAME ONLY",OR(LEFT($AH191,3)="OAK",LEFT($AH191,3)="BIR",LEFT($AH191,3)="MAP",$AH191="PC",$AH191="MC",$AH191="SCLC",$AH191="P-LAM")),"WD","HM")&amp;"1.75")</f>
        <v/>
      </c>
      <c r="DD191" s="84">
        <f>IF($CJ191="","",IF($O191="Y",$CJ191,SUBSTITUTE($CJ191,$BG191&amp;" "&amp;IFERROR(VLOOKUP($Z191,CODES,2,FALSE),"")&amp;" ",$BG191&amp;" ")))</f>
        <v/>
      </c>
      <c r="DE191" s="84">
        <f>IF($CK191="","",IF($O191="Y",$CK191,SUBSTITUTE($CK191,$BG191&amp;" "&amp;IF($AN191="",IFERROR(VLOOKUP($Z191,CODES,2,FALSE),""),IFERROR(VLOOKUP($AN191,CODES,2,FALSE),""))&amp;" ",$BG191&amp;" ")))</f>
        <v/>
      </c>
      <c r="DF191" s="84">
        <f>IF($CJ191="","",$DC191&amp;"|"&amp;$DD191&amp;"|"&amp;$DB191&amp;"|"&amp;$AT191&amp;"|"&amp;$V191&amp;"|"&amp;$Y191&amp;"|"&amp;$AB191)</f>
        <v/>
      </c>
      <c r="DG191" s="84">
        <f>IF(DF191="","",IF(COUNTIF($DF$6:DF191,DF191)=1,MAX($DG$5:DG190)+1,INDEX($DG$5:DG190,MATCH(DF191,$DF$5:DF190,0))))</f>
        <v/>
      </c>
      <c r="DH191" s="84">
        <f>IF($CK191="","",$DC191&amp;"|"&amp;$DE191&amp;"|"&amp;$AI191&amp;"|"&amp;$BK191&amp;"|"&amp;$BL191)</f>
        <v/>
      </c>
      <c r="DI191" s="84">
        <f>IF(DH191="","",IF(COUNTIF($DH$6:DH191,DH191)=1,MAX($DI$5:DI190)+1,INDEX($DI$5:DI190,MATCH(DH191,$DH$5:DH190,0))))</f>
        <v/>
      </c>
      <c r="DJ191" s="84">
        <f>IF($A191="","",IF($B191="","qty, ","")&amp;IF($C191="","scope, ","")&amp;IF(OR($K191="",$M191=""),"size, ","")&amp;IF(AND($A191&lt;&gt;"",$C191&lt;&gt;"DOOR ONLY"),IF($U191="","jamb depth, ","")&amp;IF($X191="","construction, ","")&amp;IF($Y191="","anchor, ","")&amp;IF($S191="","frame type, ",""),"")&amp;IF(AND(N($BJ191)&gt;0,$Z191=""),"hand, ","")&amp;IF(N($BJ191)&gt;0,IF($AH191="","door material, ","")&amp;IF($AL191="","face type, ","")&amp;IF($AP191="","lock prep, ","")&amp;IF(AND($AO191="",$AC191=""),"hinge prep, ",""),"")&amp;IF(AND($CH191&gt;0,$AH191="FRP"),"FRP cannot carry a label, ","")&amp;IF(AND($O191="Y",OR($Z191="L",$Z191="R",$Z191="LR",$Z191="RR")),"pair marked but hand is single, ","")&amp;IF(AND($O191&lt;&gt;"Y",OR($Z191="PR",AND(LEN($Z191)&gt;1,ISNUMBER(SEARCH("-",$Z191))))),"pair hand on a single door, ","")&amp;IF(AND(ISNUMBER($CI191),$CH191&lt;N($CI191)),"wall needs a "&amp;$CI191&amp;" min door, ","")&amp;IF(AND($CH191&gt;=180,AND(OR($CE191="FG",$CE191="HG",$CE191="FNV",$CE191="FV"),N($CF191)*N($CG191)&gt;100)),"180 min lite over 100 sq in, ","")&amp;IF(N($BK191)&gt;48,"leaf wider than 4'-0"&amp;CHAR(34)&amp;", ","")&amp;IF(AND($CT191,COUNT($AW191:$AZ191)=0,$CQ191&gt;0),"CUSTOM LOC with no locations typed, ",""))</f>
        <v/>
      </c>
      <c r="DK191" s="84">
        <f>IF($A191="","",IF(AND($CH191&gt;0,AND($A191&lt;&gt;"",$C191&lt;&gt;"DOOR ONLY"),$X191="KD",$E191="EXTERIOR"),"KD label on an exterior opening, ","")&amp;IF(AND($E191="EXTERIOR",OR(AND(AND($A191&lt;&gt;"",$C191&lt;&gt;"DOOR ONLY"),$W191="CR"),AND(N($BJ191)&gt;0,$AH191="CR"))),"exterior in CR steel (G9?), ","")&amp;IF(AND(ISNUMBER($BQ191),N($BQ191)&lt;32),"clear width ~"&amp;TEXT($BQ191,"0.0")&amp;CHAR(34)&amp;" under 32"&amp;CHAR(34)&amp;" (ADA), ","")&amp;IF(AND($CH191=90,AND(OR($CE191="FG",$CE191="HG",$CE191="FNV",$CE191="FV"),N($CF191)*N($CG191)&gt;100)),"90 min lite over 100 sq in (stair/exit), ","")&amp;IF(AND($CH191&gt;0,AND($A191&lt;&gt;"",$C191&lt;&gt;"DOOR ONLY"),OR($AF191="",$AF191="-")),"rated: closer reinf.?, ","")&amp;IF(OR($I191="CORRIDOR",$I191="SMOKE BARRIER"),"S label + smoke gasketing, ","")&amp;IF($CI191="?","wall type/hr not in IBC table, ","")&amp;IF(AND(N($BJ191)&gt;0,$BB191=""),"no hardware set, ","")&amp;IF(AND($BB191&lt;&gt;"",ISNA(MATCH($BB191&amp;"",HWSets,0))),"set "&amp;$BB191&amp;" not on HW Sets, ","")&amp;IF(N($BL191)&gt;96,"leaf over 8'-0"&amp;CHAR(34)&amp;" - check listing, ","")&amp;IF(AND($CT191,COUNT($AW191:$AZ191)&gt;0,COUNT($AW191:$AZ191)&lt;&gt;$CQ191),COUNT($AW191:$AZ191)&amp;" custom hinges typed, "&amp;$CQ191&amp;" expected, ","")&amp;IF(AND(ISNUMBER($CA191),OR(N($CA191)&lt;34,N($CA191)&gt;48)),"lock "&amp;TEXT($CA191,"0.0")&amp;CHAR(34)&amp;" AFF outside 34-48"&amp;CHAR(34)&amp;" (ADA), ","")&amp;IF(AND(ISNUMBER($AV191),ISNUMBER($BL191),N($AV191)&lt;IF(N($BL191)&lt;=60,2,IF(N($BL191)&lt;=90,3,IF(N($BL191)&lt;=120,4,5)))),"fewer hinges than standard, ",""))</f>
        <v/>
      </c>
    </row>
    <row r="192" ht="15" customHeight="1">
      <c r="A192" s="77" t="n"/>
      <c r="B192" s="78" t="n"/>
      <c r="C192" s="78" t="n"/>
      <c r="D192" s="78" t="n"/>
      <c r="E192" s="78" t="n"/>
      <c r="F192" s="78" t="n"/>
      <c r="G192" s="78" t="n"/>
      <c r="H192" s="78" t="n"/>
      <c r="I192" s="78" t="n"/>
      <c r="J192" s="78" t="n"/>
      <c r="K192" s="78" t="n"/>
      <c r="L192" s="78" t="n"/>
      <c r="M192" s="78" t="n"/>
      <c r="N192" s="78" t="n"/>
      <c r="O192" s="78" t="n"/>
      <c r="P192" s="78" t="n"/>
      <c r="Q192" s="78" t="n"/>
      <c r="R192" s="78" t="n"/>
      <c r="S192" s="79" t="n"/>
      <c r="T192" s="79" t="n"/>
      <c r="U192" s="79" t="n"/>
      <c r="V192" s="79" t="n"/>
      <c r="W192" s="79" t="n"/>
      <c r="X192" s="79" t="n"/>
      <c r="Y192" s="79" t="n"/>
      <c r="Z192" s="79" t="n"/>
      <c r="AA192" s="79" t="n"/>
      <c r="AB192" s="79" t="n"/>
      <c r="AC192" s="79" t="n"/>
      <c r="AD192" s="79" t="n"/>
      <c r="AE192" s="79" t="n"/>
      <c r="AF192" s="79" t="n"/>
      <c r="AG192" s="79" t="n"/>
      <c r="AH192" s="80" t="n"/>
      <c r="AI192" s="80" t="n"/>
      <c r="AJ192" s="80" t="n"/>
      <c r="AK192" s="80" t="n"/>
      <c r="AL192" s="80" t="n"/>
      <c r="AM192" s="80" t="n"/>
      <c r="AN192" s="80" t="n"/>
      <c r="AO192" s="80" t="n"/>
      <c r="AP192" s="80" t="n"/>
      <c r="AQ192" s="80" t="n"/>
      <c r="AR192" s="80" t="n"/>
      <c r="AS192" s="80" t="n"/>
      <c r="AT192" s="81" t="n"/>
      <c r="AU192" s="81" t="n"/>
      <c r="AV192" s="81" t="n"/>
      <c r="AW192" s="82" t="n"/>
      <c r="AX192" s="82" t="n"/>
      <c r="AY192" s="82" t="n"/>
      <c r="AZ192" s="82" t="n"/>
      <c r="BA192" s="82" t="n"/>
      <c r="BB192" s="83" t="n"/>
      <c r="BC192" s="83" t="n"/>
      <c r="BD192" s="84">
        <f>IF($A192="","",IF($DJ192&lt;&gt;"","FIX",IF($DK192&lt;&gt;"","CHECK","OK")))</f>
        <v/>
      </c>
      <c r="BE192" s="85">
        <f>IF($A192="","",IF($DJ192&lt;&gt;"","FIX: "&amp;LEFT($DJ192,LEN($DJ192)-2)&amp;IF($DK192&lt;&gt;"","  ·  ",""),"")&amp;IF($DK192&lt;&gt;"","CHECK: "&amp;LEFT($DK192,LEN($DK192)-2),""))</f>
        <v/>
      </c>
      <c r="BF192" s="84">
        <f>IF(OR($A192="",$K192=""),"",$K192&amp;"'-"&amp;N($L192)&amp;CHAR(34)&amp;" x "&amp;$M192&amp;"'-"&amp;N($N192)&amp;CHAR(34))</f>
        <v/>
      </c>
      <c r="BG192" s="84">
        <f>IF(OR($A192="",$K192=""),"",$K192&amp;N($L192)&amp;$M192&amp;N($N192))</f>
        <v/>
      </c>
      <c r="BH192" s="84">
        <f>IF(OR($A192="",$K192=""),"",$K192*12+N($L192))</f>
        <v/>
      </c>
      <c r="BI192" s="84">
        <f>IF(OR($A192="",$M192=""),"",$M192*12+N($N192))</f>
        <v/>
      </c>
      <c r="BJ192" s="84">
        <f>IF($A192="","",IF(OR($C192="FRAME ONLY",$S192="BL"),0,IF($O192="Y",2,1)))</f>
        <v/>
      </c>
      <c r="BK192" s="86">
        <f>IF(OR(N($BJ192)=0,$BH192=""),"",($BH192-2*EdgeClr-IF($BJ192=2,MeetClr,0))/$BJ192)</f>
        <v/>
      </c>
      <c r="BL192" s="86">
        <f>IF(OR(N($BJ192)=0,$BI192=""),"",$BI192-HeadClr-Undercut)</f>
        <v/>
      </c>
      <c r="BM192" s="86">
        <f>IF($BH192="","",$BH192+2*FaceW+IF(N($Q192)&gt;0,($Q192+FaceW)*IF($R192="LR",2,1),0))</f>
        <v/>
      </c>
      <c r="BN192" s="86">
        <f>IF($BI192="","",$BI192+IF($AB192="Y",4,FaceW)+IF(N($P192)&gt;0,$P192+FaceW,0)+IF(OR($S192="4F",$S192="BL"),FaceW,0))</f>
        <v/>
      </c>
      <c r="BO192" s="86">
        <f>IF($BM192="","",$BM192+2*ROSide)</f>
        <v/>
      </c>
      <c r="BP192" s="86">
        <f>IF($BN192="","",$BN192+ROTop)</f>
        <v/>
      </c>
      <c r="BQ192" s="87">
        <f>IF(OR(N($BJ192)=0,$BH192=""),"",$BH192/$BJ192-ClearDeduct)</f>
        <v/>
      </c>
      <c r="BR192" s="84">
        <f>IF(N($CH192)=0,"",IF($CH192&gt;=180,"A · 3 HR",IF($CH192&gt;=90,"B · 1-1/2 HR",IF($CH192&gt;=60,"B · 1 HR",IF($CH192&gt;=45,"C · 3/4 HR","20 MIN")))))&amp;IF(AND(N($CH192)&gt;0,OR($I192="CORRIDOR",$I192="SMOKE BARRIER"))," · S","")</f>
        <v/>
      </c>
      <c r="BS192" s="84">
        <f>IF($CS192,"",IF($AV192&lt;&gt;"",$AV192,IF(OR($AC192="HGC",$AO192="HGC"),"CONT",IF(($BI192-HeadClr-Undercut)&lt;=60,2,IF(($BI192-HeadClr-Undercut)&lt;=90,3,IF(($BI192-HeadClr-Undercut)&lt;=120,4,5))))))</f>
        <v/>
      </c>
      <c r="BT192" s="84">
        <f>IF($CS192,"",IF($CT192,"CUSTOM (typed)",IF($CV192,$AT192&amp;" "&amp;$CU192&amp;CHAR(34)&amp;IF($CU192&lt;&gt;$BI192,IF(AND($BI192&lt;$CU192,$BI192-IF(N(VLOOKUP($AT192&amp;"|"&amp;$CU192,LocTable,7,FALSE))&gt;0,VLOOKUP($AT192&amp;"|"&amp;$CU192,LocTable,7,FALSE),VLOOKUP($AT192&amp;"|"&amp;$CU192,LocTable,6,FALSE))-$CR192-0.75&gt;=2.125)," cut down"," adj."),""),"ANSI/SDI A250.6")))</f>
        <v/>
      </c>
      <c r="BU192" s="88">
        <f>IF($CS192,"",IF($CT192,IF(N($AW192)&gt;0,N($AW192),""),IF(1&gt;$CQ192,"",IF($CQ192=1,$CW192,$CW192+($CX192-$CW192)*0/($CQ192-1)))))</f>
        <v/>
      </c>
      <c r="BV192" s="88">
        <f>IF($CS192,"",IF($CT192,IF(N($AX192)&gt;0,N($AX192),""),IF(2&gt;$CQ192,"",IF($CQ192=1,$CW192,$CW192+($CX192-$CW192)*1/($CQ192-1)))))</f>
        <v/>
      </c>
      <c r="BW192" s="88">
        <f>IF($CS192,"",IF($CT192,IF(N($AY192)&gt;0,N($AY192),""),IF(3&gt;$CQ192,"",IF($CQ192=1,$CW192,$CW192+($CX192-$CW192)*2/($CQ192-1)))))</f>
        <v/>
      </c>
      <c r="BX192" s="88">
        <f>IF($CS192,"",IF($CT192,IF(N($AZ192)&gt;0,N($AZ192),""),IF(4&gt;$CQ192,"",IF($CQ192=1,$CW192,$CW192+($CX192-$CW192)*3/($CQ192-1)))))</f>
        <v/>
      </c>
      <c r="BY192" s="88">
        <f>IF($CS192,"",IF($CT192,"",IF(5&gt;$CQ192,"",IF($CQ192=1,$CW192,$CW192+($CX192-$CW192)*4/($CQ192-1)))))</f>
        <v/>
      </c>
      <c r="BZ192" s="88">
        <f>IF(OR($CS192,$AP192="-",AND($AP192="",$AD192="")),"",IF(N($BA192)&gt;0,N($BA192),IF($CV192,IF(AND($BI192&lt;$CU192,$BI192-IF(N(VLOOKUP($AT192&amp;"|"&amp;$CU192,LocTable,7,FALSE))&gt;0,VLOOKUP($AT192&amp;"|"&amp;$CU192,LocTable,7,FALSE),VLOOKUP($AT192&amp;"|"&amp;$CU192,LocTable,6,FALSE))-$CR192-0.75&gt;=2.125),VLOOKUP($AT192&amp;"|"&amp;$CU192,LocTable,8,FALSE),VLOOKUP($AT192&amp;"|"&amp;$CU192,LocTable,8,FALSE)+($BI192-$CU192)),$BI192-LockAFF)))</f>
        <v/>
      </c>
      <c r="CA192" s="89">
        <f>IF($BZ192="","",$BI192-$BZ192)</f>
        <v/>
      </c>
      <c r="CB192" s="84">
        <f>IF(OR(NOT(AND($A192&lt;&gt;"",$C192&lt;&gt;"DOOR ONLY")),$BI192=""),"",IF(($BI192+IF(N($P192)&gt;0,$P192+FaceW,0))&lt;=90,3,IF(($BI192+IF(N($P192)&gt;0,$P192+FaceW,0))&lt;=114,4,5)))</f>
        <v/>
      </c>
      <c r="CC192" s="84">
        <f>IF($CB192="","",$CB192*(2+IF(N($Q192)&gt;0,IF($R192="LR",2,1),0)))</f>
        <v/>
      </c>
      <c r="CD192" s="84">
        <f>IF($CB192="","",(2+IF(N($Q192)&gt;0,IF($R192="LR",2,1),0)))</f>
        <v/>
      </c>
      <c r="CE192" s="84">
        <f>IF(N($BJ192)=0,"",IF(OR($AL192="",$AL192="FLUSH"),"FLUSH",IFERROR(LEFT($AL192,FIND("-",$AL192)-1),LEFT($AL192,2))))</f>
        <v/>
      </c>
      <c r="CF192" s="84">
        <f>IF($CE192="","",IFERROR(VALUE(MID($AL192,FIND("-",$AL192)+1,FIND(CHAR(34)&amp;"x",$AL192)-FIND("-",$AL192)-1)),0))</f>
        <v/>
      </c>
      <c r="CG192" s="84">
        <f>IF($CE192="","",IFERROR(VALUE(MID($AL192,FIND(CHAR(34)&amp;"x",$AL192)+2,FIND(CHAR(34),$AL192,FIND(CHAR(34)&amp;"x",$AL192)+2)-FIND(CHAR(34)&amp;"x",$AL192)-2)),0))</f>
        <v/>
      </c>
      <c r="CH192" s="90">
        <f>IF(OR($A192="",$H192="",$H192="NO LAB"),0,IFERROR(VALUE(LEFT($H192,FIND(" ",$H192)-1)),0))</f>
        <v/>
      </c>
      <c r="CI192" s="91">
        <f>IF(OR($A192="",$I192="",$I192="NON-RATED",N($J192)=0),"",IFERROR(VLOOKUP($I192&amp;"|"&amp;$J192,IBC,2,FALSE),"?"))</f>
        <v/>
      </c>
      <c r="CJ192" s="85">
        <f>IF(NOT(AND($A192&lt;&gt;"",$C192&lt;&gt;"DOOR ONLY")),"",TRIM(IFERROR(VLOOKUP($U192,CODES,2,FALSE),"")&amp;" "&amp;$BG192&amp;" "&amp;IFERROR(VLOOKUP($Z192,CODES,2,FALSE),"")&amp;" "&amp;IFERROR(VLOOKUP($X192,CODES,2,FALSE),"")&amp;" "&amp;IFERROR(VLOOKUP($S192,CODES,2,FALSE),"")&amp;IF(N($P192)&gt;0," w/TRANSOM "&amp;$P192&amp;CHAR(34),"")&amp;IF(N($Q192)&gt;0," w/SIDELITE "&amp;$Q192&amp;CHAR(34)&amp;" "&amp;IF($R192="","R",$R192),"")&amp;IF($Y192="","  |  "," | "&amp;IFERROR(VLOOKUP($Y192,CODES,2,FALSE),"")&amp;" | ")&amp;IFERROR(VLOOKUP($AC192,CODES,2,FALSE),"")&amp;" "&amp;IFERROR(VLOOKUP($AD192,CODES,2,FALSE),"")&amp;IF(OR($AE192="",$AE192="-"),""," "&amp;$AE192)&amp;IF(OR($AF192="",$AF192="-"),""," "&amp;$AF192)&amp;IF($AB192="Y"," 4"&amp;CHAR(34)&amp;" HEAD","")&amp;" "&amp;IFERROR(VLOOKUP($H192,CODES,2,FALSE),"")&amp;IF($CT192," | LOC "&amp;$CY192,"")))</f>
        <v/>
      </c>
      <c r="CK192" s="85">
        <f>IF(NOT(AND($A192&lt;&gt;"",N($BJ192)&gt;0)),"",TRIM(IFERROR(VLOOKUP($AH192,CODES,2,FALSE),"")&amp;IF($AI192=""," "," "&amp;$AI192&amp;"GA ")&amp;$BG192&amp;" "&amp;IF($AN192="",IFERROR(VLOOKUP($Z192,CODES,2,FALSE),""),IFERROR(VLOOKUP($AN192,CODES,2,FALSE),""))&amp;IF($BJ192=2," PAIR","")&amp;" DOOR | "&amp;IF($AL192="","?",$AL192)&amp;" | "&amp;IF($AO192="",IFERROR(VLOOKUP($AC192,CODES,2,FALSE),""),IFERROR(VLOOKUP($AO192,CODES,2,FALSE),""))&amp;" "&amp;IFERROR(VLOOKUP($AP192,CODES,2,FALSE),"")&amp;IF(OR($AQ192="",$AQ192="-"),""," SEAM "&amp;$AQ192)&amp;IF($AR192="Y"," ASTRAGAL","")&amp;IF($AJ192=""," "," "&amp;$AJ192)&amp;IF($AK192=""," "," "&amp;$AK192)&amp;IF(OR($AT192="",$AT192="ANSI/SDI",$AT192="CUSTOM LOC"),""," "&amp;$AT192)&amp;IF($AM192=""," "," SERIES "&amp;$AM192)&amp;" "&amp;IFERROR(VLOOKUP($H192,CODES,2,FALSE),"")&amp;IF($CT192," | LOC "&amp;$CZ192,"")))</f>
        <v/>
      </c>
      <c r="CL192" s="84">
        <f>IF(CP192="","",IF(COUNTIF($CP$6:CP192,CP192)=1,MAX($CL$5:CL191)+1,INDEX($CL$5:CL191,MATCH(CP192,$CP$5:CP191,0))))</f>
        <v/>
      </c>
      <c r="CM192" s="84">
        <f>IF(NOT(AND($A192&lt;&gt;"",$C192&lt;&gt;"DOOR ONLY")),"",MAX($CM$5:CM191)+1)</f>
        <v/>
      </c>
      <c r="CN192" s="84">
        <f>IF(NOT(AND($A192&lt;&gt;"",N($BJ192)&gt;0)),"",MAX($CN$5:CN191)+1)</f>
        <v/>
      </c>
      <c r="CO192" s="84">
        <f>IF($A192="","",MAX($CO$5:CO191)+1)</f>
        <v/>
      </c>
      <c r="CP192" s="84">
        <f>IF(OR($A192="",$BH192="",$BI192=""),"",$BG192&amp;"|"&amp;$O192&amp;"|"&amp;$AL192&amp;"|"&amp;$S192&amp;"|"&amp;$P192&amp;"|"&amp;$Q192&amp;$R192&amp;"|"&amp;$C192&amp;"|"&amp;$AB192)</f>
        <v/>
      </c>
      <c r="CQ192" s="84">
        <f>N($BS192)</f>
        <v/>
      </c>
      <c r="CR192" s="84">
        <f>IF(N($AU192)&gt;0,N($AU192),4.5)</f>
        <v/>
      </c>
      <c r="CS192" s="84">
        <f>OR($A192="",$BI192="",$S192="BL",AND($C192="FRAME ONLY",OR($AC192="",$AC192="BLK")))</f>
        <v/>
      </c>
      <c r="CT192" s="84">
        <f>AND(NOT($CS192),OR($AT192="CUSTOM LOC",N($AW192)+N($AX192)+N($AY192)+N($AZ192)+N($BA192)&gt;0))</f>
        <v/>
      </c>
      <c r="CU192" s="84">
        <f>IF($BI192="","",IF($BI192&lt;=80,80,IF($BI192&lt;=84,84,96)))</f>
        <v/>
      </c>
      <c r="CV192" s="84">
        <f>ISNUMBER(MATCH($AT192&amp;"|80",LocKeys,0))</f>
        <v/>
      </c>
      <c r="CW192" s="86">
        <f>IF($CS192,"",IF($CV192,VLOOKUP($AT192&amp;"|"&amp;$CU192,LocTable,4,FALSE),5))</f>
        <v/>
      </c>
      <c r="CX192" s="86">
        <f>IF($CS192,"",IF($CV192,IF(OR($BI192=$CU192,AND($BI192&lt;$CU192,$BI192-IF(N(VLOOKUP($AT192&amp;"|"&amp;$CU192,LocTable,7,FALSE))&gt;0,VLOOKUP($AT192&amp;"|"&amp;$CU192,LocTable,7,FALSE),VLOOKUP($AT192&amp;"|"&amp;$CU192,LocTable,6,FALSE))-$CR192-0.75&gt;=2.125)),IF(N(VLOOKUP($AT192&amp;"|"&amp;$CU192,LocTable,7,FALSE))&gt;0,VLOOKUP($AT192&amp;"|"&amp;$CU192,LocTable,7,FALSE),VLOOKUP($AT192&amp;"|"&amp;$CU192,LocTable,6,FALSE)),$BI192-($CU192-IF(N(VLOOKUP($AT192&amp;"|"&amp;$CU192,LocTable,7,FALSE))&gt;0,VLOOKUP($AT192&amp;"|"&amp;$CU192,LocTable,7,FALSE),VLOOKUP($AT192&amp;"|"&amp;$CU192,LocTable,6,FALSE)))),$BI192-10-$CR192))</f>
        <v/>
      </c>
      <c r="CY192" s="85">
        <f>IF($CS192,"",TRIM(IF(ISNUMBER($BU192),"A "&amp;TRIM(TEXT($BU192,"# ?/??"))&amp;CHAR(34)&amp;"  ","")&amp;IF(ISNUMBER($BV192),"B "&amp;TRIM(TEXT($BV192,"# ?/??"))&amp;CHAR(34)&amp;"  ","")&amp;IF(ISNUMBER($BW192),"C "&amp;TRIM(TEXT($BW192,"# ?/??"))&amp;CHAR(34)&amp;"  ","")&amp;IF(ISNUMBER($BX192),"D "&amp;TRIM(TEXT($BX192,"# ?/??"))&amp;CHAR(34)&amp;"  ","")&amp;IF(ISNUMBER($BY192),"F "&amp;TRIM(TEXT($BY192,"# ?/??"))&amp;CHAR(34)&amp;"  ","")&amp;IF(ISNUMBER($BZ192),"E "&amp;TRIM(TEXT($BZ192,"# ?/??"))&amp;CHAR(34)&amp;"  ","")))</f>
        <v/>
      </c>
      <c r="CZ192" s="85">
        <f>IF(OR($CS192,N($BJ192)=0),"",TRIM(IF(ISNUMBER($BU192),"A "&amp;TRIM(TEXT($BU192-HeadClr,"# ?/??"))&amp;CHAR(34)&amp;"  ","")&amp;IF(ISNUMBER($BV192),"B "&amp;TRIM(TEXT($BV192-HeadClr,"# ?/??"))&amp;CHAR(34)&amp;"  ","")&amp;IF(ISNUMBER($BW192),"C "&amp;TRIM(TEXT($BW192-HeadClr,"# ?/??"))&amp;CHAR(34)&amp;"  ","")&amp;IF(ISNUMBER($BX192),"D "&amp;TRIM(TEXT($BX192-HeadClr,"# ?/??"))&amp;CHAR(34)&amp;"  ","")&amp;IF(ISNUMBER($BY192),"F "&amp;TRIM(TEXT($BY192-HeadClr,"# ?/??"))&amp;CHAR(34)&amp;"  ","")&amp;IF(ISNUMBER($BZ192),"E "&amp;TRIM(TEXT($BZ192-HeadClr,"# ?/??"))&amp;CHAR(34)&amp;"  ","")))</f>
        <v/>
      </c>
      <c r="DA192" s="84">
        <f>IF($A192="","",IF($AN192="",IFERROR(VLOOKUP($Z192,CODES,2,FALSE),""),IFERROR(VLOOKUP($AN192,CODES,2,FALSE),"")))</f>
        <v/>
      </c>
      <c r="DB192" s="84">
        <f>IF($A192="","",IF($O192="Y","PR",IF(OR($Z192="L",$Z192="RR",LEFT($Z192,2)="L-",LEFT($Z192,3)="RR-"),"LH","RH")))</f>
        <v/>
      </c>
      <c r="DC192" s="84">
        <f>IF($A192="","","S.HM"&amp;IF(OR($C192="DOOR ONLY",$X192&lt;&gt;"KD"),"MASONRY","DRYWALL")&amp;IF($C192="DOOR ONLY","",$U192)&amp;IF(AND($C192&lt;&gt;"FRAME ONLY",OR(LEFT($AH192,3)="OAK",LEFT($AH192,3)="BIR",LEFT($AH192,3)="MAP",$AH192="PC",$AH192="MC",$AH192="SCLC",$AH192="P-LAM")),"WD","HM")&amp;"1.75")</f>
        <v/>
      </c>
      <c r="DD192" s="84">
        <f>IF($CJ192="","",IF($O192="Y",$CJ192,SUBSTITUTE($CJ192,$BG192&amp;" "&amp;IFERROR(VLOOKUP($Z192,CODES,2,FALSE),"")&amp;" ",$BG192&amp;" ")))</f>
        <v/>
      </c>
      <c r="DE192" s="84">
        <f>IF($CK192="","",IF($O192="Y",$CK192,SUBSTITUTE($CK192,$BG192&amp;" "&amp;IF($AN192="",IFERROR(VLOOKUP($Z192,CODES,2,FALSE),""),IFERROR(VLOOKUP($AN192,CODES,2,FALSE),""))&amp;" ",$BG192&amp;" ")))</f>
        <v/>
      </c>
      <c r="DF192" s="84">
        <f>IF($CJ192="","",$DC192&amp;"|"&amp;$DD192&amp;"|"&amp;$DB192&amp;"|"&amp;$AT192&amp;"|"&amp;$V192&amp;"|"&amp;$Y192&amp;"|"&amp;$AB192)</f>
        <v/>
      </c>
      <c r="DG192" s="84">
        <f>IF(DF192="","",IF(COUNTIF($DF$6:DF192,DF192)=1,MAX($DG$5:DG191)+1,INDEX($DG$5:DG191,MATCH(DF192,$DF$5:DF191,0))))</f>
        <v/>
      </c>
      <c r="DH192" s="84">
        <f>IF($CK192="","",$DC192&amp;"|"&amp;$DE192&amp;"|"&amp;$AI192&amp;"|"&amp;$BK192&amp;"|"&amp;$BL192)</f>
        <v/>
      </c>
      <c r="DI192" s="84">
        <f>IF(DH192="","",IF(COUNTIF($DH$6:DH192,DH192)=1,MAX($DI$5:DI191)+1,INDEX($DI$5:DI191,MATCH(DH192,$DH$5:DH191,0))))</f>
        <v/>
      </c>
      <c r="DJ192" s="84">
        <f>IF($A192="","",IF($B192="","qty, ","")&amp;IF($C192="","scope, ","")&amp;IF(OR($K192="",$M192=""),"size, ","")&amp;IF(AND($A192&lt;&gt;"",$C192&lt;&gt;"DOOR ONLY"),IF($U192="","jamb depth, ","")&amp;IF($X192="","construction, ","")&amp;IF($Y192="","anchor, ","")&amp;IF($S192="","frame type, ",""),"")&amp;IF(AND(N($BJ192)&gt;0,$Z192=""),"hand, ","")&amp;IF(N($BJ192)&gt;0,IF($AH192="","door material, ","")&amp;IF($AL192="","face type, ","")&amp;IF($AP192="","lock prep, ","")&amp;IF(AND($AO192="",$AC192=""),"hinge prep, ",""),"")&amp;IF(AND($CH192&gt;0,$AH192="FRP"),"FRP cannot carry a label, ","")&amp;IF(AND($O192="Y",OR($Z192="L",$Z192="R",$Z192="LR",$Z192="RR")),"pair marked but hand is single, ","")&amp;IF(AND($O192&lt;&gt;"Y",OR($Z192="PR",AND(LEN($Z192)&gt;1,ISNUMBER(SEARCH("-",$Z192))))),"pair hand on a single door, ","")&amp;IF(AND(ISNUMBER($CI192),$CH192&lt;N($CI192)),"wall needs a "&amp;$CI192&amp;" min door, ","")&amp;IF(AND($CH192&gt;=180,AND(OR($CE192="FG",$CE192="HG",$CE192="FNV",$CE192="FV"),N($CF192)*N($CG192)&gt;100)),"180 min lite over 100 sq in, ","")&amp;IF(N($BK192)&gt;48,"leaf wider than 4'-0"&amp;CHAR(34)&amp;", ","")&amp;IF(AND($CT192,COUNT($AW192:$AZ192)=0,$CQ192&gt;0),"CUSTOM LOC with no locations typed, ",""))</f>
        <v/>
      </c>
      <c r="DK192" s="84">
        <f>IF($A192="","",IF(AND($CH192&gt;0,AND($A192&lt;&gt;"",$C192&lt;&gt;"DOOR ONLY"),$X192="KD",$E192="EXTERIOR"),"KD label on an exterior opening, ","")&amp;IF(AND($E192="EXTERIOR",OR(AND(AND($A192&lt;&gt;"",$C192&lt;&gt;"DOOR ONLY"),$W192="CR"),AND(N($BJ192)&gt;0,$AH192="CR"))),"exterior in CR steel (G9?), ","")&amp;IF(AND(ISNUMBER($BQ192),N($BQ192)&lt;32),"clear width ~"&amp;TEXT($BQ192,"0.0")&amp;CHAR(34)&amp;" under 32"&amp;CHAR(34)&amp;" (ADA), ","")&amp;IF(AND($CH192=90,AND(OR($CE192="FG",$CE192="HG",$CE192="FNV",$CE192="FV"),N($CF192)*N($CG192)&gt;100)),"90 min lite over 100 sq in (stair/exit), ","")&amp;IF(AND($CH192&gt;0,AND($A192&lt;&gt;"",$C192&lt;&gt;"DOOR ONLY"),OR($AF192="",$AF192="-")),"rated: closer reinf.?, ","")&amp;IF(OR($I192="CORRIDOR",$I192="SMOKE BARRIER"),"S label + smoke gasketing, ","")&amp;IF($CI192="?","wall type/hr not in IBC table, ","")&amp;IF(AND(N($BJ192)&gt;0,$BB192=""),"no hardware set, ","")&amp;IF(AND($BB192&lt;&gt;"",ISNA(MATCH($BB192&amp;"",HWSets,0))),"set "&amp;$BB192&amp;" not on HW Sets, ","")&amp;IF(N($BL192)&gt;96,"leaf over 8'-0"&amp;CHAR(34)&amp;" - check listing, ","")&amp;IF(AND($CT192,COUNT($AW192:$AZ192)&gt;0,COUNT($AW192:$AZ192)&lt;&gt;$CQ192),COUNT($AW192:$AZ192)&amp;" custom hinges typed, "&amp;$CQ192&amp;" expected, ","")&amp;IF(AND(ISNUMBER($CA192),OR(N($CA192)&lt;34,N($CA192)&gt;48)),"lock "&amp;TEXT($CA192,"0.0")&amp;CHAR(34)&amp;" AFF outside 34-48"&amp;CHAR(34)&amp;" (ADA), ","")&amp;IF(AND(ISNUMBER($AV192),ISNUMBER($BL192),N($AV192)&lt;IF(N($BL192)&lt;=60,2,IF(N($BL192)&lt;=90,3,IF(N($BL192)&lt;=120,4,5)))),"fewer hinges than standard, ",""))</f>
        <v/>
      </c>
    </row>
    <row r="193" ht="15" customHeight="1">
      <c r="A193" s="77" t="n"/>
      <c r="B193" s="78" t="n"/>
      <c r="C193" s="78" t="n"/>
      <c r="D193" s="78" t="n"/>
      <c r="E193" s="78" t="n"/>
      <c r="F193" s="78" t="n"/>
      <c r="G193" s="78" t="n"/>
      <c r="H193" s="78" t="n"/>
      <c r="I193" s="78" t="n"/>
      <c r="J193" s="78" t="n"/>
      <c r="K193" s="78" t="n"/>
      <c r="L193" s="78" t="n"/>
      <c r="M193" s="78" t="n"/>
      <c r="N193" s="78" t="n"/>
      <c r="O193" s="78" t="n"/>
      <c r="P193" s="78" t="n"/>
      <c r="Q193" s="78" t="n"/>
      <c r="R193" s="78" t="n"/>
      <c r="S193" s="79" t="n"/>
      <c r="T193" s="79" t="n"/>
      <c r="U193" s="79" t="n"/>
      <c r="V193" s="79" t="n"/>
      <c r="W193" s="79" t="n"/>
      <c r="X193" s="79" t="n"/>
      <c r="Y193" s="79" t="n"/>
      <c r="Z193" s="79" t="n"/>
      <c r="AA193" s="79" t="n"/>
      <c r="AB193" s="79" t="n"/>
      <c r="AC193" s="79" t="n"/>
      <c r="AD193" s="79" t="n"/>
      <c r="AE193" s="79" t="n"/>
      <c r="AF193" s="79" t="n"/>
      <c r="AG193" s="79" t="n"/>
      <c r="AH193" s="80" t="n"/>
      <c r="AI193" s="80" t="n"/>
      <c r="AJ193" s="80" t="n"/>
      <c r="AK193" s="80" t="n"/>
      <c r="AL193" s="80" t="n"/>
      <c r="AM193" s="80" t="n"/>
      <c r="AN193" s="80" t="n"/>
      <c r="AO193" s="80" t="n"/>
      <c r="AP193" s="80" t="n"/>
      <c r="AQ193" s="80" t="n"/>
      <c r="AR193" s="80" t="n"/>
      <c r="AS193" s="80" t="n"/>
      <c r="AT193" s="81" t="n"/>
      <c r="AU193" s="81" t="n"/>
      <c r="AV193" s="81" t="n"/>
      <c r="AW193" s="82" t="n"/>
      <c r="AX193" s="82" t="n"/>
      <c r="AY193" s="82" t="n"/>
      <c r="AZ193" s="82" t="n"/>
      <c r="BA193" s="82" t="n"/>
      <c r="BB193" s="83" t="n"/>
      <c r="BC193" s="83" t="n"/>
      <c r="BD193" s="84">
        <f>IF($A193="","",IF($DJ193&lt;&gt;"","FIX",IF($DK193&lt;&gt;"","CHECK","OK")))</f>
        <v/>
      </c>
      <c r="BE193" s="85">
        <f>IF($A193="","",IF($DJ193&lt;&gt;"","FIX: "&amp;LEFT($DJ193,LEN($DJ193)-2)&amp;IF($DK193&lt;&gt;"","  ·  ",""),"")&amp;IF($DK193&lt;&gt;"","CHECK: "&amp;LEFT($DK193,LEN($DK193)-2),""))</f>
        <v/>
      </c>
      <c r="BF193" s="84">
        <f>IF(OR($A193="",$K193=""),"",$K193&amp;"'-"&amp;N($L193)&amp;CHAR(34)&amp;" x "&amp;$M193&amp;"'-"&amp;N($N193)&amp;CHAR(34))</f>
        <v/>
      </c>
      <c r="BG193" s="84">
        <f>IF(OR($A193="",$K193=""),"",$K193&amp;N($L193)&amp;$M193&amp;N($N193))</f>
        <v/>
      </c>
      <c r="BH193" s="84">
        <f>IF(OR($A193="",$K193=""),"",$K193*12+N($L193))</f>
        <v/>
      </c>
      <c r="BI193" s="84">
        <f>IF(OR($A193="",$M193=""),"",$M193*12+N($N193))</f>
        <v/>
      </c>
      <c r="BJ193" s="84">
        <f>IF($A193="","",IF(OR($C193="FRAME ONLY",$S193="BL"),0,IF($O193="Y",2,1)))</f>
        <v/>
      </c>
      <c r="BK193" s="86">
        <f>IF(OR(N($BJ193)=0,$BH193=""),"",($BH193-2*EdgeClr-IF($BJ193=2,MeetClr,0))/$BJ193)</f>
        <v/>
      </c>
      <c r="BL193" s="86">
        <f>IF(OR(N($BJ193)=0,$BI193=""),"",$BI193-HeadClr-Undercut)</f>
        <v/>
      </c>
      <c r="BM193" s="86">
        <f>IF($BH193="","",$BH193+2*FaceW+IF(N($Q193)&gt;0,($Q193+FaceW)*IF($R193="LR",2,1),0))</f>
        <v/>
      </c>
      <c r="BN193" s="86">
        <f>IF($BI193="","",$BI193+IF($AB193="Y",4,FaceW)+IF(N($P193)&gt;0,$P193+FaceW,0)+IF(OR($S193="4F",$S193="BL"),FaceW,0))</f>
        <v/>
      </c>
      <c r="BO193" s="86">
        <f>IF($BM193="","",$BM193+2*ROSide)</f>
        <v/>
      </c>
      <c r="BP193" s="86">
        <f>IF($BN193="","",$BN193+ROTop)</f>
        <v/>
      </c>
      <c r="BQ193" s="87">
        <f>IF(OR(N($BJ193)=0,$BH193=""),"",$BH193/$BJ193-ClearDeduct)</f>
        <v/>
      </c>
      <c r="BR193" s="84">
        <f>IF(N($CH193)=0,"",IF($CH193&gt;=180,"A · 3 HR",IF($CH193&gt;=90,"B · 1-1/2 HR",IF($CH193&gt;=60,"B · 1 HR",IF($CH193&gt;=45,"C · 3/4 HR","20 MIN")))))&amp;IF(AND(N($CH193)&gt;0,OR($I193="CORRIDOR",$I193="SMOKE BARRIER"))," · S","")</f>
        <v/>
      </c>
      <c r="BS193" s="84">
        <f>IF($CS193,"",IF($AV193&lt;&gt;"",$AV193,IF(OR($AC193="HGC",$AO193="HGC"),"CONT",IF(($BI193-HeadClr-Undercut)&lt;=60,2,IF(($BI193-HeadClr-Undercut)&lt;=90,3,IF(($BI193-HeadClr-Undercut)&lt;=120,4,5))))))</f>
        <v/>
      </c>
      <c r="BT193" s="84">
        <f>IF($CS193,"",IF($CT193,"CUSTOM (typed)",IF($CV193,$AT193&amp;" "&amp;$CU193&amp;CHAR(34)&amp;IF($CU193&lt;&gt;$BI193,IF(AND($BI193&lt;$CU193,$BI193-IF(N(VLOOKUP($AT193&amp;"|"&amp;$CU193,LocTable,7,FALSE))&gt;0,VLOOKUP($AT193&amp;"|"&amp;$CU193,LocTable,7,FALSE),VLOOKUP($AT193&amp;"|"&amp;$CU193,LocTable,6,FALSE))-$CR193-0.75&gt;=2.125)," cut down"," adj."),""),"ANSI/SDI A250.6")))</f>
        <v/>
      </c>
      <c r="BU193" s="88">
        <f>IF($CS193,"",IF($CT193,IF(N($AW193)&gt;0,N($AW193),""),IF(1&gt;$CQ193,"",IF($CQ193=1,$CW193,$CW193+($CX193-$CW193)*0/($CQ193-1)))))</f>
        <v/>
      </c>
      <c r="BV193" s="88">
        <f>IF($CS193,"",IF($CT193,IF(N($AX193)&gt;0,N($AX193),""),IF(2&gt;$CQ193,"",IF($CQ193=1,$CW193,$CW193+($CX193-$CW193)*1/($CQ193-1)))))</f>
        <v/>
      </c>
      <c r="BW193" s="88">
        <f>IF($CS193,"",IF($CT193,IF(N($AY193)&gt;0,N($AY193),""),IF(3&gt;$CQ193,"",IF($CQ193=1,$CW193,$CW193+($CX193-$CW193)*2/($CQ193-1)))))</f>
        <v/>
      </c>
      <c r="BX193" s="88">
        <f>IF($CS193,"",IF($CT193,IF(N($AZ193)&gt;0,N($AZ193),""),IF(4&gt;$CQ193,"",IF($CQ193=1,$CW193,$CW193+($CX193-$CW193)*3/($CQ193-1)))))</f>
        <v/>
      </c>
      <c r="BY193" s="88">
        <f>IF($CS193,"",IF($CT193,"",IF(5&gt;$CQ193,"",IF($CQ193=1,$CW193,$CW193+($CX193-$CW193)*4/($CQ193-1)))))</f>
        <v/>
      </c>
      <c r="BZ193" s="88">
        <f>IF(OR($CS193,$AP193="-",AND($AP193="",$AD193="")),"",IF(N($BA193)&gt;0,N($BA193),IF($CV193,IF(AND($BI193&lt;$CU193,$BI193-IF(N(VLOOKUP($AT193&amp;"|"&amp;$CU193,LocTable,7,FALSE))&gt;0,VLOOKUP($AT193&amp;"|"&amp;$CU193,LocTable,7,FALSE),VLOOKUP($AT193&amp;"|"&amp;$CU193,LocTable,6,FALSE))-$CR193-0.75&gt;=2.125),VLOOKUP($AT193&amp;"|"&amp;$CU193,LocTable,8,FALSE),VLOOKUP($AT193&amp;"|"&amp;$CU193,LocTable,8,FALSE)+($BI193-$CU193)),$BI193-LockAFF)))</f>
        <v/>
      </c>
      <c r="CA193" s="89">
        <f>IF($BZ193="","",$BI193-$BZ193)</f>
        <v/>
      </c>
      <c r="CB193" s="84">
        <f>IF(OR(NOT(AND($A193&lt;&gt;"",$C193&lt;&gt;"DOOR ONLY")),$BI193=""),"",IF(($BI193+IF(N($P193)&gt;0,$P193+FaceW,0))&lt;=90,3,IF(($BI193+IF(N($P193)&gt;0,$P193+FaceW,0))&lt;=114,4,5)))</f>
        <v/>
      </c>
      <c r="CC193" s="84">
        <f>IF($CB193="","",$CB193*(2+IF(N($Q193)&gt;0,IF($R193="LR",2,1),0)))</f>
        <v/>
      </c>
      <c r="CD193" s="84">
        <f>IF($CB193="","",(2+IF(N($Q193)&gt;0,IF($R193="LR",2,1),0)))</f>
        <v/>
      </c>
      <c r="CE193" s="84">
        <f>IF(N($BJ193)=0,"",IF(OR($AL193="",$AL193="FLUSH"),"FLUSH",IFERROR(LEFT($AL193,FIND("-",$AL193)-1),LEFT($AL193,2))))</f>
        <v/>
      </c>
      <c r="CF193" s="84">
        <f>IF($CE193="","",IFERROR(VALUE(MID($AL193,FIND("-",$AL193)+1,FIND(CHAR(34)&amp;"x",$AL193)-FIND("-",$AL193)-1)),0))</f>
        <v/>
      </c>
      <c r="CG193" s="84">
        <f>IF($CE193="","",IFERROR(VALUE(MID($AL193,FIND(CHAR(34)&amp;"x",$AL193)+2,FIND(CHAR(34),$AL193,FIND(CHAR(34)&amp;"x",$AL193)+2)-FIND(CHAR(34)&amp;"x",$AL193)-2)),0))</f>
        <v/>
      </c>
      <c r="CH193" s="90">
        <f>IF(OR($A193="",$H193="",$H193="NO LAB"),0,IFERROR(VALUE(LEFT($H193,FIND(" ",$H193)-1)),0))</f>
        <v/>
      </c>
      <c r="CI193" s="91">
        <f>IF(OR($A193="",$I193="",$I193="NON-RATED",N($J193)=0),"",IFERROR(VLOOKUP($I193&amp;"|"&amp;$J193,IBC,2,FALSE),"?"))</f>
        <v/>
      </c>
      <c r="CJ193" s="85">
        <f>IF(NOT(AND($A193&lt;&gt;"",$C193&lt;&gt;"DOOR ONLY")),"",TRIM(IFERROR(VLOOKUP($U193,CODES,2,FALSE),"")&amp;" "&amp;$BG193&amp;" "&amp;IFERROR(VLOOKUP($Z193,CODES,2,FALSE),"")&amp;" "&amp;IFERROR(VLOOKUP($X193,CODES,2,FALSE),"")&amp;" "&amp;IFERROR(VLOOKUP($S193,CODES,2,FALSE),"")&amp;IF(N($P193)&gt;0," w/TRANSOM "&amp;$P193&amp;CHAR(34),"")&amp;IF(N($Q193)&gt;0," w/SIDELITE "&amp;$Q193&amp;CHAR(34)&amp;" "&amp;IF($R193="","R",$R193),"")&amp;IF($Y193="","  |  "," | "&amp;IFERROR(VLOOKUP($Y193,CODES,2,FALSE),"")&amp;" | ")&amp;IFERROR(VLOOKUP($AC193,CODES,2,FALSE),"")&amp;" "&amp;IFERROR(VLOOKUP($AD193,CODES,2,FALSE),"")&amp;IF(OR($AE193="",$AE193="-"),""," "&amp;$AE193)&amp;IF(OR($AF193="",$AF193="-"),""," "&amp;$AF193)&amp;IF($AB193="Y"," 4"&amp;CHAR(34)&amp;" HEAD","")&amp;" "&amp;IFERROR(VLOOKUP($H193,CODES,2,FALSE),"")&amp;IF($CT193," | LOC "&amp;$CY193,"")))</f>
        <v/>
      </c>
      <c r="CK193" s="85">
        <f>IF(NOT(AND($A193&lt;&gt;"",N($BJ193)&gt;0)),"",TRIM(IFERROR(VLOOKUP($AH193,CODES,2,FALSE),"")&amp;IF($AI193=""," "," "&amp;$AI193&amp;"GA ")&amp;$BG193&amp;" "&amp;IF($AN193="",IFERROR(VLOOKUP($Z193,CODES,2,FALSE),""),IFERROR(VLOOKUP($AN193,CODES,2,FALSE),""))&amp;IF($BJ193=2," PAIR","")&amp;" DOOR | "&amp;IF($AL193="","?",$AL193)&amp;" | "&amp;IF($AO193="",IFERROR(VLOOKUP($AC193,CODES,2,FALSE),""),IFERROR(VLOOKUP($AO193,CODES,2,FALSE),""))&amp;" "&amp;IFERROR(VLOOKUP($AP193,CODES,2,FALSE),"")&amp;IF(OR($AQ193="",$AQ193="-"),""," SEAM "&amp;$AQ193)&amp;IF($AR193="Y"," ASTRAGAL","")&amp;IF($AJ193=""," "," "&amp;$AJ193)&amp;IF($AK193=""," "," "&amp;$AK193)&amp;IF(OR($AT193="",$AT193="ANSI/SDI",$AT193="CUSTOM LOC"),""," "&amp;$AT193)&amp;IF($AM193=""," "," SERIES "&amp;$AM193)&amp;" "&amp;IFERROR(VLOOKUP($H193,CODES,2,FALSE),"")&amp;IF($CT193," | LOC "&amp;$CZ193,"")))</f>
        <v/>
      </c>
      <c r="CL193" s="84">
        <f>IF(CP193="","",IF(COUNTIF($CP$6:CP193,CP193)=1,MAX($CL$5:CL192)+1,INDEX($CL$5:CL192,MATCH(CP193,$CP$5:CP192,0))))</f>
        <v/>
      </c>
      <c r="CM193" s="84">
        <f>IF(NOT(AND($A193&lt;&gt;"",$C193&lt;&gt;"DOOR ONLY")),"",MAX($CM$5:CM192)+1)</f>
        <v/>
      </c>
      <c r="CN193" s="84">
        <f>IF(NOT(AND($A193&lt;&gt;"",N($BJ193)&gt;0)),"",MAX($CN$5:CN192)+1)</f>
        <v/>
      </c>
      <c r="CO193" s="84">
        <f>IF($A193="","",MAX($CO$5:CO192)+1)</f>
        <v/>
      </c>
      <c r="CP193" s="84">
        <f>IF(OR($A193="",$BH193="",$BI193=""),"",$BG193&amp;"|"&amp;$O193&amp;"|"&amp;$AL193&amp;"|"&amp;$S193&amp;"|"&amp;$P193&amp;"|"&amp;$Q193&amp;$R193&amp;"|"&amp;$C193&amp;"|"&amp;$AB193)</f>
        <v/>
      </c>
      <c r="CQ193" s="84">
        <f>N($BS193)</f>
        <v/>
      </c>
      <c r="CR193" s="84">
        <f>IF(N($AU193)&gt;0,N($AU193),4.5)</f>
        <v/>
      </c>
      <c r="CS193" s="84">
        <f>OR($A193="",$BI193="",$S193="BL",AND($C193="FRAME ONLY",OR($AC193="",$AC193="BLK")))</f>
        <v/>
      </c>
      <c r="CT193" s="84">
        <f>AND(NOT($CS193),OR($AT193="CUSTOM LOC",N($AW193)+N($AX193)+N($AY193)+N($AZ193)+N($BA193)&gt;0))</f>
        <v/>
      </c>
      <c r="CU193" s="84">
        <f>IF($BI193="","",IF($BI193&lt;=80,80,IF($BI193&lt;=84,84,96)))</f>
        <v/>
      </c>
      <c r="CV193" s="84">
        <f>ISNUMBER(MATCH($AT193&amp;"|80",LocKeys,0))</f>
        <v/>
      </c>
      <c r="CW193" s="86">
        <f>IF($CS193,"",IF($CV193,VLOOKUP($AT193&amp;"|"&amp;$CU193,LocTable,4,FALSE),5))</f>
        <v/>
      </c>
      <c r="CX193" s="86">
        <f>IF($CS193,"",IF($CV193,IF(OR($BI193=$CU193,AND($BI193&lt;$CU193,$BI193-IF(N(VLOOKUP($AT193&amp;"|"&amp;$CU193,LocTable,7,FALSE))&gt;0,VLOOKUP($AT193&amp;"|"&amp;$CU193,LocTable,7,FALSE),VLOOKUP($AT193&amp;"|"&amp;$CU193,LocTable,6,FALSE))-$CR193-0.75&gt;=2.125)),IF(N(VLOOKUP($AT193&amp;"|"&amp;$CU193,LocTable,7,FALSE))&gt;0,VLOOKUP($AT193&amp;"|"&amp;$CU193,LocTable,7,FALSE),VLOOKUP($AT193&amp;"|"&amp;$CU193,LocTable,6,FALSE)),$BI193-($CU193-IF(N(VLOOKUP($AT193&amp;"|"&amp;$CU193,LocTable,7,FALSE))&gt;0,VLOOKUP($AT193&amp;"|"&amp;$CU193,LocTable,7,FALSE),VLOOKUP($AT193&amp;"|"&amp;$CU193,LocTable,6,FALSE)))),$BI193-10-$CR193))</f>
        <v/>
      </c>
      <c r="CY193" s="85">
        <f>IF($CS193,"",TRIM(IF(ISNUMBER($BU193),"A "&amp;TRIM(TEXT($BU193,"# ?/??"))&amp;CHAR(34)&amp;"  ","")&amp;IF(ISNUMBER($BV193),"B "&amp;TRIM(TEXT($BV193,"# ?/??"))&amp;CHAR(34)&amp;"  ","")&amp;IF(ISNUMBER($BW193),"C "&amp;TRIM(TEXT($BW193,"# ?/??"))&amp;CHAR(34)&amp;"  ","")&amp;IF(ISNUMBER($BX193),"D "&amp;TRIM(TEXT($BX193,"# ?/??"))&amp;CHAR(34)&amp;"  ","")&amp;IF(ISNUMBER($BY193),"F "&amp;TRIM(TEXT($BY193,"# ?/??"))&amp;CHAR(34)&amp;"  ","")&amp;IF(ISNUMBER($BZ193),"E "&amp;TRIM(TEXT($BZ193,"# ?/??"))&amp;CHAR(34)&amp;"  ","")))</f>
        <v/>
      </c>
      <c r="CZ193" s="85">
        <f>IF(OR($CS193,N($BJ193)=0),"",TRIM(IF(ISNUMBER($BU193),"A "&amp;TRIM(TEXT($BU193-HeadClr,"# ?/??"))&amp;CHAR(34)&amp;"  ","")&amp;IF(ISNUMBER($BV193),"B "&amp;TRIM(TEXT($BV193-HeadClr,"# ?/??"))&amp;CHAR(34)&amp;"  ","")&amp;IF(ISNUMBER($BW193),"C "&amp;TRIM(TEXT($BW193-HeadClr,"# ?/??"))&amp;CHAR(34)&amp;"  ","")&amp;IF(ISNUMBER($BX193),"D "&amp;TRIM(TEXT($BX193-HeadClr,"# ?/??"))&amp;CHAR(34)&amp;"  ","")&amp;IF(ISNUMBER($BY193),"F "&amp;TRIM(TEXT($BY193-HeadClr,"# ?/??"))&amp;CHAR(34)&amp;"  ","")&amp;IF(ISNUMBER($BZ193),"E "&amp;TRIM(TEXT($BZ193-HeadClr,"# ?/??"))&amp;CHAR(34)&amp;"  ","")))</f>
        <v/>
      </c>
      <c r="DA193" s="84">
        <f>IF($A193="","",IF($AN193="",IFERROR(VLOOKUP($Z193,CODES,2,FALSE),""),IFERROR(VLOOKUP($AN193,CODES,2,FALSE),"")))</f>
        <v/>
      </c>
      <c r="DB193" s="84">
        <f>IF($A193="","",IF($O193="Y","PR",IF(OR($Z193="L",$Z193="RR",LEFT($Z193,2)="L-",LEFT($Z193,3)="RR-"),"LH","RH")))</f>
        <v/>
      </c>
      <c r="DC193" s="84">
        <f>IF($A193="","","S.HM"&amp;IF(OR($C193="DOOR ONLY",$X193&lt;&gt;"KD"),"MASONRY","DRYWALL")&amp;IF($C193="DOOR ONLY","",$U193)&amp;IF(AND($C193&lt;&gt;"FRAME ONLY",OR(LEFT($AH193,3)="OAK",LEFT($AH193,3)="BIR",LEFT($AH193,3)="MAP",$AH193="PC",$AH193="MC",$AH193="SCLC",$AH193="P-LAM")),"WD","HM")&amp;"1.75")</f>
        <v/>
      </c>
      <c r="DD193" s="84">
        <f>IF($CJ193="","",IF($O193="Y",$CJ193,SUBSTITUTE($CJ193,$BG193&amp;" "&amp;IFERROR(VLOOKUP($Z193,CODES,2,FALSE),"")&amp;" ",$BG193&amp;" ")))</f>
        <v/>
      </c>
      <c r="DE193" s="84">
        <f>IF($CK193="","",IF($O193="Y",$CK193,SUBSTITUTE($CK193,$BG193&amp;" "&amp;IF($AN193="",IFERROR(VLOOKUP($Z193,CODES,2,FALSE),""),IFERROR(VLOOKUP($AN193,CODES,2,FALSE),""))&amp;" ",$BG193&amp;" ")))</f>
        <v/>
      </c>
      <c r="DF193" s="84">
        <f>IF($CJ193="","",$DC193&amp;"|"&amp;$DD193&amp;"|"&amp;$DB193&amp;"|"&amp;$AT193&amp;"|"&amp;$V193&amp;"|"&amp;$Y193&amp;"|"&amp;$AB193)</f>
        <v/>
      </c>
      <c r="DG193" s="84">
        <f>IF(DF193="","",IF(COUNTIF($DF$6:DF193,DF193)=1,MAX($DG$5:DG192)+1,INDEX($DG$5:DG192,MATCH(DF193,$DF$5:DF192,0))))</f>
        <v/>
      </c>
      <c r="DH193" s="84">
        <f>IF($CK193="","",$DC193&amp;"|"&amp;$DE193&amp;"|"&amp;$AI193&amp;"|"&amp;$BK193&amp;"|"&amp;$BL193)</f>
        <v/>
      </c>
      <c r="DI193" s="84">
        <f>IF(DH193="","",IF(COUNTIF($DH$6:DH193,DH193)=1,MAX($DI$5:DI192)+1,INDEX($DI$5:DI192,MATCH(DH193,$DH$5:DH192,0))))</f>
        <v/>
      </c>
      <c r="DJ193" s="84">
        <f>IF($A193="","",IF($B193="","qty, ","")&amp;IF($C193="","scope, ","")&amp;IF(OR($K193="",$M193=""),"size, ","")&amp;IF(AND($A193&lt;&gt;"",$C193&lt;&gt;"DOOR ONLY"),IF($U193="","jamb depth, ","")&amp;IF($X193="","construction, ","")&amp;IF($Y193="","anchor, ","")&amp;IF($S193="","frame type, ",""),"")&amp;IF(AND(N($BJ193)&gt;0,$Z193=""),"hand, ","")&amp;IF(N($BJ193)&gt;0,IF($AH193="","door material, ","")&amp;IF($AL193="","face type, ","")&amp;IF($AP193="","lock prep, ","")&amp;IF(AND($AO193="",$AC193=""),"hinge prep, ",""),"")&amp;IF(AND($CH193&gt;0,$AH193="FRP"),"FRP cannot carry a label, ","")&amp;IF(AND($O193="Y",OR($Z193="L",$Z193="R",$Z193="LR",$Z193="RR")),"pair marked but hand is single, ","")&amp;IF(AND($O193&lt;&gt;"Y",OR($Z193="PR",AND(LEN($Z193)&gt;1,ISNUMBER(SEARCH("-",$Z193))))),"pair hand on a single door, ","")&amp;IF(AND(ISNUMBER($CI193),$CH193&lt;N($CI193)),"wall needs a "&amp;$CI193&amp;" min door, ","")&amp;IF(AND($CH193&gt;=180,AND(OR($CE193="FG",$CE193="HG",$CE193="FNV",$CE193="FV"),N($CF193)*N($CG193)&gt;100)),"180 min lite over 100 sq in, ","")&amp;IF(N($BK193)&gt;48,"leaf wider than 4'-0"&amp;CHAR(34)&amp;", ","")&amp;IF(AND($CT193,COUNT($AW193:$AZ193)=0,$CQ193&gt;0),"CUSTOM LOC with no locations typed, ",""))</f>
        <v/>
      </c>
      <c r="DK193" s="84">
        <f>IF($A193="","",IF(AND($CH193&gt;0,AND($A193&lt;&gt;"",$C193&lt;&gt;"DOOR ONLY"),$X193="KD",$E193="EXTERIOR"),"KD label on an exterior opening, ","")&amp;IF(AND($E193="EXTERIOR",OR(AND(AND($A193&lt;&gt;"",$C193&lt;&gt;"DOOR ONLY"),$W193="CR"),AND(N($BJ193)&gt;0,$AH193="CR"))),"exterior in CR steel (G9?), ","")&amp;IF(AND(ISNUMBER($BQ193),N($BQ193)&lt;32),"clear width ~"&amp;TEXT($BQ193,"0.0")&amp;CHAR(34)&amp;" under 32"&amp;CHAR(34)&amp;" (ADA), ","")&amp;IF(AND($CH193=90,AND(OR($CE193="FG",$CE193="HG",$CE193="FNV",$CE193="FV"),N($CF193)*N($CG193)&gt;100)),"90 min lite over 100 sq in (stair/exit), ","")&amp;IF(AND($CH193&gt;0,AND($A193&lt;&gt;"",$C193&lt;&gt;"DOOR ONLY"),OR($AF193="",$AF193="-")),"rated: closer reinf.?, ","")&amp;IF(OR($I193="CORRIDOR",$I193="SMOKE BARRIER"),"S label + smoke gasketing, ","")&amp;IF($CI193="?","wall type/hr not in IBC table, ","")&amp;IF(AND(N($BJ193)&gt;0,$BB193=""),"no hardware set, ","")&amp;IF(AND($BB193&lt;&gt;"",ISNA(MATCH($BB193&amp;"",HWSets,0))),"set "&amp;$BB193&amp;" not on HW Sets, ","")&amp;IF(N($BL193)&gt;96,"leaf over 8'-0"&amp;CHAR(34)&amp;" - check listing, ","")&amp;IF(AND($CT193,COUNT($AW193:$AZ193)&gt;0,COUNT($AW193:$AZ193)&lt;&gt;$CQ193),COUNT($AW193:$AZ193)&amp;" custom hinges typed, "&amp;$CQ193&amp;" expected, ","")&amp;IF(AND(ISNUMBER($CA193),OR(N($CA193)&lt;34,N($CA193)&gt;48)),"lock "&amp;TEXT($CA193,"0.0")&amp;CHAR(34)&amp;" AFF outside 34-48"&amp;CHAR(34)&amp;" (ADA), ","")&amp;IF(AND(ISNUMBER($AV193),ISNUMBER($BL193),N($AV193)&lt;IF(N($BL193)&lt;=60,2,IF(N($BL193)&lt;=90,3,IF(N($BL193)&lt;=120,4,5)))),"fewer hinges than standard, ",""))</f>
        <v/>
      </c>
    </row>
    <row r="194" ht="15" customHeight="1">
      <c r="A194" s="77" t="n"/>
      <c r="B194" s="78" t="n"/>
      <c r="C194" s="78" t="n"/>
      <c r="D194" s="78" t="n"/>
      <c r="E194" s="78" t="n"/>
      <c r="F194" s="78" t="n"/>
      <c r="G194" s="78" t="n"/>
      <c r="H194" s="78" t="n"/>
      <c r="I194" s="78" t="n"/>
      <c r="J194" s="78" t="n"/>
      <c r="K194" s="78" t="n"/>
      <c r="L194" s="78" t="n"/>
      <c r="M194" s="78" t="n"/>
      <c r="N194" s="78" t="n"/>
      <c r="O194" s="78" t="n"/>
      <c r="P194" s="78" t="n"/>
      <c r="Q194" s="78" t="n"/>
      <c r="R194" s="78" t="n"/>
      <c r="S194" s="79" t="n"/>
      <c r="T194" s="79" t="n"/>
      <c r="U194" s="79" t="n"/>
      <c r="V194" s="79" t="n"/>
      <c r="W194" s="79" t="n"/>
      <c r="X194" s="79" t="n"/>
      <c r="Y194" s="79" t="n"/>
      <c r="Z194" s="79" t="n"/>
      <c r="AA194" s="79" t="n"/>
      <c r="AB194" s="79" t="n"/>
      <c r="AC194" s="79" t="n"/>
      <c r="AD194" s="79" t="n"/>
      <c r="AE194" s="79" t="n"/>
      <c r="AF194" s="79" t="n"/>
      <c r="AG194" s="79" t="n"/>
      <c r="AH194" s="80" t="n"/>
      <c r="AI194" s="80" t="n"/>
      <c r="AJ194" s="80" t="n"/>
      <c r="AK194" s="80" t="n"/>
      <c r="AL194" s="80" t="n"/>
      <c r="AM194" s="80" t="n"/>
      <c r="AN194" s="80" t="n"/>
      <c r="AO194" s="80" t="n"/>
      <c r="AP194" s="80" t="n"/>
      <c r="AQ194" s="80" t="n"/>
      <c r="AR194" s="80" t="n"/>
      <c r="AS194" s="80" t="n"/>
      <c r="AT194" s="81" t="n"/>
      <c r="AU194" s="81" t="n"/>
      <c r="AV194" s="81" t="n"/>
      <c r="AW194" s="82" t="n"/>
      <c r="AX194" s="82" t="n"/>
      <c r="AY194" s="82" t="n"/>
      <c r="AZ194" s="82" t="n"/>
      <c r="BA194" s="82" t="n"/>
      <c r="BB194" s="83" t="n"/>
      <c r="BC194" s="83" t="n"/>
      <c r="BD194" s="84">
        <f>IF($A194="","",IF($DJ194&lt;&gt;"","FIX",IF($DK194&lt;&gt;"","CHECK","OK")))</f>
        <v/>
      </c>
      <c r="BE194" s="85">
        <f>IF($A194="","",IF($DJ194&lt;&gt;"","FIX: "&amp;LEFT($DJ194,LEN($DJ194)-2)&amp;IF($DK194&lt;&gt;"","  ·  ",""),"")&amp;IF($DK194&lt;&gt;"","CHECK: "&amp;LEFT($DK194,LEN($DK194)-2),""))</f>
        <v/>
      </c>
      <c r="BF194" s="84">
        <f>IF(OR($A194="",$K194=""),"",$K194&amp;"'-"&amp;N($L194)&amp;CHAR(34)&amp;" x "&amp;$M194&amp;"'-"&amp;N($N194)&amp;CHAR(34))</f>
        <v/>
      </c>
      <c r="BG194" s="84">
        <f>IF(OR($A194="",$K194=""),"",$K194&amp;N($L194)&amp;$M194&amp;N($N194))</f>
        <v/>
      </c>
      <c r="BH194" s="84">
        <f>IF(OR($A194="",$K194=""),"",$K194*12+N($L194))</f>
        <v/>
      </c>
      <c r="BI194" s="84">
        <f>IF(OR($A194="",$M194=""),"",$M194*12+N($N194))</f>
        <v/>
      </c>
      <c r="BJ194" s="84">
        <f>IF($A194="","",IF(OR($C194="FRAME ONLY",$S194="BL"),0,IF($O194="Y",2,1)))</f>
        <v/>
      </c>
      <c r="BK194" s="86">
        <f>IF(OR(N($BJ194)=0,$BH194=""),"",($BH194-2*EdgeClr-IF($BJ194=2,MeetClr,0))/$BJ194)</f>
        <v/>
      </c>
      <c r="BL194" s="86">
        <f>IF(OR(N($BJ194)=0,$BI194=""),"",$BI194-HeadClr-Undercut)</f>
        <v/>
      </c>
      <c r="BM194" s="86">
        <f>IF($BH194="","",$BH194+2*FaceW+IF(N($Q194)&gt;0,($Q194+FaceW)*IF($R194="LR",2,1),0))</f>
        <v/>
      </c>
      <c r="BN194" s="86">
        <f>IF($BI194="","",$BI194+IF($AB194="Y",4,FaceW)+IF(N($P194)&gt;0,$P194+FaceW,0)+IF(OR($S194="4F",$S194="BL"),FaceW,0))</f>
        <v/>
      </c>
      <c r="BO194" s="86">
        <f>IF($BM194="","",$BM194+2*ROSide)</f>
        <v/>
      </c>
      <c r="BP194" s="86">
        <f>IF($BN194="","",$BN194+ROTop)</f>
        <v/>
      </c>
      <c r="BQ194" s="87">
        <f>IF(OR(N($BJ194)=0,$BH194=""),"",$BH194/$BJ194-ClearDeduct)</f>
        <v/>
      </c>
      <c r="BR194" s="84">
        <f>IF(N($CH194)=0,"",IF($CH194&gt;=180,"A · 3 HR",IF($CH194&gt;=90,"B · 1-1/2 HR",IF($CH194&gt;=60,"B · 1 HR",IF($CH194&gt;=45,"C · 3/4 HR","20 MIN")))))&amp;IF(AND(N($CH194)&gt;0,OR($I194="CORRIDOR",$I194="SMOKE BARRIER"))," · S","")</f>
        <v/>
      </c>
      <c r="BS194" s="84">
        <f>IF($CS194,"",IF($AV194&lt;&gt;"",$AV194,IF(OR($AC194="HGC",$AO194="HGC"),"CONT",IF(($BI194-HeadClr-Undercut)&lt;=60,2,IF(($BI194-HeadClr-Undercut)&lt;=90,3,IF(($BI194-HeadClr-Undercut)&lt;=120,4,5))))))</f>
        <v/>
      </c>
      <c r="BT194" s="84">
        <f>IF($CS194,"",IF($CT194,"CUSTOM (typed)",IF($CV194,$AT194&amp;" "&amp;$CU194&amp;CHAR(34)&amp;IF($CU194&lt;&gt;$BI194,IF(AND($BI194&lt;$CU194,$BI194-IF(N(VLOOKUP($AT194&amp;"|"&amp;$CU194,LocTable,7,FALSE))&gt;0,VLOOKUP($AT194&amp;"|"&amp;$CU194,LocTable,7,FALSE),VLOOKUP($AT194&amp;"|"&amp;$CU194,LocTable,6,FALSE))-$CR194-0.75&gt;=2.125)," cut down"," adj."),""),"ANSI/SDI A250.6")))</f>
        <v/>
      </c>
      <c r="BU194" s="88">
        <f>IF($CS194,"",IF($CT194,IF(N($AW194)&gt;0,N($AW194),""),IF(1&gt;$CQ194,"",IF($CQ194=1,$CW194,$CW194+($CX194-$CW194)*0/($CQ194-1)))))</f>
        <v/>
      </c>
      <c r="BV194" s="88">
        <f>IF($CS194,"",IF($CT194,IF(N($AX194)&gt;0,N($AX194),""),IF(2&gt;$CQ194,"",IF($CQ194=1,$CW194,$CW194+($CX194-$CW194)*1/($CQ194-1)))))</f>
        <v/>
      </c>
      <c r="BW194" s="88">
        <f>IF($CS194,"",IF($CT194,IF(N($AY194)&gt;0,N($AY194),""),IF(3&gt;$CQ194,"",IF($CQ194=1,$CW194,$CW194+($CX194-$CW194)*2/($CQ194-1)))))</f>
        <v/>
      </c>
      <c r="BX194" s="88">
        <f>IF($CS194,"",IF($CT194,IF(N($AZ194)&gt;0,N($AZ194),""),IF(4&gt;$CQ194,"",IF($CQ194=1,$CW194,$CW194+($CX194-$CW194)*3/($CQ194-1)))))</f>
        <v/>
      </c>
      <c r="BY194" s="88">
        <f>IF($CS194,"",IF($CT194,"",IF(5&gt;$CQ194,"",IF($CQ194=1,$CW194,$CW194+($CX194-$CW194)*4/($CQ194-1)))))</f>
        <v/>
      </c>
      <c r="BZ194" s="88">
        <f>IF(OR($CS194,$AP194="-",AND($AP194="",$AD194="")),"",IF(N($BA194)&gt;0,N($BA194),IF($CV194,IF(AND($BI194&lt;$CU194,$BI194-IF(N(VLOOKUP($AT194&amp;"|"&amp;$CU194,LocTable,7,FALSE))&gt;0,VLOOKUP($AT194&amp;"|"&amp;$CU194,LocTable,7,FALSE),VLOOKUP($AT194&amp;"|"&amp;$CU194,LocTable,6,FALSE))-$CR194-0.75&gt;=2.125),VLOOKUP($AT194&amp;"|"&amp;$CU194,LocTable,8,FALSE),VLOOKUP($AT194&amp;"|"&amp;$CU194,LocTable,8,FALSE)+($BI194-$CU194)),$BI194-LockAFF)))</f>
        <v/>
      </c>
      <c r="CA194" s="89">
        <f>IF($BZ194="","",$BI194-$BZ194)</f>
        <v/>
      </c>
      <c r="CB194" s="84">
        <f>IF(OR(NOT(AND($A194&lt;&gt;"",$C194&lt;&gt;"DOOR ONLY")),$BI194=""),"",IF(($BI194+IF(N($P194)&gt;0,$P194+FaceW,0))&lt;=90,3,IF(($BI194+IF(N($P194)&gt;0,$P194+FaceW,0))&lt;=114,4,5)))</f>
        <v/>
      </c>
      <c r="CC194" s="84">
        <f>IF($CB194="","",$CB194*(2+IF(N($Q194)&gt;0,IF($R194="LR",2,1),0)))</f>
        <v/>
      </c>
      <c r="CD194" s="84">
        <f>IF($CB194="","",(2+IF(N($Q194)&gt;0,IF($R194="LR",2,1),0)))</f>
        <v/>
      </c>
      <c r="CE194" s="84">
        <f>IF(N($BJ194)=0,"",IF(OR($AL194="",$AL194="FLUSH"),"FLUSH",IFERROR(LEFT($AL194,FIND("-",$AL194)-1),LEFT($AL194,2))))</f>
        <v/>
      </c>
      <c r="CF194" s="84">
        <f>IF($CE194="","",IFERROR(VALUE(MID($AL194,FIND("-",$AL194)+1,FIND(CHAR(34)&amp;"x",$AL194)-FIND("-",$AL194)-1)),0))</f>
        <v/>
      </c>
      <c r="CG194" s="84">
        <f>IF($CE194="","",IFERROR(VALUE(MID($AL194,FIND(CHAR(34)&amp;"x",$AL194)+2,FIND(CHAR(34),$AL194,FIND(CHAR(34)&amp;"x",$AL194)+2)-FIND(CHAR(34)&amp;"x",$AL194)-2)),0))</f>
        <v/>
      </c>
      <c r="CH194" s="90">
        <f>IF(OR($A194="",$H194="",$H194="NO LAB"),0,IFERROR(VALUE(LEFT($H194,FIND(" ",$H194)-1)),0))</f>
        <v/>
      </c>
      <c r="CI194" s="91">
        <f>IF(OR($A194="",$I194="",$I194="NON-RATED",N($J194)=0),"",IFERROR(VLOOKUP($I194&amp;"|"&amp;$J194,IBC,2,FALSE),"?"))</f>
        <v/>
      </c>
      <c r="CJ194" s="85">
        <f>IF(NOT(AND($A194&lt;&gt;"",$C194&lt;&gt;"DOOR ONLY")),"",TRIM(IFERROR(VLOOKUP($U194,CODES,2,FALSE),"")&amp;" "&amp;$BG194&amp;" "&amp;IFERROR(VLOOKUP($Z194,CODES,2,FALSE),"")&amp;" "&amp;IFERROR(VLOOKUP($X194,CODES,2,FALSE),"")&amp;" "&amp;IFERROR(VLOOKUP($S194,CODES,2,FALSE),"")&amp;IF(N($P194)&gt;0," w/TRANSOM "&amp;$P194&amp;CHAR(34),"")&amp;IF(N($Q194)&gt;0," w/SIDELITE "&amp;$Q194&amp;CHAR(34)&amp;" "&amp;IF($R194="","R",$R194),"")&amp;IF($Y194="","  |  "," | "&amp;IFERROR(VLOOKUP($Y194,CODES,2,FALSE),"")&amp;" | ")&amp;IFERROR(VLOOKUP($AC194,CODES,2,FALSE),"")&amp;" "&amp;IFERROR(VLOOKUP($AD194,CODES,2,FALSE),"")&amp;IF(OR($AE194="",$AE194="-"),""," "&amp;$AE194)&amp;IF(OR($AF194="",$AF194="-"),""," "&amp;$AF194)&amp;IF($AB194="Y"," 4"&amp;CHAR(34)&amp;" HEAD","")&amp;" "&amp;IFERROR(VLOOKUP($H194,CODES,2,FALSE),"")&amp;IF($CT194," | LOC "&amp;$CY194,"")))</f>
        <v/>
      </c>
      <c r="CK194" s="85">
        <f>IF(NOT(AND($A194&lt;&gt;"",N($BJ194)&gt;0)),"",TRIM(IFERROR(VLOOKUP($AH194,CODES,2,FALSE),"")&amp;IF($AI194=""," "," "&amp;$AI194&amp;"GA ")&amp;$BG194&amp;" "&amp;IF($AN194="",IFERROR(VLOOKUP($Z194,CODES,2,FALSE),""),IFERROR(VLOOKUP($AN194,CODES,2,FALSE),""))&amp;IF($BJ194=2," PAIR","")&amp;" DOOR | "&amp;IF($AL194="","?",$AL194)&amp;" | "&amp;IF($AO194="",IFERROR(VLOOKUP($AC194,CODES,2,FALSE),""),IFERROR(VLOOKUP($AO194,CODES,2,FALSE),""))&amp;" "&amp;IFERROR(VLOOKUP($AP194,CODES,2,FALSE),"")&amp;IF(OR($AQ194="",$AQ194="-"),""," SEAM "&amp;$AQ194)&amp;IF($AR194="Y"," ASTRAGAL","")&amp;IF($AJ194=""," "," "&amp;$AJ194)&amp;IF($AK194=""," "," "&amp;$AK194)&amp;IF(OR($AT194="",$AT194="ANSI/SDI",$AT194="CUSTOM LOC"),""," "&amp;$AT194)&amp;IF($AM194=""," "," SERIES "&amp;$AM194)&amp;" "&amp;IFERROR(VLOOKUP($H194,CODES,2,FALSE),"")&amp;IF($CT194," | LOC "&amp;$CZ194,"")))</f>
        <v/>
      </c>
      <c r="CL194" s="84">
        <f>IF(CP194="","",IF(COUNTIF($CP$6:CP194,CP194)=1,MAX($CL$5:CL193)+1,INDEX($CL$5:CL193,MATCH(CP194,$CP$5:CP193,0))))</f>
        <v/>
      </c>
      <c r="CM194" s="84">
        <f>IF(NOT(AND($A194&lt;&gt;"",$C194&lt;&gt;"DOOR ONLY")),"",MAX($CM$5:CM193)+1)</f>
        <v/>
      </c>
      <c r="CN194" s="84">
        <f>IF(NOT(AND($A194&lt;&gt;"",N($BJ194)&gt;0)),"",MAX($CN$5:CN193)+1)</f>
        <v/>
      </c>
      <c r="CO194" s="84">
        <f>IF($A194="","",MAX($CO$5:CO193)+1)</f>
        <v/>
      </c>
      <c r="CP194" s="84">
        <f>IF(OR($A194="",$BH194="",$BI194=""),"",$BG194&amp;"|"&amp;$O194&amp;"|"&amp;$AL194&amp;"|"&amp;$S194&amp;"|"&amp;$P194&amp;"|"&amp;$Q194&amp;$R194&amp;"|"&amp;$C194&amp;"|"&amp;$AB194)</f>
        <v/>
      </c>
      <c r="CQ194" s="84">
        <f>N($BS194)</f>
        <v/>
      </c>
      <c r="CR194" s="84">
        <f>IF(N($AU194)&gt;0,N($AU194),4.5)</f>
        <v/>
      </c>
      <c r="CS194" s="84">
        <f>OR($A194="",$BI194="",$S194="BL",AND($C194="FRAME ONLY",OR($AC194="",$AC194="BLK")))</f>
        <v/>
      </c>
      <c r="CT194" s="84">
        <f>AND(NOT($CS194),OR($AT194="CUSTOM LOC",N($AW194)+N($AX194)+N($AY194)+N($AZ194)+N($BA194)&gt;0))</f>
        <v/>
      </c>
      <c r="CU194" s="84">
        <f>IF($BI194="","",IF($BI194&lt;=80,80,IF($BI194&lt;=84,84,96)))</f>
        <v/>
      </c>
      <c r="CV194" s="84">
        <f>ISNUMBER(MATCH($AT194&amp;"|80",LocKeys,0))</f>
        <v/>
      </c>
      <c r="CW194" s="86">
        <f>IF($CS194,"",IF($CV194,VLOOKUP($AT194&amp;"|"&amp;$CU194,LocTable,4,FALSE),5))</f>
        <v/>
      </c>
      <c r="CX194" s="86">
        <f>IF($CS194,"",IF($CV194,IF(OR($BI194=$CU194,AND($BI194&lt;$CU194,$BI194-IF(N(VLOOKUP($AT194&amp;"|"&amp;$CU194,LocTable,7,FALSE))&gt;0,VLOOKUP($AT194&amp;"|"&amp;$CU194,LocTable,7,FALSE),VLOOKUP($AT194&amp;"|"&amp;$CU194,LocTable,6,FALSE))-$CR194-0.75&gt;=2.125)),IF(N(VLOOKUP($AT194&amp;"|"&amp;$CU194,LocTable,7,FALSE))&gt;0,VLOOKUP($AT194&amp;"|"&amp;$CU194,LocTable,7,FALSE),VLOOKUP($AT194&amp;"|"&amp;$CU194,LocTable,6,FALSE)),$BI194-($CU194-IF(N(VLOOKUP($AT194&amp;"|"&amp;$CU194,LocTable,7,FALSE))&gt;0,VLOOKUP($AT194&amp;"|"&amp;$CU194,LocTable,7,FALSE),VLOOKUP($AT194&amp;"|"&amp;$CU194,LocTable,6,FALSE)))),$BI194-10-$CR194))</f>
        <v/>
      </c>
      <c r="CY194" s="85">
        <f>IF($CS194,"",TRIM(IF(ISNUMBER($BU194),"A "&amp;TRIM(TEXT($BU194,"# ?/??"))&amp;CHAR(34)&amp;"  ","")&amp;IF(ISNUMBER($BV194),"B "&amp;TRIM(TEXT($BV194,"# ?/??"))&amp;CHAR(34)&amp;"  ","")&amp;IF(ISNUMBER($BW194),"C "&amp;TRIM(TEXT($BW194,"# ?/??"))&amp;CHAR(34)&amp;"  ","")&amp;IF(ISNUMBER($BX194),"D "&amp;TRIM(TEXT($BX194,"# ?/??"))&amp;CHAR(34)&amp;"  ","")&amp;IF(ISNUMBER($BY194),"F "&amp;TRIM(TEXT($BY194,"# ?/??"))&amp;CHAR(34)&amp;"  ","")&amp;IF(ISNUMBER($BZ194),"E "&amp;TRIM(TEXT($BZ194,"# ?/??"))&amp;CHAR(34)&amp;"  ","")))</f>
        <v/>
      </c>
      <c r="CZ194" s="85">
        <f>IF(OR($CS194,N($BJ194)=0),"",TRIM(IF(ISNUMBER($BU194),"A "&amp;TRIM(TEXT($BU194-HeadClr,"# ?/??"))&amp;CHAR(34)&amp;"  ","")&amp;IF(ISNUMBER($BV194),"B "&amp;TRIM(TEXT($BV194-HeadClr,"# ?/??"))&amp;CHAR(34)&amp;"  ","")&amp;IF(ISNUMBER($BW194),"C "&amp;TRIM(TEXT($BW194-HeadClr,"# ?/??"))&amp;CHAR(34)&amp;"  ","")&amp;IF(ISNUMBER($BX194),"D "&amp;TRIM(TEXT($BX194-HeadClr,"# ?/??"))&amp;CHAR(34)&amp;"  ","")&amp;IF(ISNUMBER($BY194),"F "&amp;TRIM(TEXT($BY194-HeadClr,"# ?/??"))&amp;CHAR(34)&amp;"  ","")&amp;IF(ISNUMBER($BZ194),"E "&amp;TRIM(TEXT($BZ194-HeadClr,"# ?/??"))&amp;CHAR(34)&amp;"  ","")))</f>
        <v/>
      </c>
      <c r="DA194" s="84">
        <f>IF($A194="","",IF($AN194="",IFERROR(VLOOKUP($Z194,CODES,2,FALSE),""),IFERROR(VLOOKUP($AN194,CODES,2,FALSE),"")))</f>
        <v/>
      </c>
      <c r="DB194" s="84">
        <f>IF($A194="","",IF($O194="Y","PR",IF(OR($Z194="L",$Z194="RR",LEFT($Z194,2)="L-",LEFT($Z194,3)="RR-"),"LH","RH")))</f>
        <v/>
      </c>
      <c r="DC194" s="84">
        <f>IF($A194="","","S.HM"&amp;IF(OR($C194="DOOR ONLY",$X194&lt;&gt;"KD"),"MASONRY","DRYWALL")&amp;IF($C194="DOOR ONLY","",$U194)&amp;IF(AND($C194&lt;&gt;"FRAME ONLY",OR(LEFT($AH194,3)="OAK",LEFT($AH194,3)="BIR",LEFT($AH194,3)="MAP",$AH194="PC",$AH194="MC",$AH194="SCLC",$AH194="P-LAM")),"WD","HM")&amp;"1.75")</f>
        <v/>
      </c>
      <c r="DD194" s="84">
        <f>IF($CJ194="","",IF($O194="Y",$CJ194,SUBSTITUTE($CJ194,$BG194&amp;" "&amp;IFERROR(VLOOKUP($Z194,CODES,2,FALSE),"")&amp;" ",$BG194&amp;" ")))</f>
        <v/>
      </c>
      <c r="DE194" s="84">
        <f>IF($CK194="","",IF($O194="Y",$CK194,SUBSTITUTE($CK194,$BG194&amp;" "&amp;IF($AN194="",IFERROR(VLOOKUP($Z194,CODES,2,FALSE),""),IFERROR(VLOOKUP($AN194,CODES,2,FALSE),""))&amp;" ",$BG194&amp;" ")))</f>
        <v/>
      </c>
      <c r="DF194" s="84">
        <f>IF($CJ194="","",$DC194&amp;"|"&amp;$DD194&amp;"|"&amp;$DB194&amp;"|"&amp;$AT194&amp;"|"&amp;$V194&amp;"|"&amp;$Y194&amp;"|"&amp;$AB194)</f>
        <v/>
      </c>
      <c r="DG194" s="84">
        <f>IF(DF194="","",IF(COUNTIF($DF$6:DF194,DF194)=1,MAX($DG$5:DG193)+1,INDEX($DG$5:DG193,MATCH(DF194,$DF$5:DF193,0))))</f>
        <v/>
      </c>
      <c r="DH194" s="84">
        <f>IF($CK194="","",$DC194&amp;"|"&amp;$DE194&amp;"|"&amp;$AI194&amp;"|"&amp;$BK194&amp;"|"&amp;$BL194)</f>
        <v/>
      </c>
      <c r="DI194" s="84">
        <f>IF(DH194="","",IF(COUNTIF($DH$6:DH194,DH194)=1,MAX($DI$5:DI193)+1,INDEX($DI$5:DI193,MATCH(DH194,$DH$5:DH193,0))))</f>
        <v/>
      </c>
      <c r="DJ194" s="84">
        <f>IF($A194="","",IF($B194="","qty, ","")&amp;IF($C194="","scope, ","")&amp;IF(OR($K194="",$M194=""),"size, ","")&amp;IF(AND($A194&lt;&gt;"",$C194&lt;&gt;"DOOR ONLY"),IF($U194="","jamb depth, ","")&amp;IF($X194="","construction, ","")&amp;IF($Y194="","anchor, ","")&amp;IF($S194="","frame type, ",""),"")&amp;IF(AND(N($BJ194)&gt;0,$Z194=""),"hand, ","")&amp;IF(N($BJ194)&gt;0,IF($AH194="","door material, ","")&amp;IF($AL194="","face type, ","")&amp;IF($AP194="","lock prep, ","")&amp;IF(AND($AO194="",$AC194=""),"hinge prep, ",""),"")&amp;IF(AND($CH194&gt;0,$AH194="FRP"),"FRP cannot carry a label, ","")&amp;IF(AND($O194="Y",OR($Z194="L",$Z194="R",$Z194="LR",$Z194="RR")),"pair marked but hand is single, ","")&amp;IF(AND($O194&lt;&gt;"Y",OR($Z194="PR",AND(LEN($Z194)&gt;1,ISNUMBER(SEARCH("-",$Z194))))),"pair hand on a single door, ","")&amp;IF(AND(ISNUMBER($CI194),$CH194&lt;N($CI194)),"wall needs a "&amp;$CI194&amp;" min door, ","")&amp;IF(AND($CH194&gt;=180,AND(OR($CE194="FG",$CE194="HG",$CE194="FNV",$CE194="FV"),N($CF194)*N($CG194)&gt;100)),"180 min lite over 100 sq in, ","")&amp;IF(N($BK194)&gt;48,"leaf wider than 4'-0"&amp;CHAR(34)&amp;", ","")&amp;IF(AND($CT194,COUNT($AW194:$AZ194)=0,$CQ194&gt;0),"CUSTOM LOC with no locations typed, ",""))</f>
        <v/>
      </c>
      <c r="DK194" s="84">
        <f>IF($A194="","",IF(AND($CH194&gt;0,AND($A194&lt;&gt;"",$C194&lt;&gt;"DOOR ONLY"),$X194="KD",$E194="EXTERIOR"),"KD label on an exterior opening, ","")&amp;IF(AND($E194="EXTERIOR",OR(AND(AND($A194&lt;&gt;"",$C194&lt;&gt;"DOOR ONLY"),$W194="CR"),AND(N($BJ194)&gt;0,$AH194="CR"))),"exterior in CR steel (G9?), ","")&amp;IF(AND(ISNUMBER($BQ194),N($BQ194)&lt;32),"clear width ~"&amp;TEXT($BQ194,"0.0")&amp;CHAR(34)&amp;" under 32"&amp;CHAR(34)&amp;" (ADA), ","")&amp;IF(AND($CH194=90,AND(OR($CE194="FG",$CE194="HG",$CE194="FNV",$CE194="FV"),N($CF194)*N($CG194)&gt;100)),"90 min lite over 100 sq in (stair/exit), ","")&amp;IF(AND($CH194&gt;0,AND($A194&lt;&gt;"",$C194&lt;&gt;"DOOR ONLY"),OR($AF194="",$AF194="-")),"rated: closer reinf.?, ","")&amp;IF(OR($I194="CORRIDOR",$I194="SMOKE BARRIER"),"S label + smoke gasketing, ","")&amp;IF($CI194="?","wall type/hr not in IBC table, ","")&amp;IF(AND(N($BJ194)&gt;0,$BB194=""),"no hardware set, ","")&amp;IF(AND($BB194&lt;&gt;"",ISNA(MATCH($BB194&amp;"",HWSets,0))),"set "&amp;$BB194&amp;" not on HW Sets, ","")&amp;IF(N($BL194)&gt;96,"leaf over 8'-0"&amp;CHAR(34)&amp;" - check listing, ","")&amp;IF(AND($CT194,COUNT($AW194:$AZ194)&gt;0,COUNT($AW194:$AZ194)&lt;&gt;$CQ194),COUNT($AW194:$AZ194)&amp;" custom hinges typed, "&amp;$CQ194&amp;" expected, ","")&amp;IF(AND(ISNUMBER($CA194),OR(N($CA194)&lt;34,N($CA194)&gt;48)),"lock "&amp;TEXT($CA194,"0.0")&amp;CHAR(34)&amp;" AFF outside 34-48"&amp;CHAR(34)&amp;" (ADA), ","")&amp;IF(AND(ISNUMBER($AV194),ISNUMBER($BL194),N($AV194)&lt;IF(N($BL194)&lt;=60,2,IF(N($BL194)&lt;=90,3,IF(N($BL194)&lt;=120,4,5)))),"fewer hinges than standard, ",""))</f>
        <v/>
      </c>
    </row>
    <row r="195" ht="15" customHeight="1">
      <c r="A195" s="92" t="n"/>
      <c r="B195" s="93" t="n"/>
      <c r="C195" s="93" t="n"/>
      <c r="D195" s="93" t="n"/>
      <c r="E195" s="93" t="n"/>
      <c r="F195" s="93" t="n"/>
      <c r="G195" s="93" t="n"/>
      <c r="H195" s="93" t="n"/>
      <c r="I195" s="93" t="n"/>
      <c r="J195" s="93" t="n"/>
      <c r="K195" s="93" t="n"/>
      <c r="L195" s="93" t="n"/>
      <c r="M195" s="93" t="n"/>
      <c r="N195" s="93" t="n"/>
      <c r="O195" s="93" t="n"/>
      <c r="P195" s="93" t="n"/>
      <c r="Q195" s="93" t="n"/>
      <c r="R195" s="93" t="n"/>
      <c r="S195" s="94" t="n"/>
      <c r="T195" s="94" t="n"/>
      <c r="U195" s="94" t="n"/>
      <c r="V195" s="94" t="n"/>
      <c r="W195" s="94" t="n"/>
      <c r="X195" s="94" t="n"/>
      <c r="Y195" s="94" t="n"/>
      <c r="Z195" s="94" t="n"/>
      <c r="AA195" s="94" t="n"/>
      <c r="AB195" s="94" t="n"/>
      <c r="AC195" s="94" t="n"/>
      <c r="AD195" s="94" t="n"/>
      <c r="AE195" s="94" t="n"/>
      <c r="AF195" s="94" t="n"/>
      <c r="AG195" s="94" t="n"/>
      <c r="AH195" s="95" t="n"/>
      <c r="AI195" s="95" t="n"/>
      <c r="AJ195" s="95" t="n"/>
      <c r="AK195" s="95" t="n"/>
      <c r="AL195" s="95" t="n"/>
      <c r="AM195" s="95" t="n"/>
      <c r="AN195" s="95" t="n"/>
      <c r="AO195" s="95" t="n"/>
      <c r="AP195" s="95" t="n"/>
      <c r="AQ195" s="95" t="n"/>
      <c r="AR195" s="95" t="n"/>
      <c r="AS195" s="95" t="n"/>
      <c r="AT195" s="96" t="n"/>
      <c r="AU195" s="96" t="n"/>
      <c r="AV195" s="96" t="n"/>
      <c r="AW195" s="97" t="n"/>
      <c r="AX195" s="97" t="n"/>
      <c r="AY195" s="97" t="n"/>
      <c r="AZ195" s="97" t="n"/>
      <c r="BA195" s="97" t="n"/>
      <c r="BB195" s="98" t="n"/>
      <c r="BC195" s="98" t="n"/>
      <c r="BD195" s="99">
        <f>IF($A195="","",IF($DJ195&lt;&gt;"","FIX",IF($DK195&lt;&gt;"","CHECK","OK")))</f>
        <v/>
      </c>
      <c r="BE195" s="100">
        <f>IF($A195="","",IF($DJ195&lt;&gt;"","FIX: "&amp;LEFT($DJ195,LEN($DJ195)-2)&amp;IF($DK195&lt;&gt;"","  ·  ",""),"")&amp;IF($DK195&lt;&gt;"","CHECK: "&amp;LEFT($DK195,LEN($DK195)-2),""))</f>
        <v/>
      </c>
      <c r="BF195" s="99">
        <f>IF(OR($A195="",$K195=""),"",$K195&amp;"'-"&amp;N($L195)&amp;CHAR(34)&amp;" x "&amp;$M195&amp;"'-"&amp;N($N195)&amp;CHAR(34))</f>
        <v/>
      </c>
      <c r="BG195" s="99">
        <f>IF(OR($A195="",$K195=""),"",$K195&amp;N($L195)&amp;$M195&amp;N($N195))</f>
        <v/>
      </c>
      <c r="BH195" s="99">
        <f>IF(OR($A195="",$K195=""),"",$K195*12+N($L195))</f>
        <v/>
      </c>
      <c r="BI195" s="99">
        <f>IF(OR($A195="",$M195=""),"",$M195*12+N($N195))</f>
        <v/>
      </c>
      <c r="BJ195" s="99">
        <f>IF($A195="","",IF(OR($C195="FRAME ONLY",$S195="BL"),0,IF($O195="Y",2,1)))</f>
        <v/>
      </c>
      <c r="BK195" s="101">
        <f>IF(OR(N($BJ195)=0,$BH195=""),"",($BH195-2*EdgeClr-IF($BJ195=2,MeetClr,0))/$BJ195)</f>
        <v/>
      </c>
      <c r="BL195" s="101">
        <f>IF(OR(N($BJ195)=0,$BI195=""),"",$BI195-HeadClr-Undercut)</f>
        <v/>
      </c>
      <c r="BM195" s="101">
        <f>IF($BH195="","",$BH195+2*FaceW+IF(N($Q195)&gt;0,($Q195+FaceW)*IF($R195="LR",2,1),0))</f>
        <v/>
      </c>
      <c r="BN195" s="101">
        <f>IF($BI195="","",$BI195+IF($AB195="Y",4,FaceW)+IF(N($P195)&gt;0,$P195+FaceW,0)+IF(OR($S195="4F",$S195="BL"),FaceW,0))</f>
        <v/>
      </c>
      <c r="BO195" s="101">
        <f>IF($BM195="","",$BM195+2*ROSide)</f>
        <v/>
      </c>
      <c r="BP195" s="101">
        <f>IF($BN195="","",$BN195+ROTop)</f>
        <v/>
      </c>
      <c r="BQ195" s="102">
        <f>IF(OR(N($BJ195)=0,$BH195=""),"",$BH195/$BJ195-ClearDeduct)</f>
        <v/>
      </c>
      <c r="BR195" s="99">
        <f>IF(N($CH195)=0,"",IF($CH195&gt;=180,"A · 3 HR",IF($CH195&gt;=90,"B · 1-1/2 HR",IF($CH195&gt;=60,"B · 1 HR",IF($CH195&gt;=45,"C · 3/4 HR","20 MIN")))))&amp;IF(AND(N($CH195)&gt;0,OR($I195="CORRIDOR",$I195="SMOKE BARRIER"))," · S","")</f>
        <v/>
      </c>
      <c r="BS195" s="99">
        <f>IF($CS195,"",IF($AV195&lt;&gt;"",$AV195,IF(OR($AC195="HGC",$AO195="HGC"),"CONT",IF(($BI195-HeadClr-Undercut)&lt;=60,2,IF(($BI195-HeadClr-Undercut)&lt;=90,3,IF(($BI195-HeadClr-Undercut)&lt;=120,4,5))))))</f>
        <v/>
      </c>
      <c r="BT195" s="99">
        <f>IF($CS195,"",IF($CT195,"CUSTOM (typed)",IF($CV195,$AT195&amp;" "&amp;$CU195&amp;CHAR(34)&amp;IF($CU195&lt;&gt;$BI195,IF(AND($BI195&lt;$CU195,$BI195-IF(N(VLOOKUP($AT195&amp;"|"&amp;$CU195,LocTable,7,FALSE))&gt;0,VLOOKUP($AT195&amp;"|"&amp;$CU195,LocTable,7,FALSE),VLOOKUP($AT195&amp;"|"&amp;$CU195,LocTable,6,FALSE))-$CR195-0.75&gt;=2.125)," cut down"," adj."),""),"ANSI/SDI A250.6")))</f>
        <v/>
      </c>
      <c r="BU195" s="103">
        <f>IF($CS195,"",IF($CT195,IF(N($AW195)&gt;0,N($AW195),""),IF(1&gt;$CQ195,"",IF($CQ195=1,$CW195,$CW195+($CX195-$CW195)*0/($CQ195-1)))))</f>
        <v/>
      </c>
      <c r="BV195" s="103">
        <f>IF($CS195,"",IF($CT195,IF(N($AX195)&gt;0,N($AX195),""),IF(2&gt;$CQ195,"",IF($CQ195=1,$CW195,$CW195+($CX195-$CW195)*1/($CQ195-1)))))</f>
        <v/>
      </c>
      <c r="BW195" s="103">
        <f>IF($CS195,"",IF($CT195,IF(N($AY195)&gt;0,N($AY195),""),IF(3&gt;$CQ195,"",IF($CQ195=1,$CW195,$CW195+($CX195-$CW195)*2/($CQ195-1)))))</f>
        <v/>
      </c>
      <c r="BX195" s="103">
        <f>IF($CS195,"",IF($CT195,IF(N($AZ195)&gt;0,N($AZ195),""),IF(4&gt;$CQ195,"",IF($CQ195=1,$CW195,$CW195+($CX195-$CW195)*3/($CQ195-1)))))</f>
        <v/>
      </c>
      <c r="BY195" s="103">
        <f>IF($CS195,"",IF($CT195,"",IF(5&gt;$CQ195,"",IF($CQ195=1,$CW195,$CW195+($CX195-$CW195)*4/($CQ195-1)))))</f>
        <v/>
      </c>
      <c r="BZ195" s="103">
        <f>IF(OR($CS195,$AP195="-",AND($AP195="",$AD195="")),"",IF(N($BA195)&gt;0,N($BA195),IF($CV195,IF(AND($BI195&lt;$CU195,$BI195-IF(N(VLOOKUP($AT195&amp;"|"&amp;$CU195,LocTable,7,FALSE))&gt;0,VLOOKUP($AT195&amp;"|"&amp;$CU195,LocTable,7,FALSE),VLOOKUP($AT195&amp;"|"&amp;$CU195,LocTable,6,FALSE))-$CR195-0.75&gt;=2.125),VLOOKUP($AT195&amp;"|"&amp;$CU195,LocTable,8,FALSE),VLOOKUP($AT195&amp;"|"&amp;$CU195,LocTable,8,FALSE)+($BI195-$CU195)),$BI195-LockAFF)))</f>
        <v/>
      </c>
      <c r="CA195" s="104">
        <f>IF($BZ195="","",$BI195-$BZ195)</f>
        <v/>
      </c>
      <c r="CB195" s="99">
        <f>IF(OR(NOT(AND($A195&lt;&gt;"",$C195&lt;&gt;"DOOR ONLY")),$BI195=""),"",IF(($BI195+IF(N($P195)&gt;0,$P195+FaceW,0))&lt;=90,3,IF(($BI195+IF(N($P195)&gt;0,$P195+FaceW,0))&lt;=114,4,5)))</f>
        <v/>
      </c>
      <c r="CC195" s="99">
        <f>IF($CB195="","",$CB195*(2+IF(N($Q195)&gt;0,IF($R195="LR",2,1),0)))</f>
        <v/>
      </c>
      <c r="CD195" s="99">
        <f>IF($CB195="","",(2+IF(N($Q195)&gt;0,IF($R195="LR",2,1),0)))</f>
        <v/>
      </c>
      <c r="CE195" s="99">
        <f>IF(N($BJ195)=0,"",IF(OR($AL195="",$AL195="FLUSH"),"FLUSH",IFERROR(LEFT($AL195,FIND("-",$AL195)-1),LEFT($AL195,2))))</f>
        <v/>
      </c>
      <c r="CF195" s="99">
        <f>IF($CE195="","",IFERROR(VALUE(MID($AL195,FIND("-",$AL195)+1,FIND(CHAR(34)&amp;"x",$AL195)-FIND("-",$AL195)-1)),0))</f>
        <v/>
      </c>
      <c r="CG195" s="99">
        <f>IF($CE195="","",IFERROR(VALUE(MID($AL195,FIND(CHAR(34)&amp;"x",$AL195)+2,FIND(CHAR(34),$AL195,FIND(CHAR(34)&amp;"x",$AL195)+2)-FIND(CHAR(34)&amp;"x",$AL195)-2)),0))</f>
        <v/>
      </c>
      <c r="CH195" s="105">
        <f>IF(OR($A195="",$H195="",$H195="NO LAB"),0,IFERROR(VALUE(LEFT($H195,FIND(" ",$H195)-1)),0))</f>
        <v/>
      </c>
      <c r="CI195" s="106">
        <f>IF(OR($A195="",$I195="",$I195="NON-RATED",N($J195)=0),"",IFERROR(VLOOKUP($I195&amp;"|"&amp;$J195,IBC,2,FALSE),"?"))</f>
        <v/>
      </c>
      <c r="CJ195" s="100">
        <f>IF(NOT(AND($A195&lt;&gt;"",$C195&lt;&gt;"DOOR ONLY")),"",TRIM(IFERROR(VLOOKUP($U195,CODES,2,FALSE),"")&amp;" "&amp;$BG195&amp;" "&amp;IFERROR(VLOOKUP($Z195,CODES,2,FALSE),"")&amp;" "&amp;IFERROR(VLOOKUP($X195,CODES,2,FALSE),"")&amp;" "&amp;IFERROR(VLOOKUP($S195,CODES,2,FALSE),"")&amp;IF(N($P195)&gt;0," w/TRANSOM "&amp;$P195&amp;CHAR(34),"")&amp;IF(N($Q195)&gt;0," w/SIDELITE "&amp;$Q195&amp;CHAR(34)&amp;" "&amp;IF($R195="","R",$R195),"")&amp;IF($Y195="","  |  "," | "&amp;IFERROR(VLOOKUP($Y195,CODES,2,FALSE),"")&amp;" | ")&amp;IFERROR(VLOOKUP($AC195,CODES,2,FALSE),"")&amp;" "&amp;IFERROR(VLOOKUP($AD195,CODES,2,FALSE),"")&amp;IF(OR($AE195="",$AE195="-"),""," "&amp;$AE195)&amp;IF(OR($AF195="",$AF195="-"),""," "&amp;$AF195)&amp;IF($AB195="Y"," 4"&amp;CHAR(34)&amp;" HEAD","")&amp;" "&amp;IFERROR(VLOOKUP($H195,CODES,2,FALSE),"")&amp;IF($CT195," | LOC "&amp;$CY195,"")))</f>
        <v/>
      </c>
      <c r="CK195" s="100">
        <f>IF(NOT(AND($A195&lt;&gt;"",N($BJ195)&gt;0)),"",TRIM(IFERROR(VLOOKUP($AH195,CODES,2,FALSE),"")&amp;IF($AI195=""," "," "&amp;$AI195&amp;"GA ")&amp;$BG195&amp;" "&amp;IF($AN195="",IFERROR(VLOOKUP($Z195,CODES,2,FALSE),""),IFERROR(VLOOKUP($AN195,CODES,2,FALSE),""))&amp;IF($BJ195=2," PAIR","")&amp;" DOOR | "&amp;IF($AL195="","?",$AL195)&amp;" | "&amp;IF($AO195="",IFERROR(VLOOKUP($AC195,CODES,2,FALSE),""),IFERROR(VLOOKUP($AO195,CODES,2,FALSE),""))&amp;" "&amp;IFERROR(VLOOKUP($AP195,CODES,2,FALSE),"")&amp;IF(OR($AQ195="",$AQ195="-"),""," SEAM "&amp;$AQ195)&amp;IF($AR195="Y"," ASTRAGAL","")&amp;IF($AJ195=""," "," "&amp;$AJ195)&amp;IF($AK195=""," "," "&amp;$AK195)&amp;IF(OR($AT195="",$AT195="ANSI/SDI",$AT195="CUSTOM LOC"),""," "&amp;$AT195)&amp;IF($AM195=""," "," SERIES "&amp;$AM195)&amp;" "&amp;IFERROR(VLOOKUP($H195,CODES,2,FALSE),"")&amp;IF($CT195," | LOC "&amp;$CZ195,"")))</f>
        <v/>
      </c>
      <c r="CL195" s="99">
        <f>IF(CP195="","",IF(COUNTIF($CP$6:CP195,CP195)=1,MAX($CL$5:CL194)+1,INDEX($CL$5:CL194,MATCH(CP195,$CP$5:CP194,0))))</f>
        <v/>
      </c>
      <c r="CM195" s="99">
        <f>IF(NOT(AND($A195&lt;&gt;"",$C195&lt;&gt;"DOOR ONLY")),"",MAX($CM$5:CM194)+1)</f>
        <v/>
      </c>
      <c r="CN195" s="99">
        <f>IF(NOT(AND($A195&lt;&gt;"",N($BJ195)&gt;0)),"",MAX($CN$5:CN194)+1)</f>
        <v/>
      </c>
      <c r="CO195" s="99">
        <f>IF($A195="","",MAX($CO$5:CO194)+1)</f>
        <v/>
      </c>
      <c r="CP195" s="99">
        <f>IF(OR($A195="",$BH195="",$BI195=""),"",$BG195&amp;"|"&amp;$O195&amp;"|"&amp;$AL195&amp;"|"&amp;$S195&amp;"|"&amp;$P195&amp;"|"&amp;$Q195&amp;$R195&amp;"|"&amp;$C195&amp;"|"&amp;$AB195)</f>
        <v/>
      </c>
      <c r="CQ195" s="99">
        <f>N($BS195)</f>
        <v/>
      </c>
      <c r="CR195" s="99">
        <f>IF(N($AU195)&gt;0,N($AU195),4.5)</f>
        <v/>
      </c>
      <c r="CS195" s="99">
        <f>OR($A195="",$BI195="",$S195="BL",AND($C195="FRAME ONLY",OR($AC195="",$AC195="BLK")))</f>
        <v/>
      </c>
      <c r="CT195" s="99">
        <f>AND(NOT($CS195),OR($AT195="CUSTOM LOC",N($AW195)+N($AX195)+N($AY195)+N($AZ195)+N($BA195)&gt;0))</f>
        <v/>
      </c>
      <c r="CU195" s="99">
        <f>IF($BI195="","",IF($BI195&lt;=80,80,IF($BI195&lt;=84,84,96)))</f>
        <v/>
      </c>
      <c r="CV195" s="99">
        <f>ISNUMBER(MATCH($AT195&amp;"|80",LocKeys,0))</f>
        <v/>
      </c>
      <c r="CW195" s="101">
        <f>IF($CS195,"",IF($CV195,VLOOKUP($AT195&amp;"|"&amp;$CU195,LocTable,4,FALSE),5))</f>
        <v/>
      </c>
      <c r="CX195" s="101">
        <f>IF($CS195,"",IF($CV195,IF(OR($BI195=$CU195,AND($BI195&lt;$CU195,$BI195-IF(N(VLOOKUP($AT195&amp;"|"&amp;$CU195,LocTable,7,FALSE))&gt;0,VLOOKUP($AT195&amp;"|"&amp;$CU195,LocTable,7,FALSE),VLOOKUP($AT195&amp;"|"&amp;$CU195,LocTable,6,FALSE))-$CR195-0.75&gt;=2.125)),IF(N(VLOOKUP($AT195&amp;"|"&amp;$CU195,LocTable,7,FALSE))&gt;0,VLOOKUP($AT195&amp;"|"&amp;$CU195,LocTable,7,FALSE),VLOOKUP($AT195&amp;"|"&amp;$CU195,LocTable,6,FALSE)),$BI195-($CU195-IF(N(VLOOKUP($AT195&amp;"|"&amp;$CU195,LocTable,7,FALSE))&gt;0,VLOOKUP($AT195&amp;"|"&amp;$CU195,LocTable,7,FALSE),VLOOKUP($AT195&amp;"|"&amp;$CU195,LocTable,6,FALSE)))),$BI195-10-$CR195))</f>
        <v/>
      </c>
      <c r="CY195" s="100">
        <f>IF($CS195,"",TRIM(IF(ISNUMBER($BU195),"A "&amp;TRIM(TEXT($BU195,"# ?/??"))&amp;CHAR(34)&amp;"  ","")&amp;IF(ISNUMBER($BV195),"B "&amp;TRIM(TEXT($BV195,"# ?/??"))&amp;CHAR(34)&amp;"  ","")&amp;IF(ISNUMBER($BW195),"C "&amp;TRIM(TEXT($BW195,"# ?/??"))&amp;CHAR(34)&amp;"  ","")&amp;IF(ISNUMBER($BX195),"D "&amp;TRIM(TEXT($BX195,"# ?/??"))&amp;CHAR(34)&amp;"  ","")&amp;IF(ISNUMBER($BY195),"F "&amp;TRIM(TEXT($BY195,"# ?/??"))&amp;CHAR(34)&amp;"  ","")&amp;IF(ISNUMBER($BZ195),"E "&amp;TRIM(TEXT($BZ195,"# ?/??"))&amp;CHAR(34)&amp;"  ","")))</f>
        <v/>
      </c>
      <c r="CZ195" s="100">
        <f>IF(OR($CS195,N($BJ195)=0),"",TRIM(IF(ISNUMBER($BU195),"A "&amp;TRIM(TEXT($BU195-HeadClr,"# ?/??"))&amp;CHAR(34)&amp;"  ","")&amp;IF(ISNUMBER($BV195),"B "&amp;TRIM(TEXT($BV195-HeadClr,"# ?/??"))&amp;CHAR(34)&amp;"  ","")&amp;IF(ISNUMBER($BW195),"C "&amp;TRIM(TEXT($BW195-HeadClr,"# ?/??"))&amp;CHAR(34)&amp;"  ","")&amp;IF(ISNUMBER($BX195),"D "&amp;TRIM(TEXT($BX195-HeadClr,"# ?/??"))&amp;CHAR(34)&amp;"  ","")&amp;IF(ISNUMBER($BY195),"F "&amp;TRIM(TEXT($BY195-HeadClr,"# ?/??"))&amp;CHAR(34)&amp;"  ","")&amp;IF(ISNUMBER($BZ195),"E "&amp;TRIM(TEXT($BZ195-HeadClr,"# ?/??"))&amp;CHAR(34)&amp;"  ","")))</f>
        <v/>
      </c>
      <c r="DA195" s="99">
        <f>IF($A195="","",IF($AN195="",IFERROR(VLOOKUP($Z195,CODES,2,FALSE),""),IFERROR(VLOOKUP($AN195,CODES,2,FALSE),"")))</f>
        <v/>
      </c>
      <c r="DB195" s="99">
        <f>IF($A195="","",IF($O195="Y","PR",IF(OR($Z195="L",$Z195="RR",LEFT($Z195,2)="L-",LEFT($Z195,3)="RR-"),"LH","RH")))</f>
        <v/>
      </c>
      <c r="DC195" s="99">
        <f>IF($A195="","","S.HM"&amp;IF(OR($C195="DOOR ONLY",$X195&lt;&gt;"KD"),"MASONRY","DRYWALL")&amp;IF($C195="DOOR ONLY","",$U195)&amp;IF(AND($C195&lt;&gt;"FRAME ONLY",OR(LEFT($AH195,3)="OAK",LEFT($AH195,3)="BIR",LEFT($AH195,3)="MAP",$AH195="PC",$AH195="MC",$AH195="SCLC",$AH195="P-LAM")),"WD","HM")&amp;"1.75")</f>
        <v/>
      </c>
      <c r="DD195" s="99">
        <f>IF($CJ195="","",IF($O195="Y",$CJ195,SUBSTITUTE($CJ195,$BG195&amp;" "&amp;IFERROR(VLOOKUP($Z195,CODES,2,FALSE),"")&amp;" ",$BG195&amp;" ")))</f>
        <v/>
      </c>
      <c r="DE195" s="99">
        <f>IF($CK195="","",IF($O195="Y",$CK195,SUBSTITUTE($CK195,$BG195&amp;" "&amp;IF($AN195="",IFERROR(VLOOKUP($Z195,CODES,2,FALSE),""),IFERROR(VLOOKUP($AN195,CODES,2,FALSE),""))&amp;" ",$BG195&amp;" ")))</f>
        <v/>
      </c>
      <c r="DF195" s="99">
        <f>IF($CJ195="","",$DC195&amp;"|"&amp;$DD195&amp;"|"&amp;$DB195&amp;"|"&amp;$AT195&amp;"|"&amp;$V195&amp;"|"&amp;$Y195&amp;"|"&amp;$AB195)</f>
        <v/>
      </c>
      <c r="DG195" s="99">
        <f>IF(DF195="","",IF(COUNTIF($DF$6:DF195,DF195)=1,MAX($DG$5:DG194)+1,INDEX($DG$5:DG194,MATCH(DF195,$DF$5:DF194,0))))</f>
        <v/>
      </c>
      <c r="DH195" s="99">
        <f>IF($CK195="","",$DC195&amp;"|"&amp;$DE195&amp;"|"&amp;$AI195&amp;"|"&amp;$BK195&amp;"|"&amp;$BL195)</f>
        <v/>
      </c>
      <c r="DI195" s="99">
        <f>IF(DH195="","",IF(COUNTIF($DH$6:DH195,DH195)=1,MAX($DI$5:DI194)+1,INDEX($DI$5:DI194,MATCH(DH195,$DH$5:DH194,0))))</f>
        <v/>
      </c>
      <c r="DJ195" s="99">
        <f>IF($A195="","",IF($B195="","qty, ","")&amp;IF($C195="","scope, ","")&amp;IF(OR($K195="",$M195=""),"size, ","")&amp;IF(AND($A195&lt;&gt;"",$C195&lt;&gt;"DOOR ONLY"),IF($U195="","jamb depth, ","")&amp;IF($X195="","construction, ","")&amp;IF($Y195="","anchor, ","")&amp;IF($S195="","frame type, ",""),"")&amp;IF(AND(N($BJ195)&gt;0,$Z195=""),"hand, ","")&amp;IF(N($BJ195)&gt;0,IF($AH195="","door material, ","")&amp;IF($AL195="","face type, ","")&amp;IF($AP195="","lock prep, ","")&amp;IF(AND($AO195="",$AC195=""),"hinge prep, ",""),"")&amp;IF(AND($CH195&gt;0,$AH195="FRP"),"FRP cannot carry a label, ","")&amp;IF(AND($O195="Y",OR($Z195="L",$Z195="R",$Z195="LR",$Z195="RR")),"pair marked but hand is single, ","")&amp;IF(AND($O195&lt;&gt;"Y",OR($Z195="PR",AND(LEN($Z195)&gt;1,ISNUMBER(SEARCH("-",$Z195))))),"pair hand on a single door, ","")&amp;IF(AND(ISNUMBER($CI195),$CH195&lt;N($CI195)),"wall needs a "&amp;$CI195&amp;" min door, ","")&amp;IF(AND($CH195&gt;=180,AND(OR($CE195="FG",$CE195="HG",$CE195="FNV",$CE195="FV"),N($CF195)*N($CG195)&gt;100)),"180 min lite over 100 sq in, ","")&amp;IF(N($BK195)&gt;48,"leaf wider than 4'-0"&amp;CHAR(34)&amp;", ","")&amp;IF(AND($CT195,COUNT($AW195:$AZ195)=0,$CQ195&gt;0),"CUSTOM LOC with no locations typed, ",""))</f>
        <v/>
      </c>
      <c r="DK195" s="99">
        <f>IF($A195="","",IF(AND($CH195&gt;0,AND($A195&lt;&gt;"",$C195&lt;&gt;"DOOR ONLY"),$X195="KD",$E195="EXTERIOR"),"KD label on an exterior opening, ","")&amp;IF(AND($E195="EXTERIOR",OR(AND(AND($A195&lt;&gt;"",$C195&lt;&gt;"DOOR ONLY"),$W195="CR"),AND(N($BJ195)&gt;0,$AH195="CR"))),"exterior in CR steel (G9?), ","")&amp;IF(AND(ISNUMBER($BQ195),N($BQ195)&lt;32),"clear width ~"&amp;TEXT($BQ195,"0.0")&amp;CHAR(34)&amp;" under 32"&amp;CHAR(34)&amp;" (ADA), ","")&amp;IF(AND($CH195=90,AND(OR($CE195="FG",$CE195="HG",$CE195="FNV",$CE195="FV"),N($CF195)*N($CG195)&gt;100)),"90 min lite over 100 sq in (stair/exit), ","")&amp;IF(AND($CH195&gt;0,AND($A195&lt;&gt;"",$C195&lt;&gt;"DOOR ONLY"),OR($AF195="",$AF195="-")),"rated: closer reinf.?, ","")&amp;IF(OR($I195="CORRIDOR",$I195="SMOKE BARRIER"),"S label + smoke gasketing, ","")&amp;IF($CI195="?","wall type/hr not in IBC table, ","")&amp;IF(AND(N($BJ195)&gt;0,$BB195=""),"no hardware set, ","")&amp;IF(AND($BB195&lt;&gt;"",ISNA(MATCH($BB195&amp;"",HWSets,0))),"set "&amp;$BB195&amp;" not on HW Sets, ","")&amp;IF(N($BL195)&gt;96,"leaf over 8'-0"&amp;CHAR(34)&amp;" - check listing, ","")&amp;IF(AND($CT195,COUNT($AW195:$AZ195)&gt;0,COUNT($AW195:$AZ195)&lt;&gt;$CQ195),COUNT($AW195:$AZ195)&amp;" custom hinges typed, "&amp;$CQ195&amp;" expected, ","")&amp;IF(AND(ISNUMBER($CA195),OR(N($CA195)&lt;34,N($CA195)&gt;48)),"lock "&amp;TEXT($CA195,"0.0")&amp;CHAR(34)&amp;" AFF outside 34-48"&amp;CHAR(34)&amp;" (ADA), ","")&amp;IF(AND(ISNUMBER($AV195),ISNUMBER($BL195),N($AV195)&lt;IF(N($BL195)&lt;=60,2,IF(N($BL195)&lt;=90,3,IF(N($BL195)&lt;=120,4,5)))),"fewer hinges than standard, ",""))</f>
        <v/>
      </c>
    </row>
    <row r="196" ht="15" customHeight="1">
      <c r="A196" s="77" t="n"/>
      <c r="B196" s="78" t="n"/>
      <c r="C196" s="78" t="n"/>
      <c r="D196" s="78" t="n"/>
      <c r="E196" s="78" t="n"/>
      <c r="F196" s="78" t="n"/>
      <c r="G196" s="78" t="n"/>
      <c r="H196" s="78" t="n"/>
      <c r="I196" s="78" t="n"/>
      <c r="J196" s="78" t="n"/>
      <c r="K196" s="78" t="n"/>
      <c r="L196" s="78" t="n"/>
      <c r="M196" s="78" t="n"/>
      <c r="N196" s="78" t="n"/>
      <c r="O196" s="78" t="n"/>
      <c r="P196" s="78" t="n"/>
      <c r="Q196" s="78" t="n"/>
      <c r="R196" s="78" t="n"/>
      <c r="S196" s="79" t="n"/>
      <c r="T196" s="79" t="n"/>
      <c r="U196" s="79" t="n"/>
      <c r="V196" s="79" t="n"/>
      <c r="W196" s="79" t="n"/>
      <c r="X196" s="79" t="n"/>
      <c r="Y196" s="79" t="n"/>
      <c r="Z196" s="79" t="n"/>
      <c r="AA196" s="79" t="n"/>
      <c r="AB196" s="79" t="n"/>
      <c r="AC196" s="79" t="n"/>
      <c r="AD196" s="79" t="n"/>
      <c r="AE196" s="79" t="n"/>
      <c r="AF196" s="79" t="n"/>
      <c r="AG196" s="79" t="n"/>
      <c r="AH196" s="80" t="n"/>
      <c r="AI196" s="80" t="n"/>
      <c r="AJ196" s="80" t="n"/>
      <c r="AK196" s="80" t="n"/>
      <c r="AL196" s="80" t="n"/>
      <c r="AM196" s="80" t="n"/>
      <c r="AN196" s="80" t="n"/>
      <c r="AO196" s="80" t="n"/>
      <c r="AP196" s="80" t="n"/>
      <c r="AQ196" s="80" t="n"/>
      <c r="AR196" s="80" t="n"/>
      <c r="AS196" s="80" t="n"/>
      <c r="AT196" s="81" t="n"/>
      <c r="AU196" s="81" t="n"/>
      <c r="AV196" s="81" t="n"/>
      <c r="AW196" s="82" t="n"/>
      <c r="AX196" s="82" t="n"/>
      <c r="AY196" s="82" t="n"/>
      <c r="AZ196" s="82" t="n"/>
      <c r="BA196" s="82" t="n"/>
      <c r="BB196" s="83" t="n"/>
      <c r="BC196" s="83" t="n"/>
      <c r="BD196" s="84">
        <f>IF($A196="","",IF($DJ196&lt;&gt;"","FIX",IF($DK196&lt;&gt;"","CHECK","OK")))</f>
        <v/>
      </c>
      <c r="BE196" s="85">
        <f>IF($A196="","",IF($DJ196&lt;&gt;"","FIX: "&amp;LEFT($DJ196,LEN($DJ196)-2)&amp;IF($DK196&lt;&gt;"","  ·  ",""),"")&amp;IF($DK196&lt;&gt;"","CHECK: "&amp;LEFT($DK196,LEN($DK196)-2),""))</f>
        <v/>
      </c>
      <c r="BF196" s="84">
        <f>IF(OR($A196="",$K196=""),"",$K196&amp;"'-"&amp;N($L196)&amp;CHAR(34)&amp;" x "&amp;$M196&amp;"'-"&amp;N($N196)&amp;CHAR(34))</f>
        <v/>
      </c>
      <c r="BG196" s="84">
        <f>IF(OR($A196="",$K196=""),"",$K196&amp;N($L196)&amp;$M196&amp;N($N196))</f>
        <v/>
      </c>
      <c r="BH196" s="84">
        <f>IF(OR($A196="",$K196=""),"",$K196*12+N($L196))</f>
        <v/>
      </c>
      <c r="BI196" s="84">
        <f>IF(OR($A196="",$M196=""),"",$M196*12+N($N196))</f>
        <v/>
      </c>
      <c r="BJ196" s="84">
        <f>IF($A196="","",IF(OR($C196="FRAME ONLY",$S196="BL"),0,IF($O196="Y",2,1)))</f>
        <v/>
      </c>
      <c r="BK196" s="86">
        <f>IF(OR(N($BJ196)=0,$BH196=""),"",($BH196-2*EdgeClr-IF($BJ196=2,MeetClr,0))/$BJ196)</f>
        <v/>
      </c>
      <c r="BL196" s="86">
        <f>IF(OR(N($BJ196)=0,$BI196=""),"",$BI196-HeadClr-Undercut)</f>
        <v/>
      </c>
      <c r="BM196" s="86">
        <f>IF($BH196="","",$BH196+2*FaceW+IF(N($Q196)&gt;0,($Q196+FaceW)*IF($R196="LR",2,1),0))</f>
        <v/>
      </c>
      <c r="BN196" s="86">
        <f>IF($BI196="","",$BI196+IF($AB196="Y",4,FaceW)+IF(N($P196)&gt;0,$P196+FaceW,0)+IF(OR($S196="4F",$S196="BL"),FaceW,0))</f>
        <v/>
      </c>
      <c r="BO196" s="86">
        <f>IF($BM196="","",$BM196+2*ROSide)</f>
        <v/>
      </c>
      <c r="BP196" s="86">
        <f>IF($BN196="","",$BN196+ROTop)</f>
        <v/>
      </c>
      <c r="BQ196" s="87">
        <f>IF(OR(N($BJ196)=0,$BH196=""),"",$BH196/$BJ196-ClearDeduct)</f>
        <v/>
      </c>
      <c r="BR196" s="84">
        <f>IF(N($CH196)=0,"",IF($CH196&gt;=180,"A · 3 HR",IF($CH196&gt;=90,"B · 1-1/2 HR",IF($CH196&gt;=60,"B · 1 HR",IF($CH196&gt;=45,"C · 3/4 HR","20 MIN")))))&amp;IF(AND(N($CH196)&gt;0,OR($I196="CORRIDOR",$I196="SMOKE BARRIER"))," · S","")</f>
        <v/>
      </c>
      <c r="BS196" s="84">
        <f>IF($CS196,"",IF($AV196&lt;&gt;"",$AV196,IF(OR($AC196="HGC",$AO196="HGC"),"CONT",IF(($BI196-HeadClr-Undercut)&lt;=60,2,IF(($BI196-HeadClr-Undercut)&lt;=90,3,IF(($BI196-HeadClr-Undercut)&lt;=120,4,5))))))</f>
        <v/>
      </c>
      <c r="BT196" s="84">
        <f>IF($CS196,"",IF($CT196,"CUSTOM (typed)",IF($CV196,$AT196&amp;" "&amp;$CU196&amp;CHAR(34)&amp;IF($CU196&lt;&gt;$BI196,IF(AND($BI196&lt;$CU196,$BI196-IF(N(VLOOKUP($AT196&amp;"|"&amp;$CU196,LocTable,7,FALSE))&gt;0,VLOOKUP($AT196&amp;"|"&amp;$CU196,LocTable,7,FALSE),VLOOKUP($AT196&amp;"|"&amp;$CU196,LocTable,6,FALSE))-$CR196-0.75&gt;=2.125)," cut down"," adj."),""),"ANSI/SDI A250.6")))</f>
        <v/>
      </c>
      <c r="BU196" s="88">
        <f>IF($CS196,"",IF($CT196,IF(N($AW196)&gt;0,N($AW196),""),IF(1&gt;$CQ196,"",IF($CQ196=1,$CW196,$CW196+($CX196-$CW196)*0/($CQ196-1)))))</f>
        <v/>
      </c>
      <c r="BV196" s="88">
        <f>IF($CS196,"",IF($CT196,IF(N($AX196)&gt;0,N($AX196),""),IF(2&gt;$CQ196,"",IF($CQ196=1,$CW196,$CW196+($CX196-$CW196)*1/($CQ196-1)))))</f>
        <v/>
      </c>
      <c r="BW196" s="88">
        <f>IF($CS196,"",IF($CT196,IF(N($AY196)&gt;0,N($AY196),""),IF(3&gt;$CQ196,"",IF($CQ196=1,$CW196,$CW196+($CX196-$CW196)*2/($CQ196-1)))))</f>
        <v/>
      </c>
      <c r="BX196" s="88">
        <f>IF($CS196,"",IF($CT196,IF(N($AZ196)&gt;0,N($AZ196),""),IF(4&gt;$CQ196,"",IF($CQ196=1,$CW196,$CW196+($CX196-$CW196)*3/($CQ196-1)))))</f>
        <v/>
      </c>
      <c r="BY196" s="88">
        <f>IF($CS196,"",IF($CT196,"",IF(5&gt;$CQ196,"",IF($CQ196=1,$CW196,$CW196+($CX196-$CW196)*4/($CQ196-1)))))</f>
        <v/>
      </c>
      <c r="BZ196" s="88">
        <f>IF(OR($CS196,$AP196="-",AND($AP196="",$AD196="")),"",IF(N($BA196)&gt;0,N($BA196),IF($CV196,IF(AND($BI196&lt;$CU196,$BI196-IF(N(VLOOKUP($AT196&amp;"|"&amp;$CU196,LocTable,7,FALSE))&gt;0,VLOOKUP($AT196&amp;"|"&amp;$CU196,LocTable,7,FALSE),VLOOKUP($AT196&amp;"|"&amp;$CU196,LocTable,6,FALSE))-$CR196-0.75&gt;=2.125),VLOOKUP($AT196&amp;"|"&amp;$CU196,LocTable,8,FALSE),VLOOKUP($AT196&amp;"|"&amp;$CU196,LocTable,8,FALSE)+($BI196-$CU196)),$BI196-LockAFF)))</f>
        <v/>
      </c>
      <c r="CA196" s="89">
        <f>IF($BZ196="","",$BI196-$BZ196)</f>
        <v/>
      </c>
      <c r="CB196" s="84">
        <f>IF(OR(NOT(AND($A196&lt;&gt;"",$C196&lt;&gt;"DOOR ONLY")),$BI196=""),"",IF(($BI196+IF(N($P196)&gt;0,$P196+FaceW,0))&lt;=90,3,IF(($BI196+IF(N($P196)&gt;0,$P196+FaceW,0))&lt;=114,4,5)))</f>
        <v/>
      </c>
      <c r="CC196" s="84">
        <f>IF($CB196="","",$CB196*(2+IF(N($Q196)&gt;0,IF($R196="LR",2,1),0)))</f>
        <v/>
      </c>
      <c r="CD196" s="84">
        <f>IF($CB196="","",(2+IF(N($Q196)&gt;0,IF($R196="LR",2,1),0)))</f>
        <v/>
      </c>
      <c r="CE196" s="84">
        <f>IF(N($BJ196)=0,"",IF(OR($AL196="",$AL196="FLUSH"),"FLUSH",IFERROR(LEFT($AL196,FIND("-",$AL196)-1),LEFT($AL196,2))))</f>
        <v/>
      </c>
      <c r="CF196" s="84">
        <f>IF($CE196="","",IFERROR(VALUE(MID($AL196,FIND("-",$AL196)+1,FIND(CHAR(34)&amp;"x",$AL196)-FIND("-",$AL196)-1)),0))</f>
        <v/>
      </c>
      <c r="CG196" s="84">
        <f>IF($CE196="","",IFERROR(VALUE(MID($AL196,FIND(CHAR(34)&amp;"x",$AL196)+2,FIND(CHAR(34),$AL196,FIND(CHAR(34)&amp;"x",$AL196)+2)-FIND(CHAR(34)&amp;"x",$AL196)-2)),0))</f>
        <v/>
      </c>
      <c r="CH196" s="90">
        <f>IF(OR($A196="",$H196="",$H196="NO LAB"),0,IFERROR(VALUE(LEFT($H196,FIND(" ",$H196)-1)),0))</f>
        <v/>
      </c>
      <c r="CI196" s="91">
        <f>IF(OR($A196="",$I196="",$I196="NON-RATED",N($J196)=0),"",IFERROR(VLOOKUP($I196&amp;"|"&amp;$J196,IBC,2,FALSE),"?"))</f>
        <v/>
      </c>
      <c r="CJ196" s="85">
        <f>IF(NOT(AND($A196&lt;&gt;"",$C196&lt;&gt;"DOOR ONLY")),"",TRIM(IFERROR(VLOOKUP($U196,CODES,2,FALSE),"")&amp;" "&amp;$BG196&amp;" "&amp;IFERROR(VLOOKUP($Z196,CODES,2,FALSE),"")&amp;" "&amp;IFERROR(VLOOKUP($X196,CODES,2,FALSE),"")&amp;" "&amp;IFERROR(VLOOKUP($S196,CODES,2,FALSE),"")&amp;IF(N($P196)&gt;0," w/TRANSOM "&amp;$P196&amp;CHAR(34),"")&amp;IF(N($Q196)&gt;0," w/SIDELITE "&amp;$Q196&amp;CHAR(34)&amp;" "&amp;IF($R196="","R",$R196),"")&amp;IF($Y196="","  |  "," | "&amp;IFERROR(VLOOKUP($Y196,CODES,2,FALSE),"")&amp;" | ")&amp;IFERROR(VLOOKUP($AC196,CODES,2,FALSE),"")&amp;" "&amp;IFERROR(VLOOKUP($AD196,CODES,2,FALSE),"")&amp;IF(OR($AE196="",$AE196="-"),""," "&amp;$AE196)&amp;IF(OR($AF196="",$AF196="-"),""," "&amp;$AF196)&amp;IF($AB196="Y"," 4"&amp;CHAR(34)&amp;" HEAD","")&amp;" "&amp;IFERROR(VLOOKUP($H196,CODES,2,FALSE),"")&amp;IF($CT196," | LOC "&amp;$CY196,"")))</f>
        <v/>
      </c>
      <c r="CK196" s="85">
        <f>IF(NOT(AND($A196&lt;&gt;"",N($BJ196)&gt;0)),"",TRIM(IFERROR(VLOOKUP($AH196,CODES,2,FALSE),"")&amp;IF($AI196=""," "," "&amp;$AI196&amp;"GA ")&amp;$BG196&amp;" "&amp;IF($AN196="",IFERROR(VLOOKUP($Z196,CODES,2,FALSE),""),IFERROR(VLOOKUP($AN196,CODES,2,FALSE),""))&amp;IF($BJ196=2," PAIR","")&amp;" DOOR | "&amp;IF($AL196="","?",$AL196)&amp;" | "&amp;IF($AO196="",IFERROR(VLOOKUP($AC196,CODES,2,FALSE),""),IFERROR(VLOOKUP($AO196,CODES,2,FALSE),""))&amp;" "&amp;IFERROR(VLOOKUP($AP196,CODES,2,FALSE),"")&amp;IF(OR($AQ196="",$AQ196="-"),""," SEAM "&amp;$AQ196)&amp;IF($AR196="Y"," ASTRAGAL","")&amp;IF($AJ196=""," "," "&amp;$AJ196)&amp;IF($AK196=""," "," "&amp;$AK196)&amp;IF(OR($AT196="",$AT196="ANSI/SDI",$AT196="CUSTOM LOC"),""," "&amp;$AT196)&amp;IF($AM196=""," "," SERIES "&amp;$AM196)&amp;" "&amp;IFERROR(VLOOKUP($H196,CODES,2,FALSE),"")&amp;IF($CT196," | LOC "&amp;$CZ196,"")))</f>
        <v/>
      </c>
      <c r="CL196" s="84">
        <f>IF(CP196="","",IF(COUNTIF($CP$6:CP196,CP196)=1,MAX($CL$5:CL195)+1,INDEX($CL$5:CL195,MATCH(CP196,$CP$5:CP195,0))))</f>
        <v/>
      </c>
      <c r="CM196" s="84">
        <f>IF(NOT(AND($A196&lt;&gt;"",$C196&lt;&gt;"DOOR ONLY")),"",MAX($CM$5:CM195)+1)</f>
        <v/>
      </c>
      <c r="CN196" s="84">
        <f>IF(NOT(AND($A196&lt;&gt;"",N($BJ196)&gt;0)),"",MAX($CN$5:CN195)+1)</f>
        <v/>
      </c>
      <c r="CO196" s="84">
        <f>IF($A196="","",MAX($CO$5:CO195)+1)</f>
        <v/>
      </c>
      <c r="CP196" s="84">
        <f>IF(OR($A196="",$BH196="",$BI196=""),"",$BG196&amp;"|"&amp;$O196&amp;"|"&amp;$AL196&amp;"|"&amp;$S196&amp;"|"&amp;$P196&amp;"|"&amp;$Q196&amp;$R196&amp;"|"&amp;$C196&amp;"|"&amp;$AB196)</f>
        <v/>
      </c>
      <c r="CQ196" s="84">
        <f>N($BS196)</f>
        <v/>
      </c>
      <c r="CR196" s="84">
        <f>IF(N($AU196)&gt;0,N($AU196),4.5)</f>
        <v/>
      </c>
      <c r="CS196" s="84">
        <f>OR($A196="",$BI196="",$S196="BL",AND($C196="FRAME ONLY",OR($AC196="",$AC196="BLK")))</f>
        <v/>
      </c>
      <c r="CT196" s="84">
        <f>AND(NOT($CS196),OR($AT196="CUSTOM LOC",N($AW196)+N($AX196)+N($AY196)+N($AZ196)+N($BA196)&gt;0))</f>
        <v/>
      </c>
      <c r="CU196" s="84">
        <f>IF($BI196="","",IF($BI196&lt;=80,80,IF($BI196&lt;=84,84,96)))</f>
        <v/>
      </c>
      <c r="CV196" s="84">
        <f>ISNUMBER(MATCH($AT196&amp;"|80",LocKeys,0))</f>
        <v/>
      </c>
      <c r="CW196" s="86">
        <f>IF($CS196,"",IF($CV196,VLOOKUP($AT196&amp;"|"&amp;$CU196,LocTable,4,FALSE),5))</f>
        <v/>
      </c>
      <c r="CX196" s="86">
        <f>IF($CS196,"",IF($CV196,IF(OR($BI196=$CU196,AND($BI196&lt;$CU196,$BI196-IF(N(VLOOKUP($AT196&amp;"|"&amp;$CU196,LocTable,7,FALSE))&gt;0,VLOOKUP($AT196&amp;"|"&amp;$CU196,LocTable,7,FALSE),VLOOKUP($AT196&amp;"|"&amp;$CU196,LocTable,6,FALSE))-$CR196-0.75&gt;=2.125)),IF(N(VLOOKUP($AT196&amp;"|"&amp;$CU196,LocTable,7,FALSE))&gt;0,VLOOKUP($AT196&amp;"|"&amp;$CU196,LocTable,7,FALSE),VLOOKUP($AT196&amp;"|"&amp;$CU196,LocTable,6,FALSE)),$BI196-($CU196-IF(N(VLOOKUP($AT196&amp;"|"&amp;$CU196,LocTable,7,FALSE))&gt;0,VLOOKUP($AT196&amp;"|"&amp;$CU196,LocTable,7,FALSE),VLOOKUP($AT196&amp;"|"&amp;$CU196,LocTable,6,FALSE)))),$BI196-10-$CR196))</f>
        <v/>
      </c>
      <c r="CY196" s="85">
        <f>IF($CS196,"",TRIM(IF(ISNUMBER($BU196),"A "&amp;TRIM(TEXT($BU196,"# ?/??"))&amp;CHAR(34)&amp;"  ","")&amp;IF(ISNUMBER($BV196),"B "&amp;TRIM(TEXT($BV196,"# ?/??"))&amp;CHAR(34)&amp;"  ","")&amp;IF(ISNUMBER($BW196),"C "&amp;TRIM(TEXT($BW196,"# ?/??"))&amp;CHAR(34)&amp;"  ","")&amp;IF(ISNUMBER($BX196),"D "&amp;TRIM(TEXT($BX196,"# ?/??"))&amp;CHAR(34)&amp;"  ","")&amp;IF(ISNUMBER($BY196),"F "&amp;TRIM(TEXT($BY196,"# ?/??"))&amp;CHAR(34)&amp;"  ","")&amp;IF(ISNUMBER($BZ196),"E "&amp;TRIM(TEXT($BZ196,"# ?/??"))&amp;CHAR(34)&amp;"  ","")))</f>
        <v/>
      </c>
      <c r="CZ196" s="85">
        <f>IF(OR($CS196,N($BJ196)=0),"",TRIM(IF(ISNUMBER($BU196),"A "&amp;TRIM(TEXT($BU196-HeadClr,"# ?/??"))&amp;CHAR(34)&amp;"  ","")&amp;IF(ISNUMBER($BV196),"B "&amp;TRIM(TEXT($BV196-HeadClr,"# ?/??"))&amp;CHAR(34)&amp;"  ","")&amp;IF(ISNUMBER($BW196),"C "&amp;TRIM(TEXT($BW196-HeadClr,"# ?/??"))&amp;CHAR(34)&amp;"  ","")&amp;IF(ISNUMBER($BX196),"D "&amp;TRIM(TEXT($BX196-HeadClr,"# ?/??"))&amp;CHAR(34)&amp;"  ","")&amp;IF(ISNUMBER($BY196),"F "&amp;TRIM(TEXT($BY196-HeadClr,"# ?/??"))&amp;CHAR(34)&amp;"  ","")&amp;IF(ISNUMBER($BZ196),"E "&amp;TRIM(TEXT($BZ196-HeadClr,"# ?/??"))&amp;CHAR(34)&amp;"  ","")))</f>
        <v/>
      </c>
      <c r="DA196" s="84">
        <f>IF($A196="","",IF($AN196="",IFERROR(VLOOKUP($Z196,CODES,2,FALSE),""),IFERROR(VLOOKUP($AN196,CODES,2,FALSE),"")))</f>
        <v/>
      </c>
      <c r="DB196" s="84">
        <f>IF($A196="","",IF($O196="Y","PR",IF(OR($Z196="L",$Z196="RR",LEFT($Z196,2)="L-",LEFT($Z196,3)="RR-"),"LH","RH")))</f>
        <v/>
      </c>
      <c r="DC196" s="84">
        <f>IF($A196="","","S.HM"&amp;IF(OR($C196="DOOR ONLY",$X196&lt;&gt;"KD"),"MASONRY","DRYWALL")&amp;IF($C196="DOOR ONLY","",$U196)&amp;IF(AND($C196&lt;&gt;"FRAME ONLY",OR(LEFT($AH196,3)="OAK",LEFT($AH196,3)="BIR",LEFT($AH196,3)="MAP",$AH196="PC",$AH196="MC",$AH196="SCLC",$AH196="P-LAM")),"WD","HM")&amp;"1.75")</f>
        <v/>
      </c>
      <c r="DD196" s="84">
        <f>IF($CJ196="","",IF($O196="Y",$CJ196,SUBSTITUTE($CJ196,$BG196&amp;" "&amp;IFERROR(VLOOKUP($Z196,CODES,2,FALSE),"")&amp;" ",$BG196&amp;" ")))</f>
        <v/>
      </c>
      <c r="DE196" s="84">
        <f>IF($CK196="","",IF($O196="Y",$CK196,SUBSTITUTE($CK196,$BG196&amp;" "&amp;IF($AN196="",IFERROR(VLOOKUP($Z196,CODES,2,FALSE),""),IFERROR(VLOOKUP($AN196,CODES,2,FALSE),""))&amp;" ",$BG196&amp;" ")))</f>
        <v/>
      </c>
      <c r="DF196" s="84">
        <f>IF($CJ196="","",$DC196&amp;"|"&amp;$DD196&amp;"|"&amp;$DB196&amp;"|"&amp;$AT196&amp;"|"&amp;$V196&amp;"|"&amp;$Y196&amp;"|"&amp;$AB196)</f>
        <v/>
      </c>
      <c r="DG196" s="84">
        <f>IF(DF196="","",IF(COUNTIF($DF$6:DF196,DF196)=1,MAX($DG$5:DG195)+1,INDEX($DG$5:DG195,MATCH(DF196,$DF$5:DF195,0))))</f>
        <v/>
      </c>
      <c r="DH196" s="84">
        <f>IF($CK196="","",$DC196&amp;"|"&amp;$DE196&amp;"|"&amp;$AI196&amp;"|"&amp;$BK196&amp;"|"&amp;$BL196)</f>
        <v/>
      </c>
      <c r="DI196" s="84">
        <f>IF(DH196="","",IF(COUNTIF($DH$6:DH196,DH196)=1,MAX($DI$5:DI195)+1,INDEX($DI$5:DI195,MATCH(DH196,$DH$5:DH195,0))))</f>
        <v/>
      </c>
      <c r="DJ196" s="84">
        <f>IF($A196="","",IF($B196="","qty, ","")&amp;IF($C196="","scope, ","")&amp;IF(OR($K196="",$M196=""),"size, ","")&amp;IF(AND($A196&lt;&gt;"",$C196&lt;&gt;"DOOR ONLY"),IF($U196="","jamb depth, ","")&amp;IF($X196="","construction, ","")&amp;IF($Y196="","anchor, ","")&amp;IF($S196="","frame type, ",""),"")&amp;IF(AND(N($BJ196)&gt;0,$Z196=""),"hand, ","")&amp;IF(N($BJ196)&gt;0,IF($AH196="","door material, ","")&amp;IF($AL196="","face type, ","")&amp;IF($AP196="","lock prep, ","")&amp;IF(AND($AO196="",$AC196=""),"hinge prep, ",""),"")&amp;IF(AND($CH196&gt;0,$AH196="FRP"),"FRP cannot carry a label, ","")&amp;IF(AND($O196="Y",OR($Z196="L",$Z196="R",$Z196="LR",$Z196="RR")),"pair marked but hand is single, ","")&amp;IF(AND($O196&lt;&gt;"Y",OR($Z196="PR",AND(LEN($Z196)&gt;1,ISNUMBER(SEARCH("-",$Z196))))),"pair hand on a single door, ","")&amp;IF(AND(ISNUMBER($CI196),$CH196&lt;N($CI196)),"wall needs a "&amp;$CI196&amp;" min door, ","")&amp;IF(AND($CH196&gt;=180,AND(OR($CE196="FG",$CE196="HG",$CE196="FNV",$CE196="FV"),N($CF196)*N($CG196)&gt;100)),"180 min lite over 100 sq in, ","")&amp;IF(N($BK196)&gt;48,"leaf wider than 4'-0"&amp;CHAR(34)&amp;", ","")&amp;IF(AND($CT196,COUNT($AW196:$AZ196)=0,$CQ196&gt;0),"CUSTOM LOC with no locations typed, ",""))</f>
        <v/>
      </c>
      <c r="DK196" s="84">
        <f>IF($A196="","",IF(AND($CH196&gt;0,AND($A196&lt;&gt;"",$C196&lt;&gt;"DOOR ONLY"),$X196="KD",$E196="EXTERIOR"),"KD label on an exterior opening, ","")&amp;IF(AND($E196="EXTERIOR",OR(AND(AND($A196&lt;&gt;"",$C196&lt;&gt;"DOOR ONLY"),$W196="CR"),AND(N($BJ196)&gt;0,$AH196="CR"))),"exterior in CR steel (G9?), ","")&amp;IF(AND(ISNUMBER($BQ196),N($BQ196)&lt;32),"clear width ~"&amp;TEXT($BQ196,"0.0")&amp;CHAR(34)&amp;" under 32"&amp;CHAR(34)&amp;" (ADA), ","")&amp;IF(AND($CH196=90,AND(OR($CE196="FG",$CE196="HG",$CE196="FNV",$CE196="FV"),N($CF196)*N($CG196)&gt;100)),"90 min lite over 100 sq in (stair/exit), ","")&amp;IF(AND($CH196&gt;0,AND($A196&lt;&gt;"",$C196&lt;&gt;"DOOR ONLY"),OR($AF196="",$AF196="-")),"rated: closer reinf.?, ","")&amp;IF(OR($I196="CORRIDOR",$I196="SMOKE BARRIER"),"S label + smoke gasketing, ","")&amp;IF($CI196="?","wall type/hr not in IBC table, ","")&amp;IF(AND(N($BJ196)&gt;0,$BB196=""),"no hardware set, ","")&amp;IF(AND($BB196&lt;&gt;"",ISNA(MATCH($BB196&amp;"",HWSets,0))),"set "&amp;$BB196&amp;" not on HW Sets, ","")&amp;IF(N($BL196)&gt;96,"leaf over 8'-0"&amp;CHAR(34)&amp;" - check listing, ","")&amp;IF(AND($CT196,COUNT($AW196:$AZ196)&gt;0,COUNT($AW196:$AZ196)&lt;&gt;$CQ196),COUNT($AW196:$AZ196)&amp;" custom hinges typed, "&amp;$CQ196&amp;" expected, ","")&amp;IF(AND(ISNUMBER($CA196),OR(N($CA196)&lt;34,N($CA196)&gt;48)),"lock "&amp;TEXT($CA196,"0.0")&amp;CHAR(34)&amp;" AFF outside 34-48"&amp;CHAR(34)&amp;" (ADA), ","")&amp;IF(AND(ISNUMBER($AV196),ISNUMBER($BL196),N($AV196)&lt;IF(N($BL196)&lt;=60,2,IF(N($BL196)&lt;=90,3,IF(N($BL196)&lt;=120,4,5)))),"fewer hinges than standard, ",""))</f>
        <v/>
      </c>
    </row>
    <row r="197" ht="15" customHeight="1">
      <c r="A197" s="77" t="n"/>
      <c r="B197" s="78" t="n"/>
      <c r="C197" s="78" t="n"/>
      <c r="D197" s="78" t="n"/>
      <c r="E197" s="78" t="n"/>
      <c r="F197" s="78" t="n"/>
      <c r="G197" s="78" t="n"/>
      <c r="H197" s="78" t="n"/>
      <c r="I197" s="78" t="n"/>
      <c r="J197" s="78" t="n"/>
      <c r="K197" s="78" t="n"/>
      <c r="L197" s="78" t="n"/>
      <c r="M197" s="78" t="n"/>
      <c r="N197" s="78" t="n"/>
      <c r="O197" s="78" t="n"/>
      <c r="P197" s="78" t="n"/>
      <c r="Q197" s="78" t="n"/>
      <c r="R197" s="78" t="n"/>
      <c r="S197" s="79" t="n"/>
      <c r="T197" s="79" t="n"/>
      <c r="U197" s="79" t="n"/>
      <c r="V197" s="79" t="n"/>
      <c r="W197" s="79" t="n"/>
      <c r="X197" s="79" t="n"/>
      <c r="Y197" s="79" t="n"/>
      <c r="Z197" s="79" t="n"/>
      <c r="AA197" s="79" t="n"/>
      <c r="AB197" s="79" t="n"/>
      <c r="AC197" s="79" t="n"/>
      <c r="AD197" s="79" t="n"/>
      <c r="AE197" s="79" t="n"/>
      <c r="AF197" s="79" t="n"/>
      <c r="AG197" s="79" t="n"/>
      <c r="AH197" s="80" t="n"/>
      <c r="AI197" s="80" t="n"/>
      <c r="AJ197" s="80" t="n"/>
      <c r="AK197" s="80" t="n"/>
      <c r="AL197" s="80" t="n"/>
      <c r="AM197" s="80" t="n"/>
      <c r="AN197" s="80" t="n"/>
      <c r="AO197" s="80" t="n"/>
      <c r="AP197" s="80" t="n"/>
      <c r="AQ197" s="80" t="n"/>
      <c r="AR197" s="80" t="n"/>
      <c r="AS197" s="80" t="n"/>
      <c r="AT197" s="81" t="n"/>
      <c r="AU197" s="81" t="n"/>
      <c r="AV197" s="81" t="n"/>
      <c r="AW197" s="82" t="n"/>
      <c r="AX197" s="82" t="n"/>
      <c r="AY197" s="82" t="n"/>
      <c r="AZ197" s="82" t="n"/>
      <c r="BA197" s="82" t="n"/>
      <c r="BB197" s="83" t="n"/>
      <c r="BC197" s="83" t="n"/>
      <c r="BD197" s="84">
        <f>IF($A197="","",IF($DJ197&lt;&gt;"","FIX",IF($DK197&lt;&gt;"","CHECK","OK")))</f>
        <v/>
      </c>
      <c r="BE197" s="85">
        <f>IF($A197="","",IF($DJ197&lt;&gt;"","FIX: "&amp;LEFT($DJ197,LEN($DJ197)-2)&amp;IF($DK197&lt;&gt;"","  ·  ",""),"")&amp;IF($DK197&lt;&gt;"","CHECK: "&amp;LEFT($DK197,LEN($DK197)-2),""))</f>
        <v/>
      </c>
      <c r="BF197" s="84">
        <f>IF(OR($A197="",$K197=""),"",$K197&amp;"'-"&amp;N($L197)&amp;CHAR(34)&amp;" x "&amp;$M197&amp;"'-"&amp;N($N197)&amp;CHAR(34))</f>
        <v/>
      </c>
      <c r="BG197" s="84">
        <f>IF(OR($A197="",$K197=""),"",$K197&amp;N($L197)&amp;$M197&amp;N($N197))</f>
        <v/>
      </c>
      <c r="BH197" s="84">
        <f>IF(OR($A197="",$K197=""),"",$K197*12+N($L197))</f>
        <v/>
      </c>
      <c r="BI197" s="84">
        <f>IF(OR($A197="",$M197=""),"",$M197*12+N($N197))</f>
        <v/>
      </c>
      <c r="BJ197" s="84">
        <f>IF($A197="","",IF(OR($C197="FRAME ONLY",$S197="BL"),0,IF($O197="Y",2,1)))</f>
        <v/>
      </c>
      <c r="BK197" s="86">
        <f>IF(OR(N($BJ197)=0,$BH197=""),"",($BH197-2*EdgeClr-IF($BJ197=2,MeetClr,0))/$BJ197)</f>
        <v/>
      </c>
      <c r="BL197" s="86">
        <f>IF(OR(N($BJ197)=0,$BI197=""),"",$BI197-HeadClr-Undercut)</f>
        <v/>
      </c>
      <c r="BM197" s="86">
        <f>IF($BH197="","",$BH197+2*FaceW+IF(N($Q197)&gt;0,($Q197+FaceW)*IF($R197="LR",2,1),0))</f>
        <v/>
      </c>
      <c r="BN197" s="86">
        <f>IF($BI197="","",$BI197+IF($AB197="Y",4,FaceW)+IF(N($P197)&gt;0,$P197+FaceW,0)+IF(OR($S197="4F",$S197="BL"),FaceW,0))</f>
        <v/>
      </c>
      <c r="BO197" s="86">
        <f>IF($BM197="","",$BM197+2*ROSide)</f>
        <v/>
      </c>
      <c r="BP197" s="86">
        <f>IF($BN197="","",$BN197+ROTop)</f>
        <v/>
      </c>
      <c r="BQ197" s="87">
        <f>IF(OR(N($BJ197)=0,$BH197=""),"",$BH197/$BJ197-ClearDeduct)</f>
        <v/>
      </c>
      <c r="BR197" s="84">
        <f>IF(N($CH197)=0,"",IF($CH197&gt;=180,"A · 3 HR",IF($CH197&gt;=90,"B · 1-1/2 HR",IF($CH197&gt;=60,"B · 1 HR",IF($CH197&gt;=45,"C · 3/4 HR","20 MIN")))))&amp;IF(AND(N($CH197)&gt;0,OR($I197="CORRIDOR",$I197="SMOKE BARRIER"))," · S","")</f>
        <v/>
      </c>
      <c r="BS197" s="84">
        <f>IF($CS197,"",IF($AV197&lt;&gt;"",$AV197,IF(OR($AC197="HGC",$AO197="HGC"),"CONT",IF(($BI197-HeadClr-Undercut)&lt;=60,2,IF(($BI197-HeadClr-Undercut)&lt;=90,3,IF(($BI197-HeadClr-Undercut)&lt;=120,4,5))))))</f>
        <v/>
      </c>
      <c r="BT197" s="84">
        <f>IF($CS197,"",IF($CT197,"CUSTOM (typed)",IF($CV197,$AT197&amp;" "&amp;$CU197&amp;CHAR(34)&amp;IF($CU197&lt;&gt;$BI197,IF(AND($BI197&lt;$CU197,$BI197-IF(N(VLOOKUP($AT197&amp;"|"&amp;$CU197,LocTable,7,FALSE))&gt;0,VLOOKUP($AT197&amp;"|"&amp;$CU197,LocTable,7,FALSE),VLOOKUP($AT197&amp;"|"&amp;$CU197,LocTable,6,FALSE))-$CR197-0.75&gt;=2.125)," cut down"," adj."),""),"ANSI/SDI A250.6")))</f>
        <v/>
      </c>
      <c r="BU197" s="88">
        <f>IF($CS197,"",IF($CT197,IF(N($AW197)&gt;0,N($AW197),""),IF(1&gt;$CQ197,"",IF($CQ197=1,$CW197,$CW197+($CX197-$CW197)*0/($CQ197-1)))))</f>
        <v/>
      </c>
      <c r="BV197" s="88">
        <f>IF($CS197,"",IF($CT197,IF(N($AX197)&gt;0,N($AX197),""),IF(2&gt;$CQ197,"",IF($CQ197=1,$CW197,$CW197+($CX197-$CW197)*1/($CQ197-1)))))</f>
        <v/>
      </c>
      <c r="BW197" s="88">
        <f>IF($CS197,"",IF($CT197,IF(N($AY197)&gt;0,N($AY197),""),IF(3&gt;$CQ197,"",IF($CQ197=1,$CW197,$CW197+($CX197-$CW197)*2/($CQ197-1)))))</f>
        <v/>
      </c>
      <c r="BX197" s="88">
        <f>IF($CS197,"",IF($CT197,IF(N($AZ197)&gt;0,N($AZ197),""),IF(4&gt;$CQ197,"",IF($CQ197=1,$CW197,$CW197+($CX197-$CW197)*3/($CQ197-1)))))</f>
        <v/>
      </c>
      <c r="BY197" s="88">
        <f>IF($CS197,"",IF($CT197,"",IF(5&gt;$CQ197,"",IF($CQ197=1,$CW197,$CW197+($CX197-$CW197)*4/($CQ197-1)))))</f>
        <v/>
      </c>
      <c r="BZ197" s="88">
        <f>IF(OR($CS197,$AP197="-",AND($AP197="",$AD197="")),"",IF(N($BA197)&gt;0,N($BA197),IF($CV197,IF(AND($BI197&lt;$CU197,$BI197-IF(N(VLOOKUP($AT197&amp;"|"&amp;$CU197,LocTable,7,FALSE))&gt;0,VLOOKUP($AT197&amp;"|"&amp;$CU197,LocTable,7,FALSE),VLOOKUP($AT197&amp;"|"&amp;$CU197,LocTable,6,FALSE))-$CR197-0.75&gt;=2.125),VLOOKUP($AT197&amp;"|"&amp;$CU197,LocTable,8,FALSE),VLOOKUP($AT197&amp;"|"&amp;$CU197,LocTable,8,FALSE)+($BI197-$CU197)),$BI197-LockAFF)))</f>
        <v/>
      </c>
      <c r="CA197" s="89">
        <f>IF($BZ197="","",$BI197-$BZ197)</f>
        <v/>
      </c>
      <c r="CB197" s="84">
        <f>IF(OR(NOT(AND($A197&lt;&gt;"",$C197&lt;&gt;"DOOR ONLY")),$BI197=""),"",IF(($BI197+IF(N($P197)&gt;0,$P197+FaceW,0))&lt;=90,3,IF(($BI197+IF(N($P197)&gt;0,$P197+FaceW,0))&lt;=114,4,5)))</f>
        <v/>
      </c>
      <c r="CC197" s="84">
        <f>IF($CB197="","",$CB197*(2+IF(N($Q197)&gt;0,IF($R197="LR",2,1),0)))</f>
        <v/>
      </c>
      <c r="CD197" s="84">
        <f>IF($CB197="","",(2+IF(N($Q197)&gt;0,IF($R197="LR",2,1),0)))</f>
        <v/>
      </c>
      <c r="CE197" s="84">
        <f>IF(N($BJ197)=0,"",IF(OR($AL197="",$AL197="FLUSH"),"FLUSH",IFERROR(LEFT($AL197,FIND("-",$AL197)-1),LEFT($AL197,2))))</f>
        <v/>
      </c>
      <c r="CF197" s="84">
        <f>IF($CE197="","",IFERROR(VALUE(MID($AL197,FIND("-",$AL197)+1,FIND(CHAR(34)&amp;"x",$AL197)-FIND("-",$AL197)-1)),0))</f>
        <v/>
      </c>
      <c r="CG197" s="84">
        <f>IF($CE197="","",IFERROR(VALUE(MID($AL197,FIND(CHAR(34)&amp;"x",$AL197)+2,FIND(CHAR(34),$AL197,FIND(CHAR(34)&amp;"x",$AL197)+2)-FIND(CHAR(34)&amp;"x",$AL197)-2)),0))</f>
        <v/>
      </c>
      <c r="CH197" s="90">
        <f>IF(OR($A197="",$H197="",$H197="NO LAB"),0,IFERROR(VALUE(LEFT($H197,FIND(" ",$H197)-1)),0))</f>
        <v/>
      </c>
      <c r="CI197" s="91">
        <f>IF(OR($A197="",$I197="",$I197="NON-RATED",N($J197)=0),"",IFERROR(VLOOKUP($I197&amp;"|"&amp;$J197,IBC,2,FALSE),"?"))</f>
        <v/>
      </c>
      <c r="CJ197" s="85">
        <f>IF(NOT(AND($A197&lt;&gt;"",$C197&lt;&gt;"DOOR ONLY")),"",TRIM(IFERROR(VLOOKUP($U197,CODES,2,FALSE),"")&amp;" "&amp;$BG197&amp;" "&amp;IFERROR(VLOOKUP($Z197,CODES,2,FALSE),"")&amp;" "&amp;IFERROR(VLOOKUP($X197,CODES,2,FALSE),"")&amp;" "&amp;IFERROR(VLOOKUP($S197,CODES,2,FALSE),"")&amp;IF(N($P197)&gt;0," w/TRANSOM "&amp;$P197&amp;CHAR(34),"")&amp;IF(N($Q197)&gt;0," w/SIDELITE "&amp;$Q197&amp;CHAR(34)&amp;" "&amp;IF($R197="","R",$R197),"")&amp;IF($Y197="","  |  "," | "&amp;IFERROR(VLOOKUP($Y197,CODES,2,FALSE),"")&amp;" | ")&amp;IFERROR(VLOOKUP($AC197,CODES,2,FALSE),"")&amp;" "&amp;IFERROR(VLOOKUP($AD197,CODES,2,FALSE),"")&amp;IF(OR($AE197="",$AE197="-"),""," "&amp;$AE197)&amp;IF(OR($AF197="",$AF197="-"),""," "&amp;$AF197)&amp;IF($AB197="Y"," 4"&amp;CHAR(34)&amp;" HEAD","")&amp;" "&amp;IFERROR(VLOOKUP($H197,CODES,2,FALSE),"")&amp;IF($CT197," | LOC "&amp;$CY197,"")))</f>
        <v/>
      </c>
      <c r="CK197" s="85">
        <f>IF(NOT(AND($A197&lt;&gt;"",N($BJ197)&gt;0)),"",TRIM(IFERROR(VLOOKUP($AH197,CODES,2,FALSE),"")&amp;IF($AI197=""," "," "&amp;$AI197&amp;"GA ")&amp;$BG197&amp;" "&amp;IF($AN197="",IFERROR(VLOOKUP($Z197,CODES,2,FALSE),""),IFERROR(VLOOKUP($AN197,CODES,2,FALSE),""))&amp;IF($BJ197=2," PAIR","")&amp;" DOOR | "&amp;IF($AL197="","?",$AL197)&amp;" | "&amp;IF($AO197="",IFERROR(VLOOKUP($AC197,CODES,2,FALSE),""),IFERROR(VLOOKUP($AO197,CODES,2,FALSE),""))&amp;" "&amp;IFERROR(VLOOKUP($AP197,CODES,2,FALSE),"")&amp;IF(OR($AQ197="",$AQ197="-"),""," SEAM "&amp;$AQ197)&amp;IF($AR197="Y"," ASTRAGAL","")&amp;IF($AJ197=""," "," "&amp;$AJ197)&amp;IF($AK197=""," "," "&amp;$AK197)&amp;IF(OR($AT197="",$AT197="ANSI/SDI",$AT197="CUSTOM LOC"),""," "&amp;$AT197)&amp;IF($AM197=""," "," SERIES "&amp;$AM197)&amp;" "&amp;IFERROR(VLOOKUP($H197,CODES,2,FALSE),"")&amp;IF($CT197," | LOC "&amp;$CZ197,"")))</f>
        <v/>
      </c>
      <c r="CL197" s="84">
        <f>IF(CP197="","",IF(COUNTIF($CP$6:CP197,CP197)=1,MAX($CL$5:CL196)+1,INDEX($CL$5:CL196,MATCH(CP197,$CP$5:CP196,0))))</f>
        <v/>
      </c>
      <c r="CM197" s="84">
        <f>IF(NOT(AND($A197&lt;&gt;"",$C197&lt;&gt;"DOOR ONLY")),"",MAX($CM$5:CM196)+1)</f>
        <v/>
      </c>
      <c r="CN197" s="84">
        <f>IF(NOT(AND($A197&lt;&gt;"",N($BJ197)&gt;0)),"",MAX($CN$5:CN196)+1)</f>
        <v/>
      </c>
      <c r="CO197" s="84">
        <f>IF($A197="","",MAX($CO$5:CO196)+1)</f>
        <v/>
      </c>
      <c r="CP197" s="84">
        <f>IF(OR($A197="",$BH197="",$BI197=""),"",$BG197&amp;"|"&amp;$O197&amp;"|"&amp;$AL197&amp;"|"&amp;$S197&amp;"|"&amp;$P197&amp;"|"&amp;$Q197&amp;$R197&amp;"|"&amp;$C197&amp;"|"&amp;$AB197)</f>
        <v/>
      </c>
      <c r="CQ197" s="84">
        <f>N($BS197)</f>
        <v/>
      </c>
      <c r="CR197" s="84">
        <f>IF(N($AU197)&gt;0,N($AU197),4.5)</f>
        <v/>
      </c>
      <c r="CS197" s="84">
        <f>OR($A197="",$BI197="",$S197="BL",AND($C197="FRAME ONLY",OR($AC197="",$AC197="BLK")))</f>
        <v/>
      </c>
      <c r="CT197" s="84">
        <f>AND(NOT($CS197),OR($AT197="CUSTOM LOC",N($AW197)+N($AX197)+N($AY197)+N($AZ197)+N($BA197)&gt;0))</f>
        <v/>
      </c>
      <c r="CU197" s="84">
        <f>IF($BI197="","",IF($BI197&lt;=80,80,IF($BI197&lt;=84,84,96)))</f>
        <v/>
      </c>
      <c r="CV197" s="84">
        <f>ISNUMBER(MATCH($AT197&amp;"|80",LocKeys,0))</f>
        <v/>
      </c>
      <c r="CW197" s="86">
        <f>IF($CS197,"",IF($CV197,VLOOKUP($AT197&amp;"|"&amp;$CU197,LocTable,4,FALSE),5))</f>
        <v/>
      </c>
      <c r="CX197" s="86">
        <f>IF($CS197,"",IF($CV197,IF(OR($BI197=$CU197,AND($BI197&lt;$CU197,$BI197-IF(N(VLOOKUP($AT197&amp;"|"&amp;$CU197,LocTable,7,FALSE))&gt;0,VLOOKUP($AT197&amp;"|"&amp;$CU197,LocTable,7,FALSE),VLOOKUP($AT197&amp;"|"&amp;$CU197,LocTable,6,FALSE))-$CR197-0.75&gt;=2.125)),IF(N(VLOOKUP($AT197&amp;"|"&amp;$CU197,LocTable,7,FALSE))&gt;0,VLOOKUP($AT197&amp;"|"&amp;$CU197,LocTable,7,FALSE),VLOOKUP($AT197&amp;"|"&amp;$CU197,LocTable,6,FALSE)),$BI197-($CU197-IF(N(VLOOKUP($AT197&amp;"|"&amp;$CU197,LocTable,7,FALSE))&gt;0,VLOOKUP($AT197&amp;"|"&amp;$CU197,LocTable,7,FALSE),VLOOKUP($AT197&amp;"|"&amp;$CU197,LocTable,6,FALSE)))),$BI197-10-$CR197))</f>
        <v/>
      </c>
      <c r="CY197" s="85">
        <f>IF($CS197,"",TRIM(IF(ISNUMBER($BU197),"A "&amp;TRIM(TEXT($BU197,"# ?/??"))&amp;CHAR(34)&amp;"  ","")&amp;IF(ISNUMBER($BV197),"B "&amp;TRIM(TEXT($BV197,"# ?/??"))&amp;CHAR(34)&amp;"  ","")&amp;IF(ISNUMBER($BW197),"C "&amp;TRIM(TEXT($BW197,"# ?/??"))&amp;CHAR(34)&amp;"  ","")&amp;IF(ISNUMBER($BX197),"D "&amp;TRIM(TEXT($BX197,"# ?/??"))&amp;CHAR(34)&amp;"  ","")&amp;IF(ISNUMBER($BY197),"F "&amp;TRIM(TEXT($BY197,"# ?/??"))&amp;CHAR(34)&amp;"  ","")&amp;IF(ISNUMBER($BZ197),"E "&amp;TRIM(TEXT($BZ197,"# ?/??"))&amp;CHAR(34)&amp;"  ","")))</f>
        <v/>
      </c>
      <c r="CZ197" s="85">
        <f>IF(OR($CS197,N($BJ197)=0),"",TRIM(IF(ISNUMBER($BU197),"A "&amp;TRIM(TEXT($BU197-HeadClr,"# ?/??"))&amp;CHAR(34)&amp;"  ","")&amp;IF(ISNUMBER($BV197),"B "&amp;TRIM(TEXT($BV197-HeadClr,"# ?/??"))&amp;CHAR(34)&amp;"  ","")&amp;IF(ISNUMBER($BW197),"C "&amp;TRIM(TEXT($BW197-HeadClr,"# ?/??"))&amp;CHAR(34)&amp;"  ","")&amp;IF(ISNUMBER($BX197),"D "&amp;TRIM(TEXT($BX197-HeadClr,"# ?/??"))&amp;CHAR(34)&amp;"  ","")&amp;IF(ISNUMBER($BY197),"F "&amp;TRIM(TEXT($BY197-HeadClr,"# ?/??"))&amp;CHAR(34)&amp;"  ","")&amp;IF(ISNUMBER($BZ197),"E "&amp;TRIM(TEXT($BZ197-HeadClr,"# ?/??"))&amp;CHAR(34)&amp;"  ","")))</f>
        <v/>
      </c>
      <c r="DA197" s="84">
        <f>IF($A197="","",IF($AN197="",IFERROR(VLOOKUP($Z197,CODES,2,FALSE),""),IFERROR(VLOOKUP($AN197,CODES,2,FALSE),"")))</f>
        <v/>
      </c>
      <c r="DB197" s="84">
        <f>IF($A197="","",IF($O197="Y","PR",IF(OR($Z197="L",$Z197="RR",LEFT($Z197,2)="L-",LEFT($Z197,3)="RR-"),"LH","RH")))</f>
        <v/>
      </c>
      <c r="DC197" s="84">
        <f>IF($A197="","","S.HM"&amp;IF(OR($C197="DOOR ONLY",$X197&lt;&gt;"KD"),"MASONRY","DRYWALL")&amp;IF($C197="DOOR ONLY","",$U197)&amp;IF(AND($C197&lt;&gt;"FRAME ONLY",OR(LEFT($AH197,3)="OAK",LEFT($AH197,3)="BIR",LEFT($AH197,3)="MAP",$AH197="PC",$AH197="MC",$AH197="SCLC",$AH197="P-LAM")),"WD","HM")&amp;"1.75")</f>
        <v/>
      </c>
      <c r="DD197" s="84">
        <f>IF($CJ197="","",IF($O197="Y",$CJ197,SUBSTITUTE($CJ197,$BG197&amp;" "&amp;IFERROR(VLOOKUP($Z197,CODES,2,FALSE),"")&amp;" ",$BG197&amp;" ")))</f>
        <v/>
      </c>
      <c r="DE197" s="84">
        <f>IF($CK197="","",IF($O197="Y",$CK197,SUBSTITUTE($CK197,$BG197&amp;" "&amp;IF($AN197="",IFERROR(VLOOKUP($Z197,CODES,2,FALSE),""),IFERROR(VLOOKUP($AN197,CODES,2,FALSE),""))&amp;" ",$BG197&amp;" ")))</f>
        <v/>
      </c>
      <c r="DF197" s="84">
        <f>IF($CJ197="","",$DC197&amp;"|"&amp;$DD197&amp;"|"&amp;$DB197&amp;"|"&amp;$AT197&amp;"|"&amp;$V197&amp;"|"&amp;$Y197&amp;"|"&amp;$AB197)</f>
        <v/>
      </c>
      <c r="DG197" s="84">
        <f>IF(DF197="","",IF(COUNTIF($DF$6:DF197,DF197)=1,MAX($DG$5:DG196)+1,INDEX($DG$5:DG196,MATCH(DF197,$DF$5:DF196,0))))</f>
        <v/>
      </c>
      <c r="DH197" s="84">
        <f>IF($CK197="","",$DC197&amp;"|"&amp;$DE197&amp;"|"&amp;$AI197&amp;"|"&amp;$BK197&amp;"|"&amp;$BL197)</f>
        <v/>
      </c>
      <c r="DI197" s="84">
        <f>IF(DH197="","",IF(COUNTIF($DH$6:DH197,DH197)=1,MAX($DI$5:DI196)+1,INDEX($DI$5:DI196,MATCH(DH197,$DH$5:DH196,0))))</f>
        <v/>
      </c>
      <c r="DJ197" s="84">
        <f>IF($A197="","",IF($B197="","qty, ","")&amp;IF($C197="","scope, ","")&amp;IF(OR($K197="",$M197=""),"size, ","")&amp;IF(AND($A197&lt;&gt;"",$C197&lt;&gt;"DOOR ONLY"),IF($U197="","jamb depth, ","")&amp;IF($X197="","construction, ","")&amp;IF($Y197="","anchor, ","")&amp;IF($S197="","frame type, ",""),"")&amp;IF(AND(N($BJ197)&gt;0,$Z197=""),"hand, ","")&amp;IF(N($BJ197)&gt;0,IF($AH197="","door material, ","")&amp;IF($AL197="","face type, ","")&amp;IF($AP197="","lock prep, ","")&amp;IF(AND($AO197="",$AC197=""),"hinge prep, ",""),"")&amp;IF(AND($CH197&gt;0,$AH197="FRP"),"FRP cannot carry a label, ","")&amp;IF(AND($O197="Y",OR($Z197="L",$Z197="R",$Z197="LR",$Z197="RR")),"pair marked but hand is single, ","")&amp;IF(AND($O197&lt;&gt;"Y",OR($Z197="PR",AND(LEN($Z197)&gt;1,ISNUMBER(SEARCH("-",$Z197))))),"pair hand on a single door, ","")&amp;IF(AND(ISNUMBER($CI197),$CH197&lt;N($CI197)),"wall needs a "&amp;$CI197&amp;" min door, ","")&amp;IF(AND($CH197&gt;=180,AND(OR($CE197="FG",$CE197="HG",$CE197="FNV",$CE197="FV"),N($CF197)*N($CG197)&gt;100)),"180 min lite over 100 sq in, ","")&amp;IF(N($BK197)&gt;48,"leaf wider than 4'-0"&amp;CHAR(34)&amp;", ","")&amp;IF(AND($CT197,COUNT($AW197:$AZ197)=0,$CQ197&gt;0),"CUSTOM LOC with no locations typed, ",""))</f>
        <v/>
      </c>
      <c r="DK197" s="84">
        <f>IF($A197="","",IF(AND($CH197&gt;0,AND($A197&lt;&gt;"",$C197&lt;&gt;"DOOR ONLY"),$X197="KD",$E197="EXTERIOR"),"KD label on an exterior opening, ","")&amp;IF(AND($E197="EXTERIOR",OR(AND(AND($A197&lt;&gt;"",$C197&lt;&gt;"DOOR ONLY"),$W197="CR"),AND(N($BJ197)&gt;0,$AH197="CR"))),"exterior in CR steel (G9?), ","")&amp;IF(AND(ISNUMBER($BQ197),N($BQ197)&lt;32),"clear width ~"&amp;TEXT($BQ197,"0.0")&amp;CHAR(34)&amp;" under 32"&amp;CHAR(34)&amp;" (ADA), ","")&amp;IF(AND($CH197=90,AND(OR($CE197="FG",$CE197="HG",$CE197="FNV",$CE197="FV"),N($CF197)*N($CG197)&gt;100)),"90 min lite over 100 sq in (stair/exit), ","")&amp;IF(AND($CH197&gt;0,AND($A197&lt;&gt;"",$C197&lt;&gt;"DOOR ONLY"),OR($AF197="",$AF197="-")),"rated: closer reinf.?, ","")&amp;IF(OR($I197="CORRIDOR",$I197="SMOKE BARRIER"),"S label + smoke gasketing, ","")&amp;IF($CI197="?","wall type/hr not in IBC table, ","")&amp;IF(AND(N($BJ197)&gt;0,$BB197=""),"no hardware set, ","")&amp;IF(AND($BB197&lt;&gt;"",ISNA(MATCH($BB197&amp;"",HWSets,0))),"set "&amp;$BB197&amp;" not on HW Sets, ","")&amp;IF(N($BL197)&gt;96,"leaf over 8'-0"&amp;CHAR(34)&amp;" - check listing, ","")&amp;IF(AND($CT197,COUNT($AW197:$AZ197)&gt;0,COUNT($AW197:$AZ197)&lt;&gt;$CQ197),COUNT($AW197:$AZ197)&amp;" custom hinges typed, "&amp;$CQ197&amp;" expected, ","")&amp;IF(AND(ISNUMBER($CA197),OR(N($CA197)&lt;34,N($CA197)&gt;48)),"lock "&amp;TEXT($CA197,"0.0")&amp;CHAR(34)&amp;" AFF outside 34-48"&amp;CHAR(34)&amp;" (ADA), ","")&amp;IF(AND(ISNUMBER($AV197),ISNUMBER($BL197),N($AV197)&lt;IF(N($BL197)&lt;=60,2,IF(N($BL197)&lt;=90,3,IF(N($BL197)&lt;=120,4,5)))),"fewer hinges than standard, ",""))</f>
        <v/>
      </c>
    </row>
    <row r="198" ht="15" customHeight="1">
      <c r="A198" s="77" t="n"/>
      <c r="B198" s="78" t="n"/>
      <c r="C198" s="78" t="n"/>
      <c r="D198" s="78" t="n"/>
      <c r="E198" s="78" t="n"/>
      <c r="F198" s="78" t="n"/>
      <c r="G198" s="78" t="n"/>
      <c r="H198" s="78" t="n"/>
      <c r="I198" s="78" t="n"/>
      <c r="J198" s="78" t="n"/>
      <c r="K198" s="78" t="n"/>
      <c r="L198" s="78" t="n"/>
      <c r="M198" s="78" t="n"/>
      <c r="N198" s="78" t="n"/>
      <c r="O198" s="78" t="n"/>
      <c r="P198" s="78" t="n"/>
      <c r="Q198" s="78" t="n"/>
      <c r="R198" s="78" t="n"/>
      <c r="S198" s="79" t="n"/>
      <c r="T198" s="79" t="n"/>
      <c r="U198" s="79" t="n"/>
      <c r="V198" s="79" t="n"/>
      <c r="W198" s="79" t="n"/>
      <c r="X198" s="79" t="n"/>
      <c r="Y198" s="79" t="n"/>
      <c r="Z198" s="79" t="n"/>
      <c r="AA198" s="79" t="n"/>
      <c r="AB198" s="79" t="n"/>
      <c r="AC198" s="79" t="n"/>
      <c r="AD198" s="79" t="n"/>
      <c r="AE198" s="79" t="n"/>
      <c r="AF198" s="79" t="n"/>
      <c r="AG198" s="79" t="n"/>
      <c r="AH198" s="80" t="n"/>
      <c r="AI198" s="80" t="n"/>
      <c r="AJ198" s="80" t="n"/>
      <c r="AK198" s="80" t="n"/>
      <c r="AL198" s="80" t="n"/>
      <c r="AM198" s="80" t="n"/>
      <c r="AN198" s="80" t="n"/>
      <c r="AO198" s="80" t="n"/>
      <c r="AP198" s="80" t="n"/>
      <c r="AQ198" s="80" t="n"/>
      <c r="AR198" s="80" t="n"/>
      <c r="AS198" s="80" t="n"/>
      <c r="AT198" s="81" t="n"/>
      <c r="AU198" s="81" t="n"/>
      <c r="AV198" s="81" t="n"/>
      <c r="AW198" s="82" t="n"/>
      <c r="AX198" s="82" t="n"/>
      <c r="AY198" s="82" t="n"/>
      <c r="AZ198" s="82" t="n"/>
      <c r="BA198" s="82" t="n"/>
      <c r="BB198" s="83" t="n"/>
      <c r="BC198" s="83" t="n"/>
      <c r="BD198" s="84">
        <f>IF($A198="","",IF($DJ198&lt;&gt;"","FIX",IF($DK198&lt;&gt;"","CHECK","OK")))</f>
        <v/>
      </c>
      <c r="BE198" s="85">
        <f>IF($A198="","",IF($DJ198&lt;&gt;"","FIX: "&amp;LEFT($DJ198,LEN($DJ198)-2)&amp;IF($DK198&lt;&gt;"","  ·  ",""),"")&amp;IF($DK198&lt;&gt;"","CHECK: "&amp;LEFT($DK198,LEN($DK198)-2),""))</f>
        <v/>
      </c>
      <c r="BF198" s="84">
        <f>IF(OR($A198="",$K198=""),"",$K198&amp;"'-"&amp;N($L198)&amp;CHAR(34)&amp;" x "&amp;$M198&amp;"'-"&amp;N($N198)&amp;CHAR(34))</f>
        <v/>
      </c>
      <c r="BG198" s="84">
        <f>IF(OR($A198="",$K198=""),"",$K198&amp;N($L198)&amp;$M198&amp;N($N198))</f>
        <v/>
      </c>
      <c r="BH198" s="84">
        <f>IF(OR($A198="",$K198=""),"",$K198*12+N($L198))</f>
        <v/>
      </c>
      <c r="BI198" s="84">
        <f>IF(OR($A198="",$M198=""),"",$M198*12+N($N198))</f>
        <v/>
      </c>
      <c r="BJ198" s="84">
        <f>IF($A198="","",IF(OR($C198="FRAME ONLY",$S198="BL"),0,IF($O198="Y",2,1)))</f>
        <v/>
      </c>
      <c r="BK198" s="86">
        <f>IF(OR(N($BJ198)=0,$BH198=""),"",($BH198-2*EdgeClr-IF($BJ198=2,MeetClr,0))/$BJ198)</f>
        <v/>
      </c>
      <c r="BL198" s="86">
        <f>IF(OR(N($BJ198)=0,$BI198=""),"",$BI198-HeadClr-Undercut)</f>
        <v/>
      </c>
      <c r="BM198" s="86">
        <f>IF($BH198="","",$BH198+2*FaceW+IF(N($Q198)&gt;0,($Q198+FaceW)*IF($R198="LR",2,1),0))</f>
        <v/>
      </c>
      <c r="BN198" s="86">
        <f>IF($BI198="","",$BI198+IF($AB198="Y",4,FaceW)+IF(N($P198)&gt;0,$P198+FaceW,0)+IF(OR($S198="4F",$S198="BL"),FaceW,0))</f>
        <v/>
      </c>
      <c r="BO198" s="86">
        <f>IF($BM198="","",$BM198+2*ROSide)</f>
        <v/>
      </c>
      <c r="BP198" s="86">
        <f>IF($BN198="","",$BN198+ROTop)</f>
        <v/>
      </c>
      <c r="BQ198" s="87">
        <f>IF(OR(N($BJ198)=0,$BH198=""),"",$BH198/$BJ198-ClearDeduct)</f>
        <v/>
      </c>
      <c r="BR198" s="84">
        <f>IF(N($CH198)=0,"",IF($CH198&gt;=180,"A · 3 HR",IF($CH198&gt;=90,"B · 1-1/2 HR",IF($CH198&gt;=60,"B · 1 HR",IF($CH198&gt;=45,"C · 3/4 HR","20 MIN")))))&amp;IF(AND(N($CH198)&gt;0,OR($I198="CORRIDOR",$I198="SMOKE BARRIER"))," · S","")</f>
        <v/>
      </c>
      <c r="BS198" s="84">
        <f>IF($CS198,"",IF($AV198&lt;&gt;"",$AV198,IF(OR($AC198="HGC",$AO198="HGC"),"CONT",IF(($BI198-HeadClr-Undercut)&lt;=60,2,IF(($BI198-HeadClr-Undercut)&lt;=90,3,IF(($BI198-HeadClr-Undercut)&lt;=120,4,5))))))</f>
        <v/>
      </c>
      <c r="BT198" s="84">
        <f>IF($CS198,"",IF($CT198,"CUSTOM (typed)",IF($CV198,$AT198&amp;" "&amp;$CU198&amp;CHAR(34)&amp;IF($CU198&lt;&gt;$BI198,IF(AND($BI198&lt;$CU198,$BI198-IF(N(VLOOKUP($AT198&amp;"|"&amp;$CU198,LocTable,7,FALSE))&gt;0,VLOOKUP($AT198&amp;"|"&amp;$CU198,LocTable,7,FALSE),VLOOKUP($AT198&amp;"|"&amp;$CU198,LocTable,6,FALSE))-$CR198-0.75&gt;=2.125)," cut down"," adj."),""),"ANSI/SDI A250.6")))</f>
        <v/>
      </c>
      <c r="BU198" s="88">
        <f>IF($CS198,"",IF($CT198,IF(N($AW198)&gt;0,N($AW198),""),IF(1&gt;$CQ198,"",IF($CQ198=1,$CW198,$CW198+($CX198-$CW198)*0/($CQ198-1)))))</f>
        <v/>
      </c>
      <c r="BV198" s="88">
        <f>IF($CS198,"",IF($CT198,IF(N($AX198)&gt;0,N($AX198),""),IF(2&gt;$CQ198,"",IF($CQ198=1,$CW198,$CW198+($CX198-$CW198)*1/($CQ198-1)))))</f>
        <v/>
      </c>
      <c r="BW198" s="88">
        <f>IF($CS198,"",IF($CT198,IF(N($AY198)&gt;0,N($AY198),""),IF(3&gt;$CQ198,"",IF($CQ198=1,$CW198,$CW198+($CX198-$CW198)*2/($CQ198-1)))))</f>
        <v/>
      </c>
      <c r="BX198" s="88">
        <f>IF($CS198,"",IF($CT198,IF(N($AZ198)&gt;0,N($AZ198),""),IF(4&gt;$CQ198,"",IF($CQ198=1,$CW198,$CW198+($CX198-$CW198)*3/($CQ198-1)))))</f>
        <v/>
      </c>
      <c r="BY198" s="88">
        <f>IF($CS198,"",IF($CT198,"",IF(5&gt;$CQ198,"",IF($CQ198=1,$CW198,$CW198+($CX198-$CW198)*4/($CQ198-1)))))</f>
        <v/>
      </c>
      <c r="BZ198" s="88">
        <f>IF(OR($CS198,$AP198="-",AND($AP198="",$AD198="")),"",IF(N($BA198)&gt;0,N($BA198),IF($CV198,IF(AND($BI198&lt;$CU198,$BI198-IF(N(VLOOKUP($AT198&amp;"|"&amp;$CU198,LocTable,7,FALSE))&gt;0,VLOOKUP($AT198&amp;"|"&amp;$CU198,LocTable,7,FALSE),VLOOKUP($AT198&amp;"|"&amp;$CU198,LocTable,6,FALSE))-$CR198-0.75&gt;=2.125),VLOOKUP($AT198&amp;"|"&amp;$CU198,LocTable,8,FALSE),VLOOKUP($AT198&amp;"|"&amp;$CU198,LocTable,8,FALSE)+($BI198-$CU198)),$BI198-LockAFF)))</f>
        <v/>
      </c>
      <c r="CA198" s="89">
        <f>IF($BZ198="","",$BI198-$BZ198)</f>
        <v/>
      </c>
      <c r="CB198" s="84">
        <f>IF(OR(NOT(AND($A198&lt;&gt;"",$C198&lt;&gt;"DOOR ONLY")),$BI198=""),"",IF(($BI198+IF(N($P198)&gt;0,$P198+FaceW,0))&lt;=90,3,IF(($BI198+IF(N($P198)&gt;0,$P198+FaceW,0))&lt;=114,4,5)))</f>
        <v/>
      </c>
      <c r="CC198" s="84">
        <f>IF($CB198="","",$CB198*(2+IF(N($Q198)&gt;0,IF($R198="LR",2,1),0)))</f>
        <v/>
      </c>
      <c r="CD198" s="84">
        <f>IF($CB198="","",(2+IF(N($Q198)&gt;0,IF($R198="LR",2,1),0)))</f>
        <v/>
      </c>
      <c r="CE198" s="84">
        <f>IF(N($BJ198)=0,"",IF(OR($AL198="",$AL198="FLUSH"),"FLUSH",IFERROR(LEFT($AL198,FIND("-",$AL198)-1),LEFT($AL198,2))))</f>
        <v/>
      </c>
      <c r="CF198" s="84">
        <f>IF($CE198="","",IFERROR(VALUE(MID($AL198,FIND("-",$AL198)+1,FIND(CHAR(34)&amp;"x",$AL198)-FIND("-",$AL198)-1)),0))</f>
        <v/>
      </c>
      <c r="CG198" s="84">
        <f>IF($CE198="","",IFERROR(VALUE(MID($AL198,FIND(CHAR(34)&amp;"x",$AL198)+2,FIND(CHAR(34),$AL198,FIND(CHAR(34)&amp;"x",$AL198)+2)-FIND(CHAR(34)&amp;"x",$AL198)-2)),0))</f>
        <v/>
      </c>
      <c r="CH198" s="90">
        <f>IF(OR($A198="",$H198="",$H198="NO LAB"),0,IFERROR(VALUE(LEFT($H198,FIND(" ",$H198)-1)),0))</f>
        <v/>
      </c>
      <c r="CI198" s="91">
        <f>IF(OR($A198="",$I198="",$I198="NON-RATED",N($J198)=0),"",IFERROR(VLOOKUP($I198&amp;"|"&amp;$J198,IBC,2,FALSE),"?"))</f>
        <v/>
      </c>
      <c r="CJ198" s="85">
        <f>IF(NOT(AND($A198&lt;&gt;"",$C198&lt;&gt;"DOOR ONLY")),"",TRIM(IFERROR(VLOOKUP($U198,CODES,2,FALSE),"")&amp;" "&amp;$BG198&amp;" "&amp;IFERROR(VLOOKUP($Z198,CODES,2,FALSE),"")&amp;" "&amp;IFERROR(VLOOKUP($X198,CODES,2,FALSE),"")&amp;" "&amp;IFERROR(VLOOKUP($S198,CODES,2,FALSE),"")&amp;IF(N($P198)&gt;0," w/TRANSOM "&amp;$P198&amp;CHAR(34),"")&amp;IF(N($Q198)&gt;0," w/SIDELITE "&amp;$Q198&amp;CHAR(34)&amp;" "&amp;IF($R198="","R",$R198),"")&amp;IF($Y198="","  |  "," | "&amp;IFERROR(VLOOKUP($Y198,CODES,2,FALSE),"")&amp;" | ")&amp;IFERROR(VLOOKUP($AC198,CODES,2,FALSE),"")&amp;" "&amp;IFERROR(VLOOKUP($AD198,CODES,2,FALSE),"")&amp;IF(OR($AE198="",$AE198="-"),""," "&amp;$AE198)&amp;IF(OR($AF198="",$AF198="-"),""," "&amp;$AF198)&amp;IF($AB198="Y"," 4"&amp;CHAR(34)&amp;" HEAD","")&amp;" "&amp;IFERROR(VLOOKUP($H198,CODES,2,FALSE),"")&amp;IF($CT198," | LOC "&amp;$CY198,"")))</f>
        <v/>
      </c>
      <c r="CK198" s="85">
        <f>IF(NOT(AND($A198&lt;&gt;"",N($BJ198)&gt;0)),"",TRIM(IFERROR(VLOOKUP($AH198,CODES,2,FALSE),"")&amp;IF($AI198=""," "," "&amp;$AI198&amp;"GA ")&amp;$BG198&amp;" "&amp;IF($AN198="",IFERROR(VLOOKUP($Z198,CODES,2,FALSE),""),IFERROR(VLOOKUP($AN198,CODES,2,FALSE),""))&amp;IF($BJ198=2," PAIR","")&amp;" DOOR | "&amp;IF($AL198="","?",$AL198)&amp;" | "&amp;IF($AO198="",IFERROR(VLOOKUP($AC198,CODES,2,FALSE),""),IFERROR(VLOOKUP($AO198,CODES,2,FALSE),""))&amp;" "&amp;IFERROR(VLOOKUP($AP198,CODES,2,FALSE),"")&amp;IF(OR($AQ198="",$AQ198="-"),""," SEAM "&amp;$AQ198)&amp;IF($AR198="Y"," ASTRAGAL","")&amp;IF($AJ198=""," "," "&amp;$AJ198)&amp;IF($AK198=""," "," "&amp;$AK198)&amp;IF(OR($AT198="",$AT198="ANSI/SDI",$AT198="CUSTOM LOC"),""," "&amp;$AT198)&amp;IF($AM198=""," "," SERIES "&amp;$AM198)&amp;" "&amp;IFERROR(VLOOKUP($H198,CODES,2,FALSE),"")&amp;IF($CT198," | LOC "&amp;$CZ198,"")))</f>
        <v/>
      </c>
      <c r="CL198" s="84">
        <f>IF(CP198="","",IF(COUNTIF($CP$6:CP198,CP198)=1,MAX($CL$5:CL197)+1,INDEX($CL$5:CL197,MATCH(CP198,$CP$5:CP197,0))))</f>
        <v/>
      </c>
      <c r="CM198" s="84">
        <f>IF(NOT(AND($A198&lt;&gt;"",$C198&lt;&gt;"DOOR ONLY")),"",MAX($CM$5:CM197)+1)</f>
        <v/>
      </c>
      <c r="CN198" s="84">
        <f>IF(NOT(AND($A198&lt;&gt;"",N($BJ198)&gt;0)),"",MAX($CN$5:CN197)+1)</f>
        <v/>
      </c>
      <c r="CO198" s="84">
        <f>IF($A198="","",MAX($CO$5:CO197)+1)</f>
        <v/>
      </c>
      <c r="CP198" s="84">
        <f>IF(OR($A198="",$BH198="",$BI198=""),"",$BG198&amp;"|"&amp;$O198&amp;"|"&amp;$AL198&amp;"|"&amp;$S198&amp;"|"&amp;$P198&amp;"|"&amp;$Q198&amp;$R198&amp;"|"&amp;$C198&amp;"|"&amp;$AB198)</f>
        <v/>
      </c>
      <c r="CQ198" s="84">
        <f>N($BS198)</f>
        <v/>
      </c>
      <c r="CR198" s="84">
        <f>IF(N($AU198)&gt;0,N($AU198),4.5)</f>
        <v/>
      </c>
      <c r="CS198" s="84">
        <f>OR($A198="",$BI198="",$S198="BL",AND($C198="FRAME ONLY",OR($AC198="",$AC198="BLK")))</f>
        <v/>
      </c>
      <c r="CT198" s="84">
        <f>AND(NOT($CS198),OR($AT198="CUSTOM LOC",N($AW198)+N($AX198)+N($AY198)+N($AZ198)+N($BA198)&gt;0))</f>
        <v/>
      </c>
      <c r="CU198" s="84">
        <f>IF($BI198="","",IF($BI198&lt;=80,80,IF($BI198&lt;=84,84,96)))</f>
        <v/>
      </c>
      <c r="CV198" s="84">
        <f>ISNUMBER(MATCH($AT198&amp;"|80",LocKeys,0))</f>
        <v/>
      </c>
      <c r="CW198" s="86">
        <f>IF($CS198,"",IF($CV198,VLOOKUP($AT198&amp;"|"&amp;$CU198,LocTable,4,FALSE),5))</f>
        <v/>
      </c>
      <c r="CX198" s="86">
        <f>IF($CS198,"",IF($CV198,IF(OR($BI198=$CU198,AND($BI198&lt;$CU198,$BI198-IF(N(VLOOKUP($AT198&amp;"|"&amp;$CU198,LocTable,7,FALSE))&gt;0,VLOOKUP($AT198&amp;"|"&amp;$CU198,LocTable,7,FALSE),VLOOKUP($AT198&amp;"|"&amp;$CU198,LocTable,6,FALSE))-$CR198-0.75&gt;=2.125)),IF(N(VLOOKUP($AT198&amp;"|"&amp;$CU198,LocTable,7,FALSE))&gt;0,VLOOKUP($AT198&amp;"|"&amp;$CU198,LocTable,7,FALSE),VLOOKUP($AT198&amp;"|"&amp;$CU198,LocTable,6,FALSE)),$BI198-($CU198-IF(N(VLOOKUP($AT198&amp;"|"&amp;$CU198,LocTable,7,FALSE))&gt;0,VLOOKUP($AT198&amp;"|"&amp;$CU198,LocTable,7,FALSE),VLOOKUP($AT198&amp;"|"&amp;$CU198,LocTable,6,FALSE)))),$BI198-10-$CR198))</f>
        <v/>
      </c>
      <c r="CY198" s="85">
        <f>IF($CS198,"",TRIM(IF(ISNUMBER($BU198),"A "&amp;TRIM(TEXT($BU198,"# ?/??"))&amp;CHAR(34)&amp;"  ","")&amp;IF(ISNUMBER($BV198),"B "&amp;TRIM(TEXT($BV198,"# ?/??"))&amp;CHAR(34)&amp;"  ","")&amp;IF(ISNUMBER($BW198),"C "&amp;TRIM(TEXT($BW198,"# ?/??"))&amp;CHAR(34)&amp;"  ","")&amp;IF(ISNUMBER($BX198),"D "&amp;TRIM(TEXT($BX198,"# ?/??"))&amp;CHAR(34)&amp;"  ","")&amp;IF(ISNUMBER($BY198),"F "&amp;TRIM(TEXT($BY198,"# ?/??"))&amp;CHAR(34)&amp;"  ","")&amp;IF(ISNUMBER($BZ198),"E "&amp;TRIM(TEXT($BZ198,"# ?/??"))&amp;CHAR(34)&amp;"  ","")))</f>
        <v/>
      </c>
      <c r="CZ198" s="85">
        <f>IF(OR($CS198,N($BJ198)=0),"",TRIM(IF(ISNUMBER($BU198),"A "&amp;TRIM(TEXT($BU198-HeadClr,"# ?/??"))&amp;CHAR(34)&amp;"  ","")&amp;IF(ISNUMBER($BV198),"B "&amp;TRIM(TEXT($BV198-HeadClr,"# ?/??"))&amp;CHAR(34)&amp;"  ","")&amp;IF(ISNUMBER($BW198),"C "&amp;TRIM(TEXT($BW198-HeadClr,"# ?/??"))&amp;CHAR(34)&amp;"  ","")&amp;IF(ISNUMBER($BX198),"D "&amp;TRIM(TEXT($BX198-HeadClr,"# ?/??"))&amp;CHAR(34)&amp;"  ","")&amp;IF(ISNUMBER($BY198),"F "&amp;TRIM(TEXT($BY198-HeadClr,"# ?/??"))&amp;CHAR(34)&amp;"  ","")&amp;IF(ISNUMBER($BZ198),"E "&amp;TRIM(TEXT($BZ198-HeadClr,"# ?/??"))&amp;CHAR(34)&amp;"  ","")))</f>
        <v/>
      </c>
      <c r="DA198" s="84">
        <f>IF($A198="","",IF($AN198="",IFERROR(VLOOKUP($Z198,CODES,2,FALSE),""),IFERROR(VLOOKUP($AN198,CODES,2,FALSE),"")))</f>
        <v/>
      </c>
      <c r="DB198" s="84">
        <f>IF($A198="","",IF($O198="Y","PR",IF(OR($Z198="L",$Z198="RR",LEFT($Z198,2)="L-",LEFT($Z198,3)="RR-"),"LH","RH")))</f>
        <v/>
      </c>
      <c r="DC198" s="84">
        <f>IF($A198="","","S.HM"&amp;IF(OR($C198="DOOR ONLY",$X198&lt;&gt;"KD"),"MASONRY","DRYWALL")&amp;IF($C198="DOOR ONLY","",$U198)&amp;IF(AND($C198&lt;&gt;"FRAME ONLY",OR(LEFT($AH198,3)="OAK",LEFT($AH198,3)="BIR",LEFT($AH198,3)="MAP",$AH198="PC",$AH198="MC",$AH198="SCLC",$AH198="P-LAM")),"WD","HM")&amp;"1.75")</f>
        <v/>
      </c>
      <c r="DD198" s="84">
        <f>IF($CJ198="","",IF($O198="Y",$CJ198,SUBSTITUTE($CJ198,$BG198&amp;" "&amp;IFERROR(VLOOKUP($Z198,CODES,2,FALSE),"")&amp;" ",$BG198&amp;" ")))</f>
        <v/>
      </c>
      <c r="DE198" s="84">
        <f>IF($CK198="","",IF($O198="Y",$CK198,SUBSTITUTE($CK198,$BG198&amp;" "&amp;IF($AN198="",IFERROR(VLOOKUP($Z198,CODES,2,FALSE),""),IFERROR(VLOOKUP($AN198,CODES,2,FALSE),""))&amp;" ",$BG198&amp;" ")))</f>
        <v/>
      </c>
      <c r="DF198" s="84">
        <f>IF($CJ198="","",$DC198&amp;"|"&amp;$DD198&amp;"|"&amp;$DB198&amp;"|"&amp;$AT198&amp;"|"&amp;$V198&amp;"|"&amp;$Y198&amp;"|"&amp;$AB198)</f>
        <v/>
      </c>
      <c r="DG198" s="84">
        <f>IF(DF198="","",IF(COUNTIF($DF$6:DF198,DF198)=1,MAX($DG$5:DG197)+1,INDEX($DG$5:DG197,MATCH(DF198,$DF$5:DF197,0))))</f>
        <v/>
      </c>
      <c r="DH198" s="84">
        <f>IF($CK198="","",$DC198&amp;"|"&amp;$DE198&amp;"|"&amp;$AI198&amp;"|"&amp;$BK198&amp;"|"&amp;$BL198)</f>
        <v/>
      </c>
      <c r="DI198" s="84">
        <f>IF(DH198="","",IF(COUNTIF($DH$6:DH198,DH198)=1,MAX($DI$5:DI197)+1,INDEX($DI$5:DI197,MATCH(DH198,$DH$5:DH197,0))))</f>
        <v/>
      </c>
      <c r="DJ198" s="84">
        <f>IF($A198="","",IF($B198="","qty, ","")&amp;IF($C198="","scope, ","")&amp;IF(OR($K198="",$M198=""),"size, ","")&amp;IF(AND($A198&lt;&gt;"",$C198&lt;&gt;"DOOR ONLY"),IF($U198="","jamb depth, ","")&amp;IF($X198="","construction, ","")&amp;IF($Y198="","anchor, ","")&amp;IF($S198="","frame type, ",""),"")&amp;IF(AND(N($BJ198)&gt;0,$Z198=""),"hand, ","")&amp;IF(N($BJ198)&gt;0,IF($AH198="","door material, ","")&amp;IF($AL198="","face type, ","")&amp;IF($AP198="","lock prep, ","")&amp;IF(AND($AO198="",$AC198=""),"hinge prep, ",""),"")&amp;IF(AND($CH198&gt;0,$AH198="FRP"),"FRP cannot carry a label, ","")&amp;IF(AND($O198="Y",OR($Z198="L",$Z198="R",$Z198="LR",$Z198="RR")),"pair marked but hand is single, ","")&amp;IF(AND($O198&lt;&gt;"Y",OR($Z198="PR",AND(LEN($Z198)&gt;1,ISNUMBER(SEARCH("-",$Z198))))),"pair hand on a single door, ","")&amp;IF(AND(ISNUMBER($CI198),$CH198&lt;N($CI198)),"wall needs a "&amp;$CI198&amp;" min door, ","")&amp;IF(AND($CH198&gt;=180,AND(OR($CE198="FG",$CE198="HG",$CE198="FNV",$CE198="FV"),N($CF198)*N($CG198)&gt;100)),"180 min lite over 100 sq in, ","")&amp;IF(N($BK198)&gt;48,"leaf wider than 4'-0"&amp;CHAR(34)&amp;", ","")&amp;IF(AND($CT198,COUNT($AW198:$AZ198)=0,$CQ198&gt;0),"CUSTOM LOC with no locations typed, ",""))</f>
        <v/>
      </c>
      <c r="DK198" s="84">
        <f>IF($A198="","",IF(AND($CH198&gt;0,AND($A198&lt;&gt;"",$C198&lt;&gt;"DOOR ONLY"),$X198="KD",$E198="EXTERIOR"),"KD label on an exterior opening, ","")&amp;IF(AND($E198="EXTERIOR",OR(AND(AND($A198&lt;&gt;"",$C198&lt;&gt;"DOOR ONLY"),$W198="CR"),AND(N($BJ198)&gt;0,$AH198="CR"))),"exterior in CR steel (G9?), ","")&amp;IF(AND(ISNUMBER($BQ198),N($BQ198)&lt;32),"clear width ~"&amp;TEXT($BQ198,"0.0")&amp;CHAR(34)&amp;" under 32"&amp;CHAR(34)&amp;" (ADA), ","")&amp;IF(AND($CH198=90,AND(OR($CE198="FG",$CE198="HG",$CE198="FNV",$CE198="FV"),N($CF198)*N($CG198)&gt;100)),"90 min lite over 100 sq in (stair/exit), ","")&amp;IF(AND($CH198&gt;0,AND($A198&lt;&gt;"",$C198&lt;&gt;"DOOR ONLY"),OR($AF198="",$AF198="-")),"rated: closer reinf.?, ","")&amp;IF(OR($I198="CORRIDOR",$I198="SMOKE BARRIER"),"S label + smoke gasketing, ","")&amp;IF($CI198="?","wall type/hr not in IBC table, ","")&amp;IF(AND(N($BJ198)&gt;0,$BB198=""),"no hardware set, ","")&amp;IF(AND($BB198&lt;&gt;"",ISNA(MATCH($BB198&amp;"",HWSets,0))),"set "&amp;$BB198&amp;" not on HW Sets, ","")&amp;IF(N($BL198)&gt;96,"leaf over 8'-0"&amp;CHAR(34)&amp;" - check listing, ","")&amp;IF(AND($CT198,COUNT($AW198:$AZ198)&gt;0,COUNT($AW198:$AZ198)&lt;&gt;$CQ198),COUNT($AW198:$AZ198)&amp;" custom hinges typed, "&amp;$CQ198&amp;" expected, ","")&amp;IF(AND(ISNUMBER($CA198),OR(N($CA198)&lt;34,N($CA198)&gt;48)),"lock "&amp;TEXT($CA198,"0.0")&amp;CHAR(34)&amp;" AFF outside 34-48"&amp;CHAR(34)&amp;" (ADA), ","")&amp;IF(AND(ISNUMBER($AV198),ISNUMBER($BL198),N($AV198)&lt;IF(N($BL198)&lt;=60,2,IF(N($BL198)&lt;=90,3,IF(N($BL198)&lt;=120,4,5)))),"fewer hinges than standard, ",""))</f>
        <v/>
      </c>
    </row>
    <row r="199" ht="15" customHeight="1">
      <c r="A199" s="77" t="n"/>
      <c r="B199" s="78" t="n"/>
      <c r="C199" s="78" t="n"/>
      <c r="D199" s="78" t="n"/>
      <c r="E199" s="78" t="n"/>
      <c r="F199" s="78" t="n"/>
      <c r="G199" s="78" t="n"/>
      <c r="H199" s="78" t="n"/>
      <c r="I199" s="78" t="n"/>
      <c r="J199" s="78" t="n"/>
      <c r="K199" s="78" t="n"/>
      <c r="L199" s="78" t="n"/>
      <c r="M199" s="78" t="n"/>
      <c r="N199" s="78" t="n"/>
      <c r="O199" s="78" t="n"/>
      <c r="P199" s="78" t="n"/>
      <c r="Q199" s="78" t="n"/>
      <c r="R199" s="78" t="n"/>
      <c r="S199" s="79" t="n"/>
      <c r="T199" s="79" t="n"/>
      <c r="U199" s="79" t="n"/>
      <c r="V199" s="79" t="n"/>
      <c r="W199" s="79" t="n"/>
      <c r="X199" s="79" t="n"/>
      <c r="Y199" s="79" t="n"/>
      <c r="Z199" s="79" t="n"/>
      <c r="AA199" s="79" t="n"/>
      <c r="AB199" s="79" t="n"/>
      <c r="AC199" s="79" t="n"/>
      <c r="AD199" s="79" t="n"/>
      <c r="AE199" s="79" t="n"/>
      <c r="AF199" s="79" t="n"/>
      <c r="AG199" s="79" t="n"/>
      <c r="AH199" s="80" t="n"/>
      <c r="AI199" s="80" t="n"/>
      <c r="AJ199" s="80" t="n"/>
      <c r="AK199" s="80" t="n"/>
      <c r="AL199" s="80" t="n"/>
      <c r="AM199" s="80" t="n"/>
      <c r="AN199" s="80" t="n"/>
      <c r="AO199" s="80" t="n"/>
      <c r="AP199" s="80" t="n"/>
      <c r="AQ199" s="80" t="n"/>
      <c r="AR199" s="80" t="n"/>
      <c r="AS199" s="80" t="n"/>
      <c r="AT199" s="81" t="n"/>
      <c r="AU199" s="81" t="n"/>
      <c r="AV199" s="81" t="n"/>
      <c r="AW199" s="82" t="n"/>
      <c r="AX199" s="82" t="n"/>
      <c r="AY199" s="82" t="n"/>
      <c r="AZ199" s="82" t="n"/>
      <c r="BA199" s="82" t="n"/>
      <c r="BB199" s="83" t="n"/>
      <c r="BC199" s="83" t="n"/>
      <c r="BD199" s="84">
        <f>IF($A199="","",IF($DJ199&lt;&gt;"","FIX",IF($DK199&lt;&gt;"","CHECK","OK")))</f>
        <v/>
      </c>
      <c r="BE199" s="85">
        <f>IF($A199="","",IF($DJ199&lt;&gt;"","FIX: "&amp;LEFT($DJ199,LEN($DJ199)-2)&amp;IF($DK199&lt;&gt;"","  ·  ",""),"")&amp;IF($DK199&lt;&gt;"","CHECK: "&amp;LEFT($DK199,LEN($DK199)-2),""))</f>
        <v/>
      </c>
      <c r="BF199" s="84">
        <f>IF(OR($A199="",$K199=""),"",$K199&amp;"'-"&amp;N($L199)&amp;CHAR(34)&amp;" x "&amp;$M199&amp;"'-"&amp;N($N199)&amp;CHAR(34))</f>
        <v/>
      </c>
      <c r="BG199" s="84">
        <f>IF(OR($A199="",$K199=""),"",$K199&amp;N($L199)&amp;$M199&amp;N($N199))</f>
        <v/>
      </c>
      <c r="BH199" s="84">
        <f>IF(OR($A199="",$K199=""),"",$K199*12+N($L199))</f>
        <v/>
      </c>
      <c r="BI199" s="84">
        <f>IF(OR($A199="",$M199=""),"",$M199*12+N($N199))</f>
        <v/>
      </c>
      <c r="BJ199" s="84">
        <f>IF($A199="","",IF(OR($C199="FRAME ONLY",$S199="BL"),0,IF($O199="Y",2,1)))</f>
        <v/>
      </c>
      <c r="BK199" s="86">
        <f>IF(OR(N($BJ199)=0,$BH199=""),"",($BH199-2*EdgeClr-IF($BJ199=2,MeetClr,0))/$BJ199)</f>
        <v/>
      </c>
      <c r="BL199" s="86">
        <f>IF(OR(N($BJ199)=0,$BI199=""),"",$BI199-HeadClr-Undercut)</f>
        <v/>
      </c>
      <c r="BM199" s="86">
        <f>IF($BH199="","",$BH199+2*FaceW+IF(N($Q199)&gt;0,($Q199+FaceW)*IF($R199="LR",2,1),0))</f>
        <v/>
      </c>
      <c r="BN199" s="86">
        <f>IF($BI199="","",$BI199+IF($AB199="Y",4,FaceW)+IF(N($P199)&gt;0,$P199+FaceW,0)+IF(OR($S199="4F",$S199="BL"),FaceW,0))</f>
        <v/>
      </c>
      <c r="BO199" s="86">
        <f>IF($BM199="","",$BM199+2*ROSide)</f>
        <v/>
      </c>
      <c r="BP199" s="86">
        <f>IF($BN199="","",$BN199+ROTop)</f>
        <v/>
      </c>
      <c r="BQ199" s="87">
        <f>IF(OR(N($BJ199)=0,$BH199=""),"",$BH199/$BJ199-ClearDeduct)</f>
        <v/>
      </c>
      <c r="BR199" s="84">
        <f>IF(N($CH199)=0,"",IF($CH199&gt;=180,"A · 3 HR",IF($CH199&gt;=90,"B · 1-1/2 HR",IF($CH199&gt;=60,"B · 1 HR",IF($CH199&gt;=45,"C · 3/4 HR","20 MIN")))))&amp;IF(AND(N($CH199)&gt;0,OR($I199="CORRIDOR",$I199="SMOKE BARRIER"))," · S","")</f>
        <v/>
      </c>
      <c r="BS199" s="84">
        <f>IF($CS199,"",IF($AV199&lt;&gt;"",$AV199,IF(OR($AC199="HGC",$AO199="HGC"),"CONT",IF(($BI199-HeadClr-Undercut)&lt;=60,2,IF(($BI199-HeadClr-Undercut)&lt;=90,3,IF(($BI199-HeadClr-Undercut)&lt;=120,4,5))))))</f>
        <v/>
      </c>
      <c r="BT199" s="84">
        <f>IF($CS199,"",IF($CT199,"CUSTOM (typed)",IF($CV199,$AT199&amp;" "&amp;$CU199&amp;CHAR(34)&amp;IF($CU199&lt;&gt;$BI199,IF(AND($BI199&lt;$CU199,$BI199-IF(N(VLOOKUP($AT199&amp;"|"&amp;$CU199,LocTable,7,FALSE))&gt;0,VLOOKUP($AT199&amp;"|"&amp;$CU199,LocTable,7,FALSE),VLOOKUP($AT199&amp;"|"&amp;$CU199,LocTable,6,FALSE))-$CR199-0.75&gt;=2.125)," cut down"," adj."),""),"ANSI/SDI A250.6")))</f>
        <v/>
      </c>
      <c r="BU199" s="88">
        <f>IF($CS199,"",IF($CT199,IF(N($AW199)&gt;0,N($AW199),""),IF(1&gt;$CQ199,"",IF($CQ199=1,$CW199,$CW199+($CX199-$CW199)*0/($CQ199-1)))))</f>
        <v/>
      </c>
      <c r="BV199" s="88">
        <f>IF($CS199,"",IF($CT199,IF(N($AX199)&gt;0,N($AX199),""),IF(2&gt;$CQ199,"",IF($CQ199=1,$CW199,$CW199+($CX199-$CW199)*1/($CQ199-1)))))</f>
        <v/>
      </c>
      <c r="BW199" s="88">
        <f>IF($CS199,"",IF($CT199,IF(N($AY199)&gt;0,N($AY199),""),IF(3&gt;$CQ199,"",IF($CQ199=1,$CW199,$CW199+($CX199-$CW199)*2/($CQ199-1)))))</f>
        <v/>
      </c>
      <c r="BX199" s="88">
        <f>IF($CS199,"",IF($CT199,IF(N($AZ199)&gt;0,N($AZ199),""),IF(4&gt;$CQ199,"",IF($CQ199=1,$CW199,$CW199+($CX199-$CW199)*3/($CQ199-1)))))</f>
        <v/>
      </c>
      <c r="BY199" s="88">
        <f>IF($CS199,"",IF($CT199,"",IF(5&gt;$CQ199,"",IF($CQ199=1,$CW199,$CW199+($CX199-$CW199)*4/($CQ199-1)))))</f>
        <v/>
      </c>
      <c r="BZ199" s="88">
        <f>IF(OR($CS199,$AP199="-",AND($AP199="",$AD199="")),"",IF(N($BA199)&gt;0,N($BA199),IF($CV199,IF(AND($BI199&lt;$CU199,$BI199-IF(N(VLOOKUP($AT199&amp;"|"&amp;$CU199,LocTable,7,FALSE))&gt;0,VLOOKUP($AT199&amp;"|"&amp;$CU199,LocTable,7,FALSE),VLOOKUP($AT199&amp;"|"&amp;$CU199,LocTable,6,FALSE))-$CR199-0.75&gt;=2.125),VLOOKUP($AT199&amp;"|"&amp;$CU199,LocTable,8,FALSE),VLOOKUP($AT199&amp;"|"&amp;$CU199,LocTable,8,FALSE)+($BI199-$CU199)),$BI199-LockAFF)))</f>
        <v/>
      </c>
      <c r="CA199" s="89">
        <f>IF($BZ199="","",$BI199-$BZ199)</f>
        <v/>
      </c>
      <c r="CB199" s="84">
        <f>IF(OR(NOT(AND($A199&lt;&gt;"",$C199&lt;&gt;"DOOR ONLY")),$BI199=""),"",IF(($BI199+IF(N($P199)&gt;0,$P199+FaceW,0))&lt;=90,3,IF(($BI199+IF(N($P199)&gt;0,$P199+FaceW,0))&lt;=114,4,5)))</f>
        <v/>
      </c>
      <c r="CC199" s="84">
        <f>IF($CB199="","",$CB199*(2+IF(N($Q199)&gt;0,IF($R199="LR",2,1),0)))</f>
        <v/>
      </c>
      <c r="CD199" s="84">
        <f>IF($CB199="","",(2+IF(N($Q199)&gt;0,IF($R199="LR",2,1),0)))</f>
        <v/>
      </c>
      <c r="CE199" s="84">
        <f>IF(N($BJ199)=0,"",IF(OR($AL199="",$AL199="FLUSH"),"FLUSH",IFERROR(LEFT($AL199,FIND("-",$AL199)-1),LEFT($AL199,2))))</f>
        <v/>
      </c>
      <c r="CF199" s="84">
        <f>IF($CE199="","",IFERROR(VALUE(MID($AL199,FIND("-",$AL199)+1,FIND(CHAR(34)&amp;"x",$AL199)-FIND("-",$AL199)-1)),0))</f>
        <v/>
      </c>
      <c r="CG199" s="84">
        <f>IF($CE199="","",IFERROR(VALUE(MID($AL199,FIND(CHAR(34)&amp;"x",$AL199)+2,FIND(CHAR(34),$AL199,FIND(CHAR(34)&amp;"x",$AL199)+2)-FIND(CHAR(34)&amp;"x",$AL199)-2)),0))</f>
        <v/>
      </c>
      <c r="CH199" s="90">
        <f>IF(OR($A199="",$H199="",$H199="NO LAB"),0,IFERROR(VALUE(LEFT($H199,FIND(" ",$H199)-1)),0))</f>
        <v/>
      </c>
      <c r="CI199" s="91">
        <f>IF(OR($A199="",$I199="",$I199="NON-RATED",N($J199)=0),"",IFERROR(VLOOKUP($I199&amp;"|"&amp;$J199,IBC,2,FALSE),"?"))</f>
        <v/>
      </c>
      <c r="CJ199" s="85">
        <f>IF(NOT(AND($A199&lt;&gt;"",$C199&lt;&gt;"DOOR ONLY")),"",TRIM(IFERROR(VLOOKUP($U199,CODES,2,FALSE),"")&amp;" "&amp;$BG199&amp;" "&amp;IFERROR(VLOOKUP($Z199,CODES,2,FALSE),"")&amp;" "&amp;IFERROR(VLOOKUP($X199,CODES,2,FALSE),"")&amp;" "&amp;IFERROR(VLOOKUP($S199,CODES,2,FALSE),"")&amp;IF(N($P199)&gt;0," w/TRANSOM "&amp;$P199&amp;CHAR(34),"")&amp;IF(N($Q199)&gt;0," w/SIDELITE "&amp;$Q199&amp;CHAR(34)&amp;" "&amp;IF($R199="","R",$R199),"")&amp;IF($Y199="","  |  "," | "&amp;IFERROR(VLOOKUP($Y199,CODES,2,FALSE),"")&amp;" | ")&amp;IFERROR(VLOOKUP($AC199,CODES,2,FALSE),"")&amp;" "&amp;IFERROR(VLOOKUP($AD199,CODES,2,FALSE),"")&amp;IF(OR($AE199="",$AE199="-"),""," "&amp;$AE199)&amp;IF(OR($AF199="",$AF199="-"),""," "&amp;$AF199)&amp;IF($AB199="Y"," 4"&amp;CHAR(34)&amp;" HEAD","")&amp;" "&amp;IFERROR(VLOOKUP($H199,CODES,2,FALSE),"")&amp;IF($CT199," | LOC "&amp;$CY199,"")))</f>
        <v/>
      </c>
      <c r="CK199" s="85">
        <f>IF(NOT(AND($A199&lt;&gt;"",N($BJ199)&gt;0)),"",TRIM(IFERROR(VLOOKUP($AH199,CODES,2,FALSE),"")&amp;IF($AI199=""," "," "&amp;$AI199&amp;"GA ")&amp;$BG199&amp;" "&amp;IF($AN199="",IFERROR(VLOOKUP($Z199,CODES,2,FALSE),""),IFERROR(VLOOKUP($AN199,CODES,2,FALSE),""))&amp;IF($BJ199=2," PAIR","")&amp;" DOOR | "&amp;IF($AL199="","?",$AL199)&amp;" | "&amp;IF($AO199="",IFERROR(VLOOKUP($AC199,CODES,2,FALSE),""),IFERROR(VLOOKUP($AO199,CODES,2,FALSE),""))&amp;" "&amp;IFERROR(VLOOKUP($AP199,CODES,2,FALSE),"")&amp;IF(OR($AQ199="",$AQ199="-"),""," SEAM "&amp;$AQ199)&amp;IF($AR199="Y"," ASTRAGAL","")&amp;IF($AJ199=""," "," "&amp;$AJ199)&amp;IF($AK199=""," "," "&amp;$AK199)&amp;IF(OR($AT199="",$AT199="ANSI/SDI",$AT199="CUSTOM LOC"),""," "&amp;$AT199)&amp;IF($AM199=""," "," SERIES "&amp;$AM199)&amp;" "&amp;IFERROR(VLOOKUP($H199,CODES,2,FALSE),"")&amp;IF($CT199," | LOC "&amp;$CZ199,"")))</f>
        <v/>
      </c>
      <c r="CL199" s="84">
        <f>IF(CP199="","",IF(COUNTIF($CP$6:CP199,CP199)=1,MAX($CL$5:CL198)+1,INDEX($CL$5:CL198,MATCH(CP199,$CP$5:CP198,0))))</f>
        <v/>
      </c>
      <c r="CM199" s="84">
        <f>IF(NOT(AND($A199&lt;&gt;"",$C199&lt;&gt;"DOOR ONLY")),"",MAX($CM$5:CM198)+1)</f>
        <v/>
      </c>
      <c r="CN199" s="84">
        <f>IF(NOT(AND($A199&lt;&gt;"",N($BJ199)&gt;0)),"",MAX($CN$5:CN198)+1)</f>
        <v/>
      </c>
      <c r="CO199" s="84">
        <f>IF($A199="","",MAX($CO$5:CO198)+1)</f>
        <v/>
      </c>
      <c r="CP199" s="84">
        <f>IF(OR($A199="",$BH199="",$BI199=""),"",$BG199&amp;"|"&amp;$O199&amp;"|"&amp;$AL199&amp;"|"&amp;$S199&amp;"|"&amp;$P199&amp;"|"&amp;$Q199&amp;$R199&amp;"|"&amp;$C199&amp;"|"&amp;$AB199)</f>
        <v/>
      </c>
      <c r="CQ199" s="84">
        <f>N($BS199)</f>
        <v/>
      </c>
      <c r="CR199" s="84">
        <f>IF(N($AU199)&gt;0,N($AU199),4.5)</f>
        <v/>
      </c>
      <c r="CS199" s="84">
        <f>OR($A199="",$BI199="",$S199="BL",AND($C199="FRAME ONLY",OR($AC199="",$AC199="BLK")))</f>
        <v/>
      </c>
      <c r="CT199" s="84">
        <f>AND(NOT($CS199),OR($AT199="CUSTOM LOC",N($AW199)+N($AX199)+N($AY199)+N($AZ199)+N($BA199)&gt;0))</f>
        <v/>
      </c>
      <c r="CU199" s="84">
        <f>IF($BI199="","",IF($BI199&lt;=80,80,IF($BI199&lt;=84,84,96)))</f>
        <v/>
      </c>
      <c r="CV199" s="84">
        <f>ISNUMBER(MATCH($AT199&amp;"|80",LocKeys,0))</f>
        <v/>
      </c>
      <c r="CW199" s="86">
        <f>IF($CS199,"",IF($CV199,VLOOKUP($AT199&amp;"|"&amp;$CU199,LocTable,4,FALSE),5))</f>
        <v/>
      </c>
      <c r="CX199" s="86">
        <f>IF($CS199,"",IF($CV199,IF(OR($BI199=$CU199,AND($BI199&lt;$CU199,$BI199-IF(N(VLOOKUP($AT199&amp;"|"&amp;$CU199,LocTable,7,FALSE))&gt;0,VLOOKUP($AT199&amp;"|"&amp;$CU199,LocTable,7,FALSE),VLOOKUP($AT199&amp;"|"&amp;$CU199,LocTable,6,FALSE))-$CR199-0.75&gt;=2.125)),IF(N(VLOOKUP($AT199&amp;"|"&amp;$CU199,LocTable,7,FALSE))&gt;0,VLOOKUP($AT199&amp;"|"&amp;$CU199,LocTable,7,FALSE),VLOOKUP($AT199&amp;"|"&amp;$CU199,LocTable,6,FALSE)),$BI199-($CU199-IF(N(VLOOKUP($AT199&amp;"|"&amp;$CU199,LocTable,7,FALSE))&gt;0,VLOOKUP($AT199&amp;"|"&amp;$CU199,LocTable,7,FALSE),VLOOKUP($AT199&amp;"|"&amp;$CU199,LocTable,6,FALSE)))),$BI199-10-$CR199))</f>
        <v/>
      </c>
      <c r="CY199" s="85">
        <f>IF($CS199,"",TRIM(IF(ISNUMBER($BU199),"A "&amp;TRIM(TEXT($BU199,"# ?/??"))&amp;CHAR(34)&amp;"  ","")&amp;IF(ISNUMBER($BV199),"B "&amp;TRIM(TEXT($BV199,"# ?/??"))&amp;CHAR(34)&amp;"  ","")&amp;IF(ISNUMBER($BW199),"C "&amp;TRIM(TEXT($BW199,"# ?/??"))&amp;CHAR(34)&amp;"  ","")&amp;IF(ISNUMBER($BX199),"D "&amp;TRIM(TEXT($BX199,"# ?/??"))&amp;CHAR(34)&amp;"  ","")&amp;IF(ISNUMBER($BY199),"F "&amp;TRIM(TEXT($BY199,"# ?/??"))&amp;CHAR(34)&amp;"  ","")&amp;IF(ISNUMBER($BZ199),"E "&amp;TRIM(TEXT($BZ199,"# ?/??"))&amp;CHAR(34)&amp;"  ","")))</f>
        <v/>
      </c>
      <c r="CZ199" s="85">
        <f>IF(OR($CS199,N($BJ199)=0),"",TRIM(IF(ISNUMBER($BU199),"A "&amp;TRIM(TEXT($BU199-HeadClr,"# ?/??"))&amp;CHAR(34)&amp;"  ","")&amp;IF(ISNUMBER($BV199),"B "&amp;TRIM(TEXT($BV199-HeadClr,"# ?/??"))&amp;CHAR(34)&amp;"  ","")&amp;IF(ISNUMBER($BW199),"C "&amp;TRIM(TEXT($BW199-HeadClr,"# ?/??"))&amp;CHAR(34)&amp;"  ","")&amp;IF(ISNUMBER($BX199),"D "&amp;TRIM(TEXT($BX199-HeadClr,"# ?/??"))&amp;CHAR(34)&amp;"  ","")&amp;IF(ISNUMBER($BY199),"F "&amp;TRIM(TEXT($BY199-HeadClr,"# ?/??"))&amp;CHAR(34)&amp;"  ","")&amp;IF(ISNUMBER($BZ199),"E "&amp;TRIM(TEXT($BZ199-HeadClr,"# ?/??"))&amp;CHAR(34)&amp;"  ","")))</f>
        <v/>
      </c>
      <c r="DA199" s="84">
        <f>IF($A199="","",IF($AN199="",IFERROR(VLOOKUP($Z199,CODES,2,FALSE),""),IFERROR(VLOOKUP($AN199,CODES,2,FALSE),"")))</f>
        <v/>
      </c>
      <c r="DB199" s="84">
        <f>IF($A199="","",IF($O199="Y","PR",IF(OR($Z199="L",$Z199="RR",LEFT($Z199,2)="L-",LEFT($Z199,3)="RR-"),"LH","RH")))</f>
        <v/>
      </c>
      <c r="DC199" s="84">
        <f>IF($A199="","","S.HM"&amp;IF(OR($C199="DOOR ONLY",$X199&lt;&gt;"KD"),"MASONRY","DRYWALL")&amp;IF($C199="DOOR ONLY","",$U199)&amp;IF(AND($C199&lt;&gt;"FRAME ONLY",OR(LEFT($AH199,3)="OAK",LEFT($AH199,3)="BIR",LEFT($AH199,3)="MAP",$AH199="PC",$AH199="MC",$AH199="SCLC",$AH199="P-LAM")),"WD","HM")&amp;"1.75")</f>
        <v/>
      </c>
      <c r="DD199" s="84">
        <f>IF($CJ199="","",IF($O199="Y",$CJ199,SUBSTITUTE($CJ199,$BG199&amp;" "&amp;IFERROR(VLOOKUP($Z199,CODES,2,FALSE),"")&amp;" ",$BG199&amp;" ")))</f>
        <v/>
      </c>
      <c r="DE199" s="84">
        <f>IF($CK199="","",IF($O199="Y",$CK199,SUBSTITUTE($CK199,$BG199&amp;" "&amp;IF($AN199="",IFERROR(VLOOKUP($Z199,CODES,2,FALSE),""),IFERROR(VLOOKUP($AN199,CODES,2,FALSE),""))&amp;" ",$BG199&amp;" ")))</f>
        <v/>
      </c>
      <c r="DF199" s="84">
        <f>IF($CJ199="","",$DC199&amp;"|"&amp;$DD199&amp;"|"&amp;$DB199&amp;"|"&amp;$AT199&amp;"|"&amp;$V199&amp;"|"&amp;$Y199&amp;"|"&amp;$AB199)</f>
        <v/>
      </c>
      <c r="DG199" s="84">
        <f>IF(DF199="","",IF(COUNTIF($DF$6:DF199,DF199)=1,MAX($DG$5:DG198)+1,INDEX($DG$5:DG198,MATCH(DF199,$DF$5:DF198,0))))</f>
        <v/>
      </c>
      <c r="DH199" s="84">
        <f>IF($CK199="","",$DC199&amp;"|"&amp;$DE199&amp;"|"&amp;$AI199&amp;"|"&amp;$BK199&amp;"|"&amp;$BL199)</f>
        <v/>
      </c>
      <c r="DI199" s="84">
        <f>IF(DH199="","",IF(COUNTIF($DH$6:DH199,DH199)=1,MAX($DI$5:DI198)+1,INDEX($DI$5:DI198,MATCH(DH199,$DH$5:DH198,0))))</f>
        <v/>
      </c>
      <c r="DJ199" s="84">
        <f>IF($A199="","",IF($B199="","qty, ","")&amp;IF($C199="","scope, ","")&amp;IF(OR($K199="",$M199=""),"size, ","")&amp;IF(AND($A199&lt;&gt;"",$C199&lt;&gt;"DOOR ONLY"),IF($U199="","jamb depth, ","")&amp;IF($X199="","construction, ","")&amp;IF($Y199="","anchor, ","")&amp;IF($S199="","frame type, ",""),"")&amp;IF(AND(N($BJ199)&gt;0,$Z199=""),"hand, ","")&amp;IF(N($BJ199)&gt;0,IF($AH199="","door material, ","")&amp;IF($AL199="","face type, ","")&amp;IF($AP199="","lock prep, ","")&amp;IF(AND($AO199="",$AC199=""),"hinge prep, ",""),"")&amp;IF(AND($CH199&gt;0,$AH199="FRP"),"FRP cannot carry a label, ","")&amp;IF(AND($O199="Y",OR($Z199="L",$Z199="R",$Z199="LR",$Z199="RR")),"pair marked but hand is single, ","")&amp;IF(AND($O199&lt;&gt;"Y",OR($Z199="PR",AND(LEN($Z199)&gt;1,ISNUMBER(SEARCH("-",$Z199))))),"pair hand on a single door, ","")&amp;IF(AND(ISNUMBER($CI199),$CH199&lt;N($CI199)),"wall needs a "&amp;$CI199&amp;" min door, ","")&amp;IF(AND($CH199&gt;=180,AND(OR($CE199="FG",$CE199="HG",$CE199="FNV",$CE199="FV"),N($CF199)*N($CG199)&gt;100)),"180 min lite over 100 sq in, ","")&amp;IF(N($BK199)&gt;48,"leaf wider than 4'-0"&amp;CHAR(34)&amp;", ","")&amp;IF(AND($CT199,COUNT($AW199:$AZ199)=0,$CQ199&gt;0),"CUSTOM LOC with no locations typed, ",""))</f>
        <v/>
      </c>
      <c r="DK199" s="84">
        <f>IF($A199="","",IF(AND($CH199&gt;0,AND($A199&lt;&gt;"",$C199&lt;&gt;"DOOR ONLY"),$X199="KD",$E199="EXTERIOR"),"KD label on an exterior opening, ","")&amp;IF(AND($E199="EXTERIOR",OR(AND(AND($A199&lt;&gt;"",$C199&lt;&gt;"DOOR ONLY"),$W199="CR"),AND(N($BJ199)&gt;0,$AH199="CR"))),"exterior in CR steel (G9?), ","")&amp;IF(AND(ISNUMBER($BQ199),N($BQ199)&lt;32),"clear width ~"&amp;TEXT($BQ199,"0.0")&amp;CHAR(34)&amp;" under 32"&amp;CHAR(34)&amp;" (ADA), ","")&amp;IF(AND($CH199=90,AND(OR($CE199="FG",$CE199="HG",$CE199="FNV",$CE199="FV"),N($CF199)*N($CG199)&gt;100)),"90 min lite over 100 sq in (stair/exit), ","")&amp;IF(AND($CH199&gt;0,AND($A199&lt;&gt;"",$C199&lt;&gt;"DOOR ONLY"),OR($AF199="",$AF199="-")),"rated: closer reinf.?, ","")&amp;IF(OR($I199="CORRIDOR",$I199="SMOKE BARRIER"),"S label + smoke gasketing, ","")&amp;IF($CI199="?","wall type/hr not in IBC table, ","")&amp;IF(AND(N($BJ199)&gt;0,$BB199=""),"no hardware set, ","")&amp;IF(AND($BB199&lt;&gt;"",ISNA(MATCH($BB199&amp;"",HWSets,0))),"set "&amp;$BB199&amp;" not on HW Sets, ","")&amp;IF(N($BL199)&gt;96,"leaf over 8'-0"&amp;CHAR(34)&amp;" - check listing, ","")&amp;IF(AND($CT199,COUNT($AW199:$AZ199)&gt;0,COUNT($AW199:$AZ199)&lt;&gt;$CQ199),COUNT($AW199:$AZ199)&amp;" custom hinges typed, "&amp;$CQ199&amp;" expected, ","")&amp;IF(AND(ISNUMBER($CA199),OR(N($CA199)&lt;34,N($CA199)&gt;48)),"lock "&amp;TEXT($CA199,"0.0")&amp;CHAR(34)&amp;" AFF outside 34-48"&amp;CHAR(34)&amp;" (ADA), ","")&amp;IF(AND(ISNUMBER($AV199),ISNUMBER($BL199),N($AV199)&lt;IF(N($BL199)&lt;=60,2,IF(N($BL199)&lt;=90,3,IF(N($BL199)&lt;=120,4,5)))),"fewer hinges than standard, ",""))</f>
        <v/>
      </c>
    </row>
    <row r="200" ht="15" customHeight="1">
      <c r="A200" s="92" t="n"/>
      <c r="B200" s="93" t="n"/>
      <c r="C200" s="93" t="n"/>
      <c r="D200" s="93" t="n"/>
      <c r="E200" s="93" t="n"/>
      <c r="F200" s="93" t="n"/>
      <c r="G200" s="93" t="n"/>
      <c r="H200" s="93" t="n"/>
      <c r="I200" s="93" t="n"/>
      <c r="J200" s="93" t="n"/>
      <c r="K200" s="93" t="n"/>
      <c r="L200" s="93" t="n"/>
      <c r="M200" s="93" t="n"/>
      <c r="N200" s="93" t="n"/>
      <c r="O200" s="93" t="n"/>
      <c r="P200" s="93" t="n"/>
      <c r="Q200" s="93" t="n"/>
      <c r="R200" s="93" t="n"/>
      <c r="S200" s="94" t="n"/>
      <c r="T200" s="94" t="n"/>
      <c r="U200" s="94" t="n"/>
      <c r="V200" s="94" t="n"/>
      <c r="W200" s="94" t="n"/>
      <c r="X200" s="94" t="n"/>
      <c r="Y200" s="94" t="n"/>
      <c r="Z200" s="94" t="n"/>
      <c r="AA200" s="94" t="n"/>
      <c r="AB200" s="94" t="n"/>
      <c r="AC200" s="94" t="n"/>
      <c r="AD200" s="94" t="n"/>
      <c r="AE200" s="94" t="n"/>
      <c r="AF200" s="94" t="n"/>
      <c r="AG200" s="94" t="n"/>
      <c r="AH200" s="95" t="n"/>
      <c r="AI200" s="95" t="n"/>
      <c r="AJ200" s="95" t="n"/>
      <c r="AK200" s="95" t="n"/>
      <c r="AL200" s="95" t="n"/>
      <c r="AM200" s="95" t="n"/>
      <c r="AN200" s="95" t="n"/>
      <c r="AO200" s="95" t="n"/>
      <c r="AP200" s="95" t="n"/>
      <c r="AQ200" s="95" t="n"/>
      <c r="AR200" s="95" t="n"/>
      <c r="AS200" s="95" t="n"/>
      <c r="AT200" s="96" t="n"/>
      <c r="AU200" s="96" t="n"/>
      <c r="AV200" s="96" t="n"/>
      <c r="AW200" s="97" t="n"/>
      <c r="AX200" s="97" t="n"/>
      <c r="AY200" s="97" t="n"/>
      <c r="AZ200" s="97" t="n"/>
      <c r="BA200" s="97" t="n"/>
      <c r="BB200" s="98" t="n"/>
      <c r="BC200" s="98" t="n"/>
      <c r="BD200" s="99">
        <f>IF($A200="","",IF($DJ200&lt;&gt;"","FIX",IF($DK200&lt;&gt;"","CHECK","OK")))</f>
        <v/>
      </c>
      <c r="BE200" s="100">
        <f>IF($A200="","",IF($DJ200&lt;&gt;"","FIX: "&amp;LEFT($DJ200,LEN($DJ200)-2)&amp;IF($DK200&lt;&gt;"","  ·  ",""),"")&amp;IF($DK200&lt;&gt;"","CHECK: "&amp;LEFT($DK200,LEN($DK200)-2),""))</f>
        <v/>
      </c>
      <c r="BF200" s="99">
        <f>IF(OR($A200="",$K200=""),"",$K200&amp;"'-"&amp;N($L200)&amp;CHAR(34)&amp;" x "&amp;$M200&amp;"'-"&amp;N($N200)&amp;CHAR(34))</f>
        <v/>
      </c>
      <c r="BG200" s="99">
        <f>IF(OR($A200="",$K200=""),"",$K200&amp;N($L200)&amp;$M200&amp;N($N200))</f>
        <v/>
      </c>
      <c r="BH200" s="99">
        <f>IF(OR($A200="",$K200=""),"",$K200*12+N($L200))</f>
        <v/>
      </c>
      <c r="BI200" s="99">
        <f>IF(OR($A200="",$M200=""),"",$M200*12+N($N200))</f>
        <v/>
      </c>
      <c r="BJ200" s="99">
        <f>IF($A200="","",IF(OR($C200="FRAME ONLY",$S200="BL"),0,IF($O200="Y",2,1)))</f>
        <v/>
      </c>
      <c r="BK200" s="101">
        <f>IF(OR(N($BJ200)=0,$BH200=""),"",($BH200-2*EdgeClr-IF($BJ200=2,MeetClr,0))/$BJ200)</f>
        <v/>
      </c>
      <c r="BL200" s="101">
        <f>IF(OR(N($BJ200)=0,$BI200=""),"",$BI200-HeadClr-Undercut)</f>
        <v/>
      </c>
      <c r="BM200" s="101">
        <f>IF($BH200="","",$BH200+2*FaceW+IF(N($Q200)&gt;0,($Q200+FaceW)*IF($R200="LR",2,1),0))</f>
        <v/>
      </c>
      <c r="BN200" s="101">
        <f>IF($BI200="","",$BI200+IF($AB200="Y",4,FaceW)+IF(N($P200)&gt;0,$P200+FaceW,0)+IF(OR($S200="4F",$S200="BL"),FaceW,0))</f>
        <v/>
      </c>
      <c r="BO200" s="101">
        <f>IF($BM200="","",$BM200+2*ROSide)</f>
        <v/>
      </c>
      <c r="BP200" s="101">
        <f>IF($BN200="","",$BN200+ROTop)</f>
        <v/>
      </c>
      <c r="BQ200" s="102">
        <f>IF(OR(N($BJ200)=0,$BH200=""),"",$BH200/$BJ200-ClearDeduct)</f>
        <v/>
      </c>
      <c r="BR200" s="99">
        <f>IF(N($CH200)=0,"",IF($CH200&gt;=180,"A · 3 HR",IF($CH200&gt;=90,"B · 1-1/2 HR",IF($CH200&gt;=60,"B · 1 HR",IF($CH200&gt;=45,"C · 3/4 HR","20 MIN")))))&amp;IF(AND(N($CH200)&gt;0,OR($I200="CORRIDOR",$I200="SMOKE BARRIER"))," · S","")</f>
        <v/>
      </c>
      <c r="BS200" s="99">
        <f>IF($CS200,"",IF($AV200&lt;&gt;"",$AV200,IF(OR($AC200="HGC",$AO200="HGC"),"CONT",IF(($BI200-HeadClr-Undercut)&lt;=60,2,IF(($BI200-HeadClr-Undercut)&lt;=90,3,IF(($BI200-HeadClr-Undercut)&lt;=120,4,5))))))</f>
        <v/>
      </c>
      <c r="BT200" s="99">
        <f>IF($CS200,"",IF($CT200,"CUSTOM (typed)",IF($CV200,$AT200&amp;" "&amp;$CU200&amp;CHAR(34)&amp;IF($CU200&lt;&gt;$BI200,IF(AND($BI200&lt;$CU200,$BI200-IF(N(VLOOKUP($AT200&amp;"|"&amp;$CU200,LocTable,7,FALSE))&gt;0,VLOOKUP($AT200&amp;"|"&amp;$CU200,LocTable,7,FALSE),VLOOKUP($AT200&amp;"|"&amp;$CU200,LocTable,6,FALSE))-$CR200-0.75&gt;=2.125)," cut down"," adj."),""),"ANSI/SDI A250.6")))</f>
        <v/>
      </c>
      <c r="BU200" s="103">
        <f>IF($CS200,"",IF($CT200,IF(N($AW200)&gt;0,N($AW200),""),IF(1&gt;$CQ200,"",IF($CQ200=1,$CW200,$CW200+($CX200-$CW200)*0/($CQ200-1)))))</f>
        <v/>
      </c>
      <c r="BV200" s="103">
        <f>IF($CS200,"",IF($CT200,IF(N($AX200)&gt;0,N($AX200),""),IF(2&gt;$CQ200,"",IF($CQ200=1,$CW200,$CW200+($CX200-$CW200)*1/($CQ200-1)))))</f>
        <v/>
      </c>
      <c r="BW200" s="103">
        <f>IF($CS200,"",IF($CT200,IF(N($AY200)&gt;0,N($AY200),""),IF(3&gt;$CQ200,"",IF($CQ200=1,$CW200,$CW200+($CX200-$CW200)*2/($CQ200-1)))))</f>
        <v/>
      </c>
      <c r="BX200" s="103">
        <f>IF($CS200,"",IF($CT200,IF(N($AZ200)&gt;0,N($AZ200),""),IF(4&gt;$CQ200,"",IF($CQ200=1,$CW200,$CW200+($CX200-$CW200)*3/($CQ200-1)))))</f>
        <v/>
      </c>
      <c r="BY200" s="103">
        <f>IF($CS200,"",IF($CT200,"",IF(5&gt;$CQ200,"",IF($CQ200=1,$CW200,$CW200+($CX200-$CW200)*4/($CQ200-1)))))</f>
        <v/>
      </c>
      <c r="BZ200" s="103">
        <f>IF(OR($CS200,$AP200="-",AND($AP200="",$AD200="")),"",IF(N($BA200)&gt;0,N($BA200),IF($CV200,IF(AND($BI200&lt;$CU200,$BI200-IF(N(VLOOKUP($AT200&amp;"|"&amp;$CU200,LocTable,7,FALSE))&gt;0,VLOOKUP($AT200&amp;"|"&amp;$CU200,LocTable,7,FALSE),VLOOKUP($AT200&amp;"|"&amp;$CU200,LocTable,6,FALSE))-$CR200-0.75&gt;=2.125),VLOOKUP($AT200&amp;"|"&amp;$CU200,LocTable,8,FALSE),VLOOKUP($AT200&amp;"|"&amp;$CU200,LocTable,8,FALSE)+($BI200-$CU200)),$BI200-LockAFF)))</f>
        <v/>
      </c>
      <c r="CA200" s="104">
        <f>IF($BZ200="","",$BI200-$BZ200)</f>
        <v/>
      </c>
      <c r="CB200" s="99">
        <f>IF(OR(NOT(AND($A200&lt;&gt;"",$C200&lt;&gt;"DOOR ONLY")),$BI200=""),"",IF(($BI200+IF(N($P200)&gt;0,$P200+FaceW,0))&lt;=90,3,IF(($BI200+IF(N($P200)&gt;0,$P200+FaceW,0))&lt;=114,4,5)))</f>
        <v/>
      </c>
      <c r="CC200" s="99">
        <f>IF($CB200="","",$CB200*(2+IF(N($Q200)&gt;0,IF($R200="LR",2,1),0)))</f>
        <v/>
      </c>
      <c r="CD200" s="99">
        <f>IF($CB200="","",(2+IF(N($Q200)&gt;0,IF($R200="LR",2,1),0)))</f>
        <v/>
      </c>
      <c r="CE200" s="99">
        <f>IF(N($BJ200)=0,"",IF(OR($AL200="",$AL200="FLUSH"),"FLUSH",IFERROR(LEFT($AL200,FIND("-",$AL200)-1),LEFT($AL200,2))))</f>
        <v/>
      </c>
      <c r="CF200" s="99">
        <f>IF($CE200="","",IFERROR(VALUE(MID($AL200,FIND("-",$AL200)+1,FIND(CHAR(34)&amp;"x",$AL200)-FIND("-",$AL200)-1)),0))</f>
        <v/>
      </c>
      <c r="CG200" s="99">
        <f>IF($CE200="","",IFERROR(VALUE(MID($AL200,FIND(CHAR(34)&amp;"x",$AL200)+2,FIND(CHAR(34),$AL200,FIND(CHAR(34)&amp;"x",$AL200)+2)-FIND(CHAR(34)&amp;"x",$AL200)-2)),0))</f>
        <v/>
      </c>
      <c r="CH200" s="105">
        <f>IF(OR($A200="",$H200="",$H200="NO LAB"),0,IFERROR(VALUE(LEFT($H200,FIND(" ",$H200)-1)),0))</f>
        <v/>
      </c>
      <c r="CI200" s="106">
        <f>IF(OR($A200="",$I200="",$I200="NON-RATED",N($J200)=0),"",IFERROR(VLOOKUP($I200&amp;"|"&amp;$J200,IBC,2,FALSE),"?"))</f>
        <v/>
      </c>
      <c r="CJ200" s="100">
        <f>IF(NOT(AND($A200&lt;&gt;"",$C200&lt;&gt;"DOOR ONLY")),"",TRIM(IFERROR(VLOOKUP($U200,CODES,2,FALSE),"")&amp;" "&amp;$BG200&amp;" "&amp;IFERROR(VLOOKUP($Z200,CODES,2,FALSE),"")&amp;" "&amp;IFERROR(VLOOKUP($X200,CODES,2,FALSE),"")&amp;" "&amp;IFERROR(VLOOKUP($S200,CODES,2,FALSE),"")&amp;IF(N($P200)&gt;0," w/TRANSOM "&amp;$P200&amp;CHAR(34),"")&amp;IF(N($Q200)&gt;0," w/SIDELITE "&amp;$Q200&amp;CHAR(34)&amp;" "&amp;IF($R200="","R",$R200),"")&amp;IF($Y200="","  |  "," | "&amp;IFERROR(VLOOKUP($Y200,CODES,2,FALSE),"")&amp;" | ")&amp;IFERROR(VLOOKUP($AC200,CODES,2,FALSE),"")&amp;" "&amp;IFERROR(VLOOKUP($AD200,CODES,2,FALSE),"")&amp;IF(OR($AE200="",$AE200="-"),""," "&amp;$AE200)&amp;IF(OR($AF200="",$AF200="-"),""," "&amp;$AF200)&amp;IF($AB200="Y"," 4"&amp;CHAR(34)&amp;" HEAD","")&amp;" "&amp;IFERROR(VLOOKUP($H200,CODES,2,FALSE),"")&amp;IF($CT200," | LOC "&amp;$CY200,"")))</f>
        <v/>
      </c>
      <c r="CK200" s="100">
        <f>IF(NOT(AND($A200&lt;&gt;"",N($BJ200)&gt;0)),"",TRIM(IFERROR(VLOOKUP($AH200,CODES,2,FALSE),"")&amp;IF($AI200=""," "," "&amp;$AI200&amp;"GA ")&amp;$BG200&amp;" "&amp;IF($AN200="",IFERROR(VLOOKUP($Z200,CODES,2,FALSE),""),IFERROR(VLOOKUP($AN200,CODES,2,FALSE),""))&amp;IF($BJ200=2," PAIR","")&amp;" DOOR | "&amp;IF($AL200="","?",$AL200)&amp;" | "&amp;IF($AO200="",IFERROR(VLOOKUP($AC200,CODES,2,FALSE),""),IFERROR(VLOOKUP($AO200,CODES,2,FALSE),""))&amp;" "&amp;IFERROR(VLOOKUP($AP200,CODES,2,FALSE),"")&amp;IF(OR($AQ200="",$AQ200="-"),""," SEAM "&amp;$AQ200)&amp;IF($AR200="Y"," ASTRAGAL","")&amp;IF($AJ200=""," "," "&amp;$AJ200)&amp;IF($AK200=""," "," "&amp;$AK200)&amp;IF(OR($AT200="",$AT200="ANSI/SDI",$AT200="CUSTOM LOC"),""," "&amp;$AT200)&amp;IF($AM200=""," "," SERIES "&amp;$AM200)&amp;" "&amp;IFERROR(VLOOKUP($H200,CODES,2,FALSE),"")&amp;IF($CT200," | LOC "&amp;$CZ200,"")))</f>
        <v/>
      </c>
      <c r="CL200" s="99">
        <f>IF(CP200="","",IF(COUNTIF($CP$6:CP200,CP200)=1,MAX($CL$5:CL199)+1,INDEX($CL$5:CL199,MATCH(CP200,$CP$5:CP199,0))))</f>
        <v/>
      </c>
      <c r="CM200" s="99">
        <f>IF(NOT(AND($A200&lt;&gt;"",$C200&lt;&gt;"DOOR ONLY")),"",MAX($CM$5:CM199)+1)</f>
        <v/>
      </c>
      <c r="CN200" s="99">
        <f>IF(NOT(AND($A200&lt;&gt;"",N($BJ200)&gt;0)),"",MAX($CN$5:CN199)+1)</f>
        <v/>
      </c>
      <c r="CO200" s="99">
        <f>IF($A200="","",MAX($CO$5:CO199)+1)</f>
        <v/>
      </c>
      <c r="CP200" s="99">
        <f>IF(OR($A200="",$BH200="",$BI200=""),"",$BG200&amp;"|"&amp;$O200&amp;"|"&amp;$AL200&amp;"|"&amp;$S200&amp;"|"&amp;$P200&amp;"|"&amp;$Q200&amp;$R200&amp;"|"&amp;$C200&amp;"|"&amp;$AB200)</f>
        <v/>
      </c>
      <c r="CQ200" s="99">
        <f>N($BS200)</f>
        <v/>
      </c>
      <c r="CR200" s="99">
        <f>IF(N($AU200)&gt;0,N($AU200),4.5)</f>
        <v/>
      </c>
      <c r="CS200" s="99">
        <f>OR($A200="",$BI200="",$S200="BL",AND($C200="FRAME ONLY",OR($AC200="",$AC200="BLK")))</f>
        <v/>
      </c>
      <c r="CT200" s="99">
        <f>AND(NOT($CS200),OR($AT200="CUSTOM LOC",N($AW200)+N($AX200)+N($AY200)+N($AZ200)+N($BA200)&gt;0))</f>
        <v/>
      </c>
      <c r="CU200" s="99">
        <f>IF($BI200="","",IF($BI200&lt;=80,80,IF($BI200&lt;=84,84,96)))</f>
        <v/>
      </c>
      <c r="CV200" s="99">
        <f>ISNUMBER(MATCH($AT200&amp;"|80",LocKeys,0))</f>
        <v/>
      </c>
      <c r="CW200" s="101">
        <f>IF($CS200,"",IF($CV200,VLOOKUP($AT200&amp;"|"&amp;$CU200,LocTable,4,FALSE),5))</f>
        <v/>
      </c>
      <c r="CX200" s="101">
        <f>IF($CS200,"",IF($CV200,IF(OR($BI200=$CU200,AND($BI200&lt;$CU200,$BI200-IF(N(VLOOKUP($AT200&amp;"|"&amp;$CU200,LocTable,7,FALSE))&gt;0,VLOOKUP($AT200&amp;"|"&amp;$CU200,LocTable,7,FALSE),VLOOKUP($AT200&amp;"|"&amp;$CU200,LocTable,6,FALSE))-$CR200-0.75&gt;=2.125)),IF(N(VLOOKUP($AT200&amp;"|"&amp;$CU200,LocTable,7,FALSE))&gt;0,VLOOKUP($AT200&amp;"|"&amp;$CU200,LocTable,7,FALSE),VLOOKUP($AT200&amp;"|"&amp;$CU200,LocTable,6,FALSE)),$BI200-($CU200-IF(N(VLOOKUP($AT200&amp;"|"&amp;$CU200,LocTable,7,FALSE))&gt;0,VLOOKUP($AT200&amp;"|"&amp;$CU200,LocTable,7,FALSE),VLOOKUP($AT200&amp;"|"&amp;$CU200,LocTable,6,FALSE)))),$BI200-10-$CR200))</f>
        <v/>
      </c>
      <c r="CY200" s="100">
        <f>IF($CS200,"",TRIM(IF(ISNUMBER($BU200),"A "&amp;TRIM(TEXT($BU200,"# ?/??"))&amp;CHAR(34)&amp;"  ","")&amp;IF(ISNUMBER($BV200),"B "&amp;TRIM(TEXT($BV200,"# ?/??"))&amp;CHAR(34)&amp;"  ","")&amp;IF(ISNUMBER($BW200),"C "&amp;TRIM(TEXT($BW200,"# ?/??"))&amp;CHAR(34)&amp;"  ","")&amp;IF(ISNUMBER($BX200),"D "&amp;TRIM(TEXT($BX200,"# ?/??"))&amp;CHAR(34)&amp;"  ","")&amp;IF(ISNUMBER($BY200),"F "&amp;TRIM(TEXT($BY200,"# ?/??"))&amp;CHAR(34)&amp;"  ","")&amp;IF(ISNUMBER($BZ200),"E "&amp;TRIM(TEXT($BZ200,"# ?/??"))&amp;CHAR(34)&amp;"  ","")))</f>
        <v/>
      </c>
      <c r="CZ200" s="100">
        <f>IF(OR($CS200,N($BJ200)=0),"",TRIM(IF(ISNUMBER($BU200),"A "&amp;TRIM(TEXT($BU200-HeadClr,"# ?/??"))&amp;CHAR(34)&amp;"  ","")&amp;IF(ISNUMBER($BV200),"B "&amp;TRIM(TEXT($BV200-HeadClr,"# ?/??"))&amp;CHAR(34)&amp;"  ","")&amp;IF(ISNUMBER($BW200),"C "&amp;TRIM(TEXT($BW200-HeadClr,"# ?/??"))&amp;CHAR(34)&amp;"  ","")&amp;IF(ISNUMBER($BX200),"D "&amp;TRIM(TEXT($BX200-HeadClr,"# ?/??"))&amp;CHAR(34)&amp;"  ","")&amp;IF(ISNUMBER($BY200),"F "&amp;TRIM(TEXT($BY200-HeadClr,"# ?/??"))&amp;CHAR(34)&amp;"  ","")&amp;IF(ISNUMBER($BZ200),"E "&amp;TRIM(TEXT($BZ200-HeadClr,"# ?/??"))&amp;CHAR(34)&amp;"  ","")))</f>
        <v/>
      </c>
      <c r="DA200" s="99">
        <f>IF($A200="","",IF($AN200="",IFERROR(VLOOKUP($Z200,CODES,2,FALSE),""),IFERROR(VLOOKUP($AN200,CODES,2,FALSE),"")))</f>
        <v/>
      </c>
      <c r="DB200" s="99">
        <f>IF($A200="","",IF($O200="Y","PR",IF(OR($Z200="L",$Z200="RR",LEFT($Z200,2)="L-",LEFT($Z200,3)="RR-"),"LH","RH")))</f>
        <v/>
      </c>
      <c r="DC200" s="99">
        <f>IF($A200="","","S.HM"&amp;IF(OR($C200="DOOR ONLY",$X200&lt;&gt;"KD"),"MASONRY","DRYWALL")&amp;IF($C200="DOOR ONLY","",$U200)&amp;IF(AND($C200&lt;&gt;"FRAME ONLY",OR(LEFT($AH200,3)="OAK",LEFT($AH200,3)="BIR",LEFT($AH200,3)="MAP",$AH200="PC",$AH200="MC",$AH200="SCLC",$AH200="P-LAM")),"WD","HM")&amp;"1.75")</f>
        <v/>
      </c>
      <c r="DD200" s="99">
        <f>IF($CJ200="","",IF($O200="Y",$CJ200,SUBSTITUTE($CJ200,$BG200&amp;" "&amp;IFERROR(VLOOKUP($Z200,CODES,2,FALSE),"")&amp;" ",$BG200&amp;" ")))</f>
        <v/>
      </c>
      <c r="DE200" s="99">
        <f>IF($CK200="","",IF($O200="Y",$CK200,SUBSTITUTE($CK200,$BG200&amp;" "&amp;IF($AN200="",IFERROR(VLOOKUP($Z200,CODES,2,FALSE),""),IFERROR(VLOOKUP($AN200,CODES,2,FALSE),""))&amp;" ",$BG200&amp;" ")))</f>
        <v/>
      </c>
      <c r="DF200" s="99">
        <f>IF($CJ200="","",$DC200&amp;"|"&amp;$DD200&amp;"|"&amp;$DB200&amp;"|"&amp;$AT200&amp;"|"&amp;$V200&amp;"|"&amp;$Y200&amp;"|"&amp;$AB200)</f>
        <v/>
      </c>
      <c r="DG200" s="99">
        <f>IF(DF200="","",IF(COUNTIF($DF$6:DF200,DF200)=1,MAX($DG$5:DG199)+1,INDEX($DG$5:DG199,MATCH(DF200,$DF$5:DF199,0))))</f>
        <v/>
      </c>
      <c r="DH200" s="99">
        <f>IF($CK200="","",$DC200&amp;"|"&amp;$DE200&amp;"|"&amp;$AI200&amp;"|"&amp;$BK200&amp;"|"&amp;$BL200)</f>
        <v/>
      </c>
      <c r="DI200" s="99">
        <f>IF(DH200="","",IF(COUNTIF($DH$6:DH200,DH200)=1,MAX($DI$5:DI199)+1,INDEX($DI$5:DI199,MATCH(DH200,$DH$5:DH199,0))))</f>
        <v/>
      </c>
      <c r="DJ200" s="99">
        <f>IF($A200="","",IF($B200="","qty, ","")&amp;IF($C200="","scope, ","")&amp;IF(OR($K200="",$M200=""),"size, ","")&amp;IF(AND($A200&lt;&gt;"",$C200&lt;&gt;"DOOR ONLY"),IF($U200="","jamb depth, ","")&amp;IF($X200="","construction, ","")&amp;IF($Y200="","anchor, ","")&amp;IF($S200="","frame type, ",""),"")&amp;IF(AND(N($BJ200)&gt;0,$Z200=""),"hand, ","")&amp;IF(N($BJ200)&gt;0,IF($AH200="","door material, ","")&amp;IF($AL200="","face type, ","")&amp;IF($AP200="","lock prep, ","")&amp;IF(AND($AO200="",$AC200=""),"hinge prep, ",""),"")&amp;IF(AND($CH200&gt;0,$AH200="FRP"),"FRP cannot carry a label, ","")&amp;IF(AND($O200="Y",OR($Z200="L",$Z200="R",$Z200="LR",$Z200="RR")),"pair marked but hand is single, ","")&amp;IF(AND($O200&lt;&gt;"Y",OR($Z200="PR",AND(LEN($Z200)&gt;1,ISNUMBER(SEARCH("-",$Z200))))),"pair hand on a single door, ","")&amp;IF(AND(ISNUMBER($CI200),$CH200&lt;N($CI200)),"wall needs a "&amp;$CI200&amp;" min door, ","")&amp;IF(AND($CH200&gt;=180,AND(OR($CE200="FG",$CE200="HG",$CE200="FNV",$CE200="FV"),N($CF200)*N($CG200)&gt;100)),"180 min lite over 100 sq in, ","")&amp;IF(N($BK200)&gt;48,"leaf wider than 4'-0"&amp;CHAR(34)&amp;", ","")&amp;IF(AND($CT200,COUNT($AW200:$AZ200)=0,$CQ200&gt;0),"CUSTOM LOC with no locations typed, ",""))</f>
        <v/>
      </c>
      <c r="DK200" s="99">
        <f>IF($A200="","",IF(AND($CH200&gt;0,AND($A200&lt;&gt;"",$C200&lt;&gt;"DOOR ONLY"),$X200="KD",$E200="EXTERIOR"),"KD label on an exterior opening, ","")&amp;IF(AND($E200="EXTERIOR",OR(AND(AND($A200&lt;&gt;"",$C200&lt;&gt;"DOOR ONLY"),$W200="CR"),AND(N($BJ200)&gt;0,$AH200="CR"))),"exterior in CR steel (G9?), ","")&amp;IF(AND(ISNUMBER($BQ200),N($BQ200)&lt;32),"clear width ~"&amp;TEXT($BQ200,"0.0")&amp;CHAR(34)&amp;" under 32"&amp;CHAR(34)&amp;" (ADA), ","")&amp;IF(AND($CH200=90,AND(OR($CE200="FG",$CE200="HG",$CE200="FNV",$CE200="FV"),N($CF200)*N($CG200)&gt;100)),"90 min lite over 100 sq in (stair/exit), ","")&amp;IF(AND($CH200&gt;0,AND($A200&lt;&gt;"",$C200&lt;&gt;"DOOR ONLY"),OR($AF200="",$AF200="-")),"rated: closer reinf.?, ","")&amp;IF(OR($I200="CORRIDOR",$I200="SMOKE BARRIER"),"S label + smoke gasketing, ","")&amp;IF($CI200="?","wall type/hr not in IBC table, ","")&amp;IF(AND(N($BJ200)&gt;0,$BB200=""),"no hardware set, ","")&amp;IF(AND($BB200&lt;&gt;"",ISNA(MATCH($BB200&amp;"",HWSets,0))),"set "&amp;$BB200&amp;" not on HW Sets, ","")&amp;IF(N($BL200)&gt;96,"leaf over 8'-0"&amp;CHAR(34)&amp;" - check listing, ","")&amp;IF(AND($CT200,COUNT($AW200:$AZ200)&gt;0,COUNT($AW200:$AZ200)&lt;&gt;$CQ200),COUNT($AW200:$AZ200)&amp;" custom hinges typed, "&amp;$CQ200&amp;" expected, ","")&amp;IF(AND(ISNUMBER($CA200),OR(N($CA200)&lt;34,N($CA200)&gt;48)),"lock "&amp;TEXT($CA200,"0.0")&amp;CHAR(34)&amp;" AFF outside 34-48"&amp;CHAR(34)&amp;" (ADA), ","")&amp;IF(AND(ISNUMBER($AV200),ISNUMBER($BL200),N($AV200)&lt;IF(N($BL200)&lt;=60,2,IF(N($BL200)&lt;=90,3,IF(N($BL200)&lt;=120,4,5)))),"fewer hinges than standard, ",""))</f>
        <v/>
      </c>
    </row>
    <row r="201" ht="15" customHeight="1">
      <c r="A201" s="77" t="n"/>
      <c r="B201" s="78" t="n"/>
      <c r="C201" s="78" t="n"/>
      <c r="D201" s="78" t="n"/>
      <c r="E201" s="78" t="n"/>
      <c r="F201" s="78" t="n"/>
      <c r="G201" s="78" t="n"/>
      <c r="H201" s="78" t="n"/>
      <c r="I201" s="78" t="n"/>
      <c r="J201" s="78" t="n"/>
      <c r="K201" s="78" t="n"/>
      <c r="L201" s="78" t="n"/>
      <c r="M201" s="78" t="n"/>
      <c r="N201" s="78" t="n"/>
      <c r="O201" s="78" t="n"/>
      <c r="P201" s="78" t="n"/>
      <c r="Q201" s="78" t="n"/>
      <c r="R201" s="78" t="n"/>
      <c r="S201" s="79" t="n"/>
      <c r="T201" s="79" t="n"/>
      <c r="U201" s="79" t="n"/>
      <c r="V201" s="79" t="n"/>
      <c r="W201" s="79" t="n"/>
      <c r="X201" s="79" t="n"/>
      <c r="Y201" s="79" t="n"/>
      <c r="Z201" s="79" t="n"/>
      <c r="AA201" s="79" t="n"/>
      <c r="AB201" s="79" t="n"/>
      <c r="AC201" s="79" t="n"/>
      <c r="AD201" s="79" t="n"/>
      <c r="AE201" s="79" t="n"/>
      <c r="AF201" s="79" t="n"/>
      <c r="AG201" s="79" t="n"/>
      <c r="AH201" s="80" t="n"/>
      <c r="AI201" s="80" t="n"/>
      <c r="AJ201" s="80" t="n"/>
      <c r="AK201" s="80" t="n"/>
      <c r="AL201" s="80" t="n"/>
      <c r="AM201" s="80" t="n"/>
      <c r="AN201" s="80" t="n"/>
      <c r="AO201" s="80" t="n"/>
      <c r="AP201" s="80" t="n"/>
      <c r="AQ201" s="80" t="n"/>
      <c r="AR201" s="80" t="n"/>
      <c r="AS201" s="80" t="n"/>
      <c r="AT201" s="81" t="n"/>
      <c r="AU201" s="81" t="n"/>
      <c r="AV201" s="81" t="n"/>
      <c r="AW201" s="82" t="n"/>
      <c r="AX201" s="82" t="n"/>
      <c r="AY201" s="82" t="n"/>
      <c r="AZ201" s="82" t="n"/>
      <c r="BA201" s="82" t="n"/>
      <c r="BB201" s="83" t="n"/>
      <c r="BC201" s="83" t="n"/>
      <c r="BD201" s="84">
        <f>IF($A201="","",IF($DJ201&lt;&gt;"","FIX",IF($DK201&lt;&gt;"","CHECK","OK")))</f>
        <v/>
      </c>
      <c r="BE201" s="85">
        <f>IF($A201="","",IF($DJ201&lt;&gt;"","FIX: "&amp;LEFT($DJ201,LEN($DJ201)-2)&amp;IF($DK201&lt;&gt;"","  ·  ",""),"")&amp;IF($DK201&lt;&gt;"","CHECK: "&amp;LEFT($DK201,LEN($DK201)-2),""))</f>
        <v/>
      </c>
      <c r="BF201" s="84">
        <f>IF(OR($A201="",$K201=""),"",$K201&amp;"'-"&amp;N($L201)&amp;CHAR(34)&amp;" x "&amp;$M201&amp;"'-"&amp;N($N201)&amp;CHAR(34))</f>
        <v/>
      </c>
      <c r="BG201" s="84">
        <f>IF(OR($A201="",$K201=""),"",$K201&amp;N($L201)&amp;$M201&amp;N($N201))</f>
        <v/>
      </c>
      <c r="BH201" s="84">
        <f>IF(OR($A201="",$K201=""),"",$K201*12+N($L201))</f>
        <v/>
      </c>
      <c r="BI201" s="84">
        <f>IF(OR($A201="",$M201=""),"",$M201*12+N($N201))</f>
        <v/>
      </c>
      <c r="BJ201" s="84">
        <f>IF($A201="","",IF(OR($C201="FRAME ONLY",$S201="BL"),0,IF($O201="Y",2,1)))</f>
        <v/>
      </c>
      <c r="BK201" s="86">
        <f>IF(OR(N($BJ201)=0,$BH201=""),"",($BH201-2*EdgeClr-IF($BJ201=2,MeetClr,0))/$BJ201)</f>
        <v/>
      </c>
      <c r="BL201" s="86">
        <f>IF(OR(N($BJ201)=0,$BI201=""),"",$BI201-HeadClr-Undercut)</f>
        <v/>
      </c>
      <c r="BM201" s="86">
        <f>IF($BH201="","",$BH201+2*FaceW+IF(N($Q201)&gt;0,($Q201+FaceW)*IF($R201="LR",2,1),0))</f>
        <v/>
      </c>
      <c r="BN201" s="86">
        <f>IF($BI201="","",$BI201+IF($AB201="Y",4,FaceW)+IF(N($P201)&gt;0,$P201+FaceW,0)+IF(OR($S201="4F",$S201="BL"),FaceW,0))</f>
        <v/>
      </c>
      <c r="BO201" s="86">
        <f>IF($BM201="","",$BM201+2*ROSide)</f>
        <v/>
      </c>
      <c r="BP201" s="86">
        <f>IF($BN201="","",$BN201+ROTop)</f>
        <v/>
      </c>
      <c r="BQ201" s="87">
        <f>IF(OR(N($BJ201)=0,$BH201=""),"",$BH201/$BJ201-ClearDeduct)</f>
        <v/>
      </c>
      <c r="BR201" s="84">
        <f>IF(N($CH201)=0,"",IF($CH201&gt;=180,"A · 3 HR",IF($CH201&gt;=90,"B · 1-1/2 HR",IF($CH201&gt;=60,"B · 1 HR",IF($CH201&gt;=45,"C · 3/4 HR","20 MIN")))))&amp;IF(AND(N($CH201)&gt;0,OR($I201="CORRIDOR",$I201="SMOKE BARRIER"))," · S","")</f>
        <v/>
      </c>
      <c r="BS201" s="84">
        <f>IF($CS201,"",IF($AV201&lt;&gt;"",$AV201,IF(OR($AC201="HGC",$AO201="HGC"),"CONT",IF(($BI201-HeadClr-Undercut)&lt;=60,2,IF(($BI201-HeadClr-Undercut)&lt;=90,3,IF(($BI201-HeadClr-Undercut)&lt;=120,4,5))))))</f>
        <v/>
      </c>
      <c r="BT201" s="84">
        <f>IF($CS201,"",IF($CT201,"CUSTOM (typed)",IF($CV201,$AT201&amp;" "&amp;$CU201&amp;CHAR(34)&amp;IF($CU201&lt;&gt;$BI201,IF(AND($BI201&lt;$CU201,$BI201-IF(N(VLOOKUP($AT201&amp;"|"&amp;$CU201,LocTable,7,FALSE))&gt;0,VLOOKUP($AT201&amp;"|"&amp;$CU201,LocTable,7,FALSE),VLOOKUP($AT201&amp;"|"&amp;$CU201,LocTable,6,FALSE))-$CR201-0.75&gt;=2.125)," cut down"," adj."),""),"ANSI/SDI A250.6")))</f>
        <v/>
      </c>
      <c r="BU201" s="88">
        <f>IF($CS201,"",IF($CT201,IF(N($AW201)&gt;0,N($AW201),""),IF(1&gt;$CQ201,"",IF($CQ201=1,$CW201,$CW201+($CX201-$CW201)*0/($CQ201-1)))))</f>
        <v/>
      </c>
      <c r="BV201" s="88">
        <f>IF($CS201,"",IF($CT201,IF(N($AX201)&gt;0,N($AX201),""),IF(2&gt;$CQ201,"",IF($CQ201=1,$CW201,$CW201+($CX201-$CW201)*1/($CQ201-1)))))</f>
        <v/>
      </c>
      <c r="BW201" s="88">
        <f>IF($CS201,"",IF($CT201,IF(N($AY201)&gt;0,N($AY201),""),IF(3&gt;$CQ201,"",IF($CQ201=1,$CW201,$CW201+($CX201-$CW201)*2/($CQ201-1)))))</f>
        <v/>
      </c>
      <c r="BX201" s="88">
        <f>IF($CS201,"",IF($CT201,IF(N($AZ201)&gt;0,N($AZ201),""),IF(4&gt;$CQ201,"",IF($CQ201=1,$CW201,$CW201+($CX201-$CW201)*3/($CQ201-1)))))</f>
        <v/>
      </c>
      <c r="BY201" s="88">
        <f>IF($CS201,"",IF($CT201,"",IF(5&gt;$CQ201,"",IF($CQ201=1,$CW201,$CW201+($CX201-$CW201)*4/($CQ201-1)))))</f>
        <v/>
      </c>
      <c r="BZ201" s="88">
        <f>IF(OR($CS201,$AP201="-",AND($AP201="",$AD201="")),"",IF(N($BA201)&gt;0,N($BA201),IF($CV201,IF(AND($BI201&lt;$CU201,$BI201-IF(N(VLOOKUP($AT201&amp;"|"&amp;$CU201,LocTable,7,FALSE))&gt;0,VLOOKUP($AT201&amp;"|"&amp;$CU201,LocTable,7,FALSE),VLOOKUP($AT201&amp;"|"&amp;$CU201,LocTable,6,FALSE))-$CR201-0.75&gt;=2.125),VLOOKUP($AT201&amp;"|"&amp;$CU201,LocTable,8,FALSE),VLOOKUP($AT201&amp;"|"&amp;$CU201,LocTable,8,FALSE)+($BI201-$CU201)),$BI201-LockAFF)))</f>
        <v/>
      </c>
      <c r="CA201" s="89">
        <f>IF($BZ201="","",$BI201-$BZ201)</f>
        <v/>
      </c>
      <c r="CB201" s="84">
        <f>IF(OR(NOT(AND($A201&lt;&gt;"",$C201&lt;&gt;"DOOR ONLY")),$BI201=""),"",IF(($BI201+IF(N($P201)&gt;0,$P201+FaceW,0))&lt;=90,3,IF(($BI201+IF(N($P201)&gt;0,$P201+FaceW,0))&lt;=114,4,5)))</f>
        <v/>
      </c>
      <c r="CC201" s="84">
        <f>IF($CB201="","",$CB201*(2+IF(N($Q201)&gt;0,IF($R201="LR",2,1),0)))</f>
        <v/>
      </c>
      <c r="CD201" s="84">
        <f>IF($CB201="","",(2+IF(N($Q201)&gt;0,IF($R201="LR",2,1),0)))</f>
        <v/>
      </c>
      <c r="CE201" s="84">
        <f>IF(N($BJ201)=0,"",IF(OR($AL201="",$AL201="FLUSH"),"FLUSH",IFERROR(LEFT($AL201,FIND("-",$AL201)-1),LEFT($AL201,2))))</f>
        <v/>
      </c>
      <c r="CF201" s="84">
        <f>IF($CE201="","",IFERROR(VALUE(MID($AL201,FIND("-",$AL201)+1,FIND(CHAR(34)&amp;"x",$AL201)-FIND("-",$AL201)-1)),0))</f>
        <v/>
      </c>
      <c r="CG201" s="84">
        <f>IF($CE201="","",IFERROR(VALUE(MID($AL201,FIND(CHAR(34)&amp;"x",$AL201)+2,FIND(CHAR(34),$AL201,FIND(CHAR(34)&amp;"x",$AL201)+2)-FIND(CHAR(34)&amp;"x",$AL201)-2)),0))</f>
        <v/>
      </c>
      <c r="CH201" s="90">
        <f>IF(OR($A201="",$H201="",$H201="NO LAB"),0,IFERROR(VALUE(LEFT($H201,FIND(" ",$H201)-1)),0))</f>
        <v/>
      </c>
      <c r="CI201" s="91">
        <f>IF(OR($A201="",$I201="",$I201="NON-RATED",N($J201)=0),"",IFERROR(VLOOKUP($I201&amp;"|"&amp;$J201,IBC,2,FALSE),"?"))</f>
        <v/>
      </c>
      <c r="CJ201" s="85">
        <f>IF(NOT(AND($A201&lt;&gt;"",$C201&lt;&gt;"DOOR ONLY")),"",TRIM(IFERROR(VLOOKUP($U201,CODES,2,FALSE),"")&amp;" "&amp;$BG201&amp;" "&amp;IFERROR(VLOOKUP($Z201,CODES,2,FALSE),"")&amp;" "&amp;IFERROR(VLOOKUP($X201,CODES,2,FALSE),"")&amp;" "&amp;IFERROR(VLOOKUP($S201,CODES,2,FALSE),"")&amp;IF(N($P201)&gt;0," w/TRANSOM "&amp;$P201&amp;CHAR(34),"")&amp;IF(N($Q201)&gt;0," w/SIDELITE "&amp;$Q201&amp;CHAR(34)&amp;" "&amp;IF($R201="","R",$R201),"")&amp;IF($Y201="","  |  "," | "&amp;IFERROR(VLOOKUP($Y201,CODES,2,FALSE),"")&amp;" | ")&amp;IFERROR(VLOOKUP($AC201,CODES,2,FALSE),"")&amp;" "&amp;IFERROR(VLOOKUP($AD201,CODES,2,FALSE),"")&amp;IF(OR($AE201="",$AE201="-"),""," "&amp;$AE201)&amp;IF(OR($AF201="",$AF201="-"),""," "&amp;$AF201)&amp;IF($AB201="Y"," 4"&amp;CHAR(34)&amp;" HEAD","")&amp;" "&amp;IFERROR(VLOOKUP($H201,CODES,2,FALSE),"")&amp;IF($CT201," | LOC "&amp;$CY201,"")))</f>
        <v/>
      </c>
      <c r="CK201" s="85">
        <f>IF(NOT(AND($A201&lt;&gt;"",N($BJ201)&gt;0)),"",TRIM(IFERROR(VLOOKUP($AH201,CODES,2,FALSE),"")&amp;IF($AI201=""," "," "&amp;$AI201&amp;"GA ")&amp;$BG201&amp;" "&amp;IF($AN201="",IFERROR(VLOOKUP($Z201,CODES,2,FALSE),""),IFERROR(VLOOKUP($AN201,CODES,2,FALSE),""))&amp;IF($BJ201=2," PAIR","")&amp;" DOOR | "&amp;IF($AL201="","?",$AL201)&amp;" | "&amp;IF($AO201="",IFERROR(VLOOKUP($AC201,CODES,2,FALSE),""),IFERROR(VLOOKUP($AO201,CODES,2,FALSE),""))&amp;" "&amp;IFERROR(VLOOKUP($AP201,CODES,2,FALSE),"")&amp;IF(OR($AQ201="",$AQ201="-"),""," SEAM "&amp;$AQ201)&amp;IF($AR201="Y"," ASTRAGAL","")&amp;IF($AJ201=""," "," "&amp;$AJ201)&amp;IF($AK201=""," "," "&amp;$AK201)&amp;IF(OR($AT201="",$AT201="ANSI/SDI",$AT201="CUSTOM LOC"),""," "&amp;$AT201)&amp;IF($AM201=""," "," SERIES "&amp;$AM201)&amp;" "&amp;IFERROR(VLOOKUP($H201,CODES,2,FALSE),"")&amp;IF($CT201," | LOC "&amp;$CZ201,"")))</f>
        <v/>
      </c>
      <c r="CL201" s="84">
        <f>IF(CP201="","",IF(COUNTIF($CP$6:CP201,CP201)=1,MAX($CL$5:CL200)+1,INDEX($CL$5:CL200,MATCH(CP201,$CP$5:CP200,0))))</f>
        <v/>
      </c>
      <c r="CM201" s="84">
        <f>IF(NOT(AND($A201&lt;&gt;"",$C201&lt;&gt;"DOOR ONLY")),"",MAX($CM$5:CM200)+1)</f>
        <v/>
      </c>
      <c r="CN201" s="84">
        <f>IF(NOT(AND($A201&lt;&gt;"",N($BJ201)&gt;0)),"",MAX($CN$5:CN200)+1)</f>
        <v/>
      </c>
      <c r="CO201" s="84">
        <f>IF($A201="","",MAX($CO$5:CO200)+1)</f>
        <v/>
      </c>
      <c r="CP201" s="84">
        <f>IF(OR($A201="",$BH201="",$BI201=""),"",$BG201&amp;"|"&amp;$O201&amp;"|"&amp;$AL201&amp;"|"&amp;$S201&amp;"|"&amp;$P201&amp;"|"&amp;$Q201&amp;$R201&amp;"|"&amp;$C201&amp;"|"&amp;$AB201)</f>
        <v/>
      </c>
      <c r="CQ201" s="84">
        <f>N($BS201)</f>
        <v/>
      </c>
      <c r="CR201" s="84">
        <f>IF(N($AU201)&gt;0,N($AU201),4.5)</f>
        <v/>
      </c>
      <c r="CS201" s="84">
        <f>OR($A201="",$BI201="",$S201="BL",AND($C201="FRAME ONLY",OR($AC201="",$AC201="BLK")))</f>
        <v/>
      </c>
      <c r="CT201" s="84">
        <f>AND(NOT($CS201),OR($AT201="CUSTOM LOC",N($AW201)+N($AX201)+N($AY201)+N($AZ201)+N($BA201)&gt;0))</f>
        <v/>
      </c>
      <c r="CU201" s="84">
        <f>IF($BI201="","",IF($BI201&lt;=80,80,IF($BI201&lt;=84,84,96)))</f>
        <v/>
      </c>
      <c r="CV201" s="84">
        <f>ISNUMBER(MATCH($AT201&amp;"|80",LocKeys,0))</f>
        <v/>
      </c>
      <c r="CW201" s="86">
        <f>IF($CS201,"",IF($CV201,VLOOKUP($AT201&amp;"|"&amp;$CU201,LocTable,4,FALSE),5))</f>
        <v/>
      </c>
      <c r="CX201" s="86">
        <f>IF($CS201,"",IF($CV201,IF(OR($BI201=$CU201,AND($BI201&lt;$CU201,$BI201-IF(N(VLOOKUP($AT201&amp;"|"&amp;$CU201,LocTable,7,FALSE))&gt;0,VLOOKUP($AT201&amp;"|"&amp;$CU201,LocTable,7,FALSE),VLOOKUP($AT201&amp;"|"&amp;$CU201,LocTable,6,FALSE))-$CR201-0.75&gt;=2.125)),IF(N(VLOOKUP($AT201&amp;"|"&amp;$CU201,LocTable,7,FALSE))&gt;0,VLOOKUP($AT201&amp;"|"&amp;$CU201,LocTable,7,FALSE),VLOOKUP($AT201&amp;"|"&amp;$CU201,LocTable,6,FALSE)),$BI201-($CU201-IF(N(VLOOKUP($AT201&amp;"|"&amp;$CU201,LocTable,7,FALSE))&gt;0,VLOOKUP($AT201&amp;"|"&amp;$CU201,LocTable,7,FALSE),VLOOKUP($AT201&amp;"|"&amp;$CU201,LocTable,6,FALSE)))),$BI201-10-$CR201))</f>
        <v/>
      </c>
      <c r="CY201" s="85">
        <f>IF($CS201,"",TRIM(IF(ISNUMBER($BU201),"A "&amp;TRIM(TEXT($BU201,"# ?/??"))&amp;CHAR(34)&amp;"  ","")&amp;IF(ISNUMBER($BV201),"B "&amp;TRIM(TEXT($BV201,"# ?/??"))&amp;CHAR(34)&amp;"  ","")&amp;IF(ISNUMBER($BW201),"C "&amp;TRIM(TEXT($BW201,"# ?/??"))&amp;CHAR(34)&amp;"  ","")&amp;IF(ISNUMBER($BX201),"D "&amp;TRIM(TEXT($BX201,"# ?/??"))&amp;CHAR(34)&amp;"  ","")&amp;IF(ISNUMBER($BY201),"F "&amp;TRIM(TEXT($BY201,"# ?/??"))&amp;CHAR(34)&amp;"  ","")&amp;IF(ISNUMBER($BZ201),"E "&amp;TRIM(TEXT($BZ201,"# ?/??"))&amp;CHAR(34)&amp;"  ","")))</f>
        <v/>
      </c>
      <c r="CZ201" s="85">
        <f>IF(OR($CS201,N($BJ201)=0),"",TRIM(IF(ISNUMBER($BU201),"A "&amp;TRIM(TEXT($BU201-HeadClr,"# ?/??"))&amp;CHAR(34)&amp;"  ","")&amp;IF(ISNUMBER($BV201),"B "&amp;TRIM(TEXT($BV201-HeadClr,"# ?/??"))&amp;CHAR(34)&amp;"  ","")&amp;IF(ISNUMBER($BW201),"C "&amp;TRIM(TEXT($BW201-HeadClr,"# ?/??"))&amp;CHAR(34)&amp;"  ","")&amp;IF(ISNUMBER($BX201),"D "&amp;TRIM(TEXT($BX201-HeadClr,"# ?/??"))&amp;CHAR(34)&amp;"  ","")&amp;IF(ISNUMBER($BY201),"F "&amp;TRIM(TEXT($BY201-HeadClr,"# ?/??"))&amp;CHAR(34)&amp;"  ","")&amp;IF(ISNUMBER($BZ201),"E "&amp;TRIM(TEXT($BZ201-HeadClr,"# ?/??"))&amp;CHAR(34)&amp;"  ","")))</f>
        <v/>
      </c>
      <c r="DA201" s="84">
        <f>IF($A201="","",IF($AN201="",IFERROR(VLOOKUP($Z201,CODES,2,FALSE),""),IFERROR(VLOOKUP($AN201,CODES,2,FALSE),"")))</f>
        <v/>
      </c>
      <c r="DB201" s="84">
        <f>IF($A201="","",IF($O201="Y","PR",IF(OR($Z201="L",$Z201="RR",LEFT($Z201,2)="L-",LEFT($Z201,3)="RR-"),"LH","RH")))</f>
        <v/>
      </c>
      <c r="DC201" s="84">
        <f>IF($A201="","","S.HM"&amp;IF(OR($C201="DOOR ONLY",$X201&lt;&gt;"KD"),"MASONRY","DRYWALL")&amp;IF($C201="DOOR ONLY","",$U201)&amp;IF(AND($C201&lt;&gt;"FRAME ONLY",OR(LEFT($AH201,3)="OAK",LEFT($AH201,3)="BIR",LEFT($AH201,3)="MAP",$AH201="PC",$AH201="MC",$AH201="SCLC",$AH201="P-LAM")),"WD","HM")&amp;"1.75")</f>
        <v/>
      </c>
      <c r="DD201" s="84">
        <f>IF($CJ201="","",IF($O201="Y",$CJ201,SUBSTITUTE($CJ201,$BG201&amp;" "&amp;IFERROR(VLOOKUP($Z201,CODES,2,FALSE),"")&amp;" ",$BG201&amp;" ")))</f>
        <v/>
      </c>
      <c r="DE201" s="84">
        <f>IF($CK201="","",IF($O201="Y",$CK201,SUBSTITUTE($CK201,$BG201&amp;" "&amp;IF($AN201="",IFERROR(VLOOKUP($Z201,CODES,2,FALSE),""),IFERROR(VLOOKUP($AN201,CODES,2,FALSE),""))&amp;" ",$BG201&amp;" ")))</f>
        <v/>
      </c>
      <c r="DF201" s="84">
        <f>IF($CJ201="","",$DC201&amp;"|"&amp;$DD201&amp;"|"&amp;$DB201&amp;"|"&amp;$AT201&amp;"|"&amp;$V201&amp;"|"&amp;$Y201&amp;"|"&amp;$AB201)</f>
        <v/>
      </c>
      <c r="DG201" s="84">
        <f>IF(DF201="","",IF(COUNTIF($DF$6:DF201,DF201)=1,MAX($DG$5:DG200)+1,INDEX($DG$5:DG200,MATCH(DF201,$DF$5:DF200,0))))</f>
        <v/>
      </c>
      <c r="DH201" s="84">
        <f>IF($CK201="","",$DC201&amp;"|"&amp;$DE201&amp;"|"&amp;$AI201&amp;"|"&amp;$BK201&amp;"|"&amp;$BL201)</f>
        <v/>
      </c>
      <c r="DI201" s="84">
        <f>IF(DH201="","",IF(COUNTIF($DH$6:DH201,DH201)=1,MAX($DI$5:DI200)+1,INDEX($DI$5:DI200,MATCH(DH201,$DH$5:DH200,0))))</f>
        <v/>
      </c>
      <c r="DJ201" s="84">
        <f>IF($A201="","",IF($B201="","qty, ","")&amp;IF($C201="","scope, ","")&amp;IF(OR($K201="",$M201=""),"size, ","")&amp;IF(AND($A201&lt;&gt;"",$C201&lt;&gt;"DOOR ONLY"),IF($U201="","jamb depth, ","")&amp;IF($X201="","construction, ","")&amp;IF($Y201="","anchor, ","")&amp;IF($S201="","frame type, ",""),"")&amp;IF(AND(N($BJ201)&gt;0,$Z201=""),"hand, ","")&amp;IF(N($BJ201)&gt;0,IF($AH201="","door material, ","")&amp;IF($AL201="","face type, ","")&amp;IF($AP201="","lock prep, ","")&amp;IF(AND($AO201="",$AC201=""),"hinge prep, ",""),"")&amp;IF(AND($CH201&gt;0,$AH201="FRP"),"FRP cannot carry a label, ","")&amp;IF(AND($O201="Y",OR($Z201="L",$Z201="R",$Z201="LR",$Z201="RR")),"pair marked but hand is single, ","")&amp;IF(AND($O201&lt;&gt;"Y",OR($Z201="PR",AND(LEN($Z201)&gt;1,ISNUMBER(SEARCH("-",$Z201))))),"pair hand on a single door, ","")&amp;IF(AND(ISNUMBER($CI201),$CH201&lt;N($CI201)),"wall needs a "&amp;$CI201&amp;" min door, ","")&amp;IF(AND($CH201&gt;=180,AND(OR($CE201="FG",$CE201="HG",$CE201="FNV",$CE201="FV"),N($CF201)*N($CG201)&gt;100)),"180 min lite over 100 sq in, ","")&amp;IF(N($BK201)&gt;48,"leaf wider than 4'-0"&amp;CHAR(34)&amp;", ","")&amp;IF(AND($CT201,COUNT($AW201:$AZ201)=0,$CQ201&gt;0),"CUSTOM LOC with no locations typed, ",""))</f>
        <v/>
      </c>
      <c r="DK201" s="84">
        <f>IF($A201="","",IF(AND($CH201&gt;0,AND($A201&lt;&gt;"",$C201&lt;&gt;"DOOR ONLY"),$X201="KD",$E201="EXTERIOR"),"KD label on an exterior opening, ","")&amp;IF(AND($E201="EXTERIOR",OR(AND(AND($A201&lt;&gt;"",$C201&lt;&gt;"DOOR ONLY"),$W201="CR"),AND(N($BJ201)&gt;0,$AH201="CR"))),"exterior in CR steel (G9?), ","")&amp;IF(AND(ISNUMBER($BQ201),N($BQ201)&lt;32),"clear width ~"&amp;TEXT($BQ201,"0.0")&amp;CHAR(34)&amp;" under 32"&amp;CHAR(34)&amp;" (ADA), ","")&amp;IF(AND($CH201=90,AND(OR($CE201="FG",$CE201="HG",$CE201="FNV",$CE201="FV"),N($CF201)*N($CG201)&gt;100)),"90 min lite over 100 sq in (stair/exit), ","")&amp;IF(AND($CH201&gt;0,AND($A201&lt;&gt;"",$C201&lt;&gt;"DOOR ONLY"),OR($AF201="",$AF201="-")),"rated: closer reinf.?, ","")&amp;IF(OR($I201="CORRIDOR",$I201="SMOKE BARRIER"),"S label + smoke gasketing, ","")&amp;IF($CI201="?","wall type/hr not in IBC table, ","")&amp;IF(AND(N($BJ201)&gt;0,$BB201=""),"no hardware set, ","")&amp;IF(AND($BB201&lt;&gt;"",ISNA(MATCH($BB201&amp;"",HWSets,0))),"set "&amp;$BB201&amp;" not on HW Sets, ","")&amp;IF(N($BL201)&gt;96,"leaf over 8'-0"&amp;CHAR(34)&amp;" - check listing, ","")&amp;IF(AND($CT201,COUNT($AW201:$AZ201)&gt;0,COUNT($AW201:$AZ201)&lt;&gt;$CQ201),COUNT($AW201:$AZ201)&amp;" custom hinges typed, "&amp;$CQ201&amp;" expected, ","")&amp;IF(AND(ISNUMBER($CA201),OR(N($CA201)&lt;34,N($CA201)&gt;48)),"lock "&amp;TEXT($CA201,"0.0")&amp;CHAR(34)&amp;" AFF outside 34-48"&amp;CHAR(34)&amp;" (ADA), ","")&amp;IF(AND(ISNUMBER($AV201),ISNUMBER($BL201),N($AV201)&lt;IF(N($BL201)&lt;=60,2,IF(N($BL201)&lt;=90,3,IF(N($BL201)&lt;=120,4,5)))),"fewer hinges than standard, ",""))</f>
        <v/>
      </c>
    </row>
    <row r="202" ht="15" customHeight="1">
      <c r="A202" s="77" t="n"/>
      <c r="B202" s="78" t="n"/>
      <c r="C202" s="78" t="n"/>
      <c r="D202" s="78" t="n"/>
      <c r="E202" s="78" t="n"/>
      <c r="F202" s="78" t="n"/>
      <c r="G202" s="78" t="n"/>
      <c r="H202" s="78" t="n"/>
      <c r="I202" s="78" t="n"/>
      <c r="J202" s="78" t="n"/>
      <c r="K202" s="78" t="n"/>
      <c r="L202" s="78" t="n"/>
      <c r="M202" s="78" t="n"/>
      <c r="N202" s="78" t="n"/>
      <c r="O202" s="78" t="n"/>
      <c r="P202" s="78" t="n"/>
      <c r="Q202" s="78" t="n"/>
      <c r="R202" s="78" t="n"/>
      <c r="S202" s="79" t="n"/>
      <c r="T202" s="79" t="n"/>
      <c r="U202" s="79" t="n"/>
      <c r="V202" s="79" t="n"/>
      <c r="W202" s="79" t="n"/>
      <c r="X202" s="79" t="n"/>
      <c r="Y202" s="79" t="n"/>
      <c r="Z202" s="79" t="n"/>
      <c r="AA202" s="79" t="n"/>
      <c r="AB202" s="79" t="n"/>
      <c r="AC202" s="79" t="n"/>
      <c r="AD202" s="79" t="n"/>
      <c r="AE202" s="79" t="n"/>
      <c r="AF202" s="79" t="n"/>
      <c r="AG202" s="79" t="n"/>
      <c r="AH202" s="80" t="n"/>
      <c r="AI202" s="80" t="n"/>
      <c r="AJ202" s="80" t="n"/>
      <c r="AK202" s="80" t="n"/>
      <c r="AL202" s="80" t="n"/>
      <c r="AM202" s="80" t="n"/>
      <c r="AN202" s="80" t="n"/>
      <c r="AO202" s="80" t="n"/>
      <c r="AP202" s="80" t="n"/>
      <c r="AQ202" s="80" t="n"/>
      <c r="AR202" s="80" t="n"/>
      <c r="AS202" s="80" t="n"/>
      <c r="AT202" s="81" t="n"/>
      <c r="AU202" s="81" t="n"/>
      <c r="AV202" s="81" t="n"/>
      <c r="AW202" s="82" t="n"/>
      <c r="AX202" s="82" t="n"/>
      <c r="AY202" s="82" t="n"/>
      <c r="AZ202" s="82" t="n"/>
      <c r="BA202" s="82" t="n"/>
      <c r="BB202" s="83" t="n"/>
      <c r="BC202" s="83" t="n"/>
      <c r="BD202" s="84">
        <f>IF($A202="","",IF($DJ202&lt;&gt;"","FIX",IF($DK202&lt;&gt;"","CHECK","OK")))</f>
        <v/>
      </c>
      <c r="BE202" s="85">
        <f>IF($A202="","",IF($DJ202&lt;&gt;"","FIX: "&amp;LEFT($DJ202,LEN($DJ202)-2)&amp;IF($DK202&lt;&gt;"","  ·  ",""),"")&amp;IF($DK202&lt;&gt;"","CHECK: "&amp;LEFT($DK202,LEN($DK202)-2),""))</f>
        <v/>
      </c>
      <c r="BF202" s="84">
        <f>IF(OR($A202="",$K202=""),"",$K202&amp;"'-"&amp;N($L202)&amp;CHAR(34)&amp;" x "&amp;$M202&amp;"'-"&amp;N($N202)&amp;CHAR(34))</f>
        <v/>
      </c>
      <c r="BG202" s="84">
        <f>IF(OR($A202="",$K202=""),"",$K202&amp;N($L202)&amp;$M202&amp;N($N202))</f>
        <v/>
      </c>
      <c r="BH202" s="84">
        <f>IF(OR($A202="",$K202=""),"",$K202*12+N($L202))</f>
        <v/>
      </c>
      <c r="BI202" s="84">
        <f>IF(OR($A202="",$M202=""),"",$M202*12+N($N202))</f>
        <v/>
      </c>
      <c r="BJ202" s="84">
        <f>IF($A202="","",IF(OR($C202="FRAME ONLY",$S202="BL"),0,IF($O202="Y",2,1)))</f>
        <v/>
      </c>
      <c r="BK202" s="86">
        <f>IF(OR(N($BJ202)=0,$BH202=""),"",($BH202-2*EdgeClr-IF($BJ202=2,MeetClr,0))/$BJ202)</f>
        <v/>
      </c>
      <c r="BL202" s="86">
        <f>IF(OR(N($BJ202)=0,$BI202=""),"",$BI202-HeadClr-Undercut)</f>
        <v/>
      </c>
      <c r="BM202" s="86">
        <f>IF($BH202="","",$BH202+2*FaceW+IF(N($Q202)&gt;0,($Q202+FaceW)*IF($R202="LR",2,1),0))</f>
        <v/>
      </c>
      <c r="BN202" s="86">
        <f>IF($BI202="","",$BI202+IF($AB202="Y",4,FaceW)+IF(N($P202)&gt;0,$P202+FaceW,0)+IF(OR($S202="4F",$S202="BL"),FaceW,0))</f>
        <v/>
      </c>
      <c r="BO202" s="86">
        <f>IF($BM202="","",$BM202+2*ROSide)</f>
        <v/>
      </c>
      <c r="BP202" s="86">
        <f>IF($BN202="","",$BN202+ROTop)</f>
        <v/>
      </c>
      <c r="BQ202" s="87">
        <f>IF(OR(N($BJ202)=0,$BH202=""),"",$BH202/$BJ202-ClearDeduct)</f>
        <v/>
      </c>
      <c r="BR202" s="84">
        <f>IF(N($CH202)=0,"",IF($CH202&gt;=180,"A · 3 HR",IF($CH202&gt;=90,"B · 1-1/2 HR",IF($CH202&gt;=60,"B · 1 HR",IF($CH202&gt;=45,"C · 3/4 HR","20 MIN")))))&amp;IF(AND(N($CH202)&gt;0,OR($I202="CORRIDOR",$I202="SMOKE BARRIER"))," · S","")</f>
        <v/>
      </c>
      <c r="BS202" s="84">
        <f>IF($CS202,"",IF($AV202&lt;&gt;"",$AV202,IF(OR($AC202="HGC",$AO202="HGC"),"CONT",IF(($BI202-HeadClr-Undercut)&lt;=60,2,IF(($BI202-HeadClr-Undercut)&lt;=90,3,IF(($BI202-HeadClr-Undercut)&lt;=120,4,5))))))</f>
        <v/>
      </c>
      <c r="BT202" s="84">
        <f>IF($CS202,"",IF($CT202,"CUSTOM (typed)",IF($CV202,$AT202&amp;" "&amp;$CU202&amp;CHAR(34)&amp;IF($CU202&lt;&gt;$BI202,IF(AND($BI202&lt;$CU202,$BI202-IF(N(VLOOKUP($AT202&amp;"|"&amp;$CU202,LocTable,7,FALSE))&gt;0,VLOOKUP($AT202&amp;"|"&amp;$CU202,LocTable,7,FALSE),VLOOKUP($AT202&amp;"|"&amp;$CU202,LocTable,6,FALSE))-$CR202-0.75&gt;=2.125)," cut down"," adj."),""),"ANSI/SDI A250.6")))</f>
        <v/>
      </c>
      <c r="BU202" s="88">
        <f>IF($CS202,"",IF($CT202,IF(N($AW202)&gt;0,N($AW202),""),IF(1&gt;$CQ202,"",IF($CQ202=1,$CW202,$CW202+($CX202-$CW202)*0/($CQ202-1)))))</f>
        <v/>
      </c>
      <c r="BV202" s="88">
        <f>IF($CS202,"",IF($CT202,IF(N($AX202)&gt;0,N($AX202),""),IF(2&gt;$CQ202,"",IF($CQ202=1,$CW202,$CW202+($CX202-$CW202)*1/($CQ202-1)))))</f>
        <v/>
      </c>
      <c r="BW202" s="88">
        <f>IF($CS202,"",IF($CT202,IF(N($AY202)&gt;0,N($AY202),""),IF(3&gt;$CQ202,"",IF($CQ202=1,$CW202,$CW202+($CX202-$CW202)*2/($CQ202-1)))))</f>
        <v/>
      </c>
      <c r="BX202" s="88">
        <f>IF($CS202,"",IF($CT202,IF(N($AZ202)&gt;0,N($AZ202),""),IF(4&gt;$CQ202,"",IF($CQ202=1,$CW202,$CW202+($CX202-$CW202)*3/($CQ202-1)))))</f>
        <v/>
      </c>
      <c r="BY202" s="88">
        <f>IF($CS202,"",IF($CT202,"",IF(5&gt;$CQ202,"",IF($CQ202=1,$CW202,$CW202+($CX202-$CW202)*4/($CQ202-1)))))</f>
        <v/>
      </c>
      <c r="BZ202" s="88">
        <f>IF(OR($CS202,$AP202="-",AND($AP202="",$AD202="")),"",IF(N($BA202)&gt;0,N($BA202),IF($CV202,IF(AND($BI202&lt;$CU202,$BI202-IF(N(VLOOKUP($AT202&amp;"|"&amp;$CU202,LocTable,7,FALSE))&gt;0,VLOOKUP($AT202&amp;"|"&amp;$CU202,LocTable,7,FALSE),VLOOKUP($AT202&amp;"|"&amp;$CU202,LocTable,6,FALSE))-$CR202-0.75&gt;=2.125),VLOOKUP($AT202&amp;"|"&amp;$CU202,LocTable,8,FALSE),VLOOKUP($AT202&amp;"|"&amp;$CU202,LocTable,8,FALSE)+($BI202-$CU202)),$BI202-LockAFF)))</f>
        <v/>
      </c>
      <c r="CA202" s="89">
        <f>IF($BZ202="","",$BI202-$BZ202)</f>
        <v/>
      </c>
      <c r="CB202" s="84">
        <f>IF(OR(NOT(AND($A202&lt;&gt;"",$C202&lt;&gt;"DOOR ONLY")),$BI202=""),"",IF(($BI202+IF(N($P202)&gt;0,$P202+FaceW,0))&lt;=90,3,IF(($BI202+IF(N($P202)&gt;0,$P202+FaceW,0))&lt;=114,4,5)))</f>
        <v/>
      </c>
      <c r="CC202" s="84">
        <f>IF($CB202="","",$CB202*(2+IF(N($Q202)&gt;0,IF($R202="LR",2,1),0)))</f>
        <v/>
      </c>
      <c r="CD202" s="84">
        <f>IF($CB202="","",(2+IF(N($Q202)&gt;0,IF($R202="LR",2,1),0)))</f>
        <v/>
      </c>
      <c r="CE202" s="84">
        <f>IF(N($BJ202)=0,"",IF(OR($AL202="",$AL202="FLUSH"),"FLUSH",IFERROR(LEFT($AL202,FIND("-",$AL202)-1),LEFT($AL202,2))))</f>
        <v/>
      </c>
      <c r="CF202" s="84">
        <f>IF($CE202="","",IFERROR(VALUE(MID($AL202,FIND("-",$AL202)+1,FIND(CHAR(34)&amp;"x",$AL202)-FIND("-",$AL202)-1)),0))</f>
        <v/>
      </c>
      <c r="CG202" s="84">
        <f>IF($CE202="","",IFERROR(VALUE(MID($AL202,FIND(CHAR(34)&amp;"x",$AL202)+2,FIND(CHAR(34),$AL202,FIND(CHAR(34)&amp;"x",$AL202)+2)-FIND(CHAR(34)&amp;"x",$AL202)-2)),0))</f>
        <v/>
      </c>
      <c r="CH202" s="90">
        <f>IF(OR($A202="",$H202="",$H202="NO LAB"),0,IFERROR(VALUE(LEFT($H202,FIND(" ",$H202)-1)),0))</f>
        <v/>
      </c>
      <c r="CI202" s="91">
        <f>IF(OR($A202="",$I202="",$I202="NON-RATED",N($J202)=0),"",IFERROR(VLOOKUP($I202&amp;"|"&amp;$J202,IBC,2,FALSE),"?"))</f>
        <v/>
      </c>
      <c r="CJ202" s="85">
        <f>IF(NOT(AND($A202&lt;&gt;"",$C202&lt;&gt;"DOOR ONLY")),"",TRIM(IFERROR(VLOOKUP($U202,CODES,2,FALSE),"")&amp;" "&amp;$BG202&amp;" "&amp;IFERROR(VLOOKUP($Z202,CODES,2,FALSE),"")&amp;" "&amp;IFERROR(VLOOKUP($X202,CODES,2,FALSE),"")&amp;" "&amp;IFERROR(VLOOKUP($S202,CODES,2,FALSE),"")&amp;IF(N($P202)&gt;0," w/TRANSOM "&amp;$P202&amp;CHAR(34),"")&amp;IF(N($Q202)&gt;0," w/SIDELITE "&amp;$Q202&amp;CHAR(34)&amp;" "&amp;IF($R202="","R",$R202),"")&amp;IF($Y202="","  |  "," | "&amp;IFERROR(VLOOKUP($Y202,CODES,2,FALSE),"")&amp;" | ")&amp;IFERROR(VLOOKUP($AC202,CODES,2,FALSE),"")&amp;" "&amp;IFERROR(VLOOKUP($AD202,CODES,2,FALSE),"")&amp;IF(OR($AE202="",$AE202="-"),""," "&amp;$AE202)&amp;IF(OR($AF202="",$AF202="-"),""," "&amp;$AF202)&amp;IF($AB202="Y"," 4"&amp;CHAR(34)&amp;" HEAD","")&amp;" "&amp;IFERROR(VLOOKUP($H202,CODES,2,FALSE),"")&amp;IF($CT202," | LOC "&amp;$CY202,"")))</f>
        <v/>
      </c>
      <c r="CK202" s="85">
        <f>IF(NOT(AND($A202&lt;&gt;"",N($BJ202)&gt;0)),"",TRIM(IFERROR(VLOOKUP($AH202,CODES,2,FALSE),"")&amp;IF($AI202=""," "," "&amp;$AI202&amp;"GA ")&amp;$BG202&amp;" "&amp;IF($AN202="",IFERROR(VLOOKUP($Z202,CODES,2,FALSE),""),IFERROR(VLOOKUP($AN202,CODES,2,FALSE),""))&amp;IF($BJ202=2," PAIR","")&amp;" DOOR | "&amp;IF($AL202="","?",$AL202)&amp;" | "&amp;IF($AO202="",IFERROR(VLOOKUP($AC202,CODES,2,FALSE),""),IFERROR(VLOOKUP($AO202,CODES,2,FALSE),""))&amp;" "&amp;IFERROR(VLOOKUP($AP202,CODES,2,FALSE),"")&amp;IF(OR($AQ202="",$AQ202="-"),""," SEAM "&amp;$AQ202)&amp;IF($AR202="Y"," ASTRAGAL","")&amp;IF($AJ202=""," "," "&amp;$AJ202)&amp;IF($AK202=""," "," "&amp;$AK202)&amp;IF(OR($AT202="",$AT202="ANSI/SDI",$AT202="CUSTOM LOC"),""," "&amp;$AT202)&amp;IF($AM202=""," "," SERIES "&amp;$AM202)&amp;" "&amp;IFERROR(VLOOKUP($H202,CODES,2,FALSE),"")&amp;IF($CT202," | LOC "&amp;$CZ202,"")))</f>
        <v/>
      </c>
      <c r="CL202" s="84">
        <f>IF(CP202="","",IF(COUNTIF($CP$6:CP202,CP202)=1,MAX($CL$5:CL201)+1,INDEX($CL$5:CL201,MATCH(CP202,$CP$5:CP201,0))))</f>
        <v/>
      </c>
      <c r="CM202" s="84">
        <f>IF(NOT(AND($A202&lt;&gt;"",$C202&lt;&gt;"DOOR ONLY")),"",MAX($CM$5:CM201)+1)</f>
        <v/>
      </c>
      <c r="CN202" s="84">
        <f>IF(NOT(AND($A202&lt;&gt;"",N($BJ202)&gt;0)),"",MAX($CN$5:CN201)+1)</f>
        <v/>
      </c>
      <c r="CO202" s="84">
        <f>IF($A202="","",MAX($CO$5:CO201)+1)</f>
        <v/>
      </c>
      <c r="CP202" s="84">
        <f>IF(OR($A202="",$BH202="",$BI202=""),"",$BG202&amp;"|"&amp;$O202&amp;"|"&amp;$AL202&amp;"|"&amp;$S202&amp;"|"&amp;$P202&amp;"|"&amp;$Q202&amp;$R202&amp;"|"&amp;$C202&amp;"|"&amp;$AB202)</f>
        <v/>
      </c>
      <c r="CQ202" s="84">
        <f>N($BS202)</f>
        <v/>
      </c>
      <c r="CR202" s="84">
        <f>IF(N($AU202)&gt;0,N($AU202),4.5)</f>
        <v/>
      </c>
      <c r="CS202" s="84">
        <f>OR($A202="",$BI202="",$S202="BL",AND($C202="FRAME ONLY",OR($AC202="",$AC202="BLK")))</f>
        <v/>
      </c>
      <c r="CT202" s="84">
        <f>AND(NOT($CS202),OR($AT202="CUSTOM LOC",N($AW202)+N($AX202)+N($AY202)+N($AZ202)+N($BA202)&gt;0))</f>
        <v/>
      </c>
      <c r="CU202" s="84">
        <f>IF($BI202="","",IF($BI202&lt;=80,80,IF($BI202&lt;=84,84,96)))</f>
        <v/>
      </c>
      <c r="CV202" s="84">
        <f>ISNUMBER(MATCH($AT202&amp;"|80",LocKeys,0))</f>
        <v/>
      </c>
      <c r="CW202" s="86">
        <f>IF($CS202,"",IF($CV202,VLOOKUP($AT202&amp;"|"&amp;$CU202,LocTable,4,FALSE),5))</f>
        <v/>
      </c>
      <c r="CX202" s="86">
        <f>IF($CS202,"",IF($CV202,IF(OR($BI202=$CU202,AND($BI202&lt;$CU202,$BI202-IF(N(VLOOKUP($AT202&amp;"|"&amp;$CU202,LocTable,7,FALSE))&gt;0,VLOOKUP($AT202&amp;"|"&amp;$CU202,LocTable,7,FALSE),VLOOKUP($AT202&amp;"|"&amp;$CU202,LocTable,6,FALSE))-$CR202-0.75&gt;=2.125)),IF(N(VLOOKUP($AT202&amp;"|"&amp;$CU202,LocTable,7,FALSE))&gt;0,VLOOKUP($AT202&amp;"|"&amp;$CU202,LocTable,7,FALSE),VLOOKUP($AT202&amp;"|"&amp;$CU202,LocTable,6,FALSE)),$BI202-($CU202-IF(N(VLOOKUP($AT202&amp;"|"&amp;$CU202,LocTable,7,FALSE))&gt;0,VLOOKUP($AT202&amp;"|"&amp;$CU202,LocTable,7,FALSE),VLOOKUP($AT202&amp;"|"&amp;$CU202,LocTable,6,FALSE)))),$BI202-10-$CR202))</f>
        <v/>
      </c>
      <c r="CY202" s="85">
        <f>IF($CS202,"",TRIM(IF(ISNUMBER($BU202),"A "&amp;TRIM(TEXT($BU202,"# ?/??"))&amp;CHAR(34)&amp;"  ","")&amp;IF(ISNUMBER($BV202),"B "&amp;TRIM(TEXT($BV202,"# ?/??"))&amp;CHAR(34)&amp;"  ","")&amp;IF(ISNUMBER($BW202),"C "&amp;TRIM(TEXT($BW202,"# ?/??"))&amp;CHAR(34)&amp;"  ","")&amp;IF(ISNUMBER($BX202),"D "&amp;TRIM(TEXT($BX202,"# ?/??"))&amp;CHAR(34)&amp;"  ","")&amp;IF(ISNUMBER($BY202),"F "&amp;TRIM(TEXT($BY202,"# ?/??"))&amp;CHAR(34)&amp;"  ","")&amp;IF(ISNUMBER($BZ202),"E "&amp;TRIM(TEXT($BZ202,"# ?/??"))&amp;CHAR(34)&amp;"  ","")))</f>
        <v/>
      </c>
      <c r="CZ202" s="85">
        <f>IF(OR($CS202,N($BJ202)=0),"",TRIM(IF(ISNUMBER($BU202),"A "&amp;TRIM(TEXT($BU202-HeadClr,"# ?/??"))&amp;CHAR(34)&amp;"  ","")&amp;IF(ISNUMBER($BV202),"B "&amp;TRIM(TEXT($BV202-HeadClr,"# ?/??"))&amp;CHAR(34)&amp;"  ","")&amp;IF(ISNUMBER($BW202),"C "&amp;TRIM(TEXT($BW202-HeadClr,"# ?/??"))&amp;CHAR(34)&amp;"  ","")&amp;IF(ISNUMBER($BX202),"D "&amp;TRIM(TEXT($BX202-HeadClr,"# ?/??"))&amp;CHAR(34)&amp;"  ","")&amp;IF(ISNUMBER($BY202),"F "&amp;TRIM(TEXT($BY202-HeadClr,"# ?/??"))&amp;CHAR(34)&amp;"  ","")&amp;IF(ISNUMBER($BZ202),"E "&amp;TRIM(TEXT($BZ202-HeadClr,"# ?/??"))&amp;CHAR(34)&amp;"  ","")))</f>
        <v/>
      </c>
      <c r="DA202" s="84">
        <f>IF($A202="","",IF($AN202="",IFERROR(VLOOKUP($Z202,CODES,2,FALSE),""),IFERROR(VLOOKUP($AN202,CODES,2,FALSE),"")))</f>
        <v/>
      </c>
      <c r="DB202" s="84">
        <f>IF($A202="","",IF($O202="Y","PR",IF(OR($Z202="L",$Z202="RR",LEFT($Z202,2)="L-",LEFT($Z202,3)="RR-"),"LH","RH")))</f>
        <v/>
      </c>
      <c r="DC202" s="84">
        <f>IF($A202="","","S.HM"&amp;IF(OR($C202="DOOR ONLY",$X202&lt;&gt;"KD"),"MASONRY","DRYWALL")&amp;IF($C202="DOOR ONLY","",$U202)&amp;IF(AND($C202&lt;&gt;"FRAME ONLY",OR(LEFT($AH202,3)="OAK",LEFT($AH202,3)="BIR",LEFT($AH202,3)="MAP",$AH202="PC",$AH202="MC",$AH202="SCLC",$AH202="P-LAM")),"WD","HM")&amp;"1.75")</f>
        <v/>
      </c>
      <c r="DD202" s="84">
        <f>IF($CJ202="","",IF($O202="Y",$CJ202,SUBSTITUTE($CJ202,$BG202&amp;" "&amp;IFERROR(VLOOKUP($Z202,CODES,2,FALSE),"")&amp;" ",$BG202&amp;" ")))</f>
        <v/>
      </c>
      <c r="DE202" s="84">
        <f>IF($CK202="","",IF($O202="Y",$CK202,SUBSTITUTE($CK202,$BG202&amp;" "&amp;IF($AN202="",IFERROR(VLOOKUP($Z202,CODES,2,FALSE),""),IFERROR(VLOOKUP($AN202,CODES,2,FALSE),""))&amp;" ",$BG202&amp;" ")))</f>
        <v/>
      </c>
      <c r="DF202" s="84">
        <f>IF($CJ202="","",$DC202&amp;"|"&amp;$DD202&amp;"|"&amp;$DB202&amp;"|"&amp;$AT202&amp;"|"&amp;$V202&amp;"|"&amp;$Y202&amp;"|"&amp;$AB202)</f>
        <v/>
      </c>
      <c r="DG202" s="84">
        <f>IF(DF202="","",IF(COUNTIF($DF$6:DF202,DF202)=1,MAX($DG$5:DG201)+1,INDEX($DG$5:DG201,MATCH(DF202,$DF$5:DF201,0))))</f>
        <v/>
      </c>
      <c r="DH202" s="84">
        <f>IF($CK202="","",$DC202&amp;"|"&amp;$DE202&amp;"|"&amp;$AI202&amp;"|"&amp;$BK202&amp;"|"&amp;$BL202)</f>
        <v/>
      </c>
      <c r="DI202" s="84">
        <f>IF(DH202="","",IF(COUNTIF($DH$6:DH202,DH202)=1,MAX($DI$5:DI201)+1,INDEX($DI$5:DI201,MATCH(DH202,$DH$5:DH201,0))))</f>
        <v/>
      </c>
      <c r="DJ202" s="84">
        <f>IF($A202="","",IF($B202="","qty, ","")&amp;IF($C202="","scope, ","")&amp;IF(OR($K202="",$M202=""),"size, ","")&amp;IF(AND($A202&lt;&gt;"",$C202&lt;&gt;"DOOR ONLY"),IF($U202="","jamb depth, ","")&amp;IF($X202="","construction, ","")&amp;IF($Y202="","anchor, ","")&amp;IF($S202="","frame type, ",""),"")&amp;IF(AND(N($BJ202)&gt;0,$Z202=""),"hand, ","")&amp;IF(N($BJ202)&gt;0,IF($AH202="","door material, ","")&amp;IF($AL202="","face type, ","")&amp;IF($AP202="","lock prep, ","")&amp;IF(AND($AO202="",$AC202=""),"hinge prep, ",""),"")&amp;IF(AND($CH202&gt;0,$AH202="FRP"),"FRP cannot carry a label, ","")&amp;IF(AND($O202="Y",OR($Z202="L",$Z202="R",$Z202="LR",$Z202="RR")),"pair marked but hand is single, ","")&amp;IF(AND($O202&lt;&gt;"Y",OR($Z202="PR",AND(LEN($Z202)&gt;1,ISNUMBER(SEARCH("-",$Z202))))),"pair hand on a single door, ","")&amp;IF(AND(ISNUMBER($CI202),$CH202&lt;N($CI202)),"wall needs a "&amp;$CI202&amp;" min door, ","")&amp;IF(AND($CH202&gt;=180,AND(OR($CE202="FG",$CE202="HG",$CE202="FNV",$CE202="FV"),N($CF202)*N($CG202)&gt;100)),"180 min lite over 100 sq in, ","")&amp;IF(N($BK202)&gt;48,"leaf wider than 4'-0"&amp;CHAR(34)&amp;", ","")&amp;IF(AND($CT202,COUNT($AW202:$AZ202)=0,$CQ202&gt;0),"CUSTOM LOC with no locations typed, ",""))</f>
        <v/>
      </c>
      <c r="DK202" s="84">
        <f>IF($A202="","",IF(AND($CH202&gt;0,AND($A202&lt;&gt;"",$C202&lt;&gt;"DOOR ONLY"),$X202="KD",$E202="EXTERIOR"),"KD label on an exterior opening, ","")&amp;IF(AND($E202="EXTERIOR",OR(AND(AND($A202&lt;&gt;"",$C202&lt;&gt;"DOOR ONLY"),$W202="CR"),AND(N($BJ202)&gt;0,$AH202="CR"))),"exterior in CR steel (G9?), ","")&amp;IF(AND(ISNUMBER($BQ202),N($BQ202)&lt;32),"clear width ~"&amp;TEXT($BQ202,"0.0")&amp;CHAR(34)&amp;" under 32"&amp;CHAR(34)&amp;" (ADA), ","")&amp;IF(AND($CH202=90,AND(OR($CE202="FG",$CE202="HG",$CE202="FNV",$CE202="FV"),N($CF202)*N($CG202)&gt;100)),"90 min lite over 100 sq in (stair/exit), ","")&amp;IF(AND($CH202&gt;0,AND($A202&lt;&gt;"",$C202&lt;&gt;"DOOR ONLY"),OR($AF202="",$AF202="-")),"rated: closer reinf.?, ","")&amp;IF(OR($I202="CORRIDOR",$I202="SMOKE BARRIER"),"S label + smoke gasketing, ","")&amp;IF($CI202="?","wall type/hr not in IBC table, ","")&amp;IF(AND(N($BJ202)&gt;0,$BB202=""),"no hardware set, ","")&amp;IF(AND($BB202&lt;&gt;"",ISNA(MATCH($BB202&amp;"",HWSets,0))),"set "&amp;$BB202&amp;" not on HW Sets, ","")&amp;IF(N($BL202)&gt;96,"leaf over 8'-0"&amp;CHAR(34)&amp;" - check listing, ","")&amp;IF(AND($CT202,COUNT($AW202:$AZ202)&gt;0,COUNT($AW202:$AZ202)&lt;&gt;$CQ202),COUNT($AW202:$AZ202)&amp;" custom hinges typed, "&amp;$CQ202&amp;" expected, ","")&amp;IF(AND(ISNUMBER($CA202),OR(N($CA202)&lt;34,N($CA202)&gt;48)),"lock "&amp;TEXT($CA202,"0.0")&amp;CHAR(34)&amp;" AFF outside 34-48"&amp;CHAR(34)&amp;" (ADA), ","")&amp;IF(AND(ISNUMBER($AV202),ISNUMBER($BL202),N($AV202)&lt;IF(N($BL202)&lt;=60,2,IF(N($BL202)&lt;=90,3,IF(N($BL202)&lt;=120,4,5)))),"fewer hinges than standard, ",""))</f>
        <v/>
      </c>
    </row>
    <row r="203" ht="15" customHeight="1">
      <c r="A203" s="77" t="n"/>
      <c r="B203" s="78" t="n"/>
      <c r="C203" s="78" t="n"/>
      <c r="D203" s="78" t="n"/>
      <c r="E203" s="78" t="n"/>
      <c r="F203" s="78" t="n"/>
      <c r="G203" s="78" t="n"/>
      <c r="H203" s="78" t="n"/>
      <c r="I203" s="78" t="n"/>
      <c r="J203" s="78" t="n"/>
      <c r="K203" s="78" t="n"/>
      <c r="L203" s="78" t="n"/>
      <c r="M203" s="78" t="n"/>
      <c r="N203" s="78" t="n"/>
      <c r="O203" s="78" t="n"/>
      <c r="P203" s="78" t="n"/>
      <c r="Q203" s="78" t="n"/>
      <c r="R203" s="78" t="n"/>
      <c r="S203" s="79" t="n"/>
      <c r="T203" s="79" t="n"/>
      <c r="U203" s="79" t="n"/>
      <c r="V203" s="79" t="n"/>
      <c r="W203" s="79" t="n"/>
      <c r="X203" s="79" t="n"/>
      <c r="Y203" s="79" t="n"/>
      <c r="Z203" s="79" t="n"/>
      <c r="AA203" s="79" t="n"/>
      <c r="AB203" s="79" t="n"/>
      <c r="AC203" s="79" t="n"/>
      <c r="AD203" s="79" t="n"/>
      <c r="AE203" s="79" t="n"/>
      <c r="AF203" s="79" t="n"/>
      <c r="AG203" s="79" t="n"/>
      <c r="AH203" s="80" t="n"/>
      <c r="AI203" s="80" t="n"/>
      <c r="AJ203" s="80" t="n"/>
      <c r="AK203" s="80" t="n"/>
      <c r="AL203" s="80" t="n"/>
      <c r="AM203" s="80" t="n"/>
      <c r="AN203" s="80" t="n"/>
      <c r="AO203" s="80" t="n"/>
      <c r="AP203" s="80" t="n"/>
      <c r="AQ203" s="80" t="n"/>
      <c r="AR203" s="80" t="n"/>
      <c r="AS203" s="80" t="n"/>
      <c r="AT203" s="81" t="n"/>
      <c r="AU203" s="81" t="n"/>
      <c r="AV203" s="81" t="n"/>
      <c r="AW203" s="82" t="n"/>
      <c r="AX203" s="82" t="n"/>
      <c r="AY203" s="82" t="n"/>
      <c r="AZ203" s="82" t="n"/>
      <c r="BA203" s="82" t="n"/>
      <c r="BB203" s="83" t="n"/>
      <c r="BC203" s="83" t="n"/>
      <c r="BD203" s="84">
        <f>IF($A203="","",IF($DJ203&lt;&gt;"","FIX",IF($DK203&lt;&gt;"","CHECK","OK")))</f>
        <v/>
      </c>
      <c r="BE203" s="85">
        <f>IF($A203="","",IF($DJ203&lt;&gt;"","FIX: "&amp;LEFT($DJ203,LEN($DJ203)-2)&amp;IF($DK203&lt;&gt;"","  ·  ",""),"")&amp;IF($DK203&lt;&gt;"","CHECK: "&amp;LEFT($DK203,LEN($DK203)-2),""))</f>
        <v/>
      </c>
      <c r="BF203" s="84">
        <f>IF(OR($A203="",$K203=""),"",$K203&amp;"'-"&amp;N($L203)&amp;CHAR(34)&amp;" x "&amp;$M203&amp;"'-"&amp;N($N203)&amp;CHAR(34))</f>
        <v/>
      </c>
      <c r="BG203" s="84">
        <f>IF(OR($A203="",$K203=""),"",$K203&amp;N($L203)&amp;$M203&amp;N($N203))</f>
        <v/>
      </c>
      <c r="BH203" s="84">
        <f>IF(OR($A203="",$K203=""),"",$K203*12+N($L203))</f>
        <v/>
      </c>
      <c r="BI203" s="84">
        <f>IF(OR($A203="",$M203=""),"",$M203*12+N($N203))</f>
        <v/>
      </c>
      <c r="BJ203" s="84">
        <f>IF($A203="","",IF(OR($C203="FRAME ONLY",$S203="BL"),0,IF($O203="Y",2,1)))</f>
        <v/>
      </c>
      <c r="BK203" s="86">
        <f>IF(OR(N($BJ203)=0,$BH203=""),"",($BH203-2*EdgeClr-IF($BJ203=2,MeetClr,0))/$BJ203)</f>
        <v/>
      </c>
      <c r="BL203" s="86">
        <f>IF(OR(N($BJ203)=0,$BI203=""),"",$BI203-HeadClr-Undercut)</f>
        <v/>
      </c>
      <c r="BM203" s="86">
        <f>IF($BH203="","",$BH203+2*FaceW+IF(N($Q203)&gt;0,($Q203+FaceW)*IF($R203="LR",2,1),0))</f>
        <v/>
      </c>
      <c r="BN203" s="86">
        <f>IF($BI203="","",$BI203+IF($AB203="Y",4,FaceW)+IF(N($P203)&gt;0,$P203+FaceW,0)+IF(OR($S203="4F",$S203="BL"),FaceW,0))</f>
        <v/>
      </c>
      <c r="BO203" s="86">
        <f>IF($BM203="","",$BM203+2*ROSide)</f>
        <v/>
      </c>
      <c r="BP203" s="86">
        <f>IF($BN203="","",$BN203+ROTop)</f>
        <v/>
      </c>
      <c r="BQ203" s="87">
        <f>IF(OR(N($BJ203)=0,$BH203=""),"",$BH203/$BJ203-ClearDeduct)</f>
        <v/>
      </c>
      <c r="BR203" s="84">
        <f>IF(N($CH203)=0,"",IF($CH203&gt;=180,"A · 3 HR",IF($CH203&gt;=90,"B · 1-1/2 HR",IF($CH203&gt;=60,"B · 1 HR",IF($CH203&gt;=45,"C · 3/4 HR","20 MIN")))))&amp;IF(AND(N($CH203)&gt;0,OR($I203="CORRIDOR",$I203="SMOKE BARRIER"))," · S","")</f>
        <v/>
      </c>
      <c r="BS203" s="84">
        <f>IF($CS203,"",IF($AV203&lt;&gt;"",$AV203,IF(OR($AC203="HGC",$AO203="HGC"),"CONT",IF(($BI203-HeadClr-Undercut)&lt;=60,2,IF(($BI203-HeadClr-Undercut)&lt;=90,3,IF(($BI203-HeadClr-Undercut)&lt;=120,4,5))))))</f>
        <v/>
      </c>
      <c r="BT203" s="84">
        <f>IF($CS203,"",IF($CT203,"CUSTOM (typed)",IF($CV203,$AT203&amp;" "&amp;$CU203&amp;CHAR(34)&amp;IF($CU203&lt;&gt;$BI203,IF(AND($BI203&lt;$CU203,$BI203-IF(N(VLOOKUP($AT203&amp;"|"&amp;$CU203,LocTable,7,FALSE))&gt;0,VLOOKUP($AT203&amp;"|"&amp;$CU203,LocTable,7,FALSE),VLOOKUP($AT203&amp;"|"&amp;$CU203,LocTable,6,FALSE))-$CR203-0.75&gt;=2.125)," cut down"," adj."),""),"ANSI/SDI A250.6")))</f>
        <v/>
      </c>
      <c r="BU203" s="88">
        <f>IF($CS203,"",IF($CT203,IF(N($AW203)&gt;0,N($AW203),""),IF(1&gt;$CQ203,"",IF($CQ203=1,$CW203,$CW203+($CX203-$CW203)*0/($CQ203-1)))))</f>
        <v/>
      </c>
      <c r="BV203" s="88">
        <f>IF($CS203,"",IF($CT203,IF(N($AX203)&gt;0,N($AX203),""),IF(2&gt;$CQ203,"",IF($CQ203=1,$CW203,$CW203+($CX203-$CW203)*1/($CQ203-1)))))</f>
        <v/>
      </c>
      <c r="BW203" s="88">
        <f>IF($CS203,"",IF($CT203,IF(N($AY203)&gt;0,N($AY203),""),IF(3&gt;$CQ203,"",IF($CQ203=1,$CW203,$CW203+($CX203-$CW203)*2/($CQ203-1)))))</f>
        <v/>
      </c>
      <c r="BX203" s="88">
        <f>IF($CS203,"",IF($CT203,IF(N($AZ203)&gt;0,N($AZ203),""),IF(4&gt;$CQ203,"",IF($CQ203=1,$CW203,$CW203+($CX203-$CW203)*3/($CQ203-1)))))</f>
        <v/>
      </c>
      <c r="BY203" s="88">
        <f>IF($CS203,"",IF($CT203,"",IF(5&gt;$CQ203,"",IF($CQ203=1,$CW203,$CW203+($CX203-$CW203)*4/($CQ203-1)))))</f>
        <v/>
      </c>
      <c r="BZ203" s="88">
        <f>IF(OR($CS203,$AP203="-",AND($AP203="",$AD203="")),"",IF(N($BA203)&gt;0,N($BA203),IF($CV203,IF(AND($BI203&lt;$CU203,$BI203-IF(N(VLOOKUP($AT203&amp;"|"&amp;$CU203,LocTable,7,FALSE))&gt;0,VLOOKUP($AT203&amp;"|"&amp;$CU203,LocTable,7,FALSE),VLOOKUP($AT203&amp;"|"&amp;$CU203,LocTable,6,FALSE))-$CR203-0.75&gt;=2.125),VLOOKUP($AT203&amp;"|"&amp;$CU203,LocTable,8,FALSE),VLOOKUP($AT203&amp;"|"&amp;$CU203,LocTable,8,FALSE)+($BI203-$CU203)),$BI203-LockAFF)))</f>
        <v/>
      </c>
      <c r="CA203" s="89">
        <f>IF($BZ203="","",$BI203-$BZ203)</f>
        <v/>
      </c>
      <c r="CB203" s="84">
        <f>IF(OR(NOT(AND($A203&lt;&gt;"",$C203&lt;&gt;"DOOR ONLY")),$BI203=""),"",IF(($BI203+IF(N($P203)&gt;0,$P203+FaceW,0))&lt;=90,3,IF(($BI203+IF(N($P203)&gt;0,$P203+FaceW,0))&lt;=114,4,5)))</f>
        <v/>
      </c>
      <c r="CC203" s="84">
        <f>IF($CB203="","",$CB203*(2+IF(N($Q203)&gt;0,IF($R203="LR",2,1),0)))</f>
        <v/>
      </c>
      <c r="CD203" s="84">
        <f>IF($CB203="","",(2+IF(N($Q203)&gt;0,IF($R203="LR",2,1),0)))</f>
        <v/>
      </c>
      <c r="CE203" s="84">
        <f>IF(N($BJ203)=0,"",IF(OR($AL203="",$AL203="FLUSH"),"FLUSH",IFERROR(LEFT($AL203,FIND("-",$AL203)-1),LEFT($AL203,2))))</f>
        <v/>
      </c>
      <c r="CF203" s="84">
        <f>IF($CE203="","",IFERROR(VALUE(MID($AL203,FIND("-",$AL203)+1,FIND(CHAR(34)&amp;"x",$AL203)-FIND("-",$AL203)-1)),0))</f>
        <v/>
      </c>
      <c r="CG203" s="84">
        <f>IF($CE203="","",IFERROR(VALUE(MID($AL203,FIND(CHAR(34)&amp;"x",$AL203)+2,FIND(CHAR(34),$AL203,FIND(CHAR(34)&amp;"x",$AL203)+2)-FIND(CHAR(34)&amp;"x",$AL203)-2)),0))</f>
        <v/>
      </c>
      <c r="CH203" s="90">
        <f>IF(OR($A203="",$H203="",$H203="NO LAB"),0,IFERROR(VALUE(LEFT($H203,FIND(" ",$H203)-1)),0))</f>
        <v/>
      </c>
      <c r="CI203" s="91">
        <f>IF(OR($A203="",$I203="",$I203="NON-RATED",N($J203)=0),"",IFERROR(VLOOKUP($I203&amp;"|"&amp;$J203,IBC,2,FALSE),"?"))</f>
        <v/>
      </c>
      <c r="CJ203" s="85">
        <f>IF(NOT(AND($A203&lt;&gt;"",$C203&lt;&gt;"DOOR ONLY")),"",TRIM(IFERROR(VLOOKUP($U203,CODES,2,FALSE),"")&amp;" "&amp;$BG203&amp;" "&amp;IFERROR(VLOOKUP($Z203,CODES,2,FALSE),"")&amp;" "&amp;IFERROR(VLOOKUP($X203,CODES,2,FALSE),"")&amp;" "&amp;IFERROR(VLOOKUP($S203,CODES,2,FALSE),"")&amp;IF(N($P203)&gt;0," w/TRANSOM "&amp;$P203&amp;CHAR(34),"")&amp;IF(N($Q203)&gt;0," w/SIDELITE "&amp;$Q203&amp;CHAR(34)&amp;" "&amp;IF($R203="","R",$R203),"")&amp;IF($Y203="","  |  "," | "&amp;IFERROR(VLOOKUP($Y203,CODES,2,FALSE),"")&amp;" | ")&amp;IFERROR(VLOOKUP($AC203,CODES,2,FALSE),"")&amp;" "&amp;IFERROR(VLOOKUP($AD203,CODES,2,FALSE),"")&amp;IF(OR($AE203="",$AE203="-"),""," "&amp;$AE203)&amp;IF(OR($AF203="",$AF203="-"),""," "&amp;$AF203)&amp;IF($AB203="Y"," 4"&amp;CHAR(34)&amp;" HEAD","")&amp;" "&amp;IFERROR(VLOOKUP($H203,CODES,2,FALSE),"")&amp;IF($CT203," | LOC "&amp;$CY203,"")))</f>
        <v/>
      </c>
      <c r="CK203" s="85">
        <f>IF(NOT(AND($A203&lt;&gt;"",N($BJ203)&gt;0)),"",TRIM(IFERROR(VLOOKUP($AH203,CODES,2,FALSE),"")&amp;IF($AI203=""," "," "&amp;$AI203&amp;"GA ")&amp;$BG203&amp;" "&amp;IF($AN203="",IFERROR(VLOOKUP($Z203,CODES,2,FALSE),""),IFERROR(VLOOKUP($AN203,CODES,2,FALSE),""))&amp;IF($BJ203=2," PAIR","")&amp;" DOOR | "&amp;IF($AL203="","?",$AL203)&amp;" | "&amp;IF($AO203="",IFERROR(VLOOKUP($AC203,CODES,2,FALSE),""),IFERROR(VLOOKUP($AO203,CODES,2,FALSE),""))&amp;" "&amp;IFERROR(VLOOKUP($AP203,CODES,2,FALSE),"")&amp;IF(OR($AQ203="",$AQ203="-"),""," SEAM "&amp;$AQ203)&amp;IF($AR203="Y"," ASTRAGAL","")&amp;IF($AJ203=""," "," "&amp;$AJ203)&amp;IF($AK203=""," "," "&amp;$AK203)&amp;IF(OR($AT203="",$AT203="ANSI/SDI",$AT203="CUSTOM LOC"),""," "&amp;$AT203)&amp;IF($AM203=""," "," SERIES "&amp;$AM203)&amp;" "&amp;IFERROR(VLOOKUP($H203,CODES,2,FALSE),"")&amp;IF($CT203," | LOC "&amp;$CZ203,"")))</f>
        <v/>
      </c>
      <c r="CL203" s="84">
        <f>IF(CP203="","",IF(COUNTIF($CP$6:CP203,CP203)=1,MAX($CL$5:CL202)+1,INDEX($CL$5:CL202,MATCH(CP203,$CP$5:CP202,0))))</f>
        <v/>
      </c>
      <c r="CM203" s="84">
        <f>IF(NOT(AND($A203&lt;&gt;"",$C203&lt;&gt;"DOOR ONLY")),"",MAX($CM$5:CM202)+1)</f>
        <v/>
      </c>
      <c r="CN203" s="84">
        <f>IF(NOT(AND($A203&lt;&gt;"",N($BJ203)&gt;0)),"",MAX($CN$5:CN202)+1)</f>
        <v/>
      </c>
      <c r="CO203" s="84">
        <f>IF($A203="","",MAX($CO$5:CO202)+1)</f>
        <v/>
      </c>
      <c r="CP203" s="84">
        <f>IF(OR($A203="",$BH203="",$BI203=""),"",$BG203&amp;"|"&amp;$O203&amp;"|"&amp;$AL203&amp;"|"&amp;$S203&amp;"|"&amp;$P203&amp;"|"&amp;$Q203&amp;$R203&amp;"|"&amp;$C203&amp;"|"&amp;$AB203)</f>
        <v/>
      </c>
      <c r="CQ203" s="84">
        <f>N($BS203)</f>
        <v/>
      </c>
      <c r="CR203" s="84">
        <f>IF(N($AU203)&gt;0,N($AU203),4.5)</f>
        <v/>
      </c>
      <c r="CS203" s="84">
        <f>OR($A203="",$BI203="",$S203="BL",AND($C203="FRAME ONLY",OR($AC203="",$AC203="BLK")))</f>
        <v/>
      </c>
      <c r="CT203" s="84">
        <f>AND(NOT($CS203),OR($AT203="CUSTOM LOC",N($AW203)+N($AX203)+N($AY203)+N($AZ203)+N($BA203)&gt;0))</f>
        <v/>
      </c>
      <c r="CU203" s="84">
        <f>IF($BI203="","",IF($BI203&lt;=80,80,IF($BI203&lt;=84,84,96)))</f>
        <v/>
      </c>
      <c r="CV203" s="84">
        <f>ISNUMBER(MATCH($AT203&amp;"|80",LocKeys,0))</f>
        <v/>
      </c>
      <c r="CW203" s="86">
        <f>IF($CS203,"",IF($CV203,VLOOKUP($AT203&amp;"|"&amp;$CU203,LocTable,4,FALSE),5))</f>
        <v/>
      </c>
      <c r="CX203" s="86">
        <f>IF($CS203,"",IF($CV203,IF(OR($BI203=$CU203,AND($BI203&lt;$CU203,$BI203-IF(N(VLOOKUP($AT203&amp;"|"&amp;$CU203,LocTable,7,FALSE))&gt;0,VLOOKUP($AT203&amp;"|"&amp;$CU203,LocTable,7,FALSE),VLOOKUP($AT203&amp;"|"&amp;$CU203,LocTable,6,FALSE))-$CR203-0.75&gt;=2.125)),IF(N(VLOOKUP($AT203&amp;"|"&amp;$CU203,LocTable,7,FALSE))&gt;0,VLOOKUP($AT203&amp;"|"&amp;$CU203,LocTable,7,FALSE),VLOOKUP($AT203&amp;"|"&amp;$CU203,LocTable,6,FALSE)),$BI203-($CU203-IF(N(VLOOKUP($AT203&amp;"|"&amp;$CU203,LocTable,7,FALSE))&gt;0,VLOOKUP($AT203&amp;"|"&amp;$CU203,LocTable,7,FALSE),VLOOKUP($AT203&amp;"|"&amp;$CU203,LocTable,6,FALSE)))),$BI203-10-$CR203))</f>
        <v/>
      </c>
      <c r="CY203" s="85">
        <f>IF($CS203,"",TRIM(IF(ISNUMBER($BU203),"A "&amp;TRIM(TEXT($BU203,"# ?/??"))&amp;CHAR(34)&amp;"  ","")&amp;IF(ISNUMBER($BV203),"B "&amp;TRIM(TEXT($BV203,"# ?/??"))&amp;CHAR(34)&amp;"  ","")&amp;IF(ISNUMBER($BW203),"C "&amp;TRIM(TEXT($BW203,"# ?/??"))&amp;CHAR(34)&amp;"  ","")&amp;IF(ISNUMBER($BX203),"D "&amp;TRIM(TEXT($BX203,"# ?/??"))&amp;CHAR(34)&amp;"  ","")&amp;IF(ISNUMBER($BY203),"F "&amp;TRIM(TEXT($BY203,"# ?/??"))&amp;CHAR(34)&amp;"  ","")&amp;IF(ISNUMBER($BZ203),"E "&amp;TRIM(TEXT($BZ203,"# ?/??"))&amp;CHAR(34)&amp;"  ","")))</f>
        <v/>
      </c>
      <c r="CZ203" s="85">
        <f>IF(OR($CS203,N($BJ203)=0),"",TRIM(IF(ISNUMBER($BU203),"A "&amp;TRIM(TEXT($BU203-HeadClr,"# ?/??"))&amp;CHAR(34)&amp;"  ","")&amp;IF(ISNUMBER($BV203),"B "&amp;TRIM(TEXT($BV203-HeadClr,"# ?/??"))&amp;CHAR(34)&amp;"  ","")&amp;IF(ISNUMBER($BW203),"C "&amp;TRIM(TEXT($BW203-HeadClr,"# ?/??"))&amp;CHAR(34)&amp;"  ","")&amp;IF(ISNUMBER($BX203),"D "&amp;TRIM(TEXT($BX203-HeadClr,"# ?/??"))&amp;CHAR(34)&amp;"  ","")&amp;IF(ISNUMBER($BY203),"F "&amp;TRIM(TEXT($BY203-HeadClr,"# ?/??"))&amp;CHAR(34)&amp;"  ","")&amp;IF(ISNUMBER($BZ203),"E "&amp;TRIM(TEXT($BZ203-HeadClr,"# ?/??"))&amp;CHAR(34)&amp;"  ","")))</f>
        <v/>
      </c>
      <c r="DA203" s="84">
        <f>IF($A203="","",IF($AN203="",IFERROR(VLOOKUP($Z203,CODES,2,FALSE),""),IFERROR(VLOOKUP($AN203,CODES,2,FALSE),"")))</f>
        <v/>
      </c>
      <c r="DB203" s="84">
        <f>IF($A203="","",IF($O203="Y","PR",IF(OR($Z203="L",$Z203="RR",LEFT($Z203,2)="L-",LEFT($Z203,3)="RR-"),"LH","RH")))</f>
        <v/>
      </c>
      <c r="DC203" s="84">
        <f>IF($A203="","","S.HM"&amp;IF(OR($C203="DOOR ONLY",$X203&lt;&gt;"KD"),"MASONRY","DRYWALL")&amp;IF($C203="DOOR ONLY","",$U203)&amp;IF(AND($C203&lt;&gt;"FRAME ONLY",OR(LEFT($AH203,3)="OAK",LEFT($AH203,3)="BIR",LEFT($AH203,3)="MAP",$AH203="PC",$AH203="MC",$AH203="SCLC",$AH203="P-LAM")),"WD","HM")&amp;"1.75")</f>
        <v/>
      </c>
      <c r="DD203" s="84">
        <f>IF($CJ203="","",IF($O203="Y",$CJ203,SUBSTITUTE($CJ203,$BG203&amp;" "&amp;IFERROR(VLOOKUP($Z203,CODES,2,FALSE),"")&amp;" ",$BG203&amp;" ")))</f>
        <v/>
      </c>
      <c r="DE203" s="84">
        <f>IF($CK203="","",IF($O203="Y",$CK203,SUBSTITUTE($CK203,$BG203&amp;" "&amp;IF($AN203="",IFERROR(VLOOKUP($Z203,CODES,2,FALSE),""),IFERROR(VLOOKUP($AN203,CODES,2,FALSE),""))&amp;" ",$BG203&amp;" ")))</f>
        <v/>
      </c>
      <c r="DF203" s="84">
        <f>IF($CJ203="","",$DC203&amp;"|"&amp;$DD203&amp;"|"&amp;$DB203&amp;"|"&amp;$AT203&amp;"|"&amp;$V203&amp;"|"&amp;$Y203&amp;"|"&amp;$AB203)</f>
        <v/>
      </c>
      <c r="DG203" s="84">
        <f>IF(DF203="","",IF(COUNTIF($DF$6:DF203,DF203)=1,MAX($DG$5:DG202)+1,INDEX($DG$5:DG202,MATCH(DF203,$DF$5:DF202,0))))</f>
        <v/>
      </c>
      <c r="DH203" s="84">
        <f>IF($CK203="","",$DC203&amp;"|"&amp;$DE203&amp;"|"&amp;$AI203&amp;"|"&amp;$BK203&amp;"|"&amp;$BL203)</f>
        <v/>
      </c>
      <c r="DI203" s="84">
        <f>IF(DH203="","",IF(COUNTIF($DH$6:DH203,DH203)=1,MAX($DI$5:DI202)+1,INDEX($DI$5:DI202,MATCH(DH203,$DH$5:DH202,0))))</f>
        <v/>
      </c>
      <c r="DJ203" s="84">
        <f>IF($A203="","",IF($B203="","qty, ","")&amp;IF($C203="","scope, ","")&amp;IF(OR($K203="",$M203=""),"size, ","")&amp;IF(AND($A203&lt;&gt;"",$C203&lt;&gt;"DOOR ONLY"),IF($U203="","jamb depth, ","")&amp;IF($X203="","construction, ","")&amp;IF($Y203="","anchor, ","")&amp;IF($S203="","frame type, ",""),"")&amp;IF(AND(N($BJ203)&gt;0,$Z203=""),"hand, ","")&amp;IF(N($BJ203)&gt;0,IF($AH203="","door material, ","")&amp;IF($AL203="","face type, ","")&amp;IF($AP203="","lock prep, ","")&amp;IF(AND($AO203="",$AC203=""),"hinge prep, ",""),"")&amp;IF(AND($CH203&gt;0,$AH203="FRP"),"FRP cannot carry a label, ","")&amp;IF(AND($O203="Y",OR($Z203="L",$Z203="R",$Z203="LR",$Z203="RR")),"pair marked but hand is single, ","")&amp;IF(AND($O203&lt;&gt;"Y",OR($Z203="PR",AND(LEN($Z203)&gt;1,ISNUMBER(SEARCH("-",$Z203))))),"pair hand on a single door, ","")&amp;IF(AND(ISNUMBER($CI203),$CH203&lt;N($CI203)),"wall needs a "&amp;$CI203&amp;" min door, ","")&amp;IF(AND($CH203&gt;=180,AND(OR($CE203="FG",$CE203="HG",$CE203="FNV",$CE203="FV"),N($CF203)*N($CG203)&gt;100)),"180 min lite over 100 sq in, ","")&amp;IF(N($BK203)&gt;48,"leaf wider than 4'-0"&amp;CHAR(34)&amp;", ","")&amp;IF(AND($CT203,COUNT($AW203:$AZ203)=0,$CQ203&gt;0),"CUSTOM LOC with no locations typed, ",""))</f>
        <v/>
      </c>
      <c r="DK203" s="84">
        <f>IF($A203="","",IF(AND($CH203&gt;0,AND($A203&lt;&gt;"",$C203&lt;&gt;"DOOR ONLY"),$X203="KD",$E203="EXTERIOR"),"KD label on an exterior opening, ","")&amp;IF(AND($E203="EXTERIOR",OR(AND(AND($A203&lt;&gt;"",$C203&lt;&gt;"DOOR ONLY"),$W203="CR"),AND(N($BJ203)&gt;0,$AH203="CR"))),"exterior in CR steel (G9?), ","")&amp;IF(AND(ISNUMBER($BQ203),N($BQ203)&lt;32),"clear width ~"&amp;TEXT($BQ203,"0.0")&amp;CHAR(34)&amp;" under 32"&amp;CHAR(34)&amp;" (ADA), ","")&amp;IF(AND($CH203=90,AND(OR($CE203="FG",$CE203="HG",$CE203="FNV",$CE203="FV"),N($CF203)*N($CG203)&gt;100)),"90 min lite over 100 sq in (stair/exit), ","")&amp;IF(AND($CH203&gt;0,AND($A203&lt;&gt;"",$C203&lt;&gt;"DOOR ONLY"),OR($AF203="",$AF203="-")),"rated: closer reinf.?, ","")&amp;IF(OR($I203="CORRIDOR",$I203="SMOKE BARRIER"),"S label + smoke gasketing, ","")&amp;IF($CI203="?","wall type/hr not in IBC table, ","")&amp;IF(AND(N($BJ203)&gt;0,$BB203=""),"no hardware set, ","")&amp;IF(AND($BB203&lt;&gt;"",ISNA(MATCH($BB203&amp;"",HWSets,0))),"set "&amp;$BB203&amp;" not on HW Sets, ","")&amp;IF(N($BL203)&gt;96,"leaf over 8'-0"&amp;CHAR(34)&amp;" - check listing, ","")&amp;IF(AND($CT203,COUNT($AW203:$AZ203)&gt;0,COUNT($AW203:$AZ203)&lt;&gt;$CQ203),COUNT($AW203:$AZ203)&amp;" custom hinges typed, "&amp;$CQ203&amp;" expected, ","")&amp;IF(AND(ISNUMBER($CA203),OR(N($CA203)&lt;34,N($CA203)&gt;48)),"lock "&amp;TEXT($CA203,"0.0")&amp;CHAR(34)&amp;" AFF outside 34-48"&amp;CHAR(34)&amp;" (ADA), ","")&amp;IF(AND(ISNUMBER($AV203),ISNUMBER($BL203),N($AV203)&lt;IF(N($BL203)&lt;=60,2,IF(N($BL203)&lt;=90,3,IF(N($BL203)&lt;=120,4,5)))),"fewer hinges than standard, ",""))</f>
        <v/>
      </c>
    </row>
    <row r="204" ht="15" customHeight="1">
      <c r="A204" s="77" t="n"/>
      <c r="B204" s="78" t="n"/>
      <c r="C204" s="78" t="n"/>
      <c r="D204" s="78" t="n"/>
      <c r="E204" s="78" t="n"/>
      <c r="F204" s="78" t="n"/>
      <c r="G204" s="78" t="n"/>
      <c r="H204" s="78" t="n"/>
      <c r="I204" s="78" t="n"/>
      <c r="J204" s="78" t="n"/>
      <c r="K204" s="78" t="n"/>
      <c r="L204" s="78" t="n"/>
      <c r="M204" s="78" t="n"/>
      <c r="N204" s="78" t="n"/>
      <c r="O204" s="78" t="n"/>
      <c r="P204" s="78" t="n"/>
      <c r="Q204" s="78" t="n"/>
      <c r="R204" s="78" t="n"/>
      <c r="S204" s="79" t="n"/>
      <c r="T204" s="79" t="n"/>
      <c r="U204" s="79" t="n"/>
      <c r="V204" s="79" t="n"/>
      <c r="W204" s="79" t="n"/>
      <c r="X204" s="79" t="n"/>
      <c r="Y204" s="79" t="n"/>
      <c r="Z204" s="79" t="n"/>
      <c r="AA204" s="79" t="n"/>
      <c r="AB204" s="79" t="n"/>
      <c r="AC204" s="79" t="n"/>
      <c r="AD204" s="79" t="n"/>
      <c r="AE204" s="79" t="n"/>
      <c r="AF204" s="79" t="n"/>
      <c r="AG204" s="79" t="n"/>
      <c r="AH204" s="80" t="n"/>
      <c r="AI204" s="80" t="n"/>
      <c r="AJ204" s="80" t="n"/>
      <c r="AK204" s="80" t="n"/>
      <c r="AL204" s="80" t="n"/>
      <c r="AM204" s="80" t="n"/>
      <c r="AN204" s="80" t="n"/>
      <c r="AO204" s="80" t="n"/>
      <c r="AP204" s="80" t="n"/>
      <c r="AQ204" s="80" t="n"/>
      <c r="AR204" s="80" t="n"/>
      <c r="AS204" s="80" t="n"/>
      <c r="AT204" s="81" t="n"/>
      <c r="AU204" s="81" t="n"/>
      <c r="AV204" s="81" t="n"/>
      <c r="AW204" s="82" t="n"/>
      <c r="AX204" s="82" t="n"/>
      <c r="AY204" s="82" t="n"/>
      <c r="AZ204" s="82" t="n"/>
      <c r="BA204" s="82" t="n"/>
      <c r="BB204" s="83" t="n"/>
      <c r="BC204" s="83" t="n"/>
      <c r="BD204" s="84">
        <f>IF($A204="","",IF($DJ204&lt;&gt;"","FIX",IF($DK204&lt;&gt;"","CHECK","OK")))</f>
        <v/>
      </c>
      <c r="BE204" s="85">
        <f>IF($A204="","",IF($DJ204&lt;&gt;"","FIX: "&amp;LEFT($DJ204,LEN($DJ204)-2)&amp;IF($DK204&lt;&gt;"","  ·  ",""),"")&amp;IF($DK204&lt;&gt;"","CHECK: "&amp;LEFT($DK204,LEN($DK204)-2),""))</f>
        <v/>
      </c>
      <c r="BF204" s="84">
        <f>IF(OR($A204="",$K204=""),"",$K204&amp;"'-"&amp;N($L204)&amp;CHAR(34)&amp;" x "&amp;$M204&amp;"'-"&amp;N($N204)&amp;CHAR(34))</f>
        <v/>
      </c>
      <c r="BG204" s="84">
        <f>IF(OR($A204="",$K204=""),"",$K204&amp;N($L204)&amp;$M204&amp;N($N204))</f>
        <v/>
      </c>
      <c r="BH204" s="84">
        <f>IF(OR($A204="",$K204=""),"",$K204*12+N($L204))</f>
        <v/>
      </c>
      <c r="BI204" s="84">
        <f>IF(OR($A204="",$M204=""),"",$M204*12+N($N204))</f>
        <v/>
      </c>
      <c r="BJ204" s="84">
        <f>IF($A204="","",IF(OR($C204="FRAME ONLY",$S204="BL"),0,IF($O204="Y",2,1)))</f>
        <v/>
      </c>
      <c r="BK204" s="86">
        <f>IF(OR(N($BJ204)=0,$BH204=""),"",($BH204-2*EdgeClr-IF($BJ204=2,MeetClr,0))/$BJ204)</f>
        <v/>
      </c>
      <c r="BL204" s="86">
        <f>IF(OR(N($BJ204)=0,$BI204=""),"",$BI204-HeadClr-Undercut)</f>
        <v/>
      </c>
      <c r="BM204" s="86">
        <f>IF($BH204="","",$BH204+2*FaceW+IF(N($Q204)&gt;0,($Q204+FaceW)*IF($R204="LR",2,1),0))</f>
        <v/>
      </c>
      <c r="BN204" s="86">
        <f>IF($BI204="","",$BI204+IF($AB204="Y",4,FaceW)+IF(N($P204)&gt;0,$P204+FaceW,0)+IF(OR($S204="4F",$S204="BL"),FaceW,0))</f>
        <v/>
      </c>
      <c r="BO204" s="86">
        <f>IF($BM204="","",$BM204+2*ROSide)</f>
        <v/>
      </c>
      <c r="BP204" s="86">
        <f>IF($BN204="","",$BN204+ROTop)</f>
        <v/>
      </c>
      <c r="BQ204" s="87">
        <f>IF(OR(N($BJ204)=0,$BH204=""),"",$BH204/$BJ204-ClearDeduct)</f>
        <v/>
      </c>
      <c r="BR204" s="84">
        <f>IF(N($CH204)=0,"",IF($CH204&gt;=180,"A · 3 HR",IF($CH204&gt;=90,"B · 1-1/2 HR",IF($CH204&gt;=60,"B · 1 HR",IF($CH204&gt;=45,"C · 3/4 HR","20 MIN")))))&amp;IF(AND(N($CH204)&gt;0,OR($I204="CORRIDOR",$I204="SMOKE BARRIER"))," · S","")</f>
        <v/>
      </c>
      <c r="BS204" s="84">
        <f>IF($CS204,"",IF($AV204&lt;&gt;"",$AV204,IF(OR($AC204="HGC",$AO204="HGC"),"CONT",IF(($BI204-HeadClr-Undercut)&lt;=60,2,IF(($BI204-HeadClr-Undercut)&lt;=90,3,IF(($BI204-HeadClr-Undercut)&lt;=120,4,5))))))</f>
        <v/>
      </c>
      <c r="BT204" s="84">
        <f>IF($CS204,"",IF($CT204,"CUSTOM (typed)",IF($CV204,$AT204&amp;" "&amp;$CU204&amp;CHAR(34)&amp;IF($CU204&lt;&gt;$BI204,IF(AND($BI204&lt;$CU204,$BI204-IF(N(VLOOKUP($AT204&amp;"|"&amp;$CU204,LocTable,7,FALSE))&gt;0,VLOOKUP($AT204&amp;"|"&amp;$CU204,LocTable,7,FALSE),VLOOKUP($AT204&amp;"|"&amp;$CU204,LocTable,6,FALSE))-$CR204-0.75&gt;=2.125)," cut down"," adj."),""),"ANSI/SDI A250.6")))</f>
        <v/>
      </c>
      <c r="BU204" s="88">
        <f>IF($CS204,"",IF($CT204,IF(N($AW204)&gt;0,N($AW204),""),IF(1&gt;$CQ204,"",IF($CQ204=1,$CW204,$CW204+($CX204-$CW204)*0/($CQ204-1)))))</f>
        <v/>
      </c>
      <c r="BV204" s="88">
        <f>IF($CS204,"",IF($CT204,IF(N($AX204)&gt;0,N($AX204),""),IF(2&gt;$CQ204,"",IF($CQ204=1,$CW204,$CW204+($CX204-$CW204)*1/($CQ204-1)))))</f>
        <v/>
      </c>
      <c r="BW204" s="88">
        <f>IF($CS204,"",IF($CT204,IF(N($AY204)&gt;0,N($AY204),""),IF(3&gt;$CQ204,"",IF($CQ204=1,$CW204,$CW204+($CX204-$CW204)*2/($CQ204-1)))))</f>
        <v/>
      </c>
      <c r="BX204" s="88">
        <f>IF($CS204,"",IF($CT204,IF(N($AZ204)&gt;0,N($AZ204),""),IF(4&gt;$CQ204,"",IF($CQ204=1,$CW204,$CW204+($CX204-$CW204)*3/($CQ204-1)))))</f>
        <v/>
      </c>
      <c r="BY204" s="88">
        <f>IF($CS204,"",IF($CT204,"",IF(5&gt;$CQ204,"",IF($CQ204=1,$CW204,$CW204+($CX204-$CW204)*4/($CQ204-1)))))</f>
        <v/>
      </c>
      <c r="BZ204" s="88">
        <f>IF(OR($CS204,$AP204="-",AND($AP204="",$AD204="")),"",IF(N($BA204)&gt;0,N($BA204),IF($CV204,IF(AND($BI204&lt;$CU204,$BI204-IF(N(VLOOKUP($AT204&amp;"|"&amp;$CU204,LocTable,7,FALSE))&gt;0,VLOOKUP($AT204&amp;"|"&amp;$CU204,LocTable,7,FALSE),VLOOKUP($AT204&amp;"|"&amp;$CU204,LocTable,6,FALSE))-$CR204-0.75&gt;=2.125),VLOOKUP($AT204&amp;"|"&amp;$CU204,LocTable,8,FALSE),VLOOKUP($AT204&amp;"|"&amp;$CU204,LocTable,8,FALSE)+($BI204-$CU204)),$BI204-LockAFF)))</f>
        <v/>
      </c>
      <c r="CA204" s="89">
        <f>IF($BZ204="","",$BI204-$BZ204)</f>
        <v/>
      </c>
      <c r="CB204" s="84">
        <f>IF(OR(NOT(AND($A204&lt;&gt;"",$C204&lt;&gt;"DOOR ONLY")),$BI204=""),"",IF(($BI204+IF(N($P204)&gt;0,$P204+FaceW,0))&lt;=90,3,IF(($BI204+IF(N($P204)&gt;0,$P204+FaceW,0))&lt;=114,4,5)))</f>
        <v/>
      </c>
      <c r="CC204" s="84">
        <f>IF($CB204="","",$CB204*(2+IF(N($Q204)&gt;0,IF($R204="LR",2,1),0)))</f>
        <v/>
      </c>
      <c r="CD204" s="84">
        <f>IF($CB204="","",(2+IF(N($Q204)&gt;0,IF($R204="LR",2,1),0)))</f>
        <v/>
      </c>
      <c r="CE204" s="84">
        <f>IF(N($BJ204)=0,"",IF(OR($AL204="",$AL204="FLUSH"),"FLUSH",IFERROR(LEFT($AL204,FIND("-",$AL204)-1),LEFT($AL204,2))))</f>
        <v/>
      </c>
      <c r="CF204" s="84">
        <f>IF($CE204="","",IFERROR(VALUE(MID($AL204,FIND("-",$AL204)+1,FIND(CHAR(34)&amp;"x",$AL204)-FIND("-",$AL204)-1)),0))</f>
        <v/>
      </c>
      <c r="CG204" s="84">
        <f>IF($CE204="","",IFERROR(VALUE(MID($AL204,FIND(CHAR(34)&amp;"x",$AL204)+2,FIND(CHAR(34),$AL204,FIND(CHAR(34)&amp;"x",$AL204)+2)-FIND(CHAR(34)&amp;"x",$AL204)-2)),0))</f>
        <v/>
      </c>
      <c r="CH204" s="90">
        <f>IF(OR($A204="",$H204="",$H204="NO LAB"),0,IFERROR(VALUE(LEFT($H204,FIND(" ",$H204)-1)),0))</f>
        <v/>
      </c>
      <c r="CI204" s="91">
        <f>IF(OR($A204="",$I204="",$I204="NON-RATED",N($J204)=0),"",IFERROR(VLOOKUP($I204&amp;"|"&amp;$J204,IBC,2,FALSE),"?"))</f>
        <v/>
      </c>
      <c r="CJ204" s="85">
        <f>IF(NOT(AND($A204&lt;&gt;"",$C204&lt;&gt;"DOOR ONLY")),"",TRIM(IFERROR(VLOOKUP($U204,CODES,2,FALSE),"")&amp;" "&amp;$BG204&amp;" "&amp;IFERROR(VLOOKUP($Z204,CODES,2,FALSE),"")&amp;" "&amp;IFERROR(VLOOKUP($X204,CODES,2,FALSE),"")&amp;" "&amp;IFERROR(VLOOKUP($S204,CODES,2,FALSE),"")&amp;IF(N($P204)&gt;0," w/TRANSOM "&amp;$P204&amp;CHAR(34),"")&amp;IF(N($Q204)&gt;0," w/SIDELITE "&amp;$Q204&amp;CHAR(34)&amp;" "&amp;IF($R204="","R",$R204),"")&amp;IF($Y204="","  |  "," | "&amp;IFERROR(VLOOKUP($Y204,CODES,2,FALSE),"")&amp;" | ")&amp;IFERROR(VLOOKUP($AC204,CODES,2,FALSE),"")&amp;" "&amp;IFERROR(VLOOKUP($AD204,CODES,2,FALSE),"")&amp;IF(OR($AE204="",$AE204="-"),""," "&amp;$AE204)&amp;IF(OR($AF204="",$AF204="-"),""," "&amp;$AF204)&amp;IF($AB204="Y"," 4"&amp;CHAR(34)&amp;" HEAD","")&amp;" "&amp;IFERROR(VLOOKUP($H204,CODES,2,FALSE),"")&amp;IF($CT204," | LOC "&amp;$CY204,"")))</f>
        <v/>
      </c>
      <c r="CK204" s="85">
        <f>IF(NOT(AND($A204&lt;&gt;"",N($BJ204)&gt;0)),"",TRIM(IFERROR(VLOOKUP($AH204,CODES,2,FALSE),"")&amp;IF($AI204=""," "," "&amp;$AI204&amp;"GA ")&amp;$BG204&amp;" "&amp;IF($AN204="",IFERROR(VLOOKUP($Z204,CODES,2,FALSE),""),IFERROR(VLOOKUP($AN204,CODES,2,FALSE),""))&amp;IF($BJ204=2," PAIR","")&amp;" DOOR | "&amp;IF($AL204="","?",$AL204)&amp;" | "&amp;IF($AO204="",IFERROR(VLOOKUP($AC204,CODES,2,FALSE),""),IFERROR(VLOOKUP($AO204,CODES,2,FALSE),""))&amp;" "&amp;IFERROR(VLOOKUP($AP204,CODES,2,FALSE),"")&amp;IF(OR($AQ204="",$AQ204="-"),""," SEAM "&amp;$AQ204)&amp;IF($AR204="Y"," ASTRAGAL","")&amp;IF($AJ204=""," "," "&amp;$AJ204)&amp;IF($AK204=""," "," "&amp;$AK204)&amp;IF(OR($AT204="",$AT204="ANSI/SDI",$AT204="CUSTOM LOC"),""," "&amp;$AT204)&amp;IF($AM204=""," "," SERIES "&amp;$AM204)&amp;" "&amp;IFERROR(VLOOKUP($H204,CODES,2,FALSE),"")&amp;IF($CT204," | LOC "&amp;$CZ204,"")))</f>
        <v/>
      </c>
      <c r="CL204" s="84">
        <f>IF(CP204="","",IF(COUNTIF($CP$6:CP204,CP204)=1,MAX($CL$5:CL203)+1,INDEX($CL$5:CL203,MATCH(CP204,$CP$5:CP203,0))))</f>
        <v/>
      </c>
      <c r="CM204" s="84">
        <f>IF(NOT(AND($A204&lt;&gt;"",$C204&lt;&gt;"DOOR ONLY")),"",MAX($CM$5:CM203)+1)</f>
        <v/>
      </c>
      <c r="CN204" s="84">
        <f>IF(NOT(AND($A204&lt;&gt;"",N($BJ204)&gt;0)),"",MAX($CN$5:CN203)+1)</f>
        <v/>
      </c>
      <c r="CO204" s="84">
        <f>IF($A204="","",MAX($CO$5:CO203)+1)</f>
        <v/>
      </c>
      <c r="CP204" s="84">
        <f>IF(OR($A204="",$BH204="",$BI204=""),"",$BG204&amp;"|"&amp;$O204&amp;"|"&amp;$AL204&amp;"|"&amp;$S204&amp;"|"&amp;$P204&amp;"|"&amp;$Q204&amp;$R204&amp;"|"&amp;$C204&amp;"|"&amp;$AB204)</f>
        <v/>
      </c>
      <c r="CQ204" s="84">
        <f>N($BS204)</f>
        <v/>
      </c>
      <c r="CR204" s="84">
        <f>IF(N($AU204)&gt;0,N($AU204),4.5)</f>
        <v/>
      </c>
      <c r="CS204" s="84">
        <f>OR($A204="",$BI204="",$S204="BL",AND($C204="FRAME ONLY",OR($AC204="",$AC204="BLK")))</f>
        <v/>
      </c>
      <c r="CT204" s="84">
        <f>AND(NOT($CS204),OR($AT204="CUSTOM LOC",N($AW204)+N($AX204)+N($AY204)+N($AZ204)+N($BA204)&gt;0))</f>
        <v/>
      </c>
      <c r="CU204" s="84">
        <f>IF($BI204="","",IF($BI204&lt;=80,80,IF($BI204&lt;=84,84,96)))</f>
        <v/>
      </c>
      <c r="CV204" s="84">
        <f>ISNUMBER(MATCH($AT204&amp;"|80",LocKeys,0))</f>
        <v/>
      </c>
      <c r="CW204" s="86">
        <f>IF($CS204,"",IF($CV204,VLOOKUP($AT204&amp;"|"&amp;$CU204,LocTable,4,FALSE),5))</f>
        <v/>
      </c>
      <c r="CX204" s="86">
        <f>IF($CS204,"",IF($CV204,IF(OR($BI204=$CU204,AND($BI204&lt;$CU204,$BI204-IF(N(VLOOKUP($AT204&amp;"|"&amp;$CU204,LocTable,7,FALSE))&gt;0,VLOOKUP($AT204&amp;"|"&amp;$CU204,LocTable,7,FALSE),VLOOKUP($AT204&amp;"|"&amp;$CU204,LocTable,6,FALSE))-$CR204-0.75&gt;=2.125)),IF(N(VLOOKUP($AT204&amp;"|"&amp;$CU204,LocTable,7,FALSE))&gt;0,VLOOKUP($AT204&amp;"|"&amp;$CU204,LocTable,7,FALSE),VLOOKUP($AT204&amp;"|"&amp;$CU204,LocTable,6,FALSE)),$BI204-($CU204-IF(N(VLOOKUP($AT204&amp;"|"&amp;$CU204,LocTable,7,FALSE))&gt;0,VLOOKUP($AT204&amp;"|"&amp;$CU204,LocTable,7,FALSE),VLOOKUP($AT204&amp;"|"&amp;$CU204,LocTable,6,FALSE)))),$BI204-10-$CR204))</f>
        <v/>
      </c>
      <c r="CY204" s="85">
        <f>IF($CS204,"",TRIM(IF(ISNUMBER($BU204),"A "&amp;TRIM(TEXT($BU204,"# ?/??"))&amp;CHAR(34)&amp;"  ","")&amp;IF(ISNUMBER($BV204),"B "&amp;TRIM(TEXT($BV204,"# ?/??"))&amp;CHAR(34)&amp;"  ","")&amp;IF(ISNUMBER($BW204),"C "&amp;TRIM(TEXT($BW204,"# ?/??"))&amp;CHAR(34)&amp;"  ","")&amp;IF(ISNUMBER($BX204),"D "&amp;TRIM(TEXT($BX204,"# ?/??"))&amp;CHAR(34)&amp;"  ","")&amp;IF(ISNUMBER($BY204),"F "&amp;TRIM(TEXT($BY204,"# ?/??"))&amp;CHAR(34)&amp;"  ","")&amp;IF(ISNUMBER($BZ204),"E "&amp;TRIM(TEXT($BZ204,"# ?/??"))&amp;CHAR(34)&amp;"  ","")))</f>
        <v/>
      </c>
      <c r="CZ204" s="85">
        <f>IF(OR($CS204,N($BJ204)=0),"",TRIM(IF(ISNUMBER($BU204),"A "&amp;TRIM(TEXT($BU204-HeadClr,"# ?/??"))&amp;CHAR(34)&amp;"  ","")&amp;IF(ISNUMBER($BV204),"B "&amp;TRIM(TEXT($BV204-HeadClr,"# ?/??"))&amp;CHAR(34)&amp;"  ","")&amp;IF(ISNUMBER($BW204),"C "&amp;TRIM(TEXT($BW204-HeadClr,"# ?/??"))&amp;CHAR(34)&amp;"  ","")&amp;IF(ISNUMBER($BX204),"D "&amp;TRIM(TEXT($BX204-HeadClr,"# ?/??"))&amp;CHAR(34)&amp;"  ","")&amp;IF(ISNUMBER($BY204),"F "&amp;TRIM(TEXT($BY204-HeadClr,"# ?/??"))&amp;CHAR(34)&amp;"  ","")&amp;IF(ISNUMBER($BZ204),"E "&amp;TRIM(TEXT($BZ204-HeadClr,"# ?/??"))&amp;CHAR(34)&amp;"  ","")))</f>
        <v/>
      </c>
      <c r="DA204" s="84">
        <f>IF($A204="","",IF($AN204="",IFERROR(VLOOKUP($Z204,CODES,2,FALSE),""),IFERROR(VLOOKUP($AN204,CODES,2,FALSE),"")))</f>
        <v/>
      </c>
      <c r="DB204" s="84">
        <f>IF($A204="","",IF($O204="Y","PR",IF(OR($Z204="L",$Z204="RR",LEFT($Z204,2)="L-",LEFT($Z204,3)="RR-"),"LH","RH")))</f>
        <v/>
      </c>
      <c r="DC204" s="84">
        <f>IF($A204="","","S.HM"&amp;IF(OR($C204="DOOR ONLY",$X204&lt;&gt;"KD"),"MASONRY","DRYWALL")&amp;IF($C204="DOOR ONLY","",$U204)&amp;IF(AND($C204&lt;&gt;"FRAME ONLY",OR(LEFT($AH204,3)="OAK",LEFT($AH204,3)="BIR",LEFT($AH204,3)="MAP",$AH204="PC",$AH204="MC",$AH204="SCLC",$AH204="P-LAM")),"WD","HM")&amp;"1.75")</f>
        <v/>
      </c>
      <c r="DD204" s="84">
        <f>IF($CJ204="","",IF($O204="Y",$CJ204,SUBSTITUTE($CJ204,$BG204&amp;" "&amp;IFERROR(VLOOKUP($Z204,CODES,2,FALSE),"")&amp;" ",$BG204&amp;" ")))</f>
        <v/>
      </c>
      <c r="DE204" s="84">
        <f>IF($CK204="","",IF($O204="Y",$CK204,SUBSTITUTE($CK204,$BG204&amp;" "&amp;IF($AN204="",IFERROR(VLOOKUP($Z204,CODES,2,FALSE),""),IFERROR(VLOOKUP($AN204,CODES,2,FALSE),""))&amp;" ",$BG204&amp;" ")))</f>
        <v/>
      </c>
      <c r="DF204" s="84">
        <f>IF($CJ204="","",$DC204&amp;"|"&amp;$DD204&amp;"|"&amp;$DB204&amp;"|"&amp;$AT204&amp;"|"&amp;$V204&amp;"|"&amp;$Y204&amp;"|"&amp;$AB204)</f>
        <v/>
      </c>
      <c r="DG204" s="84">
        <f>IF(DF204="","",IF(COUNTIF($DF$6:DF204,DF204)=1,MAX($DG$5:DG203)+1,INDEX($DG$5:DG203,MATCH(DF204,$DF$5:DF203,0))))</f>
        <v/>
      </c>
      <c r="DH204" s="84">
        <f>IF($CK204="","",$DC204&amp;"|"&amp;$DE204&amp;"|"&amp;$AI204&amp;"|"&amp;$BK204&amp;"|"&amp;$BL204)</f>
        <v/>
      </c>
      <c r="DI204" s="84">
        <f>IF(DH204="","",IF(COUNTIF($DH$6:DH204,DH204)=1,MAX($DI$5:DI203)+1,INDEX($DI$5:DI203,MATCH(DH204,$DH$5:DH203,0))))</f>
        <v/>
      </c>
      <c r="DJ204" s="84">
        <f>IF($A204="","",IF($B204="","qty, ","")&amp;IF($C204="","scope, ","")&amp;IF(OR($K204="",$M204=""),"size, ","")&amp;IF(AND($A204&lt;&gt;"",$C204&lt;&gt;"DOOR ONLY"),IF($U204="","jamb depth, ","")&amp;IF($X204="","construction, ","")&amp;IF($Y204="","anchor, ","")&amp;IF($S204="","frame type, ",""),"")&amp;IF(AND(N($BJ204)&gt;0,$Z204=""),"hand, ","")&amp;IF(N($BJ204)&gt;0,IF($AH204="","door material, ","")&amp;IF($AL204="","face type, ","")&amp;IF($AP204="","lock prep, ","")&amp;IF(AND($AO204="",$AC204=""),"hinge prep, ",""),"")&amp;IF(AND($CH204&gt;0,$AH204="FRP"),"FRP cannot carry a label, ","")&amp;IF(AND($O204="Y",OR($Z204="L",$Z204="R",$Z204="LR",$Z204="RR")),"pair marked but hand is single, ","")&amp;IF(AND($O204&lt;&gt;"Y",OR($Z204="PR",AND(LEN($Z204)&gt;1,ISNUMBER(SEARCH("-",$Z204))))),"pair hand on a single door, ","")&amp;IF(AND(ISNUMBER($CI204),$CH204&lt;N($CI204)),"wall needs a "&amp;$CI204&amp;" min door, ","")&amp;IF(AND($CH204&gt;=180,AND(OR($CE204="FG",$CE204="HG",$CE204="FNV",$CE204="FV"),N($CF204)*N($CG204)&gt;100)),"180 min lite over 100 sq in, ","")&amp;IF(N($BK204)&gt;48,"leaf wider than 4'-0"&amp;CHAR(34)&amp;", ","")&amp;IF(AND($CT204,COUNT($AW204:$AZ204)=0,$CQ204&gt;0),"CUSTOM LOC with no locations typed, ",""))</f>
        <v/>
      </c>
      <c r="DK204" s="84">
        <f>IF($A204="","",IF(AND($CH204&gt;0,AND($A204&lt;&gt;"",$C204&lt;&gt;"DOOR ONLY"),$X204="KD",$E204="EXTERIOR"),"KD label on an exterior opening, ","")&amp;IF(AND($E204="EXTERIOR",OR(AND(AND($A204&lt;&gt;"",$C204&lt;&gt;"DOOR ONLY"),$W204="CR"),AND(N($BJ204)&gt;0,$AH204="CR"))),"exterior in CR steel (G9?), ","")&amp;IF(AND(ISNUMBER($BQ204),N($BQ204)&lt;32),"clear width ~"&amp;TEXT($BQ204,"0.0")&amp;CHAR(34)&amp;" under 32"&amp;CHAR(34)&amp;" (ADA), ","")&amp;IF(AND($CH204=90,AND(OR($CE204="FG",$CE204="HG",$CE204="FNV",$CE204="FV"),N($CF204)*N($CG204)&gt;100)),"90 min lite over 100 sq in (stair/exit), ","")&amp;IF(AND($CH204&gt;0,AND($A204&lt;&gt;"",$C204&lt;&gt;"DOOR ONLY"),OR($AF204="",$AF204="-")),"rated: closer reinf.?, ","")&amp;IF(OR($I204="CORRIDOR",$I204="SMOKE BARRIER"),"S label + smoke gasketing, ","")&amp;IF($CI204="?","wall type/hr not in IBC table, ","")&amp;IF(AND(N($BJ204)&gt;0,$BB204=""),"no hardware set, ","")&amp;IF(AND($BB204&lt;&gt;"",ISNA(MATCH($BB204&amp;"",HWSets,0))),"set "&amp;$BB204&amp;" not on HW Sets, ","")&amp;IF(N($BL204)&gt;96,"leaf over 8'-0"&amp;CHAR(34)&amp;" - check listing, ","")&amp;IF(AND($CT204,COUNT($AW204:$AZ204)&gt;0,COUNT($AW204:$AZ204)&lt;&gt;$CQ204),COUNT($AW204:$AZ204)&amp;" custom hinges typed, "&amp;$CQ204&amp;" expected, ","")&amp;IF(AND(ISNUMBER($CA204),OR(N($CA204)&lt;34,N($CA204)&gt;48)),"lock "&amp;TEXT($CA204,"0.0")&amp;CHAR(34)&amp;" AFF outside 34-48"&amp;CHAR(34)&amp;" (ADA), ","")&amp;IF(AND(ISNUMBER($AV204),ISNUMBER($BL204),N($AV204)&lt;IF(N($BL204)&lt;=60,2,IF(N($BL204)&lt;=90,3,IF(N($BL204)&lt;=120,4,5)))),"fewer hinges than standard, ",""))</f>
        <v/>
      </c>
    </row>
    <row r="205" ht="15" customHeight="1">
      <c r="A205" s="92" t="n"/>
      <c r="B205" s="93" t="n"/>
      <c r="C205" s="93" t="n"/>
      <c r="D205" s="93" t="n"/>
      <c r="E205" s="93" t="n"/>
      <c r="F205" s="93" t="n"/>
      <c r="G205" s="93" t="n"/>
      <c r="H205" s="93" t="n"/>
      <c r="I205" s="93" t="n"/>
      <c r="J205" s="93" t="n"/>
      <c r="K205" s="93" t="n"/>
      <c r="L205" s="93" t="n"/>
      <c r="M205" s="93" t="n"/>
      <c r="N205" s="93" t="n"/>
      <c r="O205" s="93" t="n"/>
      <c r="P205" s="93" t="n"/>
      <c r="Q205" s="93" t="n"/>
      <c r="R205" s="93" t="n"/>
      <c r="S205" s="94" t="n"/>
      <c r="T205" s="94" t="n"/>
      <c r="U205" s="94" t="n"/>
      <c r="V205" s="94" t="n"/>
      <c r="W205" s="94" t="n"/>
      <c r="X205" s="94" t="n"/>
      <c r="Y205" s="94" t="n"/>
      <c r="Z205" s="94" t="n"/>
      <c r="AA205" s="94" t="n"/>
      <c r="AB205" s="94" t="n"/>
      <c r="AC205" s="94" t="n"/>
      <c r="AD205" s="94" t="n"/>
      <c r="AE205" s="94" t="n"/>
      <c r="AF205" s="94" t="n"/>
      <c r="AG205" s="94" t="n"/>
      <c r="AH205" s="95" t="n"/>
      <c r="AI205" s="95" t="n"/>
      <c r="AJ205" s="95" t="n"/>
      <c r="AK205" s="95" t="n"/>
      <c r="AL205" s="95" t="n"/>
      <c r="AM205" s="95" t="n"/>
      <c r="AN205" s="95" t="n"/>
      <c r="AO205" s="95" t="n"/>
      <c r="AP205" s="95" t="n"/>
      <c r="AQ205" s="95" t="n"/>
      <c r="AR205" s="95" t="n"/>
      <c r="AS205" s="95" t="n"/>
      <c r="AT205" s="96" t="n"/>
      <c r="AU205" s="96" t="n"/>
      <c r="AV205" s="96" t="n"/>
      <c r="AW205" s="97" t="n"/>
      <c r="AX205" s="97" t="n"/>
      <c r="AY205" s="97" t="n"/>
      <c r="AZ205" s="97" t="n"/>
      <c r="BA205" s="97" t="n"/>
      <c r="BB205" s="98" t="n"/>
      <c r="BC205" s="98" t="n"/>
      <c r="BD205" s="99">
        <f>IF($A205="","",IF($DJ205&lt;&gt;"","FIX",IF($DK205&lt;&gt;"","CHECK","OK")))</f>
        <v/>
      </c>
      <c r="BE205" s="100">
        <f>IF($A205="","",IF($DJ205&lt;&gt;"","FIX: "&amp;LEFT($DJ205,LEN($DJ205)-2)&amp;IF($DK205&lt;&gt;"","  ·  ",""),"")&amp;IF($DK205&lt;&gt;"","CHECK: "&amp;LEFT($DK205,LEN($DK205)-2),""))</f>
        <v/>
      </c>
      <c r="BF205" s="99">
        <f>IF(OR($A205="",$K205=""),"",$K205&amp;"'-"&amp;N($L205)&amp;CHAR(34)&amp;" x "&amp;$M205&amp;"'-"&amp;N($N205)&amp;CHAR(34))</f>
        <v/>
      </c>
      <c r="BG205" s="99">
        <f>IF(OR($A205="",$K205=""),"",$K205&amp;N($L205)&amp;$M205&amp;N($N205))</f>
        <v/>
      </c>
      <c r="BH205" s="99">
        <f>IF(OR($A205="",$K205=""),"",$K205*12+N($L205))</f>
        <v/>
      </c>
      <c r="BI205" s="99">
        <f>IF(OR($A205="",$M205=""),"",$M205*12+N($N205))</f>
        <v/>
      </c>
      <c r="BJ205" s="99">
        <f>IF($A205="","",IF(OR($C205="FRAME ONLY",$S205="BL"),0,IF($O205="Y",2,1)))</f>
        <v/>
      </c>
      <c r="BK205" s="101">
        <f>IF(OR(N($BJ205)=0,$BH205=""),"",($BH205-2*EdgeClr-IF($BJ205=2,MeetClr,0))/$BJ205)</f>
        <v/>
      </c>
      <c r="BL205" s="101">
        <f>IF(OR(N($BJ205)=0,$BI205=""),"",$BI205-HeadClr-Undercut)</f>
        <v/>
      </c>
      <c r="BM205" s="101">
        <f>IF($BH205="","",$BH205+2*FaceW+IF(N($Q205)&gt;0,($Q205+FaceW)*IF($R205="LR",2,1),0))</f>
        <v/>
      </c>
      <c r="BN205" s="101">
        <f>IF($BI205="","",$BI205+IF($AB205="Y",4,FaceW)+IF(N($P205)&gt;0,$P205+FaceW,0)+IF(OR($S205="4F",$S205="BL"),FaceW,0))</f>
        <v/>
      </c>
      <c r="BO205" s="101">
        <f>IF($BM205="","",$BM205+2*ROSide)</f>
        <v/>
      </c>
      <c r="BP205" s="101">
        <f>IF($BN205="","",$BN205+ROTop)</f>
        <v/>
      </c>
      <c r="BQ205" s="102">
        <f>IF(OR(N($BJ205)=0,$BH205=""),"",$BH205/$BJ205-ClearDeduct)</f>
        <v/>
      </c>
      <c r="BR205" s="99">
        <f>IF(N($CH205)=0,"",IF($CH205&gt;=180,"A · 3 HR",IF($CH205&gt;=90,"B · 1-1/2 HR",IF($CH205&gt;=60,"B · 1 HR",IF($CH205&gt;=45,"C · 3/4 HR","20 MIN")))))&amp;IF(AND(N($CH205)&gt;0,OR($I205="CORRIDOR",$I205="SMOKE BARRIER"))," · S","")</f>
        <v/>
      </c>
      <c r="BS205" s="99">
        <f>IF($CS205,"",IF($AV205&lt;&gt;"",$AV205,IF(OR($AC205="HGC",$AO205="HGC"),"CONT",IF(($BI205-HeadClr-Undercut)&lt;=60,2,IF(($BI205-HeadClr-Undercut)&lt;=90,3,IF(($BI205-HeadClr-Undercut)&lt;=120,4,5))))))</f>
        <v/>
      </c>
      <c r="BT205" s="99">
        <f>IF($CS205,"",IF($CT205,"CUSTOM (typed)",IF($CV205,$AT205&amp;" "&amp;$CU205&amp;CHAR(34)&amp;IF($CU205&lt;&gt;$BI205,IF(AND($BI205&lt;$CU205,$BI205-IF(N(VLOOKUP($AT205&amp;"|"&amp;$CU205,LocTable,7,FALSE))&gt;0,VLOOKUP($AT205&amp;"|"&amp;$CU205,LocTable,7,FALSE),VLOOKUP($AT205&amp;"|"&amp;$CU205,LocTable,6,FALSE))-$CR205-0.75&gt;=2.125)," cut down"," adj."),""),"ANSI/SDI A250.6")))</f>
        <v/>
      </c>
      <c r="BU205" s="103">
        <f>IF($CS205,"",IF($CT205,IF(N($AW205)&gt;0,N($AW205),""),IF(1&gt;$CQ205,"",IF($CQ205=1,$CW205,$CW205+($CX205-$CW205)*0/($CQ205-1)))))</f>
        <v/>
      </c>
      <c r="BV205" s="103">
        <f>IF($CS205,"",IF($CT205,IF(N($AX205)&gt;0,N($AX205),""),IF(2&gt;$CQ205,"",IF($CQ205=1,$CW205,$CW205+($CX205-$CW205)*1/($CQ205-1)))))</f>
        <v/>
      </c>
      <c r="BW205" s="103">
        <f>IF($CS205,"",IF($CT205,IF(N($AY205)&gt;0,N($AY205),""),IF(3&gt;$CQ205,"",IF($CQ205=1,$CW205,$CW205+($CX205-$CW205)*2/($CQ205-1)))))</f>
        <v/>
      </c>
      <c r="BX205" s="103">
        <f>IF($CS205,"",IF($CT205,IF(N($AZ205)&gt;0,N($AZ205),""),IF(4&gt;$CQ205,"",IF($CQ205=1,$CW205,$CW205+($CX205-$CW205)*3/($CQ205-1)))))</f>
        <v/>
      </c>
      <c r="BY205" s="103">
        <f>IF($CS205,"",IF($CT205,"",IF(5&gt;$CQ205,"",IF($CQ205=1,$CW205,$CW205+($CX205-$CW205)*4/($CQ205-1)))))</f>
        <v/>
      </c>
      <c r="BZ205" s="103">
        <f>IF(OR($CS205,$AP205="-",AND($AP205="",$AD205="")),"",IF(N($BA205)&gt;0,N($BA205),IF($CV205,IF(AND($BI205&lt;$CU205,$BI205-IF(N(VLOOKUP($AT205&amp;"|"&amp;$CU205,LocTable,7,FALSE))&gt;0,VLOOKUP($AT205&amp;"|"&amp;$CU205,LocTable,7,FALSE),VLOOKUP($AT205&amp;"|"&amp;$CU205,LocTable,6,FALSE))-$CR205-0.75&gt;=2.125),VLOOKUP($AT205&amp;"|"&amp;$CU205,LocTable,8,FALSE),VLOOKUP($AT205&amp;"|"&amp;$CU205,LocTable,8,FALSE)+($BI205-$CU205)),$BI205-LockAFF)))</f>
        <v/>
      </c>
      <c r="CA205" s="104">
        <f>IF($BZ205="","",$BI205-$BZ205)</f>
        <v/>
      </c>
      <c r="CB205" s="99">
        <f>IF(OR(NOT(AND($A205&lt;&gt;"",$C205&lt;&gt;"DOOR ONLY")),$BI205=""),"",IF(($BI205+IF(N($P205)&gt;0,$P205+FaceW,0))&lt;=90,3,IF(($BI205+IF(N($P205)&gt;0,$P205+FaceW,0))&lt;=114,4,5)))</f>
        <v/>
      </c>
      <c r="CC205" s="99">
        <f>IF($CB205="","",$CB205*(2+IF(N($Q205)&gt;0,IF($R205="LR",2,1),0)))</f>
        <v/>
      </c>
      <c r="CD205" s="99">
        <f>IF($CB205="","",(2+IF(N($Q205)&gt;0,IF($R205="LR",2,1),0)))</f>
        <v/>
      </c>
      <c r="CE205" s="99">
        <f>IF(N($BJ205)=0,"",IF(OR($AL205="",$AL205="FLUSH"),"FLUSH",IFERROR(LEFT($AL205,FIND("-",$AL205)-1),LEFT($AL205,2))))</f>
        <v/>
      </c>
      <c r="CF205" s="99">
        <f>IF($CE205="","",IFERROR(VALUE(MID($AL205,FIND("-",$AL205)+1,FIND(CHAR(34)&amp;"x",$AL205)-FIND("-",$AL205)-1)),0))</f>
        <v/>
      </c>
      <c r="CG205" s="99">
        <f>IF($CE205="","",IFERROR(VALUE(MID($AL205,FIND(CHAR(34)&amp;"x",$AL205)+2,FIND(CHAR(34),$AL205,FIND(CHAR(34)&amp;"x",$AL205)+2)-FIND(CHAR(34)&amp;"x",$AL205)-2)),0))</f>
        <v/>
      </c>
      <c r="CH205" s="105">
        <f>IF(OR($A205="",$H205="",$H205="NO LAB"),0,IFERROR(VALUE(LEFT($H205,FIND(" ",$H205)-1)),0))</f>
        <v/>
      </c>
      <c r="CI205" s="106">
        <f>IF(OR($A205="",$I205="",$I205="NON-RATED",N($J205)=0),"",IFERROR(VLOOKUP($I205&amp;"|"&amp;$J205,IBC,2,FALSE),"?"))</f>
        <v/>
      </c>
      <c r="CJ205" s="100">
        <f>IF(NOT(AND($A205&lt;&gt;"",$C205&lt;&gt;"DOOR ONLY")),"",TRIM(IFERROR(VLOOKUP($U205,CODES,2,FALSE),"")&amp;" "&amp;$BG205&amp;" "&amp;IFERROR(VLOOKUP($Z205,CODES,2,FALSE),"")&amp;" "&amp;IFERROR(VLOOKUP($X205,CODES,2,FALSE),"")&amp;" "&amp;IFERROR(VLOOKUP($S205,CODES,2,FALSE),"")&amp;IF(N($P205)&gt;0," w/TRANSOM "&amp;$P205&amp;CHAR(34),"")&amp;IF(N($Q205)&gt;0," w/SIDELITE "&amp;$Q205&amp;CHAR(34)&amp;" "&amp;IF($R205="","R",$R205),"")&amp;IF($Y205="","  |  "," | "&amp;IFERROR(VLOOKUP($Y205,CODES,2,FALSE),"")&amp;" | ")&amp;IFERROR(VLOOKUP($AC205,CODES,2,FALSE),"")&amp;" "&amp;IFERROR(VLOOKUP($AD205,CODES,2,FALSE),"")&amp;IF(OR($AE205="",$AE205="-"),""," "&amp;$AE205)&amp;IF(OR($AF205="",$AF205="-"),""," "&amp;$AF205)&amp;IF($AB205="Y"," 4"&amp;CHAR(34)&amp;" HEAD","")&amp;" "&amp;IFERROR(VLOOKUP($H205,CODES,2,FALSE),"")&amp;IF($CT205," | LOC "&amp;$CY205,"")))</f>
        <v/>
      </c>
      <c r="CK205" s="100">
        <f>IF(NOT(AND($A205&lt;&gt;"",N($BJ205)&gt;0)),"",TRIM(IFERROR(VLOOKUP($AH205,CODES,2,FALSE),"")&amp;IF($AI205=""," "," "&amp;$AI205&amp;"GA ")&amp;$BG205&amp;" "&amp;IF($AN205="",IFERROR(VLOOKUP($Z205,CODES,2,FALSE),""),IFERROR(VLOOKUP($AN205,CODES,2,FALSE),""))&amp;IF($BJ205=2," PAIR","")&amp;" DOOR | "&amp;IF($AL205="","?",$AL205)&amp;" | "&amp;IF($AO205="",IFERROR(VLOOKUP($AC205,CODES,2,FALSE),""),IFERROR(VLOOKUP($AO205,CODES,2,FALSE),""))&amp;" "&amp;IFERROR(VLOOKUP($AP205,CODES,2,FALSE),"")&amp;IF(OR($AQ205="",$AQ205="-"),""," SEAM "&amp;$AQ205)&amp;IF($AR205="Y"," ASTRAGAL","")&amp;IF($AJ205=""," "," "&amp;$AJ205)&amp;IF($AK205=""," "," "&amp;$AK205)&amp;IF(OR($AT205="",$AT205="ANSI/SDI",$AT205="CUSTOM LOC"),""," "&amp;$AT205)&amp;IF($AM205=""," "," SERIES "&amp;$AM205)&amp;" "&amp;IFERROR(VLOOKUP($H205,CODES,2,FALSE),"")&amp;IF($CT205," | LOC "&amp;$CZ205,"")))</f>
        <v/>
      </c>
      <c r="CL205" s="99">
        <f>IF(CP205="","",IF(COUNTIF($CP$6:CP205,CP205)=1,MAX($CL$5:CL204)+1,INDEX($CL$5:CL204,MATCH(CP205,$CP$5:CP204,0))))</f>
        <v/>
      </c>
      <c r="CM205" s="99">
        <f>IF(NOT(AND($A205&lt;&gt;"",$C205&lt;&gt;"DOOR ONLY")),"",MAX($CM$5:CM204)+1)</f>
        <v/>
      </c>
      <c r="CN205" s="99">
        <f>IF(NOT(AND($A205&lt;&gt;"",N($BJ205)&gt;0)),"",MAX($CN$5:CN204)+1)</f>
        <v/>
      </c>
      <c r="CO205" s="99">
        <f>IF($A205="","",MAX($CO$5:CO204)+1)</f>
        <v/>
      </c>
      <c r="CP205" s="99">
        <f>IF(OR($A205="",$BH205="",$BI205=""),"",$BG205&amp;"|"&amp;$O205&amp;"|"&amp;$AL205&amp;"|"&amp;$S205&amp;"|"&amp;$P205&amp;"|"&amp;$Q205&amp;$R205&amp;"|"&amp;$C205&amp;"|"&amp;$AB205)</f>
        <v/>
      </c>
      <c r="CQ205" s="99">
        <f>N($BS205)</f>
        <v/>
      </c>
      <c r="CR205" s="99">
        <f>IF(N($AU205)&gt;0,N($AU205),4.5)</f>
        <v/>
      </c>
      <c r="CS205" s="99">
        <f>OR($A205="",$BI205="",$S205="BL",AND($C205="FRAME ONLY",OR($AC205="",$AC205="BLK")))</f>
        <v/>
      </c>
      <c r="CT205" s="99">
        <f>AND(NOT($CS205),OR($AT205="CUSTOM LOC",N($AW205)+N($AX205)+N($AY205)+N($AZ205)+N($BA205)&gt;0))</f>
        <v/>
      </c>
      <c r="CU205" s="99">
        <f>IF($BI205="","",IF($BI205&lt;=80,80,IF($BI205&lt;=84,84,96)))</f>
        <v/>
      </c>
      <c r="CV205" s="99">
        <f>ISNUMBER(MATCH($AT205&amp;"|80",LocKeys,0))</f>
        <v/>
      </c>
      <c r="CW205" s="101">
        <f>IF($CS205,"",IF($CV205,VLOOKUP($AT205&amp;"|"&amp;$CU205,LocTable,4,FALSE),5))</f>
        <v/>
      </c>
      <c r="CX205" s="101">
        <f>IF($CS205,"",IF($CV205,IF(OR($BI205=$CU205,AND($BI205&lt;$CU205,$BI205-IF(N(VLOOKUP($AT205&amp;"|"&amp;$CU205,LocTable,7,FALSE))&gt;0,VLOOKUP($AT205&amp;"|"&amp;$CU205,LocTable,7,FALSE),VLOOKUP($AT205&amp;"|"&amp;$CU205,LocTable,6,FALSE))-$CR205-0.75&gt;=2.125)),IF(N(VLOOKUP($AT205&amp;"|"&amp;$CU205,LocTable,7,FALSE))&gt;0,VLOOKUP($AT205&amp;"|"&amp;$CU205,LocTable,7,FALSE),VLOOKUP($AT205&amp;"|"&amp;$CU205,LocTable,6,FALSE)),$BI205-($CU205-IF(N(VLOOKUP($AT205&amp;"|"&amp;$CU205,LocTable,7,FALSE))&gt;0,VLOOKUP($AT205&amp;"|"&amp;$CU205,LocTable,7,FALSE),VLOOKUP($AT205&amp;"|"&amp;$CU205,LocTable,6,FALSE)))),$BI205-10-$CR205))</f>
        <v/>
      </c>
      <c r="CY205" s="100">
        <f>IF($CS205,"",TRIM(IF(ISNUMBER($BU205),"A "&amp;TRIM(TEXT($BU205,"# ?/??"))&amp;CHAR(34)&amp;"  ","")&amp;IF(ISNUMBER($BV205),"B "&amp;TRIM(TEXT($BV205,"# ?/??"))&amp;CHAR(34)&amp;"  ","")&amp;IF(ISNUMBER($BW205),"C "&amp;TRIM(TEXT($BW205,"# ?/??"))&amp;CHAR(34)&amp;"  ","")&amp;IF(ISNUMBER($BX205),"D "&amp;TRIM(TEXT($BX205,"# ?/??"))&amp;CHAR(34)&amp;"  ","")&amp;IF(ISNUMBER($BY205),"F "&amp;TRIM(TEXT($BY205,"# ?/??"))&amp;CHAR(34)&amp;"  ","")&amp;IF(ISNUMBER($BZ205),"E "&amp;TRIM(TEXT($BZ205,"# ?/??"))&amp;CHAR(34)&amp;"  ","")))</f>
        <v/>
      </c>
      <c r="CZ205" s="100">
        <f>IF(OR($CS205,N($BJ205)=0),"",TRIM(IF(ISNUMBER($BU205),"A "&amp;TRIM(TEXT($BU205-HeadClr,"# ?/??"))&amp;CHAR(34)&amp;"  ","")&amp;IF(ISNUMBER($BV205),"B "&amp;TRIM(TEXT($BV205-HeadClr,"# ?/??"))&amp;CHAR(34)&amp;"  ","")&amp;IF(ISNUMBER($BW205),"C "&amp;TRIM(TEXT($BW205-HeadClr,"# ?/??"))&amp;CHAR(34)&amp;"  ","")&amp;IF(ISNUMBER($BX205),"D "&amp;TRIM(TEXT($BX205-HeadClr,"# ?/??"))&amp;CHAR(34)&amp;"  ","")&amp;IF(ISNUMBER($BY205),"F "&amp;TRIM(TEXT($BY205-HeadClr,"# ?/??"))&amp;CHAR(34)&amp;"  ","")&amp;IF(ISNUMBER($BZ205),"E "&amp;TRIM(TEXT($BZ205-HeadClr,"# ?/??"))&amp;CHAR(34)&amp;"  ","")))</f>
        <v/>
      </c>
      <c r="DA205" s="99">
        <f>IF($A205="","",IF($AN205="",IFERROR(VLOOKUP($Z205,CODES,2,FALSE),""),IFERROR(VLOOKUP($AN205,CODES,2,FALSE),"")))</f>
        <v/>
      </c>
      <c r="DB205" s="99">
        <f>IF($A205="","",IF($O205="Y","PR",IF(OR($Z205="L",$Z205="RR",LEFT($Z205,2)="L-",LEFT($Z205,3)="RR-"),"LH","RH")))</f>
        <v/>
      </c>
      <c r="DC205" s="99">
        <f>IF($A205="","","S.HM"&amp;IF(OR($C205="DOOR ONLY",$X205&lt;&gt;"KD"),"MASONRY","DRYWALL")&amp;IF($C205="DOOR ONLY","",$U205)&amp;IF(AND($C205&lt;&gt;"FRAME ONLY",OR(LEFT($AH205,3)="OAK",LEFT($AH205,3)="BIR",LEFT($AH205,3)="MAP",$AH205="PC",$AH205="MC",$AH205="SCLC",$AH205="P-LAM")),"WD","HM")&amp;"1.75")</f>
        <v/>
      </c>
      <c r="DD205" s="99">
        <f>IF($CJ205="","",IF($O205="Y",$CJ205,SUBSTITUTE($CJ205,$BG205&amp;" "&amp;IFERROR(VLOOKUP($Z205,CODES,2,FALSE),"")&amp;" ",$BG205&amp;" ")))</f>
        <v/>
      </c>
      <c r="DE205" s="99">
        <f>IF($CK205="","",IF($O205="Y",$CK205,SUBSTITUTE($CK205,$BG205&amp;" "&amp;IF($AN205="",IFERROR(VLOOKUP($Z205,CODES,2,FALSE),""),IFERROR(VLOOKUP($AN205,CODES,2,FALSE),""))&amp;" ",$BG205&amp;" ")))</f>
        <v/>
      </c>
      <c r="DF205" s="99">
        <f>IF($CJ205="","",$DC205&amp;"|"&amp;$DD205&amp;"|"&amp;$DB205&amp;"|"&amp;$AT205&amp;"|"&amp;$V205&amp;"|"&amp;$Y205&amp;"|"&amp;$AB205)</f>
        <v/>
      </c>
      <c r="DG205" s="99">
        <f>IF(DF205="","",IF(COUNTIF($DF$6:DF205,DF205)=1,MAX($DG$5:DG204)+1,INDEX($DG$5:DG204,MATCH(DF205,$DF$5:DF204,0))))</f>
        <v/>
      </c>
      <c r="DH205" s="99">
        <f>IF($CK205="","",$DC205&amp;"|"&amp;$DE205&amp;"|"&amp;$AI205&amp;"|"&amp;$BK205&amp;"|"&amp;$BL205)</f>
        <v/>
      </c>
      <c r="DI205" s="99">
        <f>IF(DH205="","",IF(COUNTIF($DH$6:DH205,DH205)=1,MAX($DI$5:DI204)+1,INDEX($DI$5:DI204,MATCH(DH205,$DH$5:DH204,0))))</f>
        <v/>
      </c>
      <c r="DJ205" s="99">
        <f>IF($A205="","",IF($B205="","qty, ","")&amp;IF($C205="","scope, ","")&amp;IF(OR($K205="",$M205=""),"size, ","")&amp;IF(AND($A205&lt;&gt;"",$C205&lt;&gt;"DOOR ONLY"),IF($U205="","jamb depth, ","")&amp;IF($X205="","construction, ","")&amp;IF($Y205="","anchor, ","")&amp;IF($S205="","frame type, ",""),"")&amp;IF(AND(N($BJ205)&gt;0,$Z205=""),"hand, ","")&amp;IF(N($BJ205)&gt;0,IF($AH205="","door material, ","")&amp;IF($AL205="","face type, ","")&amp;IF($AP205="","lock prep, ","")&amp;IF(AND($AO205="",$AC205=""),"hinge prep, ",""),"")&amp;IF(AND($CH205&gt;0,$AH205="FRP"),"FRP cannot carry a label, ","")&amp;IF(AND($O205="Y",OR($Z205="L",$Z205="R",$Z205="LR",$Z205="RR")),"pair marked but hand is single, ","")&amp;IF(AND($O205&lt;&gt;"Y",OR($Z205="PR",AND(LEN($Z205)&gt;1,ISNUMBER(SEARCH("-",$Z205))))),"pair hand on a single door, ","")&amp;IF(AND(ISNUMBER($CI205),$CH205&lt;N($CI205)),"wall needs a "&amp;$CI205&amp;" min door, ","")&amp;IF(AND($CH205&gt;=180,AND(OR($CE205="FG",$CE205="HG",$CE205="FNV",$CE205="FV"),N($CF205)*N($CG205)&gt;100)),"180 min lite over 100 sq in, ","")&amp;IF(N($BK205)&gt;48,"leaf wider than 4'-0"&amp;CHAR(34)&amp;", ","")&amp;IF(AND($CT205,COUNT($AW205:$AZ205)=0,$CQ205&gt;0),"CUSTOM LOC with no locations typed, ",""))</f>
        <v/>
      </c>
      <c r="DK205" s="99">
        <f>IF($A205="","",IF(AND($CH205&gt;0,AND($A205&lt;&gt;"",$C205&lt;&gt;"DOOR ONLY"),$X205="KD",$E205="EXTERIOR"),"KD label on an exterior opening, ","")&amp;IF(AND($E205="EXTERIOR",OR(AND(AND($A205&lt;&gt;"",$C205&lt;&gt;"DOOR ONLY"),$W205="CR"),AND(N($BJ205)&gt;0,$AH205="CR"))),"exterior in CR steel (G9?), ","")&amp;IF(AND(ISNUMBER($BQ205),N($BQ205)&lt;32),"clear width ~"&amp;TEXT($BQ205,"0.0")&amp;CHAR(34)&amp;" under 32"&amp;CHAR(34)&amp;" (ADA), ","")&amp;IF(AND($CH205=90,AND(OR($CE205="FG",$CE205="HG",$CE205="FNV",$CE205="FV"),N($CF205)*N($CG205)&gt;100)),"90 min lite over 100 sq in (stair/exit), ","")&amp;IF(AND($CH205&gt;0,AND($A205&lt;&gt;"",$C205&lt;&gt;"DOOR ONLY"),OR($AF205="",$AF205="-")),"rated: closer reinf.?, ","")&amp;IF(OR($I205="CORRIDOR",$I205="SMOKE BARRIER"),"S label + smoke gasketing, ","")&amp;IF($CI205="?","wall type/hr not in IBC table, ","")&amp;IF(AND(N($BJ205)&gt;0,$BB205=""),"no hardware set, ","")&amp;IF(AND($BB205&lt;&gt;"",ISNA(MATCH($BB205&amp;"",HWSets,0))),"set "&amp;$BB205&amp;" not on HW Sets, ","")&amp;IF(N($BL205)&gt;96,"leaf over 8'-0"&amp;CHAR(34)&amp;" - check listing, ","")&amp;IF(AND($CT205,COUNT($AW205:$AZ205)&gt;0,COUNT($AW205:$AZ205)&lt;&gt;$CQ205),COUNT($AW205:$AZ205)&amp;" custom hinges typed, "&amp;$CQ205&amp;" expected, ","")&amp;IF(AND(ISNUMBER($CA205),OR(N($CA205)&lt;34,N($CA205)&gt;48)),"lock "&amp;TEXT($CA205,"0.0")&amp;CHAR(34)&amp;" AFF outside 34-48"&amp;CHAR(34)&amp;" (ADA), ","")&amp;IF(AND(ISNUMBER($AV205),ISNUMBER($BL205),N($AV205)&lt;IF(N($BL205)&lt;=60,2,IF(N($BL205)&lt;=90,3,IF(N($BL205)&lt;=120,4,5)))),"fewer hinges than standard, ",""))</f>
        <v/>
      </c>
    </row>
    <row r="206" ht="15" customHeight="1">
      <c r="A206" s="77" t="n"/>
      <c r="B206" s="78" t="n"/>
      <c r="C206" s="78" t="n"/>
      <c r="D206" s="78" t="n"/>
      <c r="E206" s="78" t="n"/>
      <c r="F206" s="78" t="n"/>
      <c r="G206" s="78" t="n"/>
      <c r="H206" s="78" t="n"/>
      <c r="I206" s="78" t="n"/>
      <c r="J206" s="78" t="n"/>
      <c r="K206" s="78" t="n"/>
      <c r="L206" s="78" t="n"/>
      <c r="M206" s="78" t="n"/>
      <c r="N206" s="78" t="n"/>
      <c r="O206" s="78" t="n"/>
      <c r="P206" s="78" t="n"/>
      <c r="Q206" s="78" t="n"/>
      <c r="R206" s="78" t="n"/>
      <c r="S206" s="79" t="n"/>
      <c r="T206" s="79" t="n"/>
      <c r="U206" s="79" t="n"/>
      <c r="V206" s="79" t="n"/>
      <c r="W206" s="79" t="n"/>
      <c r="X206" s="79" t="n"/>
      <c r="Y206" s="79" t="n"/>
      <c r="Z206" s="79" t="n"/>
      <c r="AA206" s="79" t="n"/>
      <c r="AB206" s="79" t="n"/>
      <c r="AC206" s="79" t="n"/>
      <c r="AD206" s="79" t="n"/>
      <c r="AE206" s="79" t="n"/>
      <c r="AF206" s="79" t="n"/>
      <c r="AG206" s="79" t="n"/>
      <c r="AH206" s="80" t="n"/>
      <c r="AI206" s="80" t="n"/>
      <c r="AJ206" s="80" t="n"/>
      <c r="AK206" s="80" t="n"/>
      <c r="AL206" s="80" t="n"/>
      <c r="AM206" s="80" t="n"/>
      <c r="AN206" s="80" t="n"/>
      <c r="AO206" s="80" t="n"/>
      <c r="AP206" s="80" t="n"/>
      <c r="AQ206" s="80" t="n"/>
      <c r="AR206" s="80" t="n"/>
      <c r="AS206" s="80" t="n"/>
      <c r="AT206" s="81" t="n"/>
      <c r="AU206" s="81" t="n"/>
      <c r="AV206" s="81" t="n"/>
      <c r="AW206" s="82" t="n"/>
      <c r="AX206" s="82" t="n"/>
      <c r="AY206" s="82" t="n"/>
      <c r="AZ206" s="82" t="n"/>
      <c r="BA206" s="82" t="n"/>
      <c r="BB206" s="83" t="n"/>
      <c r="BC206" s="83" t="n"/>
      <c r="BD206" s="84">
        <f>IF($A206="","",IF($DJ206&lt;&gt;"","FIX",IF($DK206&lt;&gt;"","CHECK","OK")))</f>
        <v/>
      </c>
      <c r="BE206" s="85">
        <f>IF($A206="","",IF($DJ206&lt;&gt;"","FIX: "&amp;LEFT($DJ206,LEN($DJ206)-2)&amp;IF($DK206&lt;&gt;"","  ·  ",""),"")&amp;IF($DK206&lt;&gt;"","CHECK: "&amp;LEFT($DK206,LEN($DK206)-2),""))</f>
        <v/>
      </c>
      <c r="BF206" s="84">
        <f>IF(OR($A206="",$K206=""),"",$K206&amp;"'-"&amp;N($L206)&amp;CHAR(34)&amp;" x "&amp;$M206&amp;"'-"&amp;N($N206)&amp;CHAR(34))</f>
        <v/>
      </c>
      <c r="BG206" s="84">
        <f>IF(OR($A206="",$K206=""),"",$K206&amp;N($L206)&amp;$M206&amp;N($N206))</f>
        <v/>
      </c>
      <c r="BH206" s="84">
        <f>IF(OR($A206="",$K206=""),"",$K206*12+N($L206))</f>
        <v/>
      </c>
      <c r="BI206" s="84">
        <f>IF(OR($A206="",$M206=""),"",$M206*12+N($N206))</f>
        <v/>
      </c>
      <c r="BJ206" s="84">
        <f>IF($A206="","",IF(OR($C206="FRAME ONLY",$S206="BL"),0,IF($O206="Y",2,1)))</f>
        <v/>
      </c>
      <c r="BK206" s="86">
        <f>IF(OR(N($BJ206)=0,$BH206=""),"",($BH206-2*EdgeClr-IF($BJ206=2,MeetClr,0))/$BJ206)</f>
        <v/>
      </c>
      <c r="BL206" s="86">
        <f>IF(OR(N($BJ206)=0,$BI206=""),"",$BI206-HeadClr-Undercut)</f>
        <v/>
      </c>
      <c r="BM206" s="86">
        <f>IF($BH206="","",$BH206+2*FaceW+IF(N($Q206)&gt;0,($Q206+FaceW)*IF($R206="LR",2,1),0))</f>
        <v/>
      </c>
      <c r="BN206" s="86">
        <f>IF($BI206="","",$BI206+IF($AB206="Y",4,FaceW)+IF(N($P206)&gt;0,$P206+FaceW,0)+IF(OR($S206="4F",$S206="BL"),FaceW,0))</f>
        <v/>
      </c>
      <c r="BO206" s="86">
        <f>IF($BM206="","",$BM206+2*ROSide)</f>
        <v/>
      </c>
      <c r="BP206" s="86">
        <f>IF($BN206="","",$BN206+ROTop)</f>
        <v/>
      </c>
      <c r="BQ206" s="87">
        <f>IF(OR(N($BJ206)=0,$BH206=""),"",$BH206/$BJ206-ClearDeduct)</f>
        <v/>
      </c>
      <c r="BR206" s="84">
        <f>IF(N($CH206)=0,"",IF($CH206&gt;=180,"A · 3 HR",IF($CH206&gt;=90,"B · 1-1/2 HR",IF($CH206&gt;=60,"B · 1 HR",IF($CH206&gt;=45,"C · 3/4 HR","20 MIN")))))&amp;IF(AND(N($CH206)&gt;0,OR($I206="CORRIDOR",$I206="SMOKE BARRIER"))," · S","")</f>
        <v/>
      </c>
      <c r="BS206" s="84">
        <f>IF($CS206,"",IF($AV206&lt;&gt;"",$AV206,IF(OR($AC206="HGC",$AO206="HGC"),"CONT",IF(($BI206-HeadClr-Undercut)&lt;=60,2,IF(($BI206-HeadClr-Undercut)&lt;=90,3,IF(($BI206-HeadClr-Undercut)&lt;=120,4,5))))))</f>
        <v/>
      </c>
      <c r="BT206" s="84">
        <f>IF($CS206,"",IF($CT206,"CUSTOM (typed)",IF($CV206,$AT206&amp;" "&amp;$CU206&amp;CHAR(34)&amp;IF($CU206&lt;&gt;$BI206,IF(AND($BI206&lt;$CU206,$BI206-IF(N(VLOOKUP($AT206&amp;"|"&amp;$CU206,LocTable,7,FALSE))&gt;0,VLOOKUP($AT206&amp;"|"&amp;$CU206,LocTable,7,FALSE),VLOOKUP($AT206&amp;"|"&amp;$CU206,LocTable,6,FALSE))-$CR206-0.75&gt;=2.125)," cut down"," adj."),""),"ANSI/SDI A250.6")))</f>
        <v/>
      </c>
      <c r="BU206" s="88">
        <f>IF($CS206,"",IF($CT206,IF(N($AW206)&gt;0,N($AW206),""),IF(1&gt;$CQ206,"",IF($CQ206=1,$CW206,$CW206+($CX206-$CW206)*0/($CQ206-1)))))</f>
        <v/>
      </c>
      <c r="BV206" s="88">
        <f>IF($CS206,"",IF($CT206,IF(N($AX206)&gt;0,N($AX206),""),IF(2&gt;$CQ206,"",IF($CQ206=1,$CW206,$CW206+($CX206-$CW206)*1/($CQ206-1)))))</f>
        <v/>
      </c>
      <c r="BW206" s="88">
        <f>IF($CS206,"",IF($CT206,IF(N($AY206)&gt;0,N($AY206),""),IF(3&gt;$CQ206,"",IF($CQ206=1,$CW206,$CW206+($CX206-$CW206)*2/($CQ206-1)))))</f>
        <v/>
      </c>
      <c r="BX206" s="88">
        <f>IF($CS206,"",IF($CT206,IF(N($AZ206)&gt;0,N($AZ206),""),IF(4&gt;$CQ206,"",IF($CQ206=1,$CW206,$CW206+($CX206-$CW206)*3/($CQ206-1)))))</f>
        <v/>
      </c>
      <c r="BY206" s="88">
        <f>IF($CS206,"",IF($CT206,"",IF(5&gt;$CQ206,"",IF($CQ206=1,$CW206,$CW206+($CX206-$CW206)*4/($CQ206-1)))))</f>
        <v/>
      </c>
      <c r="BZ206" s="88">
        <f>IF(OR($CS206,$AP206="-",AND($AP206="",$AD206="")),"",IF(N($BA206)&gt;0,N($BA206),IF($CV206,IF(AND($BI206&lt;$CU206,$BI206-IF(N(VLOOKUP($AT206&amp;"|"&amp;$CU206,LocTable,7,FALSE))&gt;0,VLOOKUP($AT206&amp;"|"&amp;$CU206,LocTable,7,FALSE),VLOOKUP($AT206&amp;"|"&amp;$CU206,LocTable,6,FALSE))-$CR206-0.75&gt;=2.125),VLOOKUP($AT206&amp;"|"&amp;$CU206,LocTable,8,FALSE),VLOOKUP($AT206&amp;"|"&amp;$CU206,LocTable,8,FALSE)+($BI206-$CU206)),$BI206-LockAFF)))</f>
        <v/>
      </c>
      <c r="CA206" s="89">
        <f>IF($BZ206="","",$BI206-$BZ206)</f>
        <v/>
      </c>
      <c r="CB206" s="84">
        <f>IF(OR(NOT(AND($A206&lt;&gt;"",$C206&lt;&gt;"DOOR ONLY")),$BI206=""),"",IF(($BI206+IF(N($P206)&gt;0,$P206+FaceW,0))&lt;=90,3,IF(($BI206+IF(N($P206)&gt;0,$P206+FaceW,0))&lt;=114,4,5)))</f>
        <v/>
      </c>
      <c r="CC206" s="84">
        <f>IF($CB206="","",$CB206*(2+IF(N($Q206)&gt;0,IF($R206="LR",2,1),0)))</f>
        <v/>
      </c>
      <c r="CD206" s="84">
        <f>IF($CB206="","",(2+IF(N($Q206)&gt;0,IF($R206="LR",2,1),0)))</f>
        <v/>
      </c>
      <c r="CE206" s="84">
        <f>IF(N($BJ206)=0,"",IF(OR($AL206="",$AL206="FLUSH"),"FLUSH",IFERROR(LEFT($AL206,FIND("-",$AL206)-1),LEFT($AL206,2))))</f>
        <v/>
      </c>
      <c r="CF206" s="84">
        <f>IF($CE206="","",IFERROR(VALUE(MID($AL206,FIND("-",$AL206)+1,FIND(CHAR(34)&amp;"x",$AL206)-FIND("-",$AL206)-1)),0))</f>
        <v/>
      </c>
      <c r="CG206" s="84">
        <f>IF($CE206="","",IFERROR(VALUE(MID($AL206,FIND(CHAR(34)&amp;"x",$AL206)+2,FIND(CHAR(34),$AL206,FIND(CHAR(34)&amp;"x",$AL206)+2)-FIND(CHAR(34)&amp;"x",$AL206)-2)),0))</f>
        <v/>
      </c>
      <c r="CH206" s="90">
        <f>IF(OR($A206="",$H206="",$H206="NO LAB"),0,IFERROR(VALUE(LEFT($H206,FIND(" ",$H206)-1)),0))</f>
        <v/>
      </c>
      <c r="CI206" s="91">
        <f>IF(OR($A206="",$I206="",$I206="NON-RATED",N($J206)=0),"",IFERROR(VLOOKUP($I206&amp;"|"&amp;$J206,IBC,2,FALSE),"?"))</f>
        <v/>
      </c>
      <c r="CJ206" s="85">
        <f>IF(NOT(AND($A206&lt;&gt;"",$C206&lt;&gt;"DOOR ONLY")),"",TRIM(IFERROR(VLOOKUP($U206,CODES,2,FALSE),"")&amp;" "&amp;$BG206&amp;" "&amp;IFERROR(VLOOKUP($Z206,CODES,2,FALSE),"")&amp;" "&amp;IFERROR(VLOOKUP($X206,CODES,2,FALSE),"")&amp;" "&amp;IFERROR(VLOOKUP($S206,CODES,2,FALSE),"")&amp;IF(N($P206)&gt;0," w/TRANSOM "&amp;$P206&amp;CHAR(34),"")&amp;IF(N($Q206)&gt;0," w/SIDELITE "&amp;$Q206&amp;CHAR(34)&amp;" "&amp;IF($R206="","R",$R206),"")&amp;IF($Y206="","  |  "," | "&amp;IFERROR(VLOOKUP($Y206,CODES,2,FALSE),"")&amp;" | ")&amp;IFERROR(VLOOKUP($AC206,CODES,2,FALSE),"")&amp;" "&amp;IFERROR(VLOOKUP($AD206,CODES,2,FALSE),"")&amp;IF(OR($AE206="",$AE206="-"),""," "&amp;$AE206)&amp;IF(OR($AF206="",$AF206="-"),""," "&amp;$AF206)&amp;IF($AB206="Y"," 4"&amp;CHAR(34)&amp;" HEAD","")&amp;" "&amp;IFERROR(VLOOKUP($H206,CODES,2,FALSE),"")&amp;IF($CT206," | LOC "&amp;$CY206,"")))</f>
        <v/>
      </c>
      <c r="CK206" s="85">
        <f>IF(NOT(AND($A206&lt;&gt;"",N($BJ206)&gt;0)),"",TRIM(IFERROR(VLOOKUP($AH206,CODES,2,FALSE),"")&amp;IF($AI206=""," "," "&amp;$AI206&amp;"GA ")&amp;$BG206&amp;" "&amp;IF($AN206="",IFERROR(VLOOKUP($Z206,CODES,2,FALSE),""),IFERROR(VLOOKUP($AN206,CODES,2,FALSE),""))&amp;IF($BJ206=2," PAIR","")&amp;" DOOR | "&amp;IF($AL206="","?",$AL206)&amp;" | "&amp;IF($AO206="",IFERROR(VLOOKUP($AC206,CODES,2,FALSE),""),IFERROR(VLOOKUP($AO206,CODES,2,FALSE),""))&amp;" "&amp;IFERROR(VLOOKUP($AP206,CODES,2,FALSE),"")&amp;IF(OR($AQ206="",$AQ206="-"),""," SEAM "&amp;$AQ206)&amp;IF($AR206="Y"," ASTRAGAL","")&amp;IF($AJ206=""," "," "&amp;$AJ206)&amp;IF($AK206=""," "," "&amp;$AK206)&amp;IF(OR($AT206="",$AT206="ANSI/SDI",$AT206="CUSTOM LOC"),""," "&amp;$AT206)&amp;IF($AM206=""," "," SERIES "&amp;$AM206)&amp;" "&amp;IFERROR(VLOOKUP($H206,CODES,2,FALSE),"")&amp;IF($CT206," | LOC "&amp;$CZ206,"")))</f>
        <v/>
      </c>
      <c r="CL206" s="84">
        <f>IF(CP206="","",IF(COUNTIF($CP$6:CP206,CP206)=1,MAX($CL$5:CL205)+1,INDEX($CL$5:CL205,MATCH(CP206,$CP$5:CP205,0))))</f>
        <v/>
      </c>
      <c r="CM206" s="84">
        <f>IF(NOT(AND($A206&lt;&gt;"",$C206&lt;&gt;"DOOR ONLY")),"",MAX($CM$5:CM205)+1)</f>
        <v/>
      </c>
      <c r="CN206" s="84">
        <f>IF(NOT(AND($A206&lt;&gt;"",N($BJ206)&gt;0)),"",MAX($CN$5:CN205)+1)</f>
        <v/>
      </c>
      <c r="CO206" s="84">
        <f>IF($A206="","",MAX($CO$5:CO205)+1)</f>
        <v/>
      </c>
      <c r="CP206" s="84">
        <f>IF(OR($A206="",$BH206="",$BI206=""),"",$BG206&amp;"|"&amp;$O206&amp;"|"&amp;$AL206&amp;"|"&amp;$S206&amp;"|"&amp;$P206&amp;"|"&amp;$Q206&amp;$R206&amp;"|"&amp;$C206&amp;"|"&amp;$AB206)</f>
        <v/>
      </c>
      <c r="CQ206" s="84">
        <f>N($BS206)</f>
        <v/>
      </c>
      <c r="CR206" s="84">
        <f>IF(N($AU206)&gt;0,N($AU206),4.5)</f>
        <v/>
      </c>
      <c r="CS206" s="84">
        <f>OR($A206="",$BI206="",$S206="BL",AND($C206="FRAME ONLY",OR($AC206="",$AC206="BLK")))</f>
        <v/>
      </c>
      <c r="CT206" s="84">
        <f>AND(NOT($CS206),OR($AT206="CUSTOM LOC",N($AW206)+N($AX206)+N($AY206)+N($AZ206)+N($BA206)&gt;0))</f>
        <v/>
      </c>
      <c r="CU206" s="84">
        <f>IF($BI206="","",IF($BI206&lt;=80,80,IF($BI206&lt;=84,84,96)))</f>
        <v/>
      </c>
      <c r="CV206" s="84">
        <f>ISNUMBER(MATCH($AT206&amp;"|80",LocKeys,0))</f>
        <v/>
      </c>
      <c r="CW206" s="86">
        <f>IF($CS206,"",IF($CV206,VLOOKUP($AT206&amp;"|"&amp;$CU206,LocTable,4,FALSE),5))</f>
        <v/>
      </c>
      <c r="CX206" s="86">
        <f>IF($CS206,"",IF($CV206,IF(OR($BI206=$CU206,AND($BI206&lt;$CU206,$BI206-IF(N(VLOOKUP($AT206&amp;"|"&amp;$CU206,LocTable,7,FALSE))&gt;0,VLOOKUP($AT206&amp;"|"&amp;$CU206,LocTable,7,FALSE),VLOOKUP($AT206&amp;"|"&amp;$CU206,LocTable,6,FALSE))-$CR206-0.75&gt;=2.125)),IF(N(VLOOKUP($AT206&amp;"|"&amp;$CU206,LocTable,7,FALSE))&gt;0,VLOOKUP($AT206&amp;"|"&amp;$CU206,LocTable,7,FALSE),VLOOKUP($AT206&amp;"|"&amp;$CU206,LocTable,6,FALSE)),$BI206-($CU206-IF(N(VLOOKUP($AT206&amp;"|"&amp;$CU206,LocTable,7,FALSE))&gt;0,VLOOKUP($AT206&amp;"|"&amp;$CU206,LocTable,7,FALSE),VLOOKUP($AT206&amp;"|"&amp;$CU206,LocTable,6,FALSE)))),$BI206-10-$CR206))</f>
        <v/>
      </c>
      <c r="CY206" s="85">
        <f>IF($CS206,"",TRIM(IF(ISNUMBER($BU206),"A "&amp;TRIM(TEXT($BU206,"# ?/??"))&amp;CHAR(34)&amp;"  ","")&amp;IF(ISNUMBER($BV206),"B "&amp;TRIM(TEXT($BV206,"# ?/??"))&amp;CHAR(34)&amp;"  ","")&amp;IF(ISNUMBER($BW206),"C "&amp;TRIM(TEXT($BW206,"# ?/??"))&amp;CHAR(34)&amp;"  ","")&amp;IF(ISNUMBER($BX206),"D "&amp;TRIM(TEXT($BX206,"# ?/??"))&amp;CHAR(34)&amp;"  ","")&amp;IF(ISNUMBER($BY206),"F "&amp;TRIM(TEXT($BY206,"# ?/??"))&amp;CHAR(34)&amp;"  ","")&amp;IF(ISNUMBER($BZ206),"E "&amp;TRIM(TEXT($BZ206,"# ?/??"))&amp;CHAR(34)&amp;"  ","")))</f>
        <v/>
      </c>
      <c r="CZ206" s="85">
        <f>IF(OR($CS206,N($BJ206)=0),"",TRIM(IF(ISNUMBER($BU206),"A "&amp;TRIM(TEXT($BU206-HeadClr,"# ?/??"))&amp;CHAR(34)&amp;"  ","")&amp;IF(ISNUMBER($BV206),"B "&amp;TRIM(TEXT($BV206-HeadClr,"# ?/??"))&amp;CHAR(34)&amp;"  ","")&amp;IF(ISNUMBER($BW206),"C "&amp;TRIM(TEXT($BW206-HeadClr,"# ?/??"))&amp;CHAR(34)&amp;"  ","")&amp;IF(ISNUMBER($BX206),"D "&amp;TRIM(TEXT($BX206-HeadClr,"# ?/??"))&amp;CHAR(34)&amp;"  ","")&amp;IF(ISNUMBER($BY206),"F "&amp;TRIM(TEXT($BY206-HeadClr,"# ?/??"))&amp;CHAR(34)&amp;"  ","")&amp;IF(ISNUMBER($BZ206),"E "&amp;TRIM(TEXT($BZ206-HeadClr,"# ?/??"))&amp;CHAR(34)&amp;"  ","")))</f>
        <v/>
      </c>
      <c r="DA206" s="84">
        <f>IF($A206="","",IF($AN206="",IFERROR(VLOOKUP($Z206,CODES,2,FALSE),""),IFERROR(VLOOKUP($AN206,CODES,2,FALSE),"")))</f>
        <v/>
      </c>
      <c r="DB206" s="84">
        <f>IF($A206="","",IF($O206="Y","PR",IF(OR($Z206="L",$Z206="RR",LEFT($Z206,2)="L-",LEFT($Z206,3)="RR-"),"LH","RH")))</f>
        <v/>
      </c>
      <c r="DC206" s="84">
        <f>IF($A206="","","S.HM"&amp;IF(OR($C206="DOOR ONLY",$X206&lt;&gt;"KD"),"MASONRY","DRYWALL")&amp;IF($C206="DOOR ONLY","",$U206)&amp;IF(AND($C206&lt;&gt;"FRAME ONLY",OR(LEFT($AH206,3)="OAK",LEFT($AH206,3)="BIR",LEFT($AH206,3)="MAP",$AH206="PC",$AH206="MC",$AH206="SCLC",$AH206="P-LAM")),"WD","HM")&amp;"1.75")</f>
        <v/>
      </c>
      <c r="DD206" s="84">
        <f>IF($CJ206="","",IF($O206="Y",$CJ206,SUBSTITUTE($CJ206,$BG206&amp;" "&amp;IFERROR(VLOOKUP($Z206,CODES,2,FALSE),"")&amp;" ",$BG206&amp;" ")))</f>
        <v/>
      </c>
      <c r="DE206" s="84">
        <f>IF($CK206="","",IF($O206="Y",$CK206,SUBSTITUTE($CK206,$BG206&amp;" "&amp;IF($AN206="",IFERROR(VLOOKUP($Z206,CODES,2,FALSE),""),IFERROR(VLOOKUP($AN206,CODES,2,FALSE),""))&amp;" ",$BG206&amp;" ")))</f>
        <v/>
      </c>
      <c r="DF206" s="84">
        <f>IF($CJ206="","",$DC206&amp;"|"&amp;$DD206&amp;"|"&amp;$DB206&amp;"|"&amp;$AT206&amp;"|"&amp;$V206&amp;"|"&amp;$Y206&amp;"|"&amp;$AB206)</f>
        <v/>
      </c>
      <c r="DG206" s="84">
        <f>IF(DF206="","",IF(COUNTIF($DF$6:DF206,DF206)=1,MAX($DG$5:DG205)+1,INDEX($DG$5:DG205,MATCH(DF206,$DF$5:DF205,0))))</f>
        <v/>
      </c>
      <c r="DH206" s="84">
        <f>IF($CK206="","",$DC206&amp;"|"&amp;$DE206&amp;"|"&amp;$AI206&amp;"|"&amp;$BK206&amp;"|"&amp;$BL206)</f>
        <v/>
      </c>
      <c r="DI206" s="84">
        <f>IF(DH206="","",IF(COUNTIF($DH$6:DH206,DH206)=1,MAX($DI$5:DI205)+1,INDEX($DI$5:DI205,MATCH(DH206,$DH$5:DH205,0))))</f>
        <v/>
      </c>
      <c r="DJ206" s="84">
        <f>IF($A206="","",IF($B206="","qty, ","")&amp;IF($C206="","scope, ","")&amp;IF(OR($K206="",$M206=""),"size, ","")&amp;IF(AND($A206&lt;&gt;"",$C206&lt;&gt;"DOOR ONLY"),IF($U206="","jamb depth, ","")&amp;IF($X206="","construction, ","")&amp;IF($Y206="","anchor, ","")&amp;IF($S206="","frame type, ",""),"")&amp;IF(AND(N($BJ206)&gt;0,$Z206=""),"hand, ","")&amp;IF(N($BJ206)&gt;0,IF($AH206="","door material, ","")&amp;IF($AL206="","face type, ","")&amp;IF($AP206="","lock prep, ","")&amp;IF(AND($AO206="",$AC206=""),"hinge prep, ",""),"")&amp;IF(AND($CH206&gt;0,$AH206="FRP"),"FRP cannot carry a label, ","")&amp;IF(AND($O206="Y",OR($Z206="L",$Z206="R",$Z206="LR",$Z206="RR")),"pair marked but hand is single, ","")&amp;IF(AND($O206&lt;&gt;"Y",OR($Z206="PR",AND(LEN($Z206)&gt;1,ISNUMBER(SEARCH("-",$Z206))))),"pair hand on a single door, ","")&amp;IF(AND(ISNUMBER($CI206),$CH206&lt;N($CI206)),"wall needs a "&amp;$CI206&amp;" min door, ","")&amp;IF(AND($CH206&gt;=180,AND(OR($CE206="FG",$CE206="HG",$CE206="FNV",$CE206="FV"),N($CF206)*N($CG206)&gt;100)),"180 min lite over 100 sq in, ","")&amp;IF(N($BK206)&gt;48,"leaf wider than 4'-0"&amp;CHAR(34)&amp;", ","")&amp;IF(AND($CT206,COUNT($AW206:$AZ206)=0,$CQ206&gt;0),"CUSTOM LOC with no locations typed, ",""))</f>
        <v/>
      </c>
      <c r="DK206" s="84">
        <f>IF($A206="","",IF(AND($CH206&gt;0,AND($A206&lt;&gt;"",$C206&lt;&gt;"DOOR ONLY"),$X206="KD",$E206="EXTERIOR"),"KD label on an exterior opening, ","")&amp;IF(AND($E206="EXTERIOR",OR(AND(AND($A206&lt;&gt;"",$C206&lt;&gt;"DOOR ONLY"),$W206="CR"),AND(N($BJ206)&gt;0,$AH206="CR"))),"exterior in CR steel (G9?), ","")&amp;IF(AND(ISNUMBER($BQ206),N($BQ206)&lt;32),"clear width ~"&amp;TEXT($BQ206,"0.0")&amp;CHAR(34)&amp;" under 32"&amp;CHAR(34)&amp;" (ADA), ","")&amp;IF(AND($CH206=90,AND(OR($CE206="FG",$CE206="HG",$CE206="FNV",$CE206="FV"),N($CF206)*N($CG206)&gt;100)),"90 min lite over 100 sq in (stair/exit), ","")&amp;IF(AND($CH206&gt;0,AND($A206&lt;&gt;"",$C206&lt;&gt;"DOOR ONLY"),OR($AF206="",$AF206="-")),"rated: closer reinf.?, ","")&amp;IF(OR($I206="CORRIDOR",$I206="SMOKE BARRIER"),"S label + smoke gasketing, ","")&amp;IF($CI206="?","wall type/hr not in IBC table, ","")&amp;IF(AND(N($BJ206)&gt;0,$BB206=""),"no hardware set, ","")&amp;IF(AND($BB206&lt;&gt;"",ISNA(MATCH($BB206&amp;"",HWSets,0))),"set "&amp;$BB206&amp;" not on HW Sets, ","")&amp;IF(N($BL206)&gt;96,"leaf over 8'-0"&amp;CHAR(34)&amp;" - check listing, ","")&amp;IF(AND($CT206,COUNT($AW206:$AZ206)&gt;0,COUNT($AW206:$AZ206)&lt;&gt;$CQ206),COUNT($AW206:$AZ206)&amp;" custom hinges typed, "&amp;$CQ206&amp;" expected, ","")&amp;IF(AND(ISNUMBER($CA206),OR(N($CA206)&lt;34,N($CA206)&gt;48)),"lock "&amp;TEXT($CA206,"0.0")&amp;CHAR(34)&amp;" AFF outside 34-48"&amp;CHAR(34)&amp;" (ADA), ","")&amp;IF(AND(ISNUMBER($AV206),ISNUMBER($BL206),N($AV206)&lt;IF(N($BL206)&lt;=60,2,IF(N($BL206)&lt;=90,3,IF(N($BL206)&lt;=120,4,5)))),"fewer hinges than standard, ",""))</f>
        <v/>
      </c>
    </row>
    <row r="207" ht="15" customHeight="1">
      <c r="A207" s="77" t="n"/>
      <c r="B207" s="78" t="n"/>
      <c r="C207" s="78" t="n"/>
      <c r="D207" s="78" t="n"/>
      <c r="E207" s="78" t="n"/>
      <c r="F207" s="78" t="n"/>
      <c r="G207" s="78" t="n"/>
      <c r="H207" s="78" t="n"/>
      <c r="I207" s="78" t="n"/>
      <c r="J207" s="78" t="n"/>
      <c r="K207" s="78" t="n"/>
      <c r="L207" s="78" t="n"/>
      <c r="M207" s="78" t="n"/>
      <c r="N207" s="78" t="n"/>
      <c r="O207" s="78" t="n"/>
      <c r="P207" s="78" t="n"/>
      <c r="Q207" s="78" t="n"/>
      <c r="R207" s="78" t="n"/>
      <c r="S207" s="79" t="n"/>
      <c r="T207" s="79" t="n"/>
      <c r="U207" s="79" t="n"/>
      <c r="V207" s="79" t="n"/>
      <c r="W207" s="79" t="n"/>
      <c r="X207" s="79" t="n"/>
      <c r="Y207" s="79" t="n"/>
      <c r="Z207" s="79" t="n"/>
      <c r="AA207" s="79" t="n"/>
      <c r="AB207" s="79" t="n"/>
      <c r="AC207" s="79" t="n"/>
      <c r="AD207" s="79" t="n"/>
      <c r="AE207" s="79" t="n"/>
      <c r="AF207" s="79" t="n"/>
      <c r="AG207" s="79" t="n"/>
      <c r="AH207" s="80" t="n"/>
      <c r="AI207" s="80" t="n"/>
      <c r="AJ207" s="80" t="n"/>
      <c r="AK207" s="80" t="n"/>
      <c r="AL207" s="80" t="n"/>
      <c r="AM207" s="80" t="n"/>
      <c r="AN207" s="80" t="n"/>
      <c r="AO207" s="80" t="n"/>
      <c r="AP207" s="80" t="n"/>
      <c r="AQ207" s="80" t="n"/>
      <c r="AR207" s="80" t="n"/>
      <c r="AS207" s="80" t="n"/>
      <c r="AT207" s="81" t="n"/>
      <c r="AU207" s="81" t="n"/>
      <c r="AV207" s="81" t="n"/>
      <c r="AW207" s="82" t="n"/>
      <c r="AX207" s="82" t="n"/>
      <c r="AY207" s="82" t="n"/>
      <c r="AZ207" s="82" t="n"/>
      <c r="BA207" s="82" t="n"/>
      <c r="BB207" s="83" t="n"/>
      <c r="BC207" s="83" t="n"/>
      <c r="BD207" s="84">
        <f>IF($A207="","",IF($DJ207&lt;&gt;"","FIX",IF($DK207&lt;&gt;"","CHECK","OK")))</f>
        <v/>
      </c>
      <c r="BE207" s="85">
        <f>IF($A207="","",IF($DJ207&lt;&gt;"","FIX: "&amp;LEFT($DJ207,LEN($DJ207)-2)&amp;IF($DK207&lt;&gt;"","  ·  ",""),"")&amp;IF($DK207&lt;&gt;"","CHECK: "&amp;LEFT($DK207,LEN($DK207)-2),""))</f>
        <v/>
      </c>
      <c r="BF207" s="84">
        <f>IF(OR($A207="",$K207=""),"",$K207&amp;"'-"&amp;N($L207)&amp;CHAR(34)&amp;" x "&amp;$M207&amp;"'-"&amp;N($N207)&amp;CHAR(34))</f>
        <v/>
      </c>
      <c r="BG207" s="84">
        <f>IF(OR($A207="",$K207=""),"",$K207&amp;N($L207)&amp;$M207&amp;N($N207))</f>
        <v/>
      </c>
      <c r="BH207" s="84">
        <f>IF(OR($A207="",$K207=""),"",$K207*12+N($L207))</f>
        <v/>
      </c>
      <c r="BI207" s="84">
        <f>IF(OR($A207="",$M207=""),"",$M207*12+N($N207))</f>
        <v/>
      </c>
      <c r="BJ207" s="84">
        <f>IF($A207="","",IF(OR($C207="FRAME ONLY",$S207="BL"),0,IF($O207="Y",2,1)))</f>
        <v/>
      </c>
      <c r="BK207" s="86">
        <f>IF(OR(N($BJ207)=0,$BH207=""),"",($BH207-2*EdgeClr-IF($BJ207=2,MeetClr,0))/$BJ207)</f>
        <v/>
      </c>
      <c r="BL207" s="86">
        <f>IF(OR(N($BJ207)=0,$BI207=""),"",$BI207-HeadClr-Undercut)</f>
        <v/>
      </c>
      <c r="BM207" s="86">
        <f>IF($BH207="","",$BH207+2*FaceW+IF(N($Q207)&gt;0,($Q207+FaceW)*IF($R207="LR",2,1),0))</f>
        <v/>
      </c>
      <c r="BN207" s="86">
        <f>IF($BI207="","",$BI207+IF($AB207="Y",4,FaceW)+IF(N($P207)&gt;0,$P207+FaceW,0)+IF(OR($S207="4F",$S207="BL"),FaceW,0))</f>
        <v/>
      </c>
      <c r="BO207" s="86">
        <f>IF($BM207="","",$BM207+2*ROSide)</f>
        <v/>
      </c>
      <c r="BP207" s="86">
        <f>IF($BN207="","",$BN207+ROTop)</f>
        <v/>
      </c>
      <c r="BQ207" s="87">
        <f>IF(OR(N($BJ207)=0,$BH207=""),"",$BH207/$BJ207-ClearDeduct)</f>
        <v/>
      </c>
      <c r="BR207" s="84">
        <f>IF(N($CH207)=0,"",IF($CH207&gt;=180,"A · 3 HR",IF($CH207&gt;=90,"B · 1-1/2 HR",IF($CH207&gt;=60,"B · 1 HR",IF($CH207&gt;=45,"C · 3/4 HR","20 MIN")))))&amp;IF(AND(N($CH207)&gt;0,OR($I207="CORRIDOR",$I207="SMOKE BARRIER"))," · S","")</f>
        <v/>
      </c>
      <c r="BS207" s="84">
        <f>IF($CS207,"",IF($AV207&lt;&gt;"",$AV207,IF(OR($AC207="HGC",$AO207="HGC"),"CONT",IF(($BI207-HeadClr-Undercut)&lt;=60,2,IF(($BI207-HeadClr-Undercut)&lt;=90,3,IF(($BI207-HeadClr-Undercut)&lt;=120,4,5))))))</f>
        <v/>
      </c>
      <c r="BT207" s="84">
        <f>IF($CS207,"",IF($CT207,"CUSTOM (typed)",IF($CV207,$AT207&amp;" "&amp;$CU207&amp;CHAR(34)&amp;IF($CU207&lt;&gt;$BI207,IF(AND($BI207&lt;$CU207,$BI207-IF(N(VLOOKUP($AT207&amp;"|"&amp;$CU207,LocTable,7,FALSE))&gt;0,VLOOKUP($AT207&amp;"|"&amp;$CU207,LocTable,7,FALSE),VLOOKUP($AT207&amp;"|"&amp;$CU207,LocTable,6,FALSE))-$CR207-0.75&gt;=2.125)," cut down"," adj."),""),"ANSI/SDI A250.6")))</f>
        <v/>
      </c>
      <c r="BU207" s="88">
        <f>IF($CS207,"",IF($CT207,IF(N($AW207)&gt;0,N($AW207),""),IF(1&gt;$CQ207,"",IF($CQ207=1,$CW207,$CW207+($CX207-$CW207)*0/($CQ207-1)))))</f>
        <v/>
      </c>
      <c r="BV207" s="88">
        <f>IF($CS207,"",IF($CT207,IF(N($AX207)&gt;0,N($AX207),""),IF(2&gt;$CQ207,"",IF($CQ207=1,$CW207,$CW207+($CX207-$CW207)*1/($CQ207-1)))))</f>
        <v/>
      </c>
      <c r="BW207" s="88">
        <f>IF($CS207,"",IF($CT207,IF(N($AY207)&gt;0,N($AY207),""),IF(3&gt;$CQ207,"",IF($CQ207=1,$CW207,$CW207+($CX207-$CW207)*2/($CQ207-1)))))</f>
        <v/>
      </c>
      <c r="BX207" s="88">
        <f>IF($CS207,"",IF($CT207,IF(N($AZ207)&gt;0,N($AZ207),""),IF(4&gt;$CQ207,"",IF($CQ207=1,$CW207,$CW207+($CX207-$CW207)*3/($CQ207-1)))))</f>
        <v/>
      </c>
      <c r="BY207" s="88">
        <f>IF($CS207,"",IF($CT207,"",IF(5&gt;$CQ207,"",IF($CQ207=1,$CW207,$CW207+($CX207-$CW207)*4/($CQ207-1)))))</f>
        <v/>
      </c>
      <c r="BZ207" s="88">
        <f>IF(OR($CS207,$AP207="-",AND($AP207="",$AD207="")),"",IF(N($BA207)&gt;0,N($BA207),IF($CV207,IF(AND($BI207&lt;$CU207,$BI207-IF(N(VLOOKUP($AT207&amp;"|"&amp;$CU207,LocTable,7,FALSE))&gt;0,VLOOKUP($AT207&amp;"|"&amp;$CU207,LocTable,7,FALSE),VLOOKUP($AT207&amp;"|"&amp;$CU207,LocTable,6,FALSE))-$CR207-0.75&gt;=2.125),VLOOKUP($AT207&amp;"|"&amp;$CU207,LocTable,8,FALSE),VLOOKUP($AT207&amp;"|"&amp;$CU207,LocTable,8,FALSE)+($BI207-$CU207)),$BI207-LockAFF)))</f>
        <v/>
      </c>
      <c r="CA207" s="89">
        <f>IF($BZ207="","",$BI207-$BZ207)</f>
        <v/>
      </c>
      <c r="CB207" s="84">
        <f>IF(OR(NOT(AND($A207&lt;&gt;"",$C207&lt;&gt;"DOOR ONLY")),$BI207=""),"",IF(($BI207+IF(N($P207)&gt;0,$P207+FaceW,0))&lt;=90,3,IF(($BI207+IF(N($P207)&gt;0,$P207+FaceW,0))&lt;=114,4,5)))</f>
        <v/>
      </c>
      <c r="CC207" s="84">
        <f>IF($CB207="","",$CB207*(2+IF(N($Q207)&gt;0,IF($R207="LR",2,1),0)))</f>
        <v/>
      </c>
      <c r="CD207" s="84">
        <f>IF($CB207="","",(2+IF(N($Q207)&gt;0,IF($R207="LR",2,1),0)))</f>
        <v/>
      </c>
      <c r="CE207" s="84">
        <f>IF(N($BJ207)=0,"",IF(OR($AL207="",$AL207="FLUSH"),"FLUSH",IFERROR(LEFT($AL207,FIND("-",$AL207)-1),LEFT($AL207,2))))</f>
        <v/>
      </c>
      <c r="CF207" s="84">
        <f>IF($CE207="","",IFERROR(VALUE(MID($AL207,FIND("-",$AL207)+1,FIND(CHAR(34)&amp;"x",$AL207)-FIND("-",$AL207)-1)),0))</f>
        <v/>
      </c>
      <c r="CG207" s="84">
        <f>IF($CE207="","",IFERROR(VALUE(MID($AL207,FIND(CHAR(34)&amp;"x",$AL207)+2,FIND(CHAR(34),$AL207,FIND(CHAR(34)&amp;"x",$AL207)+2)-FIND(CHAR(34)&amp;"x",$AL207)-2)),0))</f>
        <v/>
      </c>
      <c r="CH207" s="90">
        <f>IF(OR($A207="",$H207="",$H207="NO LAB"),0,IFERROR(VALUE(LEFT($H207,FIND(" ",$H207)-1)),0))</f>
        <v/>
      </c>
      <c r="CI207" s="91">
        <f>IF(OR($A207="",$I207="",$I207="NON-RATED",N($J207)=0),"",IFERROR(VLOOKUP($I207&amp;"|"&amp;$J207,IBC,2,FALSE),"?"))</f>
        <v/>
      </c>
      <c r="CJ207" s="85">
        <f>IF(NOT(AND($A207&lt;&gt;"",$C207&lt;&gt;"DOOR ONLY")),"",TRIM(IFERROR(VLOOKUP($U207,CODES,2,FALSE),"")&amp;" "&amp;$BG207&amp;" "&amp;IFERROR(VLOOKUP($Z207,CODES,2,FALSE),"")&amp;" "&amp;IFERROR(VLOOKUP($X207,CODES,2,FALSE),"")&amp;" "&amp;IFERROR(VLOOKUP($S207,CODES,2,FALSE),"")&amp;IF(N($P207)&gt;0," w/TRANSOM "&amp;$P207&amp;CHAR(34),"")&amp;IF(N($Q207)&gt;0," w/SIDELITE "&amp;$Q207&amp;CHAR(34)&amp;" "&amp;IF($R207="","R",$R207),"")&amp;IF($Y207="","  |  "," | "&amp;IFERROR(VLOOKUP($Y207,CODES,2,FALSE),"")&amp;" | ")&amp;IFERROR(VLOOKUP($AC207,CODES,2,FALSE),"")&amp;" "&amp;IFERROR(VLOOKUP($AD207,CODES,2,FALSE),"")&amp;IF(OR($AE207="",$AE207="-"),""," "&amp;$AE207)&amp;IF(OR($AF207="",$AF207="-"),""," "&amp;$AF207)&amp;IF($AB207="Y"," 4"&amp;CHAR(34)&amp;" HEAD","")&amp;" "&amp;IFERROR(VLOOKUP($H207,CODES,2,FALSE),"")&amp;IF($CT207," | LOC "&amp;$CY207,"")))</f>
        <v/>
      </c>
      <c r="CK207" s="85">
        <f>IF(NOT(AND($A207&lt;&gt;"",N($BJ207)&gt;0)),"",TRIM(IFERROR(VLOOKUP($AH207,CODES,2,FALSE),"")&amp;IF($AI207=""," "," "&amp;$AI207&amp;"GA ")&amp;$BG207&amp;" "&amp;IF($AN207="",IFERROR(VLOOKUP($Z207,CODES,2,FALSE),""),IFERROR(VLOOKUP($AN207,CODES,2,FALSE),""))&amp;IF($BJ207=2," PAIR","")&amp;" DOOR | "&amp;IF($AL207="","?",$AL207)&amp;" | "&amp;IF($AO207="",IFERROR(VLOOKUP($AC207,CODES,2,FALSE),""),IFERROR(VLOOKUP($AO207,CODES,2,FALSE),""))&amp;" "&amp;IFERROR(VLOOKUP($AP207,CODES,2,FALSE),"")&amp;IF(OR($AQ207="",$AQ207="-"),""," SEAM "&amp;$AQ207)&amp;IF($AR207="Y"," ASTRAGAL","")&amp;IF($AJ207=""," "," "&amp;$AJ207)&amp;IF($AK207=""," "," "&amp;$AK207)&amp;IF(OR($AT207="",$AT207="ANSI/SDI",$AT207="CUSTOM LOC"),""," "&amp;$AT207)&amp;IF($AM207=""," "," SERIES "&amp;$AM207)&amp;" "&amp;IFERROR(VLOOKUP($H207,CODES,2,FALSE),"")&amp;IF($CT207," | LOC "&amp;$CZ207,"")))</f>
        <v/>
      </c>
      <c r="CL207" s="84">
        <f>IF(CP207="","",IF(COUNTIF($CP$6:CP207,CP207)=1,MAX($CL$5:CL206)+1,INDEX($CL$5:CL206,MATCH(CP207,$CP$5:CP206,0))))</f>
        <v/>
      </c>
      <c r="CM207" s="84">
        <f>IF(NOT(AND($A207&lt;&gt;"",$C207&lt;&gt;"DOOR ONLY")),"",MAX($CM$5:CM206)+1)</f>
        <v/>
      </c>
      <c r="CN207" s="84">
        <f>IF(NOT(AND($A207&lt;&gt;"",N($BJ207)&gt;0)),"",MAX($CN$5:CN206)+1)</f>
        <v/>
      </c>
      <c r="CO207" s="84">
        <f>IF($A207="","",MAX($CO$5:CO206)+1)</f>
        <v/>
      </c>
      <c r="CP207" s="84">
        <f>IF(OR($A207="",$BH207="",$BI207=""),"",$BG207&amp;"|"&amp;$O207&amp;"|"&amp;$AL207&amp;"|"&amp;$S207&amp;"|"&amp;$P207&amp;"|"&amp;$Q207&amp;$R207&amp;"|"&amp;$C207&amp;"|"&amp;$AB207)</f>
        <v/>
      </c>
      <c r="CQ207" s="84">
        <f>N($BS207)</f>
        <v/>
      </c>
      <c r="CR207" s="84">
        <f>IF(N($AU207)&gt;0,N($AU207),4.5)</f>
        <v/>
      </c>
      <c r="CS207" s="84">
        <f>OR($A207="",$BI207="",$S207="BL",AND($C207="FRAME ONLY",OR($AC207="",$AC207="BLK")))</f>
        <v/>
      </c>
      <c r="CT207" s="84">
        <f>AND(NOT($CS207),OR($AT207="CUSTOM LOC",N($AW207)+N($AX207)+N($AY207)+N($AZ207)+N($BA207)&gt;0))</f>
        <v/>
      </c>
      <c r="CU207" s="84">
        <f>IF($BI207="","",IF($BI207&lt;=80,80,IF($BI207&lt;=84,84,96)))</f>
        <v/>
      </c>
      <c r="CV207" s="84">
        <f>ISNUMBER(MATCH($AT207&amp;"|80",LocKeys,0))</f>
        <v/>
      </c>
      <c r="CW207" s="86">
        <f>IF($CS207,"",IF($CV207,VLOOKUP($AT207&amp;"|"&amp;$CU207,LocTable,4,FALSE),5))</f>
        <v/>
      </c>
      <c r="CX207" s="86">
        <f>IF($CS207,"",IF($CV207,IF(OR($BI207=$CU207,AND($BI207&lt;$CU207,$BI207-IF(N(VLOOKUP($AT207&amp;"|"&amp;$CU207,LocTable,7,FALSE))&gt;0,VLOOKUP($AT207&amp;"|"&amp;$CU207,LocTable,7,FALSE),VLOOKUP($AT207&amp;"|"&amp;$CU207,LocTable,6,FALSE))-$CR207-0.75&gt;=2.125)),IF(N(VLOOKUP($AT207&amp;"|"&amp;$CU207,LocTable,7,FALSE))&gt;0,VLOOKUP($AT207&amp;"|"&amp;$CU207,LocTable,7,FALSE),VLOOKUP($AT207&amp;"|"&amp;$CU207,LocTable,6,FALSE)),$BI207-($CU207-IF(N(VLOOKUP($AT207&amp;"|"&amp;$CU207,LocTable,7,FALSE))&gt;0,VLOOKUP($AT207&amp;"|"&amp;$CU207,LocTable,7,FALSE),VLOOKUP($AT207&amp;"|"&amp;$CU207,LocTable,6,FALSE)))),$BI207-10-$CR207))</f>
        <v/>
      </c>
      <c r="CY207" s="85">
        <f>IF($CS207,"",TRIM(IF(ISNUMBER($BU207),"A "&amp;TRIM(TEXT($BU207,"# ?/??"))&amp;CHAR(34)&amp;"  ","")&amp;IF(ISNUMBER($BV207),"B "&amp;TRIM(TEXT($BV207,"# ?/??"))&amp;CHAR(34)&amp;"  ","")&amp;IF(ISNUMBER($BW207),"C "&amp;TRIM(TEXT($BW207,"# ?/??"))&amp;CHAR(34)&amp;"  ","")&amp;IF(ISNUMBER($BX207),"D "&amp;TRIM(TEXT($BX207,"# ?/??"))&amp;CHAR(34)&amp;"  ","")&amp;IF(ISNUMBER($BY207),"F "&amp;TRIM(TEXT($BY207,"# ?/??"))&amp;CHAR(34)&amp;"  ","")&amp;IF(ISNUMBER($BZ207),"E "&amp;TRIM(TEXT($BZ207,"# ?/??"))&amp;CHAR(34)&amp;"  ","")))</f>
        <v/>
      </c>
      <c r="CZ207" s="85">
        <f>IF(OR($CS207,N($BJ207)=0),"",TRIM(IF(ISNUMBER($BU207),"A "&amp;TRIM(TEXT($BU207-HeadClr,"# ?/??"))&amp;CHAR(34)&amp;"  ","")&amp;IF(ISNUMBER($BV207),"B "&amp;TRIM(TEXT($BV207-HeadClr,"# ?/??"))&amp;CHAR(34)&amp;"  ","")&amp;IF(ISNUMBER($BW207),"C "&amp;TRIM(TEXT($BW207-HeadClr,"# ?/??"))&amp;CHAR(34)&amp;"  ","")&amp;IF(ISNUMBER($BX207),"D "&amp;TRIM(TEXT($BX207-HeadClr,"# ?/??"))&amp;CHAR(34)&amp;"  ","")&amp;IF(ISNUMBER($BY207),"F "&amp;TRIM(TEXT($BY207-HeadClr,"# ?/??"))&amp;CHAR(34)&amp;"  ","")&amp;IF(ISNUMBER($BZ207),"E "&amp;TRIM(TEXT($BZ207-HeadClr,"# ?/??"))&amp;CHAR(34)&amp;"  ","")))</f>
        <v/>
      </c>
      <c r="DA207" s="84">
        <f>IF($A207="","",IF($AN207="",IFERROR(VLOOKUP($Z207,CODES,2,FALSE),""),IFERROR(VLOOKUP($AN207,CODES,2,FALSE),"")))</f>
        <v/>
      </c>
      <c r="DB207" s="84">
        <f>IF($A207="","",IF($O207="Y","PR",IF(OR($Z207="L",$Z207="RR",LEFT($Z207,2)="L-",LEFT($Z207,3)="RR-"),"LH","RH")))</f>
        <v/>
      </c>
      <c r="DC207" s="84">
        <f>IF($A207="","","S.HM"&amp;IF(OR($C207="DOOR ONLY",$X207&lt;&gt;"KD"),"MASONRY","DRYWALL")&amp;IF($C207="DOOR ONLY","",$U207)&amp;IF(AND($C207&lt;&gt;"FRAME ONLY",OR(LEFT($AH207,3)="OAK",LEFT($AH207,3)="BIR",LEFT($AH207,3)="MAP",$AH207="PC",$AH207="MC",$AH207="SCLC",$AH207="P-LAM")),"WD","HM")&amp;"1.75")</f>
        <v/>
      </c>
      <c r="DD207" s="84">
        <f>IF($CJ207="","",IF($O207="Y",$CJ207,SUBSTITUTE($CJ207,$BG207&amp;" "&amp;IFERROR(VLOOKUP($Z207,CODES,2,FALSE),"")&amp;" ",$BG207&amp;" ")))</f>
        <v/>
      </c>
      <c r="DE207" s="84">
        <f>IF($CK207="","",IF($O207="Y",$CK207,SUBSTITUTE($CK207,$BG207&amp;" "&amp;IF($AN207="",IFERROR(VLOOKUP($Z207,CODES,2,FALSE),""),IFERROR(VLOOKUP($AN207,CODES,2,FALSE),""))&amp;" ",$BG207&amp;" ")))</f>
        <v/>
      </c>
      <c r="DF207" s="84">
        <f>IF($CJ207="","",$DC207&amp;"|"&amp;$DD207&amp;"|"&amp;$DB207&amp;"|"&amp;$AT207&amp;"|"&amp;$V207&amp;"|"&amp;$Y207&amp;"|"&amp;$AB207)</f>
        <v/>
      </c>
      <c r="DG207" s="84">
        <f>IF(DF207="","",IF(COUNTIF($DF$6:DF207,DF207)=1,MAX($DG$5:DG206)+1,INDEX($DG$5:DG206,MATCH(DF207,$DF$5:DF206,0))))</f>
        <v/>
      </c>
      <c r="DH207" s="84">
        <f>IF($CK207="","",$DC207&amp;"|"&amp;$DE207&amp;"|"&amp;$AI207&amp;"|"&amp;$BK207&amp;"|"&amp;$BL207)</f>
        <v/>
      </c>
      <c r="DI207" s="84">
        <f>IF(DH207="","",IF(COUNTIF($DH$6:DH207,DH207)=1,MAX($DI$5:DI206)+1,INDEX($DI$5:DI206,MATCH(DH207,$DH$5:DH206,0))))</f>
        <v/>
      </c>
      <c r="DJ207" s="84">
        <f>IF($A207="","",IF($B207="","qty, ","")&amp;IF($C207="","scope, ","")&amp;IF(OR($K207="",$M207=""),"size, ","")&amp;IF(AND($A207&lt;&gt;"",$C207&lt;&gt;"DOOR ONLY"),IF($U207="","jamb depth, ","")&amp;IF($X207="","construction, ","")&amp;IF($Y207="","anchor, ","")&amp;IF($S207="","frame type, ",""),"")&amp;IF(AND(N($BJ207)&gt;0,$Z207=""),"hand, ","")&amp;IF(N($BJ207)&gt;0,IF($AH207="","door material, ","")&amp;IF($AL207="","face type, ","")&amp;IF($AP207="","lock prep, ","")&amp;IF(AND($AO207="",$AC207=""),"hinge prep, ",""),"")&amp;IF(AND($CH207&gt;0,$AH207="FRP"),"FRP cannot carry a label, ","")&amp;IF(AND($O207="Y",OR($Z207="L",$Z207="R",$Z207="LR",$Z207="RR")),"pair marked but hand is single, ","")&amp;IF(AND($O207&lt;&gt;"Y",OR($Z207="PR",AND(LEN($Z207)&gt;1,ISNUMBER(SEARCH("-",$Z207))))),"pair hand on a single door, ","")&amp;IF(AND(ISNUMBER($CI207),$CH207&lt;N($CI207)),"wall needs a "&amp;$CI207&amp;" min door, ","")&amp;IF(AND($CH207&gt;=180,AND(OR($CE207="FG",$CE207="HG",$CE207="FNV",$CE207="FV"),N($CF207)*N($CG207)&gt;100)),"180 min lite over 100 sq in, ","")&amp;IF(N($BK207)&gt;48,"leaf wider than 4'-0"&amp;CHAR(34)&amp;", ","")&amp;IF(AND($CT207,COUNT($AW207:$AZ207)=0,$CQ207&gt;0),"CUSTOM LOC with no locations typed, ",""))</f>
        <v/>
      </c>
      <c r="DK207" s="84">
        <f>IF($A207="","",IF(AND($CH207&gt;0,AND($A207&lt;&gt;"",$C207&lt;&gt;"DOOR ONLY"),$X207="KD",$E207="EXTERIOR"),"KD label on an exterior opening, ","")&amp;IF(AND($E207="EXTERIOR",OR(AND(AND($A207&lt;&gt;"",$C207&lt;&gt;"DOOR ONLY"),$W207="CR"),AND(N($BJ207)&gt;0,$AH207="CR"))),"exterior in CR steel (G9?), ","")&amp;IF(AND(ISNUMBER($BQ207),N($BQ207)&lt;32),"clear width ~"&amp;TEXT($BQ207,"0.0")&amp;CHAR(34)&amp;" under 32"&amp;CHAR(34)&amp;" (ADA), ","")&amp;IF(AND($CH207=90,AND(OR($CE207="FG",$CE207="HG",$CE207="FNV",$CE207="FV"),N($CF207)*N($CG207)&gt;100)),"90 min lite over 100 sq in (stair/exit), ","")&amp;IF(AND($CH207&gt;0,AND($A207&lt;&gt;"",$C207&lt;&gt;"DOOR ONLY"),OR($AF207="",$AF207="-")),"rated: closer reinf.?, ","")&amp;IF(OR($I207="CORRIDOR",$I207="SMOKE BARRIER"),"S label + smoke gasketing, ","")&amp;IF($CI207="?","wall type/hr not in IBC table, ","")&amp;IF(AND(N($BJ207)&gt;0,$BB207=""),"no hardware set, ","")&amp;IF(AND($BB207&lt;&gt;"",ISNA(MATCH($BB207&amp;"",HWSets,0))),"set "&amp;$BB207&amp;" not on HW Sets, ","")&amp;IF(N($BL207)&gt;96,"leaf over 8'-0"&amp;CHAR(34)&amp;" - check listing, ","")&amp;IF(AND($CT207,COUNT($AW207:$AZ207)&gt;0,COUNT($AW207:$AZ207)&lt;&gt;$CQ207),COUNT($AW207:$AZ207)&amp;" custom hinges typed, "&amp;$CQ207&amp;" expected, ","")&amp;IF(AND(ISNUMBER($CA207),OR(N($CA207)&lt;34,N($CA207)&gt;48)),"lock "&amp;TEXT($CA207,"0.0")&amp;CHAR(34)&amp;" AFF outside 34-48"&amp;CHAR(34)&amp;" (ADA), ","")&amp;IF(AND(ISNUMBER($AV207),ISNUMBER($BL207),N($AV207)&lt;IF(N($BL207)&lt;=60,2,IF(N($BL207)&lt;=90,3,IF(N($BL207)&lt;=120,4,5)))),"fewer hinges than standard, ",""))</f>
        <v/>
      </c>
    </row>
    <row r="208" ht="15" customHeight="1">
      <c r="A208" s="77" t="n"/>
      <c r="B208" s="78" t="n"/>
      <c r="C208" s="78" t="n"/>
      <c r="D208" s="78" t="n"/>
      <c r="E208" s="78" t="n"/>
      <c r="F208" s="78" t="n"/>
      <c r="G208" s="78" t="n"/>
      <c r="H208" s="78" t="n"/>
      <c r="I208" s="78" t="n"/>
      <c r="J208" s="78" t="n"/>
      <c r="K208" s="78" t="n"/>
      <c r="L208" s="78" t="n"/>
      <c r="M208" s="78" t="n"/>
      <c r="N208" s="78" t="n"/>
      <c r="O208" s="78" t="n"/>
      <c r="P208" s="78" t="n"/>
      <c r="Q208" s="78" t="n"/>
      <c r="R208" s="78" t="n"/>
      <c r="S208" s="79" t="n"/>
      <c r="T208" s="79" t="n"/>
      <c r="U208" s="79" t="n"/>
      <c r="V208" s="79" t="n"/>
      <c r="W208" s="79" t="n"/>
      <c r="X208" s="79" t="n"/>
      <c r="Y208" s="79" t="n"/>
      <c r="Z208" s="79" t="n"/>
      <c r="AA208" s="79" t="n"/>
      <c r="AB208" s="79" t="n"/>
      <c r="AC208" s="79" t="n"/>
      <c r="AD208" s="79" t="n"/>
      <c r="AE208" s="79" t="n"/>
      <c r="AF208" s="79" t="n"/>
      <c r="AG208" s="79" t="n"/>
      <c r="AH208" s="80" t="n"/>
      <c r="AI208" s="80" t="n"/>
      <c r="AJ208" s="80" t="n"/>
      <c r="AK208" s="80" t="n"/>
      <c r="AL208" s="80" t="n"/>
      <c r="AM208" s="80" t="n"/>
      <c r="AN208" s="80" t="n"/>
      <c r="AO208" s="80" t="n"/>
      <c r="AP208" s="80" t="n"/>
      <c r="AQ208" s="80" t="n"/>
      <c r="AR208" s="80" t="n"/>
      <c r="AS208" s="80" t="n"/>
      <c r="AT208" s="81" t="n"/>
      <c r="AU208" s="81" t="n"/>
      <c r="AV208" s="81" t="n"/>
      <c r="AW208" s="82" t="n"/>
      <c r="AX208" s="82" t="n"/>
      <c r="AY208" s="82" t="n"/>
      <c r="AZ208" s="82" t="n"/>
      <c r="BA208" s="82" t="n"/>
      <c r="BB208" s="83" t="n"/>
      <c r="BC208" s="83" t="n"/>
      <c r="BD208" s="84">
        <f>IF($A208="","",IF($DJ208&lt;&gt;"","FIX",IF($DK208&lt;&gt;"","CHECK","OK")))</f>
        <v/>
      </c>
      <c r="BE208" s="85">
        <f>IF($A208="","",IF($DJ208&lt;&gt;"","FIX: "&amp;LEFT($DJ208,LEN($DJ208)-2)&amp;IF($DK208&lt;&gt;"","  ·  ",""),"")&amp;IF($DK208&lt;&gt;"","CHECK: "&amp;LEFT($DK208,LEN($DK208)-2),""))</f>
        <v/>
      </c>
      <c r="BF208" s="84">
        <f>IF(OR($A208="",$K208=""),"",$K208&amp;"'-"&amp;N($L208)&amp;CHAR(34)&amp;" x "&amp;$M208&amp;"'-"&amp;N($N208)&amp;CHAR(34))</f>
        <v/>
      </c>
      <c r="BG208" s="84">
        <f>IF(OR($A208="",$K208=""),"",$K208&amp;N($L208)&amp;$M208&amp;N($N208))</f>
        <v/>
      </c>
      <c r="BH208" s="84">
        <f>IF(OR($A208="",$K208=""),"",$K208*12+N($L208))</f>
        <v/>
      </c>
      <c r="BI208" s="84">
        <f>IF(OR($A208="",$M208=""),"",$M208*12+N($N208))</f>
        <v/>
      </c>
      <c r="BJ208" s="84">
        <f>IF($A208="","",IF(OR($C208="FRAME ONLY",$S208="BL"),0,IF($O208="Y",2,1)))</f>
        <v/>
      </c>
      <c r="BK208" s="86">
        <f>IF(OR(N($BJ208)=0,$BH208=""),"",($BH208-2*EdgeClr-IF($BJ208=2,MeetClr,0))/$BJ208)</f>
        <v/>
      </c>
      <c r="BL208" s="86">
        <f>IF(OR(N($BJ208)=0,$BI208=""),"",$BI208-HeadClr-Undercut)</f>
        <v/>
      </c>
      <c r="BM208" s="86">
        <f>IF($BH208="","",$BH208+2*FaceW+IF(N($Q208)&gt;0,($Q208+FaceW)*IF($R208="LR",2,1),0))</f>
        <v/>
      </c>
      <c r="BN208" s="86">
        <f>IF($BI208="","",$BI208+IF($AB208="Y",4,FaceW)+IF(N($P208)&gt;0,$P208+FaceW,0)+IF(OR($S208="4F",$S208="BL"),FaceW,0))</f>
        <v/>
      </c>
      <c r="BO208" s="86">
        <f>IF($BM208="","",$BM208+2*ROSide)</f>
        <v/>
      </c>
      <c r="BP208" s="86">
        <f>IF($BN208="","",$BN208+ROTop)</f>
        <v/>
      </c>
      <c r="BQ208" s="87">
        <f>IF(OR(N($BJ208)=0,$BH208=""),"",$BH208/$BJ208-ClearDeduct)</f>
        <v/>
      </c>
      <c r="BR208" s="84">
        <f>IF(N($CH208)=0,"",IF($CH208&gt;=180,"A · 3 HR",IF($CH208&gt;=90,"B · 1-1/2 HR",IF($CH208&gt;=60,"B · 1 HR",IF($CH208&gt;=45,"C · 3/4 HR","20 MIN")))))&amp;IF(AND(N($CH208)&gt;0,OR($I208="CORRIDOR",$I208="SMOKE BARRIER"))," · S","")</f>
        <v/>
      </c>
      <c r="BS208" s="84">
        <f>IF($CS208,"",IF($AV208&lt;&gt;"",$AV208,IF(OR($AC208="HGC",$AO208="HGC"),"CONT",IF(($BI208-HeadClr-Undercut)&lt;=60,2,IF(($BI208-HeadClr-Undercut)&lt;=90,3,IF(($BI208-HeadClr-Undercut)&lt;=120,4,5))))))</f>
        <v/>
      </c>
      <c r="BT208" s="84">
        <f>IF($CS208,"",IF($CT208,"CUSTOM (typed)",IF($CV208,$AT208&amp;" "&amp;$CU208&amp;CHAR(34)&amp;IF($CU208&lt;&gt;$BI208,IF(AND($BI208&lt;$CU208,$BI208-IF(N(VLOOKUP($AT208&amp;"|"&amp;$CU208,LocTable,7,FALSE))&gt;0,VLOOKUP($AT208&amp;"|"&amp;$CU208,LocTable,7,FALSE),VLOOKUP($AT208&amp;"|"&amp;$CU208,LocTable,6,FALSE))-$CR208-0.75&gt;=2.125)," cut down"," adj."),""),"ANSI/SDI A250.6")))</f>
        <v/>
      </c>
      <c r="BU208" s="88">
        <f>IF($CS208,"",IF($CT208,IF(N($AW208)&gt;0,N($AW208),""),IF(1&gt;$CQ208,"",IF($CQ208=1,$CW208,$CW208+($CX208-$CW208)*0/($CQ208-1)))))</f>
        <v/>
      </c>
      <c r="BV208" s="88">
        <f>IF($CS208,"",IF($CT208,IF(N($AX208)&gt;0,N($AX208),""),IF(2&gt;$CQ208,"",IF($CQ208=1,$CW208,$CW208+($CX208-$CW208)*1/($CQ208-1)))))</f>
        <v/>
      </c>
      <c r="BW208" s="88">
        <f>IF($CS208,"",IF($CT208,IF(N($AY208)&gt;0,N($AY208),""),IF(3&gt;$CQ208,"",IF($CQ208=1,$CW208,$CW208+($CX208-$CW208)*2/($CQ208-1)))))</f>
        <v/>
      </c>
      <c r="BX208" s="88">
        <f>IF($CS208,"",IF($CT208,IF(N($AZ208)&gt;0,N($AZ208),""),IF(4&gt;$CQ208,"",IF($CQ208=1,$CW208,$CW208+($CX208-$CW208)*3/($CQ208-1)))))</f>
        <v/>
      </c>
      <c r="BY208" s="88">
        <f>IF($CS208,"",IF($CT208,"",IF(5&gt;$CQ208,"",IF($CQ208=1,$CW208,$CW208+($CX208-$CW208)*4/($CQ208-1)))))</f>
        <v/>
      </c>
      <c r="BZ208" s="88">
        <f>IF(OR($CS208,$AP208="-",AND($AP208="",$AD208="")),"",IF(N($BA208)&gt;0,N($BA208),IF($CV208,IF(AND($BI208&lt;$CU208,$BI208-IF(N(VLOOKUP($AT208&amp;"|"&amp;$CU208,LocTable,7,FALSE))&gt;0,VLOOKUP($AT208&amp;"|"&amp;$CU208,LocTable,7,FALSE),VLOOKUP($AT208&amp;"|"&amp;$CU208,LocTable,6,FALSE))-$CR208-0.75&gt;=2.125),VLOOKUP($AT208&amp;"|"&amp;$CU208,LocTable,8,FALSE),VLOOKUP($AT208&amp;"|"&amp;$CU208,LocTable,8,FALSE)+($BI208-$CU208)),$BI208-LockAFF)))</f>
        <v/>
      </c>
      <c r="CA208" s="89">
        <f>IF($BZ208="","",$BI208-$BZ208)</f>
        <v/>
      </c>
      <c r="CB208" s="84">
        <f>IF(OR(NOT(AND($A208&lt;&gt;"",$C208&lt;&gt;"DOOR ONLY")),$BI208=""),"",IF(($BI208+IF(N($P208)&gt;0,$P208+FaceW,0))&lt;=90,3,IF(($BI208+IF(N($P208)&gt;0,$P208+FaceW,0))&lt;=114,4,5)))</f>
        <v/>
      </c>
      <c r="CC208" s="84">
        <f>IF($CB208="","",$CB208*(2+IF(N($Q208)&gt;0,IF($R208="LR",2,1),0)))</f>
        <v/>
      </c>
      <c r="CD208" s="84">
        <f>IF($CB208="","",(2+IF(N($Q208)&gt;0,IF($R208="LR",2,1),0)))</f>
        <v/>
      </c>
      <c r="CE208" s="84">
        <f>IF(N($BJ208)=0,"",IF(OR($AL208="",$AL208="FLUSH"),"FLUSH",IFERROR(LEFT($AL208,FIND("-",$AL208)-1),LEFT($AL208,2))))</f>
        <v/>
      </c>
      <c r="CF208" s="84">
        <f>IF($CE208="","",IFERROR(VALUE(MID($AL208,FIND("-",$AL208)+1,FIND(CHAR(34)&amp;"x",$AL208)-FIND("-",$AL208)-1)),0))</f>
        <v/>
      </c>
      <c r="CG208" s="84">
        <f>IF($CE208="","",IFERROR(VALUE(MID($AL208,FIND(CHAR(34)&amp;"x",$AL208)+2,FIND(CHAR(34),$AL208,FIND(CHAR(34)&amp;"x",$AL208)+2)-FIND(CHAR(34)&amp;"x",$AL208)-2)),0))</f>
        <v/>
      </c>
      <c r="CH208" s="90">
        <f>IF(OR($A208="",$H208="",$H208="NO LAB"),0,IFERROR(VALUE(LEFT($H208,FIND(" ",$H208)-1)),0))</f>
        <v/>
      </c>
      <c r="CI208" s="91">
        <f>IF(OR($A208="",$I208="",$I208="NON-RATED",N($J208)=0),"",IFERROR(VLOOKUP($I208&amp;"|"&amp;$J208,IBC,2,FALSE),"?"))</f>
        <v/>
      </c>
      <c r="CJ208" s="85">
        <f>IF(NOT(AND($A208&lt;&gt;"",$C208&lt;&gt;"DOOR ONLY")),"",TRIM(IFERROR(VLOOKUP($U208,CODES,2,FALSE),"")&amp;" "&amp;$BG208&amp;" "&amp;IFERROR(VLOOKUP($Z208,CODES,2,FALSE),"")&amp;" "&amp;IFERROR(VLOOKUP($X208,CODES,2,FALSE),"")&amp;" "&amp;IFERROR(VLOOKUP($S208,CODES,2,FALSE),"")&amp;IF(N($P208)&gt;0," w/TRANSOM "&amp;$P208&amp;CHAR(34),"")&amp;IF(N($Q208)&gt;0," w/SIDELITE "&amp;$Q208&amp;CHAR(34)&amp;" "&amp;IF($R208="","R",$R208),"")&amp;IF($Y208="","  |  "," | "&amp;IFERROR(VLOOKUP($Y208,CODES,2,FALSE),"")&amp;" | ")&amp;IFERROR(VLOOKUP($AC208,CODES,2,FALSE),"")&amp;" "&amp;IFERROR(VLOOKUP($AD208,CODES,2,FALSE),"")&amp;IF(OR($AE208="",$AE208="-"),""," "&amp;$AE208)&amp;IF(OR($AF208="",$AF208="-"),""," "&amp;$AF208)&amp;IF($AB208="Y"," 4"&amp;CHAR(34)&amp;" HEAD","")&amp;" "&amp;IFERROR(VLOOKUP($H208,CODES,2,FALSE),"")&amp;IF($CT208," | LOC "&amp;$CY208,"")))</f>
        <v/>
      </c>
      <c r="CK208" s="85">
        <f>IF(NOT(AND($A208&lt;&gt;"",N($BJ208)&gt;0)),"",TRIM(IFERROR(VLOOKUP($AH208,CODES,2,FALSE),"")&amp;IF($AI208=""," "," "&amp;$AI208&amp;"GA ")&amp;$BG208&amp;" "&amp;IF($AN208="",IFERROR(VLOOKUP($Z208,CODES,2,FALSE),""),IFERROR(VLOOKUP($AN208,CODES,2,FALSE),""))&amp;IF($BJ208=2," PAIR","")&amp;" DOOR | "&amp;IF($AL208="","?",$AL208)&amp;" | "&amp;IF($AO208="",IFERROR(VLOOKUP($AC208,CODES,2,FALSE),""),IFERROR(VLOOKUP($AO208,CODES,2,FALSE),""))&amp;" "&amp;IFERROR(VLOOKUP($AP208,CODES,2,FALSE),"")&amp;IF(OR($AQ208="",$AQ208="-"),""," SEAM "&amp;$AQ208)&amp;IF($AR208="Y"," ASTRAGAL","")&amp;IF($AJ208=""," "," "&amp;$AJ208)&amp;IF($AK208=""," "," "&amp;$AK208)&amp;IF(OR($AT208="",$AT208="ANSI/SDI",$AT208="CUSTOM LOC"),""," "&amp;$AT208)&amp;IF($AM208=""," "," SERIES "&amp;$AM208)&amp;" "&amp;IFERROR(VLOOKUP($H208,CODES,2,FALSE),"")&amp;IF($CT208," | LOC "&amp;$CZ208,"")))</f>
        <v/>
      </c>
      <c r="CL208" s="84">
        <f>IF(CP208="","",IF(COUNTIF($CP$6:CP208,CP208)=1,MAX($CL$5:CL207)+1,INDEX($CL$5:CL207,MATCH(CP208,$CP$5:CP207,0))))</f>
        <v/>
      </c>
      <c r="CM208" s="84">
        <f>IF(NOT(AND($A208&lt;&gt;"",$C208&lt;&gt;"DOOR ONLY")),"",MAX($CM$5:CM207)+1)</f>
        <v/>
      </c>
      <c r="CN208" s="84">
        <f>IF(NOT(AND($A208&lt;&gt;"",N($BJ208)&gt;0)),"",MAX($CN$5:CN207)+1)</f>
        <v/>
      </c>
      <c r="CO208" s="84">
        <f>IF($A208="","",MAX($CO$5:CO207)+1)</f>
        <v/>
      </c>
      <c r="CP208" s="84">
        <f>IF(OR($A208="",$BH208="",$BI208=""),"",$BG208&amp;"|"&amp;$O208&amp;"|"&amp;$AL208&amp;"|"&amp;$S208&amp;"|"&amp;$P208&amp;"|"&amp;$Q208&amp;$R208&amp;"|"&amp;$C208&amp;"|"&amp;$AB208)</f>
        <v/>
      </c>
      <c r="CQ208" s="84">
        <f>N($BS208)</f>
        <v/>
      </c>
      <c r="CR208" s="84">
        <f>IF(N($AU208)&gt;0,N($AU208),4.5)</f>
        <v/>
      </c>
      <c r="CS208" s="84">
        <f>OR($A208="",$BI208="",$S208="BL",AND($C208="FRAME ONLY",OR($AC208="",$AC208="BLK")))</f>
        <v/>
      </c>
      <c r="CT208" s="84">
        <f>AND(NOT($CS208),OR($AT208="CUSTOM LOC",N($AW208)+N($AX208)+N($AY208)+N($AZ208)+N($BA208)&gt;0))</f>
        <v/>
      </c>
      <c r="CU208" s="84">
        <f>IF($BI208="","",IF($BI208&lt;=80,80,IF($BI208&lt;=84,84,96)))</f>
        <v/>
      </c>
      <c r="CV208" s="84">
        <f>ISNUMBER(MATCH($AT208&amp;"|80",LocKeys,0))</f>
        <v/>
      </c>
      <c r="CW208" s="86">
        <f>IF($CS208,"",IF($CV208,VLOOKUP($AT208&amp;"|"&amp;$CU208,LocTable,4,FALSE),5))</f>
        <v/>
      </c>
      <c r="CX208" s="86">
        <f>IF($CS208,"",IF($CV208,IF(OR($BI208=$CU208,AND($BI208&lt;$CU208,$BI208-IF(N(VLOOKUP($AT208&amp;"|"&amp;$CU208,LocTable,7,FALSE))&gt;0,VLOOKUP($AT208&amp;"|"&amp;$CU208,LocTable,7,FALSE),VLOOKUP($AT208&amp;"|"&amp;$CU208,LocTable,6,FALSE))-$CR208-0.75&gt;=2.125)),IF(N(VLOOKUP($AT208&amp;"|"&amp;$CU208,LocTable,7,FALSE))&gt;0,VLOOKUP($AT208&amp;"|"&amp;$CU208,LocTable,7,FALSE),VLOOKUP($AT208&amp;"|"&amp;$CU208,LocTable,6,FALSE)),$BI208-($CU208-IF(N(VLOOKUP($AT208&amp;"|"&amp;$CU208,LocTable,7,FALSE))&gt;0,VLOOKUP($AT208&amp;"|"&amp;$CU208,LocTable,7,FALSE),VLOOKUP($AT208&amp;"|"&amp;$CU208,LocTable,6,FALSE)))),$BI208-10-$CR208))</f>
        <v/>
      </c>
      <c r="CY208" s="85">
        <f>IF($CS208,"",TRIM(IF(ISNUMBER($BU208),"A "&amp;TRIM(TEXT($BU208,"# ?/??"))&amp;CHAR(34)&amp;"  ","")&amp;IF(ISNUMBER($BV208),"B "&amp;TRIM(TEXT($BV208,"# ?/??"))&amp;CHAR(34)&amp;"  ","")&amp;IF(ISNUMBER($BW208),"C "&amp;TRIM(TEXT($BW208,"# ?/??"))&amp;CHAR(34)&amp;"  ","")&amp;IF(ISNUMBER($BX208),"D "&amp;TRIM(TEXT($BX208,"# ?/??"))&amp;CHAR(34)&amp;"  ","")&amp;IF(ISNUMBER($BY208),"F "&amp;TRIM(TEXT($BY208,"# ?/??"))&amp;CHAR(34)&amp;"  ","")&amp;IF(ISNUMBER($BZ208),"E "&amp;TRIM(TEXT($BZ208,"# ?/??"))&amp;CHAR(34)&amp;"  ","")))</f>
        <v/>
      </c>
      <c r="CZ208" s="85">
        <f>IF(OR($CS208,N($BJ208)=0),"",TRIM(IF(ISNUMBER($BU208),"A "&amp;TRIM(TEXT($BU208-HeadClr,"# ?/??"))&amp;CHAR(34)&amp;"  ","")&amp;IF(ISNUMBER($BV208),"B "&amp;TRIM(TEXT($BV208-HeadClr,"# ?/??"))&amp;CHAR(34)&amp;"  ","")&amp;IF(ISNUMBER($BW208),"C "&amp;TRIM(TEXT($BW208-HeadClr,"# ?/??"))&amp;CHAR(34)&amp;"  ","")&amp;IF(ISNUMBER($BX208),"D "&amp;TRIM(TEXT($BX208-HeadClr,"# ?/??"))&amp;CHAR(34)&amp;"  ","")&amp;IF(ISNUMBER($BY208),"F "&amp;TRIM(TEXT($BY208-HeadClr,"# ?/??"))&amp;CHAR(34)&amp;"  ","")&amp;IF(ISNUMBER($BZ208),"E "&amp;TRIM(TEXT($BZ208-HeadClr,"# ?/??"))&amp;CHAR(34)&amp;"  ","")))</f>
        <v/>
      </c>
      <c r="DA208" s="84">
        <f>IF($A208="","",IF($AN208="",IFERROR(VLOOKUP($Z208,CODES,2,FALSE),""),IFERROR(VLOOKUP($AN208,CODES,2,FALSE),"")))</f>
        <v/>
      </c>
      <c r="DB208" s="84">
        <f>IF($A208="","",IF($O208="Y","PR",IF(OR($Z208="L",$Z208="RR",LEFT($Z208,2)="L-",LEFT($Z208,3)="RR-"),"LH","RH")))</f>
        <v/>
      </c>
      <c r="DC208" s="84">
        <f>IF($A208="","","S.HM"&amp;IF(OR($C208="DOOR ONLY",$X208&lt;&gt;"KD"),"MASONRY","DRYWALL")&amp;IF($C208="DOOR ONLY","",$U208)&amp;IF(AND($C208&lt;&gt;"FRAME ONLY",OR(LEFT($AH208,3)="OAK",LEFT($AH208,3)="BIR",LEFT($AH208,3)="MAP",$AH208="PC",$AH208="MC",$AH208="SCLC",$AH208="P-LAM")),"WD","HM")&amp;"1.75")</f>
        <v/>
      </c>
      <c r="DD208" s="84">
        <f>IF($CJ208="","",IF($O208="Y",$CJ208,SUBSTITUTE($CJ208,$BG208&amp;" "&amp;IFERROR(VLOOKUP($Z208,CODES,2,FALSE),"")&amp;" ",$BG208&amp;" ")))</f>
        <v/>
      </c>
      <c r="DE208" s="84">
        <f>IF($CK208="","",IF($O208="Y",$CK208,SUBSTITUTE($CK208,$BG208&amp;" "&amp;IF($AN208="",IFERROR(VLOOKUP($Z208,CODES,2,FALSE),""),IFERROR(VLOOKUP($AN208,CODES,2,FALSE),""))&amp;" ",$BG208&amp;" ")))</f>
        <v/>
      </c>
      <c r="DF208" s="84">
        <f>IF($CJ208="","",$DC208&amp;"|"&amp;$DD208&amp;"|"&amp;$DB208&amp;"|"&amp;$AT208&amp;"|"&amp;$V208&amp;"|"&amp;$Y208&amp;"|"&amp;$AB208)</f>
        <v/>
      </c>
      <c r="DG208" s="84">
        <f>IF(DF208="","",IF(COUNTIF($DF$6:DF208,DF208)=1,MAX($DG$5:DG207)+1,INDEX($DG$5:DG207,MATCH(DF208,$DF$5:DF207,0))))</f>
        <v/>
      </c>
      <c r="DH208" s="84">
        <f>IF($CK208="","",$DC208&amp;"|"&amp;$DE208&amp;"|"&amp;$AI208&amp;"|"&amp;$BK208&amp;"|"&amp;$BL208)</f>
        <v/>
      </c>
      <c r="DI208" s="84">
        <f>IF(DH208="","",IF(COUNTIF($DH$6:DH208,DH208)=1,MAX($DI$5:DI207)+1,INDEX($DI$5:DI207,MATCH(DH208,$DH$5:DH207,0))))</f>
        <v/>
      </c>
      <c r="DJ208" s="84">
        <f>IF($A208="","",IF($B208="","qty, ","")&amp;IF($C208="","scope, ","")&amp;IF(OR($K208="",$M208=""),"size, ","")&amp;IF(AND($A208&lt;&gt;"",$C208&lt;&gt;"DOOR ONLY"),IF($U208="","jamb depth, ","")&amp;IF($X208="","construction, ","")&amp;IF($Y208="","anchor, ","")&amp;IF($S208="","frame type, ",""),"")&amp;IF(AND(N($BJ208)&gt;0,$Z208=""),"hand, ","")&amp;IF(N($BJ208)&gt;0,IF($AH208="","door material, ","")&amp;IF($AL208="","face type, ","")&amp;IF($AP208="","lock prep, ","")&amp;IF(AND($AO208="",$AC208=""),"hinge prep, ",""),"")&amp;IF(AND($CH208&gt;0,$AH208="FRP"),"FRP cannot carry a label, ","")&amp;IF(AND($O208="Y",OR($Z208="L",$Z208="R",$Z208="LR",$Z208="RR")),"pair marked but hand is single, ","")&amp;IF(AND($O208&lt;&gt;"Y",OR($Z208="PR",AND(LEN($Z208)&gt;1,ISNUMBER(SEARCH("-",$Z208))))),"pair hand on a single door, ","")&amp;IF(AND(ISNUMBER($CI208),$CH208&lt;N($CI208)),"wall needs a "&amp;$CI208&amp;" min door, ","")&amp;IF(AND($CH208&gt;=180,AND(OR($CE208="FG",$CE208="HG",$CE208="FNV",$CE208="FV"),N($CF208)*N($CG208)&gt;100)),"180 min lite over 100 sq in, ","")&amp;IF(N($BK208)&gt;48,"leaf wider than 4'-0"&amp;CHAR(34)&amp;", ","")&amp;IF(AND($CT208,COUNT($AW208:$AZ208)=0,$CQ208&gt;0),"CUSTOM LOC with no locations typed, ",""))</f>
        <v/>
      </c>
      <c r="DK208" s="84">
        <f>IF($A208="","",IF(AND($CH208&gt;0,AND($A208&lt;&gt;"",$C208&lt;&gt;"DOOR ONLY"),$X208="KD",$E208="EXTERIOR"),"KD label on an exterior opening, ","")&amp;IF(AND($E208="EXTERIOR",OR(AND(AND($A208&lt;&gt;"",$C208&lt;&gt;"DOOR ONLY"),$W208="CR"),AND(N($BJ208)&gt;0,$AH208="CR"))),"exterior in CR steel (G9?), ","")&amp;IF(AND(ISNUMBER($BQ208),N($BQ208)&lt;32),"clear width ~"&amp;TEXT($BQ208,"0.0")&amp;CHAR(34)&amp;" under 32"&amp;CHAR(34)&amp;" (ADA), ","")&amp;IF(AND($CH208=90,AND(OR($CE208="FG",$CE208="HG",$CE208="FNV",$CE208="FV"),N($CF208)*N($CG208)&gt;100)),"90 min lite over 100 sq in (stair/exit), ","")&amp;IF(AND($CH208&gt;0,AND($A208&lt;&gt;"",$C208&lt;&gt;"DOOR ONLY"),OR($AF208="",$AF208="-")),"rated: closer reinf.?, ","")&amp;IF(OR($I208="CORRIDOR",$I208="SMOKE BARRIER"),"S label + smoke gasketing, ","")&amp;IF($CI208="?","wall type/hr not in IBC table, ","")&amp;IF(AND(N($BJ208)&gt;0,$BB208=""),"no hardware set, ","")&amp;IF(AND($BB208&lt;&gt;"",ISNA(MATCH($BB208&amp;"",HWSets,0))),"set "&amp;$BB208&amp;" not on HW Sets, ","")&amp;IF(N($BL208)&gt;96,"leaf over 8'-0"&amp;CHAR(34)&amp;" - check listing, ","")&amp;IF(AND($CT208,COUNT($AW208:$AZ208)&gt;0,COUNT($AW208:$AZ208)&lt;&gt;$CQ208),COUNT($AW208:$AZ208)&amp;" custom hinges typed, "&amp;$CQ208&amp;" expected, ","")&amp;IF(AND(ISNUMBER($CA208),OR(N($CA208)&lt;34,N($CA208)&gt;48)),"lock "&amp;TEXT($CA208,"0.0")&amp;CHAR(34)&amp;" AFF outside 34-48"&amp;CHAR(34)&amp;" (ADA), ","")&amp;IF(AND(ISNUMBER($AV208),ISNUMBER($BL208),N($AV208)&lt;IF(N($BL208)&lt;=60,2,IF(N($BL208)&lt;=90,3,IF(N($BL208)&lt;=120,4,5)))),"fewer hinges than standard, ",""))</f>
        <v/>
      </c>
    </row>
    <row r="209" ht="15" customHeight="1">
      <c r="A209" s="77" t="n"/>
      <c r="B209" s="78" t="n"/>
      <c r="C209" s="78" t="n"/>
      <c r="D209" s="78" t="n"/>
      <c r="E209" s="78" t="n"/>
      <c r="F209" s="78" t="n"/>
      <c r="G209" s="78" t="n"/>
      <c r="H209" s="78" t="n"/>
      <c r="I209" s="78" t="n"/>
      <c r="J209" s="78" t="n"/>
      <c r="K209" s="78" t="n"/>
      <c r="L209" s="78" t="n"/>
      <c r="M209" s="78" t="n"/>
      <c r="N209" s="78" t="n"/>
      <c r="O209" s="78" t="n"/>
      <c r="P209" s="78" t="n"/>
      <c r="Q209" s="78" t="n"/>
      <c r="R209" s="78" t="n"/>
      <c r="S209" s="79" t="n"/>
      <c r="T209" s="79" t="n"/>
      <c r="U209" s="79" t="n"/>
      <c r="V209" s="79" t="n"/>
      <c r="W209" s="79" t="n"/>
      <c r="X209" s="79" t="n"/>
      <c r="Y209" s="79" t="n"/>
      <c r="Z209" s="79" t="n"/>
      <c r="AA209" s="79" t="n"/>
      <c r="AB209" s="79" t="n"/>
      <c r="AC209" s="79" t="n"/>
      <c r="AD209" s="79" t="n"/>
      <c r="AE209" s="79" t="n"/>
      <c r="AF209" s="79" t="n"/>
      <c r="AG209" s="79" t="n"/>
      <c r="AH209" s="80" t="n"/>
      <c r="AI209" s="80" t="n"/>
      <c r="AJ209" s="80" t="n"/>
      <c r="AK209" s="80" t="n"/>
      <c r="AL209" s="80" t="n"/>
      <c r="AM209" s="80" t="n"/>
      <c r="AN209" s="80" t="n"/>
      <c r="AO209" s="80" t="n"/>
      <c r="AP209" s="80" t="n"/>
      <c r="AQ209" s="80" t="n"/>
      <c r="AR209" s="80" t="n"/>
      <c r="AS209" s="80" t="n"/>
      <c r="AT209" s="81" t="n"/>
      <c r="AU209" s="81" t="n"/>
      <c r="AV209" s="81" t="n"/>
      <c r="AW209" s="82" t="n"/>
      <c r="AX209" s="82" t="n"/>
      <c r="AY209" s="82" t="n"/>
      <c r="AZ209" s="82" t="n"/>
      <c r="BA209" s="82" t="n"/>
      <c r="BB209" s="83" t="n"/>
      <c r="BC209" s="83" t="n"/>
      <c r="BD209" s="84">
        <f>IF($A209="","",IF($DJ209&lt;&gt;"","FIX",IF($DK209&lt;&gt;"","CHECK","OK")))</f>
        <v/>
      </c>
      <c r="BE209" s="85">
        <f>IF($A209="","",IF($DJ209&lt;&gt;"","FIX: "&amp;LEFT($DJ209,LEN($DJ209)-2)&amp;IF($DK209&lt;&gt;"","  ·  ",""),"")&amp;IF($DK209&lt;&gt;"","CHECK: "&amp;LEFT($DK209,LEN($DK209)-2),""))</f>
        <v/>
      </c>
      <c r="BF209" s="84">
        <f>IF(OR($A209="",$K209=""),"",$K209&amp;"'-"&amp;N($L209)&amp;CHAR(34)&amp;" x "&amp;$M209&amp;"'-"&amp;N($N209)&amp;CHAR(34))</f>
        <v/>
      </c>
      <c r="BG209" s="84">
        <f>IF(OR($A209="",$K209=""),"",$K209&amp;N($L209)&amp;$M209&amp;N($N209))</f>
        <v/>
      </c>
      <c r="BH209" s="84">
        <f>IF(OR($A209="",$K209=""),"",$K209*12+N($L209))</f>
        <v/>
      </c>
      <c r="BI209" s="84">
        <f>IF(OR($A209="",$M209=""),"",$M209*12+N($N209))</f>
        <v/>
      </c>
      <c r="BJ209" s="84">
        <f>IF($A209="","",IF(OR($C209="FRAME ONLY",$S209="BL"),0,IF($O209="Y",2,1)))</f>
        <v/>
      </c>
      <c r="BK209" s="86">
        <f>IF(OR(N($BJ209)=0,$BH209=""),"",($BH209-2*EdgeClr-IF($BJ209=2,MeetClr,0))/$BJ209)</f>
        <v/>
      </c>
      <c r="BL209" s="86">
        <f>IF(OR(N($BJ209)=0,$BI209=""),"",$BI209-HeadClr-Undercut)</f>
        <v/>
      </c>
      <c r="BM209" s="86">
        <f>IF($BH209="","",$BH209+2*FaceW+IF(N($Q209)&gt;0,($Q209+FaceW)*IF($R209="LR",2,1),0))</f>
        <v/>
      </c>
      <c r="BN209" s="86">
        <f>IF($BI209="","",$BI209+IF($AB209="Y",4,FaceW)+IF(N($P209)&gt;0,$P209+FaceW,0)+IF(OR($S209="4F",$S209="BL"),FaceW,0))</f>
        <v/>
      </c>
      <c r="BO209" s="86">
        <f>IF($BM209="","",$BM209+2*ROSide)</f>
        <v/>
      </c>
      <c r="BP209" s="86">
        <f>IF($BN209="","",$BN209+ROTop)</f>
        <v/>
      </c>
      <c r="BQ209" s="87">
        <f>IF(OR(N($BJ209)=0,$BH209=""),"",$BH209/$BJ209-ClearDeduct)</f>
        <v/>
      </c>
      <c r="BR209" s="84">
        <f>IF(N($CH209)=0,"",IF($CH209&gt;=180,"A · 3 HR",IF($CH209&gt;=90,"B · 1-1/2 HR",IF($CH209&gt;=60,"B · 1 HR",IF($CH209&gt;=45,"C · 3/4 HR","20 MIN")))))&amp;IF(AND(N($CH209)&gt;0,OR($I209="CORRIDOR",$I209="SMOKE BARRIER"))," · S","")</f>
        <v/>
      </c>
      <c r="BS209" s="84">
        <f>IF($CS209,"",IF($AV209&lt;&gt;"",$AV209,IF(OR($AC209="HGC",$AO209="HGC"),"CONT",IF(($BI209-HeadClr-Undercut)&lt;=60,2,IF(($BI209-HeadClr-Undercut)&lt;=90,3,IF(($BI209-HeadClr-Undercut)&lt;=120,4,5))))))</f>
        <v/>
      </c>
      <c r="BT209" s="84">
        <f>IF($CS209,"",IF($CT209,"CUSTOM (typed)",IF($CV209,$AT209&amp;" "&amp;$CU209&amp;CHAR(34)&amp;IF($CU209&lt;&gt;$BI209,IF(AND($BI209&lt;$CU209,$BI209-IF(N(VLOOKUP($AT209&amp;"|"&amp;$CU209,LocTable,7,FALSE))&gt;0,VLOOKUP($AT209&amp;"|"&amp;$CU209,LocTable,7,FALSE),VLOOKUP($AT209&amp;"|"&amp;$CU209,LocTable,6,FALSE))-$CR209-0.75&gt;=2.125)," cut down"," adj."),""),"ANSI/SDI A250.6")))</f>
        <v/>
      </c>
      <c r="BU209" s="88">
        <f>IF($CS209,"",IF($CT209,IF(N($AW209)&gt;0,N($AW209),""),IF(1&gt;$CQ209,"",IF($CQ209=1,$CW209,$CW209+($CX209-$CW209)*0/($CQ209-1)))))</f>
        <v/>
      </c>
      <c r="BV209" s="88">
        <f>IF($CS209,"",IF($CT209,IF(N($AX209)&gt;0,N($AX209),""),IF(2&gt;$CQ209,"",IF($CQ209=1,$CW209,$CW209+($CX209-$CW209)*1/($CQ209-1)))))</f>
        <v/>
      </c>
      <c r="BW209" s="88">
        <f>IF($CS209,"",IF($CT209,IF(N($AY209)&gt;0,N($AY209),""),IF(3&gt;$CQ209,"",IF($CQ209=1,$CW209,$CW209+($CX209-$CW209)*2/($CQ209-1)))))</f>
        <v/>
      </c>
      <c r="BX209" s="88">
        <f>IF($CS209,"",IF($CT209,IF(N($AZ209)&gt;0,N($AZ209),""),IF(4&gt;$CQ209,"",IF($CQ209=1,$CW209,$CW209+($CX209-$CW209)*3/($CQ209-1)))))</f>
        <v/>
      </c>
      <c r="BY209" s="88">
        <f>IF($CS209,"",IF($CT209,"",IF(5&gt;$CQ209,"",IF($CQ209=1,$CW209,$CW209+($CX209-$CW209)*4/($CQ209-1)))))</f>
        <v/>
      </c>
      <c r="BZ209" s="88">
        <f>IF(OR($CS209,$AP209="-",AND($AP209="",$AD209="")),"",IF(N($BA209)&gt;0,N($BA209),IF($CV209,IF(AND($BI209&lt;$CU209,$BI209-IF(N(VLOOKUP($AT209&amp;"|"&amp;$CU209,LocTable,7,FALSE))&gt;0,VLOOKUP($AT209&amp;"|"&amp;$CU209,LocTable,7,FALSE),VLOOKUP($AT209&amp;"|"&amp;$CU209,LocTable,6,FALSE))-$CR209-0.75&gt;=2.125),VLOOKUP($AT209&amp;"|"&amp;$CU209,LocTable,8,FALSE),VLOOKUP($AT209&amp;"|"&amp;$CU209,LocTable,8,FALSE)+($BI209-$CU209)),$BI209-LockAFF)))</f>
        <v/>
      </c>
      <c r="CA209" s="89">
        <f>IF($BZ209="","",$BI209-$BZ209)</f>
        <v/>
      </c>
      <c r="CB209" s="84">
        <f>IF(OR(NOT(AND($A209&lt;&gt;"",$C209&lt;&gt;"DOOR ONLY")),$BI209=""),"",IF(($BI209+IF(N($P209)&gt;0,$P209+FaceW,0))&lt;=90,3,IF(($BI209+IF(N($P209)&gt;0,$P209+FaceW,0))&lt;=114,4,5)))</f>
        <v/>
      </c>
      <c r="CC209" s="84">
        <f>IF($CB209="","",$CB209*(2+IF(N($Q209)&gt;0,IF($R209="LR",2,1),0)))</f>
        <v/>
      </c>
      <c r="CD209" s="84">
        <f>IF($CB209="","",(2+IF(N($Q209)&gt;0,IF($R209="LR",2,1),0)))</f>
        <v/>
      </c>
      <c r="CE209" s="84">
        <f>IF(N($BJ209)=0,"",IF(OR($AL209="",$AL209="FLUSH"),"FLUSH",IFERROR(LEFT($AL209,FIND("-",$AL209)-1),LEFT($AL209,2))))</f>
        <v/>
      </c>
      <c r="CF209" s="84">
        <f>IF($CE209="","",IFERROR(VALUE(MID($AL209,FIND("-",$AL209)+1,FIND(CHAR(34)&amp;"x",$AL209)-FIND("-",$AL209)-1)),0))</f>
        <v/>
      </c>
      <c r="CG209" s="84">
        <f>IF($CE209="","",IFERROR(VALUE(MID($AL209,FIND(CHAR(34)&amp;"x",$AL209)+2,FIND(CHAR(34),$AL209,FIND(CHAR(34)&amp;"x",$AL209)+2)-FIND(CHAR(34)&amp;"x",$AL209)-2)),0))</f>
        <v/>
      </c>
      <c r="CH209" s="90">
        <f>IF(OR($A209="",$H209="",$H209="NO LAB"),0,IFERROR(VALUE(LEFT($H209,FIND(" ",$H209)-1)),0))</f>
        <v/>
      </c>
      <c r="CI209" s="91">
        <f>IF(OR($A209="",$I209="",$I209="NON-RATED",N($J209)=0),"",IFERROR(VLOOKUP($I209&amp;"|"&amp;$J209,IBC,2,FALSE),"?"))</f>
        <v/>
      </c>
      <c r="CJ209" s="85">
        <f>IF(NOT(AND($A209&lt;&gt;"",$C209&lt;&gt;"DOOR ONLY")),"",TRIM(IFERROR(VLOOKUP($U209,CODES,2,FALSE),"")&amp;" "&amp;$BG209&amp;" "&amp;IFERROR(VLOOKUP($Z209,CODES,2,FALSE),"")&amp;" "&amp;IFERROR(VLOOKUP($X209,CODES,2,FALSE),"")&amp;" "&amp;IFERROR(VLOOKUP($S209,CODES,2,FALSE),"")&amp;IF(N($P209)&gt;0," w/TRANSOM "&amp;$P209&amp;CHAR(34),"")&amp;IF(N($Q209)&gt;0," w/SIDELITE "&amp;$Q209&amp;CHAR(34)&amp;" "&amp;IF($R209="","R",$R209),"")&amp;IF($Y209="","  |  "," | "&amp;IFERROR(VLOOKUP($Y209,CODES,2,FALSE),"")&amp;" | ")&amp;IFERROR(VLOOKUP($AC209,CODES,2,FALSE),"")&amp;" "&amp;IFERROR(VLOOKUP($AD209,CODES,2,FALSE),"")&amp;IF(OR($AE209="",$AE209="-"),""," "&amp;$AE209)&amp;IF(OR($AF209="",$AF209="-"),""," "&amp;$AF209)&amp;IF($AB209="Y"," 4"&amp;CHAR(34)&amp;" HEAD","")&amp;" "&amp;IFERROR(VLOOKUP($H209,CODES,2,FALSE),"")&amp;IF($CT209," | LOC "&amp;$CY209,"")))</f>
        <v/>
      </c>
      <c r="CK209" s="85">
        <f>IF(NOT(AND($A209&lt;&gt;"",N($BJ209)&gt;0)),"",TRIM(IFERROR(VLOOKUP($AH209,CODES,2,FALSE),"")&amp;IF($AI209=""," "," "&amp;$AI209&amp;"GA ")&amp;$BG209&amp;" "&amp;IF($AN209="",IFERROR(VLOOKUP($Z209,CODES,2,FALSE),""),IFERROR(VLOOKUP($AN209,CODES,2,FALSE),""))&amp;IF($BJ209=2," PAIR","")&amp;" DOOR | "&amp;IF($AL209="","?",$AL209)&amp;" | "&amp;IF($AO209="",IFERROR(VLOOKUP($AC209,CODES,2,FALSE),""),IFERROR(VLOOKUP($AO209,CODES,2,FALSE),""))&amp;" "&amp;IFERROR(VLOOKUP($AP209,CODES,2,FALSE),"")&amp;IF(OR($AQ209="",$AQ209="-"),""," SEAM "&amp;$AQ209)&amp;IF($AR209="Y"," ASTRAGAL","")&amp;IF($AJ209=""," "," "&amp;$AJ209)&amp;IF($AK209=""," "," "&amp;$AK209)&amp;IF(OR($AT209="",$AT209="ANSI/SDI",$AT209="CUSTOM LOC"),""," "&amp;$AT209)&amp;IF($AM209=""," "," SERIES "&amp;$AM209)&amp;" "&amp;IFERROR(VLOOKUP($H209,CODES,2,FALSE),"")&amp;IF($CT209," | LOC "&amp;$CZ209,"")))</f>
        <v/>
      </c>
      <c r="CL209" s="84">
        <f>IF(CP209="","",IF(COUNTIF($CP$6:CP209,CP209)=1,MAX($CL$5:CL208)+1,INDEX($CL$5:CL208,MATCH(CP209,$CP$5:CP208,0))))</f>
        <v/>
      </c>
      <c r="CM209" s="84">
        <f>IF(NOT(AND($A209&lt;&gt;"",$C209&lt;&gt;"DOOR ONLY")),"",MAX($CM$5:CM208)+1)</f>
        <v/>
      </c>
      <c r="CN209" s="84">
        <f>IF(NOT(AND($A209&lt;&gt;"",N($BJ209)&gt;0)),"",MAX($CN$5:CN208)+1)</f>
        <v/>
      </c>
      <c r="CO209" s="84">
        <f>IF($A209="","",MAX($CO$5:CO208)+1)</f>
        <v/>
      </c>
      <c r="CP209" s="84">
        <f>IF(OR($A209="",$BH209="",$BI209=""),"",$BG209&amp;"|"&amp;$O209&amp;"|"&amp;$AL209&amp;"|"&amp;$S209&amp;"|"&amp;$P209&amp;"|"&amp;$Q209&amp;$R209&amp;"|"&amp;$C209&amp;"|"&amp;$AB209)</f>
        <v/>
      </c>
      <c r="CQ209" s="84">
        <f>N($BS209)</f>
        <v/>
      </c>
      <c r="CR209" s="84">
        <f>IF(N($AU209)&gt;0,N($AU209),4.5)</f>
        <v/>
      </c>
      <c r="CS209" s="84">
        <f>OR($A209="",$BI209="",$S209="BL",AND($C209="FRAME ONLY",OR($AC209="",$AC209="BLK")))</f>
        <v/>
      </c>
      <c r="CT209" s="84">
        <f>AND(NOT($CS209),OR($AT209="CUSTOM LOC",N($AW209)+N($AX209)+N($AY209)+N($AZ209)+N($BA209)&gt;0))</f>
        <v/>
      </c>
      <c r="CU209" s="84">
        <f>IF($BI209="","",IF($BI209&lt;=80,80,IF($BI209&lt;=84,84,96)))</f>
        <v/>
      </c>
      <c r="CV209" s="84">
        <f>ISNUMBER(MATCH($AT209&amp;"|80",LocKeys,0))</f>
        <v/>
      </c>
      <c r="CW209" s="86">
        <f>IF($CS209,"",IF($CV209,VLOOKUP($AT209&amp;"|"&amp;$CU209,LocTable,4,FALSE),5))</f>
        <v/>
      </c>
      <c r="CX209" s="86">
        <f>IF($CS209,"",IF($CV209,IF(OR($BI209=$CU209,AND($BI209&lt;$CU209,$BI209-IF(N(VLOOKUP($AT209&amp;"|"&amp;$CU209,LocTable,7,FALSE))&gt;0,VLOOKUP($AT209&amp;"|"&amp;$CU209,LocTable,7,FALSE),VLOOKUP($AT209&amp;"|"&amp;$CU209,LocTable,6,FALSE))-$CR209-0.75&gt;=2.125)),IF(N(VLOOKUP($AT209&amp;"|"&amp;$CU209,LocTable,7,FALSE))&gt;0,VLOOKUP($AT209&amp;"|"&amp;$CU209,LocTable,7,FALSE),VLOOKUP($AT209&amp;"|"&amp;$CU209,LocTable,6,FALSE)),$BI209-($CU209-IF(N(VLOOKUP($AT209&amp;"|"&amp;$CU209,LocTable,7,FALSE))&gt;0,VLOOKUP($AT209&amp;"|"&amp;$CU209,LocTable,7,FALSE),VLOOKUP($AT209&amp;"|"&amp;$CU209,LocTable,6,FALSE)))),$BI209-10-$CR209))</f>
        <v/>
      </c>
      <c r="CY209" s="85">
        <f>IF($CS209,"",TRIM(IF(ISNUMBER($BU209),"A "&amp;TRIM(TEXT($BU209,"# ?/??"))&amp;CHAR(34)&amp;"  ","")&amp;IF(ISNUMBER($BV209),"B "&amp;TRIM(TEXT($BV209,"# ?/??"))&amp;CHAR(34)&amp;"  ","")&amp;IF(ISNUMBER($BW209),"C "&amp;TRIM(TEXT($BW209,"# ?/??"))&amp;CHAR(34)&amp;"  ","")&amp;IF(ISNUMBER($BX209),"D "&amp;TRIM(TEXT($BX209,"# ?/??"))&amp;CHAR(34)&amp;"  ","")&amp;IF(ISNUMBER($BY209),"F "&amp;TRIM(TEXT($BY209,"# ?/??"))&amp;CHAR(34)&amp;"  ","")&amp;IF(ISNUMBER($BZ209),"E "&amp;TRIM(TEXT($BZ209,"# ?/??"))&amp;CHAR(34)&amp;"  ","")))</f>
        <v/>
      </c>
      <c r="CZ209" s="85">
        <f>IF(OR($CS209,N($BJ209)=0),"",TRIM(IF(ISNUMBER($BU209),"A "&amp;TRIM(TEXT($BU209-HeadClr,"# ?/??"))&amp;CHAR(34)&amp;"  ","")&amp;IF(ISNUMBER($BV209),"B "&amp;TRIM(TEXT($BV209-HeadClr,"# ?/??"))&amp;CHAR(34)&amp;"  ","")&amp;IF(ISNUMBER($BW209),"C "&amp;TRIM(TEXT($BW209-HeadClr,"# ?/??"))&amp;CHAR(34)&amp;"  ","")&amp;IF(ISNUMBER($BX209),"D "&amp;TRIM(TEXT($BX209-HeadClr,"# ?/??"))&amp;CHAR(34)&amp;"  ","")&amp;IF(ISNUMBER($BY209),"F "&amp;TRIM(TEXT($BY209-HeadClr,"# ?/??"))&amp;CHAR(34)&amp;"  ","")&amp;IF(ISNUMBER($BZ209),"E "&amp;TRIM(TEXT($BZ209-HeadClr,"# ?/??"))&amp;CHAR(34)&amp;"  ","")))</f>
        <v/>
      </c>
      <c r="DA209" s="84">
        <f>IF($A209="","",IF($AN209="",IFERROR(VLOOKUP($Z209,CODES,2,FALSE),""),IFERROR(VLOOKUP($AN209,CODES,2,FALSE),"")))</f>
        <v/>
      </c>
      <c r="DB209" s="84">
        <f>IF($A209="","",IF($O209="Y","PR",IF(OR($Z209="L",$Z209="RR",LEFT($Z209,2)="L-",LEFT($Z209,3)="RR-"),"LH","RH")))</f>
        <v/>
      </c>
      <c r="DC209" s="84">
        <f>IF($A209="","","S.HM"&amp;IF(OR($C209="DOOR ONLY",$X209&lt;&gt;"KD"),"MASONRY","DRYWALL")&amp;IF($C209="DOOR ONLY","",$U209)&amp;IF(AND($C209&lt;&gt;"FRAME ONLY",OR(LEFT($AH209,3)="OAK",LEFT($AH209,3)="BIR",LEFT($AH209,3)="MAP",$AH209="PC",$AH209="MC",$AH209="SCLC",$AH209="P-LAM")),"WD","HM")&amp;"1.75")</f>
        <v/>
      </c>
      <c r="DD209" s="84">
        <f>IF($CJ209="","",IF($O209="Y",$CJ209,SUBSTITUTE($CJ209,$BG209&amp;" "&amp;IFERROR(VLOOKUP($Z209,CODES,2,FALSE),"")&amp;" ",$BG209&amp;" ")))</f>
        <v/>
      </c>
      <c r="DE209" s="84">
        <f>IF($CK209="","",IF($O209="Y",$CK209,SUBSTITUTE($CK209,$BG209&amp;" "&amp;IF($AN209="",IFERROR(VLOOKUP($Z209,CODES,2,FALSE),""),IFERROR(VLOOKUP($AN209,CODES,2,FALSE),""))&amp;" ",$BG209&amp;" ")))</f>
        <v/>
      </c>
      <c r="DF209" s="84">
        <f>IF($CJ209="","",$DC209&amp;"|"&amp;$DD209&amp;"|"&amp;$DB209&amp;"|"&amp;$AT209&amp;"|"&amp;$V209&amp;"|"&amp;$Y209&amp;"|"&amp;$AB209)</f>
        <v/>
      </c>
      <c r="DG209" s="84">
        <f>IF(DF209="","",IF(COUNTIF($DF$6:DF209,DF209)=1,MAX($DG$5:DG208)+1,INDEX($DG$5:DG208,MATCH(DF209,$DF$5:DF208,0))))</f>
        <v/>
      </c>
      <c r="DH209" s="84">
        <f>IF($CK209="","",$DC209&amp;"|"&amp;$DE209&amp;"|"&amp;$AI209&amp;"|"&amp;$BK209&amp;"|"&amp;$BL209)</f>
        <v/>
      </c>
      <c r="DI209" s="84">
        <f>IF(DH209="","",IF(COUNTIF($DH$6:DH209,DH209)=1,MAX($DI$5:DI208)+1,INDEX($DI$5:DI208,MATCH(DH209,$DH$5:DH208,0))))</f>
        <v/>
      </c>
      <c r="DJ209" s="84">
        <f>IF($A209="","",IF($B209="","qty, ","")&amp;IF($C209="","scope, ","")&amp;IF(OR($K209="",$M209=""),"size, ","")&amp;IF(AND($A209&lt;&gt;"",$C209&lt;&gt;"DOOR ONLY"),IF($U209="","jamb depth, ","")&amp;IF($X209="","construction, ","")&amp;IF($Y209="","anchor, ","")&amp;IF($S209="","frame type, ",""),"")&amp;IF(AND(N($BJ209)&gt;0,$Z209=""),"hand, ","")&amp;IF(N($BJ209)&gt;0,IF($AH209="","door material, ","")&amp;IF($AL209="","face type, ","")&amp;IF($AP209="","lock prep, ","")&amp;IF(AND($AO209="",$AC209=""),"hinge prep, ",""),"")&amp;IF(AND($CH209&gt;0,$AH209="FRP"),"FRP cannot carry a label, ","")&amp;IF(AND($O209="Y",OR($Z209="L",$Z209="R",$Z209="LR",$Z209="RR")),"pair marked but hand is single, ","")&amp;IF(AND($O209&lt;&gt;"Y",OR($Z209="PR",AND(LEN($Z209)&gt;1,ISNUMBER(SEARCH("-",$Z209))))),"pair hand on a single door, ","")&amp;IF(AND(ISNUMBER($CI209),$CH209&lt;N($CI209)),"wall needs a "&amp;$CI209&amp;" min door, ","")&amp;IF(AND($CH209&gt;=180,AND(OR($CE209="FG",$CE209="HG",$CE209="FNV",$CE209="FV"),N($CF209)*N($CG209)&gt;100)),"180 min lite over 100 sq in, ","")&amp;IF(N($BK209)&gt;48,"leaf wider than 4'-0"&amp;CHAR(34)&amp;", ","")&amp;IF(AND($CT209,COUNT($AW209:$AZ209)=0,$CQ209&gt;0),"CUSTOM LOC with no locations typed, ",""))</f>
        <v/>
      </c>
      <c r="DK209" s="84">
        <f>IF($A209="","",IF(AND($CH209&gt;0,AND($A209&lt;&gt;"",$C209&lt;&gt;"DOOR ONLY"),$X209="KD",$E209="EXTERIOR"),"KD label on an exterior opening, ","")&amp;IF(AND($E209="EXTERIOR",OR(AND(AND($A209&lt;&gt;"",$C209&lt;&gt;"DOOR ONLY"),$W209="CR"),AND(N($BJ209)&gt;0,$AH209="CR"))),"exterior in CR steel (G9?), ","")&amp;IF(AND(ISNUMBER($BQ209),N($BQ209)&lt;32),"clear width ~"&amp;TEXT($BQ209,"0.0")&amp;CHAR(34)&amp;" under 32"&amp;CHAR(34)&amp;" (ADA), ","")&amp;IF(AND($CH209=90,AND(OR($CE209="FG",$CE209="HG",$CE209="FNV",$CE209="FV"),N($CF209)*N($CG209)&gt;100)),"90 min lite over 100 sq in (stair/exit), ","")&amp;IF(AND($CH209&gt;0,AND($A209&lt;&gt;"",$C209&lt;&gt;"DOOR ONLY"),OR($AF209="",$AF209="-")),"rated: closer reinf.?, ","")&amp;IF(OR($I209="CORRIDOR",$I209="SMOKE BARRIER"),"S label + smoke gasketing, ","")&amp;IF($CI209="?","wall type/hr not in IBC table, ","")&amp;IF(AND(N($BJ209)&gt;0,$BB209=""),"no hardware set, ","")&amp;IF(AND($BB209&lt;&gt;"",ISNA(MATCH($BB209&amp;"",HWSets,0))),"set "&amp;$BB209&amp;" not on HW Sets, ","")&amp;IF(N($BL209)&gt;96,"leaf over 8'-0"&amp;CHAR(34)&amp;" - check listing, ","")&amp;IF(AND($CT209,COUNT($AW209:$AZ209)&gt;0,COUNT($AW209:$AZ209)&lt;&gt;$CQ209),COUNT($AW209:$AZ209)&amp;" custom hinges typed, "&amp;$CQ209&amp;" expected, ","")&amp;IF(AND(ISNUMBER($CA209),OR(N($CA209)&lt;34,N($CA209)&gt;48)),"lock "&amp;TEXT($CA209,"0.0")&amp;CHAR(34)&amp;" AFF outside 34-48"&amp;CHAR(34)&amp;" (ADA), ","")&amp;IF(AND(ISNUMBER($AV209),ISNUMBER($BL209),N($AV209)&lt;IF(N($BL209)&lt;=60,2,IF(N($BL209)&lt;=90,3,IF(N($BL209)&lt;=120,4,5)))),"fewer hinges than standard, ",""))</f>
        <v/>
      </c>
    </row>
    <row r="210" ht="15" customHeight="1">
      <c r="A210" s="92" t="n"/>
      <c r="B210" s="93" t="n"/>
      <c r="C210" s="93" t="n"/>
      <c r="D210" s="93" t="n"/>
      <c r="E210" s="93" t="n"/>
      <c r="F210" s="93" t="n"/>
      <c r="G210" s="93" t="n"/>
      <c r="H210" s="93" t="n"/>
      <c r="I210" s="93" t="n"/>
      <c r="J210" s="93" t="n"/>
      <c r="K210" s="93" t="n"/>
      <c r="L210" s="93" t="n"/>
      <c r="M210" s="93" t="n"/>
      <c r="N210" s="93" t="n"/>
      <c r="O210" s="93" t="n"/>
      <c r="P210" s="93" t="n"/>
      <c r="Q210" s="93" t="n"/>
      <c r="R210" s="93" t="n"/>
      <c r="S210" s="94" t="n"/>
      <c r="T210" s="94" t="n"/>
      <c r="U210" s="94" t="n"/>
      <c r="V210" s="94" t="n"/>
      <c r="W210" s="94" t="n"/>
      <c r="X210" s="94" t="n"/>
      <c r="Y210" s="94" t="n"/>
      <c r="Z210" s="94" t="n"/>
      <c r="AA210" s="94" t="n"/>
      <c r="AB210" s="94" t="n"/>
      <c r="AC210" s="94" t="n"/>
      <c r="AD210" s="94" t="n"/>
      <c r="AE210" s="94" t="n"/>
      <c r="AF210" s="94" t="n"/>
      <c r="AG210" s="94" t="n"/>
      <c r="AH210" s="95" t="n"/>
      <c r="AI210" s="95" t="n"/>
      <c r="AJ210" s="95" t="n"/>
      <c r="AK210" s="95" t="n"/>
      <c r="AL210" s="95" t="n"/>
      <c r="AM210" s="95" t="n"/>
      <c r="AN210" s="95" t="n"/>
      <c r="AO210" s="95" t="n"/>
      <c r="AP210" s="95" t="n"/>
      <c r="AQ210" s="95" t="n"/>
      <c r="AR210" s="95" t="n"/>
      <c r="AS210" s="95" t="n"/>
      <c r="AT210" s="96" t="n"/>
      <c r="AU210" s="96" t="n"/>
      <c r="AV210" s="96" t="n"/>
      <c r="AW210" s="97" t="n"/>
      <c r="AX210" s="97" t="n"/>
      <c r="AY210" s="97" t="n"/>
      <c r="AZ210" s="97" t="n"/>
      <c r="BA210" s="97" t="n"/>
      <c r="BB210" s="98" t="n"/>
      <c r="BC210" s="98" t="n"/>
      <c r="BD210" s="99">
        <f>IF($A210="","",IF($DJ210&lt;&gt;"","FIX",IF($DK210&lt;&gt;"","CHECK","OK")))</f>
        <v/>
      </c>
      <c r="BE210" s="100">
        <f>IF($A210="","",IF($DJ210&lt;&gt;"","FIX: "&amp;LEFT($DJ210,LEN($DJ210)-2)&amp;IF($DK210&lt;&gt;"","  ·  ",""),"")&amp;IF($DK210&lt;&gt;"","CHECK: "&amp;LEFT($DK210,LEN($DK210)-2),""))</f>
        <v/>
      </c>
      <c r="BF210" s="99">
        <f>IF(OR($A210="",$K210=""),"",$K210&amp;"'-"&amp;N($L210)&amp;CHAR(34)&amp;" x "&amp;$M210&amp;"'-"&amp;N($N210)&amp;CHAR(34))</f>
        <v/>
      </c>
      <c r="BG210" s="99">
        <f>IF(OR($A210="",$K210=""),"",$K210&amp;N($L210)&amp;$M210&amp;N($N210))</f>
        <v/>
      </c>
      <c r="BH210" s="99">
        <f>IF(OR($A210="",$K210=""),"",$K210*12+N($L210))</f>
        <v/>
      </c>
      <c r="BI210" s="99">
        <f>IF(OR($A210="",$M210=""),"",$M210*12+N($N210))</f>
        <v/>
      </c>
      <c r="BJ210" s="99">
        <f>IF($A210="","",IF(OR($C210="FRAME ONLY",$S210="BL"),0,IF($O210="Y",2,1)))</f>
        <v/>
      </c>
      <c r="BK210" s="101">
        <f>IF(OR(N($BJ210)=0,$BH210=""),"",($BH210-2*EdgeClr-IF($BJ210=2,MeetClr,0))/$BJ210)</f>
        <v/>
      </c>
      <c r="BL210" s="101">
        <f>IF(OR(N($BJ210)=0,$BI210=""),"",$BI210-HeadClr-Undercut)</f>
        <v/>
      </c>
      <c r="BM210" s="101">
        <f>IF($BH210="","",$BH210+2*FaceW+IF(N($Q210)&gt;0,($Q210+FaceW)*IF($R210="LR",2,1),0))</f>
        <v/>
      </c>
      <c r="BN210" s="101">
        <f>IF($BI210="","",$BI210+IF($AB210="Y",4,FaceW)+IF(N($P210)&gt;0,$P210+FaceW,0)+IF(OR($S210="4F",$S210="BL"),FaceW,0))</f>
        <v/>
      </c>
      <c r="BO210" s="101">
        <f>IF($BM210="","",$BM210+2*ROSide)</f>
        <v/>
      </c>
      <c r="BP210" s="101">
        <f>IF($BN210="","",$BN210+ROTop)</f>
        <v/>
      </c>
      <c r="BQ210" s="102">
        <f>IF(OR(N($BJ210)=0,$BH210=""),"",$BH210/$BJ210-ClearDeduct)</f>
        <v/>
      </c>
      <c r="BR210" s="99">
        <f>IF(N($CH210)=0,"",IF($CH210&gt;=180,"A · 3 HR",IF($CH210&gt;=90,"B · 1-1/2 HR",IF($CH210&gt;=60,"B · 1 HR",IF($CH210&gt;=45,"C · 3/4 HR","20 MIN")))))&amp;IF(AND(N($CH210)&gt;0,OR($I210="CORRIDOR",$I210="SMOKE BARRIER"))," · S","")</f>
        <v/>
      </c>
      <c r="BS210" s="99">
        <f>IF($CS210,"",IF($AV210&lt;&gt;"",$AV210,IF(OR($AC210="HGC",$AO210="HGC"),"CONT",IF(($BI210-HeadClr-Undercut)&lt;=60,2,IF(($BI210-HeadClr-Undercut)&lt;=90,3,IF(($BI210-HeadClr-Undercut)&lt;=120,4,5))))))</f>
        <v/>
      </c>
      <c r="BT210" s="99">
        <f>IF($CS210,"",IF($CT210,"CUSTOM (typed)",IF($CV210,$AT210&amp;" "&amp;$CU210&amp;CHAR(34)&amp;IF($CU210&lt;&gt;$BI210,IF(AND($BI210&lt;$CU210,$BI210-IF(N(VLOOKUP($AT210&amp;"|"&amp;$CU210,LocTable,7,FALSE))&gt;0,VLOOKUP($AT210&amp;"|"&amp;$CU210,LocTable,7,FALSE),VLOOKUP($AT210&amp;"|"&amp;$CU210,LocTable,6,FALSE))-$CR210-0.75&gt;=2.125)," cut down"," adj."),""),"ANSI/SDI A250.6")))</f>
        <v/>
      </c>
      <c r="BU210" s="103">
        <f>IF($CS210,"",IF($CT210,IF(N($AW210)&gt;0,N($AW210),""),IF(1&gt;$CQ210,"",IF($CQ210=1,$CW210,$CW210+($CX210-$CW210)*0/($CQ210-1)))))</f>
        <v/>
      </c>
      <c r="BV210" s="103">
        <f>IF($CS210,"",IF($CT210,IF(N($AX210)&gt;0,N($AX210),""),IF(2&gt;$CQ210,"",IF($CQ210=1,$CW210,$CW210+($CX210-$CW210)*1/($CQ210-1)))))</f>
        <v/>
      </c>
      <c r="BW210" s="103">
        <f>IF($CS210,"",IF($CT210,IF(N($AY210)&gt;0,N($AY210),""),IF(3&gt;$CQ210,"",IF($CQ210=1,$CW210,$CW210+($CX210-$CW210)*2/($CQ210-1)))))</f>
        <v/>
      </c>
      <c r="BX210" s="103">
        <f>IF($CS210,"",IF($CT210,IF(N($AZ210)&gt;0,N($AZ210),""),IF(4&gt;$CQ210,"",IF($CQ210=1,$CW210,$CW210+($CX210-$CW210)*3/($CQ210-1)))))</f>
        <v/>
      </c>
      <c r="BY210" s="103">
        <f>IF($CS210,"",IF($CT210,"",IF(5&gt;$CQ210,"",IF($CQ210=1,$CW210,$CW210+($CX210-$CW210)*4/($CQ210-1)))))</f>
        <v/>
      </c>
      <c r="BZ210" s="103">
        <f>IF(OR($CS210,$AP210="-",AND($AP210="",$AD210="")),"",IF(N($BA210)&gt;0,N($BA210),IF($CV210,IF(AND($BI210&lt;$CU210,$BI210-IF(N(VLOOKUP($AT210&amp;"|"&amp;$CU210,LocTable,7,FALSE))&gt;0,VLOOKUP($AT210&amp;"|"&amp;$CU210,LocTable,7,FALSE),VLOOKUP($AT210&amp;"|"&amp;$CU210,LocTable,6,FALSE))-$CR210-0.75&gt;=2.125),VLOOKUP($AT210&amp;"|"&amp;$CU210,LocTable,8,FALSE),VLOOKUP($AT210&amp;"|"&amp;$CU210,LocTable,8,FALSE)+($BI210-$CU210)),$BI210-LockAFF)))</f>
        <v/>
      </c>
      <c r="CA210" s="104">
        <f>IF($BZ210="","",$BI210-$BZ210)</f>
        <v/>
      </c>
      <c r="CB210" s="99">
        <f>IF(OR(NOT(AND($A210&lt;&gt;"",$C210&lt;&gt;"DOOR ONLY")),$BI210=""),"",IF(($BI210+IF(N($P210)&gt;0,$P210+FaceW,0))&lt;=90,3,IF(($BI210+IF(N($P210)&gt;0,$P210+FaceW,0))&lt;=114,4,5)))</f>
        <v/>
      </c>
      <c r="CC210" s="99">
        <f>IF($CB210="","",$CB210*(2+IF(N($Q210)&gt;0,IF($R210="LR",2,1),0)))</f>
        <v/>
      </c>
      <c r="CD210" s="99">
        <f>IF($CB210="","",(2+IF(N($Q210)&gt;0,IF($R210="LR",2,1),0)))</f>
        <v/>
      </c>
      <c r="CE210" s="99">
        <f>IF(N($BJ210)=0,"",IF(OR($AL210="",$AL210="FLUSH"),"FLUSH",IFERROR(LEFT($AL210,FIND("-",$AL210)-1),LEFT($AL210,2))))</f>
        <v/>
      </c>
      <c r="CF210" s="99">
        <f>IF($CE210="","",IFERROR(VALUE(MID($AL210,FIND("-",$AL210)+1,FIND(CHAR(34)&amp;"x",$AL210)-FIND("-",$AL210)-1)),0))</f>
        <v/>
      </c>
      <c r="CG210" s="99">
        <f>IF($CE210="","",IFERROR(VALUE(MID($AL210,FIND(CHAR(34)&amp;"x",$AL210)+2,FIND(CHAR(34),$AL210,FIND(CHAR(34)&amp;"x",$AL210)+2)-FIND(CHAR(34)&amp;"x",$AL210)-2)),0))</f>
        <v/>
      </c>
      <c r="CH210" s="105">
        <f>IF(OR($A210="",$H210="",$H210="NO LAB"),0,IFERROR(VALUE(LEFT($H210,FIND(" ",$H210)-1)),0))</f>
        <v/>
      </c>
      <c r="CI210" s="106">
        <f>IF(OR($A210="",$I210="",$I210="NON-RATED",N($J210)=0),"",IFERROR(VLOOKUP($I210&amp;"|"&amp;$J210,IBC,2,FALSE),"?"))</f>
        <v/>
      </c>
      <c r="CJ210" s="100">
        <f>IF(NOT(AND($A210&lt;&gt;"",$C210&lt;&gt;"DOOR ONLY")),"",TRIM(IFERROR(VLOOKUP($U210,CODES,2,FALSE),"")&amp;" "&amp;$BG210&amp;" "&amp;IFERROR(VLOOKUP($Z210,CODES,2,FALSE),"")&amp;" "&amp;IFERROR(VLOOKUP($X210,CODES,2,FALSE),"")&amp;" "&amp;IFERROR(VLOOKUP($S210,CODES,2,FALSE),"")&amp;IF(N($P210)&gt;0," w/TRANSOM "&amp;$P210&amp;CHAR(34),"")&amp;IF(N($Q210)&gt;0," w/SIDELITE "&amp;$Q210&amp;CHAR(34)&amp;" "&amp;IF($R210="","R",$R210),"")&amp;IF($Y210="","  |  "," | "&amp;IFERROR(VLOOKUP($Y210,CODES,2,FALSE),"")&amp;" | ")&amp;IFERROR(VLOOKUP($AC210,CODES,2,FALSE),"")&amp;" "&amp;IFERROR(VLOOKUP($AD210,CODES,2,FALSE),"")&amp;IF(OR($AE210="",$AE210="-"),""," "&amp;$AE210)&amp;IF(OR($AF210="",$AF210="-"),""," "&amp;$AF210)&amp;IF($AB210="Y"," 4"&amp;CHAR(34)&amp;" HEAD","")&amp;" "&amp;IFERROR(VLOOKUP($H210,CODES,2,FALSE),"")&amp;IF($CT210," | LOC "&amp;$CY210,"")))</f>
        <v/>
      </c>
      <c r="CK210" s="100">
        <f>IF(NOT(AND($A210&lt;&gt;"",N($BJ210)&gt;0)),"",TRIM(IFERROR(VLOOKUP($AH210,CODES,2,FALSE),"")&amp;IF($AI210=""," "," "&amp;$AI210&amp;"GA ")&amp;$BG210&amp;" "&amp;IF($AN210="",IFERROR(VLOOKUP($Z210,CODES,2,FALSE),""),IFERROR(VLOOKUP($AN210,CODES,2,FALSE),""))&amp;IF($BJ210=2," PAIR","")&amp;" DOOR | "&amp;IF($AL210="","?",$AL210)&amp;" | "&amp;IF($AO210="",IFERROR(VLOOKUP($AC210,CODES,2,FALSE),""),IFERROR(VLOOKUP($AO210,CODES,2,FALSE),""))&amp;" "&amp;IFERROR(VLOOKUP($AP210,CODES,2,FALSE),"")&amp;IF(OR($AQ210="",$AQ210="-"),""," SEAM "&amp;$AQ210)&amp;IF($AR210="Y"," ASTRAGAL","")&amp;IF($AJ210=""," "," "&amp;$AJ210)&amp;IF($AK210=""," "," "&amp;$AK210)&amp;IF(OR($AT210="",$AT210="ANSI/SDI",$AT210="CUSTOM LOC"),""," "&amp;$AT210)&amp;IF($AM210=""," "," SERIES "&amp;$AM210)&amp;" "&amp;IFERROR(VLOOKUP($H210,CODES,2,FALSE),"")&amp;IF($CT210," | LOC "&amp;$CZ210,"")))</f>
        <v/>
      </c>
      <c r="CL210" s="99">
        <f>IF(CP210="","",IF(COUNTIF($CP$6:CP210,CP210)=1,MAX($CL$5:CL209)+1,INDEX($CL$5:CL209,MATCH(CP210,$CP$5:CP209,0))))</f>
        <v/>
      </c>
      <c r="CM210" s="99">
        <f>IF(NOT(AND($A210&lt;&gt;"",$C210&lt;&gt;"DOOR ONLY")),"",MAX($CM$5:CM209)+1)</f>
        <v/>
      </c>
      <c r="CN210" s="99">
        <f>IF(NOT(AND($A210&lt;&gt;"",N($BJ210)&gt;0)),"",MAX($CN$5:CN209)+1)</f>
        <v/>
      </c>
      <c r="CO210" s="99">
        <f>IF($A210="","",MAX($CO$5:CO209)+1)</f>
        <v/>
      </c>
      <c r="CP210" s="99">
        <f>IF(OR($A210="",$BH210="",$BI210=""),"",$BG210&amp;"|"&amp;$O210&amp;"|"&amp;$AL210&amp;"|"&amp;$S210&amp;"|"&amp;$P210&amp;"|"&amp;$Q210&amp;$R210&amp;"|"&amp;$C210&amp;"|"&amp;$AB210)</f>
        <v/>
      </c>
      <c r="CQ210" s="99">
        <f>N($BS210)</f>
        <v/>
      </c>
      <c r="CR210" s="99">
        <f>IF(N($AU210)&gt;0,N($AU210),4.5)</f>
        <v/>
      </c>
      <c r="CS210" s="99">
        <f>OR($A210="",$BI210="",$S210="BL",AND($C210="FRAME ONLY",OR($AC210="",$AC210="BLK")))</f>
        <v/>
      </c>
      <c r="CT210" s="99">
        <f>AND(NOT($CS210),OR($AT210="CUSTOM LOC",N($AW210)+N($AX210)+N($AY210)+N($AZ210)+N($BA210)&gt;0))</f>
        <v/>
      </c>
      <c r="CU210" s="99">
        <f>IF($BI210="","",IF($BI210&lt;=80,80,IF($BI210&lt;=84,84,96)))</f>
        <v/>
      </c>
      <c r="CV210" s="99">
        <f>ISNUMBER(MATCH($AT210&amp;"|80",LocKeys,0))</f>
        <v/>
      </c>
      <c r="CW210" s="101">
        <f>IF($CS210,"",IF($CV210,VLOOKUP($AT210&amp;"|"&amp;$CU210,LocTable,4,FALSE),5))</f>
        <v/>
      </c>
      <c r="CX210" s="101">
        <f>IF($CS210,"",IF($CV210,IF(OR($BI210=$CU210,AND($BI210&lt;$CU210,$BI210-IF(N(VLOOKUP($AT210&amp;"|"&amp;$CU210,LocTable,7,FALSE))&gt;0,VLOOKUP($AT210&amp;"|"&amp;$CU210,LocTable,7,FALSE),VLOOKUP($AT210&amp;"|"&amp;$CU210,LocTable,6,FALSE))-$CR210-0.75&gt;=2.125)),IF(N(VLOOKUP($AT210&amp;"|"&amp;$CU210,LocTable,7,FALSE))&gt;0,VLOOKUP($AT210&amp;"|"&amp;$CU210,LocTable,7,FALSE),VLOOKUP($AT210&amp;"|"&amp;$CU210,LocTable,6,FALSE)),$BI210-($CU210-IF(N(VLOOKUP($AT210&amp;"|"&amp;$CU210,LocTable,7,FALSE))&gt;0,VLOOKUP($AT210&amp;"|"&amp;$CU210,LocTable,7,FALSE),VLOOKUP($AT210&amp;"|"&amp;$CU210,LocTable,6,FALSE)))),$BI210-10-$CR210))</f>
        <v/>
      </c>
      <c r="CY210" s="100">
        <f>IF($CS210,"",TRIM(IF(ISNUMBER($BU210),"A "&amp;TRIM(TEXT($BU210,"# ?/??"))&amp;CHAR(34)&amp;"  ","")&amp;IF(ISNUMBER($BV210),"B "&amp;TRIM(TEXT($BV210,"# ?/??"))&amp;CHAR(34)&amp;"  ","")&amp;IF(ISNUMBER($BW210),"C "&amp;TRIM(TEXT($BW210,"# ?/??"))&amp;CHAR(34)&amp;"  ","")&amp;IF(ISNUMBER($BX210),"D "&amp;TRIM(TEXT($BX210,"# ?/??"))&amp;CHAR(34)&amp;"  ","")&amp;IF(ISNUMBER($BY210),"F "&amp;TRIM(TEXT($BY210,"# ?/??"))&amp;CHAR(34)&amp;"  ","")&amp;IF(ISNUMBER($BZ210),"E "&amp;TRIM(TEXT($BZ210,"# ?/??"))&amp;CHAR(34)&amp;"  ","")))</f>
        <v/>
      </c>
      <c r="CZ210" s="100">
        <f>IF(OR($CS210,N($BJ210)=0),"",TRIM(IF(ISNUMBER($BU210),"A "&amp;TRIM(TEXT($BU210-HeadClr,"# ?/??"))&amp;CHAR(34)&amp;"  ","")&amp;IF(ISNUMBER($BV210),"B "&amp;TRIM(TEXT($BV210-HeadClr,"# ?/??"))&amp;CHAR(34)&amp;"  ","")&amp;IF(ISNUMBER($BW210),"C "&amp;TRIM(TEXT($BW210-HeadClr,"# ?/??"))&amp;CHAR(34)&amp;"  ","")&amp;IF(ISNUMBER($BX210),"D "&amp;TRIM(TEXT($BX210-HeadClr,"# ?/??"))&amp;CHAR(34)&amp;"  ","")&amp;IF(ISNUMBER($BY210),"F "&amp;TRIM(TEXT($BY210-HeadClr,"# ?/??"))&amp;CHAR(34)&amp;"  ","")&amp;IF(ISNUMBER($BZ210),"E "&amp;TRIM(TEXT($BZ210-HeadClr,"# ?/??"))&amp;CHAR(34)&amp;"  ","")))</f>
        <v/>
      </c>
      <c r="DA210" s="99">
        <f>IF($A210="","",IF($AN210="",IFERROR(VLOOKUP($Z210,CODES,2,FALSE),""),IFERROR(VLOOKUP($AN210,CODES,2,FALSE),"")))</f>
        <v/>
      </c>
      <c r="DB210" s="99">
        <f>IF($A210="","",IF($O210="Y","PR",IF(OR($Z210="L",$Z210="RR",LEFT($Z210,2)="L-",LEFT($Z210,3)="RR-"),"LH","RH")))</f>
        <v/>
      </c>
      <c r="DC210" s="99">
        <f>IF($A210="","","S.HM"&amp;IF(OR($C210="DOOR ONLY",$X210&lt;&gt;"KD"),"MASONRY","DRYWALL")&amp;IF($C210="DOOR ONLY","",$U210)&amp;IF(AND($C210&lt;&gt;"FRAME ONLY",OR(LEFT($AH210,3)="OAK",LEFT($AH210,3)="BIR",LEFT($AH210,3)="MAP",$AH210="PC",$AH210="MC",$AH210="SCLC",$AH210="P-LAM")),"WD","HM")&amp;"1.75")</f>
        <v/>
      </c>
      <c r="DD210" s="99">
        <f>IF($CJ210="","",IF($O210="Y",$CJ210,SUBSTITUTE($CJ210,$BG210&amp;" "&amp;IFERROR(VLOOKUP($Z210,CODES,2,FALSE),"")&amp;" ",$BG210&amp;" ")))</f>
        <v/>
      </c>
      <c r="DE210" s="99">
        <f>IF($CK210="","",IF($O210="Y",$CK210,SUBSTITUTE($CK210,$BG210&amp;" "&amp;IF($AN210="",IFERROR(VLOOKUP($Z210,CODES,2,FALSE),""),IFERROR(VLOOKUP($AN210,CODES,2,FALSE),""))&amp;" ",$BG210&amp;" ")))</f>
        <v/>
      </c>
      <c r="DF210" s="99">
        <f>IF($CJ210="","",$DC210&amp;"|"&amp;$DD210&amp;"|"&amp;$DB210&amp;"|"&amp;$AT210&amp;"|"&amp;$V210&amp;"|"&amp;$Y210&amp;"|"&amp;$AB210)</f>
        <v/>
      </c>
      <c r="DG210" s="99">
        <f>IF(DF210="","",IF(COUNTIF($DF$6:DF210,DF210)=1,MAX($DG$5:DG209)+1,INDEX($DG$5:DG209,MATCH(DF210,$DF$5:DF209,0))))</f>
        <v/>
      </c>
      <c r="DH210" s="99">
        <f>IF($CK210="","",$DC210&amp;"|"&amp;$DE210&amp;"|"&amp;$AI210&amp;"|"&amp;$BK210&amp;"|"&amp;$BL210)</f>
        <v/>
      </c>
      <c r="DI210" s="99">
        <f>IF(DH210="","",IF(COUNTIF($DH$6:DH210,DH210)=1,MAX($DI$5:DI209)+1,INDEX($DI$5:DI209,MATCH(DH210,$DH$5:DH209,0))))</f>
        <v/>
      </c>
      <c r="DJ210" s="99">
        <f>IF($A210="","",IF($B210="","qty, ","")&amp;IF($C210="","scope, ","")&amp;IF(OR($K210="",$M210=""),"size, ","")&amp;IF(AND($A210&lt;&gt;"",$C210&lt;&gt;"DOOR ONLY"),IF($U210="","jamb depth, ","")&amp;IF($X210="","construction, ","")&amp;IF($Y210="","anchor, ","")&amp;IF($S210="","frame type, ",""),"")&amp;IF(AND(N($BJ210)&gt;0,$Z210=""),"hand, ","")&amp;IF(N($BJ210)&gt;0,IF($AH210="","door material, ","")&amp;IF($AL210="","face type, ","")&amp;IF($AP210="","lock prep, ","")&amp;IF(AND($AO210="",$AC210=""),"hinge prep, ",""),"")&amp;IF(AND($CH210&gt;0,$AH210="FRP"),"FRP cannot carry a label, ","")&amp;IF(AND($O210="Y",OR($Z210="L",$Z210="R",$Z210="LR",$Z210="RR")),"pair marked but hand is single, ","")&amp;IF(AND($O210&lt;&gt;"Y",OR($Z210="PR",AND(LEN($Z210)&gt;1,ISNUMBER(SEARCH("-",$Z210))))),"pair hand on a single door, ","")&amp;IF(AND(ISNUMBER($CI210),$CH210&lt;N($CI210)),"wall needs a "&amp;$CI210&amp;" min door, ","")&amp;IF(AND($CH210&gt;=180,AND(OR($CE210="FG",$CE210="HG",$CE210="FNV",$CE210="FV"),N($CF210)*N($CG210)&gt;100)),"180 min lite over 100 sq in, ","")&amp;IF(N($BK210)&gt;48,"leaf wider than 4'-0"&amp;CHAR(34)&amp;", ","")&amp;IF(AND($CT210,COUNT($AW210:$AZ210)=0,$CQ210&gt;0),"CUSTOM LOC with no locations typed, ",""))</f>
        <v/>
      </c>
      <c r="DK210" s="99">
        <f>IF($A210="","",IF(AND($CH210&gt;0,AND($A210&lt;&gt;"",$C210&lt;&gt;"DOOR ONLY"),$X210="KD",$E210="EXTERIOR"),"KD label on an exterior opening, ","")&amp;IF(AND($E210="EXTERIOR",OR(AND(AND($A210&lt;&gt;"",$C210&lt;&gt;"DOOR ONLY"),$W210="CR"),AND(N($BJ210)&gt;0,$AH210="CR"))),"exterior in CR steel (G9?), ","")&amp;IF(AND(ISNUMBER($BQ210),N($BQ210)&lt;32),"clear width ~"&amp;TEXT($BQ210,"0.0")&amp;CHAR(34)&amp;" under 32"&amp;CHAR(34)&amp;" (ADA), ","")&amp;IF(AND($CH210=90,AND(OR($CE210="FG",$CE210="HG",$CE210="FNV",$CE210="FV"),N($CF210)*N($CG210)&gt;100)),"90 min lite over 100 sq in (stair/exit), ","")&amp;IF(AND($CH210&gt;0,AND($A210&lt;&gt;"",$C210&lt;&gt;"DOOR ONLY"),OR($AF210="",$AF210="-")),"rated: closer reinf.?, ","")&amp;IF(OR($I210="CORRIDOR",$I210="SMOKE BARRIER"),"S label + smoke gasketing, ","")&amp;IF($CI210="?","wall type/hr not in IBC table, ","")&amp;IF(AND(N($BJ210)&gt;0,$BB210=""),"no hardware set, ","")&amp;IF(AND($BB210&lt;&gt;"",ISNA(MATCH($BB210&amp;"",HWSets,0))),"set "&amp;$BB210&amp;" not on HW Sets, ","")&amp;IF(N($BL210)&gt;96,"leaf over 8'-0"&amp;CHAR(34)&amp;" - check listing, ","")&amp;IF(AND($CT210,COUNT($AW210:$AZ210)&gt;0,COUNT($AW210:$AZ210)&lt;&gt;$CQ210),COUNT($AW210:$AZ210)&amp;" custom hinges typed, "&amp;$CQ210&amp;" expected, ","")&amp;IF(AND(ISNUMBER($CA210),OR(N($CA210)&lt;34,N($CA210)&gt;48)),"lock "&amp;TEXT($CA210,"0.0")&amp;CHAR(34)&amp;" AFF outside 34-48"&amp;CHAR(34)&amp;" (ADA), ","")&amp;IF(AND(ISNUMBER($AV210),ISNUMBER($BL210),N($AV210)&lt;IF(N($BL210)&lt;=60,2,IF(N($BL210)&lt;=90,3,IF(N($BL210)&lt;=120,4,5)))),"fewer hinges than standard, ",""))</f>
        <v/>
      </c>
    </row>
    <row r="211" ht="15" customHeight="1">
      <c r="A211" s="77" t="n"/>
      <c r="B211" s="78" t="n"/>
      <c r="C211" s="78" t="n"/>
      <c r="D211" s="78" t="n"/>
      <c r="E211" s="78" t="n"/>
      <c r="F211" s="78" t="n"/>
      <c r="G211" s="78" t="n"/>
      <c r="H211" s="78" t="n"/>
      <c r="I211" s="78" t="n"/>
      <c r="J211" s="78" t="n"/>
      <c r="K211" s="78" t="n"/>
      <c r="L211" s="78" t="n"/>
      <c r="M211" s="78" t="n"/>
      <c r="N211" s="78" t="n"/>
      <c r="O211" s="78" t="n"/>
      <c r="P211" s="78" t="n"/>
      <c r="Q211" s="78" t="n"/>
      <c r="R211" s="78" t="n"/>
      <c r="S211" s="79" t="n"/>
      <c r="T211" s="79" t="n"/>
      <c r="U211" s="79" t="n"/>
      <c r="V211" s="79" t="n"/>
      <c r="W211" s="79" t="n"/>
      <c r="X211" s="79" t="n"/>
      <c r="Y211" s="79" t="n"/>
      <c r="Z211" s="79" t="n"/>
      <c r="AA211" s="79" t="n"/>
      <c r="AB211" s="79" t="n"/>
      <c r="AC211" s="79" t="n"/>
      <c r="AD211" s="79" t="n"/>
      <c r="AE211" s="79" t="n"/>
      <c r="AF211" s="79" t="n"/>
      <c r="AG211" s="79" t="n"/>
      <c r="AH211" s="80" t="n"/>
      <c r="AI211" s="80" t="n"/>
      <c r="AJ211" s="80" t="n"/>
      <c r="AK211" s="80" t="n"/>
      <c r="AL211" s="80" t="n"/>
      <c r="AM211" s="80" t="n"/>
      <c r="AN211" s="80" t="n"/>
      <c r="AO211" s="80" t="n"/>
      <c r="AP211" s="80" t="n"/>
      <c r="AQ211" s="80" t="n"/>
      <c r="AR211" s="80" t="n"/>
      <c r="AS211" s="80" t="n"/>
      <c r="AT211" s="81" t="n"/>
      <c r="AU211" s="81" t="n"/>
      <c r="AV211" s="81" t="n"/>
      <c r="AW211" s="82" t="n"/>
      <c r="AX211" s="82" t="n"/>
      <c r="AY211" s="82" t="n"/>
      <c r="AZ211" s="82" t="n"/>
      <c r="BA211" s="82" t="n"/>
      <c r="BB211" s="83" t="n"/>
      <c r="BC211" s="83" t="n"/>
      <c r="BD211" s="84">
        <f>IF($A211="","",IF($DJ211&lt;&gt;"","FIX",IF($DK211&lt;&gt;"","CHECK","OK")))</f>
        <v/>
      </c>
      <c r="BE211" s="85">
        <f>IF($A211="","",IF($DJ211&lt;&gt;"","FIX: "&amp;LEFT($DJ211,LEN($DJ211)-2)&amp;IF($DK211&lt;&gt;"","  ·  ",""),"")&amp;IF($DK211&lt;&gt;"","CHECK: "&amp;LEFT($DK211,LEN($DK211)-2),""))</f>
        <v/>
      </c>
      <c r="BF211" s="84">
        <f>IF(OR($A211="",$K211=""),"",$K211&amp;"'-"&amp;N($L211)&amp;CHAR(34)&amp;" x "&amp;$M211&amp;"'-"&amp;N($N211)&amp;CHAR(34))</f>
        <v/>
      </c>
      <c r="BG211" s="84">
        <f>IF(OR($A211="",$K211=""),"",$K211&amp;N($L211)&amp;$M211&amp;N($N211))</f>
        <v/>
      </c>
      <c r="BH211" s="84">
        <f>IF(OR($A211="",$K211=""),"",$K211*12+N($L211))</f>
        <v/>
      </c>
      <c r="BI211" s="84">
        <f>IF(OR($A211="",$M211=""),"",$M211*12+N($N211))</f>
        <v/>
      </c>
      <c r="BJ211" s="84">
        <f>IF($A211="","",IF(OR($C211="FRAME ONLY",$S211="BL"),0,IF($O211="Y",2,1)))</f>
        <v/>
      </c>
      <c r="BK211" s="86">
        <f>IF(OR(N($BJ211)=0,$BH211=""),"",($BH211-2*EdgeClr-IF($BJ211=2,MeetClr,0))/$BJ211)</f>
        <v/>
      </c>
      <c r="BL211" s="86">
        <f>IF(OR(N($BJ211)=0,$BI211=""),"",$BI211-HeadClr-Undercut)</f>
        <v/>
      </c>
      <c r="BM211" s="86">
        <f>IF($BH211="","",$BH211+2*FaceW+IF(N($Q211)&gt;0,($Q211+FaceW)*IF($R211="LR",2,1),0))</f>
        <v/>
      </c>
      <c r="BN211" s="86">
        <f>IF($BI211="","",$BI211+IF($AB211="Y",4,FaceW)+IF(N($P211)&gt;0,$P211+FaceW,0)+IF(OR($S211="4F",$S211="BL"),FaceW,0))</f>
        <v/>
      </c>
      <c r="BO211" s="86">
        <f>IF($BM211="","",$BM211+2*ROSide)</f>
        <v/>
      </c>
      <c r="BP211" s="86">
        <f>IF($BN211="","",$BN211+ROTop)</f>
        <v/>
      </c>
      <c r="BQ211" s="87">
        <f>IF(OR(N($BJ211)=0,$BH211=""),"",$BH211/$BJ211-ClearDeduct)</f>
        <v/>
      </c>
      <c r="BR211" s="84">
        <f>IF(N($CH211)=0,"",IF($CH211&gt;=180,"A · 3 HR",IF($CH211&gt;=90,"B · 1-1/2 HR",IF($CH211&gt;=60,"B · 1 HR",IF($CH211&gt;=45,"C · 3/4 HR","20 MIN")))))&amp;IF(AND(N($CH211)&gt;0,OR($I211="CORRIDOR",$I211="SMOKE BARRIER"))," · S","")</f>
        <v/>
      </c>
      <c r="BS211" s="84">
        <f>IF($CS211,"",IF($AV211&lt;&gt;"",$AV211,IF(OR($AC211="HGC",$AO211="HGC"),"CONT",IF(($BI211-HeadClr-Undercut)&lt;=60,2,IF(($BI211-HeadClr-Undercut)&lt;=90,3,IF(($BI211-HeadClr-Undercut)&lt;=120,4,5))))))</f>
        <v/>
      </c>
      <c r="BT211" s="84">
        <f>IF($CS211,"",IF($CT211,"CUSTOM (typed)",IF($CV211,$AT211&amp;" "&amp;$CU211&amp;CHAR(34)&amp;IF($CU211&lt;&gt;$BI211,IF(AND($BI211&lt;$CU211,$BI211-IF(N(VLOOKUP($AT211&amp;"|"&amp;$CU211,LocTable,7,FALSE))&gt;0,VLOOKUP($AT211&amp;"|"&amp;$CU211,LocTable,7,FALSE),VLOOKUP($AT211&amp;"|"&amp;$CU211,LocTable,6,FALSE))-$CR211-0.75&gt;=2.125)," cut down"," adj."),""),"ANSI/SDI A250.6")))</f>
        <v/>
      </c>
      <c r="BU211" s="88">
        <f>IF($CS211,"",IF($CT211,IF(N($AW211)&gt;0,N($AW211),""),IF(1&gt;$CQ211,"",IF($CQ211=1,$CW211,$CW211+($CX211-$CW211)*0/($CQ211-1)))))</f>
        <v/>
      </c>
      <c r="BV211" s="88">
        <f>IF($CS211,"",IF($CT211,IF(N($AX211)&gt;0,N($AX211),""),IF(2&gt;$CQ211,"",IF($CQ211=1,$CW211,$CW211+($CX211-$CW211)*1/($CQ211-1)))))</f>
        <v/>
      </c>
      <c r="BW211" s="88">
        <f>IF($CS211,"",IF($CT211,IF(N($AY211)&gt;0,N($AY211),""),IF(3&gt;$CQ211,"",IF($CQ211=1,$CW211,$CW211+($CX211-$CW211)*2/($CQ211-1)))))</f>
        <v/>
      </c>
      <c r="BX211" s="88">
        <f>IF($CS211,"",IF($CT211,IF(N($AZ211)&gt;0,N($AZ211),""),IF(4&gt;$CQ211,"",IF($CQ211=1,$CW211,$CW211+($CX211-$CW211)*3/($CQ211-1)))))</f>
        <v/>
      </c>
      <c r="BY211" s="88">
        <f>IF($CS211,"",IF($CT211,"",IF(5&gt;$CQ211,"",IF($CQ211=1,$CW211,$CW211+($CX211-$CW211)*4/($CQ211-1)))))</f>
        <v/>
      </c>
      <c r="BZ211" s="88">
        <f>IF(OR($CS211,$AP211="-",AND($AP211="",$AD211="")),"",IF(N($BA211)&gt;0,N($BA211),IF($CV211,IF(AND($BI211&lt;$CU211,$BI211-IF(N(VLOOKUP($AT211&amp;"|"&amp;$CU211,LocTable,7,FALSE))&gt;0,VLOOKUP($AT211&amp;"|"&amp;$CU211,LocTable,7,FALSE),VLOOKUP($AT211&amp;"|"&amp;$CU211,LocTable,6,FALSE))-$CR211-0.75&gt;=2.125),VLOOKUP($AT211&amp;"|"&amp;$CU211,LocTable,8,FALSE),VLOOKUP($AT211&amp;"|"&amp;$CU211,LocTable,8,FALSE)+($BI211-$CU211)),$BI211-LockAFF)))</f>
        <v/>
      </c>
      <c r="CA211" s="89">
        <f>IF($BZ211="","",$BI211-$BZ211)</f>
        <v/>
      </c>
      <c r="CB211" s="84">
        <f>IF(OR(NOT(AND($A211&lt;&gt;"",$C211&lt;&gt;"DOOR ONLY")),$BI211=""),"",IF(($BI211+IF(N($P211)&gt;0,$P211+FaceW,0))&lt;=90,3,IF(($BI211+IF(N($P211)&gt;0,$P211+FaceW,0))&lt;=114,4,5)))</f>
        <v/>
      </c>
      <c r="CC211" s="84">
        <f>IF($CB211="","",$CB211*(2+IF(N($Q211)&gt;0,IF($R211="LR",2,1),0)))</f>
        <v/>
      </c>
      <c r="CD211" s="84">
        <f>IF($CB211="","",(2+IF(N($Q211)&gt;0,IF($R211="LR",2,1),0)))</f>
        <v/>
      </c>
      <c r="CE211" s="84">
        <f>IF(N($BJ211)=0,"",IF(OR($AL211="",$AL211="FLUSH"),"FLUSH",IFERROR(LEFT($AL211,FIND("-",$AL211)-1),LEFT($AL211,2))))</f>
        <v/>
      </c>
      <c r="CF211" s="84">
        <f>IF($CE211="","",IFERROR(VALUE(MID($AL211,FIND("-",$AL211)+1,FIND(CHAR(34)&amp;"x",$AL211)-FIND("-",$AL211)-1)),0))</f>
        <v/>
      </c>
      <c r="CG211" s="84">
        <f>IF($CE211="","",IFERROR(VALUE(MID($AL211,FIND(CHAR(34)&amp;"x",$AL211)+2,FIND(CHAR(34),$AL211,FIND(CHAR(34)&amp;"x",$AL211)+2)-FIND(CHAR(34)&amp;"x",$AL211)-2)),0))</f>
        <v/>
      </c>
      <c r="CH211" s="90">
        <f>IF(OR($A211="",$H211="",$H211="NO LAB"),0,IFERROR(VALUE(LEFT($H211,FIND(" ",$H211)-1)),0))</f>
        <v/>
      </c>
      <c r="CI211" s="91">
        <f>IF(OR($A211="",$I211="",$I211="NON-RATED",N($J211)=0),"",IFERROR(VLOOKUP($I211&amp;"|"&amp;$J211,IBC,2,FALSE),"?"))</f>
        <v/>
      </c>
      <c r="CJ211" s="85">
        <f>IF(NOT(AND($A211&lt;&gt;"",$C211&lt;&gt;"DOOR ONLY")),"",TRIM(IFERROR(VLOOKUP($U211,CODES,2,FALSE),"")&amp;" "&amp;$BG211&amp;" "&amp;IFERROR(VLOOKUP($Z211,CODES,2,FALSE),"")&amp;" "&amp;IFERROR(VLOOKUP($X211,CODES,2,FALSE),"")&amp;" "&amp;IFERROR(VLOOKUP($S211,CODES,2,FALSE),"")&amp;IF(N($P211)&gt;0," w/TRANSOM "&amp;$P211&amp;CHAR(34),"")&amp;IF(N($Q211)&gt;0," w/SIDELITE "&amp;$Q211&amp;CHAR(34)&amp;" "&amp;IF($R211="","R",$R211),"")&amp;IF($Y211="","  |  "," | "&amp;IFERROR(VLOOKUP($Y211,CODES,2,FALSE),"")&amp;" | ")&amp;IFERROR(VLOOKUP($AC211,CODES,2,FALSE),"")&amp;" "&amp;IFERROR(VLOOKUP($AD211,CODES,2,FALSE),"")&amp;IF(OR($AE211="",$AE211="-"),""," "&amp;$AE211)&amp;IF(OR($AF211="",$AF211="-"),""," "&amp;$AF211)&amp;IF($AB211="Y"," 4"&amp;CHAR(34)&amp;" HEAD","")&amp;" "&amp;IFERROR(VLOOKUP($H211,CODES,2,FALSE),"")&amp;IF($CT211," | LOC "&amp;$CY211,"")))</f>
        <v/>
      </c>
      <c r="CK211" s="85">
        <f>IF(NOT(AND($A211&lt;&gt;"",N($BJ211)&gt;0)),"",TRIM(IFERROR(VLOOKUP($AH211,CODES,2,FALSE),"")&amp;IF($AI211=""," "," "&amp;$AI211&amp;"GA ")&amp;$BG211&amp;" "&amp;IF($AN211="",IFERROR(VLOOKUP($Z211,CODES,2,FALSE),""),IFERROR(VLOOKUP($AN211,CODES,2,FALSE),""))&amp;IF($BJ211=2," PAIR","")&amp;" DOOR | "&amp;IF($AL211="","?",$AL211)&amp;" | "&amp;IF($AO211="",IFERROR(VLOOKUP($AC211,CODES,2,FALSE),""),IFERROR(VLOOKUP($AO211,CODES,2,FALSE),""))&amp;" "&amp;IFERROR(VLOOKUP($AP211,CODES,2,FALSE),"")&amp;IF(OR($AQ211="",$AQ211="-"),""," SEAM "&amp;$AQ211)&amp;IF($AR211="Y"," ASTRAGAL","")&amp;IF($AJ211=""," "," "&amp;$AJ211)&amp;IF($AK211=""," "," "&amp;$AK211)&amp;IF(OR($AT211="",$AT211="ANSI/SDI",$AT211="CUSTOM LOC"),""," "&amp;$AT211)&amp;IF($AM211=""," "," SERIES "&amp;$AM211)&amp;" "&amp;IFERROR(VLOOKUP($H211,CODES,2,FALSE),"")&amp;IF($CT211," | LOC "&amp;$CZ211,"")))</f>
        <v/>
      </c>
      <c r="CL211" s="84">
        <f>IF(CP211="","",IF(COUNTIF($CP$6:CP211,CP211)=1,MAX($CL$5:CL210)+1,INDEX($CL$5:CL210,MATCH(CP211,$CP$5:CP210,0))))</f>
        <v/>
      </c>
      <c r="CM211" s="84">
        <f>IF(NOT(AND($A211&lt;&gt;"",$C211&lt;&gt;"DOOR ONLY")),"",MAX($CM$5:CM210)+1)</f>
        <v/>
      </c>
      <c r="CN211" s="84">
        <f>IF(NOT(AND($A211&lt;&gt;"",N($BJ211)&gt;0)),"",MAX($CN$5:CN210)+1)</f>
        <v/>
      </c>
      <c r="CO211" s="84">
        <f>IF($A211="","",MAX($CO$5:CO210)+1)</f>
        <v/>
      </c>
      <c r="CP211" s="84">
        <f>IF(OR($A211="",$BH211="",$BI211=""),"",$BG211&amp;"|"&amp;$O211&amp;"|"&amp;$AL211&amp;"|"&amp;$S211&amp;"|"&amp;$P211&amp;"|"&amp;$Q211&amp;$R211&amp;"|"&amp;$C211&amp;"|"&amp;$AB211)</f>
        <v/>
      </c>
      <c r="CQ211" s="84">
        <f>N($BS211)</f>
        <v/>
      </c>
      <c r="CR211" s="84">
        <f>IF(N($AU211)&gt;0,N($AU211),4.5)</f>
        <v/>
      </c>
      <c r="CS211" s="84">
        <f>OR($A211="",$BI211="",$S211="BL",AND($C211="FRAME ONLY",OR($AC211="",$AC211="BLK")))</f>
        <v/>
      </c>
      <c r="CT211" s="84">
        <f>AND(NOT($CS211),OR($AT211="CUSTOM LOC",N($AW211)+N($AX211)+N($AY211)+N($AZ211)+N($BA211)&gt;0))</f>
        <v/>
      </c>
      <c r="CU211" s="84">
        <f>IF($BI211="","",IF($BI211&lt;=80,80,IF($BI211&lt;=84,84,96)))</f>
        <v/>
      </c>
      <c r="CV211" s="84">
        <f>ISNUMBER(MATCH($AT211&amp;"|80",LocKeys,0))</f>
        <v/>
      </c>
      <c r="CW211" s="86">
        <f>IF($CS211,"",IF($CV211,VLOOKUP($AT211&amp;"|"&amp;$CU211,LocTable,4,FALSE),5))</f>
        <v/>
      </c>
      <c r="CX211" s="86">
        <f>IF($CS211,"",IF($CV211,IF(OR($BI211=$CU211,AND($BI211&lt;$CU211,$BI211-IF(N(VLOOKUP($AT211&amp;"|"&amp;$CU211,LocTable,7,FALSE))&gt;0,VLOOKUP($AT211&amp;"|"&amp;$CU211,LocTable,7,FALSE),VLOOKUP($AT211&amp;"|"&amp;$CU211,LocTable,6,FALSE))-$CR211-0.75&gt;=2.125)),IF(N(VLOOKUP($AT211&amp;"|"&amp;$CU211,LocTable,7,FALSE))&gt;0,VLOOKUP($AT211&amp;"|"&amp;$CU211,LocTable,7,FALSE),VLOOKUP($AT211&amp;"|"&amp;$CU211,LocTable,6,FALSE)),$BI211-($CU211-IF(N(VLOOKUP($AT211&amp;"|"&amp;$CU211,LocTable,7,FALSE))&gt;0,VLOOKUP($AT211&amp;"|"&amp;$CU211,LocTable,7,FALSE),VLOOKUP($AT211&amp;"|"&amp;$CU211,LocTable,6,FALSE)))),$BI211-10-$CR211))</f>
        <v/>
      </c>
      <c r="CY211" s="85">
        <f>IF($CS211,"",TRIM(IF(ISNUMBER($BU211),"A "&amp;TRIM(TEXT($BU211,"# ?/??"))&amp;CHAR(34)&amp;"  ","")&amp;IF(ISNUMBER($BV211),"B "&amp;TRIM(TEXT($BV211,"# ?/??"))&amp;CHAR(34)&amp;"  ","")&amp;IF(ISNUMBER($BW211),"C "&amp;TRIM(TEXT($BW211,"# ?/??"))&amp;CHAR(34)&amp;"  ","")&amp;IF(ISNUMBER($BX211),"D "&amp;TRIM(TEXT($BX211,"# ?/??"))&amp;CHAR(34)&amp;"  ","")&amp;IF(ISNUMBER($BY211),"F "&amp;TRIM(TEXT($BY211,"# ?/??"))&amp;CHAR(34)&amp;"  ","")&amp;IF(ISNUMBER($BZ211),"E "&amp;TRIM(TEXT($BZ211,"# ?/??"))&amp;CHAR(34)&amp;"  ","")))</f>
        <v/>
      </c>
      <c r="CZ211" s="85">
        <f>IF(OR($CS211,N($BJ211)=0),"",TRIM(IF(ISNUMBER($BU211),"A "&amp;TRIM(TEXT($BU211-HeadClr,"# ?/??"))&amp;CHAR(34)&amp;"  ","")&amp;IF(ISNUMBER($BV211),"B "&amp;TRIM(TEXT($BV211-HeadClr,"# ?/??"))&amp;CHAR(34)&amp;"  ","")&amp;IF(ISNUMBER($BW211),"C "&amp;TRIM(TEXT($BW211-HeadClr,"# ?/??"))&amp;CHAR(34)&amp;"  ","")&amp;IF(ISNUMBER($BX211),"D "&amp;TRIM(TEXT($BX211-HeadClr,"# ?/??"))&amp;CHAR(34)&amp;"  ","")&amp;IF(ISNUMBER($BY211),"F "&amp;TRIM(TEXT($BY211-HeadClr,"# ?/??"))&amp;CHAR(34)&amp;"  ","")&amp;IF(ISNUMBER($BZ211),"E "&amp;TRIM(TEXT($BZ211-HeadClr,"# ?/??"))&amp;CHAR(34)&amp;"  ","")))</f>
        <v/>
      </c>
      <c r="DA211" s="84">
        <f>IF($A211="","",IF($AN211="",IFERROR(VLOOKUP($Z211,CODES,2,FALSE),""),IFERROR(VLOOKUP($AN211,CODES,2,FALSE),"")))</f>
        <v/>
      </c>
      <c r="DB211" s="84">
        <f>IF($A211="","",IF($O211="Y","PR",IF(OR($Z211="L",$Z211="RR",LEFT($Z211,2)="L-",LEFT($Z211,3)="RR-"),"LH","RH")))</f>
        <v/>
      </c>
      <c r="DC211" s="84">
        <f>IF($A211="","","S.HM"&amp;IF(OR($C211="DOOR ONLY",$X211&lt;&gt;"KD"),"MASONRY","DRYWALL")&amp;IF($C211="DOOR ONLY","",$U211)&amp;IF(AND($C211&lt;&gt;"FRAME ONLY",OR(LEFT($AH211,3)="OAK",LEFT($AH211,3)="BIR",LEFT($AH211,3)="MAP",$AH211="PC",$AH211="MC",$AH211="SCLC",$AH211="P-LAM")),"WD","HM")&amp;"1.75")</f>
        <v/>
      </c>
      <c r="DD211" s="84">
        <f>IF($CJ211="","",IF($O211="Y",$CJ211,SUBSTITUTE($CJ211,$BG211&amp;" "&amp;IFERROR(VLOOKUP($Z211,CODES,2,FALSE),"")&amp;" ",$BG211&amp;" ")))</f>
        <v/>
      </c>
      <c r="DE211" s="84">
        <f>IF($CK211="","",IF($O211="Y",$CK211,SUBSTITUTE($CK211,$BG211&amp;" "&amp;IF($AN211="",IFERROR(VLOOKUP($Z211,CODES,2,FALSE),""),IFERROR(VLOOKUP($AN211,CODES,2,FALSE),""))&amp;" ",$BG211&amp;" ")))</f>
        <v/>
      </c>
      <c r="DF211" s="84">
        <f>IF($CJ211="","",$DC211&amp;"|"&amp;$DD211&amp;"|"&amp;$DB211&amp;"|"&amp;$AT211&amp;"|"&amp;$V211&amp;"|"&amp;$Y211&amp;"|"&amp;$AB211)</f>
        <v/>
      </c>
      <c r="DG211" s="84">
        <f>IF(DF211="","",IF(COUNTIF($DF$6:DF211,DF211)=1,MAX($DG$5:DG210)+1,INDEX($DG$5:DG210,MATCH(DF211,$DF$5:DF210,0))))</f>
        <v/>
      </c>
      <c r="DH211" s="84">
        <f>IF($CK211="","",$DC211&amp;"|"&amp;$DE211&amp;"|"&amp;$AI211&amp;"|"&amp;$BK211&amp;"|"&amp;$BL211)</f>
        <v/>
      </c>
      <c r="DI211" s="84">
        <f>IF(DH211="","",IF(COUNTIF($DH$6:DH211,DH211)=1,MAX($DI$5:DI210)+1,INDEX($DI$5:DI210,MATCH(DH211,$DH$5:DH210,0))))</f>
        <v/>
      </c>
      <c r="DJ211" s="84">
        <f>IF($A211="","",IF($B211="","qty, ","")&amp;IF($C211="","scope, ","")&amp;IF(OR($K211="",$M211=""),"size, ","")&amp;IF(AND($A211&lt;&gt;"",$C211&lt;&gt;"DOOR ONLY"),IF($U211="","jamb depth, ","")&amp;IF($X211="","construction, ","")&amp;IF($Y211="","anchor, ","")&amp;IF($S211="","frame type, ",""),"")&amp;IF(AND(N($BJ211)&gt;0,$Z211=""),"hand, ","")&amp;IF(N($BJ211)&gt;0,IF($AH211="","door material, ","")&amp;IF($AL211="","face type, ","")&amp;IF($AP211="","lock prep, ","")&amp;IF(AND($AO211="",$AC211=""),"hinge prep, ",""),"")&amp;IF(AND($CH211&gt;0,$AH211="FRP"),"FRP cannot carry a label, ","")&amp;IF(AND($O211="Y",OR($Z211="L",$Z211="R",$Z211="LR",$Z211="RR")),"pair marked but hand is single, ","")&amp;IF(AND($O211&lt;&gt;"Y",OR($Z211="PR",AND(LEN($Z211)&gt;1,ISNUMBER(SEARCH("-",$Z211))))),"pair hand on a single door, ","")&amp;IF(AND(ISNUMBER($CI211),$CH211&lt;N($CI211)),"wall needs a "&amp;$CI211&amp;" min door, ","")&amp;IF(AND($CH211&gt;=180,AND(OR($CE211="FG",$CE211="HG",$CE211="FNV",$CE211="FV"),N($CF211)*N($CG211)&gt;100)),"180 min lite over 100 sq in, ","")&amp;IF(N($BK211)&gt;48,"leaf wider than 4'-0"&amp;CHAR(34)&amp;", ","")&amp;IF(AND($CT211,COUNT($AW211:$AZ211)=0,$CQ211&gt;0),"CUSTOM LOC with no locations typed, ",""))</f>
        <v/>
      </c>
      <c r="DK211" s="84">
        <f>IF($A211="","",IF(AND($CH211&gt;0,AND($A211&lt;&gt;"",$C211&lt;&gt;"DOOR ONLY"),$X211="KD",$E211="EXTERIOR"),"KD label on an exterior opening, ","")&amp;IF(AND($E211="EXTERIOR",OR(AND(AND($A211&lt;&gt;"",$C211&lt;&gt;"DOOR ONLY"),$W211="CR"),AND(N($BJ211)&gt;0,$AH211="CR"))),"exterior in CR steel (G9?), ","")&amp;IF(AND(ISNUMBER($BQ211),N($BQ211)&lt;32),"clear width ~"&amp;TEXT($BQ211,"0.0")&amp;CHAR(34)&amp;" under 32"&amp;CHAR(34)&amp;" (ADA), ","")&amp;IF(AND($CH211=90,AND(OR($CE211="FG",$CE211="HG",$CE211="FNV",$CE211="FV"),N($CF211)*N($CG211)&gt;100)),"90 min lite over 100 sq in (stair/exit), ","")&amp;IF(AND($CH211&gt;0,AND($A211&lt;&gt;"",$C211&lt;&gt;"DOOR ONLY"),OR($AF211="",$AF211="-")),"rated: closer reinf.?, ","")&amp;IF(OR($I211="CORRIDOR",$I211="SMOKE BARRIER"),"S label + smoke gasketing, ","")&amp;IF($CI211="?","wall type/hr not in IBC table, ","")&amp;IF(AND(N($BJ211)&gt;0,$BB211=""),"no hardware set, ","")&amp;IF(AND($BB211&lt;&gt;"",ISNA(MATCH($BB211&amp;"",HWSets,0))),"set "&amp;$BB211&amp;" not on HW Sets, ","")&amp;IF(N($BL211)&gt;96,"leaf over 8'-0"&amp;CHAR(34)&amp;" - check listing, ","")&amp;IF(AND($CT211,COUNT($AW211:$AZ211)&gt;0,COUNT($AW211:$AZ211)&lt;&gt;$CQ211),COUNT($AW211:$AZ211)&amp;" custom hinges typed, "&amp;$CQ211&amp;" expected, ","")&amp;IF(AND(ISNUMBER($CA211),OR(N($CA211)&lt;34,N($CA211)&gt;48)),"lock "&amp;TEXT($CA211,"0.0")&amp;CHAR(34)&amp;" AFF outside 34-48"&amp;CHAR(34)&amp;" (ADA), ","")&amp;IF(AND(ISNUMBER($AV211),ISNUMBER($BL211),N($AV211)&lt;IF(N($BL211)&lt;=60,2,IF(N($BL211)&lt;=90,3,IF(N($BL211)&lt;=120,4,5)))),"fewer hinges than standard, ",""))</f>
        <v/>
      </c>
    </row>
    <row r="212" ht="15" customHeight="1">
      <c r="A212" s="77" t="n"/>
      <c r="B212" s="78" t="n"/>
      <c r="C212" s="78" t="n"/>
      <c r="D212" s="78" t="n"/>
      <c r="E212" s="78" t="n"/>
      <c r="F212" s="78" t="n"/>
      <c r="G212" s="78" t="n"/>
      <c r="H212" s="78" t="n"/>
      <c r="I212" s="78" t="n"/>
      <c r="J212" s="78" t="n"/>
      <c r="K212" s="78" t="n"/>
      <c r="L212" s="78" t="n"/>
      <c r="M212" s="78" t="n"/>
      <c r="N212" s="78" t="n"/>
      <c r="O212" s="78" t="n"/>
      <c r="P212" s="78" t="n"/>
      <c r="Q212" s="78" t="n"/>
      <c r="R212" s="78" t="n"/>
      <c r="S212" s="79" t="n"/>
      <c r="T212" s="79" t="n"/>
      <c r="U212" s="79" t="n"/>
      <c r="V212" s="79" t="n"/>
      <c r="W212" s="79" t="n"/>
      <c r="X212" s="79" t="n"/>
      <c r="Y212" s="79" t="n"/>
      <c r="Z212" s="79" t="n"/>
      <c r="AA212" s="79" t="n"/>
      <c r="AB212" s="79" t="n"/>
      <c r="AC212" s="79" t="n"/>
      <c r="AD212" s="79" t="n"/>
      <c r="AE212" s="79" t="n"/>
      <c r="AF212" s="79" t="n"/>
      <c r="AG212" s="79" t="n"/>
      <c r="AH212" s="80" t="n"/>
      <c r="AI212" s="80" t="n"/>
      <c r="AJ212" s="80" t="n"/>
      <c r="AK212" s="80" t="n"/>
      <c r="AL212" s="80" t="n"/>
      <c r="AM212" s="80" t="n"/>
      <c r="AN212" s="80" t="n"/>
      <c r="AO212" s="80" t="n"/>
      <c r="AP212" s="80" t="n"/>
      <c r="AQ212" s="80" t="n"/>
      <c r="AR212" s="80" t="n"/>
      <c r="AS212" s="80" t="n"/>
      <c r="AT212" s="81" t="n"/>
      <c r="AU212" s="81" t="n"/>
      <c r="AV212" s="81" t="n"/>
      <c r="AW212" s="82" t="n"/>
      <c r="AX212" s="82" t="n"/>
      <c r="AY212" s="82" t="n"/>
      <c r="AZ212" s="82" t="n"/>
      <c r="BA212" s="82" t="n"/>
      <c r="BB212" s="83" t="n"/>
      <c r="BC212" s="83" t="n"/>
      <c r="BD212" s="84">
        <f>IF($A212="","",IF($DJ212&lt;&gt;"","FIX",IF($DK212&lt;&gt;"","CHECK","OK")))</f>
        <v/>
      </c>
      <c r="BE212" s="85">
        <f>IF($A212="","",IF($DJ212&lt;&gt;"","FIX: "&amp;LEFT($DJ212,LEN($DJ212)-2)&amp;IF($DK212&lt;&gt;"","  ·  ",""),"")&amp;IF($DK212&lt;&gt;"","CHECK: "&amp;LEFT($DK212,LEN($DK212)-2),""))</f>
        <v/>
      </c>
      <c r="BF212" s="84">
        <f>IF(OR($A212="",$K212=""),"",$K212&amp;"'-"&amp;N($L212)&amp;CHAR(34)&amp;" x "&amp;$M212&amp;"'-"&amp;N($N212)&amp;CHAR(34))</f>
        <v/>
      </c>
      <c r="BG212" s="84">
        <f>IF(OR($A212="",$K212=""),"",$K212&amp;N($L212)&amp;$M212&amp;N($N212))</f>
        <v/>
      </c>
      <c r="BH212" s="84">
        <f>IF(OR($A212="",$K212=""),"",$K212*12+N($L212))</f>
        <v/>
      </c>
      <c r="BI212" s="84">
        <f>IF(OR($A212="",$M212=""),"",$M212*12+N($N212))</f>
        <v/>
      </c>
      <c r="BJ212" s="84">
        <f>IF($A212="","",IF(OR($C212="FRAME ONLY",$S212="BL"),0,IF($O212="Y",2,1)))</f>
        <v/>
      </c>
      <c r="BK212" s="86">
        <f>IF(OR(N($BJ212)=0,$BH212=""),"",($BH212-2*EdgeClr-IF($BJ212=2,MeetClr,0))/$BJ212)</f>
        <v/>
      </c>
      <c r="BL212" s="86">
        <f>IF(OR(N($BJ212)=0,$BI212=""),"",$BI212-HeadClr-Undercut)</f>
        <v/>
      </c>
      <c r="BM212" s="86">
        <f>IF($BH212="","",$BH212+2*FaceW+IF(N($Q212)&gt;0,($Q212+FaceW)*IF($R212="LR",2,1),0))</f>
        <v/>
      </c>
      <c r="BN212" s="86">
        <f>IF($BI212="","",$BI212+IF($AB212="Y",4,FaceW)+IF(N($P212)&gt;0,$P212+FaceW,0)+IF(OR($S212="4F",$S212="BL"),FaceW,0))</f>
        <v/>
      </c>
      <c r="BO212" s="86">
        <f>IF($BM212="","",$BM212+2*ROSide)</f>
        <v/>
      </c>
      <c r="BP212" s="86">
        <f>IF($BN212="","",$BN212+ROTop)</f>
        <v/>
      </c>
      <c r="BQ212" s="87">
        <f>IF(OR(N($BJ212)=0,$BH212=""),"",$BH212/$BJ212-ClearDeduct)</f>
        <v/>
      </c>
      <c r="BR212" s="84">
        <f>IF(N($CH212)=0,"",IF($CH212&gt;=180,"A · 3 HR",IF($CH212&gt;=90,"B · 1-1/2 HR",IF($CH212&gt;=60,"B · 1 HR",IF($CH212&gt;=45,"C · 3/4 HR","20 MIN")))))&amp;IF(AND(N($CH212)&gt;0,OR($I212="CORRIDOR",$I212="SMOKE BARRIER"))," · S","")</f>
        <v/>
      </c>
      <c r="BS212" s="84">
        <f>IF($CS212,"",IF($AV212&lt;&gt;"",$AV212,IF(OR($AC212="HGC",$AO212="HGC"),"CONT",IF(($BI212-HeadClr-Undercut)&lt;=60,2,IF(($BI212-HeadClr-Undercut)&lt;=90,3,IF(($BI212-HeadClr-Undercut)&lt;=120,4,5))))))</f>
        <v/>
      </c>
      <c r="BT212" s="84">
        <f>IF($CS212,"",IF($CT212,"CUSTOM (typed)",IF($CV212,$AT212&amp;" "&amp;$CU212&amp;CHAR(34)&amp;IF($CU212&lt;&gt;$BI212,IF(AND($BI212&lt;$CU212,$BI212-IF(N(VLOOKUP($AT212&amp;"|"&amp;$CU212,LocTable,7,FALSE))&gt;0,VLOOKUP($AT212&amp;"|"&amp;$CU212,LocTable,7,FALSE),VLOOKUP($AT212&amp;"|"&amp;$CU212,LocTable,6,FALSE))-$CR212-0.75&gt;=2.125)," cut down"," adj."),""),"ANSI/SDI A250.6")))</f>
        <v/>
      </c>
      <c r="BU212" s="88">
        <f>IF($CS212,"",IF($CT212,IF(N($AW212)&gt;0,N($AW212),""),IF(1&gt;$CQ212,"",IF($CQ212=1,$CW212,$CW212+($CX212-$CW212)*0/($CQ212-1)))))</f>
        <v/>
      </c>
      <c r="BV212" s="88">
        <f>IF($CS212,"",IF($CT212,IF(N($AX212)&gt;0,N($AX212),""),IF(2&gt;$CQ212,"",IF($CQ212=1,$CW212,$CW212+($CX212-$CW212)*1/($CQ212-1)))))</f>
        <v/>
      </c>
      <c r="BW212" s="88">
        <f>IF($CS212,"",IF($CT212,IF(N($AY212)&gt;0,N($AY212),""),IF(3&gt;$CQ212,"",IF($CQ212=1,$CW212,$CW212+($CX212-$CW212)*2/($CQ212-1)))))</f>
        <v/>
      </c>
      <c r="BX212" s="88">
        <f>IF($CS212,"",IF($CT212,IF(N($AZ212)&gt;0,N($AZ212),""),IF(4&gt;$CQ212,"",IF($CQ212=1,$CW212,$CW212+($CX212-$CW212)*3/($CQ212-1)))))</f>
        <v/>
      </c>
      <c r="BY212" s="88">
        <f>IF($CS212,"",IF($CT212,"",IF(5&gt;$CQ212,"",IF($CQ212=1,$CW212,$CW212+($CX212-$CW212)*4/($CQ212-1)))))</f>
        <v/>
      </c>
      <c r="BZ212" s="88">
        <f>IF(OR($CS212,$AP212="-",AND($AP212="",$AD212="")),"",IF(N($BA212)&gt;0,N($BA212),IF($CV212,IF(AND($BI212&lt;$CU212,$BI212-IF(N(VLOOKUP($AT212&amp;"|"&amp;$CU212,LocTable,7,FALSE))&gt;0,VLOOKUP($AT212&amp;"|"&amp;$CU212,LocTable,7,FALSE),VLOOKUP($AT212&amp;"|"&amp;$CU212,LocTable,6,FALSE))-$CR212-0.75&gt;=2.125),VLOOKUP($AT212&amp;"|"&amp;$CU212,LocTable,8,FALSE),VLOOKUP($AT212&amp;"|"&amp;$CU212,LocTable,8,FALSE)+($BI212-$CU212)),$BI212-LockAFF)))</f>
        <v/>
      </c>
      <c r="CA212" s="89">
        <f>IF($BZ212="","",$BI212-$BZ212)</f>
        <v/>
      </c>
      <c r="CB212" s="84">
        <f>IF(OR(NOT(AND($A212&lt;&gt;"",$C212&lt;&gt;"DOOR ONLY")),$BI212=""),"",IF(($BI212+IF(N($P212)&gt;0,$P212+FaceW,0))&lt;=90,3,IF(($BI212+IF(N($P212)&gt;0,$P212+FaceW,0))&lt;=114,4,5)))</f>
        <v/>
      </c>
      <c r="CC212" s="84">
        <f>IF($CB212="","",$CB212*(2+IF(N($Q212)&gt;0,IF($R212="LR",2,1),0)))</f>
        <v/>
      </c>
      <c r="CD212" s="84">
        <f>IF($CB212="","",(2+IF(N($Q212)&gt;0,IF($R212="LR",2,1),0)))</f>
        <v/>
      </c>
      <c r="CE212" s="84">
        <f>IF(N($BJ212)=0,"",IF(OR($AL212="",$AL212="FLUSH"),"FLUSH",IFERROR(LEFT($AL212,FIND("-",$AL212)-1),LEFT($AL212,2))))</f>
        <v/>
      </c>
      <c r="CF212" s="84">
        <f>IF($CE212="","",IFERROR(VALUE(MID($AL212,FIND("-",$AL212)+1,FIND(CHAR(34)&amp;"x",$AL212)-FIND("-",$AL212)-1)),0))</f>
        <v/>
      </c>
      <c r="CG212" s="84">
        <f>IF($CE212="","",IFERROR(VALUE(MID($AL212,FIND(CHAR(34)&amp;"x",$AL212)+2,FIND(CHAR(34),$AL212,FIND(CHAR(34)&amp;"x",$AL212)+2)-FIND(CHAR(34)&amp;"x",$AL212)-2)),0))</f>
        <v/>
      </c>
      <c r="CH212" s="90">
        <f>IF(OR($A212="",$H212="",$H212="NO LAB"),0,IFERROR(VALUE(LEFT($H212,FIND(" ",$H212)-1)),0))</f>
        <v/>
      </c>
      <c r="CI212" s="91">
        <f>IF(OR($A212="",$I212="",$I212="NON-RATED",N($J212)=0),"",IFERROR(VLOOKUP($I212&amp;"|"&amp;$J212,IBC,2,FALSE),"?"))</f>
        <v/>
      </c>
      <c r="CJ212" s="85">
        <f>IF(NOT(AND($A212&lt;&gt;"",$C212&lt;&gt;"DOOR ONLY")),"",TRIM(IFERROR(VLOOKUP($U212,CODES,2,FALSE),"")&amp;" "&amp;$BG212&amp;" "&amp;IFERROR(VLOOKUP($Z212,CODES,2,FALSE),"")&amp;" "&amp;IFERROR(VLOOKUP($X212,CODES,2,FALSE),"")&amp;" "&amp;IFERROR(VLOOKUP($S212,CODES,2,FALSE),"")&amp;IF(N($P212)&gt;0," w/TRANSOM "&amp;$P212&amp;CHAR(34),"")&amp;IF(N($Q212)&gt;0," w/SIDELITE "&amp;$Q212&amp;CHAR(34)&amp;" "&amp;IF($R212="","R",$R212),"")&amp;IF($Y212="","  |  "," | "&amp;IFERROR(VLOOKUP($Y212,CODES,2,FALSE),"")&amp;" | ")&amp;IFERROR(VLOOKUP($AC212,CODES,2,FALSE),"")&amp;" "&amp;IFERROR(VLOOKUP($AD212,CODES,2,FALSE),"")&amp;IF(OR($AE212="",$AE212="-"),""," "&amp;$AE212)&amp;IF(OR($AF212="",$AF212="-"),""," "&amp;$AF212)&amp;IF($AB212="Y"," 4"&amp;CHAR(34)&amp;" HEAD","")&amp;" "&amp;IFERROR(VLOOKUP($H212,CODES,2,FALSE),"")&amp;IF($CT212," | LOC "&amp;$CY212,"")))</f>
        <v/>
      </c>
      <c r="CK212" s="85">
        <f>IF(NOT(AND($A212&lt;&gt;"",N($BJ212)&gt;0)),"",TRIM(IFERROR(VLOOKUP($AH212,CODES,2,FALSE),"")&amp;IF($AI212=""," "," "&amp;$AI212&amp;"GA ")&amp;$BG212&amp;" "&amp;IF($AN212="",IFERROR(VLOOKUP($Z212,CODES,2,FALSE),""),IFERROR(VLOOKUP($AN212,CODES,2,FALSE),""))&amp;IF($BJ212=2," PAIR","")&amp;" DOOR | "&amp;IF($AL212="","?",$AL212)&amp;" | "&amp;IF($AO212="",IFERROR(VLOOKUP($AC212,CODES,2,FALSE),""),IFERROR(VLOOKUP($AO212,CODES,2,FALSE),""))&amp;" "&amp;IFERROR(VLOOKUP($AP212,CODES,2,FALSE),"")&amp;IF(OR($AQ212="",$AQ212="-"),""," SEAM "&amp;$AQ212)&amp;IF($AR212="Y"," ASTRAGAL","")&amp;IF($AJ212=""," "," "&amp;$AJ212)&amp;IF($AK212=""," "," "&amp;$AK212)&amp;IF(OR($AT212="",$AT212="ANSI/SDI",$AT212="CUSTOM LOC"),""," "&amp;$AT212)&amp;IF($AM212=""," "," SERIES "&amp;$AM212)&amp;" "&amp;IFERROR(VLOOKUP($H212,CODES,2,FALSE),"")&amp;IF($CT212," | LOC "&amp;$CZ212,"")))</f>
        <v/>
      </c>
      <c r="CL212" s="84">
        <f>IF(CP212="","",IF(COUNTIF($CP$6:CP212,CP212)=1,MAX($CL$5:CL211)+1,INDEX($CL$5:CL211,MATCH(CP212,$CP$5:CP211,0))))</f>
        <v/>
      </c>
      <c r="CM212" s="84">
        <f>IF(NOT(AND($A212&lt;&gt;"",$C212&lt;&gt;"DOOR ONLY")),"",MAX($CM$5:CM211)+1)</f>
        <v/>
      </c>
      <c r="CN212" s="84">
        <f>IF(NOT(AND($A212&lt;&gt;"",N($BJ212)&gt;0)),"",MAX($CN$5:CN211)+1)</f>
        <v/>
      </c>
      <c r="CO212" s="84">
        <f>IF($A212="","",MAX($CO$5:CO211)+1)</f>
        <v/>
      </c>
      <c r="CP212" s="84">
        <f>IF(OR($A212="",$BH212="",$BI212=""),"",$BG212&amp;"|"&amp;$O212&amp;"|"&amp;$AL212&amp;"|"&amp;$S212&amp;"|"&amp;$P212&amp;"|"&amp;$Q212&amp;$R212&amp;"|"&amp;$C212&amp;"|"&amp;$AB212)</f>
        <v/>
      </c>
      <c r="CQ212" s="84">
        <f>N($BS212)</f>
        <v/>
      </c>
      <c r="CR212" s="84">
        <f>IF(N($AU212)&gt;0,N($AU212),4.5)</f>
        <v/>
      </c>
      <c r="CS212" s="84">
        <f>OR($A212="",$BI212="",$S212="BL",AND($C212="FRAME ONLY",OR($AC212="",$AC212="BLK")))</f>
        <v/>
      </c>
      <c r="CT212" s="84">
        <f>AND(NOT($CS212),OR($AT212="CUSTOM LOC",N($AW212)+N($AX212)+N($AY212)+N($AZ212)+N($BA212)&gt;0))</f>
        <v/>
      </c>
      <c r="CU212" s="84">
        <f>IF($BI212="","",IF($BI212&lt;=80,80,IF($BI212&lt;=84,84,96)))</f>
        <v/>
      </c>
      <c r="CV212" s="84">
        <f>ISNUMBER(MATCH($AT212&amp;"|80",LocKeys,0))</f>
        <v/>
      </c>
      <c r="CW212" s="86">
        <f>IF($CS212,"",IF($CV212,VLOOKUP($AT212&amp;"|"&amp;$CU212,LocTable,4,FALSE),5))</f>
        <v/>
      </c>
      <c r="CX212" s="86">
        <f>IF($CS212,"",IF($CV212,IF(OR($BI212=$CU212,AND($BI212&lt;$CU212,$BI212-IF(N(VLOOKUP($AT212&amp;"|"&amp;$CU212,LocTable,7,FALSE))&gt;0,VLOOKUP($AT212&amp;"|"&amp;$CU212,LocTable,7,FALSE),VLOOKUP($AT212&amp;"|"&amp;$CU212,LocTable,6,FALSE))-$CR212-0.75&gt;=2.125)),IF(N(VLOOKUP($AT212&amp;"|"&amp;$CU212,LocTable,7,FALSE))&gt;0,VLOOKUP($AT212&amp;"|"&amp;$CU212,LocTable,7,FALSE),VLOOKUP($AT212&amp;"|"&amp;$CU212,LocTable,6,FALSE)),$BI212-($CU212-IF(N(VLOOKUP($AT212&amp;"|"&amp;$CU212,LocTable,7,FALSE))&gt;0,VLOOKUP($AT212&amp;"|"&amp;$CU212,LocTable,7,FALSE),VLOOKUP($AT212&amp;"|"&amp;$CU212,LocTable,6,FALSE)))),$BI212-10-$CR212))</f>
        <v/>
      </c>
      <c r="CY212" s="85">
        <f>IF($CS212,"",TRIM(IF(ISNUMBER($BU212),"A "&amp;TRIM(TEXT($BU212,"# ?/??"))&amp;CHAR(34)&amp;"  ","")&amp;IF(ISNUMBER($BV212),"B "&amp;TRIM(TEXT($BV212,"# ?/??"))&amp;CHAR(34)&amp;"  ","")&amp;IF(ISNUMBER($BW212),"C "&amp;TRIM(TEXT($BW212,"# ?/??"))&amp;CHAR(34)&amp;"  ","")&amp;IF(ISNUMBER($BX212),"D "&amp;TRIM(TEXT($BX212,"# ?/??"))&amp;CHAR(34)&amp;"  ","")&amp;IF(ISNUMBER($BY212),"F "&amp;TRIM(TEXT($BY212,"# ?/??"))&amp;CHAR(34)&amp;"  ","")&amp;IF(ISNUMBER($BZ212),"E "&amp;TRIM(TEXT($BZ212,"# ?/??"))&amp;CHAR(34)&amp;"  ","")))</f>
        <v/>
      </c>
      <c r="CZ212" s="85">
        <f>IF(OR($CS212,N($BJ212)=0),"",TRIM(IF(ISNUMBER($BU212),"A "&amp;TRIM(TEXT($BU212-HeadClr,"# ?/??"))&amp;CHAR(34)&amp;"  ","")&amp;IF(ISNUMBER($BV212),"B "&amp;TRIM(TEXT($BV212-HeadClr,"# ?/??"))&amp;CHAR(34)&amp;"  ","")&amp;IF(ISNUMBER($BW212),"C "&amp;TRIM(TEXT($BW212-HeadClr,"# ?/??"))&amp;CHAR(34)&amp;"  ","")&amp;IF(ISNUMBER($BX212),"D "&amp;TRIM(TEXT($BX212-HeadClr,"# ?/??"))&amp;CHAR(34)&amp;"  ","")&amp;IF(ISNUMBER($BY212),"F "&amp;TRIM(TEXT($BY212-HeadClr,"# ?/??"))&amp;CHAR(34)&amp;"  ","")&amp;IF(ISNUMBER($BZ212),"E "&amp;TRIM(TEXT($BZ212-HeadClr,"# ?/??"))&amp;CHAR(34)&amp;"  ","")))</f>
        <v/>
      </c>
      <c r="DA212" s="84">
        <f>IF($A212="","",IF($AN212="",IFERROR(VLOOKUP($Z212,CODES,2,FALSE),""),IFERROR(VLOOKUP($AN212,CODES,2,FALSE),"")))</f>
        <v/>
      </c>
      <c r="DB212" s="84">
        <f>IF($A212="","",IF($O212="Y","PR",IF(OR($Z212="L",$Z212="RR",LEFT($Z212,2)="L-",LEFT($Z212,3)="RR-"),"LH","RH")))</f>
        <v/>
      </c>
      <c r="DC212" s="84">
        <f>IF($A212="","","S.HM"&amp;IF(OR($C212="DOOR ONLY",$X212&lt;&gt;"KD"),"MASONRY","DRYWALL")&amp;IF($C212="DOOR ONLY","",$U212)&amp;IF(AND($C212&lt;&gt;"FRAME ONLY",OR(LEFT($AH212,3)="OAK",LEFT($AH212,3)="BIR",LEFT($AH212,3)="MAP",$AH212="PC",$AH212="MC",$AH212="SCLC",$AH212="P-LAM")),"WD","HM")&amp;"1.75")</f>
        <v/>
      </c>
      <c r="DD212" s="84">
        <f>IF($CJ212="","",IF($O212="Y",$CJ212,SUBSTITUTE($CJ212,$BG212&amp;" "&amp;IFERROR(VLOOKUP($Z212,CODES,2,FALSE),"")&amp;" ",$BG212&amp;" ")))</f>
        <v/>
      </c>
      <c r="DE212" s="84">
        <f>IF($CK212="","",IF($O212="Y",$CK212,SUBSTITUTE($CK212,$BG212&amp;" "&amp;IF($AN212="",IFERROR(VLOOKUP($Z212,CODES,2,FALSE),""),IFERROR(VLOOKUP($AN212,CODES,2,FALSE),""))&amp;" ",$BG212&amp;" ")))</f>
        <v/>
      </c>
      <c r="DF212" s="84">
        <f>IF($CJ212="","",$DC212&amp;"|"&amp;$DD212&amp;"|"&amp;$DB212&amp;"|"&amp;$AT212&amp;"|"&amp;$V212&amp;"|"&amp;$Y212&amp;"|"&amp;$AB212)</f>
        <v/>
      </c>
      <c r="DG212" s="84">
        <f>IF(DF212="","",IF(COUNTIF($DF$6:DF212,DF212)=1,MAX($DG$5:DG211)+1,INDEX($DG$5:DG211,MATCH(DF212,$DF$5:DF211,0))))</f>
        <v/>
      </c>
      <c r="DH212" s="84">
        <f>IF($CK212="","",$DC212&amp;"|"&amp;$DE212&amp;"|"&amp;$AI212&amp;"|"&amp;$BK212&amp;"|"&amp;$BL212)</f>
        <v/>
      </c>
      <c r="DI212" s="84">
        <f>IF(DH212="","",IF(COUNTIF($DH$6:DH212,DH212)=1,MAX($DI$5:DI211)+1,INDEX($DI$5:DI211,MATCH(DH212,$DH$5:DH211,0))))</f>
        <v/>
      </c>
      <c r="DJ212" s="84">
        <f>IF($A212="","",IF($B212="","qty, ","")&amp;IF($C212="","scope, ","")&amp;IF(OR($K212="",$M212=""),"size, ","")&amp;IF(AND($A212&lt;&gt;"",$C212&lt;&gt;"DOOR ONLY"),IF($U212="","jamb depth, ","")&amp;IF($X212="","construction, ","")&amp;IF($Y212="","anchor, ","")&amp;IF($S212="","frame type, ",""),"")&amp;IF(AND(N($BJ212)&gt;0,$Z212=""),"hand, ","")&amp;IF(N($BJ212)&gt;0,IF($AH212="","door material, ","")&amp;IF($AL212="","face type, ","")&amp;IF($AP212="","lock prep, ","")&amp;IF(AND($AO212="",$AC212=""),"hinge prep, ",""),"")&amp;IF(AND($CH212&gt;0,$AH212="FRP"),"FRP cannot carry a label, ","")&amp;IF(AND($O212="Y",OR($Z212="L",$Z212="R",$Z212="LR",$Z212="RR")),"pair marked but hand is single, ","")&amp;IF(AND($O212&lt;&gt;"Y",OR($Z212="PR",AND(LEN($Z212)&gt;1,ISNUMBER(SEARCH("-",$Z212))))),"pair hand on a single door, ","")&amp;IF(AND(ISNUMBER($CI212),$CH212&lt;N($CI212)),"wall needs a "&amp;$CI212&amp;" min door, ","")&amp;IF(AND($CH212&gt;=180,AND(OR($CE212="FG",$CE212="HG",$CE212="FNV",$CE212="FV"),N($CF212)*N($CG212)&gt;100)),"180 min lite over 100 sq in, ","")&amp;IF(N($BK212)&gt;48,"leaf wider than 4'-0"&amp;CHAR(34)&amp;", ","")&amp;IF(AND($CT212,COUNT($AW212:$AZ212)=0,$CQ212&gt;0),"CUSTOM LOC with no locations typed, ",""))</f>
        <v/>
      </c>
      <c r="DK212" s="84">
        <f>IF($A212="","",IF(AND($CH212&gt;0,AND($A212&lt;&gt;"",$C212&lt;&gt;"DOOR ONLY"),$X212="KD",$E212="EXTERIOR"),"KD label on an exterior opening, ","")&amp;IF(AND($E212="EXTERIOR",OR(AND(AND($A212&lt;&gt;"",$C212&lt;&gt;"DOOR ONLY"),$W212="CR"),AND(N($BJ212)&gt;0,$AH212="CR"))),"exterior in CR steel (G9?), ","")&amp;IF(AND(ISNUMBER($BQ212),N($BQ212)&lt;32),"clear width ~"&amp;TEXT($BQ212,"0.0")&amp;CHAR(34)&amp;" under 32"&amp;CHAR(34)&amp;" (ADA), ","")&amp;IF(AND($CH212=90,AND(OR($CE212="FG",$CE212="HG",$CE212="FNV",$CE212="FV"),N($CF212)*N($CG212)&gt;100)),"90 min lite over 100 sq in (stair/exit), ","")&amp;IF(AND($CH212&gt;0,AND($A212&lt;&gt;"",$C212&lt;&gt;"DOOR ONLY"),OR($AF212="",$AF212="-")),"rated: closer reinf.?, ","")&amp;IF(OR($I212="CORRIDOR",$I212="SMOKE BARRIER"),"S label + smoke gasketing, ","")&amp;IF($CI212="?","wall type/hr not in IBC table, ","")&amp;IF(AND(N($BJ212)&gt;0,$BB212=""),"no hardware set, ","")&amp;IF(AND($BB212&lt;&gt;"",ISNA(MATCH($BB212&amp;"",HWSets,0))),"set "&amp;$BB212&amp;" not on HW Sets, ","")&amp;IF(N($BL212)&gt;96,"leaf over 8'-0"&amp;CHAR(34)&amp;" - check listing, ","")&amp;IF(AND($CT212,COUNT($AW212:$AZ212)&gt;0,COUNT($AW212:$AZ212)&lt;&gt;$CQ212),COUNT($AW212:$AZ212)&amp;" custom hinges typed, "&amp;$CQ212&amp;" expected, ","")&amp;IF(AND(ISNUMBER($CA212),OR(N($CA212)&lt;34,N($CA212)&gt;48)),"lock "&amp;TEXT($CA212,"0.0")&amp;CHAR(34)&amp;" AFF outside 34-48"&amp;CHAR(34)&amp;" (ADA), ","")&amp;IF(AND(ISNUMBER($AV212),ISNUMBER($BL212),N($AV212)&lt;IF(N($BL212)&lt;=60,2,IF(N($BL212)&lt;=90,3,IF(N($BL212)&lt;=120,4,5)))),"fewer hinges than standard, ",""))</f>
        <v/>
      </c>
    </row>
    <row r="213" ht="15" customHeight="1">
      <c r="A213" s="77" t="n"/>
      <c r="B213" s="78" t="n"/>
      <c r="C213" s="78" t="n"/>
      <c r="D213" s="78" t="n"/>
      <c r="E213" s="78" t="n"/>
      <c r="F213" s="78" t="n"/>
      <c r="G213" s="78" t="n"/>
      <c r="H213" s="78" t="n"/>
      <c r="I213" s="78" t="n"/>
      <c r="J213" s="78" t="n"/>
      <c r="K213" s="78" t="n"/>
      <c r="L213" s="78" t="n"/>
      <c r="M213" s="78" t="n"/>
      <c r="N213" s="78" t="n"/>
      <c r="O213" s="78" t="n"/>
      <c r="P213" s="78" t="n"/>
      <c r="Q213" s="78" t="n"/>
      <c r="R213" s="78" t="n"/>
      <c r="S213" s="79" t="n"/>
      <c r="T213" s="79" t="n"/>
      <c r="U213" s="79" t="n"/>
      <c r="V213" s="79" t="n"/>
      <c r="W213" s="79" t="n"/>
      <c r="X213" s="79" t="n"/>
      <c r="Y213" s="79" t="n"/>
      <c r="Z213" s="79" t="n"/>
      <c r="AA213" s="79" t="n"/>
      <c r="AB213" s="79" t="n"/>
      <c r="AC213" s="79" t="n"/>
      <c r="AD213" s="79" t="n"/>
      <c r="AE213" s="79" t="n"/>
      <c r="AF213" s="79" t="n"/>
      <c r="AG213" s="79" t="n"/>
      <c r="AH213" s="80" t="n"/>
      <c r="AI213" s="80" t="n"/>
      <c r="AJ213" s="80" t="n"/>
      <c r="AK213" s="80" t="n"/>
      <c r="AL213" s="80" t="n"/>
      <c r="AM213" s="80" t="n"/>
      <c r="AN213" s="80" t="n"/>
      <c r="AO213" s="80" t="n"/>
      <c r="AP213" s="80" t="n"/>
      <c r="AQ213" s="80" t="n"/>
      <c r="AR213" s="80" t="n"/>
      <c r="AS213" s="80" t="n"/>
      <c r="AT213" s="81" t="n"/>
      <c r="AU213" s="81" t="n"/>
      <c r="AV213" s="81" t="n"/>
      <c r="AW213" s="82" t="n"/>
      <c r="AX213" s="82" t="n"/>
      <c r="AY213" s="82" t="n"/>
      <c r="AZ213" s="82" t="n"/>
      <c r="BA213" s="82" t="n"/>
      <c r="BB213" s="83" t="n"/>
      <c r="BC213" s="83" t="n"/>
      <c r="BD213" s="84">
        <f>IF($A213="","",IF($DJ213&lt;&gt;"","FIX",IF($DK213&lt;&gt;"","CHECK","OK")))</f>
        <v/>
      </c>
      <c r="BE213" s="85">
        <f>IF($A213="","",IF($DJ213&lt;&gt;"","FIX: "&amp;LEFT($DJ213,LEN($DJ213)-2)&amp;IF($DK213&lt;&gt;"","  ·  ",""),"")&amp;IF($DK213&lt;&gt;"","CHECK: "&amp;LEFT($DK213,LEN($DK213)-2),""))</f>
        <v/>
      </c>
      <c r="BF213" s="84">
        <f>IF(OR($A213="",$K213=""),"",$K213&amp;"'-"&amp;N($L213)&amp;CHAR(34)&amp;" x "&amp;$M213&amp;"'-"&amp;N($N213)&amp;CHAR(34))</f>
        <v/>
      </c>
      <c r="BG213" s="84">
        <f>IF(OR($A213="",$K213=""),"",$K213&amp;N($L213)&amp;$M213&amp;N($N213))</f>
        <v/>
      </c>
      <c r="BH213" s="84">
        <f>IF(OR($A213="",$K213=""),"",$K213*12+N($L213))</f>
        <v/>
      </c>
      <c r="BI213" s="84">
        <f>IF(OR($A213="",$M213=""),"",$M213*12+N($N213))</f>
        <v/>
      </c>
      <c r="BJ213" s="84">
        <f>IF($A213="","",IF(OR($C213="FRAME ONLY",$S213="BL"),0,IF($O213="Y",2,1)))</f>
        <v/>
      </c>
      <c r="BK213" s="86">
        <f>IF(OR(N($BJ213)=0,$BH213=""),"",($BH213-2*EdgeClr-IF($BJ213=2,MeetClr,0))/$BJ213)</f>
        <v/>
      </c>
      <c r="BL213" s="86">
        <f>IF(OR(N($BJ213)=0,$BI213=""),"",$BI213-HeadClr-Undercut)</f>
        <v/>
      </c>
      <c r="BM213" s="86">
        <f>IF($BH213="","",$BH213+2*FaceW+IF(N($Q213)&gt;0,($Q213+FaceW)*IF($R213="LR",2,1),0))</f>
        <v/>
      </c>
      <c r="BN213" s="86">
        <f>IF($BI213="","",$BI213+IF($AB213="Y",4,FaceW)+IF(N($P213)&gt;0,$P213+FaceW,0)+IF(OR($S213="4F",$S213="BL"),FaceW,0))</f>
        <v/>
      </c>
      <c r="BO213" s="86">
        <f>IF($BM213="","",$BM213+2*ROSide)</f>
        <v/>
      </c>
      <c r="BP213" s="86">
        <f>IF($BN213="","",$BN213+ROTop)</f>
        <v/>
      </c>
      <c r="BQ213" s="87">
        <f>IF(OR(N($BJ213)=0,$BH213=""),"",$BH213/$BJ213-ClearDeduct)</f>
        <v/>
      </c>
      <c r="BR213" s="84">
        <f>IF(N($CH213)=0,"",IF($CH213&gt;=180,"A · 3 HR",IF($CH213&gt;=90,"B · 1-1/2 HR",IF($CH213&gt;=60,"B · 1 HR",IF($CH213&gt;=45,"C · 3/4 HR","20 MIN")))))&amp;IF(AND(N($CH213)&gt;0,OR($I213="CORRIDOR",$I213="SMOKE BARRIER"))," · S","")</f>
        <v/>
      </c>
      <c r="BS213" s="84">
        <f>IF($CS213,"",IF($AV213&lt;&gt;"",$AV213,IF(OR($AC213="HGC",$AO213="HGC"),"CONT",IF(($BI213-HeadClr-Undercut)&lt;=60,2,IF(($BI213-HeadClr-Undercut)&lt;=90,3,IF(($BI213-HeadClr-Undercut)&lt;=120,4,5))))))</f>
        <v/>
      </c>
      <c r="BT213" s="84">
        <f>IF($CS213,"",IF($CT213,"CUSTOM (typed)",IF($CV213,$AT213&amp;" "&amp;$CU213&amp;CHAR(34)&amp;IF($CU213&lt;&gt;$BI213,IF(AND($BI213&lt;$CU213,$BI213-IF(N(VLOOKUP($AT213&amp;"|"&amp;$CU213,LocTable,7,FALSE))&gt;0,VLOOKUP($AT213&amp;"|"&amp;$CU213,LocTable,7,FALSE),VLOOKUP($AT213&amp;"|"&amp;$CU213,LocTable,6,FALSE))-$CR213-0.75&gt;=2.125)," cut down"," adj."),""),"ANSI/SDI A250.6")))</f>
        <v/>
      </c>
      <c r="BU213" s="88">
        <f>IF($CS213,"",IF($CT213,IF(N($AW213)&gt;0,N($AW213),""),IF(1&gt;$CQ213,"",IF($CQ213=1,$CW213,$CW213+($CX213-$CW213)*0/($CQ213-1)))))</f>
        <v/>
      </c>
      <c r="BV213" s="88">
        <f>IF($CS213,"",IF($CT213,IF(N($AX213)&gt;0,N($AX213),""),IF(2&gt;$CQ213,"",IF($CQ213=1,$CW213,$CW213+($CX213-$CW213)*1/($CQ213-1)))))</f>
        <v/>
      </c>
      <c r="BW213" s="88">
        <f>IF($CS213,"",IF($CT213,IF(N($AY213)&gt;0,N($AY213),""),IF(3&gt;$CQ213,"",IF($CQ213=1,$CW213,$CW213+($CX213-$CW213)*2/($CQ213-1)))))</f>
        <v/>
      </c>
      <c r="BX213" s="88">
        <f>IF($CS213,"",IF($CT213,IF(N($AZ213)&gt;0,N($AZ213),""),IF(4&gt;$CQ213,"",IF($CQ213=1,$CW213,$CW213+($CX213-$CW213)*3/($CQ213-1)))))</f>
        <v/>
      </c>
      <c r="BY213" s="88">
        <f>IF($CS213,"",IF($CT213,"",IF(5&gt;$CQ213,"",IF($CQ213=1,$CW213,$CW213+($CX213-$CW213)*4/($CQ213-1)))))</f>
        <v/>
      </c>
      <c r="BZ213" s="88">
        <f>IF(OR($CS213,$AP213="-",AND($AP213="",$AD213="")),"",IF(N($BA213)&gt;0,N($BA213),IF($CV213,IF(AND($BI213&lt;$CU213,$BI213-IF(N(VLOOKUP($AT213&amp;"|"&amp;$CU213,LocTable,7,FALSE))&gt;0,VLOOKUP($AT213&amp;"|"&amp;$CU213,LocTable,7,FALSE),VLOOKUP($AT213&amp;"|"&amp;$CU213,LocTable,6,FALSE))-$CR213-0.75&gt;=2.125),VLOOKUP($AT213&amp;"|"&amp;$CU213,LocTable,8,FALSE),VLOOKUP($AT213&amp;"|"&amp;$CU213,LocTable,8,FALSE)+($BI213-$CU213)),$BI213-LockAFF)))</f>
        <v/>
      </c>
      <c r="CA213" s="89">
        <f>IF($BZ213="","",$BI213-$BZ213)</f>
        <v/>
      </c>
      <c r="CB213" s="84">
        <f>IF(OR(NOT(AND($A213&lt;&gt;"",$C213&lt;&gt;"DOOR ONLY")),$BI213=""),"",IF(($BI213+IF(N($P213)&gt;0,$P213+FaceW,0))&lt;=90,3,IF(($BI213+IF(N($P213)&gt;0,$P213+FaceW,0))&lt;=114,4,5)))</f>
        <v/>
      </c>
      <c r="CC213" s="84">
        <f>IF($CB213="","",$CB213*(2+IF(N($Q213)&gt;0,IF($R213="LR",2,1),0)))</f>
        <v/>
      </c>
      <c r="CD213" s="84">
        <f>IF($CB213="","",(2+IF(N($Q213)&gt;0,IF($R213="LR",2,1),0)))</f>
        <v/>
      </c>
      <c r="CE213" s="84">
        <f>IF(N($BJ213)=0,"",IF(OR($AL213="",$AL213="FLUSH"),"FLUSH",IFERROR(LEFT($AL213,FIND("-",$AL213)-1),LEFT($AL213,2))))</f>
        <v/>
      </c>
      <c r="CF213" s="84">
        <f>IF($CE213="","",IFERROR(VALUE(MID($AL213,FIND("-",$AL213)+1,FIND(CHAR(34)&amp;"x",$AL213)-FIND("-",$AL213)-1)),0))</f>
        <v/>
      </c>
      <c r="CG213" s="84">
        <f>IF($CE213="","",IFERROR(VALUE(MID($AL213,FIND(CHAR(34)&amp;"x",$AL213)+2,FIND(CHAR(34),$AL213,FIND(CHAR(34)&amp;"x",$AL213)+2)-FIND(CHAR(34)&amp;"x",$AL213)-2)),0))</f>
        <v/>
      </c>
      <c r="CH213" s="90">
        <f>IF(OR($A213="",$H213="",$H213="NO LAB"),0,IFERROR(VALUE(LEFT($H213,FIND(" ",$H213)-1)),0))</f>
        <v/>
      </c>
      <c r="CI213" s="91">
        <f>IF(OR($A213="",$I213="",$I213="NON-RATED",N($J213)=0),"",IFERROR(VLOOKUP($I213&amp;"|"&amp;$J213,IBC,2,FALSE),"?"))</f>
        <v/>
      </c>
      <c r="CJ213" s="85">
        <f>IF(NOT(AND($A213&lt;&gt;"",$C213&lt;&gt;"DOOR ONLY")),"",TRIM(IFERROR(VLOOKUP($U213,CODES,2,FALSE),"")&amp;" "&amp;$BG213&amp;" "&amp;IFERROR(VLOOKUP($Z213,CODES,2,FALSE),"")&amp;" "&amp;IFERROR(VLOOKUP($X213,CODES,2,FALSE),"")&amp;" "&amp;IFERROR(VLOOKUP($S213,CODES,2,FALSE),"")&amp;IF(N($P213)&gt;0," w/TRANSOM "&amp;$P213&amp;CHAR(34),"")&amp;IF(N($Q213)&gt;0," w/SIDELITE "&amp;$Q213&amp;CHAR(34)&amp;" "&amp;IF($R213="","R",$R213),"")&amp;IF($Y213="","  |  "," | "&amp;IFERROR(VLOOKUP($Y213,CODES,2,FALSE),"")&amp;" | ")&amp;IFERROR(VLOOKUP($AC213,CODES,2,FALSE),"")&amp;" "&amp;IFERROR(VLOOKUP($AD213,CODES,2,FALSE),"")&amp;IF(OR($AE213="",$AE213="-"),""," "&amp;$AE213)&amp;IF(OR($AF213="",$AF213="-"),""," "&amp;$AF213)&amp;IF($AB213="Y"," 4"&amp;CHAR(34)&amp;" HEAD","")&amp;" "&amp;IFERROR(VLOOKUP($H213,CODES,2,FALSE),"")&amp;IF($CT213," | LOC "&amp;$CY213,"")))</f>
        <v/>
      </c>
      <c r="CK213" s="85">
        <f>IF(NOT(AND($A213&lt;&gt;"",N($BJ213)&gt;0)),"",TRIM(IFERROR(VLOOKUP($AH213,CODES,2,FALSE),"")&amp;IF($AI213=""," "," "&amp;$AI213&amp;"GA ")&amp;$BG213&amp;" "&amp;IF($AN213="",IFERROR(VLOOKUP($Z213,CODES,2,FALSE),""),IFERROR(VLOOKUP($AN213,CODES,2,FALSE),""))&amp;IF($BJ213=2," PAIR","")&amp;" DOOR | "&amp;IF($AL213="","?",$AL213)&amp;" | "&amp;IF($AO213="",IFERROR(VLOOKUP($AC213,CODES,2,FALSE),""),IFERROR(VLOOKUP($AO213,CODES,2,FALSE),""))&amp;" "&amp;IFERROR(VLOOKUP($AP213,CODES,2,FALSE),"")&amp;IF(OR($AQ213="",$AQ213="-"),""," SEAM "&amp;$AQ213)&amp;IF($AR213="Y"," ASTRAGAL","")&amp;IF($AJ213=""," "," "&amp;$AJ213)&amp;IF($AK213=""," "," "&amp;$AK213)&amp;IF(OR($AT213="",$AT213="ANSI/SDI",$AT213="CUSTOM LOC"),""," "&amp;$AT213)&amp;IF($AM213=""," "," SERIES "&amp;$AM213)&amp;" "&amp;IFERROR(VLOOKUP($H213,CODES,2,FALSE),"")&amp;IF($CT213," | LOC "&amp;$CZ213,"")))</f>
        <v/>
      </c>
      <c r="CL213" s="84">
        <f>IF(CP213="","",IF(COUNTIF($CP$6:CP213,CP213)=1,MAX($CL$5:CL212)+1,INDEX($CL$5:CL212,MATCH(CP213,$CP$5:CP212,0))))</f>
        <v/>
      </c>
      <c r="CM213" s="84">
        <f>IF(NOT(AND($A213&lt;&gt;"",$C213&lt;&gt;"DOOR ONLY")),"",MAX($CM$5:CM212)+1)</f>
        <v/>
      </c>
      <c r="CN213" s="84">
        <f>IF(NOT(AND($A213&lt;&gt;"",N($BJ213)&gt;0)),"",MAX($CN$5:CN212)+1)</f>
        <v/>
      </c>
      <c r="CO213" s="84">
        <f>IF($A213="","",MAX($CO$5:CO212)+1)</f>
        <v/>
      </c>
      <c r="CP213" s="84">
        <f>IF(OR($A213="",$BH213="",$BI213=""),"",$BG213&amp;"|"&amp;$O213&amp;"|"&amp;$AL213&amp;"|"&amp;$S213&amp;"|"&amp;$P213&amp;"|"&amp;$Q213&amp;$R213&amp;"|"&amp;$C213&amp;"|"&amp;$AB213)</f>
        <v/>
      </c>
      <c r="CQ213" s="84">
        <f>N($BS213)</f>
        <v/>
      </c>
      <c r="CR213" s="84">
        <f>IF(N($AU213)&gt;0,N($AU213),4.5)</f>
        <v/>
      </c>
      <c r="CS213" s="84">
        <f>OR($A213="",$BI213="",$S213="BL",AND($C213="FRAME ONLY",OR($AC213="",$AC213="BLK")))</f>
        <v/>
      </c>
      <c r="CT213" s="84">
        <f>AND(NOT($CS213),OR($AT213="CUSTOM LOC",N($AW213)+N($AX213)+N($AY213)+N($AZ213)+N($BA213)&gt;0))</f>
        <v/>
      </c>
      <c r="CU213" s="84">
        <f>IF($BI213="","",IF($BI213&lt;=80,80,IF($BI213&lt;=84,84,96)))</f>
        <v/>
      </c>
      <c r="CV213" s="84">
        <f>ISNUMBER(MATCH($AT213&amp;"|80",LocKeys,0))</f>
        <v/>
      </c>
      <c r="CW213" s="86">
        <f>IF($CS213,"",IF($CV213,VLOOKUP($AT213&amp;"|"&amp;$CU213,LocTable,4,FALSE),5))</f>
        <v/>
      </c>
      <c r="CX213" s="86">
        <f>IF($CS213,"",IF($CV213,IF(OR($BI213=$CU213,AND($BI213&lt;$CU213,$BI213-IF(N(VLOOKUP($AT213&amp;"|"&amp;$CU213,LocTable,7,FALSE))&gt;0,VLOOKUP($AT213&amp;"|"&amp;$CU213,LocTable,7,FALSE),VLOOKUP($AT213&amp;"|"&amp;$CU213,LocTable,6,FALSE))-$CR213-0.75&gt;=2.125)),IF(N(VLOOKUP($AT213&amp;"|"&amp;$CU213,LocTable,7,FALSE))&gt;0,VLOOKUP($AT213&amp;"|"&amp;$CU213,LocTable,7,FALSE),VLOOKUP($AT213&amp;"|"&amp;$CU213,LocTable,6,FALSE)),$BI213-($CU213-IF(N(VLOOKUP($AT213&amp;"|"&amp;$CU213,LocTable,7,FALSE))&gt;0,VLOOKUP($AT213&amp;"|"&amp;$CU213,LocTable,7,FALSE),VLOOKUP($AT213&amp;"|"&amp;$CU213,LocTable,6,FALSE)))),$BI213-10-$CR213))</f>
        <v/>
      </c>
      <c r="CY213" s="85">
        <f>IF($CS213,"",TRIM(IF(ISNUMBER($BU213),"A "&amp;TRIM(TEXT($BU213,"# ?/??"))&amp;CHAR(34)&amp;"  ","")&amp;IF(ISNUMBER($BV213),"B "&amp;TRIM(TEXT($BV213,"# ?/??"))&amp;CHAR(34)&amp;"  ","")&amp;IF(ISNUMBER($BW213),"C "&amp;TRIM(TEXT($BW213,"# ?/??"))&amp;CHAR(34)&amp;"  ","")&amp;IF(ISNUMBER($BX213),"D "&amp;TRIM(TEXT($BX213,"# ?/??"))&amp;CHAR(34)&amp;"  ","")&amp;IF(ISNUMBER($BY213),"F "&amp;TRIM(TEXT($BY213,"# ?/??"))&amp;CHAR(34)&amp;"  ","")&amp;IF(ISNUMBER($BZ213),"E "&amp;TRIM(TEXT($BZ213,"# ?/??"))&amp;CHAR(34)&amp;"  ","")))</f>
        <v/>
      </c>
      <c r="CZ213" s="85">
        <f>IF(OR($CS213,N($BJ213)=0),"",TRIM(IF(ISNUMBER($BU213),"A "&amp;TRIM(TEXT($BU213-HeadClr,"# ?/??"))&amp;CHAR(34)&amp;"  ","")&amp;IF(ISNUMBER($BV213),"B "&amp;TRIM(TEXT($BV213-HeadClr,"# ?/??"))&amp;CHAR(34)&amp;"  ","")&amp;IF(ISNUMBER($BW213),"C "&amp;TRIM(TEXT($BW213-HeadClr,"# ?/??"))&amp;CHAR(34)&amp;"  ","")&amp;IF(ISNUMBER($BX213),"D "&amp;TRIM(TEXT($BX213-HeadClr,"# ?/??"))&amp;CHAR(34)&amp;"  ","")&amp;IF(ISNUMBER($BY213),"F "&amp;TRIM(TEXT($BY213-HeadClr,"# ?/??"))&amp;CHAR(34)&amp;"  ","")&amp;IF(ISNUMBER($BZ213),"E "&amp;TRIM(TEXT($BZ213-HeadClr,"# ?/??"))&amp;CHAR(34)&amp;"  ","")))</f>
        <v/>
      </c>
      <c r="DA213" s="84">
        <f>IF($A213="","",IF($AN213="",IFERROR(VLOOKUP($Z213,CODES,2,FALSE),""),IFERROR(VLOOKUP($AN213,CODES,2,FALSE),"")))</f>
        <v/>
      </c>
      <c r="DB213" s="84">
        <f>IF($A213="","",IF($O213="Y","PR",IF(OR($Z213="L",$Z213="RR",LEFT($Z213,2)="L-",LEFT($Z213,3)="RR-"),"LH","RH")))</f>
        <v/>
      </c>
      <c r="DC213" s="84">
        <f>IF($A213="","","S.HM"&amp;IF(OR($C213="DOOR ONLY",$X213&lt;&gt;"KD"),"MASONRY","DRYWALL")&amp;IF($C213="DOOR ONLY","",$U213)&amp;IF(AND($C213&lt;&gt;"FRAME ONLY",OR(LEFT($AH213,3)="OAK",LEFT($AH213,3)="BIR",LEFT($AH213,3)="MAP",$AH213="PC",$AH213="MC",$AH213="SCLC",$AH213="P-LAM")),"WD","HM")&amp;"1.75")</f>
        <v/>
      </c>
      <c r="DD213" s="84">
        <f>IF($CJ213="","",IF($O213="Y",$CJ213,SUBSTITUTE($CJ213,$BG213&amp;" "&amp;IFERROR(VLOOKUP($Z213,CODES,2,FALSE),"")&amp;" ",$BG213&amp;" ")))</f>
        <v/>
      </c>
      <c r="DE213" s="84">
        <f>IF($CK213="","",IF($O213="Y",$CK213,SUBSTITUTE($CK213,$BG213&amp;" "&amp;IF($AN213="",IFERROR(VLOOKUP($Z213,CODES,2,FALSE),""),IFERROR(VLOOKUP($AN213,CODES,2,FALSE),""))&amp;" ",$BG213&amp;" ")))</f>
        <v/>
      </c>
      <c r="DF213" s="84">
        <f>IF($CJ213="","",$DC213&amp;"|"&amp;$DD213&amp;"|"&amp;$DB213&amp;"|"&amp;$AT213&amp;"|"&amp;$V213&amp;"|"&amp;$Y213&amp;"|"&amp;$AB213)</f>
        <v/>
      </c>
      <c r="DG213" s="84">
        <f>IF(DF213="","",IF(COUNTIF($DF$6:DF213,DF213)=1,MAX($DG$5:DG212)+1,INDEX($DG$5:DG212,MATCH(DF213,$DF$5:DF212,0))))</f>
        <v/>
      </c>
      <c r="DH213" s="84">
        <f>IF($CK213="","",$DC213&amp;"|"&amp;$DE213&amp;"|"&amp;$AI213&amp;"|"&amp;$BK213&amp;"|"&amp;$BL213)</f>
        <v/>
      </c>
      <c r="DI213" s="84">
        <f>IF(DH213="","",IF(COUNTIF($DH$6:DH213,DH213)=1,MAX($DI$5:DI212)+1,INDEX($DI$5:DI212,MATCH(DH213,$DH$5:DH212,0))))</f>
        <v/>
      </c>
      <c r="DJ213" s="84">
        <f>IF($A213="","",IF($B213="","qty, ","")&amp;IF($C213="","scope, ","")&amp;IF(OR($K213="",$M213=""),"size, ","")&amp;IF(AND($A213&lt;&gt;"",$C213&lt;&gt;"DOOR ONLY"),IF($U213="","jamb depth, ","")&amp;IF($X213="","construction, ","")&amp;IF($Y213="","anchor, ","")&amp;IF($S213="","frame type, ",""),"")&amp;IF(AND(N($BJ213)&gt;0,$Z213=""),"hand, ","")&amp;IF(N($BJ213)&gt;0,IF($AH213="","door material, ","")&amp;IF($AL213="","face type, ","")&amp;IF($AP213="","lock prep, ","")&amp;IF(AND($AO213="",$AC213=""),"hinge prep, ",""),"")&amp;IF(AND($CH213&gt;0,$AH213="FRP"),"FRP cannot carry a label, ","")&amp;IF(AND($O213="Y",OR($Z213="L",$Z213="R",$Z213="LR",$Z213="RR")),"pair marked but hand is single, ","")&amp;IF(AND($O213&lt;&gt;"Y",OR($Z213="PR",AND(LEN($Z213)&gt;1,ISNUMBER(SEARCH("-",$Z213))))),"pair hand on a single door, ","")&amp;IF(AND(ISNUMBER($CI213),$CH213&lt;N($CI213)),"wall needs a "&amp;$CI213&amp;" min door, ","")&amp;IF(AND($CH213&gt;=180,AND(OR($CE213="FG",$CE213="HG",$CE213="FNV",$CE213="FV"),N($CF213)*N($CG213)&gt;100)),"180 min lite over 100 sq in, ","")&amp;IF(N($BK213)&gt;48,"leaf wider than 4'-0"&amp;CHAR(34)&amp;", ","")&amp;IF(AND($CT213,COUNT($AW213:$AZ213)=0,$CQ213&gt;0),"CUSTOM LOC with no locations typed, ",""))</f>
        <v/>
      </c>
      <c r="DK213" s="84">
        <f>IF($A213="","",IF(AND($CH213&gt;0,AND($A213&lt;&gt;"",$C213&lt;&gt;"DOOR ONLY"),$X213="KD",$E213="EXTERIOR"),"KD label on an exterior opening, ","")&amp;IF(AND($E213="EXTERIOR",OR(AND(AND($A213&lt;&gt;"",$C213&lt;&gt;"DOOR ONLY"),$W213="CR"),AND(N($BJ213)&gt;0,$AH213="CR"))),"exterior in CR steel (G9?), ","")&amp;IF(AND(ISNUMBER($BQ213),N($BQ213)&lt;32),"clear width ~"&amp;TEXT($BQ213,"0.0")&amp;CHAR(34)&amp;" under 32"&amp;CHAR(34)&amp;" (ADA), ","")&amp;IF(AND($CH213=90,AND(OR($CE213="FG",$CE213="HG",$CE213="FNV",$CE213="FV"),N($CF213)*N($CG213)&gt;100)),"90 min lite over 100 sq in (stair/exit), ","")&amp;IF(AND($CH213&gt;0,AND($A213&lt;&gt;"",$C213&lt;&gt;"DOOR ONLY"),OR($AF213="",$AF213="-")),"rated: closer reinf.?, ","")&amp;IF(OR($I213="CORRIDOR",$I213="SMOKE BARRIER"),"S label + smoke gasketing, ","")&amp;IF($CI213="?","wall type/hr not in IBC table, ","")&amp;IF(AND(N($BJ213)&gt;0,$BB213=""),"no hardware set, ","")&amp;IF(AND($BB213&lt;&gt;"",ISNA(MATCH($BB213&amp;"",HWSets,0))),"set "&amp;$BB213&amp;" not on HW Sets, ","")&amp;IF(N($BL213)&gt;96,"leaf over 8'-0"&amp;CHAR(34)&amp;" - check listing, ","")&amp;IF(AND($CT213,COUNT($AW213:$AZ213)&gt;0,COUNT($AW213:$AZ213)&lt;&gt;$CQ213),COUNT($AW213:$AZ213)&amp;" custom hinges typed, "&amp;$CQ213&amp;" expected, ","")&amp;IF(AND(ISNUMBER($CA213),OR(N($CA213)&lt;34,N($CA213)&gt;48)),"lock "&amp;TEXT($CA213,"0.0")&amp;CHAR(34)&amp;" AFF outside 34-48"&amp;CHAR(34)&amp;" (ADA), ","")&amp;IF(AND(ISNUMBER($AV213),ISNUMBER($BL213),N($AV213)&lt;IF(N($BL213)&lt;=60,2,IF(N($BL213)&lt;=90,3,IF(N($BL213)&lt;=120,4,5)))),"fewer hinges than standard, ",""))</f>
        <v/>
      </c>
    </row>
    <row r="214" ht="15" customHeight="1">
      <c r="A214" s="77" t="n"/>
      <c r="B214" s="78" t="n"/>
      <c r="C214" s="78" t="n"/>
      <c r="D214" s="78" t="n"/>
      <c r="E214" s="78" t="n"/>
      <c r="F214" s="78" t="n"/>
      <c r="G214" s="78" t="n"/>
      <c r="H214" s="78" t="n"/>
      <c r="I214" s="78" t="n"/>
      <c r="J214" s="78" t="n"/>
      <c r="K214" s="78" t="n"/>
      <c r="L214" s="78" t="n"/>
      <c r="M214" s="78" t="n"/>
      <c r="N214" s="78" t="n"/>
      <c r="O214" s="78" t="n"/>
      <c r="P214" s="78" t="n"/>
      <c r="Q214" s="78" t="n"/>
      <c r="R214" s="78" t="n"/>
      <c r="S214" s="79" t="n"/>
      <c r="T214" s="79" t="n"/>
      <c r="U214" s="79" t="n"/>
      <c r="V214" s="79" t="n"/>
      <c r="W214" s="79" t="n"/>
      <c r="X214" s="79" t="n"/>
      <c r="Y214" s="79" t="n"/>
      <c r="Z214" s="79" t="n"/>
      <c r="AA214" s="79" t="n"/>
      <c r="AB214" s="79" t="n"/>
      <c r="AC214" s="79" t="n"/>
      <c r="AD214" s="79" t="n"/>
      <c r="AE214" s="79" t="n"/>
      <c r="AF214" s="79" t="n"/>
      <c r="AG214" s="79" t="n"/>
      <c r="AH214" s="80" t="n"/>
      <c r="AI214" s="80" t="n"/>
      <c r="AJ214" s="80" t="n"/>
      <c r="AK214" s="80" t="n"/>
      <c r="AL214" s="80" t="n"/>
      <c r="AM214" s="80" t="n"/>
      <c r="AN214" s="80" t="n"/>
      <c r="AO214" s="80" t="n"/>
      <c r="AP214" s="80" t="n"/>
      <c r="AQ214" s="80" t="n"/>
      <c r="AR214" s="80" t="n"/>
      <c r="AS214" s="80" t="n"/>
      <c r="AT214" s="81" t="n"/>
      <c r="AU214" s="81" t="n"/>
      <c r="AV214" s="81" t="n"/>
      <c r="AW214" s="82" t="n"/>
      <c r="AX214" s="82" t="n"/>
      <c r="AY214" s="82" t="n"/>
      <c r="AZ214" s="82" t="n"/>
      <c r="BA214" s="82" t="n"/>
      <c r="BB214" s="83" t="n"/>
      <c r="BC214" s="83" t="n"/>
      <c r="BD214" s="84">
        <f>IF($A214="","",IF($DJ214&lt;&gt;"","FIX",IF($DK214&lt;&gt;"","CHECK","OK")))</f>
        <v/>
      </c>
      <c r="BE214" s="85">
        <f>IF($A214="","",IF($DJ214&lt;&gt;"","FIX: "&amp;LEFT($DJ214,LEN($DJ214)-2)&amp;IF($DK214&lt;&gt;"","  ·  ",""),"")&amp;IF($DK214&lt;&gt;"","CHECK: "&amp;LEFT($DK214,LEN($DK214)-2),""))</f>
        <v/>
      </c>
      <c r="BF214" s="84">
        <f>IF(OR($A214="",$K214=""),"",$K214&amp;"'-"&amp;N($L214)&amp;CHAR(34)&amp;" x "&amp;$M214&amp;"'-"&amp;N($N214)&amp;CHAR(34))</f>
        <v/>
      </c>
      <c r="BG214" s="84">
        <f>IF(OR($A214="",$K214=""),"",$K214&amp;N($L214)&amp;$M214&amp;N($N214))</f>
        <v/>
      </c>
      <c r="BH214" s="84">
        <f>IF(OR($A214="",$K214=""),"",$K214*12+N($L214))</f>
        <v/>
      </c>
      <c r="BI214" s="84">
        <f>IF(OR($A214="",$M214=""),"",$M214*12+N($N214))</f>
        <v/>
      </c>
      <c r="BJ214" s="84">
        <f>IF($A214="","",IF(OR($C214="FRAME ONLY",$S214="BL"),0,IF($O214="Y",2,1)))</f>
        <v/>
      </c>
      <c r="BK214" s="86">
        <f>IF(OR(N($BJ214)=0,$BH214=""),"",($BH214-2*EdgeClr-IF($BJ214=2,MeetClr,0))/$BJ214)</f>
        <v/>
      </c>
      <c r="BL214" s="86">
        <f>IF(OR(N($BJ214)=0,$BI214=""),"",$BI214-HeadClr-Undercut)</f>
        <v/>
      </c>
      <c r="BM214" s="86">
        <f>IF($BH214="","",$BH214+2*FaceW+IF(N($Q214)&gt;0,($Q214+FaceW)*IF($R214="LR",2,1),0))</f>
        <v/>
      </c>
      <c r="BN214" s="86">
        <f>IF($BI214="","",$BI214+IF($AB214="Y",4,FaceW)+IF(N($P214)&gt;0,$P214+FaceW,0)+IF(OR($S214="4F",$S214="BL"),FaceW,0))</f>
        <v/>
      </c>
      <c r="BO214" s="86">
        <f>IF($BM214="","",$BM214+2*ROSide)</f>
        <v/>
      </c>
      <c r="BP214" s="86">
        <f>IF($BN214="","",$BN214+ROTop)</f>
        <v/>
      </c>
      <c r="BQ214" s="87">
        <f>IF(OR(N($BJ214)=0,$BH214=""),"",$BH214/$BJ214-ClearDeduct)</f>
        <v/>
      </c>
      <c r="BR214" s="84">
        <f>IF(N($CH214)=0,"",IF($CH214&gt;=180,"A · 3 HR",IF($CH214&gt;=90,"B · 1-1/2 HR",IF($CH214&gt;=60,"B · 1 HR",IF($CH214&gt;=45,"C · 3/4 HR","20 MIN")))))&amp;IF(AND(N($CH214)&gt;0,OR($I214="CORRIDOR",$I214="SMOKE BARRIER"))," · S","")</f>
        <v/>
      </c>
      <c r="BS214" s="84">
        <f>IF($CS214,"",IF($AV214&lt;&gt;"",$AV214,IF(OR($AC214="HGC",$AO214="HGC"),"CONT",IF(($BI214-HeadClr-Undercut)&lt;=60,2,IF(($BI214-HeadClr-Undercut)&lt;=90,3,IF(($BI214-HeadClr-Undercut)&lt;=120,4,5))))))</f>
        <v/>
      </c>
      <c r="BT214" s="84">
        <f>IF($CS214,"",IF($CT214,"CUSTOM (typed)",IF($CV214,$AT214&amp;" "&amp;$CU214&amp;CHAR(34)&amp;IF($CU214&lt;&gt;$BI214,IF(AND($BI214&lt;$CU214,$BI214-IF(N(VLOOKUP($AT214&amp;"|"&amp;$CU214,LocTable,7,FALSE))&gt;0,VLOOKUP($AT214&amp;"|"&amp;$CU214,LocTable,7,FALSE),VLOOKUP($AT214&amp;"|"&amp;$CU214,LocTable,6,FALSE))-$CR214-0.75&gt;=2.125)," cut down"," adj."),""),"ANSI/SDI A250.6")))</f>
        <v/>
      </c>
      <c r="BU214" s="88">
        <f>IF($CS214,"",IF($CT214,IF(N($AW214)&gt;0,N($AW214),""),IF(1&gt;$CQ214,"",IF($CQ214=1,$CW214,$CW214+($CX214-$CW214)*0/($CQ214-1)))))</f>
        <v/>
      </c>
      <c r="BV214" s="88">
        <f>IF($CS214,"",IF($CT214,IF(N($AX214)&gt;0,N($AX214),""),IF(2&gt;$CQ214,"",IF($CQ214=1,$CW214,$CW214+($CX214-$CW214)*1/($CQ214-1)))))</f>
        <v/>
      </c>
      <c r="BW214" s="88">
        <f>IF($CS214,"",IF($CT214,IF(N($AY214)&gt;0,N($AY214),""),IF(3&gt;$CQ214,"",IF($CQ214=1,$CW214,$CW214+($CX214-$CW214)*2/($CQ214-1)))))</f>
        <v/>
      </c>
      <c r="BX214" s="88">
        <f>IF($CS214,"",IF($CT214,IF(N($AZ214)&gt;0,N($AZ214),""),IF(4&gt;$CQ214,"",IF($CQ214=1,$CW214,$CW214+($CX214-$CW214)*3/($CQ214-1)))))</f>
        <v/>
      </c>
      <c r="BY214" s="88">
        <f>IF($CS214,"",IF($CT214,"",IF(5&gt;$CQ214,"",IF($CQ214=1,$CW214,$CW214+($CX214-$CW214)*4/($CQ214-1)))))</f>
        <v/>
      </c>
      <c r="BZ214" s="88">
        <f>IF(OR($CS214,$AP214="-",AND($AP214="",$AD214="")),"",IF(N($BA214)&gt;0,N($BA214),IF($CV214,IF(AND($BI214&lt;$CU214,$BI214-IF(N(VLOOKUP($AT214&amp;"|"&amp;$CU214,LocTable,7,FALSE))&gt;0,VLOOKUP($AT214&amp;"|"&amp;$CU214,LocTable,7,FALSE),VLOOKUP($AT214&amp;"|"&amp;$CU214,LocTable,6,FALSE))-$CR214-0.75&gt;=2.125),VLOOKUP($AT214&amp;"|"&amp;$CU214,LocTable,8,FALSE),VLOOKUP($AT214&amp;"|"&amp;$CU214,LocTable,8,FALSE)+($BI214-$CU214)),$BI214-LockAFF)))</f>
        <v/>
      </c>
      <c r="CA214" s="89">
        <f>IF($BZ214="","",$BI214-$BZ214)</f>
        <v/>
      </c>
      <c r="CB214" s="84">
        <f>IF(OR(NOT(AND($A214&lt;&gt;"",$C214&lt;&gt;"DOOR ONLY")),$BI214=""),"",IF(($BI214+IF(N($P214)&gt;0,$P214+FaceW,0))&lt;=90,3,IF(($BI214+IF(N($P214)&gt;0,$P214+FaceW,0))&lt;=114,4,5)))</f>
        <v/>
      </c>
      <c r="CC214" s="84">
        <f>IF($CB214="","",$CB214*(2+IF(N($Q214)&gt;0,IF($R214="LR",2,1),0)))</f>
        <v/>
      </c>
      <c r="CD214" s="84">
        <f>IF($CB214="","",(2+IF(N($Q214)&gt;0,IF($R214="LR",2,1),0)))</f>
        <v/>
      </c>
      <c r="CE214" s="84">
        <f>IF(N($BJ214)=0,"",IF(OR($AL214="",$AL214="FLUSH"),"FLUSH",IFERROR(LEFT($AL214,FIND("-",$AL214)-1),LEFT($AL214,2))))</f>
        <v/>
      </c>
      <c r="CF214" s="84">
        <f>IF($CE214="","",IFERROR(VALUE(MID($AL214,FIND("-",$AL214)+1,FIND(CHAR(34)&amp;"x",$AL214)-FIND("-",$AL214)-1)),0))</f>
        <v/>
      </c>
      <c r="CG214" s="84">
        <f>IF($CE214="","",IFERROR(VALUE(MID($AL214,FIND(CHAR(34)&amp;"x",$AL214)+2,FIND(CHAR(34),$AL214,FIND(CHAR(34)&amp;"x",$AL214)+2)-FIND(CHAR(34)&amp;"x",$AL214)-2)),0))</f>
        <v/>
      </c>
      <c r="CH214" s="90">
        <f>IF(OR($A214="",$H214="",$H214="NO LAB"),0,IFERROR(VALUE(LEFT($H214,FIND(" ",$H214)-1)),0))</f>
        <v/>
      </c>
      <c r="CI214" s="91">
        <f>IF(OR($A214="",$I214="",$I214="NON-RATED",N($J214)=0),"",IFERROR(VLOOKUP($I214&amp;"|"&amp;$J214,IBC,2,FALSE),"?"))</f>
        <v/>
      </c>
      <c r="CJ214" s="85">
        <f>IF(NOT(AND($A214&lt;&gt;"",$C214&lt;&gt;"DOOR ONLY")),"",TRIM(IFERROR(VLOOKUP($U214,CODES,2,FALSE),"")&amp;" "&amp;$BG214&amp;" "&amp;IFERROR(VLOOKUP($Z214,CODES,2,FALSE),"")&amp;" "&amp;IFERROR(VLOOKUP($X214,CODES,2,FALSE),"")&amp;" "&amp;IFERROR(VLOOKUP($S214,CODES,2,FALSE),"")&amp;IF(N($P214)&gt;0," w/TRANSOM "&amp;$P214&amp;CHAR(34),"")&amp;IF(N($Q214)&gt;0," w/SIDELITE "&amp;$Q214&amp;CHAR(34)&amp;" "&amp;IF($R214="","R",$R214),"")&amp;IF($Y214="","  |  "," | "&amp;IFERROR(VLOOKUP($Y214,CODES,2,FALSE),"")&amp;" | ")&amp;IFERROR(VLOOKUP($AC214,CODES,2,FALSE),"")&amp;" "&amp;IFERROR(VLOOKUP($AD214,CODES,2,FALSE),"")&amp;IF(OR($AE214="",$AE214="-"),""," "&amp;$AE214)&amp;IF(OR($AF214="",$AF214="-"),""," "&amp;$AF214)&amp;IF($AB214="Y"," 4"&amp;CHAR(34)&amp;" HEAD","")&amp;" "&amp;IFERROR(VLOOKUP($H214,CODES,2,FALSE),"")&amp;IF($CT214," | LOC "&amp;$CY214,"")))</f>
        <v/>
      </c>
      <c r="CK214" s="85">
        <f>IF(NOT(AND($A214&lt;&gt;"",N($BJ214)&gt;0)),"",TRIM(IFERROR(VLOOKUP($AH214,CODES,2,FALSE),"")&amp;IF($AI214=""," "," "&amp;$AI214&amp;"GA ")&amp;$BG214&amp;" "&amp;IF($AN214="",IFERROR(VLOOKUP($Z214,CODES,2,FALSE),""),IFERROR(VLOOKUP($AN214,CODES,2,FALSE),""))&amp;IF($BJ214=2," PAIR","")&amp;" DOOR | "&amp;IF($AL214="","?",$AL214)&amp;" | "&amp;IF($AO214="",IFERROR(VLOOKUP($AC214,CODES,2,FALSE),""),IFERROR(VLOOKUP($AO214,CODES,2,FALSE),""))&amp;" "&amp;IFERROR(VLOOKUP($AP214,CODES,2,FALSE),"")&amp;IF(OR($AQ214="",$AQ214="-"),""," SEAM "&amp;$AQ214)&amp;IF($AR214="Y"," ASTRAGAL","")&amp;IF($AJ214=""," "," "&amp;$AJ214)&amp;IF($AK214=""," "," "&amp;$AK214)&amp;IF(OR($AT214="",$AT214="ANSI/SDI",$AT214="CUSTOM LOC"),""," "&amp;$AT214)&amp;IF($AM214=""," "," SERIES "&amp;$AM214)&amp;" "&amp;IFERROR(VLOOKUP($H214,CODES,2,FALSE),"")&amp;IF($CT214," | LOC "&amp;$CZ214,"")))</f>
        <v/>
      </c>
      <c r="CL214" s="84">
        <f>IF(CP214="","",IF(COUNTIF($CP$6:CP214,CP214)=1,MAX($CL$5:CL213)+1,INDEX($CL$5:CL213,MATCH(CP214,$CP$5:CP213,0))))</f>
        <v/>
      </c>
      <c r="CM214" s="84">
        <f>IF(NOT(AND($A214&lt;&gt;"",$C214&lt;&gt;"DOOR ONLY")),"",MAX($CM$5:CM213)+1)</f>
        <v/>
      </c>
      <c r="CN214" s="84">
        <f>IF(NOT(AND($A214&lt;&gt;"",N($BJ214)&gt;0)),"",MAX($CN$5:CN213)+1)</f>
        <v/>
      </c>
      <c r="CO214" s="84">
        <f>IF($A214="","",MAX($CO$5:CO213)+1)</f>
        <v/>
      </c>
      <c r="CP214" s="84">
        <f>IF(OR($A214="",$BH214="",$BI214=""),"",$BG214&amp;"|"&amp;$O214&amp;"|"&amp;$AL214&amp;"|"&amp;$S214&amp;"|"&amp;$P214&amp;"|"&amp;$Q214&amp;$R214&amp;"|"&amp;$C214&amp;"|"&amp;$AB214)</f>
        <v/>
      </c>
      <c r="CQ214" s="84">
        <f>N($BS214)</f>
        <v/>
      </c>
      <c r="CR214" s="84">
        <f>IF(N($AU214)&gt;0,N($AU214),4.5)</f>
        <v/>
      </c>
      <c r="CS214" s="84">
        <f>OR($A214="",$BI214="",$S214="BL",AND($C214="FRAME ONLY",OR($AC214="",$AC214="BLK")))</f>
        <v/>
      </c>
      <c r="CT214" s="84">
        <f>AND(NOT($CS214),OR($AT214="CUSTOM LOC",N($AW214)+N($AX214)+N($AY214)+N($AZ214)+N($BA214)&gt;0))</f>
        <v/>
      </c>
      <c r="CU214" s="84">
        <f>IF($BI214="","",IF($BI214&lt;=80,80,IF($BI214&lt;=84,84,96)))</f>
        <v/>
      </c>
      <c r="CV214" s="84">
        <f>ISNUMBER(MATCH($AT214&amp;"|80",LocKeys,0))</f>
        <v/>
      </c>
      <c r="CW214" s="86">
        <f>IF($CS214,"",IF($CV214,VLOOKUP($AT214&amp;"|"&amp;$CU214,LocTable,4,FALSE),5))</f>
        <v/>
      </c>
      <c r="CX214" s="86">
        <f>IF($CS214,"",IF($CV214,IF(OR($BI214=$CU214,AND($BI214&lt;$CU214,$BI214-IF(N(VLOOKUP($AT214&amp;"|"&amp;$CU214,LocTable,7,FALSE))&gt;0,VLOOKUP($AT214&amp;"|"&amp;$CU214,LocTable,7,FALSE),VLOOKUP($AT214&amp;"|"&amp;$CU214,LocTable,6,FALSE))-$CR214-0.75&gt;=2.125)),IF(N(VLOOKUP($AT214&amp;"|"&amp;$CU214,LocTable,7,FALSE))&gt;0,VLOOKUP($AT214&amp;"|"&amp;$CU214,LocTable,7,FALSE),VLOOKUP($AT214&amp;"|"&amp;$CU214,LocTable,6,FALSE)),$BI214-($CU214-IF(N(VLOOKUP($AT214&amp;"|"&amp;$CU214,LocTable,7,FALSE))&gt;0,VLOOKUP($AT214&amp;"|"&amp;$CU214,LocTable,7,FALSE),VLOOKUP($AT214&amp;"|"&amp;$CU214,LocTable,6,FALSE)))),$BI214-10-$CR214))</f>
        <v/>
      </c>
      <c r="CY214" s="85">
        <f>IF($CS214,"",TRIM(IF(ISNUMBER($BU214),"A "&amp;TRIM(TEXT($BU214,"# ?/??"))&amp;CHAR(34)&amp;"  ","")&amp;IF(ISNUMBER($BV214),"B "&amp;TRIM(TEXT($BV214,"# ?/??"))&amp;CHAR(34)&amp;"  ","")&amp;IF(ISNUMBER($BW214),"C "&amp;TRIM(TEXT($BW214,"# ?/??"))&amp;CHAR(34)&amp;"  ","")&amp;IF(ISNUMBER($BX214),"D "&amp;TRIM(TEXT($BX214,"# ?/??"))&amp;CHAR(34)&amp;"  ","")&amp;IF(ISNUMBER($BY214),"F "&amp;TRIM(TEXT($BY214,"# ?/??"))&amp;CHAR(34)&amp;"  ","")&amp;IF(ISNUMBER($BZ214),"E "&amp;TRIM(TEXT($BZ214,"# ?/??"))&amp;CHAR(34)&amp;"  ","")))</f>
        <v/>
      </c>
      <c r="CZ214" s="85">
        <f>IF(OR($CS214,N($BJ214)=0),"",TRIM(IF(ISNUMBER($BU214),"A "&amp;TRIM(TEXT($BU214-HeadClr,"# ?/??"))&amp;CHAR(34)&amp;"  ","")&amp;IF(ISNUMBER($BV214),"B "&amp;TRIM(TEXT($BV214-HeadClr,"# ?/??"))&amp;CHAR(34)&amp;"  ","")&amp;IF(ISNUMBER($BW214),"C "&amp;TRIM(TEXT($BW214-HeadClr,"# ?/??"))&amp;CHAR(34)&amp;"  ","")&amp;IF(ISNUMBER($BX214),"D "&amp;TRIM(TEXT($BX214-HeadClr,"# ?/??"))&amp;CHAR(34)&amp;"  ","")&amp;IF(ISNUMBER($BY214),"F "&amp;TRIM(TEXT($BY214-HeadClr,"# ?/??"))&amp;CHAR(34)&amp;"  ","")&amp;IF(ISNUMBER($BZ214),"E "&amp;TRIM(TEXT($BZ214-HeadClr,"# ?/??"))&amp;CHAR(34)&amp;"  ","")))</f>
        <v/>
      </c>
      <c r="DA214" s="84">
        <f>IF($A214="","",IF($AN214="",IFERROR(VLOOKUP($Z214,CODES,2,FALSE),""),IFERROR(VLOOKUP($AN214,CODES,2,FALSE),"")))</f>
        <v/>
      </c>
      <c r="DB214" s="84">
        <f>IF($A214="","",IF($O214="Y","PR",IF(OR($Z214="L",$Z214="RR",LEFT($Z214,2)="L-",LEFT($Z214,3)="RR-"),"LH","RH")))</f>
        <v/>
      </c>
      <c r="DC214" s="84">
        <f>IF($A214="","","S.HM"&amp;IF(OR($C214="DOOR ONLY",$X214&lt;&gt;"KD"),"MASONRY","DRYWALL")&amp;IF($C214="DOOR ONLY","",$U214)&amp;IF(AND($C214&lt;&gt;"FRAME ONLY",OR(LEFT($AH214,3)="OAK",LEFT($AH214,3)="BIR",LEFT($AH214,3)="MAP",$AH214="PC",$AH214="MC",$AH214="SCLC",$AH214="P-LAM")),"WD","HM")&amp;"1.75")</f>
        <v/>
      </c>
      <c r="DD214" s="84">
        <f>IF($CJ214="","",IF($O214="Y",$CJ214,SUBSTITUTE($CJ214,$BG214&amp;" "&amp;IFERROR(VLOOKUP($Z214,CODES,2,FALSE),"")&amp;" ",$BG214&amp;" ")))</f>
        <v/>
      </c>
      <c r="DE214" s="84">
        <f>IF($CK214="","",IF($O214="Y",$CK214,SUBSTITUTE($CK214,$BG214&amp;" "&amp;IF($AN214="",IFERROR(VLOOKUP($Z214,CODES,2,FALSE),""),IFERROR(VLOOKUP($AN214,CODES,2,FALSE),""))&amp;" ",$BG214&amp;" ")))</f>
        <v/>
      </c>
      <c r="DF214" s="84">
        <f>IF($CJ214="","",$DC214&amp;"|"&amp;$DD214&amp;"|"&amp;$DB214&amp;"|"&amp;$AT214&amp;"|"&amp;$V214&amp;"|"&amp;$Y214&amp;"|"&amp;$AB214)</f>
        <v/>
      </c>
      <c r="DG214" s="84">
        <f>IF(DF214="","",IF(COUNTIF($DF$6:DF214,DF214)=1,MAX($DG$5:DG213)+1,INDEX($DG$5:DG213,MATCH(DF214,$DF$5:DF213,0))))</f>
        <v/>
      </c>
      <c r="DH214" s="84">
        <f>IF($CK214="","",$DC214&amp;"|"&amp;$DE214&amp;"|"&amp;$AI214&amp;"|"&amp;$BK214&amp;"|"&amp;$BL214)</f>
        <v/>
      </c>
      <c r="DI214" s="84">
        <f>IF(DH214="","",IF(COUNTIF($DH$6:DH214,DH214)=1,MAX($DI$5:DI213)+1,INDEX($DI$5:DI213,MATCH(DH214,$DH$5:DH213,0))))</f>
        <v/>
      </c>
      <c r="DJ214" s="84">
        <f>IF($A214="","",IF($B214="","qty, ","")&amp;IF($C214="","scope, ","")&amp;IF(OR($K214="",$M214=""),"size, ","")&amp;IF(AND($A214&lt;&gt;"",$C214&lt;&gt;"DOOR ONLY"),IF($U214="","jamb depth, ","")&amp;IF($X214="","construction, ","")&amp;IF($Y214="","anchor, ","")&amp;IF($S214="","frame type, ",""),"")&amp;IF(AND(N($BJ214)&gt;0,$Z214=""),"hand, ","")&amp;IF(N($BJ214)&gt;0,IF($AH214="","door material, ","")&amp;IF($AL214="","face type, ","")&amp;IF($AP214="","lock prep, ","")&amp;IF(AND($AO214="",$AC214=""),"hinge prep, ",""),"")&amp;IF(AND($CH214&gt;0,$AH214="FRP"),"FRP cannot carry a label, ","")&amp;IF(AND($O214="Y",OR($Z214="L",$Z214="R",$Z214="LR",$Z214="RR")),"pair marked but hand is single, ","")&amp;IF(AND($O214&lt;&gt;"Y",OR($Z214="PR",AND(LEN($Z214)&gt;1,ISNUMBER(SEARCH("-",$Z214))))),"pair hand on a single door, ","")&amp;IF(AND(ISNUMBER($CI214),$CH214&lt;N($CI214)),"wall needs a "&amp;$CI214&amp;" min door, ","")&amp;IF(AND($CH214&gt;=180,AND(OR($CE214="FG",$CE214="HG",$CE214="FNV",$CE214="FV"),N($CF214)*N($CG214)&gt;100)),"180 min lite over 100 sq in, ","")&amp;IF(N($BK214)&gt;48,"leaf wider than 4'-0"&amp;CHAR(34)&amp;", ","")&amp;IF(AND($CT214,COUNT($AW214:$AZ214)=0,$CQ214&gt;0),"CUSTOM LOC with no locations typed, ",""))</f>
        <v/>
      </c>
      <c r="DK214" s="84">
        <f>IF($A214="","",IF(AND($CH214&gt;0,AND($A214&lt;&gt;"",$C214&lt;&gt;"DOOR ONLY"),$X214="KD",$E214="EXTERIOR"),"KD label on an exterior opening, ","")&amp;IF(AND($E214="EXTERIOR",OR(AND(AND($A214&lt;&gt;"",$C214&lt;&gt;"DOOR ONLY"),$W214="CR"),AND(N($BJ214)&gt;0,$AH214="CR"))),"exterior in CR steel (G9?), ","")&amp;IF(AND(ISNUMBER($BQ214),N($BQ214)&lt;32),"clear width ~"&amp;TEXT($BQ214,"0.0")&amp;CHAR(34)&amp;" under 32"&amp;CHAR(34)&amp;" (ADA), ","")&amp;IF(AND($CH214=90,AND(OR($CE214="FG",$CE214="HG",$CE214="FNV",$CE214="FV"),N($CF214)*N($CG214)&gt;100)),"90 min lite over 100 sq in (stair/exit), ","")&amp;IF(AND($CH214&gt;0,AND($A214&lt;&gt;"",$C214&lt;&gt;"DOOR ONLY"),OR($AF214="",$AF214="-")),"rated: closer reinf.?, ","")&amp;IF(OR($I214="CORRIDOR",$I214="SMOKE BARRIER"),"S label + smoke gasketing, ","")&amp;IF($CI214="?","wall type/hr not in IBC table, ","")&amp;IF(AND(N($BJ214)&gt;0,$BB214=""),"no hardware set, ","")&amp;IF(AND($BB214&lt;&gt;"",ISNA(MATCH($BB214&amp;"",HWSets,0))),"set "&amp;$BB214&amp;" not on HW Sets, ","")&amp;IF(N($BL214)&gt;96,"leaf over 8'-0"&amp;CHAR(34)&amp;" - check listing, ","")&amp;IF(AND($CT214,COUNT($AW214:$AZ214)&gt;0,COUNT($AW214:$AZ214)&lt;&gt;$CQ214),COUNT($AW214:$AZ214)&amp;" custom hinges typed, "&amp;$CQ214&amp;" expected, ","")&amp;IF(AND(ISNUMBER($CA214),OR(N($CA214)&lt;34,N($CA214)&gt;48)),"lock "&amp;TEXT($CA214,"0.0")&amp;CHAR(34)&amp;" AFF outside 34-48"&amp;CHAR(34)&amp;" (ADA), ","")&amp;IF(AND(ISNUMBER($AV214),ISNUMBER($BL214),N($AV214)&lt;IF(N($BL214)&lt;=60,2,IF(N($BL214)&lt;=90,3,IF(N($BL214)&lt;=120,4,5)))),"fewer hinges than standard, ",""))</f>
        <v/>
      </c>
    </row>
    <row r="215" ht="15" customHeight="1">
      <c r="A215" s="92" t="n"/>
      <c r="B215" s="93" t="n"/>
      <c r="C215" s="93" t="n"/>
      <c r="D215" s="93" t="n"/>
      <c r="E215" s="93" t="n"/>
      <c r="F215" s="93" t="n"/>
      <c r="G215" s="93" t="n"/>
      <c r="H215" s="93" t="n"/>
      <c r="I215" s="93" t="n"/>
      <c r="J215" s="93" t="n"/>
      <c r="K215" s="93" t="n"/>
      <c r="L215" s="93" t="n"/>
      <c r="M215" s="93" t="n"/>
      <c r="N215" s="93" t="n"/>
      <c r="O215" s="93" t="n"/>
      <c r="P215" s="93" t="n"/>
      <c r="Q215" s="93" t="n"/>
      <c r="R215" s="93" t="n"/>
      <c r="S215" s="94" t="n"/>
      <c r="T215" s="94" t="n"/>
      <c r="U215" s="94" t="n"/>
      <c r="V215" s="94" t="n"/>
      <c r="W215" s="94" t="n"/>
      <c r="X215" s="94" t="n"/>
      <c r="Y215" s="94" t="n"/>
      <c r="Z215" s="94" t="n"/>
      <c r="AA215" s="94" t="n"/>
      <c r="AB215" s="94" t="n"/>
      <c r="AC215" s="94" t="n"/>
      <c r="AD215" s="94" t="n"/>
      <c r="AE215" s="94" t="n"/>
      <c r="AF215" s="94" t="n"/>
      <c r="AG215" s="94" t="n"/>
      <c r="AH215" s="95" t="n"/>
      <c r="AI215" s="95" t="n"/>
      <c r="AJ215" s="95" t="n"/>
      <c r="AK215" s="95" t="n"/>
      <c r="AL215" s="95" t="n"/>
      <c r="AM215" s="95" t="n"/>
      <c r="AN215" s="95" t="n"/>
      <c r="AO215" s="95" t="n"/>
      <c r="AP215" s="95" t="n"/>
      <c r="AQ215" s="95" t="n"/>
      <c r="AR215" s="95" t="n"/>
      <c r="AS215" s="95" t="n"/>
      <c r="AT215" s="96" t="n"/>
      <c r="AU215" s="96" t="n"/>
      <c r="AV215" s="96" t="n"/>
      <c r="AW215" s="97" t="n"/>
      <c r="AX215" s="97" t="n"/>
      <c r="AY215" s="97" t="n"/>
      <c r="AZ215" s="97" t="n"/>
      <c r="BA215" s="97" t="n"/>
      <c r="BB215" s="98" t="n"/>
      <c r="BC215" s="98" t="n"/>
      <c r="BD215" s="99">
        <f>IF($A215="","",IF($DJ215&lt;&gt;"","FIX",IF($DK215&lt;&gt;"","CHECK","OK")))</f>
        <v/>
      </c>
      <c r="BE215" s="100">
        <f>IF($A215="","",IF($DJ215&lt;&gt;"","FIX: "&amp;LEFT($DJ215,LEN($DJ215)-2)&amp;IF($DK215&lt;&gt;"","  ·  ",""),"")&amp;IF($DK215&lt;&gt;"","CHECK: "&amp;LEFT($DK215,LEN($DK215)-2),""))</f>
        <v/>
      </c>
      <c r="BF215" s="99">
        <f>IF(OR($A215="",$K215=""),"",$K215&amp;"'-"&amp;N($L215)&amp;CHAR(34)&amp;" x "&amp;$M215&amp;"'-"&amp;N($N215)&amp;CHAR(34))</f>
        <v/>
      </c>
      <c r="BG215" s="99">
        <f>IF(OR($A215="",$K215=""),"",$K215&amp;N($L215)&amp;$M215&amp;N($N215))</f>
        <v/>
      </c>
      <c r="BH215" s="99">
        <f>IF(OR($A215="",$K215=""),"",$K215*12+N($L215))</f>
        <v/>
      </c>
      <c r="BI215" s="99">
        <f>IF(OR($A215="",$M215=""),"",$M215*12+N($N215))</f>
        <v/>
      </c>
      <c r="BJ215" s="99">
        <f>IF($A215="","",IF(OR($C215="FRAME ONLY",$S215="BL"),0,IF($O215="Y",2,1)))</f>
        <v/>
      </c>
      <c r="BK215" s="101">
        <f>IF(OR(N($BJ215)=0,$BH215=""),"",($BH215-2*EdgeClr-IF($BJ215=2,MeetClr,0))/$BJ215)</f>
        <v/>
      </c>
      <c r="BL215" s="101">
        <f>IF(OR(N($BJ215)=0,$BI215=""),"",$BI215-HeadClr-Undercut)</f>
        <v/>
      </c>
      <c r="BM215" s="101">
        <f>IF($BH215="","",$BH215+2*FaceW+IF(N($Q215)&gt;0,($Q215+FaceW)*IF($R215="LR",2,1),0))</f>
        <v/>
      </c>
      <c r="BN215" s="101">
        <f>IF($BI215="","",$BI215+IF($AB215="Y",4,FaceW)+IF(N($P215)&gt;0,$P215+FaceW,0)+IF(OR($S215="4F",$S215="BL"),FaceW,0))</f>
        <v/>
      </c>
      <c r="BO215" s="101">
        <f>IF($BM215="","",$BM215+2*ROSide)</f>
        <v/>
      </c>
      <c r="BP215" s="101">
        <f>IF($BN215="","",$BN215+ROTop)</f>
        <v/>
      </c>
      <c r="BQ215" s="102">
        <f>IF(OR(N($BJ215)=0,$BH215=""),"",$BH215/$BJ215-ClearDeduct)</f>
        <v/>
      </c>
      <c r="BR215" s="99">
        <f>IF(N($CH215)=0,"",IF($CH215&gt;=180,"A · 3 HR",IF($CH215&gt;=90,"B · 1-1/2 HR",IF($CH215&gt;=60,"B · 1 HR",IF($CH215&gt;=45,"C · 3/4 HR","20 MIN")))))&amp;IF(AND(N($CH215)&gt;0,OR($I215="CORRIDOR",$I215="SMOKE BARRIER"))," · S","")</f>
        <v/>
      </c>
      <c r="BS215" s="99">
        <f>IF($CS215,"",IF($AV215&lt;&gt;"",$AV215,IF(OR($AC215="HGC",$AO215="HGC"),"CONT",IF(($BI215-HeadClr-Undercut)&lt;=60,2,IF(($BI215-HeadClr-Undercut)&lt;=90,3,IF(($BI215-HeadClr-Undercut)&lt;=120,4,5))))))</f>
        <v/>
      </c>
      <c r="BT215" s="99">
        <f>IF($CS215,"",IF($CT215,"CUSTOM (typed)",IF($CV215,$AT215&amp;" "&amp;$CU215&amp;CHAR(34)&amp;IF($CU215&lt;&gt;$BI215,IF(AND($BI215&lt;$CU215,$BI215-IF(N(VLOOKUP($AT215&amp;"|"&amp;$CU215,LocTable,7,FALSE))&gt;0,VLOOKUP($AT215&amp;"|"&amp;$CU215,LocTable,7,FALSE),VLOOKUP($AT215&amp;"|"&amp;$CU215,LocTable,6,FALSE))-$CR215-0.75&gt;=2.125)," cut down"," adj."),""),"ANSI/SDI A250.6")))</f>
        <v/>
      </c>
      <c r="BU215" s="103">
        <f>IF($CS215,"",IF($CT215,IF(N($AW215)&gt;0,N($AW215),""),IF(1&gt;$CQ215,"",IF($CQ215=1,$CW215,$CW215+($CX215-$CW215)*0/($CQ215-1)))))</f>
        <v/>
      </c>
      <c r="BV215" s="103">
        <f>IF($CS215,"",IF($CT215,IF(N($AX215)&gt;0,N($AX215),""),IF(2&gt;$CQ215,"",IF($CQ215=1,$CW215,$CW215+($CX215-$CW215)*1/($CQ215-1)))))</f>
        <v/>
      </c>
      <c r="BW215" s="103">
        <f>IF($CS215,"",IF($CT215,IF(N($AY215)&gt;0,N($AY215),""),IF(3&gt;$CQ215,"",IF($CQ215=1,$CW215,$CW215+($CX215-$CW215)*2/($CQ215-1)))))</f>
        <v/>
      </c>
      <c r="BX215" s="103">
        <f>IF($CS215,"",IF($CT215,IF(N($AZ215)&gt;0,N($AZ215),""),IF(4&gt;$CQ215,"",IF($CQ215=1,$CW215,$CW215+($CX215-$CW215)*3/($CQ215-1)))))</f>
        <v/>
      </c>
      <c r="BY215" s="103">
        <f>IF($CS215,"",IF($CT215,"",IF(5&gt;$CQ215,"",IF($CQ215=1,$CW215,$CW215+($CX215-$CW215)*4/($CQ215-1)))))</f>
        <v/>
      </c>
      <c r="BZ215" s="103">
        <f>IF(OR($CS215,$AP215="-",AND($AP215="",$AD215="")),"",IF(N($BA215)&gt;0,N($BA215),IF($CV215,IF(AND($BI215&lt;$CU215,$BI215-IF(N(VLOOKUP($AT215&amp;"|"&amp;$CU215,LocTable,7,FALSE))&gt;0,VLOOKUP($AT215&amp;"|"&amp;$CU215,LocTable,7,FALSE),VLOOKUP($AT215&amp;"|"&amp;$CU215,LocTable,6,FALSE))-$CR215-0.75&gt;=2.125),VLOOKUP($AT215&amp;"|"&amp;$CU215,LocTable,8,FALSE),VLOOKUP($AT215&amp;"|"&amp;$CU215,LocTable,8,FALSE)+($BI215-$CU215)),$BI215-LockAFF)))</f>
        <v/>
      </c>
      <c r="CA215" s="104">
        <f>IF($BZ215="","",$BI215-$BZ215)</f>
        <v/>
      </c>
      <c r="CB215" s="99">
        <f>IF(OR(NOT(AND($A215&lt;&gt;"",$C215&lt;&gt;"DOOR ONLY")),$BI215=""),"",IF(($BI215+IF(N($P215)&gt;0,$P215+FaceW,0))&lt;=90,3,IF(($BI215+IF(N($P215)&gt;0,$P215+FaceW,0))&lt;=114,4,5)))</f>
        <v/>
      </c>
      <c r="CC215" s="99">
        <f>IF($CB215="","",$CB215*(2+IF(N($Q215)&gt;0,IF($R215="LR",2,1),0)))</f>
        <v/>
      </c>
      <c r="CD215" s="99">
        <f>IF($CB215="","",(2+IF(N($Q215)&gt;0,IF($R215="LR",2,1),0)))</f>
        <v/>
      </c>
      <c r="CE215" s="99">
        <f>IF(N($BJ215)=0,"",IF(OR($AL215="",$AL215="FLUSH"),"FLUSH",IFERROR(LEFT($AL215,FIND("-",$AL215)-1),LEFT($AL215,2))))</f>
        <v/>
      </c>
      <c r="CF215" s="99">
        <f>IF($CE215="","",IFERROR(VALUE(MID($AL215,FIND("-",$AL215)+1,FIND(CHAR(34)&amp;"x",$AL215)-FIND("-",$AL215)-1)),0))</f>
        <v/>
      </c>
      <c r="CG215" s="99">
        <f>IF($CE215="","",IFERROR(VALUE(MID($AL215,FIND(CHAR(34)&amp;"x",$AL215)+2,FIND(CHAR(34),$AL215,FIND(CHAR(34)&amp;"x",$AL215)+2)-FIND(CHAR(34)&amp;"x",$AL215)-2)),0))</f>
        <v/>
      </c>
      <c r="CH215" s="105">
        <f>IF(OR($A215="",$H215="",$H215="NO LAB"),0,IFERROR(VALUE(LEFT($H215,FIND(" ",$H215)-1)),0))</f>
        <v/>
      </c>
      <c r="CI215" s="106">
        <f>IF(OR($A215="",$I215="",$I215="NON-RATED",N($J215)=0),"",IFERROR(VLOOKUP($I215&amp;"|"&amp;$J215,IBC,2,FALSE),"?"))</f>
        <v/>
      </c>
      <c r="CJ215" s="100">
        <f>IF(NOT(AND($A215&lt;&gt;"",$C215&lt;&gt;"DOOR ONLY")),"",TRIM(IFERROR(VLOOKUP($U215,CODES,2,FALSE),"")&amp;" "&amp;$BG215&amp;" "&amp;IFERROR(VLOOKUP($Z215,CODES,2,FALSE),"")&amp;" "&amp;IFERROR(VLOOKUP($X215,CODES,2,FALSE),"")&amp;" "&amp;IFERROR(VLOOKUP($S215,CODES,2,FALSE),"")&amp;IF(N($P215)&gt;0," w/TRANSOM "&amp;$P215&amp;CHAR(34),"")&amp;IF(N($Q215)&gt;0," w/SIDELITE "&amp;$Q215&amp;CHAR(34)&amp;" "&amp;IF($R215="","R",$R215),"")&amp;IF($Y215="","  |  "," | "&amp;IFERROR(VLOOKUP($Y215,CODES,2,FALSE),"")&amp;" | ")&amp;IFERROR(VLOOKUP($AC215,CODES,2,FALSE),"")&amp;" "&amp;IFERROR(VLOOKUP($AD215,CODES,2,FALSE),"")&amp;IF(OR($AE215="",$AE215="-"),""," "&amp;$AE215)&amp;IF(OR($AF215="",$AF215="-"),""," "&amp;$AF215)&amp;IF($AB215="Y"," 4"&amp;CHAR(34)&amp;" HEAD","")&amp;" "&amp;IFERROR(VLOOKUP($H215,CODES,2,FALSE),"")&amp;IF($CT215," | LOC "&amp;$CY215,"")))</f>
        <v/>
      </c>
      <c r="CK215" s="100">
        <f>IF(NOT(AND($A215&lt;&gt;"",N($BJ215)&gt;0)),"",TRIM(IFERROR(VLOOKUP($AH215,CODES,2,FALSE),"")&amp;IF($AI215=""," "," "&amp;$AI215&amp;"GA ")&amp;$BG215&amp;" "&amp;IF($AN215="",IFERROR(VLOOKUP($Z215,CODES,2,FALSE),""),IFERROR(VLOOKUP($AN215,CODES,2,FALSE),""))&amp;IF($BJ215=2," PAIR","")&amp;" DOOR | "&amp;IF($AL215="","?",$AL215)&amp;" | "&amp;IF($AO215="",IFERROR(VLOOKUP($AC215,CODES,2,FALSE),""),IFERROR(VLOOKUP($AO215,CODES,2,FALSE),""))&amp;" "&amp;IFERROR(VLOOKUP($AP215,CODES,2,FALSE),"")&amp;IF(OR($AQ215="",$AQ215="-"),""," SEAM "&amp;$AQ215)&amp;IF($AR215="Y"," ASTRAGAL","")&amp;IF($AJ215=""," "," "&amp;$AJ215)&amp;IF($AK215=""," "," "&amp;$AK215)&amp;IF(OR($AT215="",$AT215="ANSI/SDI",$AT215="CUSTOM LOC"),""," "&amp;$AT215)&amp;IF($AM215=""," "," SERIES "&amp;$AM215)&amp;" "&amp;IFERROR(VLOOKUP($H215,CODES,2,FALSE),"")&amp;IF($CT215," | LOC "&amp;$CZ215,"")))</f>
        <v/>
      </c>
      <c r="CL215" s="99">
        <f>IF(CP215="","",IF(COUNTIF($CP$6:CP215,CP215)=1,MAX($CL$5:CL214)+1,INDEX($CL$5:CL214,MATCH(CP215,$CP$5:CP214,0))))</f>
        <v/>
      </c>
      <c r="CM215" s="99">
        <f>IF(NOT(AND($A215&lt;&gt;"",$C215&lt;&gt;"DOOR ONLY")),"",MAX($CM$5:CM214)+1)</f>
        <v/>
      </c>
      <c r="CN215" s="99">
        <f>IF(NOT(AND($A215&lt;&gt;"",N($BJ215)&gt;0)),"",MAX($CN$5:CN214)+1)</f>
        <v/>
      </c>
      <c r="CO215" s="99">
        <f>IF($A215="","",MAX($CO$5:CO214)+1)</f>
        <v/>
      </c>
      <c r="CP215" s="99">
        <f>IF(OR($A215="",$BH215="",$BI215=""),"",$BG215&amp;"|"&amp;$O215&amp;"|"&amp;$AL215&amp;"|"&amp;$S215&amp;"|"&amp;$P215&amp;"|"&amp;$Q215&amp;$R215&amp;"|"&amp;$C215&amp;"|"&amp;$AB215)</f>
        <v/>
      </c>
      <c r="CQ215" s="99">
        <f>N($BS215)</f>
        <v/>
      </c>
      <c r="CR215" s="99">
        <f>IF(N($AU215)&gt;0,N($AU215),4.5)</f>
        <v/>
      </c>
      <c r="CS215" s="99">
        <f>OR($A215="",$BI215="",$S215="BL",AND($C215="FRAME ONLY",OR($AC215="",$AC215="BLK")))</f>
        <v/>
      </c>
      <c r="CT215" s="99">
        <f>AND(NOT($CS215),OR($AT215="CUSTOM LOC",N($AW215)+N($AX215)+N($AY215)+N($AZ215)+N($BA215)&gt;0))</f>
        <v/>
      </c>
      <c r="CU215" s="99">
        <f>IF($BI215="","",IF($BI215&lt;=80,80,IF($BI215&lt;=84,84,96)))</f>
        <v/>
      </c>
      <c r="CV215" s="99">
        <f>ISNUMBER(MATCH($AT215&amp;"|80",LocKeys,0))</f>
        <v/>
      </c>
      <c r="CW215" s="101">
        <f>IF($CS215,"",IF($CV215,VLOOKUP($AT215&amp;"|"&amp;$CU215,LocTable,4,FALSE),5))</f>
        <v/>
      </c>
      <c r="CX215" s="101">
        <f>IF($CS215,"",IF($CV215,IF(OR($BI215=$CU215,AND($BI215&lt;$CU215,$BI215-IF(N(VLOOKUP($AT215&amp;"|"&amp;$CU215,LocTable,7,FALSE))&gt;0,VLOOKUP($AT215&amp;"|"&amp;$CU215,LocTable,7,FALSE),VLOOKUP($AT215&amp;"|"&amp;$CU215,LocTable,6,FALSE))-$CR215-0.75&gt;=2.125)),IF(N(VLOOKUP($AT215&amp;"|"&amp;$CU215,LocTable,7,FALSE))&gt;0,VLOOKUP($AT215&amp;"|"&amp;$CU215,LocTable,7,FALSE),VLOOKUP($AT215&amp;"|"&amp;$CU215,LocTable,6,FALSE)),$BI215-($CU215-IF(N(VLOOKUP($AT215&amp;"|"&amp;$CU215,LocTable,7,FALSE))&gt;0,VLOOKUP($AT215&amp;"|"&amp;$CU215,LocTable,7,FALSE),VLOOKUP($AT215&amp;"|"&amp;$CU215,LocTable,6,FALSE)))),$BI215-10-$CR215))</f>
        <v/>
      </c>
      <c r="CY215" s="100">
        <f>IF($CS215,"",TRIM(IF(ISNUMBER($BU215),"A "&amp;TRIM(TEXT($BU215,"# ?/??"))&amp;CHAR(34)&amp;"  ","")&amp;IF(ISNUMBER($BV215),"B "&amp;TRIM(TEXT($BV215,"# ?/??"))&amp;CHAR(34)&amp;"  ","")&amp;IF(ISNUMBER($BW215),"C "&amp;TRIM(TEXT($BW215,"# ?/??"))&amp;CHAR(34)&amp;"  ","")&amp;IF(ISNUMBER($BX215),"D "&amp;TRIM(TEXT($BX215,"# ?/??"))&amp;CHAR(34)&amp;"  ","")&amp;IF(ISNUMBER($BY215),"F "&amp;TRIM(TEXT($BY215,"# ?/??"))&amp;CHAR(34)&amp;"  ","")&amp;IF(ISNUMBER($BZ215),"E "&amp;TRIM(TEXT($BZ215,"# ?/??"))&amp;CHAR(34)&amp;"  ","")))</f>
        <v/>
      </c>
      <c r="CZ215" s="100">
        <f>IF(OR($CS215,N($BJ215)=0),"",TRIM(IF(ISNUMBER($BU215),"A "&amp;TRIM(TEXT($BU215-HeadClr,"# ?/??"))&amp;CHAR(34)&amp;"  ","")&amp;IF(ISNUMBER($BV215),"B "&amp;TRIM(TEXT($BV215-HeadClr,"# ?/??"))&amp;CHAR(34)&amp;"  ","")&amp;IF(ISNUMBER($BW215),"C "&amp;TRIM(TEXT($BW215-HeadClr,"# ?/??"))&amp;CHAR(34)&amp;"  ","")&amp;IF(ISNUMBER($BX215),"D "&amp;TRIM(TEXT($BX215-HeadClr,"# ?/??"))&amp;CHAR(34)&amp;"  ","")&amp;IF(ISNUMBER($BY215),"F "&amp;TRIM(TEXT($BY215-HeadClr,"# ?/??"))&amp;CHAR(34)&amp;"  ","")&amp;IF(ISNUMBER($BZ215),"E "&amp;TRIM(TEXT($BZ215-HeadClr,"# ?/??"))&amp;CHAR(34)&amp;"  ","")))</f>
        <v/>
      </c>
      <c r="DA215" s="99">
        <f>IF($A215="","",IF($AN215="",IFERROR(VLOOKUP($Z215,CODES,2,FALSE),""),IFERROR(VLOOKUP($AN215,CODES,2,FALSE),"")))</f>
        <v/>
      </c>
      <c r="DB215" s="99">
        <f>IF($A215="","",IF($O215="Y","PR",IF(OR($Z215="L",$Z215="RR",LEFT($Z215,2)="L-",LEFT($Z215,3)="RR-"),"LH","RH")))</f>
        <v/>
      </c>
      <c r="DC215" s="99">
        <f>IF($A215="","","S.HM"&amp;IF(OR($C215="DOOR ONLY",$X215&lt;&gt;"KD"),"MASONRY","DRYWALL")&amp;IF($C215="DOOR ONLY","",$U215)&amp;IF(AND($C215&lt;&gt;"FRAME ONLY",OR(LEFT($AH215,3)="OAK",LEFT($AH215,3)="BIR",LEFT($AH215,3)="MAP",$AH215="PC",$AH215="MC",$AH215="SCLC",$AH215="P-LAM")),"WD","HM")&amp;"1.75")</f>
        <v/>
      </c>
      <c r="DD215" s="99">
        <f>IF($CJ215="","",IF($O215="Y",$CJ215,SUBSTITUTE($CJ215,$BG215&amp;" "&amp;IFERROR(VLOOKUP($Z215,CODES,2,FALSE),"")&amp;" ",$BG215&amp;" ")))</f>
        <v/>
      </c>
      <c r="DE215" s="99">
        <f>IF($CK215="","",IF($O215="Y",$CK215,SUBSTITUTE($CK215,$BG215&amp;" "&amp;IF($AN215="",IFERROR(VLOOKUP($Z215,CODES,2,FALSE),""),IFERROR(VLOOKUP($AN215,CODES,2,FALSE),""))&amp;" ",$BG215&amp;" ")))</f>
        <v/>
      </c>
      <c r="DF215" s="99">
        <f>IF($CJ215="","",$DC215&amp;"|"&amp;$DD215&amp;"|"&amp;$DB215&amp;"|"&amp;$AT215&amp;"|"&amp;$V215&amp;"|"&amp;$Y215&amp;"|"&amp;$AB215)</f>
        <v/>
      </c>
      <c r="DG215" s="99">
        <f>IF(DF215="","",IF(COUNTIF($DF$6:DF215,DF215)=1,MAX($DG$5:DG214)+1,INDEX($DG$5:DG214,MATCH(DF215,$DF$5:DF214,0))))</f>
        <v/>
      </c>
      <c r="DH215" s="99">
        <f>IF($CK215="","",$DC215&amp;"|"&amp;$DE215&amp;"|"&amp;$AI215&amp;"|"&amp;$BK215&amp;"|"&amp;$BL215)</f>
        <v/>
      </c>
      <c r="DI215" s="99">
        <f>IF(DH215="","",IF(COUNTIF($DH$6:DH215,DH215)=1,MAX($DI$5:DI214)+1,INDEX($DI$5:DI214,MATCH(DH215,$DH$5:DH214,0))))</f>
        <v/>
      </c>
      <c r="DJ215" s="99">
        <f>IF($A215="","",IF($B215="","qty, ","")&amp;IF($C215="","scope, ","")&amp;IF(OR($K215="",$M215=""),"size, ","")&amp;IF(AND($A215&lt;&gt;"",$C215&lt;&gt;"DOOR ONLY"),IF($U215="","jamb depth, ","")&amp;IF($X215="","construction, ","")&amp;IF($Y215="","anchor, ","")&amp;IF($S215="","frame type, ",""),"")&amp;IF(AND(N($BJ215)&gt;0,$Z215=""),"hand, ","")&amp;IF(N($BJ215)&gt;0,IF($AH215="","door material, ","")&amp;IF($AL215="","face type, ","")&amp;IF($AP215="","lock prep, ","")&amp;IF(AND($AO215="",$AC215=""),"hinge prep, ",""),"")&amp;IF(AND($CH215&gt;0,$AH215="FRP"),"FRP cannot carry a label, ","")&amp;IF(AND($O215="Y",OR($Z215="L",$Z215="R",$Z215="LR",$Z215="RR")),"pair marked but hand is single, ","")&amp;IF(AND($O215&lt;&gt;"Y",OR($Z215="PR",AND(LEN($Z215)&gt;1,ISNUMBER(SEARCH("-",$Z215))))),"pair hand on a single door, ","")&amp;IF(AND(ISNUMBER($CI215),$CH215&lt;N($CI215)),"wall needs a "&amp;$CI215&amp;" min door, ","")&amp;IF(AND($CH215&gt;=180,AND(OR($CE215="FG",$CE215="HG",$CE215="FNV",$CE215="FV"),N($CF215)*N($CG215)&gt;100)),"180 min lite over 100 sq in, ","")&amp;IF(N($BK215)&gt;48,"leaf wider than 4'-0"&amp;CHAR(34)&amp;", ","")&amp;IF(AND($CT215,COUNT($AW215:$AZ215)=0,$CQ215&gt;0),"CUSTOM LOC with no locations typed, ",""))</f>
        <v/>
      </c>
      <c r="DK215" s="99">
        <f>IF($A215="","",IF(AND($CH215&gt;0,AND($A215&lt;&gt;"",$C215&lt;&gt;"DOOR ONLY"),$X215="KD",$E215="EXTERIOR"),"KD label on an exterior opening, ","")&amp;IF(AND($E215="EXTERIOR",OR(AND(AND($A215&lt;&gt;"",$C215&lt;&gt;"DOOR ONLY"),$W215="CR"),AND(N($BJ215)&gt;0,$AH215="CR"))),"exterior in CR steel (G9?), ","")&amp;IF(AND(ISNUMBER($BQ215),N($BQ215)&lt;32),"clear width ~"&amp;TEXT($BQ215,"0.0")&amp;CHAR(34)&amp;" under 32"&amp;CHAR(34)&amp;" (ADA), ","")&amp;IF(AND($CH215=90,AND(OR($CE215="FG",$CE215="HG",$CE215="FNV",$CE215="FV"),N($CF215)*N($CG215)&gt;100)),"90 min lite over 100 sq in (stair/exit), ","")&amp;IF(AND($CH215&gt;0,AND($A215&lt;&gt;"",$C215&lt;&gt;"DOOR ONLY"),OR($AF215="",$AF215="-")),"rated: closer reinf.?, ","")&amp;IF(OR($I215="CORRIDOR",$I215="SMOKE BARRIER"),"S label + smoke gasketing, ","")&amp;IF($CI215="?","wall type/hr not in IBC table, ","")&amp;IF(AND(N($BJ215)&gt;0,$BB215=""),"no hardware set, ","")&amp;IF(AND($BB215&lt;&gt;"",ISNA(MATCH($BB215&amp;"",HWSets,0))),"set "&amp;$BB215&amp;" not on HW Sets, ","")&amp;IF(N($BL215)&gt;96,"leaf over 8'-0"&amp;CHAR(34)&amp;" - check listing, ","")&amp;IF(AND($CT215,COUNT($AW215:$AZ215)&gt;0,COUNT($AW215:$AZ215)&lt;&gt;$CQ215),COUNT($AW215:$AZ215)&amp;" custom hinges typed, "&amp;$CQ215&amp;" expected, ","")&amp;IF(AND(ISNUMBER($CA215),OR(N($CA215)&lt;34,N($CA215)&gt;48)),"lock "&amp;TEXT($CA215,"0.0")&amp;CHAR(34)&amp;" AFF outside 34-48"&amp;CHAR(34)&amp;" (ADA), ","")&amp;IF(AND(ISNUMBER($AV215),ISNUMBER($BL215),N($AV215)&lt;IF(N($BL215)&lt;=60,2,IF(N($BL215)&lt;=90,3,IF(N($BL215)&lt;=120,4,5)))),"fewer hinges than standard, ",""))</f>
        <v/>
      </c>
    </row>
    <row r="216" ht="15" customHeight="1">
      <c r="A216" s="77" t="n"/>
      <c r="B216" s="78" t="n"/>
      <c r="C216" s="78" t="n"/>
      <c r="D216" s="78" t="n"/>
      <c r="E216" s="78" t="n"/>
      <c r="F216" s="78" t="n"/>
      <c r="G216" s="78" t="n"/>
      <c r="H216" s="78" t="n"/>
      <c r="I216" s="78" t="n"/>
      <c r="J216" s="78" t="n"/>
      <c r="K216" s="78" t="n"/>
      <c r="L216" s="78" t="n"/>
      <c r="M216" s="78" t="n"/>
      <c r="N216" s="78" t="n"/>
      <c r="O216" s="78" t="n"/>
      <c r="P216" s="78" t="n"/>
      <c r="Q216" s="78" t="n"/>
      <c r="R216" s="78" t="n"/>
      <c r="S216" s="79" t="n"/>
      <c r="T216" s="79" t="n"/>
      <c r="U216" s="79" t="n"/>
      <c r="V216" s="79" t="n"/>
      <c r="W216" s="79" t="n"/>
      <c r="X216" s="79" t="n"/>
      <c r="Y216" s="79" t="n"/>
      <c r="Z216" s="79" t="n"/>
      <c r="AA216" s="79" t="n"/>
      <c r="AB216" s="79" t="n"/>
      <c r="AC216" s="79" t="n"/>
      <c r="AD216" s="79" t="n"/>
      <c r="AE216" s="79" t="n"/>
      <c r="AF216" s="79" t="n"/>
      <c r="AG216" s="79" t="n"/>
      <c r="AH216" s="80" t="n"/>
      <c r="AI216" s="80" t="n"/>
      <c r="AJ216" s="80" t="n"/>
      <c r="AK216" s="80" t="n"/>
      <c r="AL216" s="80" t="n"/>
      <c r="AM216" s="80" t="n"/>
      <c r="AN216" s="80" t="n"/>
      <c r="AO216" s="80" t="n"/>
      <c r="AP216" s="80" t="n"/>
      <c r="AQ216" s="80" t="n"/>
      <c r="AR216" s="80" t="n"/>
      <c r="AS216" s="80" t="n"/>
      <c r="AT216" s="81" t="n"/>
      <c r="AU216" s="81" t="n"/>
      <c r="AV216" s="81" t="n"/>
      <c r="AW216" s="82" t="n"/>
      <c r="AX216" s="82" t="n"/>
      <c r="AY216" s="82" t="n"/>
      <c r="AZ216" s="82" t="n"/>
      <c r="BA216" s="82" t="n"/>
      <c r="BB216" s="83" t="n"/>
      <c r="BC216" s="83" t="n"/>
      <c r="BD216" s="84">
        <f>IF($A216="","",IF($DJ216&lt;&gt;"","FIX",IF($DK216&lt;&gt;"","CHECK","OK")))</f>
        <v/>
      </c>
      <c r="BE216" s="85">
        <f>IF($A216="","",IF($DJ216&lt;&gt;"","FIX: "&amp;LEFT($DJ216,LEN($DJ216)-2)&amp;IF($DK216&lt;&gt;"","  ·  ",""),"")&amp;IF($DK216&lt;&gt;"","CHECK: "&amp;LEFT($DK216,LEN($DK216)-2),""))</f>
        <v/>
      </c>
      <c r="BF216" s="84">
        <f>IF(OR($A216="",$K216=""),"",$K216&amp;"'-"&amp;N($L216)&amp;CHAR(34)&amp;" x "&amp;$M216&amp;"'-"&amp;N($N216)&amp;CHAR(34))</f>
        <v/>
      </c>
      <c r="BG216" s="84">
        <f>IF(OR($A216="",$K216=""),"",$K216&amp;N($L216)&amp;$M216&amp;N($N216))</f>
        <v/>
      </c>
      <c r="BH216" s="84">
        <f>IF(OR($A216="",$K216=""),"",$K216*12+N($L216))</f>
        <v/>
      </c>
      <c r="BI216" s="84">
        <f>IF(OR($A216="",$M216=""),"",$M216*12+N($N216))</f>
        <v/>
      </c>
      <c r="BJ216" s="84">
        <f>IF($A216="","",IF(OR($C216="FRAME ONLY",$S216="BL"),0,IF($O216="Y",2,1)))</f>
        <v/>
      </c>
      <c r="BK216" s="86">
        <f>IF(OR(N($BJ216)=0,$BH216=""),"",($BH216-2*EdgeClr-IF($BJ216=2,MeetClr,0))/$BJ216)</f>
        <v/>
      </c>
      <c r="BL216" s="86">
        <f>IF(OR(N($BJ216)=0,$BI216=""),"",$BI216-HeadClr-Undercut)</f>
        <v/>
      </c>
      <c r="BM216" s="86">
        <f>IF($BH216="","",$BH216+2*FaceW+IF(N($Q216)&gt;0,($Q216+FaceW)*IF($R216="LR",2,1),0))</f>
        <v/>
      </c>
      <c r="BN216" s="86">
        <f>IF($BI216="","",$BI216+IF($AB216="Y",4,FaceW)+IF(N($P216)&gt;0,$P216+FaceW,0)+IF(OR($S216="4F",$S216="BL"),FaceW,0))</f>
        <v/>
      </c>
      <c r="BO216" s="86">
        <f>IF($BM216="","",$BM216+2*ROSide)</f>
        <v/>
      </c>
      <c r="BP216" s="86">
        <f>IF($BN216="","",$BN216+ROTop)</f>
        <v/>
      </c>
      <c r="BQ216" s="87">
        <f>IF(OR(N($BJ216)=0,$BH216=""),"",$BH216/$BJ216-ClearDeduct)</f>
        <v/>
      </c>
      <c r="BR216" s="84">
        <f>IF(N($CH216)=0,"",IF($CH216&gt;=180,"A · 3 HR",IF($CH216&gt;=90,"B · 1-1/2 HR",IF($CH216&gt;=60,"B · 1 HR",IF($CH216&gt;=45,"C · 3/4 HR","20 MIN")))))&amp;IF(AND(N($CH216)&gt;0,OR($I216="CORRIDOR",$I216="SMOKE BARRIER"))," · S","")</f>
        <v/>
      </c>
      <c r="BS216" s="84">
        <f>IF($CS216,"",IF($AV216&lt;&gt;"",$AV216,IF(OR($AC216="HGC",$AO216="HGC"),"CONT",IF(($BI216-HeadClr-Undercut)&lt;=60,2,IF(($BI216-HeadClr-Undercut)&lt;=90,3,IF(($BI216-HeadClr-Undercut)&lt;=120,4,5))))))</f>
        <v/>
      </c>
      <c r="BT216" s="84">
        <f>IF($CS216,"",IF($CT216,"CUSTOM (typed)",IF($CV216,$AT216&amp;" "&amp;$CU216&amp;CHAR(34)&amp;IF($CU216&lt;&gt;$BI216,IF(AND($BI216&lt;$CU216,$BI216-IF(N(VLOOKUP($AT216&amp;"|"&amp;$CU216,LocTable,7,FALSE))&gt;0,VLOOKUP($AT216&amp;"|"&amp;$CU216,LocTable,7,FALSE),VLOOKUP($AT216&amp;"|"&amp;$CU216,LocTable,6,FALSE))-$CR216-0.75&gt;=2.125)," cut down"," adj."),""),"ANSI/SDI A250.6")))</f>
        <v/>
      </c>
      <c r="BU216" s="88">
        <f>IF($CS216,"",IF($CT216,IF(N($AW216)&gt;0,N($AW216),""),IF(1&gt;$CQ216,"",IF($CQ216=1,$CW216,$CW216+($CX216-$CW216)*0/($CQ216-1)))))</f>
        <v/>
      </c>
      <c r="BV216" s="88">
        <f>IF($CS216,"",IF($CT216,IF(N($AX216)&gt;0,N($AX216),""),IF(2&gt;$CQ216,"",IF($CQ216=1,$CW216,$CW216+($CX216-$CW216)*1/($CQ216-1)))))</f>
        <v/>
      </c>
      <c r="BW216" s="88">
        <f>IF($CS216,"",IF($CT216,IF(N($AY216)&gt;0,N($AY216),""),IF(3&gt;$CQ216,"",IF($CQ216=1,$CW216,$CW216+($CX216-$CW216)*2/($CQ216-1)))))</f>
        <v/>
      </c>
      <c r="BX216" s="88">
        <f>IF($CS216,"",IF($CT216,IF(N($AZ216)&gt;0,N($AZ216),""),IF(4&gt;$CQ216,"",IF($CQ216=1,$CW216,$CW216+($CX216-$CW216)*3/($CQ216-1)))))</f>
        <v/>
      </c>
      <c r="BY216" s="88">
        <f>IF($CS216,"",IF($CT216,"",IF(5&gt;$CQ216,"",IF($CQ216=1,$CW216,$CW216+($CX216-$CW216)*4/($CQ216-1)))))</f>
        <v/>
      </c>
      <c r="BZ216" s="88">
        <f>IF(OR($CS216,$AP216="-",AND($AP216="",$AD216="")),"",IF(N($BA216)&gt;0,N($BA216),IF($CV216,IF(AND($BI216&lt;$CU216,$BI216-IF(N(VLOOKUP($AT216&amp;"|"&amp;$CU216,LocTable,7,FALSE))&gt;0,VLOOKUP($AT216&amp;"|"&amp;$CU216,LocTable,7,FALSE),VLOOKUP($AT216&amp;"|"&amp;$CU216,LocTable,6,FALSE))-$CR216-0.75&gt;=2.125),VLOOKUP($AT216&amp;"|"&amp;$CU216,LocTable,8,FALSE),VLOOKUP($AT216&amp;"|"&amp;$CU216,LocTable,8,FALSE)+($BI216-$CU216)),$BI216-LockAFF)))</f>
        <v/>
      </c>
      <c r="CA216" s="89">
        <f>IF($BZ216="","",$BI216-$BZ216)</f>
        <v/>
      </c>
      <c r="CB216" s="84">
        <f>IF(OR(NOT(AND($A216&lt;&gt;"",$C216&lt;&gt;"DOOR ONLY")),$BI216=""),"",IF(($BI216+IF(N($P216)&gt;0,$P216+FaceW,0))&lt;=90,3,IF(($BI216+IF(N($P216)&gt;0,$P216+FaceW,0))&lt;=114,4,5)))</f>
        <v/>
      </c>
      <c r="CC216" s="84">
        <f>IF($CB216="","",$CB216*(2+IF(N($Q216)&gt;0,IF($R216="LR",2,1),0)))</f>
        <v/>
      </c>
      <c r="CD216" s="84">
        <f>IF($CB216="","",(2+IF(N($Q216)&gt;0,IF($R216="LR",2,1),0)))</f>
        <v/>
      </c>
      <c r="CE216" s="84">
        <f>IF(N($BJ216)=0,"",IF(OR($AL216="",$AL216="FLUSH"),"FLUSH",IFERROR(LEFT($AL216,FIND("-",$AL216)-1),LEFT($AL216,2))))</f>
        <v/>
      </c>
      <c r="CF216" s="84">
        <f>IF($CE216="","",IFERROR(VALUE(MID($AL216,FIND("-",$AL216)+1,FIND(CHAR(34)&amp;"x",$AL216)-FIND("-",$AL216)-1)),0))</f>
        <v/>
      </c>
      <c r="CG216" s="84">
        <f>IF($CE216="","",IFERROR(VALUE(MID($AL216,FIND(CHAR(34)&amp;"x",$AL216)+2,FIND(CHAR(34),$AL216,FIND(CHAR(34)&amp;"x",$AL216)+2)-FIND(CHAR(34)&amp;"x",$AL216)-2)),0))</f>
        <v/>
      </c>
      <c r="CH216" s="90">
        <f>IF(OR($A216="",$H216="",$H216="NO LAB"),0,IFERROR(VALUE(LEFT($H216,FIND(" ",$H216)-1)),0))</f>
        <v/>
      </c>
      <c r="CI216" s="91">
        <f>IF(OR($A216="",$I216="",$I216="NON-RATED",N($J216)=0),"",IFERROR(VLOOKUP($I216&amp;"|"&amp;$J216,IBC,2,FALSE),"?"))</f>
        <v/>
      </c>
      <c r="CJ216" s="85">
        <f>IF(NOT(AND($A216&lt;&gt;"",$C216&lt;&gt;"DOOR ONLY")),"",TRIM(IFERROR(VLOOKUP($U216,CODES,2,FALSE),"")&amp;" "&amp;$BG216&amp;" "&amp;IFERROR(VLOOKUP($Z216,CODES,2,FALSE),"")&amp;" "&amp;IFERROR(VLOOKUP($X216,CODES,2,FALSE),"")&amp;" "&amp;IFERROR(VLOOKUP($S216,CODES,2,FALSE),"")&amp;IF(N($P216)&gt;0," w/TRANSOM "&amp;$P216&amp;CHAR(34),"")&amp;IF(N($Q216)&gt;0," w/SIDELITE "&amp;$Q216&amp;CHAR(34)&amp;" "&amp;IF($R216="","R",$R216),"")&amp;IF($Y216="","  |  "," | "&amp;IFERROR(VLOOKUP($Y216,CODES,2,FALSE),"")&amp;" | ")&amp;IFERROR(VLOOKUP($AC216,CODES,2,FALSE),"")&amp;" "&amp;IFERROR(VLOOKUP($AD216,CODES,2,FALSE),"")&amp;IF(OR($AE216="",$AE216="-"),""," "&amp;$AE216)&amp;IF(OR($AF216="",$AF216="-"),""," "&amp;$AF216)&amp;IF($AB216="Y"," 4"&amp;CHAR(34)&amp;" HEAD","")&amp;" "&amp;IFERROR(VLOOKUP($H216,CODES,2,FALSE),"")&amp;IF($CT216," | LOC "&amp;$CY216,"")))</f>
        <v/>
      </c>
      <c r="CK216" s="85">
        <f>IF(NOT(AND($A216&lt;&gt;"",N($BJ216)&gt;0)),"",TRIM(IFERROR(VLOOKUP($AH216,CODES,2,FALSE),"")&amp;IF($AI216=""," "," "&amp;$AI216&amp;"GA ")&amp;$BG216&amp;" "&amp;IF($AN216="",IFERROR(VLOOKUP($Z216,CODES,2,FALSE),""),IFERROR(VLOOKUP($AN216,CODES,2,FALSE),""))&amp;IF($BJ216=2," PAIR","")&amp;" DOOR | "&amp;IF($AL216="","?",$AL216)&amp;" | "&amp;IF($AO216="",IFERROR(VLOOKUP($AC216,CODES,2,FALSE),""),IFERROR(VLOOKUP($AO216,CODES,2,FALSE),""))&amp;" "&amp;IFERROR(VLOOKUP($AP216,CODES,2,FALSE),"")&amp;IF(OR($AQ216="",$AQ216="-"),""," SEAM "&amp;$AQ216)&amp;IF($AR216="Y"," ASTRAGAL","")&amp;IF($AJ216=""," "," "&amp;$AJ216)&amp;IF($AK216=""," "," "&amp;$AK216)&amp;IF(OR($AT216="",$AT216="ANSI/SDI",$AT216="CUSTOM LOC"),""," "&amp;$AT216)&amp;IF($AM216=""," "," SERIES "&amp;$AM216)&amp;" "&amp;IFERROR(VLOOKUP($H216,CODES,2,FALSE),"")&amp;IF($CT216," | LOC "&amp;$CZ216,"")))</f>
        <v/>
      </c>
      <c r="CL216" s="84">
        <f>IF(CP216="","",IF(COUNTIF($CP$6:CP216,CP216)=1,MAX($CL$5:CL215)+1,INDEX($CL$5:CL215,MATCH(CP216,$CP$5:CP215,0))))</f>
        <v/>
      </c>
      <c r="CM216" s="84">
        <f>IF(NOT(AND($A216&lt;&gt;"",$C216&lt;&gt;"DOOR ONLY")),"",MAX($CM$5:CM215)+1)</f>
        <v/>
      </c>
      <c r="CN216" s="84">
        <f>IF(NOT(AND($A216&lt;&gt;"",N($BJ216)&gt;0)),"",MAX($CN$5:CN215)+1)</f>
        <v/>
      </c>
      <c r="CO216" s="84">
        <f>IF($A216="","",MAX($CO$5:CO215)+1)</f>
        <v/>
      </c>
      <c r="CP216" s="84">
        <f>IF(OR($A216="",$BH216="",$BI216=""),"",$BG216&amp;"|"&amp;$O216&amp;"|"&amp;$AL216&amp;"|"&amp;$S216&amp;"|"&amp;$P216&amp;"|"&amp;$Q216&amp;$R216&amp;"|"&amp;$C216&amp;"|"&amp;$AB216)</f>
        <v/>
      </c>
      <c r="CQ216" s="84">
        <f>N($BS216)</f>
        <v/>
      </c>
      <c r="CR216" s="84">
        <f>IF(N($AU216)&gt;0,N($AU216),4.5)</f>
        <v/>
      </c>
      <c r="CS216" s="84">
        <f>OR($A216="",$BI216="",$S216="BL",AND($C216="FRAME ONLY",OR($AC216="",$AC216="BLK")))</f>
        <v/>
      </c>
      <c r="CT216" s="84">
        <f>AND(NOT($CS216),OR($AT216="CUSTOM LOC",N($AW216)+N($AX216)+N($AY216)+N($AZ216)+N($BA216)&gt;0))</f>
        <v/>
      </c>
      <c r="CU216" s="84">
        <f>IF($BI216="","",IF($BI216&lt;=80,80,IF($BI216&lt;=84,84,96)))</f>
        <v/>
      </c>
      <c r="CV216" s="84">
        <f>ISNUMBER(MATCH($AT216&amp;"|80",LocKeys,0))</f>
        <v/>
      </c>
      <c r="CW216" s="86">
        <f>IF($CS216,"",IF($CV216,VLOOKUP($AT216&amp;"|"&amp;$CU216,LocTable,4,FALSE),5))</f>
        <v/>
      </c>
      <c r="CX216" s="86">
        <f>IF($CS216,"",IF($CV216,IF(OR($BI216=$CU216,AND($BI216&lt;$CU216,$BI216-IF(N(VLOOKUP($AT216&amp;"|"&amp;$CU216,LocTable,7,FALSE))&gt;0,VLOOKUP($AT216&amp;"|"&amp;$CU216,LocTable,7,FALSE),VLOOKUP($AT216&amp;"|"&amp;$CU216,LocTable,6,FALSE))-$CR216-0.75&gt;=2.125)),IF(N(VLOOKUP($AT216&amp;"|"&amp;$CU216,LocTable,7,FALSE))&gt;0,VLOOKUP($AT216&amp;"|"&amp;$CU216,LocTable,7,FALSE),VLOOKUP($AT216&amp;"|"&amp;$CU216,LocTable,6,FALSE)),$BI216-($CU216-IF(N(VLOOKUP($AT216&amp;"|"&amp;$CU216,LocTable,7,FALSE))&gt;0,VLOOKUP($AT216&amp;"|"&amp;$CU216,LocTable,7,FALSE),VLOOKUP($AT216&amp;"|"&amp;$CU216,LocTable,6,FALSE)))),$BI216-10-$CR216))</f>
        <v/>
      </c>
      <c r="CY216" s="85">
        <f>IF($CS216,"",TRIM(IF(ISNUMBER($BU216),"A "&amp;TRIM(TEXT($BU216,"# ?/??"))&amp;CHAR(34)&amp;"  ","")&amp;IF(ISNUMBER($BV216),"B "&amp;TRIM(TEXT($BV216,"# ?/??"))&amp;CHAR(34)&amp;"  ","")&amp;IF(ISNUMBER($BW216),"C "&amp;TRIM(TEXT($BW216,"# ?/??"))&amp;CHAR(34)&amp;"  ","")&amp;IF(ISNUMBER($BX216),"D "&amp;TRIM(TEXT($BX216,"# ?/??"))&amp;CHAR(34)&amp;"  ","")&amp;IF(ISNUMBER($BY216),"F "&amp;TRIM(TEXT($BY216,"# ?/??"))&amp;CHAR(34)&amp;"  ","")&amp;IF(ISNUMBER($BZ216),"E "&amp;TRIM(TEXT($BZ216,"# ?/??"))&amp;CHAR(34)&amp;"  ","")))</f>
        <v/>
      </c>
      <c r="CZ216" s="85">
        <f>IF(OR($CS216,N($BJ216)=0),"",TRIM(IF(ISNUMBER($BU216),"A "&amp;TRIM(TEXT($BU216-HeadClr,"# ?/??"))&amp;CHAR(34)&amp;"  ","")&amp;IF(ISNUMBER($BV216),"B "&amp;TRIM(TEXT($BV216-HeadClr,"# ?/??"))&amp;CHAR(34)&amp;"  ","")&amp;IF(ISNUMBER($BW216),"C "&amp;TRIM(TEXT($BW216-HeadClr,"# ?/??"))&amp;CHAR(34)&amp;"  ","")&amp;IF(ISNUMBER($BX216),"D "&amp;TRIM(TEXT($BX216-HeadClr,"# ?/??"))&amp;CHAR(34)&amp;"  ","")&amp;IF(ISNUMBER($BY216),"F "&amp;TRIM(TEXT($BY216-HeadClr,"# ?/??"))&amp;CHAR(34)&amp;"  ","")&amp;IF(ISNUMBER($BZ216),"E "&amp;TRIM(TEXT($BZ216-HeadClr,"# ?/??"))&amp;CHAR(34)&amp;"  ","")))</f>
        <v/>
      </c>
      <c r="DA216" s="84">
        <f>IF($A216="","",IF($AN216="",IFERROR(VLOOKUP($Z216,CODES,2,FALSE),""),IFERROR(VLOOKUP($AN216,CODES,2,FALSE),"")))</f>
        <v/>
      </c>
      <c r="DB216" s="84">
        <f>IF($A216="","",IF($O216="Y","PR",IF(OR($Z216="L",$Z216="RR",LEFT($Z216,2)="L-",LEFT($Z216,3)="RR-"),"LH","RH")))</f>
        <v/>
      </c>
      <c r="DC216" s="84">
        <f>IF($A216="","","S.HM"&amp;IF(OR($C216="DOOR ONLY",$X216&lt;&gt;"KD"),"MASONRY","DRYWALL")&amp;IF($C216="DOOR ONLY","",$U216)&amp;IF(AND($C216&lt;&gt;"FRAME ONLY",OR(LEFT($AH216,3)="OAK",LEFT($AH216,3)="BIR",LEFT($AH216,3)="MAP",$AH216="PC",$AH216="MC",$AH216="SCLC",$AH216="P-LAM")),"WD","HM")&amp;"1.75")</f>
        <v/>
      </c>
      <c r="DD216" s="84">
        <f>IF($CJ216="","",IF($O216="Y",$CJ216,SUBSTITUTE($CJ216,$BG216&amp;" "&amp;IFERROR(VLOOKUP($Z216,CODES,2,FALSE),"")&amp;" ",$BG216&amp;" ")))</f>
        <v/>
      </c>
      <c r="DE216" s="84">
        <f>IF($CK216="","",IF($O216="Y",$CK216,SUBSTITUTE($CK216,$BG216&amp;" "&amp;IF($AN216="",IFERROR(VLOOKUP($Z216,CODES,2,FALSE),""),IFERROR(VLOOKUP($AN216,CODES,2,FALSE),""))&amp;" ",$BG216&amp;" ")))</f>
        <v/>
      </c>
      <c r="DF216" s="84">
        <f>IF($CJ216="","",$DC216&amp;"|"&amp;$DD216&amp;"|"&amp;$DB216&amp;"|"&amp;$AT216&amp;"|"&amp;$V216&amp;"|"&amp;$Y216&amp;"|"&amp;$AB216)</f>
        <v/>
      </c>
      <c r="DG216" s="84">
        <f>IF(DF216="","",IF(COUNTIF($DF$6:DF216,DF216)=1,MAX($DG$5:DG215)+1,INDEX($DG$5:DG215,MATCH(DF216,$DF$5:DF215,0))))</f>
        <v/>
      </c>
      <c r="DH216" s="84">
        <f>IF($CK216="","",$DC216&amp;"|"&amp;$DE216&amp;"|"&amp;$AI216&amp;"|"&amp;$BK216&amp;"|"&amp;$BL216)</f>
        <v/>
      </c>
      <c r="DI216" s="84">
        <f>IF(DH216="","",IF(COUNTIF($DH$6:DH216,DH216)=1,MAX($DI$5:DI215)+1,INDEX($DI$5:DI215,MATCH(DH216,$DH$5:DH215,0))))</f>
        <v/>
      </c>
      <c r="DJ216" s="84">
        <f>IF($A216="","",IF($B216="","qty, ","")&amp;IF($C216="","scope, ","")&amp;IF(OR($K216="",$M216=""),"size, ","")&amp;IF(AND($A216&lt;&gt;"",$C216&lt;&gt;"DOOR ONLY"),IF($U216="","jamb depth, ","")&amp;IF($X216="","construction, ","")&amp;IF($Y216="","anchor, ","")&amp;IF($S216="","frame type, ",""),"")&amp;IF(AND(N($BJ216)&gt;0,$Z216=""),"hand, ","")&amp;IF(N($BJ216)&gt;0,IF($AH216="","door material, ","")&amp;IF($AL216="","face type, ","")&amp;IF($AP216="","lock prep, ","")&amp;IF(AND($AO216="",$AC216=""),"hinge prep, ",""),"")&amp;IF(AND($CH216&gt;0,$AH216="FRP"),"FRP cannot carry a label, ","")&amp;IF(AND($O216="Y",OR($Z216="L",$Z216="R",$Z216="LR",$Z216="RR")),"pair marked but hand is single, ","")&amp;IF(AND($O216&lt;&gt;"Y",OR($Z216="PR",AND(LEN($Z216)&gt;1,ISNUMBER(SEARCH("-",$Z216))))),"pair hand on a single door, ","")&amp;IF(AND(ISNUMBER($CI216),$CH216&lt;N($CI216)),"wall needs a "&amp;$CI216&amp;" min door, ","")&amp;IF(AND($CH216&gt;=180,AND(OR($CE216="FG",$CE216="HG",$CE216="FNV",$CE216="FV"),N($CF216)*N($CG216)&gt;100)),"180 min lite over 100 sq in, ","")&amp;IF(N($BK216)&gt;48,"leaf wider than 4'-0"&amp;CHAR(34)&amp;", ","")&amp;IF(AND($CT216,COUNT($AW216:$AZ216)=0,$CQ216&gt;0),"CUSTOM LOC with no locations typed, ",""))</f>
        <v/>
      </c>
      <c r="DK216" s="84">
        <f>IF($A216="","",IF(AND($CH216&gt;0,AND($A216&lt;&gt;"",$C216&lt;&gt;"DOOR ONLY"),$X216="KD",$E216="EXTERIOR"),"KD label on an exterior opening, ","")&amp;IF(AND($E216="EXTERIOR",OR(AND(AND($A216&lt;&gt;"",$C216&lt;&gt;"DOOR ONLY"),$W216="CR"),AND(N($BJ216)&gt;0,$AH216="CR"))),"exterior in CR steel (G9?), ","")&amp;IF(AND(ISNUMBER($BQ216),N($BQ216)&lt;32),"clear width ~"&amp;TEXT($BQ216,"0.0")&amp;CHAR(34)&amp;" under 32"&amp;CHAR(34)&amp;" (ADA), ","")&amp;IF(AND($CH216=90,AND(OR($CE216="FG",$CE216="HG",$CE216="FNV",$CE216="FV"),N($CF216)*N($CG216)&gt;100)),"90 min lite over 100 sq in (stair/exit), ","")&amp;IF(AND($CH216&gt;0,AND($A216&lt;&gt;"",$C216&lt;&gt;"DOOR ONLY"),OR($AF216="",$AF216="-")),"rated: closer reinf.?, ","")&amp;IF(OR($I216="CORRIDOR",$I216="SMOKE BARRIER"),"S label + smoke gasketing, ","")&amp;IF($CI216="?","wall type/hr not in IBC table, ","")&amp;IF(AND(N($BJ216)&gt;0,$BB216=""),"no hardware set, ","")&amp;IF(AND($BB216&lt;&gt;"",ISNA(MATCH($BB216&amp;"",HWSets,0))),"set "&amp;$BB216&amp;" not on HW Sets, ","")&amp;IF(N($BL216)&gt;96,"leaf over 8'-0"&amp;CHAR(34)&amp;" - check listing, ","")&amp;IF(AND($CT216,COUNT($AW216:$AZ216)&gt;0,COUNT($AW216:$AZ216)&lt;&gt;$CQ216),COUNT($AW216:$AZ216)&amp;" custom hinges typed, "&amp;$CQ216&amp;" expected, ","")&amp;IF(AND(ISNUMBER($CA216),OR(N($CA216)&lt;34,N($CA216)&gt;48)),"lock "&amp;TEXT($CA216,"0.0")&amp;CHAR(34)&amp;" AFF outside 34-48"&amp;CHAR(34)&amp;" (ADA), ","")&amp;IF(AND(ISNUMBER($AV216),ISNUMBER($BL216),N($AV216)&lt;IF(N($BL216)&lt;=60,2,IF(N($BL216)&lt;=90,3,IF(N($BL216)&lt;=120,4,5)))),"fewer hinges than standard, ",""))</f>
        <v/>
      </c>
    </row>
    <row r="217" ht="15" customHeight="1">
      <c r="A217" s="77" t="n"/>
      <c r="B217" s="78" t="n"/>
      <c r="C217" s="78" t="n"/>
      <c r="D217" s="78" t="n"/>
      <c r="E217" s="78" t="n"/>
      <c r="F217" s="78" t="n"/>
      <c r="G217" s="78" t="n"/>
      <c r="H217" s="78" t="n"/>
      <c r="I217" s="78" t="n"/>
      <c r="J217" s="78" t="n"/>
      <c r="K217" s="78" t="n"/>
      <c r="L217" s="78" t="n"/>
      <c r="M217" s="78" t="n"/>
      <c r="N217" s="78" t="n"/>
      <c r="O217" s="78" t="n"/>
      <c r="P217" s="78" t="n"/>
      <c r="Q217" s="78" t="n"/>
      <c r="R217" s="78" t="n"/>
      <c r="S217" s="79" t="n"/>
      <c r="T217" s="79" t="n"/>
      <c r="U217" s="79" t="n"/>
      <c r="V217" s="79" t="n"/>
      <c r="W217" s="79" t="n"/>
      <c r="X217" s="79" t="n"/>
      <c r="Y217" s="79" t="n"/>
      <c r="Z217" s="79" t="n"/>
      <c r="AA217" s="79" t="n"/>
      <c r="AB217" s="79" t="n"/>
      <c r="AC217" s="79" t="n"/>
      <c r="AD217" s="79" t="n"/>
      <c r="AE217" s="79" t="n"/>
      <c r="AF217" s="79" t="n"/>
      <c r="AG217" s="79" t="n"/>
      <c r="AH217" s="80" t="n"/>
      <c r="AI217" s="80" t="n"/>
      <c r="AJ217" s="80" t="n"/>
      <c r="AK217" s="80" t="n"/>
      <c r="AL217" s="80" t="n"/>
      <c r="AM217" s="80" t="n"/>
      <c r="AN217" s="80" t="n"/>
      <c r="AO217" s="80" t="n"/>
      <c r="AP217" s="80" t="n"/>
      <c r="AQ217" s="80" t="n"/>
      <c r="AR217" s="80" t="n"/>
      <c r="AS217" s="80" t="n"/>
      <c r="AT217" s="81" t="n"/>
      <c r="AU217" s="81" t="n"/>
      <c r="AV217" s="81" t="n"/>
      <c r="AW217" s="82" t="n"/>
      <c r="AX217" s="82" t="n"/>
      <c r="AY217" s="82" t="n"/>
      <c r="AZ217" s="82" t="n"/>
      <c r="BA217" s="82" t="n"/>
      <c r="BB217" s="83" t="n"/>
      <c r="BC217" s="83" t="n"/>
      <c r="BD217" s="84">
        <f>IF($A217="","",IF($DJ217&lt;&gt;"","FIX",IF($DK217&lt;&gt;"","CHECK","OK")))</f>
        <v/>
      </c>
      <c r="BE217" s="85">
        <f>IF($A217="","",IF($DJ217&lt;&gt;"","FIX: "&amp;LEFT($DJ217,LEN($DJ217)-2)&amp;IF($DK217&lt;&gt;"","  ·  ",""),"")&amp;IF($DK217&lt;&gt;"","CHECK: "&amp;LEFT($DK217,LEN($DK217)-2),""))</f>
        <v/>
      </c>
      <c r="BF217" s="84">
        <f>IF(OR($A217="",$K217=""),"",$K217&amp;"'-"&amp;N($L217)&amp;CHAR(34)&amp;" x "&amp;$M217&amp;"'-"&amp;N($N217)&amp;CHAR(34))</f>
        <v/>
      </c>
      <c r="BG217" s="84">
        <f>IF(OR($A217="",$K217=""),"",$K217&amp;N($L217)&amp;$M217&amp;N($N217))</f>
        <v/>
      </c>
      <c r="BH217" s="84">
        <f>IF(OR($A217="",$K217=""),"",$K217*12+N($L217))</f>
        <v/>
      </c>
      <c r="BI217" s="84">
        <f>IF(OR($A217="",$M217=""),"",$M217*12+N($N217))</f>
        <v/>
      </c>
      <c r="BJ217" s="84">
        <f>IF($A217="","",IF(OR($C217="FRAME ONLY",$S217="BL"),0,IF($O217="Y",2,1)))</f>
        <v/>
      </c>
      <c r="BK217" s="86">
        <f>IF(OR(N($BJ217)=0,$BH217=""),"",($BH217-2*EdgeClr-IF($BJ217=2,MeetClr,0))/$BJ217)</f>
        <v/>
      </c>
      <c r="BL217" s="86">
        <f>IF(OR(N($BJ217)=0,$BI217=""),"",$BI217-HeadClr-Undercut)</f>
        <v/>
      </c>
      <c r="BM217" s="86">
        <f>IF($BH217="","",$BH217+2*FaceW+IF(N($Q217)&gt;0,($Q217+FaceW)*IF($R217="LR",2,1),0))</f>
        <v/>
      </c>
      <c r="BN217" s="86">
        <f>IF($BI217="","",$BI217+IF($AB217="Y",4,FaceW)+IF(N($P217)&gt;0,$P217+FaceW,0)+IF(OR($S217="4F",$S217="BL"),FaceW,0))</f>
        <v/>
      </c>
      <c r="BO217" s="86">
        <f>IF($BM217="","",$BM217+2*ROSide)</f>
        <v/>
      </c>
      <c r="BP217" s="86">
        <f>IF($BN217="","",$BN217+ROTop)</f>
        <v/>
      </c>
      <c r="BQ217" s="87">
        <f>IF(OR(N($BJ217)=0,$BH217=""),"",$BH217/$BJ217-ClearDeduct)</f>
        <v/>
      </c>
      <c r="BR217" s="84">
        <f>IF(N($CH217)=0,"",IF($CH217&gt;=180,"A · 3 HR",IF($CH217&gt;=90,"B · 1-1/2 HR",IF($CH217&gt;=60,"B · 1 HR",IF($CH217&gt;=45,"C · 3/4 HR","20 MIN")))))&amp;IF(AND(N($CH217)&gt;0,OR($I217="CORRIDOR",$I217="SMOKE BARRIER"))," · S","")</f>
        <v/>
      </c>
      <c r="BS217" s="84">
        <f>IF($CS217,"",IF($AV217&lt;&gt;"",$AV217,IF(OR($AC217="HGC",$AO217="HGC"),"CONT",IF(($BI217-HeadClr-Undercut)&lt;=60,2,IF(($BI217-HeadClr-Undercut)&lt;=90,3,IF(($BI217-HeadClr-Undercut)&lt;=120,4,5))))))</f>
        <v/>
      </c>
      <c r="BT217" s="84">
        <f>IF($CS217,"",IF($CT217,"CUSTOM (typed)",IF($CV217,$AT217&amp;" "&amp;$CU217&amp;CHAR(34)&amp;IF($CU217&lt;&gt;$BI217,IF(AND($BI217&lt;$CU217,$BI217-IF(N(VLOOKUP($AT217&amp;"|"&amp;$CU217,LocTable,7,FALSE))&gt;0,VLOOKUP($AT217&amp;"|"&amp;$CU217,LocTable,7,FALSE),VLOOKUP($AT217&amp;"|"&amp;$CU217,LocTable,6,FALSE))-$CR217-0.75&gt;=2.125)," cut down"," adj."),""),"ANSI/SDI A250.6")))</f>
        <v/>
      </c>
      <c r="BU217" s="88">
        <f>IF($CS217,"",IF($CT217,IF(N($AW217)&gt;0,N($AW217),""),IF(1&gt;$CQ217,"",IF($CQ217=1,$CW217,$CW217+($CX217-$CW217)*0/($CQ217-1)))))</f>
        <v/>
      </c>
      <c r="BV217" s="88">
        <f>IF($CS217,"",IF($CT217,IF(N($AX217)&gt;0,N($AX217),""),IF(2&gt;$CQ217,"",IF($CQ217=1,$CW217,$CW217+($CX217-$CW217)*1/($CQ217-1)))))</f>
        <v/>
      </c>
      <c r="BW217" s="88">
        <f>IF($CS217,"",IF($CT217,IF(N($AY217)&gt;0,N($AY217),""),IF(3&gt;$CQ217,"",IF($CQ217=1,$CW217,$CW217+($CX217-$CW217)*2/($CQ217-1)))))</f>
        <v/>
      </c>
      <c r="BX217" s="88">
        <f>IF($CS217,"",IF($CT217,IF(N($AZ217)&gt;0,N($AZ217),""),IF(4&gt;$CQ217,"",IF($CQ217=1,$CW217,$CW217+($CX217-$CW217)*3/($CQ217-1)))))</f>
        <v/>
      </c>
      <c r="BY217" s="88">
        <f>IF($CS217,"",IF($CT217,"",IF(5&gt;$CQ217,"",IF($CQ217=1,$CW217,$CW217+($CX217-$CW217)*4/($CQ217-1)))))</f>
        <v/>
      </c>
      <c r="BZ217" s="88">
        <f>IF(OR($CS217,$AP217="-",AND($AP217="",$AD217="")),"",IF(N($BA217)&gt;0,N($BA217),IF($CV217,IF(AND($BI217&lt;$CU217,$BI217-IF(N(VLOOKUP($AT217&amp;"|"&amp;$CU217,LocTable,7,FALSE))&gt;0,VLOOKUP($AT217&amp;"|"&amp;$CU217,LocTable,7,FALSE),VLOOKUP($AT217&amp;"|"&amp;$CU217,LocTable,6,FALSE))-$CR217-0.75&gt;=2.125),VLOOKUP($AT217&amp;"|"&amp;$CU217,LocTable,8,FALSE),VLOOKUP($AT217&amp;"|"&amp;$CU217,LocTable,8,FALSE)+($BI217-$CU217)),$BI217-LockAFF)))</f>
        <v/>
      </c>
      <c r="CA217" s="89">
        <f>IF($BZ217="","",$BI217-$BZ217)</f>
        <v/>
      </c>
      <c r="CB217" s="84">
        <f>IF(OR(NOT(AND($A217&lt;&gt;"",$C217&lt;&gt;"DOOR ONLY")),$BI217=""),"",IF(($BI217+IF(N($P217)&gt;0,$P217+FaceW,0))&lt;=90,3,IF(($BI217+IF(N($P217)&gt;0,$P217+FaceW,0))&lt;=114,4,5)))</f>
        <v/>
      </c>
      <c r="CC217" s="84">
        <f>IF($CB217="","",$CB217*(2+IF(N($Q217)&gt;0,IF($R217="LR",2,1),0)))</f>
        <v/>
      </c>
      <c r="CD217" s="84">
        <f>IF($CB217="","",(2+IF(N($Q217)&gt;0,IF($R217="LR",2,1),0)))</f>
        <v/>
      </c>
      <c r="CE217" s="84">
        <f>IF(N($BJ217)=0,"",IF(OR($AL217="",$AL217="FLUSH"),"FLUSH",IFERROR(LEFT($AL217,FIND("-",$AL217)-1),LEFT($AL217,2))))</f>
        <v/>
      </c>
      <c r="CF217" s="84">
        <f>IF($CE217="","",IFERROR(VALUE(MID($AL217,FIND("-",$AL217)+1,FIND(CHAR(34)&amp;"x",$AL217)-FIND("-",$AL217)-1)),0))</f>
        <v/>
      </c>
      <c r="CG217" s="84">
        <f>IF($CE217="","",IFERROR(VALUE(MID($AL217,FIND(CHAR(34)&amp;"x",$AL217)+2,FIND(CHAR(34),$AL217,FIND(CHAR(34)&amp;"x",$AL217)+2)-FIND(CHAR(34)&amp;"x",$AL217)-2)),0))</f>
        <v/>
      </c>
      <c r="CH217" s="90">
        <f>IF(OR($A217="",$H217="",$H217="NO LAB"),0,IFERROR(VALUE(LEFT($H217,FIND(" ",$H217)-1)),0))</f>
        <v/>
      </c>
      <c r="CI217" s="91">
        <f>IF(OR($A217="",$I217="",$I217="NON-RATED",N($J217)=0),"",IFERROR(VLOOKUP($I217&amp;"|"&amp;$J217,IBC,2,FALSE),"?"))</f>
        <v/>
      </c>
      <c r="CJ217" s="85">
        <f>IF(NOT(AND($A217&lt;&gt;"",$C217&lt;&gt;"DOOR ONLY")),"",TRIM(IFERROR(VLOOKUP($U217,CODES,2,FALSE),"")&amp;" "&amp;$BG217&amp;" "&amp;IFERROR(VLOOKUP($Z217,CODES,2,FALSE),"")&amp;" "&amp;IFERROR(VLOOKUP($X217,CODES,2,FALSE),"")&amp;" "&amp;IFERROR(VLOOKUP($S217,CODES,2,FALSE),"")&amp;IF(N($P217)&gt;0," w/TRANSOM "&amp;$P217&amp;CHAR(34),"")&amp;IF(N($Q217)&gt;0," w/SIDELITE "&amp;$Q217&amp;CHAR(34)&amp;" "&amp;IF($R217="","R",$R217),"")&amp;IF($Y217="","  |  "," | "&amp;IFERROR(VLOOKUP($Y217,CODES,2,FALSE),"")&amp;" | ")&amp;IFERROR(VLOOKUP($AC217,CODES,2,FALSE),"")&amp;" "&amp;IFERROR(VLOOKUP($AD217,CODES,2,FALSE),"")&amp;IF(OR($AE217="",$AE217="-"),""," "&amp;$AE217)&amp;IF(OR($AF217="",$AF217="-"),""," "&amp;$AF217)&amp;IF($AB217="Y"," 4"&amp;CHAR(34)&amp;" HEAD","")&amp;" "&amp;IFERROR(VLOOKUP($H217,CODES,2,FALSE),"")&amp;IF($CT217," | LOC "&amp;$CY217,"")))</f>
        <v/>
      </c>
      <c r="CK217" s="85">
        <f>IF(NOT(AND($A217&lt;&gt;"",N($BJ217)&gt;0)),"",TRIM(IFERROR(VLOOKUP($AH217,CODES,2,FALSE),"")&amp;IF($AI217=""," "," "&amp;$AI217&amp;"GA ")&amp;$BG217&amp;" "&amp;IF($AN217="",IFERROR(VLOOKUP($Z217,CODES,2,FALSE),""),IFERROR(VLOOKUP($AN217,CODES,2,FALSE),""))&amp;IF($BJ217=2," PAIR","")&amp;" DOOR | "&amp;IF($AL217="","?",$AL217)&amp;" | "&amp;IF($AO217="",IFERROR(VLOOKUP($AC217,CODES,2,FALSE),""),IFERROR(VLOOKUP($AO217,CODES,2,FALSE),""))&amp;" "&amp;IFERROR(VLOOKUP($AP217,CODES,2,FALSE),"")&amp;IF(OR($AQ217="",$AQ217="-"),""," SEAM "&amp;$AQ217)&amp;IF($AR217="Y"," ASTRAGAL","")&amp;IF($AJ217=""," "," "&amp;$AJ217)&amp;IF($AK217=""," "," "&amp;$AK217)&amp;IF(OR($AT217="",$AT217="ANSI/SDI",$AT217="CUSTOM LOC"),""," "&amp;$AT217)&amp;IF($AM217=""," "," SERIES "&amp;$AM217)&amp;" "&amp;IFERROR(VLOOKUP($H217,CODES,2,FALSE),"")&amp;IF($CT217," | LOC "&amp;$CZ217,"")))</f>
        <v/>
      </c>
      <c r="CL217" s="84">
        <f>IF(CP217="","",IF(COUNTIF($CP$6:CP217,CP217)=1,MAX($CL$5:CL216)+1,INDEX($CL$5:CL216,MATCH(CP217,$CP$5:CP216,0))))</f>
        <v/>
      </c>
      <c r="CM217" s="84">
        <f>IF(NOT(AND($A217&lt;&gt;"",$C217&lt;&gt;"DOOR ONLY")),"",MAX($CM$5:CM216)+1)</f>
        <v/>
      </c>
      <c r="CN217" s="84">
        <f>IF(NOT(AND($A217&lt;&gt;"",N($BJ217)&gt;0)),"",MAX($CN$5:CN216)+1)</f>
        <v/>
      </c>
      <c r="CO217" s="84">
        <f>IF($A217="","",MAX($CO$5:CO216)+1)</f>
        <v/>
      </c>
      <c r="CP217" s="84">
        <f>IF(OR($A217="",$BH217="",$BI217=""),"",$BG217&amp;"|"&amp;$O217&amp;"|"&amp;$AL217&amp;"|"&amp;$S217&amp;"|"&amp;$P217&amp;"|"&amp;$Q217&amp;$R217&amp;"|"&amp;$C217&amp;"|"&amp;$AB217)</f>
        <v/>
      </c>
      <c r="CQ217" s="84">
        <f>N($BS217)</f>
        <v/>
      </c>
      <c r="CR217" s="84">
        <f>IF(N($AU217)&gt;0,N($AU217),4.5)</f>
        <v/>
      </c>
      <c r="CS217" s="84">
        <f>OR($A217="",$BI217="",$S217="BL",AND($C217="FRAME ONLY",OR($AC217="",$AC217="BLK")))</f>
        <v/>
      </c>
      <c r="CT217" s="84">
        <f>AND(NOT($CS217),OR($AT217="CUSTOM LOC",N($AW217)+N($AX217)+N($AY217)+N($AZ217)+N($BA217)&gt;0))</f>
        <v/>
      </c>
      <c r="CU217" s="84">
        <f>IF($BI217="","",IF($BI217&lt;=80,80,IF($BI217&lt;=84,84,96)))</f>
        <v/>
      </c>
      <c r="CV217" s="84">
        <f>ISNUMBER(MATCH($AT217&amp;"|80",LocKeys,0))</f>
        <v/>
      </c>
      <c r="CW217" s="86">
        <f>IF($CS217,"",IF($CV217,VLOOKUP($AT217&amp;"|"&amp;$CU217,LocTable,4,FALSE),5))</f>
        <v/>
      </c>
      <c r="CX217" s="86">
        <f>IF($CS217,"",IF($CV217,IF(OR($BI217=$CU217,AND($BI217&lt;$CU217,$BI217-IF(N(VLOOKUP($AT217&amp;"|"&amp;$CU217,LocTable,7,FALSE))&gt;0,VLOOKUP($AT217&amp;"|"&amp;$CU217,LocTable,7,FALSE),VLOOKUP($AT217&amp;"|"&amp;$CU217,LocTable,6,FALSE))-$CR217-0.75&gt;=2.125)),IF(N(VLOOKUP($AT217&amp;"|"&amp;$CU217,LocTable,7,FALSE))&gt;0,VLOOKUP($AT217&amp;"|"&amp;$CU217,LocTable,7,FALSE),VLOOKUP($AT217&amp;"|"&amp;$CU217,LocTable,6,FALSE)),$BI217-($CU217-IF(N(VLOOKUP($AT217&amp;"|"&amp;$CU217,LocTable,7,FALSE))&gt;0,VLOOKUP($AT217&amp;"|"&amp;$CU217,LocTable,7,FALSE),VLOOKUP($AT217&amp;"|"&amp;$CU217,LocTable,6,FALSE)))),$BI217-10-$CR217))</f>
        <v/>
      </c>
      <c r="CY217" s="85">
        <f>IF($CS217,"",TRIM(IF(ISNUMBER($BU217),"A "&amp;TRIM(TEXT($BU217,"# ?/??"))&amp;CHAR(34)&amp;"  ","")&amp;IF(ISNUMBER($BV217),"B "&amp;TRIM(TEXT($BV217,"# ?/??"))&amp;CHAR(34)&amp;"  ","")&amp;IF(ISNUMBER($BW217),"C "&amp;TRIM(TEXT($BW217,"# ?/??"))&amp;CHAR(34)&amp;"  ","")&amp;IF(ISNUMBER($BX217),"D "&amp;TRIM(TEXT($BX217,"# ?/??"))&amp;CHAR(34)&amp;"  ","")&amp;IF(ISNUMBER($BY217),"F "&amp;TRIM(TEXT($BY217,"# ?/??"))&amp;CHAR(34)&amp;"  ","")&amp;IF(ISNUMBER($BZ217),"E "&amp;TRIM(TEXT($BZ217,"# ?/??"))&amp;CHAR(34)&amp;"  ","")))</f>
        <v/>
      </c>
      <c r="CZ217" s="85">
        <f>IF(OR($CS217,N($BJ217)=0),"",TRIM(IF(ISNUMBER($BU217),"A "&amp;TRIM(TEXT($BU217-HeadClr,"# ?/??"))&amp;CHAR(34)&amp;"  ","")&amp;IF(ISNUMBER($BV217),"B "&amp;TRIM(TEXT($BV217-HeadClr,"# ?/??"))&amp;CHAR(34)&amp;"  ","")&amp;IF(ISNUMBER($BW217),"C "&amp;TRIM(TEXT($BW217-HeadClr,"# ?/??"))&amp;CHAR(34)&amp;"  ","")&amp;IF(ISNUMBER($BX217),"D "&amp;TRIM(TEXT($BX217-HeadClr,"# ?/??"))&amp;CHAR(34)&amp;"  ","")&amp;IF(ISNUMBER($BY217),"F "&amp;TRIM(TEXT($BY217-HeadClr,"# ?/??"))&amp;CHAR(34)&amp;"  ","")&amp;IF(ISNUMBER($BZ217),"E "&amp;TRIM(TEXT($BZ217-HeadClr,"# ?/??"))&amp;CHAR(34)&amp;"  ","")))</f>
        <v/>
      </c>
      <c r="DA217" s="84">
        <f>IF($A217="","",IF($AN217="",IFERROR(VLOOKUP($Z217,CODES,2,FALSE),""),IFERROR(VLOOKUP($AN217,CODES,2,FALSE),"")))</f>
        <v/>
      </c>
      <c r="DB217" s="84">
        <f>IF($A217="","",IF($O217="Y","PR",IF(OR($Z217="L",$Z217="RR",LEFT($Z217,2)="L-",LEFT($Z217,3)="RR-"),"LH","RH")))</f>
        <v/>
      </c>
      <c r="DC217" s="84">
        <f>IF($A217="","","S.HM"&amp;IF(OR($C217="DOOR ONLY",$X217&lt;&gt;"KD"),"MASONRY","DRYWALL")&amp;IF($C217="DOOR ONLY","",$U217)&amp;IF(AND($C217&lt;&gt;"FRAME ONLY",OR(LEFT($AH217,3)="OAK",LEFT($AH217,3)="BIR",LEFT($AH217,3)="MAP",$AH217="PC",$AH217="MC",$AH217="SCLC",$AH217="P-LAM")),"WD","HM")&amp;"1.75")</f>
        <v/>
      </c>
      <c r="DD217" s="84">
        <f>IF($CJ217="","",IF($O217="Y",$CJ217,SUBSTITUTE($CJ217,$BG217&amp;" "&amp;IFERROR(VLOOKUP($Z217,CODES,2,FALSE),"")&amp;" ",$BG217&amp;" ")))</f>
        <v/>
      </c>
      <c r="DE217" s="84">
        <f>IF($CK217="","",IF($O217="Y",$CK217,SUBSTITUTE($CK217,$BG217&amp;" "&amp;IF($AN217="",IFERROR(VLOOKUP($Z217,CODES,2,FALSE),""),IFERROR(VLOOKUP($AN217,CODES,2,FALSE),""))&amp;" ",$BG217&amp;" ")))</f>
        <v/>
      </c>
      <c r="DF217" s="84">
        <f>IF($CJ217="","",$DC217&amp;"|"&amp;$DD217&amp;"|"&amp;$DB217&amp;"|"&amp;$AT217&amp;"|"&amp;$V217&amp;"|"&amp;$Y217&amp;"|"&amp;$AB217)</f>
        <v/>
      </c>
      <c r="DG217" s="84">
        <f>IF(DF217="","",IF(COUNTIF($DF$6:DF217,DF217)=1,MAX($DG$5:DG216)+1,INDEX($DG$5:DG216,MATCH(DF217,$DF$5:DF216,0))))</f>
        <v/>
      </c>
      <c r="DH217" s="84">
        <f>IF($CK217="","",$DC217&amp;"|"&amp;$DE217&amp;"|"&amp;$AI217&amp;"|"&amp;$BK217&amp;"|"&amp;$BL217)</f>
        <v/>
      </c>
      <c r="DI217" s="84">
        <f>IF(DH217="","",IF(COUNTIF($DH$6:DH217,DH217)=1,MAX($DI$5:DI216)+1,INDEX($DI$5:DI216,MATCH(DH217,$DH$5:DH216,0))))</f>
        <v/>
      </c>
      <c r="DJ217" s="84">
        <f>IF($A217="","",IF($B217="","qty, ","")&amp;IF($C217="","scope, ","")&amp;IF(OR($K217="",$M217=""),"size, ","")&amp;IF(AND($A217&lt;&gt;"",$C217&lt;&gt;"DOOR ONLY"),IF($U217="","jamb depth, ","")&amp;IF($X217="","construction, ","")&amp;IF($Y217="","anchor, ","")&amp;IF($S217="","frame type, ",""),"")&amp;IF(AND(N($BJ217)&gt;0,$Z217=""),"hand, ","")&amp;IF(N($BJ217)&gt;0,IF($AH217="","door material, ","")&amp;IF($AL217="","face type, ","")&amp;IF($AP217="","lock prep, ","")&amp;IF(AND($AO217="",$AC217=""),"hinge prep, ",""),"")&amp;IF(AND($CH217&gt;0,$AH217="FRP"),"FRP cannot carry a label, ","")&amp;IF(AND($O217="Y",OR($Z217="L",$Z217="R",$Z217="LR",$Z217="RR")),"pair marked but hand is single, ","")&amp;IF(AND($O217&lt;&gt;"Y",OR($Z217="PR",AND(LEN($Z217)&gt;1,ISNUMBER(SEARCH("-",$Z217))))),"pair hand on a single door, ","")&amp;IF(AND(ISNUMBER($CI217),$CH217&lt;N($CI217)),"wall needs a "&amp;$CI217&amp;" min door, ","")&amp;IF(AND($CH217&gt;=180,AND(OR($CE217="FG",$CE217="HG",$CE217="FNV",$CE217="FV"),N($CF217)*N($CG217)&gt;100)),"180 min lite over 100 sq in, ","")&amp;IF(N($BK217)&gt;48,"leaf wider than 4'-0"&amp;CHAR(34)&amp;", ","")&amp;IF(AND($CT217,COUNT($AW217:$AZ217)=0,$CQ217&gt;0),"CUSTOM LOC with no locations typed, ",""))</f>
        <v/>
      </c>
      <c r="DK217" s="84">
        <f>IF($A217="","",IF(AND($CH217&gt;0,AND($A217&lt;&gt;"",$C217&lt;&gt;"DOOR ONLY"),$X217="KD",$E217="EXTERIOR"),"KD label on an exterior opening, ","")&amp;IF(AND($E217="EXTERIOR",OR(AND(AND($A217&lt;&gt;"",$C217&lt;&gt;"DOOR ONLY"),$W217="CR"),AND(N($BJ217)&gt;0,$AH217="CR"))),"exterior in CR steel (G9?), ","")&amp;IF(AND(ISNUMBER($BQ217),N($BQ217)&lt;32),"clear width ~"&amp;TEXT($BQ217,"0.0")&amp;CHAR(34)&amp;" under 32"&amp;CHAR(34)&amp;" (ADA), ","")&amp;IF(AND($CH217=90,AND(OR($CE217="FG",$CE217="HG",$CE217="FNV",$CE217="FV"),N($CF217)*N($CG217)&gt;100)),"90 min lite over 100 sq in (stair/exit), ","")&amp;IF(AND($CH217&gt;0,AND($A217&lt;&gt;"",$C217&lt;&gt;"DOOR ONLY"),OR($AF217="",$AF217="-")),"rated: closer reinf.?, ","")&amp;IF(OR($I217="CORRIDOR",$I217="SMOKE BARRIER"),"S label + smoke gasketing, ","")&amp;IF($CI217="?","wall type/hr not in IBC table, ","")&amp;IF(AND(N($BJ217)&gt;0,$BB217=""),"no hardware set, ","")&amp;IF(AND($BB217&lt;&gt;"",ISNA(MATCH($BB217&amp;"",HWSets,0))),"set "&amp;$BB217&amp;" not on HW Sets, ","")&amp;IF(N($BL217)&gt;96,"leaf over 8'-0"&amp;CHAR(34)&amp;" - check listing, ","")&amp;IF(AND($CT217,COUNT($AW217:$AZ217)&gt;0,COUNT($AW217:$AZ217)&lt;&gt;$CQ217),COUNT($AW217:$AZ217)&amp;" custom hinges typed, "&amp;$CQ217&amp;" expected, ","")&amp;IF(AND(ISNUMBER($CA217),OR(N($CA217)&lt;34,N($CA217)&gt;48)),"lock "&amp;TEXT($CA217,"0.0")&amp;CHAR(34)&amp;" AFF outside 34-48"&amp;CHAR(34)&amp;" (ADA), ","")&amp;IF(AND(ISNUMBER($AV217),ISNUMBER($BL217),N($AV217)&lt;IF(N($BL217)&lt;=60,2,IF(N($BL217)&lt;=90,3,IF(N($BL217)&lt;=120,4,5)))),"fewer hinges than standard, ",""))</f>
        <v/>
      </c>
    </row>
    <row r="218" ht="15" customHeight="1">
      <c r="A218" s="77" t="n"/>
      <c r="B218" s="78" t="n"/>
      <c r="C218" s="78" t="n"/>
      <c r="D218" s="78" t="n"/>
      <c r="E218" s="78" t="n"/>
      <c r="F218" s="78" t="n"/>
      <c r="G218" s="78" t="n"/>
      <c r="H218" s="78" t="n"/>
      <c r="I218" s="78" t="n"/>
      <c r="J218" s="78" t="n"/>
      <c r="K218" s="78" t="n"/>
      <c r="L218" s="78" t="n"/>
      <c r="M218" s="78" t="n"/>
      <c r="N218" s="78" t="n"/>
      <c r="O218" s="78" t="n"/>
      <c r="P218" s="78" t="n"/>
      <c r="Q218" s="78" t="n"/>
      <c r="R218" s="78" t="n"/>
      <c r="S218" s="79" t="n"/>
      <c r="T218" s="79" t="n"/>
      <c r="U218" s="79" t="n"/>
      <c r="V218" s="79" t="n"/>
      <c r="W218" s="79" t="n"/>
      <c r="X218" s="79" t="n"/>
      <c r="Y218" s="79" t="n"/>
      <c r="Z218" s="79" t="n"/>
      <c r="AA218" s="79" t="n"/>
      <c r="AB218" s="79" t="n"/>
      <c r="AC218" s="79" t="n"/>
      <c r="AD218" s="79" t="n"/>
      <c r="AE218" s="79" t="n"/>
      <c r="AF218" s="79" t="n"/>
      <c r="AG218" s="79" t="n"/>
      <c r="AH218" s="80" t="n"/>
      <c r="AI218" s="80" t="n"/>
      <c r="AJ218" s="80" t="n"/>
      <c r="AK218" s="80" t="n"/>
      <c r="AL218" s="80" t="n"/>
      <c r="AM218" s="80" t="n"/>
      <c r="AN218" s="80" t="n"/>
      <c r="AO218" s="80" t="n"/>
      <c r="AP218" s="80" t="n"/>
      <c r="AQ218" s="80" t="n"/>
      <c r="AR218" s="80" t="n"/>
      <c r="AS218" s="80" t="n"/>
      <c r="AT218" s="81" t="n"/>
      <c r="AU218" s="81" t="n"/>
      <c r="AV218" s="81" t="n"/>
      <c r="AW218" s="82" t="n"/>
      <c r="AX218" s="82" t="n"/>
      <c r="AY218" s="82" t="n"/>
      <c r="AZ218" s="82" t="n"/>
      <c r="BA218" s="82" t="n"/>
      <c r="BB218" s="83" t="n"/>
      <c r="BC218" s="83" t="n"/>
      <c r="BD218" s="84">
        <f>IF($A218="","",IF($DJ218&lt;&gt;"","FIX",IF($DK218&lt;&gt;"","CHECK","OK")))</f>
        <v/>
      </c>
      <c r="BE218" s="85">
        <f>IF($A218="","",IF($DJ218&lt;&gt;"","FIX: "&amp;LEFT($DJ218,LEN($DJ218)-2)&amp;IF($DK218&lt;&gt;"","  ·  ",""),"")&amp;IF($DK218&lt;&gt;"","CHECK: "&amp;LEFT($DK218,LEN($DK218)-2),""))</f>
        <v/>
      </c>
      <c r="BF218" s="84">
        <f>IF(OR($A218="",$K218=""),"",$K218&amp;"'-"&amp;N($L218)&amp;CHAR(34)&amp;" x "&amp;$M218&amp;"'-"&amp;N($N218)&amp;CHAR(34))</f>
        <v/>
      </c>
      <c r="BG218" s="84">
        <f>IF(OR($A218="",$K218=""),"",$K218&amp;N($L218)&amp;$M218&amp;N($N218))</f>
        <v/>
      </c>
      <c r="BH218" s="84">
        <f>IF(OR($A218="",$K218=""),"",$K218*12+N($L218))</f>
        <v/>
      </c>
      <c r="BI218" s="84">
        <f>IF(OR($A218="",$M218=""),"",$M218*12+N($N218))</f>
        <v/>
      </c>
      <c r="BJ218" s="84">
        <f>IF($A218="","",IF(OR($C218="FRAME ONLY",$S218="BL"),0,IF($O218="Y",2,1)))</f>
        <v/>
      </c>
      <c r="BK218" s="86">
        <f>IF(OR(N($BJ218)=0,$BH218=""),"",($BH218-2*EdgeClr-IF($BJ218=2,MeetClr,0))/$BJ218)</f>
        <v/>
      </c>
      <c r="BL218" s="86">
        <f>IF(OR(N($BJ218)=0,$BI218=""),"",$BI218-HeadClr-Undercut)</f>
        <v/>
      </c>
      <c r="BM218" s="86">
        <f>IF($BH218="","",$BH218+2*FaceW+IF(N($Q218)&gt;0,($Q218+FaceW)*IF($R218="LR",2,1),0))</f>
        <v/>
      </c>
      <c r="BN218" s="86">
        <f>IF($BI218="","",$BI218+IF($AB218="Y",4,FaceW)+IF(N($P218)&gt;0,$P218+FaceW,0)+IF(OR($S218="4F",$S218="BL"),FaceW,0))</f>
        <v/>
      </c>
      <c r="BO218" s="86">
        <f>IF($BM218="","",$BM218+2*ROSide)</f>
        <v/>
      </c>
      <c r="BP218" s="86">
        <f>IF($BN218="","",$BN218+ROTop)</f>
        <v/>
      </c>
      <c r="BQ218" s="87">
        <f>IF(OR(N($BJ218)=0,$BH218=""),"",$BH218/$BJ218-ClearDeduct)</f>
        <v/>
      </c>
      <c r="BR218" s="84">
        <f>IF(N($CH218)=0,"",IF($CH218&gt;=180,"A · 3 HR",IF($CH218&gt;=90,"B · 1-1/2 HR",IF($CH218&gt;=60,"B · 1 HR",IF($CH218&gt;=45,"C · 3/4 HR","20 MIN")))))&amp;IF(AND(N($CH218)&gt;0,OR($I218="CORRIDOR",$I218="SMOKE BARRIER"))," · S","")</f>
        <v/>
      </c>
      <c r="BS218" s="84">
        <f>IF($CS218,"",IF($AV218&lt;&gt;"",$AV218,IF(OR($AC218="HGC",$AO218="HGC"),"CONT",IF(($BI218-HeadClr-Undercut)&lt;=60,2,IF(($BI218-HeadClr-Undercut)&lt;=90,3,IF(($BI218-HeadClr-Undercut)&lt;=120,4,5))))))</f>
        <v/>
      </c>
      <c r="BT218" s="84">
        <f>IF($CS218,"",IF($CT218,"CUSTOM (typed)",IF($CV218,$AT218&amp;" "&amp;$CU218&amp;CHAR(34)&amp;IF($CU218&lt;&gt;$BI218,IF(AND($BI218&lt;$CU218,$BI218-IF(N(VLOOKUP($AT218&amp;"|"&amp;$CU218,LocTable,7,FALSE))&gt;0,VLOOKUP($AT218&amp;"|"&amp;$CU218,LocTable,7,FALSE),VLOOKUP($AT218&amp;"|"&amp;$CU218,LocTable,6,FALSE))-$CR218-0.75&gt;=2.125)," cut down"," adj."),""),"ANSI/SDI A250.6")))</f>
        <v/>
      </c>
      <c r="BU218" s="88">
        <f>IF($CS218,"",IF($CT218,IF(N($AW218)&gt;0,N($AW218),""),IF(1&gt;$CQ218,"",IF($CQ218=1,$CW218,$CW218+($CX218-$CW218)*0/($CQ218-1)))))</f>
        <v/>
      </c>
      <c r="BV218" s="88">
        <f>IF($CS218,"",IF($CT218,IF(N($AX218)&gt;0,N($AX218),""),IF(2&gt;$CQ218,"",IF($CQ218=1,$CW218,$CW218+($CX218-$CW218)*1/($CQ218-1)))))</f>
        <v/>
      </c>
      <c r="BW218" s="88">
        <f>IF($CS218,"",IF($CT218,IF(N($AY218)&gt;0,N($AY218),""),IF(3&gt;$CQ218,"",IF($CQ218=1,$CW218,$CW218+($CX218-$CW218)*2/($CQ218-1)))))</f>
        <v/>
      </c>
      <c r="BX218" s="88">
        <f>IF($CS218,"",IF($CT218,IF(N($AZ218)&gt;0,N($AZ218),""),IF(4&gt;$CQ218,"",IF($CQ218=1,$CW218,$CW218+($CX218-$CW218)*3/($CQ218-1)))))</f>
        <v/>
      </c>
      <c r="BY218" s="88">
        <f>IF($CS218,"",IF($CT218,"",IF(5&gt;$CQ218,"",IF($CQ218=1,$CW218,$CW218+($CX218-$CW218)*4/($CQ218-1)))))</f>
        <v/>
      </c>
      <c r="BZ218" s="88">
        <f>IF(OR($CS218,$AP218="-",AND($AP218="",$AD218="")),"",IF(N($BA218)&gt;0,N($BA218),IF($CV218,IF(AND($BI218&lt;$CU218,$BI218-IF(N(VLOOKUP($AT218&amp;"|"&amp;$CU218,LocTable,7,FALSE))&gt;0,VLOOKUP($AT218&amp;"|"&amp;$CU218,LocTable,7,FALSE),VLOOKUP($AT218&amp;"|"&amp;$CU218,LocTable,6,FALSE))-$CR218-0.75&gt;=2.125),VLOOKUP($AT218&amp;"|"&amp;$CU218,LocTable,8,FALSE),VLOOKUP($AT218&amp;"|"&amp;$CU218,LocTable,8,FALSE)+($BI218-$CU218)),$BI218-LockAFF)))</f>
        <v/>
      </c>
      <c r="CA218" s="89">
        <f>IF($BZ218="","",$BI218-$BZ218)</f>
        <v/>
      </c>
      <c r="CB218" s="84">
        <f>IF(OR(NOT(AND($A218&lt;&gt;"",$C218&lt;&gt;"DOOR ONLY")),$BI218=""),"",IF(($BI218+IF(N($P218)&gt;0,$P218+FaceW,0))&lt;=90,3,IF(($BI218+IF(N($P218)&gt;0,$P218+FaceW,0))&lt;=114,4,5)))</f>
        <v/>
      </c>
      <c r="CC218" s="84">
        <f>IF($CB218="","",$CB218*(2+IF(N($Q218)&gt;0,IF($R218="LR",2,1),0)))</f>
        <v/>
      </c>
      <c r="CD218" s="84">
        <f>IF($CB218="","",(2+IF(N($Q218)&gt;0,IF($R218="LR",2,1),0)))</f>
        <v/>
      </c>
      <c r="CE218" s="84">
        <f>IF(N($BJ218)=0,"",IF(OR($AL218="",$AL218="FLUSH"),"FLUSH",IFERROR(LEFT($AL218,FIND("-",$AL218)-1),LEFT($AL218,2))))</f>
        <v/>
      </c>
      <c r="CF218" s="84">
        <f>IF($CE218="","",IFERROR(VALUE(MID($AL218,FIND("-",$AL218)+1,FIND(CHAR(34)&amp;"x",$AL218)-FIND("-",$AL218)-1)),0))</f>
        <v/>
      </c>
      <c r="CG218" s="84">
        <f>IF($CE218="","",IFERROR(VALUE(MID($AL218,FIND(CHAR(34)&amp;"x",$AL218)+2,FIND(CHAR(34),$AL218,FIND(CHAR(34)&amp;"x",$AL218)+2)-FIND(CHAR(34)&amp;"x",$AL218)-2)),0))</f>
        <v/>
      </c>
      <c r="CH218" s="90">
        <f>IF(OR($A218="",$H218="",$H218="NO LAB"),0,IFERROR(VALUE(LEFT($H218,FIND(" ",$H218)-1)),0))</f>
        <v/>
      </c>
      <c r="CI218" s="91">
        <f>IF(OR($A218="",$I218="",$I218="NON-RATED",N($J218)=0),"",IFERROR(VLOOKUP($I218&amp;"|"&amp;$J218,IBC,2,FALSE),"?"))</f>
        <v/>
      </c>
      <c r="CJ218" s="85">
        <f>IF(NOT(AND($A218&lt;&gt;"",$C218&lt;&gt;"DOOR ONLY")),"",TRIM(IFERROR(VLOOKUP($U218,CODES,2,FALSE),"")&amp;" "&amp;$BG218&amp;" "&amp;IFERROR(VLOOKUP($Z218,CODES,2,FALSE),"")&amp;" "&amp;IFERROR(VLOOKUP($X218,CODES,2,FALSE),"")&amp;" "&amp;IFERROR(VLOOKUP($S218,CODES,2,FALSE),"")&amp;IF(N($P218)&gt;0," w/TRANSOM "&amp;$P218&amp;CHAR(34),"")&amp;IF(N($Q218)&gt;0," w/SIDELITE "&amp;$Q218&amp;CHAR(34)&amp;" "&amp;IF($R218="","R",$R218),"")&amp;IF($Y218="","  |  "," | "&amp;IFERROR(VLOOKUP($Y218,CODES,2,FALSE),"")&amp;" | ")&amp;IFERROR(VLOOKUP($AC218,CODES,2,FALSE),"")&amp;" "&amp;IFERROR(VLOOKUP($AD218,CODES,2,FALSE),"")&amp;IF(OR($AE218="",$AE218="-"),""," "&amp;$AE218)&amp;IF(OR($AF218="",$AF218="-"),""," "&amp;$AF218)&amp;IF($AB218="Y"," 4"&amp;CHAR(34)&amp;" HEAD","")&amp;" "&amp;IFERROR(VLOOKUP($H218,CODES,2,FALSE),"")&amp;IF($CT218," | LOC "&amp;$CY218,"")))</f>
        <v/>
      </c>
      <c r="CK218" s="85">
        <f>IF(NOT(AND($A218&lt;&gt;"",N($BJ218)&gt;0)),"",TRIM(IFERROR(VLOOKUP($AH218,CODES,2,FALSE),"")&amp;IF($AI218=""," "," "&amp;$AI218&amp;"GA ")&amp;$BG218&amp;" "&amp;IF($AN218="",IFERROR(VLOOKUP($Z218,CODES,2,FALSE),""),IFERROR(VLOOKUP($AN218,CODES,2,FALSE),""))&amp;IF($BJ218=2," PAIR","")&amp;" DOOR | "&amp;IF($AL218="","?",$AL218)&amp;" | "&amp;IF($AO218="",IFERROR(VLOOKUP($AC218,CODES,2,FALSE),""),IFERROR(VLOOKUP($AO218,CODES,2,FALSE),""))&amp;" "&amp;IFERROR(VLOOKUP($AP218,CODES,2,FALSE),"")&amp;IF(OR($AQ218="",$AQ218="-"),""," SEAM "&amp;$AQ218)&amp;IF($AR218="Y"," ASTRAGAL","")&amp;IF($AJ218=""," "," "&amp;$AJ218)&amp;IF($AK218=""," "," "&amp;$AK218)&amp;IF(OR($AT218="",$AT218="ANSI/SDI",$AT218="CUSTOM LOC"),""," "&amp;$AT218)&amp;IF($AM218=""," "," SERIES "&amp;$AM218)&amp;" "&amp;IFERROR(VLOOKUP($H218,CODES,2,FALSE),"")&amp;IF($CT218," | LOC "&amp;$CZ218,"")))</f>
        <v/>
      </c>
      <c r="CL218" s="84">
        <f>IF(CP218="","",IF(COUNTIF($CP$6:CP218,CP218)=1,MAX($CL$5:CL217)+1,INDEX($CL$5:CL217,MATCH(CP218,$CP$5:CP217,0))))</f>
        <v/>
      </c>
      <c r="CM218" s="84">
        <f>IF(NOT(AND($A218&lt;&gt;"",$C218&lt;&gt;"DOOR ONLY")),"",MAX($CM$5:CM217)+1)</f>
        <v/>
      </c>
      <c r="CN218" s="84">
        <f>IF(NOT(AND($A218&lt;&gt;"",N($BJ218)&gt;0)),"",MAX($CN$5:CN217)+1)</f>
        <v/>
      </c>
      <c r="CO218" s="84">
        <f>IF($A218="","",MAX($CO$5:CO217)+1)</f>
        <v/>
      </c>
      <c r="CP218" s="84">
        <f>IF(OR($A218="",$BH218="",$BI218=""),"",$BG218&amp;"|"&amp;$O218&amp;"|"&amp;$AL218&amp;"|"&amp;$S218&amp;"|"&amp;$P218&amp;"|"&amp;$Q218&amp;$R218&amp;"|"&amp;$C218&amp;"|"&amp;$AB218)</f>
        <v/>
      </c>
      <c r="CQ218" s="84">
        <f>N($BS218)</f>
        <v/>
      </c>
      <c r="CR218" s="84">
        <f>IF(N($AU218)&gt;0,N($AU218),4.5)</f>
        <v/>
      </c>
      <c r="CS218" s="84">
        <f>OR($A218="",$BI218="",$S218="BL",AND($C218="FRAME ONLY",OR($AC218="",$AC218="BLK")))</f>
        <v/>
      </c>
      <c r="CT218" s="84">
        <f>AND(NOT($CS218),OR($AT218="CUSTOM LOC",N($AW218)+N($AX218)+N($AY218)+N($AZ218)+N($BA218)&gt;0))</f>
        <v/>
      </c>
      <c r="CU218" s="84">
        <f>IF($BI218="","",IF($BI218&lt;=80,80,IF($BI218&lt;=84,84,96)))</f>
        <v/>
      </c>
      <c r="CV218" s="84">
        <f>ISNUMBER(MATCH($AT218&amp;"|80",LocKeys,0))</f>
        <v/>
      </c>
      <c r="CW218" s="86">
        <f>IF($CS218,"",IF($CV218,VLOOKUP($AT218&amp;"|"&amp;$CU218,LocTable,4,FALSE),5))</f>
        <v/>
      </c>
      <c r="CX218" s="86">
        <f>IF($CS218,"",IF($CV218,IF(OR($BI218=$CU218,AND($BI218&lt;$CU218,$BI218-IF(N(VLOOKUP($AT218&amp;"|"&amp;$CU218,LocTable,7,FALSE))&gt;0,VLOOKUP($AT218&amp;"|"&amp;$CU218,LocTable,7,FALSE),VLOOKUP($AT218&amp;"|"&amp;$CU218,LocTable,6,FALSE))-$CR218-0.75&gt;=2.125)),IF(N(VLOOKUP($AT218&amp;"|"&amp;$CU218,LocTable,7,FALSE))&gt;0,VLOOKUP($AT218&amp;"|"&amp;$CU218,LocTable,7,FALSE),VLOOKUP($AT218&amp;"|"&amp;$CU218,LocTable,6,FALSE)),$BI218-($CU218-IF(N(VLOOKUP($AT218&amp;"|"&amp;$CU218,LocTable,7,FALSE))&gt;0,VLOOKUP($AT218&amp;"|"&amp;$CU218,LocTable,7,FALSE),VLOOKUP($AT218&amp;"|"&amp;$CU218,LocTable,6,FALSE)))),$BI218-10-$CR218))</f>
        <v/>
      </c>
      <c r="CY218" s="85">
        <f>IF($CS218,"",TRIM(IF(ISNUMBER($BU218),"A "&amp;TRIM(TEXT($BU218,"# ?/??"))&amp;CHAR(34)&amp;"  ","")&amp;IF(ISNUMBER($BV218),"B "&amp;TRIM(TEXT($BV218,"# ?/??"))&amp;CHAR(34)&amp;"  ","")&amp;IF(ISNUMBER($BW218),"C "&amp;TRIM(TEXT($BW218,"# ?/??"))&amp;CHAR(34)&amp;"  ","")&amp;IF(ISNUMBER($BX218),"D "&amp;TRIM(TEXT($BX218,"# ?/??"))&amp;CHAR(34)&amp;"  ","")&amp;IF(ISNUMBER($BY218),"F "&amp;TRIM(TEXT($BY218,"# ?/??"))&amp;CHAR(34)&amp;"  ","")&amp;IF(ISNUMBER($BZ218),"E "&amp;TRIM(TEXT($BZ218,"# ?/??"))&amp;CHAR(34)&amp;"  ","")))</f>
        <v/>
      </c>
      <c r="CZ218" s="85">
        <f>IF(OR($CS218,N($BJ218)=0),"",TRIM(IF(ISNUMBER($BU218),"A "&amp;TRIM(TEXT($BU218-HeadClr,"# ?/??"))&amp;CHAR(34)&amp;"  ","")&amp;IF(ISNUMBER($BV218),"B "&amp;TRIM(TEXT($BV218-HeadClr,"# ?/??"))&amp;CHAR(34)&amp;"  ","")&amp;IF(ISNUMBER($BW218),"C "&amp;TRIM(TEXT($BW218-HeadClr,"# ?/??"))&amp;CHAR(34)&amp;"  ","")&amp;IF(ISNUMBER($BX218),"D "&amp;TRIM(TEXT($BX218-HeadClr,"# ?/??"))&amp;CHAR(34)&amp;"  ","")&amp;IF(ISNUMBER($BY218),"F "&amp;TRIM(TEXT($BY218-HeadClr,"# ?/??"))&amp;CHAR(34)&amp;"  ","")&amp;IF(ISNUMBER($BZ218),"E "&amp;TRIM(TEXT($BZ218-HeadClr,"# ?/??"))&amp;CHAR(34)&amp;"  ","")))</f>
        <v/>
      </c>
      <c r="DA218" s="84">
        <f>IF($A218="","",IF($AN218="",IFERROR(VLOOKUP($Z218,CODES,2,FALSE),""),IFERROR(VLOOKUP($AN218,CODES,2,FALSE),"")))</f>
        <v/>
      </c>
      <c r="DB218" s="84">
        <f>IF($A218="","",IF($O218="Y","PR",IF(OR($Z218="L",$Z218="RR",LEFT($Z218,2)="L-",LEFT($Z218,3)="RR-"),"LH","RH")))</f>
        <v/>
      </c>
      <c r="DC218" s="84">
        <f>IF($A218="","","S.HM"&amp;IF(OR($C218="DOOR ONLY",$X218&lt;&gt;"KD"),"MASONRY","DRYWALL")&amp;IF($C218="DOOR ONLY","",$U218)&amp;IF(AND($C218&lt;&gt;"FRAME ONLY",OR(LEFT($AH218,3)="OAK",LEFT($AH218,3)="BIR",LEFT($AH218,3)="MAP",$AH218="PC",$AH218="MC",$AH218="SCLC",$AH218="P-LAM")),"WD","HM")&amp;"1.75")</f>
        <v/>
      </c>
      <c r="DD218" s="84">
        <f>IF($CJ218="","",IF($O218="Y",$CJ218,SUBSTITUTE($CJ218,$BG218&amp;" "&amp;IFERROR(VLOOKUP($Z218,CODES,2,FALSE),"")&amp;" ",$BG218&amp;" ")))</f>
        <v/>
      </c>
      <c r="DE218" s="84">
        <f>IF($CK218="","",IF($O218="Y",$CK218,SUBSTITUTE($CK218,$BG218&amp;" "&amp;IF($AN218="",IFERROR(VLOOKUP($Z218,CODES,2,FALSE),""),IFERROR(VLOOKUP($AN218,CODES,2,FALSE),""))&amp;" ",$BG218&amp;" ")))</f>
        <v/>
      </c>
      <c r="DF218" s="84">
        <f>IF($CJ218="","",$DC218&amp;"|"&amp;$DD218&amp;"|"&amp;$DB218&amp;"|"&amp;$AT218&amp;"|"&amp;$V218&amp;"|"&amp;$Y218&amp;"|"&amp;$AB218)</f>
        <v/>
      </c>
      <c r="DG218" s="84">
        <f>IF(DF218="","",IF(COUNTIF($DF$6:DF218,DF218)=1,MAX($DG$5:DG217)+1,INDEX($DG$5:DG217,MATCH(DF218,$DF$5:DF217,0))))</f>
        <v/>
      </c>
      <c r="DH218" s="84">
        <f>IF($CK218="","",$DC218&amp;"|"&amp;$DE218&amp;"|"&amp;$AI218&amp;"|"&amp;$BK218&amp;"|"&amp;$BL218)</f>
        <v/>
      </c>
      <c r="DI218" s="84">
        <f>IF(DH218="","",IF(COUNTIF($DH$6:DH218,DH218)=1,MAX($DI$5:DI217)+1,INDEX($DI$5:DI217,MATCH(DH218,$DH$5:DH217,0))))</f>
        <v/>
      </c>
      <c r="DJ218" s="84">
        <f>IF($A218="","",IF($B218="","qty, ","")&amp;IF($C218="","scope, ","")&amp;IF(OR($K218="",$M218=""),"size, ","")&amp;IF(AND($A218&lt;&gt;"",$C218&lt;&gt;"DOOR ONLY"),IF($U218="","jamb depth, ","")&amp;IF($X218="","construction, ","")&amp;IF($Y218="","anchor, ","")&amp;IF($S218="","frame type, ",""),"")&amp;IF(AND(N($BJ218)&gt;0,$Z218=""),"hand, ","")&amp;IF(N($BJ218)&gt;0,IF($AH218="","door material, ","")&amp;IF($AL218="","face type, ","")&amp;IF($AP218="","lock prep, ","")&amp;IF(AND($AO218="",$AC218=""),"hinge prep, ",""),"")&amp;IF(AND($CH218&gt;0,$AH218="FRP"),"FRP cannot carry a label, ","")&amp;IF(AND($O218="Y",OR($Z218="L",$Z218="R",$Z218="LR",$Z218="RR")),"pair marked but hand is single, ","")&amp;IF(AND($O218&lt;&gt;"Y",OR($Z218="PR",AND(LEN($Z218)&gt;1,ISNUMBER(SEARCH("-",$Z218))))),"pair hand on a single door, ","")&amp;IF(AND(ISNUMBER($CI218),$CH218&lt;N($CI218)),"wall needs a "&amp;$CI218&amp;" min door, ","")&amp;IF(AND($CH218&gt;=180,AND(OR($CE218="FG",$CE218="HG",$CE218="FNV",$CE218="FV"),N($CF218)*N($CG218)&gt;100)),"180 min lite over 100 sq in, ","")&amp;IF(N($BK218)&gt;48,"leaf wider than 4'-0"&amp;CHAR(34)&amp;", ","")&amp;IF(AND($CT218,COUNT($AW218:$AZ218)=0,$CQ218&gt;0),"CUSTOM LOC with no locations typed, ",""))</f>
        <v/>
      </c>
      <c r="DK218" s="84">
        <f>IF($A218="","",IF(AND($CH218&gt;0,AND($A218&lt;&gt;"",$C218&lt;&gt;"DOOR ONLY"),$X218="KD",$E218="EXTERIOR"),"KD label on an exterior opening, ","")&amp;IF(AND($E218="EXTERIOR",OR(AND(AND($A218&lt;&gt;"",$C218&lt;&gt;"DOOR ONLY"),$W218="CR"),AND(N($BJ218)&gt;0,$AH218="CR"))),"exterior in CR steel (G9?), ","")&amp;IF(AND(ISNUMBER($BQ218),N($BQ218)&lt;32),"clear width ~"&amp;TEXT($BQ218,"0.0")&amp;CHAR(34)&amp;" under 32"&amp;CHAR(34)&amp;" (ADA), ","")&amp;IF(AND($CH218=90,AND(OR($CE218="FG",$CE218="HG",$CE218="FNV",$CE218="FV"),N($CF218)*N($CG218)&gt;100)),"90 min lite over 100 sq in (stair/exit), ","")&amp;IF(AND($CH218&gt;0,AND($A218&lt;&gt;"",$C218&lt;&gt;"DOOR ONLY"),OR($AF218="",$AF218="-")),"rated: closer reinf.?, ","")&amp;IF(OR($I218="CORRIDOR",$I218="SMOKE BARRIER"),"S label + smoke gasketing, ","")&amp;IF($CI218="?","wall type/hr not in IBC table, ","")&amp;IF(AND(N($BJ218)&gt;0,$BB218=""),"no hardware set, ","")&amp;IF(AND($BB218&lt;&gt;"",ISNA(MATCH($BB218&amp;"",HWSets,0))),"set "&amp;$BB218&amp;" not on HW Sets, ","")&amp;IF(N($BL218)&gt;96,"leaf over 8'-0"&amp;CHAR(34)&amp;" - check listing, ","")&amp;IF(AND($CT218,COUNT($AW218:$AZ218)&gt;0,COUNT($AW218:$AZ218)&lt;&gt;$CQ218),COUNT($AW218:$AZ218)&amp;" custom hinges typed, "&amp;$CQ218&amp;" expected, ","")&amp;IF(AND(ISNUMBER($CA218),OR(N($CA218)&lt;34,N($CA218)&gt;48)),"lock "&amp;TEXT($CA218,"0.0")&amp;CHAR(34)&amp;" AFF outside 34-48"&amp;CHAR(34)&amp;" (ADA), ","")&amp;IF(AND(ISNUMBER($AV218),ISNUMBER($BL218),N($AV218)&lt;IF(N($BL218)&lt;=60,2,IF(N($BL218)&lt;=90,3,IF(N($BL218)&lt;=120,4,5)))),"fewer hinges than standard, ",""))</f>
        <v/>
      </c>
    </row>
    <row r="219" ht="15" customHeight="1">
      <c r="A219" s="77" t="n"/>
      <c r="B219" s="78" t="n"/>
      <c r="C219" s="78" t="n"/>
      <c r="D219" s="78" t="n"/>
      <c r="E219" s="78" t="n"/>
      <c r="F219" s="78" t="n"/>
      <c r="G219" s="78" t="n"/>
      <c r="H219" s="78" t="n"/>
      <c r="I219" s="78" t="n"/>
      <c r="J219" s="78" t="n"/>
      <c r="K219" s="78" t="n"/>
      <c r="L219" s="78" t="n"/>
      <c r="M219" s="78" t="n"/>
      <c r="N219" s="78" t="n"/>
      <c r="O219" s="78" t="n"/>
      <c r="P219" s="78" t="n"/>
      <c r="Q219" s="78" t="n"/>
      <c r="R219" s="78" t="n"/>
      <c r="S219" s="79" t="n"/>
      <c r="T219" s="79" t="n"/>
      <c r="U219" s="79" t="n"/>
      <c r="V219" s="79" t="n"/>
      <c r="W219" s="79" t="n"/>
      <c r="X219" s="79" t="n"/>
      <c r="Y219" s="79" t="n"/>
      <c r="Z219" s="79" t="n"/>
      <c r="AA219" s="79" t="n"/>
      <c r="AB219" s="79" t="n"/>
      <c r="AC219" s="79" t="n"/>
      <c r="AD219" s="79" t="n"/>
      <c r="AE219" s="79" t="n"/>
      <c r="AF219" s="79" t="n"/>
      <c r="AG219" s="79" t="n"/>
      <c r="AH219" s="80" t="n"/>
      <c r="AI219" s="80" t="n"/>
      <c r="AJ219" s="80" t="n"/>
      <c r="AK219" s="80" t="n"/>
      <c r="AL219" s="80" t="n"/>
      <c r="AM219" s="80" t="n"/>
      <c r="AN219" s="80" t="n"/>
      <c r="AO219" s="80" t="n"/>
      <c r="AP219" s="80" t="n"/>
      <c r="AQ219" s="80" t="n"/>
      <c r="AR219" s="80" t="n"/>
      <c r="AS219" s="80" t="n"/>
      <c r="AT219" s="81" t="n"/>
      <c r="AU219" s="81" t="n"/>
      <c r="AV219" s="81" t="n"/>
      <c r="AW219" s="82" t="n"/>
      <c r="AX219" s="82" t="n"/>
      <c r="AY219" s="82" t="n"/>
      <c r="AZ219" s="82" t="n"/>
      <c r="BA219" s="82" t="n"/>
      <c r="BB219" s="83" t="n"/>
      <c r="BC219" s="83" t="n"/>
      <c r="BD219" s="84">
        <f>IF($A219="","",IF($DJ219&lt;&gt;"","FIX",IF($DK219&lt;&gt;"","CHECK","OK")))</f>
        <v/>
      </c>
      <c r="BE219" s="85">
        <f>IF($A219="","",IF($DJ219&lt;&gt;"","FIX: "&amp;LEFT($DJ219,LEN($DJ219)-2)&amp;IF($DK219&lt;&gt;"","  ·  ",""),"")&amp;IF($DK219&lt;&gt;"","CHECK: "&amp;LEFT($DK219,LEN($DK219)-2),""))</f>
        <v/>
      </c>
      <c r="BF219" s="84">
        <f>IF(OR($A219="",$K219=""),"",$K219&amp;"'-"&amp;N($L219)&amp;CHAR(34)&amp;" x "&amp;$M219&amp;"'-"&amp;N($N219)&amp;CHAR(34))</f>
        <v/>
      </c>
      <c r="BG219" s="84">
        <f>IF(OR($A219="",$K219=""),"",$K219&amp;N($L219)&amp;$M219&amp;N($N219))</f>
        <v/>
      </c>
      <c r="BH219" s="84">
        <f>IF(OR($A219="",$K219=""),"",$K219*12+N($L219))</f>
        <v/>
      </c>
      <c r="BI219" s="84">
        <f>IF(OR($A219="",$M219=""),"",$M219*12+N($N219))</f>
        <v/>
      </c>
      <c r="BJ219" s="84">
        <f>IF($A219="","",IF(OR($C219="FRAME ONLY",$S219="BL"),0,IF($O219="Y",2,1)))</f>
        <v/>
      </c>
      <c r="BK219" s="86">
        <f>IF(OR(N($BJ219)=0,$BH219=""),"",($BH219-2*EdgeClr-IF($BJ219=2,MeetClr,0))/$BJ219)</f>
        <v/>
      </c>
      <c r="BL219" s="86">
        <f>IF(OR(N($BJ219)=0,$BI219=""),"",$BI219-HeadClr-Undercut)</f>
        <v/>
      </c>
      <c r="BM219" s="86">
        <f>IF($BH219="","",$BH219+2*FaceW+IF(N($Q219)&gt;0,($Q219+FaceW)*IF($R219="LR",2,1),0))</f>
        <v/>
      </c>
      <c r="BN219" s="86">
        <f>IF($BI219="","",$BI219+IF($AB219="Y",4,FaceW)+IF(N($P219)&gt;0,$P219+FaceW,0)+IF(OR($S219="4F",$S219="BL"),FaceW,0))</f>
        <v/>
      </c>
      <c r="BO219" s="86">
        <f>IF($BM219="","",$BM219+2*ROSide)</f>
        <v/>
      </c>
      <c r="BP219" s="86">
        <f>IF($BN219="","",$BN219+ROTop)</f>
        <v/>
      </c>
      <c r="BQ219" s="87">
        <f>IF(OR(N($BJ219)=0,$BH219=""),"",$BH219/$BJ219-ClearDeduct)</f>
        <v/>
      </c>
      <c r="BR219" s="84">
        <f>IF(N($CH219)=0,"",IF($CH219&gt;=180,"A · 3 HR",IF($CH219&gt;=90,"B · 1-1/2 HR",IF($CH219&gt;=60,"B · 1 HR",IF($CH219&gt;=45,"C · 3/4 HR","20 MIN")))))&amp;IF(AND(N($CH219)&gt;0,OR($I219="CORRIDOR",$I219="SMOKE BARRIER"))," · S","")</f>
        <v/>
      </c>
      <c r="BS219" s="84">
        <f>IF($CS219,"",IF($AV219&lt;&gt;"",$AV219,IF(OR($AC219="HGC",$AO219="HGC"),"CONT",IF(($BI219-HeadClr-Undercut)&lt;=60,2,IF(($BI219-HeadClr-Undercut)&lt;=90,3,IF(($BI219-HeadClr-Undercut)&lt;=120,4,5))))))</f>
        <v/>
      </c>
      <c r="BT219" s="84">
        <f>IF($CS219,"",IF($CT219,"CUSTOM (typed)",IF($CV219,$AT219&amp;" "&amp;$CU219&amp;CHAR(34)&amp;IF($CU219&lt;&gt;$BI219,IF(AND($BI219&lt;$CU219,$BI219-IF(N(VLOOKUP($AT219&amp;"|"&amp;$CU219,LocTable,7,FALSE))&gt;0,VLOOKUP($AT219&amp;"|"&amp;$CU219,LocTable,7,FALSE),VLOOKUP($AT219&amp;"|"&amp;$CU219,LocTable,6,FALSE))-$CR219-0.75&gt;=2.125)," cut down"," adj."),""),"ANSI/SDI A250.6")))</f>
        <v/>
      </c>
      <c r="BU219" s="88">
        <f>IF($CS219,"",IF($CT219,IF(N($AW219)&gt;0,N($AW219),""),IF(1&gt;$CQ219,"",IF($CQ219=1,$CW219,$CW219+($CX219-$CW219)*0/($CQ219-1)))))</f>
        <v/>
      </c>
      <c r="BV219" s="88">
        <f>IF($CS219,"",IF($CT219,IF(N($AX219)&gt;0,N($AX219),""),IF(2&gt;$CQ219,"",IF($CQ219=1,$CW219,$CW219+($CX219-$CW219)*1/($CQ219-1)))))</f>
        <v/>
      </c>
      <c r="BW219" s="88">
        <f>IF($CS219,"",IF($CT219,IF(N($AY219)&gt;0,N($AY219),""),IF(3&gt;$CQ219,"",IF($CQ219=1,$CW219,$CW219+($CX219-$CW219)*2/($CQ219-1)))))</f>
        <v/>
      </c>
      <c r="BX219" s="88">
        <f>IF($CS219,"",IF($CT219,IF(N($AZ219)&gt;0,N($AZ219),""),IF(4&gt;$CQ219,"",IF($CQ219=1,$CW219,$CW219+($CX219-$CW219)*3/($CQ219-1)))))</f>
        <v/>
      </c>
      <c r="BY219" s="88">
        <f>IF($CS219,"",IF($CT219,"",IF(5&gt;$CQ219,"",IF($CQ219=1,$CW219,$CW219+($CX219-$CW219)*4/($CQ219-1)))))</f>
        <v/>
      </c>
      <c r="BZ219" s="88">
        <f>IF(OR($CS219,$AP219="-",AND($AP219="",$AD219="")),"",IF(N($BA219)&gt;0,N($BA219),IF($CV219,IF(AND($BI219&lt;$CU219,$BI219-IF(N(VLOOKUP($AT219&amp;"|"&amp;$CU219,LocTable,7,FALSE))&gt;0,VLOOKUP($AT219&amp;"|"&amp;$CU219,LocTable,7,FALSE),VLOOKUP($AT219&amp;"|"&amp;$CU219,LocTable,6,FALSE))-$CR219-0.75&gt;=2.125),VLOOKUP($AT219&amp;"|"&amp;$CU219,LocTable,8,FALSE),VLOOKUP($AT219&amp;"|"&amp;$CU219,LocTable,8,FALSE)+($BI219-$CU219)),$BI219-LockAFF)))</f>
        <v/>
      </c>
      <c r="CA219" s="89">
        <f>IF($BZ219="","",$BI219-$BZ219)</f>
        <v/>
      </c>
      <c r="CB219" s="84">
        <f>IF(OR(NOT(AND($A219&lt;&gt;"",$C219&lt;&gt;"DOOR ONLY")),$BI219=""),"",IF(($BI219+IF(N($P219)&gt;0,$P219+FaceW,0))&lt;=90,3,IF(($BI219+IF(N($P219)&gt;0,$P219+FaceW,0))&lt;=114,4,5)))</f>
        <v/>
      </c>
      <c r="CC219" s="84">
        <f>IF($CB219="","",$CB219*(2+IF(N($Q219)&gt;0,IF($R219="LR",2,1),0)))</f>
        <v/>
      </c>
      <c r="CD219" s="84">
        <f>IF($CB219="","",(2+IF(N($Q219)&gt;0,IF($R219="LR",2,1),0)))</f>
        <v/>
      </c>
      <c r="CE219" s="84">
        <f>IF(N($BJ219)=0,"",IF(OR($AL219="",$AL219="FLUSH"),"FLUSH",IFERROR(LEFT($AL219,FIND("-",$AL219)-1),LEFT($AL219,2))))</f>
        <v/>
      </c>
      <c r="CF219" s="84">
        <f>IF($CE219="","",IFERROR(VALUE(MID($AL219,FIND("-",$AL219)+1,FIND(CHAR(34)&amp;"x",$AL219)-FIND("-",$AL219)-1)),0))</f>
        <v/>
      </c>
      <c r="CG219" s="84">
        <f>IF($CE219="","",IFERROR(VALUE(MID($AL219,FIND(CHAR(34)&amp;"x",$AL219)+2,FIND(CHAR(34),$AL219,FIND(CHAR(34)&amp;"x",$AL219)+2)-FIND(CHAR(34)&amp;"x",$AL219)-2)),0))</f>
        <v/>
      </c>
      <c r="CH219" s="90">
        <f>IF(OR($A219="",$H219="",$H219="NO LAB"),0,IFERROR(VALUE(LEFT($H219,FIND(" ",$H219)-1)),0))</f>
        <v/>
      </c>
      <c r="CI219" s="91">
        <f>IF(OR($A219="",$I219="",$I219="NON-RATED",N($J219)=0),"",IFERROR(VLOOKUP($I219&amp;"|"&amp;$J219,IBC,2,FALSE),"?"))</f>
        <v/>
      </c>
      <c r="CJ219" s="85">
        <f>IF(NOT(AND($A219&lt;&gt;"",$C219&lt;&gt;"DOOR ONLY")),"",TRIM(IFERROR(VLOOKUP($U219,CODES,2,FALSE),"")&amp;" "&amp;$BG219&amp;" "&amp;IFERROR(VLOOKUP($Z219,CODES,2,FALSE),"")&amp;" "&amp;IFERROR(VLOOKUP($X219,CODES,2,FALSE),"")&amp;" "&amp;IFERROR(VLOOKUP($S219,CODES,2,FALSE),"")&amp;IF(N($P219)&gt;0," w/TRANSOM "&amp;$P219&amp;CHAR(34),"")&amp;IF(N($Q219)&gt;0," w/SIDELITE "&amp;$Q219&amp;CHAR(34)&amp;" "&amp;IF($R219="","R",$R219),"")&amp;IF($Y219="","  |  "," | "&amp;IFERROR(VLOOKUP($Y219,CODES,2,FALSE),"")&amp;" | ")&amp;IFERROR(VLOOKUP($AC219,CODES,2,FALSE),"")&amp;" "&amp;IFERROR(VLOOKUP($AD219,CODES,2,FALSE),"")&amp;IF(OR($AE219="",$AE219="-"),""," "&amp;$AE219)&amp;IF(OR($AF219="",$AF219="-"),""," "&amp;$AF219)&amp;IF($AB219="Y"," 4"&amp;CHAR(34)&amp;" HEAD","")&amp;" "&amp;IFERROR(VLOOKUP($H219,CODES,2,FALSE),"")&amp;IF($CT219," | LOC "&amp;$CY219,"")))</f>
        <v/>
      </c>
      <c r="CK219" s="85">
        <f>IF(NOT(AND($A219&lt;&gt;"",N($BJ219)&gt;0)),"",TRIM(IFERROR(VLOOKUP($AH219,CODES,2,FALSE),"")&amp;IF($AI219=""," "," "&amp;$AI219&amp;"GA ")&amp;$BG219&amp;" "&amp;IF($AN219="",IFERROR(VLOOKUP($Z219,CODES,2,FALSE),""),IFERROR(VLOOKUP($AN219,CODES,2,FALSE),""))&amp;IF($BJ219=2," PAIR","")&amp;" DOOR | "&amp;IF($AL219="","?",$AL219)&amp;" | "&amp;IF($AO219="",IFERROR(VLOOKUP($AC219,CODES,2,FALSE),""),IFERROR(VLOOKUP($AO219,CODES,2,FALSE),""))&amp;" "&amp;IFERROR(VLOOKUP($AP219,CODES,2,FALSE),"")&amp;IF(OR($AQ219="",$AQ219="-"),""," SEAM "&amp;$AQ219)&amp;IF($AR219="Y"," ASTRAGAL","")&amp;IF($AJ219=""," "," "&amp;$AJ219)&amp;IF($AK219=""," "," "&amp;$AK219)&amp;IF(OR($AT219="",$AT219="ANSI/SDI",$AT219="CUSTOM LOC"),""," "&amp;$AT219)&amp;IF($AM219=""," "," SERIES "&amp;$AM219)&amp;" "&amp;IFERROR(VLOOKUP($H219,CODES,2,FALSE),"")&amp;IF($CT219," | LOC "&amp;$CZ219,"")))</f>
        <v/>
      </c>
      <c r="CL219" s="84">
        <f>IF(CP219="","",IF(COUNTIF($CP$6:CP219,CP219)=1,MAX($CL$5:CL218)+1,INDEX($CL$5:CL218,MATCH(CP219,$CP$5:CP218,0))))</f>
        <v/>
      </c>
      <c r="CM219" s="84">
        <f>IF(NOT(AND($A219&lt;&gt;"",$C219&lt;&gt;"DOOR ONLY")),"",MAX($CM$5:CM218)+1)</f>
        <v/>
      </c>
      <c r="CN219" s="84">
        <f>IF(NOT(AND($A219&lt;&gt;"",N($BJ219)&gt;0)),"",MAX($CN$5:CN218)+1)</f>
        <v/>
      </c>
      <c r="CO219" s="84">
        <f>IF($A219="","",MAX($CO$5:CO218)+1)</f>
        <v/>
      </c>
      <c r="CP219" s="84">
        <f>IF(OR($A219="",$BH219="",$BI219=""),"",$BG219&amp;"|"&amp;$O219&amp;"|"&amp;$AL219&amp;"|"&amp;$S219&amp;"|"&amp;$P219&amp;"|"&amp;$Q219&amp;$R219&amp;"|"&amp;$C219&amp;"|"&amp;$AB219)</f>
        <v/>
      </c>
      <c r="CQ219" s="84">
        <f>N($BS219)</f>
        <v/>
      </c>
      <c r="CR219" s="84">
        <f>IF(N($AU219)&gt;0,N($AU219),4.5)</f>
        <v/>
      </c>
      <c r="CS219" s="84">
        <f>OR($A219="",$BI219="",$S219="BL",AND($C219="FRAME ONLY",OR($AC219="",$AC219="BLK")))</f>
        <v/>
      </c>
      <c r="CT219" s="84">
        <f>AND(NOT($CS219),OR($AT219="CUSTOM LOC",N($AW219)+N($AX219)+N($AY219)+N($AZ219)+N($BA219)&gt;0))</f>
        <v/>
      </c>
      <c r="CU219" s="84">
        <f>IF($BI219="","",IF($BI219&lt;=80,80,IF($BI219&lt;=84,84,96)))</f>
        <v/>
      </c>
      <c r="CV219" s="84">
        <f>ISNUMBER(MATCH($AT219&amp;"|80",LocKeys,0))</f>
        <v/>
      </c>
      <c r="CW219" s="86">
        <f>IF($CS219,"",IF($CV219,VLOOKUP($AT219&amp;"|"&amp;$CU219,LocTable,4,FALSE),5))</f>
        <v/>
      </c>
      <c r="CX219" s="86">
        <f>IF($CS219,"",IF($CV219,IF(OR($BI219=$CU219,AND($BI219&lt;$CU219,$BI219-IF(N(VLOOKUP($AT219&amp;"|"&amp;$CU219,LocTable,7,FALSE))&gt;0,VLOOKUP($AT219&amp;"|"&amp;$CU219,LocTable,7,FALSE),VLOOKUP($AT219&amp;"|"&amp;$CU219,LocTable,6,FALSE))-$CR219-0.75&gt;=2.125)),IF(N(VLOOKUP($AT219&amp;"|"&amp;$CU219,LocTable,7,FALSE))&gt;0,VLOOKUP($AT219&amp;"|"&amp;$CU219,LocTable,7,FALSE),VLOOKUP($AT219&amp;"|"&amp;$CU219,LocTable,6,FALSE)),$BI219-($CU219-IF(N(VLOOKUP($AT219&amp;"|"&amp;$CU219,LocTable,7,FALSE))&gt;0,VLOOKUP($AT219&amp;"|"&amp;$CU219,LocTable,7,FALSE),VLOOKUP($AT219&amp;"|"&amp;$CU219,LocTable,6,FALSE)))),$BI219-10-$CR219))</f>
        <v/>
      </c>
      <c r="CY219" s="85">
        <f>IF($CS219,"",TRIM(IF(ISNUMBER($BU219),"A "&amp;TRIM(TEXT($BU219,"# ?/??"))&amp;CHAR(34)&amp;"  ","")&amp;IF(ISNUMBER($BV219),"B "&amp;TRIM(TEXT($BV219,"# ?/??"))&amp;CHAR(34)&amp;"  ","")&amp;IF(ISNUMBER($BW219),"C "&amp;TRIM(TEXT($BW219,"# ?/??"))&amp;CHAR(34)&amp;"  ","")&amp;IF(ISNUMBER($BX219),"D "&amp;TRIM(TEXT($BX219,"# ?/??"))&amp;CHAR(34)&amp;"  ","")&amp;IF(ISNUMBER($BY219),"F "&amp;TRIM(TEXT($BY219,"# ?/??"))&amp;CHAR(34)&amp;"  ","")&amp;IF(ISNUMBER($BZ219),"E "&amp;TRIM(TEXT($BZ219,"# ?/??"))&amp;CHAR(34)&amp;"  ","")))</f>
        <v/>
      </c>
      <c r="CZ219" s="85">
        <f>IF(OR($CS219,N($BJ219)=0),"",TRIM(IF(ISNUMBER($BU219),"A "&amp;TRIM(TEXT($BU219-HeadClr,"# ?/??"))&amp;CHAR(34)&amp;"  ","")&amp;IF(ISNUMBER($BV219),"B "&amp;TRIM(TEXT($BV219-HeadClr,"# ?/??"))&amp;CHAR(34)&amp;"  ","")&amp;IF(ISNUMBER($BW219),"C "&amp;TRIM(TEXT($BW219-HeadClr,"# ?/??"))&amp;CHAR(34)&amp;"  ","")&amp;IF(ISNUMBER($BX219),"D "&amp;TRIM(TEXT($BX219-HeadClr,"# ?/??"))&amp;CHAR(34)&amp;"  ","")&amp;IF(ISNUMBER($BY219),"F "&amp;TRIM(TEXT($BY219-HeadClr,"# ?/??"))&amp;CHAR(34)&amp;"  ","")&amp;IF(ISNUMBER($BZ219),"E "&amp;TRIM(TEXT($BZ219-HeadClr,"# ?/??"))&amp;CHAR(34)&amp;"  ","")))</f>
        <v/>
      </c>
      <c r="DA219" s="84">
        <f>IF($A219="","",IF($AN219="",IFERROR(VLOOKUP($Z219,CODES,2,FALSE),""),IFERROR(VLOOKUP($AN219,CODES,2,FALSE),"")))</f>
        <v/>
      </c>
      <c r="DB219" s="84">
        <f>IF($A219="","",IF($O219="Y","PR",IF(OR($Z219="L",$Z219="RR",LEFT($Z219,2)="L-",LEFT($Z219,3)="RR-"),"LH","RH")))</f>
        <v/>
      </c>
      <c r="DC219" s="84">
        <f>IF($A219="","","S.HM"&amp;IF(OR($C219="DOOR ONLY",$X219&lt;&gt;"KD"),"MASONRY","DRYWALL")&amp;IF($C219="DOOR ONLY","",$U219)&amp;IF(AND($C219&lt;&gt;"FRAME ONLY",OR(LEFT($AH219,3)="OAK",LEFT($AH219,3)="BIR",LEFT($AH219,3)="MAP",$AH219="PC",$AH219="MC",$AH219="SCLC",$AH219="P-LAM")),"WD","HM")&amp;"1.75")</f>
        <v/>
      </c>
      <c r="DD219" s="84">
        <f>IF($CJ219="","",IF($O219="Y",$CJ219,SUBSTITUTE($CJ219,$BG219&amp;" "&amp;IFERROR(VLOOKUP($Z219,CODES,2,FALSE),"")&amp;" ",$BG219&amp;" ")))</f>
        <v/>
      </c>
      <c r="DE219" s="84">
        <f>IF($CK219="","",IF($O219="Y",$CK219,SUBSTITUTE($CK219,$BG219&amp;" "&amp;IF($AN219="",IFERROR(VLOOKUP($Z219,CODES,2,FALSE),""),IFERROR(VLOOKUP($AN219,CODES,2,FALSE),""))&amp;" ",$BG219&amp;" ")))</f>
        <v/>
      </c>
      <c r="DF219" s="84">
        <f>IF($CJ219="","",$DC219&amp;"|"&amp;$DD219&amp;"|"&amp;$DB219&amp;"|"&amp;$AT219&amp;"|"&amp;$V219&amp;"|"&amp;$Y219&amp;"|"&amp;$AB219)</f>
        <v/>
      </c>
      <c r="DG219" s="84">
        <f>IF(DF219="","",IF(COUNTIF($DF$6:DF219,DF219)=1,MAX($DG$5:DG218)+1,INDEX($DG$5:DG218,MATCH(DF219,$DF$5:DF218,0))))</f>
        <v/>
      </c>
      <c r="DH219" s="84">
        <f>IF($CK219="","",$DC219&amp;"|"&amp;$DE219&amp;"|"&amp;$AI219&amp;"|"&amp;$BK219&amp;"|"&amp;$BL219)</f>
        <v/>
      </c>
      <c r="DI219" s="84">
        <f>IF(DH219="","",IF(COUNTIF($DH$6:DH219,DH219)=1,MAX($DI$5:DI218)+1,INDEX($DI$5:DI218,MATCH(DH219,$DH$5:DH218,0))))</f>
        <v/>
      </c>
      <c r="DJ219" s="84">
        <f>IF($A219="","",IF($B219="","qty, ","")&amp;IF($C219="","scope, ","")&amp;IF(OR($K219="",$M219=""),"size, ","")&amp;IF(AND($A219&lt;&gt;"",$C219&lt;&gt;"DOOR ONLY"),IF($U219="","jamb depth, ","")&amp;IF($X219="","construction, ","")&amp;IF($Y219="","anchor, ","")&amp;IF($S219="","frame type, ",""),"")&amp;IF(AND(N($BJ219)&gt;0,$Z219=""),"hand, ","")&amp;IF(N($BJ219)&gt;0,IF($AH219="","door material, ","")&amp;IF($AL219="","face type, ","")&amp;IF($AP219="","lock prep, ","")&amp;IF(AND($AO219="",$AC219=""),"hinge prep, ",""),"")&amp;IF(AND($CH219&gt;0,$AH219="FRP"),"FRP cannot carry a label, ","")&amp;IF(AND($O219="Y",OR($Z219="L",$Z219="R",$Z219="LR",$Z219="RR")),"pair marked but hand is single, ","")&amp;IF(AND($O219&lt;&gt;"Y",OR($Z219="PR",AND(LEN($Z219)&gt;1,ISNUMBER(SEARCH("-",$Z219))))),"pair hand on a single door, ","")&amp;IF(AND(ISNUMBER($CI219),$CH219&lt;N($CI219)),"wall needs a "&amp;$CI219&amp;" min door, ","")&amp;IF(AND($CH219&gt;=180,AND(OR($CE219="FG",$CE219="HG",$CE219="FNV",$CE219="FV"),N($CF219)*N($CG219)&gt;100)),"180 min lite over 100 sq in, ","")&amp;IF(N($BK219)&gt;48,"leaf wider than 4'-0"&amp;CHAR(34)&amp;", ","")&amp;IF(AND($CT219,COUNT($AW219:$AZ219)=0,$CQ219&gt;0),"CUSTOM LOC with no locations typed, ",""))</f>
        <v/>
      </c>
      <c r="DK219" s="84">
        <f>IF($A219="","",IF(AND($CH219&gt;0,AND($A219&lt;&gt;"",$C219&lt;&gt;"DOOR ONLY"),$X219="KD",$E219="EXTERIOR"),"KD label on an exterior opening, ","")&amp;IF(AND($E219="EXTERIOR",OR(AND(AND($A219&lt;&gt;"",$C219&lt;&gt;"DOOR ONLY"),$W219="CR"),AND(N($BJ219)&gt;0,$AH219="CR"))),"exterior in CR steel (G9?), ","")&amp;IF(AND(ISNUMBER($BQ219),N($BQ219)&lt;32),"clear width ~"&amp;TEXT($BQ219,"0.0")&amp;CHAR(34)&amp;" under 32"&amp;CHAR(34)&amp;" (ADA), ","")&amp;IF(AND($CH219=90,AND(OR($CE219="FG",$CE219="HG",$CE219="FNV",$CE219="FV"),N($CF219)*N($CG219)&gt;100)),"90 min lite over 100 sq in (stair/exit), ","")&amp;IF(AND($CH219&gt;0,AND($A219&lt;&gt;"",$C219&lt;&gt;"DOOR ONLY"),OR($AF219="",$AF219="-")),"rated: closer reinf.?, ","")&amp;IF(OR($I219="CORRIDOR",$I219="SMOKE BARRIER"),"S label + smoke gasketing, ","")&amp;IF($CI219="?","wall type/hr not in IBC table, ","")&amp;IF(AND(N($BJ219)&gt;0,$BB219=""),"no hardware set, ","")&amp;IF(AND($BB219&lt;&gt;"",ISNA(MATCH($BB219&amp;"",HWSets,0))),"set "&amp;$BB219&amp;" not on HW Sets, ","")&amp;IF(N($BL219)&gt;96,"leaf over 8'-0"&amp;CHAR(34)&amp;" - check listing, ","")&amp;IF(AND($CT219,COUNT($AW219:$AZ219)&gt;0,COUNT($AW219:$AZ219)&lt;&gt;$CQ219),COUNT($AW219:$AZ219)&amp;" custom hinges typed, "&amp;$CQ219&amp;" expected, ","")&amp;IF(AND(ISNUMBER($CA219),OR(N($CA219)&lt;34,N($CA219)&gt;48)),"lock "&amp;TEXT($CA219,"0.0")&amp;CHAR(34)&amp;" AFF outside 34-48"&amp;CHAR(34)&amp;" (ADA), ","")&amp;IF(AND(ISNUMBER($AV219),ISNUMBER($BL219),N($AV219)&lt;IF(N($BL219)&lt;=60,2,IF(N($BL219)&lt;=90,3,IF(N($BL219)&lt;=120,4,5)))),"fewer hinges than standard, ",""))</f>
        <v/>
      </c>
    </row>
    <row r="220" ht="15" customHeight="1">
      <c r="A220" s="92" t="n"/>
      <c r="B220" s="93" t="n"/>
      <c r="C220" s="93" t="n"/>
      <c r="D220" s="93" t="n"/>
      <c r="E220" s="93" t="n"/>
      <c r="F220" s="93" t="n"/>
      <c r="G220" s="93" t="n"/>
      <c r="H220" s="93" t="n"/>
      <c r="I220" s="93" t="n"/>
      <c r="J220" s="93" t="n"/>
      <c r="K220" s="93" t="n"/>
      <c r="L220" s="93" t="n"/>
      <c r="M220" s="93" t="n"/>
      <c r="N220" s="93" t="n"/>
      <c r="O220" s="93" t="n"/>
      <c r="P220" s="93" t="n"/>
      <c r="Q220" s="93" t="n"/>
      <c r="R220" s="93" t="n"/>
      <c r="S220" s="94" t="n"/>
      <c r="T220" s="94" t="n"/>
      <c r="U220" s="94" t="n"/>
      <c r="V220" s="94" t="n"/>
      <c r="W220" s="94" t="n"/>
      <c r="X220" s="94" t="n"/>
      <c r="Y220" s="94" t="n"/>
      <c r="Z220" s="94" t="n"/>
      <c r="AA220" s="94" t="n"/>
      <c r="AB220" s="94" t="n"/>
      <c r="AC220" s="94" t="n"/>
      <c r="AD220" s="94" t="n"/>
      <c r="AE220" s="94" t="n"/>
      <c r="AF220" s="94" t="n"/>
      <c r="AG220" s="94" t="n"/>
      <c r="AH220" s="95" t="n"/>
      <c r="AI220" s="95" t="n"/>
      <c r="AJ220" s="95" t="n"/>
      <c r="AK220" s="95" t="n"/>
      <c r="AL220" s="95" t="n"/>
      <c r="AM220" s="95" t="n"/>
      <c r="AN220" s="95" t="n"/>
      <c r="AO220" s="95" t="n"/>
      <c r="AP220" s="95" t="n"/>
      <c r="AQ220" s="95" t="n"/>
      <c r="AR220" s="95" t="n"/>
      <c r="AS220" s="95" t="n"/>
      <c r="AT220" s="96" t="n"/>
      <c r="AU220" s="96" t="n"/>
      <c r="AV220" s="96" t="n"/>
      <c r="AW220" s="97" t="n"/>
      <c r="AX220" s="97" t="n"/>
      <c r="AY220" s="97" t="n"/>
      <c r="AZ220" s="97" t="n"/>
      <c r="BA220" s="97" t="n"/>
      <c r="BB220" s="98" t="n"/>
      <c r="BC220" s="98" t="n"/>
      <c r="BD220" s="99">
        <f>IF($A220="","",IF($DJ220&lt;&gt;"","FIX",IF($DK220&lt;&gt;"","CHECK","OK")))</f>
        <v/>
      </c>
      <c r="BE220" s="100">
        <f>IF($A220="","",IF($DJ220&lt;&gt;"","FIX: "&amp;LEFT($DJ220,LEN($DJ220)-2)&amp;IF($DK220&lt;&gt;"","  ·  ",""),"")&amp;IF($DK220&lt;&gt;"","CHECK: "&amp;LEFT($DK220,LEN($DK220)-2),""))</f>
        <v/>
      </c>
      <c r="BF220" s="99">
        <f>IF(OR($A220="",$K220=""),"",$K220&amp;"'-"&amp;N($L220)&amp;CHAR(34)&amp;" x "&amp;$M220&amp;"'-"&amp;N($N220)&amp;CHAR(34))</f>
        <v/>
      </c>
      <c r="BG220" s="99">
        <f>IF(OR($A220="",$K220=""),"",$K220&amp;N($L220)&amp;$M220&amp;N($N220))</f>
        <v/>
      </c>
      <c r="BH220" s="99">
        <f>IF(OR($A220="",$K220=""),"",$K220*12+N($L220))</f>
        <v/>
      </c>
      <c r="BI220" s="99">
        <f>IF(OR($A220="",$M220=""),"",$M220*12+N($N220))</f>
        <v/>
      </c>
      <c r="BJ220" s="99">
        <f>IF($A220="","",IF(OR($C220="FRAME ONLY",$S220="BL"),0,IF($O220="Y",2,1)))</f>
        <v/>
      </c>
      <c r="BK220" s="101">
        <f>IF(OR(N($BJ220)=0,$BH220=""),"",($BH220-2*EdgeClr-IF($BJ220=2,MeetClr,0))/$BJ220)</f>
        <v/>
      </c>
      <c r="BL220" s="101">
        <f>IF(OR(N($BJ220)=0,$BI220=""),"",$BI220-HeadClr-Undercut)</f>
        <v/>
      </c>
      <c r="BM220" s="101">
        <f>IF($BH220="","",$BH220+2*FaceW+IF(N($Q220)&gt;0,($Q220+FaceW)*IF($R220="LR",2,1),0))</f>
        <v/>
      </c>
      <c r="BN220" s="101">
        <f>IF($BI220="","",$BI220+IF($AB220="Y",4,FaceW)+IF(N($P220)&gt;0,$P220+FaceW,0)+IF(OR($S220="4F",$S220="BL"),FaceW,0))</f>
        <v/>
      </c>
      <c r="BO220" s="101">
        <f>IF($BM220="","",$BM220+2*ROSide)</f>
        <v/>
      </c>
      <c r="BP220" s="101">
        <f>IF($BN220="","",$BN220+ROTop)</f>
        <v/>
      </c>
      <c r="BQ220" s="102">
        <f>IF(OR(N($BJ220)=0,$BH220=""),"",$BH220/$BJ220-ClearDeduct)</f>
        <v/>
      </c>
      <c r="BR220" s="99">
        <f>IF(N($CH220)=0,"",IF($CH220&gt;=180,"A · 3 HR",IF($CH220&gt;=90,"B · 1-1/2 HR",IF($CH220&gt;=60,"B · 1 HR",IF($CH220&gt;=45,"C · 3/4 HR","20 MIN")))))&amp;IF(AND(N($CH220)&gt;0,OR($I220="CORRIDOR",$I220="SMOKE BARRIER"))," · S","")</f>
        <v/>
      </c>
      <c r="BS220" s="99">
        <f>IF($CS220,"",IF($AV220&lt;&gt;"",$AV220,IF(OR($AC220="HGC",$AO220="HGC"),"CONT",IF(($BI220-HeadClr-Undercut)&lt;=60,2,IF(($BI220-HeadClr-Undercut)&lt;=90,3,IF(($BI220-HeadClr-Undercut)&lt;=120,4,5))))))</f>
        <v/>
      </c>
      <c r="BT220" s="99">
        <f>IF($CS220,"",IF($CT220,"CUSTOM (typed)",IF($CV220,$AT220&amp;" "&amp;$CU220&amp;CHAR(34)&amp;IF($CU220&lt;&gt;$BI220,IF(AND($BI220&lt;$CU220,$BI220-IF(N(VLOOKUP($AT220&amp;"|"&amp;$CU220,LocTable,7,FALSE))&gt;0,VLOOKUP($AT220&amp;"|"&amp;$CU220,LocTable,7,FALSE),VLOOKUP($AT220&amp;"|"&amp;$CU220,LocTable,6,FALSE))-$CR220-0.75&gt;=2.125)," cut down"," adj."),""),"ANSI/SDI A250.6")))</f>
        <v/>
      </c>
      <c r="BU220" s="103">
        <f>IF($CS220,"",IF($CT220,IF(N($AW220)&gt;0,N($AW220),""),IF(1&gt;$CQ220,"",IF($CQ220=1,$CW220,$CW220+($CX220-$CW220)*0/($CQ220-1)))))</f>
        <v/>
      </c>
      <c r="BV220" s="103">
        <f>IF($CS220,"",IF($CT220,IF(N($AX220)&gt;0,N($AX220),""),IF(2&gt;$CQ220,"",IF($CQ220=1,$CW220,$CW220+($CX220-$CW220)*1/($CQ220-1)))))</f>
        <v/>
      </c>
      <c r="BW220" s="103">
        <f>IF($CS220,"",IF($CT220,IF(N($AY220)&gt;0,N($AY220),""),IF(3&gt;$CQ220,"",IF($CQ220=1,$CW220,$CW220+($CX220-$CW220)*2/($CQ220-1)))))</f>
        <v/>
      </c>
      <c r="BX220" s="103">
        <f>IF($CS220,"",IF($CT220,IF(N($AZ220)&gt;0,N($AZ220),""),IF(4&gt;$CQ220,"",IF($CQ220=1,$CW220,$CW220+($CX220-$CW220)*3/($CQ220-1)))))</f>
        <v/>
      </c>
      <c r="BY220" s="103">
        <f>IF($CS220,"",IF($CT220,"",IF(5&gt;$CQ220,"",IF($CQ220=1,$CW220,$CW220+($CX220-$CW220)*4/($CQ220-1)))))</f>
        <v/>
      </c>
      <c r="BZ220" s="103">
        <f>IF(OR($CS220,$AP220="-",AND($AP220="",$AD220="")),"",IF(N($BA220)&gt;0,N($BA220),IF($CV220,IF(AND($BI220&lt;$CU220,$BI220-IF(N(VLOOKUP($AT220&amp;"|"&amp;$CU220,LocTable,7,FALSE))&gt;0,VLOOKUP($AT220&amp;"|"&amp;$CU220,LocTable,7,FALSE),VLOOKUP($AT220&amp;"|"&amp;$CU220,LocTable,6,FALSE))-$CR220-0.75&gt;=2.125),VLOOKUP($AT220&amp;"|"&amp;$CU220,LocTable,8,FALSE),VLOOKUP($AT220&amp;"|"&amp;$CU220,LocTable,8,FALSE)+($BI220-$CU220)),$BI220-LockAFF)))</f>
        <v/>
      </c>
      <c r="CA220" s="104">
        <f>IF($BZ220="","",$BI220-$BZ220)</f>
        <v/>
      </c>
      <c r="CB220" s="99">
        <f>IF(OR(NOT(AND($A220&lt;&gt;"",$C220&lt;&gt;"DOOR ONLY")),$BI220=""),"",IF(($BI220+IF(N($P220)&gt;0,$P220+FaceW,0))&lt;=90,3,IF(($BI220+IF(N($P220)&gt;0,$P220+FaceW,0))&lt;=114,4,5)))</f>
        <v/>
      </c>
      <c r="CC220" s="99">
        <f>IF($CB220="","",$CB220*(2+IF(N($Q220)&gt;0,IF($R220="LR",2,1),0)))</f>
        <v/>
      </c>
      <c r="CD220" s="99">
        <f>IF($CB220="","",(2+IF(N($Q220)&gt;0,IF($R220="LR",2,1),0)))</f>
        <v/>
      </c>
      <c r="CE220" s="99">
        <f>IF(N($BJ220)=0,"",IF(OR($AL220="",$AL220="FLUSH"),"FLUSH",IFERROR(LEFT($AL220,FIND("-",$AL220)-1),LEFT($AL220,2))))</f>
        <v/>
      </c>
      <c r="CF220" s="99">
        <f>IF($CE220="","",IFERROR(VALUE(MID($AL220,FIND("-",$AL220)+1,FIND(CHAR(34)&amp;"x",$AL220)-FIND("-",$AL220)-1)),0))</f>
        <v/>
      </c>
      <c r="CG220" s="99">
        <f>IF($CE220="","",IFERROR(VALUE(MID($AL220,FIND(CHAR(34)&amp;"x",$AL220)+2,FIND(CHAR(34),$AL220,FIND(CHAR(34)&amp;"x",$AL220)+2)-FIND(CHAR(34)&amp;"x",$AL220)-2)),0))</f>
        <v/>
      </c>
      <c r="CH220" s="105">
        <f>IF(OR($A220="",$H220="",$H220="NO LAB"),0,IFERROR(VALUE(LEFT($H220,FIND(" ",$H220)-1)),0))</f>
        <v/>
      </c>
      <c r="CI220" s="106">
        <f>IF(OR($A220="",$I220="",$I220="NON-RATED",N($J220)=0),"",IFERROR(VLOOKUP($I220&amp;"|"&amp;$J220,IBC,2,FALSE),"?"))</f>
        <v/>
      </c>
      <c r="CJ220" s="100">
        <f>IF(NOT(AND($A220&lt;&gt;"",$C220&lt;&gt;"DOOR ONLY")),"",TRIM(IFERROR(VLOOKUP($U220,CODES,2,FALSE),"")&amp;" "&amp;$BG220&amp;" "&amp;IFERROR(VLOOKUP($Z220,CODES,2,FALSE),"")&amp;" "&amp;IFERROR(VLOOKUP($X220,CODES,2,FALSE),"")&amp;" "&amp;IFERROR(VLOOKUP($S220,CODES,2,FALSE),"")&amp;IF(N($P220)&gt;0," w/TRANSOM "&amp;$P220&amp;CHAR(34),"")&amp;IF(N($Q220)&gt;0," w/SIDELITE "&amp;$Q220&amp;CHAR(34)&amp;" "&amp;IF($R220="","R",$R220),"")&amp;IF($Y220="","  |  "," | "&amp;IFERROR(VLOOKUP($Y220,CODES,2,FALSE),"")&amp;" | ")&amp;IFERROR(VLOOKUP($AC220,CODES,2,FALSE),"")&amp;" "&amp;IFERROR(VLOOKUP($AD220,CODES,2,FALSE),"")&amp;IF(OR($AE220="",$AE220="-"),""," "&amp;$AE220)&amp;IF(OR($AF220="",$AF220="-"),""," "&amp;$AF220)&amp;IF($AB220="Y"," 4"&amp;CHAR(34)&amp;" HEAD","")&amp;" "&amp;IFERROR(VLOOKUP($H220,CODES,2,FALSE),"")&amp;IF($CT220," | LOC "&amp;$CY220,"")))</f>
        <v/>
      </c>
      <c r="CK220" s="100">
        <f>IF(NOT(AND($A220&lt;&gt;"",N($BJ220)&gt;0)),"",TRIM(IFERROR(VLOOKUP($AH220,CODES,2,FALSE),"")&amp;IF($AI220=""," "," "&amp;$AI220&amp;"GA ")&amp;$BG220&amp;" "&amp;IF($AN220="",IFERROR(VLOOKUP($Z220,CODES,2,FALSE),""),IFERROR(VLOOKUP($AN220,CODES,2,FALSE),""))&amp;IF($BJ220=2," PAIR","")&amp;" DOOR | "&amp;IF($AL220="","?",$AL220)&amp;" | "&amp;IF($AO220="",IFERROR(VLOOKUP($AC220,CODES,2,FALSE),""),IFERROR(VLOOKUP($AO220,CODES,2,FALSE),""))&amp;" "&amp;IFERROR(VLOOKUP($AP220,CODES,2,FALSE),"")&amp;IF(OR($AQ220="",$AQ220="-"),""," SEAM "&amp;$AQ220)&amp;IF($AR220="Y"," ASTRAGAL","")&amp;IF($AJ220=""," "," "&amp;$AJ220)&amp;IF($AK220=""," "," "&amp;$AK220)&amp;IF(OR($AT220="",$AT220="ANSI/SDI",$AT220="CUSTOM LOC"),""," "&amp;$AT220)&amp;IF($AM220=""," "," SERIES "&amp;$AM220)&amp;" "&amp;IFERROR(VLOOKUP($H220,CODES,2,FALSE),"")&amp;IF($CT220," | LOC "&amp;$CZ220,"")))</f>
        <v/>
      </c>
      <c r="CL220" s="99">
        <f>IF(CP220="","",IF(COUNTIF($CP$6:CP220,CP220)=1,MAX($CL$5:CL219)+1,INDEX($CL$5:CL219,MATCH(CP220,$CP$5:CP219,0))))</f>
        <v/>
      </c>
      <c r="CM220" s="99">
        <f>IF(NOT(AND($A220&lt;&gt;"",$C220&lt;&gt;"DOOR ONLY")),"",MAX($CM$5:CM219)+1)</f>
        <v/>
      </c>
      <c r="CN220" s="99">
        <f>IF(NOT(AND($A220&lt;&gt;"",N($BJ220)&gt;0)),"",MAX($CN$5:CN219)+1)</f>
        <v/>
      </c>
      <c r="CO220" s="99">
        <f>IF($A220="","",MAX($CO$5:CO219)+1)</f>
        <v/>
      </c>
      <c r="CP220" s="99">
        <f>IF(OR($A220="",$BH220="",$BI220=""),"",$BG220&amp;"|"&amp;$O220&amp;"|"&amp;$AL220&amp;"|"&amp;$S220&amp;"|"&amp;$P220&amp;"|"&amp;$Q220&amp;$R220&amp;"|"&amp;$C220&amp;"|"&amp;$AB220)</f>
        <v/>
      </c>
      <c r="CQ220" s="99">
        <f>N($BS220)</f>
        <v/>
      </c>
      <c r="CR220" s="99">
        <f>IF(N($AU220)&gt;0,N($AU220),4.5)</f>
        <v/>
      </c>
      <c r="CS220" s="99">
        <f>OR($A220="",$BI220="",$S220="BL",AND($C220="FRAME ONLY",OR($AC220="",$AC220="BLK")))</f>
        <v/>
      </c>
      <c r="CT220" s="99">
        <f>AND(NOT($CS220),OR($AT220="CUSTOM LOC",N($AW220)+N($AX220)+N($AY220)+N($AZ220)+N($BA220)&gt;0))</f>
        <v/>
      </c>
      <c r="CU220" s="99">
        <f>IF($BI220="","",IF($BI220&lt;=80,80,IF($BI220&lt;=84,84,96)))</f>
        <v/>
      </c>
      <c r="CV220" s="99">
        <f>ISNUMBER(MATCH($AT220&amp;"|80",LocKeys,0))</f>
        <v/>
      </c>
      <c r="CW220" s="101">
        <f>IF($CS220,"",IF($CV220,VLOOKUP($AT220&amp;"|"&amp;$CU220,LocTable,4,FALSE),5))</f>
        <v/>
      </c>
      <c r="CX220" s="101">
        <f>IF($CS220,"",IF($CV220,IF(OR($BI220=$CU220,AND($BI220&lt;$CU220,$BI220-IF(N(VLOOKUP($AT220&amp;"|"&amp;$CU220,LocTable,7,FALSE))&gt;0,VLOOKUP($AT220&amp;"|"&amp;$CU220,LocTable,7,FALSE),VLOOKUP($AT220&amp;"|"&amp;$CU220,LocTable,6,FALSE))-$CR220-0.75&gt;=2.125)),IF(N(VLOOKUP($AT220&amp;"|"&amp;$CU220,LocTable,7,FALSE))&gt;0,VLOOKUP($AT220&amp;"|"&amp;$CU220,LocTable,7,FALSE),VLOOKUP($AT220&amp;"|"&amp;$CU220,LocTable,6,FALSE)),$BI220-($CU220-IF(N(VLOOKUP($AT220&amp;"|"&amp;$CU220,LocTable,7,FALSE))&gt;0,VLOOKUP($AT220&amp;"|"&amp;$CU220,LocTable,7,FALSE),VLOOKUP($AT220&amp;"|"&amp;$CU220,LocTable,6,FALSE)))),$BI220-10-$CR220))</f>
        <v/>
      </c>
      <c r="CY220" s="100">
        <f>IF($CS220,"",TRIM(IF(ISNUMBER($BU220),"A "&amp;TRIM(TEXT($BU220,"# ?/??"))&amp;CHAR(34)&amp;"  ","")&amp;IF(ISNUMBER($BV220),"B "&amp;TRIM(TEXT($BV220,"# ?/??"))&amp;CHAR(34)&amp;"  ","")&amp;IF(ISNUMBER($BW220),"C "&amp;TRIM(TEXT($BW220,"# ?/??"))&amp;CHAR(34)&amp;"  ","")&amp;IF(ISNUMBER($BX220),"D "&amp;TRIM(TEXT($BX220,"# ?/??"))&amp;CHAR(34)&amp;"  ","")&amp;IF(ISNUMBER($BY220),"F "&amp;TRIM(TEXT($BY220,"# ?/??"))&amp;CHAR(34)&amp;"  ","")&amp;IF(ISNUMBER($BZ220),"E "&amp;TRIM(TEXT($BZ220,"# ?/??"))&amp;CHAR(34)&amp;"  ","")))</f>
        <v/>
      </c>
      <c r="CZ220" s="100">
        <f>IF(OR($CS220,N($BJ220)=0),"",TRIM(IF(ISNUMBER($BU220),"A "&amp;TRIM(TEXT($BU220-HeadClr,"# ?/??"))&amp;CHAR(34)&amp;"  ","")&amp;IF(ISNUMBER($BV220),"B "&amp;TRIM(TEXT($BV220-HeadClr,"# ?/??"))&amp;CHAR(34)&amp;"  ","")&amp;IF(ISNUMBER($BW220),"C "&amp;TRIM(TEXT($BW220-HeadClr,"# ?/??"))&amp;CHAR(34)&amp;"  ","")&amp;IF(ISNUMBER($BX220),"D "&amp;TRIM(TEXT($BX220-HeadClr,"# ?/??"))&amp;CHAR(34)&amp;"  ","")&amp;IF(ISNUMBER($BY220),"F "&amp;TRIM(TEXT($BY220-HeadClr,"# ?/??"))&amp;CHAR(34)&amp;"  ","")&amp;IF(ISNUMBER($BZ220),"E "&amp;TRIM(TEXT($BZ220-HeadClr,"# ?/??"))&amp;CHAR(34)&amp;"  ","")))</f>
        <v/>
      </c>
      <c r="DA220" s="99">
        <f>IF($A220="","",IF($AN220="",IFERROR(VLOOKUP($Z220,CODES,2,FALSE),""),IFERROR(VLOOKUP($AN220,CODES,2,FALSE),"")))</f>
        <v/>
      </c>
      <c r="DB220" s="99">
        <f>IF($A220="","",IF($O220="Y","PR",IF(OR($Z220="L",$Z220="RR",LEFT($Z220,2)="L-",LEFT($Z220,3)="RR-"),"LH","RH")))</f>
        <v/>
      </c>
      <c r="DC220" s="99">
        <f>IF($A220="","","S.HM"&amp;IF(OR($C220="DOOR ONLY",$X220&lt;&gt;"KD"),"MASONRY","DRYWALL")&amp;IF($C220="DOOR ONLY","",$U220)&amp;IF(AND($C220&lt;&gt;"FRAME ONLY",OR(LEFT($AH220,3)="OAK",LEFT($AH220,3)="BIR",LEFT($AH220,3)="MAP",$AH220="PC",$AH220="MC",$AH220="SCLC",$AH220="P-LAM")),"WD","HM")&amp;"1.75")</f>
        <v/>
      </c>
      <c r="DD220" s="99">
        <f>IF($CJ220="","",IF($O220="Y",$CJ220,SUBSTITUTE($CJ220,$BG220&amp;" "&amp;IFERROR(VLOOKUP($Z220,CODES,2,FALSE),"")&amp;" ",$BG220&amp;" ")))</f>
        <v/>
      </c>
      <c r="DE220" s="99">
        <f>IF($CK220="","",IF($O220="Y",$CK220,SUBSTITUTE($CK220,$BG220&amp;" "&amp;IF($AN220="",IFERROR(VLOOKUP($Z220,CODES,2,FALSE),""),IFERROR(VLOOKUP($AN220,CODES,2,FALSE),""))&amp;" ",$BG220&amp;" ")))</f>
        <v/>
      </c>
      <c r="DF220" s="99">
        <f>IF($CJ220="","",$DC220&amp;"|"&amp;$DD220&amp;"|"&amp;$DB220&amp;"|"&amp;$AT220&amp;"|"&amp;$V220&amp;"|"&amp;$Y220&amp;"|"&amp;$AB220)</f>
        <v/>
      </c>
      <c r="DG220" s="99">
        <f>IF(DF220="","",IF(COUNTIF($DF$6:DF220,DF220)=1,MAX($DG$5:DG219)+1,INDEX($DG$5:DG219,MATCH(DF220,$DF$5:DF219,0))))</f>
        <v/>
      </c>
      <c r="DH220" s="99">
        <f>IF($CK220="","",$DC220&amp;"|"&amp;$DE220&amp;"|"&amp;$AI220&amp;"|"&amp;$BK220&amp;"|"&amp;$BL220)</f>
        <v/>
      </c>
      <c r="DI220" s="99">
        <f>IF(DH220="","",IF(COUNTIF($DH$6:DH220,DH220)=1,MAX($DI$5:DI219)+1,INDEX($DI$5:DI219,MATCH(DH220,$DH$5:DH219,0))))</f>
        <v/>
      </c>
      <c r="DJ220" s="99">
        <f>IF($A220="","",IF($B220="","qty, ","")&amp;IF($C220="","scope, ","")&amp;IF(OR($K220="",$M220=""),"size, ","")&amp;IF(AND($A220&lt;&gt;"",$C220&lt;&gt;"DOOR ONLY"),IF($U220="","jamb depth, ","")&amp;IF($X220="","construction, ","")&amp;IF($Y220="","anchor, ","")&amp;IF($S220="","frame type, ",""),"")&amp;IF(AND(N($BJ220)&gt;0,$Z220=""),"hand, ","")&amp;IF(N($BJ220)&gt;0,IF($AH220="","door material, ","")&amp;IF($AL220="","face type, ","")&amp;IF($AP220="","lock prep, ","")&amp;IF(AND($AO220="",$AC220=""),"hinge prep, ",""),"")&amp;IF(AND($CH220&gt;0,$AH220="FRP"),"FRP cannot carry a label, ","")&amp;IF(AND($O220="Y",OR($Z220="L",$Z220="R",$Z220="LR",$Z220="RR")),"pair marked but hand is single, ","")&amp;IF(AND($O220&lt;&gt;"Y",OR($Z220="PR",AND(LEN($Z220)&gt;1,ISNUMBER(SEARCH("-",$Z220))))),"pair hand on a single door, ","")&amp;IF(AND(ISNUMBER($CI220),$CH220&lt;N($CI220)),"wall needs a "&amp;$CI220&amp;" min door, ","")&amp;IF(AND($CH220&gt;=180,AND(OR($CE220="FG",$CE220="HG",$CE220="FNV",$CE220="FV"),N($CF220)*N($CG220)&gt;100)),"180 min lite over 100 sq in, ","")&amp;IF(N($BK220)&gt;48,"leaf wider than 4'-0"&amp;CHAR(34)&amp;", ","")&amp;IF(AND($CT220,COUNT($AW220:$AZ220)=0,$CQ220&gt;0),"CUSTOM LOC with no locations typed, ",""))</f>
        <v/>
      </c>
      <c r="DK220" s="99">
        <f>IF($A220="","",IF(AND($CH220&gt;0,AND($A220&lt;&gt;"",$C220&lt;&gt;"DOOR ONLY"),$X220="KD",$E220="EXTERIOR"),"KD label on an exterior opening, ","")&amp;IF(AND($E220="EXTERIOR",OR(AND(AND($A220&lt;&gt;"",$C220&lt;&gt;"DOOR ONLY"),$W220="CR"),AND(N($BJ220)&gt;0,$AH220="CR"))),"exterior in CR steel (G9?), ","")&amp;IF(AND(ISNUMBER($BQ220),N($BQ220)&lt;32),"clear width ~"&amp;TEXT($BQ220,"0.0")&amp;CHAR(34)&amp;" under 32"&amp;CHAR(34)&amp;" (ADA), ","")&amp;IF(AND($CH220=90,AND(OR($CE220="FG",$CE220="HG",$CE220="FNV",$CE220="FV"),N($CF220)*N($CG220)&gt;100)),"90 min lite over 100 sq in (stair/exit), ","")&amp;IF(AND($CH220&gt;0,AND($A220&lt;&gt;"",$C220&lt;&gt;"DOOR ONLY"),OR($AF220="",$AF220="-")),"rated: closer reinf.?, ","")&amp;IF(OR($I220="CORRIDOR",$I220="SMOKE BARRIER"),"S label + smoke gasketing, ","")&amp;IF($CI220="?","wall type/hr not in IBC table, ","")&amp;IF(AND(N($BJ220)&gt;0,$BB220=""),"no hardware set, ","")&amp;IF(AND($BB220&lt;&gt;"",ISNA(MATCH($BB220&amp;"",HWSets,0))),"set "&amp;$BB220&amp;" not on HW Sets, ","")&amp;IF(N($BL220)&gt;96,"leaf over 8'-0"&amp;CHAR(34)&amp;" - check listing, ","")&amp;IF(AND($CT220,COUNT($AW220:$AZ220)&gt;0,COUNT($AW220:$AZ220)&lt;&gt;$CQ220),COUNT($AW220:$AZ220)&amp;" custom hinges typed, "&amp;$CQ220&amp;" expected, ","")&amp;IF(AND(ISNUMBER($CA220),OR(N($CA220)&lt;34,N($CA220)&gt;48)),"lock "&amp;TEXT($CA220,"0.0")&amp;CHAR(34)&amp;" AFF outside 34-48"&amp;CHAR(34)&amp;" (ADA), ","")&amp;IF(AND(ISNUMBER($AV220),ISNUMBER($BL220),N($AV220)&lt;IF(N($BL220)&lt;=60,2,IF(N($BL220)&lt;=90,3,IF(N($BL220)&lt;=120,4,5)))),"fewer hinges than standard, ",""))</f>
        <v/>
      </c>
    </row>
    <row r="221" ht="15" customHeight="1">
      <c r="A221" s="77" t="n"/>
      <c r="B221" s="78" t="n"/>
      <c r="C221" s="78" t="n"/>
      <c r="D221" s="78" t="n"/>
      <c r="E221" s="78" t="n"/>
      <c r="F221" s="78" t="n"/>
      <c r="G221" s="78" t="n"/>
      <c r="H221" s="78" t="n"/>
      <c r="I221" s="78" t="n"/>
      <c r="J221" s="78" t="n"/>
      <c r="K221" s="78" t="n"/>
      <c r="L221" s="78" t="n"/>
      <c r="M221" s="78" t="n"/>
      <c r="N221" s="78" t="n"/>
      <c r="O221" s="78" t="n"/>
      <c r="P221" s="78" t="n"/>
      <c r="Q221" s="78" t="n"/>
      <c r="R221" s="78" t="n"/>
      <c r="S221" s="79" t="n"/>
      <c r="T221" s="79" t="n"/>
      <c r="U221" s="79" t="n"/>
      <c r="V221" s="79" t="n"/>
      <c r="W221" s="79" t="n"/>
      <c r="X221" s="79" t="n"/>
      <c r="Y221" s="79" t="n"/>
      <c r="Z221" s="79" t="n"/>
      <c r="AA221" s="79" t="n"/>
      <c r="AB221" s="79" t="n"/>
      <c r="AC221" s="79" t="n"/>
      <c r="AD221" s="79" t="n"/>
      <c r="AE221" s="79" t="n"/>
      <c r="AF221" s="79" t="n"/>
      <c r="AG221" s="79" t="n"/>
      <c r="AH221" s="80" t="n"/>
      <c r="AI221" s="80" t="n"/>
      <c r="AJ221" s="80" t="n"/>
      <c r="AK221" s="80" t="n"/>
      <c r="AL221" s="80" t="n"/>
      <c r="AM221" s="80" t="n"/>
      <c r="AN221" s="80" t="n"/>
      <c r="AO221" s="80" t="n"/>
      <c r="AP221" s="80" t="n"/>
      <c r="AQ221" s="80" t="n"/>
      <c r="AR221" s="80" t="n"/>
      <c r="AS221" s="80" t="n"/>
      <c r="AT221" s="81" t="n"/>
      <c r="AU221" s="81" t="n"/>
      <c r="AV221" s="81" t="n"/>
      <c r="AW221" s="82" t="n"/>
      <c r="AX221" s="82" t="n"/>
      <c r="AY221" s="82" t="n"/>
      <c r="AZ221" s="82" t="n"/>
      <c r="BA221" s="82" t="n"/>
      <c r="BB221" s="83" t="n"/>
      <c r="BC221" s="83" t="n"/>
      <c r="BD221" s="84">
        <f>IF($A221="","",IF($DJ221&lt;&gt;"","FIX",IF($DK221&lt;&gt;"","CHECK","OK")))</f>
        <v/>
      </c>
      <c r="BE221" s="85">
        <f>IF($A221="","",IF($DJ221&lt;&gt;"","FIX: "&amp;LEFT($DJ221,LEN($DJ221)-2)&amp;IF($DK221&lt;&gt;"","  ·  ",""),"")&amp;IF($DK221&lt;&gt;"","CHECK: "&amp;LEFT($DK221,LEN($DK221)-2),""))</f>
        <v/>
      </c>
      <c r="BF221" s="84">
        <f>IF(OR($A221="",$K221=""),"",$K221&amp;"'-"&amp;N($L221)&amp;CHAR(34)&amp;" x "&amp;$M221&amp;"'-"&amp;N($N221)&amp;CHAR(34))</f>
        <v/>
      </c>
      <c r="BG221" s="84">
        <f>IF(OR($A221="",$K221=""),"",$K221&amp;N($L221)&amp;$M221&amp;N($N221))</f>
        <v/>
      </c>
      <c r="BH221" s="84">
        <f>IF(OR($A221="",$K221=""),"",$K221*12+N($L221))</f>
        <v/>
      </c>
      <c r="BI221" s="84">
        <f>IF(OR($A221="",$M221=""),"",$M221*12+N($N221))</f>
        <v/>
      </c>
      <c r="BJ221" s="84">
        <f>IF($A221="","",IF(OR($C221="FRAME ONLY",$S221="BL"),0,IF($O221="Y",2,1)))</f>
        <v/>
      </c>
      <c r="BK221" s="86">
        <f>IF(OR(N($BJ221)=0,$BH221=""),"",($BH221-2*EdgeClr-IF($BJ221=2,MeetClr,0))/$BJ221)</f>
        <v/>
      </c>
      <c r="BL221" s="86">
        <f>IF(OR(N($BJ221)=0,$BI221=""),"",$BI221-HeadClr-Undercut)</f>
        <v/>
      </c>
      <c r="BM221" s="86">
        <f>IF($BH221="","",$BH221+2*FaceW+IF(N($Q221)&gt;0,($Q221+FaceW)*IF($R221="LR",2,1),0))</f>
        <v/>
      </c>
      <c r="BN221" s="86">
        <f>IF($BI221="","",$BI221+IF($AB221="Y",4,FaceW)+IF(N($P221)&gt;0,$P221+FaceW,0)+IF(OR($S221="4F",$S221="BL"),FaceW,0))</f>
        <v/>
      </c>
      <c r="BO221" s="86">
        <f>IF($BM221="","",$BM221+2*ROSide)</f>
        <v/>
      </c>
      <c r="BP221" s="86">
        <f>IF($BN221="","",$BN221+ROTop)</f>
        <v/>
      </c>
      <c r="BQ221" s="87">
        <f>IF(OR(N($BJ221)=0,$BH221=""),"",$BH221/$BJ221-ClearDeduct)</f>
        <v/>
      </c>
      <c r="BR221" s="84">
        <f>IF(N($CH221)=0,"",IF($CH221&gt;=180,"A · 3 HR",IF($CH221&gt;=90,"B · 1-1/2 HR",IF($CH221&gt;=60,"B · 1 HR",IF($CH221&gt;=45,"C · 3/4 HR","20 MIN")))))&amp;IF(AND(N($CH221)&gt;0,OR($I221="CORRIDOR",$I221="SMOKE BARRIER"))," · S","")</f>
        <v/>
      </c>
      <c r="BS221" s="84">
        <f>IF($CS221,"",IF($AV221&lt;&gt;"",$AV221,IF(OR($AC221="HGC",$AO221="HGC"),"CONT",IF(($BI221-HeadClr-Undercut)&lt;=60,2,IF(($BI221-HeadClr-Undercut)&lt;=90,3,IF(($BI221-HeadClr-Undercut)&lt;=120,4,5))))))</f>
        <v/>
      </c>
      <c r="BT221" s="84">
        <f>IF($CS221,"",IF($CT221,"CUSTOM (typed)",IF($CV221,$AT221&amp;" "&amp;$CU221&amp;CHAR(34)&amp;IF($CU221&lt;&gt;$BI221,IF(AND($BI221&lt;$CU221,$BI221-IF(N(VLOOKUP($AT221&amp;"|"&amp;$CU221,LocTable,7,FALSE))&gt;0,VLOOKUP($AT221&amp;"|"&amp;$CU221,LocTable,7,FALSE),VLOOKUP($AT221&amp;"|"&amp;$CU221,LocTable,6,FALSE))-$CR221-0.75&gt;=2.125)," cut down"," adj."),""),"ANSI/SDI A250.6")))</f>
        <v/>
      </c>
      <c r="BU221" s="88">
        <f>IF($CS221,"",IF($CT221,IF(N($AW221)&gt;0,N($AW221),""),IF(1&gt;$CQ221,"",IF($CQ221=1,$CW221,$CW221+($CX221-$CW221)*0/($CQ221-1)))))</f>
        <v/>
      </c>
      <c r="BV221" s="88">
        <f>IF($CS221,"",IF($CT221,IF(N($AX221)&gt;0,N($AX221),""),IF(2&gt;$CQ221,"",IF($CQ221=1,$CW221,$CW221+($CX221-$CW221)*1/($CQ221-1)))))</f>
        <v/>
      </c>
      <c r="BW221" s="88">
        <f>IF($CS221,"",IF($CT221,IF(N($AY221)&gt;0,N($AY221),""),IF(3&gt;$CQ221,"",IF($CQ221=1,$CW221,$CW221+($CX221-$CW221)*2/($CQ221-1)))))</f>
        <v/>
      </c>
      <c r="BX221" s="88">
        <f>IF($CS221,"",IF($CT221,IF(N($AZ221)&gt;0,N($AZ221),""),IF(4&gt;$CQ221,"",IF($CQ221=1,$CW221,$CW221+($CX221-$CW221)*3/($CQ221-1)))))</f>
        <v/>
      </c>
      <c r="BY221" s="88">
        <f>IF($CS221,"",IF($CT221,"",IF(5&gt;$CQ221,"",IF($CQ221=1,$CW221,$CW221+($CX221-$CW221)*4/($CQ221-1)))))</f>
        <v/>
      </c>
      <c r="BZ221" s="88">
        <f>IF(OR($CS221,$AP221="-",AND($AP221="",$AD221="")),"",IF(N($BA221)&gt;0,N($BA221),IF($CV221,IF(AND($BI221&lt;$CU221,$BI221-IF(N(VLOOKUP($AT221&amp;"|"&amp;$CU221,LocTable,7,FALSE))&gt;0,VLOOKUP($AT221&amp;"|"&amp;$CU221,LocTable,7,FALSE),VLOOKUP($AT221&amp;"|"&amp;$CU221,LocTable,6,FALSE))-$CR221-0.75&gt;=2.125),VLOOKUP($AT221&amp;"|"&amp;$CU221,LocTable,8,FALSE),VLOOKUP($AT221&amp;"|"&amp;$CU221,LocTable,8,FALSE)+($BI221-$CU221)),$BI221-LockAFF)))</f>
        <v/>
      </c>
      <c r="CA221" s="89">
        <f>IF($BZ221="","",$BI221-$BZ221)</f>
        <v/>
      </c>
      <c r="CB221" s="84">
        <f>IF(OR(NOT(AND($A221&lt;&gt;"",$C221&lt;&gt;"DOOR ONLY")),$BI221=""),"",IF(($BI221+IF(N($P221)&gt;0,$P221+FaceW,0))&lt;=90,3,IF(($BI221+IF(N($P221)&gt;0,$P221+FaceW,0))&lt;=114,4,5)))</f>
        <v/>
      </c>
      <c r="CC221" s="84">
        <f>IF($CB221="","",$CB221*(2+IF(N($Q221)&gt;0,IF($R221="LR",2,1),0)))</f>
        <v/>
      </c>
      <c r="CD221" s="84">
        <f>IF($CB221="","",(2+IF(N($Q221)&gt;0,IF($R221="LR",2,1),0)))</f>
        <v/>
      </c>
      <c r="CE221" s="84">
        <f>IF(N($BJ221)=0,"",IF(OR($AL221="",$AL221="FLUSH"),"FLUSH",IFERROR(LEFT($AL221,FIND("-",$AL221)-1),LEFT($AL221,2))))</f>
        <v/>
      </c>
      <c r="CF221" s="84">
        <f>IF($CE221="","",IFERROR(VALUE(MID($AL221,FIND("-",$AL221)+1,FIND(CHAR(34)&amp;"x",$AL221)-FIND("-",$AL221)-1)),0))</f>
        <v/>
      </c>
      <c r="CG221" s="84">
        <f>IF($CE221="","",IFERROR(VALUE(MID($AL221,FIND(CHAR(34)&amp;"x",$AL221)+2,FIND(CHAR(34),$AL221,FIND(CHAR(34)&amp;"x",$AL221)+2)-FIND(CHAR(34)&amp;"x",$AL221)-2)),0))</f>
        <v/>
      </c>
      <c r="CH221" s="90">
        <f>IF(OR($A221="",$H221="",$H221="NO LAB"),0,IFERROR(VALUE(LEFT($H221,FIND(" ",$H221)-1)),0))</f>
        <v/>
      </c>
      <c r="CI221" s="91">
        <f>IF(OR($A221="",$I221="",$I221="NON-RATED",N($J221)=0),"",IFERROR(VLOOKUP($I221&amp;"|"&amp;$J221,IBC,2,FALSE),"?"))</f>
        <v/>
      </c>
      <c r="CJ221" s="85">
        <f>IF(NOT(AND($A221&lt;&gt;"",$C221&lt;&gt;"DOOR ONLY")),"",TRIM(IFERROR(VLOOKUP($U221,CODES,2,FALSE),"")&amp;" "&amp;$BG221&amp;" "&amp;IFERROR(VLOOKUP($Z221,CODES,2,FALSE),"")&amp;" "&amp;IFERROR(VLOOKUP($X221,CODES,2,FALSE),"")&amp;" "&amp;IFERROR(VLOOKUP($S221,CODES,2,FALSE),"")&amp;IF(N($P221)&gt;0," w/TRANSOM "&amp;$P221&amp;CHAR(34),"")&amp;IF(N($Q221)&gt;0," w/SIDELITE "&amp;$Q221&amp;CHAR(34)&amp;" "&amp;IF($R221="","R",$R221),"")&amp;IF($Y221="","  |  "," | "&amp;IFERROR(VLOOKUP($Y221,CODES,2,FALSE),"")&amp;" | ")&amp;IFERROR(VLOOKUP($AC221,CODES,2,FALSE),"")&amp;" "&amp;IFERROR(VLOOKUP($AD221,CODES,2,FALSE),"")&amp;IF(OR($AE221="",$AE221="-"),""," "&amp;$AE221)&amp;IF(OR($AF221="",$AF221="-"),""," "&amp;$AF221)&amp;IF($AB221="Y"," 4"&amp;CHAR(34)&amp;" HEAD","")&amp;" "&amp;IFERROR(VLOOKUP($H221,CODES,2,FALSE),"")&amp;IF($CT221," | LOC "&amp;$CY221,"")))</f>
        <v/>
      </c>
      <c r="CK221" s="85">
        <f>IF(NOT(AND($A221&lt;&gt;"",N($BJ221)&gt;0)),"",TRIM(IFERROR(VLOOKUP($AH221,CODES,2,FALSE),"")&amp;IF($AI221=""," "," "&amp;$AI221&amp;"GA ")&amp;$BG221&amp;" "&amp;IF($AN221="",IFERROR(VLOOKUP($Z221,CODES,2,FALSE),""),IFERROR(VLOOKUP($AN221,CODES,2,FALSE),""))&amp;IF($BJ221=2," PAIR","")&amp;" DOOR | "&amp;IF($AL221="","?",$AL221)&amp;" | "&amp;IF($AO221="",IFERROR(VLOOKUP($AC221,CODES,2,FALSE),""),IFERROR(VLOOKUP($AO221,CODES,2,FALSE),""))&amp;" "&amp;IFERROR(VLOOKUP($AP221,CODES,2,FALSE),"")&amp;IF(OR($AQ221="",$AQ221="-"),""," SEAM "&amp;$AQ221)&amp;IF($AR221="Y"," ASTRAGAL","")&amp;IF($AJ221=""," "," "&amp;$AJ221)&amp;IF($AK221=""," "," "&amp;$AK221)&amp;IF(OR($AT221="",$AT221="ANSI/SDI",$AT221="CUSTOM LOC"),""," "&amp;$AT221)&amp;IF($AM221=""," "," SERIES "&amp;$AM221)&amp;" "&amp;IFERROR(VLOOKUP($H221,CODES,2,FALSE),"")&amp;IF($CT221," | LOC "&amp;$CZ221,"")))</f>
        <v/>
      </c>
      <c r="CL221" s="84">
        <f>IF(CP221="","",IF(COUNTIF($CP$6:CP221,CP221)=1,MAX($CL$5:CL220)+1,INDEX($CL$5:CL220,MATCH(CP221,$CP$5:CP220,0))))</f>
        <v/>
      </c>
      <c r="CM221" s="84">
        <f>IF(NOT(AND($A221&lt;&gt;"",$C221&lt;&gt;"DOOR ONLY")),"",MAX($CM$5:CM220)+1)</f>
        <v/>
      </c>
      <c r="CN221" s="84">
        <f>IF(NOT(AND($A221&lt;&gt;"",N($BJ221)&gt;0)),"",MAX($CN$5:CN220)+1)</f>
        <v/>
      </c>
      <c r="CO221" s="84">
        <f>IF($A221="","",MAX($CO$5:CO220)+1)</f>
        <v/>
      </c>
      <c r="CP221" s="84">
        <f>IF(OR($A221="",$BH221="",$BI221=""),"",$BG221&amp;"|"&amp;$O221&amp;"|"&amp;$AL221&amp;"|"&amp;$S221&amp;"|"&amp;$P221&amp;"|"&amp;$Q221&amp;$R221&amp;"|"&amp;$C221&amp;"|"&amp;$AB221)</f>
        <v/>
      </c>
      <c r="CQ221" s="84">
        <f>N($BS221)</f>
        <v/>
      </c>
      <c r="CR221" s="84">
        <f>IF(N($AU221)&gt;0,N($AU221),4.5)</f>
        <v/>
      </c>
      <c r="CS221" s="84">
        <f>OR($A221="",$BI221="",$S221="BL",AND($C221="FRAME ONLY",OR($AC221="",$AC221="BLK")))</f>
        <v/>
      </c>
      <c r="CT221" s="84">
        <f>AND(NOT($CS221),OR($AT221="CUSTOM LOC",N($AW221)+N($AX221)+N($AY221)+N($AZ221)+N($BA221)&gt;0))</f>
        <v/>
      </c>
      <c r="CU221" s="84">
        <f>IF($BI221="","",IF($BI221&lt;=80,80,IF($BI221&lt;=84,84,96)))</f>
        <v/>
      </c>
      <c r="CV221" s="84">
        <f>ISNUMBER(MATCH($AT221&amp;"|80",LocKeys,0))</f>
        <v/>
      </c>
      <c r="CW221" s="86">
        <f>IF($CS221,"",IF($CV221,VLOOKUP($AT221&amp;"|"&amp;$CU221,LocTable,4,FALSE),5))</f>
        <v/>
      </c>
      <c r="CX221" s="86">
        <f>IF($CS221,"",IF($CV221,IF(OR($BI221=$CU221,AND($BI221&lt;$CU221,$BI221-IF(N(VLOOKUP($AT221&amp;"|"&amp;$CU221,LocTable,7,FALSE))&gt;0,VLOOKUP($AT221&amp;"|"&amp;$CU221,LocTable,7,FALSE),VLOOKUP($AT221&amp;"|"&amp;$CU221,LocTable,6,FALSE))-$CR221-0.75&gt;=2.125)),IF(N(VLOOKUP($AT221&amp;"|"&amp;$CU221,LocTable,7,FALSE))&gt;0,VLOOKUP($AT221&amp;"|"&amp;$CU221,LocTable,7,FALSE),VLOOKUP($AT221&amp;"|"&amp;$CU221,LocTable,6,FALSE)),$BI221-($CU221-IF(N(VLOOKUP($AT221&amp;"|"&amp;$CU221,LocTable,7,FALSE))&gt;0,VLOOKUP($AT221&amp;"|"&amp;$CU221,LocTable,7,FALSE),VLOOKUP($AT221&amp;"|"&amp;$CU221,LocTable,6,FALSE)))),$BI221-10-$CR221))</f>
        <v/>
      </c>
      <c r="CY221" s="85">
        <f>IF($CS221,"",TRIM(IF(ISNUMBER($BU221),"A "&amp;TRIM(TEXT($BU221,"# ?/??"))&amp;CHAR(34)&amp;"  ","")&amp;IF(ISNUMBER($BV221),"B "&amp;TRIM(TEXT($BV221,"# ?/??"))&amp;CHAR(34)&amp;"  ","")&amp;IF(ISNUMBER($BW221),"C "&amp;TRIM(TEXT($BW221,"# ?/??"))&amp;CHAR(34)&amp;"  ","")&amp;IF(ISNUMBER($BX221),"D "&amp;TRIM(TEXT($BX221,"# ?/??"))&amp;CHAR(34)&amp;"  ","")&amp;IF(ISNUMBER($BY221),"F "&amp;TRIM(TEXT($BY221,"# ?/??"))&amp;CHAR(34)&amp;"  ","")&amp;IF(ISNUMBER($BZ221),"E "&amp;TRIM(TEXT($BZ221,"# ?/??"))&amp;CHAR(34)&amp;"  ","")))</f>
        <v/>
      </c>
      <c r="CZ221" s="85">
        <f>IF(OR($CS221,N($BJ221)=0),"",TRIM(IF(ISNUMBER($BU221),"A "&amp;TRIM(TEXT($BU221-HeadClr,"# ?/??"))&amp;CHAR(34)&amp;"  ","")&amp;IF(ISNUMBER($BV221),"B "&amp;TRIM(TEXT($BV221-HeadClr,"# ?/??"))&amp;CHAR(34)&amp;"  ","")&amp;IF(ISNUMBER($BW221),"C "&amp;TRIM(TEXT($BW221-HeadClr,"# ?/??"))&amp;CHAR(34)&amp;"  ","")&amp;IF(ISNUMBER($BX221),"D "&amp;TRIM(TEXT($BX221-HeadClr,"# ?/??"))&amp;CHAR(34)&amp;"  ","")&amp;IF(ISNUMBER($BY221),"F "&amp;TRIM(TEXT($BY221-HeadClr,"# ?/??"))&amp;CHAR(34)&amp;"  ","")&amp;IF(ISNUMBER($BZ221),"E "&amp;TRIM(TEXT($BZ221-HeadClr,"# ?/??"))&amp;CHAR(34)&amp;"  ","")))</f>
        <v/>
      </c>
      <c r="DA221" s="84">
        <f>IF($A221="","",IF($AN221="",IFERROR(VLOOKUP($Z221,CODES,2,FALSE),""),IFERROR(VLOOKUP($AN221,CODES,2,FALSE),"")))</f>
        <v/>
      </c>
      <c r="DB221" s="84">
        <f>IF($A221="","",IF($O221="Y","PR",IF(OR($Z221="L",$Z221="RR",LEFT($Z221,2)="L-",LEFT($Z221,3)="RR-"),"LH","RH")))</f>
        <v/>
      </c>
      <c r="DC221" s="84">
        <f>IF($A221="","","S.HM"&amp;IF(OR($C221="DOOR ONLY",$X221&lt;&gt;"KD"),"MASONRY","DRYWALL")&amp;IF($C221="DOOR ONLY","",$U221)&amp;IF(AND($C221&lt;&gt;"FRAME ONLY",OR(LEFT($AH221,3)="OAK",LEFT($AH221,3)="BIR",LEFT($AH221,3)="MAP",$AH221="PC",$AH221="MC",$AH221="SCLC",$AH221="P-LAM")),"WD","HM")&amp;"1.75")</f>
        <v/>
      </c>
      <c r="DD221" s="84">
        <f>IF($CJ221="","",IF($O221="Y",$CJ221,SUBSTITUTE($CJ221,$BG221&amp;" "&amp;IFERROR(VLOOKUP($Z221,CODES,2,FALSE),"")&amp;" ",$BG221&amp;" ")))</f>
        <v/>
      </c>
      <c r="DE221" s="84">
        <f>IF($CK221="","",IF($O221="Y",$CK221,SUBSTITUTE($CK221,$BG221&amp;" "&amp;IF($AN221="",IFERROR(VLOOKUP($Z221,CODES,2,FALSE),""),IFERROR(VLOOKUP($AN221,CODES,2,FALSE),""))&amp;" ",$BG221&amp;" ")))</f>
        <v/>
      </c>
      <c r="DF221" s="84">
        <f>IF($CJ221="","",$DC221&amp;"|"&amp;$DD221&amp;"|"&amp;$DB221&amp;"|"&amp;$AT221&amp;"|"&amp;$V221&amp;"|"&amp;$Y221&amp;"|"&amp;$AB221)</f>
        <v/>
      </c>
      <c r="DG221" s="84">
        <f>IF(DF221="","",IF(COUNTIF($DF$6:DF221,DF221)=1,MAX($DG$5:DG220)+1,INDEX($DG$5:DG220,MATCH(DF221,$DF$5:DF220,0))))</f>
        <v/>
      </c>
      <c r="DH221" s="84">
        <f>IF($CK221="","",$DC221&amp;"|"&amp;$DE221&amp;"|"&amp;$AI221&amp;"|"&amp;$BK221&amp;"|"&amp;$BL221)</f>
        <v/>
      </c>
      <c r="DI221" s="84">
        <f>IF(DH221="","",IF(COUNTIF($DH$6:DH221,DH221)=1,MAX($DI$5:DI220)+1,INDEX($DI$5:DI220,MATCH(DH221,$DH$5:DH220,0))))</f>
        <v/>
      </c>
      <c r="DJ221" s="84">
        <f>IF($A221="","",IF($B221="","qty, ","")&amp;IF($C221="","scope, ","")&amp;IF(OR($K221="",$M221=""),"size, ","")&amp;IF(AND($A221&lt;&gt;"",$C221&lt;&gt;"DOOR ONLY"),IF($U221="","jamb depth, ","")&amp;IF($X221="","construction, ","")&amp;IF($Y221="","anchor, ","")&amp;IF($S221="","frame type, ",""),"")&amp;IF(AND(N($BJ221)&gt;0,$Z221=""),"hand, ","")&amp;IF(N($BJ221)&gt;0,IF($AH221="","door material, ","")&amp;IF($AL221="","face type, ","")&amp;IF($AP221="","lock prep, ","")&amp;IF(AND($AO221="",$AC221=""),"hinge prep, ",""),"")&amp;IF(AND($CH221&gt;0,$AH221="FRP"),"FRP cannot carry a label, ","")&amp;IF(AND($O221="Y",OR($Z221="L",$Z221="R",$Z221="LR",$Z221="RR")),"pair marked but hand is single, ","")&amp;IF(AND($O221&lt;&gt;"Y",OR($Z221="PR",AND(LEN($Z221)&gt;1,ISNUMBER(SEARCH("-",$Z221))))),"pair hand on a single door, ","")&amp;IF(AND(ISNUMBER($CI221),$CH221&lt;N($CI221)),"wall needs a "&amp;$CI221&amp;" min door, ","")&amp;IF(AND($CH221&gt;=180,AND(OR($CE221="FG",$CE221="HG",$CE221="FNV",$CE221="FV"),N($CF221)*N($CG221)&gt;100)),"180 min lite over 100 sq in, ","")&amp;IF(N($BK221)&gt;48,"leaf wider than 4'-0"&amp;CHAR(34)&amp;", ","")&amp;IF(AND($CT221,COUNT($AW221:$AZ221)=0,$CQ221&gt;0),"CUSTOM LOC with no locations typed, ",""))</f>
        <v/>
      </c>
      <c r="DK221" s="84">
        <f>IF($A221="","",IF(AND($CH221&gt;0,AND($A221&lt;&gt;"",$C221&lt;&gt;"DOOR ONLY"),$X221="KD",$E221="EXTERIOR"),"KD label on an exterior opening, ","")&amp;IF(AND($E221="EXTERIOR",OR(AND(AND($A221&lt;&gt;"",$C221&lt;&gt;"DOOR ONLY"),$W221="CR"),AND(N($BJ221)&gt;0,$AH221="CR"))),"exterior in CR steel (G9?), ","")&amp;IF(AND(ISNUMBER($BQ221),N($BQ221)&lt;32),"clear width ~"&amp;TEXT($BQ221,"0.0")&amp;CHAR(34)&amp;" under 32"&amp;CHAR(34)&amp;" (ADA), ","")&amp;IF(AND($CH221=90,AND(OR($CE221="FG",$CE221="HG",$CE221="FNV",$CE221="FV"),N($CF221)*N($CG221)&gt;100)),"90 min lite over 100 sq in (stair/exit), ","")&amp;IF(AND($CH221&gt;0,AND($A221&lt;&gt;"",$C221&lt;&gt;"DOOR ONLY"),OR($AF221="",$AF221="-")),"rated: closer reinf.?, ","")&amp;IF(OR($I221="CORRIDOR",$I221="SMOKE BARRIER"),"S label + smoke gasketing, ","")&amp;IF($CI221="?","wall type/hr not in IBC table, ","")&amp;IF(AND(N($BJ221)&gt;0,$BB221=""),"no hardware set, ","")&amp;IF(AND($BB221&lt;&gt;"",ISNA(MATCH($BB221&amp;"",HWSets,0))),"set "&amp;$BB221&amp;" not on HW Sets, ","")&amp;IF(N($BL221)&gt;96,"leaf over 8'-0"&amp;CHAR(34)&amp;" - check listing, ","")&amp;IF(AND($CT221,COUNT($AW221:$AZ221)&gt;0,COUNT($AW221:$AZ221)&lt;&gt;$CQ221),COUNT($AW221:$AZ221)&amp;" custom hinges typed, "&amp;$CQ221&amp;" expected, ","")&amp;IF(AND(ISNUMBER($CA221),OR(N($CA221)&lt;34,N($CA221)&gt;48)),"lock "&amp;TEXT($CA221,"0.0")&amp;CHAR(34)&amp;" AFF outside 34-48"&amp;CHAR(34)&amp;" (ADA), ","")&amp;IF(AND(ISNUMBER($AV221),ISNUMBER($BL221),N($AV221)&lt;IF(N($BL221)&lt;=60,2,IF(N($BL221)&lt;=90,3,IF(N($BL221)&lt;=120,4,5)))),"fewer hinges than standard, ",""))</f>
        <v/>
      </c>
    </row>
    <row r="222" ht="15" customHeight="1">
      <c r="A222" s="77" t="n"/>
      <c r="B222" s="78" t="n"/>
      <c r="C222" s="78" t="n"/>
      <c r="D222" s="78" t="n"/>
      <c r="E222" s="78" t="n"/>
      <c r="F222" s="78" t="n"/>
      <c r="G222" s="78" t="n"/>
      <c r="H222" s="78" t="n"/>
      <c r="I222" s="78" t="n"/>
      <c r="J222" s="78" t="n"/>
      <c r="K222" s="78" t="n"/>
      <c r="L222" s="78" t="n"/>
      <c r="M222" s="78" t="n"/>
      <c r="N222" s="78" t="n"/>
      <c r="O222" s="78" t="n"/>
      <c r="P222" s="78" t="n"/>
      <c r="Q222" s="78" t="n"/>
      <c r="R222" s="78" t="n"/>
      <c r="S222" s="79" t="n"/>
      <c r="T222" s="79" t="n"/>
      <c r="U222" s="79" t="n"/>
      <c r="V222" s="79" t="n"/>
      <c r="W222" s="79" t="n"/>
      <c r="X222" s="79" t="n"/>
      <c r="Y222" s="79" t="n"/>
      <c r="Z222" s="79" t="n"/>
      <c r="AA222" s="79" t="n"/>
      <c r="AB222" s="79" t="n"/>
      <c r="AC222" s="79" t="n"/>
      <c r="AD222" s="79" t="n"/>
      <c r="AE222" s="79" t="n"/>
      <c r="AF222" s="79" t="n"/>
      <c r="AG222" s="79" t="n"/>
      <c r="AH222" s="80" t="n"/>
      <c r="AI222" s="80" t="n"/>
      <c r="AJ222" s="80" t="n"/>
      <c r="AK222" s="80" t="n"/>
      <c r="AL222" s="80" t="n"/>
      <c r="AM222" s="80" t="n"/>
      <c r="AN222" s="80" t="n"/>
      <c r="AO222" s="80" t="n"/>
      <c r="AP222" s="80" t="n"/>
      <c r="AQ222" s="80" t="n"/>
      <c r="AR222" s="80" t="n"/>
      <c r="AS222" s="80" t="n"/>
      <c r="AT222" s="81" t="n"/>
      <c r="AU222" s="81" t="n"/>
      <c r="AV222" s="81" t="n"/>
      <c r="AW222" s="82" t="n"/>
      <c r="AX222" s="82" t="n"/>
      <c r="AY222" s="82" t="n"/>
      <c r="AZ222" s="82" t="n"/>
      <c r="BA222" s="82" t="n"/>
      <c r="BB222" s="83" t="n"/>
      <c r="BC222" s="83" t="n"/>
      <c r="BD222" s="84">
        <f>IF($A222="","",IF($DJ222&lt;&gt;"","FIX",IF($DK222&lt;&gt;"","CHECK","OK")))</f>
        <v/>
      </c>
      <c r="BE222" s="85">
        <f>IF($A222="","",IF($DJ222&lt;&gt;"","FIX: "&amp;LEFT($DJ222,LEN($DJ222)-2)&amp;IF($DK222&lt;&gt;"","  ·  ",""),"")&amp;IF($DK222&lt;&gt;"","CHECK: "&amp;LEFT($DK222,LEN($DK222)-2),""))</f>
        <v/>
      </c>
      <c r="BF222" s="84">
        <f>IF(OR($A222="",$K222=""),"",$K222&amp;"'-"&amp;N($L222)&amp;CHAR(34)&amp;" x "&amp;$M222&amp;"'-"&amp;N($N222)&amp;CHAR(34))</f>
        <v/>
      </c>
      <c r="BG222" s="84">
        <f>IF(OR($A222="",$K222=""),"",$K222&amp;N($L222)&amp;$M222&amp;N($N222))</f>
        <v/>
      </c>
      <c r="BH222" s="84">
        <f>IF(OR($A222="",$K222=""),"",$K222*12+N($L222))</f>
        <v/>
      </c>
      <c r="BI222" s="84">
        <f>IF(OR($A222="",$M222=""),"",$M222*12+N($N222))</f>
        <v/>
      </c>
      <c r="BJ222" s="84">
        <f>IF($A222="","",IF(OR($C222="FRAME ONLY",$S222="BL"),0,IF($O222="Y",2,1)))</f>
        <v/>
      </c>
      <c r="BK222" s="86">
        <f>IF(OR(N($BJ222)=0,$BH222=""),"",($BH222-2*EdgeClr-IF($BJ222=2,MeetClr,0))/$BJ222)</f>
        <v/>
      </c>
      <c r="BL222" s="86">
        <f>IF(OR(N($BJ222)=0,$BI222=""),"",$BI222-HeadClr-Undercut)</f>
        <v/>
      </c>
      <c r="BM222" s="86">
        <f>IF($BH222="","",$BH222+2*FaceW+IF(N($Q222)&gt;0,($Q222+FaceW)*IF($R222="LR",2,1),0))</f>
        <v/>
      </c>
      <c r="BN222" s="86">
        <f>IF($BI222="","",$BI222+IF($AB222="Y",4,FaceW)+IF(N($P222)&gt;0,$P222+FaceW,0)+IF(OR($S222="4F",$S222="BL"),FaceW,0))</f>
        <v/>
      </c>
      <c r="BO222" s="86">
        <f>IF($BM222="","",$BM222+2*ROSide)</f>
        <v/>
      </c>
      <c r="BP222" s="86">
        <f>IF($BN222="","",$BN222+ROTop)</f>
        <v/>
      </c>
      <c r="BQ222" s="87">
        <f>IF(OR(N($BJ222)=0,$BH222=""),"",$BH222/$BJ222-ClearDeduct)</f>
        <v/>
      </c>
      <c r="BR222" s="84">
        <f>IF(N($CH222)=0,"",IF($CH222&gt;=180,"A · 3 HR",IF($CH222&gt;=90,"B · 1-1/2 HR",IF($CH222&gt;=60,"B · 1 HR",IF($CH222&gt;=45,"C · 3/4 HR","20 MIN")))))&amp;IF(AND(N($CH222)&gt;0,OR($I222="CORRIDOR",$I222="SMOKE BARRIER"))," · S","")</f>
        <v/>
      </c>
      <c r="BS222" s="84">
        <f>IF($CS222,"",IF($AV222&lt;&gt;"",$AV222,IF(OR($AC222="HGC",$AO222="HGC"),"CONT",IF(($BI222-HeadClr-Undercut)&lt;=60,2,IF(($BI222-HeadClr-Undercut)&lt;=90,3,IF(($BI222-HeadClr-Undercut)&lt;=120,4,5))))))</f>
        <v/>
      </c>
      <c r="BT222" s="84">
        <f>IF($CS222,"",IF($CT222,"CUSTOM (typed)",IF($CV222,$AT222&amp;" "&amp;$CU222&amp;CHAR(34)&amp;IF($CU222&lt;&gt;$BI222,IF(AND($BI222&lt;$CU222,$BI222-IF(N(VLOOKUP($AT222&amp;"|"&amp;$CU222,LocTable,7,FALSE))&gt;0,VLOOKUP($AT222&amp;"|"&amp;$CU222,LocTable,7,FALSE),VLOOKUP($AT222&amp;"|"&amp;$CU222,LocTable,6,FALSE))-$CR222-0.75&gt;=2.125)," cut down"," adj."),""),"ANSI/SDI A250.6")))</f>
        <v/>
      </c>
      <c r="BU222" s="88">
        <f>IF($CS222,"",IF($CT222,IF(N($AW222)&gt;0,N($AW222),""),IF(1&gt;$CQ222,"",IF($CQ222=1,$CW222,$CW222+($CX222-$CW222)*0/($CQ222-1)))))</f>
        <v/>
      </c>
      <c r="BV222" s="88">
        <f>IF($CS222,"",IF($CT222,IF(N($AX222)&gt;0,N($AX222),""),IF(2&gt;$CQ222,"",IF($CQ222=1,$CW222,$CW222+($CX222-$CW222)*1/($CQ222-1)))))</f>
        <v/>
      </c>
      <c r="BW222" s="88">
        <f>IF($CS222,"",IF($CT222,IF(N($AY222)&gt;0,N($AY222),""),IF(3&gt;$CQ222,"",IF($CQ222=1,$CW222,$CW222+($CX222-$CW222)*2/($CQ222-1)))))</f>
        <v/>
      </c>
      <c r="BX222" s="88">
        <f>IF($CS222,"",IF($CT222,IF(N($AZ222)&gt;0,N($AZ222),""),IF(4&gt;$CQ222,"",IF($CQ222=1,$CW222,$CW222+($CX222-$CW222)*3/($CQ222-1)))))</f>
        <v/>
      </c>
      <c r="BY222" s="88">
        <f>IF($CS222,"",IF($CT222,"",IF(5&gt;$CQ222,"",IF($CQ222=1,$CW222,$CW222+($CX222-$CW222)*4/($CQ222-1)))))</f>
        <v/>
      </c>
      <c r="BZ222" s="88">
        <f>IF(OR($CS222,$AP222="-",AND($AP222="",$AD222="")),"",IF(N($BA222)&gt;0,N($BA222),IF($CV222,IF(AND($BI222&lt;$CU222,$BI222-IF(N(VLOOKUP($AT222&amp;"|"&amp;$CU222,LocTable,7,FALSE))&gt;0,VLOOKUP($AT222&amp;"|"&amp;$CU222,LocTable,7,FALSE),VLOOKUP($AT222&amp;"|"&amp;$CU222,LocTable,6,FALSE))-$CR222-0.75&gt;=2.125),VLOOKUP($AT222&amp;"|"&amp;$CU222,LocTable,8,FALSE),VLOOKUP($AT222&amp;"|"&amp;$CU222,LocTable,8,FALSE)+($BI222-$CU222)),$BI222-LockAFF)))</f>
        <v/>
      </c>
      <c r="CA222" s="89">
        <f>IF($BZ222="","",$BI222-$BZ222)</f>
        <v/>
      </c>
      <c r="CB222" s="84">
        <f>IF(OR(NOT(AND($A222&lt;&gt;"",$C222&lt;&gt;"DOOR ONLY")),$BI222=""),"",IF(($BI222+IF(N($P222)&gt;0,$P222+FaceW,0))&lt;=90,3,IF(($BI222+IF(N($P222)&gt;0,$P222+FaceW,0))&lt;=114,4,5)))</f>
        <v/>
      </c>
      <c r="CC222" s="84">
        <f>IF($CB222="","",$CB222*(2+IF(N($Q222)&gt;0,IF($R222="LR",2,1),0)))</f>
        <v/>
      </c>
      <c r="CD222" s="84">
        <f>IF($CB222="","",(2+IF(N($Q222)&gt;0,IF($R222="LR",2,1),0)))</f>
        <v/>
      </c>
      <c r="CE222" s="84">
        <f>IF(N($BJ222)=0,"",IF(OR($AL222="",$AL222="FLUSH"),"FLUSH",IFERROR(LEFT($AL222,FIND("-",$AL222)-1),LEFT($AL222,2))))</f>
        <v/>
      </c>
      <c r="CF222" s="84">
        <f>IF($CE222="","",IFERROR(VALUE(MID($AL222,FIND("-",$AL222)+1,FIND(CHAR(34)&amp;"x",$AL222)-FIND("-",$AL222)-1)),0))</f>
        <v/>
      </c>
      <c r="CG222" s="84">
        <f>IF($CE222="","",IFERROR(VALUE(MID($AL222,FIND(CHAR(34)&amp;"x",$AL222)+2,FIND(CHAR(34),$AL222,FIND(CHAR(34)&amp;"x",$AL222)+2)-FIND(CHAR(34)&amp;"x",$AL222)-2)),0))</f>
        <v/>
      </c>
      <c r="CH222" s="90">
        <f>IF(OR($A222="",$H222="",$H222="NO LAB"),0,IFERROR(VALUE(LEFT($H222,FIND(" ",$H222)-1)),0))</f>
        <v/>
      </c>
      <c r="CI222" s="91">
        <f>IF(OR($A222="",$I222="",$I222="NON-RATED",N($J222)=0),"",IFERROR(VLOOKUP($I222&amp;"|"&amp;$J222,IBC,2,FALSE),"?"))</f>
        <v/>
      </c>
      <c r="CJ222" s="85">
        <f>IF(NOT(AND($A222&lt;&gt;"",$C222&lt;&gt;"DOOR ONLY")),"",TRIM(IFERROR(VLOOKUP($U222,CODES,2,FALSE),"")&amp;" "&amp;$BG222&amp;" "&amp;IFERROR(VLOOKUP($Z222,CODES,2,FALSE),"")&amp;" "&amp;IFERROR(VLOOKUP($X222,CODES,2,FALSE),"")&amp;" "&amp;IFERROR(VLOOKUP($S222,CODES,2,FALSE),"")&amp;IF(N($P222)&gt;0," w/TRANSOM "&amp;$P222&amp;CHAR(34),"")&amp;IF(N($Q222)&gt;0," w/SIDELITE "&amp;$Q222&amp;CHAR(34)&amp;" "&amp;IF($R222="","R",$R222),"")&amp;IF($Y222="","  |  "," | "&amp;IFERROR(VLOOKUP($Y222,CODES,2,FALSE),"")&amp;" | ")&amp;IFERROR(VLOOKUP($AC222,CODES,2,FALSE),"")&amp;" "&amp;IFERROR(VLOOKUP($AD222,CODES,2,FALSE),"")&amp;IF(OR($AE222="",$AE222="-"),""," "&amp;$AE222)&amp;IF(OR($AF222="",$AF222="-"),""," "&amp;$AF222)&amp;IF($AB222="Y"," 4"&amp;CHAR(34)&amp;" HEAD","")&amp;" "&amp;IFERROR(VLOOKUP($H222,CODES,2,FALSE),"")&amp;IF($CT222," | LOC "&amp;$CY222,"")))</f>
        <v/>
      </c>
      <c r="CK222" s="85">
        <f>IF(NOT(AND($A222&lt;&gt;"",N($BJ222)&gt;0)),"",TRIM(IFERROR(VLOOKUP($AH222,CODES,2,FALSE),"")&amp;IF($AI222=""," "," "&amp;$AI222&amp;"GA ")&amp;$BG222&amp;" "&amp;IF($AN222="",IFERROR(VLOOKUP($Z222,CODES,2,FALSE),""),IFERROR(VLOOKUP($AN222,CODES,2,FALSE),""))&amp;IF($BJ222=2," PAIR","")&amp;" DOOR | "&amp;IF($AL222="","?",$AL222)&amp;" | "&amp;IF($AO222="",IFERROR(VLOOKUP($AC222,CODES,2,FALSE),""),IFERROR(VLOOKUP($AO222,CODES,2,FALSE),""))&amp;" "&amp;IFERROR(VLOOKUP($AP222,CODES,2,FALSE),"")&amp;IF(OR($AQ222="",$AQ222="-"),""," SEAM "&amp;$AQ222)&amp;IF($AR222="Y"," ASTRAGAL","")&amp;IF($AJ222=""," "," "&amp;$AJ222)&amp;IF($AK222=""," "," "&amp;$AK222)&amp;IF(OR($AT222="",$AT222="ANSI/SDI",$AT222="CUSTOM LOC"),""," "&amp;$AT222)&amp;IF($AM222=""," "," SERIES "&amp;$AM222)&amp;" "&amp;IFERROR(VLOOKUP($H222,CODES,2,FALSE),"")&amp;IF($CT222," | LOC "&amp;$CZ222,"")))</f>
        <v/>
      </c>
      <c r="CL222" s="84">
        <f>IF(CP222="","",IF(COUNTIF($CP$6:CP222,CP222)=1,MAX($CL$5:CL221)+1,INDEX($CL$5:CL221,MATCH(CP222,$CP$5:CP221,0))))</f>
        <v/>
      </c>
      <c r="CM222" s="84">
        <f>IF(NOT(AND($A222&lt;&gt;"",$C222&lt;&gt;"DOOR ONLY")),"",MAX($CM$5:CM221)+1)</f>
        <v/>
      </c>
      <c r="CN222" s="84">
        <f>IF(NOT(AND($A222&lt;&gt;"",N($BJ222)&gt;0)),"",MAX($CN$5:CN221)+1)</f>
        <v/>
      </c>
      <c r="CO222" s="84">
        <f>IF($A222="","",MAX($CO$5:CO221)+1)</f>
        <v/>
      </c>
      <c r="CP222" s="84">
        <f>IF(OR($A222="",$BH222="",$BI222=""),"",$BG222&amp;"|"&amp;$O222&amp;"|"&amp;$AL222&amp;"|"&amp;$S222&amp;"|"&amp;$P222&amp;"|"&amp;$Q222&amp;$R222&amp;"|"&amp;$C222&amp;"|"&amp;$AB222)</f>
        <v/>
      </c>
      <c r="CQ222" s="84">
        <f>N($BS222)</f>
        <v/>
      </c>
      <c r="CR222" s="84">
        <f>IF(N($AU222)&gt;0,N($AU222),4.5)</f>
        <v/>
      </c>
      <c r="CS222" s="84">
        <f>OR($A222="",$BI222="",$S222="BL",AND($C222="FRAME ONLY",OR($AC222="",$AC222="BLK")))</f>
        <v/>
      </c>
      <c r="CT222" s="84">
        <f>AND(NOT($CS222),OR($AT222="CUSTOM LOC",N($AW222)+N($AX222)+N($AY222)+N($AZ222)+N($BA222)&gt;0))</f>
        <v/>
      </c>
      <c r="CU222" s="84">
        <f>IF($BI222="","",IF($BI222&lt;=80,80,IF($BI222&lt;=84,84,96)))</f>
        <v/>
      </c>
      <c r="CV222" s="84">
        <f>ISNUMBER(MATCH($AT222&amp;"|80",LocKeys,0))</f>
        <v/>
      </c>
      <c r="CW222" s="86">
        <f>IF($CS222,"",IF($CV222,VLOOKUP($AT222&amp;"|"&amp;$CU222,LocTable,4,FALSE),5))</f>
        <v/>
      </c>
      <c r="CX222" s="86">
        <f>IF($CS222,"",IF($CV222,IF(OR($BI222=$CU222,AND($BI222&lt;$CU222,$BI222-IF(N(VLOOKUP($AT222&amp;"|"&amp;$CU222,LocTable,7,FALSE))&gt;0,VLOOKUP($AT222&amp;"|"&amp;$CU222,LocTable,7,FALSE),VLOOKUP($AT222&amp;"|"&amp;$CU222,LocTable,6,FALSE))-$CR222-0.75&gt;=2.125)),IF(N(VLOOKUP($AT222&amp;"|"&amp;$CU222,LocTable,7,FALSE))&gt;0,VLOOKUP($AT222&amp;"|"&amp;$CU222,LocTable,7,FALSE),VLOOKUP($AT222&amp;"|"&amp;$CU222,LocTable,6,FALSE)),$BI222-($CU222-IF(N(VLOOKUP($AT222&amp;"|"&amp;$CU222,LocTable,7,FALSE))&gt;0,VLOOKUP($AT222&amp;"|"&amp;$CU222,LocTable,7,FALSE),VLOOKUP($AT222&amp;"|"&amp;$CU222,LocTable,6,FALSE)))),$BI222-10-$CR222))</f>
        <v/>
      </c>
      <c r="CY222" s="85">
        <f>IF($CS222,"",TRIM(IF(ISNUMBER($BU222),"A "&amp;TRIM(TEXT($BU222,"# ?/??"))&amp;CHAR(34)&amp;"  ","")&amp;IF(ISNUMBER($BV222),"B "&amp;TRIM(TEXT($BV222,"# ?/??"))&amp;CHAR(34)&amp;"  ","")&amp;IF(ISNUMBER($BW222),"C "&amp;TRIM(TEXT($BW222,"# ?/??"))&amp;CHAR(34)&amp;"  ","")&amp;IF(ISNUMBER($BX222),"D "&amp;TRIM(TEXT($BX222,"# ?/??"))&amp;CHAR(34)&amp;"  ","")&amp;IF(ISNUMBER($BY222),"F "&amp;TRIM(TEXT($BY222,"# ?/??"))&amp;CHAR(34)&amp;"  ","")&amp;IF(ISNUMBER($BZ222),"E "&amp;TRIM(TEXT($BZ222,"# ?/??"))&amp;CHAR(34)&amp;"  ","")))</f>
        <v/>
      </c>
      <c r="CZ222" s="85">
        <f>IF(OR($CS222,N($BJ222)=0),"",TRIM(IF(ISNUMBER($BU222),"A "&amp;TRIM(TEXT($BU222-HeadClr,"# ?/??"))&amp;CHAR(34)&amp;"  ","")&amp;IF(ISNUMBER($BV222),"B "&amp;TRIM(TEXT($BV222-HeadClr,"# ?/??"))&amp;CHAR(34)&amp;"  ","")&amp;IF(ISNUMBER($BW222),"C "&amp;TRIM(TEXT($BW222-HeadClr,"# ?/??"))&amp;CHAR(34)&amp;"  ","")&amp;IF(ISNUMBER($BX222),"D "&amp;TRIM(TEXT($BX222-HeadClr,"# ?/??"))&amp;CHAR(34)&amp;"  ","")&amp;IF(ISNUMBER($BY222),"F "&amp;TRIM(TEXT($BY222-HeadClr,"# ?/??"))&amp;CHAR(34)&amp;"  ","")&amp;IF(ISNUMBER($BZ222),"E "&amp;TRIM(TEXT($BZ222-HeadClr,"# ?/??"))&amp;CHAR(34)&amp;"  ","")))</f>
        <v/>
      </c>
      <c r="DA222" s="84">
        <f>IF($A222="","",IF($AN222="",IFERROR(VLOOKUP($Z222,CODES,2,FALSE),""),IFERROR(VLOOKUP($AN222,CODES,2,FALSE),"")))</f>
        <v/>
      </c>
      <c r="DB222" s="84">
        <f>IF($A222="","",IF($O222="Y","PR",IF(OR($Z222="L",$Z222="RR",LEFT($Z222,2)="L-",LEFT($Z222,3)="RR-"),"LH","RH")))</f>
        <v/>
      </c>
      <c r="DC222" s="84">
        <f>IF($A222="","","S.HM"&amp;IF(OR($C222="DOOR ONLY",$X222&lt;&gt;"KD"),"MASONRY","DRYWALL")&amp;IF($C222="DOOR ONLY","",$U222)&amp;IF(AND($C222&lt;&gt;"FRAME ONLY",OR(LEFT($AH222,3)="OAK",LEFT($AH222,3)="BIR",LEFT($AH222,3)="MAP",$AH222="PC",$AH222="MC",$AH222="SCLC",$AH222="P-LAM")),"WD","HM")&amp;"1.75")</f>
        <v/>
      </c>
      <c r="DD222" s="84">
        <f>IF($CJ222="","",IF($O222="Y",$CJ222,SUBSTITUTE($CJ222,$BG222&amp;" "&amp;IFERROR(VLOOKUP($Z222,CODES,2,FALSE),"")&amp;" ",$BG222&amp;" ")))</f>
        <v/>
      </c>
      <c r="DE222" s="84">
        <f>IF($CK222="","",IF($O222="Y",$CK222,SUBSTITUTE($CK222,$BG222&amp;" "&amp;IF($AN222="",IFERROR(VLOOKUP($Z222,CODES,2,FALSE),""),IFERROR(VLOOKUP($AN222,CODES,2,FALSE),""))&amp;" ",$BG222&amp;" ")))</f>
        <v/>
      </c>
      <c r="DF222" s="84">
        <f>IF($CJ222="","",$DC222&amp;"|"&amp;$DD222&amp;"|"&amp;$DB222&amp;"|"&amp;$AT222&amp;"|"&amp;$V222&amp;"|"&amp;$Y222&amp;"|"&amp;$AB222)</f>
        <v/>
      </c>
      <c r="DG222" s="84">
        <f>IF(DF222="","",IF(COUNTIF($DF$6:DF222,DF222)=1,MAX($DG$5:DG221)+1,INDEX($DG$5:DG221,MATCH(DF222,$DF$5:DF221,0))))</f>
        <v/>
      </c>
      <c r="DH222" s="84">
        <f>IF($CK222="","",$DC222&amp;"|"&amp;$DE222&amp;"|"&amp;$AI222&amp;"|"&amp;$BK222&amp;"|"&amp;$BL222)</f>
        <v/>
      </c>
      <c r="DI222" s="84">
        <f>IF(DH222="","",IF(COUNTIF($DH$6:DH222,DH222)=1,MAX($DI$5:DI221)+1,INDEX($DI$5:DI221,MATCH(DH222,$DH$5:DH221,0))))</f>
        <v/>
      </c>
      <c r="DJ222" s="84">
        <f>IF($A222="","",IF($B222="","qty, ","")&amp;IF($C222="","scope, ","")&amp;IF(OR($K222="",$M222=""),"size, ","")&amp;IF(AND($A222&lt;&gt;"",$C222&lt;&gt;"DOOR ONLY"),IF($U222="","jamb depth, ","")&amp;IF($X222="","construction, ","")&amp;IF($Y222="","anchor, ","")&amp;IF($S222="","frame type, ",""),"")&amp;IF(AND(N($BJ222)&gt;0,$Z222=""),"hand, ","")&amp;IF(N($BJ222)&gt;0,IF($AH222="","door material, ","")&amp;IF($AL222="","face type, ","")&amp;IF($AP222="","lock prep, ","")&amp;IF(AND($AO222="",$AC222=""),"hinge prep, ",""),"")&amp;IF(AND($CH222&gt;0,$AH222="FRP"),"FRP cannot carry a label, ","")&amp;IF(AND($O222="Y",OR($Z222="L",$Z222="R",$Z222="LR",$Z222="RR")),"pair marked but hand is single, ","")&amp;IF(AND($O222&lt;&gt;"Y",OR($Z222="PR",AND(LEN($Z222)&gt;1,ISNUMBER(SEARCH("-",$Z222))))),"pair hand on a single door, ","")&amp;IF(AND(ISNUMBER($CI222),$CH222&lt;N($CI222)),"wall needs a "&amp;$CI222&amp;" min door, ","")&amp;IF(AND($CH222&gt;=180,AND(OR($CE222="FG",$CE222="HG",$CE222="FNV",$CE222="FV"),N($CF222)*N($CG222)&gt;100)),"180 min lite over 100 sq in, ","")&amp;IF(N($BK222)&gt;48,"leaf wider than 4'-0"&amp;CHAR(34)&amp;", ","")&amp;IF(AND($CT222,COUNT($AW222:$AZ222)=0,$CQ222&gt;0),"CUSTOM LOC with no locations typed, ",""))</f>
        <v/>
      </c>
      <c r="DK222" s="84">
        <f>IF($A222="","",IF(AND($CH222&gt;0,AND($A222&lt;&gt;"",$C222&lt;&gt;"DOOR ONLY"),$X222="KD",$E222="EXTERIOR"),"KD label on an exterior opening, ","")&amp;IF(AND($E222="EXTERIOR",OR(AND(AND($A222&lt;&gt;"",$C222&lt;&gt;"DOOR ONLY"),$W222="CR"),AND(N($BJ222)&gt;0,$AH222="CR"))),"exterior in CR steel (G9?), ","")&amp;IF(AND(ISNUMBER($BQ222),N($BQ222)&lt;32),"clear width ~"&amp;TEXT($BQ222,"0.0")&amp;CHAR(34)&amp;" under 32"&amp;CHAR(34)&amp;" (ADA), ","")&amp;IF(AND($CH222=90,AND(OR($CE222="FG",$CE222="HG",$CE222="FNV",$CE222="FV"),N($CF222)*N($CG222)&gt;100)),"90 min lite over 100 sq in (stair/exit), ","")&amp;IF(AND($CH222&gt;0,AND($A222&lt;&gt;"",$C222&lt;&gt;"DOOR ONLY"),OR($AF222="",$AF222="-")),"rated: closer reinf.?, ","")&amp;IF(OR($I222="CORRIDOR",$I222="SMOKE BARRIER"),"S label + smoke gasketing, ","")&amp;IF($CI222="?","wall type/hr not in IBC table, ","")&amp;IF(AND(N($BJ222)&gt;0,$BB222=""),"no hardware set, ","")&amp;IF(AND($BB222&lt;&gt;"",ISNA(MATCH($BB222&amp;"",HWSets,0))),"set "&amp;$BB222&amp;" not on HW Sets, ","")&amp;IF(N($BL222)&gt;96,"leaf over 8'-0"&amp;CHAR(34)&amp;" - check listing, ","")&amp;IF(AND($CT222,COUNT($AW222:$AZ222)&gt;0,COUNT($AW222:$AZ222)&lt;&gt;$CQ222),COUNT($AW222:$AZ222)&amp;" custom hinges typed, "&amp;$CQ222&amp;" expected, ","")&amp;IF(AND(ISNUMBER($CA222),OR(N($CA222)&lt;34,N($CA222)&gt;48)),"lock "&amp;TEXT($CA222,"0.0")&amp;CHAR(34)&amp;" AFF outside 34-48"&amp;CHAR(34)&amp;" (ADA), ","")&amp;IF(AND(ISNUMBER($AV222),ISNUMBER($BL222),N($AV222)&lt;IF(N($BL222)&lt;=60,2,IF(N($BL222)&lt;=90,3,IF(N($BL222)&lt;=120,4,5)))),"fewer hinges than standard, ",""))</f>
        <v/>
      </c>
    </row>
    <row r="223" ht="15" customHeight="1">
      <c r="A223" s="77" t="n"/>
      <c r="B223" s="78" t="n"/>
      <c r="C223" s="78" t="n"/>
      <c r="D223" s="78" t="n"/>
      <c r="E223" s="78" t="n"/>
      <c r="F223" s="78" t="n"/>
      <c r="G223" s="78" t="n"/>
      <c r="H223" s="78" t="n"/>
      <c r="I223" s="78" t="n"/>
      <c r="J223" s="78" t="n"/>
      <c r="K223" s="78" t="n"/>
      <c r="L223" s="78" t="n"/>
      <c r="M223" s="78" t="n"/>
      <c r="N223" s="78" t="n"/>
      <c r="O223" s="78" t="n"/>
      <c r="P223" s="78" t="n"/>
      <c r="Q223" s="78" t="n"/>
      <c r="R223" s="78" t="n"/>
      <c r="S223" s="79" t="n"/>
      <c r="T223" s="79" t="n"/>
      <c r="U223" s="79" t="n"/>
      <c r="V223" s="79" t="n"/>
      <c r="W223" s="79" t="n"/>
      <c r="X223" s="79" t="n"/>
      <c r="Y223" s="79" t="n"/>
      <c r="Z223" s="79" t="n"/>
      <c r="AA223" s="79" t="n"/>
      <c r="AB223" s="79" t="n"/>
      <c r="AC223" s="79" t="n"/>
      <c r="AD223" s="79" t="n"/>
      <c r="AE223" s="79" t="n"/>
      <c r="AF223" s="79" t="n"/>
      <c r="AG223" s="79" t="n"/>
      <c r="AH223" s="80" t="n"/>
      <c r="AI223" s="80" t="n"/>
      <c r="AJ223" s="80" t="n"/>
      <c r="AK223" s="80" t="n"/>
      <c r="AL223" s="80" t="n"/>
      <c r="AM223" s="80" t="n"/>
      <c r="AN223" s="80" t="n"/>
      <c r="AO223" s="80" t="n"/>
      <c r="AP223" s="80" t="n"/>
      <c r="AQ223" s="80" t="n"/>
      <c r="AR223" s="80" t="n"/>
      <c r="AS223" s="80" t="n"/>
      <c r="AT223" s="81" t="n"/>
      <c r="AU223" s="81" t="n"/>
      <c r="AV223" s="81" t="n"/>
      <c r="AW223" s="82" t="n"/>
      <c r="AX223" s="82" t="n"/>
      <c r="AY223" s="82" t="n"/>
      <c r="AZ223" s="82" t="n"/>
      <c r="BA223" s="82" t="n"/>
      <c r="BB223" s="83" t="n"/>
      <c r="BC223" s="83" t="n"/>
      <c r="BD223" s="84">
        <f>IF($A223="","",IF($DJ223&lt;&gt;"","FIX",IF($DK223&lt;&gt;"","CHECK","OK")))</f>
        <v/>
      </c>
      <c r="BE223" s="85">
        <f>IF($A223="","",IF($DJ223&lt;&gt;"","FIX: "&amp;LEFT($DJ223,LEN($DJ223)-2)&amp;IF($DK223&lt;&gt;"","  ·  ",""),"")&amp;IF($DK223&lt;&gt;"","CHECK: "&amp;LEFT($DK223,LEN($DK223)-2),""))</f>
        <v/>
      </c>
      <c r="BF223" s="84">
        <f>IF(OR($A223="",$K223=""),"",$K223&amp;"'-"&amp;N($L223)&amp;CHAR(34)&amp;" x "&amp;$M223&amp;"'-"&amp;N($N223)&amp;CHAR(34))</f>
        <v/>
      </c>
      <c r="BG223" s="84">
        <f>IF(OR($A223="",$K223=""),"",$K223&amp;N($L223)&amp;$M223&amp;N($N223))</f>
        <v/>
      </c>
      <c r="BH223" s="84">
        <f>IF(OR($A223="",$K223=""),"",$K223*12+N($L223))</f>
        <v/>
      </c>
      <c r="BI223" s="84">
        <f>IF(OR($A223="",$M223=""),"",$M223*12+N($N223))</f>
        <v/>
      </c>
      <c r="BJ223" s="84">
        <f>IF($A223="","",IF(OR($C223="FRAME ONLY",$S223="BL"),0,IF($O223="Y",2,1)))</f>
        <v/>
      </c>
      <c r="BK223" s="86">
        <f>IF(OR(N($BJ223)=0,$BH223=""),"",($BH223-2*EdgeClr-IF($BJ223=2,MeetClr,0))/$BJ223)</f>
        <v/>
      </c>
      <c r="BL223" s="86">
        <f>IF(OR(N($BJ223)=0,$BI223=""),"",$BI223-HeadClr-Undercut)</f>
        <v/>
      </c>
      <c r="BM223" s="86">
        <f>IF($BH223="","",$BH223+2*FaceW+IF(N($Q223)&gt;0,($Q223+FaceW)*IF($R223="LR",2,1),0))</f>
        <v/>
      </c>
      <c r="BN223" s="86">
        <f>IF($BI223="","",$BI223+IF($AB223="Y",4,FaceW)+IF(N($P223)&gt;0,$P223+FaceW,0)+IF(OR($S223="4F",$S223="BL"),FaceW,0))</f>
        <v/>
      </c>
      <c r="BO223" s="86">
        <f>IF($BM223="","",$BM223+2*ROSide)</f>
        <v/>
      </c>
      <c r="BP223" s="86">
        <f>IF($BN223="","",$BN223+ROTop)</f>
        <v/>
      </c>
      <c r="BQ223" s="87">
        <f>IF(OR(N($BJ223)=0,$BH223=""),"",$BH223/$BJ223-ClearDeduct)</f>
        <v/>
      </c>
      <c r="BR223" s="84">
        <f>IF(N($CH223)=0,"",IF($CH223&gt;=180,"A · 3 HR",IF($CH223&gt;=90,"B · 1-1/2 HR",IF($CH223&gt;=60,"B · 1 HR",IF($CH223&gt;=45,"C · 3/4 HR","20 MIN")))))&amp;IF(AND(N($CH223)&gt;0,OR($I223="CORRIDOR",$I223="SMOKE BARRIER"))," · S","")</f>
        <v/>
      </c>
      <c r="BS223" s="84">
        <f>IF($CS223,"",IF($AV223&lt;&gt;"",$AV223,IF(OR($AC223="HGC",$AO223="HGC"),"CONT",IF(($BI223-HeadClr-Undercut)&lt;=60,2,IF(($BI223-HeadClr-Undercut)&lt;=90,3,IF(($BI223-HeadClr-Undercut)&lt;=120,4,5))))))</f>
        <v/>
      </c>
      <c r="BT223" s="84">
        <f>IF($CS223,"",IF($CT223,"CUSTOM (typed)",IF($CV223,$AT223&amp;" "&amp;$CU223&amp;CHAR(34)&amp;IF($CU223&lt;&gt;$BI223,IF(AND($BI223&lt;$CU223,$BI223-IF(N(VLOOKUP($AT223&amp;"|"&amp;$CU223,LocTable,7,FALSE))&gt;0,VLOOKUP($AT223&amp;"|"&amp;$CU223,LocTable,7,FALSE),VLOOKUP($AT223&amp;"|"&amp;$CU223,LocTable,6,FALSE))-$CR223-0.75&gt;=2.125)," cut down"," adj."),""),"ANSI/SDI A250.6")))</f>
        <v/>
      </c>
      <c r="BU223" s="88">
        <f>IF($CS223,"",IF($CT223,IF(N($AW223)&gt;0,N($AW223),""),IF(1&gt;$CQ223,"",IF($CQ223=1,$CW223,$CW223+($CX223-$CW223)*0/($CQ223-1)))))</f>
        <v/>
      </c>
      <c r="BV223" s="88">
        <f>IF($CS223,"",IF($CT223,IF(N($AX223)&gt;0,N($AX223),""),IF(2&gt;$CQ223,"",IF($CQ223=1,$CW223,$CW223+($CX223-$CW223)*1/($CQ223-1)))))</f>
        <v/>
      </c>
      <c r="BW223" s="88">
        <f>IF($CS223,"",IF($CT223,IF(N($AY223)&gt;0,N($AY223),""),IF(3&gt;$CQ223,"",IF($CQ223=1,$CW223,$CW223+($CX223-$CW223)*2/($CQ223-1)))))</f>
        <v/>
      </c>
      <c r="BX223" s="88">
        <f>IF($CS223,"",IF($CT223,IF(N($AZ223)&gt;0,N($AZ223),""),IF(4&gt;$CQ223,"",IF($CQ223=1,$CW223,$CW223+($CX223-$CW223)*3/($CQ223-1)))))</f>
        <v/>
      </c>
      <c r="BY223" s="88">
        <f>IF($CS223,"",IF($CT223,"",IF(5&gt;$CQ223,"",IF($CQ223=1,$CW223,$CW223+($CX223-$CW223)*4/($CQ223-1)))))</f>
        <v/>
      </c>
      <c r="BZ223" s="88">
        <f>IF(OR($CS223,$AP223="-",AND($AP223="",$AD223="")),"",IF(N($BA223)&gt;0,N($BA223),IF($CV223,IF(AND($BI223&lt;$CU223,$BI223-IF(N(VLOOKUP($AT223&amp;"|"&amp;$CU223,LocTable,7,FALSE))&gt;0,VLOOKUP($AT223&amp;"|"&amp;$CU223,LocTable,7,FALSE),VLOOKUP($AT223&amp;"|"&amp;$CU223,LocTable,6,FALSE))-$CR223-0.75&gt;=2.125),VLOOKUP($AT223&amp;"|"&amp;$CU223,LocTable,8,FALSE),VLOOKUP($AT223&amp;"|"&amp;$CU223,LocTable,8,FALSE)+($BI223-$CU223)),$BI223-LockAFF)))</f>
        <v/>
      </c>
      <c r="CA223" s="89">
        <f>IF($BZ223="","",$BI223-$BZ223)</f>
        <v/>
      </c>
      <c r="CB223" s="84">
        <f>IF(OR(NOT(AND($A223&lt;&gt;"",$C223&lt;&gt;"DOOR ONLY")),$BI223=""),"",IF(($BI223+IF(N($P223)&gt;0,$P223+FaceW,0))&lt;=90,3,IF(($BI223+IF(N($P223)&gt;0,$P223+FaceW,0))&lt;=114,4,5)))</f>
        <v/>
      </c>
      <c r="CC223" s="84">
        <f>IF($CB223="","",$CB223*(2+IF(N($Q223)&gt;0,IF($R223="LR",2,1),0)))</f>
        <v/>
      </c>
      <c r="CD223" s="84">
        <f>IF($CB223="","",(2+IF(N($Q223)&gt;0,IF($R223="LR",2,1),0)))</f>
        <v/>
      </c>
      <c r="CE223" s="84">
        <f>IF(N($BJ223)=0,"",IF(OR($AL223="",$AL223="FLUSH"),"FLUSH",IFERROR(LEFT($AL223,FIND("-",$AL223)-1),LEFT($AL223,2))))</f>
        <v/>
      </c>
      <c r="CF223" s="84">
        <f>IF($CE223="","",IFERROR(VALUE(MID($AL223,FIND("-",$AL223)+1,FIND(CHAR(34)&amp;"x",$AL223)-FIND("-",$AL223)-1)),0))</f>
        <v/>
      </c>
      <c r="CG223" s="84">
        <f>IF($CE223="","",IFERROR(VALUE(MID($AL223,FIND(CHAR(34)&amp;"x",$AL223)+2,FIND(CHAR(34),$AL223,FIND(CHAR(34)&amp;"x",$AL223)+2)-FIND(CHAR(34)&amp;"x",$AL223)-2)),0))</f>
        <v/>
      </c>
      <c r="CH223" s="90">
        <f>IF(OR($A223="",$H223="",$H223="NO LAB"),0,IFERROR(VALUE(LEFT($H223,FIND(" ",$H223)-1)),0))</f>
        <v/>
      </c>
      <c r="CI223" s="91">
        <f>IF(OR($A223="",$I223="",$I223="NON-RATED",N($J223)=0),"",IFERROR(VLOOKUP($I223&amp;"|"&amp;$J223,IBC,2,FALSE),"?"))</f>
        <v/>
      </c>
      <c r="CJ223" s="85">
        <f>IF(NOT(AND($A223&lt;&gt;"",$C223&lt;&gt;"DOOR ONLY")),"",TRIM(IFERROR(VLOOKUP($U223,CODES,2,FALSE),"")&amp;" "&amp;$BG223&amp;" "&amp;IFERROR(VLOOKUP($Z223,CODES,2,FALSE),"")&amp;" "&amp;IFERROR(VLOOKUP($X223,CODES,2,FALSE),"")&amp;" "&amp;IFERROR(VLOOKUP($S223,CODES,2,FALSE),"")&amp;IF(N($P223)&gt;0," w/TRANSOM "&amp;$P223&amp;CHAR(34),"")&amp;IF(N($Q223)&gt;0," w/SIDELITE "&amp;$Q223&amp;CHAR(34)&amp;" "&amp;IF($R223="","R",$R223),"")&amp;IF($Y223="","  |  "," | "&amp;IFERROR(VLOOKUP($Y223,CODES,2,FALSE),"")&amp;" | ")&amp;IFERROR(VLOOKUP($AC223,CODES,2,FALSE),"")&amp;" "&amp;IFERROR(VLOOKUP($AD223,CODES,2,FALSE),"")&amp;IF(OR($AE223="",$AE223="-"),""," "&amp;$AE223)&amp;IF(OR($AF223="",$AF223="-"),""," "&amp;$AF223)&amp;IF($AB223="Y"," 4"&amp;CHAR(34)&amp;" HEAD","")&amp;" "&amp;IFERROR(VLOOKUP($H223,CODES,2,FALSE),"")&amp;IF($CT223," | LOC "&amp;$CY223,"")))</f>
        <v/>
      </c>
      <c r="CK223" s="85">
        <f>IF(NOT(AND($A223&lt;&gt;"",N($BJ223)&gt;0)),"",TRIM(IFERROR(VLOOKUP($AH223,CODES,2,FALSE),"")&amp;IF($AI223=""," "," "&amp;$AI223&amp;"GA ")&amp;$BG223&amp;" "&amp;IF($AN223="",IFERROR(VLOOKUP($Z223,CODES,2,FALSE),""),IFERROR(VLOOKUP($AN223,CODES,2,FALSE),""))&amp;IF($BJ223=2," PAIR","")&amp;" DOOR | "&amp;IF($AL223="","?",$AL223)&amp;" | "&amp;IF($AO223="",IFERROR(VLOOKUP($AC223,CODES,2,FALSE),""),IFERROR(VLOOKUP($AO223,CODES,2,FALSE),""))&amp;" "&amp;IFERROR(VLOOKUP($AP223,CODES,2,FALSE),"")&amp;IF(OR($AQ223="",$AQ223="-"),""," SEAM "&amp;$AQ223)&amp;IF($AR223="Y"," ASTRAGAL","")&amp;IF($AJ223=""," "," "&amp;$AJ223)&amp;IF($AK223=""," "," "&amp;$AK223)&amp;IF(OR($AT223="",$AT223="ANSI/SDI",$AT223="CUSTOM LOC"),""," "&amp;$AT223)&amp;IF($AM223=""," "," SERIES "&amp;$AM223)&amp;" "&amp;IFERROR(VLOOKUP($H223,CODES,2,FALSE),"")&amp;IF($CT223," | LOC "&amp;$CZ223,"")))</f>
        <v/>
      </c>
      <c r="CL223" s="84">
        <f>IF(CP223="","",IF(COUNTIF($CP$6:CP223,CP223)=1,MAX($CL$5:CL222)+1,INDEX($CL$5:CL222,MATCH(CP223,$CP$5:CP222,0))))</f>
        <v/>
      </c>
      <c r="CM223" s="84">
        <f>IF(NOT(AND($A223&lt;&gt;"",$C223&lt;&gt;"DOOR ONLY")),"",MAX($CM$5:CM222)+1)</f>
        <v/>
      </c>
      <c r="CN223" s="84">
        <f>IF(NOT(AND($A223&lt;&gt;"",N($BJ223)&gt;0)),"",MAX($CN$5:CN222)+1)</f>
        <v/>
      </c>
      <c r="CO223" s="84">
        <f>IF($A223="","",MAX($CO$5:CO222)+1)</f>
        <v/>
      </c>
      <c r="CP223" s="84">
        <f>IF(OR($A223="",$BH223="",$BI223=""),"",$BG223&amp;"|"&amp;$O223&amp;"|"&amp;$AL223&amp;"|"&amp;$S223&amp;"|"&amp;$P223&amp;"|"&amp;$Q223&amp;$R223&amp;"|"&amp;$C223&amp;"|"&amp;$AB223)</f>
        <v/>
      </c>
      <c r="CQ223" s="84">
        <f>N($BS223)</f>
        <v/>
      </c>
      <c r="CR223" s="84">
        <f>IF(N($AU223)&gt;0,N($AU223),4.5)</f>
        <v/>
      </c>
      <c r="CS223" s="84">
        <f>OR($A223="",$BI223="",$S223="BL",AND($C223="FRAME ONLY",OR($AC223="",$AC223="BLK")))</f>
        <v/>
      </c>
      <c r="CT223" s="84">
        <f>AND(NOT($CS223),OR($AT223="CUSTOM LOC",N($AW223)+N($AX223)+N($AY223)+N($AZ223)+N($BA223)&gt;0))</f>
        <v/>
      </c>
      <c r="CU223" s="84">
        <f>IF($BI223="","",IF($BI223&lt;=80,80,IF($BI223&lt;=84,84,96)))</f>
        <v/>
      </c>
      <c r="CV223" s="84">
        <f>ISNUMBER(MATCH($AT223&amp;"|80",LocKeys,0))</f>
        <v/>
      </c>
      <c r="CW223" s="86">
        <f>IF($CS223,"",IF($CV223,VLOOKUP($AT223&amp;"|"&amp;$CU223,LocTable,4,FALSE),5))</f>
        <v/>
      </c>
      <c r="CX223" s="86">
        <f>IF($CS223,"",IF($CV223,IF(OR($BI223=$CU223,AND($BI223&lt;$CU223,$BI223-IF(N(VLOOKUP($AT223&amp;"|"&amp;$CU223,LocTable,7,FALSE))&gt;0,VLOOKUP($AT223&amp;"|"&amp;$CU223,LocTable,7,FALSE),VLOOKUP($AT223&amp;"|"&amp;$CU223,LocTable,6,FALSE))-$CR223-0.75&gt;=2.125)),IF(N(VLOOKUP($AT223&amp;"|"&amp;$CU223,LocTable,7,FALSE))&gt;0,VLOOKUP($AT223&amp;"|"&amp;$CU223,LocTable,7,FALSE),VLOOKUP($AT223&amp;"|"&amp;$CU223,LocTable,6,FALSE)),$BI223-($CU223-IF(N(VLOOKUP($AT223&amp;"|"&amp;$CU223,LocTable,7,FALSE))&gt;0,VLOOKUP($AT223&amp;"|"&amp;$CU223,LocTable,7,FALSE),VLOOKUP($AT223&amp;"|"&amp;$CU223,LocTable,6,FALSE)))),$BI223-10-$CR223))</f>
        <v/>
      </c>
      <c r="CY223" s="85">
        <f>IF($CS223,"",TRIM(IF(ISNUMBER($BU223),"A "&amp;TRIM(TEXT($BU223,"# ?/??"))&amp;CHAR(34)&amp;"  ","")&amp;IF(ISNUMBER($BV223),"B "&amp;TRIM(TEXT($BV223,"# ?/??"))&amp;CHAR(34)&amp;"  ","")&amp;IF(ISNUMBER($BW223),"C "&amp;TRIM(TEXT($BW223,"# ?/??"))&amp;CHAR(34)&amp;"  ","")&amp;IF(ISNUMBER($BX223),"D "&amp;TRIM(TEXT($BX223,"# ?/??"))&amp;CHAR(34)&amp;"  ","")&amp;IF(ISNUMBER($BY223),"F "&amp;TRIM(TEXT($BY223,"# ?/??"))&amp;CHAR(34)&amp;"  ","")&amp;IF(ISNUMBER($BZ223),"E "&amp;TRIM(TEXT($BZ223,"# ?/??"))&amp;CHAR(34)&amp;"  ","")))</f>
        <v/>
      </c>
      <c r="CZ223" s="85">
        <f>IF(OR($CS223,N($BJ223)=0),"",TRIM(IF(ISNUMBER($BU223),"A "&amp;TRIM(TEXT($BU223-HeadClr,"# ?/??"))&amp;CHAR(34)&amp;"  ","")&amp;IF(ISNUMBER($BV223),"B "&amp;TRIM(TEXT($BV223-HeadClr,"# ?/??"))&amp;CHAR(34)&amp;"  ","")&amp;IF(ISNUMBER($BW223),"C "&amp;TRIM(TEXT($BW223-HeadClr,"# ?/??"))&amp;CHAR(34)&amp;"  ","")&amp;IF(ISNUMBER($BX223),"D "&amp;TRIM(TEXT($BX223-HeadClr,"# ?/??"))&amp;CHAR(34)&amp;"  ","")&amp;IF(ISNUMBER($BY223),"F "&amp;TRIM(TEXT($BY223-HeadClr,"# ?/??"))&amp;CHAR(34)&amp;"  ","")&amp;IF(ISNUMBER($BZ223),"E "&amp;TRIM(TEXT($BZ223-HeadClr,"# ?/??"))&amp;CHAR(34)&amp;"  ","")))</f>
        <v/>
      </c>
      <c r="DA223" s="84">
        <f>IF($A223="","",IF($AN223="",IFERROR(VLOOKUP($Z223,CODES,2,FALSE),""),IFERROR(VLOOKUP($AN223,CODES,2,FALSE),"")))</f>
        <v/>
      </c>
      <c r="DB223" s="84">
        <f>IF($A223="","",IF($O223="Y","PR",IF(OR($Z223="L",$Z223="RR",LEFT($Z223,2)="L-",LEFT($Z223,3)="RR-"),"LH","RH")))</f>
        <v/>
      </c>
      <c r="DC223" s="84">
        <f>IF($A223="","","S.HM"&amp;IF(OR($C223="DOOR ONLY",$X223&lt;&gt;"KD"),"MASONRY","DRYWALL")&amp;IF($C223="DOOR ONLY","",$U223)&amp;IF(AND($C223&lt;&gt;"FRAME ONLY",OR(LEFT($AH223,3)="OAK",LEFT($AH223,3)="BIR",LEFT($AH223,3)="MAP",$AH223="PC",$AH223="MC",$AH223="SCLC",$AH223="P-LAM")),"WD","HM")&amp;"1.75")</f>
        <v/>
      </c>
      <c r="DD223" s="84">
        <f>IF($CJ223="","",IF($O223="Y",$CJ223,SUBSTITUTE($CJ223,$BG223&amp;" "&amp;IFERROR(VLOOKUP($Z223,CODES,2,FALSE),"")&amp;" ",$BG223&amp;" ")))</f>
        <v/>
      </c>
      <c r="DE223" s="84">
        <f>IF($CK223="","",IF($O223="Y",$CK223,SUBSTITUTE($CK223,$BG223&amp;" "&amp;IF($AN223="",IFERROR(VLOOKUP($Z223,CODES,2,FALSE),""),IFERROR(VLOOKUP($AN223,CODES,2,FALSE),""))&amp;" ",$BG223&amp;" ")))</f>
        <v/>
      </c>
      <c r="DF223" s="84">
        <f>IF($CJ223="","",$DC223&amp;"|"&amp;$DD223&amp;"|"&amp;$DB223&amp;"|"&amp;$AT223&amp;"|"&amp;$V223&amp;"|"&amp;$Y223&amp;"|"&amp;$AB223)</f>
        <v/>
      </c>
      <c r="DG223" s="84">
        <f>IF(DF223="","",IF(COUNTIF($DF$6:DF223,DF223)=1,MAX($DG$5:DG222)+1,INDEX($DG$5:DG222,MATCH(DF223,$DF$5:DF222,0))))</f>
        <v/>
      </c>
      <c r="DH223" s="84">
        <f>IF($CK223="","",$DC223&amp;"|"&amp;$DE223&amp;"|"&amp;$AI223&amp;"|"&amp;$BK223&amp;"|"&amp;$BL223)</f>
        <v/>
      </c>
      <c r="DI223" s="84">
        <f>IF(DH223="","",IF(COUNTIF($DH$6:DH223,DH223)=1,MAX($DI$5:DI222)+1,INDEX($DI$5:DI222,MATCH(DH223,$DH$5:DH222,0))))</f>
        <v/>
      </c>
      <c r="DJ223" s="84">
        <f>IF($A223="","",IF($B223="","qty, ","")&amp;IF($C223="","scope, ","")&amp;IF(OR($K223="",$M223=""),"size, ","")&amp;IF(AND($A223&lt;&gt;"",$C223&lt;&gt;"DOOR ONLY"),IF($U223="","jamb depth, ","")&amp;IF($X223="","construction, ","")&amp;IF($Y223="","anchor, ","")&amp;IF($S223="","frame type, ",""),"")&amp;IF(AND(N($BJ223)&gt;0,$Z223=""),"hand, ","")&amp;IF(N($BJ223)&gt;0,IF($AH223="","door material, ","")&amp;IF($AL223="","face type, ","")&amp;IF($AP223="","lock prep, ","")&amp;IF(AND($AO223="",$AC223=""),"hinge prep, ",""),"")&amp;IF(AND($CH223&gt;0,$AH223="FRP"),"FRP cannot carry a label, ","")&amp;IF(AND($O223="Y",OR($Z223="L",$Z223="R",$Z223="LR",$Z223="RR")),"pair marked but hand is single, ","")&amp;IF(AND($O223&lt;&gt;"Y",OR($Z223="PR",AND(LEN($Z223)&gt;1,ISNUMBER(SEARCH("-",$Z223))))),"pair hand on a single door, ","")&amp;IF(AND(ISNUMBER($CI223),$CH223&lt;N($CI223)),"wall needs a "&amp;$CI223&amp;" min door, ","")&amp;IF(AND($CH223&gt;=180,AND(OR($CE223="FG",$CE223="HG",$CE223="FNV",$CE223="FV"),N($CF223)*N($CG223)&gt;100)),"180 min lite over 100 sq in, ","")&amp;IF(N($BK223)&gt;48,"leaf wider than 4'-0"&amp;CHAR(34)&amp;", ","")&amp;IF(AND($CT223,COUNT($AW223:$AZ223)=0,$CQ223&gt;0),"CUSTOM LOC with no locations typed, ",""))</f>
        <v/>
      </c>
      <c r="DK223" s="84">
        <f>IF($A223="","",IF(AND($CH223&gt;0,AND($A223&lt;&gt;"",$C223&lt;&gt;"DOOR ONLY"),$X223="KD",$E223="EXTERIOR"),"KD label on an exterior opening, ","")&amp;IF(AND($E223="EXTERIOR",OR(AND(AND($A223&lt;&gt;"",$C223&lt;&gt;"DOOR ONLY"),$W223="CR"),AND(N($BJ223)&gt;0,$AH223="CR"))),"exterior in CR steel (G9?), ","")&amp;IF(AND(ISNUMBER($BQ223),N($BQ223)&lt;32),"clear width ~"&amp;TEXT($BQ223,"0.0")&amp;CHAR(34)&amp;" under 32"&amp;CHAR(34)&amp;" (ADA), ","")&amp;IF(AND($CH223=90,AND(OR($CE223="FG",$CE223="HG",$CE223="FNV",$CE223="FV"),N($CF223)*N($CG223)&gt;100)),"90 min lite over 100 sq in (stair/exit), ","")&amp;IF(AND($CH223&gt;0,AND($A223&lt;&gt;"",$C223&lt;&gt;"DOOR ONLY"),OR($AF223="",$AF223="-")),"rated: closer reinf.?, ","")&amp;IF(OR($I223="CORRIDOR",$I223="SMOKE BARRIER"),"S label + smoke gasketing, ","")&amp;IF($CI223="?","wall type/hr not in IBC table, ","")&amp;IF(AND(N($BJ223)&gt;0,$BB223=""),"no hardware set, ","")&amp;IF(AND($BB223&lt;&gt;"",ISNA(MATCH($BB223&amp;"",HWSets,0))),"set "&amp;$BB223&amp;" not on HW Sets, ","")&amp;IF(N($BL223)&gt;96,"leaf over 8'-0"&amp;CHAR(34)&amp;" - check listing, ","")&amp;IF(AND($CT223,COUNT($AW223:$AZ223)&gt;0,COUNT($AW223:$AZ223)&lt;&gt;$CQ223),COUNT($AW223:$AZ223)&amp;" custom hinges typed, "&amp;$CQ223&amp;" expected, ","")&amp;IF(AND(ISNUMBER($CA223),OR(N($CA223)&lt;34,N($CA223)&gt;48)),"lock "&amp;TEXT($CA223,"0.0")&amp;CHAR(34)&amp;" AFF outside 34-48"&amp;CHAR(34)&amp;" (ADA), ","")&amp;IF(AND(ISNUMBER($AV223),ISNUMBER($BL223),N($AV223)&lt;IF(N($BL223)&lt;=60,2,IF(N($BL223)&lt;=90,3,IF(N($BL223)&lt;=120,4,5)))),"fewer hinges than standard, ",""))</f>
        <v/>
      </c>
    </row>
    <row r="224" ht="15" customHeight="1">
      <c r="A224" s="77" t="n"/>
      <c r="B224" s="78" t="n"/>
      <c r="C224" s="78" t="n"/>
      <c r="D224" s="78" t="n"/>
      <c r="E224" s="78" t="n"/>
      <c r="F224" s="78" t="n"/>
      <c r="G224" s="78" t="n"/>
      <c r="H224" s="78" t="n"/>
      <c r="I224" s="78" t="n"/>
      <c r="J224" s="78" t="n"/>
      <c r="K224" s="78" t="n"/>
      <c r="L224" s="78" t="n"/>
      <c r="M224" s="78" t="n"/>
      <c r="N224" s="78" t="n"/>
      <c r="O224" s="78" t="n"/>
      <c r="P224" s="78" t="n"/>
      <c r="Q224" s="78" t="n"/>
      <c r="R224" s="78" t="n"/>
      <c r="S224" s="79" t="n"/>
      <c r="T224" s="79" t="n"/>
      <c r="U224" s="79" t="n"/>
      <c r="V224" s="79" t="n"/>
      <c r="W224" s="79" t="n"/>
      <c r="X224" s="79" t="n"/>
      <c r="Y224" s="79" t="n"/>
      <c r="Z224" s="79" t="n"/>
      <c r="AA224" s="79" t="n"/>
      <c r="AB224" s="79" t="n"/>
      <c r="AC224" s="79" t="n"/>
      <c r="AD224" s="79" t="n"/>
      <c r="AE224" s="79" t="n"/>
      <c r="AF224" s="79" t="n"/>
      <c r="AG224" s="79" t="n"/>
      <c r="AH224" s="80" t="n"/>
      <c r="AI224" s="80" t="n"/>
      <c r="AJ224" s="80" t="n"/>
      <c r="AK224" s="80" t="n"/>
      <c r="AL224" s="80" t="n"/>
      <c r="AM224" s="80" t="n"/>
      <c r="AN224" s="80" t="n"/>
      <c r="AO224" s="80" t="n"/>
      <c r="AP224" s="80" t="n"/>
      <c r="AQ224" s="80" t="n"/>
      <c r="AR224" s="80" t="n"/>
      <c r="AS224" s="80" t="n"/>
      <c r="AT224" s="81" t="n"/>
      <c r="AU224" s="81" t="n"/>
      <c r="AV224" s="81" t="n"/>
      <c r="AW224" s="82" t="n"/>
      <c r="AX224" s="82" t="n"/>
      <c r="AY224" s="82" t="n"/>
      <c r="AZ224" s="82" t="n"/>
      <c r="BA224" s="82" t="n"/>
      <c r="BB224" s="83" t="n"/>
      <c r="BC224" s="83" t="n"/>
      <c r="BD224" s="84">
        <f>IF($A224="","",IF($DJ224&lt;&gt;"","FIX",IF($DK224&lt;&gt;"","CHECK","OK")))</f>
        <v/>
      </c>
      <c r="BE224" s="85">
        <f>IF($A224="","",IF($DJ224&lt;&gt;"","FIX: "&amp;LEFT($DJ224,LEN($DJ224)-2)&amp;IF($DK224&lt;&gt;"","  ·  ",""),"")&amp;IF($DK224&lt;&gt;"","CHECK: "&amp;LEFT($DK224,LEN($DK224)-2),""))</f>
        <v/>
      </c>
      <c r="BF224" s="84">
        <f>IF(OR($A224="",$K224=""),"",$K224&amp;"'-"&amp;N($L224)&amp;CHAR(34)&amp;" x "&amp;$M224&amp;"'-"&amp;N($N224)&amp;CHAR(34))</f>
        <v/>
      </c>
      <c r="BG224" s="84">
        <f>IF(OR($A224="",$K224=""),"",$K224&amp;N($L224)&amp;$M224&amp;N($N224))</f>
        <v/>
      </c>
      <c r="BH224" s="84">
        <f>IF(OR($A224="",$K224=""),"",$K224*12+N($L224))</f>
        <v/>
      </c>
      <c r="BI224" s="84">
        <f>IF(OR($A224="",$M224=""),"",$M224*12+N($N224))</f>
        <v/>
      </c>
      <c r="BJ224" s="84">
        <f>IF($A224="","",IF(OR($C224="FRAME ONLY",$S224="BL"),0,IF($O224="Y",2,1)))</f>
        <v/>
      </c>
      <c r="BK224" s="86">
        <f>IF(OR(N($BJ224)=0,$BH224=""),"",($BH224-2*EdgeClr-IF($BJ224=2,MeetClr,0))/$BJ224)</f>
        <v/>
      </c>
      <c r="BL224" s="86">
        <f>IF(OR(N($BJ224)=0,$BI224=""),"",$BI224-HeadClr-Undercut)</f>
        <v/>
      </c>
      <c r="BM224" s="86">
        <f>IF($BH224="","",$BH224+2*FaceW+IF(N($Q224)&gt;0,($Q224+FaceW)*IF($R224="LR",2,1),0))</f>
        <v/>
      </c>
      <c r="BN224" s="86">
        <f>IF($BI224="","",$BI224+IF($AB224="Y",4,FaceW)+IF(N($P224)&gt;0,$P224+FaceW,0)+IF(OR($S224="4F",$S224="BL"),FaceW,0))</f>
        <v/>
      </c>
      <c r="BO224" s="86">
        <f>IF($BM224="","",$BM224+2*ROSide)</f>
        <v/>
      </c>
      <c r="BP224" s="86">
        <f>IF($BN224="","",$BN224+ROTop)</f>
        <v/>
      </c>
      <c r="BQ224" s="87">
        <f>IF(OR(N($BJ224)=0,$BH224=""),"",$BH224/$BJ224-ClearDeduct)</f>
        <v/>
      </c>
      <c r="BR224" s="84">
        <f>IF(N($CH224)=0,"",IF($CH224&gt;=180,"A · 3 HR",IF($CH224&gt;=90,"B · 1-1/2 HR",IF($CH224&gt;=60,"B · 1 HR",IF($CH224&gt;=45,"C · 3/4 HR","20 MIN")))))&amp;IF(AND(N($CH224)&gt;0,OR($I224="CORRIDOR",$I224="SMOKE BARRIER"))," · S","")</f>
        <v/>
      </c>
      <c r="BS224" s="84">
        <f>IF($CS224,"",IF($AV224&lt;&gt;"",$AV224,IF(OR($AC224="HGC",$AO224="HGC"),"CONT",IF(($BI224-HeadClr-Undercut)&lt;=60,2,IF(($BI224-HeadClr-Undercut)&lt;=90,3,IF(($BI224-HeadClr-Undercut)&lt;=120,4,5))))))</f>
        <v/>
      </c>
      <c r="BT224" s="84">
        <f>IF($CS224,"",IF($CT224,"CUSTOM (typed)",IF($CV224,$AT224&amp;" "&amp;$CU224&amp;CHAR(34)&amp;IF($CU224&lt;&gt;$BI224,IF(AND($BI224&lt;$CU224,$BI224-IF(N(VLOOKUP($AT224&amp;"|"&amp;$CU224,LocTable,7,FALSE))&gt;0,VLOOKUP($AT224&amp;"|"&amp;$CU224,LocTable,7,FALSE),VLOOKUP($AT224&amp;"|"&amp;$CU224,LocTable,6,FALSE))-$CR224-0.75&gt;=2.125)," cut down"," adj."),""),"ANSI/SDI A250.6")))</f>
        <v/>
      </c>
      <c r="BU224" s="88">
        <f>IF($CS224,"",IF($CT224,IF(N($AW224)&gt;0,N($AW224),""),IF(1&gt;$CQ224,"",IF($CQ224=1,$CW224,$CW224+($CX224-$CW224)*0/($CQ224-1)))))</f>
        <v/>
      </c>
      <c r="BV224" s="88">
        <f>IF($CS224,"",IF($CT224,IF(N($AX224)&gt;0,N($AX224),""),IF(2&gt;$CQ224,"",IF($CQ224=1,$CW224,$CW224+($CX224-$CW224)*1/($CQ224-1)))))</f>
        <v/>
      </c>
      <c r="BW224" s="88">
        <f>IF($CS224,"",IF($CT224,IF(N($AY224)&gt;0,N($AY224),""),IF(3&gt;$CQ224,"",IF($CQ224=1,$CW224,$CW224+($CX224-$CW224)*2/($CQ224-1)))))</f>
        <v/>
      </c>
      <c r="BX224" s="88">
        <f>IF($CS224,"",IF($CT224,IF(N($AZ224)&gt;0,N($AZ224),""),IF(4&gt;$CQ224,"",IF($CQ224=1,$CW224,$CW224+($CX224-$CW224)*3/($CQ224-1)))))</f>
        <v/>
      </c>
      <c r="BY224" s="88">
        <f>IF($CS224,"",IF($CT224,"",IF(5&gt;$CQ224,"",IF($CQ224=1,$CW224,$CW224+($CX224-$CW224)*4/($CQ224-1)))))</f>
        <v/>
      </c>
      <c r="BZ224" s="88">
        <f>IF(OR($CS224,$AP224="-",AND($AP224="",$AD224="")),"",IF(N($BA224)&gt;0,N($BA224),IF($CV224,IF(AND($BI224&lt;$CU224,$BI224-IF(N(VLOOKUP($AT224&amp;"|"&amp;$CU224,LocTable,7,FALSE))&gt;0,VLOOKUP($AT224&amp;"|"&amp;$CU224,LocTable,7,FALSE),VLOOKUP($AT224&amp;"|"&amp;$CU224,LocTable,6,FALSE))-$CR224-0.75&gt;=2.125),VLOOKUP($AT224&amp;"|"&amp;$CU224,LocTable,8,FALSE),VLOOKUP($AT224&amp;"|"&amp;$CU224,LocTable,8,FALSE)+($BI224-$CU224)),$BI224-LockAFF)))</f>
        <v/>
      </c>
      <c r="CA224" s="89">
        <f>IF($BZ224="","",$BI224-$BZ224)</f>
        <v/>
      </c>
      <c r="CB224" s="84">
        <f>IF(OR(NOT(AND($A224&lt;&gt;"",$C224&lt;&gt;"DOOR ONLY")),$BI224=""),"",IF(($BI224+IF(N($P224)&gt;0,$P224+FaceW,0))&lt;=90,3,IF(($BI224+IF(N($P224)&gt;0,$P224+FaceW,0))&lt;=114,4,5)))</f>
        <v/>
      </c>
      <c r="CC224" s="84">
        <f>IF($CB224="","",$CB224*(2+IF(N($Q224)&gt;0,IF($R224="LR",2,1),0)))</f>
        <v/>
      </c>
      <c r="CD224" s="84">
        <f>IF($CB224="","",(2+IF(N($Q224)&gt;0,IF($R224="LR",2,1),0)))</f>
        <v/>
      </c>
      <c r="CE224" s="84">
        <f>IF(N($BJ224)=0,"",IF(OR($AL224="",$AL224="FLUSH"),"FLUSH",IFERROR(LEFT($AL224,FIND("-",$AL224)-1),LEFT($AL224,2))))</f>
        <v/>
      </c>
      <c r="CF224" s="84">
        <f>IF($CE224="","",IFERROR(VALUE(MID($AL224,FIND("-",$AL224)+1,FIND(CHAR(34)&amp;"x",$AL224)-FIND("-",$AL224)-1)),0))</f>
        <v/>
      </c>
      <c r="CG224" s="84">
        <f>IF($CE224="","",IFERROR(VALUE(MID($AL224,FIND(CHAR(34)&amp;"x",$AL224)+2,FIND(CHAR(34),$AL224,FIND(CHAR(34)&amp;"x",$AL224)+2)-FIND(CHAR(34)&amp;"x",$AL224)-2)),0))</f>
        <v/>
      </c>
      <c r="CH224" s="90">
        <f>IF(OR($A224="",$H224="",$H224="NO LAB"),0,IFERROR(VALUE(LEFT($H224,FIND(" ",$H224)-1)),0))</f>
        <v/>
      </c>
      <c r="CI224" s="91">
        <f>IF(OR($A224="",$I224="",$I224="NON-RATED",N($J224)=0),"",IFERROR(VLOOKUP($I224&amp;"|"&amp;$J224,IBC,2,FALSE),"?"))</f>
        <v/>
      </c>
      <c r="CJ224" s="85">
        <f>IF(NOT(AND($A224&lt;&gt;"",$C224&lt;&gt;"DOOR ONLY")),"",TRIM(IFERROR(VLOOKUP($U224,CODES,2,FALSE),"")&amp;" "&amp;$BG224&amp;" "&amp;IFERROR(VLOOKUP($Z224,CODES,2,FALSE),"")&amp;" "&amp;IFERROR(VLOOKUP($X224,CODES,2,FALSE),"")&amp;" "&amp;IFERROR(VLOOKUP($S224,CODES,2,FALSE),"")&amp;IF(N($P224)&gt;0," w/TRANSOM "&amp;$P224&amp;CHAR(34),"")&amp;IF(N($Q224)&gt;0," w/SIDELITE "&amp;$Q224&amp;CHAR(34)&amp;" "&amp;IF($R224="","R",$R224),"")&amp;IF($Y224="","  |  "," | "&amp;IFERROR(VLOOKUP($Y224,CODES,2,FALSE),"")&amp;" | ")&amp;IFERROR(VLOOKUP($AC224,CODES,2,FALSE),"")&amp;" "&amp;IFERROR(VLOOKUP($AD224,CODES,2,FALSE),"")&amp;IF(OR($AE224="",$AE224="-"),""," "&amp;$AE224)&amp;IF(OR($AF224="",$AF224="-"),""," "&amp;$AF224)&amp;IF($AB224="Y"," 4"&amp;CHAR(34)&amp;" HEAD","")&amp;" "&amp;IFERROR(VLOOKUP($H224,CODES,2,FALSE),"")&amp;IF($CT224," | LOC "&amp;$CY224,"")))</f>
        <v/>
      </c>
      <c r="CK224" s="85">
        <f>IF(NOT(AND($A224&lt;&gt;"",N($BJ224)&gt;0)),"",TRIM(IFERROR(VLOOKUP($AH224,CODES,2,FALSE),"")&amp;IF($AI224=""," "," "&amp;$AI224&amp;"GA ")&amp;$BG224&amp;" "&amp;IF($AN224="",IFERROR(VLOOKUP($Z224,CODES,2,FALSE),""),IFERROR(VLOOKUP($AN224,CODES,2,FALSE),""))&amp;IF($BJ224=2," PAIR","")&amp;" DOOR | "&amp;IF($AL224="","?",$AL224)&amp;" | "&amp;IF($AO224="",IFERROR(VLOOKUP($AC224,CODES,2,FALSE),""),IFERROR(VLOOKUP($AO224,CODES,2,FALSE),""))&amp;" "&amp;IFERROR(VLOOKUP($AP224,CODES,2,FALSE),"")&amp;IF(OR($AQ224="",$AQ224="-"),""," SEAM "&amp;$AQ224)&amp;IF($AR224="Y"," ASTRAGAL","")&amp;IF($AJ224=""," "," "&amp;$AJ224)&amp;IF($AK224=""," "," "&amp;$AK224)&amp;IF(OR($AT224="",$AT224="ANSI/SDI",$AT224="CUSTOM LOC"),""," "&amp;$AT224)&amp;IF($AM224=""," "," SERIES "&amp;$AM224)&amp;" "&amp;IFERROR(VLOOKUP($H224,CODES,2,FALSE),"")&amp;IF($CT224," | LOC "&amp;$CZ224,"")))</f>
        <v/>
      </c>
      <c r="CL224" s="84">
        <f>IF(CP224="","",IF(COUNTIF($CP$6:CP224,CP224)=1,MAX($CL$5:CL223)+1,INDEX($CL$5:CL223,MATCH(CP224,$CP$5:CP223,0))))</f>
        <v/>
      </c>
      <c r="CM224" s="84">
        <f>IF(NOT(AND($A224&lt;&gt;"",$C224&lt;&gt;"DOOR ONLY")),"",MAX($CM$5:CM223)+1)</f>
        <v/>
      </c>
      <c r="CN224" s="84">
        <f>IF(NOT(AND($A224&lt;&gt;"",N($BJ224)&gt;0)),"",MAX($CN$5:CN223)+1)</f>
        <v/>
      </c>
      <c r="CO224" s="84">
        <f>IF($A224="","",MAX($CO$5:CO223)+1)</f>
        <v/>
      </c>
      <c r="CP224" s="84">
        <f>IF(OR($A224="",$BH224="",$BI224=""),"",$BG224&amp;"|"&amp;$O224&amp;"|"&amp;$AL224&amp;"|"&amp;$S224&amp;"|"&amp;$P224&amp;"|"&amp;$Q224&amp;$R224&amp;"|"&amp;$C224&amp;"|"&amp;$AB224)</f>
        <v/>
      </c>
      <c r="CQ224" s="84">
        <f>N($BS224)</f>
        <v/>
      </c>
      <c r="CR224" s="84">
        <f>IF(N($AU224)&gt;0,N($AU224),4.5)</f>
        <v/>
      </c>
      <c r="CS224" s="84">
        <f>OR($A224="",$BI224="",$S224="BL",AND($C224="FRAME ONLY",OR($AC224="",$AC224="BLK")))</f>
        <v/>
      </c>
      <c r="CT224" s="84">
        <f>AND(NOT($CS224),OR($AT224="CUSTOM LOC",N($AW224)+N($AX224)+N($AY224)+N($AZ224)+N($BA224)&gt;0))</f>
        <v/>
      </c>
      <c r="CU224" s="84">
        <f>IF($BI224="","",IF($BI224&lt;=80,80,IF($BI224&lt;=84,84,96)))</f>
        <v/>
      </c>
      <c r="CV224" s="84">
        <f>ISNUMBER(MATCH($AT224&amp;"|80",LocKeys,0))</f>
        <v/>
      </c>
      <c r="CW224" s="86">
        <f>IF($CS224,"",IF($CV224,VLOOKUP($AT224&amp;"|"&amp;$CU224,LocTable,4,FALSE),5))</f>
        <v/>
      </c>
      <c r="CX224" s="86">
        <f>IF($CS224,"",IF($CV224,IF(OR($BI224=$CU224,AND($BI224&lt;$CU224,$BI224-IF(N(VLOOKUP($AT224&amp;"|"&amp;$CU224,LocTable,7,FALSE))&gt;0,VLOOKUP($AT224&amp;"|"&amp;$CU224,LocTable,7,FALSE),VLOOKUP($AT224&amp;"|"&amp;$CU224,LocTable,6,FALSE))-$CR224-0.75&gt;=2.125)),IF(N(VLOOKUP($AT224&amp;"|"&amp;$CU224,LocTable,7,FALSE))&gt;0,VLOOKUP($AT224&amp;"|"&amp;$CU224,LocTable,7,FALSE),VLOOKUP($AT224&amp;"|"&amp;$CU224,LocTable,6,FALSE)),$BI224-($CU224-IF(N(VLOOKUP($AT224&amp;"|"&amp;$CU224,LocTable,7,FALSE))&gt;0,VLOOKUP($AT224&amp;"|"&amp;$CU224,LocTable,7,FALSE),VLOOKUP($AT224&amp;"|"&amp;$CU224,LocTable,6,FALSE)))),$BI224-10-$CR224))</f>
        <v/>
      </c>
      <c r="CY224" s="85">
        <f>IF($CS224,"",TRIM(IF(ISNUMBER($BU224),"A "&amp;TRIM(TEXT($BU224,"# ?/??"))&amp;CHAR(34)&amp;"  ","")&amp;IF(ISNUMBER($BV224),"B "&amp;TRIM(TEXT($BV224,"# ?/??"))&amp;CHAR(34)&amp;"  ","")&amp;IF(ISNUMBER($BW224),"C "&amp;TRIM(TEXT($BW224,"# ?/??"))&amp;CHAR(34)&amp;"  ","")&amp;IF(ISNUMBER($BX224),"D "&amp;TRIM(TEXT($BX224,"# ?/??"))&amp;CHAR(34)&amp;"  ","")&amp;IF(ISNUMBER($BY224),"F "&amp;TRIM(TEXT($BY224,"# ?/??"))&amp;CHAR(34)&amp;"  ","")&amp;IF(ISNUMBER($BZ224),"E "&amp;TRIM(TEXT($BZ224,"# ?/??"))&amp;CHAR(34)&amp;"  ","")))</f>
        <v/>
      </c>
      <c r="CZ224" s="85">
        <f>IF(OR($CS224,N($BJ224)=0),"",TRIM(IF(ISNUMBER($BU224),"A "&amp;TRIM(TEXT($BU224-HeadClr,"# ?/??"))&amp;CHAR(34)&amp;"  ","")&amp;IF(ISNUMBER($BV224),"B "&amp;TRIM(TEXT($BV224-HeadClr,"# ?/??"))&amp;CHAR(34)&amp;"  ","")&amp;IF(ISNUMBER($BW224),"C "&amp;TRIM(TEXT($BW224-HeadClr,"# ?/??"))&amp;CHAR(34)&amp;"  ","")&amp;IF(ISNUMBER($BX224),"D "&amp;TRIM(TEXT($BX224-HeadClr,"# ?/??"))&amp;CHAR(34)&amp;"  ","")&amp;IF(ISNUMBER($BY224),"F "&amp;TRIM(TEXT($BY224-HeadClr,"# ?/??"))&amp;CHAR(34)&amp;"  ","")&amp;IF(ISNUMBER($BZ224),"E "&amp;TRIM(TEXT($BZ224-HeadClr,"# ?/??"))&amp;CHAR(34)&amp;"  ","")))</f>
        <v/>
      </c>
      <c r="DA224" s="84">
        <f>IF($A224="","",IF($AN224="",IFERROR(VLOOKUP($Z224,CODES,2,FALSE),""),IFERROR(VLOOKUP($AN224,CODES,2,FALSE),"")))</f>
        <v/>
      </c>
      <c r="DB224" s="84">
        <f>IF($A224="","",IF($O224="Y","PR",IF(OR($Z224="L",$Z224="RR",LEFT($Z224,2)="L-",LEFT($Z224,3)="RR-"),"LH","RH")))</f>
        <v/>
      </c>
      <c r="DC224" s="84">
        <f>IF($A224="","","S.HM"&amp;IF(OR($C224="DOOR ONLY",$X224&lt;&gt;"KD"),"MASONRY","DRYWALL")&amp;IF($C224="DOOR ONLY","",$U224)&amp;IF(AND($C224&lt;&gt;"FRAME ONLY",OR(LEFT($AH224,3)="OAK",LEFT($AH224,3)="BIR",LEFT($AH224,3)="MAP",$AH224="PC",$AH224="MC",$AH224="SCLC",$AH224="P-LAM")),"WD","HM")&amp;"1.75")</f>
        <v/>
      </c>
      <c r="DD224" s="84">
        <f>IF($CJ224="","",IF($O224="Y",$CJ224,SUBSTITUTE($CJ224,$BG224&amp;" "&amp;IFERROR(VLOOKUP($Z224,CODES,2,FALSE),"")&amp;" ",$BG224&amp;" ")))</f>
        <v/>
      </c>
      <c r="DE224" s="84">
        <f>IF($CK224="","",IF($O224="Y",$CK224,SUBSTITUTE($CK224,$BG224&amp;" "&amp;IF($AN224="",IFERROR(VLOOKUP($Z224,CODES,2,FALSE),""),IFERROR(VLOOKUP($AN224,CODES,2,FALSE),""))&amp;" ",$BG224&amp;" ")))</f>
        <v/>
      </c>
      <c r="DF224" s="84">
        <f>IF($CJ224="","",$DC224&amp;"|"&amp;$DD224&amp;"|"&amp;$DB224&amp;"|"&amp;$AT224&amp;"|"&amp;$V224&amp;"|"&amp;$Y224&amp;"|"&amp;$AB224)</f>
        <v/>
      </c>
      <c r="DG224" s="84">
        <f>IF(DF224="","",IF(COUNTIF($DF$6:DF224,DF224)=1,MAX($DG$5:DG223)+1,INDEX($DG$5:DG223,MATCH(DF224,$DF$5:DF223,0))))</f>
        <v/>
      </c>
      <c r="DH224" s="84">
        <f>IF($CK224="","",$DC224&amp;"|"&amp;$DE224&amp;"|"&amp;$AI224&amp;"|"&amp;$BK224&amp;"|"&amp;$BL224)</f>
        <v/>
      </c>
      <c r="DI224" s="84">
        <f>IF(DH224="","",IF(COUNTIF($DH$6:DH224,DH224)=1,MAX($DI$5:DI223)+1,INDEX($DI$5:DI223,MATCH(DH224,$DH$5:DH223,0))))</f>
        <v/>
      </c>
      <c r="DJ224" s="84">
        <f>IF($A224="","",IF($B224="","qty, ","")&amp;IF($C224="","scope, ","")&amp;IF(OR($K224="",$M224=""),"size, ","")&amp;IF(AND($A224&lt;&gt;"",$C224&lt;&gt;"DOOR ONLY"),IF($U224="","jamb depth, ","")&amp;IF($X224="","construction, ","")&amp;IF($Y224="","anchor, ","")&amp;IF($S224="","frame type, ",""),"")&amp;IF(AND(N($BJ224)&gt;0,$Z224=""),"hand, ","")&amp;IF(N($BJ224)&gt;0,IF($AH224="","door material, ","")&amp;IF($AL224="","face type, ","")&amp;IF($AP224="","lock prep, ","")&amp;IF(AND($AO224="",$AC224=""),"hinge prep, ",""),"")&amp;IF(AND($CH224&gt;0,$AH224="FRP"),"FRP cannot carry a label, ","")&amp;IF(AND($O224="Y",OR($Z224="L",$Z224="R",$Z224="LR",$Z224="RR")),"pair marked but hand is single, ","")&amp;IF(AND($O224&lt;&gt;"Y",OR($Z224="PR",AND(LEN($Z224)&gt;1,ISNUMBER(SEARCH("-",$Z224))))),"pair hand on a single door, ","")&amp;IF(AND(ISNUMBER($CI224),$CH224&lt;N($CI224)),"wall needs a "&amp;$CI224&amp;" min door, ","")&amp;IF(AND($CH224&gt;=180,AND(OR($CE224="FG",$CE224="HG",$CE224="FNV",$CE224="FV"),N($CF224)*N($CG224)&gt;100)),"180 min lite over 100 sq in, ","")&amp;IF(N($BK224)&gt;48,"leaf wider than 4'-0"&amp;CHAR(34)&amp;", ","")&amp;IF(AND($CT224,COUNT($AW224:$AZ224)=0,$CQ224&gt;0),"CUSTOM LOC with no locations typed, ",""))</f>
        <v/>
      </c>
      <c r="DK224" s="84">
        <f>IF($A224="","",IF(AND($CH224&gt;0,AND($A224&lt;&gt;"",$C224&lt;&gt;"DOOR ONLY"),$X224="KD",$E224="EXTERIOR"),"KD label on an exterior opening, ","")&amp;IF(AND($E224="EXTERIOR",OR(AND(AND($A224&lt;&gt;"",$C224&lt;&gt;"DOOR ONLY"),$W224="CR"),AND(N($BJ224)&gt;0,$AH224="CR"))),"exterior in CR steel (G9?), ","")&amp;IF(AND(ISNUMBER($BQ224),N($BQ224)&lt;32),"clear width ~"&amp;TEXT($BQ224,"0.0")&amp;CHAR(34)&amp;" under 32"&amp;CHAR(34)&amp;" (ADA), ","")&amp;IF(AND($CH224=90,AND(OR($CE224="FG",$CE224="HG",$CE224="FNV",$CE224="FV"),N($CF224)*N($CG224)&gt;100)),"90 min lite over 100 sq in (stair/exit), ","")&amp;IF(AND($CH224&gt;0,AND($A224&lt;&gt;"",$C224&lt;&gt;"DOOR ONLY"),OR($AF224="",$AF224="-")),"rated: closer reinf.?, ","")&amp;IF(OR($I224="CORRIDOR",$I224="SMOKE BARRIER"),"S label + smoke gasketing, ","")&amp;IF($CI224="?","wall type/hr not in IBC table, ","")&amp;IF(AND(N($BJ224)&gt;0,$BB224=""),"no hardware set, ","")&amp;IF(AND($BB224&lt;&gt;"",ISNA(MATCH($BB224&amp;"",HWSets,0))),"set "&amp;$BB224&amp;" not on HW Sets, ","")&amp;IF(N($BL224)&gt;96,"leaf over 8'-0"&amp;CHAR(34)&amp;" - check listing, ","")&amp;IF(AND($CT224,COUNT($AW224:$AZ224)&gt;0,COUNT($AW224:$AZ224)&lt;&gt;$CQ224),COUNT($AW224:$AZ224)&amp;" custom hinges typed, "&amp;$CQ224&amp;" expected, ","")&amp;IF(AND(ISNUMBER($CA224),OR(N($CA224)&lt;34,N($CA224)&gt;48)),"lock "&amp;TEXT($CA224,"0.0")&amp;CHAR(34)&amp;" AFF outside 34-48"&amp;CHAR(34)&amp;" (ADA), ","")&amp;IF(AND(ISNUMBER($AV224),ISNUMBER($BL224),N($AV224)&lt;IF(N($BL224)&lt;=60,2,IF(N($BL224)&lt;=90,3,IF(N($BL224)&lt;=120,4,5)))),"fewer hinges than standard, ",""))</f>
        <v/>
      </c>
    </row>
    <row r="225" ht="15" customHeight="1">
      <c r="A225" s="92" t="n"/>
      <c r="B225" s="93" t="n"/>
      <c r="C225" s="93" t="n"/>
      <c r="D225" s="93" t="n"/>
      <c r="E225" s="93" t="n"/>
      <c r="F225" s="93" t="n"/>
      <c r="G225" s="93" t="n"/>
      <c r="H225" s="93" t="n"/>
      <c r="I225" s="93" t="n"/>
      <c r="J225" s="93" t="n"/>
      <c r="K225" s="93" t="n"/>
      <c r="L225" s="93" t="n"/>
      <c r="M225" s="93" t="n"/>
      <c r="N225" s="93" t="n"/>
      <c r="O225" s="93" t="n"/>
      <c r="P225" s="93" t="n"/>
      <c r="Q225" s="93" t="n"/>
      <c r="R225" s="93" t="n"/>
      <c r="S225" s="94" t="n"/>
      <c r="T225" s="94" t="n"/>
      <c r="U225" s="94" t="n"/>
      <c r="V225" s="94" t="n"/>
      <c r="W225" s="94" t="n"/>
      <c r="X225" s="94" t="n"/>
      <c r="Y225" s="94" t="n"/>
      <c r="Z225" s="94" t="n"/>
      <c r="AA225" s="94" t="n"/>
      <c r="AB225" s="94" t="n"/>
      <c r="AC225" s="94" t="n"/>
      <c r="AD225" s="94" t="n"/>
      <c r="AE225" s="94" t="n"/>
      <c r="AF225" s="94" t="n"/>
      <c r="AG225" s="94" t="n"/>
      <c r="AH225" s="95" t="n"/>
      <c r="AI225" s="95" t="n"/>
      <c r="AJ225" s="95" t="n"/>
      <c r="AK225" s="95" t="n"/>
      <c r="AL225" s="95" t="n"/>
      <c r="AM225" s="95" t="n"/>
      <c r="AN225" s="95" t="n"/>
      <c r="AO225" s="95" t="n"/>
      <c r="AP225" s="95" t="n"/>
      <c r="AQ225" s="95" t="n"/>
      <c r="AR225" s="95" t="n"/>
      <c r="AS225" s="95" t="n"/>
      <c r="AT225" s="96" t="n"/>
      <c r="AU225" s="96" t="n"/>
      <c r="AV225" s="96" t="n"/>
      <c r="AW225" s="97" t="n"/>
      <c r="AX225" s="97" t="n"/>
      <c r="AY225" s="97" t="n"/>
      <c r="AZ225" s="97" t="n"/>
      <c r="BA225" s="97" t="n"/>
      <c r="BB225" s="98" t="n"/>
      <c r="BC225" s="98" t="n"/>
      <c r="BD225" s="99">
        <f>IF($A225="","",IF($DJ225&lt;&gt;"","FIX",IF($DK225&lt;&gt;"","CHECK","OK")))</f>
        <v/>
      </c>
      <c r="BE225" s="100">
        <f>IF($A225="","",IF($DJ225&lt;&gt;"","FIX: "&amp;LEFT($DJ225,LEN($DJ225)-2)&amp;IF($DK225&lt;&gt;"","  ·  ",""),"")&amp;IF($DK225&lt;&gt;"","CHECK: "&amp;LEFT($DK225,LEN($DK225)-2),""))</f>
        <v/>
      </c>
      <c r="BF225" s="99">
        <f>IF(OR($A225="",$K225=""),"",$K225&amp;"'-"&amp;N($L225)&amp;CHAR(34)&amp;" x "&amp;$M225&amp;"'-"&amp;N($N225)&amp;CHAR(34))</f>
        <v/>
      </c>
      <c r="BG225" s="99">
        <f>IF(OR($A225="",$K225=""),"",$K225&amp;N($L225)&amp;$M225&amp;N($N225))</f>
        <v/>
      </c>
      <c r="BH225" s="99">
        <f>IF(OR($A225="",$K225=""),"",$K225*12+N($L225))</f>
        <v/>
      </c>
      <c r="BI225" s="99">
        <f>IF(OR($A225="",$M225=""),"",$M225*12+N($N225))</f>
        <v/>
      </c>
      <c r="BJ225" s="99">
        <f>IF($A225="","",IF(OR($C225="FRAME ONLY",$S225="BL"),0,IF($O225="Y",2,1)))</f>
        <v/>
      </c>
      <c r="BK225" s="101">
        <f>IF(OR(N($BJ225)=0,$BH225=""),"",($BH225-2*EdgeClr-IF($BJ225=2,MeetClr,0))/$BJ225)</f>
        <v/>
      </c>
      <c r="BL225" s="101">
        <f>IF(OR(N($BJ225)=0,$BI225=""),"",$BI225-HeadClr-Undercut)</f>
        <v/>
      </c>
      <c r="BM225" s="101">
        <f>IF($BH225="","",$BH225+2*FaceW+IF(N($Q225)&gt;0,($Q225+FaceW)*IF($R225="LR",2,1),0))</f>
        <v/>
      </c>
      <c r="BN225" s="101">
        <f>IF($BI225="","",$BI225+IF($AB225="Y",4,FaceW)+IF(N($P225)&gt;0,$P225+FaceW,0)+IF(OR($S225="4F",$S225="BL"),FaceW,0))</f>
        <v/>
      </c>
      <c r="BO225" s="101">
        <f>IF($BM225="","",$BM225+2*ROSide)</f>
        <v/>
      </c>
      <c r="BP225" s="101">
        <f>IF($BN225="","",$BN225+ROTop)</f>
        <v/>
      </c>
      <c r="BQ225" s="102">
        <f>IF(OR(N($BJ225)=0,$BH225=""),"",$BH225/$BJ225-ClearDeduct)</f>
        <v/>
      </c>
      <c r="BR225" s="99">
        <f>IF(N($CH225)=0,"",IF($CH225&gt;=180,"A · 3 HR",IF($CH225&gt;=90,"B · 1-1/2 HR",IF($CH225&gt;=60,"B · 1 HR",IF($CH225&gt;=45,"C · 3/4 HR","20 MIN")))))&amp;IF(AND(N($CH225)&gt;0,OR($I225="CORRIDOR",$I225="SMOKE BARRIER"))," · S","")</f>
        <v/>
      </c>
      <c r="BS225" s="99">
        <f>IF($CS225,"",IF($AV225&lt;&gt;"",$AV225,IF(OR($AC225="HGC",$AO225="HGC"),"CONT",IF(($BI225-HeadClr-Undercut)&lt;=60,2,IF(($BI225-HeadClr-Undercut)&lt;=90,3,IF(($BI225-HeadClr-Undercut)&lt;=120,4,5))))))</f>
        <v/>
      </c>
      <c r="BT225" s="99">
        <f>IF($CS225,"",IF($CT225,"CUSTOM (typed)",IF($CV225,$AT225&amp;" "&amp;$CU225&amp;CHAR(34)&amp;IF($CU225&lt;&gt;$BI225,IF(AND($BI225&lt;$CU225,$BI225-IF(N(VLOOKUP($AT225&amp;"|"&amp;$CU225,LocTable,7,FALSE))&gt;0,VLOOKUP($AT225&amp;"|"&amp;$CU225,LocTable,7,FALSE),VLOOKUP($AT225&amp;"|"&amp;$CU225,LocTable,6,FALSE))-$CR225-0.75&gt;=2.125)," cut down"," adj."),""),"ANSI/SDI A250.6")))</f>
        <v/>
      </c>
      <c r="BU225" s="103">
        <f>IF($CS225,"",IF($CT225,IF(N($AW225)&gt;0,N($AW225),""),IF(1&gt;$CQ225,"",IF($CQ225=1,$CW225,$CW225+($CX225-$CW225)*0/($CQ225-1)))))</f>
        <v/>
      </c>
      <c r="BV225" s="103">
        <f>IF($CS225,"",IF($CT225,IF(N($AX225)&gt;0,N($AX225),""),IF(2&gt;$CQ225,"",IF($CQ225=1,$CW225,$CW225+($CX225-$CW225)*1/($CQ225-1)))))</f>
        <v/>
      </c>
      <c r="BW225" s="103">
        <f>IF($CS225,"",IF($CT225,IF(N($AY225)&gt;0,N($AY225),""),IF(3&gt;$CQ225,"",IF($CQ225=1,$CW225,$CW225+($CX225-$CW225)*2/($CQ225-1)))))</f>
        <v/>
      </c>
      <c r="BX225" s="103">
        <f>IF($CS225,"",IF($CT225,IF(N($AZ225)&gt;0,N($AZ225),""),IF(4&gt;$CQ225,"",IF($CQ225=1,$CW225,$CW225+($CX225-$CW225)*3/($CQ225-1)))))</f>
        <v/>
      </c>
      <c r="BY225" s="103">
        <f>IF($CS225,"",IF($CT225,"",IF(5&gt;$CQ225,"",IF($CQ225=1,$CW225,$CW225+($CX225-$CW225)*4/($CQ225-1)))))</f>
        <v/>
      </c>
      <c r="BZ225" s="103">
        <f>IF(OR($CS225,$AP225="-",AND($AP225="",$AD225="")),"",IF(N($BA225)&gt;0,N($BA225),IF($CV225,IF(AND($BI225&lt;$CU225,$BI225-IF(N(VLOOKUP($AT225&amp;"|"&amp;$CU225,LocTable,7,FALSE))&gt;0,VLOOKUP($AT225&amp;"|"&amp;$CU225,LocTable,7,FALSE),VLOOKUP($AT225&amp;"|"&amp;$CU225,LocTable,6,FALSE))-$CR225-0.75&gt;=2.125),VLOOKUP($AT225&amp;"|"&amp;$CU225,LocTable,8,FALSE),VLOOKUP($AT225&amp;"|"&amp;$CU225,LocTable,8,FALSE)+($BI225-$CU225)),$BI225-LockAFF)))</f>
        <v/>
      </c>
      <c r="CA225" s="104">
        <f>IF($BZ225="","",$BI225-$BZ225)</f>
        <v/>
      </c>
      <c r="CB225" s="99">
        <f>IF(OR(NOT(AND($A225&lt;&gt;"",$C225&lt;&gt;"DOOR ONLY")),$BI225=""),"",IF(($BI225+IF(N($P225)&gt;0,$P225+FaceW,0))&lt;=90,3,IF(($BI225+IF(N($P225)&gt;0,$P225+FaceW,0))&lt;=114,4,5)))</f>
        <v/>
      </c>
      <c r="CC225" s="99">
        <f>IF($CB225="","",$CB225*(2+IF(N($Q225)&gt;0,IF($R225="LR",2,1),0)))</f>
        <v/>
      </c>
      <c r="CD225" s="99">
        <f>IF($CB225="","",(2+IF(N($Q225)&gt;0,IF($R225="LR",2,1),0)))</f>
        <v/>
      </c>
      <c r="CE225" s="99">
        <f>IF(N($BJ225)=0,"",IF(OR($AL225="",$AL225="FLUSH"),"FLUSH",IFERROR(LEFT($AL225,FIND("-",$AL225)-1),LEFT($AL225,2))))</f>
        <v/>
      </c>
      <c r="CF225" s="99">
        <f>IF($CE225="","",IFERROR(VALUE(MID($AL225,FIND("-",$AL225)+1,FIND(CHAR(34)&amp;"x",$AL225)-FIND("-",$AL225)-1)),0))</f>
        <v/>
      </c>
      <c r="CG225" s="99">
        <f>IF($CE225="","",IFERROR(VALUE(MID($AL225,FIND(CHAR(34)&amp;"x",$AL225)+2,FIND(CHAR(34),$AL225,FIND(CHAR(34)&amp;"x",$AL225)+2)-FIND(CHAR(34)&amp;"x",$AL225)-2)),0))</f>
        <v/>
      </c>
      <c r="CH225" s="105">
        <f>IF(OR($A225="",$H225="",$H225="NO LAB"),0,IFERROR(VALUE(LEFT($H225,FIND(" ",$H225)-1)),0))</f>
        <v/>
      </c>
      <c r="CI225" s="106">
        <f>IF(OR($A225="",$I225="",$I225="NON-RATED",N($J225)=0),"",IFERROR(VLOOKUP($I225&amp;"|"&amp;$J225,IBC,2,FALSE),"?"))</f>
        <v/>
      </c>
      <c r="CJ225" s="100">
        <f>IF(NOT(AND($A225&lt;&gt;"",$C225&lt;&gt;"DOOR ONLY")),"",TRIM(IFERROR(VLOOKUP($U225,CODES,2,FALSE),"")&amp;" "&amp;$BG225&amp;" "&amp;IFERROR(VLOOKUP($Z225,CODES,2,FALSE),"")&amp;" "&amp;IFERROR(VLOOKUP($X225,CODES,2,FALSE),"")&amp;" "&amp;IFERROR(VLOOKUP($S225,CODES,2,FALSE),"")&amp;IF(N($P225)&gt;0," w/TRANSOM "&amp;$P225&amp;CHAR(34),"")&amp;IF(N($Q225)&gt;0," w/SIDELITE "&amp;$Q225&amp;CHAR(34)&amp;" "&amp;IF($R225="","R",$R225),"")&amp;IF($Y225="","  |  "," | "&amp;IFERROR(VLOOKUP($Y225,CODES,2,FALSE),"")&amp;" | ")&amp;IFERROR(VLOOKUP($AC225,CODES,2,FALSE),"")&amp;" "&amp;IFERROR(VLOOKUP($AD225,CODES,2,FALSE),"")&amp;IF(OR($AE225="",$AE225="-"),""," "&amp;$AE225)&amp;IF(OR($AF225="",$AF225="-"),""," "&amp;$AF225)&amp;IF($AB225="Y"," 4"&amp;CHAR(34)&amp;" HEAD","")&amp;" "&amp;IFERROR(VLOOKUP($H225,CODES,2,FALSE),"")&amp;IF($CT225," | LOC "&amp;$CY225,"")))</f>
        <v/>
      </c>
      <c r="CK225" s="100">
        <f>IF(NOT(AND($A225&lt;&gt;"",N($BJ225)&gt;0)),"",TRIM(IFERROR(VLOOKUP($AH225,CODES,2,FALSE),"")&amp;IF($AI225=""," "," "&amp;$AI225&amp;"GA ")&amp;$BG225&amp;" "&amp;IF($AN225="",IFERROR(VLOOKUP($Z225,CODES,2,FALSE),""),IFERROR(VLOOKUP($AN225,CODES,2,FALSE),""))&amp;IF($BJ225=2," PAIR","")&amp;" DOOR | "&amp;IF($AL225="","?",$AL225)&amp;" | "&amp;IF($AO225="",IFERROR(VLOOKUP($AC225,CODES,2,FALSE),""),IFERROR(VLOOKUP($AO225,CODES,2,FALSE),""))&amp;" "&amp;IFERROR(VLOOKUP($AP225,CODES,2,FALSE),"")&amp;IF(OR($AQ225="",$AQ225="-"),""," SEAM "&amp;$AQ225)&amp;IF($AR225="Y"," ASTRAGAL","")&amp;IF($AJ225=""," "," "&amp;$AJ225)&amp;IF($AK225=""," "," "&amp;$AK225)&amp;IF(OR($AT225="",$AT225="ANSI/SDI",$AT225="CUSTOM LOC"),""," "&amp;$AT225)&amp;IF($AM225=""," "," SERIES "&amp;$AM225)&amp;" "&amp;IFERROR(VLOOKUP($H225,CODES,2,FALSE),"")&amp;IF($CT225," | LOC "&amp;$CZ225,"")))</f>
        <v/>
      </c>
      <c r="CL225" s="99">
        <f>IF(CP225="","",IF(COUNTIF($CP$6:CP225,CP225)=1,MAX($CL$5:CL224)+1,INDEX($CL$5:CL224,MATCH(CP225,$CP$5:CP224,0))))</f>
        <v/>
      </c>
      <c r="CM225" s="99">
        <f>IF(NOT(AND($A225&lt;&gt;"",$C225&lt;&gt;"DOOR ONLY")),"",MAX($CM$5:CM224)+1)</f>
        <v/>
      </c>
      <c r="CN225" s="99">
        <f>IF(NOT(AND($A225&lt;&gt;"",N($BJ225)&gt;0)),"",MAX($CN$5:CN224)+1)</f>
        <v/>
      </c>
      <c r="CO225" s="99">
        <f>IF($A225="","",MAX($CO$5:CO224)+1)</f>
        <v/>
      </c>
      <c r="CP225" s="99">
        <f>IF(OR($A225="",$BH225="",$BI225=""),"",$BG225&amp;"|"&amp;$O225&amp;"|"&amp;$AL225&amp;"|"&amp;$S225&amp;"|"&amp;$P225&amp;"|"&amp;$Q225&amp;$R225&amp;"|"&amp;$C225&amp;"|"&amp;$AB225)</f>
        <v/>
      </c>
      <c r="CQ225" s="99">
        <f>N($BS225)</f>
        <v/>
      </c>
      <c r="CR225" s="99">
        <f>IF(N($AU225)&gt;0,N($AU225),4.5)</f>
        <v/>
      </c>
      <c r="CS225" s="99">
        <f>OR($A225="",$BI225="",$S225="BL",AND($C225="FRAME ONLY",OR($AC225="",$AC225="BLK")))</f>
        <v/>
      </c>
      <c r="CT225" s="99">
        <f>AND(NOT($CS225),OR($AT225="CUSTOM LOC",N($AW225)+N($AX225)+N($AY225)+N($AZ225)+N($BA225)&gt;0))</f>
        <v/>
      </c>
      <c r="CU225" s="99">
        <f>IF($BI225="","",IF($BI225&lt;=80,80,IF($BI225&lt;=84,84,96)))</f>
        <v/>
      </c>
      <c r="CV225" s="99">
        <f>ISNUMBER(MATCH($AT225&amp;"|80",LocKeys,0))</f>
        <v/>
      </c>
      <c r="CW225" s="101">
        <f>IF($CS225,"",IF($CV225,VLOOKUP($AT225&amp;"|"&amp;$CU225,LocTable,4,FALSE),5))</f>
        <v/>
      </c>
      <c r="CX225" s="101">
        <f>IF($CS225,"",IF($CV225,IF(OR($BI225=$CU225,AND($BI225&lt;$CU225,$BI225-IF(N(VLOOKUP($AT225&amp;"|"&amp;$CU225,LocTable,7,FALSE))&gt;0,VLOOKUP($AT225&amp;"|"&amp;$CU225,LocTable,7,FALSE),VLOOKUP($AT225&amp;"|"&amp;$CU225,LocTable,6,FALSE))-$CR225-0.75&gt;=2.125)),IF(N(VLOOKUP($AT225&amp;"|"&amp;$CU225,LocTable,7,FALSE))&gt;0,VLOOKUP($AT225&amp;"|"&amp;$CU225,LocTable,7,FALSE),VLOOKUP($AT225&amp;"|"&amp;$CU225,LocTable,6,FALSE)),$BI225-($CU225-IF(N(VLOOKUP($AT225&amp;"|"&amp;$CU225,LocTable,7,FALSE))&gt;0,VLOOKUP($AT225&amp;"|"&amp;$CU225,LocTable,7,FALSE),VLOOKUP($AT225&amp;"|"&amp;$CU225,LocTable,6,FALSE)))),$BI225-10-$CR225))</f>
        <v/>
      </c>
      <c r="CY225" s="100">
        <f>IF($CS225,"",TRIM(IF(ISNUMBER($BU225),"A "&amp;TRIM(TEXT($BU225,"# ?/??"))&amp;CHAR(34)&amp;"  ","")&amp;IF(ISNUMBER($BV225),"B "&amp;TRIM(TEXT($BV225,"# ?/??"))&amp;CHAR(34)&amp;"  ","")&amp;IF(ISNUMBER($BW225),"C "&amp;TRIM(TEXT($BW225,"# ?/??"))&amp;CHAR(34)&amp;"  ","")&amp;IF(ISNUMBER($BX225),"D "&amp;TRIM(TEXT($BX225,"# ?/??"))&amp;CHAR(34)&amp;"  ","")&amp;IF(ISNUMBER($BY225),"F "&amp;TRIM(TEXT($BY225,"# ?/??"))&amp;CHAR(34)&amp;"  ","")&amp;IF(ISNUMBER($BZ225),"E "&amp;TRIM(TEXT($BZ225,"# ?/??"))&amp;CHAR(34)&amp;"  ","")))</f>
        <v/>
      </c>
      <c r="CZ225" s="100">
        <f>IF(OR($CS225,N($BJ225)=0),"",TRIM(IF(ISNUMBER($BU225),"A "&amp;TRIM(TEXT($BU225-HeadClr,"# ?/??"))&amp;CHAR(34)&amp;"  ","")&amp;IF(ISNUMBER($BV225),"B "&amp;TRIM(TEXT($BV225-HeadClr,"# ?/??"))&amp;CHAR(34)&amp;"  ","")&amp;IF(ISNUMBER($BW225),"C "&amp;TRIM(TEXT($BW225-HeadClr,"# ?/??"))&amp;CHAR(34)&amp;"  ","")&amp;IF(ISNUMBER($BX225),"D "&amp;TRIM(TEXT($BX225-HeadClr,"# ?/??"))&amp;CHAR(34)&amp;"  ","")&amp;IF(ISNUMBER($BY225),"F "&amp;TRIM(TEXT($BY225-HeadClr,"# ?/??"))&amp;CHAR(34)&amp;"  ","")&amp;IF(ISNUMBER($BZ225),"E "&amp;TRIM(TEXT($BZ225-HeadClr,"# ?/??"))&amp;CHAR(34)&amp;"  ","")))</f>
        <v/>
      </c>
      <c r="DA225" s="99">
        <f>IF($A225="","",IF($AN225="",IFERROR(VLOOKUP($Z225,CODES,2,FALSE),""),IFERROR(VLOOKUP($AN225,CODES,2,FALSE),"")))</f>
        <v/>
      </c>
      <c r="DB225" s="99">
        <f>IF($A225="","",IF($O225="Y","PR",IF(OR($Z225="L",$Z225="RR",LEFT($Z225,2)="L-",LEFT($Z225,3)="RR-"),"LH","RH")))</f>
        <v/>
      </c>
      <c r="DC225" s="99">
        <f>IF($A225="","","S.HM"&amp;IF(OR($C225="DOOR ONLY",$X225&lt;&gt;"KD"),"MASONRY","DRYWALL")&amp;IF($C225="DOOR ONLY","",$U225)&amp;IF(AND($C225&lt;&gt;"FRAME ONLY",OR(LEFT($AH225,3)="OAK",LEFT($AH225,3)="BIR",LEFT($AH225,3)="MAP",$AH225="PC",$AH225="MC",$AH225="SCLC",$AH225="P-LAM")),"WD","HM")&amp;"1.75")</f>
        <v/>
      </c>
      <c r="DD225" s="99">
        <f>IF($CJ225="","",IF($O225="Y",$CJ225,SUBSTITUTE($CJ225,$BG225&amp;" "&amp;IFERROR(VLOOKUP($Z225,CODES,2,FALSE),"")&amp;" ",$BG225&amp;" ")))</f>
        <v/>
      </c>
      <c r="DE225" s="99">
        <f>IF($CK225="","",IF($O225="Y",$CK225,SUBSTITUTE($CK225,$BG225&amp;" "&amp;IF($AN225="",IFERROR(VLOOKUP($Z225,CODES,2,FALSE),""),IFERROR(VLOOKUP($AN225,CODES,2,FALSE),""))&amp;" ",$BG225&amp;" ")))</f>
        <v/>
      </c>
      <c r="DF225" s="99">
        <f>IF($CJ225="","",$DC225&amp;"|"&amp;$DD225&amp;"|"&amp;$DB225&amp;"|"&amp;$AT225&amp;"|"&amp;$V225&amp;"|"&amp;$Y225&amp;"|"&amp;$AB225)</f>
        <v/>
      </c>
      <c r="DG225" s="99">
        <f>IF(DF225="","",IF(COUNTIF($DF$6:DF225,DF225)=1,MAX($DG$5:DG224)+1,INDEX($DG$5:DG224,MATCH(DF225,$DF$5:DF224,0))))</f>
        <v/>
      </c>
      <c r="DH225" s="99">
        <f>IF($CK225="","",$DC225&amp;"|"&amp;$DE225&amp;"|"&amp;$AI225&amp;"|"&amp;$BK225&amp;"|"&amp;$BL225)</f>
        <v/>
      </c>
      <c r="DI225" s="99">
        <f>IF(DH225="","",IF(COUNTIF($DH$6:DH225,DH225)=1,MAX($DI$5:DI224)+1,INDEX($DI$5:DI224,MATCH(DH225,$DH$5:DH224,0))))</f>
        <v/>
      </c>
      <c r="DJ225" s="99">
        <f>IF($A225="","",IF($B225="","qty, ","")&amp;IF($C225="","scope, ","")&amp;IF(OR($K225="",$M225=""),"size, ","")&amp;IF(AND($A225&lt;&gt;"",$C225&lt;&gt;"DOOR ONLY"),IF($U225="","jamb depth, ","")&amp;IF($X225="","construction, ","")&amp;IF($Y225="","anchor, ","")&amp;IF($S225="","frame type, ",""),"")&amp;IF(AND(N($BJ225)&gt;0,$Z225=""),"hand, ","")&amp;IF(N($BJ225)&gt;0,IF($AH225="","door material, ","")&amp;IF($AL225="","face type, ","")&amp;IF($AP225="","lock prep, ","")&amp;IF(AND($AO225="",$AC225=""),"hinge prep, ",""),"")&amp;IF(AND($CH225&gt;0,$AH225="FRP"),"FRP cannot carry a label, ","")&amp;IF(AND($O225="Y",OR($Z225="L",$Z225="R",$Z225="LR",$Z225="RR")),"pair marked but hand is single, ","")&amp;IF(AND($O225&lt;&gt;"Y",OR($Z225="PR",AND(LEN($Z225)&gt;1,ISNUMBER(SEARCH("-",$Z225))))),"pair hand on a single door, ","")&amp;IF(AND(ISNUMBER($CI225),$CH225&lt;N($CI225)),"wall needs a "&amp;$CI225&amp;" min door, ","")&amp;IF(AND($CH225&gt;=180,AND(OR($CE225="FG",$CE225="HG",$CE225="FNV",$CE225="FV"),N($CF225)*N($CG225)&gt;100)),"180 min lite over 100 sq in, ","")&amp;IF(N($BK225)&gt;48,"leaf wider than 4'-0"&amp;CHAR(34)&amp;", ","")&amp;IF(AND($CT225,COUNT($AW225:$AZ225)=0,$CQ225&gt;0),"CUSTOM LOC with no locations typed, ",""))</f>
        <v/>
      </c>
      <c r="DK225" s="99">
        <f>IF($A225="","",IF(AND($CH225&gt;0,AND($A225&lt;&gt;"",$C225&lt;&gt;"DOOR ONLY"),$X225="KD",$E225="EXTERIOR"),"KD label on an exterior opening, ","")&amp;IF(AND($E225="EXTERIOR",OR(AND(AND($A225&lt;&gt;"",$C225&lt;&gt;"DOOR ONLY"),$W225="CR"),AND(N($BJ225)&gt;0,$AH225="CR"))),"exterior in CR steel (G9?), ","")&amp;IF(AND(ISNUMBER($BQ225),N($BQ225)&lt;32),"clear width ~"&amp;TEXT($BQ225,"0.0")&amp;CHAR(34)&amp;" under 32"&amp;CHAR(34)&amp;" (ADA), ","")&amp;IF(AND($CH225=90,AND(OR($CE225="FG",$CE225="HG",$CE225="FNV",$CE225="FV"),N($CF225)*N($CG225)&gt;100)),"90 min lite over 100 sq in (stair/exit), ","")&amp;IF(AND($CH225&gt;0,AND($A225&lt;&gt;"",$C225&lt;&gt;"DOOR ONLY"),OR($AF225="",$AF225="-")),"rated: closer reinf.?, ","")&amp;IF(OR($I225="CORRIDOR",$I225="SMOKE BARRIER"),"S label + smoke gasketing, ","")&amp;IF($CI225="?","wall type/hr not in IBC table, ","")&amp;IF(AND(N($BJ225)&gt;0,$BB225=""),"no hardware set, ","")&amp;IF(AND($BB225&lt;&gt;"",ISNA(MATCH($BB225&amp;"",HWSets,0))),"set "&amp;$BB225&amp;" not on HW Sets, ","")&amp;IF(N($BL225)&gt;96,"leaf over 8'-0"&amp;CHAR(34)&amp;" - check listing, ","")&amp;IF(AND($CT225,COUNT($AW225:$AZ225)&gt;0,COUNT($AW225:$AZ225)&lt;&gt;$CQ225),COUNT($AW225:$AZ225)&amp;" custom hinges typed, "&amp;$CQ225&amp;" expected, ","")&amp;IF(AND(ISNUMBER($CA225),OR(N($CA225)&lt;34,N($CA225)&gt;48)),"lock "&amp;TEXT($CA225,"0.0")&amp;CHAR(34)&amp;" AFF outside 34-48"&amp;CHAR(34)&amp;" (ADA), ","")&amp;IF(AND(ISNUMBER($AV225),ISNUMBER($BL225),N($AV225)&lt;IF(N($BL225)&lt;=60,2,IF(N($BL225)&lt;=90,3,IF(N($BL225)&lt;=120,4,5)))),"fewer hinges than standard, ",""))</f>
        <v/>
      </c>
    </row>
    <row r="226" ht="15" customHeight="1">
      <c r="A226" s="77" t="n"/>
      <c r="B226" s="78" t="n"/>
      <c r="C226" s="78" t="n"/>
      <c r="D226" s="78" t="n"/>
      <c r="E226" s="78" t="n"/>
      <c r="F226" s="78" t="n"/>
      <c r="G226" s="78" t="n"/>
      <c r="H226" s="78" t="n"/>
      <c r="I226" s="78" t="n"/>
      <c r="J226" s="78" t="n"/>
      <c r="K226" s="78" t="n"/>
      <c r="L226" s="78" t="n"/>
      <c r="M226" s="78" t="n"/>
      <c r="N226" s="78" t="n"/>
      <c r="O226" s="78" t="n"/>
      <c r="P226" s="78" t="n"/>
      <c r="Q226" s="78" t="n"/>
      <c r="R226" s="78" t="n"/>
      <c r="S226" s="79" t="n"/>
      <c r="T226" s="79" t="n"/>
      <c r="U226" s="79" t="n"/>
      <c r="V226" s="79" t="n"/>
      <c r="W226" s="79" t="n"/>
      <c r="X226" s="79" t="n"/>
      <c r="Y226" s="79" t="n"/>
      <c r="Z226" s="79" t="n"/>
      <c r="AA226" s="79" t="n"/>
      <c r="AB226" s="79" t="n"/>
      <c r="AC226" s="79" t="n"/>
      <c r="AD226" s="79" t="n"/>
      <c r="AE226" s="79" t="n"/>
      <c r="AF226" s="79" t="n"/>
      <c r="AG226" s="79" t="n"/>
      <c r="AH226" s="80" t="n"/>
      <c r="AI226" s="80" t="n"/>
      <c r="AJ226" s="80" t="n"/>
      <c r="AK226" s="80" t="n"/>
      <c r="AL226" s="80" t="n"/>
      <c r="AM226" s="80" t="n"/>
      <c r="AN226" s="80" t="n"/>
      <c r="AO226" s="80" t="n"/>
      <c r="AP226" s="80" t="n"/>
      <c r="AQ226" s="80" t="n"/>
      <c r="AR226" s="80" t="n"/>
      <c r="AS226" s="80" t="n"/>
      <c r="AT226" s="81" t="n"/>
      <c r="AU226" s="81" t="n"/>
      <c r="AV226" s="81" t="n"/>
      <c r="AW226" s="82" t="n"/>
      <c r="AX226" s="82" t="n"/>
      <c r="AY226" s="82" t="n"/>
      <c r="AZ226" s="82" t="n"/>
      <c r="BA226" s="82" t="n"/>
      <c r="BB226" s="83" t="n"/>
      <c r="BC226" s="83" t="n"/>
      <c r="BD226" s="84">
        <f>IF($A226="","",IF($DJ226&lt;&gt;"","FIX",IF($DK226&lt;&gt;"","CHECK","OK")))</f>
        <v/>
      </c>
      <c r="BE226" s="85">
        <f>IF($A226="","",IF($DJ226&lt;&gt;"","FIX: "&amp;LEFT($DJ226,LEN($DJ226)-2)&amp;IF($DK226&lt;&gt;"","  ·  ",""),"")&amp;IF($DK226&lt;&gt;"","CHECK: "&amp;LEFT($DK226,LEN($DK226)-2),""))</f>
        <v/>
      </c>
      <c r="BF226" s="84">
        <f>IF(OR($A226="",$K226=""),"",$K226&amp;"'-"&amp;N($L226)&amp;CHAR(34)&amp;" x "&amp;$M226&amp;"'-"&amp;N($N226)&amp;CHAR(34))</f>
        <v/>
      </c>
      <c r="BG226" s="84">
        <f>IF(OR($A226="",$K226=""),"",$K226&amp;N($L226)&amp;$M226&amp;N($N226))</f>
        <v/>
      </c>
      <c r="BH226" s="84">
        <f>IF(OR($A226="",$K226=""),"",$K226*12+N($L226))</f>
        <v/>
      </c>
      <c r="BI226" s="84">
        <f>IF(OR($A226="",$M226=""),"",$M226*12+N($N226))</f>
        <v/>
      </c>
      <c r="BJ226" s="84">
        <f>IF($A226="","",IF(OR($C226="FRAME ONLY",$S226="BL"),0,IF($O226="Y",2,1)))</f>
        <v/>
      </c>
      <c r="BK226" s="86">
        <f>IF(OR(N($BJ226)=0,$BH226=""),"",($BH226-2*EdgeClr-IF($BJ226=2,MeetClr,0))/$BJ226)</f>
        <v/>
      </c>
      <c r="BL226" s="86">
        <f>IF(OR(N($BJ226)=0,$BI226=""),"",$BI226-HeadClr-Undercut)</f>
        <v/>
      </c>
      <c r="BM226" s="86">
        <f>IF($BH226="","",$BH226+2*FaceW+IF(N($Q226)&gt;0,($Q226+FaceW)*IF($R226="LR",2,1),0))</f>
        <v/>
      </c>
      <c r="BN226" s="86">
        <f>IF($BI226="","",$BI226+IF($AB226="Y",4,FaceW)+IF(N($P226)&gt;0,$P226+FaceW,0)+IF(OR($S226="4F",$S226="BL"),FaceW,0))</f>
        <v/>
      </c>
      <c r="BO226" s="86">
        <f>IF($BM226="","",$BM226+2*ROSide)</f>
        <v/>
      </c>
      <c r="BP226" s="86">
        <f>IF($BN226="","",$BN226+ROTop)</f>
        <v/>
      </c>
      <c r="BQ226" s="87">
        <f>IF(OR(N($BJ226)=0,$BH226=""),"",$BH226/$BJ226-ClearDeduct)</f>
        <v/>
      </c>
      <c r="BR226" s="84">
        <f>IF(N($CH226)=0,"",IF($CH226&gt;=180,"A · 3 HR",IF($CH226&gt;=90,"B · 1-1/2 HR",IF($CH226&gt;=60,"B · 1 HR",IF($CH226&gt;=45,"C · 3/4 HR","20 MIN")))))&amp;IF(AND(N($CH226)&gt;0,OR($I226="CORRIDOR",$I226="SMOKE BARRIER"))," · S","")</f>
        <v/>
      </c>
      <c r="BS226" s="84">
        <f>IF($CS226,"",IF($AV226&lt;&gt;"",$AV226,IF(OR($AC226="HGC",$AO226="HGC"),"CONT",IF(($BI226-HeadClr-Undercut)&lt;=60,2,IF(($BI226-HeadClr-Undercut)&lt;=90,3,IF(($BI226-HeadClr-Undercut)&lt;=120,4,5))))))</f>
        <v/>
      </c>
      <c r="BT226" s="84">
        <f>IF($CS226,"",IF($CT226,"CUSTOM (typed)",IF($CV226,$AT226&amp;" "&amp;$CU226&amp;CHAR(34)&amp;IF($CU226&lt;&gt;$BI226,IF(AND($BI226&lt;$CU226,$BI226-IF(N(VLOOKUP($AT226&amp;"|"&amp;$CU226,LocTable,7,FALSE))&gt;0,VLOOKUP($AT226&amp;"|"&amp;$CU226,LocTable,7,FALSE),VLOOKUP($AT226&amp;"|"&amp;$CU226,LocTable,6,FALSE))-$CR226-0.75&gt;=2.125)," cut down"," adj."),""),"ANSI/SDI A250.6")))</f>
        <v/>
      </c>
      <c r="BU226" s="88">
        <f>IF($CS226,"",IF($CT226,IF(N($AW226)&gt;0,N($AW226),""),IF(1&gt;$CQ226,"",IF($CQ226=1,$CW226,$CW226+($CX226-$CW226)*0/($CQ226-1)))))</f>
        <v/>
      </c>
      <c r="BV226" s="88">
        <f>IF($CS226,"",IF($CT226,IF(N($AX226)&gt;0,N($AX226),""),IF(2&gt;$CQ226,"",IF($CQ226=1,$CW226,$CW226+($CX226-$CW226)*1/($CQ226-1)))))</f>
        <v/>
      </c>
      <c r="BW226" s="88">
        <f>IF($CS226,"",IF($CT226,IF(N($AY226)&gt;0,N($AY226),""),IF(3&gt;$CQ226,"",IF($CQ226=1,$CW226,$CW226+($CX226-$CW226)*2/($CQ226-1)))))</f>
        <v/>
      </c>
      <c r="BX226" s="88">
        <f>IF($CS226,"",IF($CT226,IF(N($AZ226)&gt;0,N($AZ226),""),IF(4&gt;$CQ226,"",IF($CQ226=1,$CW226,$CW226+($CX226-$CW226)*3/($CQ226-1)))))</f>
        <v/>
      </c>
      <c r="BY226" s="88">
        <f>IF($CS226,"",IF($CT226,"",IF(5&gt;$CQ226,"",IF($CQ226=1,$CW226,$CW226+($CX226-$CW226)*4/($CQ226-1)))))</f>
        <v/>
      </c>
      <c r="BZ226" s="88">
        <f>IF(OR($CS226,$AP226="-",AND($AP226="",$AD226="")),"",IF(N($BA226)&gt;0,N($BA226),IF($CV226,IF(AND($BI226&lt;$CU226,$BI226-IF(N(VLOOKUP($AT226&amp;"|"&amp;$CU226,LocTable,7,FALSE))&gt;0,VLOOKUP($AT226&amp;"|"&amp;$CU226,LocTable,7,FALSE),VLOOKUP($AT226&amp;"|"&amp;$CU226,LocTable,6,FALSE))-$CR226-0.75&gt;=2.125),VLOOKUP($AT226&amp;"|"&amp;$CU226,LocTable,8,FALSE),VLOOKUP($AT226&amp;"|"&amp;$CU226,LocTable,8,FALSE)+($BI226-$CU226)),$BI226-LockAFF)))</f>
        <v/>
      </c>
      <c r="CA226" s="89">
        <f>IF($BZ226="","",$BI226-$BZ226)</f>
        <v/>
      </c>
      <c r="CB226" s="84">
        <f>IF(OR(NOT(AND($A226&lt;&gt;"",$C226&lt;&gt;"DOOR ONLY")),$BI226=""),"",IF(($BI226+IF(N($P226)&gt;0,$P226+FaceW,0))&lt;=90,3,IF(($BI226+IF(N($P226)&gt;0,$P226+FaceW,0))&lt;=114,4,5)))</f>
        <v/>
      </c>
      <c r="CC226" s="84">
        <f>IF($CB226="","",$CB226*(2+IF(N($Q226)&gt;0,IF($R226="LR",2,1),0)))</f>
        <v/>
      </c>
      <c r="CD226" s="84">
        <f>IF($CB226="","",(2+IF(N($Q226)&gt;0,IF($R226="LR",2,1),0)))</f>
        <v/>
      </c>
      <c r="CE226" s="84">
        <f>IF(N($BJ226)=0,"",IF(OR($AL226="",$AL226="FLUSH"),"FLUSH",IFERROR(LEFT($AL226,FIND("-",$AL226)-1),LEFT($AL226,2))))</f>
        <v/>
      </c>
      <c r="CF226" s="84">
        <f>IF($CE226="","",IFERROR(VALUE(MID($AL226,FIND("-",$AL226)+1,FIND(CHAR(34)&amp;"x",$AL226)-FIND("-",$AL226)-1)),0))</f>
        <v/>
      </c>
      <c r="CG226" s="84">
        <f>IF($CE226="","",IFERROR(VALUE(MID($AL226,FIND(CHAR(34)&amp;"x",$AL226)+2,FIND(CHAR(34),$AL226,FIND(CHAR(34)&amp;"x",$AL226)+2)-FIND(CHAR(34)&amp;"x",$AL226)-2)),0))</f>
        <v/>
      </c>
      <c r="CH226" s="90">
        <f>IF(OR($A226="",$H226="",$H226="NO LAB"),0,IFERROR(VALUE(LEFT($H226,FIND(" ",$H226)-1)),0))</f>
        <v/>
      </c>
      <c r="CI226" s="91">
        <f>IF(OR($A226="",$I226="",$I226="NON-RATED",N($J226)=0),"",IFERROR(VLOOKUP($I226&amp;"|"&amp;$J226,IBC,2,FALSE),"?"))</f>
        <v/>
      </c>
      <c r="CJ226" s="85">
        <f>IF(NOT(AND($A226&lt;&gt;"",$C226&lt;&gt;"DOOR ONLY")),"",TRIM(IFERROR(VLOOKUP($U226,CODES,2,FALSE),"")&amp;" "&amp;$BG226&amp;" "&amp;IFERROR(VLOOKUP($Z226,CODES,2,FALSE),"")&amp;" "&amp;IFERROR(VLOOKUP($X226,CODES,2,FALSE),"")&amp;" "&amp;IFERROR(VLOOKUP($S226,CODES,2,FALSE),"")&amp;IF(N($P226)&gt;0," w/TRANSOM "&amp;$P226&amp;CHAR(34),"")&amp;IF(N($Q226)&gt;0," w/SIDELITE "&amp;$Q226&amp;CHAR(34)&amp;" "&amp;IF($R226="","R",$R226),"")&amp;IF($Y226="","  |  "," | "&amp;IFERROR(VLOOKUP($Y226,CODES,2,FALSE),"")&amp;" | ")&amp;IFERROR(VLOOKUP($AC226,CODES,2,FALSE),"")&amp;" "&amp;IFERROR(VLOOKUP($AD226,CODES,2,FALSE),"")&amp;IF(OR($AE226="",$AE226="-"),""," "&amp;$AE226)&amp;IF(OR($AF226="",$AF226="-"),""," "&amp;$AF226)&amp;IF($AB226="Y"," 4"&amp;CHAR(34)&amp;" HEAD","")&amp;" "&amp;IFERROR(VLOOKUP($H226,CODES,2,FALSE),"")&amp;IF($CT226," | LOC "&amp;$CY226,"")))</f>
        <v/>
      </c>
      <c r="CK226" s="85">
        <f>IF(NOT(AND($A226&lt;&gt;"",N($BJ226)&gt;0)),"",TRIM(IFERROR(VLOOKUP($AH226,CODES,2,FALSE),"")&amp;IF($AI226=""," "," "&amp;$AI226&amp;"GA ")&amp;$BG226&amp;" "&amp;IF($AN226="",IFERROR(VLOOKUP($Z226,CODES,2,FALSE),""),IFERROR(VLOOKUP($AN226,CODES,2,FALSE),""))&amp;IF($BJ226=2," PAIR","")&amp;" DOOR | "&amp;IF($AL226="","?",$AL226)&amp;" | "&amp;IF($AO226="",IFERROR(VLOOKUP($AC226,CODES,2,FALSE),""),IFERROR(VLOOKUP($AO226,CODES,2,FALSE),""))&amp;" "&amp;IFERROR(VLOOKUP($AP226,CODES,2,FALSE),"")&amp;IF(OR($AQ226="",$AQ226="-"),""," SEAM "&amp;$AQ226)&amp;IF($AR226="Y"," ASTRAGAL","")&amp;IF($AJ226=""," "," "&amp;$AJ226)&amp;IF($AK226=""," "," "&amp;$AK226)&amp;IF(OR($AT226="",$AT226="ANSI/SDI",$AT226="CUSTOM LOC"),""," "&amp;$AT226)&amp;IF($AM226=""," "," SERIES "&amp;$AM226)&amp;" "&amp;IFERROR(VLOOKUP($H226,CODES,2,FALSE),"")&amp;IF($CT226," | LOC "&amp;$CZ226,"")))</f>
        <v/>
      </c>
      <c r="CL226" s="84">
        <f>IF(CP226="","",IF(COUNTIF($CP$6:CP226,CP226)=1,MAX($CL$5:CL225)+1,INDEX($CL$5:CL225,MATCH(CP226,$CP$5:CP225,0))))</f>
        <v/>
      </c>
      <c r="CM226" s="84">
        <f>IF(NOT(AND($A226&lt;&gt;"",$C226&lt;&gt;"DOOR ONLY")),"",MAX($CM$5:CM225)+1)</f>
        <v/>
      </c>
      <c r="CN226" s="84">
        <f>IF(NOT(AND($A226&lt;&gt;"",N($BJ226)&gt;0)),"",MAX($CN$5:CN225)+1)</f>
        <v/>
      </c>
      <c r="CO226" s="84">
        <f>IF($A226="","",MAX($CO$5:CO225)+1)</f>
        <v/>
      </c>
      <c r="CP226" s="84">
        <f>IF(OR($A226="",$BH226="",$BI226=""),"",$BG226&amp;"|"&amp;$O226&amp;"|"&amp;$AL226&amp;"|"&amp;$S226&amp;"|"&amp;$P226&amp;"|"&amp;$Q226&amp;$R226&amp;"|"&amp;$C226&amp;"|"&amp;$AB226)</f>
        <v/>
      </c>
      <c r="CQ226" s="84">
        <f>N($BS226)</f>
        <v/>
      </c>
      <c r="CR226" s="84">
        <f>IF(N($AU226)&gt;0,N($AU226),4.5)</f>
        <v/>
      </c>
      <c r="CS226" s="84">
        <f>OR($A226="",$BI226="",$S226="BL",AND($C226="FRAME ONLY",OR($AC226="",$AC226="BLK")))</f>
        <v/>
      </c>
      <c r="CT226" s="84">
        <f>AND(NOT($CS226),OR($AT226="CUSTOM LOC",N($AW226)+N($AX226)+N($AY226)+N($AZ226)+N($BA226)&gt;0))</f>
        <v/>
      </c>
      <c r="CU226" s="84">
        <f>IF($BI226="","",IF($BI226&lt;=80,80,IF($BI226&lt;=84,84,96)))</f>
        <v/>
      </c>
      <c r="CV226" s="84">
        <f>ISNUMBER(MATCH($AT226&amp;"|80",LocKeys,0))</f>
        <v/>
      </c>
      <c r="CW226" s="86">
        <f>IF($CS226,"",IF($CV226,VLOOKUP($AT226&amp;"|"&amp;$CU226,LocTable,4,FALSE),5))</f>
        <v/>
      </c>
      <c r="CX226" s="86">
        <f>IF($CS226,"",IF($CV226,IF(OR($BI226=$CU226,AND($BI226&lt;$CU226,$BI226-IF(N(VLOOKUP($AT226&amp;"|"&amp;$CU226,LocTable,7,FALSE))&gt;0,VLOOKUP($AT226&amp;"|"&amp;$CU226,LocTable,7,FALSE),VLOOKUP($AT226&amp;"|"&amp;$CU226,LocTable,6,FALSE))-$CR226-0.75&gt;=2.125)),IF(N(VLOOKUP($AT226&amp;"|"&amp;$CU226,LocTable,7,FALSE))&gt;0,VLOOKUP($AT226&amp;"|"&amp;$CU226,LocTable,7,FALSE),VLOOKUP($AT226&amp;"|"&amp;$CU226,LocTable,6,FALSE)),$BI226-($CU226-IF(N(VLOOKUP($AT226&amp;"|"&amp;$CU226,LocTable,7,FALSE))&gt;0,VLOOKUP($AT226&amp;"|"&amp;$CU226,LocTable,7,FALSE),VLOOKUP($AT226&amp;"|"&amp;$CU226,LocTable,6,FALSE)))),$BI226-10-$CR226))</f>
        <v/>
      </c>
      <c r="CY226" s="85">
        <f>IF($CS226,"",TRIM(IF(ISNUMBER($BU226),"A "&amp;TRIM(TEXT($BU226,"# ?/??"))&amp;CHAR(34)&amp;"  ","")&amp;IF(ISNUMBER($BV226),"B "&amp;TRIM(TEXT($BV226,"# ?/??"))&amp;CHAR(34)&amp;"  ","")&amp;IF(ISNUMBER($BW226),"C "&amp;TRIM(TEXT($BW226,"# ?/??"))&amp;CHAR(34)&amp;"  ","")&amp;IF(ISNUMBER($BX226),"D "&amp;TRIM(TEXT($BX226,"# ?/??"))&amp;CHAR(34)&amp;"  ","")&amp;IF(ISNUMBER($BY226),"F "&amp;TRIM(TEXT($BY226,"# ?/??"))&amp;CHAR(34)&amp;"  ","")&amp;IF(ISNUMBER($BZ226),"E "&amp;TRIM(TEXT($BZ226,"# ?/??"))&amp;CHAR(34)&amp;"  ","")))</f>
        <v/>
      </c>
      <c r="CZ226" s="85">
        <f>IF(OR($CS226,N($BJ226)=0),"",TRIM(IF(ISNUMBER($BU226),"A "&amp;TRIM(TEXT($BU226-HeadClr,"# ?/??"))&amp;CHAR(34)&amp;"  ","")&amp;IF(ISNUMBER($BV226),"B "&amp;TRIM(TEXT($BV226-HeadClr,"# ?/??"))&amp;CHAR(34)&amp;"  ","")&amp;IF(ISNUMBER($BW226),"C "&amp;TRIM(TEXT($BW226-HeadClr,"# ?/??"))&amp;CHAR(34)&amp;"  ","")&amp;IF(ISNUMBER($BX226),"D "&amp;TRIM(TEXT($BX226-HeadClr,"# ?/??"))&amp;CHAR(34)&amp;"  ","")&amp;IF(ISNUMBER($BY226),"F "&amp;TRIM(TEXT($BY226-HeadClr,"# ?/??"))&amp;CHAR(34)&amp;"  ","")&amp;IF(ISNUMBER($BZ226),"E "&amp;TRIM(TEXT($BZ226-HeadClr,"# ?/??"))&amp;CHAR(34)&amp;"  ","")))</f>
        <v/>
      </c>
      <c r="DA226" s="84">
        <f>IF($A226="","",IF($AN226="",IFERROR(VLOOKUP($Z226,CODES,2,FALSE),""),IFERROR(VLOOKUP($AN226,CODES,2,FALSE),"")))</f>
        <v/>
      </c>
      <c r="DB226" s="84">
        <f>IF($A226="","",IF($O226="Y","PR",IF(OR($Z226="L",$Z226="RR",LEFT($Z226,2)="L-",LEFT($Z226,3)="RR-"),"LH","RH")))</f>
        <v/>
      </c>
      <c r="DC226" s="84">
        <f>IF($A226="","","S.HM"&amp;IF(OR($C226="DOOR ONLY",$X226&lt;&gt;"KD"),"MASONRY","DRYWALL")&amp;IF($C226="DOOR ONLY","",$U226)&amp;IF(AND($C226&lt;&gt;"FRAME ONLY",OR(LEFT($AH226,3)="OAK",LEFT($AH226,3)="BIR",LEFT($AH226,3)="MAP",$AH226="PC",$AH226="MC",$AH226="SCLC",$AH226="P-LAM")),"WD","HM")&amp;"1.75")</f>
        <v/>
      </c>
      <c r="DD226" s="84">
        <f>IF($CJ226="","",IF($O226="Y",$CJ226,SUBSTITUTE($CJ226,$BG226&amp;" "&amp;IFERROR(VLOOKUP($Z226,CODES,2,FALSE),"")&amp;" ",$BG226&amp;" ")))</f>
        <v/>
      </c>
      <c r="DE226" s="84">
        <f>IF($CK226="","",IF($O226="Y",$CK226,SUBSTITUTE($CK226,$BG226&amp;" "&amp;IF($AN226="",IFERROR(VLOOKUP($Z226,CODES,2,FALSE),""),IFERROR(VLOOKUP($AN226,CODES,2,FALSE),""))&amp;" ",$BG226&amp;" ")))</f>
        <v/>
      </c>
      <c r="DF226" s="84">
        <f>IF($CJ226="","",$DC226&amp;"|"&amp;$DD226&amp;"|"&amp;$DB226&amp;"|"&amp;$AT226&amp;"|"&amp;$V226&amp;"|"&amp;$Y226&amp;"|"&amp;$AB226)</f>
        <v/>
      </c>
      <c r="DG226" s="84">
        <f>IF(DF226="","",IF(COUNTIF($DF$6:DF226,DF226)=1,MAX($DG$5:DG225)+1,INDEX($DG$5:DG225,MATCH(DF226,$DF$5:DF225,0))))</f>
        <v/>
      </c>
      <c r="DH226" s="84">
        <f>IF($CK226="","",$DC226&amp;"|"&amp;$DE226&amp;"|"&amp;$AI226&amp;"|"&amp;$BK226&amp;"|"&amp;$BL226)</f>
        <v/>
      </c>
      <c r="DI226" s="84">
        <f>IF(DH226="","",IF(COUNTIF($DH$6:DH226,DH226)=1,MAX($DI$5:DI225)+1,INDEX($DI$5:DI225,MATCH(DH226,$DH$5:DH225,0))))</f>
        <v/>
      </c>
      <c r="DJ226" s="84">
        <f>IF($A226="","",IF($B226="","qty, ","")&amp;IF($C226="","scope, ","")&amp;IF(OR($K226="",$M226=""),"size, ","")&amp;IF(AND($A226&lt;&gt;"",$C226&lt;&gt;"DOOR ONLY"),IF($U226="","jamb depth, ","")&amp;IF($X226="","construction, ","")&amp;IF($Y226="","anchor, ","")&amp;IF($S226="","frame type, ",""),"")&amp;IF(AND(N($BJ226)&gt;0,$Z226=""),"hand, ","")&amp;IF(N($BJ226)&gt;0,IF($AH226="","door material, ","")&amp;IF($AL226="","face type, ","")&amp;IF($AP226="","lock prep, ","")&amp;IF(AND($AO226="",$AC226=""),"hinge prep, ",""),"")&amp;IF(AND($CH226&gt;0,$AH226="FRP"),"FRP cannot carry a label, ","")&amp;IF(AND($O226="Y",OR($Z226="L",$Z226="R",$Z226="LR",$Z226="RR")),"pair marked but hand is single, ","")&amp;IF(AND($O226&lt;&gt;"Y",OR($Z226="PR",AND(LEN($Z226)&gt;1,ISNUMBER(SEARCH("-",$Z226))))),"pair hand on a single door, ","")&amp;IF(AND(ISNUMBER($CI226),$CH226&lt;N($CI226)),"wall needs a "&amp;$CI226&amp;" min door, ","")&amp;IF(AND($CH226&gt;=180,AND(OR($CE226="FG",$CE226="HG",$CE226="FNV",$CE226="FV"),N($CF226)*N($CG226)&gt;100)),"180 min lite over 100 sq in, ","")&amp;IF(N($BK226)&gt;48,"leaf wider than 4'-0"&amp;CHAR(34)&amp;", ","")&amp;IF(AND($CT226,COUNT($AW226:$AZ226)=0,$CQ226&gt;0),"CUSTOM LOC with no locations typed, ",""))</f>
        <v/>
      </c>
      <c r="DK226" s="84">
        <f>IF($A226="","",IF(AND($CH226&gt;0,AND($A226&lt;&gt;"",$C226&lt;&gt;"DOOR ONLY"),$X226="KD",$E226="EXTERIOR"),"KD label on an exterior opening, ","")&amp;IF(AND($E226="EXTERIOR",OR(AND(AND($A226&lt;&gt;"",$C226&lt;&gt;"DOOR ONLY"),$W226="CR"),AND(N($BJ226)&gt;0,$AH226="CR"))),"exterior in CR steel (G9?), ","")&amp;IF(AND(ISNUMBER($BQ226),N($BQ226)&lt;32),"clear width ~"&amp;TEXT($BQ226,"0.0")&amp;CHAR(34)&amp;" under 32"&amp;CHAR(34)&amp;" (ADA), ","")&amp;IF(AND($CH226=90,AND(OR($CE226="FG",$CE226="HG",$CE226="FNV",$CE226="FV"),N($CF226)*N($CG226)&gt;100)),"90 min lite over 100 sq in (stair/exit), ","")&amp;IF(AND($CH226&gt;0,AND($A226&lt;&gt;"",$C226&lt;&gt;"DOOR ONLY"),OR($AF226="",$AF226="-")),"rated: closer reinf.?, ","")&amp;IF(OR($I226="CORRIDOR",$I226="SMOKE BARRIER"),"S label + smoke gasketing, ","")&amp;IF($CI226="?","wall type/hr not in IBC table, ","")&amp;IF(AND(N($BJ226)&gt;0,$BB226=""),"no hardware set, ","")&amp;IF(AND($BB226&lt;&gt;"",ISNA(MATCH($BB226&amp;"",HWSets,0))),"set "&amp;$BB226&amp;" not on HW Sets, ","")&amp;IF(N($BL226)&gt;96,"leaf over 8'-0"&amp;CHAR(34)&amp;" - check listing, ","")&amp;IF(AND($CT226,COUNT($AW226:$AZ226)&gt;0,COUNT($AW226:$AZ226)&lt;&gt;$CQ226),COUNT($AW226:$AZ226)&amp;" custom hinges typed, "&amp;$CQ226&amp;" expected, ","")&amp;IF(AND(ISNUMBER($CA226),OR(N($CA226)&lt;34,N($CA226)&gt;48)),"lock "&amp;TEXT($CA226,"0.0")&amp;CHAR(34)&amp;" AFF outside 34-48"&amp;CHAR(34)&amp;" (ADA), ","")&amp;IF(AND(ISNUMBER($AV226),ISNUMBER($BL226),N($AV226)&lt;IF(N($BL226)&lt;=60,2,IF(N($BL226)&lt;=90,3,IF(N($BL226)&lt;=120,4,5)))),"fewer hinges than standard, ",""))</f>
        <v/>
      </c>
    </row>
    <row r="227" ht="15" customHeight="1">
      <c r="A227" s="77" t="n"/>
      <c r="B227" s="78" t="n"/>
      <c r="C227" s="78" t="n"/>
      <c r="D227" s="78" t="n"/>
      <c r="E227" s="78" t="n"/>
      <c r="F227" s="78" t="n"/>
      <c r="G227" s="78" t="n"/>
      <c r="H227" s="78" t="n"/>
      <c r="I227" s="78" t="n"/>
      <c r="J227" s="78" t="n"/>
      <c r="K227" s="78" t="n"/>
      <c r="L227" s="78" t="n"/>
      <c r="M227" s="78" t="n"/>
      <c r="N227" s="78" t="n"/>
      <c r="O227" s="78" t="n"/>
      <c r="P227" s="78" t="n"/>
      <c r="Q227" s="78" t="n"/>
      <c r="R227" s="78" t="n"/>
      <c r="S227" s="79" t="n"/>
      <c r="T227" s="79" t="n"/>
      <c r="U227" s="79" t="n"/>
      <c r="V227" s="79" t="n"/>
      <c r="W227" s="79" t="n"/>
      <c r="X227" s="79" t="n"/>
      <c r="Y227" s="79" t="n"/>
      <c r="Z227" s="79" t="n"/>
      <c r="AA227" s="79" t="n"/>
      <c r="AB227" s="79" t="n"/>
      <c r="AC227" s="79" t="n"/>
      <c r="AD227" s="79" t="n"/>
      <c r="AE227" s="79" t="n"/>
      <c r="AF227" s="79" t="n"/>
      <c r="AG227" s="79" t="n"/>
      <c r="AH227" s="80" t="n"/>
      <c r="AI227" s="80" t="n"/>
      <c r="AJ227" s="80" t="n"/>
      <c r="AK227" s="80" t="n"/>
      <c r="AL227" s="80" t="n"/>
      <c r="AM227" s="80" t="n"/>
      <c r="AN227" s="80" t="n"/>
      <c r="AO227" s="80" t="n"/>
      <c r="AP227" s="80" t="n"/>
      <c r="AQ227" s="80" t="n"/>
      <c r="AR227" s="80" t="n"/>
      <c r="AS227" s="80" t="n"/>
      <c r="AT227" s="81" t="n"/>
      <c r="AU227" s="81" t="n"/>
      <c r="AV227" s="81" t="n"/>
      <c r="AW227" s="82" t="n"/>
      <c r="AX227" s="82" t="n"/>
      <c r="AY227" s="82" t="n"/>
      <c r="AZ227" s="82" t="n"/>
      <c r="BA227" s="82" t="n"/>
      <c r="BB227" s="83" t="n"/>
      <c r="BC227" s="83" t="n"/>
      <c r="BD227" s="84">
        <f>IF($A227="","",IF($DJ227&lt;&gt;"","FIX",IF($DK227&lt;&gt;"","CHECK","OK")))</f>
        <v/>
      </c>
      <c r="BE227" s="85">
        <f>IF($A227="","",IF($DJ227&lt;&gt;"","FIX: "&amp;LEFT($DJ227,LEN($DJ227)-2)&amp;IF($DK227&lt;&gt;"","  ·  ",""),"")&amp;IF($DK227&lt;&gt;"","CHECK: "&amp;LEFT($DK227,LEN($DK227)-2),""))</f>
        <v/>
      </c>
      <c r="BF227" s="84">
        <f>IF(OR($A227="",$K227=""),"",$K227&amp;"'-"&amp;N($L227)&amp;CHAR(34)&amp;" x "&amp;$M227&amp;"'-"&amp;N($N227)&amp;CHAR(34))</f>
        <v/>
      </c>
      <c r="BG227" s="84">
        <f>IF(OR($A227="",$K227=""),"",$K227&amp;N($L227)&amp;$M227&amp;N($N227))</f>
        <v/>
      </c>
      <c r="BH227" s="84">
        <f>IF(OR($A227="",$K227=""),"",$K227*12+N($L227))</f>
        <v/>
      </c>
      <c r="BI227" s="84">
        <f>IF(OR($A227="",$M227=""),"",$M227*12+N($N227))</f>
        <v/>
      </c>
      <c r="BJ227" s="84">
        <f>IF($A227="","",IF(OR($C227="FRAME ONLY",$S227="BL"),0,IF($O227="Y",2,1)))</f>
        <v/>
      </c>
      <c r="BK227" s="86">
        <f>IF(OR(N($BJ227)=0,$BH227=""),"",($BH227-2*EdgeClr-IF($BJ227=2,MeetClr,0))/$BJ227)</f>
        <v/>
      </c>
      <c r="BL227" s="86">
        <f>IF(OR(N($BJ227)=0,$BI227=""),"",$BI227-HeadClr-Undercut)</f>
        <v/>
      </c>
      <c r="BM227" s="86">
        <f>IF($BH227="","",$BH227+2*FaceW+IF(N($Q227)&gt;0,($Q227+FaceW)*IF($R227="LR",2,1),0))</f>
        <v/>
      </c>
      <c r="BN227" s="86">
        <f>IF($BI227="","",$BI227+IF($AB227="Y",4,FaceW)+IF(N($P227)&gt;0,$P227+FaceW,0)+IF(OR($S227="4F",$S227="BL"),FaceW,0))</f>
        <v/>
      </c>
      <c r="BO227" s="86">
        <f>IF($BM227="","",$BM227+2*ROSide)</f>
        <v/>
      </c>
      <c r="BP227" s="86">
        <f>IF($BN227="","",$BN227+ROTop)</f>
        <v/>
      </c>
      <c r="BQ227" s="87">
        <f>IF(OR(N($BJ227)=0,$BH227=""),"",$BH227/$BJ227-ClearDeduct)</f>
        <v/>
      </c>
      <c r="BR227" s="84">
        <f>IF(N($CH227)=0,"",IF($CH227&gt;=180,"A · 3 HR",IF($CH227&gt;=90,"B · 1-1/2 HR",IF($CH227&gt;=60,"B · 1 HR",IF($CH227&gt;=45,"C · 3/4 HR","20 MIN")))))&amp;IF(AND(N($CH227)&gt;0,OR($I227="CORRIDOR",$I227="SMOKE BARRIER"))," · S","")</f>
        <v/>
      </c>
      <c r="BS227" s="84">
        <f>IF($CS227,"",IF($AV227&lt;&gt;"",$AV227,IF(OR($AC227="HGC",$AO227="HGC"),"CONT",IF(($BI227-HeadClr-Undercut)&lt;=60,2,IF(($BI227-HeadClr-Undercut)&lt;=90,3,IF(($BI227-HeadClr-Undercut)&lt;=120,4,5))))))</f>
        <v/>
      </c>
      <c r="BT227" s="84">
        <f>IF($CS227,"",IF($CT227,"CUSTOM (typed)",IF($CV227,$AT227&amp;" "&amp;$CU227&amp;CHAR(34)&amp;IF($CU227&lt;&gt;$BI227,IF(AND($BI227&lt;$CU227,$BI227-IF(N(VLOOKUP($AT227&amp;"|"&amp;$CU227,LocTable,7,FALSE))&gt;0,VLOOKUP($AT227&amp;"|"&amp;$CU227,LocTable,7,FALSE),VLOOKUP($AT227&amp;"|"&amp;$CU227,LocTable,6,FALSE))-$CR227-0.75&gt;=2.125)," cut down"," adj."),""),"ANSI/SDI A250.6")))</f>
        <v/>
      </c>
      <c r="BU227" s="88">
        <f>IF($CS227,"",IF($CT227,IF(N($AW227)&gt;0,N($AW227),""),IF(1&gt;$CQ227,"",IF($CQ227=1,$CW227,$CW227+($CX227-$CW227)*0/($CQ227-1)))))</f>
        <v/>
      </c>
      <c r="BV227" s="88">
        <f>IF($CS227,"",IF($CT227,IF(N($AX227)&gt;0,N($AX227),""),IF(2&gt;$CQ227,"",IF($CQ227=1,$CW227,$CW227+($CX227-$CW227)*1/($CQ227-1)))))</f>
        <v/>
      </c>
      <c r="BW227" s="88">
        <f>IF($CS227,"",IF($CT227,IF(N($AY227)&gt;0,N($AY227),""),IF(3&gt;$CQ227,"",IF($CQ227=1,$CW227,$CW227+($CX227-$CW227)*2/($CQ227-1)))))</f>
        <v/>
      </c>
      <c r="BX227" s="88">
        <f>IF($CS227,"",IF($CT227,IF(N($AZ227)&gt;0,N($AZ227),""),IF(4&gt;$CQ227,"",IF($CQ227=1,$CW227,$CW227+($CX227-$CW227)*3/($CQ227-1)))))</f>
        <v/>
      </c>
      <c r="BY227" s="88">
        <f>IF($CS227,"",IF($CT227,"",IF(5&gt;$CQ227,"",IF($CQ227=1,$CW227,$CW227+($CX227-$CW227)*4/($CQ227-1)))))</f>
        <v/>
      </c>
      <c r="BZ227" s="88">
        <f>IF(OR($CS227,$AP227="-",AND($AP227="",$AD227="")),"",IF(N($BA227)&gt;0,N($BA227),IF($CV227,IF(AND($BI227&lt;$CU227,$BI227-IF(N(VLOOKUP($AT227&amp;"|"&amp;$CU227,LocTable,7,FALSE))&gt;0,VLOOKUP($AT227&amp;"|"&amp;$CU227,LocTable,7,FALSE),VLOOKUP($AT227&amp;"|"&amp;$CU227,LocTable,6,FALSE))-$CR227-0.75&gt;=2.125),VLOOKUP($AT227&amp;"|"&amp;$CU227,LocTable,8,FALSE),VLOOKUP($AT227&amp;"|"&amp;$CU227,LocTable,8,FALSE)+($BI227-$CU227)),$BI227-LockAFF)))</f>
        <v/>
      </c>
      <c r="CA227" s="89">
        <f>IF($BZ227="","",$BI227-$BZ227)</f>
        <v/>
      </c>
      <c r="CB227" s="84">
        <f>IF(OR(NOT(AND($A227&lt;&gt;"",$C227&lt;&gt;"DOOR ONLY")),$BI227=""),"",IF(($BI227+IF(N($P227)&gt;0,$P227+FaceW,0))&lt;=90,3,IF(($BI227+IF(N($P227)&gt;0,$P227+FaceW,0))&lt;=114,4,5)))</f>
        <v/>
      </c>
      <c r="CC227" s="84">
        <f>IF($CB227="","",$CB227*(2+IF(N($Q227)&gt;0,IF($R227="LR",2,1),0)))</f>
        <v/>
      </c>
      <c r="CD227" s="84">
        <f>IF($CB227="","",(2+IF(N($Q227)&gt;0,IF($R227="LR",2,1),0)))</f>
        <v/>
      </c>
      <c r="CE227" s="84">
        <f>IF(N($BJ227)=0,"",IF(OR($AL227="",$AL227="FLUSH"),"FLUSH",IFERROR(LEFT($AL227,FIND("-",$AL227)-1),LEFT($AL227,2))))</f>
        <v/>
      </c>
      <c r="CF227" s="84">
        <f>IF($CE227="","",IFERROR(VALUE(MID($AL227,FIND("-",$AL227)+1,FIND(CHAR(34)&amp;"x",$AL227)-FIND("-",$AL227)-1)),0))</f>
        <v/>
      </c>
      <c r="CG227" s="84">
        <f>IF($CE227="","",IFERROR(VALUE(MID($AL227,FIND(CHAR(34)&amp;"x",$AL227)+2,FIND(CHAR(34),$AL227,FIND(CHAR(34)&amp;"x",$AL227)+2)-FIND(CHAR(34)&amp;"x",$AL227)-2)),0))</f>
        <v/>
      </c>
      <c r="CH227" s="90">
        <f>IF(OR($A227="",$H227="",$H227="NO LAB"),0,IFERROR(VALUE(LEFT($H227,FIND(" ",$H227)-1)),0))</f>
        <v/>
      </c>
      <c r="CI227" s="91">
        <f>IF(OR($A227="",$I227="",$I227="NON-RATED",N($J227)=0),"",IFERROR(VLOOKUP($I227&amp;"|"&amp;$J227,IBC,2,FALSE),"?"))</f>
        <v/>
      </c>
      <c r="CJ227" s="85">
        <f>IF(NOT(AND($A227&lt;&gt;"",$C227&lt;&gt;"DOOR ONLY")),"",TRIM(IFERROR(VLOOKUP($U227,CODES,2,FALSE),"")&amp;" "&amp;$BG227&amp;" "&amp;IFERROR(VLOOKUP($Z227,CODES,2,FALSE),"")&amp;" "&amp;IFERROR(VLOOKUP($X227,CODES,2,FALSE),"")&amp;" "&amp;IFERROR(VLOOKUP($S227,CODES,2,FALSE),"")&amp;IF(N($P227)&gt;0," w/TRANSOM "&amp;$P227&amp;CHAR(34),"")&amp;IF(N($Q227)&gt;0," w/SIDELITE "&amp;$Q227&amp;CHAR(34)&amp;" "&amp;IF($R227="","R",$R227),"")&amp;IF($Y227="","  |  "," | "&amp;IFERROR(VLOOKUP($Y227,CODES,2,FALSE),"")&amp;" | ")&amp;IFERROR(VLOOKUP($AC227,CODES,2,FALSE),"")&amp;" "&amp;IFERROR(VLOOKUP($AD227,CODES,2,FALSE),"")&amp;IF(OR($AE227="",$AE227="-"),""," "&amp;$AE227)&amp;IF(OR($AF227="",$AF227="-"),""," "&amp;$AF227)&amp;IF($AB227="Y"," 4"&amp;CHAR(34)&amp;" HEAD","")&amp;" "&amp;IFERROR(VLOOKUP($H227,CODES,2,FALSE),"")&amp;IF($CT227," | LOC "&amp;$CY227,"")))</f>
        <v/>
      </c>
      <c r="CK227" s="85">
        <f>IF(NOT(AND($A227&lt;&gt;"",N($BJ227)&gt;0)),"",TRIM(IFERROR(VLOOKUP($AH227,CODES,2,FALSE),"")&amp;IF($AI227=""," "," "&amp;$AI227&amp;"GA ")&amp;$BG227&amp;" "&amp;IF($AN227="",IFERROR(VLOOKUP($Z227,CODES,2,FALSE),""),IFERROR(VLOOKUP($AN227,CODES,2,FALSE),""))&amp;IF($BJ227=2," PAIR","")&amp;" DOOR | "&amp;IF($AL227="","?",$AL227)&amp;" | "&amp;IF($AO227="",IFERROR(VLOOKUP($AC227,CODES,2,FALSE),""),IFERROR(VLOOKUP($AO227,CODES,2,FALSE),""))&amp;" "&amp;IFERROR(VLOOKUP($AP227,CODES,2,FALSE),"")&amp;IF(OR($AQ227="",$AQ227="-"),""," SEAM "&amp;$AQ227)&amp;IF($AR227="Y"," ASTRAGAL","")&amp;IF($AJ227=""," "," "&amp;$AJ227)&amp;IF($AK227=""," "," "&amp;$AK227)&amp;IF(OR($AT227="",$AT227="ANSI/SDI",$AT227="CUSTOM LOC"),""," "&amp;$AT227)&amp;IF($AM227=""," "," SERIES "&amp;$AM227)&amp;" "&amp;IFERROR(VLOOKUP($H227,CODES,2,FALSE),"")&amp;IF($CT227," | LOC "&amp;$CZ227,"")))</f>
        <v/>
      </c>
      <c r="CL227" s="84">
        <f>IF(CP227="","",IF(COUNTIF($CP$6:CP227,CP227)=1,MAX($CL$5:CL226)+1,INDEX($CL$5:CL226,MATCH(CP227,$CP$5:CP226,0))))</f>
        <v/>
      </c>
      <c r="CM227" s="84">
        <f>IF(NOT(AND($A227&lt;&gt;"",$C227&lt;&gt;"DOOR ONLY")),"",MAX($CM$5:CM226)+1)</f>
        <v/>
      </c>
      <c r="CN227" s="84">
        <f>IF(NOT(AND($A227&lt;&gt;"",N($BJ227)&gt;0)),"",MAX($CN$5:CN226)+1)</f>
        <v/>
      </c>
      <c r="CO227" s="84">
        <f>IF($A227="","",MAX($CO$5:CO226)+1)</f>
        <v/>
      </c>
      <c r="CP227" s="84">
        <f>IF(OR($A227="",$BH227="",$BI227=""),"",$BG227&amp;"|"&amp;$O227&amp;"|"&amp;$AL227&amp;"|"&amp;$S227&amp;"|"&amp;$P227&amp;"|"&amp;$Q227&amp;$R227&amp;"|"&amp;$C227&amp;"|"&amp;$AB227)</f>
        <v/>
      </c>
      <c r="CQ227" s="84">
        <f>N($BS227)</f>
        <v/>
      </c>
      <c r="CR227" s="84">
        <f>IF(N($AU227)&gt;0,N($AU227),4.5)</f>
        <v/>
      </c>
      <c r="CS227" s="84">
        <f>OR($A227="",$BI227="",$S227="BL",AND($C227="FRAME ONLY",OR($AC227="",$AC227="BLK")))</f>
        <v/>
      </c>
      <c r="CT227" s="84">
        <f>AND(NOT($CS227),OR($AT227="CUSTOM LOC",N($AW227)+N($AX227)+N($AY227)+N($AZ227)+N($BA227)&gt;0))</f>
        <v/>
      </c>
      <c r="CU227" s="84">
        <f>IF($BI227="","",IF($BI227&lt;=80,80,IF($BI227&lt;=84,84,96)))</f>
        <v/>
      </c>
      <c r="CV227" s="84">
        <f>ISNUMBER(MATCH($AT227&amp;"|80",LocKeys,0))</f>
        <v/>
      </c>
      <c r="CW227" s="86">
        <f>IF($CS227,"",IF($CV227,VLOOKUP($AT227&amp;"|"&amp;$CU227,LocTable,4,FALSE),5))</f>
        <v/>
      </c>
      <c r="CX227" s="86">
        <f>IF($CS227,"",IF($CV227,IF(OR($BI227=$CU227,AND($BI227&lt;$CU227,$BI227-IF(N(VLOOKUP($AT227&amp;"|"&amp;$CU227,LocTable,7,FALSE))&gt;0,VLOOKUP($AT227&amp;"|"&amp;$CU227,LocTable,7,FALSE),VLOOKUP($AT227&amp;"|"&amp;$CU227,LocTable,6,FALSE))-$CR227-0.75&gt;=2.125)),IF(N(VLOOKUP($AT227&amp;"|"&amp;$CU227,LocTable,7,FALSE))&gt;0,VLOOKUP($AT227&amp;"|"&amp;$CU227,LocTable,7,FALSE),VLOOKUP($AT227&amp;"|"&amp;$CU227,LocTable,6,FALSE)),$BI227-($CU227-IF(N(VLOOKUP($AT227&amp;"|"&amp;$CU227,LocTable,7,FALSE))&gt;0,VLOOKUP($AT227&amp;"|"&amp;$CU227,LocTable,7,FALSE),VLOOKUP($AT227&amp;"|"&amp;$CU227,LocTable,6,FALSE)))),$BI227-10-$CR227))</f>
        <v/>
      </c>
      <c r="CY227" s="85">
        <f>IF($CS227,"",TRIM(IF(ISNUMBER($BU227),"A "&amp;TRIM(TEXT($BU227,"# ?/??"))&amp;CHAR(34)&amp;"  ","")&amp;IF(ISNUMBER($BV227),"B "&amp;TRIM(TEXT($BV227,"# ?/??"))&amp;CHAR(34)&amp;"  ","")&amp;IF(ISNUMBER($BW227),"C "&amp;TRIM(TEXT($BW227,"# ?/??"))&amp;CHAR(34)&amp;"  ","")&amp;IF(ISNUMBER($BX227),"D "&amp;TRIM(TEXT($BX227,"# ?/??"))&amp;CHAR(34)&amp;"  ","")&amp;IF(ISNUMBER($BY227),"F "&amp;TRIM(TEXT($BY227,"# ?/??"))&amp;CHAR(34)&amp;"  ","")&amp;IF(ISNUMBER($BZ227),"E "&amp;TRIM(TEXT($BZ227,"# ?/??"))&amp;CHAR(34)&amp;"  ","")))</f>
        <v/>
      </c>
      <c r="CZ227" s="85">
        <f>IF(OR($CS227,N($BJ227)=0),"",TRIM(IF(ISNUMBER($BU227),"A "&amp;TRIM(TEXT($BU227-HeadClr,"# ?/??"))&amp;CHAR(34)&amp;"  ","")&amp;IF(ISNUMBER($BV227),"B "&amp;TRIM(TEXT($BV227-HeadClr,"# ?/??"))&amp;CHAR(34)&amp;"  ","")&amp;IF(ISNUMBER($BW227),"C "&amp;TRIM(TEXT($BW227-HeadClr,"# ?/??"))&amp;CHAR(34)&amp;"  ","")&amp;IF(ISNUMBER($BX227),"D "&amp;TRIM(TEXT($BX227-HeadClr,"# ?/??"))&amp;CHAR(34)&amp;"  ","")&amp;IF(ISNUMBER($BY227),"F "&amp;TRIM(TEXT($BY227-HeadClr,"# ?/??"))&amp;CHAR(34)&amp;"  ","")&amp;IF(ISNUMBER($BZ227),"E "&amp;TRIM(TEXT($BZ227-HeadClr,"# ?/??"))&amp;CHAR(34)&amp;"  ","")))</f>
        <v/>
      </c>
      <c r="DA227" s="84">
        <f>IF($A227="","",IF($AN227="",IFERROR(VLOOKUP($Z227,CODES,2,FALSE),""),IFERROR(VLOOKUP($AN227,CODES,2,FALSE),"")))</f>
        <v/>
      </c>
      <c r="DB227" s="84">
        <f>IF($A227="","",IF($O227="Y","PR",IF(OR($Z227="L",$Z227="RR",LEFT($Z227,2)="L-",LEFT($Z227,3)="RR-"),"LH","RH")))</f>
        <v/>
      </c>
      <c r="DC227" s="84">
        <f>IF($A227="","","S.HM"&amp;IF(OR($C227="DOOR ONLY",$X227&lt;&gt;"KD"),"MASONRY","DRYWALL")&amp;IF($C227="DOOR ONLY","",$U227)&amp;IF(AND($C227&lt;&gt;"FRAME ONLY",OR(LEFT($AH227,3)="OAK",LEFT($AH227,3)="BIR",LEFT($AH227,3)="MAP",$AH227="PC",$AH227="MC",$AH227="SCLC",$AH227="P-LAM")),"WD","HM")&amp;"1.75")</f>
        <v/>
      </c>
      <c r="DD227" s="84">
        <f>IF($CJ227="","",IF($O227="Y",$CJ227,SUBSTITUTE($CJ227,$BG227&amp;" "&amp;IFERROR(VLOOKUP($Z227,CODES,2,FALSE),"")&amp;" ",$BG227&amp;" ")))</f>
        <v/>
      </c>
      <c r="DE227" s="84">
        <f>IF($CK227="","",IF($O227="Y",$CK227,SUBSTITUTE($CK227,$BG227&amp;" "&amp;IF($AN227="",IFERROR(VLOOKUP($Z227,CODES,2,FALSE),""),IFERROR(VLOOKUP($AN227,CODES,2,FALSE),""))&amp;" ",$BG227&amp;" ")))</f>
        <v/>
      </c>
      <c r="DF227" s="84">
        <f>IF($CJ227="","",$DC227&amp;"|"&amp;$DD227&amp;"|"&amp;$DB227&amp;"|"&amp;$AT227&amp;"|"&amp;$V227&amp;"|"&amp;$Y227&amp;"|"&amp;$AB227)</f>
        <v/>
      </c>
      <c r="DG227" s="84">
        <f>IF(DF227="","",IF(COUNTIF($DF$6:DF227,DF227)=1,MAX($DG$5:DG226)+1,INDEX($DG$5:DG226,MATCH(DF227,$DF$5:DF226,0))))</f>
        <v/>
      </c>
      <c r="DH227" s="84">
        <f>IF($CK227="","",$DC227&amp;"|"&amp;$DE227&amp;"|"&amp;$AI227&amp;"|"&amp;$BK227&amp;"|"&amp;$BL227)</f>
        <v/>
      </c>
      <c r="DI227" s="84">
        <f>IF(DH227="","",IF(COUNTIF($DH$6:DH227,DH227)=1,MAX($DI$5:DI226)+1,INDEX($DI$5:DI226,MATCH(DH227,$DH$5:DH226,0))))</f>
        <v/>
      </c>
      <c r="DJ227" s="84">
        <f>IF($A227="","",IF($B227="","qty, ","")&amp;IF($C227="","scope, ","")&amp;IF(OR($K227="",$M227=""),"size, ","")&amp;IF(AND($A227&lt;&gt;"",$C227&lt;&gt;"DOOR ONLY"),IF($U227="","jamb depth, ","")&amp;IF($X227="","construction, ","")&amp;IF($Y227="","anchor, ","")&amp;IF($S227="","frame type, ",""),"")&amp;IF(AND(N($BJ227)&gt;0,$Z227=""),"hand, ","")&amp;IF(N($BJ227)&gt;0,IF($AH227="","door material, ","")&amp;IF($AL227="","face type, ","")&amp;IF($AP227="","lock prep, ","")&amp;IF(AND($AO227="",$AC227=""),"hinge prep, ",""),"")&amp;IF(AND($CH227&gt;0,$AH227="FRP"),"FRP cannot carry a label, ","")&amp;IF(AND($O227="Y",OR($Z227="L",$Z227="R",$Z227="LR",$Z227="RR")),"pair marked but hand is single, ","")&amp;IF(AND($O227&lt;&gt;"Y",OR($Z227="PR",AND(LEN($Z227)&gt;1,ISNUMBER(SEARCH("-",$Z227))))),"pair hand on a single door, ","")&amp;IF(AND(ISNUMBER($CI227),$CH227&lt;N($CI227)),"wall needs a "&amp;$CI227&amp;" min door, ","")&amp;IF(AND($CH227&gt;=180,AND(OR($CE227="FG",$CE227="HG",$CE227="FNV",$CE227="FV"),N($CF227)*N($CG227)&gt;100)),"180 min lite over 100 sq in, ","")&amp;IF(N($BK227)&gt;48,"leaf wider than 4'-0"&amp;CHAR(34)&amp;", ","")&amp;IF(AND($CT227,COUNT($AW227:$AZ227)=0,$CQ227&gt;0),"CUSTOM LOC with no locations typed, ",""))</f>
        <v/>
      </c>
      <c r="DK227" s="84">
        <f>IF($A227="","",IF(AND($CH227&gt;0,AND($A227&lt;&gt;"",$C227&lt;&gt;"DOOR ONLY"),$X227="KD",$E227="EXTERIOR"),"KD label on an exterior opening, ","")&amp;IF(AND($E227="EXTERIOR",OR(AND(AND($A227&lt;&gt;"",$C227&lt;&gt;"DOOR ONLY"),$W227="CR"),AND(N($BJ227)&gt;0,$AH227="CR"))),"exterior in CR steel (G9?), ","")&amp;IF(AND(ISNUMBER($BQ227),N($BQ227)&lt;32),"clear width ~"&amp;TEXT($BQ227,"0.0")&amp;CHAR(34)&amp;" under 32"&amp;CHAR(34)&amp;" (ADA), ","")&amp;IF(AND($CH227=90,AND(OR($CE227="FG",$CE227="HG",$CE227="FNV",$CE227="FV"),N($CF227)*N($CG227)&gt;100)),"90 min lite over 100 sq in (stair/exit), ","")&amp;IF(AND($CH227&gt;0,AND($A227&lt;&gt;"",$C227&lt;&gt;"DOOR ONLY"),OR($AF227="",$AF227="-")),"rated: closer reinf.?, ","")&amp;IF(OR($I227="CORRIDOR",$I227="SMOKE BARRIER"),"S label + smoke gasketing, ","")&amp;IF($CI227="?","wall type/hr not in IBC table, ","")&amp;IF(AND(N($BJ227)&gt;0,$BB227=""),"no hardware set, ","")&amp;IF(AND($BB227&lt;&gt;"",ISNA(MATCH($BB227&amp;"",HWSets,0))),"set "&amp;$BB227&amp;" not on HW Sets, ","")&amp;IF(N($BL227)&gt;96,"leaf over 8'-0"&amp;CHAR(34)&amp;" - check listing, ","")&amp;IF(AND($CT227,COUNT($AW227:$AZ227)&gt;0,COUNT($AW227:$AZ227)&lt;&gt;$CQ227),COUNT($AW227:$AZ227)&amp;" custom hinges typed, "&amp;$CQ227&amp;" expected, ","")&amp;IF(AND(ISNUMBER($CA227),OR(N($CA227)&lt;34,N($CA227)&gt;48)),"lock "&amp;TEXT($CA227,"0.0")&amp;CHAR(34)&amp;" AFF outside 34-48"&amp;CHAR(34)&amp;" (ADA), ","")&amp;IF(AND(ISNUMBER($AV227),ISNUMBER($BL227),N($AV227)&lt;IF(N($BL227)&lt;=60,2,IF(N($BL227)&lt;=90,3,IF(N($BL227)&lt;=120,4,5)))),"fewer hinges than standard, ",""))</f>
        <v/>
      </c>
    </row>
    <row r="228" ht="15" customHeight="1">
      <c r="A228" s="77" t="n"/>
      <c r="B228" s="78" t="n"/>
      <c r="C228" s="78" t="n"/>
      <c r="D228" s="78" t="n"/>
      <c r="E228" s="78" t="n"/>
      <c r="F228" s="78" t="n"/>
      <c r="G228" s="78" t="n"/>
      <c r="H228" s="78" t="n"/>
      <c r="I228" s="78" t="n"/>
      <c r="J228" s="78" t="n"/>
      <c r="K228" s="78" t="n"/>
      <c r="L228" s="78" t="n"/>
      <c r="M228" s="78" t="n"/>
      <c r="N228" s="78" t="n"/>
      <c r="O228" s="78" t="n"/>
      <c r="P228" s="78" t="n"/>
      <c r="Q228" s="78" t="n"/>
      <c r="R228" s="78" t="n"/>
      <c r="S228" s="79" t="n"/>
      <c r="T228" s="79" t="n"/>
      <c r="U228" s="79" t="n"/>
      <c r="V228" s="79" t="n"/>
      <c r="W228" s="79" t="n"/>
      <c r="X228" s="79" t="n"/>
      <c r="Y228" s="79" t="n"/>
      <c r="Z228" s="79" t="n"/>
      <c r="AA228" s="79" t="n"/>
      <c r="AB228" s="79" t="n"/>
      <c r="AC228" s="79" t="n"/>
      <c r="AD228" s="79" t="n"/>
      <c r="AE228" s="79" t="n"/>
      <c r="AF228" s="79" t="n"/>
      <c r="AG228" s="79" t="n"/>
      <c r="AH228" s="80" t="n"/>
      <c r="AI228" s="80" t="n"/>
      <c r="AJ228" s="80" t="n"/>
      <c r="AK228" s="80" t="n"/>
      <c r="AL228" s="80" t="n"/>
      <c r="AM228" s="80" t="n"/>
      <c r="AN228" s="80" t="n"/>
      <c r="AO228" s="80" t="n"/>
      <c r="AP228" s="80" t="n"/>
      <c r="AQ228" s="80" t="n"/>
      <c r="AR228" s="80" t="n"/>
      <c r="AS228" s="80" t="n"/>
      <c r="AT228" s="81" t="n"/>
      <c r="AU228" s="81" t="n"/>
      <c r="AV228" s="81" t="n"/>
      <c r="AW228" s="82" t="n"/>
      <c r="AX228" s="82" t="n"/>
      <c r="AY228" s="82" t="n"/>
      <c r="AZ228" s="82" t="n"/>
      <c r="BA228" s="82" t="n"/>
      <c r="BB228" s="83" t="n"/>
      <c r="BC228" s="83" t="n"/>
      <c r="BD228" s="84">
        <f>IF($A228="","",IF($DJ228&lt;&gt;"","FIX",IF($DK228&lt;&gt;"","CHECK","OK")))</f>
        <v/>
      </c>
      <c r="BE228" s="85">
        <f>IF($A228="","",IF($DJ228&lt;&gt;"","FIX: "&amp;LEFT($DJ228,LEN($DJ228)-2)&amp;IF($DK228&lt;&gt;"","  ·  ",""),"")&amp;IF($DK228&lt;&gt;"","CHECK: "&amp;LEFT($DK228,LEN($DK228)-2),""))</f>
        <v/>
      </c>
      <c r="BF228" s="84">
        <f>IF(OR($A228="",$K228=""),"",$K228&amp;"'-"&amp;N($L228)&amp;CHAR(34)&amp;" x "&amp;$M228&amp;"'-"&amp;N($N228)&amp;CHAR(34))</f>
        <v/>
      </c>
      <c r="BG228" s="84">
        <f>IF(OR($A228="",$K228=""),"",$K228&amp;N($L228)&amp;$M228&amp;N($N228))</f>
        <v/>
      </c>
      <c r="BH228" s="84">
        <f>IF(OR($A228="",$K228=""),"",$K228*12+N($L228))</f>
        <v/>
      </c>
      <c r="BI228" s="84">
        <f>IF(OR($A228="",$M228=""),"",$M228*12+N($N228))</f>
        <v/>
      </c>
      <c r="BJ228" s="84">
        <f>IF($A228="","",IF(OR($C228="FRAME ONLY",$S228="BL"),0,IF($O228="Y",2,1)))</f>
        <v/>
      </c>
      <c r="BK228" s="86">
        <f>IF(OR(N($BJ228)=0,$BH228=""),"",($BH228-2*EdgeClr-IF($BJ228=2,MeetClr,0))/$BJ228)</f>
        <v/>
      </c>
      <c r="BL228" s="86">
        <f>IF(OR(N($BJ228)=0,$BI228=""),"",$BI228-HeadClr-Undercut)</f>
        <v/>
      </c>
      <c r="BM228" s="86">
        <f>IF($BH228="","",$BH228+2*FaceW+IF(N($Q228)&gt;0,($Q228+FaceW)*IF($R228="LR",2,1),0))</f>
        <v/>
      </c>
      <c r="BN228" s="86">
        <f>IF($BI228="","",$BI228+IF($AB228="Y",4,FaceW)+IF(N($P228)&gt;0,$P228+FaceW,0)+IF(OR($S228="4F",$S228="BL"),FaceW,0))</f>
        <v/>
      </c>
      <c r="BO228" s="86">
        <f>IF($BM228="","",$BM228+2*ROSide)</f>
        <v/>
      </c>
      <c r="BP228" s="86">
        <f>IF($BN228="","",$BN228+ROTop)</f>
        <v/>
      </c>
      <c r="BQ228" s="87">
        <f>IF(OR(N($BJ228)=0,$BH228=""),"",$BH228/$BJ228-ClearDeduct)</f>
        <v/>
      </c>
      <c r="BR228" s="84">
        <f>IF(N($CH228)=0,"",IF($CH228&gt;=180,"A · 3 HR",IF($CH228&gt;=90,"B · 1-1/2 HR",IF($CH228&gt;=60,"B · 1 HR",IF($CH228&gt;=45,"C · 3/4 HR","20 MIN")))))&amp;IF(AND(N($CH228)&gt;0,OR($I228="CORRIDOR",$I228="SMOKE BARRIER"))," · S","")</f>
        <v/>
      </c>
      <c r="BS228" s="84">
        <f>IF($CS228,"",IF($AV228&lt;&gt;"",$AV228,IF(OR($AC228="HGC",$AO228="HGC"),"CONT",IF(($BI228-HeadClr-Undercut)&lt;=60,2,IF(($BI228-HeadClr-Undercut)&lt;=90,3,IF(($BI228-HeadClr-Undercut)&lt;=120,4,5))))))</f>
        <v/>
      </c>
      <c r="BT228" s="84">
        <f>IF($CS228,"",IF($CT228,"CUSTOM (typed)",IF($CV228,$AT228&amp;" "&amp;$CU228&amp;CHAR(34)&amp;IF($CU228&lt;&gt;$BI228,IF(AND($BI228&lt;$CU228,$BI228-IF(N(VLOOKUP($AT228&amp;"|"&amp;$CU228,LocTable,7,FALSE))&gt;0,VLOOKUP($AT228&amp;"|"&amp;$CU228,LocTable,7,FALSE),VLOOKUP($AT228&amp;"|"&amp;$CU228,LocTable,6,FALSE))-$CR228-0.75&gt;=2.125)," cut down"," adj."),""),"ANSI/SDI A250.6")))</f>
        <v/>
      </c>
      <c r="BU228" s="88">
        <f>IF($CS228,"",IF($CT228,IF(N($AW228)&gt;0,N($AW228),""),IF(1&gt;$CQ228,"",IF($CQ228=1,$CW228,$CW228+($CX228-$CW228)*0/($CQ228-1)))))</f>
        <v/>
      </c>
      <c r="BV228" s="88">
        <f>IF($CS228,"",IF($CT228,IF(N($AX228)&gt;0,N($AX228),""),IF(2&gt;$CQ228,"",IF($CQ228=1,$CW228,$CW228+($CX228-$CW228)*1/($CQ228-1)))))</f>
        <v/>
      </c>
      <c r="BW228" s="88">
        <f>IF($CS228,"",IF($CT228,IF(N($AY228)&gt;0,N($AY228),""),IF(3&gt;$CQ228,"",IF($CQ228=1,$CW228,$CW228+($CX228-$CW228)*2/($CQ228-1)))))</f>
        <v/>
      </c>
      <c r="BX228" s="88">
        <f>IF($CS228,"",IF($CT228,IF(N($AZ228)&gt;0,N($AZ228),""),IF(4&gt;$CQ228,"",IF($CQ228=1,$CW228,$CW228+($CX228-$CW228)*3/($CQ228-1)))))</f>
        <v/>
      </c>
      <c r="BY228" s="88">
        <f>IF($CS228,"",IF($CT228,"",IF(5&gt;$CQ228,"",IF($CQ228=1,$CW228,$CW228+($CX228-$CW228)*4/($CQ228-1)))))</f>
        <v/>
      </c>
      <c r="BZ228" s="88">
        <f>IF(OR($CS228,$AP228="-",AND($AP228="",$AD228="")),"",IF(N($BA228)&gt;0,N($BA228),IF($CV228,IF(AND($BI228&lt;$CU228,$BI228-IF(N(VLOOKUP($AT228&amp;"|"&amp;$CU228,LocTable,7,FALSE))&gt;0,VLOOKUP($AT228&amp;"|"&amp;$CU228,LocTable,7,FALSE),VLOOKUP($AT228&amp;"|"&amp;$CU228,LocTable,6,FALSE))-$CR228-0.75&gt;=2.125),VLOOKUP($AT228&amp;"|"&amp;$CU228,LocTable,8,FALSE),VLOOKUP($AT228&amp;"|"&amp;$CU228,LocTable,8,FALSE)+($BI228-$CU228)),$BI228-LockAFF)))</f>
        <v/>
      </c>
      <c r="CA228" s="89">
        <f>IF($BZ228="","",$BI228-$BZ228)</f>
        <v/>
      </c>
      <c r="CB228" s="84">
        <f>IF(OR(NOT(AND($A228&lt;&gt;"",$C228&lt;&gt;"DOOR ONLY")),$BI228=""),"",IF(($BI228+IF(N($P228)&gt;0,$P228+FaceW,0))&lt;=90,3,IF(($BI228+IF(N($P228)&gt;0,$P228+FaceW,0))&lt;=114,4,5)))</f>
        <v/>
      </c>
      <c r="CC228" s="84">
        <f>IF($CB228="","",$CB228*(2+IF(N($Q228)&gt;0,IF($R228="LR",2,1),0)))</f>
        <v/>
      </c>
      <c r="CD228" s="84">
        <f>IF($CB228="","",(2+IF(N($Q228)&gt;0,IF($R228="LR",2,1),0)))</f>
        <v/>
      </c>
      <c r="CE228" s="84">
        <f>IF(N($BJ228)=0,"",IF(OR($AL228="",$AL228="FLUSH"),"FLUSH",IFERROR(LEFT($AL228,FIND("-",$AL228)-1),LEFT($AL228,2))))</f>
        <v/>
      </c>
      <c r="CF228" s="84">
        <f>IF($CE228="","",IFERROR(VALUE(MID($AL228,FIND("-",$AL228)+1,FIND(CHAR(34)&amp;"x",$AL228)-FIND("-",$AL228)-1)),0))</f>
        <v/>
      </c>
      <c r="CG228" s="84">
        <f>IF($CE228="","",IFERROR(VALUE(MID($AL228,FIND(CHAR(34)&amp;"x",$AL228)+2,FIND(CHAR(34),$AL228,FIND(CHAR(34)&amp;"x",$AL228)+2)-FIND(CHAR(34)&amp;"x",$AL228)-2)),0))</f>
        <v/>
      </c>
      <c r="CH228" s="90">
        <f>IF(OR($A228="",$H228="",$H228="NO LAB"),0,IFERROR(VALUE(LEFT($H228,FIND(" ",$H228)-1)),0))</f>
        <v/>
      </c>
      <c r="CI228" s="91">
        <f>IF(OR($A228="",$I228="",$I228="NON-RATED",N($J228)=0),"",IFERROR(VLOOKUP($I228&amp;"|"&amp;$J228,IBC,2,FALSE),"?"))</f>
        <v/>
      </c>
      <c r="CJ228" s="85">
        <f>IF(NOT(AND($A228&lt;&gt;"",$C228&lt;&gt;"DOOR ONLY")),"",TRIM(IFERROR(VLOOKUP($U228,CODES,2,FALSE),"")&amp;" "&amp;$BG228&amp;" "&amp;IFERROR(VLOOKUP($Z228,CODES,2,FALSE),"")&amp;" "&amp;IFERROR(VLOOKUP($X228,CODES,2,FALSE),"")&amp;" "&amp;IFERROR(VLOOKUP($S228,CODES,2,FALSE),"")&amp;IF(N($P228)&gt;0," w/TRANSOM "&amp;$P228&amp;CHAR(34),"")&amp;IF(N($Q228)&gt;0," w/SIDELITE "&amp;$Q228&amp;CHAR(34)&amp;" "&amp;IF($R228="","R",$R228),"")&amp;IF($Y228="","  |  "," | "&amp;IFERROR(VLOOKUP($Y228,CODES,2,FALSE),"")&amp;" | ")&amp;IFERROR(VLOOKUP($AC228,CODES,2,FALSE),"")&amp;" "&amp;IFERROR(VLOOKUP($AD228,CODES,2,FALSE),"")&amp;IF(OR($AE228="",$AE228="-"),""," "&amp;$AE228)&amp;IF(OR($AF228="",$AF228="-"),""," "&amp;$AF228)&amp;IF($AB228="Y"," 4"&amp;CHAR(34)&amp;" HEAD","")&amp;" "&amp;IFERROR(VLOOKUP($H228,CODES,2,FALSE),"")&amp;IF($CT228," | LOC "&amp;$CY228,"")))</f>
        <v/>
      </c>
      <c r="CK228" s="85">
        <f>IF(NOT(AND($A228&lt;&gt;"",N($BJ228)&gt;0)),"",TRIM(IFERROR(VLOOKUP($AH228,CODES,2,FALSE),"")&amp;IF($AI228=""," "," "&amp;$AI228&amp;"GA ")&amp;$BG228&amp;" "&amp;IF($AN228="",IFERROR(VLOOKUP($Z228,CODES,2,FALSE),""),IFERROR(VLOOKUP($AN228,CODES,2,FALSE),""))&amp;IF($BJ228=2," PAIR","")&amp;" DOOR | "&amp;IF($AL228="","?",$AL228)&amp;" | "&amp;IF($AO228="",IFERROR(VLOOKUP($AC228,CODES,2,FALSE),""),IFERROR(VLOOKUP($AO228,CODES,2,FALSE),""))&amp;" "&amp;IFERROR(VLOOKUP($AP228,CODES,2,FALSE),"")&amp;IF(OR($AQ228="",$AQ228="-"),""," SEAM "&amp;$AQ228)&amp;IF($AR228="Y"," ASTRAGAL","")&amp;IF($AJ228=""," "," "&amp;$AJ228)&amp;IF($AK228=""," "," "&amp;$AK228)&amp;IF(OR($AT228="",$AT228="ANSI/SDI",$AT228="CUSTOM LOC"),""," "&amp;$AT228)&amp;IF($AM228=""," "," SERIES "&amp;$AM228)&amp;" "&amp;IFERROR(VLOOKUP($H228,CODES,2,FALSE),"")&amp;IF($CT228," | LOC "&amp;$CZ228,"")))</f>
        <v/>
      </c>
      <c r="CL228" s="84">
        <f>IF(CP228="","",IF(COUNTIF($CP$6:CP228,CP228)=1,MAX($CL$5:CL227)+1,INDEX($CL$5:CL227,MATCH(CP228,$CP$5:CP227,0))))</f>
        <v/>
      </c>
      <c r="CM228" s="84">
        <f>IF(NOT(AND($A228&lt;&gt;"",$C228&lt;&gt;"DOOR ONLY")),"",MAX($CM$5:CM227)+1)</f>
        <v/>
      </c>
      <c r="CN228" s="84">
        <f>IF(NOT(AND($A228&lt;&gt;"",N($BJ228)&gt;0)),"",MAX($CN$5:CN227)+1)</f>
        <v/>
      </c>
      <c r="CO228" s="84">
        <f>IF($A228="","",MAX($CO$5:CO227)+1)</f>
        <v/>
      </c>
      <c r="CP228" s="84">
        <f>IF(OR($A228="",$BH228="",$BI228=""),"",$BG228&amp;"|"&amp;$O228&amp;"|"&amp;$AL228&amp;"|"&amp;$S228&amp;"|"&amp;$P228&amp;"|"&amp;$Q228&amp;$R228&amp;"|"&amp;$C228&amp;"|"&amp;$AB228)</f>
        <v/>
      </c>
      <c r="CQ228" s="84">
        <f>N($BS228)</f>
        <v/>
      </c>
      <c r="CR228" s="84">
        <f>IF(N($AU228)&gt;0,N($AU228),4.5)</f>
        <v/>
      </c>
      <c r="CS228" s="84">
        <f>OR($A228="",$BI228="",$S228="BL",AND($C228="FRAME ONLY",OR($AC228="",$AC228="BLK")))</f>
        <v/>
      </c>
      <c r="CT228" s="84">
        <f>AND(NOT($CS228),OR($AT228="CUSTOM LOC",N($AW228)+N($AX228)+N($AY228)+N($AZ228)+N($BA228)&gt;0))</f>
        <v/>
      </c>
      <c r="CU228" s="84">
        <f>IF($BI228="","",IF($BI228&lt;=80,80,IF($BI228&lt;=84,84,96)))</f>
        <v/>
      </c>
      <c r="CV228" s="84">
        <f>ISNUMBER(MATCH($AT228&amp;"|80",LocKeys,0))</f>
        <v/>
      </c>
      <c r="CW228" s="86">
        <f>IF($CS228,"",IF($CV228,VLOOKUP($AT228&amp;"|"&amp;$CU228,LocTable,4,FALSE),5))</f>
        <v/>
      </c>
      <c r="CX228" s="86">
        <f>IF($CS228,"",IF($CV228,IF(OR($BI228=$CU228,AND($BI228&lt;$CU228,$BI228-IF(N(VLOOKUP($AT228&amp;"|"&amp;$CU228,LocTable,7,FALSE))&gt;0,VLOOKUP($AT228&amp;"|"&amp;$CU228,LocTable,7,FALSE),VLOOKUP($AT228&amp;"|"&amp;$CU228,LocTable,6,FALSE))-$CR228-0.75&gt;=2.125)),IF(N(VLOOKUP($AT228&amp;"|"&amp;$CU228,LocTable,7,FALSE))&gt;0,VLOOKUP($AT228&amp;"|"&amp;$CU228,LocTable,7,FALSE),VLOOKUP($AT228&amp;"|"&amp;$CU228,LocTable,6,FALSE)),$BI228-($CU228-IF(N(VLOOKUP($AT228&amp;"|"&amp;$CU228,LocTable,7,FALSE))&gt;0,VLOOKUP($AT228&amp;"|"&amp;$CU228,LocTable,7,FALSE),VLOOKUP($AT228&amp;"|"&amp;$CU228,LocTable,6,FALSE)))),$BI228-10-$CR228))</f>
        <v/>
      </c>
      <c r="CY228" s="85">
        <f>IF($CS228,"",TRIM(IF(ISNUMBER($BU228),"A "&amp;TRIM(TEXT($BU228,"# ?/??"))&amp;CHAR(34)&amp;"  ","")&amp;IF(ISNUMBER($BV228),"B "&amp;TRIM(TEXT($BV228,"# ?/??"))&amp;CHAR(34)&amp;"  ","")&amp;IF(ISNUMBER($BW228),"C "&amp;TRIM(TEXT($BW228,"# ?/??"))&amp;CHAR(34)&amp;"  ","")&amp;IF(ISNUMBER($BX228),"D "&amp;TRIM(TEXT($BX228,"# ?/??"))&amp;CHAR(34)&amp;"  ","")&amp;IF(ISNUMBER($BY228),"F "&amp;TRIM(TEXT($BY228,"# ?/??"))&amp;CHAR(34)&amp;"  ","")&amp;IF(ISNUMBER($BZ228),"E "&amp;TRIM(TEXT($BZ228,"# ?/??"))&amp;CHAR(34)&amp;"  ","")))</f>
        <v/>
      </c>
      <c r="CZ228" s="85">
        <f>IF(OR($CS228,N($BJ228)=0),"",TRIM(IF(ISNUMBER($BU228),"A "&amp;TRIM(TEXT($BU228-HeadClr,"# ?/??"))&amp;CHAR(34)&amp;"  ","")&amp;IF(ISNUMBER($BV228),"B "&amp;TRIM(TEXT($BV228-HeadClr,"# ?/??"))&amp;CHAR(34)&amp;"  ","")&amp;IF(ISNUMBER($BW228),"C "&amp;TRIM(TEXT($BW228-HeadClr,"# ?/??"))&amp;CHAR(34)&amp;"  ","")&amp;IF(ISNUMBER($BX228),"D "&amp;TRIM(TEXT($BX228-HeadClr,"# ?/??"))&amp;CHAR(34)&amp;"  ","")&amp;IF(ISNUMBER($BY228),"F "&amp;TRIM(TEXT($BY228-HeadClr,"# ?/??"))&amp;CHAR(34)&amp;"  ","")&amp;IF(ISNUMBER($BZ228),"E "&amp;TRIM(TEXT($BZ228-HeadClr,"# ?/??"))&amp;CHAR(34)&amp;"  ","")))</f>
        <v/>
      </c>
      <c r="DA228" s="84">
        <f>IF($A228="","",IF($AN228="",IFERROR(VLOOKUP($Z228,CODES,2,FALSE),""),IFERROR(VLOOKUP($AN228,CODES,2,FALSE),"")))</f>
        <v/>
      </c>
      <c r="DB228" s="84">
        <f>IF($A228="","",IF($O228="Y","PR",IF(OR($Z228="L",$Z228="RR",LEFT($Z228,2)="L-",LEFT($Z228,3)="RR-"),"LH","RH")))</f>
        <v/>
      </c>
      <c r="DC228" s="84">
        <f>IF($A228="","","S.HM"&amp;IF(OR($C228="DOOR ONLY",$X228&lt;&gt;"KD"),"MASONRY","DRYWALL")&amp;IF($C228="DOOR ONLY","",$U228)&amp;IF(AND($C228&lt;&gt;"FRAME ONLY",OR(LEFT($AH228,3)="OAK",LEFT($AH228,3)="BIR",LEFT($AH228,3)="MAP",$AH228="PC",$AH228="MC",$AH228="SCLC",$AH228="P-LAM")),"WD","HM")&amp;"1.75")</f>
        <v/>
      </c>
      <c r="DD228" s="84">
        <f>IF($CJ228="","",IF($O228="Y",$CJ228,SUBSTITUTE($CJ228,$BG228&amp;" "&amp;IFERROR(VLOOKUP($Z228,CODES,2,FALSE),"")&amp;" ",$BG228&amp;" ")))</f>
        <v/>
      </c>
      <c r="DE228" s="84">
        <f>IF($CK228="","",IF($O228="Y",$CK228,SUBSTITUTE($CK228,$BG228&amp;" "&amp;IF($AN228="",IFERROR(VLOOKUP($Z228,CODES,2,FALSE),""),IFERROR(VLOOKUP($AN228,CODES,2,FALSE),""))&amp;" ",$BG228&amp;" ")))</f>
        <v/>
      </c>
      <c r="DF228" s="84">
        <f>IF($CJ228="","",$DC228&amp;"|"&amp;$DD228&amp;"|"&amp;$DB228&amp;"|"&amp;$AT228&amp;"|"&amp;$V228&amp;"|"&amp;$Y228&amp;"|"&amp;$AB228)</f>
        <v/>
      </c>
      <c r="DG228" s="84">
        <f>IF(DF228="","",IF(COUNTIF($DF$6:DF228,DF228)=1,MAX($DG$5:DG227)+1,INDEX($DG$5:DG227,MATCH(DF228,$DF$5:DF227,0))))</f>
        <v/>
      </c>
      <c r="DH228" s="84">
        <f>IF($CK228="","",$DC228&amp;"|"&amp;$DE228&amp;"|"&amp;$AI228&amp;"|"&amp;$BK228&amp;"|"&amp;$BL228)</f>
        <v/>
      </c>
      <c r="DI228" s="84">
        <f>IF(DH228="","",IF(COUNTIF($DH$6:DH228,DH228)=1,MAX($DI$5:DI227)+1,INDEX($DI$5:DI227,MATCH(DH228,$DH$5:DH227,0))))</f>
        <v/>
      </c>
      <c r="DJ228" s="84">
        <f>IF($A228="","",IF($B228="","qty, ","")&amp;IF($C228="","scope, ","")&amp;IF(OR($K228="",$M228=""),"size, ","")&amp;IF(AND($A228&lt;&gt;"",$C228&lt;&gt;"DOOR ONLY"),IF($U228="","jamb depth, ","")&amp;IF($X228="","construction, ","")&amp;IF($Y228="","anchor, ","")&amp;IF($S228="","frame type, ",""),"")&amp;IF(AND(N($BJ228)&gt;0,$Z228=""),"hand, ","")&amp;IF(N($BJ228)&gt;0,IF($AH228="","door material, ","")&amp;IF($AL228="","face type, ","")&amp;IF($AP228="","lock prep, ","")&amp;IF(AND($AO228="",$AC228=""),"hinge prep, ",""),"")&amp;IF(AND($CH228&gt;0,$AH228="FRP"),"FRP cannot carry a label, ","")&amp;IF(AND($O228="Y",OR($Z228="L",$Z228="R",$Z228="LR",$Z228="RR")),"pair marked but hand is single, ","")&amp;IF(AND($O228&lt;&gt;"Y",OR($Z228="PR",AND(LEN($Z228)&gt;1,ISNUMBER(SEARCH("-",$Z228))))),"pair hand on a single door, ","")&amp;IF(AND(ISNUMBER($CI228),$CH228&lt;N($CI228)),"wall needs a "&amp;$CI228&amp;" min door, ","")&amp;IF(AND($CH228&gt;=180,AND(OR($CE228="FG",$CE228="HG",$CE228="FNV",$CE228="FV"),N($CF228)*N($CG228)&gt;100)),"180 min lite over 100 sq in, ","")&amp;IF(N($BK228)&gt;48,"leaf wider than 4'-0"&amp;CHAR(34)&amp;", ","")&amp;IF(AND($CT228,COUNT($AW228:$AZ228)=0,$CQ228&gt;0),"CUSTOM LOC with no locations typed, ",""))</f>
        <v/>
      </c>
      <c r="DK228" s="84">
        <f>IF($A228="","",IF(AND($CH228&gt;0,AND($A228&lt;&gt;"",$C228&lt;&gt;"DOOR ONLY"),$X228="KD",$E228="EXTERIOR"),"KD label on an exterior opening, ","")&amp;IF(AND($E228="EXTERIOR",OR(AND(AND($A228&lt;&gt;"",$C228&lt;&gt;"DOOR ONLY"),$W228="CR"),AND(N($BJ228)&gt;0,$AH228="CR"))),"exterior in CR steel (G9?), ","")&amp;IF(AND(ISNUMBER($BQ228),N($BQ228)&lt;32),"clear width ~"&amp;TEXT($BQ228,"0.0")&amp;CHAR(34)&amp;" under 32"&amp;CHAR(34)&amp;" (ADA), ","")&amp;IF(AND($CH228=90,AND(OR($CE228="FG",$CE228="HG",$CE228="FNV",$CE228="FV"),N($CF228)*N($CG228)&gt;100)),"90 min lite over 100 sq in (stair/exit), ","")&amp;IF(AND($CH228&gt;0,AND($A228&lt;&gt;"",$C228&lt;&gt;"DOOR ONLY"),OR($AF228="",$AF228="-")),"rated: closer reinf.?, ","")&amp;IF(OR($I228="CORRIDOR",$I228="SMOKE BARRIER"),"S label + smoke gasketing, ","")&amp;IF($CI228="?","wall type/hr not in IBC table, ","")&amp;IF(AND(N($BJ228)&gt;0,$BB228=""),"no hardware set, ","")&amp;IF(AND($BB228&lt;&gt;"",ISNA(MATCH($BB228&amp;"",HWSets,0))),"set "&amp;$BB228&amp;" not on HW Sets, ","")&amp;IF(N($BL228)&gt;96,"leaf over 8'-0"&amp;CHAR(34)&amp;" - check listing, ","")&amp;IF(AND($CT228,COUNT($AW228:$AZ228)&gt;0,COUNT($AW228:$AZ228)&lt;&gt;$CQ228),COUNT($AW228:$AZ228)&amp;" custom hinges typed, "&amp;$CQ228&amp;" expected, ","")&amp;IF(AND(ISNUMBER($CA228),OR(N($CA228)&lt;34,N($CA228)&gt;48)),"lock "&amp;TEXT($CA228,"0.0")&amp;CHAR(34)&amp;" AFF outside 34-48"&amp;CHAR(34)&amp;" (ADA), ","")&amp;IF(AND(ISNUMBER($AV228),ISNUMBER($BL228),N($AV228)&lt;IF(N($BL228)&lt;=60,2,IF(N($BL228)&lt;=90,3,IF(N($BL228)&lt;=120,4,5)))),"fewer hinges than standard, ",""))</f>
        <v/>
      </c>
    </row>
    <row r="229" ht="15" customHeight="1">
      <c r="A229" s="77" t="n"/>
      <c r="B229" s="78" t="n"/>
      <c r="C229" s="78" t="n"/>
      <c r="D229" s="78" t="n"/>
      <c r="E229" s="78" t="n"/>
      <c r="F229" s="78" t="n"/>
      <c r="G229" s="78" t="n"/>
      <c r="H229" s="78" t="n"/>
      <c r="I229" s="78" t="n"/>
      <c r="J229" s="78" t="n"/>
      <c r="K229" s="78" t="n"/>
      <c r="L229" s="78" t="n"/>
      <c r="M229" s="78" t="n"/>
      <c r="N229" s="78" t="n"/>
      <c r="O229" s="78" t="n"/>
      <c r="P229" s="78" t="n"/>
      <c r="Q229" s="78" t="n"/>
      <c r="R229" s="78" t="n"/>
      <c r="S229" s="79" t="n"/>
      <c r="T229" s="79" t="n"/>
      <c r="U229" s="79" t="n"/>
      <c r="V229" s="79" t="n"/>
      <c r="W229" s="79" t="n"/>
      <c r="X229" s="79" t="n"/>
      <c r="Y229" s="79" t="n"/>
      <c r="Z229" s="79" t="n"/>
      <c r="AA229" s="79" t="n"/>
      <c r="AB229" s="79" t="n"/>
      <c r="AC229" s="79" t="n"/>
      <c r="AD229" s="79" t="n"/>
      <c r="AE229" s="79" t="n"/>
      <c r="AF229" s="79" t="n"/>
      <c r="AG229" s="79" t="n"/>
      <c r="AH229" s="80" t="n"/>
      <c r="AI229" s="80" t="n"/>
      <c r="AJ229" s="80" t="n"/>
      <c r="AK229" s="80" t="n"/>
      <c r="AL229" s="80" t="n"/>
      <c r="AM229" s="80" t="n"/>
      <c r="AN229" s="80" t="n"/>
      <c r="AO229" s="80" t="n"/>
      <c r="AP229" s="80" t="n"/>
      <c r="AQ229" s="80" t="n"/>
      <c r="AR229" s="80" t="n"/>
      <c r="AS229" s="80" t="n"/>
      <c r="AT229" s="81" t="n"/>
      <c r="AU229" s="81" t="n"/>
      <c r="AV229" s="81" t="n"/>
      <c r="AW229" s="82" t="n"/>
      <c r="AX229" s="82" t="n"/>
      <c r="AY229" s="82" t="n"/>
      <c r="AZ229" s="82" t="n"/>
      <c r="BA229" s="82" t="n"/>
      <c r="BB229" s="83" t="n"/>
      <c r="BC229" s="83" t="n"/>
      <c r="BD229" s="84">
        <f>IF($A229="","",IF($DJ229&lt;&gt;"","FIX",IF($DK229&lt;&gt;"","CHECK","OK")))</f>
        <v/>
      </c>
      <c r="BE229" s="85">
        <f>IF($A229="","",IF($DJ229&lt;&gt;"","FIX: "&amp;LEFT($DJ229,LEN($DJ229)-2)&amp;IF($DK229&lt;&gt;"","  ·  ",""),"")&amp;IF($DK229&lt;&gt;"","CHECK: "&amp;LEFT($DK229,LEN($DK229)-2),""))</f>
        <v/>
      </c>
      <c r="BF229" s="84">
        <f>IF(OR($A229="",$K229=""),"",$K229&amp;"'-"&amp;N($L229)&amp;CHAR(34)&amp;" x "&amp;$M229&amp;"'-"&amp;N($N229)&amp;CHAR(34))</f>
        <v/>
      </c>
      <c r="BG229" s="84">
        <f>IF(OR($A229="",$K229=""),"",$K229&amp;N($L229)&amp;$M229&amp;N($N229))</f>
        <v/>
      </c>
      <c r="BH229" s="84">
        <f>IF(OR($A229="",$K229=""),"",$K229*12+N($L229))</f>
        <v/>
      </c>
      <c r="BI229" s="84">
        <f>IF(OR($A229="",$M229=""),"",$M229*12+N($N229))</f>
        <v/>
      </c>
      <c r="BJ229" s="84">
        <f>IF($A229="","",IF(OR($C229="FRAME ONLY",$S229="BL"),0,IF($O229="Y",2,1)))</f>
        <v/>
      </c>
      <c r="BK229" s="86">
        <f>IF(OR(N($BJ229)=0,$BH229=""),"",($BH229-2*EdgeClr-IF($BJ229=2,MeetClr,0))/$BJ229)</f>
        <v/>
      </c>
      <c r="BL229" s="86">
        <f>IF(OR(N($BJ229)=0,$BI229=""),"",$BI229-HeadClr-Undercut)</f>
        <v/>
      </c>
      <c r="BM229" s="86">
        <f>IF($BH229="","",$BH229+2*FaceW+IF(N($Q229)&gt;0,($Q229+FaceW)*IF($R229="LR",2,1),0))</f>
        <v/>
      </c>
      <c r="BN229" s="86">
        <f>IF($BI229="","",$BI229+IF($AB229="Y",4,FaceW)+IF(N($P229)&gt;0,$P229+FaceW,0)+IF(OR($S229="4F",$S229="BL"),FaceW,0))</f>
        <v/>
      </c>
      <c r="BO229" s="86">
        <f>IF($BM229="","",$BM229+2*ROSide)</f>
        <v/>
      </c>
      <c r="BP229" s="86">
        <f>IF($BN229="","",$BN229+ROTop)</f>
        <v/>
      </c>
      <c r="BQ229" s="87">
        <f>IF(OR(N($BJ229)=0,$BH229=""),"",$BH229/$BJ229-ClearDeduct)</f>
        <v/>
      </c>
      <c r="BR229" s="84">
        <f>IF(N($CH229)=0,"",IF($CH229&gt;=180,"A · 3 HR",IF($CH229&gt;=90,"B · 1-1/2 HR",IF($CH229&gt;=60,"B · 1 HR",IF($CH229&gt;=45,"C · 3/4 HR","20 MIN")))))&amp;IF(AND(N($CH229)&gt;0,OR($I229="CORRIDOR",$I229="SMOKE BARRIER"))," · S","")</f>
        <v/>
      </c>
      <c r="BS229" s="84">
        <f>IF($CS229,"",IF($AV229&lt;&gt;"",$AV229,IF(OR($AC229="HGC",$AO229="HGC"),"CONT",IF(($BI229-HeadClr-Undercut)&lt;=60,2,IF(($BI229-HeadClr-Undercut)&lt;=90,3,IF(($BI229-HeadClr-Undercut)&lt;=120,4,5))))))</f>
        <v/>
      </c>
      <c r="BT229" s="84">
        <f>IF($CS229,"",IF($CT229,"CUSTOM (typed)",IF($CV229,$AT229&amp;" "&amp;$CU229&amp;CHAR(34)&amp;IF($CU229&lt;&gt;$BI229,IF(AND($BI229&lt;$CU229,$BI229-IF(N(VLOOKUP($AT229&amp;"|"&amp;$CU229,LocTable,7,FALSE))&gt;0,VLOOKUP($AT229&amp;"|"&amp;$CU229,LocTable,7,FALSE),VLOOKUP($AT229&amp;"|"&amp;$CU229,LocTable,6,FALSE))-$CR229-0.75&gt;=2.125)," cut down"," adj."),""),"ANSI/SDI A250.6")))</f>
        <v/>
      </c>
      <c r="BU229" s="88">
        <f>IF($CS229,"",IF($CT229,IF(N($AW229)&gt;0,N($AW229),""),IF(1&gt;$CQ229,"",IF($CQ229=1,$CW229,$CW229+($CX229-$CW229)*0/($CQ229-1)))))</f>
        <v/>
      </c>
      <c r="BV229" s="88">
        <f>IF($CS229,"",IF($CT229,IF(N($AX229)&gt;0,N($AX229),""),IF(2&gt;$CQ229,"",IF($CQ229=1,$CW229,$CW229+($CX229-$CW229)*1/($CQ229-1)))))</f>
        <v/>
      </c>
      <c r="BW229" s="88">
        <f>IF($CS229,"",IF($CT229,IF(N($AY229)&gt;0,N($AY229),""),IF(3&gt;$CQ229,"",IF($CQ229=1,$CW229,$CW229+($CX229-$CW229)*2/($CQ229-1)))))</f>
        <v/>
      </c>
      <c r="BX229" s="88">
        <f>IF($CS229,"",IF($CT229,IF(N($AZ229)&gt;0,N($AZ229),""),IF(4&gt;$CQ229,"",IF($CQ229=1,$CW229,$CW229+($CX229-$CW229)*3/($CQ229-1)))))</f>
        <v/>
      </c>
      <c r="BY229" s="88">
        <f>IF($CS229,"",IF($CT229,"",IF(5&gt;$CQ229,"",IF($CQ229=1,$CW229,$CW229+($CX229-$CW229)*4/($CQ229-1)))))</f>
        <v/>
      </c>
      <c r="BZ229" s="88">
        <f>IF(OR($CS229,$AP229="-",AND($AP229="",$AD229="")),"",IF(N($BA229)&gt;0,N($BA229),IF($CV229,IF(AND($BI229&lt;$CU229,$BI229-IF(N(VLOOKUP($AT229&amp;"|"&amp;$CU229,LocTable,7,FALSE))&gt;0,VLOOKUP($AT229&amp;"|"&amp;$CU229,LocTable,7,FALSE),VLOOKUP($AT229&amp;"|"&amp;$CU229,LocTable,6,FALSE))-$CR229-0.75&gt;=2.125),VLOOKUP($AT229&amp;"|"&amp;$CU229,LocTable,8,FALSE),VLOOKUP($AT229&amp;"|"&amp;$CU229,LocTable,8,FALSE)+($BI229-$CU229)),$BI229-LockAFF)))</f>
        <v/>
      </c>
      <c r="CA229" s="89">
        <f>IF($BZ229="","",$BI229-$BZ229)</f>
        <v/>
      </c>
      <c r="CB229" s="84">
        <f>IF(OR(NOT(AND($A229&lt;&gt;"",$C229&lt;&gt;"DOOR ONLY")),$BI229=""),"",IF(($BI229+IF(N($P229)&gt;0,$P229+FaceW,0))&lt;=90,3,IF(($BI229+IF(N($P229)&gt;0,$P229+FaceW,0))&lt;=114,4,5)))</f>
        <v/>
      </c>
      <c r="CC229" s="84">
        <f>IF($CB229="","",$CB229*(2+IF(N($Q229)&gt;0,IF($R229="LR",2,1),0)))</f>
        <v/>
      </c>
      <c r="CD229" s="84">
        <f>IF($CB229="","",(2+IF(N($Q229)&gt;0,IF($R229="LR",2,1),0)))</f>
        <v/>
      </c>
      <c r="CE229" s="84">
        <f>IF(N($BJ229)=0,"",IF(OR($AL229="",$AL229="FLUSH"),"FLUSH",IFERROR(LEFT($AL229,FIND("-",$AL229)-1),LEFT($AL229,2))))</f>
        <v/>
      </c>
      <c r="CF229" s="84">
        <f>IF($CE229="","",IFERROR(VALUE(MID($AL229,FIND("-",$AL229)+1,FIND(CHAR(34)&amp;"x",$AL229)-FIND("-",$AL229)-1)),0))</f>
        <v/>
      </c>
      <c r="CG229" s="84">
        <f>IF($CE229="","",IFERROR(VALUE(MID($AL229,FIND(CHAR(34)&amp;"x",$AL229)+2,FIND(CHAR(34),$AL229,FIND(CHAR(34)&amp;"x",$AL229)+2)-FIND(CHAR(34)&amp;"x",$AL229)-2)),0))</f>
        <v/>
      </c>
      <c r="CH229" s="90">
        <f>IF(OR($A229="",$H229="",$H229="NO LAB"),0,IFERROR(VALUE(LEFT($H229,FIND(" ",$H229)-1)),0))</f>
        <v/>
      </c>
      <c r="CI229" s="91">
        <f>IF(OR($A229="",$I229="",$I229="NON-RATED",N($J229)=0),"",IFERROR(VLOOKUP($I229&amp;"|"&amp;$J229,IBC,2,FALSE),"?"))</f>
        <v/>
      </c>
      <c r="CJ229" s="85">
        <f>IF(NOT(AND($A229&lt;&gt;"",$C229&lt;&gt;"DOOR ONLY")),"",TRIM(IFERROR(VLOOKUP($U229,CODES,2,FALSE),"")&amp;" "&amp;$BG229&amp;" "&amp;IFERROR(VLOOKUP($Z229,CODES,2,FALSE),"")&amp;" "&amp;IFERROR(VLOOKUP($X229,CODES,2,FALSE),"")&amp;" "&amp;IFERROR(VLOOKUP($S229,CODES,2,FALSE),"")&amp;IF(N($P229)&gt;0," w/TRANSOM "&amp;$P229&amp;CHAR(34),"")&amp;IF(N($Q229)&gt;0," w/SIDELITE "&amp;$Q229&amp;CHAR(34)&amp;" "&amp;IF($R229="","R",$R229),"")&amp;IF($Y229="","  |  "," | "&amp;IFERROR(VLOOKUP($Y229,CODES,2,FALSE),"")&amp;" | ")&amp;IFERROR(VLOOKUP($AC229,CODES,2,FALSE),"")&amp;" "&amp;IFERROR(VLOOKUP($AD229,CODES,2,FALSE),"")&amp;IF(OR($AE229="",$AE229="-"),""," "&amp;$AE229)&amp;IF(OR($AF229="",$AF229="-"),""," "&amp;$AF229)&amp;IF($AB229="Y"," 4"&amp;CHAR(34)&amp;" HEAD","")&amp;" "&amp;IFERROR(VLOOKUP($H229,CODES,2,FALSE),"")&amp;IF($CT229," | LOC "&amp;$CY229,"")))</f>
        <v/>
      </c>
      <c r="CK229" s="85">
        <f>IF(NOT(AND($A229&lt;&gt;"",N($BJ229)&gt;0)),"",TRIM(IFERROR(VLOOKUP($AH229,CODES,2,FALSE),"")&amp;IF($AI229=""," "," "&amp;$AI229&amp;"GA ")&amp;$BG229&amp;" "&amp;IF($AN229="",IFERROR(VLOOKUP($Z229,CODES,2,FALSE),""),IFERROR(VLOOKUP($AN229,CODES,2,FALSE),""))&amp;IF($BJ229=2," PAIR","")&amp;" DOOR | "&amp;IF($AL229="","?",$AL229)&amp;" | "&amp;IF($AO229="",IFERROR(VLOOKUP($AC229,CODES,2,FALSE),""),IFERROR(VLOOKUP($AO229,CODES,2,FALSE),""))&amp;" "&amp;IFERROR(VLOOKUP($AP229,CODES,2,FALSE),"")&amp;IF(OR($AQ229="",$AQ229="-"),""," SEAM "&amp;$AQ229)&amp;IF($AR229="Y"," ASTRAGAL","")&amp;IF($AJ229=""," "," "&amp;$AJ229)&amp;IF($AK229=""," "," "&amp;$AK229)&amp;IF(OR($AT229="",$AT229="ANSI/SDI",$AT229="CUSTOM LOC"),""," "&amp;$AT229)&amp;IF($AM229=""," "," SERIES "&amp;$AM229)&amp;" "&amp;IFERROR(VLOOKUP($H229,CODES,2,FALSE),"")&amp;IF($CT229," | LOC "&amp;$CZ229,"")))</f>
        <v/>
      </c>
      <c r="CL229" s="84">
        <f>IF(CP229="","",IF(COUNTIF($CP$6:CP229,CP229)=1,MAX($CL$5:CL228)+1,INDEX($CL$5:CL228,MATCH(CP229,$CP$5:CP228,0))))</f>
        <v/>
      </c>
      <c r="CM229" s="84">
        <f>IF(NOT(AND($A229&lt;&gt;"",$C229&lt;&gt;"DOOR ONLY")),"",MAX($CM$5:CM228)+1)</f>
        <v/>
      </c>
      <c r="CN229" s="84">
        <f>IF(NOT(AND($A229&lt;&gt;"",N($BJ229)&gt;0)),"",MAX($CN$5:CN228)+1)</f>
        <v/>
      </c>
      <c r="CO229" s="84">
        <f>IF($A229="","",MAX($CO$5:CO228)+1)</f>
        <v/>
      </c>
      <c r="CP229" s="84">
        <f>IF(OR($A229="",$BH229="",$BI229=""),"",$BG229&amp;"|"&amp;$O229&amp;"|"&amp;$AL229&amp;"|"&amp;$S229&amp;"|"&amp;$P229&amp;"|"&amp;$Q229&amp;$R229&amp;"|"&amp;$C229&amp;"|"&amp;$AB229)</f>
        <v/>
      </c>
      <c r="CQ229" s="84">
        <f>N($BS229)</f>
        <v/>
      </c>
      <c r="CR229" s="84">
        <f>IF(N($AU229)&gt;0,N($AU229),4.5)</f>
        <v/>
      </c>
      <c r="CS229" s="84">
        <f>OR($A229="",$BI229="",$S229="BL",AND($C229="FRAME ONLY",OR($AC229="",$AC229="BLK")))</f>
        <v/>
      </c>
      <c r="CT229" s="84">
        <f>AND(NOT($CS229),OR($AT229="CUSTOM LOC",N($AW229)+N($AX229)+N($AY229)+N($AZ229)+N($BA229)&gt;0))</f>
        <v/>
      </c>
      <c r="CU229" s="84">
        <f>IF($BI229="","",IF($BI229&lt;=80,80,IF($BI229&lt;=84,84,96)))</f>
        <v/>
      </c>
      <c r="CV229" s="84">
        <f>ISNUMBER(MATCH($AT229&amp;"|80",LocKeys,0))</f>
        <v/>
      </c>
      <c r="CW229" s="86">
        <f>IF($CS229,"",IF($CV229,VLOOKUP($AT229&amp;"|"&amp;$CU229,LocTable,4,FALSE),5))</f>
        <v/>
      </c>
      <c r="CX229" s="86">
        <f>IF($CS229,"",IF($CV229,IF(OR($BI229=$CU229,AND($BI229&lt;$CU229,$BI229-IF(N(VLOOKUP($AT229&amp;"|"&amp;$CU229,LocTable,7,FALSE))&gt;0,VLOOKUP($AT229&amp;"|"&amp;$CU229,LocTable,7,FALSE),VLOOKUP($AT229&amp;"|"&amp;$CU229,LocTable,6,FALSE))-$CR229-0.75&gt;=2.125)),IF(N(VLOOKUP($AT229&amp;"|"&amp;$CU229,LocTable,7,FALSE))&gt;0,VLOOKUP($AT229&amp;"|"&amp;$CU229,LocTable,7,FALSE),VLOOKUP($AT229&amp;"|"&amp;$CU229,LocTable,6,FALSE)),$BI229-($CU229-IF(N(VLOOKUP($AT229&amp;"|"&amp;$CU229,LocTable,7,FALSE))&gt;0,VLOOKUP($AT229&amp;"|"&amp;$CU229,LocTable,7,FALSE),VLOOKUP($AT229&amp;"|"&amp;$CU229,LocTable,6,FALSE)))),$BI229-10-$CR229))</f>
        <v/>
      </c>
      <c r="CY229" s="85">
        <f>IF($CS229,"",TRIM(IF(ISNUMBER($BU229),"A "&amp;TRIM(TEXT($BU229,"# ?/??"))&amp;CHAR(34)&amp;"  ","")&amp;IF(ISNUMBER($BV229),"B "&amp;TRIM(TEXT($BV229,"# ?/??"))&amp;CHAR(34)&amp;"  ","")&amp;IF(ISNUMBER($BW229),"C "&amp;TRIM(TEXT($BW229,"# ?/??"))&amp;CHAR(34)&amp;"  ","")&amp;IF(ISNUMBER($BX229),"D "&amp;TRIM(TEXT($BX229,"# ?/??"))&amp;CHAR(34)&amp;"  ","")&amp;IF(ISNUMBER($BY229),"F "&amp;TRIM(TEXT($BY229,"# ?/??"))&amp;CHAR(34)&amp;"  ","")&amp;IF(ISNUMBER($BZ229),"E "&amp;TRIM(TEXT($BZ229,"# ?/??"))&amp;CHAR(34)&amp;"  ","")))</f>
        <v/>
      </c>
      <c r="CZ229" s="85">
        <f>IF(OR($CS229,N($BJ229)=0),"",TRIM(IF(ISNUMBER($BU229),"A "&amp;TRIM(TEXT($BU229-HeadClr,"# ?/??"))&amp;CHAR(34)&amp;"  ","")&amp;IF(ISNUMBER($BV229),"B "&amp;TRIM(TEXT($BV229-HeadClr,"# ?/??"))&amp;CHAR(34)&amp;"  ","")&amp;IF(ISNUMBER($BW229),"C "&amp;TRIM(TEXT($BW229-HeadClr,"# ?/??"))&amp;CHAR(34)&amp;"  ","")&amp;IF(ISNUMBER($BX229),"D "&amp;TRIM(TEXT($BX229-HeadClr,"# ?/??"))&amp;CHAR(34)&amp;"  ","")&amp;IF(ISNUMBER($BY229),"F "&amp;TRIM(TEXT($BY229-HeadClr,"# ?/??"))&amp;CHAR(34)&amp;"  ","")&amp;IF(ISNUMBER($BZ229),"E "&amp;TRIM(TEXT($BZ229-HeadClr,"# ?/??"))&amp;CHAR(34)&amp;"  ","")))</f>
        <v/>
      </c>
      <c r="DA229" s="84">
        <f>IF($A229="","",IF($AN229="",IFERROR(VLOOKUP($Z229,CODES,2,FALSE),""),IFERROR(VLOOKUP($AN229,CODES,2,FALSE),"")))</f>
        <v/>
      </c>
      <c r="DB229" s="84">
        <f>IF($A229="","",IF($O229="Y","PR",IF(OR($Z229="L",$Z229="RR",LEFT($Z229,2)="L-",LEFT($Z229,3)="RR-"),"LH","RH")))</f>
        <v/>
      </c>
      <c r="DC229" s="84">
        <f>IF($A229="","","S.HM"&amp;IF(OR($C229="DOOR ONLY",$X229&lt;&gt;"KD"),"MASONRY","DRYWALL")&amp;IF($C229="DOOR ONLY","",$U229)&amp;IF(AND($C229&lt;&gt;"FRAME ONLY",OR(LEFT($AH229,3)="OAK",LEFT($AH229,3)="BIR",LEFT($AH229,3)="MAP",$AH229="PC",$AH229="MC",$AH229="SCLC",$AH229="P-LAM")),"WD","HM")&amp;"1.75")</f>
        <v/>
      </c>
      <c r="DD229" s="84">
        <f>IF($CJ229="","",IF($O229="Y",$CJ229,SUBSTITUTE($CJ229,$BG229&amp;" "&amp;IFERROR(VLOOKUP($Z229,CODES,2,FALSE),"")&amp;" ",$BG229&amp;" ")))</f>
        <v/>
      </c>
      <c r="DE229" s="84">
        <f>IF($CK229="","",IF($O229="Y",$CK229,SUBSTITUTE($CK229,$BG229&amp;" "&amp;IF($AN229="",IFERROR(VLOOKUP($Z229,CODES,2,FALSE),""),IFERROR(VLOOKUP($AN229,CODES,2,FALSE),""))&amp;" ",$BG229&amp;" ")))</f>
        <v/>
      </c>
      <c r="DF229" s="84">
        <f>IF($CJ229="","",$DC229&amp;"|"&amp;$DD229&amp;"|"&amp;$DB229&amp;"|"&amp;$AT229&amp;"|"&amp;$V229&amp;"|"&amp;$Y229&amp;"|"&amp;$AB229)</f>
        <v/>
      </c>
      <c r="DG229" s="84">
        <f>IF(DF229="","",IF(COUNTIF($DF$6:DF229,DF229)=1,MAX($DG$5:DG228)+1,INDEX($DG$5:DG228,MATCH(DF229,$DF$5:DF228,0))))</f>
        <v/>
      </c>
      <c r="DH229" s="84">
        <f>IF($CK229="","",$DC229&amp;"|"&amp;$DE229&amp;"|"&amp;$AI229&amp;"|"&amp;$BK229&amp;"|"&amp;$BL229)</f>
        <v/>
      </c>
      <c r="DI229" s="84">
        <f>IF(DH229="","",IF(COUNTIF($DH$6:DH229,DH229)=1,MAX($DI$5:DI228)+1,INDEX($DI$5:DI228,MATCH(DH229,$DH$5:DH228,0))))</f>
        <v/>
      </c>
      <c r="DJ229" s="84">
        <f>IF($A229="","",IF($B229="","qty, ","")&amp;IF($C229="","scope, ","")&amp;IF(OR($K229="",$M229=""),"size, ","")&amp;IF(AND($A229&lt;&gt;"",$C229&lt;&gt;"DOOR ONLY"),IF($U229="","jamb depth, ","")&amp;IF($X229="","construction, ","")&amp;IF($Y229="","anchor, ","")&amp;IF($S229="","frame type, ",""),"")&amp;IF(AND(N($BJ229)&gt;0,$Z229=""),"hand, ","")&amp;IF(N($BJ229)&gt;0,IF($AH229="","door material, ","")&amp;IF($AL229="","face type, ","")&amp;IF($AP229="","lock prep, ","")&amp;IF(AND($AO229="",$AC229=""),"hinge prep, ",""),"")&amp;IF(AND($CH229&gt;0,$AH229="FRP"),"FRP cannot carry a label, ","")&amp;IF(AND($O229="Y",OR($Z229="L",$Z229="R",$Z229="LR",$Z229="RR")),"pair marked but hand is single, ","")&amp;IF(AND($O229&lt;&gt;"Y",OR($Z229="PR",AND(LEN($Z229)&gt;1,ISNUMBER(SEARCH("-",$Z229))))),"pair hand on a single door, ","")&amp;IF(AND(ISNUMBER($CI229),$CH229&lt;N($CI229)),"wall needs a "&amp;$CI229&amp;" min door, ","")&amp;IF(AND($CH229&gt;=180,AND(OR($CE229="FG",$CE229="HG",$CE229="FNV",$CE229="FV"),N($CF229)*N($CG229)&gt;100)),"180 min lite over 100 sq in, ","")&amp;IF(N($BK229)&gt;48,"leaf wider than 4'-0"&amp;CHAR(34)&amp;", ","")&amp;IF(AND($CT229,COUNT($AW229:$AZ229)=0,$CQ229&gt;0),"CUSTOM LOC with no locations typed, ",""))</f>
        <v/>
      </c>
      <c r="DK229" s="84">
        <f>IF($A229="","",IF(AND($CH229&gt;0,AND($A229&lt;&gt;"",$C229&lt;&gt;"DOOR ONLY"),$X229="KD",$E229="EXTERIOR"),"KD label on an exterior opening, ","")&amp;IF(AND($E229="EXTERIOR",OR(AND(AND($A229&lt;&gt;"",$C229&lt;&gt;"DOOR ONLY"),$W229="CR"),AND(N($BJ229)&gt;0,$AH229="CR"))),"exterior in CR steel (G9?), ","")&amp;IF(AND(ISNUMBER($BQ229),N($BQ229)&lt;32),"clear width ~"&amp;TEXT($BQ229,"0.0")&amp;CHAR(34)&amp;" under 32"&amp;CHAR(34)&amp;" (ADA), ","")&amp;IF(AND($CH229=90,AND(OR($CE229="FG",$CE229="HG",$CE229="FNV",$CE229="FV"),N($CF229)*N($CG229)&gt;100)),"90 min lite over 100 sq in (stair/exit), ","")&amp;IF(AND($CH229&gt;0,AND($A229&lt;&gt;"",$C229&lt;&gt;"DOOR ONLY"),OR($AF229="",$AF229="-")),"rated: closer reinf.?, ","")&amp;IF(OR($I229="CORRIDOR",$I229="SMOKE BARRIER"),"S label + smoke gasketing, ","")&amp;IF($CI229="?","wall type/hr not in IBC table, ","")&amp;IF(AND(N($BJ229)&gt;0,$BB229=""),"no hardware set, ","")&amp;IF(AND($BB229&lt;&gt;"",ISNA(MATCH($BB229&amp;"",HWSets,0))),"set "&amp;$BB229&amp;" not on HW Sets, ","")&amp;IF(N($BL229)&gt;96,"leaf over 8'-0"&amp;CHAR(34)&amp;" - check listing, ","")&amp;IF(AND($CT229,COUNT($AW229:$AZ229)&gt;0,COUNT($AW229:$AZ229)&lt;&gt;$CQ229),COUNT($AW229:$AZ229)&amp;" custom hinges typed, "&amp;$CQ229&amp;" expected, ","")&amp;IF(AND(ISNUMBER($CA229),OR(N($CA229)&lt;34,N($CA229)&gt;48)),"lock "&amp;TEXT($CA229,"0.0")&amp;CHAR(34)&amp;" AFF outside 34-48"&amp;CHAR(34)&amp;" (ADA), ","")&amp;IF(AND(ISNUMBER($AV229),ISNUMBER($BL229),N($AV229)&lt;IF(N($BL229)&lt;=60,2,IF(N($BL229)&lt;=90,3,IF(N($BL229)&lt;=120,4,5)))),"fewer hinges than standard, ",""))</f>
        <v/>
      </c>
    </row>
    <row r="230" ht="15" customHeight="1">
      <c r="A230" s="92" t="n"/>
      <c r="B230" s="93" t="n"/>
      <c r="C230" s="93" t="n"/>
      <c r="D230" s="93" t="n"/>
      <c r="E230" s="93" t="n"/>
      <c r="F230" s="93" t="n"/>
      <c r="G230" s="93" t="n"/>
      <c r="H230" s="93" t="n"/>
      <c r="I230" s="93" t="n"/>
      <c r="J230" s="93" t="n"/>
      <c r="K230" s="93" t="n"/>
      <c r="L230" s="93" t="n"/>
      <c r="M230" s="93" t="n"/>
      <c r="N230" s="93" t="n"/>
      <c r="O230" s="93" t="n"/>
      <c r="P230" s="93" t="n"/>
      <c r="Q230" s="93" t="n"/>
      <c r="R230" s="93" t="n"/>
      <c r="S230" s="94" t="n"/>
      <c r="T230" s="94" t="n"/>
      <c r="U230" s="94" t="n"/>
      <c r="V230" s="94" t="n"/>
      <c r="W230" s="94" t="n"/>
      <c r="X230" s="94" t="n"/>
      <c r="Y230" s="94" t="n"/>
      <c r="Z230" s="94" t="n"/>
      <c r="AA230" s="94" t="n"/>
      <c r="AB230" s="94" t="n"/>
      <c r="AC230" s="94" t="n"/>
      <c r="AD230" s="94" t="n"/>
      <c r="AE230" s="94" t="n"/>
      <c r="AF230" s="94" t="n"/>
      <c r="AG230" s="94" t="n"/>
      <c r="AH230" s="95" t="n"/>
      <c r="AI230" s="95" t="n"/>
      <c r="AJ230" s="95" t="n"/>
      <c r="AK230" s="95" t="n"/>
      <c r="AL230" s="95" t="n"/>
      <c r="AM230" s="95" t="n"/>
      <c r="AN230" s="95" t="n"/>
      <c r="AO230" s="95" t="n"/>
      <c r="AP230" s="95" t="n"/>
      <c r="AQ230" s="95" t="n"/>
      <c r="AR230" s="95" t="n"/>
      <c r="AS230" s="95" t="n"/>
      <c r="AT230" s="96" t="n"/>
      <c r="AU230" s="96" t="n"/>
      <c r="AV230" s="96" t="n"/>
      <c r="AW230" s="97" t="n"/>
      <c r="AX230" s="97" t="n"/>
      <c r="AY230" s="97" t="n"/>
      <c r="AZ230" s="97" t="n"/>
      <c r="BA230" s="97" t="n"/>
      <c r="BB230" s="98" t="n"/>
      <c r="BC230" s="98" t="n"/>
      <c r="BD230" s="99">
        <f>IF($A230="","",IF($DJ230&lt;&gt;"","FIX",IF($DK230&lt;&gt;"","CHECK","OK")))</f>
        <v/>
      </c>
      <c r="BE230" s="100">
        <f>IF($A230="","",IF($DJ230&lt;&gt;"","FIX: "&amp;LEFT($DJ230,LEN($DJ230)-2)&amp;IF($DK230&lt;&gt;"","  ·  ",""),"")&amp;IF($DK230&lt;&gt;"","CHECK: "&amp;LEFT($DK230,LEN($DK230)-2),""))</f>
        <v/>
      </c>
      <c r="BF230" s="99">
        <f>IF(OR($A230="",$K230=""),"",$K230&amp;"'-"&amp;N($L230)&amp;CHAR(34)&amp;" x "&amp;$M230&amp;"'-"&amp;N($N230)&amp;CHAR(34))</f>
        <v/>
      </c>
      <c r="BG230" s="99">
        <f>IF(OR($A230="",$K230=""),"",$K230&amp;N($L230)&amp;$M230&amp;N($N230))</f>
        <v/>
      </c>
      <c r="BH230" s="99">
        <f>IF(OR($A230="",$K230=""),"",$K230*12+N($L230))</f>
        <v/>
      </c>
      <c r="BI230" s="99">
        <f>IF(OR($A230="",$M230=""),"",$M230*12+N($N230))</f>
        <v/>
      </c>
      <c r="BJ230" s="99">
        <f>IF($A230="","",IF(OR($C230="FRAME ONLY",$S230="BL"),0,IF($O230="Y",2,1)))</f>
        <v/>
      </c>
      <c r="BK230" s="101">
        <f>IF(OR(N($BJ230)=0,$BH230=""),"",($BH230-2*EdgeClr-IF($BJ230=2,MeetClr,0))/$BJ230)</f>
        <v/>
      </c>
      <c r="BL230" s="101">
        <f>IF(OR(N($BJ230)=0,$BI230=""),"",$BI230-HeadClr-Undercut)</f>
        <v/>
      </c>
      <c r="BM230" s="101">
        <f>IF($BH230="","",$BH230+2*FaceW+IF(N($Q230)&gt;0,($Q230+FaceW)*IF($R230="LR",2,1),0))</f>
        <v/>
      </c>
      <c r="BN230" s="101">
        <f>IF($BI230="","",$BI230+IF($AB230="Y",4,FaceW)+IF(N($P230)&gt;0,$P230+FaceW,0)+IF(OR($S230="4F",$S230="BL"),FaceW,0))</f>
        <v/>
      </c>
      <c r="BO230" s="101">
        <f>IF($BM230="","",$BM230+2*ROSide)</f>
        <v/>
      </c>
      <c r="BP230" s="101">
        <f>IF($BN230="","",$BN230+ROTop)</f>
        <v/>
      </c>
      <c r="BQ230" s="102">
        <f>IF(OR(N($BJ230)=0,$BH230=""),"",$BH230/$BJ230-ClearDeduct)</f>
        <v/>
      </c>
      <c r="BR230" s="99">
        <f>IF(N($CH230)=0,"",IF($CH230&gt;=180,"A · 3 HR",IF($CH230&gt;=90,"B · 1-1/2 HR",IF($CH230&gt;=60,"B · 1 HR",IF($CH230&gt;=45,"C · 3/4 HR","20 MIN")))))&amp;IF(AND(N($CH230)&gt;0,OR($I230="CORRIDOR",$I230="SMOKE BARRIER"))," · S","")</f>
        <v/>
      </c>
      <c r="BS230" s="99">
        <f>IF($CS230,"",IF($AV230&lt;&gt;"",$AV230,IF(OR($AC230="HGC",$AO230="HGC"),"CONT",IF(($BI230-HeadClr-Undercut)&lt;=60,2,IF(($BI230-HeadClr-Undercut)&lt;=90,3,IF(($BI230-HeadClr-Undercut)&lt;=120,4,5))))))</f>
        <v/>
      </c>
      <c r="BT230" s="99">
        <f>IF($CS230,"",IF($CT230,"CUSTOM (typed)",IF($CV230,$AT230&amp;" "&amp;$CU230&amp;CHAR(34)&amp;IF($CU230&lt;&gt;$BI230,IF(AND($BI230&lt;$CU230,$BI230-IF(N(VLOOKUP($AT230&amp;"|"&amp;$CU230,LocTable,7,FALSE))&gt;0,VLOOKUP($AT230&amp;"|"&amp;$CU230,LocTable,7,FALSE),VLOOKUP($AT230&amp;"|"&amp;$CU230,LocTable,6,FALSE))-$CR230-0.75&gt;=2.125)," cut down"," adj."),""),"ANSI/SDI A250.6")))</f>
        <v/>
      </c>
      <c r="BU230" s="103">
        <f>IF($CS230,"",IF($CT230,IF(N($AW230)&gt;0,N($AW230),""),IF(1&gt;$CQ230,"",IF($CQ230=1,$CW230,$CW230+($CX230-$CW230)*0/($CQ230-1)))))</f>
        <v/>
      </c>
      <c r="BV230" s="103">
        <f>IF($CS230,"",IF($CT230,IF(N($AX230)&gt;0,N($AX230),""),IF(2&gt;$CQ230,"",IF($CQ230=1,$CW230,$CW230+($CX230-$CW230)*1/($CQ230-1)))))</f>
        <v/>
      </c>
      <c r="BW230" s="103">
        <f>IF($CS230,"",IF($CT230,IF(N($AY230)&gt;0,N($AY230),""),IF(3&gt;$CQ230,"",IF($CQ230=1,$CW230,$CW230+($CX230-$CW230)*2/($CQ230-1)))))</f>
        <v/>
      </c>
      <c r="BX230" s="103">
        <f>IF($CS230,"",IF($CT230,IF(N($AZ230)&gt;0,N($AZ230),""),IF(4&gt;$CQ230,"",IF($CQ230=1,$CW230,$CW230+($CX230-$CW230)*3/($CQ230-1)))))</f>
        <v/>
      </c>
      <c r="BY230" s="103">
        <f>IF($CS230,"",IF($CT230,"",IF(5&gt;$CQ230,"",IF($CQ230=1,$CW230,$CW230+($CX230-$CW230)*4/($CQ230-1)))))</f>
        <v/>
      </c>
      <c r="BZ230" s="103">
        <f>IF(OR($CS230,$AP230="-",AND($AP230="",$AD230="")),"",IF(N($BA230)&gt;0,N($BA230),IF($CV230,IF(AND($BI230&lt;$CU230,$BI230-IF(N(VLOOKUP($AT230&amp;"|"&amp;$CU230,LocTable,7,FALSE))&gt;0,VLOOKUP($AT230&amp;"|"&amp;$CU230,LocTable,7,FALSE),VLOOKUP($AT230&amp;"|"&amp;$CU230,LocTable,6,FALSE))-$CR230-0.75&gt;=2.125),VLOOKUP($AT230&amp;"|"&amp;$CU230,LocTable,8,FALSE),VLOOKUP($AT230&amp;"|"&amp;$CU230,LocTable,8,FALSE)+($BI230-$CU230)),$BI230-LockAFF)))</f>
        <v/>
      </c>
      <c r="CA230" s="104">
        <f>IF($BZ230="","",$BI230-$BZ230)</f>
        <v/>
      </c>
      <c r="CB230" s="99">
        <f>IF(OR(NOT(AND($A230&lt;&gt;"",$C230&lt;&gt;"DOOR ONLY")),$BI230=""),"",IF(($BI230+IF(N($P230)&gt;0,$P230+FaceW,0))&lt;=90,3,IF(($BI230+IF(N($P230)&gt;0,$P230+FaceW,0))&lt;=114,4,5)))</f>
        <v/>
      </c>
      <c r="CC230" s="99">
        <f>IF($CB230="","",$CB230*(2+IF(N($Q230)&gt;0,IF($R230="LR",2,1),0)))</f>
        <v/>
      </c>
      <c r="CD230" s="99">
        <f>IF($CB230="","",(2+IF(N($Q230)&gt;0,IF($R230="LR",2,1),0)))</f>
        <v/>
      </c>
      <c r="CE230" s="99">
        <f>IF(N($BJ230)=0,"",IF(OR($AL230="",$AL230="FLUSH"),"FLUSH",IFERROR(LEFT($AL230,FIND("-",$AL230)-1),LEFT($AL230,2))))</f>
        <v/>
      </c>
      <c r="CF230" s="99">
        <f>IF($CE230="","",IFERROR(VALUE(MID($AL230,FIND("-",$AL230)+1,FIND(CHAR(34)&amp;"x",$AL230)-FIND("-",$AL230)-1)),0))</f>
        <v/>
      </c>
      <c r="CG230" s="99">
        <f>IF($CE230="","",IFERROR(VALUE(MID($AL230,FIND(CHAR(34)&amp;"x",$AL230)+2,FIND(CHAR(34),$AL230,FIND(CHAR(34)&amp;"x",$AL230)+2)-FIND(CHAR(34)&amp;"x",$AL230)-2)),0))</f>
        <v/>
      </c>
      <c r="CH230" s="105">
        <f>IF(OR($A230="",$H230="",$H230="NO LAB"),0,IFERROR(VALUE(LEFT($H230,FIND(" ",$H230)-1)),0))</f>
        <v/>
      </c>
      <c r="CI230" s="106">
        <f>IF(OR($A230="",$I230="",$I230="NON-RATED",N($J230)=0),"",IFERROR(VLOOKUP($I230&amp;"|"&amp;$J230,IBC,2,FALSE),"?"))</f>
        <v/>
      </c>
      <c r="CJ230" s="100">
        <f>IF(NOT(AND($A230&lt;&gt;"",$C230&lt;&gt;"DOOR ONLY")),"",TRIM(IFERROR(VLOOKUP($U230,CODES,2,FALSE),"")&amp;" "&amp;$BG230&amp;" "&amp;IFERROR(VLOOKUP($Z230,CODES,2,FALSE),"")&amp;" "&amp;IFERROR(VLOOKUP($X230,CODES,2,FALSE),"")&amp;" "&amp;IFERROR(VLOOKUP($S230,CODES,2,FALSE),"")&amp;IF(N($P230)&gt;0," w/TRANSOM "&amp;$P230&amp;CHAR(34),"")&amp;IF(N($Q230)&gt;0," w/SIDELITE "&amp;$Q230&amp;CHAR(34)&amp;" "&amp;IF($R230="","R",$R230),"")&amp;IF($Y230="","  |  "," | "&amp;IFERROR(VLOOKUP($Y230,CODES,2,FALSE),"")&amp;" | ")&amp;IFERROR(VLOOKUP($AC230,CODES,2,FALSE),"")&amp;" "&amp;IFERROR(VLOOKUP($AD230,CODES,2,FALSE),"")&amp;IF(OR($AE230="",$AE230="-"),""," "&amp;$AE230)&amp;IF(OR($AF230="",$AF230="-"),""," "&amp;$AF230)&amp;IF($AB230="Y"," 4"&amp;CHAR(34)&amp;" HEAD","")&amp;" "&amp;IFERROR(VLOOKUP($H230,CODES,2,FALSE),"")&amp;IF($CT230," | LOC "&amp;$CY230,"")))</f>
        <v/>
      </c>
      <c r="CK230" s="100">
        <f>IF(NOT(AND($A230&lt;&gt;"",N($BJ230)&gt;0)),"",TRIM(IFERROR(VLOOKUP($AH230,CODES,2,FALSE),"")&amp;IF($AI230=""," "," "&amp;$AI230&amp;"GA ")&amp;$BG230&amp;" "&amp;IF($AN230="",IFERROR(VLOOKUP($Z230,CODES,2,FALSE),""),IFERROR(VLOOKUP($AN230,CODES,2,FALSE),""))&amp;IF($BJ230=2," PAIR","")&amp;" DOOR | "&amp;IF($AL230="","?",$AL230)&amp;" | "&amp;IF($AO230="",IFERROR(VLOOKUP($AC230,CODES,2,FALSE),""),IFERROR(VLOOKUP($AO230,CODES,2,FALSE),""))&amp;" "&amp;IFERROR(VLOOKUP($AP230,CODES,2,FALSE),"")&amp;IF(OR($AQ230="",$AQ230="-"),""," SEAM "&amp;$AQ230)&amp;IF($AR230="Y"," ASTRAGAL","")&amp;IF($AJ230=""," "," "&amp;$AJ230)&amp;IF($AK230=""," "," "&amp;$AK230)&amp;IF(OR($AT230="",$AT230="ANSI/SDI",$AT230="CUSTOM LOC"),""," "&amp;$AT230)&amp;IF($AM230=""," "," SERIES "&amp;$AM230)&amp;" "&amp;IFERROR(VLOOKUP($H230,CODES,2,FALSE),"")&amp;IF($CT230," | LOC "&amp;$CZ230,"")))</f>
        <v/>
      </c>
      <c r="CL230" s="99">
        <f>IF(CP230="","",IF(COUNTIF($CP$6:CP230,CP230)=1,MAX($CL$5:CL229)+1,INDEX($CL$5:CL229,MATCH(CP230,$CP$5:CP229,0))))</f>
        <v/>
      </c>
      <c r="CM230" s="99">
        <f>IF(NOT(AND($A230&lt;&gt;"",$C230&lt;&gt;"DOOR ONLY")),"",MAX($CM$5:CM229)+1)</f>
        <v/>
      </c>
      <c r="CN230" s="99">
        <f>IF(NOT(AND($A230&lt;&gt;"",N($BJ230)&gt;0)),"",MAX($CN$5:CN229)+1)</f>
        <v/>
      </c>
      <c r="CO230" s="99">
        <f>IF($A230="","",MAX($CO$5:CO229)+1)</f>
        <v/>
      </c>
      <c r="CP230" s="99">
        <f>IF(OR($A230="",$BH230="",$BI230=""),"",$BG230&amp;"|"&amp;$O230&amp;"|"&amp;$AL230&amp;"|"&amp;$S230&amp;"|"&amp;$P230&amp;"|"&amp;$Q230&amp;$R230&amp;"|"&amp;$C230&amp;"|"&amp;$AB230)</f>
        <v/>
      </c>
      <c r="CQ230" s="99">
        <f>N($BS230)</f>
        <v/>
      </c>
      <c r="CR230" s="99">
        <f>IF(N($AU230)&gt;0,N($AU230),4.5)</f>
        <v/>
      </c>
      <c r="CS230" s="99">
        <f>OR($A230="",$BI230="",$S230="BL",AND($C230="FRAME ONLY",OR($AC230="",$AC230="BLK")))</f>
        <v/>
      </c>
      <c r="CT230" s="99">
        <f>AND(NOT($CS230),OR($AT230="CUSTOM LOC",N($AW230)+N($AX230)+N($AY230)+N($AZ230)+N($BA230)&gt;0))</f>
        <v/>
      </c>
      <c r="CU230" s="99">
        <f>IF($BI230="","",IF($BI230&lt;=80,80,IF($BI230&lt;=84,84,96)))</f>
        <v/>
      </c>
      <c r="CV230" s="99">
        <f>ISNUMBER(MATCH($AT230&amp;"|80",LocKeys,0))</f>
        <v/>
      </c>
      <c r="CW230" s="101">
        <f>IF($CS230,"",IF($CV230,VLOOKUP($AT230&amp;"|"&amp;$CU230,LocTable,4,FALSE),5))</f>
        <v/>
      </c>
      <c r="CX230" s="101">
        <f>IF($CS230,"",IF($CV230,IF(OR($BI230=$CU230,AND($BI230&lt;$CU230,$BI230-IF(N(VLOOKUP($AT230&amp;"|"&amp;$CU230,LocTable,7,FALSE))&gt;0,VLOOKUP($AT230&amp;"|"&amp;$CU230,LocTable,7,FALSE),VLOOKUP($AT230&amp;"|"&amp;$CU230,LocTable,6,FALSE))-$CR230-0.75&gt;=2.125)),IF(N(VLOOKUP($AT230&amp;"|"&amp;$CU230,LocTable,7,FALSE))&gt;0,VLOOKUP($AT230&amp;"|"&amp;$CU230,LocTable,7,FALSE),VLOOKUP($AT230&amp;"|"&amp;$CU230,LocTable,6,FALSE)),$BI230-($CU230-IF(N(VLOOKUP($AT230&amp;"|"&amp;$CU230,LocTable,7,FALSE))&gt;0,VLOOKUP($AT230&amp;"|"&amp;$CU230,LocTable,7,FALSE),VLOOKUP($AT230&amp;"|"&amp;$CU230,LocTable,6,FALSE)))),$BI230-10-$CR230))</f>
        <v/>
      </c>
      <c r="CY230" s="100">
        <f>IF($CS230,"",TRIM(IF(ISNUMBER($BU230),"A "&amp;TRIM(TEXT($BU230,"# ?/??"))&amp;CHAR(34)&amp;"  ","")&amp;IF(ISNUMBER($BV230),"B "&amp;TRIM(TEXT($BV230,"# ?/??"))&amp;CHAR(34)&amp;"  ","")&amp;IF(ISNUMBER($BW230),"C "&amp;TRIM(TEXT($BW230,"# ?/??"))&amp;CHAR(34)&amp;"  ","")&amp;IF(ISNUMBER($BX230),"D "&amp;TRIM(TEXT($BX230,"# ?/??"))&amp;CHAR(34)&amp;"  ","")&amp;IF(ISNUMBER($BY230),"F "&amp;TRIM(TEXT($BY230,"# ?/??"))&amp;CHAR(34)&amp;"  ","")&amp;IF(ISNUMBER($BZ230),"E "&amp;TRIM(TEXT($BZ230,"# ?/??"))&amp;CHAR(34)&amp;"  ","")))</f>
        <v/>
      </c>
      <c r="CZ230" s="100">
        <f>IF(OR($CS230,N($BJ230)=0),"",TRIM(IF(ISNUMBER($BU230),"A "&amp;TRIM(TEXT($BU230-HeadClr,"# ?/??"))&amp;CHAR(34)&amp;"  ","")&amp;IF(ISNUMBER($BV230),"B "&amp;TRIM(TEXT($BV230-HeadClr,"# ?/??"))&amp;CHAR(34)&amp;"  ","")&amp;IF(ISNUMBER($BW230),"C "&amp;TRIM(TEXT($BW230-HeadClr,"# ?/??"))&amp;CHAR(34)&amp;"  ","")&amp;IF(ISNUMBER($BX230),"D "&amp;TRIM(TEXT($BX230-HeadClr,"# ?/??"))&amp;CHAR(34)&amp;"  ","")&amp;IF(ISNUMBER($BY230),"F "&amp;TRIM(TEXT($BY230-HeadClr,"# ?/??"))&amp;CHAR(34)&amp;"  ","")&amp;IF(ISNUMBER($BZ230),"E "&amp;TRIM(TEXT($BZ230-HeadClr,"# ?/??"))&amp;CHAR(34)&amp;"  ","")))</f>
        <v/>
      </c>
      <c r="DA230" s="99">
        <f>IF($A230="","",IF($AN230="",IFERROR(VLOOKUP($Z230,CODES,2,FALSE),""),IFERROR(VLOOKUP($AN230,CODES,2,FALSE),"")))</f>
        <v/>
      </c>
      <c r="DB230" s="99">
        <f>IF($A230="","",IF($O230="Y","PR",IF(OR($Z230="L",$Z230="RR",LEFT($Z230,2)="L-",LEFT($Z230,3)="RR-"),"LH","RH")))</f>
        <v/>
      </c>
      <c r="DC230" s="99">
        <f>IF($A230="","","S.HM"&amp;IF(OR($C230="DOOR ONLY",$X230&lt;&gt;"KD"),"MASONRY","DRYWALL")&amp;IF($C230="DOOR ONLY","",$U230)&amp;IF(AND($C230&lt;&gt;"FRAME ONLY",OR(LEFT($AH230,3)="OAK",LEFT($AH230,3)="BIR",LEFT($AH230,3)="MAP",$AH230="PC",$AH230="MC",$AH230="SCLC",$AH230="P-LAM")),"WD","HM")&amp;"1.75")</f>
        <v/>
      </c>
      <c r="DD230" s="99">
        <f>IF($CJ230="","",IF($O230="Y",$CJ230,SUBSTITUTE($CJ230,$BG230&amp;" "&amp;IFERROR(VLOOKUP($Z230,CODES,2,FALSE),"")&amp;" ",$BG230&amp;" ")))</f>
        <v/>
      </c>
      <c r="DE230" s="99">
        <f>IF($CK230="","",IF($O230="Y",$CK230,SUBSTITUTE($CK230,$BG230&amp;" "&amp;IF($AN230="",IFERROR(VLOOKUP($Z230,CODES,2,FALSE),""),IFERROR(VLOOKUP($AN230,CODES,2,FALSE),""))&amp;" ",$BG230&amp;" ")))</f>
        <v/>
      </c>
      <c r="DF230" s="99">
        <f>IF($CJ230="","",$DC230&amp;"|"&amp;$DD230&amp;"|"&amp;$DB230&amp;"|"&amp;$AT230&amp;"|"&amp;$V230&amp;"|"&amp;$Y230&amp;"|"&amp;$AB230)</f>
        <v/>
      </c>
      <c r="DG230" s="99">
        <f>IF(DF230="","",IF(COUNTIF($DF$6:DF230,DF230)=1,MAX($DG$5:DG229)+1,INDEX($DG$5:DG229,MATCH(DF230,$DF$5:DF229,0))))</f>
        <v/>
      </c>
      <c r="DH230" s="99">
        <f>IF($CK230="","",$DC230&amp;"|"&amp;$DE230&amp;"|"&amp;$AI230&amp;"|"&amp;$BK230&amp;"|"&amp;$BL230)</f>
        <v/>
      </c>
      <c r="DI230" s="99">
        <f>IF(DH230="","",IF(COUNTIF($DH$6:DH230,DH230)=1,MAX($DI$5:DI229)+1,INDEX($DI$5:DI229,MATCH(DH230,$DH$5:DH229,0))))</f>
        <v/>
      </c>
      <c r="DJ230" s="99">
        <f>IF($A230="","",IF($B230="","qty, ","")&amp;IF($C230="","scope, ","")&amp;IF(OR($K230="",$M230=""),"size, ","")&amp;IF(AND($A230&lt;&gt;"",$C230&lt;&gt;"DOOR ONLY"),IF($U230="","jamb depth, ","")&amp;IF($X230="","construction, ","")&amp;IF($Y230="","anchor, ","")&amp;IF($S230="","frame type, ",""),"")&amp;IF(AND(N($BJ230)&gt;0,$Z230=""),"hand, ","")&amp;IF(N($BJ230)&gt;0,IF($AH230="","door material, ","")&amp;IF($AL230="","face type, ","")&amp;IF($AP230="","lock prep, ","")&amp;IF(AND($AO230="",$AC230=""),"hinge prep, ",""),"")&amp;IF(AND($CH230&gt;0,$AH230="FRP"),"FRP cannot carry a label, ","")&amp;IF(AND($O230="Y",OR($Z230="L",$Z230="R",$Z230="LR",$Z230="RR")),"pair marked but hand is single, ","")&amp;IF(AND($O230&lt;&gt;"Y",OR($Z230="PR",AND(LEN($Z230)&gt;1,ISNUMBER(SEARCH("-",$Z230))))),"pair hand on a single door, ","")&amp;IF(AND(ISNUMBER($CI230),$CH230&lt;N($CI230)),"wall needs a "&amp;$CI230&amp;" min door, ","")&amp;IF(AND($CH230&gt;=180,AND(OR($CE230="FG",$CE230="HG",$CE230="FNV",$CE230="FV"),N($CF230)*N($CG230)&gt;100)),"180 min lite over 100 sq in, ","")&amp;IF(N($BK230)&gt;48,"leaf wider than 4'-0"&amp;CHAR(34)&amp;", ","")&amp;IF(AND($CT230,COUNT($AW230:$AZ230)=0,$CQ230&gt;0),"CUSTOM LOC with no locations typed, ",""))</f>
        <v/>
      </c>
      <c r="DK230" s="99">
        <f>IF($A230="","",IF(AND($CH230&gt;0,AND($A230&lt;&gt;"",$C230&lt;&gt;"DOOR ONLY"),$X230="KD",$E230="EXTERIOR"),"KD label on an exterior opening, ","")&amp;IF(AND($E230="EXTERIOR",OR(AND(AND($A230&lt;&gt;"",$C230&lt;&gt;"DOOR ONLY"),$W230="CR"),AND(N($BJ230)&gt;0,$AH230="CR"))),"exterior in CR steel (G9?), ","")&amp;IF(AND(ISNUMBER($BQ230),N($BQ230)&lt;32),"clear width ~"&amp;TEXT($BQ230,"0.0")&amp;CHAR(34)&amp;" under 32"&amp;CHAR(34)&amp;" (ADA), ","")&amp;IF(AND($CH230=90,AND(OR($CE230="FG",$CE230="HG",$CE230="FNV",$CE230="FV"),N($CF230)*N($CG230)&gt;100)),"90 min lite over 100 sq in (stair/exit), ","")&amp;IF(AND($CH230&gt;0,AND($A230&lt;&gt;"",$C230&lt;&gt;"DOOR ONLY"),OR($AF230="",$AF230="-")),"rated: closer reinf.?, ","")&amp;IF(OR($I230="CORRIDOR",$I230="SMOKE BARRIER"),"S label + smoke gasketing, ","")&amp;IF($CI230="?","wall type/hr not in IBC table, ","")&amp;IF(AND(N($BJ230)&gt;0,$BB230=""),"no hardware set, ","")&amp;IF(AND($BB230&lt;&gt;"",ISNA(MATCH($BB230&amp;"",HWSets,0))),"set "&amp;$BB230&amp;" not on HW Sets, ","")&amp;IF(N($BL230)&gt;96,"leaf over 8'-0"&amp;CHAR(34)&amp;" - check listing, ","")&amp;IF(AND($CT230,COUNT($AW230:$AZ230)&gt;0,COUNT($AW230:$AZ230)&lt;&gt;$CQ230),COUNT($AW230:$AZ230)&amp;" custom hinges typed, "&amp;$CQ230&amp;" expected, ","")&amp;IF(AND(ISNUMBER($CA230),OR(N($CA230)&lt;34,N($CA230)&gt;48)),"lock "&amp;TEXT($CA230,"0.0")&amp;CHAR(34)&amp;" AFF outside 34-48"&amp;CHAR(34)&amp;" (ADA), ","")&amp;IF(AND(ISNUMBER($AV230),ISNUMBER($BL230),N($AV230)&lt;IF(N($BL230)&lt;=60,2,IF(N($BL230)&lt;=90,3,IF(N($BL230)&lt;=120,4,5)))),"fewer hinges than standard, ",""))</f>
        <v/>
      </c>
    </row>
    <row r="231" ht="15" customHeight="1">
      <c r="A231" s="77" t="n"/>
      <c r="B231" s="78" t="n"/>
      <c r="C231" s="78" t="n"/>
      <c r="D231" s="78" t="n"/>
      <c r="E231" s="78" t="n"/>
      <c r="F231" s="78" t="n"/>
      <c r="G231" s="78" t="n"/>
      <c r="H231" s="78" t="n"/>
      <c r="I231" s="78" t="n"/>
      <c r="J231" s="78" t="n"/>
      <c r="K231" s="78" t="n"/>
      <c r="L231" s="78" t="n"/>
      <c r="M231" s="78" t="n"/>
      <c r="N231" s="78" t="n"/>
      <c r="O231" s="78" t="n"/>
      <c r="P231" s="78" t="n"/>
      <c r="Q231" s="78" t="n"/>
      <c r="R231" s="78" t="n"/>
      <c r="S231" s="79" t="n"/>
      <c r="T231" s="79" t="n"/>
      <c r="U231" s="79" t="n"/>
      <c r="V231" s="79" t="n"/>
      <c r="W231" s="79" t="n"/>
      <c r="X231" s="79" t="n"/>
      <c r="Y231" s="79" t="n"/>
      <c r="Z231" s="79" t="n"/>
      <c r="AA231" s="79" t="n"/>
      <c r="AB231" s="79" t="n"/>
      <c r="AC231" s="79" t="n"/>
      <c r="AD231" s="79" t="n"/>
      <c r="AE231" s="79" t="n"/>
      <c r="AF231" s="79" t="n"/>
      <c r="AG231" s="79" t="n"/>
      <c r="AH231" s="80" t="n"/>
      <c r="AI231" s="80" t="n"/>
      <c r="AJ231" s="80" t="n"/>
      <c r="AK231" s="80" t="n"/>
      <c r="AL231" s="80" t="n"/>
      <c r="AM231" s="80" t="n"/>
      <c r="AN231" s="80" t="n"/>
      <c r="AO231" s="80" t="n"/>
      <c r="AP231" s="80" t="n"/>
      <c r="AQ231" s="80" t="n"/>
      <c r="AR231" s="80" t="n"/>
      <c r="AS231" s="80" t="n"/>
      <c r="AT231" s="81" t="n"/>
      <c r="AU231" s="81" t="n"/>
      <c r="AV231" s="81" t="n"/>
      <c r="AW231" s="82" t="n"/>
      <c r="AX231" s="82" t="n"/>
      <c r="AY231" s="82" t="n"/>
      <c r="AZ231" s="82" t="n"/>
      <c r="BA231" s="82" t="n"/>
      <c r="BB231" s="83" t="n"/>
      <c r="BC231" s="83" t="n"/>
      <c r="BD231" s="84">
        <f>IF($A231="","",IF($DJ231&lt;&gt;"","FIX",IF($DK231&lt;&gt;"","CHECK","OK")))</f>
        <v/>
      </c>
      <c r="BE231" s="85">
        <f>IF($A231="","",IF($DJ231&lt;&gt;"","FIX: "&amp;LEFT($DJ231,LEN($DJ231)-2)&amp;IF($DK231&lt;&gt;"","  ·  ",""),"")&amp;IF($DK231&lt;&gt;"","CHECK: "&amp;LEFT($DK231,LEN($DK231)-2),""))</f>
        <v/>
      </c>
      <c r="BF231" s="84">
        <f>IF(OR($A231="",$K231=""),"",$K231&amp;"'-"&amp;N($L231)&amp;CHAR(34)&amp;" x "&amp;$M231&amp;"'-"&amp;N($N231)&amp;CHAR(34))</f>
        <v/>
      </c>
      <c r="BG231" s="84">
        <f>IF(OR($A231="",$K231=""),"",$K231&amp;N($L231)&amp;$M231&amp;N($N231))</f>
        <v/>
      </c>
      <c r="BH231" s="84">
        <f>IF(OR($A231="",$K231=""),"",$K231*12+N($L231))</f>
        <v/>
      </c>
      <c r="BI231" s="84">
        <f>IF(OR($A231="",$M231=""),"",$M231*12+N($N231))</f>
        <v/>
      </c>
      <c r="BJ231" s="84">
        <f>IF($A231="","",IF(OR($C231="FRAME ONLY",$S231="BL"),0,IF($O231="Y",2,1)))</f>
        <v/>
      </c>
      <c r="BK231" s="86">
        <f>IF(OR(N($BJ231)=0,$BH231=""),"",($BH231-2*EdgeClr-IF($BJ231=2,MeetClr,0))/$BJ231)</f>
        <v/>
      </c>
      <c r="BL231" s="86">
        <f>IF(OR(N($BJ231)=0,$BI231=""),"",$BI231-HeadClr-Undercut)</f>
        <v/>
      </c>
      <c r="BM231" s="86">
        <f>IF($BH231="","",$BH231+2*FaceW+IF(N($Q231)&gt;0,($Q231+FaceW)*IF($R231="LR",2,1),0))</f>
        <v/>
      </c>
      <c r="BN231" s="86">
        <f>IF($BI231="","",$BI231+IF($AB231="Y",4,FaceW)+IF(N($P231)&gt;0,$P231+FaceW,0)+IF(OR($S231="4F",$S231="BL"),FaceW,0))</f>
        <v/>
      </c>
      <c r="BO231" s="86">
        <f>IF($BM231="","",$BM231+2*ROSide)</f>
        <v/>
      </c>
      <c r="BP231" s="86">
        <f>IF($BN231="","",$BN231+ROTop)</f>
        <v/>
      </c>
      <c r="BQ231" s="87">
        <f>IF(OR(N($BJ231)=0,$BH231=""),"",$BH231/$BJ231-ClearDeduct)</f>
        <v/>
      </c>
      <c r="BR231" s="84">
        <f>IF(N($CH231)=0,"",IF($CH231&gt;=180,"A · 3 HR",IF($CH231&gt;=90,"B · 1-1/2 HR",IF($CH231&gt;=60,"B · 1 HR",IF($CH231&gt;=45,"C · 3/4 HR","20 MIN")))))&amp;IF(AND(N($CH231)&gt;0,OR($I231="CORRIDOR",$I231="SMOKE BARRIER"))," · S","")</f>
        <v/>
      </c>
      <c r="BS231" s="84">
        <f>IF($CS231,"",IF($AV231&lt;&gt;"",$AV231,IF(OR($AC231="HGC",$AO231="HGC"),"CONT",IF(($BI231-HeadClr-Undercut)&lt;=60,2,IF(($BI231-HeadClr-Undercut)&lt;=90,3,IF(($BI231-HeadClr-Undercut)&lt;=120,4,5))))))</f>
        <v/>
      </c>
      <c r="BT231" s="84">
        <f>IF($CS231,"",IF($CT231,"CUSTOM (typed)",IF($CV231,$AT231&amp;" "&amp;$CU231&amp;CHAR(34)&amp;IF($CU231&lt;&gt;$BI231,IF(AND($BI231&lt;$CU231,$BI231-IF(N(VLOOKUP($AT231&amp;"|"&amp;$CU231,LocTable,7,FALSE))&gt;0,VLOOKUP($AT231&amp;"|"&amp;$CU231,LocTable,7,FALSE),VLOOKUP($AT231&amp;"|"&amp;$CU231,LocTable,6,FALSE))-$CR231-0.75&gt;=2.125)," cut down"," adj."),""),"ANSI/SDI A250.6")))</f>
        <v/>
      </c>
      <c r="BU231" s="88">
        <f>IF($CS231,"",IF($CT231,IF(N($AW231)&gt;0,N($AW231),""),IF(1&gt;$CQ231,"",IF($CQ231=1,$CW231,$CW231+($CX231-$CW231)*0/($CQ231-1)))))</f>
        <v/>
      </c>
      <c r="BV231" s="88">
        <f>IF($CS231,"",IF($CT231,IF(N($AX231)&gt;0,N($AX231),""),IF(2&gt;$CQ231,"",IF($CQ231=1,$CW231,$CW231+($CX231-$CW231)*1/($CQ231-1)))))</f>
        <v/>
      </c>
      <c r="BW231" s="88">
        <f>IF($CS231,"",IF($CT231,IF(N($AY231)&gt;0,N($AY231),""),IF(3&gt;$CQ231,"",IF($CQ231=1,$CW231,$CW231+($CX231-$CW231)*2/($CQ231-1)))))</f>
        <v/>
      </c>
      <c r="BX231" s="88">
        <f>IF($CS231,"",IF($CT231,IF(N($AZ231)&gt;0,N($AZ231),""),IF(4&gt;$CQ231,"",IF($CQ231=1,$CW231,$CW231+($CX231-$CW231)*3/($CQ231-1)))))</f>
        <v/>
      </c>
      <c r="BY231" s="88">
        <f>IF($CS231,"",IF($CT231,"",IF(5&gt;$CQ231,"",IF($CQ231=1,$CW231,$CW231+($CX231-$CW231)*4/($CQ231-1)))))</f>
        <v/>
      </c>
      <c r="BZ231" s="88">
        <f>IF(OR($CS231,$AP231="-",AND($AP231="",$AD231="")),"",IF(N($BA231)&gt;0,N($BA231),IF($CV231,IF(AND($BI231&lt;$CU231,$BI231-IF(N(VLOOKUP($AT231&amp;"|"&amp;$CU231,LocTable,7,FALSE))&gt;0,VLOOKUP($AT231&amp;"|"&amp;$CU231,LocTable,7,FALSE),VLOOKUP($AT231&amp;"|"&amp;$CU231,LocTable,6,FALSE))-$CR231-0.75&gt;=2.125),VLOOKUP($AT231&amp;"|"&amp;$CU231,LocTable,8,FALSE),VLOOKUP($AT231&amp;"|"&amp;$CU231,LocTable,8,FALSE)+($BI231-$CU231)),$BI231-LockAFF)))</f>
        <v/>
      </c>
      <c r="CA231" s="89">
        <f>IF($BZ231="","",$BI231-$BZ231)</f>
        <v/>
      </c>
      <c r="CB231" s="84">
        <f>IF(OR(NOT(AND($A231&lt;&gt;"",$C231&lt;&gt;"DOOR ONLY")),$BI231=""),"",IF(($BI231+IF(N($P231)&gt;0,$P231+FaceW,0))&lt;=90,3,IF(($BI231+IF(N($P231)&gt;0,$P231+FaceW,0))&lt;=114,4,5)))</f>
        <v/>
      </c>
      <c r="CC231" s="84">
        <f>IF($CB231="","",$CB231*(2+IF(N($Q231)&gt;0,IF($R231="LR",2,1),0)))</f>
        <v/>
      </c>
      <c r="CD231" s="84">
        <f>IF($CB231="","",(2+IF(N($Q231)&gt;0,IF($R231="LR",2,1),0)))</f>
        <v/>
      </c>
      <c r="CE231" s="84">
        <f>IF(N($BJ231)=0,"",IF(OR($AL231="",$AL231="FLUSH"),"FLUSH",IFERROR(LEFT($AL231,FIND("-",$AL231)-1),LEFT($AL231,2))))</f>
        <v/>
      </c>
      <c r="CF231" s="84">
        <f>IF($CE231="","",IFERROR(VALUE(MID($AL231,FIND("-",$AL231)+1,FIND(CHAR(34)&amp;"x",$AL231)-FIND("-",$AL231)-1)),0))</f>
        <v/>
      </c>
      <c r="CG231" s="84">
        <f>IF($CE231="","",IFERROR(VALUE(MID($AL231,FIND(CHAR(34)&amp;"x",$AL231)+2,FIND(CHAR(34),$AL231,FIND(CHAR(34)&amp;"x",$AL231)+2)-FIND(CHAR(34)&amp;"x",$AL231)-2)),0))</f>
        <v/>
      </c>
      <c r="CH231" s="90">
        <f>IF(OR($A231="",$H231="",$H231="NO LAB"),0,IFERROR(VALUE(LEFT($H231,FIND(" ",$H231)-1)),0))</f>
        <v/>
      </c>
      <c r="CI231" s="91">
        <f>IF(OR($A231="",$I231="",$I231="NON-RATED",N($J231)=0),"",IFERROR(VLOOKUP($I231&amp;"|"&amp;$J231,IBC,2,FALSE),"?"))</f>
        <v/>
      </c>
      <c r="CJ231" s="85">
        <f>IF(NOT(AND($A231&lt;&gt;"",$C231&lt;&gt;"DOOR ONLY")),"",TRIM(IFERROR(VLOOKUP($U231,CODES,2,FALSE),"")&amp;" "&amp;$BG231&amp;" "&amp;IFERROR(VLOOKUP($Z231,CODES,2,FALSE),"")&amp;" "&amp;IFERROR(VLOOKUP($X231,CODES,2,FALSE),"")&amp;" "&amp;IFERROR(VLOOKUP($S231,CODES,2,FALSE),"")&amp;IF(N($P231)&gt;0," w/TRANSOM "&amp;$P231&amp;CHAR(34),"")&amp;IF(N($Q231)&gt;0," w/SIDELITE "&amp;$Q231&amp;CHAR(34)&amp;" "&amp;IF($R231="","R",$R231),"")&amp;IF($Y231="","  |  "," | "&amp;IFERROR(VLOOKUP($Y231,CODES,2,FALSE),"")&amp;" | ")&amp;IFERROR(VLOOKUP($AC231,CODES,2,FALSE),"")&amp;" "&amp;IFERROR(VLOOKUP($AD231,CODES,2,FALSE),"")&amp;IF(OR($AE231="",$AE231="-"),""," "&amp;$AE231)&amp;IF(OR($AF231="",$AF231="-"),""," "&amp;$AF231)&amp;IF($AB231="Y"," 4"&amp;CHAR(34)&amp;" HEAD","")&amp;" "&amp;IFERROR(VLOOKUP($H231,CODES,2,FALSE),"")&amp;IF($CT231," | LOC "&amp;$CY231,"")))</f>
        <v/>
      </c>
      <c r="CK231" s="85">
        <f>IF(NOT(AND($A231&lt;&gt;"",N($BJ231)&gt;0)),"",TRIM(IFERROR(VLOOKUP($AH231,CODES,2,FALSE),"")&amp;IF($AI231=""," "," "&amp;$AI231&amp;"GA ")&amp;$BG231&amp;" "&amp;IF($AN231="",IFERROR(VLOOKUP($Z231,CODES,2,FALSE),""),IFERROR(VLOOKUP($AN231,CODES,2,FALSE),""))&amp;IF($BJ231=2," PAIR","")&amp;" DOOR | "&amp;IF($AL231="","?",$AL231)&amp;" | "&amp;IF($AO231="",IFERROR(VLOOKUP($AC231,CODES,2,FALSE),""),IFERROR(VLOOKUP($AO231,CODES,2,FALSE),""))&amp;" "&amp;IFERROR(VLOOKUP($AP231,CODES,2,FALSE),"")&amp;IF(OR($AQ231="",$AQ231="-"),""," SEAM "&amp;$AQ231)&amp;IF($AR231="Y"," ASTRAGAL","")&amp;IF($AJ231=""," "," "&amp;$AJ231)&amp;IF($AK231=""," "," "&amp;$AK231)&amp;IF(OR($AT231="",$AT231="ANSI/SDI",$AT231="CUSTOM LOC"),""," "&amp;$AT231)&amp;IF($AM231=""," "," SERIES "&amp;$AM231)&amp;" "&amp;IFERROR(VLOOKUP($H231,CODES,2,FALSE),"")&amp;IF($CT231," | LOC "&amp;$CZ231,"")))</f>
        <v/>
      </c>
      <c r="CL231" s="84">
        <f>IF(CP231="","",IF(COUNTIF($CP$6:CP231,CP231)=1,MAX($CL$5:CL230)+1,INDEX($CL$5:CL230,MATCH(CP231,$CP$5:CP230,0))))</f>
        <v/>
      </c>
      <c r="CM231" s="84">
        <f>IF(NOT(AND($A231&lt;&gt;"",$C231&lt;&gt;"DOOR ONLY")),"",MAX($CM$5:CM230)+1)</f>
        <v/>
      </c>
      <c r="CN231" s="84">
        <f>IF(NOT(AND($A231&lt;&gt;"",N($BJ231)&gt;0)),"",MAX($CN$5:CN230)+1)</f>
        <v/>
      </c>
      <c r="CO231" s="84">
        <f>IF($A231="","",MAX($CO$5:CO230)+1)</f>
        <v/>
      </c>
      <c r="CP231" s="84">
        <f>IF(OR($A231="",$BH231="",$BI231=""),"",$BG231&amp;"|"&amp;$O231&amp;"|"&amp;$AL231&amp;"|"&amp;$S231&amp;"|"&amp;$P231&amp;"|"&amp;$Q231&amp;$R231&amp;"|"&amp;$C231&amp;"|"&amp;$AB231)</f>
        <v/>
      </c>
      <c r="CQ231" s="84">
        <f>N($BS231)</f>
        <v/>
      </c>
      <c r="CR231" s="84">
        <f>IF(N($AU231)&gt;0,N($AU231),4.5)</f>
        <v/>
      </c>
      <c r="CS231" s="84">
        <f>OR($A231="",$BI231="",$S231="BL",AND($C231="FRAME ONLY",OR($AC231="",$AC231="BLK")))</f>
        <v/>
      </c>
      <c r="CT231" s="84">
        <f>AND(NOT($CS231),OR($AT231="CUSTOM LOC",N($AW231)+N($AX231)+N($AY231)+N($AZ231)+N($BA231)&gt;0))</f>
        <v/>
      </c>
      <c r="CU231" s="84">
        <f>IF($BI231="","",IF($BI231&lt;=80,80,IF($BI231&lt;=84,84,96)))</f>
        <v/>
      </c>
      <c r="CV231" s="84">
        <f>ISNUMBER(MATCH($AT231&amp;"|80",LocKeys,0))</f>
        <v/>
      </c>
      <c r="CW231" s="86">
        <f>IF($CS231,"",IF($CV231,VLOOKUP($AT231&amp;"|"&amp;$CU231,LocTable,4,FALSE),5))</f>
        <v/>
      </c>
      <c r="CX231" s="86">
        <f>IF($CS231,"",IF($CV231,IF(OR($BI231=$CU231,AND($BI231&lt;$CU231,$BI231-IF(N(VLOOKUP($AT231&amp;"|"&amp;$CU231,LocTable,7,FALSE))&gt;0,VLOOKUP($AT231&amp;"|"&amp;$CU231,LocTable,7,FALSE),VLOOKUP($AT231&amp;"|"&amp;$CU231,LocTable,6,FALSE))-$CR231-0.75&gt;=2.125)),IF(N(VLOOKUP($AT231&amp;"|"&amp;$CU231,LocTable,7,FALSE))&gt;0,VLOOKUP($AT231&amp;"|"&amp;$CU231,LocTable,7,FALSE),VLOOKUP($AT231&amp;"|"&amp;$CU231,LocTable,6,FALSE)),$BI231-($CU231-IF(N(VLOOKUP($AT231&amp;"|"&amp;$CU231,LocTable,7,FALSE))&gt;0,VLOOKUP($AT231&amp;"|"&amp;$CU231,LocTable,7,FALSE),VLOOKUP($AT231&amp;"|"&amp;$CU231,LocTable,6,FALSE)))),$BI231-10-$CR231))</f>
        <v/>
      </c>
      <c r="CY231" s="85">
        <f>IF($CS231,"",TRIM(IF(ISNUMBER($BU231),"A "&amp;TRIM(TEXT($BU231,"# ?/??"))&amp;CHAR(34)&amp;"  ","")&amp;IF(ISNUMBER($BV231),"B "&amp;TRIM(TEXT($BV231,"# ?/??"))&amp;CHAR(34)&amp;"  ","")&amp;IF(ISNUMBER($BW231),"C "&amp;TRIM(TEXT($BW231,"# ?/??"))&amp;CHAR(34)&amp;"  ","")&amp;IF(ISNUMBER($BX231),"D "&amp;TRIM(TEXT($BX231,"# ?/??"))&amp;CHAR(34)&amp;"  ","")&amp;IF(ISNUMBER($BY231),"F "&amp;TRIM(TEXT($BY231,"# ?/??"))&amp;CHAR(34)&amp;"  ","")&amp;IF(ISNUMBER($BZ231),"E "&amp;TRIM(TEXT($BZ231,"# ?/??"))&amp;CHAR(34)&amp;"  ","")))</f>
        <v/>
      </c>
      <c r="CZ231" s="85">
        <f>IF(OR($CS231,N($BJ231)=0),"",TRIM(IF(ISNUMBER($BU231),"A "&amp;TRIM(TEXT($BU231-HeadClr,"# ?/??"))&amp;CHAR(34)&amp;"  ","")&amp;IF(ISNUMBER($BV231),"B "&amp;TRIM(TEXT($BV231-HeadClr,"# ?/??"))&amp;CHAR(34)&amp;"  ","")&amp;IF(ISNUMBER($BW231),"C "&amp;TRIM(TEXT($BW231-HeadClr,"# ?/??"))&amp;CHAR(34)&amp;"  ","")&amp;IF(ISNUMBER($BX231),"D "&amp;TRIM(TEXT($BX231-HeadClr,"# ?/??"))&amp;CHAR(34)&amp;"  ","")&amp;IF(ISNUMBER($BY231),"F "&amp;TRIM(TEXT($BY231-HeadClr,"# ?/??"))&amp;CHAR(34)&amp;"  ","")&amp;IF(ISNUMBER($BZ231),"E "&amp;TRIM(TEXT($BZ231-HeadClr,"# ?/??"))&amp;CHAR(34)&amp;"  ","")))</f>
        <v/>
      </c>
      <c r="DA231" s="84">
        <f>IF($A231="","",IF($AN231="",IFERROR(VLOOKUP($Z231,CODES,2,FALSE),""),IFERROR(VLOOKUP($AN231,CODES,2,FALSE),"")))</f>
        <v/>
      </c>
      <c r="DB231" s="84">
        <f>IF($A231="","",IF($O231="Y","PR",IF(OR($Z231="L",$Z231="RR",LEFT($Z231,2)="L-",LEFT($Z231,3)="RR-"),"LH","RH")))</f>
        <v/>
      </c>
      <c r="DC231" s="84">
        <f>IF($A231="","","S.HM"&amp;IF(OR($C231="DOOR ONLY",$X231&lt;&gt;"KD"),"MASONRY","DRYWALL")&amp;IF($C231="DOOR ONLY","",$U231)&amp;IF(AND($C231&lt;&gt;"FRAME ONLY",OR(LEFT($AH231,3)="OAK",LEFT($AH231,3)="BIR",LEFT($AH231,3)="MAP",$AH231="PC",$AH231="MC",$AH231="SCLC",$AH231="P-LAM")),"WD","HM")&amp;"1.75")</f>
        <v/>
      </c>
      <c r="DD231" s="84">
        <f>IF($CJ231="","",IF($O231="Y",$CJ231,SUBSTITUTE($CJ231,$BG231&amp;" "&amp;IFERROR(VLOOKUP($Z231,CODES,2,FALSE),"")&amp;" ",$BG231&amp;" ")))</f>
        <v/>
      </c>
      <c r="DE231" s="84">
        <f>IF($CK231="","",IF($O231="Y",$CK231,SUBSTITUTE($CK231,$BG231&amp;" "&amp;IF($AN231="",IFERROR(VLOOKUP($Z231,CODES,2,FALSE),""),IFERROR(VLOOKUP($AN231,CODES,2,FALSE),""))&amp;" ",$BG231&amp;" ")))</f>
        <v/>
      </c>
      <c r="DF231" s="84">
        <f>IF($CJ231="","",$DC231&amp;"|"&amp;$DD231&amp;"|"&amp;$DB231&amp;"|"&amp;$AT231&amp;"|"&amp;$V231&amp;"|"&amp;$Y231&amp;"|"&amp;$AB231)</f>
        <v/>
      </c>
      <c r="DG231" s="84">
        <f>IF(DF231="","",IF(COUNTIF($DF$6:DF231,DF231)=1,MAX($DG$5:DG230)+1,INDEX($DG$5:DG230,MATCH(DF231,$DF$5:DF230,0))))</f>
        <v/>
      </c>
      <c r="DH231" s="84">
        <f>IF($CK231="","",$DC231&amp;"|"&amp;$DE231&amp;"|"&amp;$AI231&amp;"|"&amp;$BK231&amp;"|"&amp;$BL231)</f>
        <v/>
      </c>
      <c r="DI231" s="84">
        <f>IF(DH231="","",IF(COUNTIF($DH$6:DH231,DH231)=1,MAX($DI$5:DI230)+1,INDEX($DI$5:DI230,MATCH(DH231,$DH$5:DH230,0))))</f>
        <v/>
      </c>
      <c r="DJ231" s="84">
        <f>IF($A231="","",IF($B231="","qty, ","")&amp;IF($C231="","scope, ","")&amp;IF(OR($K231="",$M231=""),"size, ","")&amp;IF(AND($A231&lt;&gt;"",$C231&lt;&gt;"DOOR ONLY"),IF($U231="","jamb depth, ","")&amp;IF($X231="","construction, ","")&amp;IF($Y231="","anchor, ","")&amp;IF($S231="","frame type, ",""),"")&amp;IF(AND(N($BJ231)&gt;0,$Z231=""),"hand, ","")&amp;IF(N($BJ231)&gt;0,IF($AH231="","door material, ","")&amp;IF($AL231="","face type, ","")&amp;IF($AP231="","lock prep, ","")&amp;IF(AND($AO231="",$AC231=""),"hinge prep, ",""),"")&amp;IF(AND($CH231&gt;0,$AH231="FRP"),"FRP cannot carry a label, ","")&amp;IF(AND($O231="Y",OR($Z231="L",$Z231="R",$Z231="LR",$Z231="RR")),"pair marked but hand is single, ","")&amp;IF(AND($O231&lt;&gt;"Y",OR($Z231="PR",AND(LEN($Z231)&gt;1,ISNUMBER(SEARCH("-",$Z231))))),"pair hand on a single door, ","")&amp;IF(AND(ISNUMBER($CI231),$CH231&lt;N($CI231)),"wall needs a "&amp;$CI231&amp;" min door, ","")&amp;IF(AND($CH231&gt;=180,AND(OR($CE231="FG",$CE231="HG",$CE231="FNV",$CE231="FV"),N($CF231)*N($CG231)&gt;100)),"180 min lite over 100 sq in, ","")&amp;IF(N($BK231)&gt;48,"leaf wider than 4'-0"&amp;CHAR(34)&amp;", ","")&amp;IF(AND($CT231,COUNT($AW231:$AZ231)=0,$CQ231&gt;0),"CUSTOM LOC with no locations typed, ",""))</f>
        <v/>
      </c>
      <c r="DK231" s="84">
        <f>IF($A231="","",IF(AND($CH231&gt;0,AND($A231&lt;&gt;"",$C231&lt;&gt;"DOOR ONLY"),$X231="KD",$E231="EXTERIOR"),"KD label on an exterior opening, ","")&amp;IF(AND($E231="EXTERIOR",OR(AND(AND($A231&lt;&gt;"",$C231&lt;&gt;"DOOR ONLY"),$W231="CR"),AND(N($BJ231)&gt;0,$AH231="CR"))),"exterior in CR steel (G9?), ","")&amp;IF(AND(ISNUMBER($BQ231),N($BQ231)&lt;32),"clear width ~"&amp;TEXT($BQ231,"0.0")&amp;CHAR(34)&amp;" under 32"&amp;CHAR(34)&amp;" (ADA), ","")&amp;IF(AND($CH231=90,AND(OR($CE231="FG",$CE231="HG",$CE231="FNV",$CE231="FV"),N($CF231)*N($CG231)&gt;100)),"90 min lite over 100 sq in (stair/exit), ","")&amp;IF(AND($CH231&gt;0,AND($A231&lt;&gt;"",$C231&lt;&gt;"DOOR ONLY"),OR($AF231="",$AF231="-")),"rated: closer reinf.?, ","")&amp;IF(OR($I231="CORRIDOR",$I231="SMOKE BARRIER"),"S label + smoke gasketing, ","")&amp;IF($CI231="?","wall type/hr not in IBC table, ","")&amp;IF(AND(N($BJ231)&gt;0,$BB231=""),"no hardware set, ","")&amp;IF(AND($BB231&lt;&gt;"",ISNA(MATCH($BB231&amp;"",HWSets,0))),"set "&amp;$BB231&amp;" not on HW Sets, ","")&amp;IF(N($BL231)&gt;96,"leaf over 8'-0"&amp;CHAR(34)&amp;" - check listing, ","")&amp;IF(AND($CT231,COUNT($AW231:$AZ231)&gt;0,COUNT($AW231:$AZ231)&lt;&gt;$CQ231),COUNT($AW231:$AZ231)&amp;" custom hinges typed, "&amp;$CQ231&amp;" expected, ","")&amp;IF(AND(ISNUMBER($CA231),OR(N($CA231)&lt;34,N($CA231)&gt;48)),"lock "&amp;TEXT($CA231,"0.0")&amp;CHAR(34)&amp;" AFF outside 34-48"&amp;CHAR(34)&amp;" (ADA), ","")&amp;IF(AND(ISNUMBER($AV231),ISNUMBER($BL231),N($AV231)&lt;IF(N($BL231)&lt;=60,2,IF(N($BL231)&lt;=90,3,IF(N($BL231)&lt;=120,4,5)))),"fewer hinges than standard, ",""))</f>
        <v/>
      </c>
    </row>
    <row r="232" ht="15" customHeight="1">
      <c r="A232" s="77" t="n"/>
      <c r="B232" s="78" t="n"/>
      <c r="C232" s="78" t="n"/>
      <c r="D232" s="78" t="n"/>
      <c r="E232" s="78" t="n"/>
      <c r="F232" s="78" t="n"/>
      <c r="G232" s="78" t="n"/>
      <c r="H232" s="78" t="n"/>
      <c r="I232" s="78" t="n"/>
      <c r="J232" s="78" t="n"/>
      <c r="K232" s="78" t="n"/>
      <c r="L232" s="78" t="n"/>
      <c r="M232" s="78" t="n"/>
      <c r="N232" s="78" t="n"/>
      <c r="O232" s="78" t="n"/>
      <c r="P232" s="78" t="n"/>
      <c r="Q232" s="78" t="n"/>
      <c r="R232" s="78" t="n"/>
      <c r="S232" s="79" t="n"/>
      <c r="T232" s="79" t="n"/>
      <c r="U232" s="79" t="n"/>
      <c r="V232" s="79" t="n"/>
      <c r="W232" s="79" t="n"/>
      <c r="X232" s="79" t="n"/>
      <c r="Y232" s="79" t="n"/>
      <c r="Z232" s="79" t="n"/>
      <c r="AA232" s="79" t="n"/>
      <c r="AB232" s="79" t="n"/>
      <c r="AC232" s="79" t="n"/>
      <c r="AD232" s="79" t="n"/>
      <c r="AE232" s="79" t="n"/>
      <c r="AF232" s="79" t="n"/>
      <c r="AG232" s="79" t="n"/>
      <c r="AH232" s="80" t="n"/>
      <c r="AI232" s="80" t="n"/>
      <c r="AJ232" s="80" t="n"/>
      <c r="AK232" s="80" t="n"/>
      <c r="AL232" s="80" t="n"/>
      <c r="AM232" s="80" t="n"/>
      <c r="AN232" s="80" t="n"/>
      <c r="AO232" s="80" t="n"/>
      <c r="AP232" s="80" t="n"/>
      <c r="AQ232" s="80" t="n"/>
      <c r="AR232" s="80" t="n"/>
      <c r="AS232" s="80" t="n"/>
      <c r="AT232" s="81" t="n"/>
      <c r="AU232" s="81" t="n"/>
      <c r="AV232" s="81" t="n"/>
      <c r="AW232" s="82" t="n"/>
      <c r="AX232" s="82" t="n"/>
      <c r="AY232" s="82" t="n"/>
      <c r="AZ232" s="82" t="n"/>
      <c r="BA232" s="82" t="n"/>
      <c r="BB232" s="83" t="n"/>
      <c r="BC232" s="83" t="n"/>
      <c r="BD232" s="84">
        <f>IF($A232="","",IF($DJ232&lt;&gt;"","FIX",IF($DK232&lt;&gt;"","CHECK","OK")))</f>
        <v/>
      </c>
      <c r="BE232" s="85">
        <f>IF($A232="","",IF($DJ232&lt;&gt;"","FIX: "&amp;LEFT($DJ232,LEN($DJ232)-2)&amp;IF($DK232&lt;&gt;"","  ·  ",""),"")&amp;IF($DK232&lt;&gt;"","CHECK: "&amp;LEFT($DK232,LEN($DK232)-2),""))</f>
        <v/>
      </c>
      <c r="BF232" s="84">
        <f>IF(OR($A232="",$K232=""),"",$K232&amp;"'-"&amp;N($L232)&amp;CHAR(34)&amp;" x "&amp;$M232&amp;"'-"&amp;N($N232)&amp;CHAR(34))</f>
        <v/>
      </c>
      <c r="BG232" s="84">
        <f>IF(OR($A232="",$K232=""),"",$K232&amp;N($L232)&amp;$M232&amp;N($N232))</f>
        <v/>
      </c>
      <c r="BH232" s="84">
        <f>IF(OR($A232="",$K232=""),"",$K232*12+N($L232))</f>
        <v/>
      </c>
      <c r="BI232" s="84">
        <f>IF(OR($A232="",$M232=""),"",$M232*12+N($N232))</f>
        <v/>
      </c>
      <c r="BJ232" s="84">
        <f>IF($A232="","",IF(OR($C232="FRAME ONLY",$S232="BL"),0,IF($O232="Y",2,1)))</f>
        <v/>
      </c>
      <c r="BK232" s="86">
        <f>IF(OR(N($BJ232)=0,$BH232=""),"",($BH232-2*EdgeClr-IF($BJ232=2,MeetClr,0))/$BJ232)</f>
        <v/>
      </c>
      <c r="BL232" s="86">
        <f>IF(OR(N($BJ232)=0,$BI232=""),"",$BI232-HeadClr-Undercut)</f>
        <v/>
      </c>
      <c r="BM232" s="86">
        <f>IF($BH232="","",$BH232+2*FaceW+IF(N($Q232)&gt;0,($Q232+FaceW)*IF($R232="LR",2,1),0))</f>
        <v/>
      </c>
      <c r="BN232" s="86">
        <f>IF($BI232="","",$BI232+IF($AB232="Y",4,FaceW)+IF(N($P232)&gt;0,$P232+FaceW,0)+IF(OR($S232="4F",$S232="BL"),FaceW,0))</f>
        <v/>
      </c>
      <c r="BO232" s="86">
        <f>IF($BM232="","",$BM232+2*ROSide)</f>
        <v/>
      </c>
      <c r="BP232" s="86">
        <f>IF($BN232="","",$BN232+ROTop)</f>
        <v/>
      </c>
      <c r="BQ232" s="87">
        <f>IF(OR(N($BJ232)=0,$BH232=""),"",$BH232/$BJ232-ClearDeduct)</f>
        <v/>
      </c>
      <c r="BR232" s="84">
        <f>IF(N($CH232)=0,"",IF($CH232&gt;=180,"A · 3 HR",IF($CH232&gt;=90,"B · 1-1/2 HR",IF($CH232&gt;=60,"B · 1 HR",IF($CH232&gt;=45,"C · 3/4 HR","20 MIN")))))&amp;IF(AND(N($CH232)&gt;0,OR($I232="CORRIDOR",$I232="SMOKE BARRIER"))," · S","")</f>
        <v/>
      </c>
      <c r="BS232" s="84">
        <f>IF($CS232,"",IF($AV232&lt;&gt;"",$AV232,IF(OR($AC232="HGC",$AO232="HGC"),"CONT",IF(($BI232-HeadClr-Undercut)&lt;=60,2,IF(($BI232-HeadClr-Undercut)&lt;=90,3,IF(($BI232-HeadClr-Undercut)&lt;=120,4,5))))))</f>
        <v/>
      </c>
      <c r="BT232" s="84">
        <f>IF($CS232,"",IF($CT232,"CUSTOM (typed)",IF($CV232,$AT232&amp;" "&amp;$CU232&amp;CHAR(34)&amp;IF($CU232&lt;&gt;$BI232,IF(AND($BI232&lt;$CU232,$BI232-IF(N(VLOOKUP($AT232&amp;"|"&amp;$CU232,LocTable,7,FALSE))&gt;0,VLOOKUP($AT232&amp;"|"&amp;$CU232,LocTable,7,FALSE),VLOOKUP($AT232&amp;"|"&amp;$CU232,LocTable,6,FALSE))-$CR232-0.75&gt;=2.125)," cut down"," adj."),""),"ANSI/SDI A250.6")))</f>
        <v/>
      </c>
      <c r="BU232" s="88">
        <f>IF($CS232,"",IF($CT232,IF(N($AW232)&gt;0,N($AW232),""),IF(1&gt;$CQ232,"",IF($CQ232=1,$CW232,$CW232+($CX232-$CW232)*0/($CQ232-1)))))</f>
        <v/>
      </c>
      <c r="BV232" s="88">
        <f>IF($CS232,"",IF($CT232,IF(N($AX232)&gt;0,N($AX232),""),IF(2&gt;$CQ232,"",IF($CQ232=1,$CW232,$CW232+($CX232-$CW232)*1/($CQ232-1)))))</f>
        <v/>
      </c>
      <c r="BW232" s="88">
        <f>IF($CS232,"",IF($CT232,IF(N($AY232)&gt;0,N($AY232),""),IF(3&gt;$CQ232,"",IF($CQ232=1,$CW232,$CW232+($CX232-$CW232)*2/($CQ232-1)))))</f>
        <v/>
      </c>
      <c r="BX232" s="88">
        <f>IF($CS232,"",IF($CT232,IF(N($AZ232)&gt;0,N($AZ232),""),IF(4&gt;$CQ232,"",IF($CQ232=1,$CW232,$CW232+($CX232-$CW232)*3/($CQ232-1)))))</f>
        <v/>
      </c>
      <c r="BY232" s="88">
        <f>IF($CS232,"",IF($CT232,"",IF(5&gt;$CQ232,"",IF($CQ232=1,$CW232,$CW232+($CX232-$CW232)*4/($CQ232-1)))))</f>
        <v/>
      </c>
      <c r="BZ232" s="88">
        <f>IF(OR($CS232,$AP232="-",AND($AP232="",$AD232="")),"",IF(N($BA232)&gt;0,N($BA232),IF($CV232,IF(AND($BI232&lt;$CU232,$BI232-IF(N(VLOOKUP($AT232&amp;"|"&amp;$CU232,LocTable,7,FALSE))&gt;0,VLOOKUP($AT232&amp;"|"&amp;$CU232,LocTable,7,FALSE),VLOOKUP($AT232&amp;"|"&amp;$CU232,LocTable,6,FALSE))-$CR232-0.75&gt;=2.125),VLOOKUP($AT232&amp;"|"&amp;$CU232,LocTable,8,FALSE),VLOOKUP($AT232&amp;"|"&amp;$CU232,LocTable,8,FALSE)+($BI232-$CU232)),$BI232-LockAFF)))</f>
        <v/>
      </c>
      <c r="CA232" s="89">
        <f>IF($BZ232="","",$BI232-$BZ232)</f>
        <v/>
      </c>
      <c r="CB232" s="84">
        <f>IF(OR(NOT(AND($A232&lt;&gt;"",$C232&lt;&gt;"DOOR ONLY")),$BI232=""),"",IF(($BI232+IF(N($P232)&gt;0,$P232+FaceW,0))&lt;=90,3,IF(($BI232+IF(N($P232)&gt;0,$P232+FaceW,0))&lt;=114,4,5)))</f>
        <v/>
      </c>
      <c r="CC232" s="84">
        <f>IF($CB232="","",$CB232*(2+IF(N($Q232)&gt;0,IF($R232="LR",2,1),0)))</f>
        <v/>
      </c>
      <c r="CD232" s="84">
        <f>IF($CB232="","",(2+IF(N($Q232)&gt;0,IF($R232="LR",2,1),0)))</f>
        <v/>
      </c>
      <c r="CE232" s="84">
        <f>IF(N($BJ232)=0,"",IF(OR($AL232="",$AL232="FLUSH"),"FLUSH",IFERROR(LEFT($AL232,FIND("-",$AL232)-1),LEFT($AL232,2))))</f>
        <v/>
      </c>
      <c r="CF232" s="84">
        <f>IF($CE232="","",IFERROR(VALUE(MID($AL232,FIND("-",$AL232)+1,FIND(CHAR(34)&amp;"x",$AL232)-FIND("-",$AL232)-1)),0))</f>
        <v/>
      </c>
      <c r="CG232" s="84">
        <f>IF($CE232="","",IFERROR(VALUE(MID($AL232,FIND(CHAR(34)&amp;"x",$AL232)+2,FIND(CHAR(34),$AL232,FIND(CHAR(34)&amp;"x",$AL232)+2)-FIND(CHAR(34)&amp;"x",$AL232)-2)),0))</f>
        <v/>
      </c>
      <c r="CH232" s="90">
        <f>IF(OR($A232="",$H232="",$H232="NO LAB"),0,IFERROR(VALUE(LEFT($H232,FIND(" ",$H232)-1)),0))</f>
        <v/>
      </c>
      <c r="CI232" s="91">
        <f>IF(OR($A232="",$I232="",$I232="NON-RATED",N($J232)=0),"",IFERROR(VLOOKUP($I232&amp;"|"&amp;$J232,IBC,2,FALSE),"?"))</f>
        <v/>
      </c>
      <c r="CJ232" s="85">
        <f>IF(NOT(AND($A232&lt;&gt;"",$C232&lt;&gt;"DOOR ONLY")),"",TRIM(IFERROR(VLOOKUP($U232,CODES,2,FALSE),"")&amp;" "&amp;$BG232&amp;" "&amp;IFERROR(VLOOKUP($Z232,CODES,2,FALSE),"")&amp;" "&amp;IFERROR(VLOOKUP($X232,CODES,2,FALSE),"")&amp;" "&amp;IFERROR(VLOOKUP($S232,CODES,2,FALSE),"")&amp;IF(N($P232)&gt;0," w/TRANSOM "&amp;$P232&amp;CHAR(34),"")&amp;IF(N($Q232)&gt;0," w/SIDELITE "&amp;$Q232&amp;CHAR(34)&amp;" "&amp;IF($R232="","R",$R232),"")&amp;IF($Y232="","  |  "," | "&amp;IFERROR(VLOOKUP($Y232,CODES,2,FALSE),"")&amp;" | ")&amp;IFERROR(VLOOKUP($AC232,CODES,2,FALSE),"")&amp;" "&amp;IFERROR(VLOOKUP($AD232,CODES,2,FALSE),"")&amp;IF(OR($AE232="",$AE232="-"),""," "&amp;$AE232)&amp;IF(OR($AF232="",$AF232="-"),""," "&amp;$AF232)&amp;IF($AB232="Y"," 4"&amp;CHAR(34)&amp;" HEAD","")&amp;" "&amp;IFERROR(VLOOKUP($H232,CODES,2,FALSE),"")&amp;IF($CT232," | LOC "&amp;$CY232,"")))</f>
        <v/>
      </c>
      <c r="CK232" s="85">
        <f>IF(NOT(AND($A232&lt;&gt;"",N($BJ232)&gt;0)),"",TRIM(IFERROR(VLOOKUP($AH232,CODES,2,FALSE),"")&amp;IF($AI232=""," "," "&amp;$AI232&amp;"GA ")&amp;$BG232&amp;" "&amp;IF($AN232="",IFERROR(VLOOKUP($Z232,CODES,2,FALSE),""),IFERROR(VLOOKUP($AN232,CODES,2,FALSE),""))&amp;IF($BJ232=2," PAIR","")&amp;" DOOR | "&amp;IF($AL232="","?",$AL232)&amp;" | "&amp;IF($AO232="",IFERROR(VLOOKUP($AC232,CODES,2,FALSE),""),IFERROR(VLOOKUP($AO232,CODES,2,FALSE),""))&amp;" "&amp;IFERROR(VLOOKUP($AP232,CODES,2,FALSE),"")&amp;IF(OR($AQ232="",$AQ232="-"),""," SEAM "&amp;$AQ232)&amp;IF($AR232="Y"," ASTRAGAL","")&amp;IF($AJ232=""," "," "&amp;$AJ232)&amp;IF($AK232=""," "," "&amp;$AK232)&amp;IF(OR($AT232="",$AT232="ANSI/SDI",$AT232="CUSTOM LOC"),""," "&amp;$AT232)&amp;IF($AM232=""," "," SERIES "&amp;$AM232)&amp;" "&amp;IFERROR(VLOOKUP($H232,CODES,2,FALSE),"")&amp;IF($CT232," | LOC "&amp;$CZ232,"")))</f>
        <v/>
      </c>
      <c r="CL232" s="84">
        <f>IF(CP232="","",IF(COUNTIF($CP$6:CP232,CP232)=1,MAX($CL$5:CL231)+1,INDEX($CL$5:CL231,MATCH(CP232,$CP$5:CP231,0))))</f>
        <v/>
      </c>
      <c r="CM232" s="84">
        <f>IF(NOT(AND($A232&lt;&gt;"",$C232&lt;&gt;"DOOR ONLY")),"",MAX($CM$5:CM231)+1)</f>
        <v/>
      </c>
      <c r="CN232" s="84">
        <f>IF(NOT(AND($A232&lt;&gt;"",N($BJ232)&gt;0)),"",MAX($CN$5:CN231)+1)</f>
        <v/>
      </c>
      <c r="CO232" s="84">
        <f>IF($A232="","",MAX($CO$5:CO231)+1)</f>
        <v/>
      </c>
      <c r="CP232" s="84">
        <f>IF(OR($A232="",$BH232="",$BI232=""),"",$BG232&amp;"|"&amp;$O232&amp;"|"&amp;$AL232&amp;"|"&amp;$S232&amp;"|"&amp;$P232&amp;"|"&amp;$Q232&amp;$R232&amp;"|"&amp;$C232&amp;"|"&amp;$AB232)</f>
        <v/>
      </c>
      <c r="CQ232" s="84">
        <f>N($BS232)</f>
        <v/>
      </c>
      <c r="CR232" s="84">
        <f>IF(N($AU232)&gt;0,N($AU232),4.5)</f>
        <v/>
      </c>
      <c r="CS232" s="84">
        <f>OR($A232="",$BI232="",$S232="BL",AND($C232="FRAME ONLY",OR($AC232="",$AC232="BLK")))</f>
        <v/>
      </c>
      <c r="CT232" s="84">
        <f>AND(NOT($CS232),OR($AT232="CUSTOM LOC",N($AW232)+N($AX232)+N($AY232)+N($AZ232)+N($BA232)&gt;0))</f>
        <v/>
      </c>
      <c r="CU232" s="84">
        <f>IF($BI232="","",IF($BI232&lt;=80,80,IF($BI232&lt;=84,84,96)))</f>
        <v/>
      </c>
      <c r="CV232" s="84">
        <f>ISNUMBER(MATCH($AT232&amp;"|80",LocKeys,0))</f>
        <v/>
      </c>
      <c r="CW232" s="86">
        <f>IF($CS232,"",IF($CV232,VLOOKUP($AT232&amp;"|"&amp;$CU232,LocTable,4,FALSE),5))</f>
        <v/>
      </c>
      <c r="CX232" s="86">
        <f>IF($CS232,"",IF($CV232,IF(OR($BI232=$CU232,AND($BI232&lt;$CU232,$BI232-IF(N(VLOOKUP($AT232&amp;"|"&amp;$CU232,LocTable,7,FALSE))&gt;0,VLOOKUP($AT232&amp;"|"&amp;$CU232,LocTable,7,FALSE),VLOOKUP($AT232&amp;"|"&amp;$CU232,LocTable,6,FALSE))-$CR232-0.75&gt;=2.125)),IF(N(VLOOKUP($AT232&amp;"|"&amp;$CU232,LocTable,7,FALSE))&gt;0,VLOOKUP($AT232&amp;"|"&amp;$CU232,LocTable,7,FALSE),VLOOKUP($AT232&amp;"|"&amp;$CU232,LocTable,6,FALSE)),$BI232-($CU232-IF(N(VLOOKUP($AT232&amp;"|"&amp;$CU232,LocTable,7,FALSE))&gt;0,VLOOKUP($AT232&amp;"|"&amp;$CU232,LocTable,7,FALSE),VLOOKUP($AT232&amp;"|"&amp;$CU232,LocTable,6,FALSE)))),$BI232-10-$CR232))</f>
        <v/>
      </c>
      <c r="CY232" s="85">
        <f>IF($CS232,"",TRIM(IF(ISNUMBER($BU232),"A "&amp;TRIM(TEXT($BU232,"# ?/??"))&amp;CHAR(34)&amp;"  ","")&amp;IF(ISNUMBER($BV232),"B "&amp;TRIM(TEXT($BV232,"# ?/??"))&amp;CHAR(34)&amp;"  ","")&amp;IF(ISNUMBER($BW232),"C "&amp;TRIM(TEXT($BW232,"# ?/??"))&amp;CHAR(34)&amp;"  ","")&amp;IF(ISNUMBER($BX232),"D "&amp;TRIM(TEXT($BX232,"# ?/??"))&amp;CHAR(34)&amp;"  ","")&amp;IF(ISNUMBER($BY232),"F "&amp;TRIM(TEXT($BY232,"# ?/??"))&amp;CHAR(34)&amp;"  ","")&amp;IF(ISNUMBER($BZ232),"E "&amp;TRIM(TEXT($BZ232,"# ?/??"))&amp;CHAR(34)&amp;"  ","")))</f>
        <v/>
      </c>
      <c r="CZ232" s="85">
        <f>IF(OR($CS232,N($BJ232)=0),"",TRIM(IF(ISNUMBER($BU232),"A "&amp;TRIM(TEXT($BU232-HeadClr,"# ?/??"))&amp;CHAR(34)&amp;"  ","")&amp;IF(ISNUMBER($BV232),"B "&amp;TRIM(TEXT($BV232-HeadClr,"# ?/??"))&amp;CHAR(34)&amp;"  ","")&amp;IF(ISNUMBER($BW232),"C "&amp;TRIM(TEXT($BW232-HeadClr,"# ?/??"))&amp;CHAR(34)&amp;"  ","")&amp;IF(ISNUMBER($BX232),"D "&amp;TRIM(TEXT($BX232-HeadClr,"# ?/??"))&amp;CHAR(34)&amp;"  ","")&amp;IF(ISNUMBER($BY232),"F "&amp;TRIM(TEXT($BY232-HeadClr,"# ?/??"))&amp;CHAR(34)&amp;"  ","")&amp;IF(ISNUMBER($BZ232),"E "&amp;TRIM(TEXT($BZ232-HeadClr,"# ?/??"))&amp;CHAR(34)&amp;"  ","")))</f>
        <v/>
      </c>
      <c r="DA232" s="84">
        <f>IF($A232="","",IF($AN232="",IFERROR(VLOOKUP($Z232,CODES,2,FALSE),""),IFERROR(VLOOKUP($AN232,CODES,2,FALSE),"")))</f>
        <v/>
      </c>
      <c r="DB232" s="84">
        <f>IF($A232="","",IF($O232="Y","PR",IF(OR($Z232="L",$Z232="RR",LEFT($Z232,2)="L-",LEFT($Z232,3)="RR-"),"LH","RH")))</f>
        <v/>
      </c>
      <c r="DC232" s="84">
        <f>IF($A232="","","S.HM"&amp;IF(OR($C232="DOOR ONLY",$X232&lt;&gt;"KD"),"MASONRY","DRYWALL")&amp;IF($C232="DOOR ONLY","",$U232)&amp;IF(AND($C232&lt;&gt;"FRAME ONLY",OR(LEFT($AH232,3)="OAK",LEFT($AH232,3)="BIR",LEFT($AH232,3)="MAP",$AH232="PC",$AH232="MC",$AH232="SCLC",$AH232="P-LAM")),"WD","HM")&amp;"1.75")</f>
        <v/>
      </c>
      <c r="DD232" s="84">
        <f>IF($CJ232="","",IF($O232="Y",$CJ232,SUBSTITUTE($CJ232,$BG232&amp;" "&amp;IFERROR(VLOOKUP($Z232,CODES,2,FALSE),"")&amp;" ",$BG232&amp;" ")))</f>
        <v/>
      </c>
      <c r="DE232" s="84">
        <f>IF($CK232="","",IF($O232="Y",$CK232,SUBSTITUTE($CK232,$BG232&amp;" "&amp;IF($AN232="",IFERROR(VLOOKUP($Z232,CODES,2,FALSE),""),IFERROR(VLOOKUP($AN232,CODES,2,FALSE),""))&amp;" ",$BG232&amp;" ")))</f>
        <v/>
      </c>
      <c r="DF232" s="84">
        <f>IF($CJ232="","",$DC232&amp;"|"&amp;$DD232&amp;"|"&amp;$DB232&amp;"|"&amp;$AT232&amp;"|"&amp;$V232&amp;"|"&amp;$Y232&amp;"|"&amp;$AB232)</f>
        <v/>
      </c>
      <c r="DG232" s="84">
        <f>IF(DF232="","",IF(COUNTIF($DF$6:DF232,DF232)=1,MAX($DG$5:DG231)+1,INDEX($DG$5:DG231,MATCH(DF232,$DF$5:DF231,0))))</f>
        <v/>
      </c>
      <c r="DH232" s="84">
        <f>IF($CK232="","",$DC232&amp;"|"&amp;$DE232&amp;"|"&amp;$AI232&amp;"|"&amp;$BK232&amp;"|"&amp;$BL232)</f>
        <v/>
      </c>
      <c r="DI232" s="84">
        <f>IF(DH232="","",IF(COUNTIF($DH$6:DH232,DH232)=1,MAX($DI$5:DI231)+1,INDEX($DI$5:DI231,MATCH(DH232,$DH$5:DH231,0))))</f>
        <v/>
      </c>
      <c r="DJ232" s="84">
        <f>IF($A232="","",IF($B232="","qty, ","")&amp;IF($C232="","scope, ","")&amp;IF(OR($K232="",$M232=""),"size, ","")&amp;IF(AND($A232&lt;&gt;"",$C232&lt;&gt;"DOOR ONLY"),IF($U232="","jamb depth, ","")&amp;IF($X232="","construction, ","")&amp;IF($Y232="","anchor, ","")&amp;IF($S232="","frame type, ",""),"")&amp;IF(AND(N($BJ232)&gt;0,$Z232=""),"hand, ","")&amp;IF(N($BJ232)&gt;0,IF($AH232="","door material, ","")&amp;IF($AL232="","face type, ","")&amp;IF($AP232="","lock prep, ","")&amp;IF(AND($AO232="",$AC232=""),"hinge prep, ",""),"")&amp;IF(AND($CH232&gt;0,$AH232="FRP"),"FRP cannot carry a label, ","")&amp;IF(AND($O232="Y",OR($Z232="L",$Z232="R",$Z232="LR",$Z232="RR")),"pair marked but hand is single, ","")&amp;IF(AND($O232&lt;&gt;"Y",OR($Z232="PR",AND(LEN($Z232)&gt;1,ISNUMBER(SEARCH("-",$Z232))))),"pair hand on a single door, ","")&amp;IF(AND(ISNUMBER($CI232),$CH232&lt;N($CI232)),"wall needs a "&amp;$CI232&amp;" min door, ","")&amp;IF(AND($CH232&gt;=180,AND(OR($CE232="FG",$CE232="HG",$CE232="FNV",$CE232="FV"),N($CF232)*N($CG232)&gt;100)),"180 min lite over 100 sq in, ","")&amp;IF(N($BK232)&gt;48,"leaf wider than 4'-0"&amp;CHAR(34)&amp;", ","")&amp;IF(AND($CT232,COUNT($AW232:$AZ232)=0,$CQ232&gt;0),"CUSTOM LOC with no locations typed, ",""))</f>
        <v/>
      </c>
      <c r="DK232" s="84">
        <f>IF($A232="","",IF(AND($CH232&gt;0,AND($A232&lt;&gt;"",$C232&lt;&gt;"DOOR ONLY"),$X232="KD",$E232="EXTERIOR"),"KD label on an exterior opening, ","")&amp;IF(AND($E232="EXTERIOR",OR(AND(AND($A232&lt;&gt;"",$C232&lt;&gt;"DOOR ONLY"),$W232="CR"),AND(N($BJ232)&gt;0,$AH232="CR"))),"exterior in CR steel (G9?), ","")&amp;IF(AND(ISNUMBER($BQ232),N($BQ232)&lt;32),"clear width ~"&amp;TEXT($BQ232,"0.0")&amp;CHAR(34)&amp;" under 32"&amp;CHAR(34)&amp;" (ADA), ","")&amp;IF(AND($CH232=90,AND(OR($CE232="FG",$CE232="HG",$CE232="FNV",$CE232="FV"),N($CF232)*N($CG232)&gt;100)),"90 min lite over 100 sq in (stair/exit), ","")&amp;IF(AND($CH232&gt;0,AND($A232&lt;&gt;"",$C232&lt;&gt;"DOOR ONLY"),OR($AF232="",$AF232="-")),"rated: closer reinf.?, ","")&amp;IF(OR($I232="CORRIDOR",$I232="SMOKE BARRIER"),"S label + smoke gasketing, ","")&amp;IF($CI232="?","wall type/hr not in IBC table, ","")&amp;IF(AND(N($BJ232)&gt;0,$BB232=""),"no hardware set, ","")&amp;IF(AND($BB232&lt;&gt;"",ISNA(MATCH($BB232&amp;"",HWSets,0))),"set "&amp;$BB232&amp;" not on HW Sets, ","")&amp;IF(N($BL232)&gt;96,"leaf over 8'-0"&amp;CHAR(34)&amp;" - check listing, ","")&amp;IF(AND($CT232,COUNT($AW232:$AZ232)&gt;0,COUNT($AW232:$AZ232)&lt;&gt;$CQ232),COUNT($AW232:$AZ232)&amp;" custom hinges typed, "&amp;$CQ232&amp;" expected, ","")&amp;IF(AND(ISNUMBER($CA232),OR(N($CA232)&lt;34,N($CA232)&gt;48)),"lock "&amp;TEXT($CA232,"0.0")&amp;CHAR(34)&amp;" AFF outside 34-48"&amp;CHAR(34)&amp;" (ADA), ","")&amp;IF(AND(ISNUMBER($AV232),ISNUMBER($BL232),N($AV232)&lt;IF(N($BL232)&lt;=60,2,IF(N($BL232)&lt;=90,3,IF(N($BL232)&lt;=120,4,5)))),"fewer hinges than standard, ",""))</f>
        <v/>
      </c>
    </row>
    <row r="233" ht="15" customHeight="1">
      <c r="A233" s="77" t="n"/>
      <c r="B233" s="78" t="n"/>
      <c r="C233" s="78" t="n"/>
      <c r="D233" s="78" t="n"/>
      <c r="E233" s="78" t="n"/>
      <c r="F233" s="78" t="n"/>
      <c r="G233" s="78" t="n"/>
      <c r="H233" s="78" t="n"/>
      <c r="I233" s="78" t="n"/>
      <c r="J233" s="78" t="n"/>
      <c r="K233" s="78" t="n"/>
      <c r="L233" s="78" t="n"/>
      <c r="M233" s="78" t="n"/>
      <c r="N233" s="78" t="n"/>
      <c r="O233" s="78" t="n"/>
      <c r="P233" s="78" t="n"/>
      <c r="Q233" s="78" t="n"/>
      <c r="R233" s="78" t="n"/>
      <c r="S233" s="79" t="n"/>
      <c r="T233" s="79" t="n"/>
      <c r="U233" s="79" t="n"/>
      <c r="V233" s="79" t="n"/>
      <c r="W233" s="79" t="n"/>
      <c r="X233" s="79" t="n"/>
      <c r="Y233" s="79" t="n"/>
      <c r="Z233" s="79" t="n"/>
      <c r="AA233" s="79" t="n"/>
      <c r="AB233" s="79" t="n"/>
      <c r="AC233" s="79" t="n"/>
      <c r="AD233" s="79" t="n"/>
      <c r="AE233" s="79" t="n"/>
      <c r="AF233" s="79" t="n"/>
      <c r="AG233" s="79" t="n"/>
      <c r="AH233" s="80" t="n"/>
      <c r="AI233" s="80" t="n"/>
      <c r="AJ233" s="80" t="n"/>
      <c r="AK233" s="80" t="n"/>
      <c r="AL233" s="80" t="n"/>
      <c r="AM233" s="80" t="n"/>
      <c r="AN233" s="80" t="n"/>
      <c r="AO233" s="80" t="n"/>
      <c r="AP233" s="80" t="n"/>
      <c r="AQ233" s="80" t="n"/>
      <c r="AR233" s="80" t="n"/>
      <c r="AS233" s="80" t="n"/>
      <c r="AT233" s="81" t="n"/>
      <c r="AU233" s="81" t="n"/>
      <c r="AV233" s="81" t="n"/>
      <c r="AW233" s="82" t="n"/>
      <c r="AX233" s="82" t="n"/>
      <c r="AY233" s="82" t="n"/>
      <c r="AZ233" s="82" t="n"/>
      <c r="BA233" s="82" t="n"/>
      <c r="BB233" s="83" t="n"/>
      <c r="BC233" s="83" t="n"/>
      <c r="BD233" s="84">
        <f>IF($A233="","",IF($DJ233&lt;&gt;"","FIX",IF($DK233&lt;&gt;"","CHECK","OK")))</f>
        <v/>
      </c>
      <c r="BE233" s="85">
        <f>IF($A233="","",IF($DJ233&lt;&gt;"","FIX: "&amp;LEFT($DJ233,LEN($DJ233)-2)&amp;IF($DK233&lt;&gt;"","  ·  ",""),"")&amp;IF($DK233&lt;&gt;"","CHECK: "&amp;LEFT($DK233,LEN($DK233)-2),""))</f>
        <v/>
      </c>
      <c r="BF233" s="84">
        <f>IF(OR($A233="",$K233=""),"",$K233&amp;"'-"&amp;N($L233)&amp;CHAR(34)&amp;" x "&amp;$M233&amp;"'-"&amp;N($N233)&amp;CHAR(34))</f>
        <v/>
      </c>
      <c r="BG233" s="84">
        <f>IF(OR($A233="",$K233=""),"",$K233&amp;N($L233)&amp;$M233&amp;N($N233))</f>
        <v/>
      </c>
      <c r="BH233" s="84">
        <f>IF(OR($A233="",$K233=""),"",$K233*12+N($L233))</f>
        <v/>
      </c>
      <c r="BI233" s="84">
        <f>IF(OR($A233="",$M233=""),"",$M233*12+N($N233))</f>
        <v/>
      </c>
      <c r="BJ233" s="84">
        <f>IF($A233="","",IF(OR($C233="FRAME ONLY",$S233="BL"),0,IF($O233="Y",2,1)))</f>
        <v/>
      </c>
      <c r="BK233" s="86">
        <f>IF(OR(N($BJ233)=0,$BH233=""),"",($BH233-2*EdgeClr-IF($BJ233=2,MeetClr,0))/$BJ233)</f>
        <v/>
      </c>
      <c r="BL233" s="86">
        <f>IF(OR(N($BJ233)=0,$BI233=""),"",$BI233-HeadClr-Undercut)</f>
        <v/>
      </c>
      <c r="BM233" s="86">
        <f>IF($BH233="","",$BH233+2*FaceW+IF(N($Q233)&gt;0,($Q233+FaceW)*IF($R233="LR",2,1),0))</f>
        <v/>
      </c>
      <c r="BN233" s="86">
        <f>IF($BI233="","",$BI233+IF($AB233="Y",4,FaceW)+IF(N($P233)&gt;0,$P233+FaceW,0)+IF(OR($S233="4F",$S233="BL"),FaceW,0))</f>
        <v/>
      </c>
      <c r="BO233" s="86">
        <f>IF($BM233="","",$BM233+2*ROSide)</f>
        <v/>
      </c>
      <c r="BP233" s="86">
        <f>IF($BN233="","",$BN233+ROTop)</f>
        <v/>
      </c>
      <c r="BQ233" s="87">
        <f>IF(OR(N($BJ233)=0,$BH233=""),"",$BH233/$BJ233-ClearDeduct)</f>
        <v/>
      </c>
      <c r="BR233" s="84">
        <f>IF(N($CH233)=0,"",IF($CH233&gt;=180,"A · 3 HR",IF($CH233&gt;=90,"B · 1-1/2 HR",IF($CH233&gt;=60,"B · 1 HR",IF($CH233&gt;=45,"C · 3/4 HR","20 MIN")))))&amp;IF(AND(N($CH233)&gt;0,OR($I233="CORRIDOR",$I233="SMOKE BARRIER"))," · S","")</f>
        <v/>
      </c>
      <c r="BS233" s="84">
        <f>IF($CS233,"",IF($AV233&lt;&gt;"",$AV233,IF(OR($AC233="HGC",$AO233="HGC"),"CONT",IF(($BI233-HeadClr-Undercut)&lt;=60,2,IF(($BI233-HeadClr-Undercut)&lt;=90,3,IF(($BI233-HeadClr-Undercut)&lt;=120,4,5))))))</f>
        <v/>
      </c>
      <c r="BT233" s="84">
        <f>IF($CS233,"",IF($CT233,"CUSTOM (typed)",IF($CV233,$AT233&amp;" "&amp;$CU233&amp;CHAR(34)&amp;IF($CU233&lt;&gt;$BI233,IF(AND($BI233&lt;$CU233,$BI233-IF(N(VLOOKUP($AT233&amp;"|"&amp;$CU233,LocTable,7,FALSE))&gt;0,VLOOKUP($AT233&amp;"|"&amp;$CU233,LocTable,7,FALSE),VLOOKUP($AT233&amp;"|"&amp;$CU233,LocTable,6,FALSE))-$CR233-0.75&gt;=2.125)," cut down"," adj."),""),"ANSI/SDI A250.6")))</f>
        <v/>
      </c>
      <c r="BU233" s="88">
        <f>IF($CS233,"",IF($CT233,IF(N($AW233)&gt;0,N($AW233),""),IF(1&gt;$CQ233,"",IF($CQ233=1,$CW233,$CW233+($CX233-$CW233)*0/($CQ233-1)))))</f>
        <v/>
      </c>
      <c r="BV233" s="88">
        <f>IF($CS233,"",IF($CT233,IF(N($AX233)&gt;0,N($AX233),""),IF(2&gt;$CQ233,"",IF($CQ233=1,$CW233,$CW233+($CX233-$CW233)*1/($CQ233-1)))))</f>
        <v/>
      </c>
      <c r="BW233" s="88">
        <f>IF($CS233,"",IF($CT233,IF(N($AY233)&gt;0,N($AY233),""),IF(3&gt;$CQ233,"",IF($CQ233=1,$CW233,$CW233+($CX233-$CW233)*2/($CQ233-1)))))</f>
        <v/>
      </c>
      <c r="BX233" s="88">
        <f>IF($CS233,"",IF($CT233,IF(N($AZ233)&gt;0,N($AZ233),""),IF(4&gt;$CQ233,"",IF($CQ233=1,$CW233,$CW233+($CX233-$CW233)*3/($CQ233-1)))))</f>
        <v/>
      </c>
      <c r="BY233" s="88">
        <f>IF($CS233,"",IF($CT233,"",IF(5&gt;$CQ233,"",IF($CQ233=1,$CW233,$CW233+($CX233-$CW233)*4/($CQ233-1)))))</f>
        <v/>
      </c>
      <c r="BZ233" s="88">
        <f>IF(OR($CS233,$AP233="-",AND($AP233="",$AD233="")),"",IF(N($BA233)&gt;0,N($BA233),IF($CV233,IF(AND($BI233&lt;$CU233,$BI233-IF(N(VLOOKUP($AT233&amp;"|"&amp;$CU233,LocTable,7,FALSE))&gt;0,VLOOKUP($AT233&amp;"|"&amp;$CU233,LocTable,7,FALSE),VLOOKUP($AT233&amp;"|"&amp;$CU233,LocTable,6,FALSE))-$CR233-0.75&gt;=2.125),VLOOKUP($AT233&amp;"|"&amp;$CU233,LocTable,8,FALSE),VLOOKUP($AT233&amp;"|"&amp;$CU233,LocTable,8,FALSE)+($BI233-$CU233)),$BI233-LockAFF)))</f>
        <v/>
      </c>
      <c r="CA233" s="89">
        <f>IF($BZ233="","",$BI233-$BZ233)</f>
        <v/>
      </c>
      <c r="CB233" s="84">
        <f>IF(OR(NOT(AND($A233&lt;&gt;"",$C233&lt;&gt;"DOOR ONLY")),$BI233=""),"",IF(($BI233+IF(N($P233)&gt;0,$P233+FaceW,0))&lt;=90,3,IF(($BI233+IF(N($P233)&gt;0,$P233+FaceW,0))&lt;=114,4,5)))</f>
        <v/>
      </c>
      <c r="CC233" s="84">
        <f>IF($CB233="","",$CB233*(2+IF(N($Q233)&gt;0,IF($R233="LR",2,1),0)))</f>
        <v/>
      </c>
      <c r="CD233" s="84">
        <f>IF($CB233="","",(2+IF(N($Q233)&gt;0,IF($R233="LR",2,1),0)))</f>
        <v/>
      </c>
      <c r="CE233" s="84">
        <f>IF(N($BJ233)=0,"",IF(OR($AL233="",$AL233="FLUSH"),"FLUSH",IFERROR(LEFT($AL233,FIND("-",$AL233)-1),LEFT($AL233,2))))</f>
        <v/>
      </c>
      <c r="CF233" s="84">
        <f>IF($CE233="","",IFERROR(VALUE(MID($AL233,FIND("-",$AL233)+1,FIND(CHAR(34)&amp;"x",$AL233)-FIND("-",$AL233)-1)),0))</f>
        <v/>
      </c>
      <c r="CG233" s="84">
        <f>IF($CE233="","",IFERROR(VALUE(MID($AL233,FIND(CHAR(34)&amp;"x",$AL233)+2,FIND(CHAR(34),$AL233,FIND(CHAR(34)&amp;"x",$AL233)+2)-FIND(CHAR(34)&amp;"x",$AL233)-2)),0))</f>
        <v/>
      </c>
      <c r="CH233" s="90">
        <f>IF(OR($A233="",$H233="",$H233="NO LAB"),0,IFERROR(VALUE(LEFT($H233,FIND(" ",$H233)-1)),0))</f>
        <v/>
      </c>
      <c r="CI233" s="91">
        <f>IF(OR($A233="",$I233="",$I233="NON-RATED",N($J233)=0),"",IFERROR(VLOOKUP($I233&amp;"|"&amp;$J233,IBC,2,FALSE),"?"))</f>
        <v/>
      </c>
      <c r="CJ233" s="85">
        <f>IF(NOT(AND($A233&lt;&gt;"",$C233&lt;&gt;"DOOR ONLY")),"",TRIM(IFERROR(VLOOKUP($U233,CODES,2,FALSE),"")&amp;" "&amp;$BG233&amp;" "&amp;IFERROR(VLOOKUP($Z233,CODES,2,FALSE),"")&amp;" "&amp;IFERROR(VLOOKUP($X233,CODES,2,FALSE),"")&amp;" "&amp;IFERROR(VLOOKUP($S233,CODES,2,FALSE),"")&amp;IF(N($P233)&gt;0," w/TRANSOM "&amp;$P233&amp;CHAR(34),"")&amp;IF(N($Q233)&gt;0," w/SIDELITE "&amp;$Q233&amp;CHAR(34)&amp;" "&amp;IF($R233="","R",$R233),"")&amp;IF($Y233="","  |  "," | "&amp;IFERROR(VLOOKUP($Y233,CODES,2,FALSE),"")&amp;" | ")&amp;IFERROR(VLOOKUP($AC233,CODES,2,FALSE),"")&amp;" "&amp;IFERROR(VLOOKUP($AD233,CODES,2,FALSE),"")&amp;IF(OR($AE233="",$AE233="-"),""," "&amp;$AE233)&amp;IF(OR($AF233="",$AF233="-"),""," "&amp;$AF233)&amp;IF($AB233="Y"," 4"&amp;CHAR(34)&amp;" HEAD","")&amp;" "&amp;IFERROR(VLOOKUP($H233,CODES,2,FALSE),"")&amp;IF($CT233," | LOC "&amp;$CY233,"")))</f>
        <v/>
      </c>
      <c r="CK233" s="85">
        <f>IF(NOT(AND($A233&lt;&gt;"",N($BJ233)&gt;0)),"",TRIM(IFERROR(VLOOKUP($AH233,CODES,2,FALSE),"")&amp;IF($AI233=""," "," "&amp;$AI233&amp;"GA ")&amp;$BG233&amp;" "&amp;IF($AN233="",IFERROR(VLOOKUP($Z233,CODES,2,FALSE),""),IFERROR(VLOOKUP($AN233,CODES,2,FALSE),""))&amp;IF($BJ233=2," PAIR","")&amp;" DOOR | "&amp;IF($AL233="","?",$AL233)&amp;" | "&amp;IF($AO233="",IFERROR(VLOOKUP($AC233,CODES,2,FALSE),""),IFERROR(VLOOKUP($AO233,CODES,2,FALSE),""))&amp;" "&amp;IFERROR(VLOOKUP($AP233,CODES,2,FALSE),"")&amp;IF(OR($AQ233="",$AQ233="-"),""," SEAM "&amp;$AQ233)&amp;IF($AR233="Y"," ASTRAGAL","")&amp;IF($AJ233=""," "," "&amp;$AJ233)&amp;IF($AK233=""," "," "&amp;$AK233)&amp;IF(OR($AT233="",$AT233="ANSI/SDI",$AT233="CUSTOM LOC"),""," "&amp;$AT233)&amp;IF($AM233=""," "," SERIES "&amp;$AM233)&amp;" "&amp;IFERROR(VLOOKUP($H233,CODES,2,FALSE),"")&amp;IF($CT233," | LOC "&amp;$CZ233,"")))</f>
        <v/>
      </c>
      <c r="CL233" s="84">
        <f>IF(CP233="","",IF(COUNTIF($CP$6:CP233,CP233)=1,MAX($CL$5:CL232)+1,INDEX($CL$5:CL232,MATCH(CP233,$CP$5:CP232,0))))</f>
        <v/>
      </c>
      <c r="CM233" s="84">
        <f>IF(NOT(AND($A233&lt;&gt;"",$C233&lt;&gt;"DOOR ONLY")),"",MAX($CM$5:CM232)+1)</f>
        <v/>
      </c>
      <c r="CN233" s="84">
        <f>IF(NOT(AND($A233&lt;&gt;"",N($BJ233)&gt;0)),"",MAX($CN$5:CN232)+1)</f>
        <v/>
      </c>
      <c r="CO233" s="84">
        <f>IF($A233="","",MAX($CO$5:CO232)+1)</f>
        <v/>
      </c>
      <c r="CP233" s="84">
        <f>IF(OR($A233="",$BH233="",$BI233=""),"",$BG233&amp;"|"&amp;$O233&amp;"|"&amp;$AL233&amp;"|"&amp;$S233&amp;"|"&amp;$P233&amp;"|"&amp;$Q233&amp;$R233&amp;"|"&amp;$C233&amp;"|"&amp;$AB233)</f>
        <v/>
      </c>
      <c r="CQ233" s="84">
        <f>N($BS233)</f>
        <v/>
      </c>
      <c r="CR233" s="84">
        <f>IF(N($AU233)&gt;0,N($AU233),4.5)</f>
        <v/>
      </c>
      <c r="CS233" s="84">
        <f>OR($A233="",$BI233="",$S233="BL",AND($C233="FRAME ONLY",OR($AC233="",$AC233="BLK")))</f>
        <v/>
      </c>
      <c r="CT233" s="84">
        <f>AND(NOT($CS233),OR($AT233="CUSTOM LOC",N($AW233)+N($AX233)+N($AY233)+N($AZ233)+N($BA233)&gt;0))</f>
        <v/>
      </c>
      <c r="CU233" s="84">
        <f>IF($BI233="","",IF($BI233&lt;=80,80,IF($BI233&lt;=84,84,96)))</f>
        <v/>
      </c>
      <c r="CV233" s="84">
        <f>ISNUMBER(MATCH($AT233&amp;"|80",LocKeys,0))</f>
        <v/>
      </c>
      <c r="CW233" s="86">
        <f>IF($CS233,"",IF($CV233,VLOOKUP($AT233&amp;"|"&amp;$CU233,LocTable,4,FALSE),5))</f>
        <v/>
      </c>
      <c r="CX233" s="86">
        <f>IF($CS233,"",IF($CV233,IF(OR($BI233=$CU233,AND($BI233&lt;$CU233,$BI233-IF(N(VLOOKUP($AT233&amp;"|"&amp;$CU233,LocTable,7,FALSE))&gt;0,VLOOKUP($AT233&amp;"|"&amp;$CU233,LocTable,7,FALSE),VLOOKUP($AT233&amp;"|"&amp;$CU233,LocTable,6,FALSE))-$CR233-0.75&gt;=2.125)),IF(N(VLOOKUP($AT233&amp;"|"&amp;$CU233,LocTable,7,FALSE))&gt;0,VLOOKUP($AT233&amp;"|"&amp;$CU233,LocTable,7,FALSE),VLOOKUP($AT233&amp;"|"&amp;$CU233,LocTable,6,FALSE)),$BI233-($CU233-IF(N(VLOOKUP($AT233&amp;"|"&amp;$CU233,LocTable,7,FALSE))&gt;0,VLOOKUP($AT233&amp;"|"&amp;$CU233,LocTable,7,FALSE),VLOOKUP($AT233&amp;"|"&amp;$CU233,LocTable,6,FALSE)))),$BI233-10-$CR233))</f>
        <v/>
      </c>
      <c r="CY233" s="85">
        <f>IF($CS233,"",TRIM(IF(ISNUMBER($BU233),"A "&amp;TRIM(TEXT($BU233,"# ?/??"))&amp;CHAR(34)&amp;"  ","")&amp;IF(ISNUMBER($BV233),"B "&amp;TRIM(TEXT($BV233,"# ?/??"))&amp;CHAR(34)&amp;"  ","")&amp;IF(ISNUMBER($BW233),"C "&amp;TRIM(TEXT($BW233,"# ?/??"))&amp;CHAR(34)&amp;"  ","")&amp;IF(ISNUMBER($BX233),"D "&amp;TRIM(TEXT($BX233,"# ?/??"))&amp;CHAR(34)&amp;"  ","")&amp;IF(ISNUMBER($BY233),"F "&amp;TRIM(TEXT($BY233,"# ?/??"))&amp;CHAR(34)&amp;"  ","")&amp;IF(ISNUMBER($BZ233),"E "&amp;TRIM(TEXT($BZ233,"# ?/??"))&amp;CHAR(34)&amp;"  ","")))</f>
        <v/>
      </c>
      <c r="CZ233" s="85">
        <f>IF(OR($CS233,N($BJ233)=0),"",TRIM(IF(ISNUMBER($BU233),"A "&amp;TRIM(TEXT($BU233-HeadClr,"# ?/??"))&amp;CHAR(34)&amp;"  ","")&amp;IF(ISNUMBER($BV233),"B "&amp;TRIM(TEXT($BV233-HeadClr,"# ?/??"))&amp;CHAR(34)&amp;"  ","")&amp;IF(ISNUMBER($BW233),"C "&amp;TRIM(TEXT($BW233-HeadClr,"# ?/??"))&amp;CHAR(34)&amp;"  ","")&amp;IF(ISNUMBER($BX233),"D "&amp;TRIM(TEXT($BX233-HeadClr,"# ?/??"))&amp;CHAR(34)&amp;"  ","")&amp;IF(ISNUMBER($BY233),"F "&amp;TRIM(TEXT($BY233-HeadClr,"# ?/??"))&amp;CHAR(34)&amp;"  ","")&amp;IF(ISNUMBER($BZ233),"E "&amp;TRIM(TEXT($BZ233-HeadClr,"# ?/??"))&amp;CHAR(34)&amp;"  ","")))</f>
        <v/>
      </c>
      <c r="DA233" s="84">
        <f>IF($A233="","",IF($AN233="",IFERROR(VLOOKUP($Z233,CODES,2,FALSE),""),IFERROR(VLOOKUP($AN233,CODES,2,FALSE),"")))</f>
        <v/>
      </c>
      <c r="DB233" s="84">
        <f>IF($A233="","",IF($O233="Y","PR",IF(OR($Z233="L",$Z233="RR",LEFT($Z233,2)="L-",LEFT($Z233,3)="RR-"),"LH","RH")))</f>
        <v/>
      </c>
      <c r="DC233" s="84">
        <f>IF($A233="","","S.HM"&amp;IF(OR($C233="DOOR ONLY",$X233&lt;&gt;"KD"),"MASONRY","DRYWALL")&amp;IF($C233="DOOR ONLY","",$U233)&amp;IF(AND($C233&lt;&gt;"FRAME ONLY",OR(LEFT($AH233,3)="OAK",LEFT($AH233,3)="BIR",LEFT($AH233,3)="MAP",$AH233="PC",$AH233="MC",$AH233="SCLC",$AH233="P-LAM")),"WD","HM")&amp;"1.75")</f>
        <v/>
      </c>
      <c r="DD233" s="84">
        <f>IF($CJ233="","",IF($O233="Y",$CJ233,SUBSTITUTE($CJ233,$BG233&amp;" "&amp;IFERROR(VLOOKUP($Z233,CODES,2,FALSE),"")&amp;" ",$BG233&amp;" ")))</f>
        <v/>
      </c>
      <c r="DE233" s="84">
        <f>IF($CK233="","",IF($O233="Y",$CK233,SUBSTITUTE($CK233,$BG233&amp;" "&amp;IF($AN233="",IFERROR(VLOOKUP($Z233,CODES,2,FALSE),""),IFERROR(VLOOKUP($AN233,CODES,2,FALSE),""))&amp;" ",$BG233&amp;" ")))</f>
        <v/>
      </c>
      <c r="DF233" s="84">
        <f>IF($CJ233="","",$DC233&amp;"|"&amp;$DD233&amp;"|"&amp;$DB233&amp;"|"&amp;$AT233&amp;"|"&amp;$V233&amp;"|"&amp;$Y233&amp;"|"&amp;$AB233)</f>
        <v/>
      </c>
      <c r="DG233" s="84">
        <f>IF(DF233="","",IF(COUNTIF($DF$6:DF233,DF233)=1,MAX($DG$5:DG232)+1,INDEX($DG$5:DG232,MATCH(DF233,$DF$5:DF232,0))))</f>
        <v/>
      </c>
      <c r="DH233" s="84">
        <f>IF($CK233="","",$DC233&amp;"|"&amp;$DE233&amp;"|"&amp;$AI233&amp;"|"&amp;$BK233&amp;"|"&amp;$BL233)</f>
        <v/>
      </c>
      <c r="DI233" s="84">
        <f>IF(DH233="","",IF(COUNTIF($DH$6:DH233,DH233)=1,MAX($DI$5:DI232)+1,INDEX($DI$5:DI232,MATCH(DH233,$DH$5:DH232,0))))</f>
        <v/>
      </c>
      <c r="DJ233" s="84">
        <f>IF($A233="","",IF($B233="","qty, ","")&amp;IF($C233="","scope, ","")&amp;IF(OR($K233="",$M233=""),"size, ","")&amp;IF(AND($A233&lt;&gt;"",$C233&lt;&gt;"DOOR ONLY"),IF($U233="","jamb depth, ","")&amp;IF($X233="","construction, ","")&amp;IF($Y233="","anchor, ","")&amp;IF($S233="","frame type, ",""),"")&amp;IF(AND(N($BJ233)&gt;0,$Z233=""),"hand, ","")&amp;IF(N($BJ233)&gt;0,IF($AH233="","door material, ","")&amp;IF($AL233="","face type, ","")&amp;IF($AP233="","lock prep, ","")&amp;IF(AND($AO233="",$AC233=""),"hinge prep, ",""),"")&amp;IF(AND($CH233&gt;0,$AH233="FRP"),"FRP cannot carry a label, ","")&amp;IF(AND($O233="Y",OR($Z233="L",$Z233="R",$Z233="LR",$Z233="RR")),"pair marked but hand is single, ","")&amp;IF(AND($O233&lt;&gt;"Y",OR($Z233="PR",AND(LEN($Z233)&gt;1,ISNUMBER(SEARCH("-",$Z233))))),"pair hand on a single door, ","")&amp;IF(AND(ISNUMBER($CI233),$CH233&lt;N($CI233)),"wall needs a "&amp;$CI233&amp;" min door, ","")&amp;IF(AND($CH233&gt;=180,AND(OR($CE233="FG",$CE233="HG",$CE233="FNV",$CE233="FV"),N($CF233)*N($CG233)&gt;100)),"180 min lite over 100 sq in, ","")&amp;IF(N($BK233)&gt;48,"leaf wider than 4'-0"&amp;CHAR(34)&amp;", ","")&amp;IF(AND($CT233,COUNT($AW233:$AZ233)=0,$CQ233&gt;0),"CUSTOM LOC with no locations typed, ",""))</f>
        <v/>
      </c>
      <c r="DK233" s="84">
        <f>IF($A233="","",IF(AND($CH233&gt;0,AND($A233&lt;&gt;"",$C233&lt;&gt;"DOOR ONLY"),$X233="KD",$E233="EXTERIOR"),"KD label on an exterior opening, ","")&amp;IF(AND($E233="EXTERIOR",OR(AND(AND($A233&lt;&gt;"",$C233&lt;&gt;"DOOR ONLY"),$W233="CR"),AND(N($BJ233)&gt;0,$AH233="CR"))),"exterior in CR steel (G9?), ","")&amp;IF(AND(ISNUMBER($BQ233),N($BQ233)&lt;32),"clear width ~"&amp;TEXT($BQ233,"0.0")&amp;CHAR(34)&amp;" under 32"&amp;CHAR(34)&amp;" (ADA), ","")&amp;IF(AND($CH233=90,AND(OR($CE233="FG",$CE233="HG",$CE233="FNV",$CE233="FV"),N($CF233)*N($CG233)&gt;100)),"90 min lite over 100 sq in (stair/exit), ","")&amp;IF(AND($CH233&gt;0,AND($A233&lt;&gt;"",$C233&lt;&gt;"DOOR ONLY"),OR($AF233="",$AF233="-")),"rated: closer reinf.?, ","")&amp;IF(OR($I233="CORRIDOR",$I233="SMOKE BARRIER"),"S label + smoke gasketing, ","")&amp;IF($CI233="?","wall type/hr not in IBC table, ","")&amp;IF(AND(N($BJ233)&gt;0,$BB233=""),"no hardware set, ","")&amp;IF(AND($BB233&lt;&gt;"",ISNA(MATCH($BB233&amp;"",HWSets,0))),"set "&amp;$BB233&amp;" not on HW Sets, ","")&amp;IF(N($BL233)&gt;96,"leaf over 8'-0"&amp;CHAR(34)&amp;" - check listing, ","")&amp;IF(AND($CT233,COUNT($AW233:$AZ233)&gt;0,COUNT($AW233:$AZ233)&lt;&gt;$CQ233),COUNT($AW233:$AZ233)&amp;" custom hinges typed, "&amp;$CQ233&amp;" expected, ","")&amp;IF(AND(ISNUMBER($CA233),OR(N($CA233)&lt;34,N($CA233)&gt;48)),"lock "&amp;TEXT($CA233,"0.0")&amp;CHAR(34)&amp;" AFF outside 34-48"&amp;CHAR(34)&amp;" (ADA), ","")&amp;IF(AND(ISNUMBER($AV233),ISNUMBER($BL233),N($AV233)&lt;IF(N($BL233)&lt;=60,2,IF(N($BL233)&lt;=90,3,IF(N($BL233)&lt;=120,4,5)))),"fewer hinges than standard, ",""))</f>
        <v/>
      </c>
    </row>
    <row r="234" ht="15" customHeight="1">
      <c r="A234" s="77" t="n"/>
      <c r="B234" s="78" t="n"/>
      <c r="C234" s="78" t="n"/>
      <c r="D234" s="78" t="n"/>
      <c r="E234" s="78" t="n"/>
      <c r="F234" s="78" t="n"/>
      <c r="G234" s="78" t="n"/>
      <c r="H234" s="78" t="n"/>
      <c r="I234" s="78" t="n"/>
      <c r="J234" s="78" t="n"/>
      <c r="K234" s="78" t="n"/>
      <c r="L234" s="78" t="n"/>
      <c r="M234" s="78" t="n"/>
      <c r="N234" s="78" t="n"/>
      <c r="O234" s="78" t="n"/>
      <c r="P234" s="78" t="n"/>
      <c r="Q234" s="78" t="n"/>
      <c r="R234" s="78" t="n"/>
      <c r="S234" s="79" t="n"/>
      <c r="T234" s="79" t="n"/>
      <c r="U234" s="79" t="n"/>
      <c r="V234" s="79" t="n"/>
      <c r="W234" s="79" t="n"/>
      <c r="X234" s="79" t="n"/>
      <c r="Y234" s="79" t="n"/>
      <c r="Z234" s="79" t="n"/>
      <c r="AA234" s="79" t="n"/>
      <c r="AB234" s="79" t="n"/>
      <c r="AC234" s="79" t="n"/>
      <c r="AD234" s="79" t="n"/>
      <c r="AE234" s="79" t="n"/>
      <c r="AF234" s="79" t="n"/>
      <c r="AG234" s="79" t="n"/>
      <c r="AH234" s="80" t="n"/>
      <c r="AI234" s="80" t="n"/>
      <c r="AJ234" s="80" t="n"/>
      <c r="AK234" s="80" t="n"/>
      <c r="AL234" s="80" t="n"/>
      <c r="AM234" s="80" t="n"/>
      <c r="AN234" s="80" t="n"/>
      <c r="AO234" s="80" t="n"/>
      <c r="AP234" s="80" t="n"/>
      <c r="AQ234" s="80" t="n"/>
      <c r="AR234" s="80" t="n"/>
      <c r="AS234" s="80" t="n"/>
      <c r="AT234" s="81" t="n"/>
      <c r="AU234" s="81" t="n"/>
      <c r="AV234" s="81" t="n"/>
      <c r="AW234" s="82" t="n"/>
      <c r="AX234" s="82" t="n"/>
      <c r="AY234" s="82" t="n"/>
      <c r="AZ234" s="82" t="n"/>
      <c r="BA234" s="82" t="n"/>
      <c r="BB234" s="83" t="n"/>
      <c r="BC234" s="83" t="n"/>
      <c r="BD234" s="84">
        <f>IF($A234="","",IF($DJ234&lt;&gt;"","FIX",IF($DK234&lt;&gt;"","CHECK","OK")))</f>
        <v/>
      </c>
      <c r="BE234" s="85">
        <f>IF($A234="","",IF($DJ234&lt;&gt;"","FIX: "&amp;LEFT($DJ234,LEN($DJ234)-2)&amp;IF($DK234&lt;&gt;"","  ·  ",""),"")&amp;IF($DK234&lt;&gt;"","CHECK: "&amp;LEFT($DK234,LEN($DK234)-2),""))</f>
        <v/>
      </c>
      <c r="BF234" s="84">
        <f>IF(OR($A234="",$K234=""),"",$K234&amp;"'-"&amp;N($L234)&amp;CHAR(34)&amp;" x "&amp;$M234&amp;"'-"&amp;N($N234)&amp;CHAR(34))</f>
        <v/>
      </c>
      <c r="BG234" s="84">
        <f>IF(OR($A234="",$K234=""),"",$K234&amp;N($L234)&amp;$M234&amp;N($N234))</f>
        <v/>
      </c>
      <c r="BH234" s="84">
        <f>IF(OR($A234="",$K234=""),"",$K234*12+N($L234))</f>
        <v/>
      </c>
      <c r="BI234" s="84">
        <f>IF(OR($A234="",$M234=""),"",$M234*12+N($N234))</f>
        <v/>
      </c>
      <c r="BJ234" s="84">
        <f>IF($A234="","",IF(OR($C234="FRAME ONLY",$S234="BL"),0,IF($O234="Y",2,1)))</f>
        <v/>
      </c>
      <c r="BK234" s="86">
        <f>IF(OR(N($BJ234)=0,$BH234=""),"",($BH234-2*EdgeClr-IF($BJ234=2,MeetClr,0))/$BJ234)</f>
        <v/>
      </c>
      <c r="BL234" s="86">
        <f>IF(OR(N($BJ234)=0,$BI234=""),"",$BI234-HeadClr-Undercut)</f>
        <v/>
      </c>
      <c r="BM234" s="86">
        <f>IF($BH234="","",$BH234+2*FaceW+IF(N($Q234)&gt;0,($Q234+FaceW)*IF($R234="LR",2,1),0))</f>
        <v/>
      </c>
      <c r="BN234" s="86">
        <f>IF($BI234="","",$BI234+IF($AB234="Y",4,FaceW)+IF(N($P234)&gt;0,$P234+FaceW,0)+IF(OR($S234="4F",$S234="BL"),FaceW,0))</f>
        <v/>
      </c>
      <c r="BO234" s="86">
        <f>IF($BM234="","",$BM234+2*ROSide)</f>
        <v/>
      </c>
      <c r="BP234" s="86">
        <f>IF($BN234="","",$BN234+ROTop)</f>
        <v/>
      </c>
      <c r="BQ234" s="87">
        <f>IF(OR(N($BJ234)=0,$BH234=""),"",$BH234/$BJ234-ClearDeduct)</f>
        <v/>
      </c>
      <c r="BR234" s="84">
        <f>IF(N($CH234)=0,"",IF($CH234&gt;=180,"A · 3 HR",IF($CH234&gt;=90,"B · 1-1/2 HR",IF($CH234&gt;=60,"B · 1 HR",IF($CH234&gt;=45,"C · 3/4 HR","20 MIN")))))&amp;IF(AND(N($CH234)&gt;0,OR($I234="CORRIDOR",$I234="SMOKE BARRIER"))," · S","")</f>
        <v/>
      </c>
      <c r="BS234" s="84">
        <f>IF($CS234,"",IF($AV234&lt;&gt;"",$AV234,IF(OR($AC234="HGC",$AO234="HGC"),"CONT",IF(($BI234-HeadClr-Undercut)&lt;=60,2,IF(($BI234-HeadClr-Undercut)&lt;=90,3,IF(($BI234-HeadClr-Undercut)&lt;=120,4,5))))))</f>
        <v/>
      </c>
      <c r="BT234" s="84">
        <f>IF($CS234,"",IF($CT234,"CUSTOM (typed)",IF($CV234,$AT234&amp;" "&amp;$CU234&amp;CHAR(34)&amp;IF($CU234&lt;&gt;$BI234,IF(AND($BI234&lt;$CU234,$BI234-IF(N(VLOOKUP($AT234&amp;"|"&amp;$CU234,LocTable,7,FALSE))&gt;0,VLOOKUP($AT234&amp;"|"&amp;$CU234,LocTable,7,FALSE),VLOOKUP($AT234&amp;"|"&amp;$CU234,LocTable,6,FALSE))-$CR234-0.75&gt;=2.125)," cut down"," adj."),""),"ANSI/SDI A250.6")))</f>
        <v/>
      </c>
      <c r="BU234" s="88">
        <f>IF($CS234,"",IF($CT234,IF(N($AW234)&gt;0,N($AW234),""),IF(1&gt;$CQ234,"",IF($CQ234=1,$CW234,$CW234+($CX234-$CW234)*0/($CQ234-1)))))</f>
        <v/>
      </c>
      <c r="BV234" s="88">
        <f>IF($CS234,"",IF($CT234,IF(N($AX234)&gt;0,N($AX234),""),IF(2&gt;$CQ234,"",IF($CQ234=1,$CW234,$CW234+($CX234-$CW234)*1/($CQ234-1)))))</f>
        <v/>
      </c>
      <c r="BW234" s="88">
        <f>IF($CS234,"",IF($CT234,IF(N($AY234)&gt;0,N($AY234),""),IF(3&gt;$CQ234,"",IF($CQ234=1,$CW234,$CW234+($CX234-$CW234)*2/($CQ234-1)))))</f>
        <v/>
      </c>
      <c r="BX234" s="88">
        <f>IF($CS234,"",IF($CT234,IF(N($AZ234)&gt;0,N($AZ234),""),IF(4&gt;$CQ234,"",IF($CQ234=1,$CW234,$CW234+($CX234-$CW234)*3/($CQ234-1)))))</f>
        <v/>
      </c>
      <c r="BY234" s="88">
        <f>IF($CS234,"",IF($CT234,"",IF(5&gt;$CQ234,"",IF($CQ234=1,$CW234,$CW234+($CX234-$CW234)*4/($CQ234-1)))))</f>
        <v/>
      </c>
      <c r="BZ234" s="88">
        <f>IF(OR($CS234,$AP234="-",AND($AP234="",$AD234="")),"",IF(N($BA234)&gt;0,N($BA234),IF($CV234,IF(AND($BI234&lt;$CU234,$BI234-IF(N(VLOOKUP($AT234&amp;"|"&amp;$CU234,LocTable,7,FALSE))&gt;0,VLOOKUP($AT234&amp;"|"&amp;$CU234,LocTable,7,FALSE),VLOOKUP($AT234&amp;"|"&amp;$CU234,LocTable,6,FALSE))-$CR234-0.75&gt;=2.125),VLOOKUP($AT234&amp;"|"&amp;$CU234,LocTable,8,FALSE),VLOOKUP($AT234&amp;"|"&amp;$CU234,LocTable,8,FALSE)+($BI234-$CU234)),$BI234-LockAFF)))</f>
        <v/>
      </c>
      <c r="CA234" s="89">
        <f>IF($BZ234="","",$BI234-$BZ234)</f>
        <v/>
      </c>
      <c r="CB234" s="84">
        <f>IF(OR(NOT(AND($A234&lt;&gt;"",$C234&lt;&gt;"DOOR ONLY")),$BI234=""),"",IF(($BI234+IF(N($P234)&gt;0,$P234+FaceW,0))&lt;=90,3,IF(($BI234+IF(N($P234)&gt;0,$P234+FaceW,0))&lt;=114,4,5)))</f>
        <v/>
      </c>
      <c r="CC234" s="84">
        <f>IF($CB234="","",$CB234*(2+IF(N($Q234)&gt;0,IF($R234="LR",2,1),0)))</f>
        <v/>
      </c>
      <c r="CD234" s="84">
        <f>IF($CB234="","",(2+IF(N($Q234)&gt;0,IF($R234="LR",2,1),0)))</f>
        <v/>
      </c>
      <c r="CE234" s="84">
        <f>IF(N($BJ234)=0,"",IF(OR($AL234="",$AL234="FLUSH"),"FLUSH",IFERROR(LEFT($AL234,FIND("-",$AL234)-1),LEFT($AL234,2))))</f>
        <v/>
      </c>
      <c r="CF234" s="84">
        <f>IF($CE234="","",IFERROR(VALUE(MID($AL234,FIND("-",$AL234)+1,FIND(CHAR(34)&amp;"x",$AL234)-FIND("-",$AL234)-1)),0))</f>
        <v/>
      </c>
      <c r="CG234" s="84">
        <f>IF($CE234="","",IFERROR(VALUE(MID($AL234,FIND(CHAR(34)&amp;"x",$AL234)+2,FIND(CHAR(34),$AL234,FIND(CHAR(34)&amp;"x",$AL234)+2)-FIND(CHAR(34)&amp;"x",$AL234)-2)),0))</f>
        <v/>
      </c>
      <c r="CH234" s="90">
        <f>IF(OR($A234="",$H234="",$H234="NO LAB"),0,IFERROR(VALUE(LEFT($H234,FIND(" ",$H234)-1)),0))</f>
        <v/>
      </c>
      <c r="CI234" s="91">
        <f>IF(OR($A234="",$I234="",$I234="NON-RATED",N($J234)=0),"",IFERROR(VLOOKUP($I234&amp;"|"&amp;$J234,IBC,2,FALSE),"?"))</f>
        <v/>
      </c>
      <c r="CJ234" s="85">
        <f>IF(NOT(AND($A234&lt;&gt;"",$C234&lt;&gt;"DOOR ONLY")),"",TRIM(IFERROR(VLOOKUP($U234,CODES,2,FALSE),"")&amp;" "&amp;$BG234&amp;" "&amp;IFERROR(VLOOKUP($Z234,CODES,2,FALSE),"")&amp;" "&amp;IFERROR(VLOOKUP($X234,CODES,2,FALSE),"")&amp;" "&amp;IFERROR(VLOOKUP($S234,CODES,2,FALSE),"")&amp;IF(N($P234)&gt;0," w/TRANSOM "&amp;$P234&amp;CHAR(34),"")&amp;IF(N($Q234)&gt;0," w/SIDELITE "&amp;$Q234&amp;CHAR(34)&amp;" "&amp;IF($R234="","R",$R234),"")&amp;IF($Y234="","  |  "," | "&amp;IFERROR(VLOOKUP($Y234,CODES,2,FALSE),"")&amp;" | ")&amp;IFERROR(VLOOKUP($AC234,CODES,2,FALSE),"")&amp;" "&amp;IFERROR(VLOOKUP($AD234,CODES,2,FALSE),"")&amp;IF(OR($AE234="",$AE234="-"),""," "&amp;$AE234)&amp;IF(OR($AF234="",$AF234="-"),""," "&amp;$AF234)&amp;IF($AB234="Y"," 4"&amp;CHAR(34)&amp;" HEAD","")&amp;" "&amp;IFERROR(VLOOKUP($H234,CODES,2,FALSE),"")&amp;IF($CT234," | LOC "&amp;$CY234,"")))</f>
        <v/>
      </c>
      <c r="CK234" s="85">
        <f>IF(NOT(AND($A234&lt;&gt;"",N($BJ234)&gt;0)),"",TRIM(IFERROR(VLOOKUP($AH234,CODES,2,FALSE),"")&amp;IF($AI234=""," "," "&amp;$AI234&amp;"GA ")&amp;$BG234&amp;" "&amp;IF($AN234="",IFERROR(VLOOKUP($Z234,CODES,2,FALSE),""),IFERROR(VLOOKUP($AN234,CODES,2,FALSE),""))&amp;IF($BJ234=2," PAIR","")&amp;" DOOR | "&amp;IF($AL234="","?",$AL234)&amp;" | "&amp;IF($AO234="",IFERROR(VLOOKUP($AC234,CODES,2,FALSE),""),IFERROR(VLOOKUP($AO234,CODES,2,FALSE),""))&amp;" "&amp;IFERROR(VLOOKUP($AP234,CODES,2,FALSE),"")&amp;IF(OR($AQ234="",$AQ234="-"),""," SEAM "&amp;$AQ234)&amp;IF($AR234="Y"," ASTRAGAL","")&amp;IF($AJ234=""," "," "&amp;$AJ234)&amp;IF($AK234=""," "," "&amp;$AK234)&amp;IF(OR($AT234="",$AT234="ANSI/SDI",$AT234="CUSTOM LOC"),""," "&amp;$AT234)&amp;IF($AM234=""," "," SERIES "&amp;$AM234)&amp;" "&amp;IFERROR(VLOOKUP($H234,CODES,2,FALSE),"")&amp;IF($CT234," | LOC "&amp;$CZ234,"")))</f>
        <v/>
      </c>
      <c r="CL234" s="84">
        <f>IF(CP234="","",IF(COUNTIF($CP$6:CP234,CP234)=1,MAX($CL$5:CL233)+1,INDEX($CL$5:CL233,MATCH(CP234,$CP$5:CP233,0))))</f>
        <v/>
      </c>
      <c r="CM234" s="84">
        <f>IF(NOT(AND($A234&lt;&gt;"",$C234&lt;&gt;"DOOR ONLY")),"",MAX($CM$5:CM233)+1)</f>
        <v/>
      </c>
      <c r="CN234" s="84">
        <f>IF(NOT(AND($A234&lt;&gt;"",N($BJ234)&gt;0)),"",MAX($CN$5:CN233)+1)</f>
        <v/>
      </c>
      <c r="CO234" s="84">
        <f>IF($A234="","",MAX($CO$5:CO233)+1)</f>
        <v/>
      </c>
      <c r="CP234" s="84">
        <f>IF(OR($A234="",$BH234="",$BI234=""),"",$BG234&amp;"|"&amp;$O234&amp;"|"&amp;$AL234&amp;"|"&amp;$S234&amp;"|"&amp;$P234&amp;"|"&amp;$Q234&amp;$R234&amp;"|"&amp;$C234&amp;"|"&amp;$AB234)</f>
        <v/>
      </c>
      <c r="CQ234" s="84">
        <f>N($BS234)</f>
        <v/>
      </c>
      <c r="CR234" s="84">
        <f>IF(N($AU234)&gt;0,N($AU234),4.5)</f>
        <v/>
      </c>
      <c r="CS234" s="84">
        <f>OR($A234="",$BI234="",$S234="BL",AND($C234="FRAME ONLY",OR($AC234="",$AC234="BLK")))</f>
        <v/>
      </c>
      <c r="CT234" s="84">
        <f>AND(NOT($CS234),OR($AT234="CUSTOM LOC",N($AW234)+N($AX234)+N($AY234)+N($AZ234)+N($BA234)&gt;0))</f>
        <v/>
      </c>
      <c r="CU234" s="84">
        <f>IF($BI234="","",IF($BI234&lt;=80,80,IF($BI234&lt;=84,84,96)))</f>
        <v/>
      </c>
      <c r="CV234" s="84">
        <f>ISNUMBER(MATCH($AT234&amp;"|80",LocKeys,0))</f>
        <v/>
      </c>
      <c r="CW234" s="86">
        <f>IF($CS234,"",IF($CV234,VLOOKUP($AT234&amp;"|"&amp;$CU234,LocTable,4,FALSE),5))</f>
        <v/>
      </c>
      <c r="CX234" s="86">
        <f>IF($CS234,"",IF($CV234,IF(OR($BI234=$CU234,AND($BI234&lt;$CU234,$BI234-IF(N(VLOOKUP($AT234&amp;"|"&amp;$CU234,LocTable,7,FALSE))&gt;0,VLOOKUP($AT234&amp;"|"&amp;$CU234,LocTable,7,FALSE),VLOOKUP($AT234&amp;"|"&amp;$CU234,LocTable,6,FALSE))-$CR234-0.75&gt;=2.125)),IF(N(VLOOKUP($AT234&amp;"|"&amp;$CU234,LocTable,7,FALSE))&gt;0,VLOOKUP($AT234&amp;"|"&amp;$CU234,LocTable,7,FALSE),VLOOKUP($AT234&amp;"|"&amp;$CU234,LocTable,6,FALSE)),$BI234-($CU234-IF(N(VLOOKUP($AT234&amp;"|"&amp;$CU234,LocTable,7,FALSE))&gt;0,VLOOKUP($AT234&amp;"|"&amp;$CU234,LocTable,7,FALSE),VLOOKUP($AT234&amp;"|"&amp;$CU234,LocTable,6,FALSE)))),$BI234-10-$CR234))</f>
        <v/>
      </c>
      <c r="CY234" s="85">
        <f>IF($CS234,"",TRIM(IF(ISNUMBER($BU234),"A "&amp;TRIM(TEXT($BU234,"# ?/??"))&amp;CHAR(34)&amp;"  ","")&amp;IF(ISNUMBER($BV234),"B "&amp;TRIM(TEXT($BV234,"# ?/??"))&amp;CHAR(34)&amp;"  ","")&amp;IF(ISNUMBER($BW234),"C "&amp;TRIM(TEXT($BW234,"# ?/??"))&amp;CHAR(34)&amp;"  ","")&amp;IF(ISNUMBER($BX234),"D "&amp;TRIM(TEXT($BX234,"# ?/??"))&amp;CHAR(34)&amp;"  ","")&amp;IF(ISNUMBER($BY234),"F "&amp;TRIM(TEXT($BY234,"# ?/??"))&amp;CHAR(34)&amp;"  ","")&amp;IF(ISNUMBER($BZ234),"E "&amp;TRIM(TEXT($BZ234,"# ?/??"))&amp;CHAR(34)&amp;"  ","")))</f>
        <v/>
      </c>
      <c r="CZ234" s="85">
        <f>IF(OR($CS234,N($BJ234)=0),"",TRIM(IF(ISNUMBER($BU234),"A "&amp;TRIM(TEXT($BU234-HeadClr,"# ?/??"))&amp;CHAR(34)&amp;"  ","")&amp;IF(ISNUMBER($BV234),"B "&amp;TRIM(TEXT($BV234-HeadClr,"# ?/??"))&amp;CHAR(34)&amp;"  ","")&amp;IF(ISNUMBER($BW234),"C "&amp;TRIM(TEXT($BW234-HeadClr,"# ?/??"))&amp;CHAR(34)&amp;"  ","")&amp;IF(ISNUMBER($BX234),"D "&amp;TRIM(TEXT($BX234-HeadClr,"# ?/??"))&amp;CHAR(34)&amp;"  ","")&amp;IF(ISNUMBER($BY234),"F "&amp;TRIM(TEXT($BY234-HeadClr,"# ?/??"))&amp;CHAR(34)&amp;"  ","")&amp;IF(ISNUMBER($BZ234),"E "&amp;TRIM(TEXT($BZ234-HeadClr,"# ?/??"))&amp;CHAR(34)&amp;"  ","")))</f>
        <v/>
      </c>
      <c r="DA234" s="84">
        <f>IF($A234="","",IF($AN234="",IFERROR(VLOOKUP($Z234,CODES,2,FALSE),""),IFERROR(VLOOKUP($AN234,CODES,2,FALSE),"")))</f>
        <v/>
      </c>
      <c r="DB234" s="84">
        <f>IF($A234="","",IF($O234="Y","PR",IF(OR($Z234="L",$Z234="RR",LEFT($Z234,2)="L-",LEFT($Z234,3)="RR-"),"LH","RH")))</f>
        <v/>
      </c>
      <c r="DC234" s="84">
        <f>IF($A234="","","S.HM"&amp;IF(OR($C234="DOOR ONLY",$X234&lt;&gt;"KD"),"MASONRY","DRYWALL")&amp;IF($C234="DOOR ONLY","",$U234)&amp;IF(AND($C234&lt;&gt;"FRAME ONLY",OR(LEFT($AH234,3)="OAK",LEFT($AH234,3)="BIR",LEFT($AH234,3)="MAP",$AH234="PC",$AH234="MC",$AH234="SCLC",$AH234="P-LAM")),"WD","HM")&amp;"1.75")</f>
        <v/>
      </c>
      <c r="DD234" s="84">
        <f>IF($CJ234="","",IF($O234="Y",$CJ234,SUBSTITUTE($CJ234,$BG234&amp;" "&amp;IFERROR(VLOOKUP($Z234,CODES,2,FALSE),"")&amp;" ",$BG234&amp;" ")))</f>
        <v/>
      </c>
      <c r="DE234" s="84">
        <f>IF($CK234="","",IF($O234="Y",$CK234,SUBSTITUTE($CK234,$BG234&amp;" "&amp;IF($AN234="",IFERROR(VLOOKUP($Z234,CODES,2,FALSE),""),IFERROR(VLOOKUP($AN234,CODES,2,FALSE),""))&amp;" ",$BG234&amp;" ")))</f>
        <v/>
      </c>
      <c r="DF234" s="84">
        <f>IF($CJ234="","",$DC234&amp;"|"&amp;$DD234&amp;"|"&amp;$DB234&amp;"|"&amp;$AT234&amp;"|"&amp;$V234&amp;"|"&amp;$Y234&amp;"|"&amp;$AB234)</f>
        <v/>
      </c>
      <c r="DG234" s="84">
        <f>IF(DF234="","",IF(COUNTIF($DF$6:DF234,DF234)=1,MAX($DG$5:DG233)+1,INDEX($DG$5:DG233,MATCH(DF234,$DF$5:DF233,0))))</f>
        <v/>
      </c>
      <c r="DH234" s="84">
        <f>IF($CK234="","",$DC234&amp;"|"&amp;$DE234&amp;"|"&amp;$AI234&amp;"|"&amp;$BK234&amp;"|"&amp;$BL234)</f>
        <v/>
      </c>
      <c r="DI234" s="84">
        <f>IF(DH234="","",IF(COUNTIF($DH$6:DH234,DH234)=1,MAX($DI$5:DI233)+1,INDEX($DI$5:DI233,MATCH(DH234,$DH$5:DH233,0))))</f>
        <v/>
      </c>
      <c r="DJ234" s="84">
        <f>IF($A234="","",IF($B234="","qty, ","")&amp;IF($C234="","scope, ","")&amp;IF(OR($K234="",$M234=""),"size, ","")&amp;IF(AND($A234&lt;&gt;"",$C234&lt;&gt;"DOOR ONLY"),IF($U234="","jamb depth, ","")&amp;IF($X234="","construction, ","")&amp;IF($Y234="","anchor, ","")&amp;IF($S234="","frame type, ",""),"")&amp;IF(AND(N($BJ234)&gt;0,$Z234=""),"hand, ","")&amp;IF(N($BJ234)&gt;0,IF($AH234="","door material, ","")&amp;IF($AL234="","face type, ","")&amp;IF($AP234="","lock prep, ","")&amp;IF(AND($AO234="",$AC234=""),"hinge prep, ",""),"")&amp;IF(AND($CH234&gt;0,$AH234="FRP"),"FRP cannot carry a label, ","")&amp;IF(AND($O234="Y",OR($Z234="L",$Z234="R",$Z234="LR",$Z234="RR")),"pair marked but hand is single, ","")&amp;IF(AND($O234&lt;&gt;"Y",OR($Z234="PR",AND(LEN($Z234)&gt;1,ISNUMBER(SEARCH("-",$Z234))))),"pair hand on a single door, ","")&amp;IF(AND(ISNUMBER($CI234),$CH234&lt;N($CI234)),"wall needs a "&amp;$CI234&amp;" min door, ","")&amp;IF(AND($CH234&gt;=180,AND(OR($CE234="FG",$CE234="HG",$CE234="FNV",$CE234="FV"),N($CF234)*N($CG234)&gt;100)),"180 min lite over 100 sq in, ","")&amp;IF(N($BK234)&gt;48,"leaf wider than 4'-0"&amp;CHAR(34)&amp;", ","")&amp;IF(AND($CT234,COUNT($AW234:$AZ234)=0,$CQ234&gt;0),"CUSTOM LOC with no locations typed, ",""))</f>
        <v/>
      </c>
      <c r="DK234" s="84">
        <f>IF($A234="","",IF(AND($CH234&gt;0,AND($A234&lt;&gt;"",$C234&lt;&gt;"DOOR ONLY"),$X234="KD",$E234="EXTERIOR"),"KD label on an exterior opening, ","")&amp;IF(AND($E234="EXTERIOR",OR(AND(AND($A234&lt;&gt;"",$C234&lt;&gt;"DOOR ONLY"),$W234="CR"),AND(N($BJ234)&gt;0,$AH234="CR"))),"exterior in CR steel (G9?), ","")&amp;IF(AND(ISNUMBER($BQ234),N($BQ234)&lt;32),"clear width ~"&amp;TEXT($BQ234,"0.0")&amp;CHAR(34)&amp;" under 32"&amp;CHAR(34)&amp;" (ADA), ","")&amp;IF(AND($CH234=90,AND(OR($CE234="FG",$CE234="HG",$CE234="FNV",$CE234="FV"),N($CF234)*N($CG234)&gt;100)),"90 min lite over 100 sq in (stair/exit), ","")&amp;IF(AND($CH234&gt;0,AND($A234&lt;&gt;"",$C234&lt;&gt;"DOOR ONLY"),OR($AF234="",$AF234="-")),"rated: closer reinf.?, ","")&amp;IF(OR($I234="CORRIDOR",$I234="SMOKE BARRIER"),"S label + smoke gasketing, ","")&amp;IF($CI234="?","wall type/hr not in IBC table, ","")&amp;IF(AND(N($BJ234)&gt;0,$BB234=""),"no hardware set, ","")&amp;IF(AND($BB234&lt;&gt;"",ISNA(MATCH($BB234&amp;"",HWSets,0))),"set "&amp;$BB234&amp;" not on HW Sets, ","")&amp;IF(N($BL234)&gt;96,"leaf over 8'-0"&amp;CHAR(34)&amp;" - check listing, ","")&amp;IF(AND($CT234,COUNT($AW234:$AZ234)&gt;0,COUNT($AW234:$AZ234)&lt;&gt;$CQ234),COUNT($AW234:$AZ234)&amp;" custom hinges typed, "&amp;$CQ234&amp;" expected, ","")&amp;IF(AND(ISNUMBER($CA234),OR(N($CA234)&lt;34,N($CA234)&gt;48)),"lock "&amp;TEXT($CA234,"0.0")&amp;CHAR(34)&amp;" AFF outside 34-48"&amp;CHAR(34)&amp;" (ADA), ","")&amp;IF(AND(ISNUMBER($AV234),ISNUMBER($BL234),N($AV234)&lt;IF(N($BL234)&lt;=60,2,IF(N($BL234)&lt;=90,3,IF(N($BL234)&lt;=120,4,5)))),"fewer hinges than standard, ",""))</f>
        <v/>
      </c>
    </row>
    <row r="235" ht="15" customHeight="1">
      <c r="A235" s="92" t="n"/>
      <c r="B235" s="93" t="n"/>
      <c r="C235" s="93" t="n"/>
      <c r="D235" s="93" t="n"/>
      <c r="E235" s="93" t="n"/>
      <c r="F235" s="93" t="n"/>
      <c r="G235" s="93" t="n"/>
      <c r="H235" s="93" t="n"/>
      <c r="I235" s="93" t="n"/>
      <c r="J235" s="93" t="n"/>
      <c r="K235" s="93" t="n"/>
      <c r="L235" s="93" t="n"/>
      <c r="M235" s="93" t="n"/>
      <c r="N235" s="93" t="n"/>
      <c r="O235" s="93" t="n"/>
      <c r="P235" s="93" t="n"/>
      <c r="Q235" s="93" t="n"/>
      <c r="R235" s="93" t="n"/>
      <c r="S235" s="94" t="n"/>
      <c r="T235" s="94" t="n"/>
      <c r="U235" s="94" t="n"/>
      <c r="V235" s="94" t="n"/>
      <c r="W235" s="94" t="n"/>
      <c r="X235" s="94" t="n"/>
      <c r="Y235" s="94" t="n"/>
      <c r="Z235" s="94" t="n"/>
      <c r="AA235" s="94" t="n"/>
      <c r="AB235" s="94" t="n"/>
      <c r="AC235" s="94" t="n"/>
      <c r="AD235" s="94" t="n"/>
      <c r="AE235" s="94" t="n"/>
      <c r="AF235" s="94" t="n"/>
      <c r="AG235" s="94" t="n"/>
      <c r="AH235" s="95" t="n"/>
      <c r="AI235" s="95" t="n"/>
      <c r="AJ235" s="95" t="n"/>
      <c r="AK235" s="95" t="n"/>
      <c r="AL235" s="95" t="n"/>
      <c r="AM235" s="95" t="n"/>
      <c r="AN235" s="95" t="n"/>
      <c r="AO235" s="95" t="n"/>
      <c r="AP235" s="95" t="n"/>
      <c r="AQ235" s="95" t="n"/>
      <c r="AR235" s="95" t="n"/>
      <c r="AS235" s="95" t="n"/>
      <c r="AT235" s="96" t="n"/>
      <c r="AU235" s="96" t="n"/>
      <c r="AV235" s="96" t="n"/>
      <c r="AW235" s="97" t="n"/>
      <c r="AX235" s="97" t="n"/>
      <c r="AY235" s="97" t="n"/>
      <c r="AZ235" s="97" t="n"/>
      <c r="BA235" s="97" t="n"/>
      <c r="BB235" s="98" t="n"/>
      <c r="BC235" s="98" t="n"/>
      <c r="BD235" s="99">
        <f>IF($A235="","",IF($DJ235&lt;&gt;"","FIX",IF($DK235&lt;&gt;"","CHECK","OK")))</f>
        <v/>
      </c>
      <c r="BE235" s="100">
        <f>IF($A235="","",IF($DJ235&lt;&gt;"","FIX: "&amp;LEFT($DJ235,LEN($DJ235)-2)&amp;IF($DK235&lt;&gt;"","  ·  ",""),"")&amp;IF($DK235&lt;&gt;"","CHECK: "&amp;LEFT($DK235,LEN($DK235)-2),""))</f>
        <v/>
      </c>
      <c r="BF235" s="99">
        <f>IF(OR($A235="",$K235=""),"",$K235&amp;"'-"&amp;N($L235)&amp;CHAR(34)&amp;" x "&amp;$M235&amp;"'-"&amp;N($N235)&amp;CHAR(34))</f>
        <v/>
      </c>
      <c r="BG235" s="99">
        <f>IF(OR($A235="",$K235=""),"",$K235&amp;N($L235)&amp;$M235&amp;N($N235))</f>
        <v/>
      </c>
      <c r="BH235" s="99">
        <f>IF(OR($A235="",$K235=""),"",$K235*12+N($L235))</f>
        <v/>
      </c>
      <c r="BI235" s="99">
        <f>IF(OR($A235="",$M235=""),"",$M235*12+N($N235))</f>
        <v/>
      </c>
      <c r="BJ235" s="99">
        <f>IF($A235="","",IF(OR($C235="FRAME ONLY",$S235="BL"),0,IF($O235="Y",2,1)))</f>
        <v/>
      </c>
      <c r="BK235" s="101">
        <f>IF(OR(N($BJ235)=0,$BH235=""),"",($BH235-2*EdgeClr-IF($BJ235=2,MeetClr,0))/$BJ235)</f>
        <v/>
      </c>
      <c r="BL235" s="101">
        <f>IF(OR(N($BJ235)=0,$BI235=""),"",$BI235-HeadClr-Undercut)</f>
        <v/>
      </c>
      <c r="BM235" s="101">
        <f>IF($BH235="","",$BH235+2*FaceW+IF(N($Q235)&gt;0,($Q235+FaceW)*IF($R235="LR",2,1),0))</f>
        <v/>
      </c>
      <c r="BN235" s="101">
        <f>IF($BI235="","",$BI235+IF($AB235="Y",4,FaceW)+IF(N($P235)&gt;0,$P235+FaceW,0)+IF(OR($S235="4F",$S235="BL"),FaceW,0))</f>
        <v/>
      </c>
      <c r="BO235" s="101">
        <f>IF($BM235="","",$BM235+2*ROSide)</f>
        <v/>
      </c>
      <c r="BP235" s="101">
        <f>IF($BN235="","",$BN235+ROTop)</f>
        <v/>
      </c>
      <c r="BQ235" s="102">
        <f>IF(OR(N($BJ235)=0,$BH235=""),"",$BH235/$BJ235-ClearDeduct)</f>
        <v/>
      </c>
      <c r="BR235" s="99">
        <f>IF(N($CH235)=0,"",IF($CH235&gt;=180,"A · 3 HR",IF($CH235&gt;=90,"B · 1-1/2 HR",IF($CH235&gt;=60,"B · 1 HR",IF($CH235&gt;=45,"C · 3/4 HR","20 MIN")))))&amp;IF(AND(N($CH235)&gt;0,OR($I235="CORRIDOR",$I235="SMOKE BARRIER"))," · S","")</f>
        <v/>
      </c>
      <c r="BS235" s="99">
        <f>IF($CS235,"",IF($AV235&lt;&gt;"",$AV235,IF(OR($AC235="HGC",$AO235="HGC"),"CONT",IF(($BI235-HeadClr-Undercut)&lt;=60,2,IF(($BI235-HeadClr-Undercut)&lt;=90,3,IF(($BI235-HeadClr-Undercut)&lt;=120,4,5))))))</f>
        <v/>
      </c>
      <c r="BT235" s="99">
        <f>IF($CS235,"",IF($CT235,"CUSTOM (typed)",IF($CV235,$AT235&amp;" "&amp;$CU235&amp;CHAR(34)&amp;IF($CU235&lt;&gt;$BI235,IF(AND($BI235&lt;$CU235,$BI235-IF(N(VLOOKUP($AT235&amp;"|"&amp;$CU235,LocTable,7,FALSE))&gt;0,VLOOKUP($AT235&amp;"|"&amp;$CU235,LocTable,7,FALSE),VLOOKUP($AT235&amp;"|"&amp;$CU235,LocTable,6,FALSE))-$CR235-0.75&gt;=2.125)," cut down"," adj."),""),"ANSI/SDI A250.6")))</f>
        <v/>
      </c>
      <c r="BU235" s="103">
        <f>IF($CS235,"",IF($CT235,IF(N($AW235)&gt;0,N($AW235),""),IF(1&gt;$CQ235,"",IF($CQ235=1,$CW235,$CW235+($CX235-$CW235)*0/($CQ235-1)))))</f>
        <v/>
      </c>
      <c r="BV235" s="103">
        <f>IF($CS235,"",IF($CT235,IF(N($AX235)&gt;0,N($AX235),""),IF(2&gt;$CQ235,"",IF($CQ235=1,$CW235,$CW235+($CX235-$CW235)*1/($CQ235-1)))))</f>
        <v/>
      </c>
      <c r="BW235" s="103">
        <f>IF($CS235,"",IF($CT235,IF(N($AY235)&gt;0,N($AY235),""),IF(3&gt;$CQ235,"",IF($CQ235=1,$CW235,$CW235+($CX235-$CW235)*2/($CQ235-1)))))</f>
        <v/>
      </c>
      <c r="BX235" s="103">
        <f>IF($CS235,"",IF($CT235,IF(N($AZ235)&gt;0,N($AZ235),""),IF(4&gt;$CQ235,"",IF($CQ235=1,$CW235,$CW235+($CX235-$CW235)*3/($CQ235-1)))))</f>
        <v/>
      </c>
      <c r="BY235" s="103">
        <f>IF($CS235,"",IF($CT235,"",IF(5&gt;$CQ235,"",IF($CQ235=1,$CW235,$CW235+($CX235-$CW235)*4/($CQ235-1)))))</f>
        <v/>
      </c>
      <c r="BZ235" s="103">
        <f>IF(OR($CS235,$AP235="-",AND($AP235="",$AD235="")),"",IF(N($BA235)&gt;0,N($BA235),IF($CV235,IF(AND($BI235&lt;$CU235,$BI235-IF(N(VLOOKUP($AT235&amp;"|"&amp;$CU235,LocTable,7,FALSE))&gt;0,VLOOKUP($AT235&amp;"|"&amp;$CU235,LocTable,7,FALSE),VLOOKUP($AT235&amp;"|"&amp;$CU235,LocTable,6,FALSE))-$CR235-0.75&gt;=2.125),VLOOKUP($AT235&amp;"|"&amp;$CU235,LocTable,8,FALSE),VLOOKUP($AT235&amp;"|"&amp;$CU235,LocTable,8,FALSE)+($BI235-$CU235)),$BI235-LockAFF)))</f>
        <v/>
      </c>
      <c r="CA235" s="104">
        <f>IF($BZ235="","",$BI235-$BZ235)</f>
        <v/>
      </c>
      <c r="CB235" s="99">
        <f>IF(OR(NOT(AND($A235&lt;&gt;"",$C235&lt;&gt;"DOOR ONLY")),$BI235=""),"",IF(($BI235+IF(N($P235)&gt;0,$P235+FaceW,0))&lt;=90,3,IF(($BI235+IF(N($P235)&gt;0,$P235+FaceW,0))&lt;=114,4,5)))</f>
        <v/>
      </c>
      <c r="CC235" s="99">
        <f>IF($CB235="","",$CB235*(2+IF(N($Q235)&gt;0,IF($R235="LR",2,1),0)))</f>
        <v/>
      </c>
      <c r="CD235" s="99">
        <f>IF($CB235="","",(2+IF(N($Q235)&gt;0,IF($R235="LR",2,1),0)))</f>
        <v/>
      </c>
      <c r="CE235" s="99">
        <f>IF(N($BJ235)=0,"",IF(OR($AL235="",$AL235="FLUSH"),"FLUSH",IFERROR(LEFT($AL235,FIND("-",$AL235)-1),LEFT($AL235,2))))</f>
        <v/>
      </c>
      <c r="CF235" s="99">
        <f>IF($CE235="","",IFERROR(VALUE(MID($AL235,FIND("-",$AL235)+1,FIND(CHAR(34)&amp;"x",$AL235)-FIND("-",$AL235)-1)),0))</f>
        <v/>
      </c>
      <c r="CG235" s="99">
        <f>IF($CE235="","",IFERROR(VALUE(MID($AL235,FIND(CHAR(34)&amp;"x",$AL235)+2,FIND(CHAR(34),$AL235,FIND(CHAR(34)&amp;"x",$AL235)+2)-FIND(CHAR(34)&amp;"x",$AL235)-2)),0))</f>
        <v/>
      </c>
      <c r="CH235" s="105">
        <f>IF(OR($A235="",$H235="",$H235="NO LAB"),0,IFERROR(VALUE(LEFT($H235,FIND(" ",$H235)-1)),0))</f>
        <v/>
      </c>
      <c r="CI235" s="106">
        <f>IF(OR($A235="",$I235="",$I235="NON-RATED",N($J235)=0),"",IFERROR(VLOOKUP($I235&amp;"|"&amp;$J235,IBC,2,FALSE),"?"))</f>
        <v/>
      </c>
      <c r="CJ235" s="100">
        <f>IF(NOT(AND($A235&lt;&gt;"",$C235&lt;&gt;"DOOR ONLY")),"",TRIM(IFERROR(VLOOKUP($U235,CODES,2,FALSE),"")&amp;" "&amp;$BG235&amp;" "&amp;IFERROR(VLOOKUP($Z235,CODES,2,FALSE),"")&amp;" "&amp;IFERROR(VLOOKUP($X235,CODES,2,FALSE),"")&amp;" "&amp;IFERROR(VLOOKUP($S235,CODES,2,FALSE),"")&amp;IF(N($P235)&gt;0," w/TRANSOM "&amp;$P235&amp;CHAR(34),"")&amp;IF(N($Q235)&gt;0," w/SIDELITE "&amp;$Q235&amp;CHAR(34)&amp;" "&amp;IF($R235="","R",$R235),"")&amp;IF($Y235="","  |  "," | "&amp;IFERROR(VLOOKUP($Y235,CODES,2,FALSE),"")&amp;" | ")&amp;IFERROR(VLOOKUP($AC235,CODES,2,FALSE),"")&amp;" "&amp;IFERROR(VLOOKUP($AD235,CODES,2,FALSE),"")&amp;IF(OR($AE235="",$AE235="-"),""," "&amp;$AE235)&amp;IF(OR($AF235="",$AF235="-"),""," "&amp;$AF235)&amp;IF($AB235="Y"," 4"&amp;CHAR(34)&amp;" HEAD","")&amp;" "&amp;IFERROR(VLOOKUP($H235,CODES,2,FALSE),"")&amp;IF($CT235," | LOC "&amp;$CY235,"")))</f>
        <v/>
      </c>
      <c r="CK235" s="100">
        <f>IF(NOT(AND($A235&lt;&gt;"",N($BJ235)&gt;0)),"",TRIM(IFERROR(VLOOKUP($AH235,CODES,2,FALSE),"")&amp;IF($AI235=""," "," "&amp;$AI235&amp;"GA ")&amp;$BG235&amp;" "&amp;IF($AN235="",IFERROR(VLOOKUP($Z235,CODES,2,FALSE),""),IFERROR(VLOOKUP($AN235,CODES,2,FALSE),""))&amp;IF($BJ235=2," PAIR","")&amp;" DOOR | "&amp;IF($AL235="","?",$AL235)&amp;" | "&amp;IF($AO235="",IFERROR(VLOOKUP($AC235,CODES,2,FALSE),""),IFERROR(VLOOKUP($AO235,CODES,2,FALSE),""))&amp;" "&amp;IFERROR(VLOOKUP($AP235,CODES,2,FALSE),"")&amp;IF(OR($AQ235="",$AQ235="-"),""," SEAM "&amp;$AQ235)&amp;IF($AR235="Y"," ASTRAGAL","")&amp;IF($AJ235=""," "," "&amp;$AJ235)&amp;IF($AK235=""," "," "&amp;$AK235)&amp;IF(OR($AT235="",$AT235="ANSI/SDI",$AT235="CUSTOM LOC"),""," "&amp;$AT235)&amp;IF($AM235=""," "," SERIES "&amp;$AM235)&amp;" "&amp;IFERROR(VLOOKUP($H235,CODES,2,FALSE),"")&amp;IF($CT235," | LOC "&amp;$CZ235,"")))</f>
        <v/>
      </c>
      <c r="CL235" s="99">
        <f>IF(CP235="","",IF(COUNTIF($CP$6:CP235,CP235)=1,MAX($CL$5:CL234)+1,INDEX($CL$5:CL234,MATCH(CP235,$CP$5:CP234,0))))</f>
        <v/>
      </c>
      <c r="CM235" s="99">
        <f>IF(NOT(AND($A235&lt;&gt;"",$C235&lt;&gt;"DOOR ONLY")),"",MAX($CM$5:CM234)+1)</f>
        <v/>
      </c>
      <c r="CN235" s="99">
        <f>IF(NOT(AND($A235&lt;&gt;"",N($BJ235)&gt;0)),"",MAX($CN$5:CN234)+1)</f>
        <v/>
      </c>
      <c r="CO235" s="99">
        <f>IF($A235="","",MAX($CO$5:CO234)+1)</f>
        <v/>
      </c>
      <c r="CP235" s="99">
        <f>IF(OR($A235="",$BH235="",$BI235=""),"",$BG235&amp;"|"&amp;$O235&amp;"|"&amp;$AL235&amp;"|"&amp;$S235&amp;"|"&amp;$P235&amp;"|"&amp;$Q235&amp;$R235&amp;"|"&amp;$C235&amp;"|"&amp;$AB235)</f>
        <v/>
      </c>
      <c r="CQ235" s="99">
        <f>N($BS235)</f>
        <v/>
      </c>
      <c r="CR235" s="99">
        <f>IF(N($AU235)&gt;0,N($AU235),4.5)</f>
        <v/>
      </c>
      <c r="CS235" s="99">
        <f>OR($A235="",$BI235="",$S235="BL",AND($C235="FRAME ONLY",OR($AC235="",$AC235="BLK")))</f>
        <v/>
      </c>
      <c r="CT235" s="99">
        <f>AND(NOT($CS235),OR($AT235="CUSTOM LOC",N($AW235)+N($AX235)+N($AY235)+N($AZ235)+N($BA235)&gt;0))</f>
        <v/>
      </c>
      <c r="CU235" s="99">
        <f>IF($BI235="","",IF($BI235&lt;=80,80,IF($BI235&lt;=84,84,96)))</f>
        <v/>
      </c>
      <c r="CV235" s="99">
        <f>ISNUMBER(MATCH($AT235&amp;"|80",LocKeys,0))</f>
        <v/>
      </c>
      <c r="CW235" s="101">
        <f>IF($CS235,"",IF($CV235,VLOOKUP($AT235&amp;"|"&amp;$CU235,LocTable,4,FALSE),5))</f>
        <v/>
      </c>
      <c r="CX235" s="101">
        <f>IF($CS235,"",IF($CV235,IF(OR($BI235=$CU235,AND($BI235&lt;$CU235,$BI235-IF(N(VLOOKUP($AT235&amp;"|"&amp;$CU235,LocTable,7,FALSE))&gt;0,VLOOKUP($AT235&amp;"|"&amp;$CU235,LocTable,7,FALSE),VLOOKUP($AT235&amp;"|"&amp;$CU235,LocTable,6,FALSE))-$CR235-0.75&gt;=2.125)),IF(N(VLOOKUP($AT235&amp;"|"&amp;$CU235,LocTable,7,FALSE))&gt;0,VLOOKUP($AT235&amp;"|"&amp;$CU235,LocTable,7,FALSE),VLOOKUP($AT235&amp;"|"&amp;$CU235,LocTable,6,FALSE)),$BI235-($CU235-IF(N(VLOOKUP($AT235&amp;"|"&amp;$CU235,LocTable,7,FALSE))&gt;0,VLOOKUP($AT235&amp;"|"&amp;$CU235,LocTable,7,FALSE),VLOOKUP($AT235&amp;"|"&amp;$CU235,LocTable,6,FALSE)))),$BI235-10-$CR235))</f>
        <v/>
      </c>
      <c r="CY235" s="100">
        <f>IF($CS235,"",TRIM(IF(ISNUMBER($BU235),"A "&amp;TRIM(TEXT($BU235,"# ?/??"))&amp;CHAR(34)&amp;"  ","")&amp;IF(ISNUMBER($BV235),"B "&amp;TRIM(TEXT($BV235,"# ?/??"))&amp;CHAR(34)&amp;"  ","")&amp;IF(ISNUMBER($BW235),"C "&amp;TRIM(TEXT($BW235,"# ?/??"))&amp;CHAR(34)&amp;"  ","")&amp;IF(ISNUMBER($BX235),"D "&amp;TRIM(TEXT($BX235,"# ?/??"))&amp;CHAR(34)&amp;"  ","")&amp;IF(ISNUMBER($BY235),"F "&amp;TRIM(TEXT($BY235,"# ?/??"))&amp;CHAR(34)&amp;"  ","")&amp;IF(ISNUMBER($BZ235),"E "&amp;TRIM(TEXT($BZ235,"# ?/??"))&amp;CHAR(34)&amp;"  ","")))</f>
        <v/>
      </c>
      <c r="CZ235" s="100">
        <f>IF(OR($CS235,N($BJ235)=0),"",TRIM(IF(ISNUMBER($BU235),"A "&amp;TRIM(TEXT($BU235-HeadClr,"# ?/??"))&amp;CHAR(34)&amp;"  ","")&amp;IF(ISNUMBER($BV235),"B "&amp;TRIM(TEXT($BV235-HeadClr,"# ?/??"))&amp;CHAR(34)&amp;"  ","")&amp;IF(ISNUMBER($BW235),"C "&amp;TRIM(TEXT($BW235-HeadClr,"# ?/??"))&amp;CHAR(34)&amp;"  ","")&amp;IF(ISNUMBER($BX235),"D "&amp;TRIM(TEXT($BX235-HeadClr,"# ?/??"))&amp;CHAR(34)&amp;"  ","")&amp;IF(ISNUMBER($BY235),"F "&amp;TRIM(TEXT($BY235-HeadClr,"# ?/??"))&amp;CHAR(34)&amp;"  ","")&amp;IF(ISNUMBER($BZ235),"E "&amp;TRIM(TEXT($BZ235-HeadClr,"# ?/??"))&amp;CHAR(34)&amp;"  ","")))</f>
        <v/>
      </c>
      <c r="DA235" s="99">
        <f>IF($A235="","",IF($AN235="",IFERROR(VLOOKUP($Z235,CODES,2,FALSE),""),IFERROR(VLOOKUP($AN235,CODES,2,FALSE),"")))</f>
        <v/>
      </c>
      <c r="DB235" s="99">
        <f>IF($A235="","",IF($O235="Y","PR",IF(OR($Z235="L",$Z235="RR",LEFT($Z235,2)="L-",LEFT($Z235,3)="RR-"),"LH","RH")))</f>
        <v/>
      </c>
      <c r="DC235" s="99">
        <f>IF($A235="","","S.HM"&amp;IF(OR($C235="DOOR ONLY",$X235&lt;&gt;"KD"),"MASONRY","DRYWALL")&amp;IF($C235="DOOR ONLY","",$U235)&amp;IF(AND($C235&lt;&gt;"FRAME ONLY",OR(LEFT($AH235,3)="OAK",LEFT($AH235,3)="BIR",LEFT($AH235,3)="MAP",$AH235="PC",$AH235="MC",$AH235="SCLC",$AH235="P-LAM")),"WD","HM")&amp;"1.75")</f>
        <v/>
      </c>
      <c r="DD235" s="99">
        <f>IF($CJ235="","",IF($O235="Y",$CJ235,SUBSTITUTE($CJ235,$BG235&amp;" "&amp;IFERROR(VLOOKUP($Z235,CODES,2,FALSE),"")&amp;" ",$BG235&amp;" ")))</f>
        <v/>
      </c>
      <c r="DE235" s="99">
        <f>IF($CK235="","",IF($O235="Y",$CK235,SUBSTITUTE($CK235,$BG235&amp;" "&amp;IF($AN235="",IFERROR(VLOOKUP($Z235,CODES,2,FALSE),""),IFERROR(VLOOKUP($AN235,CODES,2,FALSE),""))&amp;" ",$BG235&amp;" ")))</f>
        <v/>
      </c>
      <c r="DF235" s="99">
        <f>IF($CJ235="","",$DC235&amp;"|"&amp;$DD235&amp;"|"&amp;$DB235&amp;"|"&amp;$AT235&amp;"|"&amp;$V235&amp;"|"&amp;$Y235&amp;"|"&amp;$AB235)</f>
        <v/>
      </c>
      <c r="DG235" s="99">
        <f>IF(DF235="","",IF(COUNTIF($DF$6:DF235,DF235)=1,MAX($DG$5:DG234)+1,INDEX($DG$5:DG234,MATCH(DF235,$DF$5:DF234,0))))</f>
        <v/>
      </c>
      <c r="DH235" s="99">
        <f>IF($CK235="","",$DC235&amp;"|"&amp;$DE235&amp;"|"&amp;$AI235&amp;"|"&amp;$BK235&amp;"|"&amp;$BL235)</f>
        <v/>
      </c>
      <c r="DI235" s="99">
        <f>IF(DH235="","",IF(COUNTIF($DH$6:DH235,DH235)=1,MAX($DI$5:DI234)+1,INDEX($DI$5:DI234,MATCH(DH235,$DH$5:DH234,0))))</f>
        <v/>
      </c>
      <c r="DJ235" s="99">
        <f>IF($A235="","",IF($B235="","qty, ","")&amp;IF($C235="","scope, ","")&amp;IF(OR($K235="",$M235=""),"size, ","")&amp;IF(AND($A235&lt;&gt;"",$C235&lt;&gt;"DOOR ONLY"),IF($U235="","jamb depth, ","")&amp;IF($X235="","construction, ","")&amp;IF($Y235="","anchor, ","")&amp;IF($S235="","frame type, ",""),"")&amp;IF(AND(N($BJ235)&gt;0,$Z235=""),"hand, ","")&amp;IF(N($BJ235)&gt;0,IF($AH235="","door material, ","")&amp;IF($AL235="","face type, ","")&amp;IF($AP235="","lock prep, ","")&amp;IF(AND($AO235="",$AC235=""),"hinge prep, ",""),"")&amp;IF(AND($CH235&gt;0,$AH235="FRP"),"FRP cannot carry a label, ","")&amp;IF(AND($O235="Y",OR($Z235="L",$Z235="R",$Z235="LR",$Z235="RR")),"pair marked but hand is single, ","")&amp;IF(AND($O235&lt;&gt;"Y",OR($Z235="PR",AND(LEN($Z235)&gt;1,ISNUMBER(SEARCH("-",$Z235))))),"pair hand on a single door, ","")&amp;IF(AND(ISNUMBER($CI235),$CH235&lt;N($CI235)),"wall needs a "&amp;$CI235&amp;" min door, ","")&amp;IF(AND($CH235&gt;=180,AND(OR($CE235="FG",$CE235="HG",$CE235="FNV",$CE235="FV"),N($CF235)*N($CG235)&gt;100)),"180 min lite over 100 sq in, ","")&amp;IF(N($BK235)&gt;48,"leaf wider than 4'-0"&amp;CHAR(34)&amp;", ","")&amp;IF(AND($CT235,COUNT($AW235:$AZ235)=0,$CQ235&gt;0),"CUSTOM LOC with no locations typed, ",""))</f>
        <v/>
      </c>
      <c r="DK235" s="99">
        <f>IF($A235="","",IF(AND($CH235&gt;0,AND($A235&lt;&gt;"",$C235&lt;&gt;"DOOR ONLY"),$X235="KD",$E235="EXTERIOR"),"KD label on an exterior opening, ","")&amp;IF(AND($E235="EXTERIOR",OR(AND(AND($A235&lt;&gt;"",$C235&lt;&gt;"DOOR ONLY"),$W235="CR"),AND(N($BJ235)&gt;0,$AH235="CR"))),"exterior in CR steel (G9?), ","")&amp;IF(AND(ISNUMBER($BQ235),N($BQ235)&lt;32),"clear width ~"&amp;TEXT($BQ235,"0.0")&amp;CHAR(34)&amp;" under 32"&amp;CHAR(34)&amp;" (ADA), ","")&amp;IF(AND($CH235=90,AND(OR($CE235="FG",$CE235="HG",$CE235="FNV",$CE235="FV"),N($CF235)*N($CG235)&gt;100)),"90 min lite over 100 sq in (stair/exit), ","")&amp;IF(AND($CH235&gt;0,AND($A235&lt;&gt;"",$C235&lt;&gt;"DOOR ONLY"),OR($AF235="",$AF235="-")),"rated: closer reinf.?, ","")&amp;IF(OR($I235="CORRIDOR",$I235="SMOKE BARRIER"),"S label + smoke gasketing, ","")&amp;IF($CI235="?","wall type/hr not in IBC table, ","")&amp;IF(AND(N($BJ235)&gt;0,$BB235=""),"no hardware set, ","")&amp;IF(AND($BB235&lt;&gt;"",ISNA(MATCH($BB235&amp;"",HWSets,0))),"set "&amp;$BB235&amp;" not on HW Sets, ","")&amp;IF(N($BL235)&gt;96,"leaf over 8'-0"&amp;CHAR(34)&amp;" - check listing, ","")&amp;IF(AND($CT235,COUNT($AW235:$AZ235)&gt;0,COUNT($AW235:$AZ235)&lt;&gt;$CQ235),COUNT($AW235:$AZ235)&amp;" custom hinges typed, "&amp;$CQ235&amp;" expected, ","")&amp;IF(AND(ISNUMBER($CA235),OR(N($CA235)&lt;34,N($CA235)&gt;48)),"lock "&amp;TEXT($CA235,"0.0")&amp;CHAR(34)&amp;" AFF outside 34-48"&amp;CHAR(34)&amp;" (ADA), ","")&amp;IF(AND(ISNUMBER($AV235),ISNUMBER($BL235),N($AV235)&lt;IF(N($BL235)&lt;=60,2,IF(N($BL235)&lt;=90,3,IF(N($BL235)&lt;=120,4,5)))),"fewer hinges than standard, ",""))</f>
        <v/>
      </c>
    </row>
    <row r="236" ht="15" customHeight="1">
      <c r="A236" s="77" t="n"/>
      <c r="B236" s="78" t="n"/>
      <c r="C236" s="78" t="n"/>
      <c r="D236" s="78" t="n"/>
      <c r="E236" s="78" t="n"/>
      <c r="F236" s="78" t="n"/>
      <c r="G236" s="78" t="n"/>
      <c r="H236" s="78" t="n"/>
      <c r="I236" s="78" t="n"/>
      <c r="J236" s="78" t="n"/>
      <c r="K236" s="78" t="n"/>
      <c r="L236" s="78" t="n"/>
      <c r="M236" s="78" t="n"/>
      <c r="N236" s="78" t="n"/>
      <c r="O236" s="78" t="n"/>
      <c r="P236" s="78" t="n"/>
      <c r="Q236" s="78" t="n"/>
      <c r="R236" s="78" t="n"/>
      <c r="S236" s="79" t="n"/>
      <c r="T236" s="79" t="n"/>
      <c r="U236" s="79" t="n"/>
      <c r="V236" s="79" t="n"/>
      <c r="W236" s="79" t="n"/>
      <c r="X236" s="79" t="n"/>
      <c r="Y236" s="79" t="n"/>
      <c r="Z236" s="79" t="n"/>
      <c r="AA236" s="79" t="n"/>
      <c r="AB236" s="79" t="n"/>
      <c r="AC236" s="79" t="n"/>
      <c r="AD236" s="79" t="n"/>
      <c r="AE236" s="79" t="n"/>
      <c r="AF236" s="79" t="n"/>
      <c r="AG236" s="79" t="n"/>
      <c r="AH236" s="80" t="n"/>
      <c r="AI236" s="80" t="n"/>
      <c r="AJ236" s="80" t="n"/>
      <c r="AK236" s="80" t="n"/>
      <c r="AL236" s="80" t="n"/>
      <c r="AM236" s="80" t="n"/>
      <c r="AN236" s="80" t="n"/>
      <c r="AO236" s="80" t="n"/>
      <c r="AP236" s="80" t="n"/>
      <c r="AQ236" s="80" t="n"/>
      <c r="AR236" s="80" t="n"/>
      <c r="AS236" s="80" t="n"/>
      <c r="AT236" s="81" t="n"/>
      <c r="AU236" s="81" t="n"/>
      <c r="AV236" s="81" t="n"/>
      <c r="AW236" s="82" t="n"/>
      <c r="AX236" s="82" t="n"/>
      <c r="AY236" s="82" t="n"/>
      <c r="AZ236" s="82" t="n"/>
      <c r="BA236" s="82" t="n"/>
      <c r="BB236" s="83" t="n"/>
      <c r="BC236" s="83" t="n"/>
      <c r="BD236" s="84">
        <f>IF($A236="","",IF($DJ236&lt;&gt;"","FIX",IF($DK236&lt;&gt;"","CHECK","OK")))</f>
        <v/>
      </c>
      <c r="BE236" s="85">
        <f>IF($A236="","",IF($DJ236&lt;&gt;"","FIX: "&amp;LEFT($DJ236,LEN($DJ236)-2)&amp;IF($DK236&lt;&gt;"","  ·  ",""),"")&amp;IF($DK236&lt;&gt;"","CHECK: "&amp;LEFT($DK236,LEN($DK236)-2),""))</f>
        <v/>
      </c>
      <c r="BF236" s="84">
        <f>IF(OR($A236="",$K236=""),"",$K236&amp;"'-"&amp;N($L236)&amp;CHAR(34)&amp;" x "&amp;$M236&amp;"'-"&amp;N($N236)&amp;CHAR(34))</f>
        <v/>
      </c>
      <c r="BG236" s="84">
        <f>IF(OR($A236="",$K236=""),"",$K236&amp;N($L236)&amp;$M236&amp;N($N236))</f>
        <v/>
      </c>
      <c r="BH236" s="84">
        <f>IF(OR($A236="",$K236=""),"",$K236*12+N($L236))</f>
        <v/>
      </c>
      <c r="BI236" s="84">
        <f>IF(OR($A236="",$M236=""),"",$M236*12+N($N236))</f>
        <v/>
      </c>
      <c r="BJ236" s="84">
        <f>IF($A236="","",IF(OR($C236="FRAME ONLY",$S236="BL"),0,IF($O236="Y",2,1)))</f>
        <v/>
      </c>
      <c r="BK236" s="86">
        <f>IF(OR(N($BJ236)=0,$BH236=""),"",($BH236-2*EdgeClr-IF($BJ236=2,MeetClr,0))/$BJ236)</f>
        <v/>
      </c>
      <c r="BL236" s="86">
        <f>IF(OR(N($BJ236)=0,$BI236=""),"",$BI236-HeadClr-Undercut)</f>
        <v/>
      </c>
      <c r="BM236" s="86">
        <f>IF($BH236="","",$BH236+2*FaceW+IF(N($Q236)&gt;0,($Q236+FaceW)*IF($R236="LR",2,1),0))</f>
        <v/>
      </c>
      <c r="BN236" s="86">
        <f>IF($BI236="","",$BI236+IF($AB236="Y",4,FaceW)+IF(N($P236)&gt;0,$P236+FaceW,0)+IF(OR($S236="4F",$S236="BL"),FaceW,0))</f>
        <v/>
      </c>
      <c r="BO236" s="86">
        <f>IF($BM236="","",$BM236+2*ROSide)</f>
        <v/>
      </c>
      <c r="BP236" s="86">
        <f>IF($BN236="","",$BN236+ROTop)</f>
        <v/>
      </c>
      <c r="BQ236" s="87">
        <f>IF(OR(N($BJ236)=0,$BH236=""),"",$BH236/$BJ236-ClearDeduct)</f>
        <v/>
      </c>
      <c r="BR236" s="84">
        <f>IF(N($CH236)=0,"",IF($CH236&gt;=180,"A · 3 HR",IF($CH236&gt;=90,"B · 1-1/2 HR",IF($CH236&gt;=60,"B · 1 HR",IF($CH236&gt;=45,"C · 3/4 HR","20 MIN")))))&amp;IF(AND(N($CH236)&gt;0,OR($I236="CORRIDOR",$I236="SMOKE BARRIER"))," · S","")</f>
        <v/>
      </c>
      <c r="BS236" s="84">
        <f>IF($CS236,"",IF($AV236&lt;&gt;"",$AV236,IF(OR($AC236="HGC",$AO236="HGC"),"CONT",IF(($BI236-HeadClr-Undercut)&lt;=60,2,IF(($BI236-HeadClr-Undercut)&lt;=90,3,IF(($BI236-HeadClr-Undercut)&lt;=120,4,5))))))</f>
        <v/>
      </c>
      <c r="BT236" s="84">
        <f>IF($CS236,"",IF($CT236,"CUSTOM (typed)",IF($CV236,$AT236&amp;" "&amp;$CU236&amp;CHAR(34)&amp;IF($CU236&lt;&gt;$BI236,IF(AND($BI236&lt;$CU236,$BI236-IF(N(VLOOKUP($AT236&amp;"|"&amp;$CU236,LocTable,7,FALSE))&gt;0,VLOOKUP($AT236&amp;"|"&amp;$CU236,LocTable,7,FALSE),VLOOKUP($AT236&amp;"|"&amp;$CU236,LocTable,6,FALSE))-$CR236-0.75&gt;=2.125)," cut down"," adj."),""),"ANSI/SDI A250.6")))</f>
        <v/>
      </c>
      <c r="BU236" s="88">
        <f>IF($CS236,"",IF($CT236,IF(N($AW236)&gt;0,N($AW236),""),IF(1&gt;$CQ236,"",IF($CQ236=1,$CW236,$CW236+($CX236-$CW236)*0/($CQ236-1)))))</f>
        <v/>
      </c>
      <c r="BV236" s="88">
        <f>IF($CS236,"",IF($CT236,IF(N($AX236)&gt;0,N($AX236),""),IF(2&gt;$CQ236,"",IF($CQ236=1,$CW236,$CW236+($CX236-$CW236)*1/($CQ236-1)))))</f>
        <v/>
      </c>
      <c r="BW236" s="88">
        <f>IF($CS236,"",IF($CT236,IF(N($AY236)&gt;0,N($AY236),""),IF(3&gt;$CQ236,"",IF($CQ236=1,$CW236,$CW236+($CX236-$CW236)*2/($CQ236-1)))))</f>
        <v/>
      </c>
      <c r="BX236" s="88">
        <f>IF($CS236,"",IF($CT236,IF(N($AZ236)&gt;0,N($AZ236),""),IF(4&gt;$CQ236,"",IF($CQ236=1,$CW236,$CW236+($CX236-$CW236)*3/($CQ236-1)))))</f>
        <v/>
      </c>
      <c r="BY236" s="88">
        <f>IF($CS236,"",IF($CT236,"",IF(5&gt;$CQ236,"",IF($CQ236=1,$CW236,$CW236+($CX236-$CW236)*4/($CQ236-1)))))</f>
        <v/>
      </c>
      <c r="BZ236" s="88">
        <f>IF(OR($CS236,$AP236="-",AND($AP236="",$AD236="")),"",IF(N($BA236)&gt;0,N($BA236),IF($CV236,IF(AND($BI236&lt;$CU236,$BI236-IF(N(VLOOKUP($AT236&amp;"|"&amp;$CU236,LocTable,7,FALSE))&gt;0,VLOOKUP($AT236&amp;"|"&amp;$CU236,LocTable,7,FALSE),VLOOKUP($AT236&amp;"|"&amp;$CU236,LocTable,6,FALSE))-$CR236-0.75&gt;=2.125),VLOOKUP($AT236&amp;"|"&amp;$CU236,LocTable,8,FALSE),VLOOKUP($AT236&amp;"|"&amp;$CU236,LocTable,8,FALSE)+($BI236-$CU236)),$BI236-LockAFF)))</f>
        <v/>
      </c>
      <c r="CA236" s="89">
        <f>IF($BZ236="","",$BI236-$BZ236)</f>
        <v/>
      </c>
      <c r="CB236" s="84">
        <f>IF(OR(NOT(AND($A236&lt;&gt;"",$C236&lt;&gt;"DOOR ONLY")),$BI236=""),"",IF(($BI236+IF(N($P236)&gt;0,$P236+FaceW,0))&lt;=90,3,IF(($BI236+IF(N($P236)&gt;0,$P236+FaceW,0))&lt;=114,4,5)))</f>
        <v/>
      </c>
      <c r="CC236" s="84">
        <f>IF($CB236="","",$CB236*(2+IF(N($Q236)&gt;0,IF($R236="LR",2,1),0)))</f>
        <v/>
      </c>
      <c r="CD236" s="84">
        <f>IF($CB236="","",(2+IF(N($Q236)&gt;0,IF($R236="LR",2,1),0)))</f>
        <v/>
      </c>
      <c r="CE236" s="84">
        <f>IF(N($BJ236)=0,"",IF(OR($AL236="",$AL236="FLUSH"),"FLUSH",IFERROR(LEFT($AL236,FIND("-",$AL236)-1),LEFT($AL236,2))))</f>
        <v/>
      </c>
      <c r="CF236" s="84">
        <f>IF($CE236="","",IFERROR(VALUE(MID($AL236,FIND("-",$AL236)+1,FIND(CHAR(34)&amp;"x",$AL236)-FIND("-",$AL236)-1)),0))</f>
        <v/>
      </c>
      <c r="CG236" s="84">
        <f>IF($CE236="","",IFERROR(VALUE(MID($AL236,FIND(CHAR(34)&amp;"x",$AL236)+2,FIND(CHAR(34),$AL236,FIND(CHAR(34)&amp;"x",$AL236)+2)-FIND(CHAR(34)&amp;"x",$AL236)-2)),0))</f>
        <v/>
      </c>
      <c r="CH236" s="90">
        <f>IF(OR($A236="",$H236="",$H236="NO LAB"),0,IFERROR(VALUE(LEFT($H236,FIND(" ",$H236)-1)),0))</f>
        <v/>
      </c>
      <c r="CI236" s="91">
        <f>IF(OR($A236="",$I236="",$I236="NON-RATED",N($J236)=0),"",IFERROR(VLOOKUP($I236&amp;"|"&amp;$J236,IBC,2,FALSE),"?"))</f>
        <v/>
      </c>
      <c r="CJ236" s="85">
        <f>IF(NOT(AND($A236&lt;&gt;"",$C236&lt;&gt;"DOOR ONLY")),"",TRIM(IFERROR(VLOOKUP($U236,CODES,2,FALSE),"")&amp;" "&amp;$BG236&amp;" "&amp;IFERROR(VLOOKUP($Z236,CODES,2,FALSE),"")&amp;" "&amp;IFERROR(VLOOKUP($X236,CODES,2,FALSE),"")&amp;" "&amp;IFERROR(VLOOKUP($S236,CODES,2,FALSE),"")&amp;IF(N($P236)&gt;0," w/TRANSOM "&amp;$P236&amp;CHAR(34),"")&amp;IF(N($Q236)&gt;0," w/SIDELITE "&amp;$Q236&amp;CHAR(34)&amp;" "&amp;IF($R236="","R",$R236),"")&amp;IF($Y236="","  |  "," | "&amp;IFERROR(VLOOKUP($Y236,CODES,2,FALSE),"")&amp;" | ")&amp;IFERROR(VLOOKUP($AC236,CODES,2,FALSE),"")&amp;" "&amp;IFERROR(VLOOKUP($AD236,CODES,2,FALSE),"")&amp;IF(OR($AE236="",$AE236="-"),""," "&amp;$AE236)&amp;IF(OR($AF236="",$AF236="-"),""," "&amp;$AF236)&amp;IF($AB236="Y"," 4"&amp;CHAR(34)&amp;" HEAD","")&amp;" "&amp;IFERROR(VLOOKUP($H236,CODES,2,FALSE),"")&amp;IF($CT236," | LOC "&amp;$CY236,"")))</f>
        <v/>
      </c>
      <c r="CK236" s="85">
        <f>IF(NOT(AND($A236&lt;&gt;"",N($BJ236)&gt;0)),"",TRIM(IFERROR(VLOOKUP($AH236,CODES,2,FALSE),"")&amp;IF($AI236=""," "," "&amp;$AI236&amp;"GA ")&amp;$BG236&amp;" "&amp;IF($AN236="",IFERROR(VLOOKUP($Z236,CODES,2,FALSE),""),IFERROR(VLOOKUP($AN236,CODES,2,FALSE),""))&amp;IF($BJ236=2," PAIR","")&amp;" DOOR | "&amp;IF($AL236="","?",$AL236)&amp;" | "&amp;IF($AO236="",IFERROR(VLOOKUP($AC236,CODES,2,FALSE),""),IFERROR(VLOOKUP($AO236,CODES,2,FALSE),""))&amp;" "&amp;IFERROR(VLOOKUP($AP236,CODES,2,FALSE),"")&amp;IF(OR($AQ236="",$AQ236="-"),""," SEAM "&amp;$AQ236)&amp;IF($AR236="Y"," ASTRAGAL","")&amp;IF($AJ236=""," "," "&amp;$AJ236)&amp;IF($AK236=""," "," "&amp;$AK236)&amp;IF(OR($AT236="",$AT236="ANSI/SDI",$AT236="CUSTOM LOC"),""," "&amp;$AT236)&amp;IF($AM236=""," "," SERIES "&amp;$AM236)&amp;" "&amp;IFERROR(VLOOKUP($H236,CODES,2,FALSE),"")&amp;IF($CT236," | LOC "&amp;$CZ236,"")))</f>
        <v/>
      </c>
      <c r="CL236" s="84">
        <f>IF(CP236="","",IF(COUNTIF($CP$6:CP236,CP236)=1,MAX($CL$5:CL235)+1,INDEX($CL$5:CL235,MATCH(CP236,$CP$5:CP235,0))))</f>
        <v/>
      </c>
      <c r="CM236" s="84">
        <f>IF(NOT(AND($A236&lt;&gt;"",$C236&lt;&gt;"DOOR ONLY")),"",MAX($CM$5:CM235)+1)</f>
        <v/>
      </c>
      <c r="CN236" s="84">
        <f>IF(NOT(AND($A236&lt;&gt;"",N($BJ236)&gt;0)),"",MAX($CN$5:CN235)+1)</f>
        <v/>
      </c>
      <c r="CO236" s="84">
        <f>IF($A236="","",MAX($CO$5:CO235)+1)</f>
        <v/>
      </c>
      <c r="CP236" s="84">
        <f>IF(OR($A236="",$BH236="",$BI236=""),"",$BG236&amp;"|"&amp;$O236&amp;"|"&amp;$AL236&amp;"|"&amp;$S236&amp;"|"&amp;$P236&amp;"|"&amp;$Q236&amp;$R236&amp;"|"&amp;$C236&amp;"|"&amp;$AB236)</f>
        <v/>
      </c>
      <c r="CQ236" s="84">
        <f>N($BS236)</f>
        <v/>
      </c>
      <c r="CR236" s="84">
        <f>IF(N($AU236)&gt;0,N($AU236),4.5)</f>
        <v/>
      </c>
      <c r="CS236" s="84">
        <f>OR($A236="",$BI236="",$S236="BL",AND($C236="FRAME ONLY",OR($AC236="",$AC236="BLK")))</f>
        <v/>
      </c>
      <c r="CT236" s="84">
        <f>AND(NOT($CS236),OR($AT236="CUSTOM LOC",N($AW236)+N($AX236)+N($AY236)+N($AZ236)+N($BA236)&gt;0))</f>
        <v/>
      </c>
      <c r="CU236" s="84">
        <f>IF($BI236="","",IF($BI236&lt;=80,80,IF($BI236&lt;=84,84,96)))</f>
        <v/>
      </c>
      <c r="CV236" s="84">
        <f>ISNUMBER(MATCH($AT236&amp;"|80",LocKeys,0))</f>
        <v/>
      </c>
      <c r="CW236" s="86">
        <f>IF($CS236,"",IF($CV236,VLOOKUP($AT236&amp;"|"&amp;$CU236,LocTable,4,FALSE),5))</f>
        <v/>
      </c>
      <c r="CX236" s="86">
        <f>IF($CS236,"",IF($CV236,IF(OR($BI236=$CU236,AND($BI236&lt;$CU236,$BI236-IF(N(VLOOKUP($AT236&amp;"|"&amp;$CU236,LocTable,7,FALSE))&gt;0,VLOOKUP($AT236&amp;"|"&amp;$CU236,LocTable,7,FALSE),VLOOKUP($AT236&amp;"|"&amp;$CU236,LocTable,6,FALSE))-$CR236-0.75&gt;=2.125)),IF(N(VLOOKUP($AT236&amp;"|"&amp;$CU236,LocTable,7,FALSE))&gt;0,VLOOKUP($AT236&amp;"|"&amp;$CU236,LocTable,7,FALSE),VLOOKUP($AT236&amp;"|"&amp;$CU236,LocTable,6,FALSE)),$BI236-($CU236-IF(N(VLOOKUP($AT236&amp;"|"&amp;$CU236,LocTable,7,FALSE))&gt;0,VLOOKUP($AT236&amp;"|"&amp;$CU236,LocTable,7,FALSE),VLOOKUP($AT236&amp;"|"&amp;$CU236,LocTable,6,FALSE)))),$BI236-10-$CR236))</f>
        <v/>
      </c>
      <c r="CY236" s="85">
        <f>IF($CS236,"",TRIM(IF(ISNUMBER($BU236),"A "&amp;TRIM(TEXT($BU236,"# ?/??"))&amp;CHAR(34)&amp;"  ","")&amp;IF(ISNUMBER($BV236),"B "&amp;TRIM(TEXT($BV236,"# ?/??"))&amp;CHAR(34)&amp;"  ","")&amp;IF(ISNUMBER($BW236),"C "&amp;TRIM(TEXT($BW236,"# ?/??"))&amp;CHAR(34)&amp;"  ","")&amp;IF(ISNUMBER($BX236),"D "&amp;TRIM(TEXT($BX236,"# ?/??"))&amp;CHAR(34)&amp;"  ","")&amp;IF(ISNUMBER($BY236),"F "&amp;TRIM(TEXT($BY236,"# ?/??"))&amp;CHAR(34)&amp;"  ","")&amp;IF(ISNUMBER($BZ236),"E "&amp;TRIM(TEXT($BZ236,"# ?/??"))&amp;CHAR(34)&amp;"  ","")))</f>
        <v/>
      </c>
      <c r="CZ236" s="85">
        <f>IF(OR($CS236,N($BJ236)=0),"",TRIM(IF(ISNUMBER($BU236),"A "&amp;TRIM(TEXT($BU236-HeadClr,"# ?/??"))&amp;CHAR(34)&amp;"  ","")&amp;IF(ISNUMBER($BV236),"B "&amp;TRIM(TEXT($BV236-HeadClr,"# ?/??"))&amp;CHAR(34)&amp;"  ","")&amp;IF(ISNUMBER($BW236),"C "&amp;TRIM(TEXT($BW236-HeadClr,"# ?/??"))&amp;CHAR(34)&amp;"  ","")&amp;IF(ISNUMBER($BX236),"D "&amp;TRIM(TEXT($BX236-HeadClr,"# ?/??"))&amp;CHAR(34)&amp;"  ","")&amp;IF(ISNUMBER($BY236),"F "&amp;TRIM(TEXT($BY236-HeadClr,"# ?/??"))&amp;CHAR(34)&amp;"  ","")&amp;IF(ISNUMBER($BZ236),"E "&amp;TRIM(TEXT($BZ236-HeadClr,"# ?/??"))&amp;CHAR(34)&amp;"  ","")))</f>
        <v/>
      </c>
      <c r="DA236" s="84">
        <f>IF($A236="","",IF($AN236="",IFERROR(VLOOKUP($Z236,CODES,2,FALSE),""),IFERROR(VLOOKUP($AN236,CODES,2,FALSE),"")))</f>
        <v/>
      </c>
      <c r="DB236" s="84">
        <f>IF($A236="","",IF($O236="Y","PR",IF(OR($Z236="L",$Z236="RR",LEFT($Z236,2)="L-",LEFT($Z236,3)="RR-"),"LH","RH")))</f>
        <v/>
      </c>
      <c r="DC236" s="84">
        <f>IF($A236="","","S.HM"&amp;IF(OR($C236="DOOR ONLY",$X236&lt;&gt;"KD"),"MASONRY","DRYWALL")&amp;IF($C236="DOOR ONLY","",$U236)&amp;IF(AND($C236&lt;&gt;"FRAME ONLY",OR(LEFT($AH236,3)="OAK",LEFT($AH236,3)="BIR",LEFT($AH236,3)="MAP",$AH236="PC",$AH236="MC",$AH236="SCLC",$AH236="P-LAM")),"WD","HM")&amp;"1.75")</f>
        <v/>
      </c>
      <c r="DD236" s="84">
        <f>IF($CJ236="","",IF($O236="Y",$CJ236,SUBSTITUTE($CJ236,$BG236&amp;" "&amp;IFERROR(VLOOKUP($Z236,CODES,2,FALSE),"")&amp;" ",$BG236&amp;" ")))</f>
        <v/>
      </c>
      <c r="DE236" s="84">
        <f>IF($CK236="","",IF($O236="Y",$CK236,SUBSTITUTE($CK236,$BG236&amp;" "&amp;IF($AN236="",IFERROR(VLOOKUP($Z236,CODES,2,FALSE),""),IFERROR(VLOOKUP($AN236,CODES,2,FALSE),""))&amp;" ",$BG236&amp;" ")))</f>
        <v/>
      </c>
      <c r="DF236" s="84">
        <f>IF($CJ236="","",$DC236&amp;"|"&amp;$DD236&amp;"|"&amp;$DB236&amp;"|"&amp;$AT236&amp;"|"&amp;$V236&amp;"|"&amp;$Y236&amp;"|"&amp;$AB236)</f>
        <v/>
      </c>
      <c r="DG236" s="84">
        <f>IF(DF236="","",IF(COUNTIF($DF$6:DF236,DF236)=1,MAX($DG$5:DG235)+1,INDEX($DG$5:DG235,MATCH(DF236,$DF$5:DF235,0))))</f>
        <v/>
      </c>
      <c r="DH236" s="84">
        <f>IF($CK236="","",$DC236&amp;"|"&amp;$DE236&amp;"|"&amp;$AI236&amp;"|"&amp;$BK236&amp;"|"&amp;$BL236)</f>
        <v/>
      </c>
      <c r="DI236" s="84">
        <f>IF(DH236="","",IF(COUNTIF($DH$6:DH236,DH236)=1,MAX($DI$5:DI235)+1,INDEX($DI$5:DI235,MATCH(DH236,$DH$5:DH235,0))))</f>
        <v/>
      </c>
      <c r="DJ236" s="84">
        <f>IF($A236="","",IF($B236="","qty, ","")&amp;IF($C236="","scope, ","")&amp;IF(OR($K236="",$M236=""),"size, ","")&amp;IF(AND($A236&lt;&gt;"",$C236&lt;&gt;"DOOR ONLY"),IF($U236="","jamb depth, ","")&amp;IF($X236="","construction, ","")&amp;IF($Y236="","anchor, ","")&amp;IF($S236="","frame type, ",""),"")&amp;IF(AND(N($BJ236)&gt;0,$Z236=""),"hand, ","")&amp;IF(N($BJ236)&gt;0,IF($AH236="","door material, ","")&amp;IF($AL236="","face type, ","")&amp;IF($AP236="","lock prep, ","")&amp;IF(AND($AO236="",$AC236=""),"hinge prep, ",""),"")&amp;IF(AND($CH236&gt;0,$AH236="FRP"),"FRP cannot carry a label, ","")&amp;IF(AND($O236="Y",OR($Z236="L",$Z236="R",$Z236="LR",$Z236="RR")),"pair marked but hand is single, ","")&amp;IF(AND($O236&lt;&gt;"Y",OR($Z236="PR",AND(LEN($Z236)&gt;1,ISNUMBER(SEARCH("-",$Z236))))),"pair hand on a single door, ","")&amp;IF(AND(ISNUMBER($CI236),$CH236&lt;N($CI236)),"wall needs a "&amp;$CI236&amp;" min door, ","")&amp;IF(AND($CH236&gt;=180,AND(OR($CE236="FG",$CE236="HG",$CE236="FNV",$CE236="FV"),N($CF236)*N($CG236)&gt;100)),"180 min lite over 100 sq in, ","")&amp;IF(N($BK236)&gt;48,"leaf wider than 4'-0"&amp;CHAR(34)&amp;", ","")&amp;IF(AND($CT236,COUNT($AW236:$AZ236)=0,$CQ236&gt;0),"CUSTOM LOC with no locations typed, ",""))</f>
        <v/>
      </c>
      <c r="DK236" s="84">
        <f>IF($A236="","",IF(AND($CH236&gt;0,AND($A236&lt;&gt;"",$C236&lt;&gt;"DOOR ONLY"),$X236="KD",$E236="EXTERIOR"),"KD label on an exterior opening, ","")&amp;IF(AND($E236="EXTERIOR",OR(AND(AND($A236&lt;&gt;"",$C236&lt;&gt;"DOOR ONLY"),$W236="CR"),AND(N($BJ236)&gt;0,$AH236="CR"))),"exterior in CR steel (G9?), ","")&amp;IF(AND(ISNUMBER($BQ236),N($BQ236)&lt;32),"clear width ~"&amp;TEXT($BQ236,"0.0")&amp;CHAR(34)&amp;" under 32"&amp;CHAR(34)&amp;" (ADA), ","")&amp;IF(AND($CH236=90,AND(OR($CE236="FG",$CE236="HG",$CE236="FNV",$CE236="FV"),N($CF236)*N($CG236)&gt;100)),"90 min lite over 100 sq in (stair/exit), ","")&amp;IF(AND($CH236&gt;0,AND($A236&lt;&gt;"",$C236&lt;&gt;"DOOR ONLY"),OR($AF236="",$AF236="-")),"rated: closer reinf.?, ","")&amp;IF(OR($I236="CORRIDOR",$I236="SMOKE BARRIER"),"S label + smoke gasketing, ","")&amp;IF($CI236="?","wall type/hr not in IBC table, ","")&amp;IF(AND(N($BJ236)&gt;0,$BB236=""),"no hardware set, ","")&amp;IF(AND($BB236&lt;&gt;"",ISNA(MATCH($BB236&amp;"",HWSets,0))),"set "&amp;$BB236&amp;" not on HW Sets, ","")&amp;IF(N($BL236)&gt;96,"leaf over 8'-0"&amp;CHAR(34)&amp;" - check listing, ","")&amp;IF(AND($CT236,COUNT($AW236:$AZ236)&gt;0,COUNT($AW236:$AZ236)&lt;&gt;$CQ236),COUNT($AW236:$AZ236)&amp;" custom hinges typed, "&amp;$CQ236&amp;" expected, ","")&amp;IF(AND(ISNUMBER($CA236),OR(N($CA236)&lt;34,N($CA236)&gt;48)),"lock "&amp;TEXT($CA236,"0.0")&amp;CHAR(34)&amp;" AFF outside 34-48"&amp;CHAR(34)&amp;" (ADA), ","")&amp;IF(AND(ISNUMBER($AV236),ISNUMBER($BL236),N($AV236)&lt;IF(N($BL236)&lt;=60,2,IF(N($BL236)&lt;=90,3,IF(N($BL236)&lt;=120,4,5)))),"fewer hinges than standard, ",""))</f>
        <v/>
      </c>
    </row>
    <row r="237" ht="15" customHeight="1">
      <c r="A237" s="77" t="n"/>
      <c r="B237" s="78" t="n"/>
      <c r="C237" s="78" t="n"/>
      <c r="D237" s="78" t="n"/>
      <c r="E237" s="78" t="n"/>
      <c r="F237" s="78" t="n"/>
      <c r="G237" s="78" t="n"/>
      <c r="H237" s="78" t="n"/>
      <c r="I237" s="78" t="n"/>
      <c r="J237" s="78" t="n"/>
      <c r="K237" s="78" t="n"/>
      <c r="L237" s="78" t="n"/>
      <c r="M237" s="78" t="n"/>
      <c r="N237" s="78" t="n"/>
      <c r="O237" s="78" t="n"/>
      <c r="P237" s="78" t="n"/>
      <c r="Q237" s="78" t="n"/>
      <c r="R237" s="78" t="n"/>
      <c r="S237" s="79" t="n"/>
      <c r="T237" s="79" t="n"/>
      <c r="U237" s="79" t="n"/>
      <c r="V237" s="79" t="n"/>
      <c r="W237" s="79" t="n"/>
      <c r="X237" s="79" t="n"/>
      <c r="Y237" s="79" t="n"/>
      <c r="Z237" s="79" t="n"/>
      <c r="AA237" s="79" t="n"/>
      <c r="AB237" s="79" t="n"/>
      <c r="AC237" s="79" t="n"/>
      <c r="AD237" s="79" t="n"/>
      <c r="AE237" s="79" t="n"/>
      <c r="AF237" s="79" t="n"/>
      <c r="AG237" s="79" t="n"/>
      <c r="AH237" s="80" t="n"/>
      <c r="AI237" s="80" t="n"/>
      <c r="AJ237" s="80" t="n"/>
      <c r="AK237" s="80" t="n"/>
      <c r="AL237" s="80" t="n"/>
      <c r="AM237" s="80" t="n"/>
      <c r="AN237" s="80" t="n"/>
      <c r="AO237" s="80" t="n"/>
      <c r="AP237" s="80" t="n"/>
      <c r="AQ237" s="80" t="n"/>
      <c r="AR237" s="80" t="n"/>
      <c r="AS237" s="80" t="n"/>
      <c r="AT237" s="81" t="n"/>
      <c r="AU237" s="81" t="n"/>
      <c r="AV237" s="81" t="n"/>
      <c r="AW237" s="82" t="n"/>
      <c r="AX237" s="82" t="n"/>
      <c r="AY237" s="82" t="n"/>
      <c r="AZ237" s="82" t="n"/>
      <c r="BA237" s="82" t="n"/>
      <c r="BB237" s="83" t="n"/>
      <c r="BC237" s="83" t="n"/>
      <c r="BD237" s="84">
        <f>IF($A237="","",IF($DJ237&lt;&gt;"","FIX",IF($DK237&lt;&gt;"","CHECK","OK")))</f>
        <v/>
      </c>
      <c r="BE237" s="85">
        <f>IF($A237="","",IF($DJ237&lt;&gt;"","FIX: "&amp;LEFT($DJ237,LEN($DJ237)-2)&amp;IF($DK237&lt;&gt;"","  ·  ",""),"")&amp;IF($DK237&lt;&gt;"","CHECK: "&amp;LEFT($DK237,LEN($DK237)-2),""))</f>
        <v/>
      </c>
      <c r="BF237" s="84">
        <f>IF(OR($A237="",$K237=""),"",$K237&amp;"'-"&amp;N($L237)&amp;CHAR(34)&amp;" x "&amp;$M237&amp;"'-"&amp;N($N237)&amp;CHAR(34))</f>
        <v/>
      </c>
      <c r="BG237" s="84">
        <f>IF(OR($A237="",$K237=""),"",$K237&amp;N($L237)&amp;$M237&amp;N($N237))</f>
        <v/>
      </c>
      <c r="BH237" s="84">
        <f>IF(OR($A237="",$K237=""),"",$K237*12+N($L237))</f>
        <v/>
      </c>
      <c r="BI237" s="84">
        <f>IF(OR($A237="",$M237=""),"",$M237*12+N($N237))</f>
        <v/>
      </c>
      <c r="BJ237" s="84">
        <f>IF($A237="","",IF(OR($C237="FRAME ONLY",$S237="BL"),0,IF($O237="Y",2,1)))</f>
        <v/>
      </c>
      <c r="BK237" s="86">
        <f>IF(OR(N($BJ237)=0,$BH237=""),"",($BH237-2*EdgeClr-IF($BJ237=2,MeetClr,0))/$BJ237)</f>
        <v/>
      </c>
      <c r="BL237" s="86">
        <f>IF(OR(N($BJ237)=0,$BI237=""),"",$BI237-HeadClr-Undercut)</f>
        <v/>
      </c>
      <c r="BM237" s="86">
        <f>IF($BH237="","",$BH237+2*FaceW+IF(N($Q237)&gt;0,($Q237+FaceW)*IF($R237="LR",2,1),0))</f>
        <v/>
      </c>
      <c r="BN237" s="86">
        <f>IF($BI237="","",$BI237+IF($AB237="Y",4,FaceW)+IF(N($P237)&gt;0,$P237+FaceW,0)+IF(OR($S237="4F",$S237="BL"),FaceW,0))</f>
        <v/>
      </c>
      <c r="BO237" s="86">
        <f>IF($BM237="","",$BM237+2*ROSide)</f>
        <v/>
      </c>
      <c r="BP237" s="86">
        <f>IF($BN237="","",$BN237+ROTop)</f>
        <v/>
      </c>
      <c r="BQ237" s="87">
        <f>IF(OR(N($BJ237)=0,$BH237=""),"",$BH237/$BJ237-ClearDeduct)</f>
        <v/>
      </c>
      <c r="BR237" s="84">
        <f>IF(N($CH237)=0,"",IF($CH237&gt;=180,"A · 3 HR",IF($CH237&gt;=90,"B · 1-1/2 HR",IF($CH237&gt;=60,"B · 1 HR",IF($CH237&gt;=45,"C · 3/4 HR","20 MIN")))))&amp;IF(AND(N($CH237)&gt;0,OR($I237="CORRIDOR",$I237="SMOKE BARRIER"))," · S","")</f>
        <v/>
      </c>
      <c r="BS237" s="84">
        <f>IF($CS237,"",IF($AV237&lt;&gt;"",$AV237,IF(OR($AC237="HGC",$AO237="HGC"),"CONT",IF(($BI237-HeadClr-Undercut)&lt;=60,2,IF(($BI237-HeadClr-Undercut)&lt;=90,3,IF(($BI237-HeadClr-Undercut)&lt;=120,4,5))))))</f>
        <v/>
      </c>
      <c r="BT237" s="84">
        <f>IF($CS237,"",IF($CT237,"CUSTOM (typed)",IF($CV237,$AT237&amp;" "&amp;$CU237&amp;CHAR(34)&amp;IF($CU237&lt;&gt;$BI237,IF(AND($BI237&lt;$CU237,$BI237-IF(N(VLOOKUP($AT237&amp;"|"&amp;$CU237,LocTable,7,FALSE))&gt;0,VLOOKUP($AT237&amp;"|"&amp;$CU237,LocTable,7,FALSE),VLOOKUP($AT237&amp;"|"&amp;$CU237,LocTable,6,FALSE))-$CR237-0.75&gt;=2.125)," cut down"," adj."),""),"ANSI/SDI A250.6")))</f>
        <v/>
      </c>
      <c r="BU237" s="88">
        <f>IF($CS237,"",IF($CT237,IF(N($AW237)&gt;0,N($AW237),""),IF(1&gt;$CQ237,"",IF($CQ237=1,$CW237,$CW237+($CX237-$CW237)*0/($CQ237-1)))))</f>
        <v/>
      </c>
      <c r="BV237" s="88">
        <f>IF($CS237,"",IF($CT237,IF(N($AX237)&gt;0,N($AX237),""),IF(2&gt;$CQ237,"",IF($CQ237=1,$CW237,$CW237+($CX237-$CW237)*1/($CQ237-1)))))</f>
        <v/>
      </c>
      <c r="BW237" s="88">
        <f>IF($CS237,"",IF($CT237,IF(N($AY237)&gt;0,N($AY237),""),IF(3&gt;$CQ237,"",IF($CQ237=1,$CW237,$CW237+($CX237-$CW237)*2/($CQ237-1)))))</f>
        <v/>
      </c>
      <c r="BX237" s="88">
        <f>IF($CS237,"",IF($CT237,IF(N($AZ237)&gt;0,N($AZ237),""),IF(4&gt;$CQ237,"",IF($CQ237=1,$CW237,$CW237+($CX237-$CW237)*3/($CQ237-1)))))</f>
        <v/>
      </c>
      <c r="BY237" s="88">
        <f>IF($CS237,"",IF($CT237,"",IF(5&gt;$CQ237,"",IF($CQ237=1,$CW237,$CW237+($CX237-$CW237)*4/($CQ237-1)))))</f>
        <v/>
      </c>
      <c r="BZ237" s="88">
        <f>IF(OR($CS237,$AP237="-",AND($AP237="",$AD237="")),"",IF(N($BA237)&gt;0,N($BA237),IF($CV237,IF(AND($BI237&lt;$CU237,$BI237-IF(N(VLOOKUP($AT237&amp;"|"&amp;$CU237,LocTable,7,FALSE))&gt;0,VLOOKUP($AT237&amp;"|"&amp;$CU237,LocTable,7,FALSE),VLOOKUP($AT237&amp;"|"&amp;$CU237,LocTable,6,FALSE))-$CR237-0.75&gt;=2.125),VLOOKUP($AT237&amp;"|"&amp;$CU237,LocTable,8,FALSE),VLOOKUP($AT237&amp;"|"&amp;$CU237,LocTable,8,FALSE)+($BI237-$CU237)),$BI237-LockAFF)))</f>
        <v/>
      </c>
      <c r="CA237" s="89">
        <f>IF($BZ237="","",$BI237-$BZ237)</f>
        <v/>
      </c>
      <c r="CB237" s="84">
        <f>IF(OR(NOT(AND($A237&lt;&gt;"",$C237&lt;&gt;"DOOR ONLY")),$BI237=""),"",IF(($BI237+IF(N($P237)&gt;0,$P237+FaceW,0))&lt;=90,3,IF(($BI237+IF(N($P237)&gt;0,$P237+FaceW,0))&lt;=114,4,5)))</f>
        <v/>
      </c>
      <c r="CC237" s="84">
        <f>IF($CB237="","",$CB237*(2+IF(N($Q237)&gt;0,IF($R237="LR",2,1),0)))</f>
        <v/>
      </c>
      <c r="CD237" s="84">
        <f>IF($CB237="","",(2+IF(N($Q237)&gt;0,IF($R237="LR",2,1),0)))</f>
        <v/>
      </c>
      <c r="CE237" s="84">
        <f>IF(N($BJ237)=0,"",IF(OR($AL237="",$AL237="FLUSH"),"FLUSH",IFERROR(LEFT($AL237,FIND("-",$AL237)-1),LEFT($AL237,2))))</f>
        <v/>
      </c>
      <c r="CF237" s="84">
        <f>IF($CE237="","",IFERROR(VALUE(MID($AL237,FIND("-",$AL237)+1,FIND(CHAR(34)&amp;"x",$AL237)-FIND("-",$AL237)-1)),0))</f>
        <v/>
      </c>
      <c r="CG237" s="84">
        <f>IF($CE237="","",IFERROR(VALUE(MID($AL237,FIND(CHAR(34)&amp;"x",$AL237)+2,FIND(CHAR(34),$AL237,FIND(CHAR(34)&amp;"x",$AL237)+2)-FIND(CHAR(34)&amp;"x",$AL237)-2)),0))</f>
        <v/>
      </c>
      <c r="CH237" s="90">
        <f>IF(OR($A237="",$H237="",$H237="NO LAB"),0,IFERROR(VALUE(LEFT($H237,FIND(" ",$H237)-1)),0))</f>
        <v/>
      </c>
      <c r="CI237" s="91">
        <f>IF(OR($A237="",$I237="",$I237="NON-RATED",N($J237)=0),"",IFERROR(VLOOKUP($I237&amp;"|"&amp;$J237,IBC,2,FALSE),"?"))</f>
        <v/>
      </c>
      <c r="CJ237" s="85">
        <f>IF(NOT(AND($A237&lt;&gt;"",$C237&lt;&gt;"DOOR ONLY")),"",TRIM(IFERROR(VLOOKUP($U237,CODES,2,FALSE),"")&amp;" "&amp;$BG237&amp;" "&amp;IFERROR(VLOOKUP($Z237,CODES,2,FALSE),"")&amp;" "&amp;IFERROR(VLOOKUP($X237,CODES,2,FALSE),"")&amp;" "&amp;IFERROR(VLOOKUP($S237,CODES,2,FALSE),"")&amp;IF(N($P237)&gt;0," w/TRANSOM "&amp;$P237&amp;CHAR(34),"")&amp;IF(N($Q237)&gt;0," w/SIDELITE "&amp;$Q237&amp;CHAR(34)&amp;" "&amp;IF($R237="","R",$R237),"")&amp;IF($Y237="","  |  "," | "&amp;IFERROR(VLOOKUP($Y237,CODES,2,FALSE),"")&amp;" | ")&amp;IFERROR(VLOOKUP($AC237,CODES,2,FALSE),"")&amp;" "&amp;IFERROR(VLOOKUP($AD237,CODES,2,FALSE),"")&amp;IF(OR($AE237="",$AE237="-"),""," "&amp;$AE237)&amp;IF(OR($AF237="",$AF237="-"),""," "&amp;$AF237)&amp;IF($AB237="Y"," 4"&amp;CHAR(34)&amp;" HEAD","")&amp;" "&amp;IFERROR(VLOOKUP($H237,CODES,2,FALSE),"")&amp;IF($CT237," | LOC "&amp;$CY237,"")))</f>
        <v/>
      </c>
      <c r="CK237" s="85">
        <f>IF(NOT(AND($A237&lt;&gt;"",N($BJ237)&gt;0)),"",TRIM(IFERROR(VLOOKUP($AH237,CODES,2,FALSE),"")&amp;IF($AI237=""," "," "&amp;$AI237&amp;"GA ")&amp;$BG237&amp;" "&amp;IF($AN237="",IFERROR(VLOOKUP($Z237,CODES,2,FALSE),""),IFERROR(VLOOKUP($AN237,CODES,2,FALSE),""))&amp;IF($BJ237=2," PAIR","")&amp;" DOOR | "&amp;IF($AL237="","?",$AL237)&amp;" | "&amp;IF($AO237="",IFERROR(VLOOKUP($AC237,CODES,2,FALSE),""),IFERROR(VLOOKUP($AO237,CODES,2,FALSE),""))&amp;" "&amp;IFERROR(VLOOKUP($AP237,CODES,2,FALSE),"")&amp;IF(OR($AQ237="",$AQ237="-"),""," SEAM "&amp;$AQ237)&amp;IF($AR237="Y"," ASTRAGAL","")&amp;IF($AJ237=""," "," "&amp;$AJ237)&amp;IF($AK237=""," "," "&amp;$AK237)&amp;IF(OR($AT237="",$AT237="ANSI/SDI",$AT237="CUSTOM LOC"),""," "&amp;$AT237)&amp;IF($AM237=""," "," SERIES "&amp;$AM237)&amp;" "&amp;IFERROR(VLOOKUP($H237,CODES,2,FALSE),"")&amp;IF($CT237," | LOC "&amp;$CZ237,"")))</f>
        <v/>
      </c>
      <c r="CL237" s="84">
        <f>IF(CP237="","",IF(COUNTIF($CP$6:CP237,CP237)=1,MAX($CL$5:CL236)+1,INDEX($CL$5:CL236,MATCH(CP237,$CP$5:CP236,0))))</f>
        <v/>
      </c>
      <c r="CM237" s="84">
        <f>IF(NOT(AND($A237&lt;&gt;"",$C237&lt;&gt;"DOOR ONLY")),"",MAX($CM$5:CM236)+1)</f>
        <v/>
      </c>
      <c r="CN237" s="84">
        <f>IF(NOT(AND($A237&lt;&gt;"",N($BJ237)&gt;0)),"",MAX($CN$5:CN236)+1)</f>
        <v/>
      </c>
      <c r="CO237" s="84">
        <f>IF($A237="","",MAX($CO$5:CO236)+1)</f>
        <v/>
      </c>
      <c r="CP237" s="84">
        <f>IF(OR($A237="",$BH237="",$BI237=""),"",$BG237&amp;"|"&amp;$O237&amp;"|"&amp;$AL237&amp;"|"&amp;$S237&amp;"|"&amp;$P237&amp;"|"&amp;$Q237&amp;$R237&amp;"|"&amp;$C237&amp;"|"&amp;$AB237)</f>
        <v/>
      </c>
      <c r="CQ237" s="84">
        <f>N($BS237)</f>
        <v/>
      </c>
      <c r="CR237" s="84">
        <f>IF(N($AU237)&gt;0,N($AU237),4.5)</f>
        <v/>
      </c>
      <c r="CS237" s="84">
        <f>OR($A237="",$BI237="",$S237="BL",AND($C237="FRAME ONLY",OR($AC237="",$AC237="BLK")))</f>
        <v/>
      </c>
      <c r="CT237" s="84">
        <f>AND(NOT($CS237),OR($AT237="CUSTOM LOC",N($AW237)+N($AX237)+N($AY237)+N($AZ237)+N($BA237)&gt;0))</f>
        <v/>
      </c>
      <c r="CU237" s="84">
        <f>IF($BI237="","",IF($BI237&lt;=80,80,IF($BI237&lt;=84,84,96)))</f>
        <v/>
      </c>
      <c r="CV237" s="84">
        <f>ISNUMBER(MATCH($AT237&amp;"|80",LocKeys,0))</f>
        <v/>
      </c>
      <c r="CW237" s="86">
        <f>IF($CS237,"",IF($CV237,VLOOKUP($AT237&amp;"|"&amp;$CU237,LocTable,4,FALSE),5))</f>
        <v/>
      </c>
      <c r="CX237" s="86">
        <f>IF($CS237,"",IF($CV237,IF(OR($BI237=$CU237,AND($BI237&lt;$CU237,$BI237-IF(N(VLOOKUP($AT237&amp;"|"&amp;$CU237,LocTable,7,FALSE))&gt;0,VLOOKUP($AT237&amp;"|"&amp;$CU237,LocTable,7,FALSE),VLOOKUP($AT237&amp;"|"&amp;$CU237,LocTable,6,FALSE))-$CR237-0.75&gt;=2.125)),IF(N(VLOOKUP($AT237&amp;"|"&amp;$CU237,LocTable,7,FALSE))&gt;0,VLOOKUP($AT237&amp;"|"&amp;$CU237,LocTable,7,FALSE),VLOOKUP($AT237&amp;"|"&amp;$CU237,LocTable,6,FALSE)),$BI237-($CU237-IF(N(VLOOKUP($AT237&amp;"|"&amp;$CU237,LocTable,7,FALSE))&gt;0,VLOOKUP($AT237&amp;"|"&amp;$CU237,LocTable,7,FALSE),VLOOKUP($AT237&amp;"|"&amp;$CU237,LocTable,6,FALSE)))),$BI237-10-$CR237))</f>
        <v/>
      </c>
      <c r="CY237" s="85">
        <f>IF($CS237,"",TRIM(IF(ISNUMBER($BU237),"A "&amp;TRIM(TEXT($BU237,"# ?/??"))&amp;CHAR(34)&amp;"  ","")&amp;IF(ISNUMBER($BV237),"B "&amp;TRIM(TEXT($BV237,"# ?/??"))&amp;CHAR(34)&amp;"  ","")&amp;IF(ISNUMBER($BW237),"C "&amp;TRIM(TEXT($BW237,"# ?/??"))&amp;CHAR(34)&amp;"  ","")&amp;IF(ISNUMBER($BX237),"D "&amp;TRIM(TEXT($BX237,"# ?/??"))&amp;CHAR(34)&amp;"  ","")&amp;IF(ISNUMBER($BY237),"F "&amp;TRIM(TEXT($BY237,"# ?/??"))&amp;CHAR(34)&amp;"  ","")&amp;IF(ISNUMBER($BZ237),"E "&amp;TRIM(TEXT($BZ237,"# ?/??"))&amp;CHAR(34)&amp;"  ","")))</f>
        <v/>
      </c>
      <c r="CZ237" s="85">
        <f>IF(OR($CS237,N($BJ237)=0),"",TRIM(IF(ISNUMBER($BU237),"A "&amp;TRIM(TEXT($BU237-HeadClr,"# ?/??"))&amp;CHAR(34)&amp;"  ","")&amp;IF(ISNUMBER($BV237),"B "&amp;TRIM(TEXT($BV237-HeadClr,"# ?/??"))&amp;CHAR(34)&amp;"  ","")&amp;IF(ISNUMBER($BW237),"C "&amp;TRIM(TEXT($BW237-HeadClr,"# ?/??"))&amp;CHAR(34)&amp;"  ","")&amp;IF(ISNUMBER($BX237),"D "&amp;TRIM(TEXT($BX237-HeadClr,"# ?/??"))&amp;CHAR(34)&amp;"  ","")&amp;IF(ISNUMBER($BY237),"F "&amp;TRIM(TEXT($BY237-HeadClr,"# ?/??"))&amp;CHAR(34)&amp;"  ","")&amp;IF(ISNUMBER($BZ237),"E "&amp;TRIM(TEXT($BZ237-HeadClr,"# ?/??"))&amp;CHAR(34)&amp;"  ","")))</f>
        <v/>
      </c>
      <c r="DA237" s="84">
        <f>IF($A237="","",IF($AN237="",IFERROR(VLOOKUP($Z237,CODES,2,FALSE),""),IFERROR(VLOOKUP($AN237,CODES,2,FALSE),"")))</f>
        <v/>
      </c>
      <c r="DB237" s="84">
        <f>IF($A237="","",IF($O237="Y","PR",IF(OR($Z237="L",$Z237="RR",LEFT($Z237,2)="L-",LEFT($Z237,3)="RR-"),"LH","RH")))</f>
        <v/>
      </c>
      <c r="DC237" s="84">
        <f>IF($A237="","","S.HM"&amp;IF(OR($C237="DOOR ONLY",$X237&lt;&gt;"KD"),"MASONRY","DRYWALL")&amp;IF($C237="DOOR ONLY","",$U237)&amp;IF(AND($C237&lt;&gt;"FRAME ONLY",OR(LEFT($AH237,3)="OAK",LEFT($AH237,3)="BIR",LEFT($AH237,3)="MAP",$AH237="PC",$AH237="MC",$AH237="SCLC",$AH237="P-LAM")),"WD","HM")&amp;"1.75")</f>
        <v/>
      </c>
      <c r="DD237" s="84">
        <f>IF($CJ237="","",IF($O237="Y",$CJ237,SUBSTITUTE($CJ237,$BG237&amp;" "&amp;IFERROR(VLOOKUP($Z237,CODES,2,FALSE),"")&amp;" ",$BG237&amp;" ")))</f>
        <v/>
      </c>
      <c r="DE237" s="84">
        <f>IF($CK237="","",IF($O237="Y",$CK237,SUBSTITUTE($CK237,$BG237&amp;" "&amp;IF($AN237="",IFERROR(VLOOKUP($Z237,CODES,2,FALSE),""),IFERROR(VLOOKUP($AN237,CODES,2,FALSE),""))&amp;" ",$BG237&amp;" ")))</f>
        <v/>
      </c>
      <c r="DF237" s="84">
        <f>IF($CJ237="","",$DC237&amp;"|"&amp;$DD237&amp;"|"&amp;$DB237&amp;"|"&amp;$AT237&amp;"|"&amp;$V237&amp;"|"&amp;$Y237&amp;"|"&amp;$AB237)</f>
        <v/>
      </c>
      <c r="DG237" s="84">
        <f>IF(DF237="","",IF(COUNTIF($DF$6:DF237,DF237)=1,MAX($DG$5:DG236)+1,INDEX($DG$5:DG236,MATCH(DF237,$DF$5:DF236,0))))</f>
        <v/>
      </c>
      <c r="DH237" s="84">
        <f>IF($CK237="","",$DC237&amp;"|"&amp;$DE237&amp;"|"&amp;$AI237&amp;"|"&amp;$BK237&amp;"|"&amp;$BL237)</f>
        <v/>
      </c>
      <c r="DI237" s="84">
        <f>IF(DH237="","",IF(COUNTIF($DH$6:DH237,DH237)=1,MAX($DI$5:DI236)+1,INDEX($DI$5:DI236,MATCH(DH237,$DH$5:DH236,0))))</f>
        <v/>
      </c>
      <c r="DJ237" s="84">
        <f>IF($A237="","",IF($B237="","qty, ","")&amp;IF($C237="","scope, ","")&amp;IF(OR($K237="",$M237=""),"size, ","")&amp;IF(AND($A237&lt;&gt;"",$C237&lt;&gt;"DOOR ONLY"),IF($U237="","jamb depth, ","")&amp;IF($X237="","construction, ","")&amp;IF($Y237="","anchor, ","")&amp;IF($S237="","frame type, ",""),"")&amp;IF(AND(N($BJ237)&gt;0,$Z237=""),"hand, ","")&amp;IF(N($BJ237)&gt;0,IF($AH237="","door material, ","")&amp;IF($AL237="","face type, ","")&amp;IF($AP237="","lock prep, ","")&amp;IF(AND($AO237="",$AC237=""),"hinge prep, ",""),"")&amp;IF(AND($CH237&gt;0,$AH237="FRP"),"FRP cannot carry a label, ","")&amp;IF(AND($O237="Y",OR($Z237="L",$Z237="R",$Z237="LR",$Z237="RR")),"pair marked but hand is single, ","")&amp;IF(AND($O237&lt;&gt;"Y",OR($Z237="PR",AND(LEN($Z237)&gt;1,ISNUMBER(SEARCH("-",$Z237))))),"pair hand on a single door, ","")&amp;IF(AND(ISNUMBER($CI237),$CH237&lt;N($CI237)),"wall needs a "&amp;$CI237&amp;" min door, ","")&amp;IF(AND($CH237&gt;=180,AND(OR($CE237="FG",$CE237="HG",$CE237="FNV",$CE237="FV"),N($CF237)*N($CG237)&gt;100)),"180 min lite over 100 sq in, ","")&amp;IF(N($BK237)&gt;48,"leaf wider than 4'-0"&amp;CHAR(34)&amp;", ","")&amp;IF(AND($CT237,COUNT($AW237:$AZ237)=0,$CQ237&gt;0),"CUSTOM LOC with no locations typed, ",""))</f>
        <v/>
      </c>
      <c r="DK237" s="84">
        <f>IF($A237="","",IF(AND($CH237&gt;0,AND($A237&lt;&gt;"",$C237&lt;&gt;"DOOR ONLY"),$X237="KD",$E237="EXTERIOR"),"KD label on an exterior opening, ","")&amp;IF(AND($E237="EXTERIOR",OR(AND(AND($A237&lt;&gt;"",$C237&lt;&gt;"DOOR ONLY"),$W237="CR"),AND(N($BJ237)&gt;0,$AH237="CR"))),"exterior in CR steel (G9?), ","")&amp;IF(AND(ISNUMBER($BQ237),N($BQ237)&lt;32),"clear width ~"&amp;TEXT($BQ237,"0.0")&amp;CHAR(34)&amp;" under 32"&amp;CHAR(34)&amp;" (ADA), ","")&amp;IF(AND($CH237=90,AND(OR($CE237="FG",$CE237="HG",$CE237="FNV",$CE237="FV"),N($CF237)*N($CG237)&gt;100)),"90 min lite over 100 sq in (stair/exit), ","")&amp;IF(AND($CH237&gt;0,AND($A237&lt;&gt;"",$C237&lt;&gt;"DOOR ONLY"),OR($AF237="",$AF237="-")),"rated: closer reinf.?, ","")&amp;IF(OR($I237="CORRIDOR",$I237="SMOKE BARRIER"),"S label + smoke gasketing, ","")&amp;IF($CI237="?","wall type/hr not in IBC table, ","")&amp;IF(AND(N($BJ237)&gt;0,$BB237=""),"no hardware set, ","")&amp;IF(AND($BB237&lt;&gt;"",ISNA(MATCH($BB237&amp;"",HWSets,0))),"set "&amp;$BB237&amp;" not on HW Sets, ","")&amp;IF(N($BL237)&gt;96,"leaf over 8'-0"&amp;CHAR(34)&amp;" - check listing, ","")&amp;IF(AND($CT237,COUNT($AW237:$AZ237)&gt;0,COUNT($AW237:$AZ237)&lt;&gt;$CQ237),COUNT($AW237:$AZ237)&amp;" custom hinges typed, "&amp;$CQ237&amp;" expected, ","")&amp;IF(AND(ISNUMBER($CA237),OR(N($CA237)&lt;34,N($CA237)&gt;48)),"lock "&amp;TEXT($CA237,"0.0")&amp;CHAR(34)&amp;" AFF outside 34-48"&amp;CHAR(34)&amp;" (ADA), ","")&amp;IF(AND(ISNUMBER($AV237),ISNUMBER($BL237),N($AV237)&lt;IF(N($BL237)&lt;=60,2,IF(N($BL237)&lt;=90,3,IF(N($BL237)&lt;=120,4,5)))),"fewer hinges than standard, ",""))</f>
        <v/>
      </c>
    </row>
    <row r="238" ht="15" customHeight="1">
      <c r="A238" s="77" t="n"/>
      <c r="B238" s="78" t="n"/>
      <c r="C238" s="78" t="n"/>
      <c r="D238" s="78" t="n"/>
      <c r="E238" s="78" t="n"/>
      <c r="F238" s="78" t="n"/>
      <c r="G238" s="78" t="n"/>
      <c r="H238" s="78" t="n"/>
      <c r="I238" s="78" t="n"/>
      <c r="J238" s="78" t="n"/>
      <c r="K238" s="78" t="n"/>
      <c r="L238" s="78" t="n"/>
      <c r="M238" s="78" t="n"/>
      <c r="N238" s="78" t="n"/>
      <c r="O238" s="78" t="n"/>
      <c r="P238" s="78" t="n"/>
      <c r="Q238" s="78" t="n"/>
      <c r="R238" s="78" t="n"/>
      <c r="S238" s="79" t="n"/>
      <c r="T238" s="79" t="n"/>
      <c r="U238" s="79" t="n"/>
      <c r="V238" s="79" t="n"/>
      <c r="W238" s="79" t="n"/>
      <c r="X238" s="79" t="n"/>
      <c r="Y238" s="79" t="n"/>
      <c r="Z238" s="79" t="n"/>
      <c r="AA238" s="79" t="n"/>
      <c r="AB238" s="79" t="n"/>
      <c r="AC238" s="79" t="n"/>
      <c r="AD238" s="79" t="n"/>
      <c r="AE238" s="79" t="n"/>
      <c r="AF238" s="79" t="n"/>
      <c r="AG238" s="79" t="n"/>
      <c r="AH238" s="80" t="n"/>
      <c r="AI238" s="80" t="n"/>
      <c r="AJ238" s="80" t="n"/>
      <c r="AK238" s="80" t="n"/>
      <c r="AL238" s="80" t="n"/>
      <c r="AM238" s="80" t="n"/>
      <c r="AN238" s="80" t="n"/>
      <c r="AO238" s="80" t="n"/>
      <c r="AP238" s="80" t="n"/>
      <c r="AQ238" s="80" t="n"/>
      <c r="AR238" s="80" t="n"/>
      <c r="AS238" s="80" t="n"/>
      <c r="AT238" s="81" t="n"/>
      <c r="AU238" s="81" t="n"/>
      <c r="AV238" s="81" t="n"/>
      <c r="AW238" s="82" t="n"/>
      <c r="AX238" s="82" t="n"/>
      <c r="AY238" s="82" t="n"/>
      <c r="AZ238" s="82" t="n"/>
      <c r="BA238" s="82" t="n"/>
      <c r="BB238" s="83" t="n"/>
      <c r="BC238" s="83" t="n"/>
      <c r="BD238" s="84">
        <f>IF($A238="","",IF($DJ238&lt;&gt;"","FIX",IF($DK238&lt;&gt;"","CHECK","OK")))</f>
        <v/>
      </c>
      <c r="BE238" s="85">
        <f>IF($A238="","",IF($DJ238&lt;&gt;"","FIX: "&amp;LEFT($DJ238,LEN($DJ238)-2)&amp;IF($DK238&lt;&gt;"","  ·  ",""),"")&amp;IF($DK238&lt;&gt;"","CHECK: "&amp;LEFT($DK238,LEN($DK238)-2),""))</f>
        <v/>
      </c>
      <c r="BF238" s="84">
        <f>IF(OR($A238="",$K238=""),"",$K238&amp;"'-"&amp;N($L238)&amp;CHAR(34)&amp;" x "&amp;$M238&amp;"'-"&amp;N($N238)&amp;CHAR(34))</f>
        <v/>
      </c>
      <c r="BG238" s="84">
        <f>IF(OR($A238="",$K238=""),"",$K238&amp;N($L238)&amp;$M238&amp;N($N238))</f>
        <v/>
      </c>
      <c r="BH238" s="84">
        <f>IF(OR($A238="",$K238=""),"",$K238*12+N($L238))</f>
        <v/>
      </c>
      <c r="BI238" s="84">
        <f>IF(OR($A238="",$M238=""),"",$M238*12+N($N238))</f>
        <v/>
      </c>
      <c r="BJ238" s="84">
        <f>IF($A238="","",IF(OR($C238="FRAME ONLY",$S238="BL"),0,IF($O238="Y",2,1)))</f>
        <v/>
      </c>
      <c r="BK238" s="86">
        <f>IF(OR(N($BJ238)=0,$BH238=""),"",($BH238-2*EdgeClr-IF($BJ238=2,MeetClr,0))/$BJ238)</f>
        <v/>
      </c>
      <c r="BL238" s="86">
        <f>IF(OR(N($BJ238)=0,$BI238=""),"",$BI238-HeadClr-Undercut)</f>
        <v/>
      </c>
      <c r="BM238" s="86">
        <f>IF($BH238="","",$BH238+2*FaceW+IF(N($Q238)&gt;0,($Q238+FaceW)*IF($R238="LR",2,1),0))</f>
        <v/>
      </c>
      <c r="BN238" s="86">
        <f>IF($BI238="","",$BI238+IF($AB238="Y",4,FaceW)+IF(N($P238)&gt;0,$P238+FaceW,0)+IF(OR($S238="4F",$S238="BL"),FaceW,0))</f>
        <v/>
      </c>
      <c r="BO238" s="86">
        <f>IF($BM238="","",$BM238+2*ROSide)</f>
        <v/>
      </c>
      <c r="BP238" s="86">
        <f>IF($BN238="","",$BN238+ROTop)</f>
        <v/>
      </c>
      <c r="BQ238" s="87">
        <f>IF(OR(N($BJ238)=0,$BH238=""),"",$BH238/$BJ238-ClearDeduct)</f>
        <v/>
      </c>
      <c r="BR238" s="84">
        <f>IF(N($CH238)=0,"",IF($CH238&gt;=180,"A · 3 HR",IF($CH238&gt;=90,"B · 1-1/2 HR",IF($CH238&gt;=60,"B · 1 HR",IF($CH238&gt;=45,"C · 3/4 HR","20 MIN")))))&amp;IF(AND(N($CH238)&gt;0,OR($I238="CORRIDOR",$I238="SMOKE BARRIER"))," · S","")</f>
        <v/>
      </c>
      <c r="BS238" s="84">
        <f>IF($CS238,"",IF($AV238&lt;&gt;"",$AV238,IF(OR($AC238="HGC",$AO238="HGC"),"CONT",IF(($BI238-HeadClr-Undercut)&lt;=60,2,IF(($BI238-HeadClr-Undercut)&lt;=90,3,IF(($BI238-HeadClr-Undercut)&lt;=120,4,5))))))</f>
        <v/>
      </c>
      <c r="BT238" s="84">
        <f>IF($CS238,"",IF($CT238,"CUSTOM (typed)",IF($CV238,$AT238&amp;" "&amp;$CU238&amp;CHAR(34)&amp;IF($CU238&lt;&gt;$BI238,IF(AND($BI238&lt;$CU238,$BI238-IF(N(VLOOKUP($AT238&amp;"|"&amp;$CU238,LocTable,7,FALSE))&gt;0,VLOOKUP($AT238&amp;"|"&amp;$CU238,LocTable,7,FALSE),VLOOKUP($AT238&amp;"|"&amp;$CU238,LocTable,6,FALSE))-$CR238-0.75&gt;=2.125)," cut down"," adj."),""),"ANSI/SDI A250.6")))</f>
        <v/>
      </c>
      <c r="BU238" s="88">
        <f>IF($CS238,"",IF($CT238,IF(N($AW238)&gt;0,N($AW238),""),IF(1&gt;$CQ238,"",IF($CQ238=1,$CW238,$CW238+($CX238-$CW238)*0/($CQ238-1)))))</f>
        <v/>
      </c>
      <c r="BV238" s="88">
        <f>IF($CS238,"",IF($CT238,IF(N($AX238)&gt;0,N($AX238),""),IF(2&gt;$CQ238,"",IF($CQ238=1,$CW238,$CW238+($CX238-$CW238)*1/($CQ238-1)))))</f>
        <v/>
      </c>
      <c r="BW238" s="88">
        <f>IF($CS238,"",IF($CT238,IF(N($AY238)&gt;0,N($AY238),""),IF(3&gt;$CQ238,"",IF($CQ238=1,$CW238,$CW238+($CX238-$CW238)*2/($CQ238-1)))))</f>
        <v/>
      </c>
      <c r="BX238" s="88">
        <f>IF($CS238,"",IF($CT238,IF(N($AZ238)&gt;0,N($AZ238),""),IF(4&gt;$CQ238,"",IF($CQ238=1,$CW238,$CW238+($CX238-$CW238)*3/($CQ238-1)))))</f>
        <v/>
      </c>
      <c r="BY238" s="88">
        <f>IF($CS238,"",IF($CT238,"",IF(5&gt;$CQ238,"",IF($CQ238=1,$CW238,$CW238+($CX238-$CW238)*4/($CQ238-1)))))</f>
        <v/>
      </c>
      <c r="BZ238" s="88">
        <f>IF(OR($CS238,$AP238="-",AND($AP238="",$AD238="")),"",IF(N($BA238)&gt;0,N($BA238),IF($CV238,IF(AND($BI238&lt;$CU238,$BI238-IF(N(VLOOKUP($AT238&amp;"|"&amp;$CU238,LocTable,7,FALSE))&gt;0,VLOOKUP($AT238&amp;"|"&amp;$CU238,LocTable,7,FALSE),VLOOKUP($AT238&amp;"|"&amp;$CU238,LocTable,6,FALSE))-$CR238-0.75&gt;=2.125),VLOOKUP($AT238&amp;"|"&amp;$CU238,LocTable,8,FALSE),VLOOKUP($AT238&amp;"|"&amp;$CU238,LocTable,8,FALSE)+($BI238-$CU238)),$BI238-LockAFF)))</f>
        <v/>
      </c>
      <c r="CA238" s="89">
        <f>IF($BZ238="","",$BI238-$BZ238)</f>
        <v/>
      </c>
      <c r="CB238" s="84">
        <f>IF(OR(NOT(AND($A238&lt;&gt;"",$C238&lt;&gt;"DOOR ONLY")),$BI238=""),"",IF(($BI238+IF(N($P238)&gt;0,$P238+FaceW,0))&lt;=90,3,IF(($BI238+IF(N($P238)&gt;0,$P238+FaceW,0))&lt;=114,4,5)))</f>
        <v/>
      </c>
      <c r="CC238" s="84">
        <f>IF($CB238="","",$CB238*(2+IF(N($Q238)&gt;0,IF($R238="LR",2,1),0)))</f>
        <v/>
      </c>
      <c r="CD238" s="84">
        <f>IF($CB238="","",(2+IF(N($Q238)&gt;0,IF($R238="LR",2,1),0)))</f>
        <v/>
      </c>
      <c r="CE238" s="84">
        <f>IF(N($BJ238)=0,"",IF(OR($AL238="",$AL238="FLUSH"),"FLUSH",IFERROR(LEFT($AL238,FIND("-",$AL238)-1),LEFT($AL238,2))))</f>
        <v/>
      </c>
      <c r="CF238" s="84">
        <f>IF($CE238="","",IFERROR(VALUE(MID($AL238,FIND("-",$AL238)+1,FIND(CHAR(34)&amp;"x",$AL238)-FIND("-",$AL238)-1)),0))</f>
        <v/>
      </c>
      <c r="CG238" s="84">
        <f>IF($CE238="","",IFERROR(VALUE(MID($AL238,FIND(CHAR(34)&amp;"x",$AL238)+2,FIND(CHAR(34),$AL238,FIND(CHAR(34)&amp;"x",$AL238)+2)-FIND(CHAR(34)&amp;"x",$AL238)-2)),0))</f>
        <v/>
      </c>
      <c r="CH238" s="90">
        <f>IF(OR($A238="",$H238="",$H238="NO LAB"),0,IFERROR(VALUE(LEFT($H238,FIND(" ",$H238)-1)),0))</f>
        <v/>
      </c>
      <c r="CI238" s="91">
        <f>IF(OR($A238="",$I238="",$I238="NON-RATED",N($J238)=0),"",IFERROR(VLOOKUP($I238&amp;"|"&amp;$J238,IBC,2,FALSE),"?"))</f>
        <v/>
      </c>
      <c r="CJ238" s="85">
        <f>IF(NOT(AND($A238&lt;&gt;"",$C238&lt;&gt;"DOOR ONLY")),"",TRIM(IFERROR(VLOOKUP($U238,CODES,2,FALSE),"")&amp;" "&amp;$BG238&amp;" "&amp;IFERROR(VLOOKUP($Z238,CODES,2,FALSE),"")&amp;" "&amp;IFERROR(VLOOKUP($X238,CODES,2,FALSE),"")&amp;" "&amp;IFERROR(VLOOKUP($S238,CODES,2,FALSE),"")&amp;IF(N($P238)&gt;0," w/TRANSOM "&amp;$P238&amp;CHAR(34),"")&amp;IF(N($Q238)&gt;0," w/SIDELITE "&amp;$Q238&amp;CHAR(34)&amp;" "&amp;IF($R238="","R",$R238),"")&amp;IF($Y238="","  |  "," | "&amp;IFERROR(VLOOKUP($Y238,CODES,2,FALSE),"")&amp;" | ")&amp;IFERROR(VLOOKUP($AC238,CODES,2,FALSE),"")&amp;" "&amp;IFERROR(VLOOKUP($AD238,CODES,2,FALSE),"")&amp;IF(OR($AE238="",$AE238="-"),""," "&amp;$AE238)&amp;IF(OR($AF238="",$AF238="-"),""," "&amp;$AF238)&amp;IF($AB238="Y"," 4"&amp;CHAR(34)&amp;" HEAD","")&amp;" "&amp;IFERROR(VLOOKUP($H238,CODES,2,FALSE),"")&amp;IF($CT238," | LOC "&amp;$CY238,"")))</f>
        <v/>
      </c>
      <c r="CK238" s="85">
        <f>IF(NOT(AND($A238&lt;&gt;"",N($BJ238)&gt;0)),"",TRIM(IFERROR(VLOOKUP($AH238,CODES,2,FALSE),"")&amp;IF($AI238=""," "," "&amp;$AI238&amp;"GA ")&amp;$BG238&amp;" "&amp;IF($AN238="",IFERROR(VLOOKUP($Z238,CODES,2,FALSE),""),IFERROR(VLOOKUP($AN238,CODES,2,FALSE),""))&amp;IF($BJ238=2," PAIR","")&amp;" DOOR | "&amp;IF($AL238="","?",$AL238)&amp;" | "&amp;IF($AO238="",IFERROR(VLOOKUP($AC238,CODES,2,FALSE),""),IFERROR(VLOOKUP($AO238,CODES,2,FALSE),""))&amp;" "&amp;IFERROR(VLOOKUP($AP238,CODES,2,FALSE),"")&amp;IF(OR($AQ238="",$AQ238="-"),""," SEAM "&amp;$AQ238)&amp;IF($AR238="Y"," ASTRAGAL","")&amp;IF($AJ238=""," "," "&amp;$AJ238)&amp;IF($AK238=""," "," "&amp;$AK238)&amp;IF(OR($AT238="",$AT238="ANSI/SDI",$AT238="CUSTOM LOC"),""," "&amp;$AT238)&amp;IF($AM238=""," "," SERIES "&amp;$AM238)&amp;" "&amp;IFERROR(VLOOKUP($H238,CODES,2,FALSE),"")&amp;IF($CT238," | LOC "&amp;$CZ238,"")))</f>
        <v/>
      </c>
      <c r="CL238" s="84">
        <f>IF(CP238="","",IF(COUNTIF($CP$6:CP238,CP238)=1,MAX($CL$5:CL237)+1,INDEX($CL$5:CL237,MATCH(CP238,$CP$5:CP237,0))))</f>
        <v/>
      </c>
      <c r="CM238" s="84">
        <f>IF(NOT(AND($A238&lt;&gt;"",$C238&lt;&gt;"DOOR ONLY")),"",MAX($CM$5:CM237)+1)</f>
        <v/>
      </c>
      <c r="CN238" s="84">
        <f>IF(NOT(AND($A238&lt;&gt;"",N($BJ238)&gt;0)),"",MAX($CN$5:CN237)+1)</f>
        <v/>
      </c>
      <c r="CO238" s="84">
        <f>IF($A238="","",MAX($CO$5:CO237)+1)</f>
        <v/>
      </c>
      <c r="CP238" s="84">
        <f>IF(OR($A238="",$BH238="",$BI238=""),"",$BG238&amp;"|"&amp;$O238&amp;"|"&amp;$AL238&amp;"|"&amp;$S238&amp;"|"&amp;$P238&amp;"|"&amp;$Q238&amp;$R238&amp;"|"&amp;$C238&amp;"|"&amp;$AB238)</f>
        <v/>
      </c>
      <c r="CQ238" s="84">
        <f>N($BS238)</f>
        <v/>
      </c>
      <c r="CR238" s="84">
        <f>IF(N($AU238)&gt;0,N($AU238),4.5)</f>
        <v/>
      </c>
      <c r="CS238" s="84">
        <f>OR($A238="",$BI238="",$S238="BL",AND($C238="FRAME ONLY",OR($AC238="",$AC238="BLK")))</f>
        <v/>
      </c>
      <c r="CT238" s="84">
        <f>AND(NOT($CS238),OR($AT238="CUSTOM LOC",N($AW238)+N($AX238)+N($AY238)+N($AZ238)+N($BA238)&gt;0))</f>
        <v/>
      </c>
      <c r="CU238" s="84">
        <f>IF($BI238="","",IF($BI238&lt;=80,80,IF($BI238&lt;=84,84,96)))</f>
        <v/>
      </c>
      <c r="CV238" s="84">
        <f>ISNUMBER(MATCH($AT238&amp;"|80",LocKeys,0))</f>
        <v/>
      </c>
      <c r="CW238" s="86">
        <f>IF($CS238,"",IF($CV238,VLOOKUP($AT238&amp;"|"&amp;$CU238,LocTable,4,FALSE),5))</f>
        <v/>
      </c>
      <c r="CX238" s="86">
        <f>IF($CS238,"",IF($CV238,IF(OR($BI238=$CU238,AND($BI238&lt;$CU238,$BI238-IF(N(VLOOKUP($AT238&amp;"|"&amp;$CU238,LocTable,7,FALSE))&gt;0,VLOOKUP($AT238&amp;"|"&amp;$CU238,LocTable,7,FALSE),VLOOKUP($AT238&amp;"|"&amp;$CU238,LocTable,6,FALSE))-$CR238-0.75&gt;=2.125)),IF(N(VLOOKUP($AT238&amp;"|"&amp;$CU238,LocTable,7,FALSE))&gt;0,VLOOKUP($AT238&amp;"|"&amp;$CU238,LocTable,7,FALSE),VLOOKUP($AT238&amp;"|"&amp;$CU238,LocTable,6,FALSE)),$BI238-($CU238-IF(N(VLOOKUP($AT238&amp;"|"&amp;$CU238,LocTable,7,FALSE))&gt;0,VLOOKUP($AT238&amp;"|"&amp;$CU238,LocTable,7,FALSE),VLOOKUP($AT238&amp;"|"&amp;$CU238,LocTable,6,FALSE)))),$BI238-10-$CR238))</f>
        <v/>
      </c>
      <c r="CY238" s="85">
        <f>IF($CS238,"",TRIM(IF(ISNUMBER($BU238),"A "&amp;TRIM(TEXT($BU238,"# ?/??"))&amp;CHAR(34)&amp;"  ","")&amp;IF(ISNUMBER($BV238),"B "&amp;TRIM(TEXT($BV238,"# ?/??"))&amp;CHAR(34)&amp;"  ","")&amp;IF(ISNUMBER($BW238),"C "&amp;TRIM(TEXT($BW238,"# ?/??"))&amp;CHAR(34)&amp;"  ","")&amp;IF(ISNUMBER($BX238),"D "&amp;TRIM(TEXT($BX238,"# ?/??"))&amp;CHAR(34)&amp;"  ","")&amp;IF(ISNUMBER($BY238),"F "&amp;TRIM(TEXT($BY238,"# ?/??"))&amp;CHAR(34)&amp;"  ","")&amp;IF(ISNUMBER($BZ238),"E "&amp;TRIM(TEXT($BZ238,"# ?/??"))&amp;CHAR(34)&amp;"  ","")))</f>
        <v/>
      </c>
      <c r="CZ238" s="85">
        <f>IF(OR($CS238,N($BJ238)=0),"",TRIM(IF(ISNUMBER($BU238),"A "&amp;TRIM(TEXT($BU238-HeadClr,"# ?/??"))&amp;CHAR(34)&amp;"  ","")&amp;IF(ISNUMBER($BV238),"B "&amp;TRIM(TEXT($BV238-HeadClr,"# ?/??"))&amp;CHAR(34)&amp;"  ","")&amp;IF(ISNUMBER($BW238),"C "&amp;TRIM(TEXT($BW238-HeadClr,"# ?/??"))&amp;CHAR(34)&amp;"  ","")&amp;IF(ISNUMBER($BX238),"D "&amp;TRIM(TEXT($BX238-HeadClr,"# ?/??"))&amp;CHAR(34)&amp;"  ","")&amp;IF(ISNUMBER($BY238),"F "&amp;TRIM(TEXT($BY238-HeadClr,"# ?/??"))&amp;CHAR(34)&amp;"  ","")&amp;IF(ISNUMBER($BZ238),"E "&amp;TRIM(TEXT($BZ238-HeadClr,"# ?/??"))&amp;CHAR(34)&amp;"  ","")))</f>
        <v/>
      </c>
      <c r="DA238" s="84">
        <f>IF($A238="","",IF($AN238="",IFERROR(VLOOKUP($Z238,CODES,2,FALSE),""),IFERROR(VLOOKUP($AN238,CODES,2,FALSE),"")))</f>
        <v/>
      </c>
      <c r="DB238" s="84">
        <f>IF($A238="","",IF($O238="Y","PR",IF(OR($Z238="L",$Z238="RR",LEFT($Z238,2)="L-",LEFT($Z238,3)="RR-"),"LH","RH")))</f>
        <v/>
      </c>
      <c r="DC238" s="84">
        <f>IF($A238="","","S.HM"&amp;IF(OR($C238="DOOR ONLY",$X238&lt;&gt;"KD"),"MASONRY","DRYWALL")&amp;IF($C238="DOOR ONLY","",$U238)&amp;IF(AND($C238&lt;&gt;"FRAME ONLY",OR(LEFT($AH238,3)="OAK",LEFT($AH238,3)="BIR",LEFT($AH238,3)="MAP",$AH238="PC",$AH238="MC",$AH238="SCLC",$AH238="P-LAM")),"WD","HM")&amp;"1.75")</f>
        <v/>
      </c>
      <c r="DD238" s="84">
        <f>IF($CJ238="","",IF($O238="Y",$CJ238,SUBSTITUTE($CJ238,$BG238&amp;" "&amp;IFERROR(VLOOKUP($Z238,CODES,2,FALSE),"")&amp;" ",$BG238&amp;" ")))</f>
        <v/>
      </c>
      <c r="DE238" s="84">
        <f>IF($CK238="","",IF($O238="Y",$CK238,SUBSTITUTE($CK238,$BG238&amp;" "&amp;IF($AN238="",IFERROR(VLOOKUP($Z238,CODES,2,FALSE),""),IFERROR(VLOOKUP($AN238,CODES,2,FALSE),""))&amp;" ",$BG238&amp;" ")))</f>
        <v/>
      </c>
      <c r="DF238" s="84">
        <f>IF($CJ238="","",$DC238&amp;"|"&amp;$DD238&amp;"|"&amp;$DB238&amp;"|"&amp;$AT238&amp;"|"&amp;$V238&amp;"|"&amp;$Y238&amp;"|"&amp;$AB238)</f>
        <v/>
      </c>
      <c r="DG238" s="84">
        <f>IF(DF238="","",IF(COUNTIF($DF$6:DF238,DF238)=1,MAX($DG$5:DG237)+1,INDEX($DG$5:DG237,MATCH(DF238,$DF$5:DF237,0))))</f>
        <v/>
      </c>
      <c r="DH238" s="84">
        <f>IF($CK238="","",$DC238&amp;"|"&amp;$DE238&amp;"|"&amp;$AI238&amp;"|"&amp;$BK238&amp;"|"&amp;$BL238)</f>
        <v/>
      </c>
      <c r="DI238" s="84">
        <f>IF(DH238="","",IF(COUNTIF($DH$6:DH238,DH238)=1,MAX($DI$5:DI237)+1,INDEX($DI$5:DI237,MATCH(DH238,$DH$5:DH237,0))))</f>
        <v/>
      </c>
      <c r="DJ238" s="84">
        <f>IF($A238="","",IF($B238="","qty, ","")&amp;IF($C238="","scope, ","")&amp;IF(OR($K238="",$M238=""),"size, ","")&amp;IF(AND($A238&lt;&gt;"",$C238&lt;&gt;"DOOR ONLY"),IF($U238="","jamb depth, ","")&amp;IF($X238="","construction, ","")&amp;IF($Y238="","anchor, ","")&amp;IF($S238="","frame type, ",""),"")&amp;IF(AND(N($BJ238)&gt;0,$Z238=""),"hand, ","")&amp;IF(N($BJ238)&gt;0,IF($AH238="","door material, ","")&amp;IF($AL238="","face type, ","")&amp;IF($AP238="","lock prep, ","")&amp;IF(AND($AO238="",$AC238=""),"hinge prep, ",""),"")&amp;IF(AND($CH238&gt;0,$AH238="FRP"),"FRP cannot carry a label, ","")&amp;IF(AND($O238="Y",OR($Z238="L",$Z238="R",$Z238="LR",$Z238="RR")),"pair marked but hand is single, ","")&amp;IF(AND($O238&lt;&gt;"Y",OR($Z238="PR",AND(LEN($Z238)&gt;1,ISNUMBER(SEARCH("-",$Z238))))),"pair hand on a single door, ","")&amp;IF(AND(ISNUMBER($CI238),$CH238&lt;N($CI238)),"wall needs a "&amp;$CI238&amp;" min door, ","")&amp;IF(AND($CH238&gt;=180,AND(OR($CE238="FG",$CE238="HG",$CE238="FNV",$CE238="FV"),N($CF238)*N($CG238)&gt;100)),"180 min lite over 100 sq in, ","")&amp;IF(N($BK238)&gt;48,"leaf wider than 4'-0"&amp;CHAR(34)&amp;", ","")&amp;IF(AND($CT238,COUNT($AW238:$AZ238)=0,$CQ238&gt;0),"CUSTOM LOC with no locations typed, ",""))</f>
        <v/>
      </c>
      <c r="DK238" s="84">
        <f>IF($A238="","",IF(AND($CH238&gt;0,AND($A238&lt;&gt;"",$C238&lt;&gt;"DOOR ONLY"),$X238="KD",$E238="EXTERIOR"),"KD label on an exterior opening, ","")&amp;IF(AND($E238="EXTERIOR",OR(AND(AND($A238&lt;&gt;"",$C238&lt;&gt;"DOOR ONLY"),$W238="CR"),AND(N($BJ238)&gt;0,$AH238="CR"))),"exterior in CR steel (G9?), ","")&amp;IF(AND(ISNUMBER($BQ238),N($BQ238)&lt;32),"clear width ~"&amp;TEXT($BQ238,"0.0")&amp;CHAR(34)&amp;" under 32"&amp;CHAR(34)&amp;" (ADA), ","")&amp;IF(AND($CH238=90,AND(OR($CE238="FG",$CE238="HG",$CE238="FNV",$CE238="FV"),N($CF238)*N($CG238)&gt;100)),"90 min lite over 100 sq in (stair/exit), ","")&amp;IF(AND($CH238&gt;0,AND($A238&lt;&gt;"",$C238&lt;&gt;"DOOR ONLY"),OR($AF238="",$AF238="-")),"rated: closer reinf.?, ","")&amp;IF(OR($I238="CORRIDOR",$I238="SMOKE BARRIER"),"S label + smoke gasketing, ","")&amp;IF($CI238="?","wall type/hr not in IBC table, ","")&amp;IF(AND(N($BJ238)&gt;0,$BB238=""),"no hardware set, ","")&amp;IF(AND($BB238&lt;&gt;"",ISNA(MATCH($BB238&amp;"",HWSets,0))),"set "&amp;$BB238&amp;" not on HW Sets, ","")&amp;IF(N($BL238)&gt;96,"leaf over 8'-0"&amp;CHAR(34)&amp;" - check listing, ","")&amp;IF(AND($CT238,COUNT($AW238:$AZ238)&gt;0,COUNT($AW238:$AZ238)&lt;&gt;$CQ238),COUNT($AW238:$AZ238)&amp;" custom hinges typed, "&amp;$CQ238&amp;" expected, ","")&amp;IF(AND(ISNUMBER($CA238),OR(N($CA238)&lt;34,N($CA238)&gt;48)),"lock "&amp;TEXT($CA238,"0.0")&amp;CHAR(34)&amp;" AFF outside 34-48"&amp;CHAR(34)&amp;" (ADA), ","")&amp;IF(AND(ISNUMBER($AV238),ISNUMBER($BL238),N($AV238)&lt;IF(N($BL238)&lt;=60,2,IF(N($BL238)&lt;=90,3,IF(N($BL238)&lt;=120,4,5)))),"fewer hinges than standard, ",""))</f>
        <v/>
      </c>
    </row>
    <row r="239" ht="15" customHeight="1">
      <c r="A239" s="77" t="n"/>
      <c r="B239" s="78" t="n"/>
      <c r="C239" s="78" t="n"/>
      <c r="D239" s="78" t="n"/>
      <c r="E239" s="78" t="n"/>
      <c r="F239" s="78" t="n"/>
      <c r="G239" s="78" t="n"/>
      <c r="H239" s="78" t="n"/>
      <c r="I239" s="78" t="n"/>
      <c r="J239" s="78" t="n"/>
      <c r="K239" s="78" t="n"/>
      <c r="L239" s="78" t="n"/>
      <c r="M239" s="78" t="n"/>
      <c r="N239" s="78" t="n"/>
      <c r="O239" s="78" t="n"/>
      <c r="P239" s="78" t="n"/>
      <c r="Q239" s="78" t="n"/>
      <c r="R239" s="78" t="n"/>
      <c r="S239" s="79" t="n"/>
      <c r="T239" s="79" t="n"/>
      <c r="U239" s="79" t="n"/>
      <c r="V239" s="79" t="n"/>
      <c r="W239" s="79" t="n"/>
      <c r="X239" s="79" t="n"/>
      <c r="Y239" s="79" t="n"/>
      <c r="Z239" s="79" t="n"/>
      <c r="AA239" s="79" t="n"/>
      <c r="AB239" s="79" t="n"/>
      <c r="AC239" s="79" t="n"/>
      <c r="AD239" s="79" t="n"/>
      <c r="AE239" s="79" t="n"/>
      <c r="AF239" s="79" t="n"/>
      <c r="AG239" s="79" t="n"/>
      <c r="AH239" s="80" t="n"/>
      <c r="AI239" s="80" t="n"/>
      <c r="AJ239" s="80" t="n"/>
      <c r="AK239" s="80" t="n"/>
      <c r="AL239" s="80" t="n"/>
      <c r="AM239" s="80" t="n"/>
      <c r="AN239" s="80" t="n"/>
      <c r="AO239" s="80" t="n"/>
      <c r="AP239" s="80" t="n"/>
      <c r="AQ239" s="80" t="n"/>
      <c r="AR239" s="80" t="n"/>
      <c r="AS239" s="80" t="n"/>
      <c r="AT239" s="81" t="n"/>
      <c r="AU239" s="81" t="n"/>
      <c r="AV239" s="81" t="n"/>
      <c r="AW239" s="82" t="n"/>
      <c r="AX239" s="82" t="n"/>
      <c r="AY239" s="82" t="n"/>
      <c r="AZ239" s="82" t="n"/>
      <c r="BA239" s="82" t="n"/>
      <c r="BB239" s="83" t="n"/>
      <c r="BC239" s="83" t="n"/>
      <c r="BD239" s="84">
        <f>IF($A239="","",IF($DJ239&lt;&gt;"","FIX",IF($DK239&lt;&gt;"","CHECK","OK")))</f>
        <v/>
      </c>
      <c r="BE239" s="85">
        <f>IF($A239="","",IF($DJ239&lt;&gt;"","FIX: "&amp;LEFT($DJ239,LEN($DJ239)-2)&amp;IF($DK239&lt;&gt;"","  ·  ",""),"")&amp;IF($DK239&lt;&gt;"","CHECK: "&amp;LEFT($DK239,LEN($DK239)-2),""))</f>
        <v/>
      </c>
      <c r="BF239" s="84">
        <f>IF(OR($A239="",$K239=""),"",$K239&amp;"'-"&amp;N($L239)&amp;CHAR(34)&amp;" x "&amp;$M239&amp;"'-"&amp;N($N239)&amp;CHAR(34))</f>
        <v/>
      </c>
      <c r="BG239" s="84">
        <f>IF(OR($A239="",$K239=""),"",$K239&amp;N($L239)&amp;$M239&amp;N($N239))</f>
        <v/>
      </c>
      <c r="BH239" s="84">
        <f>IF(OR($A239="",$K239=""),"",$K239*12+N($L239))</f>
        <v/>
      </c>
      <c r="BI239" s="84">
        <f>IF(OR($A239="",$M239=""),"",$M239*12+N($N239))</f>
        <v/>
      </c>
      <c r="BJ239" s="84">
        <f>IF($A239="","",IF(OR($C239="FRAME ONLY",$S239="BL"),0,IF($O239="Y",2,1)))</f>
        <v/>
      </c>
      <c r="BK239" s="86">
        <f>IF(OR(N($BJ239)=0,$BH239=""),"",($BH239-2*EdgeClr-IF($BJ239=2,MeetClr,0))/$BJ239)</f>
        <v/>
      </c>
      <c r="BL239" s="86">
        <f>IF(OR(N($BJ239)=0,$BI239=""),"",$BI239-HeadClr-Undercut)</f>
        <v/>
      </c>
      <c r="BM239" s="86">
        <f>IF($BH239="","",$BH239+2*FaceW+IF(N($Q239)&gt;0,($Q239+FaceW)*IF($R239="LR",2,1),0))</f>
        <v/>
      </c>
      <c r="BN239" s="86">
        <f>IF($BI239="","",$BI239+IF($AB239="Y",4,FaceW)+IF(N($P239)&gt;0,$P239+FaceW,0)+IF(OR($S239="4F",$S239="BL"),FaceW,0))</f>
        <v/>
      </c>
      <c r="BO239" s="86">
        <f>IF($BM239="","",$BM239+2*ROSide)</f>
        <v/>
      </c>
      <c r="BP239" s="86">
        <f>IF($BN239="","",$BN239+ROTop)</f>
        <v/>
      </c>
      <c r="BQ239" s="87">
        <f>IF(OR(N($BJ239)=0,$BH239=""),"",$BH239/$BJ239-ClearDeduct)</f>
        <v/>
      </c>
      <c r="BR239" s="84">
        <f>IF(N($CH239)=0,"",IF($CH239&gt;=180,"A · 3 HR",IF($CH239&gt;=90,"B · 1-1/2 HR",IF($CH239&gt;=60,"B · 1 HR",IF($CH239&gt;=45,"C · 3/4 HR","20 MIN")))))&amp;IF(AND(N($CH239)&gt;0,OR($I239="CORRIDOR",$I239="SMOKE BARRIER"))," · S","")</f>
        <v/>
      </c>
      <c r="BS239" s="84">
        <f>IF($CS239,"",IF($AV239&lt;&gt;"",$AV239,IF(OR($AC239="HGC",$AO239="HGC"),"CONT",IF(($BI239-HeadClr-Undercut)&lt;=60,2,IF(($BI239-HeadClr-Undercut)&lt;=90,3,IF(($BI239-HeadClr-Undercut)&lt;=120,4,5))))))</f>
        <v/>
      </c>
      <c r="BT239" s="84">
        <f>IF($CS239,"",IF($CT239,"CUSTOM (typed)",IF($CV239,$AT239&amp;" "&amp;$CU239&amp;CHAR(34)&amp;IF($CU239&lt;&gt;$BI239,IF(AND($BI239&lt;$CU239,$BI239-IF(N(VLOOKUP($AT239&amp;"|"&amp;$CU239,LocTable,7,FALSE))&gt;0,VLOOKUP($AT239&amp;"|"&amp;$CU239,LocTable,7,FALSE),VLOOKUP($AT239&amp;"|"&amp;$CU239,LocTable,6,FALSE))-$CR239-0.75&gt;=2.125)," cut down"," adj."),""),"ANSI/SDI A250.6")))</f>
        <v/>
      </c>
      <c r="BU239" s="88">
        <f>IF($CS239,"",IF($CT239,IF(N($AW239)&gt;0,N($AW239),""),IF(1&gt;$CQ239,"",IF($CQ239=1,$CW239,$CW239+($CX239-$CW239)*0/($CQ239-1)))))</f>
        <v/>
      </c>
      <c r="BV239" s="88">
        <f>IF($CS239,"",IF($CT239,IF(N($AX239)&gt;0,N($AX239),""),IF(2&gt;$CQ239,"",IF($CQ239=1,$CW239,$CW239+($CX239-$CW239)*1/($CQ239-1)))))</f>
        <v/>
      </c>
      <c r="BW239" s="88">
        <f>IF($CS239,"",IF($CT239,IF(N($AY239)&gt;0,N($AY239),""),IF(3&gt;$CQ239,"",IF($CQ239=1,$CW239,$CW239+($CX239-$CW239)*2/($CQ239-1)))))</f>
        <v/>
      </c>
      <c r="BX239" s="88">
        <f>IF($CS239,"",IF($CT239,IF(N($AZ239)&gt;0,N($AZ239),""),IF(4&gt;$CQ239,"",IF($CQ239=1,$CW239,$CW239+($CX239-$CW239)*3/($CQ239-1)))))</f>
        <v/>
      </c>
      <c r="BY239" s="88">
        <f>IF($CS239,"",IF($CT239,"",IF(5&gt;$CQ239,"",IF($CQ239=1,$CW239,$CW239+($CX239-$CW239)*4/($CQ239-1)))))</f>
        <v/>
      </c>
      <c r="BZ239" s="88">
        <f>IF(OR($CS239,$AP239="-",AND($AP239="",$AD239="")),"",IF(N($BA239)&gt;0,N($BA239),IF($CV239,IF(AND($BI239&lt;$CU239,$BI239-IF(N(VLOOKUP($AT239&amp;"|"&amp;$CU239,LocTable,7,FALSE))&gt;0,VLOOKUP($AT239&amp;"|"&amp;$CU239,LocTable,7,FALSE),VLOOKUP($AT239&amp;"|"&amp;$CU239,LocTable,6,FALSE))-$CR239-0.75&gt;=2.125),VLOOKUP($AT239&amp;"|"&amp;$CU239,LocTable,8,FALSE),VLOOKUP($AT239&amp;"|"&amp;$CU239,LocTable,8,FALSE)+($BI239-$CU239)),$BI239-LockAFF)))</f>
        <v/>
      </c>
      <c r="CA239" s="89">
        <f>IF($BZ239="","",$BI239-$BZ239)</f>
        <v/>
      </c>
      <c r="CB239" s="84">
        <f>IF(OR(NOT(AND($A239&lt;&gt;"",$C239&lt;&gt;"DOOR ONLY")),$BI239=""),"",IF(($BI239+IF(N($P239)&gt;0,$P239+FaceW,0))&lt;=90,3,IF(($BI239+IF(N($P239)&gt;0,$P239+FaceW,0))&lt;=114,4,5)))</f>
        <v/>
      </c>
      <c r="CC239" s="84">
        <f>IF($CB239="","",$CB239*(2+IF(N($Q239)&gt;0,IF($R239="LR",2,1),0)))</f>
        <v/>
      </c>
      <c r="CD239" s="84">
        <f>IF($CB239="","",(2+IF(N($Q239)&gt;0,IF($R239="LR",2,1),0)))</f>
        <v/>
      </c>
      <c r="CE239" s="84">
        <f>IF(N($BJ239)=0,"",IF(OR($AL239="",$AL239="FLUSH"),"FLUSH",IFERROR(LEFT($AL239,FIND("-",$AL239)-1),LEFT($AL239,2))))</f>
        <v/>
      </c>
      <c r="CF239" s="84">
        <f>IF($CE239="","",IFERROR(VALUE(MID($AL239,FIND("-",$AL239)+1,FIND(CHAR(34)&amp;"x",$AL239)-FIND("-",$AL239)-1)),0))</f>
        <v/>
      </c>
      <c r="CG239" s="84">
        <f>IF($CE239="","",IFERROR(VALUE(MID($AL239,FIND(CHAR(34)&amp;"x",$AL239)+2,FIND(CHAR(34),$AL239,FIND(CHAR(34)&amp;"x",$AL239)+2)-FIND(CHAR(34)&amp;"x",$AL239)-2)),0))</f>
        <v/>
      </c>
      <c r="CH239" s="90">
        <f>IF(OR($A239="",$H239="",$H239="NO LAB"),0,IFERROR(VALUE(LEFT($H239,FIND(" ",$H239)-1)),0))</f>
        <v/>
      </c>
      <c r="CI239" s="91">
        <f>IF(OR($A239="",$I239="",$I239="NON-RATED",N($J239)=0),"",IFERROR(VLOOKUP($I239&amp;"|"&amp;$J239,IBC,2,FALSE),"?"))</f>
        <v/>
      </c>
      <c r="CJ239" s="85">
        <f>IF(NOT(AND($A239&lt;&gt;"",$C239&lt;&gt;"DOOR ONLY")),"",TRIM(IFERROR(VLOOKUP($U239,CODES,2,FALSE),"")&amp;" "&amp;$BG239&amp;" "&amp;IFERROR(VLOOKUP($Z239,CODES,2,FALSE),"")&amp;" "&amp;IFERROR(VLOOKUP($X239,CODES,2,FALSE),"")&amp;" "&amp;IFERROR(VLOOKUP($S239,CODES,2,FALSE),"")&amp;IF(N($P239)&gt;0," w/TRANSOM "&amp;$P239&amp;CHAR(34),"")&amp;IF(N($Q239)&gt;0," w/SIDELITE "&amp;$Q239&amp;CHAR(34)&amp;" "&amp;IF($R239="","R",$R239),"")&amp;IF($Y239="","  |  "," | "&amp;IFERROR(VLOOKUP($Y239,CODES,2,FALSE),"")&amp;" | ")&amp;IFERROR(VLOOKUP($AC239,CODES,2,FALSE),"")&amp;" "&amp;IFERROR(VLOOKUP($AD239,CODES,2,FALSE),"")&amp;IF(OR($AE239="",$AE239="-"),""," "&amp;$AE239)&amp;IF(OR($AF239="",$AF239="-"),""," "&amp;$AF239)&amp;IF($AB239="Y"," 4"&amp;CHAR(34)&amp;" HEAD","")&amp;" "&amp;IFERROR(VLOOKUP($H239,CODES,2,FALSE),"")&amp;IF($CT239," | LOC "&amp;$CY239,"")))</f>
        <v/>
      </c>
      <c r="CK239" s="85">
        <f>IF(NOT(AND($A239&lt;&gt;"",N($BJ239)&gt;0)),"",TRIM(IFERROR(VLOOKUP($AH239,CODES,2,FALSE),"")&amp;IF($AI239=""," "," "&amp;$AI239&amp;"GA ")&amp;$BG239&amp;" "&amp;IF($AN239="",IFERROR(VLOOKUP($Z239,CODES,2,FALSE),""),IFERROR(VLOOKUP($AN239,CODES,2,FALSE),""))&amp;IF($BJ239=2," PAIR","")&amp;" DOOR | "&amp;IF($AL239="","?",$AL239)&amp;" | "&amp;IF($AO239="",IFERROR(VLOOKUP($AC239,CODES,2,FALSE),""),IFERROR(VLOOKUP($AO239,CODES,2,FALSE),""))&amp;" "&amp;IFERROR(VLOOKUP($AP239,CODES,2,FALSE),"")&amp;IF(OR($AQ239="",$AQ239="-"),""," SEAM "&amp;$AQ239)&amp;IF($AR239="Y"," ASTRAGAL","")&amp;IF($AJ239=""," "," "&amp;$AJ239)&amp;IF($AK239=""," "," "&amp;$AK239)&amp;IF(OR($AT239="",$AT239="ANSI/SDI",$AT239="CUSTOM LOC"),""," "&amp;$AT239)&amp;IF($AM239=""," "," SERIES "&amp;$AM239)&amp;" "&amp;IFERROR(VLOOKUP($H239,CODES,2,FALSE),"")&amp;IF($CT239," | LOC "&amp;$CZ239,"")))</f>
        <v/>
      </c>
      <c r="CL239" s="84">
        <f>IF(CP239="","",IF(COUNTIF($CP$6:CP239,CP239)=1,MAX($CL$5:CL238)+1,INDEX($CL$5:CL238,MATCH(CP239,$CP$5:CP238,0))))</f>
        <v/>
      </c>
      <c r="CM239" s="84">
        <f>IF(NOT(AND($A239&lt;&gt;"",$C239&lt;&gt;"DOOR ONLY")),"",MAX($CM$5:CM238)+1)</f>
        <v/>
      </c>
      <c r="CN239" s="84">
        <f>IF(NOT(AND($A239&lt;&gt;"",N($BJ239)&gt;0)),"",MAX($CN$5:CN238)+1)</f>
        <v/>
      </c>
      <c r="CO239" s="84">
        <f>IF($A239="","",MAX($CO$5:CO238)+1)</f>
        <v/>
      </c>
      <c r="CP239" s="84">
        <f>IF(OR($A239="",$BH239="",$BI239=""),"",$BG239&amp;"|"&amp;$O239&amp;"|"&amp;$AL239&amp;"|"&amp;$S239&amp;"|"&amp;$P239&amp;"|"&amp;$Q239&amp;$R239&amp;"|"&amp;$C239&amp;"|"&amp;$AB239)</f>
        <v/>
      </c>
      <c r="CQ239" s="84">
        <f>N($BS239)</f>
        <v/>
      </c>
      <c r="CR239" s="84">
        <f>IF(N($AU239)&gt;0,N($AU239),4.5)</f>
        <v/>
      </c>
      <c r="CS239" s="84">
        <f>OR($A239="",$BI239="",$S239="BL",AND($C239="FRAME ONLY",OR($AC239="",$AC239="BLK")))</f>
        <v/>
      </c>
      <c r="CT239" s="84">
        <f>AND(NOT($CS239),OR($AT239="CUSTOM LOC",N($AW239)+N($AX239)+N($AY239)+N($AZ239)+N($BA239)&gt;0))</f>
        <v/>
      </c>
      <c r="CU239" s="84">
        <f>IF($BI239="","",IF($BI239&lt;=80,80,IF($BI239&lt;=84,84,96)))</f>
        <v/>
      </c>
      <c r="CV239" s="84">
        <f>ISNUMBER(MATCH($AT239&amp;"|80",LocKeys,0))</f>
        <v/>
      </c>
      <c r="CW239" s="86">
        <f>IF($CS239,"",IF($CV239,VLOOKUP($AT239&amp;"|"&amp;$CU239,LocTable,4,FALSE),5))</f>
        <v/>
      </c>
      <c r="CX239" s="86">
        <f>IF($CS239,"",IF($CV239,IF(OR($BI239=$CU239,AND($BI239&lt;$CU239,$BI239-IF(N(VLOOKUP($AT239&amp;"|"&amp;$CU239,LocTable,7,FALSE))&gt;0,VLOOKUP($AT239&amp;"|"&amp;$CU239,LocTable,7,FALSE),VLOOKUP($AT239&amp;"|"&amp;$CU239,LocTable,6,FALSE))-$CR239-0.75&gt;=2.125)),IF(N(VLOOKUP($AT239&amp;"|"&amp;$CU239,LocTable,7,FALSE))&gt;0,VLOOKUP($AT239&amp;"|"&amp;$CU239,LocTable,7,FALSE),VLOOKUP($AT239&amp;"|"&amp;$CU239,LocTable,6,FALSE)),$BI239-($CU239-IF(N(VLOOKUP($AT239&amp;"|"&amp;$CU239,LocTable,7,FALSE))&gt;0,VLOOKUP($AT239&amp;"|"&amp;$CU239,LocTable,7,FALSE),VLOOKUP($AT239&amp;"|"&amp;$CU239,LocTable,6,FALSE)))),$BI239-10-$CR239))</f>
        <v/>
      </c>
      <c r="CY239" s="85">
        <f>IF($CS239,"",TRIM(IF(ISNUMBER($BU239),"A "&amp;TRIM(TEXT($BU239,"# ?/??"))&amp;CHAR(34)&amp;"  ","")&amp;IF(ISNUMBER($BV239),"B "&amp;TRIM(TEXT($BV239,"# ?/??"))&amp;CHAR(34)&amp;"  ","")&amp;IF(ISNUMBER($BW239),"C "&amp;TRIM(TEXT($BW239,"# ?/??"))&amp;CHAR(34)&amp;"  ","")&amp;IF(ISNUMBER($BX239),"D "&amp;TRIM(TEXT($BX239,"# ?/??"))&amp;CHAR(34)&amp;"  ","")&amp;IF(ISNUMBER($BY239),"F "&amp;TRIM(TEXT($BY239,"# ?/??"))&amp;CHAR(34)&amp;"  ","")&amp;IF(ISNUMBER($BZ239),"E "&amp;TRIM(TEXT($BZ239,"# ?/??"))&amp;CHAR(34)&amp;"  ","")))</f>
        <v/>
      </c>
      <c r="CZ239" s="85">
        <f>IF(OR($CS239,N($BJ239)=0),"",TRIM(IF(ISNUMBER($BU239),"A "&amp;TRIM(TEXT($BU239-HeadClr,"# ?/??"))&amp;CHAR(34)&amp;"  ","")&amp;IF(ISNUMBER($BV239),"B "&amp;TRIM(TEXT($BV239-HeadClr,"# ?/??"))&amp;CHAR(34)&amp;"  ","")&amp;IF(ISNUMBER($BW239),"C "&amp;TRIM(TEXT($BW239-HeadClr,"# ?/??"))&amp;CHAR(34)&amp;"  ","")&amp;IF(ISNUMBER($BX239),"D "&amp;TRIM(TEXT($BX239-HeadClr,"# ?/??"))&amp;CHAR(34)&amp;"  ","")&amp;IF(ISNUMBER($BY239),"F "&amp;TRIM(TEXT($BY239-HeadClr,"# ?/??"))&amp;CHAR(34)&amp;"  ","")&amp;IF(ISNUMBER($BZ239),"E "&amp;TRIM(TEXT($BZ239-HeadClr,"# ?/??"))&amp;CHAR(34)&amp;"  ","")))</f>
        <v/>
      </c>
      <c r="DA239" s="84">
        <f>IF($A239="","",IF($AN239="",IFERROR(VLOOKUP($Z239,CODES,2,FALSE),""),IFERROR(VLOOKUP($AN239,CODES,2,FALSE),"")))</f>
        <v/>
      </c>
      <c r="DB239" s="84">
        <f>IF($A239="","",IF($O239="Y","PR",IF(OR($Z239="L",$Z239="RR",LEFT($Z239,2)="L-",LEFT($Z239,3)="RR-"),"LH","RH")))</f>
        <v/>
      </c>
      <c r="DC239" s="84">
        <f>IF($A239="","","S.HM"&amp;IF(OR($C239="DOOR ONLY",$X239&lt;&gt;"KD"),"MASONRY","DRYWALL")&amp;IF($C239="DOOR ONLY","",$U239)&amp;IF(AND($C239&lt;&gt;"FRAME ONLY",OR(LEFT($AH239,3)="OAK",LEFT($AH239,3)="BIR",LEFT($AH239,3)="MAP",$AH239="PC",$AH239="MC",$AH239="SCLC",$AH239="P-LAM")),"WD","HM")&amp;"1.75")</f>
        <v/>
      </c>
      <c r="DD239" s="84">
        <f>IF($CJ239="","",IF($O239="Y",$CJ239,SUBSTITUTE($CJ239,$BG239&amp;" "&amp;IFERROR(VLOOKUP($Z239,CODES,2,FALSE),"")&amp;" ",$BG239&amp;" ")))</f>
        <v/>
      </c>
      <c r="DE239" s="84">
        <f>IF($CK239="","",IF($O239="Y",$CK239,SUBSTITUTE($CK239,$BG239&amp;" "&amp;IF($AN239="",IFERROR(VLOOKUP($Z239,CODES,2,FALSE),""),IFERROR(VLOOKUP($AN239,CODES,2,FALSE),""))&amp;" ",$BG239&amp;" ")))</f>
        <v/>
      </c>
      <c r="DF239" s="84">
        <f>IF($CJ239="","",$DC239&amp;"|"&amp;$DD239&amp;"|"&amp;$DB239&amp;"|"&amp;$AT239&amp;"|"&amp;$V239&amp;"|"&amp;$Y239&amp;"|"&amp;$AB239)</f>
        <v/>
      </c>
      <c r="DG239" s="84">
        <f>IF(DF239="","",IF(COUNTIF($DF$6:DF239,DF239)=1,MAX($DG$5:DG238)+1,INDEX($DG$5:DG238,MATCH(DF239,$DF$5:DF238,0))))</f>
        <v/>
      </c>
      <c r="DH239" s="84">
        <f>IF($CK239="","",$DC239&amp;"|"&amp;$DE239&amp;"|"&amp;$AI239&amp;"|"&amp;$BK239&amp;"|"&amp;$BL239)</f>
        <v/>
      </c>
      <c r="DI239" s="84">
        <f>IF(DH239="","",IF(COUNTIF($DH$6:DH239,DH239)=1,MAX($DI$5:DI238)+1,INDEX($DI$5:DI238,MATCH(DH239,$DH$5:DH238,0))))</f>
        <v/>
      </c>
      <c r="DJ239" s="84">
        <f>IF($A239="","",IF($B239="","qty, ","")&amp;IF($C239="","scope, ","")&amp;IF(OR($K239="",$M239=""),"size, ","")&amp;IF(AND($A239&lt;&gt;"",$C239&lt;&gt;"DOOR ONLY"),IF($U239="","jamb depth, ","")&amp;IF($X239="","construction, ","")&amp;IF($Y239="","anchor, ","")&amp;IF($S239="","frame type, ",""),"")&amp;IF(AND(N($BJ239)&gt;0,$Z239=""),"hand, ","")&amp;IF(N($BJ239)&gt;0,IF($AH239="","door material, ","")&amp;IF($AL239="","face type, ","")&amp;IF($AP239="","lock prep, ","")&amp;IF(AND($AO239="",$AC239=""),"hinge prep, ",""),"")&amp;IF(AND($CH239&gt;0,$AH239="FRP"),"FRP cannot carry a label, ","")&amp;IF(AND($O239="Y",OR($Z239="L",$Z239="R",$Z239="LR",$Z239="RR")),"pair marked but hand is single, ","")&amp;IF(AND($O239&lt;&gt;"Y",OR($Z239="PR",AND(LEN($Z239)&gt;1,ISNUMBER(SEARCH("-",$Z239))))),"pair hand on a single door, ","")&amp;IF(AND(ISNUMBER($CI239),$CH239&lt;N($CI239)),"wall needs a "&amp;$CI239&amp;" min door, ","")&amp;IF(AND($CH239&gt;=180,AND(OR($CE239="FG",$CE239="HG",$CE239="FNV",$CE239="FV"),N($CF239)*N($CG239)&gt;100)),"180 min lite over 100 sq in, ","")&amp;IF(N($BK239)&gt;48,"leaf wider than 4'-0"&amp;CHAR(34)&amp;", ","")&amp;IF(AND($CT239,COUNT($AW239:$AZ239)=0,$CQ239&gt;0),"CUSTOM LOC with no locations typed, ",""))</f>
        <v/>
      </c>
      <c r="DK239" s="84">
        <f>IF($A239="","",IF(AND($CH239&gt;0,AND($A239&lt;&gt;"",$C239&lt;&gt;"DOOR ONLY"),$X239="KD",$E239="EXTERIOR"),"KD label on an exterior opening, ","")&amp;IF(AND($E239="EXTERIOR",OR(AND(AND($A239&lt;&gt;"",$C239&lt;&gt;"DOOR ONLY"),$W239="CR"),AND(N($BJ239)&gt;0,$AH239="CR"))),"exterior in CR steel (G9?), ","")&amp;IF(AND(ISNUMBER($BQ239),N($BQ239)&lt;32),"clear width ~"&amp;TEXT($BQ239,"0.0")&amp;CHAR(34)&amp;" under 32"&amp;CHAR(34)&amp;" (ADA), ","")&amp;IF(AND($CH239=90,AND(OR($CE239="FG",$CE239="HG",$CE239="FNV",$CE239="FV"),N($CF239)*N($CG239)&gt;100)),"90 min lite over 100 sq in (stair/exit), ","")&amp;IF(AND($CH239&gt;0,AND($A239&lt;&gt;"",$C239&lt;&gt;"DOOR ONLY"),OR($AF239="",$AF239="-")),"rated: closer reinf.?, ","")&amp;IF(OR($I239="CORRIDOR",$I239="SMOKE BARRIER"),"S label + smoke gasketing, ","")&amp;IF($CI239="?","wall type/hr not in IBC table, ","")&amp;IF(AND(N($BJ239)&gt;0,$BB239=""),"no hardware set, ","")&amp;IF(AND($BB239&lt;&gt;"",ISNA(MATCH($BB239&amp;"",HWSets,0))),"set "&amp;$BB239&amp;" not on HW Sets, ","")&amp;IF(N($BL239)&gt;96,"leaf over 8'-0"&amp;CHAR(34)&amp;" - check listing, ","")&amp;IF(AND($CT239,COUNT($AW239:$AZ239)&gt;0,COUNT($AW239:$AZ239)&lt;&gt;$CQ239),COUNT($AW239:$AZ239)&amp;" custom hinges typed, "&amp;$CQ239&amp;" expected, ","")&amp;IF(AND(ISNUMBER($CA239),OR(N($CA239)&lt;34,N($CA239)&gt;48)),"lock "&amp;TEXT($CA239,"0.0")&amp;CHAR(34)&amp;" AFF outside 34-48"&amp;CHAR(34)&amp;" (ADA), ","")&amp;IF(AND(ISNUMBER($AV239),ISNUMBER($BL239),N($AV239)&lt;IF(N($BL239)&lt;=60,2,IF(N($BL239)&lt;=90,3,IF(N($BL239)&lt;=120,4,5)))),"fewer hinges than standard, ",""))</f>
        <v/>
      </c>
    </row>
    <row r="240" ht="15" customHeight="1">
      <c r="A240" s="92" t="n"/>
      <c r="B240" s="93" t="n"/>
      <c r="C240" s="93" t="n"/>
      <c r="D240" s="93" t="n"/>
      <c r="E240" s="93" t="n"/>
      <c r="F240" s="93" t="n"/>
      <c r="G240" s="93" t="n"/>
      <c r="H240" s="93" t="n"/>
      <c r="I240" s="93" t="n"/>
      <c r="J240" s="93" t="n"/>
      <c r="K240" s="93" t="n"/>
      <c r="L240" s="93" t="n"/>
      <c r="M240" s="93" t="n"/>
      <c r="N240" s="93" t="n"/>
      <c r="O240" s="93" t="n"/>
      <c r="P240" s="93" t="n"/>
      <c r="Q240" s="93" t="n"/>
      <c r="R240" s="93" t="n"/>
      <c r="S240" s="94" t="n"/>
      <c r="T240" s="94" t="n"/>
      <c r="U240" s="94" t="n"/>
      <c r="V240" s="94" t="n"/>
      <c r="W240" s="94" t="n"/>
      <c r="X240" s="94" t="n"/>
      <c r="Y240" s="94" t="n"/>
      <c r="Z240" s="94" t="n"/>
      <c r="AA240" s="94" t="n"/>
      <c r="AB240" s="94" t="n"/>
      <c r="AC240" s="94" t="n"/>
      <c r="AD240" s="94" t="n"/>
      <c r="AE240" s="94" t="n"/>
      <c r="AF240" s="94" t="n"/>
      <c r="AG240" s="94" t="n"/>
      <c r="AH240" s="95" t="n"/>
      <c r="AI240" s="95" t="n"/>
      <c r="AJ240" s="95" t="n"/>
      <c r="AK240" s="95" t="n"/>
      <c r="AL240" s="95" t="n"/>
      <c r="AM240" s="95" t="n"/>
      <c r="AN240" s="95" t="n"/>
      <c r="AO240" s="95" t="n"/>
      <c r="AP240" s="95" t="n"/>
      <c r="AQ240" s="95" t="n"/>
      <c r="AR240" s="95" t="n"/>
      <c r="AS240" s="95" t="n"/>
      <c r="AT240" s="96" t="n"/>
      <c r="AU240" s="96" t="n"/>
      <c r="AV240" s="96" t="n"/>
      <c r="AW240" s="97" t="n"/>
      <c r="AX240" s="97" t="n"/>
      <c r="AY240" s="97" t="n"/>
      <c r="AZ240" s="97" t="n"/>
      <c r="BA240" s="97" t="n"/>
      <c r="BB240" s="98" t="n"/>
      <c r="BC240" s="98" t="n"/>
      <c r="BD240" s="99">
        <f>IF($A240="","",IF($DJ240&lt;&gt;"","FIX",IF($DK240&lt;&gt;"","CHECK","OK")))</f>
        <v/>
      </c>
      <c r="BE240" s="100">
        <f>IF($A240="","",IF($DJ240&lt;&gt;"","FIX: "&amp;LEFT($DJ240,LEN($DJ240)-2)&amp;IF($DK240&lt;&gt;"","  ·  ",""),"")&amp;IF($DK240&lt;&gt;"","CHECK: "&amp;LEFT($DK240,LEN($DK240)-2),""))</f>
        <v/>
      </c>
      <c r="BF240" s="99">
        <f>IF(OR($A240="",$K240=""),"",$K240&amp;"'-"&amp;N($L240)&amp;CHAR(34)&amp;" x "&amp;$M240&amp;"'-"&amp;N($N240)&amp;CHAR(34))</f>
        <v/>
      </c>
      <c r="BG240" s="99">
        <f>IF(OR($A240="",$K240=""),"",$K240&amp;N($L240)&amp;$M240&amp;N($N240))</f>
        <v/>
      </c>
      <c r="BH240" s="99">
        <f>IF(OR($A240="",$K240=""),"",$K240*12+N($L240))</f>
        <v/>
      </c>
      <c r="BI240" s="99">
        <f>IF(OR($A240="",$M240=""),"",$M240*12+N($N240))</f>
        <v/>
      </c>
      <c r="BJ240" s="99">
        <f>IF($A240="","",IF(OR($C240="FRAME ONLY",$S240="BL"),0,IF($O240="Y",2,1)))</f>
        <v/>
      </c>
      <c r="BK240" s="101">
        <f>IF(OR(N($BJ240)=0,$BH240=""),"",($BH240-2*EdgeClr-IF($BJ240=2,MeetClr,0))/$BJ240)</f>
        <v/>
      </c>
      <c r="BL240" s="101">
        <f>IF(OR(N($BJ240)=0,$BI240=""),"",$BI240-HeadClr-Undercut)</f>
        <v/>
      </c>
      <c r="BM240" s="101">
        <f>IF($BH240="","",$BH240+2*FaceW+IF(N($Q240)&gt;0,($Q240+FaceW)*IF($R240="LR",2,1),0))</f>
        <v/>
      </c>
      <c r="BN240" s="101">
        <f>IF($BI240="","",$BI240+IF($AB240="Y",4,FaceW)+IF(N($P240)&gt;0,$P240+FaceW,0)+IF(OR($S240="4F",$S240="BL"),FaceW,0))</f>
        <v/>
      </c>
      <c r="BO240" s="101">
        <f>IF($BM240="","",$BM240+2*ROSide)</f>
        <v/>
      </c>
      <c r="BP240" s="101">
        <f>IF($BN240="","",$BN240+ROTop)</f>
        <v/>
      </c>
      <c r="BQ240" s="102">
        <f>IF(OR(N($BJ240)=0,$BH240=""),"",$BH240/$BJ240-ClearDeduct)</f>
        <v/>
      </c>
      <c r="BR240" s="99">
        <f>IF(N($CH240)=0,"",IF($CH240&gt;=180,"A · 3 HR",IF($CH240&gt;=90,"B · 1-1/2 HR",IF($CH240&gt;=60,"B · 1 HR",IF($CH240&gt;=45,"C · 3/4 HR","20 MIN")))))&amp;IF(AND(N($CH240)&gt;0,OR($I240="CORRIDOR",$I240="SMOKE BARRIER"))," · S","")</f>
        <v/>
      </c>
      <c r="BS240" s="99">
        <f>IF($CS240,"",IF($AV240&lt;&gt;"",$AV240,IF(OR($AC240="HGC",$AO240="HGC"),"CONT",IF(($BI240-HeadClr-Undercut)&lt;=60,2,IF(($BI240-HeadClr-Undercut)&lt;=90,3,IF(($BI240-HeadClr-Undercut)&lt;=120,4,5))))))</f>
        <v/>
      </c>
      <c r="BT240" s="99">
        <f>IF($CS240,"",IF($CT240,"CUSTOM (typed)",IF($CV240,$AT240&amp;" "&amp;$CU240&amp;CHAR(34)&amp;IF($CU240&lt;&gt;$BI240,IF(AND($BI240&lt;$CU240,$BI240-IF(N(VLOOKUP($AT240&amp;"|"&amp;$CU240,LocTable,7,FALSE))&gt;0,VLOOKUP($AT240&amp;"|"&amp;$CU240,LocTable,7,FALSE),VLOOKUP($AT240&amp;"|"&amp;$CU240,LocTable,6,FALSE))-$CR240-0.75&gt;=2.125)," cut down"," adj."),""),"ANSI/SDI A250.6")))</f>
        <v/>
      </c>
      <c r="BU240" s="103">
        <f>IF($CS240,"",IF($CT240,IF(N($AW240)&gt;0,N($AW240),""),IF(1&gt;$CQ240,"",IF($CQ240=1,$CW240,$CW240+($CX240-$CW240)*0/($CQ240-1)))))</f>
        <v/>
      </c>
      <c r="BV240" s="103">
        <f>IF($CS240,"",IF($CT240,IF(N($AX240)&gt;0,N($AX240),""),IF(2&gt;$CQ240,"",IF($CQ240=1,$CW240,$CW240+($CX240-$CW240)*1/($CQ240-1)))))</f>
        <v/>
      </c>
      <c r="BW240" s="103">
        <f>IF($CS240,"",IF($CT240,IF(N($AY240)&gt;0,N($AY240),""),IF(3&gt;$CQ240,"",IF($CQ240=1,$CW240,$CW240+($CX240-$CW240)*2/($CQ240-1)))))</f>
        <v/>
      </c>
      <c r="BX240" s="103">
        <f>IF($CS240,"",IF($CT240,IF(N($AZ240)&gt;0,N($AZ240),""),IF(4&gt;$CQ240,"",IF($CQ240=1,$CW240,$CW240+($CX240-$CW240)*3/($CQ240-1)))))</f>
        <v/>
      </c>
      <c r="BY240" s="103">
        <f>IF($CS240,"",IF($CT240,"",IF(5&gt;$CQ240,"",IF($CQ240=1,$CW240,$CW240+($CX240-$CW240)*4/($CQ240-1)))))</f>
        <v/>
      </c>
      <c r="BZ240" s="103">
        <f>IF(OR($CS240,$AP240="-",AND($AP240="",$AD240="")),"",IF(N($BA240)&gt;0,N($BA240),IF($CV240,IF(AND($BI240&lt;$CU240,$BI240-IF(N(VLOOKUP($AT240&amp;"|"&amp;$CU240,LocTable,7,FALSE))&gt;0,VLOOKUP($AT240&amp;"|"&amp;$CU240,LocTable,7,FALSE),VLOOKUP($AT240&amp;"|"&amp;$CU240,LocTable,6,FALSE))-$CR240-0.75&gt;=2.125),VLOOKUP($AT240&amp;"|"&amp;$CU240,LocTable,8,FALSE),VLOOKUP($AT240&amp;"|"&amp;$CU240,LocTable,8,FALSE)+($BI240-$CU240)),$BI240-LockAFF)))</f>
        <v/>
      </c>
      <c r="CA240" s="104">
        <f>IF($BZ240="","",$BI240-$BZ240)</f>
        <v/>
      </c>
      <c r="CB240" s="99">
        <f>IF(OR(NOT(AND($A240&lt;&gt;"",$C240&lt;&gt;"DOOR ONLY")),$BI240=""),"",IF(($BI240+IF(N($P240)&gt;0,$P240+FaceW,0))&lt;=90,3,IF(($BI240+IF(N($P240)&gt;0,$P240+FaceW,0))&lt;=114,4,5)))</f>
        <v/>
      </c>
      <c r="CC240" s="99">
        <f>IF($CB240="","",$CB240*(2+IF(N($Q240)&gt;0,IF($R240="LR",2,1),0)))</f>
        <v/>
      </c>
      <c r="CD240" s="99">
        <f>IF($CB240="","",(2+IF(N($Q240)&gt;0,IF($R240="LR",2,1),0)))</f>
        <v/>
      </c>
      <c r="CE240" s="99">
        <f>IF(N($BJ240)=0,"",IF(OR($AL240="",$AL240="FLUSH"),"FLUSH",IFERROR(LEFT($AL240,FIND("-",$AL240)-1),LEFT($AL240,2))))</f>
        <v/>
      </c>
      <c r="CF240" s="99">
        <f>IF($CE240="","",IFERROR(VALUE(MID($AL240,FIND("-",$AL240)+1,FIND(CHAR(34)&amp;"x",$AL240)-FIND("-",$AL240)-1)),0))</f>
        <v/>
      </c>
      <c r="CG240" s="99">
        <f>IF($CE240="","",IFERROR(VALUE(MID($AL240,FIND(CHAR(34)&amp;"x",$AL240)+2,FIND(CHAR(34),$AL240,FIND(CHAR(34)&amp;"x",$AL240)+2)-FIND(CHAR(34)&amp;"x",$AL240)-2)),0))</f>
        <v/>
      </c>
      <c r="CH240" s="105">
        <f>IF(OR($A240="",$H240="",$H240="NO LAB"),0,IFERROR(VALUE(LEFT($H240,FIND(" ",$H240)-1)),0))</f>
        <v/>
      </c>
      <c r="CI240" s="106">
        <f>IF(OR($A240="",$I240="",$I240="NON-RATED",N($J240)=0),"",IFERROR(VLOOKUP($I240&amp;"|"&amp;$J240,IBC,2,FALSE),"?"))</f>
        <v/>
      </c>
      <c r="CJ240" s="100">
        <f>IF(NOT(AND($A240&lt;&gt;"",$C240&lt;&gt;"DOOR ONLY")),"",TRIM(IFERROR(VLOOKUP($U240,CODES,2,FALSE),"")&amp;" "&amp;$BG240&amp;" "&amp;IFERROR(VLOOKUP($Z240,CODES,2,FALSE),"")&amp;" "&amp;IFERROR(VLOOKUP($X240,CODES,2,FALSE),"")&amp;" "&amp;IFERROR(VLOOKUP($S240,CODES,2,FALSE),"")&amp;IF(N($P240)&gt;0," w/TRANSOM "&amp;$P240&amp;CHAR(34),"")&amp;IF(N($Q240)&gt;0," w/SIDELITE "&amp;$Q240&amp;CHAR(34)&amp;" "&amp;IF($R240="","R",$R240),"")&amp;IF($Y240="","  |  "," | "&amp;IFERROR(VLOOKUP($Y240,CODES,2,FALSE),"")&amp;" | ")&amp;IFERROR(VLOOKUP($AC240,CODES,2,FALSE),"")&amp;" "&amp;IFERROR(VLOOKUP($AD240,CODES,2,FALSE),"")&amp;IF(OR($AE240="",$AE240="-"),""," "&amp;$AE240)&amp;IF(OR($AF240="",$AF240="-"),""," "&amp;$AF240)&amp;IF($AB240="Y"," 4"&amp;CHAR(34)&amp;" HEAD","")&amp;" "&amp;IFERROR(VLOOKUP($H240,CODES,2,FALSE),"")&amp;IF($CT240," | LOC "&amp;$CY240,"")))</f>
        <v/>
      </c>
      <c r="CK240" s="100">
        <f>IF(NOT(AND($A240&lt;&gt;"",N($BJ240)&gt;0)),"",TRIM(IFERROR(VLOOKUP($AH240,CODES,2,FALSE),"")&amp;IF($AI240=""," "," "&amp;$AI240&amp;"GA ")&amp;$BG240&amp;" "&amp;IF($AN240="",IFERROR(VLOOKUP($Z240,CODES,2,FALSE),""),IFERROR(VLOOKUP($AN240,CODES,2,FALSE),""))&amp;IF($BJ240=2," PAIR","")&amp;" DOOR | "&amp;IF($AL240="","?",$AL240)&amp;" | "&amp;IF($AO240="",IFERROR(VLOOKUP($AC240,CODES,2,FALSE),""),IFERROR(VLOOKUP($AO240,CODES,2,FALSE),""))&amp;" "&amp;IFERROR(VLOOKUP($AP240,CODES,2,FALSE),"")&amp;IF(OR($AQ240="",$AQ240="-"),""," SEAM "&amp;$AQ240)&amp;IF($AR240="Y"," ASTRAGAL","")&amp;IF($AJ240=""," "," "&amp;$AJ240)&amp;IF($AK240=""," "," "&amp;$AK240)&amp;IF(OR($AT240="",$AT240="ANSI/SDI",$AT240="CUSTOM LOC"),""," "&amp;$AT240)&amp;IF($AM240=""," "," SERIES "&amp;$AM240)&amp;" "&amp;IFERROR(VLOOKUP($H240,CODES,2,FALSE),"")&amp;IF($CT240," | LOC "&amp;$CZ240,"")))</f>
        <v/>
      </c>
      <c r="CL240" s="99">
        <f>IF(CP240="","",IF(COUNTIF($CP$6:CP240,CP240)=1,MAX($CL$5:CL239)+1,INDEX($CL$5:CL239,MATCH(CP240,$CP$5:CP239,0))))</f>
        <v/>
      </c>
      <c r="CM240" s="99">
        <f>IF(NOT(AND($A240&lt;&gt;"",$C240&lt;&gt;"DOOR ONLY")),"",MAX($CM$5:CM239)+1)</f>
        <v/>
      </c>
      <c r="CN240" s="99">
        <f>IF(NOT(AND($A240&lt;&gt;"",N($BJ240)&gt;0)),"",MAX($CN$5:CN239)+1)</f>
        <v/>
      </c>
      <c r="CO240" s="99">
        <f>IF($A240="","",MAX($CO$5:CO239)+1)</f>
        <v/>
      </c>
      <c r="CP240" s="99">
        <f>IF(OR($A240="",$BH240="",$BI240=""),"",$BG240&amp;"|"&amp;$O240&amp;"|"&amp;$AL240&amp;"|"&amp;$S240&amp;"|"&amp;$P240&amp;"|"&amp;$Q240&amp;$R240&amp;"|"&amp;$C240&amp;"|"&amp;$AB240)</f>
        <v/>
      </c>
      <c r="CQ240" s="99">
        <f>N($BS240)</f>
        <v/>
      </c>
      <c r="CR240" s="99">
        <f>IF(N($AU240)&gt;0,N($AU240),4.5)</f>
        <v/>
      </c>
      <c r="CS240" s="99">
        <f>OR($A240="",$BI240="",$S240="BL",AND($C240="FRAME ONLY",OR($AC240="",$AC240="BLK")))</f>
        <v/>
      </c>
      <c r="CT240" s="99">
        <f>AND(NOT($CS240),OR($AT240="CUSTOM LOC",N($AW240)+N($AX240)+N($AY240)+N($AZ240)+N($BA240)&gt;0))</f>
        <v/>
      </c>
      <c r="CU240" s="99">
        <f>IF($BI240="","",IF($BI240&lt;=80,80,IF($BI240&lt;=84,84,96)))</f>
        <v/>
      </c>
      <c r="CV240" s="99">
        <f>ISNUMBER(MATCH($AT240&amp;"|80",LocKeys,0))</f>
        <v/>
      </c>
      <c r="CW240" s="101">
        <f>IF($CS240,"",IF($CV240,VLOOKUP($AT240&amp;"|"&amp;$CU240,LocTable,4,FALSE),5))</f>
        <v/>
      </c>
      <c r="CX240" s="101">
        <f>IF($CS240,"",IF($CV240,IF(OR($BI240=$CU240,AND($BI240&lt;$CU240,$BI240-IF(N(VLOOKUP($AT240&amp;"|"&amp;$CU240,LocTable,7,FALSE))&gt;0,VLOOKUP($AT240&amp;"|"&amp;$CU240,LocTable,7,FALSE),VLOOKUP($AT240&amp;"|"&amp;$CU240,LocTable,6,FALSE))-$CR240-0.75&gt;=2.125)),IF(N(VLOOKUP($AT240&amp;"|"&amp;$CU240,LocTable,7,FALSE))&gt;0,VLOOKUP($AT240&amp;"|"&amp;$CU240,LocTable,7,FALSE),VLOOKUP($AT240&amp;"|"&amp;$CU240,LocTable,6,FALSE)),$BI240-($CU240-IF(N(VLOOKUP($AT240&amp;"|"&amp;$CU240,LocTable,7,FALSE))&gt;0,VLOOKUP($AT240&amp;"|"&amp;$CU240,LocTable,7,FALSE),VLOOKUP($AT240&amp;"|"&amp;$CU240,LocTable,6,FALSE)))),$BI240-10-$CR240))</f>
        <v/>
      </c>
      <c r="CY240" s="100">
        <f>IF($CS240,"",TRIM(IF(ISNUMBER($BU240),"A "&amp;TRIM(TEXT($BU240,"# ?/??"))&amp;CHAR(34)&amp;"  ","")&amp;IF(ISNUMBER($BV240),"B "&amp;TRIM(TEXT($BV240,"# ?/??"))&amp;CHAR(34)&amp;"  ","")&amp;IF(ISNUMBER($BW240),"C "&amp;TRIM(TEXT($BW240,"# ?/??"))&amp;CHAR(34)&amp;"  ","")&amp;IF(ISNUMBER($BX240),"D "&amp;TRIM(TEXT($BX240,"# ?/??"))&amp;CHAR(34)&amp;"  ","")&amp;IF(ISNUMBER($BY240),"F "&amp;TRIM(TEXT($BY240,"# ?/??"))&amp;CHAR(34)&amp;"  ","")&amp;IF(ISNUMBER($BZ240),"E "&amp;TRIM(TEXT($BZ240,"# ?/??"))&amp;CHAR(34)&amp;"  ","")))</f>
        <v/>
      </c>
      <c r="CZ240" s="100">
        <f>IF(OR($CS240,N($BJ240)=0),"",TRIM(IF(ISNUMBER($BU240),"A "&amp;TRIM(TEXT($BU240-HeadClr,"# ?/??"))&amp;CHAR(34)&amp;"  ","")&amp;IF(ISNUMBER($BV240),"B "&amp;TRIM(TEXT($BV240-HeadClr,"# ?/??"))&amp;CHAR(34)&amp;"  ","")&amp;IF(ISNUMBER($BW240),"C "&amp;TRIM(TEXT($BW240-HeadClr,"# ?/??"))&amp;CHAR(34)&amp;"  ","")&amp;IF(ISNUMBER($BX240),"D "&amp;TRIM(TEXT($BX240-HeadClr,"# ?/??"))&amp;CHAR(34)&amp;"  ","")&amp;IF(ISNUMBER($BY240),"F "&amp;TRIM(TEXT($BY240-HeadClr,"# ?/??"))&amp;CHAR(34)&amp;"  ","")&amp;IF(ISNUMBER($BZ240),"E "&amp;TRIM(TEXT($BZ240-HeadClr,"# ?/??"))&amp;CHAR(34)&amp;"  ","")))</f>
        <v/>
      </c>
      <c r="DA240" s="99">
        <f>IF($A240="","",IF($AN240="",IFERROR(VLOOKUP($Z240,CODES,2,FALSE),""),IFERROR(VLOOKUP($AN240,CODES,2,FALSE),"")))</f>
        <v/>
      </c>
      <c r="DB240" s="99">
        <f>IF($A240="","",IF($O240="Y","PR",IF(OR($Z240="L",$Z240="RR",LEFT($Z240,2)="L-",LEFT($Z240,3)="RR-"),"LH","RH")))</f>
        <v/>
      </c>
      <c r="DC240" s="99">
        <f>IF($A240="","","S.HM"&amp;IF(OR($C240="DOOR ONLY",$X240&lt;&gt;"KD"),"MASONRY","DRYWALL")&amp;IF($C240="DOOR ONLY","",$U240)&amp;IF(AND($C240&lt;&gt;"FRAME ONLY",OR(LEFT($AH240,3)="OAK",LEFT($AH240,3)="BIR",LEFT($AH240,3)="MAP",$AH240="PC",$AH240="MC",$AH240="SCLC",$AH240="P-LAM")),"WD","HM")&amp;"1.75")</f>
        <v/>
      </c>
      <c r="DD240" s="99">
        <f>IF($CJ240="","",IF($O240="Y",$CJ240,SUBSTITUTE($CJ240,$BG240&amp;" "&amp;IFERROR(VLOOKUP($Z240,CODES,2,FALSE),"")&amp;" ",$BG240&amp;" ")))</f>
        <v/>
      </c>
      <c r="DE240" s="99">
        <f>IF($CK240="","",IF($O240="Y",$CK240,SUBSTITUTE($CK240,$BG240&amp;" "&amp;IF($AN240="",IFERROR(VLOOKUP($Z240,CODES,2,FALSE),""),IFERROR(VLOOKUP($AN240,CODES,2,FALSE),""))&amp;" ",$BG240&amp;" ")))</f>
        <v/>
      </c>
      <c r="DF240" s="99">
        <f>IF($CJ240="","",$DC240&amp;"|"&amp;$DD240&amp;"|"&amp;$DB240&amp;"|"&amp;$AT240&amp;"|"&amp;$V240&amp;"|"&amp;$Y240&amp;"|"&amp;$AB240)</f>
        <v/>
      </c>
      <c r="DG240" s="99">
        <f>IF(DF240="","",IF(COUNTIF($DF$6:DF240,DF240)=1,MAX($DG$5:DG239)+1,INDEX($DG$5:DG239,MATCH(DF240,$DF$5:DF239,0))))</f>
        <v/>
      </c>
      <c r="DH240" s="99">
        <f>IF($CK240="","",$DC240&amp;"|"&amp;$DE240&amp;"|"&amp;$AI240&amp;"|"&amp;$BK240&amp;"|"&amp;$BL240)</f>
        <v/>
      </c>
      <c r="DI240" s="99">
        <f>IF(DH240="","",IF(COUNTIF($DH$6:DH240,DH240)=1,MAX($DI$5:DI239)+1,INDEX($DI$5:DI239,MATCH(DH240,$DH$5:DH239,0))))</f>
        <v/>
      </c>
      <c r="DJ240" s="99">
        <f>IF($A240="","",IF($B240="","qty, ","")&amp;IF($C240="","scope, ","")&amp;IF(OR($K240="",$M240=""),"size, ","")&amp;IF(AND($A240&lt;&gt;"",$C240&lt;&gt;"DOOR ONLY"),IF($U240="","jamb depth, ","")&amp;IF($X240="","construction, ","")&amp;IF($Y240="","anchor, ","")&amp;IF($S240="","frame type, ",""),"")&amp;IF(AND(N($BJ240)&gt;0,$Z240=""),"hand, ","")&amp;IF(N($BJ240)&gt;0,IF($AH240="","door material, ","")&amp;IF($AL240="","face type, ","")&amp;IF($AP240="","lock prep, ","")&amp;IF(AND($AO240="",$AC240=""),"hinge prep, ",""),"")&amp;IF(AND($CH240&gt;0,$AH240="FRP"),"FRP cannot carry a label, ","")&amp;IF(AND($O240="Y",OR($Z240="L",$Z240="R",$Z240="LR",$Z240="RR")),"pair marked but hand is single, ","")&amp;IF(AND($O240&lt;&gt;"Y",OR($Z240="PR",AND(LEN($Z240)&gt;1,ISNUMBER(SEARCH("-",$Z240))))),"pair hand on a single door, ","")&amp;IF(AND(ISNUMBER($CI240),$CH240&lt;N($CI240)),"wall needs a "&amp;$CI240&amp;" min door, ","")&amp;IF(AND($CH240&gt;=180,AND(OR($CE240="FG",$CE240="HG",$CE240="FNV",$CE240="FV"),N($CF240)*N($CG240)&gt;100)),"180 min lite over 100 sq in, ","")&amp;IF(N($BK240)&gt;48,"leaf wider than 4'-0"&amp;CHAR(34)&amp;", ","")&amp;IF(AND($CT240,COUNT($AW240:$AZ240)=0,$CQ240&gt;0),"CUSTOM LOC with no locations typed, ",""))</f>
        <v/>
      </c>
      <c r="DK240" s="99">
        <f>IF($A240="","",IF(AND($CH240&gt;0,AND($A240&lt;&gt;"",$C240&lt;&gt;"DOOR ONLY"),$X240="KD",$E240="EXTERIOR"),"KD label on an exterior opening, ","")&amp;IF(AND($E240="EXTERIOR",OR(AND(AND($A240&lt;&gt;"",$C240&lt;&gt;"DOOR ONLY"),$W240="CR"),AND(N($BJ240)&gt;0,$AH240="CR"))),"exterior in CR steel (G9?), ","")&amp;IF(AND(ISNUMBER($BQ240),N($BQ240)&lt;32),"clear width ~"&amp;TEXT($BQ240,"0.0")&amp;CHAR(34)&amp;" under 32"&amp;CHAR(34)&amp;" (ADA), ","")&amp;IF(AND($CH240=90,AND(OR($CE240="FG",$CE240="HG",$CE240="FNV",$CE240="FV"),N($CF240)*N($CG240)&gt;100)),"90 min lite over 100 sq in (stair/exit), ","")&amp;IF(AND($CH240&gt;0,AND($A240&lt;&gt;"",$C240&lt;&gt;"DOOR ONLY"),OR($AF240="",$AF240="-")),"rated: closer reinf.?, ","")&amp;IF(OR($I240="CORRIDOR",$I240="SMOKE BARRIER"),"S label + smoke gasketing, ","")&amp;IF($CI240="?","wall type/hr not in IBC table, ","")&amp;IF(AND(N($BJ240)&gt;0,$BB240=""),"no hardware set, ","")&amp;IF(AND($BB240&lt;&gt;"",ISNA(MATCH($BB240&amp;"",HWSets,0))),"set "&amp;$BB240&amp;" not on HW Sets, ","")&amp;IF(N($BL240)&gt;96,"leaf over 8'-0"&amp;CHAR(34)&amp;" - check listing, ","")&amp;IF(AND($CT240,COUNT($AW240:$AZ240)&gt;0,COUNT($AW240:$AZ240)&lt;&gt;$CQ240),COUNT($AW240:$AZ240)&amp;" custom hinges typed, "&amp;$CQ240&amp;" expected, ","")&amp;IF(AND(ISNUMBER($CA240),OR(N($CA240)&lt;34,N($CA240)&gt;48)),"lock "&amp;TEXT($CA240,"0.0")&amp;CHAR(34)&amp;" AFF outside 34-48"&amp;CHAR(34)&amp;" (ADA), ","")&amp;IF(AND(ISNUMBER($AV240),ISNUMBER($BL240),N($AV240)&lt;IF(N($BL240)&lt;=60,2,IF(N($BL240)&lt;=90,3,IF(N($BL240)&lt;=120,4,5)))),"fewer hinges than standard, ",""))</f>
        <v/>
      </c>
    </row>
    <row r="241" ht="15" customHeight="1">
      <c r="A241" s="77" t="n"/>
      <c r="B241" s="78" t="n"/>
      <c r="C241" s="78" t="n"/>
      <c r="D241" s="78" t="n"/>
      <c r="E241" s="78" t="n"/>
      <c r="F241" s="78" t="n"/>
      <c r="G241" s="78" t="n"/>
      <c r="H241" s="78" t="n"/>
      <c r="I241" s="78" t="n"/>
      <c r="J241" s="78" t="n"/>
      <c r="K241" s="78" t="n"/>
      <c r="L241" s="78" t="n"/>
      <c r="M241" s="78" t="n"/>
      <c r="N241" s="78" t="n"/>
      <c r="O241" s="78" t="n"/>
      <c r="P241" s="78" t="n"/>
      <c r="Q241" s="78" t="n"/>
      <c r="R241" s="78" t="n"/>
      <c r="S241" s="79" t="n"/>
      <c r="T241" s="79" t="n"/>
      <c r="U241" s="79" t="n"/>
      <c r="V241" s="79" t="n"/>
      <c r="W241" s="79" t="n"/>
      <c r="X241" s="79" t="n"/>
      <c r="Y241" s="79" t="n"/>
      <c r="Z241" s="79" t="n"/>
      <c r="AA241" s="79" t="n"/>
      <c r="AB241" s="79" t="n"/>
      <c r="AC241" s="79" t="n"/>
      <c r="AD241" s="79" t="n"/>
      <c r="AE241" s="79" t="n"/>
      <c r="AF241" s="79" t="n"/>
      <c r="AG241" s="79" t="n"/>
      <c r="AH241" s="80" t="n"/>
      <c r="AI241" s="80" t="n"/>
      <c r="AJ241" s="80" t="n"/>
      <c r="AK241" s="80" t="n"/>
      <c r="AL241" s="80" t="n"/>
      <c r="AM241" s="80" t="n"/>
      <c r="AN241" s="80" t="n"/>
      <c r="AO241" s="80" t="n"/>
      <c r="AP241" s="80" t="n"/>
      <c r="AQ241" s="80" t="n"/>
      <c r="AR241" s="80" t="n"/>
      <c r="AS241" s="80" t="n"/>
      <c r="AT241" s="81" t="n"/>
      <c r="AU241" s="81" t="n"/>
      <c r="AV241" s="81" t="n"/>
      <c r="AW241" s="82" t="n"/>
      <c r="AX241" s="82" t="n"/>
      <c r="AY241" s="82" t="n"/>
      <c r="AZ241" s="82" t="n"/>
      <c r="BA241" s="82" t="n"/>
      <c r="BB241" s="83" t="n"/>
      <c r="BC241" s="83" t="n"/>
      <c r="BD241" s="84">
        <f>IF($A241="","",IF($DJ241&lt;&gt;"","FIX",IF($DK241&lt;&gt;"","CHECK","OK")))</f>
        <v/>
      </c>
      <c r="BE241" s="85">
        <f>IF($A241="","",IF($DJ241&lt;&gt;"","FIX: "&amp;LEFT($DJ241,LEN($DJ241)-2)&amp;IF($DK241&lt;&gt;"","  ·  ",""),"")&amp;IF($DK241&lt;&gt;"","CHECK: "&amp;LEFT($DK241,LEN($DK241)-2),""))</f>
        <v/>
      </c>
      <c r="BF241" s="84">
        <f>IF(OR($A241="",$K241=""),"",$K241&amp;"'-"&amp;N($L241)&amp;CHAR(34)&amp;" x "&amp;$M241&amp;"'-"&amp;N($N241)&amp;CHAR(34))</f>
        <v/>
      </c>
      <c r="BG241" s="84">
        <f>IF(OR($A241="",$K241=""),"",$K241&amp;N($L241)&amp;$M241&amp;N($N241))</f>
        <v/>
      </c>
      <c r="BH241" s="84">
        <f>IF(OR($A241="",$K241=""),"",$K241*12+N($L241))</f>
        <v/>
      </c>
      <c r="BI241" s="84">
        <f>IF(OR($A241="",$M241=""),"",$M241*12+N($N241))</f>
        <v/>
      </c>
      <c r="BJ241" s="84">
        <f>IF($A241="","",IF(OR($C241="FRAME ONLY",$S241="BL"),0,IF($O241="Y",2,1)))</f>
        <v/>
      </c>
      <c r="BK241" s="86">
        <f>IF(OR(N($BJ241)=0,$BH241=""),"",($BH241-2*EdgeClr-IF($BJ241=2,MeetClr,0))/$BJ241)</f>
        <v/>
      </c>
      <c r="BL241" s="86">
        <f>IF(OR(N($BJ241)=0,$BI241=""),"",$BI241-HeadClr-Undercut)</f>
        <v/>
      </c>
      <c r="BM241" s="86">
        <f>IF($BH241="","",$BH241+2*FaceW+IF(N($Q241)&gt;0,($Q241+FaceW)*IF($R241="LR",2,1),0))</f>
        <v/>
      </c>
      <c r="BN241" s="86">
        <f>IF($BI241="","",$BI241+IF($AB241="Y",4,FaceW)+IF(N($P241)&gt;0,$P241+FaceW,0)+IF(OR($S241="4F",$S241="BL"),FaceW,0))</f>
        <v/>
      </c>
      <c r="BO241" s="86">
        <f>IF($BM241="","",$BM241+2*ROSide)</f>
        <v/>
      </c>
      <c r="BP241" s="86">
        <f>IF($BN241="","",$BN241+ROTop)</f>
        <v/>
      </c>
      <c r="BQ241" s="87">
        <f>IF(OR(N($BJ241)=0,$BH241=""),"",$BH241/$BJ241-ClearDeduct)</f>
        <v/>
      </c>
      <c r="BR241" s="84">
        <f>IF(N($CH241)=0,"",IF($CH241&gt;=180,"A · 3 HR",IF($CH241&gt;=90,"B · 1-1/2 HR",IF($CH241&gt;=60,"B · 1 HR",IF($CH241&gt;=45,"C · 3/4 HR","20 MIN")))))&amp;IF(AND(N($CH241)&gt;0,OR($I241="CORRIDOR",$I241="SMOKE BARRIER"))," · S","")</f>
        <v/>
      </c>
      <c r="BS241" s="84">
        <f>IF($CS241,"",IF($AV241&lt;&gt;"",$AV241,IF(OR($AC241="HGC",$AO241="HGC"),"CONT",IF(($BI241-HeadClr-Undercut)&lt;=60,2,IF(($BI241-HeadClr-Undercut)&lt;=90,3,IF(($BI241-HeadClr-Undercut)&lt;=120,4,5))))))</f>
        <v/>
      </c>
      <c r="BT241" s="84">
        <f>IF($CS241,"",IF($CT241,"CUSTOM (typed)",IF($CV241,$AT241&amp;" "&amp;$CU241&amp;CHAR(34)&amp;IF($CU241&lt;&gt;$BI241,IF(AND($BI241&lt;$CU241,$BI241-IF(N(VLOOKUP($AT241&amp;"|"&amp;$CU241,LocTable,7,FALSE))&gt;0,VLOOKUP($AT241&amp;"|"&amp;$CU241,LocTable,7,FALSE),VLOOKUP($AT241&amp;"|"&amp;$CU241,LocTable,6,FALSE))-$CR241-0.75&gt;=2.125)," cut down"," adj."),""),"ANSI/SDI A250.6")))</f>
        <v/>
      </c>
      <c r="BU241" s="88">
        <f>IF($CS241,"",IF($CT241,IF(N($AW241)&gt;0,N($AW241),""),IF(1&gt;$CQ241,"",IF($CQ241=1,$CW241,$CW241+($CX241-$CW241)*0/($CQ241-1)))))</f>
        <v/>
      </c>
      <c r="BV241" s="88">
        <f>IF($CS241,"",IF($CT241,IF(N($AX241)&gt;0,N($AX241),""),IF(2&gt;$CQ241,"",IF($CQ241=1,$CW241,$CW241+($CX241-$CW241)*1/($CQ241-1)))))</f>
        <v/>
      </c>
      <c r="BW241" s="88">
        <f>IF($CS241,"",IF($CT241,IF(N($AY241)&gt;0,N($AY241),""),IF(3&gt;$CQ241,"",IF($CQ241=1,$CW241,$CW241+($CX241-$CW241)*2/($CQ241-1)))))</f>
        <v/>
      </c>
      <c r="BX241" s="88">
        <f>IF($CS241,"",IF($CT241,IF(N($AZ241)&gt;0,N($AZ241),""),IF(4&gt;$CQ241,"",IF($CQ241=1,$CW241,$CW241+($CX241-$CW241)*3/($CQ241-1)))))</f>
        <v/>
      </c>
      <c r="BY241" s="88">
        <f>IF($CS241,"",IF($CT241,"",IF(5&gt;$CQ241,"",IF($CQ241=1,$CW241,$CW241+($CX241-$CW241)*4/($CQ241-1)))))</f>
        <v/>
      </c>
      <c r="BZ241" s="88">
        <f>IF(OR($CS241,$AP241="-",AND($AP241="",$AD241="")),"",IF(N($BA241)&gt;0,N($BA241),IF($CV241,IF(AND($BI241&lt;$CU241,$BI241-IF(N(VLOOKUP($AT241&amp;"|"&amp;$CU241,LocTable,7,FALSE))&gt;0,VLOOKUP($AT241&amp;"|"&amp;$CU241,LocTable,7,FALSE),VLOOKUP($AT241&amp;"|"&amp;$CU241,LocTable,6,FALSE))-$CR241-0.75&gt;=2.125),VLOOKUP($AT241&amp;"|"&amp;$CU241,LocTable,8,FALSE),VLOOKUP($AT241&amp;"|"&amp;$CU241,LocTable,8,FALSE)+($BI241-$CU241)),$BI241-LockAFF)))</f>
        <v/>
      </c>
      <c r="CA241" s="89">
        <f>IF($BZ241="","",$BI241-$BZ241)</f>
        <v/>
      </c>
      <c r="CB241" s="84">
        <f>IF(OR(NOT(AND($A241&lt;&gt;"",$C241&lt;&gt;"DOOR ONLY")),$BI241=""),"",IF(($BI241+IF(N($P241)&gt;0,$P241+FaceW,0))&lt;=90,3,IF(($BI241+IF(N($P241)&gt;0,$P241+FaceW,0))&lt;=114,4,5)))</f>
        <v/>
      </c>
      <c r="CC241" s="84">
        <f>IF($CB241="","",$CB241*(2+IF(N($Q241)&gt;0,IF($R241="LR",2,1),0)))</f>
        <v/>
      </c>
      <c r="CD241" s="84">
        <f>IF($CB241="","",(2+IF(N($Q241)&gt;0,IF($R241="LR",2,1),0)))</f>
        <v/>
      </c>
      <c r="CE241" s="84">
        <f>IF(N($BJ241)=0,"",IF(OR($AL241="",$AL241="FLUSH"),"FLUSH",IFERROR(LEFT($AL241,FIND("-",$AL241)-1),LEFT($AL241,2))))</f>
        <v/>
      </c>
      <c r="CF241" s="84">
        <f>IF($CE241="","",IFERROR(VALUE(MID($AL241,FIND("-",$AL241)+1,FIND(CHAR(34)&amp;"x",$AL241)-FIND("-",$AL241)-1)),0))</f>
        <v/>
      </c>
      <c r="CG241" s="84">
        <f>IF($CE241="","",IFERROR(VALUE(MID($AL241,FIND(CHAR(34)&amp;"x",$AL241)+2,FIND(CHAR(34),$AL241,FIND(CHAR(34)&amp;"x",$AL241)+2)-FIND(CHAR(34)&amp;"x",$AL241)-2)),0))</f>
        <v/>
      </c>
      <c r="CH241" s="90">
        <f>IF(OR($A241="",$H241="",$H241="NO LAB"),0,IFERROR(VALUE(LEFT($H241,FIND(" ",$H241)-1)),0))</f>
        <v/>
      </c>
      <c r="CI241" s="91">
        <f>IF(OR($A241="",$I241="",$I241="NON-RATED",N($J241)=0),"",IFERROR(VLOOKUP($I241&amp;"|"&amp;$J241,IBC,2,FALSE),"?"))</f>
        <v/>
      </c>
      <c r="CJ241" s="85">
        <f>IF(NOT(AND($A241&lt;&gt;"",$C241&lt;&gt;"DOOR ONLY")),"",TRIM(IFERROR(VLOOKUP($U241,CODES,2,FALSE),"")&amp;" "&amp;$BG241&amp;" "&amp;IFERROR(VLOOKUP($Z241,CODES,2,FALSE),"")&amp;" "&amp;IFERROR(VLOOKUP($X241,CODES,2,FALSE),"")&amp;" "&amp;IFERROR(VLOOKUP($S241,CODES,2,FALSE),"")&amp;IF(N($P241)&gt;0," w/TRANSOM "&amp;$P241&amp;CHAR(34),"")&amp;IF(N($Q241)&gt;0," w/SIDELITE "&amp;$Q241&amp;CHAR(34)&amp;" "&amp;IF($R241="","R",$R241),"")&amp;IF($Y241="","  |  "," | "&amp;IFERROR(VLOOKUP($Y241,CODES,2,FALSE),"")&amp;" | ")&amp;IFERROR(VLOOKUP($AC241,CODES,2,FALSE),"")&amp;" "&amp;IFERROR(VLOOKUP($AD241,CODES,2,FALSE),"")&amp;IF(OR($AE241="",$AE241="-"),""," "&amp;$AE241)&amp;IF(OR($AF241="",$AF241="-"),""," "&amp;$AF241)&amp;IF($AB241="Y"," 4"&amp;CHAR(34)&amp;" HEAD","")&amp;" "&amp;IFERROR(VLOOKUP($H241,CODES,2,FALSE),"")&amp;IF($CT241," | LOC "&amp;$CY241,"")))</f>
        <v/>
      </c>
      <c r="CK241" s="85">
        <f>IF(NOT(AND($A241&lt;&gt;"",N($BJ241)&gt;0)),"",TRIM(IFERROR(VLOOKUP($AH241,CODES,2,FALSE),"")&amp;IF($AI241=""," "," "&amp;$AI241&amp;"GA ")&amp;$BG241&amp;" "&amp;IF($AN241="",IFERROR(VLOOKUP($Z241,CODES,2,FALSE),""),IFERROR(VLOOKUP($AN241,CODES,2,FALSE),""))&amp;IF($BJ241=2," PAIR","")&amp;" DOOR | "&amp;IF($AL241="","?",$AL241)&amp;" | "&amp;IF($AO241="",IFERROR(VLOOKUP($AC241,CODES,2,FALSE),""),IFERROR(VLOOKUP($AO241,CODES,2,FALSE),""))&amp;" "&amp;IFERROR(VLOOKUP($AP241,CODES,2,FALSE),"")&amp;IF(OR($AQ241="",$AQ241="-"),""," SEAM "&amp;$AQ241)&amp;IF($AR241="Y"," ASTRAGAL","")&amp;IF($AJ241=""," "," "&amp;$AJ241)&amp;IF($AK241=""," "," "&amp;$AK241)&amp;IF(OR($AT241="",$AT241="ANSI/SDI",$AT241="CUSTOM LOC"),""," "&amp;$AT241)&amp;IF($AM241=""," "," SERIES "&amp;$AM241)&amp;" "&amp;IFERROR(VLOOKUP($H241,CODES,2,FALSE),"")&amp;IF($CT241," | LOC "&amp;$CZ241,"")))</f>
        <v/>
      </c>
      <c r="CL241" s="84">
        <f>IF(CP241="","",IF(COUNTIF($CP$6:CP241,CP241)=1,MAX($CL$5:CL240)+1,INDEX($CL$5:CL240,MATCH(CP241,$CP$5:CP240,0))))</f>
        <v/>
      </c>
      <c r="CM241" s="84">
        <f>IF(NOT(AND($A241&lt;&gt;"",$C241&lt;&gt;"DOOR ONLY")),"",MAX($CM$5:CM240)+1)</f>
        <v/>
      </c>
      <c r="CN241" s="84">
        <f>IF(NOT(AND($A241&lt;&gt;"",N($BJ241)&gt;0)),"",MAX($CN$5:CN240)+1)</f>
        <v/>
      </c>
      <c r="CO241" s="84">
        <f>IF($A241="","",MAX($CO$5:CO240)+1)</f>
        <v/>
      </c>
      <c r="CP241" s="84">
        <f>IF(OR($A241="",$BH241="",$BI241=""),"",$BG241&amp;"|"&amp;$O241&amp;"|"&amp;$AL241&amp;"|"&amp;$S241&amp;"|"&amp;$P241&amp;"|"&amp;$Q241&amp;$R241&amp;"|"&amp;$C241&amp;"|"&amp;$AB241)</f>
        <v/>
      </c>
      <c r="CQ241" s="84">
        <f>N($BS241)</f>
        <v/>
      </c>
      <c r="CR241" s="84">
        <f>IF(N($AU241)&gt;0,N($AU241),4.5)</f>
        <v/>
      </c>
      <c r="CS241" s="84">
        <f>OR($A241="",$BI241="",$S241="BL",AND($C241="FRAME ONLY",OR($AC241="",$AC241="BLK")))</f>
        <v/>
      </c>
      <c r="CT241" s="84">
        <f>AND(NOT($CS241),OR($AT241="CUSTOM LOC",N($AW241)+N($AX241)+N($AY241)+N($AZ241)+N($BA241)&gt;0))</f>
        <v/>
      </c>
      <c r="CU241" s="84">
        <f>IF($BI241="","",IF($BI241&lt;=80,80,IF($BI241&lt;=84,84,96)))</f>
        <v/>
      </c>
      <c r="CV241" s="84">
        <f>ISNUMBER(MATCH($AT241&amp;"|80",LocKeys,0))</f>
        <v/>
      </c>
      <c r="CW241" s="86">
        <f>IF($CS241,"",IF($CV241,VLOOKUP($AT241&amp;"|"&amp;$CU241,LocTable,4,FALSE),5))</f>
        <v/>
      </c>
      <c r="CX241" s="86">
        <f>IF($CS241,"",IF($CV241,IF(OR($BI241=$CU241,AND($BI241&lt;$CU241,$BI241-IF(N(VLOOKUP($AT241&amp;"|"&amp;$CU241,LocTable,7,FALSE))&gt;0,VLOOKUP($AT241&amp;"|"&amp;$CU241,LocTable,7,FALSE),VLOOKUP($AT241&amp;"|"&amp;$CU241,LocTable,6,FALSE))-$CR241-0.75&gt;=2.125)),IF(N(VLOOKUP($AT241&amp;"|"&amp;$CU241,LocTable,7,FALSE))&gt;0,VLOOKUP($AT241&amp;"|"&amp;$CU241,LocTable,7,FALSE),VLOOKUP($AT241&amp;"|"&amp;$CU241,LocTable,6,FALSE)),$BI241-($CU241-IF(N(VLOOKUP($AT241&amp;"|"&amp;$CU241,LocTable,7,FALSE))&gt;0,VLOOKUP($AT241&amp;"|"&amp;$CU241,LocTable,7,FALSE),VLOOKUP($AT241&amp;"|"&amp;$CU241,LocTable,6,FALSE)))),$BI241-10-$CR241))</f>
        <v/>
      </c>
      <c r="CY241" s="85">
        <f>IF($CS241,"",TRIM(IF(ISNUMBER($BU241),"A "&amp;TRIM(TEXT($BU241,"# ?/??"))&amp;CHAR(34)&amp;"  ","")&amp;IF(ISNUMBER($BV241),"B "&amp;TRIM(TEXT($BV241,"# ?/??"))&amp;CHAR(34)&amp;"  ","")&amp;IF(ISNUMBER($BW241),"C "&amp;TRIM(TEXT($BW241,"# ?/??"))&amp;CHAR(34)&amp;"  ","")&amp;IF(ISNUMBER($BX241),"D "&amp;TRIM(TEXT($BX241,"# ?/??"))&amp;CHAR(34)&amp;"  ","")&amp;IF(ISNUMBER($BY241),"F "&amp;TRIM(TEXT($BY241,"# ?/??"))&amp;CHAR(34)&amp;"  ","")&amp;IF(ISNUMBER($BZ241),"E "&amp;TRIM(TEXT($BZ241,"# ?/??"))&amp;CHAR(34)&amp;"  ","")))</f>
        <v/>
      </c>
      <c r="CZ241" s="85">
        <f>IF(OR($CS241,N($BJ241)=0),"",TRIM(IF(ISNUMBER($BU241),"A "&amp;TRIM(TEXT($BU241-HeadClr,"# ?/??"))&amp;CHAR(34)&amp;"  ","")&amp;IF(ISNUMBER($BV241),"B "&amp;TRIM(TEXT($BV241-HeadClr,"# ?/??"))&amp;CHAR(34)&amp;"  ","")&amp;IF(ISNUMBER($BW241),"C "&amp;TRIM(TEXT($BW241-HeadClr,"# ?/??"))&amp;CHAR(34)&amp;"  ","")&amp;IF(ISNUMBER($BX241),"D "&amp;TRIM(TEXT($BX241-HeadClr,"# ?/??"))&amp;CHAR(34)&amp;"  ","")&amp;IF(ISNUMBER($BY241),"F "&amp;TRIM(TEXT($BY241-HeadClr,"# ?/??"))&amp;CHAR(34)&amp;"  ","")&amp;IF(ISNUMBER($BZ241),"E "&amp;TRIM(TEXT($BZ241-HeadClr,"# ?/??"))&amp;CHAR(34)&amp;"  ","")))</f>
        <v/>
      </c>
      <c r="DA241" s="84">
        <f>IF($A241="","",IF($AN241="",IFERROR(VLOOKUP($Z241,CODES,2,FALSE),""),IFERROR(VLOOKUP($AN241,CODES,2,FALSE),"")))</f>
        <v/>
      </c>
      <c r="DB241" s="84">
        <f>IF($A241="","",IF($O241="Y","PR",IF(OR($Z241="L",$Z241="RR",LEFT($Z241,2)="L-",LEFT($Z241,3)="RR-"),"LH","RH")))</f>
        <v/>
      </c>
      <c r="DC241" s="84">
        <f>IF($A241="","","S.HM"&amp;IF(OR($C241="DOOR ONLY",$X241&lt;&gt;"KD"),"MASONRY","DRYWALL")&amp;IF($C241="DOOR ONLY","",$U241)&amp;IF(AND($C241&lt;&gt;"FRAME ONLY",OR(LEFT($AH241,3)="OAK",LEFT($AH241,3)="BIR",LEFT($AH241,3)="MAP",$AH241="PC",$AH241="MC",$AH241="SCLC",$AH241="P-LAM")),"WD","HM")&amp;"1.75")</f>
        <v/>
      </c>
      <c r="DD241" s="84">
        <f>IF($CJ241="","",IF($O241="Y",$CJ241,SUBSTITUTE($CJ241,$BG241&amp;" "&amp;IFERROR(VLOOKUP($Z241,CODES,2,FALSE),"")&amp;" ",$BG241&amp;" ")))</f>
        <v/>
      </c>
      <c r="DE241" s="84">
        <f>IF($CK241="","",IF($O241="Y",$CK241,SUBSTITUTE($CK241,$BG241&amp;" "&amp;IF($AN241="",IFERROR(VLOOKUP($Z241,CODES,2,FALSE),""),IFERROR(VLOOKUP($AN241,CODES,2,FALSE),""))&amp;" ",$BG241&amp;" ")))</f>
        <v/>
      </c>
      <c r="DF241" s="84">
        <f>IF($CJ241="","",$DC241&amp;"|"&amp;$DD241&amp;"|"&amp;$DB241&amp;"|"&amp;$AT241&amp;"|"&amp;$V241&amp;"|"&amp;$Y241&amp;"|"&amp;$AB241)</f>
        <v/>
      </c>
      <c r="DG241" s="84">
        <f>IF(DF241="","",IF(COUNTIF($DF$6:DF241,DF241)=1,MAX($DG$5:DG240)+1,INDEX($DG$5:DG240,MATCH(DF241,$DF$5:DF240,0))))</f>
        <v/>
      </c>
      <c r="DH241" s="84">
        <f>IF($CK241="","",$DC241&amp;"|"&amp;$DE241&amp;"|"&amp;$AI241&amp;"|"&amp;$BK241&amp;"|"&amp;$BL241)</f>
        <v/>
      </c>
      <c r="DI241" s="84">
        <f>IF(DH241="","",IF(COUNTIF($DH$6:DH241,DH241)=1,MAX($DI$5:DI240)+1,INDEX($DI$5:DI240,MATCH(DH241,$DH$5:DH240,0))))</f>
        <v/>
      </c>
      <c r="DJ241" s="84">
        <f>IF($A241="","",IF($B241="","qty, ","")&amp;IF($C241="","scope, ","")&amp;IF(OR($K241="",$M241=""),"size, ","")&amp;IF(AND($A241&lt;&gt;"",$C241&lt;&gt;"DOOR ONLY"),IF($U241="","jamb depth, ","")&amp;IF($X241="","construction, ","")&amp;IF($Y241="","anchor, ","")&amp;IF($S241="","frame type, ",""),"")&amp;IF(AND(N($BJ241)&gt;0,$Z241=""),"hand, ","")&amp;IF(N($BJ241)&gt;0,IF($AH241="","door material, ","")&amp;IF($AL241="","face type, ","")&amp;IF($AP241="","lock prep, ","")&amp;IF(AND($AO241="",$AC241=""),"hinge prep, ",""),"")&amp;IF(AND($CH241&gt;0,$AH241="FRP"),"FRP cannot carry a label, ","")&amp;IF(AND($O241="Y",OR($Z241="L",$Z241="R",$Z241="LR",$Z241="RR")),"pair marked but hand is single, ","")&amp;IF(AND($O241&lt;&gt;"Y",OR($Z241="PR",AND(LEN($Z241)&gt;1,ISNUMBER(SEARCH("-",$Z241))))),"pair hand on a single door, ","")&amp;IF(AND(ISNUMBER($CI241),$CH241&lt;N($CI241)),"wall needs a "&amp;$CI241&amp;" min door, ","")&amp;IF(AND($CH241&gt;=180,AND(OR($CE241="FG",$CE241="HG",$CE241="FNV",$CE241="FV"),N($CF241)*N($CG241)&gt;100)),"180 min lite over 100 sq in, ","")&amp;IF(N($BK241)&gt;48,"leaf wider than 4'-0"&amp;CHAR(34)&amp;", ","")&amp;IF(AND($CT241,COUNT($AW241:$AZ241)=0,$CQ241&gt;0),"CUSTOM LOC with no locations typed, ",""))</f>
        <v/>
      </c>
      <c r="DK241" s="84">
        <f>IF($A241="","",IF(AND($CH241&gt;0,AND($A241&lt;&gt;"",$C241&lt;&gt;"DOOR ONLY"),$X241="KD",$E241="EXTERIOR"),"KD label on an exterior opening, ","")&amp;IF(AND($E241="EXTERIOR",OR(AND(AND($A241&lt;&gt;"",$C241&lt;&gt;"DOOR ONLY"),$W241="CR"),AND(N($BJ241)&gt;0,$AH241="CR"))),"exterior in CR steel (G9?), ","")&amp;IF(AND(ISNUMBER($BQ241),N($BQ241)&lt;32),"clear width ~"&amp;TEXT($BQ241,"0.0")&amp;CHAR(34)&amp;" under 32"&amp;CHAR(34)&amp;" (ADA), ","")&amp;IF(AND($CH241=90,AND(OR($CE241="FG",$CE241="HG",$CE241="FNV",$CE241="FV"),N($CF241)*N($CG241)&gt;100)),"90 min lite over 100 sq in (stair/exit), ","")&amp;IF(AND($CH241&gt;0,AND($A241&lt;&gt;"",$C241&lt;&gt;"DOOR ONLY"),OR($AF241="",$AF241="-")),"rated: closer reinf.?, ","")&amp;IF(OR($I241="CORRIDOR",$I241="SMOKE BARRIER"),"S label + smoke gasketing, ","")&amp;IF($CI241="?","wall type/hr not in IBC table, ","")&amp;IF(AND(N($BJ241)&gt;0,$BB241=""),"no hardware set, ","")&amp;IF(AND($BB241&lt;&gt;"",ISNA(MATCH($BB241&amp;"",HWSets,0))),"set "&amp;$BB241&amp;" not on HW Sets, ","")&amp;IF(N($BL241)&gt;96,"leaf over 8'-0"&amp;CHAR(34)&amp;" - check listing, ","")&amp;IF(AND($CT241,COUNT($AW241:$AZ241)&gt;0,COUNT($AW241:$AZ241)&lt;&gt;$CQ241),COUNT($AW241:$AZ241)&amp;" custom hinges typed, "&amp;$CQ241&amp;" expected, ","")&amp;IF(AND(ISNUMBER($CA241),OR(N($CA241)&lt;34,N($CA241)&gt;48)),"lock "&amp;TEXT($CA241,"0.0")&amp;CHAR(34)&amp;" AFF outside 34-48"&amp;CHAR(34)&amp;" (ADA), ","")&amp;IF(AND(ISNUMBER($AV241),ISNUMBER($BL241),N($AV241)&lt;IF(N($BL241)&lt;=60,2,IF(N($BL241)&lt;=90,3,IF(N($BL241)&lt;=120,4,5)))),"fewer hinges than standard, ",""))</f>
        <v/>
      </c>
    </row>
    <row r="242" ht="15" customHeight="1">
      <c r="A242" s="77" t="n"/>
      <c r="B242" s="78" t="n"/>
      <c r="C242" s="78" t="n"/>
      <c r="D242" s="78" t="n"/>
      <c r="E242" s="78" t="n"/>
      <c r="F242" s="78" t="n"/>
      <c r="G242" s="78" t="n"/>
      <c r="H242" s="78" t="n"/>
      <c r="I242" s="78" t="n"/>
      <c r="J242" s="78" t="n"/>
      <c r="K242" s="78" t="n"/>
      <c r="L242" s="78" t="n"/>
      <c r="M242" s="78" t="n"/>
      <c r="N242" s="78" t="n"/>
      <c r="O242" s="78" t="n"/>
      <c r="P242" s="78" t="n"/>
      <c r="Q242" s="78" t="n"/>
      <c r="R242" s="78" t="n"/>
      <c r="S242" s="79" t="n"/>
      <c r="T242" s="79" t="n"/>
      <c r="U242" s="79" t="n"/>
      <c r="V242" s="79" t="n"/>
      <c r="W242" s="79" t="n"/>
      <c r="X242" s="79" t="n"/>
      <c r="Y242" s="79" t="n"/>
      <c r="Z242" s="79" t="n"/>
      <c r="AA242" s="79" t="n"/>
      <c r="AB242" s="79" t="n"/>
      <c r="AC242" s="79" t="n"/>
      <c r="AD242" s="79" t="n"/>
      <c r="AE242" s="79" t="n"/>
      <c r="AF242" s="79" t="n"/>
      <c r="AG242" s="79" t="n"/>
      <c r="AH242" s="80" t="n"/>
      <c r="AI242" s="80" t="n"/>
      <c r="AJ242" s="80" t="n"/>
      <c r="AK242" s="80" t="n"/>
      <c r="AL242" s="80" t="n"/>
      <c r="AM242" s="80" t="n"/>
      <c r="AN242" s="80" t="n"/>
      <c r="AO242" s="80" t="n"/>
      <c r="AP242" s="80" t="n"/>
      <c r="AQ242" s="80" t="n"/>
      <c r="AR242" s="80" t="n"/>
      <c r="AS242" s="80" t="n"/>
      <c r="AT242" s="81" t="n"/>
      <c r="AU242" s="81" t="n"/>
      <c r="AV242" s="81" t="n"/>
      <c r="AW242" s="82" t="n"/>
      <c r="AX242" s="82" t="n"/>
      <c r="AY242" s="82" t="n"/>
      <c r="AZ242" s="82" t="n"/>
      <c r="BA242" s="82" t="n"/>
      <c r="BB242" s="83" t="n"/>
      <c r="BC242" s="83" t="n"/>
      <c r="BD242" s="84">
        <f>IF($A242="","",IF($DJ242&lt;&gt;"","FIX",IF($DK242&lt;&gt;"","CHECK","OK")))</f>
        <v/>
      </c>
      <c r="BE242" s="85">
        <f>IF($A242="","",IF($DJ242&lt;&gt;"","FIX: "&amp;LEFT($DJ242,LEN($DJ242)-2)&amp;IF($DK242&lt;&gt;"","  ·  ",""),"")&amp;IF($DK242&lt;&gt;"","CHECK: "&amp;LEFT($DK242,LEN($DK242)-2),""))</f>
        <v/>
      </c>
      <c r="BF242" s="84">
        <f>IF(OR($A242="",$K242=""),"",$K242&amp;"'-"&amp;N($L242)&amp;CHAR(34)&amp;" x "&amp;$M242&amp;"'-"&amp;N($N242)&amp;CHAR(34))</f>
        <v/>
      </c>
      <c r="BG242" s="84">
        <f>IF(OR($A242="",$K242=""),"",$K242&amp;N($L242)&amp;$M242&amp;N($N242))</f>
        <v/>
      </c>
      <c r="BH242" s="84">
        <f>IF(OR($A242="",$K242=""),"",$K242*12+N($L242))</f>
        <v/>
      </c>
      <c r="BI242" s="84">
        <f>IF(OR($A242="",$M242=""),"",$M242*12+N($N242))</f>
        <v/>
      </c>
      <c r="BJ242" s="84">
        <f>IF($A242="","",IF(OR($C242="FRAME ONLY",$S242="BL"),0,IF($O242="Y",2,1)))</f>
        <v/>
      </c>
      <c r="BK242" s="86">
        <f>IF(OR(N($BJ242)=0,$BH242=""),"",($BH242-2*EdgeClr-IF($BJ242=2,MeetClr,0))/$BJ242)</f>
        <v/>
      </c>
      <c r="BL242" s="86">
        <f>IF(OR(N($BJ242)=0,$BI242=""),"",$BI242-HeadClr-Undercut)</f>
        <v/>
      </c>
      <c r="BM242" s="86">
        <f>IF($BH242="","",$BH242+2*FaceW+IF(N($Q242)&gt;0,($Q242+FaceW)*IF($R242="LR",2,1),0))</f>
        <v/>
      </c>
      <c r="BN242" s="86">
        <f>IF($BI242="","",$BI242+IF($AB242="Y",4,FaceW)+IF(N($P242)&gt;0,$P242+FaceW,0)+IF(OR($S242="4F",$S242="BL"),FaceW,0))</f>
        <v/>
      </c>
      <c r="BO242" s="86">
        <f>IF($BM242="","",$BM242+2*ROSide)</f>
        <v/>
      </c>
      <c r="BP242" s="86">
        <f>IF($BN242="","",$BN242+ROTop)</f>
        <v/>
      </c>
      <c r="BQ242" s="87">
        <f>IF(OR(N($BJ242)=0,$BH242=""),"",$BH242/$BJ242-ClearDeduct)</f>
        <v/>
      </c>
      <c r="BR242" s="84">
        <f>IF(N($CH242)=0,"",IF($CH242&gt;=180,"A · 3 HR",IF($CH242&gt;=90,"B · 1-1/2 HR",IF($CH242&gt;=60,"B · 1 HR",IF($CH242&gt;=45,"C · 3/4 HR","20 MIN")))))&amp;IF(AND(N($CH242)&gt;0,OR($I242="CORRIDOR",$I242="SMOKE BARRIER"))," · S","")</f>
        <v/>
      </c>
      <c r="BS242" s="84">
        <f>IF($CS242,"",IF($AV242&lt;&gt;"",$AV242,IF(OR($AC242="HGC",$AO242="HGC"),"CONT",IF(($BI242-HeadClr-Undercut)&lt;=60,2,IF(($BI242-HeadClr-Undercut)&lt;=90,3,IF(($BI242-HeadClr-Undercut)&lt;=120,4,5))))))</f>
        <v/>
      </c>
      <c r="BT242" s="84">
        <f>IF($CS242,"",IF($CT242,"CUSTOM (typed)",IF($CV242,$AT242&amp;" "&amp;$CU242&amp;CHAR(34)&amp;IF($CU242&lt;&gt;$BI242,IF(AND($BI242&lt;$CU242,$BI242-IF(N(VLOOKUP($AT242&amp;"|"&amp;$CU242,LocTable,7,FALSE))&gt;0,VLOOKUP($AT242&amp;"|"&amp;$CU242,LocTable,7,FALSE),VLOOKUP($AT242&amp;"|"&amp;$CU242,LocTable,6,FALSE))-$CR242-0.75&gt;=2.125)," cut down"," adj."),""),"ANSI/SDI A250.6")))</f>
        <v/>
      </c>
      <c r="BU242" s="88">
        <f>IF($CS242,"",IF($CT242,IF(N($AW242)&gt;0,N($AW242),""),IF(1&gt;$CQ242,"",IF($CQ242=1,$CW242,$CW242+($CX242-$CW242)*0/($CQ242-1)))))</f>
        <v/>
      </c>
      <c r="BV242" s="88">
        <f>IF($CS242,"",IF($CT242,IF(N($AX242)&gt;0,N($AX242),""),IF(2&gt;$CQ242,"",IF($CQ242=1,$CW242,$CW242+($CX242-$CW242)*1/($CQ242-1)))))</f>
        <v/>
      </c>
      <c r="BW242" s="88">
        <f>IF($CS242,"",IF($CT242,IF(N($AY242)&gt;0,N($AY242),""),IF(3&gt;$CQ242,"",IF($CQ242=1,$CW242,$CW242+($CX242-$CW242)*2/($CQ242-1)))))</f>
        <v/>
      </c>
      <c r="BX242" s="88">
        <f>IF($CS242,"",IF($CT242,IF(N($AZ242)&gt;0,N($AZ242),""),IF(4&gt;$CQ242,"",IF($CQ242=1,$CW242,$CW242+($CX242-$CW242)*3/($CQ242-1)))))</f>
        <v/>
      </c>
      <c r="BY242" s="88">
        <f>IF($CS242,"",IF($CT242,"",IF(5&gt;$CQ242,"",IF($CQ242=1,$CW242,$CW242+($CX242-$CW242)*4/($CQ242-1)))))</f>
        <v/>
      </c>
      <c r="BZ242" s="88">
        <f>IF(OR($CS242,$AP242="-",AND($AP242="",$AD242="")),"",IF(N($BA242)&gt;0,N($BA242),IF($CV242,IF(AND($BI242&lt;$CU242,$BI242-IF(N(VLOOKUP($AT242&amp;"|"&amp;$CU242,LocTable,7,FALSE))&gt;0,VLOOKUP($AT242&amp;"|"&amp;$CU242,LocTable,7,FALSE),VLOOKUP($AT242&amp;"|"&amp;$CU242,LocTable,6,FALSE))-$CR242-0.75&gt;=2.125),VLOOKUP($AT242&amp;"|"&amp;$CU242,LocTable,8,FALSE),VLOOKUP($AT242&amp;"|"&amp;$CU242,LocTable,8,FALSE)+($BI242-$CU242)),$BI242-LockAFF)))</f>
        <v/>
      </c>
      <c r="CA242" s="89">
        <f>IF($BZ242="","",$BI242-$BZ242)</f>
        <v/>
      </c>
      <c r="CB242" s="84">
        <f>IF(OR(NOT(AND($A242&lt;&gt;"",$C242&lt;&gt;"DOOR ONLY")),$BI242=""),"",IF(($BI242+IF(N($P242)&gt;0,$P242+FaceW,0))&lt;=90,3,IF(($BI242+IF(N($P242)&gt;0,$P242+FaceW,0))&lt;=114,4,5)))</f>
        <v/>
      </c>
      <c r="CC242" s="84">
        <f>IF($CB242="","",$CB242*(2+IF(N($Q242)&gt;0,IF($R242="LR",2,1),0)))</f>
        <v/>
      </c>
      <c r="CD242" s="84">
        <f>IF($CB242="","",(2+IF(N($Q242)&gt;0,IF($R242="LR",2,1),0)))</f>
        <v/>
      </c>
      <c r="CE242" s="84">
        <f>IF(N($BJ242)=0,"",IF(OR($AL242="",$AL242="FLUSH"),"FLUSH",IFERROR(LEFT($AL242,FIND("-",$AL242)-1),LEFT($AL242,2))))</f>
        <v/>
      </c>
      <c r="CF242" s="84">
        <f>IF($CE242="","",IFERROR(VALUE(MID($AL242,FIND("-",$AL242)+1,FIND(CHAR(34)&amp;"x",$AL242)-FIND("-",$AL242)-1)),0))</f>
        <v/>
      </c>
      <c r="CG242" s="84">
        <f>IF($CE242="","",IFERROR(VALUE(MID($AL242,FIND(CHAR(34)&amp;"x",$AL242)+2,FIND(CHAR(34),$AL242,FIND(CHAR(34)&amp;"x",$AL242)+2)-FIND(CHAR(34)&amp;"x",$AL242)-2)),0))</f>
        <v/>
      </c>
      <c r="CH242" s="90">
        <f>IF(OR($A242="",$H242="",$H242="NO LAB"),0,IFERROR(VALUE(LEFT($H242,FIND(" ",$H242)-1)),0))</f>
        <v/>
      </c>
      <c r="CI242" s="91">
        <f>IF(OR($A242="",$I242="",$I242="NON-RATED",N($J242)=0),"",IFERROR(VLOOKUP($I242&amp;"|"&amp;$J242,IBC,2,FALSE),"?"))</f>
        <v/>
      </c>
      <c r="CJ242" s="85">
        <f>IF(NOT(AND($A242&lt;&gt;"",$C242&lt;&gt;"DOOR ONLY")),"",TRIM(IFERROR(VLOOKUP($U242,CODES,2,FALSE),"")&amp;" "&amp;$BG242&amp;" "&amp;IFERROR(VLOOKUP($Z242,CODES,2,FALSE),"")&amp;" "&amp;IFERROR(VLOOKUP($X242,CODES,2,FALSE),"")&amp;" "&amp;IFERROR(VLOOKUP($S242,CODES,2,FALSE),"")&amp;IF(N($P242)&gt;0," w/TRANSOM "&amp;$P242&amp;CHAR(34),"")&amp;IF(N($Q242)&gt;0," w/SIDELITE "&amp;$Q242&amp;CHAR(34)&amp;" "&amp;IF($R242="","R",$R242),"")&amp;IF($Y242="","  |  "," | "&amp;IFERROR(VLOOKUP($Y242,CODES,2,FALSE),"")&amp;" | ")&amp;IFERROR(VLOOKUP($AC242,CODES,2,FALSE),"")&amp;" "&amp;IFERROR(VLOOKUP($AD242,CODES,2,FALSE),"")&amp;IF(OR($AE242="",$AE242="-"),""," "&amp;$AE242)&amp;IF(OR($AF242="",$AF242="-"),""," "&amp;$AF242)&amp;IF($AB242="Y"," 4"&amp;CHAR(34)&amp;" HEAD","")&amp;" "&amp;IFERROR(VLOOKUP($H242,CODES,2,FALSE),"")&amp;IF($CT242," | LOC "&amp;$CY242,"")))</f>
        <v/>
      </c>
      <c r="CK242" s="85">
        <f>IF(NOT(AND($A242&lt;&gt;"",N($BJ242)&gt;0)),"",TRIM(IFERROR(VLOOKUP($AH242,CODES,2,FALSE),"")&amp;IF($AI242=""," "," "&amp;$AI242&amp;"GA ")&amp;$BG242&amp;" "&amp;IF($AN242="",IFERROR(VLOOKUP($Z242,CODES,2,FALSE),""),IFERROR(VLOOKUP($AN242,CODES,2,FALSE),""))&amp;IF($BJ242=2," PAIR","")&amp;" DOOR | "&amp;IF($AL242="","?",$AL242)&amp;" | "&amp;IF($AO242="",IFERROR(VLOOKUP($AC242,CODES,2,FALSE),""),IFERROR(VLOOKUP($AO242,CODES,2,FALSE),""))&amp;" "&amp;IFERROR(VLOOKUP($AP242,CODES,2,FALSE),"")&amp;IF(OR($AQ242="",$AQ242="-"),""," SEAM "&amp;$AQ242)&amp;IF($AR242="Y"," ASTRAGAL","")&amp;IF($AJ242=""," "," "&amp;$AJ242)&amp;IF($AK242=""," "," "&amp;$AK242)&amp;IF(OR($AT242="",$AT242="ANSI/SDI",$AT242="CUSTOM LOC"),""," "&amp;$AT242)&amp;IF($AM242=""," "," SERIES "&amp;$AM242)&amp;" "&amp;IFERROR(VLOOKUP($H242,CODES,2,FALSE),"")&amp;IF($CT242," | LOC "&amp;$CZ242,"")))</f>
        <v/>
      </c>
      <c r="CL242" s="84">
        <f>IF(CP242="","",IF(COUNTIF($CP$6:CP242,CP242)=1,MAX($CL$5:CL241)+1,INDEX($CL$5:CL241,MATCH(CP242,$CP$5:CP241,0))))</f>
        <v/>
      </c>
      <c r="CM242" s="84">
        <f>IF(NOT(AND($A242&lt;&gt;"",$C242&lt;&gt;"DOOR ONLY")),"",MAX($CM$5:CM241)+1)</f>
        <v/>
      </c>
      <c r="CN242" s="84">
        <f>IF(NOT(AND($A242&lt;&gt;"",N($BJ242)&gt;0)),"",MAX($CN$5:CN241)+1)</f>
        <v/>
      </c>
      <c r="CO242" s="84">
        <f>IF($A242="","",MAX($CO$5:CO241)+1)</f>
        <v/>
      </c>
      <c r="CP242" s="84">
        <f>IF(OR($A242="",$BH242="",$BI242=""),"",$BG242&amp;"|"&amp;$O242&amp;"|"&amp;$AL242&amp;"|"&amp;$S242&amp;"|"&amp;$P242&amp;"|"&amp;$Q242&amp;$R242&amp;"|"&amp;$C242&amp;"|"&amp;$AB242)</f>
        <v/>
      </c>
      <c r="CQ242" s="84">
        <f>N($BS242)</f>
        <v/>
      </c>
      <c r="CR242" s="84">
        <f>IF(N($AU242)&gt;0,N($AU242),4.5)</f>
        <v/>
      </c>
      <c r="CS242" s="84">
        <f>OR($A242="",$BI242="",$S242="BL",AND($C242="FRAME ONLY",OR($AC242="",$AC242="BLK")))</f>
        <v/>
      </c>
      <c r="CT242" s="84">
        <f>AND(NOT($CS242),OR($AT242="CUSTOM LOC",N($AW242)+N($AX242)+N($AY242)+N($AZ242)+N($BA242)&gt;0))</f>
        <v/>
      </c>
      <c r="CU242" s="84">
        <f>IF($BI242="","",IF($BI242&lt;=80,80,IF($BI242&lt;=84,84,96)))</f>
        <v/>
      </c>
      <c r="CV242" s="84">
        <f>ISNUMBER(MATCH($AT242&amp;"|80",LocKeys,0))</f>
        <v/>
      </c>
      <c r="CW242" s="86">
        <f>IF($CS242,"",IF($CV242,VLOOKUP($AT242&amp;"|"&amp;$CU242,LocTable,4,FALSE),5))</f>
        <v/>
      </c>
      <c r="CX242" s="86">
        <f>IF($CS242,"",IF($CV242,IF(OR($BI242=$CU242,AND($BI242&lt;$CU242,$BI242-IF(N(VLOOKUP($AT242&amp;"|"&amp;$CU242,LocTable,7,FALSE))&gt;0,VLOOKUP($AT242&amp;"|"&amp;$CU242,LocTable,7,FALSE),VLOOKUP($AT242&amp;"|"&amp;$CU242,LocTable,6,FALSE))-$CR242-0.75&gt;=2.125)),IF(N(VLOOKUP($AT242&amp;"|"&amp;$CU242,LocTable,7,FALSE))&gt;0,VLOOKUP($AT242&amp;"|"&amp;$CU242,LocTable,7,FALSE),VLOOKUP($AT242&amp;"|"&amp;$CU242,LocTable,6,FALSE)),$BI242-($CU242-IF(N(VLOOKUP($AT242&amp;"|"&amp;$CU242,LocTable,7,FALSE))&gt;0,VLOOKUP($AT242&amp;"|"&amp;$CU242,LocTable,7,FALSE),VLOOKUP($AT242&amp;"|"&amp;$CU242,LocTable,6,FALSE)))),$BI242-10-$CR242))</f>
        <v/>
      </c>
      <c r="CY242" s="85">
        <f>IF($CS242,"",TRIM(IF(ISNUMBER($BU242),"A "&amp;TRIM(TEXT($BU242,"# ?/??"))&amp;CHAR(34)&amp;"  ","")&amp;IF(ISNUMBER($BV242),"B "&amp;TRIM(TEXT($BV242,"# ?/??"))&amp;CHAR(34)&amp;"  ","")&amp;IF(ISNUMBER($BW242),"C "&amp;TRIM(TEXT($BW242,"# ?/??"))&amp;CHAR(34)&amp;"  ","")&amp;IF(ISNUMBER($BX242),"D "&amp;TRIM(TEXT($BX242,"# ?/??"))&amp;CHAR(34)&amp;"  ","")&amp;IF(ISNUMBER($BY242),"F "&amp;TRIM(TEXT($BY242,"# ?/??"))&amp;CHAR(34)&amp;"  ","")&amp;IF(ISNUMBER($BZ242),"E "&amp;TRIM(TEXT($BZ242,"# ?/??"))&amp;CHAR(34)&amp;"  ","")))</f>
        <v/>
      </c>
      <c r="CZ242" s="85">
        <f>IF(OR($CS242,N($BJ242)=0),"",TRIM(IF(ISNUMBER($BU242),"A "&amp;TRIM(TEXT($BU242-HeadClr,"# ?/??"))&amp;CHAR(34)&amp;"  ","")&amp;IF(ISNUMBER($BV242),"B "&amp;TRIM(TEXT($BV242-HeadClr,"# ?/??"))&amp;CHAR(34)&amp;"  ","")&amp;IF(ISNUMBER($BW242),"C "&amp;TRIM(TEXT($BW242-HeadClr,"# ?/??"))&amp;CHAR(34)&amp;"  ","")&amp;IF(ISNUMBER($BX242),"D "&amp;TRIM(TEXT($BX242-HeadClr,"# ?/??"))&amp;CHAR(34)&amp;"  ","")&amp;IF(ISNUMBER($BY242),"F "&amp;TRIM(TEXT($BY242-HeadClr,"# ?/??"))&amp;CHAR(34)&amp;"  ","")&amp;IF(ISNUMBER($BZ242),"E "&amp;TRIM(TEXT($BZ242-HeadClr,"# ?/??"))&amp;CHAR(34)&amp;"  ","")))</f>
        <v/>
      </c>
      <c r="DA242" s="84">
        <f>IF($A242="","",IF($AN242="",IFERROR(VLOOKUP($Z242,CODES,2,FALSE),""),IFERROR(VLOOKUP($AN242,CODES,2,FALSE),"")))</f>
        <v/>
      </c>
      <c r="DB242" s="84">
        <f>IF($A242="","",IF($O242="Y","PR",IF(OR($Z242="L",$Z242="RR",LEFT($Z242,2)="L-",LEFT($Z242,3)="RR-"),"LH","RH")))</f>
        <v/>
      </c>
      <c r="DC242" s="84">
        <f>IF($A242="","","S.HM"&amp;IF(OR($C242="DOOR ONLY",$X242&lt;&gt;"KD"),"MASONRY","DRYWALL")&amp;IF($C242="DOOR ONLY","",$U242)&amp;IF(AND($C242&lt;&gt;"FRAME ONLY",OR(LEFT($AH242,3)="OAK",LEFT($AH242,3)="BIR",LEFT($AH242,3)="MAP",$AH242="PC",$AH242="MC",$AH242="SCLC",$AH242="P-LAM")),"WD","HM")&amp;"1.75")</f>
        <v/>
      </c>
      <c r="DD242" s="84">
        <f>IF($CJ242="","",IF($O242="Y",$CJ242,SUBSTITUTE($CJ242,$BG242&amp;" "&amp;IFERROR(VLOOKUP($Z242,CODES,2,FALSE),"")&amp;" ",$BG242&amp;" ")))</f>
        <v/>
      </c>
      <c r="DE242" s="84">
        <f>IF($CK242="","",IF($O242="Y",$CK242,SUBSTITUTE($CK242,$BG242&amp;" "&amp;IF($AN242="",IFERROR(VLOOKUP($Z242,CODES,2,FALSE),""),IFERROR(VLOOKUP($AN242,CODES,2,FALSE),""))&amp;" ",$BG242&amp;" ")))</f>
        <v/>
      </c>
      <c r="DF242" s="84">
        <f>IF($CJ242="","",$DC242&amp;"|"&amp;$DD242&amp;"|"&amp;$DB242&amp;"|"&amp;$AT242&amp;"|"&amp;$V242&amp;"|"&amp;$Y242&amp;"|"&amp;$AB242)</f>
        <v/>
      </c>
      <c r="DG242" s="84">
        <f>IF(DF242="","",IF(COUNTIF($DF$6:DF242,DF242)=1,MAX($DG$5:DG241)+1,INDEX($DG$5:DG241,MATCH(DF242,$DF$5:DF241,0))))</f>
        <v/>
      </c>
      <c r="DH242" s="84">
        <f>IF($CK242="","",$DC242&amp;"|"&amp;$DE242&amp;"|"&amp;$AI242&amp;"|"&amp;$BK242&amp;"|"&amp;$BL242)</f>
        <v/>
      </c>
      <c r="DI242" s="84">
        <f>IF(DH242="","",IF(COUNTIF($DH$6:DH242,DH242)=1,MAX($DI$5:DI241)+1,INDEX($DI$5:DI241,MATCH(DH242,$DH$5:DH241,0))))</f>
        <v/>
      </c>
      <c r="DJ242" s="84">
        <f>IF($A242="","",IF($B242="","qty, ","")&amp;IF($C242="","scope, ","")&amp;IF(OR($K242="",$M242=""),"size, ","")&amp;IF(AND($A242&lt;&gt;"",$C242&lt;&gt;"DOOR ONLY"),IF($U242="","jamb depth, ","")&amp;IF($X242="","construction, ","")&amp;IF($Y242="","anchor, ","")&amp;IF($S242="","frame type, ",""),"")&amp;IF(AND(N($BJ242)&gt;0,$Z242=""),"hand, ","")&amp;IF(N($BJ242)&gt;0,IF($AH242="","door material, ","")&amp;IF($AL242="","face type, ","")&amp;IF($AP242="","lock prep, ","")&amp;IF(AND($AO242="",$AC242=""),"hinge prep, ",""),"")&amp;IF(AND($CH242&gt;0,$AH242="FRP"),"FRP cannot carry a label, ","")&amp;IF(AND($O242="Y",OR($Z242="L",$Z242="R",$Z242="LR",$Z242="RR")),"pair marked but hand is single, ","")&amp;IF(AND($O242&lt;&gt;"Y",OR($Z242="PR",AND(LEN($Z242)&gt;1,ISNUMBER(SEARCH("-",$Z242))))),"pair hand on a single door, ","")&amp;IF(AND(ISNUMBER($CI242),$CH242&lt;N($CI242)),"wall needs a "&amp;$CI242&amp;" min door, ","")&amp;IF(AND($CH242&gt;=180,AND(OR($CE242="FG",$CE242="HG",$CE242="FNV",$CE242="FV"),N($CF242)*N($CG242)&gt;100)),"180 min lite over 100 sq in, ","")&amp;IF(N($BK242)&gt;48,"leaf wider than 4'-0"&amp;CHAR(34)&amp;", ","")&amp;IF(AND($CT242,COUNT($AW242:$AZ242)=0,$CQ242&gt;0),"CUSTOM LOC with no locations typed, ",""))</f>
        <v/>
      </c>
      <c r="DK242" s="84">
        <f>IF($A242="","",IF(AND($CH242&gt;0,AND($A242&lt;&gt;"",$C242&lt;&gt;"DOOR ONLY"),$X242="KD",$E242="EXTERIOR"),"KD label on an exterior opening, ","")&amp;IF(AND($E242="EXTERIOR",OR(AND(AND($A242&lt;&gt;"",$C242&lt;&gt;"DOOR ONLY"),$W242="CR"),AND(N($BJ242)&gt;0,$AH242="CR"))),"exterior in CR steel (G9?), ","")&amp;IF(AND(ISNUMBER($BQ242),N($BQ242)&lt;32),"clear width ~"&amp;TEXT($BQ242,"0.0")&amp;CHAR(34)&amp;" under 32"&amp;CHAR(34)&amp;" (ADA), ","")&amp;IF(AND($CH242=90,AND(OR($CE242="FG",$CE242="HG",$CE242="FNV",$CE242="FV"),N($CF242)*N($CG242)&gt;100)),"90 min lite over 100 sq in (stair/exit), ","")&amp;IF(AND($CH242&gt;0,AND($A242&lt;&gt;"",$C242&lt;&gt;"DOOR ONLY"),OR($AF242="",$AF242="-")),"rated: closer reinf.?, ","")&amp;IF(OR($I242="CORRIDOR",$I242="SMOKE BARRIER"),"S label + smoke gasketing, ","")&amp;IF($CI242="?","wall type/hr not in IBC table, ","")&amp;IF(AND(N($BJ242)&gt;0,$BB242=""),"no hardware set, ","")&amp;IF(AND($BB242&lt;&gt;"",ISNA(MATCH($BB242&amp;"",HWSets,0))),"set "&amp;$BB242&amp;" not on HW Sets, ","")&amp;IF(N($BL242)&gt;96,"leaf over 8'-0"&amp;CHAR(34)&amp;" - check listing, ","")&amp;IF(AND($CT242,COUNT($AW242:$AZ242)&gt;0,COUNT($AW242:$AZ242)&lt;&gt;$CQ242),COUNT($AW242:$AZ242)&amp;" custom hinges typed, "&amp;$CQ242&amp;" expected, ","")&amp;IF(AND(ISNUMBER($CA242),OR(N($CA242)&lt;34,N($CA242)&gt;48)),"lock "&amp;TEXT($CA242,"0.0")&amp;CHAR(34)&amp;" AFF outside 34-48"&amp;CHAR(34)&amp;" (ADA), ","")&amp;IF(AND(ISNUMBER($AV242),ISNUMBER($BL242),N($AV242)&lt;IF(N($BL242)&lt;=60,2,IF(N($BL242)&lt;=90,3,IF(N($BL242)&lt;=120,4,5)))),"fewer hinges than standard, ",""))</f>
        <v/>
      </c>
    </row>
    <row r="243" ht="15" customHeight="1">
      <c r="A243" s="77" t="n"/>
      <c r="B243" s="78" t="n"/>
      <c r="C243" s="78" t="n"/>
      <c r="D243" s="78" t="n"/>
      <c r="E243" s="78" t="n"/>
      <c r="F243" s="78" t="n"/>
      <c r="G243" s="78" t="n"/>
      <c r="H243" s="78" t="n"/>
      <c r="I243" s="78" t="n"/>
      <c r="J243" s="78" t="n"/>
      <c r="K243" s="78" t="n"/>
      <c r="L243" s="78" t="n"/>
      <c r="M243" s="78" t="n"/>
      <c r="N243" s="78" t="n"/>
      <c r="O243" s="78" t="n"/>
      <c r="P243" s="78" t="n"/>
      <c r="Q243" s="78" t="n"/>
      <c r="R243" s="78" t="n"/>
      <c r="S243" s="79" t="n"/>
      <c r="T243" s="79" t="n"/>
      <c r="U243" s="79" t="n"/>
      <c r="V243" s="79" t="n"/>
      <c r="W243" s="79" t="n"/>
      <c r="X243" s="79" t="n"/>
      <c r="Y243" s="79" t="n"/>
      <c r="Z243" s="79" t="n"/>
      <c r="AA243" s="79" t="n"/>
      <c r="AB243" s="79" t="n"/>
      <c r="AC243" s="79" t="n"/>
      <c r="AD243" s="79" t="n"/>
      <c r="AE243" s="79" t="n"/>
      <c r="AF243" s="79" t="n"/>
      <c r="AG243" s="79" t="n"/>
      <c r="AH243" s="80" t="n"/>
      <c r="AI243" s="80" t="n"/>
      <c r="AJ243" s="80" t="n"/>
      <c r="AK243" s="80" t="n"/>
      <c r="AL243" s="80" t="n"/>
      <c r="AM243" s="80" t="n"/>
      <c r="AN243" s="80" t="n"/>
      <c r="AO243" s="80" t="n"/>
      <c r="AP243" s="80" t="n"/>
      <c r="AQ243" s="80" t="n"/>
      <c r="AR243" s="80" t="n"/>
      <c r="AS243" s="80" t="n"/>
      <c r="AT243" s="81" t="n"/>
      <c r="AU243" s="81" t="n"/>
      <c r="AV243" s="81" t="n"/>
      <c r="AW243" s="82" t="n"/>
      <c r="AX243" s="82" t="n"/>
      <c r="AY243" s="82" t="n"/>
      <c r="AZ243" s="82" t="n"/>
      <c r="BA243" s="82" t="n"/>
      <c r="BB243" s="83" t="n"/>
      <c r="BC243" s="83" t="n"/>
      <c r="BD243" s="84">
        <f>IF($A243="","",IF($DJ243&lt;&gt;"","FIX",IF($DK243&lt;&gt;"","CHECK","OK")))</f>
        <v/>
      </c>
      <c r="BE243" s="85">
        <f>IF($A243="","",IF($DJ243&lt;&gt;"","FIX: "&amp;LEFT($DJ243,LEN($DJ243)-2)&amp;IF($DK243&lt;&gt;"","  ·  ",""),"")&amp;IF($DK243&lt;&gt;"","CHECK: "&amp;LEFT($DK243,LEN($DK243)-2),""))</f>
        <v/>
      </c>
      <c r="BF243" s="84">
        <f>IF(OR($A243="",$K243=""),"",$K243&amp;"'-"&amp;N($L243)&amp;CHAR(34)&amp;" x "&amp;$M243&amp;"'-"&amp;N($N243)&amp;CHAR(34))</f>
        <v/>
      </c>
      <c r="BG243" s="84">
        <f>IF(OR($A243="",$K243=""),"",$K243&amp;N($L243)&amp;$M243&amp;N($N243))</f>
        <v/>
      </c>
      <c r="BH243" s="84">
        <f>IF(OR($A243="",$K243=""),"",$K243*12+N($L243))</f>
        <v/>
      </c>
      <c r="BI243" s="84">
        <f>IF(OR($A243="",$M243=""),"",$M243*12+N($N243))</f>
        <v/>
      </c>
      <c r="BJ243" s="84">
        <f>IF($A243="","",IF(OR($C243="FRAME ONLY",$S243="BL"),0,IF($O243="Y",2,1)))</f>
        <v/>
      </c>
      <c r="BK243" s="86">
        <f>IF(OR(N($BJ243)=0,$BH243=""),"",($BH243-2*EdgeClr-IF($BJ243=2,MeetClr,0))/$BJ243)</f>
        <v/>
      </c>
      <c r="BL243" s="86">
        <f>IF(OR(N($BJ243)=0,$BI243=""),"",$BI243-HeadClr-Undercut)</f>
        <v/>
      </c>
      <c r="BM243" s="86">
        <f>IF($BH243="","",$BH243+2*FaceW+IF(N($Q243)&gt;0,($Q243+FaceW)*IF($R243="LR",2,1),0))</f>
        <v/>
      </c>
      <c r="BN243" s="86">
        <f>IF($BI243="","",$BI243+IF($AB243="Y",4,FaceW)+IF(N($P243)&gt;0,$P243+FaceW,0)+IF(OR($S243="4F",$S243="BL"),FaceW,0))</f>
        <v/>
      </c>
      <c r="BO243" s="86">
        <f>IF($BM243="","",$BM243+2*ROSide)</f>
        <v/>
      </c>
      <c r="BP243" s="86">
        <f>IF($BN243="","",$BN243+ROTop)</f>
        <v/>
      </c>
      <c r="BQ243" s="87">
        <f>IF(OR(N($BJ243)=0,$BH243=""),"",$BH243/$BJ243-ClearDeduct)</f>
        <v/>
      </c>
      <c r="BR243" s="84">
        <f>IF(N($CH243)=0,"",IF($CH243&gt;=180,"A · 3 HR",IF($CH243&gt;=90,"B · 1-1/2 HR",IF($CH243&gt;=60,"B · 1 HR",IF($CH243&gt;=45,"C · 3/4 HR","20 MIN")))))&amp;IF(AND(N($CH243)&gt;0,OR($I243="CORRIDOR",$I243="SMOKE BARRIER"))," · S","")</f>
        <v/>
      </c>
      <c r="BS243" s="84">
        <f>IF($CS243,"",IF($AV243&lt;&gt;"",$AV243,IF(OR($AC243="HGC",$AO243="HGC"),"CONT",IF(($BI243-HeadClr-Undercut)&lt;=60,2,IF(($BI243-HeadClr-Undercut)&lt;=90,3,IF(($BI243-HeadClr-Undercut)&lt;=120,4,5))))))</f>
        <v/>
      </c>
      <c r="BT243" s="84">
        <f>IF($CS243,"",IF($CT243,"CUSTOM (typed)",IF($CV243,$AT243&amp;" "&amp;$CU243&amp;CHAR(34)&amp;IF($CU243&lt;&gt;$BI243,IF(AND($BI243&lt;$CU243,$BI243-IF(N(VLOOKUP($AT243&amp;"|"&amp;$CU243,LocTable,7,FALSE))&gt;0,VLOOKUP($AT243&amp;"|"&amp;$CU243,LocTable,7,FALSE),VLOOKUP($AT243&amp;"|"&amp;$CU243,LocTable,6,FALSE))-$CR243-0.75&gt;=2.125)," cut down"," adj."),""),"ANSI/SDI A250.6")))</f>
        <v/>
      </c>
      <c r="BU243" s="88">
        <f>IF($CS243,"",IF($CT243,IF(N($AW243)&gt;0,N($AW243),""),IF(1&gt;$CQ243,"",IF($CQ243=1,$CW243,$CW243+($CX243-$CW243)*0/($CQ243-1)))))</f>
        <v/>
      </c>
      <c r="BV243" s="88">
        <f>IF($CS243,"",IF($CT243,IF(N($AX243)&gt;0,N($AX243),""),IF(2&gt;$CQ243,"",IF($CQ243=1,$CW243,$CW243+($CX243-$CW243)*1/($CQ243-1)))))</f>
        <v/>
      </c>
      <c r="BW243" s="88">
        <f>IF($CS243,"",IF($CT243,IF(N($AY243)&gt;0,N($AY243),""),IF(3&gt;$CQ243,"",IF($CQ243=1,$CW243,$CW243+($CX243-$CW243)*2/($CQ243-1)))))</f>
        <v/>
      </c>
      <c r="BX243" s="88">
        <f>IF($CS243,"",IF($CT243,IF(N($AZ243)&gt;0,N($AZ243),""),IF(4&gt;$CQ243,"",IF($CQ243=1,$CW243,$CW243+($CX243-$CW243)*3/($CQ243-1)))))</f>
        <v/>
      </c>
      <c r="BY243" s="88">
        <f>IF($CS243,"",IF($CT243,"",IF(5&gt;$CQ243,"",IF($CQ243=1,$CW243,$CW243+($CX243-$CW243)*4/($CQ243-1)))))</f>
        <v/>
      </c>
      <c r="BZ243" s="88">
        <f>IF(OR($CS243,$AP243="-",AND($AP243="",$AD243="")),"",IF(N($BA243)&gt;0,N($BA243),IF($CV243,IF(AND($BI243&lt;$CU243,$BI243-IF(N(VLOOKUP($AT243&amp;"|"&amp;$CU243,LocTable,7,FALSE))&gt;0,VLOOKUP($AT243&amp;"|"&amp;$CU243,LocTable,7,FALSE),VLOOKUP($AT243&amp;"|"&amp;$CU243,LocTable,6,FALSE))-$CR243-0.75&gt;=2.125),VLOOKUP($AT243&amp;"|"&amp;$CU243,LocTable,8,FALSE),VLOOKUP($AT243&amp;"|"&amp;$CU243,LocTable,8,FALSE)+($BI243-$CU243)),$BI243-LockAFF)))</f>
        <v/>
      </c>
      <c r="CA243" s="89">
        <f>IF($BZ243="","",$BI243-$BZ243)</f>
        <v/>
      </c>
      <c r="CB243" s="84">
        <f>IF(OR(NOT(AND($A243&lt;&gt;"",$C243&lt;&gt;"DOOR ONLY")),$BI243=""),"",IF(($BI243+IF(N($P243)&gt;0,$P243+FaceW,0))&lt;=90,3,IF(($BI243+IF(N($P243)&gt;0,$P243+FaceW,0))&lt;=114,4,5)))</f>
        <v/>
      </c>
      <c r="CC243" s="84">
        <f>IF($CB243="","",$CB243*(2+IF(N($Q243)&gt;0,IF($R243="LR",2,1),0)))</f>
        <v/>
      </c>
      <c r="CD243" s="84">
        <f>IF($CB243="","",(2+IF(N($Q243)&gt;0,IF($R243="LR",2,1),0)))</f>
        <v/>
      </c>
      <c r="CE243" s="84">
        <f>IF(N($BJ243)=0,"",IF(OR($AL243="",$AL243="FLUSH"),"FLUSH",IFERROR(LEFT($AL243,FIND("-",$AL243)-1),LEFT($AL243,2))))</f>
        <v/>
      </c>
      <c r="CF243" s="84">
        <f>IF($CE243="","",IFERROR(VALUE(MID($AL243,FIND("-",$AL243)+1,FIND(CHAR(34)&amp;"x",$AL243)-FIND("-",$AL243)-1)),0))</f>
        <v/>
      </c>
      <c r="CG243" s="84">
        <f>IF($CE243="","",IFERROR(VALUE(MID($AL243,FIND(CHAR(34)&amp;"x",$AL243)+2,FIND(CHAR(34),$AL243,FIND(CHAR(34)&amp;"x",$AL243)+2)-FIND(CHAR(34)&amp;"x",$AL243)-2)),0))</f>
        <v/>
      </c>
      <c r="CH243" s="90">
        <f>IF(OR($A243="",$H243="",$H243="NO LAB"),0,IFERROR(VALUE(LEFT($H243,FIND(" ",$H243)-1)),0))</f>
        <v/>
      </c>
      <c r="CI243" s="91">
        <f>IF(OR($A243="",$I243="",$I243="NON-RATED",N($J243)=0),"",IFERROR(VLOOKUP($I243&amp;"|"&amp;$J243,IBC,2,FALSE),"?"))</f>
        <v/>
      </c>
      <c r="CJ243" s="85">
        <f>IF(NOT(AND($A243&lt;&gt;"",$C243&lt;&gt;"DOOR ONLY")),"",TRIM(IFERROR(VLOOKUP($U243,CODES,2,FALSE),"")&amp;" "&amp;$BG243&amp;" "&amp;IFERROR(VLOOKUP($Z243,CODES,2,FALSE),"")&amp;" "&amp;IFERROR(VLOOKUP($X243,CODES,2,FALSE),"")&amp;" "&amp;IFERROR(VLOOKUP($S243,CODES,2,FALSE),"")&amp;IF(N($P243)&gt;0," w/TRANSOM "&amp;$P243&amp;CHAR(34),"")&amp;IF(N($Q243)&gt;0," w/SIDELITE "&amp;$Q243&amp;CHAR(34)&amp;" "&amp;IF($R243="","R",$R243),"")&amp;IF($Y243="","  |  "," | "&amp;IFERROR(VLOOKUP($Y243,CODES,2,FALSE),"")&amp;" | ")&amp;IFERROR(VLOOKUP($AC243,CODES,2,FALSE),"")&amp;" "&amp;IFERROR(VLOOKUP($AD243,CODES,2,FALSE),"")&amp;IF(OR($AE243="",$AE243="-"),""," "&amp;$AE243)&amp;IF(OR($AF243="",$AF243="-"),""," "&amp;$AF243)&amp;IF($AB243="Y"," 4"&amp;CHAR(34)&amp;" HEAD","")&amp;" "&amp;IFERROR(VLOOKUP($H243,CODES,2,FALSE),"")&amp;IF($CT243," | LOC "&amp;$CY243,"")))</f>
        <v/>
      </c>
      <c r="CK243" s="85">
        <f>IF(NOT(AND($A243&lt;&gt;"",N($BJ243)&gt;0)),"",TRIM(IFERROR(VLOOKUP($AH243,CODES,2,FALSE),"")&amp;IF($AI243=""," "," "&amp;$AI243&amp;"GA ")&amp;$BG243&amp;" "&amp;IF($AN243="",IFERROR(VLOOKUP($Z243,CODES,2,FALSE),""),IFERROR(VLOOKUP($AN243,CODES,2,FALSE),""))&amp;IF($BJ243=2," PAIR","")&amp;" DOOR | "&amp;IF($AL243="","?",$AL243)&amp;" | "&amp;IF($AO243="",IFERROR(VLOOKUP($AC243,CODES,2,FALSE),""),IFERROR(VLOOKUP($AO243,CODES,2,FALSE),""))&amp;" "&amp;IFERROR(VLOOKUP($AP243,CODES,2,FALSE),"")&amp;IF(OR($AQ243="",$AQ243="-"),""," SEAM "&amp;$AQ243)&amp;IF($AR243="Y"," ASTRAGAL","")&amp;IF($AJ243=""," "," "&amp;$AJ243)&amp;IF($AK243=""," "," "&amp;$AK243)&amp;IF(OR($AT243="",$AT243="ANSI/SDI",$AT243="CUSTOM LOC"),""," "&amp;$AT243)&amp;IF($AM243=""," "," SERIES "&amp;$AM243)&amp;" "&amp;IFERROR(VLOOKUP($H243,CODES,2,FALSE),"")&amp;IF($CT243," | LOC "&amp;$CZ243,"")))</f>
        <v/>
      </c>
      <c r="CL243" s="84">
        <f>IF(CP243="","",IF(COUNTIF($CP$6:CP243,CP243)=1,MAX($CL$5:CL242)+1,INDEX($CL$5:CL242,MATCH(CP243,$CP$5:CP242,0))))</f>
        <v/>
      </c>
      <c r="CM243" s="84">
        <f>IF(NOT(AND($A243&lt;&gt;"",$C243&lt;&gt;"DOOR ONLY")),"",MAX($CM$5:CM242)+1)</f>
        <v/>
      </c>
      <c r="CN243" s="84">
        <f>IF(NOT(AND($A243&lt;&gt;"",N($BJ243)&gt;0)),"",MAX($CN$5:CN242)+1)</f>
        <v/>
      </c>
      <c r="CO243" s="84">
        <f>IF($A243="","",MAX($CO$5:CO242)+1)</f>
        <v/>
      </c>
      <c r="CP243" s="84">
        <f>IF(OR($A243="",$BH243="",$BI243=""),"",$BG243&amp;"|"&amp;$O243&amp;"|"&amp;$AL243&amp;"|"&amp;$S243&amp;"|"&amp;$P243&amp;"|"&amp;$Q243&amp;$R243&amp;"|"&amp;$C243&amp;"|"&amp;$AB243)</f>
        <v/>
      </c>
      <c r="CQ243" s="84">
        <f>N($BS243)</f>
        <v/>
      </c>
      <c r="CR243" s="84">
        <f>IF(N($AU243)&gt;0,N($AU243),4.5)</f>
        <v/>
      </c>
      <c r="CS243" s="84">
        <f>OR($A243="",$BI243="",$S243="BL",AND($C243="FRAME ONLY",OR($AC243="",$AC243="BLK")))</f>
        <v/>
      </c>
      <c r="CT243" s="84">
        <f>AND(NOT($CS243),OR($AT243="CUSTOM LOC",N($AW243)+N($AX243)+N($AY243)+N($AZ243)+N($BA243)&gt;0))</f>
        <v/>
      </c>
      <c r="CU243" s="84">
        <f>IF($BI243="","",IF($BI243&lt;=80,80,IF($BI243&lt;=84,84,96)))</f>
        <v/>
      </c>
      <c r="CV243" s="84">
        <f>ISNUMBER(MATCH($AT243&amp;"|80",LocKeys,0))</f>
        <v/>
      </c>
      <c r="CW243" s="86">
        <f>IF($CS243,"",IF($CV243,VLOOKUP($AT243&amp;"|"&amp;$CU243,LocTable,4,FALSE),5))</f>
        <v/>
      </c>
      <c r="CX243" s="86">
        <f>IF($CS243,"",IF($CV243,IF(OR($BI243=$CU243,AND($BI243&lt;$CU243,$BI243-IF(N(VLOOKUP($AT243&amp;"|"&amp;$CU243,LocTable,7,FALSE))&gt;0,VLOOKUP($AT243&amp;"|"&amp;$CU243,LocTable,7,FALSE),VLOOKUP($AT243&amp;"|"&amp;$CU243,LocTable,6,FALSE))-$CR243-0.75&gt;=2.125)),IF(N(VLOOKUP($AT243&amp;"|"&amp;$CU243,LocTable,7,FALSE))&gt;0,VLOOKUP($AT243&amp;"|"&amp;$CU243,LocTable,7,FALSE),VLOOKUP($AT243&amp;"|"&amp;$CU243,LocTable,6,FALSE)),$BI243-($CU243-IF(N(VLOOKUP($AT243&amp;"|"&amp;$CU243,LocTable,7,FALSE))&gt;0,VLOOKUP($AT243&amp;"|"&amp;$CU243,LocTable,7,FALSE),VLOOKUP($AT243&amp;"|"&amp;$CU243,LocTable,6,FALSE)))),$BI243-10-$CR243))</f>
        <v/>
      </c>
      <c r="CY243" s="85">
        <f>IF($CS243,"",TRIM(IF(ISNUMBER($BU243),"A "&amp;TRIM(TEXT($BU243,"# ?/??"))&amp;CHAR(34)&amp;"  ","")&amp;IF(ISNUMBER($BV243),"B "&amp;TRIM(TEXT($BV243,"# ?/??"))&amp;CHAR(34)&amp;"  ","")&amp;IF(ISNUMBER($BW243),"C "&amp;TRIM(TEXT($BW243,"# ?/??"))&amp;CHAR(34)&amp;"  ","")&amp;IF(ISNUMBER($BX243),"D "&amp;TRIM(TEXT($BX243,"# ?/??"))&amp;CHAR(34)&amp;"  ","")&amp;IF(ISNUMBER($BY243),"F "&amp;TRIM(TEXT($BY243,"# ?/??"))&amp;CHAR(34)&amp;"  ","")&amp;IF(ISNUMBER($BZ243),"E "&amp;TRIM(TEXT($BZ243,"# ?/??"))&amp;CHAR(34)&amp;"  ","")))</f>
        <v/>
      </c>
      <c r="CZ243" s="85">
        <f>IF(OR($CS243,N($BJ243)=0),"",TRIM(IF(ISNUMBER($BU243),"A "&amp;TRIM(TEXT($BU243-HeadClr,"# ?/??"))&amp;CHAR(34)&amp;"  ","")&amp;IF(ISNUMBER($BV243),"B "&amp;TRIM(TEXT($BV243-HeadClr,"# ?/??"))&amp;CHAR(34)&amp;"  ","")&amp;IF(ISNUMBER($BW243),"C "&amp;TRIM(TEXT($BW243-HeadClr,"# ?/??"))&amp;CHAR(34)&amp;"  ","")&amp;IF(ISNUMBER($BX243),"D "&amp;TRIM(TEXT($BX243-HeadClr,"# ?/??"))&amp;CHAR(34)&amp;"  ","")&amp;IF(ISNUMBER($BY243),"F "&amp;TRIM(TEXT($BY243-HeadClr,"# ?/??"))&amp;CHAR(34)&amp;"  ","")&amp;IF(ISNUMBER($BZ243),"E "&amp;TRIM(TEXT($BZ243-HeadClr,"# ?/??"))&amp;CHAR(34)&amp;"  ","")))</f>
        <v/>
      </c>
      <c r="DA243" s="84">
        <f>IF($A243="","",IF($AN243="",IFERROR(VLOOKUP($Z243,CODES,2,FALSE),""),IFERROR(VLOOKUP($AN243,CODES,2,FALSE),"")))</f>
        <v/>
      </c>
      <c r="DB243" s="84">
        <f>IF($A243="","",IF($O243="Y","PR",IF(OR($Z243="L",$Z243="RR",LEFT($Z243,2)="L-",LEFT($Z243,3)="RR-"),"LH","RH")))</f>
        <v/>
      </c>
      <c r="DC243" s="84">
        <f>IF($A243="","","S.HM"&amp;IF(OR($C243="DOOR ONLY",$X243&lt;&gt;"KD"),"MASONRY","DRYWALL")&amp;IF($C243="DOOR ONLY","",$U243)&amp;IF(AND($C243&lt;&gt;"FRAME ONLY",OR(LEFT($AH243,3)="OAK",LEFT($AH243,3)="BIR",LEFT($AH243,3)="MAP",$AH243="PC",$AH243="MC",$AH243="SCLC",$AH243="P-LAM")),"WD","HM")&amp;"1.75")</f>
        <v/>
      </c>
      <c r="DD243" s="84">
        <f>IF($CJ243="","",IF($O243="Y",$CJ243,SUBSTITUTE($CJ243,$BG243&amp;" "&amp;IFERROR(VLOOKUP($Z243,CODES,2,FALSE),"")&amp;" ",$BG243&amp;" ")))</f>
        <v/>
      </c>
      <c r="DE243" s="84">
        <f>IF($CK243="","",IF($O243="Y",$CK243,SUBSTITUTE($CK243,$BG243&amp;" "&amp;IF($AN243="",IFERROR(VLOOKUP($Z243,CODES,2,FALSE),""),IFERROR(VLOOKUP($AN243,CODES,2,FALSE),""))&amp;" ",$BG243&amp;" ")))</f>
        <v/>
      </c>
      <c r="DF243" s="84">
        <f>IF($CJ243="","",$DC243&amp;"|"&amp;$DD243&amp;"|"&amp;$DB243&amp;"|"&amp;$AT243&amp;"|"&amp;$V243&amp;"|"&amp;$Y243&amp;"|"&amp;$AB243)</f>
        <v/>
      </c>
      <c r="DG243" s="84">
        <f>IF(DF243="","",IF(COUNTIF($DF$6:DF243,DF243)=1,MAX($DG$5:DG242)+1,INDEX($DG$5:DG242,MATCH(DF243,$DF$5:DF242,0))))</f>
        <v/>
      </c>
      <c r="DH243" s="84">
        <f>IF($CK243="","",$DC243&amp;"|"&amp;$DE243&amp;"|"&amp;$AI243&amp;"|"&amp;$BK243&amp;"|"&amp;$BL243)</f>
        <v/>
      </c>
      <c r="DI243" s="84">
        <f>IF(DH243="","",IF(COUNTIF($DH$6:DH243,DH243)=1,MAX($DI$5:DI242)+1,INDEX($DI$5:DI242,MATCH(DH243,$DH$5:DH242,0))))</f>
        <v/>
      </c>
      <c r="DJ243" s="84">
        <f>IF($A243="","",IF($B243="","qty, ","")&amp;IF($C243="","scope, ","")&amp;IF(OR($K243="",$M243=""),"size, ","")&amp;IF(AND($A243&lt;&gt;"",$C243&lt;&gt;"DOOR ONLY"),IF($U243="","jamb depth, ","")&amp;IF($X243="","construction, ","")&amp;IF($Y243="","anchor, ","")&amp;IF($S243="","frame type, ",""),"")&amp;IF(AND(N($BJ243)&gt;0,$Z243=""),"hand, ","")&amp;IF(N($BJ243)&gt;0,IF($AH243="","door material, ","")&amp;IF($AL243="","face type, ","")&amp;IF($AP243="","lock prep, ","")&amp;IF(AND($AO243="",$AC243=""),"hinge prep, ",""),"")&amp;IF(AND($CH243&gt;0,$AH243="FRP"),"FRP cannot carry a label, ","")&amp;IF(AND($O243="Y",OR($Z243="L",$Z243="R",$Z243="LR",$Z243="RR")),"pair marked but hand is single, ","")&amp;IF(AND($O243&lt;&gt;"Y",OR($Z243="PR",AND(LEN($Z243)&gt;1,ISNUMBER(SEARCH("-",$Z243))))),"pair hand on a single door, ","")&amp;IF(AND(ISNUMBER($CI243),$CH243&lt;N($CI243)),"wall needs a "&amp;$CI243&amp;" min door, ","")&amp;IF(AND($CH243&gt;=180,AND(OR($CE243="FG",$CE243="HG",$CE243="FNV",$CE243="FV"),N($CF243)*N($CG243)&gt;100)),"180 min lite over 100 sq in, ","")&amp;IF(N($BK243)&gt;48,"leaf wider than 4'-0"&amp;CHAR(34)&amp;", ","")&amp;IF(AND($CT243,COUNT($AW243:$AZ243)=0,$CQ243&gt;0),"CUSTOM LOC with no locations typed, ",""))</f>
        <v/>
      </c>
      <c r="DK243" s="84">
        <f>IF($A243="","",IF(AND($CH243&gt;0,AND($A243&lt;&gt;"",$C243&lt;&gt;"DOOR ONLY"),$X243="KD",$E243="EXTERIOR"),"KD label on an exterior opening, ","")&amp;IF(AND($E243="EXTERIOR",OR(AND(AND($A243&lt;&gt;"",$C243&lt;&gt;"DOOR ONLY"),$W243="CR"),AND(N($BJ243)&gt;0,$AH243="CR"))),"exterior in CR steel (G9?), ","")&amp;IF(AND(ISNUMBER($BQ243),N($BQ243)&lt;32),"clear width ~"&amp;TEXT($BQ243,"0.0")&amp;CHAR(34)&amp;" under 32"&amp;CHAR(34)&amp;" (ADA), ","")&amp;IF(AND($CH243=90,AND(OR($CE243="FG",$CE243="HG",$CE243="FNV",$CE243="FV"),N($CF243)*N($CG243)&gt;100)),"90 min lite over 100 sq in (stair/exit), ","")&amp;IF(AND($CH243&gt;0,AND($A243&lt;&gt;"",$C243&lt;&gt;"DOOR ONLY"),OR($AF243="",$AF243="-")),"rated: closer reinf.?, ","")&amp;IF(OR($I243="CORRIDOR",$I243="SMOKE BARRIER"),"S label + smoke gasketing, ","")&amp;IF($CI243="?","wall type/hr not in IBC table, ","")&amp;IF(AND(N($BJ243)&gt;0,$BB243=""),"no hardware set, ","")&amp;IF(AND($BB243&lt;&gt;"",ISNA(MATCH($BB243&amp;"",HWSets,0))),"set "&amp;$BB243&amp;" not on HW Sets, ","")&amp;IF(N($BL243)&gt;96,"leaf over 8'-0"&amp;CHAR(34)&amp;" - check listing, ","")&amp;IF(AND($CT243,COUNT($AW243:$AZ243)&gt;0,COUNT($AW243:$AZ243)&lt;&gt;$CQ243),COUNT($AW243:$AZ243)&amp;" custom hinges typed, "&amp;$CQ243&amp;" expected, ","")&amp;IF(AND(ISNUMBER($CA243),OR(N($CA243)&lt;34,N($CA243)&gt;48)),"lock "&amp;TEXT($CA243,"0.0")&amp;CHAR(34)&amp;" AFF outside 34-48"&amp;CHAR(34)&amp;" (ADA), ","")&amp;IF(AND(ISNUMBER($AV243),ISNUMBER($BL243),N($AV243)&lt;IF(N($BL243)&lt;=60,2,IF(N($BL243)&lt;=90,3,IF(N($BL243)&lt;=120,4,5)))),"fewer hinges than standard, ",""))</f>
        <v/>
      </c>
    </row>
    <row r="244" ht="15" customHeight="1">
      <c r="A244" s="77" t="n"/>
      <c r="B244" s="78" t="n"/>
      <c r="C244" s="78" t="n"/>
      <c r="D244" s="78" t="n"/>
      <c r="E244" s="78" t="n"/>
      <c r="F244" s="78" t="n"/>
      <c r="G244" s="78" t="n"/>
      <c r="H244" s="78" t="n"/>
      <c r="I244" s="78" t="n"/>
      <c r="J244" s="78" t="n"/>
      <c r="K244" s="78" t="n"/>
      <c r="L244" s="78" t="n"/>
      <c r="M244" s="78" t="n"/>
      <c r="N244" s="78" t="n"/>
      <c r="O244" s="78" t="n"/>
      <c r="P244" s="78" t="n"/>
      <c r="Q244" s="78" t="n"/>
      <c r="R244" s="78" t="n"/>
      <c r="S244" s="79" t="n"/>
      <c r="T244" s="79" t="n"/>
      <c r="U244" s="79" t="n"/>
      <c r="V244" s="79" t="n"/>
      <c r="W244" s="79" t="n"/>
      <c r="X244" s="79" t="n"/>
      <c r="Y244" s="79" t="n"/>
      <c r="Z244" s="79" t="n"/>
      <c r="AA244" s="79" t="n"/>
      <c r="AB244" s="79" t="n"/>
      <c r="AC244" s="79" t="n"/>
      <c r="AD244" s="79" t="n"/>
      <c r="AE244" s="79" t="n"/>
      <c r="AF244" s="79" t="n"/>
      <c r="AG244" s="79" t="n"/>
      <c r="AH244" s="80" t="n"/>
      <c r="AI244" s="80" t="n"/>
      <c r="AJ244" s="80" t="n"/>
      <c r="AK244" s="80" t="n"/>
      <c r="AL244" s="80" t="n"/>
      <c r="AM244" s="80" t="n"/>
      <c r="AN244" s="80" t="n"/>
      <c r="AO244" s="80" t="n"/>
      <c r="AP244" s="80" t="n"/>
      <c r="AQ244" s="80" t="n"/>
      <c r="AR244" s="80" t="n"/>
      <c r="AS244" s="80" t="n"/>
      <c r="AT244" s="81" t="n"/>
      <c r="AU244" s="81" t="n"/>
      <c r="AV244" s="81" t="n"/>
      <c r="AW244" s="82" t="n"/>
      <c r="AX244" s="82" t="n"/>
      <c r="AY244" s="82" t="n"/>
      <c r="AZ244" s="82" t="n"/>
      <c r="BA244" s="82" t="n"/>
      <c r="BB244" s="83" t="n"/>
      <c r="BC244" s="83" t="n"/>
      <c r="BD244" s="84">
        <f>IF($A244="","",IF($DJ244&lt;&gt;"","FIX",IF($DK244&lt;&gt;"","CHECK","OK")))</f>
        <v/>
      </c>
      <c r="BE244" s="85">
        <f>IF($A244="","",IF($DJ244&lt;&gt;"","FIX: "&amp;LEFT($DJ244,LEN($DJ244)-2)&amp;IF($DK244&lt;&gt;"","  ·  ",""),"")&amp;IF($DK244&lt;&gt;"","CHECK: "&amp;LEFT($DK244,LEN($DK244)-2),""))</f>
        <v/>
      </c>
      <c r="BF244" s="84">
        <f>IF(OR($A244="",$K244=""),"",$K244&amp;"'-"&amp;N($L244)&amp;CHAR(34)&amp;" x "&amp;$M244&amp;"'-"&amp;N($N244)&amp;CHAR(34))</f>
        <v/>
      </c>
      <c r="BG244" s="84">
        <f>IF(OR($A244="",$K244=""),"",$K244&amp;N($L244)&amp;$M244&amp;N($N244))</f>
        <v/>
      </c>
      <c r="BH244" s="84">
        <f>IF(OR($A244="",$K244=""),"",$K244*12+N($L244))</f>
        <v/>
      </c>
      <c r="BI244" s="84">
        <f>IF(OR($A244="",$M244=""),"",$M244*12+N($N244))</f>
        <v/>
      </c>
      <c r="BJ244" s="84">
        <f>IF($A244="","",IF(OR($C244="FRAME ONLY",$S244="BL"),0,IF($O244="Y",2,1)))</f>
        <v/>
      </c>
      <c r="BK244" s="86">
        <f>IF(OR(N($BJ244)=0,$BH244=""),"",($BH244-2*EdgeClr-IF($BJ244=2,MeetClr,0))/$BJ244)</f>
        <v/>
      </c>
      <c r="BL244" s="86">
        <f>IF(OR(N($BJ244)=0,$BI244=""),"",$BI244-HeadClr-Undercut)</f>
        <v/>
      </c>
      <c r="BM244" s="86">
        <f>IF($BH244="","",$BH244+2*FaceW+IF(N($Q244)&gt;0,($Q244+FaceW)*IF($R244="LR",2,1),0))</f>
        <v/>
      </c>
      <c r="BN244" s="86">
        <f>IF($BI244="","",$BI244+IF($AB244="Y",4,FaceW)+IF(N($P244)&gt;0,$P244+FaceW,0)+IF(OR($S244="4F",$S244="BL"),FaceW,0))</f>
        <v/>
      </c>
      <c r="BO244" s="86">
        <f>IF($BM244="","",$BM244+2*ROSide)</f>
        <v/>
      </c>
      <c r="BP244" s="86">
        <f>IF($BN244="","",$BN244+ROTop)</f>
        <v/>
      </c>
      <c r="BQ244" s="87">
        <f>IF(OR(N($BJ244)=0,$BH244=""),"",$BH244/$BJ244-ClearDeduct)</f>
        <v/>
      </c>
      <c r="BR244" s="84">
        <f>IF(N($CH244)=0,"",IF($CH244&gt;=180,"A · 3 HR",IF($CH244&gt;=90,"B · 1-1/2 HR",IF($CH244&gt;=60,"B · 1 HR",IF($CH244&gt;=45,"C · 3/4 HR","20 MIN")))))&amp;IF(AND(N($CH244)&gt;0,OR($I244="CORRIDOR",$I244="SMOKE BARRIER"))," · S","")</f>
        <v/>
      </c>
      <c r="BS244" s="84">
        <f>IF($CS244,"",IF($AV244&lt;&gt;"",$AV244,IF(OR($AC244="HGC",$AO244="HGC"),"CONT",IF(($BI244-HeadClr-Undercut)&lt;=60,2,IF(($BI244-HeadClr-Undercut)&lt;=90,3,IF(($BI244-HeadClr-Undercut)&lt;=120,4,5))))))</f>
        <v/>
      </c>
      <c r="BT244" s="84">
        <f>IF($CS244,"",IF($CT244,"CUSTOM (typed)",IF($CV244,$AT244&amp;" "&amp;$CU244&amp;CHAR(34)&amp;IF($CU244&lt;&gt;$BI244,IF(AND($BI244&lt;$CU244,$BI244-IF(N(VLOOKUP($AT244&amp;"|"&amp;$CU244,LocTable,7,FALSE))&gt;0,VLOOKUP($AT244&amp;"|"&amp;$CU244,LocTable,7,FALSE),VLOOKUP($AT244&amp;"|"&amp;$CU244,LocTable,6,FALSE))-$CR244-0.75&gt;=2.125)," cut down"," adj."),""),"ANSI/SDI A250.6")))</f>
        <v/>
      </c>
      <c r="BU244" s="88">
        <f>IF($CS244,"",IF($CT244,IF(N($AW244)&gt;0,N($AW244),""),IF(1&gt;$CQ244,"",IF($CQ244=1,$CW244,$CW244+($CX244-$CW244)*0/($CQ244-1)))))</f>
        <v/>
      </c>
      <c r="BV244" s="88">
        <f>IF($CS244,"",IF($CT244,IF(N($AX244)&gt;0,N($AX244),""),IF(2&gt;$CQ244,"",IF($CQ244=1,$CW244,$CW244+($CX244-$CW244)*1/($CQ244-1)))))</f>
        <v/>
      </c>
      <c r="BW244" s="88">
        <f>IF($CS244,"",IF($CT244,IF(N($AY244)&gt;0,N($AY244),""),IF(3&gt;$CQ244,"",IF($CQ244=1,$CW244,$CW244+($CX244-$CW244)*2/($CQ244-1)))))</f>
        <v/>
      </c>
      <c r="BX244" s="88">
        <f>IF($CS244,"",IF($CT244,IF(N($AZ244)&gt;0,N($AZ244),""),IF(4&gt;$CQ244,"",IF($CQ244=1,$CW244,$CW244+($CX244-$CW244)*3/($CQ244-1)))))</f>
        <v/>
      </c>
      <c r="BY244" s="88">
        <f>IF($CS244,"",IF($CT244,"",IF(5&gt;$CQ244,"",IF($CQ244=1,$CW244,$CW244+($CX244-$CW244)*4/($CQ244-1)))))</f>
        <v/>
      </c>
      <c r="BZ244" s="88">
        <f>IF(OR($CS244,$AP244="-",AND($AP244="",$AD244="")),"",IF(N($BA244)&gt;0,N($BA244),IF($CV244,IF(AND($BI244&lt;$CU244,$BI244-IF(N(VLOOKUP($AT244&amp;"|"&amp;$CU244,LocTable,7,FALSE))&gt;0,VLOOKUP($AT244&amp;"|"&amp;$CU244,LocTable,7,FALSE),VLOOKUP($AT244&amp;"|"&amp;$CU244,LocTable,6,FALSE))-$CR244-0.75&gt;=2.125),VLOOKUP($AT244&amp;"|"&amp;$CU244,LocTable,8,FALSE),VLOOKUP($AT244&amp;"|"&amp;$CU244,LocTable,8,FALSE)+($BI244-$CU244)),$BI244-LockAFF)))</f>
        <v/>
      </c>
      <c r="CA244" s="89">
        <f>IF($BZ244="","",$BI244-$BZ244)</f>
        <v/>
      </c>
      <c r="CB244" s="84">
        <f>IF(OR(NOT(AND($A244&lt;&gt;"",$C244&lt;&gt;"DOOR ONLY")),$BI244=""),"",IF(($BI244+IF(N($P244)&gt;0,$P244+FaceW,0))&lt;=90,3,IF(($BI244+IF(N($P244)&gt;0,$P244+FaceW,0))&lt;=114,4,5)))</f>
        <v/>
      </c>
      <c r="CC244" s="84">
        <f>IF($CB244="","",$CB244*(2+IF(N($Q244)&gt;0,IF($R244="LR",2,1),0)))</f>
        <v/>
      </c>
      <c r="CD244" s="84">
        <f>IF($CB244="","",(2+IF(N($Q244)&gt;0,IF($R244="LR",2,1),0)))</f>
        <v/>
      </c>
      <c r="CE244" s="84">
        <f>IF(N($BJ244)=0,"",IF(OR($AL244="",$AL244="FLUSH"),"FLUSH",IFERROR(LEFT($AL244,FIND("-",$AL244)-1),LEFT($AL244,2))))</f>
        <v/>
      </c>
      <c r="CF244" s="84">
        <f>IF($CE244="","",IFERROR(VALUE(MID($AL244,FIND("-",$AL244)+1,FIND(CHAR(34)&amp;"x",$AL244)-FIND("-",$AL244)-1)),0))</f>
        <v/>
      </c>
      <c r="CG244" s="84">
        <f>IF($CE244="","",IFERROR(VALUE(MID($AL244,FIND(CHAR(34)&amp;"x",$AL244)+2,FIND(CHAR(34),$AL244,FIND(CHAR(34)&amp;"x",$AL244)+2)-FIND(CHAR(34)&amp;"x",$AL244)-2)),0))</f>
        <v/>
      </c>
      <c r="CH244" s="90">
        <f>IF(OR($A244="",$H244="",$H244="NO LAB"),0,IFERROR(VALUE(LEFT($H244,FIND(" ",$H244)-1)),0))</f>
        <v/>
      </c>
      <c r="CI244" s="91">
        <f>IF(OR($A244="",$I244="",$I244="NON-RATED",N($J244)=0),"",IFERROR(VLOOKUP($I244&amp;"|"&amp;$J244,IBC,2,FALSE),"?"))</f>
        <v/>
      </c>
      <c r="CJ244" s="85">
        <f>IF(NOT(AND($A244&lt;&gt;"",$C244&lt;&gt;"DOOR ONLY")),"",TRIM(IFERROR(VLOOKUP($U244,CODES,2,FALSE),"")&amp;" "&amp;$BG244&amp;" "&amp;IFERROR(VLOOKUP($Z244,CODES,2,FALSE),"")&amp;" "&amp;IFERROR(VLOOKUP($X244,CODES,2,FALSE),"")&amp;" "&amp;IFERROR(VLOOKUP($S244,CODES,2,FALSE),"")&amp;IF(N($P244)&gt;0," w/TRANSOM "&amp;$P244&amp;CHAR(34),"")&amp;IF(N($Q244)&gt;0," w/SIDELITE "&amp;$Q244&amp;CHAR(34)&amp;" "&amp;IF($R244="","R",$R244),"")&amp;IF($Y244="","  |  "," | "&amp;IFERROR(VLOOKUP($Y244,CODES,2,FALSE),"")&amp;" | ")&amp;IFERROR(VLOOKUP($AC244,CODES,2,FALSE),"")&amp;" "&amp;IFERROR(VLOOKUP($AD244,CODES,2,FALSE),"")&amp;IF(OR($AE244="",$AE244="-"),""," "&amp;$AE244)&amp;IF(OR($AF244="",$AF244="-"),""," "&amp;$AF244)&amp;IF($AB244="Y"," 4"&amp;CHAR(34)&amp;" HEAD","")&amp;" "&amp;IFERROR(VLOOKUP($H244,CODES,2,FALSE),"")&amp;IF($CT244," | LOC "&amp;$CY244,"")))</f>
        <v/>
      </c>
      <c r="CK244" s="85">
        <f>IF(NOT(AND($A244&lt;&gt;"",N($BJ244)&gt;0)),"",TRIM(IFERROR(VLOOKUP($AH244,CODES,2,FALSE),"")&amp;IF($AI244=""," "," "&amp;$AI244&amp;"GA ")&amp;$BG244&amp;" "&amp;IF($AN244="",IFERROR(VLOOKUP($Z244,CODES,2,FALSE),""),IFERROR(VLOOKUP($AN244,CODES,2,FALSE),""))&amp;IF($BJ244=2," PAIR","")&amp;" DOOR | "&amp;IF($AL244="","?",$AL244)&amp;" | "&amp;IF($AO244="",IFERROR(VLOOKUP($AC244,CODES,2,FALSE),""),IFERROR(VLOOKUP($AO244,CODES,2,FALSE),""))&amp;" "&amp;IFERROR(VLOOKUP($AP244,CODES,2,FALSE),"")&amp;IF(OR($AQ244="",$AQ244="-"),""," SEAM "&amp;$AQ244)&amp;IF($AR244="Y"," ASTRAGAL","")&amp;IF($AJ244=""," "," "&amp;$AJ244)&amp;IF($AK244=""," "," "&amp;$AK244)&amp;IF(OR($AT244="",$AT244="ANSI/SDI",$AT244="CUSTOM LOC"),""," "&amp;$AT244)&amp;IF($AM244=""," "," SERIES "&amp;$AM244)&amp;" "&amp;IFERROR(VLOOKUP($H244,CODES,2,FALSE),"")&amp;IF($CT244," | LOC "&amp;$CZ244,"")))</f>
        <v/>
      </c>
      <c r="CL244" s="84">
        <f>IF(CP244="","",IF(COUNTIF($CP$6:CP244,CP244)=1,MAX($CL$5:CL243)+1,INDEX($CL$5:CL243,MATCH(CP244,$CP$5:CP243,0))))</f>
        <v/>
      </c>
      <c r="CM244" s="84">
        <f>IF(NOT(AND($A244&lt;&gt;"",$C244&lt;&gt;"DOOR ONLY")),"",MAX($CM$5:CM243)+1)</f>
        <v/>
      </c>
      <c r="CN244" s="84">
        <f>IF(NOT(AND($A244&lt;&gt;"",N($BJ244)&gt;0)),"",MAX($CN$5:CN243)+1)</f>
        <v/>
      </c>
      <c r="CO244" s="84">
        <f>IF($A244="","",MAX($CO$5:CO243)+1)</f>
        <v/>
      </c>
      <c r="CP244" s="84">
        <f>IF(OR($A244="",$BH244="",$BI244=""),"",$BG244&amp;"|"&amp;$O244&amp;"|"&amp;$AL244&amp;"|"&amp;$S244&amp;"|"&amp;$P244&amp;"|"&amp;$Q244&amp;$R244&amp;"|"&amp;$C244&amp;"|"&amp;$AB244)</f>
        <v/>
      </c>
      <c r="CQ244" s="84">
        <f>N($BS244)</f>
        <v/>
      </c>
      <c r="CR244" s="84">
        <f>IF(N($AU244)&gt;0,N($AU244),4.5)</f>
        <v/>
      </c>
      <c r="CS244" s="84">
        <f>OR($A244="",$BI244="",$S244="BL",AND($C244="FRAME ONLY",OR($AC244="",$AC244="BLK")))</f>
        <v/>
      </c>
      <c r="CT244" s="84">
        <f>AND(NOT($CS244),OR($AT244="CUSTOM LOC",N($AW244)+N($AX244)+N($AY244)+N($AZ244)+N($BA244)&gt;0))</f>
        <v/>
      </c>
      <c r="CU244" s="84">
        <f>IF($BI244="","",IF($BI244&lt;=80,80,IF($BI244&lt;=84,84,96)))</f>
        <v/>
      </c>
      <c r="CV244" s="84">
        <f>ISNUMBER(MATCH($AT244&amp;"|80",LocKeys,0))</f>
        <v/>
      </c>
      <c r="CW244" s="86">
        <f>IF($CS244,"",IF($CV244,VLOOKUP($AT244&amp;"|"&amp;$CU244,LocTable,4,FALSE),5))</f>
        <v/>
      </c>
      <c r="CX244" s="86">
        <f>IF($CS244,"",IF($CV244,IF(OR($BI244=$CU244,AND($BI244&lt;$CU244,$BI244-IF(N(VLOOKUP($AT244&amp;"|"&amp;$CU244,LocTable,7,FALSE))&gt;0,VLOOKUP($AT244&amp;"|"&amp;$CU244,LocTable,7,FALSE),VLOOKUP($AT244&amp;"|"&amp;$CU244,LocTable,6,FALSE))-$CR244-0.75&gt;=2.125)),IF(N(VLOOKUP($AT244&amp;"|"&amp;$CU244,LocTable,7,FALSE))&gt;0,VLOOKUP($AT244&amp;"|"&amp;$CU244,LocTable,7,FALSE),VLOOKUP($AT244&amp;"|"&amp;$CU244,LocTable,6,FALSE)),$BI244-($CU244-IF(N(VLOOKUP($AT244&amp;"|"&amp;$CU244,LocTable,7,FALSE))&gt;0,VLOOKUP($AT244&amp;"|"&amp;$CU244,LocTable,7,FALSE),VLOOKUP($AT244&amp;"|"&amp;$CU244,LocTable,6,FALSE)))),$BI244-10-$CR244))</f>
        <v/>
      </c>
      <c r="CY244" s="85">
        <f>IF($CS244,"",TRIM(IF(ISNUMBER($BU244),"A "&amp;TRIM(TEXT($BU244,"# ?/??"))&amp;CHAR(34)&amp;"  ","")&amp;IF(ISNUMBER($BV244),"B "&amp;TRIM(TEXT($BV244,"# ?/??"))&amp;CHAR(34)&amp;"  ","")&amp;IF(ISNUMBER($BW244),"C "&amp;TRIM(TEXT($BW244,"# ?/??"))&amp;CHAR(34)&amp;"  ","")&amp;IF(ISNUMBER($BX244),"D "&amp;TRIM(TEXT($BX244,"# ?/??"))&amp;CHAR(34)&amp;"  ","")&amp;IF(ISNUMBER($BY244),"F "&amp;TRIM(TEXT($BY244,"# ?/??"))&amp;CHAR(34)&amp;"  ","")&amp;IF(ISNUMBER($BZ244),"E "&amp;TRIM(TEXT($BZ244,"# ?/??"))&amp;CHAR(34)&amp;"  ","")))</f>
        <v/>
      </c>
      <c r="CZ244" s="85">
        <f>IF(OR($CS244,N($BJ244)=0),"",TRIM(IF(ISNUMBER($BU244),"A "&amp;TRIM(TEXT($BU244-HeadClr,"# ?/??"))&amp;CHAR(34)&amp;"  ","")&amp;IF(ISNUMBER($BV244),"B "&amp;TRIM(TEXT($BV244-HeadClr,"# ?/??"))&amp;CHAR(34)&amp;"  ","")&amp;IF(ISNUMBER($BW244),"C "&amp;TRIM(TEXT($BW244-HeadClr,"# ?/??"))&amp;CHAR(34)&amp;"  ","")&amp;IF(ISNUMBER($BX244),"D "&amp;TRIM(TEXT($BX244-HeadClr,"# ?/??"))&amp;CHAR(34)&amp;"  ","")&amp;IF(ISNUMBER($BY244),"F "&amp;TRIM(TEXT($BY244-HeadClr,"# ?/??"))&amp;CHAR(34)&amp;"  ","")&amp;IF(ISNUMBER($BZ244),"E "&amp;TRIM(TEXT($BZ244-HeadClr,"# ?/??"))&amp;CHAR(34)&amp;"  ","")))</f>
        <v/>
      </c>
      <c r="DA244" s="84">
        <f>IF($A244="","",IF($AN244="",IFERROR(VLOOKUP($Z244,CODES,2,FALSE),""),IFERROR(VLOOKUP($AN244,CODES,2,FALSE),"")))</f>
        <v/>
      </c>
      <c r="DB244" s="84">
        <f>IF($A244="","",IF($O244="Y","PR",IF(OR($Z244="L",$Z244="RR",LEFT($Z244,2)="L-",LEFT($Z244,3)="RR-"),"LH","RH")))</f>
        <v/>
      </c>
      <c r="DC244" s="84">
        <f>IF($A244="","","S.HM"&amp;IF(OR($C244="DOOR ONLY",$X244&lt;&gt;"KD"),"MASONRY","DRYWALL")&amp;IF($C244="DOOR ONLY","",$U244)&amp;IF(AND($C244&lt;&gt;"FRAME ONLY",OR(LEFT($AH244,3)="OAK",LEFT($AH244,3)="BIR",LEFT($AH244,3)="MAP",$AH244="PC",$AH244="MC",$AH244="SCLC",$AH244="P-LAM")),"WD","HM")&amp;"1.75")</f>
        <v/>
      </c>
      <c r="DD244" s="84">
        <f>IF($CJ244="","",IF($O244="Y",$CJ244,SUBSTITUTE($CJ244,$BG244&amp;" "&amp;IFERROR(VLOOKUP($Z244,CODES,2,FALSE),"")&amp;" ",$BG244&amp;" ")))</f>
        <v/>
      </c>
      <c r="DE244" s="84">
        <f>IF($CK244="","",IF($O244="Y",$CK244,SUBSTITUTE($CK244,$BG244&amp;" "&amp;IF($AN244="",IFERROR(VLOOKUP($Z244,CODES,2,FALSE),""),IFERROR(VLOOKUP($AN244,CODES,2,FALSE),""))&amp;" ",$BG244&amp;" ")))</f>
        <v/>
      </c>
      <c r="DF244" s="84">
        <f>IF($CJ244="","",$DC244&amp;"|"&amp;$DD244&amp;"|"&amp;$DB244&amp;"|"&amp;$AT244&amp;"|"&amp;$V244&amp;"|"&amp;$Y244&amp;"|"&amp;$AB244)</f>
        <v/>
      </c>
      <c r="DG244" s="84">
        <f>IF(DF244="","",IF(COUNTIF($DF$6:DF244,DF244)=1,MAX($DG$5:DG243)+1,INDEX($DG$5:DG243,MATCH(DF244,$DF$5:DF243,0))))</f>
        <v/>
      </c>
      <c r="DH244" s="84">
        <f>IF($CK244="","",$DC244&amp;"|"&amp;$DE244&amp;"|"&amp;$AI244&amp;"|"&amp;$BK244&amp;"|"&amp;$BL244)</f>
        <v/>
      </c>
      <c r="DI244" s="84">
        <f>IF(DH244="","",IF(COUNTIF($DH$6:DH244,DH244)=1,MAX($DI$5:DI243)+1,INDEX($DI$5:DI243,MATCH(DH244,$DH$5:DH243,0))))</f>
        <v/>
      </c>
      <c r="DJ244" s="84">
        <f>IF($A244="","",IF($B244="","qty, ","")&amp;IF($C244="","scope, ","")&amp;IF(OR($K244="",$M244=""),"size, ","")&amp;IF(AND($A244&lt;&gt;"",$C244&lt;&gt;"DOOR ONLY"),IF($U244="","jamb depth, ","")&amp;IF($X244="","construction, ","")&amp;IF($Y244="","anchor, ","")&amp;IF($S244="","frame type, ",""),"")&amp;IF(AND(N($BJ244)&gt;0,$Z244=""),"hand, ","")&amp;IF(N($BJ244)&gt;0,IF($AH244="","door material, ","")&amp;IF($AL244="","face type, ","")&amp;IF($AP244="","lock prep, ","")&amp;IF(AND($AO244="",$AC244=""),"hinge prep, ",""),"")&amp;IF(AND($CH244&gt;0,$AH244="FRP"),"FRP cannot carry a label, ","")&amp;IF(AND($O244="Y",OR($Z244="L",$Z244="R",$Z244="LR",$Z244="RR")),"pair marked but hand is single, ","")&amp;IF(AND($O244&lt;&gt;"Y",OR($Z244="PR",AND(LEN($Z244)&gt;1,ISNUMBER(SEARCH("-",$Z244))))),"pair hand on a single door, ","")&amp;IF(AND(ISNUMBER($CI244),$CH244&lt;N($CI244)),"wall needs a "&amp;$CI244&amp;" min door, ","")&amp;IF(AND($CH244&gt;=180,AND(OR($CE244="FG",$CE244="HG",$CE244="FNV",$CE244="FV"),N($CF244)*N($CG244)&gt;100)),"180 min lite over 100 sq in, ","")&amp;IF(N($BK244)&gt;48,"leaf wider than 4'-0"&amp;CHAR(34)&amp;", ","")&amp;IF(AND($CT244,COUNT($AW244:$AZ244)=0,$CQ244&gt;0),"CUSTOM LOC with no locations typed, ",""))</f>
        <v/>
      </c>
      <c r="DK244" s="84">
        <f>IF($A244="","",IF(AND($CH244&gt;0,AND($A244&lt;&gt;"",$C244&lt;&gt;"DOOR ONLY"),$X244="KD",$E244="EXTERIOR"),"KD label on an exterior opening, ","")&amp;IF(AND($E244="EXTERIOR",OR(AND(AND($A244&lt;&gt;"",$C244&lt;&gt;"DOOR ONLY"),$W244="CR"),AND(N($BJ244)&gt;0,$AH244="CR"))),"exterior in CR steel (G9?), ","")&amp;IF(AND(ISNUMBER($BQ244),N($BQ244)&lt;32),"clear width ~"&amp;TEXT($BQ244,"0.0")&amp;CHAR(34)&amp;" under 32"&amp;CHAR(34)&amp;" (ADA), ","")&amp;IF(AND($CH244=90,AND(OR($CE244="FG",$CE244="HG",$CE244="FNV",$CE244="FV"),N($CF244)*N($CG244)&gt;100)),"90 min lite over 100 sq in (stair/exit), ","")&amp;IF(AND($CH244&gt;0,AND($A244&lt;&gt;"",$C244&lt;&gt;"DOOR ONLY"),OR($AF244="",$AF244="-")),"rated: closer reinf.?, ","")&amp;IF(OR($I244="CORRIDOR",$I244="SMOKE BARRIER"),"S label + smoke gasketing, ","")&amp;IF($CI244="?","wall type/hr not in IBC table, ","")&amp;IF(AND(N($BJ244)&gt;0,$BB244=""),"no hardware set, ","")&amp;IF(AND($BB244&lt;&gt;"",ISNA(MATCH($BB244&amp;"",HWSets,0))),"set "&amp;$BB244&amp;" not on HW Sets, ","")&amp;IF(N($BL244)&gt;96,"leaf over 8'-0"&amp;CHAR(34)&amp;" - check listing, ","")&amp;IF(AND($CT244,COUNT($AW244:$AZ244)&gt;0,COUNT($AW244:$AZ244)&lt;&gt;$CQ244),COUNT($AW244:$AZ244)&amp;" custom hinges typed, "&amp;$CQ244&amp;" expected, ","")&amp;IF(AND(ISNUMBER($CA244),OR(N($CA244)&lt;34,N($CA244)&gt;48)),"lock "&amp;TEXT($CA244,"0.0")&amp;CHAR(34)&amp;" AFF outside 34-48"&amp;CHAR(34)&amp;" (ADA), ","")&amp;IF(AND(ISNUMBER($AV244),ISNUMBER($BL244),N($AV244)&lt;IF(N($BL244)&lt;=60,2,IF(N($BL244)&lt;=90,3,IF(N($BL244)&lt;=120,4,5)))),"fewer hinges than standard, ",""))</f>
        <v/>
      </c>
    </row>
    <row r="245" ht="15" customHeight="1">
      <c r="A245" s="92" t="n"/>
      <c r="B245" s="93" t="n"/>
      <c r="C245" s="93" t="n"/>
      <c r="D245" s="93" t="n"/>
      <c r="E245" s="93" t="n"/>
      <c r="F245" s="93" t="n"/>
      <c r="G245" s="93" t="n"/>
      <c r="H245" s="93" t="n"/>
      <c r="I245" s="93" t="n"/>
      <c r="J245" s="93" t="n"/>
      <c r="K245" s="93" t="n"/>
      <c r="L245" s="93" t="n"/>
      <c r="M245" s="93" t="n"/>
      <c r="N245" s="93" t="n"/>
      <c r="O245" s="93" t="n"/>
      <c r="P245" s="93" t="n"/>
      <c r="Q245" s="93" t="n"/>
      <c r="R245" s="93" t="n"/>
      <c r="S245" s="94" t="n"/>
      <c r="T245" s="94" t="n"/>
      <c r="U245" s="94" t="n"/>
      <c r="V245" s="94" t="n"/>
      <c r="W245" s="94" t="n"/>
      <c r="X245" s="94" t="n"/>
      <c r="Y245" s="94" t="n"/>
      <c r="Z245" s="94" t="n"/>
      <c r="AA245" s="94" t="n"/>
      <c r="AB245" s="94" t="n"/>
      <c r="AC245" s="94" t="n"/>
      <c r="AD245" s="94" t="n"/>
      <c r="AE245" s="94" t="n"/>
      <c r="AF245" s="94" t="n"/>
      <c r="AG245" s="94" t="n"/>
      <c r="AH245" s="95" t="n"/>
      <c r="AI245" s="95" t="n"/>
      <c r="AJ245" s="95" t="n"/>
      <c r="AK245" s="95" t="n"/>
      <c r="AL245" s="95" t="n"/>
      <c r="AM245" s="95" t="n"/>
      <c r="AN245" s="95" t="n"/>
      <c r="AO245" s="95" t="n"/>
      <c r="AP245" s="95" t="n"/>
      <c r="AQ245" s="95" t="n"/>
      <c r="AR245" s="95" t="n"/>
      <c r="AS245" s="95" t="n"/>
      <c r="AT245" s="96" t="n"/>
      <c r="AU245" s="96" t="n"/>
      <c r="AV245" s="96" t="n"/>
      <c r="AW245" s="97" t="n"/>
      <c r="AX245" s="97" t="n"/>
      <c r="AY245" s="97" t="n"/>
      <c r="AZ245" s="97" t="n"/>
      <c r="BA245" s="97" t="n"/>
      <c r="BB245" s="98" t="n"/>
      <c r="BC245" s="98" t="n"/>
      <c r="BD245" s="99">
        <f>IF($A245="","",IF($DJ245&lt;&gt;"","FIX",IF($DK245&lt;&gt;"","CHECK","OK")))</f>
        <v/>
      </c>
      <c r="BE245" s="100">
        <f>IF($A245="","",IF($DJ245&lt;&gt;"","FIX: "&amp;LEFT($DJ245,LEN($DJ245)-2)&amp;IF($DK245&lt;&gt;"","  ·  ",""),"")&amp;IF($DK245&lt;&gt;"","CHECK: "&amp;LEFT($DK245,LEN($DK245)-2),""))</f>
        <v/>
      </c>
      <c r="BF245" s="99">
        <f>IF(OR($A245="",$K245=""),"",$K245&amp;"'-"&amp;N($L245)&amp;CHAR(34)&amp;" x "&amp;$M245&amp;"'-"&amp;N($N245)&amp;CHAR(34))</f>
        <v/>
      </c>
      <c r="BG245" s="99">
        <f>IF(OR($A245="",$K245=""),"",$K245&amp;N($L245)&amp;$M245&amp;N($N245))</f>
        <v/>
      </c>
      <c r="BH245" s="99">
        <f>IF(OR($A245="",$K245=""),"",$K245*12+N($L245))</f>
        <v/>
      </c>
      <c r="BI245" s="99">
        <f>IF(OR($A245="",$M245=""),"",$M245*12+N($N245))</f>
        <v/>
      </c>
      <c r="BJ245" s="99">
        <f>IF($A245="","",IF(OR($C245="FRAME ONLY",$S245="BL"),0,IF($O245="Y",2,1)))</f>
        <v/>
      </c>
      <c r="BK245" s="101">
        <f>IF(OR(N($BJ245)=0,$BH245=""),"",($BH245-2*EdgeClr-IF($BJ245=2,MeetClr,0))/$BJ245)</f>
        <v/>
      </c>
      <c r="BL245" s="101">
        <f>IF(OR(N($BJ245)=0,$BI245=""),"",$BI245-HeadClr-Undercut)</f>
        <v/>
      </c>
      <c r="BM245" s="101">
        <f>IF($BH245="","",$BH245+2*FaceW+IF(N($Q245)&gt;0,($Q245+FaceW)*IF($R245="LR",2,1),0))</f>
        <v/>
      </c>
      <c r="BN245" s="101">
        <f>IF($BI245="","",$BI245+IF($AB245="Y",4,FaceW)+IF(N($P245)&gt;0,$P245+FaceW,0)+IF(OR($S245="4F",$S245="BL"),FaceW,0))</f>
        <v/>
      </c>
      <c r="BO245" s="101">
        <f>IF($BM245="","",$BM245+2*ROSide)</f>
        <v/>
      </c>
      <c r="BP245" s="101">
        <f>IF($BN245="","",$BN245+ROTop)</f>
        <v/>
      </c>
      <c r="BQ245" s="102">
        <f>IF(OR(N($BJ245)=0,$BH245=""),"",$BH245/$BJ245-ClearDeduct)</f>
        <v/>
      </c>
      <c r="BR245" s="99">
        <f>IF(N($CH245)=0,"",IF($CH245&gt;=180,"A · 3 HR",IF($CH245&gt;=90,"B · 1-1/2 HR",IF($CH245&gt;=60,"B · 1 HR",IF($CH245&gt;=45,"C · 3/4 HR","20 MIN")))))&amp;IF(AND(N($CH245)&gt;0,OR($I245="CORRIDOR",$I245="SMOKE BARRIER"))," · S","")</f>
        <v/>
      </c>
      <c r="BS245" s="99">
        <f>IF($CS245,"",IF($AV245&lt;&gt;"",$AV245,IF(OR($AC245="HGC",$AO245="HGC"),"CONT",IF(($BI245-HeadClr-Undercut)&lt;=60,2,IF(($BI245-HeadClr-Undercut)&lt;=90,3,IF(($BI245-HeadClr-Undercut)&lt;=120,4,5))))))</f>
        <v/>
      </c>
      <c r="BT245" s="99">
        <f>IF($CS245,"",IF($CT245,"CUSTOM (typed)",IF($CV245,$AT245&amp;" "&amp;$CU245&amp;CHAR(34)&amp;IF($CU245&lt;&gt;$BI245,IF(AND($BI245&lt;$CU245,$BI245-IF(N(VLOOKUP($AT245&amp;"|"&amp;$CU245,LocTable,7,FALSE))&gt;0,VLOOKUP($AT245&amp;"|"&amp;$CU245,LocTable,7,FALSE),VLOOKUP($AT245&amp;"|"&amp;$CU245,LocTable,6,FALSE))-$CR245-0.75&gt;=2.125)," cut down"," adj."),""),"ANSI/SDI A250.6")))</f>
        <v/>
      </c>
      <c r="BU245" s="103">
        <f>IF($CS245,"",IF($CT245,IF(N($AW245)&gt;0,N($AW245),""),IF(1&gt;$CQ245,"",IF($CQ245=1,$CW245,$CW245+($CX245-$CW245)*0/($CQ245-1)))))</f>
        <v/>
      </c>
      <c r="BV245" s="103">
        <f>IF($CS245,"",IF($CT245,IF(N($AX245)&gt;0,N($AX245),""),IF(2&gt;$CQ245,"",IF($CQ245=1,$CW245,$CW245+($CX245-$CW245)*1/($CQ245-1)))))</f>
        <v/>
      </c>
      <c r="BW245" s="103">
        <f>IF($CS245,"",IF($CT245,IF(N($AY245)&gt;0,N($AY245),""),IF(3&gt;$CQ245,"",IF($CQ245=1,$CW245,$CW245+($CX245-$CW245)*2/($CQ245-1)))))</f>
        <v/>
      </c>
      <c r="BX245" s="103">
        <f>IF($CS245,"",IF($CT245,IF(N($AZ245)&gt;0,N($AZ245),""),IF(4&gt;$CQ245,"",IF($CQ245=1,$CW245,$CW245+($CX245-$CW245)*3/($CQ245-1)))))</f>
        <v/>
      </c>
      <c r="BY245" s="103">
        <f>IF($CS245,"",IF($CT245,"",IF(5&gt;$CQ245,"",IF($CQ245=1,$CW245,$CW245+($CX245-$CW245)*4/($CQ245-1)))))</f>
        <v/>
      </c>
      <c r="BZ245" s="103">
        <f>IF(OR($CS245,$AP245="-",AND($AP245="",$AD245="")),"",IF(N($BA245)&gt;0,N($BA245),IF($CV245,IF(AND($BI245&lt;$CU245,$BI245-IF(N(VLOOKUP($AT245&amp;"|"&amp;$CU245,LocTable,7,FALSE))&gt;0,VLOOKUP($AT245&amp;"|"&amp;$CU245,LocTable,7,FALSE),VLOOKUP($AT245&amp;"|"&amp;$CU245,LocTable,6,FALSE))-$CR245-0.75&gt;=2.125),VLOOKUP($AT245&amp;"|"&amp;$CU245,LocTable,8,FALSE),VLOOKUP($AT245&amp;"|"&amp;$CU245,LocTable,8,FALSE)+($BI245-$CU245)),$BI245-LockAFF)))</f>
        <v/>
      </c>
      <c r="CA245" s="104">
        <f>IF($BZ245="","",$BI245-$BZ245)</f>
        <v/>
      </c>
      <c r="CB245" s="99">
        <f>IF(OR(NOT(AND($A245&lt;&gt;"",$C245&lt;&gt;"DOOR ONLY")),$BI245=""),"",IF(($BI245+IF(N($P245)&gt;0,$P245+FaceW,0))&lt;=90,3,IF(($BI245+IF(N($P245)&gt;0,$P245+FaceW,0))&lt;=114,4,5)))</f>
        <v/>
      </c>
      <c r="CC245" s="99">
        <f>IF($CB245="","",$CB245*(2+IF(N($Q245)&gt;0,IF($R245="LR",2,1),0)))</f>
        <v/>
      </c>
      <c r="CD245" s="99">
        <f>IF($CB245="","",(2+IF(N($Q245)&gt;0,IF($R245="LR",2,1),0)))</f>
        <v/>
      </c>
      <c r="CE245" s="99">
        <f>IF(N($BJ245)=0,"",IF(OR($AL245="",$AL245="FLUSH"),"FLUSH",IFERROR(LEFT($AL245,FIND("-",$AL245)-1),LEFT($AL245,2))))</f>
        <v/>
      </c>
      <c r="CF245" s="99">
        <f>IF($CE245="","",IFERROR(VALUE(MID($AL245,FIND("-",$AL245)+1,FIND(CHAR(34)&amp;"x",$AL245)-FIND("-",$AL245)-1)),0))</f>
        <v/>
      </c>
      <c r="CG245" s="99">
        <f>IF($CE245="","",IFERROR(VALUE(MID($AL245,FIND(CHAR(34)&amp;"x",$AL245)+2,FIND(CHAR(34),$AL245,FIND(CHAR(34)&amp;"x",$AL245)+2)-FIND(CHAR(34)&amp;"x",$AL245)-2)),0))</f>
        <v/>
      </c>
      <c r="CH245" s="105">
        <f>IF(OR($A245="",$H245="",$H245="NO LAB"),0,IFERROR(VALUE(LEFT($H245,FIND(" ",$H245)-1)),0))</f>
        <v/>
      </c>
      <c r="CI245" s="106">
        <f>IF(OR($A245="",$I245="",$I245="NON-RATED",N($J245)=0),"",IFERROR(VLOOKUP($I245&amp;"|"&amp;$J245,IBC,2,FALSE),"?"))</f>
        <v/>
      </c>
      <c r="CJ245" s="100">
        <f>IF(NOT(AND($A245&lt;&gt;"",$C245&lt;&gt;"DOOR ONLY")),"",TRIM(IFERROR(VLOOKUP($U245,CODES,2,FALSE),"")&amp;" "&amp;$BG245&amp;" "&amp;IFERROR(VLOOKUP($Z245,CODES,2,FALSE),"")&amp;" "&amp;IFERROR(VLOOKUP($X245,CODES,2,FALSE),"")&amp;" "&amp;IFERROR(VLOOKUP($S245,CODES,2,FALSE),"")&amp;IF(N($P245)&gt;0," w/TRANSOM "&amp;$P245&amp;CHAR(34),"")&amp;IF(N($Q245)&gt;0," w/SIDELITE "&amp;$Q245&amp;CHAR(34)&amp;" "&amp;IF($R245="","R",$R245),"")&amp;IF($Y245="","  |  "," | "&amp;IFERROR(VLOOKUP($Y245,CODES,2,FALSE),"")&amp;" | ")&amp;IFERROR(VLOOKUP($AC245,CODES,2,FALSE),"")&amp;" "&amp;IFERROR(VLOOKUP($AD245,CODES,2,FALSE),"")&amp;IF(OR($AE245="",$AE245="-"),""," "&amp;$AE245)&amp;IF(OR($AF245="",$AF245="-"),""," "&amp;$AF245)&amp;IF($AB245="Y"," 4"&amp;CHAR(34)&amp;" HEAD","")&amp;" "&amp;IFERROR(VLOOKUP($H245,CODES,2,FALSE),"")&amp;IF($CT245," | LOC "&amp;$CY245,"")))</f>
        <v/>
      </c>
      <c r="CK245" s="100">
        <f>IF(NOT(AND($A245&lt;&gt;"",N($BJ245)&gt;0)),"",TRIM(IFERROR(VLOOKUP($AH245,CODES,2,FALSE),"")&amp;IF($AI245=""," "," "&amp;$AI245&amp;"GA ")&amp;$BG245&amp;" "&amp;IF($AN245="",IFERROR(VLOOKUP($Z245,CODES,2,FALSE),""),IFERROR(VLOOKUP($AN245,CODES,2,FALSE),""))&amp;IF($BJ245=2," PAIR","")&amp;" DOOR | "&amp;IF($AL245="","?",$AL245)&amp;" | "&amp;IF($AO245="",IFERROR(VLOOKUP($AC245,CODES,2,FALSE),""),IFERROR(VLOOKUP($AO245,CODES,2,FALSE),""))&amp;" "&amp;IFERROR(VLOOKUP($AP245,CODES,2,FALSE),"")&amp;IF(OR($AQ245="",$AQ245="-"),""," SEAM "&amp;$AQ245)&amp;IF($AR245="Y"," ASTRAGAL","")&amp;IF($AJ245=""," "," "&amp;$AJ245)&amp;IF($AK245=""," "," "&amp;$AK245)&amp;IF(OR($AT245="",$AT245="ANSI/SDI",$AT245="CUSTOM LOC"),""," "&amp;$AT245)&amp;IF($AM245=""," "," SERIES "&amp;$AM245)&amp;" "&amp;IFERROR(VLOOKUP($H245,CODES,2,FALSE),"")&amp;IF($CT245," | LOC "&amp;$CZ245,"")))</f>
        <v/>
      </c>
      <c r="CL245" s="99">
        <f>IF(CP245="","",IF(COUNTIF($CP$6:CP245,CP245)=1,MAX($CL$5:CL244)+1,INDEX($CL$5:CL244,MATCH(CP245,$CP$5:CP244,0))))</f>
        <v/>
      </c>
      <c r="CM245" s="99">
        <f>IF(NOT(AND($A245&lt;&gt;"",$C245&lt;&gt;"DOOR ONLY")),"",MAX($CM$5:CM244)+1)</f>
        <v/>
      </c>
      <c r="CN245" s="99">
        <f>IF(NOT(AND($A245&lt;&gt;"",N($BJ245)&gt;0)),"",MAX($CN$5:CN244)+1)</f>
        <v/>
      </c>
      <c r="CO245" s="99">
        <f>IF($A245="","",MAX($CO$5:CO244)+1)</f>
        <v/>
      </c>
      <c r="CP245" s="99">
        <f>IF(OR($A245="",$BH245="",$BI245=""),"",$BG245&amp;"|"&amp;$O245&amp;"|"&amp;$AL245&amp;"|"&amp;$S245&amp;"|"&amp;$P245&amp;"|"&amp;$Q245&amp;$R245&amp;"|"&amp;$C245&amp;"|"&amp;$AB245)</f>
        <v/>
      </c>
      <c r="CQ245" s="99">
        <f>N($BS245)</f>
        <v/>
      </c>
      <c r="CR245" s="99">
        <f>IF(N($AU245)&gt;0,N($AU245),4.5)</f>
        <v/>
      </c>
      <c r="CS245" s="99">
        <f>OR($A245="",$BI245="",$S245="BL",AND($C245="FRAME ONLY",OR($AC245="",$AC245="BLK")))</f>
        <v/>
      </c>
      <c r="CT245" s="99">
        <f>AND(NOT($CS245),OR($AT245="CUSTOM LOC",N($AW245)+N($AX245)+N($AY245)+N($AZ245)+N($BA245)&gt;0))</f>
        <v/>
      </c>
      <c r="CU245" s="99">
        <f>IF($BI245="","",IF($BI245&lt;=80,80,IF($BI245&lt;=84,84,96)))</f>
        <v/>
      </c>
      <c r="CV245" s="99">
        <f>ISNUMBER(MATCH($AT245&amp;"|80",LocKeys,0))</f>
        <v/>
      </c>
      <c r="CW245" s="101">
        <f>IF($CS245,"",IF($CV245,VLOOKUP($AT245&amp;"|"&amp;$CU245,LocTable,4,FALSE),5))</f>
        <v/>
      </c>
      <c r="CX245" s="101">
        <f>IF($CS245,"",IF($CV245,IF(OR($BI245=$CU245,AND($BI245&lt;$CU245,$BI245-IF(N(VLOOKUP($AT245&amp;"|"&amp;$CU245,LocTable,7,FALSE))&gt;0,VLOOKUP($AT245&amp;"|"&amp;$CU245,LocTable,7,FALSE),VLOOKUP($AT245&amp;"|"&amp;$CU245,LocTable,6,FALSE))-$CR245-0.75&gt;=2.125)),IF(N(VLOOKUP($AT245&amp;"|"&amp;$CU245,LocTable,7,FALSE))&gt;0,VLOOKUP($AT245&amp;"|"&amp;$CU245,LocTable,7,FALSE),VLOOKUP($AT245&amp;"|"&amp;$CU245,LocTable,6,FALSE)),$BI245-($CU245-IF(N(VLOOKUP($AT245&amp;"|"&amp;$CU245,LocTable,7,FALSE))&gt;0,VLOOKUP($AT245&amp;"|"&amp;$CU245,LocTable,7,FALSE),VLOOKUP($AT245&amp;"|"&amp;$CU245,LocTable,6,FALSE)))),$BI245-10-$CR245))</f>
        <v/>
      </c>
      <c r="CY245" s="100">
        <f>IF($CS245,"",TRIM(IF(ISNUMBER($BU245),"A "&amp;TRIM(TEXT($BU245,"# ?/??"))&amp;CHAR(34)&amp;"  ","")&amp;IF(ISNUMBER($BV245),"B "&amp;TRIM(TEXT($BV245,"# ?/??"))&amp;CHAR(34)&amp;"  ","")&amp;IF(ISNUMBER($BW245),"C "&amp;TRIM(TEXT($BW245,"# ?/??"))&amp;CHAR(34)&amp;"  ","")&amp;IF(ISNUMBER($BX245),"D "&amp;TRIM(TEXT($BX245,"# ?/??"))&amp;CHAR(34)&amp;"  ","")&amp;IF(ISNUMBER($BY245),"F "&amp;TRIM(TEXT($BY245,"# ?/??"))&amp;CHAR(34)&amp;"  ","")&amp;IF(ISNUMBER($BZ245),"E "&amp;TRIM(TEXT($BZ245,"# ?/??"))&amp;CHAR(34)&amp;"  ","")))</f>
        <v/>
      </c>
      <c r="CZ245" s="100">
        <f>IF(OR($CS245,N($BJ245)=0),"",TRIM(IF(ISNUMBER($BU245),"A "&amp;TRIM(TEXT($BU245-HeadClr,"# ?/??"))&amp;CHAR(34)&amp;"  ","")&amp;IF(ISNUMBER($BV245),"B "&amp;TRIM(TEXT($BV245-HeadClr,"# ?/??"))&amp;CHAR(34)&amp;"  ","")&amp;IF(ISNUMBER($BW245),"C "&amp;TRIM(TEXT($BW245-HeadClr,"# ?/??"))&amp;CHAR(34)&amp;"  ","")&amp;IF(ISNUMBER($BX245),"D "&amp;TRIM(TEXT($BX245-HeadClr,"# ?/??"))&amp;CHAR(34)&amp;"  ","")&amp;IF(ISNUMBER($BY245),"F "&amp;TRIM(TEXT($BY245-HeadClr,"# ?/??"))&amp;CHAR(34)&amp;"  ","")&amp;IF(ISNUMBER($BZ245),"E "&amp;TRIM(TEXT($BZ245-HeadClr,"# ?/??"))&amp;CHAR(34)&amp;"  ","")))</f>
        <v/>
      </c>
      <c r="DA245" s="99">
        <f>IF($A245="","",IF($AN245="",IFERROR(VLOOKUP($Z245,CODES,2,FALSE),""),IFERROR(VLOOKUP($AN245,CODES,2,FALSE),"")))</f>
        <v/>
      </c>
      <c r="DB245" s="99">
        <f>IF($A245="","",IF($O245="Y","PR",IF(OR($Z245="L",$Z245="RR",LEFT($Z245,2)="L-",LEFT($Z245,3)="RR-"),"LH","RH")))</f>
        <v/>
      </c>
      <c r="DC245" s="99">
        <f>IF($A245="","","S.HM"&amp;IF(OR($C245="DOOR ONLY",$X245&lt;&gt;"KD"),"MASONRY","DRYWALL")&amp;IF($C245="DOOR ONLY","",$U245)&amp;IF(AND($C245&lt;&gt;"FRAME ONLY",OR(LEFT($AH245,3)="OAK",LEFT($AH245,3)="BIR",LEFT($AH245,3)="MAP",$AH245="PC",$AH245="MC",$AH245="SCLC",$AH245="P-LAM")),"WD","HM")&amp;"1.75")</f>
        <v/>
      </c>
      <c r="DD245" s="99">
        <f>IF($CJ245="","",IF($O245="Y",$CJ245,SUBSTITUTE($CJ245,$BG245&amp;" "&amp;IFERROR(VLOOKUP($Z245,CODES,2,FALSE),"")&amp;" ",$BG245&amp;" ")))</f>
        <v/>
      </c>
      <c r="DE245" s="99">
        <f>IF($CK245="","",IF($O245="Y",$CK245,SUBSTITUTE($CK245,$BG245&amp;" "&amp;IF($AN245="",IFERROR(VLOOKUP($Z245,CODES,2,FALSE),""),IFERROR(VLOOKUP($AN245,CODES,2,FALSE),""))&amp;" ",$BG245&amp;" ")))</f>
        <v/>
      </c>
      <c r="DF245" s="99">
        <f>IF($CJ245="","",$DC245&amp;"|"&amp;$DD245&amp;"|"&amp;$DB245&amp;"|"&amp;$AT245&amp;"|"&amp;$V245&amp;"|"&amp;$Y245&amp;"|"&amp;$AB245)</f>
        <v/>
      </c>
      <c r="DG245" s="99">
        <f>IF(DF245="","",IF(COUNTIF($DF$6:DF245,DF245)=1,MAX($DG$5:DG244)+1,INDEX($DG$5:DG244,MATCH(DF245,$DF$5:DF244,0))))</f>
        <v/>
      </c>
      <c r="DH245" s="99">
        <f>IF($CK245="","",$DC245&amp;"|"&amp;$DE245&amp;"|"&amp;$AI245&amp;"|"&amp;$BK245&amp;"|"&amp;$BL245)</f>
        <v/>
      </c>
      <c r="DI245" s="99">
        <f>IF(DH245="","",IF(COUNTIF($DH$6:DH245,DH245)=1,MAX($DI$5:DI244)+1,INDEX($DI$5:DI244,MATCH(DH245,$DH$5:DH244,0))))</f>
        <v/>
      </c>
      <c r="DJ245" s="99">
        <f>IF($A245="","",IF($B245="","qty, ","")&amp;IF($C245="","scope, ","")&amp;IF(OR($K245="",$M245=""),"size, ","")&amp;IF(AND($A245&lt;&gt;"",$C245&lt;&gt;"DOOR ONLY"),IF($U245="","jamb depth, ","")&amp;IF($X245="","construction, ","")&amp;IF($Y245="","anchor, ","")&amp;IF($S245="","frame type, ",""),"")&amp;IF(AND(N($BJ245)&gt;0,$Z245=""),"hand, ","")&amp;IF(N($BJ245)&gt;0,IF($AH245="","door material, ","")&amp;IF($AL245="","face type, ","")&amp;IF($AP245="","lock prep, ","")&amp;IF(AND($AO245="",$AC245=""),"hinge prep, ",""),"")&amp;IF(AND($CH245&gt;0,$AH245="FRP"),"FRP cannot carry a label, ","")&amp;IF(AND($O245="Y",OR($Z245="L",$Z245="R",$Z245="LR",$Z245="RR")),"pair marked but hand is single, ","")&amp;IF(AND($O245&lt;&gt;"Y",OR($Z245="PR",AND(LEN($Z245)&gt;1,ISNUMBER(SEARCH("-",$Z245))))),"pair hand on a single door, ","")&amp;IF(AND(ISNUMBER($CI245),$CH245&lt;N($CI245)),"wall needs a "&amp;$CI245&amp;" min door, ","")&amp;IF(AND($CH245&gt;=180,AND(OR($CE245="FG",$CE245="HG",$CE245="FNV",$CE245="FV"),N($CF245)*N($CG245)&gt;100)),"180 min lite over 100 sq in, ","")&amp;IF(N($BK245)&gt;48,"leaf wider than 4'-0"&amp;CHAR(34)&amp;", ","")&amp;IF(AND($CT245,COUNT($AW245:$AZ245)=0,$CQ245&gt;0),"CUSTOM LOC with no locations typed, ",""))</f>
        <v/>
      </c>
      <c r="DK245" s="99">
        <f>IF($A245="","",IF(AND($CH245&gt;0,AND($A245&lt;&gt;"",$C245&lt;&gt;"DOOR ONLY"),$X245="KD",$E245="EXTERIOR"),"KD label on an exterior opening, ","")&amp;IF(AND($E245="EXTERIOR",OR(AND(AND($A245&lt;&gt;"",$C245&lt;&gt;"DOOR ONLY"),$W245="CR"),AND(N($BJ245)&gt;0,$AH245="CR"))),"exterior in CR steel (G9?), ","")&amp;IF(AND(ISNUMBER($BQ245),N($BQ245)&lt;32),"clear width ~"&amp;TEXT($BQ245,"0.0")&amp;CHAR(34)&amp;" under 32"&amp;CHAR(34)&amp;" (ADA), ","")&amp;IF(AND($CH245=90,AND(OR($CE245="FG",$CE245="HG",$CE245="FNV",$CE245="FV"),N($CF245)*N($CG245)&gt;100)),"90 min lite over 100 sq in (stair/exit), ","")&amp;IF(AND($CH245&gt;0,AND($A245&lt;&gt;"",$C245&lt;&gt;"DOOR ONLY"),OR($AF245="",$AF245="-")),"rated: closer reinf.?, ","")&amp;IF(OR($I245="CORRIDOR",$I245="SMOKE BARRIER"),"S label + smoke gasketing, ","")&amp;IF($CI245="?","wall type/hr not in IBC table, ","")&amp;IF(AND(N($BJ245)&gt;0,$BB245=""),"no hardware set, ","")&amp;IF(AND($BB245&lt;&gt;"",ISNA(MATCH($BB245&amp;"",HWSets,0))),"set "&amp;$BB245&amp;" not on HW Sets, ","")&amp;IF(N($BL245)&gt;96,"leaf over 8'-0"&amp;CHAR(34)&amp;" - check listing, ","")&amp;IF(AND($CT245,COUNT($AW245:$AZ245)&gt;0,COUNT($AW245:$AZ245)&lt;&gt;$CQ245),COUNT($AW245:$AZ245)&amp;" custom hinges typed, "&amp;$CQ245&amp;" expected, ","")&amp;IF(AND(ISNUMBER($CA245),OR(N($CA245)&lt;34,N($CA245)&gt;48)),"lock "&amp;TEXT($CA245,"0.0")&amp;CHAR(34)&amp;" AFF outside 34-48"&amp;CHAR(34)&amp;" (ADA), ","")&amp;IF(AND(ISNUMBER($AV245),ISNUMBER($BL245),N($AV245)&lt;IF(N($BL245)&lt;=60,2,IF(N($BL245)&lt;=90,3,IF(N($BL245)&lt;=120,4,5)))),"fewer hinges than standard, ",""))</f>
        <v/>
      </c>
    </row>
    <row r="246" ht="15" customHeight="1">
      <c r="A246" s="77" t="n"/>
      <c r="B246" s="78" t="n"/>
      <c r="C246" s="78" t="n"/>
      <c r="D246" s="78" t="n"/>
      <c r="E246" s="78" t="n"/>
      <c r="F246" s="78" t="n"/>
      <c r="G246" s="78" t="n"/>
      <c r="H246" s="78" t="n"/>
      <c r="I246" s="78" t="n"/>
      <c r="J246" s="78" t="n"/>
      <c r="K246" s="78" t="n"/>
      <c r="L246" s="78" t="n"/>
      <c r="M246" s="78" t="n"/>
      <c r="N246" s="78" t="n"/>
      <c r="O246" s="78" t="n"/>
      <c r="P246" s="78" t="n"/>
      <c r="Q246" s="78" t="n"/>
      <c r="R246" s="78" t="n"/>
      <c r="S246" s="79" t="n"/>
      <c r="T246" s="79" t="n"/>
      <c r="U246" s="79" t="n"/>
      <c r="V246" s="79" t="n"/>
      <c r="W246" s="79" t="n"/>
      <c r="X246" s="79" t="n"/>
      <c r="Y246" s="79" t="n"/>
      <c r="Z246" s="79" t="n"/>
      <c r="AA246" s="79" t="n"/>
      <c r="AB246" s="79" t="n"/>
      <c r="AC246" s="79" t="n"/>
      <c r="AD246" s="79" t="n"/>
      <c r="AE246" s="79" t="n"/>
      <c r="AF246" s="79" t="n"/>
      <c r="AG246" s="79" t="n"/>
      <c r="AH246" s="80" t="n"/>
      <c r="AI246" s="80" t="n"/>
      <c r="AJ246" s="80" t="n"/>
      <c r="AK246" s="80" t="n"/>
      <c r="AL246" s="80" t="n"/>
      <c r="AM246" s="80" t="n"/>
      <c r="AN246" s="80" t="n"/>
      <c r="AO246" s="80" t="n"/>
      <c r="AP246" s="80" t="n"/>
      <c r="AQ246" s="80" t="n"/>
      <c r="AR246" s="80" t="n"/>
      <c r="AS246" s="80" t="n"/>
      <c r="AT246" s="81" t="n"/>
      <c r="AU246" s="81" t="n"/>
      <c r="AV246" s="81" t="n"/>
      <c r="AW246" s="82" t="n"/>
      <c r="AX246" s="82" t="n"/>
      <c r="AY246" s="82" t="n"/>
      <c r="AZ246" s="82" t="n"/>
      <c r="BA246" s="82" t="n"/>
      <c r="BB246" s="83" t="n"/>
      <c r="BC246" s="83" t="n"/>
      <c r="BD246" s="84">
        <f>IF($A246="","",IF($DJ246&lt;&gt;"","FIX",IF($DK246&lt;&gt;"","CHECK","OK")))</f>
        <v/>
      </c>
      <c r="BE246" s="85">
        <f>IF($A246="","",IF($DJ246&lt;&gt;"","FIX: "&amp;LEFT($DJ246,LEN($DJ246)-2)&amp;IF($DK246&lt;&gt;"","  ·  ",""),"")&amp;IF($DK246&lt;&gt;"","CHECK: "&amp;LEFT($DK246,LEN($DK246)-2),""))</f>
        <v/>
      </c>
      <c r="BF246" s="84">
        <f>IF(OR($A246="",$K246=""),"",$K246&amp;"'-"&amp;N($L246)&amp;CHAR(34)&amp;" x "&amp;$M246&amp;"'-"&amp;N($N246)&amp;CHAR(34))</f>
        <v/>
      </c>
      <c r="BG246" s="84">
        <f>IF(OR($A246="",$K246=""),"",$K246&amp;N($L246)&amp;$M246&amp;N($N246))</f>
        <v/>
      </c>
      <c r="BH246" s="84">
        <f>IF(OR($A246="",$K246=""),"",$K246*12+N($L246))</f>
        <v/>
      </c>
      <c r="BI246" s="84">
        <f>IF(OR($A246="",$M246=""),"",$M246*12+N($N246))</f>
        <v/>
      </c>
      <c r="BJ246" s="84">
        <f>IF($A246="","",IF(OR($C246="FRAME ONLY",$S246="BL"),0,IF($O246="Y",2,1)))</f>
        <v/>
      </c>
      <c r="BK246" s="86">
        <f>IF(OR(N($BJ246)=0,$BH246=""),"",($BH246-2*EdgeClr-IF($BJ246=2,MeetClr,0))/$BJ246)</f>
        <v/>
      </c>
      <c r="BL246" s="86">
        <f>IF(OR(N($BJ246)=0,$BI246=""),"",$BI246-HeadClr-Undercut)</f>
        <v/>
      </c>
      <c r="BM246" s="86">
        <f>IF($BH246="","",$BH246+2*FaceW+IF(N($Q246)&gt;0,($Q246+FaceW)*IF($R246="LR",2,1),0))</f>
        <v/>
      </c>
      <c r="BN246" s="86">
        <f>IF($BI246="","",$BI246+IF($AB246="Y",4,FaceW)+IF(N($P246)&gt;0,$P246+FaceW,0)+IF(OR($S246="4F",$S246="BL"),FaceW,0))</f>
        <v/>
      </c>
      <c r="BO246" s="86">
        <f>IF($BM246="","",$BM246+2*ROSide)</f>
        <v/>
      </c>
      <c r="BP246" s="86">
        <f>IF($BN246="","",$BN246+ROTop)</f>
        <v/>
      </c>
      <c r="BQ246" s="87">
        <f>IF(OR(N($BJ246)=0,$BH246=""),"",$BH246/$BJ246-ClearDeduct)</f>
        <v/>
      </c>
      <c r="BR246" s="84">
        <f>IF(N($CH246)=0,"",IF($CH246&gt;=180,"A · 3 HR",IF($CH246&gt;=90,"B · 1-1/2 HR",IF($CH246&gt;=60,"B · 1 HR",IF($CH246&gt;=45,"C · 3/4 HR","20 MIN")))))&amp;IF(AND(N($CH246)&gt;0,OR($I246="CORRIDOR",$I246="SMOKE BARRIER"))," · S","")</f>
        <v/>
      </c>
      <c r="BS246" s="84">
        <f>IF($CS246,"",IF($AV246&lt;&gt;"",$AV246,IF(OR($AC246="HGC",$AO246="HGC"),"CONT",IF(($BI246-HeadClr-Undercut)&lt;=60,2,IF(($BI246-HeadClr-Undercut)&lt;=90,3,IF(($BI246-HeadClr-Undercut)&lt;=120,4,5))))))</f>
        <v/>
      </c>
      <c r="BT246" s="84">
        <f>IF($CS246,"",IF($CT246,"CUSTOM (typed)",IF($CV246,$AT246&amp;" "&amp;$CU246&amp;CHAR(34)&amp;IF($CU246&lt;&gt;$BI246,IF(AND($BI246&lt;$CU246,$BI246-IF(N(VLOOKUP($AT246&amp;"|"&amp;$CU246,LocTable,7,FALSE))&gt;0,VLOOKUP($AT246&amp;"|"&amp;$CU246,LocTable,7,FALSE),VLOOKUP($AT246&amp;"|"&amp;$CU246,LocTable,6,FALSE))-$CR246-0.75&gt;=2.125)," cut down"," adj."),""),"ANSI/SDI A250.6")))</f>
        <v/>
      </c>
      <c r="BU246" s="88">
        <f>IF($CS246,"",IF($CT246,IF(N($AW246)&gt;0,N($AW246),""),IF(1&gt;$CQ246,"",IF($CQ246=1,$CW246,$CW246+($CX246-$CW246)*0/($CQ246-1)))))</f>
        <v/>
      </c>
      <c r="BV246" s="88">
        <f>IF($CS246,"",IF($CT246,IF(N($AX246)&gt;0,N($AX246),""),IF(2&gt;$CQ246,"",IF($CQ246=1,$CW246,$CW246+($CX246-$CW246)*1/($CQ246-1)))))</f>
        <v/>
      </c>
      <c r="BW246" s="88">
        <f>IF($CS246,"",IF($CT246,IF(N($AY246)&gt;0,N($AY246),""),IF(3&gt;$CQ246,"",IF($CQ246=1,$CW246,$CW246+($CX246-$CW246)*2/($CQ246-1)))))</f>
        <v/>
      </c>
      <c r="BX246" s="88">
        <f>IF($CS246,"",IF($CT246,IF(N($AZ246)&gt;0,N($AZ246),""),IF(4&gt;$CQ246,"",IF($CQ246=1,$CW246,$CW246+($CX246-$CW246)*3/($CQ246-1)))))</f>
        <v/>
      </c>
      <c r="BY246" s="88">
        <f>IF($CS246,"",IF($CT246,"",IF(5&gt;$CQ246,"",IF($CQ246=1,$CW246,$CW246+($CX246-$CW246)*4/($CQ246-1)))))</f>
        <v/>
      </c>
      <c r="BZ246" s="88">
        <f>IF(OR($CS246,$AP246="-",AND($AP246="",$AD246="")),"",IF(N($BA246)&gt;0,N($BA246),IF($CV246,IF(AND($BI246&lt;$CU246,$BI246-IF(N(VLOOKUP($AT246&amp;"|"&amp;$CU246,LocTable,7,FALSE))&gt;0,VLOOKUP($AT246&amp;"|"&amp;$CU246,LocTable,7,FALSE),VLOOKUP($AT246&amp;"|"&amp;$CU246,LocTable,6,FALSE))-$CR246-0.75&gt;=2.125),VLOOKUP($AT246&amp;"|"&amp;$CU246,LocTable,8,FALSE),VLOOKUP($AT246&amp;"|"&amp;$CU246,LocTable,8,FALSE)+($BI246-$CU246)),$BI246-LockAFF)))</f>
        <v/>
      </c>
      <c r="CA246" s="89">
        <f>IF($BZ246="","",$BI246-$BZ246)</f>
        <v/>
      </c>
      <c r="CB246" s="84">
        <f>IF(OR(NOT(AND($A246&lt;&gt;"",$C246&lt;&gt;"DOOR ONLY")),$BI246=""),"",IF(($BI246+IF(N($P246)&gt;0,$P246+FaceW,0))&lt;=90,3,IF(($BI246+IF(N($P246)&gt;0,$P246+FaceW,0))&lt;=114,4,5)))</f>
        <v/>
      </c>
      <c r="CC246" s="84">
        <f>IF($CB246="","",$CB246*(2+IF(N($Q246)&gt;0,IF($R246="LR",2,1),0)))</f>
        <v/>
      </c>
      <c r="CD246" s="84">
        <f>IF($CB246="","",(2+IF(N($Q246)&gt;0,IF($R246="LR",2,1),0)))</f>
        <v/>
      </c>
      <c r="CE246" s="84">
        <f>IF(N($BJ246)=0,"",IF(OR($AL246="",$AL246="FLUSH"),"FLUSH",IFERROR(LEFT($AL246,FIND("-",$AL246)-1),LEFT($AL246,2))))</f>
        <v/>
      </c>
      <c r="CF246" s="84">
        <f>IF($CE246="","",IFERROR(VALUE(MID($AL246,FIND("-",$AL246)+1,FIND(CHAR(34)&amp;"x",$AL246)-FIND("-",$AL246)-1)),0))</f>
        <v/>
      </c>
      <c r="CG246" s="84">
        <f>IF($CE246="","",IFERROR(VALUE(MID($AL246,FIND(CHAR(34)&amp;"x",$AL246)+2,FIND(CHAR(34),$AL246,FIND(CHAR(34)&amp;"x",$AL246)+2)-FIND(CHAR(34)&amp;"x",$AL246)-2)),0))</f>
        <v/>
      </c>
      <c r="CH246" s="90">
        <f>IF(OR($A246="",$H246="",$H246="NO LAB"),0,IFERROR(VALUE(LEFT($H246,FIND(" ",$H246)-1)),0))</f>
        <v/>
      </c>
      <c r="CI246" s="91">
        <f>IF(OR($A246="",$I246="",$I246="NON-RATED",N($J246)=0),"",IFERROR(VLOOKUP($I246&amp;"|"&amp;$J246,IBC,2,FALSE),"?"))</f>
        <v/>
      </c>
      <c r="CJ246" s="85">
        <f>IF(NOT(AND($A246&lt;&gt;"",$C246&lt;&gt;"DOOR ONLY")),"",TRIM(IFERROR(VLOOKUP($U246,CODES,2,FALSE),"")&amp;" "&amp;$BG246&amp;" "&amp;IFERROR(VLOOKUP($Z246,CODES,2,FALSE),"")&amp;" "&amp;IFERROR(VLOOKUP($X246,CODES,2,FALSE),"")&amp;" "&amp;IFERROR(VLOOKUP($S246,CODES,2,FALSE),"")&amp;IF(N($P246)&gt;0," w/TRANSOM "&amp;$P246&amp;CHAR(34),"")&amp;IF(N($Q246)&gt;0," w/SIDELITE "&amp;$Q246&amp;CHAR(34)&amp;" "&amp;IF($R246="","R",$R246),"")&amp;IF($Y246="","  |  "," | "&amp;IFERROR(VLOOKUP($Y246,CODES,2,FALSE),"")&amp;" | ")&amp;IFERROR(VLOOKUP($AC246,CODES,2,FALSE),"")&amp;" "&amp;IFERROR(VLOOKUP($AD246,CODES,2,FALSE),"")&amp;IF(OR($AE246="",$AE246="-"),""," "&amp;$AE246)&amp;IF(OR($AF246="",$AF246="-"),""," "&amp;$AF246)&amp;IF($AB246="Y"," 4"&amp;CHAR(34)&amp;" HEAD","")&amp;" "&amp;IFERROR(VLOOKUP($H246,CODES,2,FALSE),"")&amp;IF($CT246," | LOC "&amp;$CY246,"")))</f>
        <v/>
      </c>
      <c r="CK246" s="85">
        <f>IF(NOT(AND($A246&lt;&gt;"",N($BJ246)&gt;0)),"",TRIM(IFERROR(VLOOKUP($AH246,CODES,2,FALSE),"")&amp;IF($AI246=""," "," "&amp;$AI246&amp;"GA ")&amp;$BG246&amp;" "&amp;IF($AN246="",IFERROR(VLOOKUP($Z246,CODES,2,FALSE),""),IFERROR(VLOOKUP($AN246,CODES,2,FALSE),""))&amp;IF($BJ246=2," PAIR","")&amp;" DOOR | "&amp;IF($AL246="","?",$AL246)&amp;" | "&amp;IF($AO246="",IFERROR(VLOOKUP($AC246,CODES,2,FALSE),""),IFERROR(VLOOKUP($AO246,CODES,2,FALSE),""))&amp;" "&amp;IFERROR(VLOOKUP($AP246,CODES,2,FALSE),"")&amp;IF(OR($AQ246="",$AQ246="-"),""," SEAM "&amp;$AQ246)&amp;IF($AR246="Y"," ASTRAGAL","")&amp;IF($AJ246=""," "," "&amp;$AJ246)&amp;IF($AK246=""," "," "&amp;$AK246)&amp;IF(OR($AT246="",$AT246="ANSI/SDI",$AT246="CUSTOM LOC"),""," "&amp;$AT246)&amp;IF($AM246=""," "," SERIES "&amp;$AM246)&amp;" "&amp;IFERROR(VLOOKUP($H246,CODES,2,FALSE),"")&amp;IF($CT246," | LOC "&amp;$CZ246,"")))</f>
        <v/>
      </c>
      <c r="CL246" s="84">
        <f>IF(CP246="","",IF(COUNTIF($CP$6:CP246,CP246)=1,MAX($CL$5:CL245)+1,INDEX($CL$5:CL245,MATCH(CP246,$CP$5:CP245,0))))</f>
        <v/>
      </c>
      <c r="CM246" s="84">
        <f>IF(NOT(AND($A246&lt;&gt;"",$C246&lt;&gt;"DOOR ONLY")),"",MAX($CM$5:CM245)+1)</f>
        <v/>
      </c>
      <c r="CN246" s="84">
        <f>IF(NOT(AND($A246&lt;&gt;"",N($BJ246)&gt;0)),"",MAX($CN$5:CN245)+1)</f>
        <v/>
      </c>
      <c r="CO246" s="84">
        <f>IF($A246="","",MAX($CO$5:CO245)+1)</f>
        <v/>
      </c>
      <c r="CP246" s="84">
        <f>IF(OR($A246="",$BH246="",$BI246=""),"",$BG246&amp;"|"&amp;$O246&amp;"|"&amp;$AL246&amp;"|"&amp;$S246&amp;"|"&amp;$P246&amp;"|"&amp;$Q246&amp;$R246&amp;"|"&amp;$C246&amp;"|"&amp;$AB246)</f>
        <v/>
      </c>
      <c r="CQ246" s="84">
        <f>N($BS246)</f>
        <v/>
      </c>
      <c r="CR246" s="84">
        <f>IF(N($AU246)&gt;0,N($AU246),4.5)</f>
        <v/>
      </c>
      <c r="CS246" s="84">
        <f>OR($A246="",$BI246="",$S246="BL",AND($C246="FRAME ONLY",OR($AC246="",$AC246="BLK")))</f>
        <v/>
      </c>
      <c r="CT246" s="84">
        <f>AND(NOT($CS246),OR($AT246="CUSTOM LOC",N($AW246)+N($AX246)+N($AY246)+N($AZ246)+N($BA246)&gt;0))</f>
        <v/>
      </c>
      <c r="CU246" s="84">
        <f>IF($BI246="","",IF($BI246&lt;=80,80,IF($BI246&lt;=84,84,96)))</f>
        <v/>
      </c>
      <c r="CV246" s="84">
        <f>ISNUMBER(MATCH($AT246&amp;"|80",LocKeys,0))</f>
        <v/>
      </c>
      <c r="CW246" s="86">
        <f>IF($CS246,"",IF($CV246,VLOOKUP($AT246&amp;"|"&amp;$CU246,LocTable,4,FALSE),5))</f>
        <v/>
      </c>
      <c r="CX246" s="86">
        <f>IF($CS246,"",IF($CV246,IF(OR($BI246=$CU246,AND($BI246&lt;$CU246,$BI246-IF(N(VLOOKUP($AT246&amp;"|"&amp;$CU246,LocTable,7,FALSE))&gt;0,VLOOKUP($AT246&amp;"|"&amp;$CU246,LocTable,7,FALSE),VLOOKUP($AT246&amp;"|"&amp;$CU246,LocTable,6,FALSE))-$CR246-0.75&gt;=2.125)),IF(N(VLOOKUP($AT246&amp;"|"&amp;$CU246,LocTable,7,FALSE))&gt;0,VLOOKUP($AT246&amp;"|"&amp;$CU246,LocTable,7,FALSE),VLOOKUP($AT246&amp;"|"&amp;$CU246,LocTable,6,FALSE)),$BI246-($CU246-IF(N(VLOOKUP($AT246&amp;"|"&amp;$CU246,LocTable,7,FALSE))&gt;0,VLOOKUP($AT246&amp;"|"&amp;$CU246,LocTable,7,FALSE),VLOOKUP($AT246&amp;"|"&amp;$CU246,LocTable,6,FALSE)))),$BI246-10-$CR246))</f>
        <v/>
      </c>
      <c r="CY246" s="85">
        <f>IF($CS246,"",TRIM(IF(ISNUMBER($BU246),"A "&amp;TRIM(TEXT($BU246,"# ?/??"))&amp;CHAR(34)&amp;"  ","")&amp;IF(ISNUMBER($BV246),"B "&amp;TRIM(TEXT($BV246,"# ?/??"))&amp;CHAR(34)&amp;"  ","")&amp;IF(ISNUMBER($BW246),"C "&amp;TRIM(TEXT($BW246,"# ?/??"))&amp;CHAR(34)&amp;"  ","")&amp;IF(ISNUMBER($BX246),"D "&amp;TRIM(TEXT($BX246,"# ?/??"))&amp;CHAR(34)&amp;"  ","")&amp;IF(ISNUMBER($BY246),"F "&amp;TRIM(TEXT($BY246,"# ?/??"))&amp;CHAR(34)&amp;"  ","")&amp;IF(ISNUMBER($BZ246),"E "&amp;TRIM(TEXT($BZ246,"# ?/??"))&amp;CHAR(34)&amp;"  ","")))</f>
        <v/>
      </c>
      <c r="CZ246" s="85">
        <f>IF(OR($CS246,N($BJ246)=0),"",TRIM(IF(ISNUMBER($BU246),"A "&amp;TRIM(TEXT($BU246-HeadClr,"# ?/??"))&amp;CHAR(34)&amp;"  ","")&amp;IF(ISNUMBER($BV246),"B "&amp;TRIM(TEXT($BV246-HeadClr,"# ?/??"))&amp;CHAR(34)&amp;"  ","")&amp;IF(ISNUMBER($BW246),"C "&amp;TRIM(TEXT($BW246-HeadClr,"# ?/??"))&amp;CHAR(34)&amp;"  ","")&amp;IF(ISNUMBER($BX246),"D "&amp;TRIM(TEXT($BX246-HeadClr,"# ?/??"))&amp;CHAR(34)&amp;"  ","")&amp;IF(ISNUMBER($BY246),"F "&amp;TRIM(TEXT($BY246-HeadClr,"# ?/??"))&amp;CHAR(34)&amp;"  ","")&amp;IF(ISNUMBER($BZ246),"E "&amp;TRIM(TEXT($BZ246-HeadClr,"# ?/??"))&amp;CHAR(34)&amp;"  ","")))</f>
        <v/>
      </c>
      <c r="DA246" s="84">
        <f>IF($A246="","",IF($AN246="",IFERROR(VLOOKUP($Z246,CODES,2,FALSE),""),IFERROR(VLOOKUP($AN246,CODES,2,FALSE),"")))</f>
        <v/>
      </c>
      <c r="DB246" s="84">
        <f>IF($A246="","",IF($O246="Y","PR",IF(OR($Z246="L",$Z246="RR",LEFT($Z246,2)="L-",LEFT($Z246,3)="RR-"),"LH","RH")))</f>
        <v/>
      </c>
      <c r="DC246" s="84">
        <f>IF($A246="","","S.HM"&amp;IF(OR($C246="DOOR ONLY",$X246&lt;&gt;"KD"),"MASONRY","DRYWALL")&amp;IF($C246="DOOR ONLY","",$U246)&amp;IF(AND($C246&lt;&gt;"FRAME ONLY",OR(LEFT($AH246,3)="OAK",LEFT($AH246,3)="BIR",LEFT($AH246,3)="MAP",$AH246="PC",$AH246="MC",$AH246="SCLC",$AH246="P-LAM")),"WD","HM")&amp;"1.75")</f>
        <v/>
      </c>
      <c r="DD246" s="84">
        <f>IF($CJ246="","",IF($O246="Y",$CJ246,SUBSTITUTE($CJ246,$BG246&amp;" "&amp;IFERROR(VLOOKUP($Z246,CODES,2,FALSE),"")&amp;" ",$BG246&amp;" ")))</f>
        <v/>
      </c>
      <c r="DE246" s="84">
        <f>IF($CK246="","",IF($O246="Y",$CK246,SUBSTITUTE($CK246,$BG246&amp;" "&amp;IF($AN246="",IFERROR(VLOOKUP($Z246,CODES,2,FALSE),""),IFERROR(VLOOKUP($AN246,CODES,2,FALSE),""))&amp;" ",$BG246&amp;" ")))</f>
        <v/>
      </c>
      <c r="DF246" s="84">
        <f>IF($CJ246="","",$DC246&amp;"|"&amp;$DD246&amp;"|"&amp;$DB246&amp;"|"&amp;$AT246&amp;"|"&amp;$V246&amp;"|"&amp;$Y246&amp;"|"&amp;$AB246)</f>
        <v/>
      </c>
      <c r="DG246" s="84">
        <f>IF(DF246="","",IF(COUNTIF($DF$6:DF246,DF246)=1,MAX($DG$5:DG245)+1,INDEX($DG$5:DG245,MATCH(DF246,$DF$5:DF245,0))))</f>
        <v/>
      </c>
      <c r="DH246" s="84">
        <f>IF($CK246="","",$DC246&amp;"|"&amp;$DE246&amp;"|"&amp;$AI246&amp;"|"&amp;$BK246&amp;"|"&amp;$BL246)</f>
        <v/>
      </c>
      <c r="DI246" s="84">
        <f>IF(DH246="","",IF(COUNTIF($DH$6:DH246,DH246)=1,MAX($DI$5:DI245)+1,INDEX($DI$5:DI245,MATCH(DH246,$DH$5:DH245,0))))</f>
        <v/>
      </c>
      <c r="DJ246" s="84">
        <f>IF($A246="","",IF($B246="","qty, ","")&amp;IF($C246="","scope, ","")&amp;IF(OR($K246="",$M246=""),"size, ","")&amp;IF(AND($A246&lt;&gt;"",$C246&lt;&gt;"DOOR ONLY"),IF($U246="","jamb depth, ","")&amp;IF($X246="","construction, ","")&amp;IF($Y246="","anchor, ","")&amp;IF($S246="","frame type, ",""),"")&amp;IF(AND(N($BJ246)&gt;0,$Z246=""),"hand, ","")&amp;IF(N($BJ246)&gt;0,IF($AH246="","door material, ","")&amp;IF($AL246="","face type, ","")&amp;IF($AP246="","lock prep, ","")&amp;IF(AND($AO246="",$AC246=""),"hinge prep, ",""),"")&amp;IF(AND($CH246&gt;0,$AH246="FRP"),"FRP cannot carry a label, ","")&amp;IF(AND($O246="Y",OR($Z246="L",$Z246="R",$Z246="LR",$Z246="RR")),"pair marked but hand is single, ","")&amp;IF(AND($O246&lt;&gt;"Y",OR($Z246="PR",AND(LEN($Z246)&gt;1,ISNUMBER(SEARCH("-",$Z246))))),"pair hand on a single door, ","")&amp;IF(AND(ISNUMBER($CI246),$CH246&lt;N($CI246)),"wall needs a "&amp;$CI246&amp;" min door, ","")&amp;IF(AND($CH246&gt;=180,AND(OR($CE246="FG",$CE246="HG",$CE246="FNV",$CE246="FV"),N($CF246)*N($CG246)&gt;100)),"180 min lite over 100 sq in, ","")&amp;IF(N($BK246)&gt;48,"leaf wider than 4'-0"&amp;CHAR(34)&amp;", ","")&amp;IF(AND($CT246,COUNT($AW246:$AZ246)=0,$CQ246&gt;0),"CUSTOM LOC with no locations typed, ",""))</f>
        <v/>
      </c>
      <c r="DK246" s="84">
        <f>IF($A246="","",IF(AND($CH246&gt;0,AND($A246&lt;&gt;"",$C246&lt;&gt;"DOOR ONLY"),$X246="KD",$E246="EXTERIOR"),"KD label on an exterior opening, ","")&amp;IF(AND($E246="EXTERIOR",OR(AND(AND($A246&lt;&gt;"",$C246&lt;&gt;"DOOR ONLY"),$W246="CR"),AND(N($BJ246)&gt;0,$AH246="CR"))),"exterior in CR steel (G9?), ","")&amp;IF(AND(ISNUMBER($BQ246),N($BQ246)&lt;32),"clear width ~"&amp;TEXT($BQ246,"0.0")&amp;CHAR(34)&amp;" under 32"&amp;CHAR(34)&amp;" (ADA), ","")&amp;IF(AND($CH246=90,AND(OR($CE246="FG",$CE246="HG",$CE246="FNV",$CE246="FV"),N($CF246)*N($CG246)&gt;100)),"90 min lite over 100 sq in (stair/exit), ","")&amp;IF(AND($CH246&gt;0,AND($A246&lt;&gt;"",$C246&lt;&gt;"DOOR ONLY"),OR($AF246="",$AF246="-")),"rated: closer reinf.?, ","")&amp;IF(OR($I246="CORRIDOR",$I246="SMOKE BARRIER"),"S label + smoke gasketing, ","")&amp;IF($CI246="?","wall type/hr not in IBC table, ","")&amp;IF(AND(N($BJ246)&gt;0,$BB246=""),"no hardware set, ","")&amp;IF(AND($BB246&lt;&gt;"",ISNA(MATCH($BB246&amp;"",HWSets,0))),"set "&amp;$BB246&amp;" not on HW Sets, ","")&amp;IF(N($BL246)&gt;96,"leaf over 8'-0"&amp;CHAR(34)&amp;" - check listing, ","")&amp;IF(AND($CT246,COUNT($AW246:$AZ246)&gt;0,COUNT($AW246:$AZ246)&lt;&gt;$CQ246),COUNT($AW246:$AZ246)&amp;" custom hinges typed, "&amp;$CQ246&amp;" expected, ","")&amp;IF(AND(ISNUMBER($CA246),OR(N($CA246)&lt;34,N($CA246)&gt;48)),"lock "&amp;TEXT($CA246,"0.0")&amp;CHAR(34)&amp;" AFF outside 34-48"&amp;CHAR(34)&amp;" (ADA), ","")&amp;IF(AND(ISNUMBER($AV246),ISNUMBER($BL246),N($AV246)&lt;IF(N($BL246)&lt;=60,2,IF(N($BL246)&lt;=90,3,IF(N($BL246)&lt;=120,4,5)))),"fewer hinges than standard, ",""))</f>
        <v/>
      </c>
    </row>
    <row r="247" ht="15" customHeight="1">
      <c r="A247" s="77" t="n"/>
      <c r="B247" s="78" t="n"/>
      <c r="C247" s="78" t="n"/>
      <c r="D247" s="78" t="n"/>
      <c r="E247" s="78" t="n"/>
      <c r="F247" s="78" t="n"/>
      <c r="G247" s="78" t="n"/>
      <c r="H247" s="78" t="n"/>
      <c r="I247" s="78" t="n"/>
      <c r="J247" s="78" t="n"/>
      <c r="K247" s="78" t="n"/>
      <c r="L247" s="78" t="n"/>
      <c r="M247" s="78" t="n"/>
      <c r="N247" s="78" t="n"/>
      <c r="O247" s="78" t="n"/>
      <c r="P247" s="78" t="n"/>
      <c r="Q247" s="78" t="n"/>
      <c r="R247" s="78" t="n"/>
      <c r="S247" s="79" t="n"/>
      <c r="T247" s="79" t="n"/>
      <c r="U247" s="79" t="n"/>
      <c r="V247" s="79" t="n"/>
      <c r="W247" s="79" t="n"/>
      <c r="X247" s="79" t="n"/>
      <c r="Y247" s="79" t="n"/>
      <c r="Z247" s="79" t="n"/>
      <c r="AA247" s="79" t="n"/>
      <c r="AB247" s="79" t="n"/>
      <c r="AC247" s="79" t="n"/>
      <c r="AD247" s="79" t="n"/>
      <c r="AE247" s="79" t="n"/>
      <c r="AF247" s="79" t="n"/>
      <c r="AG247" s="79" t="n"/>
      <c r="AH247" s="80" t="n"/>
      <c r="AI247" s="80" t="n"/>
      <c r="AJ247" s="80" t="n"/>
      <c r="AK247" s="80" t="n"/>
      <c r="AL247" s="80" t="n"/>
      <c r="AM247" s="80" t="n"/>
      <c r="AN247" s="80" t="n"/>
      <c r="AO247" s="80" t="n"/>
      <c r="AP247" s="80" t="n"/>
      <c r="AQ247" s="80" t="n"/>
      <c r="AR247" s="80" t="n"/>
      <c r="AS247" s="80" t="n"/>
      <c r="AT247" s="81" t="n"/>
      <c r="AU247" s="81" t="n"/>
      <c r="AV247" s="81" t="n"/>
      <c r="AW247" s="82" t="n"/>
      <c r="AX247" s="82" t="n"/>
      <c r="AY247" s="82" t="n"/>
      <c r="AZ247" s="82" t="n"/>
      <c r="BA247" s="82" t="n"/>
      <c r="BB247" s="83" t="n"/>
      <c r="BC247" s="83" t="n"/>
      <c r="BD247" s="84">
        <f>IF($A247="","",IF($DJ247&lt;&gt;"","FIX",IF($DK247&lt;&gt;"","CHECK","OK")))</f>
        <v/>
      </c>
      <c r="BE247" s="85">
        <f>IF($A247="","",IF($DJ247&lt;&gt;"","FIX: "&amp;LEFT($DJ247,LEN($DJ247)-2)&amp;IF($DK247&lt;&gt;"","  ·  ",""),"")&amp;IF($DK247&lt;&gt;"","CHECK: "&amp;LEFT($DK247,LEN($DK247)-2),""))</f>
        <v/>
      </c>
      <c r="BF247" s="84">
        <f>IF(OR($A247="",$K247=""),"",$K247&amp;"'-"&amp;N($L247)&amp;CHAR(34)&amp;" x "&amp;$M247&amp;"'-"&amp;N($N247)&amp;CHAR(34))</f>
        <v/>
      </c>
      <c r="BG247" s="84">
        <f>IF(OR($A247="",$K247=""),"",$K247&amp;N($L247)&amp;$M247&amp;N($N247))</f>
        <v/>
      </c>
      <c r="BH247" s="84">
        <f>IF(OR($A247="",$K247=""),"",$K247*12+N($L247))</f>
        <v/>
      </c>
      <c r="BI247" s="84">
        <f>IF(OR($A247="",$M247=""),"",$M247*12+N($N247))</f>
        <v/>
      </c>
      <c r="BJ247" s="84">
        <f>IF($A247="","",IF(OR($C247="FRAME ONLY",$S247="BL"),0,IF($O247="Y",2,1)))</f>
        <v/>
      </c>
      <c r="BK247" s="86">
        <f>IF(OR(N($BJ247)=0,$BH247=""),"",($BH247-2*EdgeClr-IF($BJ247=2,MeetClr,0))/$BJ247)</f>
        <v/>
      </c>
      <c r="BL247" s="86">
        <f>IF(OR(N($BJ247)=0,$BI247=""),"",$BI247-HeadClr-Undercut)</f>
        <v/>
      </c>
      <c r="BM247" s="86">
        <f>IF($BH247="","",$BH247+2*FaceW+IF(N($Q247)&gt;0,($Q247+FaceW)*IF($R247="LR",2,1),0))</f>
        <v/>
      </c>
      <c r="BN247" s="86">
        <f>IF($BI247="","",$BI247+IF($AB247="Y",4,FaceW)+IF(N($P247)&gt;0,$P247+FaceW,0)+IF(OR($S247="4F",$S247="BL"),FaceW,0))</f>
        <v/>
      </c>
      <c r="BO247" s="86">
        <f>IF($BM247="","",$BM247+2*ROSide)</f>
        <v/>
      </c>
      <c r="BP247" s="86">
        <f>IF($BN247="","",$BN247+ROTop)</f>
        <v/>
      </c>
      <c r="BQ247" s="87">
        <f>IF(OR(N($BJ247)=0,$BH247=""),"",$BH247/$BJ247-ClearDeduct)</f>
        <v/>
      </c>
      <c r="BR247" s="84">
        <f>IF(N($CH247)=0,"",IF($CH247&gt;=180,"A · 3 HR",IF($CH247&gt;=90,"B · 1-1/2 HR",IF($CH247&gt;=60,"B · 1 HR",IF($CH247&gt;=45,"C · 3/4 HR","20 MIN")))))&amp;IF(AND(N($CH247)&gt;0,OR($I247="CORRIDOR",$I247="SMOKE BARRIER"))," · S","")</f>
        <v/>
      </c>
      <c r="BS247" s="84">
        <f>IF($CS247,"",IF($AV247&lt;&gt;"",$AV247,IF(OR($AC247="HGC",$AO247="HGC"),"CONT",IF(($BI247-HeadClr-Undercut)&lt;=60,2,IF(($BI247-HeadClr-Undercut)&lt;=90,3,IF(($BI247-HeadClr-Undercut)&lt;=120,4,5))))))</f>
        <v/>
      </c>
      <c r="BT247" s="84">
        <f>IF($CS247,"",IF($CT247,"CUSTOM (typed)",IF($CV247,$AT247&amp;" "&amp;$CU247&amp;CHAR(34)&amp;IF($CU247&lt;&gt;$BI247,IF(AND($BI247&lt;$CU247,$BI247-IF(N(VLOOKUP($AT247&amp;"|"&amp;$CU247,LocTable,7,FALSE))&gt;0,VLOOKUP($AT247&amp;"|"&amp;$CU247,LocTable,7,FALSE),VLOOKUP($AT247&amp;"|"&amp;$CU247,LocTable,6,FALSE))-$CR247-0.75&gt;=2.125)," cut down"," adj."),""),"ANSI/SDI A250.6")))</f>
        <v/>
      </c>
      <c r="BU247" s="88">
        <f>IF($CS247,"",IF($CT247,IF(N($AW247)&gt;0,N($AW247),""),IF(1&gt;$CQ247,"",IF($CQ247=1,$CW247,$CW247+($CX247-$CW247)*0/($CQ247-1)))))</f>
        <v/>
      </c>
      <c r="BV247" s="88">
        <f>IF($CS247,"",IF($CT247,IF(N($AX247)&gt;0,N($AX247),""),IF(2&gt;$CQ247,"",IF($CQ247=1,$CW247,$CW247+($CX247-$CW247)*1/($CQ247-1)))))</f>
        <v/>
      </c>
      <c r="BW247" s="88">
        <f>IF($CS247,"",IF($CT247,IF(N($AY247)&gt;0,N($AY247),""),IF(3&gt;$CQ247,"",IF($CQ247=1,$CW247,$CW247+($CX247-$CW247)*2/($CQ247-1)))))</f>
        <v/>
      </c>
      <c r="BX247" s="88">
        <f>IF($CS247,"",IF($CT247,IF(N($AZ247)&gt;0,N($AZ247),""),IF(4&gt;$CQ247,"",IF($CQ247=1,$CW247,$CW247+($CX247-$CW247)*3/($CQ247-1)))))</f>
        <v/>
      </c>
      <c r="BY247" s="88">
        <f>IF($CS247,"",IF($CT247,"",IF(5&gt;$CQ247,"",IF($CQ247=1,$CW247,$CW247+($CX247-$CW247)*4/($CQ247-1)))))</f>
        <v/>
      </c>
      <c r="BZ247" s="88">
        <f>IF(OR($CS247,$AP247="-",AND($AP247="",$AD247="")),"",IF(N($BA247)&gt;0,N($BA247),IF($CV247,IF(AND($BI247&lt;$CU247,$BI247-IF(N(VLOOKUP($AT247&amp;"|"&amp;$CU247,LocTable,7,FALSE))&gt;0,VLOOKUP($AT247&amp;"|"&amp;$CU247,LocTable,7,FALSE),VLOOKUP($AT247&amp;"|"&amp;$CU247,LocTable,6,FALSE))-$CR247-0.75&gt;=2.125),VLOOKUP($AT247&amp;"|"&amp;$CU247,LocTable,8,FALSE),VLOOKUP($AT247&amp;"|"&amp;$CU247,LocTable,8,FALSE)+($BI247-$CU247)),$BI247-LockAFF)))</f>
        <v/>
      </c>
      <c r="CA247" s="89">
        <f>IF($BZ247="","",$BI247-$BZ247)</f>
        <v/>
      </c>
      <c r="CB247" s="84">
        <f>IF(OR(NOT(AND($A247&lt;&gt;"",$C247&lt;&gt;"DOOR ONLY")),$BI247=""),"",IF(($BI247+IF(N($P247)&gt;0,$P247+FaceW,0))&lt;=90,3,IF(($BI247+IF(N($P247)&gt;0,$P247+FaceW,0))&lt;=114,4,5)))</f>
        <v/>
      </c>
      <c r="CC247" s="84">
        <f>IF($CB247="","",$CB247*(2+IF(N($Q247)&gt;0,IF($R247="LR",2,1),0)))</f>
        <v/>
      </c>
      <c r="CD247" s="84">
        <f>IF($CB247="","",(2+IF(N($Q247)&gt;0,IF($R247="LR",2,1),0)))</f>
        <v/>
      </c>
      <c r="CE247" s="84">
        <f>IF(N($BJ247)=0,"",IF(OR($AL247="",$AL247="FLUSH"),"FLUSH",IFERROR(LEFT($AL247,FIND("-",$AL247)-1),LEFT($AL247,2))))</f>
        <v/>
      </c>
      <c r="CF247" s="84">
        <f>IF($CE247="","",IFERROR(VALUE(MID($AL247,FIND("-",$AL247)+1,FIND(CHAR(34)&amp;"x",$AL247)-FIND("-",$AL247)-1)),0))</f>
        <v/>
      </c>
      <c r="CG247" s="84">
        <f>IF($CE247="","",IFERROR(VALUE(MID($AL247,FIND(CHAR(34)&amp;"x",$AL247)+2,FIND(CHAR(34),$AL247,FIND(CHAR(34)&amp;"x",$AL247)+2)-FIND(CHAR(34)&amp;"x",$AL247)-2)),0))</f>
        <v/>
      </c>
      <c r="CH247" s="90">
        <f>IF(OR($A247="",$H247="",$H247="NO LAB"),0,IFERROR(VALUE(LEFT($H247,FIND(" ",$H247)-1)),0))</f>
        <v/>
      </c>
      <c r="CI247" s="91">
        <f>IF(OR($A247="",$I247="",$I247="NON-RATED",N($J247)=0),"",IFERROR(VLOOKUP($I247&amp;"|"&amp;$J247,IBC,2,FALSE),"?"))</f>
        <v/>
      </c>
      <c r="CJ247" s="85">
        <f>IF(NOT(AND($A247&lt;&gt;"",$C247&lt;&gt;"DOOR ONLY")),"",TRIM(IFERROR(VLOOKUP($U247,CODES,2,FALSE),"")&amp;" "&amp;$BG247&amp;" "&amp;IFERROR(VLOOKUP($Z247,CODES,2,FALSE),"")&amp;" "&amp;IFERROR(VLOOKUP($X247,CODES,2,FALSE),"")&amp;" "&amp;IFERROR(VLOOKUP($S247,CODES,2,FALSE),"")&amp;IF(N($P247)&gt;0," w/TRANSOM "&amp;$P247&amp;CHAR(34),"")&amp;IF(N($Q247)&gt;0," w/SIDELITE "&amp;$Q247&amp;CHAR(34)&amp;" "&amp;IF($R247="","R",$R247),"")&amp;IF($Y247="","  |  "," | "&amp;IFERROR(VLOOKUP($Y247,CODES,2,FALSE),"")&amp;" | ")&amp;IFERROR(VLOOKUP($AC247,CODES,2,FALSE),"")&amp;" "&amp;IFERROR(VLOOKUP($AD247,CODES,2,FALSE),"")&amp;IF(OR($AE247="",$AE247="-"),""," "&amp;$AE247)&amp;IF(OR($AF247="",$AF247="-"),""," "&amp;$AF247)&amp;IF($AB247="Y"," 4"&amp;CHAR(34)&amp;" HEAD","")&amp;" "&amp;IFERROR(VLOOKUP($H247,CODES,2,FALSE),"")&amp;IF($CT247," | LOC "&amp;$CY247,"")))</f>
        <v/>
      </c>
      <c r="CK247" s="85">
        <f>IF(NOT(AND($A247&lt;&gt;"",N($BJ247)&gt;0)),"",TRIM(IFERROR(VLOOKUP($AH247,CODES,2,FALSE),"")&amp;IF($AI247=""," "," "&amp;$AI247&amp;"GA ")&amp;$BG247&amp;" "&amp;IF($AN247="",IFERROR(VLOOKUP($Z247,CODES,2,FALSE),""),IFERROR(VLOOKUP($AN247,CODES,2,FALSE),""))&amp;IF($BJ247=2," PAIR","")&amp;" DOOR | "&amp;IF($AL247="","?",$AL247)&amp;" | "&amp;IF($AO247="",IFERROR(VLOOKUP($AC247,CODES,2,FALSE),""),IFERROR(VLOOKUP($AO247,CODES,2,FALSE),""))&amp;" "&amp;IFERROR(VLOOKUP($AP247,CODES,2,FALSE),"")&amp;IF(OR($AQ247="",$AQ247="-"),""," SEAM "&amp;$AQ247)&amp;IF($AR247="Y"," ASTRAGAL","")&amp;IF($AJ247=""," "," "&amp;$AJ247)&amp;IF($AK247=""," "," "&amp;$AK247)&amp;IF(OR($AT247="",$AT247="ANSI/SDI",$AT247="CUSTOM LOC"),""," "&amp;$AT247)&amp;IF($AM247=""," "," SERIES "&amp;$AM247)&amp;" "&amp;IFERROR(VLOOKUP($H247,CODES,2,FALSE),"")&amp;IF($CT247," | LOC "&amp;$CZ247,"")))</f>
        <v/>
      </c>
      <c r="CL247" s="84">
        <f>IF(CP247="","",IF(COUNTIF($CP$6:CP247,CP247)=1,MAX($CL$5:CL246)+1,INDEX($CL$5:CL246,MATCH(CP247,$CP$5:CP246,0))))</f>
        <v/>
      </c>
      <c r="CM247" s="84">
        <f>IF(NOT(AND($A247&lt;&gt;"",$C247&lt;&gt;"DOOR ONLY")),"",MAX($CM$5:CM246)+1)</f>
        <v/>
      </c>
      <c r="CN247" s="84">
        <f>IF(NOT(AND($A247&lt;&gt;"",N($BJ247)&gt;0)),"",MAX($CN$5:CN246)+1)</f>
        <v/>
      </c>
      <c r="CO247" s="84">
        <f>IF($A247="","",MAX($CO$5:CO246)+1)</f>
        <v/>
      </c>
      <c r="CP247" s="84">
        <f>IF(OR($A247="",$BH247="",$BI247=""),"",$BG247&amp;"|"&amp;$O247&amp;"|"&amp;$AL247&amp;"|"&amp;$S247&amp;"|"&amp;$P247&amp;"|"&amp;$Q247&amp;$R247&amp;"|"&amp;$C247&amp;"|"&amp;$AB247)</f>
        <v/>
      </c>
      <c r="CQ247" s="84">
        <f>N($BS247)</f>
        <v/>
      </c>
      <c r="CR247" s="84">
        <f>IF(N($AU247)&gt;0,N($AU247),4.5)</f>
        <v/>
      </c>
      <c r="CS247" s="84">
        <f>OR($A247="",$BI247="",$S247="BL",AND($C247="FRAME ONLY",OR($AC247="",$AC247="BLK")))</f>
        <v/>
      </c>
      <c r="CT247" s="84">
        <f>AND(NOT($CS247),OR($AT247="CUSTOM LOC",N($AW247)+N($AX247)+N($AY247)+N($AZ247)+N($BA247)&gt;0))</f>
        <v/>
      </c>
      <c r="CU247" s="84">
        <f>IF($BI247="","",IF($BI247&lt;=80,80,IF($BI247&lt;=84,84,96)))</f>
        <v/>
      </c>
      <c r="CV247" s="84">
        <f>ISNUMBER(MATCH($AT247&amp;"|80",LocKeys,0))</f>
        <v/>
      </c>
      <c r="CW247" s="86">
        <f>IF($CS247,"",IF($CV247,VLOOKUP($AT247&amp;"|"&amp;$CU247,LocTable,4,FALSE),5))</f>
        <v/>
      </c>
      <c r="CX247" s="86">
        <f>IF($CS247,"",IF($CV247,IF(OR($BI247=$CU247,AND($BI247&lt;$CU247,$BI247-IF(N(VLOOKUP($AT247&amp;"|"&amp;$CU247,LocTable,7,FALSE))&gt;0,VLOOKUP($AT247&amp;"|"&amp;$CU247,LocTable,7,FALSE),VLOOKUP($AT247&amp;"|"&amp;$CU247,LocTable,6,FALSE))-$CR247-0.75&gt;=2.125)),IF(N(VLOOKUP($AT247&amp;"|"&amp;$CU247,LocTable,7,FALSE))&gt;0,VLOOKUP($AT247&amp;"|"&amp;$CU247,LocTable,7,FALSE),VLOOKUP($AT247&amp;"|"&amp;$CU247,LocTable,6,FALSE)),$BI247-($CU247-IF(N(VLOOKUP($AT247&amp;"|"&amp;$CU247,LocTable,7,FALSE))&gt;0,VLOOKUP($AT247&amp;"|"&amp;$CU247,LocTable,7,FALSE),VLOOKUP($AT247&amp;"|"&amp;$CU247,LocTable,6,FALSE)))),$BI247-10-$CR247))</f>
        <v/>
      </c>
      <c r="CY247" s="85">
        <f>IF($CS247,"",TRIM(IF(ISNUMBER($BU247),"A "&amp;TRIM(TEXT($BU247,"# ?/??"))&amp;CHAR(34)&amp;"  ","")&amp;IF(ISNUMBER($BV247),"B "&amp;TRIM(TEXT($BV247,"# ?/??"))&amp;CHAR(34)&amp;"  ","")&amp;IF(ISNUMBER($BW247),"C "&amp;TRIM(TEXT($BW247,"# ?/??"))&amp;CHAR(34)&amp;"  ","")&amp;IF(ISNUMBER($BX247),"D "&amp;TRIM(TEXT($BX247,"# ?/??"))&amp;CHAR(34)&amp;"  ","")&amp;IF(ISNUMBER($BY247),"F "&amp;TRIM(TEXT($BY247,"# ?/??"))&amp;CHAR(34)&amp;"  ","")&amp;IF(ISNUMBER($BZ247),"E "&amp;TRIM(TEXT($BZ247,"# ?/??"))&amp;CHAR(34)&amp;"  ","")))</f>
        <v/>
      </c>
      <c r="CZ247" s="85">
        <f>IF(OR($CS247,N($BJ247)=0),"",TRIM(IF(ISNUMBER($BU247),"A "&amp;TRIM(TEXT($BU247-HeadClr,"# ?/??"))&amp;CHAR(34)&amp;"  ","")&amp;IF(ISNUMBER($BV247),"B "&amp;TRIM(TEXT($BV247-HeadClr,"# ?/??"))&amp;CHAR(34)&amp;"  ","")&amp;IF(ISNUMBER($BW247),"C "&amp;TRIM(TEXT($BW247-HeadClr,"# ?/??"))&amp;CHAR(34)&amp;"  ","")&amp;IF(ISNUMBER($BX247),"D "&amp;TRIM(TEXT($BX247-HeadClr,"# ?/??"))&amp;CHAR(34)&amp;"  ","")&amp;IF(ISNUMBER($BY247),"F "&amp;TRIM(TEXT($BY247-HeadClr,"# ?/??"))&amp;CHAR(34)&amp;"  ","")&amp;IF(ISNUMBER($BZ247),"E "&amp;TRIM(TEXT($BZ247-HeadClr,"# ?/??"))&amp;CHAR(34)&amp;"  ","")))</f>
        <v/>
      </c>
      <c r="DA247" s="84">
        <f>IF($A247="","",IF($AN247="",IFERROR(VLOOKUP($Z247,CODES,2,FALSE),""),IFERROR(VLOOKUP($AN247,CODES,2,FALSE),"")))</f>
        <v/>
      </c>
      <c r="DB247" s="84">
        <f>IF($A247="","",IF($O247="Y","PR",IF(OR($Z247="L",$Z247="RR",LEFT($Z247,2)="L-",LEFT($Z247,3)="RR-"),"LH","RH")))</f>
        <v/>
      </c>
      <c r="DC247" s="84">
        <f>IF($A247="","","S.HM"&amp;IF(OR($C247="DOOR ONLY",$X247&lt;&gt;"KD"),"MASONRY","DRYWALL")&amp;IF($C247="DOOR ONLY","",$U247)&amp;IF(AND($C247&lt;&gt;"FRAME ONLY",OR(LEFT($AH247,3)="OAK",LEFT($AH247,3)="BIR",LEFT($AH247,3)="MAP",$AH247="PC",$AH247="MC",$AH247="SCLC",$AH247="P-LAM")),"WD","HM")&amp;"1.75")</f>
        <v/>
      </c>
      <c r="DD247" s="84">
        <f>IF($CJ247="","",IF($O247="Y",$CJ247,SUBSTITUTE($CJ247,$BG247&amp;" "&amp;IFERROR(VLOOKUP($Z247,CODES,2,FALSE),"")&amp;" ",$BG247&amp;" ")))</f>
        <v/>
      </c>
      <c r="DE247" s="84">
        <f>IF($CK247="","",IF($O247="Y",$CK247,SUBSTITUTE($CK247,$BG247&amp;" "&amp;IF($AN247="",IFERROR(VLOOKUP($Z247,CODES,2,FALSE),""),IFERROR(VLOOKUP($AN247,CODES,2,FALSE),""))&amp;" ",$BG247&amp;" ")))</f>
        <v/>
      </c>
      <c r="DF247" s="84">
        <f>IF($CJ247="","",$DC247&amp;"|"&amp;$DD247&amp;"|"&amp;$DB247&amp;"|"&amp;$AT247&amp;"|"&amp;$V247&amp;"|"&amp;$Y247&amp;"|"&amp;$AB247)</f>
        <v/>
      </c>
      <c r="DG247" s="84">
        <f>IF(DF247="","",IF(COUNTIF($DF$6:DF247,DF247)=1,MAX($DG$5:DG246)+1,INDEX($DG$5:DG246,MATCH(DF247,$DF$5:DF246,0))))</f>
        <v/>
      </c>
      <c r="DH247" s="84">
        <f>IF($CK247="","",$DC247&amp;"|"&amp;$DE247&amp;"|"&amp;$AI247&amp;"|"&amp;$BK247&amp;"|"&amp;$BL247)</f>
        <v/>
      </c>
      <c r="DI247" s="84">
        <f>IF(DH247="","",IF(COUNTIF($DH$6:DH247,DH247)=1,MAX($DI$5:DI246)+1,INDEX($DI$5:DI246,MATCH(DH247,$DH$5:DH246,0))))</f>
        <v/>
      </c>
      <c r="DJ247" s="84">
        <f>IF($A247="","",IF($B247="","qty, ","")&amp;IF($C247="","scope, ","")&amp;IF(OR($K247="",$M247=""),"size, ","")&amp;IF(AND($A247&lt;&gt;"",$C247&lt;&gt;"DOOR ONLY"),IF($U247="","jamb depth, ","")&amp;IF($X247="","construction, ","")&amp;IF($Y247="","anchor, ","")&amp;IF($S247="","frame type, ",""),"")&amp;IF(AND(N($BJ247)&gt;0,$Z247=""),"hand, ","")&amp;IF(N($BJ247)&gt;0,IF($AH247="","door material, ","")&amp;IF($AL247="","face type, ","")&amp;IF($AP247="","lock prep, ","")&amp;IF(AND($AO247="",$AC247=""),"hinge prep, ",""),"")&amp;IF(AND($CH247&gt;0,$AH247="FRP"),"FRP cannot carry a label, ","")&amp;IF(AND($O247="Y",OR($Z247="L",$Z247="R",$Z247="LR",$Z247="RR")),"pair marked but hand is single, ","")&amp;IF(AND($O247&lt;&gt;"Y",OR($Z247="PR",AND(LEN($Z247)&gt;1,ISNUMBER(SEARCH("-",$Z247))))),"pair hand on a single door, ","")&amp;IF(AND(ISNUMBER($CI247),$CH247&lt;N($CI247)),"wall needs a "&amp;$CI247&amp;" min door, ","")&amp;IF(AND($CH247&gt;=180,AND(OR($CE247="FG",$CE247="HG",$CE247="FNV",$CE247="FV"),N($CF247)*N($CG247)&gt;100)),"180 min lite over 100 sq in, ","")&amp;IF(N($BK247)&gt;48,"leaf wider than 4'-0"&amp;CHAR(34)&amp;", ","")&amp;IF(AND($CT247,COUNT($AW247:$AZ247)=0,$CQ247&gt;0),"CUSTOM LOC with no locations typed, ",""))</f>
        <v/>
      </c>
      <c r="DK247" s="84">
        <f>IF($A247="","",IF(AND($CH247&gt;0,AND($A247&lt;&gt;"",$C247&lt;&gt;"DOOR ONLY"),$X247="KD",$E247="EXTERIOR"),"KD label on an exterior opening, ","")&amp;IF(AND($E247="EXTERIOR",OR(AND(AND($A247&lt;&gt;"",$C247&lt;&gt;"DOOR ONLY"),$W247="CR"),AND(N($BJ247)&gt;0,$AH247="CR"))),"exterior in CR steel (G9?), ","")&amp;IF(AND(ISNUMBER($BQ247),N($BQ247)&lt;32),"clear width ~"&amp;TEXT($BQ247,"0.0")&amp;CHAR(34)&amp;" under 32"&amp;CHAR(34)&amp;" (ADA), ","")&amp;IF(AND($CH247=90,AND(OR($CE247="FG",$CE247="HG",$CE247="FNV",$CE247="FV"),N($CF247)*N($CG247)&gt;100)),"90 min lite over 100 sq in (stair/exit), ","")&amp;IF(AND($CH247&gt;0,AND($A247&lt;&gt;"",$C247&lt;&gt;"DOOR ONLY"),OR($AF247="",$AF247="-")),"rated: closer reinf.?, ","")&amp;IF(OR($I247="CORRIDOR",$I247="SMOKE BARRIER"),"S label + smoke gasketing, ","")&amp;IF($CI247="?","wall type/hr not in IBC table, ","")&amp;IF(AND(N($BJ247)&gt;0,$BB247=""),"no hardware set, ","")&amp;IF(AND($BB247&lt;&gt;"",ISNA(MATCH($BB247&amp;"",HWSets,0))),"set "&amp;$BB247&amp;" not on HW Sets, ","")&amp;IF(N($BL247)&gt;96,"leaf over 8'-0"&amp;CHAR(34)&amp;" - check listing, ","")&amp;IF(AND($CT247,COUNT($AW247:$AZ247)&gt;0,COUNT($AW247:$AZ247)&lt;&gt;$CQ247),COUNT($AW247:$AZ247)&amp;" custom hinges typed, "&amp;$CQ247&amp;" expected, ","")&amp;IF(AND(ISNUMBER($CA247),OR(N($CA247)&lt;34,N($CA247)&gt;48)),"lock "&amp;TEXT($CA247,"0.0")&amp;CHAR(34)&amp;" AFF outside 34-48"&amp;CHAR(34)&amp;" (ADA), ","")&amp;IF(AND(ISNUMBER($AV247),ISNUMBER($BL247),N($AV247)&lt;IF(N($BL247)&lt;=60,2,IF(N($BL247)&lt;=90,3,IF(N($BL247)&lt;=120,4,5)))),"fewer hinges than standard, ",""))</f>
        <v/>
      </c>
    </row>
    <row r="248" ht="15" customHeight="1">
      <c r="A248" s="77" t="n"/>
      <c r="B248" s="78" t="n"/>
      <c r="C248" s="78" t="n"/>
      <c r="D248" s="78" t="n"/>
      <c r="E248" s="78" t="n"/>
      <c r="F248" s="78" t="n"/>
      <c r="G248" s="78" t="n"/>
      <c r="H248" s="78" t="n"/>
      <c r="I248" s="78" t="n"/>
      <c r="J248" s="78" t="n"/>
      <c r="K248" s="78" t="n"/>
      <c r="L248" s="78" t="n"/>
      <c r="M248" s="78" t="n"/>
      <c r="N248" s="78" t="n"/>
      <c r="O248" s="78" t="n"/>
      <c r="P248" s="78" t="n"/>
      <c r="Q248" s="78" t="n"/>
      <c r="R248" s="78" t="n"/>
      <c r="S248" s="79" t="n"/>
      <c r="T248" s="79" t="n"/>
      <c r="U248" s="79" t="n"/>
      <c r="V248" s="79" t="n"/>
      <c r="W248" s="79" t="n"/>
      <c r="X248" s="79" t="n"/>
      <c r="Y248" s="79" t="n"/>
      <c r="Z248" s="79" t="n"/>
      <c r="AA248" s="79" t="n"/>
      <c r="AB248" s="79" t="n"/>
      <c r="AC248" s="79" t="n"/>
      <c r="AD248" s="79" t="n"/>
      <c r="AE248" s="79" t="n"/>
      <c r="AF248" s="79" t="n"/>
      <c r="AG248" s="79" t="n"/>
      <c r="AH248" s="80" t="n"/>
      <c r="AI248" s="80" t="n"/>
      <c r="AJ248" s="80" t="n"/>
      <c r="AK248" s="80" t="n"/>
      <c r="AL248" s="80" t="n"/>
      <c r="AM248" s="80" t="n"/>
      <c r="AN248" s="80" t="n"/>
      <c r="AO248" s="80" t="n"/>
      <c r="AP248" s="80" t="n"/>
      <c r="AQ248" s="80" t="n"/>
      <c r="AR248" s="80" t="n"/>
      <c r="AS248" s="80" t="n"/>
      <c r="AT248" s="81" t="n"/>
      <c r="AU248" s="81" t="n"/>
      <c r="AV248" s="81" t="n"/>
      <c r="AW248" s="82" t="n"/>
      <c r="AX248" s="82" t="n"/>
      <c r="AY248" s="82" t="n"/>
      <c r="AZ248" s="82" t="n"/>
      <c r="BA248" s="82" t="n"/>
      <c r="BB248" s="83" t="n"/>
      <c r="BC248" s="83" t="n"/>
      <c r="BD248" s="84">
        <f>IF($A248="","",IF($DJ248&lt;&gt;"","FIX",IF($DK248&lt;&gt;"","CHECK","OK")))</f>
        <v/>
      </c>
      <c r="BE248" s="85">
        <f>IF($A248="","",IF($DJ248&lt;&gt;"","FIX: "&amp;LEFT($DJ248,LEN($DJ248)-2)&amp;IF($DK248&lt;&gt;"","  ·  ",""),"")&amp;IF($DK248&lt;&gt;"","CHECK: "&amp;LEFT($DK248,LEN($DK248)-2),""))</f>
        <v/>
      </c>
      <c r="BF248" s="84">
        <f>IF(OR($A248="",$K248=""),"",$K248&amp;"'-"&amp;N($L248)&amp;CHAR(34)&amp;" x "&amp;$M248&amp;"'-"&amp;N($N248)&amp;CHAR(34))</f>
        <v/>
      </c>
      <c r="BG248" s="84">
        <f>IF(OR($A248="",$K248=""),"",$K248&amp;N($L248)&amp;$M248&amp;N($N248))</f>
        <v/>
      </c>
      <c r="BH248" s="84">
        <f>IF(OR($A248="",$K248=""),"",$K248*12+N($L248))</f>
        <v/>
      </c>
      <c r="BI248" s="84">
        <f>IF(OR($A248="",$M248=""),"",$M248*12+N($N248))</f>
        <v/>
      </c>
      <c r="BJ248" s="84">
        <f>IF($A248="","",IF(OR($C248="FRAME ONLY",$S248="BL"),0,IF($O248="Y",2,1)))</f>
        <v/>
      </c>
      <c r="BK248" s="86">
        <f>IF(OR(N($BJ248)=0,$BH248=""),"",($BH248-2*EdgeClr-IF($BJ248=2,MeetClr,0))/$BJ248)</f>
        <v/>
      </c>
      <c r="BL248" s="86">
        <f>IF(OR(N($BJ248)=0,$BI248=""),"",$BI248-HeadClr-Undercut)</f>
        <v/>
      </c>
      <c r="BM248" s="86">
        <f>IF($BH248="","",$BH248+2*FaceW+IF(N($Q248)&gt;0,($Q248+FaceW)*IF($R248="LR",2,1),0))</f>
        <v/>
      </c>
      <c r="BN248" s="86">
        <f>IF($BI248="","",$BI248+IF($AB248="Y",4,FaceW)+IF(N($P248)&gt;0,$P248+FaceW,0)+IF(OR($S248="4F",$S248="BL"),FaceW,0))</f>
        <v/>
      </c>
      <c r="BO248" s="86">
        <f>IF($BM248="","",$BM248+2*ROSide)</f>
        <v/>
      </c>
      <c r="BP248" s="86">
        <f>IF($BN248="","",$BN248+ROTop)</f>
        <v/>
      </c>
      <c r="BQ248" s="87">
        <f>IF(OR(N($BJ248)=0,$BH248=""),"",$BH248/$BJ248-ClearDeduct)</f>
        <v/>
      </c>
      <c r="BR248" s="84">
        <f>IF(N($CH248)=0,"",IF($CH248&gt;=180,"A · 3 HR",IF($CH248&gt;=90,"B · 1-1/2 HR",IF($CH248&gt;=60,"B · 1 HR",IF($CH248&gt;=45,"C · 3/4 HR","20 MIN")))))&amp;IF(AND(N($CH248)&gt;0,OR($I248="CORRIDOR",$I248="SMOKE BARRIER"))," · S","")</f>
        <v/>
      </c>
      <c r="BS248" s="84">
        <f>IF($CS248,"",IF($AV248&lt;&gt;"",$AV248,IF(OR($AC248="HGC",$AO248="HGC"),"CONT",IF(($BI248-HeadClr-Undercut)&lt;=60,2,IF(($BI248-HeadClr-Undercut)&lt;=90,3,IF(($BI248-HeadClr-Undercut)&lt;=120,4,5))))))</f>
        <v/>
      </c>
      <c r="BT248" s="84">
        <f>IF($CS248,"",IF($CT248,"CUSTOM (typed)",IF($CV248,$AT248&amp;" "&amp;$CU248&amp;CHAR(34)&amp;IF($CU248&lt;&gt;$BI248,IF(AND($BI248&lt;$CU248,$BI248-IF(N(VLOOKUP($AT248&amp;"|"&amp;$CU248,LocTable,7,FALSE))&gt;0,VLOOKUP($AT248&amp;"|"&amp;$CU248,LocTable,7,FALSE),VLOOKUP($AT248&amp;"|"&amp;$CU248,LocTable,6,FALSE))-$CR248-0.75&gt;=2.125)," cut down"," adj."),""),"ANSI/SDI A250.6")))</f>
        <v/>
      </c>
      <c r="BU248" s="88">
        <f>IF($CS248,"",IF($CT248,IF(N($AW248)&gt;0,N($AW248),""),IF(1&gt;$CQ248,"",IF($CQ248=1,$CW248,$CW248+($CX248-$CW248)*0/($CQ248-1)))))</f>
        <v/>
      </c>
      <c r="BV248" s="88">
        <f>IF($CS248,"",IF($CT248,IF(N($AX248)&gt;0,N($AX248),""),IF(2&gt;$CQ248,"",IF($CQ248=1,$CW248,$CW248+($CX248-$CW248)*1/($CQ248-1)))))</f>
        <v/>
      </c>
      <c r="BW248" s="88">
        <f>IF($CS248,"",IF($CT248,IF(N($AY248)&gt;0,N($AY248),""),IF(3&gt;$CQ248,"",IF($CQ248=1,$CW248,$CW248+($CX248-$CW248)*2/($CQ248-1)))))</f>
        <v/>
      </c>
      <c r="BX248" s="88">
        <f>IF($CS248,"",IF($CT248,IF(N($AZ248)&gt;0,N($AZ248),""),IF(4&gt;$CQ248,"",IF($CQ248=1,$CW248,$CW248+($CX248-$CW248)*3/($CQ248-1)))))</f>
        <v/>
      </c>
      <c r="BY248" s="88">
        <f>IF($CS248,"",IF($CT248,"",IF(5&gt;$CQ248,"",IF($CQ248=1,$CW248,$CW248+($CX248-$CW248)*4/($CQ248-1)))))</f>
        <v/>
      </c>
      <c r="BZ248" s="88">
        <f>IF(OR($CS248,$AP248="-",AND($AP248="",$AD248="")),"",IF(N($BA248)&gt;0,N($BA248),IF($CV248,IF(AND($BI248&lt;$CU248,$BI248-IF(N(VLOOKUP($AT248&amp;"|"&amp;$CU248,LocTable,7,FALSE))&gt;0,VLOOKUP($AT248&amp;"|"&amp;$CU248,LocTable,7,FALSE),VLOOKUP($AT248&amp;"|"&amp;$CU248,LocTable,6,FALSE))-$CR248-0.75&gt;=2.125),VLOOKUP($AT248&amp;"|"&amp;$CU248,LocTable,8,FALSE),VLOOKUP($AT248&amp;"|"&amp;$CU248,LocTable,8,FALSE)+($BI248-$CU248)),$BI248-LockAFF)))</f>
        <v/>
      </c>
      <c r="CA248" s="89">
        <f>IF($BZ248="","",$BI248-$BZ248)</f>
        <v/>
      </c>
      <c r="CB248" s="84">
        <f>IF(OR(NOT(AND($A248&lt;&gt;"",$C248&lt;&gt;"DOOR ONLY")),$BI248=""),"",IF(($BI248+IF(N($P248)&gt;0,$P248+FaceW,0))&lt;=90,3,IF(($BI248+IF(N($P248)&gt;0,$P248+FaceW,0))&lt;=114,4,5)))</f>
        <v/>
      </c>
      <c r="CC248" s="84">
        <f>IF($CB248="","",$CB248*(2+IF(N($Q248)&gt;0,IF($R248="LR",2,1),0)))</f>
        <v/>
      </c>
      <c r="CD248" s="84">
        <f>IF($CB248="","",(2+IF(N($Q248)&gt;0,IF($R248="LR",2,1),0)))</f>
        <v/>
      </c>
      <c r="CE248" s="84">
        <f>IF(N($BJ248)=0,"",IF(OR($AL248="",$AL248="FLUSH"),"FLUSH",IFERROR(LEFT($AL248,FIND("-",$AL248)-1),LEFT($AL248,2))))</f>
        <v/>
      </c>
      <c r="CF248" s="84">
        <f>IF($CE248="","",IFERROR(VALUE(MID($AL248,FIND("-",$AL248)+1,FIND(CHAR(34)&amp;"x",$AL248)-FIND("-",$AL248)-1)),0))</f>
        <v/>
      </c>
      <c r="CG248" s="84">
        <f>IF($CE248="","",IFERROR(VALUE(MID($AL248,FIND(CHAR(34)&amp;"x",$AL248)+2,FIND(CHAR(34),$AL248,FIND(CHAR(34)&amp;"x",$AL248)+2)-FIND(CHAR(34)&amp;"x",$AL248)-2)),0))</f>
        <v/>
      </c>
      <c r="CH248" s="90">
        <f>IF(OR($A248="",$H248="",$H248="NO LAB"),0,IFERROR(VALUE(LEFT($H248,FIND(" ",$H248)-1)),0))</f>
        <v/>
      </c>
      <c r="CI248" s="91">
        <f>IF(OR($A248="",$I248="",$I248="NON-RATED",N($J248)=0),"",IFERROR(VLOOKUP($I248&amp;"|"&amp;$J248,IBC,2,FALSE),"?"))</f>
        <v/>
      </c>
      <c r="CJ248" s="85">
        <f>IF(NOT(AND($A248&lt;&gt;"",$C248&lt;&gt;"DOOR ONLY")),"",TRIM(IFERROR(VLOOKUP($U248,CODES,2,FALSE),"")&amp;" "&amp;$BG248&amp;" "&amp;IFERROR(VLOOKUP($Z248,CODES,2,FALSE),"")&amp;" "&amp;IFERROR(VLOOKUP($X248,CODES,2,FALSE),"")&amp;" "&amp;IFERROR(VLOOKUP($S248,CODES,2,FALSE),"")&amp;IF(N($P248)&gt;0," w/TRANSOM "&amp;$P248&amp;CHAR(34),"")&amp;IF(N($Q248)&gt;0," w/SIDELITE "&amp;$Q248&amp;CHAR(34)&amp;" "&amp;IF($R248="","R",$R248),"")&amp;IF($Y248="","  |  "," | "&amp;IFERROR(VLOOKUP($Y248,CODES,2,FALSE),"")&amp;" | ")&amp;IFERROR(VLOOKUP($AC248,CODES,2,FALSE),"")&amp;" "&amp;IFERROR(VLOOKUP($AD248,CODES,2,FALSE),"")&amp;IF(OR($AE248="",$AE248="-"),""," "&amp;$AE248)&amp;IF(OR($AF248="",$AF248="-"),""," "&amp;$AF248)&amp;IF($AB248="Y"," 4"&amp;CHAR(34)&amp;" HEAD","")&amp;" "&amp;IFERROR(VLOOKUP($H248,CODES,2,FALSE),"")&amp;IF($CT248," | LOC "&amp;$CY248,"")))</f>
        <v/>
      </c>
      <c r="CK248" s="85">
        <f>IF(NOT(AND($A248&lt;&gt;"",N($BJ248)&gt;0)),"",TRIM(IFERROR(VLOOKUP($AH248,CODES,2,FALSE),"")&amp;IF($AI248=""," "," "&amp;$AI248&amp;"GA ")&amp;$BG248&amp;" "&amp;IF($AN248="",IFERROR(VLOOKUP($Z248,CODES,2,FALSE),""),IFERROR(VLOOKUP($AN248,CODES,2,FALSE),""))&amp;IF($BJ248=2," PAIR","")&amp;" DOOR | "&amp;IF($AL248="","?",$AL248)&amp;" | "&amp;IF($AO248="",IFERROR(VLOOKUP($AC248,CODES,2,FALSE),""),IFERROR(VLOOKUP($AO248,CODES,2,FALSE),""))&amp;" "&amp;IFERROR(VLOOKUP($AP248,CODES,2,FALSE),"")&amp;IF(OR($AQ248="",$AQ248="-"),""," SEAM "&amp;$AQ248)&amp;IF($AR248="Y"," ASTRAGAL","")&amp;IF($AJ248=""," "," "&amp;$AJ248)&amp;IF($AK248=""," "," "&amp;$AK248)&amp;IF(OR($AT248="",$AT248="ANSI/SDI",$AT248="CUSTOM LOC"),""," "&amp;$AT248)&amp;IF($AM248=""," "," SERIES "&amp;$AM248)&amp;" "&amp;IFERROR(VLOOKUP($H248,CODES,2,FALSE),"")&amp;IF($CT248," | LOC "&amp;$CZ248,"")))</f>
        <v/>
      </c>
      <c r="CL248" s="84">
        <f>IF(CP248="","",IF(COUNTIF($CP$6:CP248,CP248)=1,MAX($CL$5:CL247)+1,INDEX($CL$5:CL247,MATCH(CP248,$CP$5:CP247,0))))</f>
        <v/>
      </c>
      <c r="CM248" s="84">
        <f>IF(NOT(AND($A248&lt;&gt;"",$C248&lt;&gt;"DOOR ONLY")),"",MAX($CM$5:CM247)+1)</f>
        <v/>
      </c>
      <c r="CN248" s="84">
        <f>IF(NOT(AND($A248&lt;&gt;"",N($BJ248)&gt;0)),"",MAX($CN$5:CN247)+1)</f>
        <v/>
      </c>
      <c r="CO248" s="84">
        <f>IF($A248="","",MAX($CO$5:CO247)+1)</f>
        <v/>
      </c>
      <c r="CP248" s="84">
        <f>IF(OR($A248="",$BH248="",$BI248=""),"",$BG248&amp;"|"&amp;$O248&amp;"|"&amp;$AL248&amp;"|"&amp;$S248&amp;"|"&amp;$P248&amp;"|"&amp;$Q248&amp;$R248&amp;"|"&amp;$C248&amp;"|"&amp;$AB248)</f>
        <v/>
      </c>
      <c r="CQ248" s="84">
        <f>N($BS248)</f>
        <v/>
      </c>
      <c r="CR248" s="84">
        <f>IF(N($AU248)&gt;0,N($AU248),4.5)</f>
        <v/>
      </c>
      <c r="CS248" s="84">
        <f>OR($A248="",$BI248="",$S248="BL",AND($C248="FRAME ONLY",OR($AC248="",$AC248="BLK")))</f>
        <v/>
      </c>
      <c r="CT248" s="84">
        <f>AND(NOT($CS248),OR($AT248="CUSTOM LOC",N($AW248)+N($AX248)+N($AY248)+N($AZ248)+N($BA248)&gt;0))</f>
        <v/>
      </c>
      <c r="CU248" s="84">
        <f>IF($BI248="","",IF($BI248&lt;=80,80,IF($BI248&lt;=84,84,96)))</f>
        <v/>
      </c>
      <c r="CV248" s="84">
        <f>ISNUMBER(MATCH($AT248&amp;"|80",LocKeys,0))</f>
        <v/>
      </c>
      <c r="CW248" s="86">
        <f>IF($CS248,"",IF($CV248,VLOOKUP($AT248&amp;"|"&amp;$CU248,LocTable,4,FALSE),5))</f>
        <v/>
      </c>
      <c r="CX248" s="86">
        <f>IF($CS248,"",IF($CV248,IF(OR($BI248=$CU248,AND($BI248&lt;$CU248,$BI248-IF(N(VLOOKUP($AT248&amp;"|"&amp;$CU248,LocTable,7,FALSE))&gt;0,VLOOKUP($AT248&amp;"|"&amp;$CU248,LocTable,7,FALSE),VLOOKUP($AT248&amp;"|"&amp;$CU248,LocTable,6,FALSE))-$CR248-0.75&gt;=2.125)),IF(N(VLOOKUP($AT248&amp;"|"&amp;$CU248,LocTable,7,FALSE))&gt;0,VLOOKUP($AT248&amp;"|"&amp;$CU248,LocTable,7,FALSE),VLOOKUP($AT248&amp;"|"&amp;$CU248,LocTable,6,FALSE)),$BI248-($CU248-IF(N(VLOOKUP($AT248&amp;"|"&amp;$CU248,LocTable,7,FALSE))&gt;0,VLOOKUP($AT248&amp;"|"&amp;$CU248,LocTable,7,FALSE),VLOOKUP($AT248&amp;"|"&amp;$CU248,LocTable,6,FALSE)))),$BI248-10-$CR248))</f>
        <v/>
      </c>
      <c r="CY248" s="85">
        <f>IF($CS248,"",TRIM(IF(ISNUMBER($BU248),"A "&amp;TRIM(TEXT($BU248,"# ?/??"))&amp;CHAR(34)&amp;"  ","")&amp;IF(ISNUMBER($BV248),"B "&amp;TRIM(TEXT($BV248,"# ?/??"))&amp;CHAR(34)&amp;"  ","")&amp;IF(ISNUMBER($BW248),"C "&amp;TRIM(TEXT($BW248,"# ?/??"))&amp;CHAR(34)&amp;"  ","")&amp;IF(ISNUMBER($BX248),"D "&amp;TRIM(TEXT($BX248,"# ?/??"))&amp;CHAR(34)&amp;"  ","")&amp;IF(ISNUMBER($BY248),"F "&amp;TRIM(TEXT($BY248,"# ?/??"))&amp;CHAR(34)&amp;"  ","")&amp;IF(ISNUMBER($BZ248),"E "&amp;TRIM(TEXT($BZ248,"# ?/??"))&amp;CHAR(34)&amp;"  ","")))</f>
        <v/>
      </c>
      <c r="CZ248" s="85">
        <f>IF(OR($CS248,N($BJ248)=0),"",TRIM(IF(ISNUMBER($BU248),"A "&amp;TRIM(TEXT($BU248-HeadClr,"# ?/??"))&amp;CHAR(34)&amp;"  ","")&amp;IF(ISNUMBER($BV248),"B "&amp;TRIM(TEXT($BV248-HeadClr,"# ?/??"))&amp;CHAR(34)&amp;"  ","")&amp;IF(ISNUMBER($BW248),"C "&amp;TRIM(TEXT($BW248-HeadClr,"# ?/??"))&amp;CHAR(34)&amp;"  ","")&amp;IF(ISNUMBER($BX248),"D "&amp;TRIM(TEXT($BX248-HeadClr,"# ?/??"))&amp;CHAR(34)&amp;"  ","")&amp;IF(ISNUMBER($BY248),"F "&amp;TRIM(TEXT($BY248-HeadClr,"# ?/??"))&amp;CHAR(34)&amp;"  ","")&amp;IF(ISNUMBER($BZ248),"E "&amp;TRIM(TEXT($BZ248-HeadClr,"# ?/??"))&amp;CHAR(34)&amp;"  ","")))</f>
        <v/>
      </c>
      <c r="DA248" s="84">
        <f>IF($A248="","",IF($AN248="",IFERROR(VLOOKUP($Z248,CODES,2,FALSE),""),IFERROR(VLOOKUP($AN248,CODES,2,FALSE),"")))</f>
        <v/>
      </c>
      <c r="DB248" s="84">
        <f>IF($A248="","",IF($O248="Y","PR",IF(OR($Z248="L",$Z248="RR",LEFT($Z248,2)="L-",LEFT($Z248,3)="RR-"),"LH","RH")))</f>
        <v/>
      </c>
      <c r="DC248" s="84">
        <f>IF($A248="","","S.HM"&amp;IF(OR($C248="DOOR ONLY",$X248&lt;&gt;"KD"),"MASONRY","DRYWALL")&amp;IF($C248="DOOR ONLY","",$U248)&amp;IF(AND($C248&lt;&gt;"FRAME ONLY",OR(LEFT($AH248,3)="OAK",LEFT($AH248,3)="BIR",LEFT($AH248,3)="MAP",$AH248="PC",$AH248="MC",$AH248="SCLC",$AH248="P-LAM")),"WD","HM")&amp;"1.75")</f>
        <v/>
      </c>
      <c r="DD248" s="84">
        <f>IF($CJ248="","",IF($O248="Y",$CJ248,SUBSTITUTE($CJ248,$BG248&amp;" "&amp;IFERROR(VLOOKUP($Z248,CODES,2,FALSE),"")&amp;" ",$BG248&amp;" ")))</f>
        <v/>
      </c>
      <c r="DE248" s="84">
        <f>IF($CK248="","",IF($O248="Y",$CK248,SUBSTITUTE($CK248,$BG248&amp;" "&amp;IF($AN248="",IFERROR(VLOOKUP($Z248,CODES,2,FALSE),""),IFERROR(VLOOKUP($AN248,CODES,2,FALSE),""))&amp;" ",$BG248&amp;" ")))</f>
        <v/>
      </c>
      <c r="DF248" s="84">
        <f>IF($CJ248="","",$DC248&amp;"|"&amp;$DD248&amp;"|"&amp;$DB248&amp;"|"&amp;$AT248&amp;"|"&amp;$V248&amp;"|"&amp;$Y248&amp;"|"&amp;$AB248)</f>
        <v/>
      </c>
      <c r="DG248" s="84">
        <f>IF(DF248="","",IF(COUNTIF($DF$6:DF248,DF248)=1,MAX($DG$5:DG247)+1,INDEX($DG$5:DG247,MATCH(DF248,$DF$5:DF247,0))))</f>
        <v/>
      </c>
      <c r="DH248" s="84">
        <f>IF($CK248="","",$DC248&amp;"|"&amp;$DE248&amp;"|"&amp;$AI248&amp;"|"&amp;$BK248&amp;"|"&amp;$BL248)</f>
        <v/>
      </c>
      <c r="DI248" s="84">
        <f>IF(DH248="","",IF(COUNTIF($DH$6:DH248,DH248)=1,MAX($DI$5:DI247)+1,INDEX($DI$5:DI247,MATCH(DH248,$DH$5:DH247,0))))</f>
        <v/>
      </c>
      <c r="DJ248" s="84">
        <f>IF($A248="","",IF($B248="","qty, ","")&amp;IF($C248="","scope, ","")&amp;IF(OR($K248="",$M248=""),"size, ","")&amp;IF(AND($A248&lt;&gt;"",$C248&lt;&gt;"DOOR ONLY"),IF($U248="","jamb depth, ","")&amp;IF($X248="","construction, ","")&amp;IF($Y248="","anchor, ","")&amp;IF($S248="","frame type, ",""),"")&amp;IF(AND(N($BJ248)&gt;0,$Z248=""),"hand, ","")&amp;IF(N($BJ248)&gt;0,IF($AH248="","door material, ","")&amp;IF($AL248="","face type, ","")&amp;IF($AP248="","lock prep, ","")&amp;IF(AND($AO248="",$AC248=""),"hinge prep, ",""),"")&amp;IF(AND($CH248&gt;0,$AH248="FRP"),"FRP cannot carry a label, ","")&amp;IF(AND($O248="Y",OR($Z248="L",$Z248="R",$Z248="LR",$Z248="RR")),"pair marked but hand is single, ","")&amp;IF(AND($O248&lt;&gt;"Y",OR($Z248="PR",AND(LEN($Z248)&gt;1,ISNUMBER(SEARCH("-",$Z248))))),"pair hand on a single door, ","")&amp;IF(AND(ISNUMBER($CI248),$CH248&lt;N($CI248)),"wall needs a "&amp;$CI248&amp;" min door, ","")&amp;IF(AND($CH248&gt;=180,AND(OR($CE248="FG",$CE248="HG",$CE248="FNV",$CE248="FV"),N($CF248)*N($CG248)&gt;100)),"180 min lite over 100 sq in, ","")&amp;IF(N($BK248)&gt;48,"leaf wider than 4'-0"&amp;CHAR(34)&amp;", ","")&amp;IF(AND($CT248,COUNT($AW248:$AZ248)=0,$CQ248&gt;0),"CUSTOM LOC with no locations typed, ",""))</f>
        <v/>
      </c>
      <c r="DK248" s="84">
        <f>IF($A248="","",IF(AND($CH248&gt;0,AND($A248&lt;&gt;"",$C248&lt;&gt;"DOOR ONLY"),$X248="KD",$E248="EXTERIOR"),"KD label on an exterior opening, ","")&amp;IF(AND($E248="EXTERIOR",OR(AND(AND($A248&lt;&gt;"",$C248&lt;&gt;"DOOR ONLY"),$W248="CR"),AND(N($BJ248)&gt;0,$AH248="CR"))),"exterior in CR steel (G9?), ","")&amp;IF(AND(ISNUMBER($BQ248),N($BQ248)&lt;32),"clear width ~"&amp;TEXT($BQ248,"0.0")&amp;CHAR(34)&amp;" under 32"&amp;CHAR(34)&amp;" (ADA), ","")&amp;IF(AND($CH248=90,AND(OR($CE248="FG",$CE248="HG",$CE248="FNV",$CE248="FV"),N($CF248)*N($CG248)&gt;100)),"90 min lite over 100 sq in (stair/exit), ","")&amp;IF(AND($CH248&gt;0,AND($A248&lt;&gt;"",$C248&lt;&gt;"DOOR ONLY"),OR($AF248="",$AF248="-")),"rated: closer reinf.?, ","")&amp;IF(OR($I248="CORRIDOR",$I248="SMOKE BARRIER"),"S label + smoke gasketing, ","")&amp;IF($CI248="?","wall type/hr not in IBC table, ","")&amp;IF(AND(N($BJ248)&gt;0,$BB248=""),"no hardware set, ","")&amp;IF(AND($BB248&lt;&gt;"",ISNA(MATCH($BB248&amp;"",HWSets,0))),"set "&amp;$BB248&amp;" not on HW Sets, ","")&amp;IF(N($BL248)&gt;96,"leaf over 8'-0"&amp;CHAR(34)&amp;" - check listing, ","")&amp;IF(AND($CT248,COUNT($AW248:$AZ248)&gt;0,COUNT($AW248:$AZ248)&lt;&gt;$CQ248),COUNT($AW248:$AZ248)&amp;" custom hinges typed, "&amp;$CQ248&amp;" expected, ","")&amp;IF(AND(ISNUMBER($CA248),OR(N($CA248)&lt;34,N($CA248)&gt;48)),"lock "&amp;TEXT($CA248,"0.0")&amp;CHAR(34)&amp;" AFF outside 34-48"&amp;CHAR(34)&amp;" (ADA), ","")&amp;IF(AND(ISNUMBER($AV248),ISNUMBER($BL248),N($AV248)&lt;IF(N($BL248)&lt;=60,2,IF(N($BL248)&lt;=90,3,IF(N($BL248)&lt;=120,4,5)))),"fewer hinges than standard, ",""))</f>
        <v/>
      </c>
    </row>
    <row r="249" ht="15" customHeight="1">
      <c r="A249" s="77" t="n"/>
      <c r="B249" s="78" t="n"/>
      <c r="C249" s="78" t="n"/>
      <c r="D249" s="78" t="n"/>
      <c r="E249" s="78" t="n"/>
      <c r="F249" s="78" t="n"/>
      <c r="G249" s="78" t="n"/>
      <c r="H249" s="78" t="n"/>
      <c r="I249" s="78" t="n"/>
      <c r="J249" s="78" t="n"/>
      <c r="K249" s="78" t="n"/>
      <c r="L249" s="78" t="n"/>
      <c r="M249" s="78" t="n"/>
      <c r="N249" s="78" t="n"/>
      <c r="O249" s="78" t="n"/>
      <c r="P249" s="78" t="n"/>
      <c r="Q249" s="78" t="n"/>
      <c r="R249" s="78" t="n"/>
      <c r="S249" s="79" t="n"/>
      <c r="T249" s="79" t="n"/>
      <c r="U249" s="79" t="n"/>
      <c r="V249" s="79" t="n"/>
      <c r="W249" s="79" t="n"/>
      <c r="X249" s="79" t="n"/>
      <c r="Y249" s="79" t="n"/>
      <c r="Z249" s="79" t="n"/>
      <c r="AA249" s="79" t="n"/>
      <c r="AB249" s="79" t="n"/>
      <c r="AC249" s="79" t="n"/>
      <c r="AD249" s="79" t="n"/>
      <c r="AE249" s="79" t="n"/>
      <c r="AF249" s="79" t="n"/>
      <c r="AG249" s="79" t="n"/>
      <c r="AH249" s="80" t="n"/>
      <c r="AI249" s="80" t="n"/>
      <c r="AJ249" s="80" t="n"/>
      <c r="AK249" s="80" t="n"/>
      <c r="AL249" s="80" t="n"/>
      <c r="AM249" s="80" t="n"/>
      <c r="AN249" s="80" t="n"/>
      <c r="AO249" s="80" t="n"/>
      <c r="AP249" s="80" t="n"/>
      <c r="AQ249" s="80" t="n"/>
      <c r="AR249" s="80" t="n"/>
      <c r="AS249" s="80" t="n"/>
      <c r="AT249" s="81" t="n"/>
      <c r="AU249" s="81" t="n"/>
      <c r="AV249" s="81" t="n"/>
      <c r="AW249" s="82" t="n"/>
      <c r="AX249" s="82" t="n"/>
      <c r="AY249" s="82" t="n"/>
      <c r="AZ249" s="82" t="n"/>
      <c r="BA249" s="82" t="n"/>
      <c r="BB249" s="83" t="n"/>
      <c r="BC249" s="83" t="n"/>
      <c r="BD249" s="84">
        <f>IF($A249="","",IF($DJ249&lt;&gt;"","FIX",IF($DK249&lt;&gt;"","CHECK","OK")))</f>
        <v/>
      </c>
      <c r="BE249" s="85">
        <f>IF($A249="","",IF($DJ249&lt;&gt;"","FIX: "&amp;LEFT($DJ249,LEN($DJ249)-2)&amp;IF($DK249&lt;&gt;"","  ·  ",""),"")&amp;IF($DK249&lt;&gt;"","CHECK: "&amp;LEFT($DK249,LEN($DK249)-2),""))</f>
        <v/>
      </c>
      <c r="BF249" s="84">
        <f>IF(OR($A249="",$K249=""),"",$K249&amp;"'-"&amp;N($L249)&amp;CHAR(34)&amp;" x "&amp;$M249&amp;"'-"&amp;N($N249)&amp;CHAR(34))</f>
        <v/>
      </c>
      <c r="BG249" s="84">
        <f>IF(OR($A249="",$K249=""),"",$K249&amp;N($L249)&amp;$M249&amp;N($N249))</f>
        <v/>
      </c>
      <c r="BH249" s="84">
        <f>IF(OR($A249="",$K249=""),"",$K249*12+N($L249))</f>
        <v/>
      </c>
      <c r="BI249" s="84">
        <f>IF(OR($A249="",$M249=""),"",$M249*12+N($N249))</f>
        <v/>
      </c>
      <c r="BJ249" s="84">
        <f>IF($A249="","",IF(OR($C249="FRAME ONLY",$S249="BL"),0,IF($O249="Y",2,1)))</f>
        <v/>
      </c>
      <c r="BK249" s="86">
        <f>IF(OR(N($BJ249)=0,$BH249=""),"",($BH249-2*EdgeClr-IF($BJ249=2,MeetClr,0))/$BJ249)</f>
        <v/>
      </c>
      <c r="BL249" s="86">
        <f>IF(OR(N($BJ249)=0,$BI249=""),"",$BI249-HeadClr-Undercut)</f>
        <v/>
      </c>
      <c r="BM249" s="86">
        <f>IF($BH249="","",$BH249+2*FaceW+IF(N($Q249)&gt;0,($Q249+FaceW)*IF($R249="LR",2,1),0))</f>
        <v/>
      </c>
      <c r="BN249" s="86">
        <f>IF($BI249="","",$BI249+IF($AB249="Y",4,FaceW)+IF(N($P249)&gt;0,$P249+FaceW,0)+IF(OR($S249="4F",$S249="BL"),FaceW,0))</f>
        <v/>
      </c>
      <c r="BO249" s="86">
        <f>IF($BM249="","",$BM249+2*ROSide)</f>
        <v/>
      </c>
      <c r="BP249" s="86">
        <f>IF($BN249="","",$BN249+ROTop)</f>
        <v/>
      </c>
      <c r="BQ249" s="87">
        <f>IF(OR(N($BJ249)=0,$BH249=""),"",$BH249/$BJ249-ClearDeduct)</f>
        <v/>
      </c>
      <c r="BR249" s="84">
        <f>IF(N($CH249)=0,"",IF($CH249&gt;=180,"A · 3 HR",IF($CH249&gt;=90,"B · 1-1/2 HR",IF($CH249&gt;=60,"B · 1 HR",IF($CH249&gt;=45,"C · 3/4 HR","20 MIN")))))&amp;IF(AND(N($CH249)&gt;0,OR($I249="CORRIDOR",$I249="SMOKE BARRIER"))," · S","")</f>
        <v/>
      </c>
      <c r="BS249" s="84">
        <f>IF($CS249,"",IF($AV249&lt;&gt;"",$AV249,IF(OR($AC249="HGC",$AO249="HGC"),"CONT",IF(($BI249-HeadClr-Undercut)&lt;=60,2,IF(($BI249-HeadClr-Undercut)&lt;=90,3,IF(($BI249-HeadClr-Undercut)&lt;=120,4,5))))))</f>
        <v/>
      </c>
      <c r="BT249" s="84">
        <f>IF($CS249,"",IF($CT249,"CUSTOM (typed)",IF($CV249,$AT249&amp;" "&amp;$CU249&amp;CHAR(34)&amp;IF($CU249&lt;&gt;$BI249,IF(AND($BI249&lt;$CU249,$BI249-IF(N(VLOOKUP($AT249&amp;"|"&amp;$CU249,LocTable,7,FALSE))&gt;0,VLOOKUP($AT249&amp;"|"&amp;$CU249,LocTable,7,FALSE),VLOOKUP($AT249&amp;"|"&amp;$CU249,LocTable,6,FALSE))-$CR249-0.75&gt;=2.125)," cut down"," adj."),""),"ANSI/SDI A250.6")))</f>
        <v/>
      </c>
      <c r="BU249" s="88">
        <f>IF($CS249,"",IF($CT249,IF(N($AW249)&gt;0,N($AW249),""),IF(1&gt;$CQ249,"",IF($CQ249=1,$CW249,$CW249+($CX249-$CW249)*0/($CQ249-1)))))</f>
        <v/>
      </c>
      <c r="BV249" s="88">
        <f>IF($CS249,"",IF($CT249,IF(N($AX249)&gt;0,N($AX249),""),IF(2&gt;$CQ249,"",IF($CQ249=1,$CW249,$CW249+($CX249-$CW249)*1/($CQ249-1)))))</f>
        <v/>
      </c>
      <c r="BW249" s="88">
        <f>IF($CS249,"",IF($CT249,IF(N($AY249)&gt;0,N($AY249),""),IF(3&gt;$CQ249,"",IF($CQ249=1,$CW249,$CW249+($CX249-$CW249)*2/($CQ249-1)))))</f>
        <v/>
      </c>
      <c r="BX249" s="88">
        <f>IF($CS249,"",IF($CT249,IF(N($AZ249)&gt;0,N($AZ249),""),IF(4&gt;$CQ249,"",IF($CQ249=1,$CW249,$CW249+($CX249-$CW249)*3/($CQ249-1)))))</f>
        <v/>
      </c>
      <c r="BY249" s="88">
        <f>IF($CS249,"",IF($CT249,"",IF(5&gt;$CQ249,"",IF($CQ249=1,$CW249,$CW249+($CX249-$CW249)*4/($CQ249-1)))))</f>
        <v/>
      </c>
      <c r="BZ249" s="88">
        <f>IF(OR($CS249,$AP249="-",AND($AP249="",$AD249="")),"",IF(N($BA249)&gt;0,N($BA249),IF($CV249,IF(AND($BI249&lt;$CU249,$BI249-IF(N(VLOOKUP($AT249&amp;"|"&amp;$CU249,LocTable,7,FALSE))&gt;0,VLOOKUP($AT249&amp;"|"&amp;$CU249,LocTable,7,FALSE),VLOOKUP($AT249&amp;"|"&amp;$CU249,LocTable,6,FALSE))-$CR249-0.75&gt;=2.125),VLOOKUP($AT249&amp;"|"&amp;$CU249,LocTable,8,FALSE),VLOOKUP($AT249&amp;"|"&amp;$CU249,LocTable,8,FALSE)+($BI249-$CU249)),$BI249-LockAFF)))</f>
        <v/>
      </c>
      <c r="CA249" s="89">
        <f>IF($BZ249="","",$BI249-$BZ249)</f>
        <v/>
      </c>
      <c r="CB249" s="84">
        <f>IF(OR(NOT(AND($A249&lt;&gt;"",$C249&lt;&gt;"DOOR ONLY")),$BI249=""),"",IF(($BI249+IF(N($P249)&gt;0,$P249+FaceW,0))&lt;=90,3,IF(($BI249+IF(N($P249)&gt;0,$P249+FaceW,0))&lt;=114,4,5)))</f>
        <v/>
      </c>
      <c r="CC249" s="84">
        <f>IF($CB249="","",$CB249*(2+IF(N($Q249)&gt;0,IF($R249="LR",2,1),0)))</f>
        <v/>
      </c>
      <c r="CD249" s="84">
        <f>IF($CB249="","",(2+IF(N($Q249)&gt;0,IF($R249="LR",2,1),0)))</f>
        <v/>
      </c>
      <c r="CE249" s="84">
        <f>IF(N($BJ249)=0,"",IF(OR($AL249="",$AL249="FLUSH"),"FLUSH",IFERROR(LEFT($AL249,FIND("-",$AL249)-1),LEFT($AL249,2))))</f>
        <v/>
      </c>
      <c r="CF249" s="84">
        <f>IF($CE249="","",IFERROR(VALUE(MID($AL249,FIND("-",$AL249)+1,FIND(CHAR(34)&amp;"x",$AL249)-FIND("-",$AL249)-1)),0))</f>
        <v/>
      </c>
      <c r="CG249" s="84">
        <f>IF($CE249="","",IFERROR(VALUE(MID($AL249,FIND(CHAR(34)&amp;"x",$AL249)+2,FIND(CHAR(34),$AL249,FIND(CHAR(34)&amp;"x",$AL249)+2)-FIND(CHAR(34)&amp;"x",$AL249)-2)),0))</f>
        <v/>
      </c>
      <c r="CH249" s="90">
        <f>IF(OR($A249="",$H249="",$H249="NO LAB"),0,IFERROR(VALUE(LEFT($H249,FIND(" ",$H249)-1)),0))</f>
        <v/>
      </c>
      <c r="CI249" s="91">
        <f>IF(OR($A249="",$I249="",$I249="NON-RATED",N($J249)=0),"",IFERROR(VLOOKUP($I249&amp;"|"&amp;$J249,IBC,2,FALSE),"?"))</f>
        <v/>
      </c>
      <c r="CJ249" s="85">
        <f>IF(NOT(AND($A249&lt;&gt;"",$C249&lt;&gt;"DOOR ONLY")),"",TRIM(IFERROR(VLOOKUP($U249,CODES,2,FALSE),"")&amp;" "&amp;$BG249&amp;" "&amp;IFERROR(VLOOKUP($Z249,CODES,2,FALSE),"")&amp;" "&amp;IFERROR(VLOOKUP($X249,CODES,2,FALSE),"")&amp;" "&amp;IFERROR(VLOOKUP($S249,CODES,2,FALSE),"")&amp;IF(N($P249)&gt;0," w/TRANSOM "&amp;$P249&amp;CHAR(34),"")&amp;IF(N($Q249)&gt;0," w/SIDELITE "&amp;$Q249&amp;CHAR(34)&amp;" "&amp;IF($R249="","R",$R249),"")&amp;IF($Y249="","  |  "," | "&amp;IFERROR(VLOOKUP($Y249,CODES,2,FALSE),"")&amp;" | ")&amp;IFERROR(VLOOKUP($AC249,CODES,2,FALSE),"")&amp;" "&amp;IFERROR(VLOOKUP($AD249,CODES,2,FALSE),"")&amp;IF(OR($AE249="",$AE249="-"),""," "&amp;$AE249)&amp;IF(OR($AF249="",$AF249="-"),""," "&amp;$AF249)&amp;IF($AB249="Y"," 4"&amp;CHAR(34)&amp;" HEAD","")&amp;" "&amp;IFERROR(VLOOKUP($H249,CODES,2,FALSE),"")&amp;IF($CT249," | LOC "&amp;$CY249,"")))</f>
        <v/>
      </c>
      <c r="CK249" s="85">
        <f>IF(NOT(AND($A249&lt;&gt;"",N($BJ249)&gt;0)),"",TRIM(IFERROR(VLOOKUP($AH249,CODES,2,FALSE),"")&amp;IF($AI249=""," "," "&amp;$AI249&amp;"GA ")&amp;$BG249&amp;" "&amp;IF($AN249="",IFERROR(VLOOKUP($Z249,CODES,2,FALSE),""),IFERROR(VLOOKUP($AN249,CODES,2,FALSE),""))&amp;IF($BJ249=2," PAIR","")&amp;" DOOR | "&amp;IF($AL249="","?",$AL249)&amp;" | "&amp;IF($AO249="",IFERROR(VLOOKUP($AC249,CODES,2,FALSE),""),IFERROR(VLOOKUP($AO249,CODES,2,FALSE),""))&amp;" "&amp;IFERROR(VLOOKUP($AP249,CODES,2,FALSE),"")&amp;IF(OR($AQ249="",$AQ249="-"),""," SEAM "&amp;$AQ249)&amp;IF($AR249="Y"," ASTRAGAL","")&amp;IF($AJ249=""," "," "&amp;$AJ249)&amp;IF($AK249=""," "," "&amp;$AK249)&amp;IF(OR($AT249="",$AT249="ANSI/SDI",$AT249="CUSTOM LOC"),""," "&amp;$AT249)&amp;IF($AM249=""," "," SERIES "&amp;$AM249)&amp;" "&amp;IFERROR(VLOOKUP($H249,CODES,2,FALSE),"")&amp;IF($CT249," | LOC "&amp;$CZ249,"")))</f>
        <v/>
      </c>
      <c r="CL249" s="84">
        <f>IF(CP249="","",IF(COUNTIF($CP$6:CP249,CP249)=1,MAX($CL$5:CL248)+1,INDEX($CL$5:CL248,MATCH(CP249,$CP$5:CP248,0))))</f>
        <v/>
      </c>
      <c r="CM249" s="84">
        <f>IF(NOT(AND($A249&lt;&gt;"",$C249&lt;&gt;"DOOR ONLY")),"",MAX($CM$5:CM248)+1)</f>
        <v/>
      </c>
      <c r="CN249" s="84">
        <f>IF(NOT(AND($A249&lt;&gt;"",N($BJ249)&gt;0)),"",MAX($CN$5:CN248)+1)</f>
        <v/>
      </c>
      <c r="CO249" s="84">
        <f>IF($A249="","",MAX($CO$5:CO248)+1)</f>
        <v/>
      </c>
      <c r="CP249" s="84">
        <f>IF(OR($A249="",$BH249="",$BI249=""),"",$BG249&amp;"|"&amp;$O249&amp;"|"&amp;$AL249&amp;"|"&amp;$S249&amp;"|"&amp;$P249&amp;"|"&amp;$Q249&amp;$R249&amp;"|"&amp;$C249&amp;"|"&amp;$AB249)</f>
        <v/>
      </c>
      <c r="CQ249" s="84">
        <f>N($BS249)</f>
        <v/>
      </c>
      <c r="CR249" s="84">
        <f>IF(N($AU249)&gt;0,N($AU249),4.5)</f>
        <v/>
      </c>
      <c r="CS249" s="84">
        <f>OR($A249="",$BI249="",$S249="BL",AND($C249="FRAME ONLY",OR($AC249="",$AC249="BLK")))</f>
        <v/>
      </c>
      <c r="CT249" s="84">
        <f>AND(NOT($CS249),OR($AT249="CUSTOM LOC",N($AW249)+N($AX249)+N($AY249)+N($AZ249)+N($BA249)&gt;0))</f>
        <v/>
      </c>
      <c r="CU249" s="84">
        <f>IF($BI249="","",IF($BI249&lt;=80,80,IF($BI249&lt;=84,84,96)))</f>
        <v/>
      </c>
      <c r="CV249" s="84">
        <f>ISNUMBER(MATCH($AT249&amp;"|80",LocKeys,0))</f>
        <v/>
      </c>
      <c r="CW249" s="86">
        <f>IF($CS249,"",IF($CV249,VLOOKUP($AT249&amp;"|"&amp;$CU249,LocTable,4,FALSE),5))</f>
        <v/>
      </c>
      <c r="CX249" s="86">
        <f>IF($CS249,"",IF($CV249,IF(OR($BI249=$CU249,AND($BI249&lt;$CU249,$BI249-IF(N(VLOOKUP($AT249&amp;"|"&amp;$CU249,LocTable,7,FALSE))&gt;0,VLOOKUP($AT249&amp;"|"&amp;$CU249,LocTable,7,FALSE),VLOOKUP($AT249&amp;"|"&amp;$CU249,LocTable,6,FALSE))-$CR249-0.75&gt;=2.125)),IF(N(VLOOKUP($AT249&amp;"|"&amp;$CU249,LocTable,7,FALSE))&gt;0,VLOOKUP($AT249&amp;"|"&amp;$CU249,LocTable,7,FALSE),VLOOKUP($AT249&amp;"|"&amp;$CU249,LocTable,6,FALSE)),$BI249-($CU249-IF(N(VLOOKUP($AT249&amp;"|"&amp;$CU249,LocTable,7,FALSE))&gt;0,VLOOKUP($AT249&amp;"|"&amp;$CU249,LocTable,7,FALSE),VLOOKUP($AT249&amp;"|"&amp;$CU249,LocTable,6,FALSE)))),$BI249-10-$CR249))</f>
        <v/>
      </c>
      <c r="CY249" s="85">
        <f>IF($CS249,"",TRIM(IF(ISNUMBER($BU249),"A "&amp;TRIM(TEXT($BU249,"# ?/??"))&amp;CHAR(34)&amp;"  ","")&amp;IF(ISNUMBER($BV249),"B "&amp;TRIM(TEXT($BV249,"# ?/??"))&amp;CHAR(34)&amp;"  ","")&amp;IF(ISNUMBER($BW249),"C "&amp;TRIM(TEXT($BW249,"# ?/??"))&amp;CHAR(34)&amp;"  ","")&amp;IF(ISNUMBER($BX249),"D "&amp;TRIM(TEXT($BX249,"# ?/??"))&amp;CHAR(34)&amp;"  ","")&amp;IF(ISNUMBER($BY249),"F "&amp;TRIM(TEXT($BY249,"# ?/??"))&amp;CHAR(34)&amp;"  ","")&amp;IF(ISNUMBER($BZ249),"E "&amp;TRIM(TEXT($BZ249,"# ?/??"))&amp;CHAR(34)&amp;"  ","")))</f>
        <v/>
      </c>
      <c r="CZ249" s="85">
        <f>IF(OR($CS249,N($BJ249)=0),"",TRIM(IF(ISNUMBER($BU249),"A "&amp;TRIM(TEXT($BU249-HeadClr,"# ?/??"))&amp;CHAR(34)&amp;"  ","")&amp;IF(ISNUMBER($BV249),"B "&amp;TRIM(TEXT($BV249-HeadClr,"# ?/??"))&amp;CHAR(34)&amp;"  ","")&amp;IF(ISNUMBER($BW249),"C "&amp;TRIM(TEXT($BW249-HeadClr,"# ?/??"))&amp;CHAR(34)&amp;"  ","")&amp;IF(ISNUMBER($BX249),"D "&amp;TRIM(TEXT($BX249-HeadClr,"# ?/??"))&amp;CHAR(34)&amp;"  ","")&amp;IF(ISNUMBER($BY249),"F "&amp;TRIM(TEXT($BY249-HeadClr,"# ?/??"))&amp;CHAR(34)&amp;"  ","")&amp;IF(ISNUMBER($BZ249),"E "&amp;TRIM(TEXT($BZ249-HeadClr,"# ?/??"))&amp;CHAR(34)&amp;"  ","")))</f>
        <v/>
      </c>
      <c r="DA249" s="84">
        <f>IF($A249="","",IF($AN249="",IFERROR(VLOOKUP($Z249,CODES,2,FALSE),""),IFERROR(VLOOKUP($AN249,CODES,2,FALSE),"")))</f>
        <v/>
      </c>
      <c r="DB249" s="84">
        <f>IF($A249="","",IF($O249="Y","PR",IF(OR($Z249="L",$Z249="RR",LEFT($Z249,2)="L-",LEFT($Z249,3)="RR-"),"LH","RH")))</f>
        <v/>
      </c>
      <c r="DC249" s="84">
        <f>IF($A249="","","S.HM"&amp;IF(OR($C249="DOOR ONLY",$X249&lt;&gt;"KD"),"MASONRY","DRYWALL")&amp;IF($C249="DOOR ONLY","",$U249)&amp;IF(AND($C249&lt;&gt;"FRAME ONLY",OR(LEFT($AH249,3)="OAK",LEFT($AH249,3)="BIR",LEFT($AH249,3)="MAP",$AH249="PC",$AH249="MC",$AH249="SCLC",$AH249="P-LAM")),"WD","HM")&amp;"1.75")</f>
        <v/>
      </c>
      <c r="DD249" s="84">
        <f>IF($CJ249="","",IF($O249="Y",$CJ249,SUBSTITUTE($CJ249,$BG249&amp;" "&amp;IFERROR(VLOOKUP($Z249,CODES,2,FALSE),"")&amp;" ",$BG249&amp;" ")))</f>
        <v/>
      </c>
      <c r="DE249" s="84">
        <f>IF($CK249="","",IF($O249="Y",$CK249,SUBSTITUTE($CK249,$BG249&amp;" "&amp;IF($AN249="",IFERROR(VLOOKUP($Z249,CODES,2,FALSE),""),IFERROR(VLOOKUP($AN249,CODES,2,FALSE),""))&amp;" ",$BG249&amp;" ")))</f>
        <v/>
      </c>
      <c r="DF249" s="84">
        <f>IF($CJ249="","",$DC249&amp;"|"&amp;$DD249&amp;"|"&amp;$DB249&amp;"|"&amp;$AT249&amp;"|"&amp;$V249&amp;"|"&amp;$Y249&amp;"|"&amp;$AB249)</f>
        <v/>
      </c>
      <c r="DG249" s="84">
        <f>IF(DF249="","",IF(COUNTIF($DF$6:DF249,DF249)=1,MAX($DG$5:DG248)+1,INDEX($DG$5:DG248,MATCH(DF249,$DF$5:DF248,0))))</f>
        <v/>
      </c>
      <c r="DH249" s="84">
        <f>IF($CK249="","",$DC249&amp;"|"&amp;$DE249&amp;"|"&amp;$AI249&amp;"|"&amp;$BK249&amp;"|"&amp;$BL249)</f>
        <v/>
      </c>
      <c r="DI249" s="84">
        <f>IF(DH249="","",IF(COUNTIF($DH$6:DH249,DH249)=1,MAX($DI$5:DI248)+1,INDEX($DI$5:DI248,MATCH(DH249,$DH$5:DH248,0))))</f>
        <v/>
      </c>
      <c r="DJ249" s="84">
        <f>IF($A249="","",IF($B249="","qty, ","")&amp;IF($C249="","scope, ","")&amp;IF(OR($K249="",$M249=""),"size, ","")&amp;IF(AND($A249&lt;&gt;"",$C249&lt;&gt;"DOOR ONLY"),IF($U249="","jamb depth, ","")&amp;IF($X249="","construction, ","")&amp;IF($Y249="","anchor, ","")&amp;IF($S249="","frame type, ",""),"")&amp;IF(AND(N($BJ249)&gt;0,$Z249=""),"hand, ","")&amp;IF(N($BJ249)&gt;0,IF($AH249="","door material, ","")&amp;IF($AL249="","face type, ","")&amp;IF($AP249="","lock prep, ","")&amp;IF(AND($AO249="",$AC249=""),"hinge prep, ",""),"")&amp;IF(AND($CH249&gt;0,$AH249="FRP"),"FRP cannot carry a label, ","")&amp;IF(AND($O249="Y",OR($Z249="L",$Z249="R",$Z249="LR",$Z249="RR")),"pair marked but hand is single, ","")&amp;IF(AND($O249&lt;&gt;"Y",OR($Z249="PR",AND(LEN($Z249)&gt;1,ISNUMBER(SEARCH("-",$Z249))))),"pair hand on a single door, ","")&amp;IF(AND(ISNUMBER($CI249),$CH249&lt;N($CI249)),"wall needs a "&amp;$CI249&amp;" min door, ","")&amp;IF(AND($CH249&gt;=180,AND(OR($CE249="FG",$CE249="HG",$CE249="FNV",$CE249="FV"),N($CF249)*N($CG249)&gt;100)),"180 min lite over 100 sq in, ","")&amp;IF(N($BK249)&gt;48,"leaf wider than 4'-0"&amp;CHAR(34)&amp;", ","")&amp;IF(AND($CT249,COUNT($AW249:$AZ249)=0,$CQ249&gt;0),"CUSTOM LOC with no locations typed, ",""))</f>
        <v/>
      </c>
      <c r="DK249" s="84">
        <f>IF($A249="","",IF(AND($CH249&gt;0,AND($A249&lt;&gt;"",$C249&lt;&gt;"DOOR ONLY"),$X249="KD",$E249="EXTERIOR"),"KD label on an exterior opening, ","")&amp;IF(AND($E249="EXTERIOR",OR(AND(AND($A249&lt;&gt;"",$C249&lt;&gt;"DOOR ONLY"),$W249="CR"),AND(N($BJ249)&gt;0,$AH249="CR"))),"exterior in CR steel (G9?), ","")&amp;IF(AND(ISNUMBER($BQ249),N($BQ249)&lt;32),"clear width ~"&amp;TEXT($BQ249,"0.0")&amp;CHAR(34)&amp;" under 32"&amp;CHAR(34)&amp;" (ADA), ","")&amp;IF(AND($CH249=90,AND(OR($CE249="FG",$CE249="HG",$CE249="FNV",$CE249="FV"),N($CF249)*N($CG249)&gt;100)),"90 min lite over 100 sq in (stair/exit), ","")&amp;IF(AND($CH249&gt;0,AND($A249&lt;&gt;"",$C249&lt;&gt;"DOOR ONLY"),OR($AF249="",$AF249="-")),"rated: closer reinf.?, ","")&amp;IF(OR($I249="CORRIDOR",$I249="SMOKE BARRIER"),"S label + smoke gasketing, ","")&amp;IF($CI249="?","wall type/hr not in IBC table, ","")&amp;IF(AND(N($BJ249)&gt;0,$BB249=""),"no hardware set, ","")&amp;IF(AND($BB249&lt;&gt;"",ISNA(MATCH($BB249&amp;"",HWSets,0))),"set "&amp;$BB249&amp;" not on HW Sets, ","")&amp;IF(N($BL249)&gt;96,"leaf over 8'-0"&amp;CHAR(34)&amp;" - check listing, ","")&amp;IF(AND($CT249,COUNT($AW249:$AZ249)&gt;0,COUNT($AW249:$AZ249)&lt;&gt;$CQ249),COUNT($AW249:$AZ249)&amp;" custom hinges typed, "&amp;$CQ249&amp;" expected, ","")&amp;IF(AND(ISNUMBER($CA249),OR(N($CA249)&lt;34,N($CA249)&gt;48)),"lock "&amp;TEXT($CA249,"0.0")&amp;CHAR(34)&amp;" AFF outside 34-48"&amp;CHAR(34)&amp;" (ADA), ","")&amp;IF(AND(ISNUMBER($AV249),ISNUMBER($BL249),N($AV249)&lt;IF(N($BL249)&lt;=60,2,IF(N($BL249)&lt;=90,3,IF(N($BL249)&lt;=120,4,5)))),"fewer hinges than standard, ",""))</f>
        <v/>
      </c>
    </row>
    <row r="250" ht="15" customHeight="1">
      <c r="A250" s="92" t="n"/>
      <c r="B250" s="93" t="n"/>
      <c r="C250" s="93" t="n"/>
      <c r="D250" s="93" t="n"/>
      <c r="E250" s="93" t="n"/>
      <c r="F250" s="93" t="n"/>
      <c r="G250" s="93" t="n"/>
      <c r="H250" s="93" t="n"/>
      <c r="I250" s="93" t="n"/>
      <c r="J250" s="93" t="n"/>
      <c r="K250" s="93" t="n"/>
      <c r="L250" s="93" t="n"/>
      <c r="M250" s="93" t="n"/>
      <c r="N250" s="93" t="n"/>
      <c r="O250" s="93" t="n"/>
      <c r="P250" s="93" t="n"/>
      <c r="Q250" s="93" t="n"/>
      <c r="R250" s="93" t="n"/>
      <c r="S250" s="94" t="n"/>
      <c r="T250" s="94" t="n"/>
      <c r="U250" s="94" t="n"/>
      <c r="V250" s="94" t="n"/>
      <c r="W250" s="94" t="n"/>
      <c r="X250" s="94" t="n"/>
      <c r="Y250" s="94" t="n"/>
      <c r="Z250" s="94" t="n"/>
      <c r="AA250" s="94" t="n"/>
      <c r="AB250" s="94" t="n"/>
      <c r="AC250" s="94" t="n"/>
      <c r="AD250" s="94" t="n"/>
      <c r="AE250" s="94" t="n"/>
      <c r="AF250" s="94" t="n"/>
      <c r="AG250" s="94" t="n"/>
      <c r="AH250" s="95" t="n"/>
      <c r="AI250" s="95" t="n"/>
      <c r="AJ250" s="95" t="n"/>
      <c r="AK250" s="95" t="n"/>
      <c r="AL250" s="95" t="n"/>
      <c r="AM250" s="95" t="n"/>
      <c r="AN250" s="95" t="n"/>
      <c r="AO250" s="95" t="n"/>
      <c r="AP250" s="95" t="n"/>
      <c r="AQ250" s="95" t="n"/>
      <c r="AR250" s="95" t="n"/>
      <c r="AS250" s="95" t="n"/>
      <c r="AT250" s="96" t="n"/>
      <c r="AU250" s="96" t="n"/>
      <c r="AV250" s="96" t="n"/>
      <c r="AW250" s="97" t="n"/>
      <c r="AX250" s="97" t="n"/>
      <c r="AY250" s="97" t="n"/>
      <c r="AZ250" s="97" t="n"/>
      <c r="BA250" s="97" t="n"/>
      <c r="BB250" s="98" t="n"/>
      <c r="BC250" s="98" t="n"/>
      <c r="BD250" s="99">
        <f>IF($A250="","",IF($DJ250&lt;&gt;"","FIX",IF($DK250&lt;&gt;"","CHECK","OK")))</f>
        <v/>
      </c>
      <c r="BE250" s="100">
        <f>IF($A250="","",IF($DJ250&lt;&gt;"","FIX: "&amp;LEFT($DJ250,LEN($DJ250)-2)&amp;IF($DK250&lt;&gt;"","  ·  ",""),"")&amp;IF($DK250&lt;&gt;"","CHECK: "&amp;LEFT($DK250,LEN($DK250)-2),""))</f>
        <v/>
      </c>
      <c r="BF250" s="99">
        <f>IF(OR($A250="",$K250=""),"",$K250&amp;"'-"&amp;N($L250)&amp;CHAR(34)&amp;" x "&amp;$M250&amp;"'-"&amp;N($N250)&amp;CHAR(34))</f>
        <v/>
      </c>
      <c r="BG250" s="99">
        <f>IF(OR($A250="",$K250=""),"",$K250&amp;N($L250)&amp;$M250&amp;N($N250))</f>
        <v/>
      </c>
      <c r="BH250" s="99">
        <f>IF(OR($A250="",$K250=""),"",$K250*12+N($L250))</f>
        <v/>
      </c>
      <c r="BI250" s="99">
        <f>IF(OR($A250="",$M250=""),"",$M250*12+N($N250))</f>
        <v/>
      </c>
      <c r="BJ250" s="99">
        <f>IF($A250="","",IF(OR($C250="FRAME ONLY",$S250="BL"),0,IF($O250="Y",2,1)))</f>
        <v/>
      </c>
      <c r="BK250" s="101">
        <f>IF(OR(N($BJ250)=0,$BH250=""),"",($BH250-2*EdgeClr-IF($BJ250=2,MeetClr,0))/$BJ250)</f>
        <v/>
      </c>
      <c r="BL250" s="101">
        <f>IF(OR(N($BJ250)=0,$BI250=""),"",$BI250-HeadClr-Undercut)</f>
        <v/>
      </c>
      <c r="BM250" s="101">
        <f>IF($BH250="","",$BH250+2*FaceW+IF(N($Q250)&gt;0,($Q250+FaceW)*IF($R250="LR",2,1),0))</f>
        <v/>
      </c>
      <c r="BN250" s="101">
        <f>IF($BI250="","",$BI250+IF($AB250="Y",4,FaceW)+IF(N($P250)&gt;0,$P250+FaceW,0)+IF(OR($S250="4F",$S250="BL"),FaceW,0))</f>
        <v/>
      </c>
      <c r="BO250" s="101">
        <f>IF($BM250="","",$BM250+2*ROSide)</f>
        <v/>
      </c>
      <c r="BP250" s="101">
        <f>IF($BN250="","",$BN250+ROTop)</f>
        <v/>
      </c>
      <c r="BQ250" s="102">
        <f>IF(OR(N($BJ250)=0,$BH250=""),"",$BH250/$BJ250-ClearDeduct)</f>
        <v/>
      </c>
      <c r="BR250" s="99">
        <f>IF(N($CH250)=0,"",IF($CH250&gt;=180,"A · 3 HR",IF($CH250&gt;=90,"B · 1-1/2 HR",IF($CH250&gt;=60,"B · 1 HR",IF($CH250&gt;=45,"C · 3/4 HR","20 MIN")))))&amp;IF(AND(N($CH250)&gt;0,OR($I250="CORRIDOR",$I250="SMOKE BARRIER"))," · S","")</f>
        <v/>
      </c>
      <c r="BS250" s="99">
        <f>IF($CS250,"",IF($AV250&lt;&gt;"",$AV250,IF(OR($AC250="HGC",$AO250="HGC"),"CONT",IF(($BI250-HeadClr-Undercut)&lt;=60,2,IF(($BI250-HeadClr-Undercut)&lt;=90,3,IF(($BI250-HeadClr-Undercut)&lt;=120,4,5))))))</f>
        <v/>
      </c>
      <c r="BT250" s="99">
        <f>IF($CS250,"",IF($CT250,"CUSTOM (typed)",IF($CV250,$AT250&amp;" "&amp;$CU250&amp;CHAR(34)&amp;IF($CU250&lt;&gt;$BI250,IF(AND($BI250&lt;$CU250,$BI250-IF(N(VLOOKUP($AT250&amp;"|"&amp;$CU250,LocTable,7,FALSE))&gt;0,VLOOKUP($AT250&amp;"|"&amp;$CU250,LocTable,7,FALSE),VLOOKUP($AT250&amp;"|"&amp;$CU250,LocTable,6,FALSE))-$CR250-0.75&gt;=2.125)," cut down"," adj."),""),"ANSI/SDI A250.6")))</f>
        <v/>
      </c>
      <c r="BU250" s="103">
        <f>IF($CS250,"",IF($CT250,IF(N($AW250)&gt;0,N($AW250),""),IF(1&gt;$CQ250,"",IF($CQ250=1,$CW250,$CW250+($CX250-$CW250)*0/($CQ250-1)))))</f>
        <v/>
      </c>
      <c r="BV250" s="103">
        <f>IF($CS250,"",IF($CT250,IF(N($AX250)&gt;0,N($AX250),""),IF(2&gt;$CQ250,"",IF($CQ250=1,$CW250,$CW250+($CX250-$CW250)*1/($CQ250-1)))))</f>
        <v/>
      </c>
      <c r="BW250" s="103">
        <f>IF($CS250,"",IF($CT250,IF(N($AY250)&gt;0,N($AY250),""),IF(3&gt;$CQ250,"",IF($CQ250=1,$CW250,$CW250+($CX250-$CW250)*2/($CQ250-1)))))</f>
        <v/>
      </c>
      <c r="BX250" s="103">
        <f>IF($CS250,"",IF($CT250,IF(N($AZ250)&gt;0,N($AZ250),""),IF(4&gt;$CQ250,"",IF($CQ250=1,$CW250,$CW250+($CX250-$CW250)*3/($CQ250-1)))))</f>
        <v/>
      </c>
      <c r="BY250" s="103">
        <f>IF($CS250,"",IF($CT250,"",IF(5&gt;$CQ250,"",IF($CQ250=1,$CW250,$CW250+($CX250-$CW250)*4/($CQ250-1)))))</f>
        <v/>
      </c>
      <c r="BZ250" s="103">
        <f>IF(OR($CS250,$AP250="-",AND($AP250="",$AD250="")),"",IF(N($BA250)&gt;0,N($BA250),IF($CV250,IF(AND($BI250&lt;$CU250,$BI250-IF(N(VLOOKUP($AT250&amp;"|"&amp;$CU250,LocTable,7,FALSE))&gt;0,VLOOKUP($AT250&amp;"|"&amp;$CU250,LocTable,7,FALSE),VLOOKUP($AT250&amp;"|"&amp;$CU250,LocTable,6,FALSE))-$CR250-0.75&gt;=2.125),VLOOKUP($AT250&amp;"|"&amp;$CU250,LocTable,8,FALSE),VLOOKUP($AT250&amp;"|"&amp;$CU250,LocTable,8,FALSE)+($BI250-$CU250)),$BI250-LockAFF)))</f>
        <v/>
      </c>
      <c r="CA250" s="104">
        <f>IF($BZ250="","",$BI250-$BZ250)</f>
        <v/>
      </c>
      <c r="CB250" s="99">
        <f>IF(OR(NOT(AND($A250&lt;&gt;"",$C250&lt;&gt;"DOOR ONLY")),$BI250=""),"",IF(($BI250+IF(N($P250)&gt;0,$P250+FaceW,0))&lt;=90,3,IF(($BI250+IF(N($P250)&gt;0,$P250+FaceW,0))&lt;=114,4,5)))</f>
        <v/>
      </c>
      <c r="CC250" s="99">
        <f>IF($CB250="","",$CB250*(2+IF(N($Q250)&gt;0,IF($R250="LR",2,1),0)))</f>
        <v/>
      </c>
      <c r="CD250" s="99">
        <f>IF($CB250="","",(2+IF(N($Q250)&gt;0,IF($R250="LR",2,1),0)))</f>
        <v/>
      </c>
      <c r="CE250" s="99">
        <f>IF(N($BJ250)=0,"",IF(OR($AL250="",$AL250="FLUSH"),"FLUSH",IFERROR(LEFT($AL250,FIND("-",$AL250)-1),LEFT($AL250,2))))</f>
        <v/>
      </c>
      <c r="CF250" s="99">
        <f>IF($CE250="","",IFERROR(VALUE(MID($AL250,FIND("-",$AL250)+1,FIND(CHAR(34)&amp;"x",$AL250)-FIND("-",$AL250)-1)),0))</f>
        <v/>
      </c>
      <c r="CG250" s="99">
        <f>IF($CE250="","",IFERROR(VALUE(MID($AL250,FIND(CHAR(34)&amp;"x",$AL250)+2,FIND(CHAR(34),$AL250,FIND(CHAR(34)&amp;"x",$AL250)+2)-FIND(CHAR(34)&amp;"x",$AL250)-2)),0))</f>
        <v/>
      </c>
      <c r="CH250" s="105">
        <f>IF(OR($A250="",$H250="",$H250="NO LAB"),0,IFERROR(VALUE(LEFT($H250,FIND(" ",$H250)-1)),0))</f>
        <v/>
      </c>
      <c r="CI250" s="106">
        <f>IF(OR($A250="",$I250="",$I250="NON-RATED",N($J250)=0),"",IFERROR(VLOOKUP($I250&amp;"|"&amp;$J250,IBC,2,FALSE),"?"))</f>
        <v/>
      </c>
      <c r="CJ250" s="100">
        <f>IF(NOT(AND($A250&lt;&gt;"",$C250&lt;&gt;"DOOR ONLY")),"",TRIM(IFERROR(VLOOKUP($U250,CODES,2,FALSE),"")&amp;" "&amp;$BG250&amp;" "&amp;IFERROR(VLOOKUP($Z250,CODES,2,FALSE),"")&amp;" "&amp;IFERROR(VLOOKUP($X250,CODES,2,FALSE),"")&amp;" "&amp;IFERROR(VLOOKUP($S250,CODES,2,FALSE),"")&amp;IF(N($P250)&gt;0," w/TRANSOM "&amp;$P250&amp;CHAR(34),"")&amp;IF(N($Q250)&gt;0," w/SIDELITE "&amp;$Q250&amp;CHAR(34)&amp;" "&amp;IF($R250="","R",$R250),"")&amp;IF($Y250="","  |  "," | "&amp;IFERROR(VLOOKUP($Y250,CODES,2,FALSE),"")&amp;" | ")&amp;IFERROR(VLOOKUP($AC250,CODES,2,FALSE),"")&amp;" "&amp;IFERROR(VLOOKUP($AD250,CODES,2,FALSE),"")&amp;IF(OR($AE250="",$AE250="-"),""," "&amp;$AE250)&amp;IF(OR($AF250="",$AF250="-"),""," "&amp;$AF250)&amp;IF($AB250="Y"," 4"&amp;CHAR(34)&amp;" HEAD","")&amp;" "&amp;IFERROR(VLOOKUP($H250,CODES,2,FALSE),"")&amp;IF($CT250," | LOC "&amp;$CY250,"")))</f>
        <v/>
      </c>
      <c r="CK250" s="100">
        <f>IF(NOT(AND($A250&lt;&gt;"",N($BJ250)&gt;0)),"",TRIM(IFERROR(VLOOKUP($AH250,CODES,2,FALSE),"")&amp;IF($AI250=""," "," "&amp;$AI250&amp;"GA ")&amp;$BG250&amp;" "&amp;IF($AN250="",IFERROR(VLOOKUP($Z250,CODES,2,FALSE),""),IFERROR(VLOOKUP($AN250,CODES,2,FALSE),""))&amp;IF($BJ250=2," PAIR","")&amp;" DOOR | "&amp;IF($AL250="","?",$AL250)&amp;" | "&amp;IF($AO250="",IFERROR(VLOOKUP($AC250,CODES,2,FALSE),""),IFERROR(VLOOKUP($AO250,CODES,2,FALSE),""))&amp;" "&amp;IFERROR(VLOOKUP($AP250,CODES,2,FALSE),"")&amp;IF(OR($AQ250="",$AQ250="-"),""," SEAM "&amp;$AQ250)&amp;IF($AR250="Y"," ASTRAGAL","")&amp;IF($AJ250=""," "," "&amp;$AJ250)&amp;IF($AK250=""," "," "&amp;$AK250)&amp;IF(OR($AT250="",$AT250="ANSI/SDI",$AT250="CUSTOM LOC"),""," "&amp;$AT250)&amp;IF($AM250=""," "," SERIES "&amp;$AM250)&amp;" "&amp;IFERROR(VLOOKUP($H250,CODES,2,FALSE),"")&amp;IF($CT250," | LOC "&amp;$CZ250,"")))</f>
        <v/>
      </c>
      <c r="CL250" s="99">
        <f>IF(CP250="","",IF(COUNTIF($CP$6:CP250,CP250)=1,MAX($CL$5:CL249)+1,INDEX($CL$5:CL249,MATCH(CP250,$CP$5:CP249,0))))</f>
        <v/>
      </c>
      <c r="CM250" s="99">
        <f>IF(NOT(AND($A250&lt;&gt;"",$C250&lt;&gt;"DOOR ONLY")),"",MAX($CM$5:CM249)+1)</f>
        <v/>
      </c>
      <c r="CN250" s="99">
        <f>IF(NOT(AND($A250&lt;&gt;"",N($BJ250)&gt;0)),"",MAX($CN$5:CN249)+1)</f>
        <v/>
      </c>
      <c r="CO250" s="99">
        <f>IF($A250="","",MAX($CO$5:CO249)+1)</f>
        <v/>
      </c>
      <c r="CP250" s="99">
        <f>IF(OR($A250="",$BH250="",$BI250=""),"",$BG250&amp;"|"&amp;$O250&amp;"|"&amp;$AL250&amp;"|"&amp;$S250&amp;"|"&amp;$P250&amp;"|"&amp;$Q250&amp;$R250&amp;"|"&amp;$C250&amp;"|"&amp;$AB250)</f>
        <v/>
      </c>
      <c r="CQ250" s="99">
        <f>N($BS250)</f>
        <v/>
      </c>
      <c r="CR250" s="99">
        <f>IF(N($AU250)&gt;0,N($AU250),4.5)</f>
        <v/>
      </c>
      <c r="CS250" s="99">
        <f>OR($A250="",$BI250="",$S250="BL",AND($C250="FRAME ONLY",OR($AC250="",$AC250="BLK")))</f>
        <v/>
      </c>
      <c r="CT250" s="99">
        <f>AND(NOT($CS250),OR($AT250="CUSTOM LOC",N($AW250)+N($AX250)+N($AY250)+N($AZ250)+N($BA250)&gt;0))</f>
        <v/>
      </c>
      <c r="CU250" s="99">
        <f>IF($BI250="","",IF($BI250&lt;=80,80,IF($BI250&lt;=84,84,96)))</f>
        <v/>
      </c>
      <c r="CV250" s="99">
        <f>ISNUMBER(MATCH($AT250&amp;"|80",LocKeys,0))</f>
        <v/>
      </c>
      <c r="CW250" s="101">
        <f>IF($CS250,"",IF($CV250,VLOOKUP($AT250&amp;"|"&amp;$CU250,LocTable,4,FALSE),5))</f>
        <v/>
      </c>
      <c r="CX250" s="101">
        <f>IF($CS250,"",IF($CV250,IF(OR($BI250=$CU250,AND($BI250&lt;$CU250,$BI250-IF(N(VLOOKUP($AT250&amp;"|"&amp;$CU250,LocTable,7,FALSE))&gt;0,VLOOKUP($AT250&amp;"|"&amp;$CU250,LocTable,7,FALSE),VLOOKUP($AT250&amp;"|"&amp;$CU250,LocTable,6,FALSE))-$CR250-0.75&gt;=2.125)),IF(N(VLOOKUP($AT250&amp;"|"&amp;$CU250,LocTable,7,FALSE))&gt;0,VLOOKUP($AT250&amp;"|"&amp;$CU250,LocTable,7,FALSE),VLOOKUP($AT250&amp;"|"&amp;$CU250,LocTable,6,FALSE)),$BI250-($CU250-IF(N(VLOOKUP($AT250&amp;"|"&amp;$CU250,LocTable,7,FALSE))&gt;0,VLOOKUP($AT250&amp;"|"&amp;$CU250,LocTable,7,FALSE),VLOOKUP($AT250&amp;"|"&amp;$CU250,LocTable,6,FALSE)))),$BI250-10-$CR250))</f>
        <v/>
      </c>
      <c r="CY250" s="100">
        <f>IF($CS250,"",TRIM(IF(ISNUMBER($BU250),"A "&amp;TRIM(TEXT($BU250,"# ?/??"))&amp;CHAR(34)&amp;"  ","")&amp;IF(ISNUMBER($BV250),"B "&amp;TRIM(TEXT($BV250,"# ?/??"))&amp;CHAR(34)&amp;"  ","")&amp;IF(ISNUMBER($BW250),"C "&amp;TRIM(TEXT($BW250,"# ?/??"))&amp;CHAR(34)&amp;"  ","")&amp;IF(ISNUMBER($BX250),"D "&amp;TRIM(TEXT($BX250,"# ?/??"))&amp;CHAR(34)&amp;"  ","")&amp;IF(ISNUMBER($BY250),"F "&amp;TRIM(TEXT($BY250,"# ?/??"))&amp;CHAR(34)&amp;"  ","")&amp;IF(ISNUMBER($BZ250),"E "&amp;TRIM(TEXT($BZ250,"# ?/??"))&amp;CHAR(34)&amp;"  ","")))</f>
        <v/>
      </c>
      <c r="CZ250" s="100">
        <f>IF(OR($CS250,N($BJ250)=0),"",TRIM(IF(ISNUMBER($BU250),"A "&amp;TRIM(TEXT($BU250-HeadClr,"# ?/??"))&amp;CHAR(34)&amp;"  ","")&amp;IF(ISNUMBER($BV250),"B "&amp;TRIM(TEXT($BV250-HeadClr,"# ?/??"))&amp;CHAR(34)&amp;"  ","")&amp;IF(ISNUMBER($BW250),"C "&amp;TRIM(TEXT($BW250-HeadClr,"# ?/??"))&amp;CHAR(34)&amp;"  ","")&amp;IF(ISNUMBER($BX250),"D "&amp;TRIM(TEXT($BX250-HeadClr,"# ?/??"))&amp;CHAR(34)&amp;"  ","")&amp;IF(ISNUMBER($BY250),"F "&amp;TRIM(TEXT($BY250-HeadClr,"# ?/??"))&amp;CHAR(34)&amp;"  ","")&amp;IF(ISNUMBER($BZ250),"E "&amp;TRIM(TEXT($BZ250-HeadClr,"# ?/??"))&amp;CHAR(34)&amp;"  ","")))</f>
        <v/>
      </c>
      <c r="DA250" s="99">
        <f>IF($A250="","",IF($AN250="",IFERROR(VLOOKUP($Z250,CODES,2,FALSE),""),IFERROR(VLOOKUP($AN250,CODES,2,FALSE),"")))</f>
        <v/>
      </c>
      <c r="DB250" s="99">
        <f>IF($A250="","",IF($O250="Y","PR",IF(OR($Z250="L",$Z250="RR",LEFT($Z250,2)="L-",LEFT($Z250,3)="RR-"),"LH","RH")))</f>
        <v/>
      </c>
      <c r="DC250" s="99">
        <f>IF($A250="","","S.HM"&amp;IF(OR($C250="DOOR ONLY",$X250&lt;&gt;"KD"),"MASONRY","DRYWALL")&amp;IF($C250="DOOR ONLY","",$U250)&amp;IF(AND($C250&lt;&gt;"FRAME ONLY",OR(LEFT($AH250,3)="OAK",LEFT($AH250,3)="BIR",LEFT($AH250,3)="MAP",$AH250="PC",$AH250="MC",$AH250="SCLC",$AH250="P-LAM")),"WD","HM")&amp;"1.75")</f>
        <v/>
      </c>
      <c r="DD250" s="99">
        <f>IF($CJ250="","",IF($O250="Y",$CJ250,SUBSTITUTE($CJ250,$BG250&amp;" "&amp;IFERROR(VLOOKUP($Z250,CODES,2,FALSE),"")&amp;" ",$BG250&amp;" ")))</f>
        <v/>
      </c>
      <c r="DE250" s="99">
        <f>IF($CK250="","",IF($O250="Y",$CK250,SUBSTITUTE($CK250,$BG250&amp;" "&amp;IF($AN250="",IFERROR(VLOOKUP($Z250,CODES,2,FALSE),""),IFERROR(VLOOKUP($AN250,CODES,2,FALSE),""))&amp;" ",$BG250&amp;" ")))</f>
        <v/>
      </c>
      <c r="DF250" s="99">
        <f>IF($CJ250="","",$DC250&amp;"|"&amp;$DD250&amp;"|"&amp;$DB250&amp;"|"&amp;$AT250&amp;"|"&amp;$V250&amp;"|"&amp;$Y250&amp;"|"&amp;$AB250)</f>
        <v/>
      </c>
      <c r="DG250" s="99">
        <f>IF(DF250="","",IF(COUNTIF($DF$6:DF250,DF250)=1,MAX($DG$5:DG249)+1,INDEX($DG$5:DG249,MATCH(DF250,$DF$5:DF249,0))))</f>
        <v/>
      </c>
      <c r="DH250" s="99">
        <f>IF($CK250="","",$DC250&amp;"|"&amp;$DE250&amp;"|"&amp;$AI250&amp;"|"&amp;$BK250&amp;"|"&amp;$BL250)</f>
        <v/>
      </c>
      <c r="DI250" s="99">
        <f>IF(DH250="","",IF(COUNTIF($DH$6:DH250,DH250)=1,MAX($DI$5:DI249)+1,INDEX($DI$5:DI249,MATCH(DH250,$DH$5:DH249,0))))</f>
        <v/>
      </c>
      <c r="DJ250" s="99">
        <f>IF($A250="","",IF($B250="","qty, ","")&amp;IF($C250="","scope, ","")&amp;IF(OR($K250="",$M250=""),"size, ","")&amp;IF(AND($A250&lt;&gt;"",$C250&lt;&gt;"DOOR ONLY"),IF($U250="","jamb depth, ","")&amp;IF($X250="","construction, ","")&amp;IF($Y250="","anchor, ","")&amp;IF($S250="","frame type, ",""),"")&amp;IF(AND(N($BJ250)&gt;0,$Z250=""),"hand, ","")&amp;IF(N($BJ250)&gt;0,IF($AH250="","door material, ","")&amp;IF($AL250="","face type, ","")&amp;IF($AP250="","lock prep, ","")&amp;IF(AND($AO250="",$AC250=""),"hinge prep, ",""),"")&amp;IF(AND($CH250&gt;0,$AH250="FRP"),"FRP cannot carry a label, ","")&amp;IF(AND($O250="Y",OR($Z250="L",$Z250="R",$Z250="LR",$Z250="RR")),"pair marked but hand is single, ","")&amp;IF(AND($O250&lt;&gt;"Y",OR($Z250="PR",AND(LEN($Z250)&gt;1,ISNUMBER(SEARCH("-",$Z250))))),"pair hand on a single door, ","")&amp;IF(AND(ISNUMBER($CI250),$CH250&lt;N($CI250)),"wall needs a "&amp;$CI250&amp;" min door, ","")&amp;IF(AND($CH250&gt;=180,AND(OR($CE250="FG",$CE250="HG",$CE250="FNV",$CE250="FV"),N($CF250)*N($CG250)&gt;100)),"180 min lite over 100 sq in, ","")&amp;IF(N($BK250)&gt;48,"leaf wider than 4'-0"&amp;CHAR(34)&amp;", ","")&amp;IF(AND($CT250,COUNT($AW250:$AZ250)=0,$CQ250&gt;0),"CUSTOM LOC with no locations typed, ",""))</f>
        <v/>
      </c>
      <c r="DK250" s="99">
        <f>IF($A250="","",IF(AND($CH250&gt;0,AND($A250&lt;&gt;"",$C250&lt;&gt;"DOOR ONLY"),$X250="KD",$E250="EXTERIOR"),"KD label on an exterior opening, ","")&amp;IF(AND($E250="EXTERIOR",OR(AND(AND($A250&lt;&gt;"",$C250&lt;&gt;"DOOR ONLY"),$W250="CR"),AND(N($BJ250)&gt;0,$AH250="CR"))),"exterior in CR steel (G9?), ","")&amp;IF(AND(ISNUMBER($BQ250),N($BQ250)&lt;32),"clear width ~"&amp;TEXT($BQ250,"0.0")&amp;CHAR(34)&amp;" under 32"&amp;CHAR(34)&amp;" (ADA), ","")&amp;IF(AND($CH250=90,AND(OR($CE250="FG",$CE250="HG",$CE250="FNV",$CE250="FV"),N($CF250)*N($CG250)&gt;100)),"90 min lite over 100 sq in (stair/exit), ","")&amp;IF(AND($CH250&gt;0,AND($A250&lt;&gt;"",$C250&lt;&gt;"DOOR ONLY"),OR($AF250="",$AF250="-")),"rated: closer reinf.?, ","")&amp;IF(OR($I250="CORRIDOR",$I250="SMOKE BARRIER"),"S label + smoke gasketing, ","")&amp;IF($CI250="?","wall type/hr not in IBC table, ","")&amp;IF(AND(N($BJ250)&gt;0,$BB250=""),"no hardware set, ","")&amp;IF(AND($BB250&lt;&gt;"",ISNA(MATCH($BB250&amp;"",HWSets,0))),"set "&amp;$BB250&amp;" not on HW Sets, ","")&amp;IF(N($BL250)&gt;96,"leaf over 8'-0"&amp;CHAR(34)&amp;" - check listing, ","")&amp;IF(AND($CT250,COUNT($AW250:$AZ250)&gt;0,COUNT($AW250:$AZ250)&lt;&gt;$CQ250),COUNT($AW250:$AZ250)&amp;" custom hinges typed, "&amp;$CQ250&amp;" expected, ","")&amp;IF(AND(ISNUMBER($CA250),OR(N($CA250)&lt;34,N($CA250)&gt;48)),"lock "&amp;TEXT($CA250,"0.0")&amp;CHAR(34)&amp;" AFF outside 34-48"&amp;CHAR(34)&amp;" (ADA), ","")&amp;IF(AND(ISNUMBER($AV250),ISNUMBER($BL250),N($AV250)&lt;IF(N($BL250)&lt;=60,2,IF(N($BL250)&lt;=90,3,IF(N($BL250)&lt;=120,4,5)))),"fewer hinges than standard, ",""))</f>
        <v/>
      </c>
    </row>
    <row r="251" ht="15" customHeight="1">
      <c r="A251" s="77" t="n"/>
      <c r="B251" s="78" t="n"/>
      <c r="C251" s="78" t="n"/>
      <c r="D251" s="78" t="n"/>
      <c r="E251" s="78" t="n"/>
      <c r="F251" s="78" t="n"/>
      <c r="G251" s="78" t="n"/>
      <c r="H251" s="78" t="n"/>
      <c r="I251" s="78" t="n"/>
      <c r="J251" s="78" t="n"/>
      <c r="K251" s="78" t="n"/>
      <c r="L251" s="78" t="n"/>
      <c r="M251" s="78" t="n"/>
      <c r="N251" s="78" t="n"/>
      <c r="O251" s="78" t="n"/>
      <c r="P251" s="78" t="n"/>
      <c r="Q251" s="78" t="n"/>
      <c r="R251" s="78" t="n"/>
      <c r="S251" s="79" t="n"/>
      <c r="T251" s="79" t="n"/>
      <c r="U251" s="79" t="n"/>
      <c r="V251" s="79" t="n"/>
      <c r="W251" s="79" t="n"/>
      <c r="X251" s="79" t="n"/>
      <c r="Y251" s="79" t="n"/>
      <c r="Z251" s="79" t="n"/>
      <c r="AA251" s="79" t="n"/>
      <c r="AB251" s="79" t="n"/>
      <c r="AC251" s="79" t="n"/>
      <c r="AD251" s="79" t="n"/>
      <c r="AE251" s="79" t="n"/>
      <c r="AF251" s="79" t="n"/>
      <c r="AG251" s="79" t="n"/>
      <c r="AH251" s="80" t="n"/>
      <c r="AI251" s="80" t="n"/>
      <c r="AJ251" s="80" t="n"/>
      <c r="AK251" s="80" t="n"/>
      <c r="AL251" s="80" t="n"/>
      <c r="AM251" s="80" t="n"/>
      <c r="AN251" s="80" t="n"/>
      <c r="AO251" s="80" t="n"/>
      <c r="AP251" s="80" t="n"/>
      <c r="AQ251" s="80" t="n"/>
      <c r="AR251" s="80" t="n"/>
      <c r="AS251" s="80" t="n"/>
      <c r="AT251" s="81" t="n"/>
      <c r="AU251" s="81" t="n"/>
      <c r="AV251" s="81" t="n"/>
      <c r="AW251" s="82" t="n"/>
      <c r="AX251" s="82" t="n"/>
      <c r="AY251" s="82" t="n"/>
      <c r="AZ251" s="82" t="n"/>
      <c r="BA251" s="82" t="n"/>
      <c r="BB251" s="83" t="n"/>
      <c r="BC251" s="83" t="n"/>
      <c r="BD251" s="84">
        <f>IF($A251="","",IF($DJ251&lt;&gt;"","FIX",IF($DK251&lt;&gt;"","CHECK","OK")))</f>
        <v/>
      </c>
      <c r="BE251" s="85">
        <f>IF($A251="","",IF($DJ251&lt;&gt;"","FIX: "&amp;LEFT($DJ251,LEN($DJ251)-2)&amp;IF($DK251&lt;&gt;"","  ·  ",""),"")&amp;IF($DK251&lt;&gt;"","CHECK: "&amp;LEFT($DK251,LEN($DK251)-2),""))</f>
        <v/>
      </c>
      <c r="BF251" s="84">
        <f>IF(OR($A251="",$K251=""),"",$K251&amp;"'-"&amp;N($L251)&amp;CHAR(34)&amp;" x "&amp;$M251&amp;"'-"&amp;N($N251)&amp;CHAR(34))</f>
        <v/>
      </c>
      <c r="BG251" s="84">
        <f>IF(OR($A251="",$K251=""),"",$K251&amp;N($L251)&amp;$M251&amp;N($N251))</f>
        <v/>
      </c>
      <c r="BH251" s="84">
        <f>IF(OR($A251="",$K251=""),"",$K251*12+N($L251))</f>
        <v/>
      </c>
      <c r="BI251" s="84">
        <f>IF(OR($A251="",$M251=""),"",$M251*12+N($N251))</f>
        <v/>
      </c>
      <c r="BJ251" s="84">
        <f>IF($A251="","",IF(OR($C251="FRAME ONLY",$S251="BL"),0,IF($O251="Y",2,1)))</f>
        <v/>
      </c>
      <c r="BK251" s="86">
        <f>IF(OR(N($BJ251)=0,$BH251=""),"",($BH251-2*EdgeClr-IF($BJ251=2,MeetClr,0))/$BJ251)</f>
        <v/>
      </c>
      <c r="BL251" s="86">
        <f>IF(OR(N($BJ251)=0,$BI251=""),"",$BI251-HeadClr-Undercut)</f>
        <v/>
      </c>
      <c r="BM251" s="86">
        <f>IF($BH251="","",$BH251+2*FaceW+IF(N($Q251)&gt;0,($Q251+FaceW)*IF($R251="LR",2,1),0))</f>
        <v/>
      </c>
      <c r="BN251" s="86">
        <f>IF($BI251="","",$BI251+IF($AB251="Y",4,FaceW)+IF(N($P251)&gt;0,$P251+FaceW,0)+IF(OR($S251="4F",$S251="BL"),FaceW,0))</f>
        <v/>
      </c>
      <c r="BO251" s="86">
        <f>IF($BM251="","",$BM251+2*ROSide)</f>
        <v/>
      </c>
      <c r="BP251" s="86">
        <f>IF($BN251="","",$BN251+ROTop)</f>
        <v/>
      </c>
      <c r="BQ251" s="87">
        <f>IF(OR(N($BJ251)=0,$BH251=""),"",$BH251/$BJ251-ClearDeduct)</f>
        <v/>
      </c>
      <c r="BR251" s="84">
        <f>IF(N($CH251)=0,"",IF($CH251&gt;=180,"A · 3 HR",IF($CH251&gt;=90,"B · 1-1/2 HR",IF($CH251&gt;=60,"B · 1 HR",IF($CH251&gt;=45,"C · 3/4 HR","20 MIN")))))&amp;IF(AND(N($CH251)&gt;0,OR($I251="CORRIDOR",$I251="SMOKE BARRIER"))," · S","")</f>
        <v/>
      </c>
      <c r="BS251" s="84">
        <f>IF($CS251,"",IF($AV251&lt;&gt;"",$AV251,IF(OR($AC251="HGC",$AO251="HGC"),"CONT",IF(($BI251-HeadClr-Undercut)&lt;=60,2,IF(($BI251-HeadClr-Undercut)&lt;=90,3,IF(($BI251-HeadClr-Undercut)&lt;=120,4,5))))))</f>
        <v/>
      </c>
      <c r="BT251" s="84">
        <f>IF($CS251,"",IF($CT251,"CUSTOM (typed)",IF($CV251,$AT251&amp;" "&amp;$CU251&amp;CHAR(34)&amp;IF($CU251&lt;&gt;$BI251,IF(AND($BI251&lt;$CU251,$BI251-IF(N(VLOOKUP($AT251&amp;"|"&amp;$CU251,LocTable,7,FALSE))&gt;0,VLOOKUP($AT251&amp;"|"&amp;$CU251,LocTable,7,FALSE),VLOOKUP($AT251&amp;"|"&amp;$CU251,LocTable,6,FALSE))-$CR251-0.75&gt;=2.125)," cut down"," adj."),""),"ANSI/SDI A250.6")))</f>
        <v/>
      </c>
      <c r="BU251" s="88">
        <f>IF($CS251,"",IF($CT251,IF(N($AW251)&gt;0,N($AW251),""),IF(1&gt;$CQ251,"",IF($CQ251=1,$CW251,$CW251+($CX251-$CW251)*0/($CQ251-1)))))</f>
        <v/>
      </c>
      <c r="BV251" s="88">
        <f>IF($CS251,"",IF($CT251,IF(N($AX251)&gt;0,N($AX251),""),IF(2&gt;$CQ251,"",IF($CQ251=1,$CW251,$CW251+($CX251-$CW251)*1/($CQ251-1)))))</f>
        <v/>
      </c>
      <c r="BW251" s="88">
        <f>IF($CS251,"",IF($CT251,IF(N($AY251)&gt;0,N($AY251),""),IF(3&gt;$CQ251,"",IF($CQ251=1,$CW251,$CW251+($CX251-$CW251)*2/($CQ251-1)))))</f>
        <v/>
      </c>
      <c r="BX251" s="88">
        <f>IF($CS251,"",IF($CT251,IF(N($AZ251)&gt;0,N($AZ251),""),IF(4&gt;$CQ251,"",IF($CQ251=1,$CW251,$CW251+($CX251-$CW251)*3/($CQ251-1)))))</f>
        <v/>
      </c>
      <c r="BY251" s="88">
        <f>IF($CS251,"",IF($CT251,"",IF(5&gt;$CQ251,"",IF($CQ251=1,$CW251,$CW251+($CX251-$CW251)*4/($CQ251-1)))))</f>
        <v/>
      </c>
      <c r="BZ251" s="88">
        <f>IF(OR($CS251,$AP251="-",AND($AP251="",$AD251="")),"",IF(N($BA251)&gt;0,N($BA251),IF($CV251,IF(AND($BI251&lt;$CU251,$BI251-IF(N(VLOOKUP($AT251&amp;"|"&amp;$CU251,LocTable,7,FALSE))&gt;0,VLOOKUP($AT251&amp;"|"&amp;$CU251,LocTable,7,FALSE),VLOOKUP($AT251&amp;"|"&amp;$CU251,LocTable,6,FALSE))-$CR251-0.75&gt;=2.125),VLOOKUP($AT251&amp;"|"&amp;$CU251,LocTable,8,FALSE),VLOOKUP($AT251&amp;"|"&amp;$CU251,LocTable,8,FALSE)+($BI251-$CU251)),$BI251-LockAFF)))</f>
        <v/>
      </c>
      <c r="CA251" s="89">
        <f>IF($BZ251="","",$BI251-$BZ251)</f>
        <v/>
      </c>
      <c r="CB251" s="84">
        <f>IF(OR(NOT(AND($A251&lt;&gt;"",$C251&lt;&gt;"DOOR ONLY")),$BI251=""),"",IF(($BI251+IF(N($P251)&gt;0,$P251+FaceW,0))&lt;=90,3,IF(($BI251+IF(N($P251)&gt;0,$P251+FaceW,0))&lt;=114,4,5)))</f>
        <v/>
      </c>
      <c r="CC251" s="84">
        <f>IF($CB251="","",$CB251*(2+IF(N($Q251)&gt;0,IF($R251="LR",2,1),0)))</f>
        <v/>
      </c>
      <c r="CD251" s="84">
        <f>IF($CB251="","",(2+IF(N($Q251)&gt;0,IF($R251="LR",2,1),0)))</f>
        <v/>
      </c>
      <c r="CE251" s="84">
        <f>IF(N($BJ251)=0,"",IF(OR($AL251="",$AL251="FLUSH"),"FLUSH",IFERROR(LEFT($AL251,FIND("-",$AL251)-1),LEFT($AL251,2))))</f>
        <v/>
      </c>
      <c r="CF251" s="84">
        <f>IF($CE251="","",IFERROR(VALUE(MID($AL251,FIND("-",$AL251)+1,FIND(CHAR(34)&amp;"x",$AL251)-FIND("-",$AL251)-1)),0))</f>
        <v/>
      </c>
      <c r="CG251" s="84">
        <f>IF($CE251="","",IFERROR(VALUE(MID($AL251,FIND(CHAR(34)&amp;"x",$AL251)+2,FIND(CHAR(34),$AL251,FIND(CHAR(34)&amp;"x",$AL251)+2)-FIND(CHAR(34)&amp;"x",$AL251)-2)),0))</f>
        <v/>
      </c>
      <c r="CH251" s="90">
        <f>IF(OR($A251="",$H251="",$H251="NO LAB"),0,IFERROR(VALUE(LEFT($H251,FIND(" ",$H251)-1)),0))</f>
        <v/>
      </c>
      <c r="CI251" s="91">
        <f>IF(OR($A251="",$I251="",$I251="NON-RATED",N($J251)=0),"",IFERROR(VLOOKUP($I251&amp;"|"&amp;$J251,IBC,2,FALSE),"?"))</f>
        <v/>
      </c>
      <c r="CJ251" s="85">
        <f>IF(NOT(AND($A251&lt;&gt;"",$C251&lt;&gt;"DOOR ONLY")),"",TRIM(IFERROR(VLOOKUP($U251,CODES,2,FALSE),"")&amp;" "&amp;$BG251&amp;" "&amp;IFERROR(VLOOKUP($Z251,CODES,2,FALSE),"")&amp;" "&amp;IFERROR(VLOOKUP($X251,CODES,2,FALSE),"")&amp;" "&amp;IFERROR(VLOOKUP($S251,CODES,2,FALSE),"")&amp;IF(N($P251)&gt;0," w/TRANSOM "&amp;$P251&amp;CHAR(34),"")&amp;IF(N($Q251)&gt;0," w/SIDELITE "&amp;$Q251&amp;CHAR(34)&amp;" "&amp;IF($R251="","R",$R251),"")&amp;IF($Y251="","  |  "," | "&amp;IFERROR(VLOOKUP($Y251,CODES,2,FALSE),"")&amp;" | ")&amp;IFERROR(VLOOKUP($AC251,CODES,2,FALSE),"")&amp;" "&amp;IFERROR(VLOOKUP($AD251,CODES,2,FALSE),"")&amp;IF(OR($AE251="",$AE251="-"),""," "&amp;$AE251)&amp;IF(OR($AF251="",$AF251="-"),""," "&amp;$AF251)&amp;IF($AB251="Y"," 4"&amp;CHAR(34)&amp;" HEAD","")&amp;" "&amp;IFERROR(VLOOKUP($H251,CODES,2,FALSE),"")&amp;IF($CT251," | LOC "&amp;$CY251,"")))</f>
        <v/>
      </c>
      <c r="CK251" s="85">
        <f>IF(NOT(AND($A251&lt;&gt;"",N($BJ251)&gt;0)),"",TRIM(IFERROR(VLOOKUP($AH251,CODES,2,FALSE),"")&amp;IF($AI251=""," "," "&amp;$AI251&amp;"GA ")&amp;$BG251&amp;" "&amp;IF($AN251="",IFERROR(VLOOKUP($Z251,CODES,2,FALSE),""),IFERROR(VLOOKUP($AN251,CODES,2,FALSE),""))&amp;IF($BJ251=2," PAIR","")&amp;" DOOR | "&amp;IF($AL251="","?",$AL251)&amp;" | "&amp;IF($AO251="",IFERROR(VLOOKUP($AC251,CODES,2,FALSE),""),IFERROR(VLOOKUP($AO251,CODES,2,FALSE),""))&amp;" "&amp;IFERROR(VLOOKUP($AP251,CODES,2,FALSE),"")&amp;IF(OR($AQ251="",$AQ251="-"),""," SEAM "&amp;$AQ251)&amp;IF($AR251="Y"," ASTRAGAL","")&amp;IF($AJ251=""," "," "&amp;$AJ251)&amp;IF($AK251=""," "," "&amp;$AK251)&amp;IF(OR($AT251="",$AT251="ANSI/SDI",$AT251="CUSTOM LOC"),""," "&amp;$AT251)&amp;IF($AM251=""," "," SERIES "&amp;$AM251)&amp;" "&amp;IFERROR(VLOOKUP($H251,CODES,2,FALSE),"")&amp;IF($CT251," | LOC "&amp;$CZ251,"")))</f>
        <v/>
      </c>
      <c r="CL251" s="84">
        <f>IF(CP251="","",IF(COUNTIF($CP$6:CP251,CP251)=1,MAX($CL$5:CL250)+1,INDEX($CL$5:CL250,MATCH(CP251,$CP$5:CP250,0))))</f>
        <v/>
      </c>
      <c r="CM251" s="84">
        <f>IF(NOT(AND($A251&lt;&gt;"",$C251&lt;&gt;"DOOR ONLY")),"",MAX($CM$5:CM250)+1)</f>
        <v/>
      </c>
      <c r="CN251" s="84">
        <f>IF(NOT(AND($A251&lt;&gt;"",N($BJ251)&gt;0)),"",MAX($CN$5:CN250)+1)</f>
        <v/>
      </c>
      <c r="CO251" s="84">
        <f>IF($A251="","",MAX($CO$5:CO250)+1)</f>
        <v/>
      </c>
      <c r="CP251" s="84">
        <f>IF(OR($A251="",$BH251="",$BI251=""),"",$BG251&amp;"|"&amp;$O251&amp;"|"&amp;$AL251&amp;"|"&amp;$S251&amp;"|"&amp;$P251&amp;"|"&amp;$Q251&amp;$R251&amp;"|"&amp;$C251&amp;"|"&amp;$AB251)</f>
        <v/>
      </c>
      <c r="CQ251" s="84">
        <f>N($BS251)</f>
        <v/>
      </c>
      <c r="CR251" s="84">
        <f>IF(N($AU251)&gt;0,N($AU251),4.5)</f>
        <v/>
      </c>
      <c r="CS251" s="84">
        <f>OR($A251="",$BI251="",$S251="BL",AND($C251="FRAME ONLY",OR($AC251="",$AC251="BLK")))</f>
        <v/>
      </c>
      <c r="CT251" s="84">
        <f>AND(NOT($CS251),OR($AT251="CUSTOM LOC",N($AW251)+N($AX251)+N($AY251)+N($AZ251)+N($BA251)&gt;0))</f>
        <v/>
      </c>
      <c r="CU251" s="84">
        <f>IF($BI251="","",IF($BI251&lt;=80,80,IF($BI251&lt;=84,84,96)))</f>
        <v/>
      </c>
      <c r="CV251" s="84">
        <f>ISNUMBER(MATCH($AT251&amp;"|80",LocKeys,0))</f>
        <v/>
      </c>
      <c r="CW251" s="86">
        <f>IF($CS251,"",IF($CV251,VLOOKUP($AT251&amp;"|"&amp;$CU251,LocTable,4,FALSE),5))</f>
        <v/>
      </c>
      <c r="CX251" s="86">
        <f>IF($CS251,"",IF($CV251,IF(OR($BI251=$CU251,AND($BI251&lt;$CU251,$BI251-IF(N(VLOOKUP($AT251&amp;"|"&amp;$CU251,LocTable,7,FALSE))&gt;0,VLOOKUP($AT251&amp;"|"&amp;$CU251,LocTable,7,FALSE),VLOOKUP($AT251&amp;"|"&amp;$CU251,LocTable,6,FALSE))-$CR251-0.75&gt;=2.125)),IF(N(VLOOKUP($AT251&amp;"|"&amp;$CU251,LocTable,7,FALSE))&gt;0,VLOOKUP($AT251&amp;"|"&amp;$CU251,LocTable,7,FALSE),VLOOKUP($AT251&amp;"|"&amp;$CU251,LocTable,6,FALSE)),$BI251-($CU251-IF(N(VLOOKUP($AT251&amp;"|"&amp;$CU251,LocTable,7,FALSE))&gt;0,VLOOKUP($AT251&amp;"|"&amp;$CU251,LocTable,7,FALSE),VLOOKUP($AT251&amp;"|"&amp;$CU251,LocTable,6,FALSE)))),$BI251-10-$CR251))</f>
        <v/>
      </c>
      <c r="CY251" s="85">
        <f>IF($CS251,"",TRIM(IF(ISNUMBER($BU251),"A "&amp;TRIM(TEXT($BU251,"# ?/??"))&amp;CHAR(34)&amp;"  ","")&amp;IF(ISNUMBER($BV251),"B "&amp;TRIM(TEXT($BV251,"# ?/??"))&amp;CHAR(34)&amp;"  ","")&amp;IF(ISNUMBER($BW251),"C "&amp;TRIM(TEXT($BW251,"# ?/??"))&amp;CHAR(34)&amp;"  ","")&amp;IF(ISNUMBER($BX251),"D "&amp;TRIM(TEXT($BX251,"# ?/??"))&amp;CHAR(34)&amp;"  ","")&amp;IF(ISNUMBER($BY251),"F "&amp;TRIM(TEXT($BY251,"# ?/??"))&amp;CHAR(34)&amp;"  ","")&amp;IF(ISNUMBER($BZ251),"E "&amp;TRIM(TEXT($BZ251,"# ?/??"))&amp;CHAR(34)&amp;"  ","")))</f>
        <v/>
      </c>
      <c r="CZ251" s="85">
        <f>IF(OR($CS251,N($BJ251)=0),"",TRIM(IF(ISNUMBER($BU251),"A "&amp;TRIM(TEXT($BU251-HeadClr,"# ?/??"))&amp;CHAR(34)&amp;"  ","")&amp;IF(ISNUMBER($BV251),"B "&amp;TRIM(TEXT($BV251-HeadClr,"# ?/??"))&amp;CHAR(34)&amp;"  ","")&amp;IF(ISNUMBER($BW251),"C "&amp;TRIM(TEXT($BW251-HeadClr,"# ?/??"))&amp;CHAR(34)&amp;"  ","")&amp;IF(ISNUMBER($BX251),"D "&amp;TRIM(TEXT($BX251-HeadClr,"# ?/??"))&amp;CHAR(34)&amp;"  ","")&amp;IF(ISNUMBER($BY251),"F "&amp;TRIM(TEXT($BY251-HeadClr,"# ?/??"))&amp;CHAR(34)&amp;"  ","")&amp;IF(ISNUMBER($BZ251),"E "&amp;TRIM(TEXT($BZ251-HeadClr,"# ?/??"))&amp;CHAR(34)&amp;"  ","")))</f>
        <v/>
      </c>
      <c r="DA251" s="84">
        <f>IF($A251="","",IF($AN251="",IFERROR(VLOOKUP($Z251,CODES,2,FALSE),""),IFERROR(VLOOKUP($AN251,CODES,2,FALSE),"")))</f>
        <v/>
      </c>
      <c r="DB251" s="84">
        <f>IF($A251="","",IF($O251="Y","PR",IF(OR($Z251="L",$Z251="RR",LEFT($Z251,2)="L-",LEFT($Z251,3)="RR-"),"LH","RH")))</f>
        <v/>
      </c>
      <c r="DC251" s="84">
        <f>IF($A251="","","S.HM"&amp;IF(OR($C251="DOOR ONLY",$X251&lt;&gt;"KD"),"MASONRY","DRYWALL")&amp;IF($C251="DOOR ONLY","",$U251)&amp;IF(AND($C251&lt;&gt;"FRAME ONLY",OR(LEFT($AH251,3)="OAK",LEFT($AH251,3)="BIR",LEFT($AH251,3)="MAP",$AH251="PC",$AH251="MC",$AH251="SCLC",$AH251="P-LAM")),"WD","HM")&amp;"1.75")</f>
        <v/>
      </c>
      <c r="DD251" s="84">
        <f>IF($CJ251="","",IF($O251="Y",$CJ251,SUBSTITUTE($CJ251,$BG251&amp;" "&amp;IFERROR(VLOOKUP($Z251,CODES,2,FALSE),"")&amp;" ",$BG251&amp;" ")))</f>
        <v/>
      </c>
      <c r="DE251" s="84">
        <f>IF($CK251="","",IF($O251="Y",$CK251,SUBSTITUTE($CK251,$BG251&amp;" "&amp;IF($AN251="",IFERROR(VLOOKUP($Z251,CODES,2,FALSE),""),IFERROR(VLOOKUP($AN251,CODES,2,FALSE),""))&amp;" ",$BG251&amp;" ")))</f>
        <v/>
      </c>
      <c r="DF251" s="84">
        <f>IF($CJ251="","",$DC251&amp;"|"&amp;$DD251&amp;"|"&amp;$DB251&amp;"|"&amp;$AT251&amp;"|"&amp;$V251&amp;"|"&amp;$Y251&amp;"|"&amp;$AB251)</f>
        <v/>
      </c>
      <c r="DG251" s="84">
        <f>IF(DF251="","",IF(COUNTIF($DF$6:DF251,DF251)=1,MAX($DG$5:DG250)+1,INDEX($DG$5:DG250,MATCH(DF251,$DF$5:DF250,0))))</f>
        <v/>
      </c>
      <c r="DH251" s="84">
        <f>IF($CK251="","",$DC251&amp;"|"&amp;$DE251&amp;"|"&amp;$AI251&amp;"|"&amp;$BK251&amp;"|"&amp;$BL251)</f>
        <v/>
      </c>
      <c r="DI251" s="84">
        <f>IF(DH251="","",IF(COUNTIF($DH$6:DH251,DH251)=1,MAX($DI$5:DI250)+1,INDEX($DI$5:DI250,MATCH(DH251,$DH$5:DH250,0))))</f>
        <v/>
      </c>
      <c r="DJ251" s="84">
        <f>IF($A251="","",IF($B251="","qty, ","")&amp;IF($C251="","scope, ","")&amp;IF(OR($K251="",$M251=""),"size, ","")&amp;IF(AND($A251&lt;&gt;"",$C251&lt;&gt;"DOOR ONLY"),IF($U251="","jamb depth, ","")&amp;IF($X251="","construction, ","")&amp;IF($Y251="","anchor, ","")&amp;IF($S251="","frame type, ",""),"")&amp;IF(AND(N($BJ251)&gt;0,$Z251=""),"hand, ","")&amp;IF(N($BJ251)&gt;0,IF($AH251="","door material, ","")&amp;IF($AL251="","face type, ","")&amp;IF($AP251="","lock prep, ","")&amp;IF(AND($AO251="",$AC251=""),"hinge prep, ",""),"")&amp;IF(AND($CH251&gt;0,$AH251="FRP"),"FRP cannot carry a label, ","")&amp;IF(AND($O251="Y",OR($Z251="L",$Z251="R",$Z251="LR",$Z251="RR")),"pair marked but hand is single, ","")&amp;IF(AND($O251&lt;&gt;"Y",OR($Z251="PR",AND(LEN($Z251)&gt;1,ISNUMBER(SEARCH("-",$Z251))))),"pair hand on a single door, ","")&amp;IF(AND(ISNUMBER($CI251),$CH251&lt;N($CI251)),"wall needs a "&amp;$CI251&amp;" min door, ","")&amp;IF(AND($CH251&gt;=180,AND(OR($CE251="FG",$CE251="HG",$CE251="FNV",$CE251="FV"),N($CF251)*N($CG251)&gt;100)),"180 min lite over 100 sq in, ","")&amp;IF(N($BK251)&gt;48,"leaf wider than 4'-0"&amp;CHAR(34)&amp;", ","")&amp;IF(AND($CT251,COUNT($AW251:$AZ251)=0,$CQ251&gt;0),"CUSTOM LOC with no locations typed, ",""))</f>
        <v/>
      </c>
      <c r="DK251" s="84">
        <f>IF($A251="","",IF(AND($CH251&gt;0,AND($A251&lt;&gt;"",$C251&lt;&gt;"DOOR ONLY"),$X251="KD",$E251="EXTERIOR"),"KD label on an exterior opening, ","")&amp;IF(AND($E251="EXTERIOR",OR(AND(AND($A251&lt;&gt;"",$C251&lt;&gt;"DOOR ONLY"),$W251="CR"),AND(N($BJ251)&gt;0,$AH251="CR"))),"exterior in CR steel (G9?), ","")&amp;IF(AND(ISNUMBER($BQ251),N($BQ251)&lt;32),"clear width ~"&amp;TEXT($BQ251,"0.0")&amp;CHAR(34)&amp;" under 32"&amp;CHAR(34)&amp;" (ADA), ","")&amp;IF(AND($CH251=90,AND(OR($CE251="FG",$CE251="HG",$CE251="FNV",$CE251="FV"),N($CF251)*N($CG251)&gt;100)),"90 min lite over 100 sq in (stair/exit), ","")&amp;IF(AND($CH251&gt;0,AND($A251&lt;&gt;"",$C251&lt;&gt;"DOOR ONLY"),OR($AF251="",$AF251="-")),"rated: closer reinf.?, ","")&amp;IF(OR($I251="CORRIDOR",$I251="SMOKE BARRIER"),"S label + smoke gasketing, ","")&amp;IF($CI251="?","wall type/hr not in IBC table, ","")&amp;IF(AND(N($BJ251)&gt;0,$BB251=""),"no hardware set, ","")&amp;IF(AND($BB251&lt;&gt;"",ISNA(MATCH($BB251&amp;"",HWSets,0))),"set "&amp;$BB251&amp;" not on HW Sets, ","")&amp;IF(N($BL251)&gt;96,"leaf over 8'-0"&amp;CHAR(34)&amp;" - check listing, ","")&amp;IF(AND($CT251,COUNT($AW251:$AZ251)&gt;0,COUNT($AW251:$AZ251)&lt;&gt;$CQ251),COUNT($AW251:$AZ251)&amp;" custom hinges typed, "&amp;$CQ251&amp;" expected, ","")&amp;IF(AND(ISNUMBER($CA251),OR(N($CA251)&lt;34,N($CA251)&gt;48)),"lock "&amp;TEXT($CA251,"0.0")&amp;CHAR(34)&amp;" AFF outside 34-48"&amp;CHAR(34)&amp;" (ADA), ","")&amp;IF(AND(ISNUMBER($AV251),ISNUMBER($BL251),N($AV251)&lt;IF(N($BL251)&lt;=60,2,IF(N($BL251)&lt;=90,3,IF(N($BL251)&lt;=120,4,5)))),"fewer hinges than standard, ",""))</f>
        <v/>
      </c>
    </row>
    <row r="252" ht="15" customHeight="1">
      <c r="A252" s="77" t="n"/>
      <c r="B252" s="78" t="n"/>
      <c r="C252" s="78" t="n"/>
      <c r="D252" s="78" t="n"/>
      <c r="E252" s="78" t="n"/>
      <c r="F252" s="78" t="n"/>
      <c r="G252" s="78" t="n"/>
      <c r="H252" s="78" t="n"/>
      <c r="I252" s="78" t="n"/>
      <c r="J252" s="78" t="n"/>
      <c r="K252" s="78" t="n"/>
      <c r="L252" s="78" t="n"/>
      <c r="M252" s="78" t="n"/>
      <c r="N252" s="78" t="n"/>
      <c r="O252" s="78" t="n"/>
      <c r="P252" s="78" t="n"/>
      <c r="Q252" s="78" t="n"/>
      <c r="R252" s="78" t="n"/>
      <c r="S252" s="79" t="n"/>
      <c r="T252" s="79" t="n"/>
      <c r="U252" s="79" t="n"/>
      <c r="V252" s="79" t="n"/>
      <c r="W252" s="79" t="n"/>
      <c r="X252" s="79" t="n"/>
      <c r="Y252" s="79" t="n"/>
      <c r="Z252" s="79" t="n"/>
      <c r="AA252" s="79" t="n"/>
      <c r="AB252" s="79" t="n"/>
      <c r="AC252" s="79" t="n"/>
      <c r="AD252" s="79" t="n"/>
      <c r="AE252" s="79" t="n"/>
      <c r="AF252" s="79" t="n"/>
      <c r="AG252" s="79" t="n"/>
      <c r="AH252" s="80" t="n"/>
      <c r="AI252" s="80" t="n"/>
      <c r="AJ252" s="80" t="n"/>
      <c r="AK252" s="80" t="n"/>
      <c r="AL252" s="80" t="n"/>
      <c r="AM252" s="80" t="n"/>
      <c r="AN252" s="80" t="n"/>
      <c r="AO252" s="80" t="n"/>
      <c r="AP252" s="80" t="n"/>
      <c r="AQ252" s="80" t="n"/>
      <c r="AR252" s="80" t="n"/>
      <c r="AS252" s="80" t="n"/>
      <c r="AT252" s="81" t="n"/>
      <c r="AU252" s="81" t="n"/>
      <c r="AV252" s="81" t="n"/>
      <c r="AW252" s="82" t="n"/>
      <c r="AX252" s="82" t="n"/>
      <c r="AY252" s="82" t="n"/>
      <c r="AZ252" s="82" t="n"/>
      <c r="BA252" s="82" t="n"/>
      <c r="BB252" s="83" t="n"/>
      <c r="BC252" s="83" t="n"/>
      <c r="BD252" s="84">
        <f>IF($A252="","",IF($DJ252&lt;&gt;"","FIX",IF($DK252&lt;&gt;"","CHECK","OK")))</f>
        <v/>
      </c>
      <c r="BE252" s="85">
        <f>IF($A252="","",IF($DJ252&lt;&gt;"","FIX: "&amp;LEFT($DJ252,LEN($DJ252)-2)&amp;IF($DK252&lt;&gt;"","  ·  ",""),"")&amp;IF($DK252&lt;&gt;"","CHECK: "&amp;LEFT($DK252,LEN($DK252)-2),""))</f>
        <v/>
      </c>
      <c r="BF252" s="84">
        <f>IF(OR($A252="",$K252=""),"",$K252&amp;"'-"&amp;N($L252)&amp;CHAR(34)&amp;" x "&amp;$M252&amp;"'-"&amp;N($N252)&amp;CHAR(34))</f>
        <v/>
      </c>
      <c r="BG252" s="84">
        <f>IF(OR($A252="",$K252=""),"",$K252&amp;N($L252)&amp;$M252&amp;N($N252))</f>
        <v/>
      </c>
      <c r="BH252" s="84">
        <f>IF(OR($A252="",$K252=""),"",$K252*12+N($L252))</f>
        <v/>
      </c>
      <c r="BI252" s="84">
        <f>IF(OR($A252="",$M252=""),"",$M252*12+N($N252))</f>
        <v/>
      </c>
      <c r="BJ252" s="84">
        <f>IF($A252="","",IF(OR($C252="FRAME ONLY",$S252="BL"),0,IF($O252="Y",2,1)))</f>
        <v/>
      </c>
      <c r="BK252" s="86">
        <f>IF(OR(N($BJ252)=0,$BH252=""),"",($BH252-2*EdgeClr-IF($BJ252=2,MeetClr,0))/$BJ252)</f>
        <v/>
      </c>
      <c r="BL252" s="86">
        <f>IF(OR(N($BJ252)=0,$BI252=""),"",$BI252-HeadClr-Undercut)</f>
        <v/>
      </c>
      <c r="BM252" s="86">
        <f>IF($BH252="","",$BH252+2*FaceW+IF(N($Q252)&gt;0,($Q252+FaceW)*IF($R252="LR",2,1),0))</f>
        <v/>
      </c>
      <c r="BN252" s="86">
        <f>IF($BI252="","",$BI252+IF($AB252="Y",4,FaceW)+IF(N($P252)&gt;0,$P252+FaceW,0)+IF(OR($S252="4F",$S252="BL"),FaceW,0))</f>
        <v/>
      </c>
      <c r="BO252" s="86">
        <f>IF($BM252="","",$BM252+2*ROSide)</f>
        <v/>
      </c>
      <c r="BP252" s="86">
        <f>IF($BN252="","",$BN252+ROTop)</f>
        <v/>
      </c>
      <c r="BQ252" s="87">
        <f>IF(OR(N($BJ252)=0,$BH252=""),"",$BH252/$BJ252-ClearDeduct)</f>
        <v/>
      </c>
      <c r="BR252" s="84">
        <f>IF(N($CH252)=0,"",IF($CH252&gt;=180,"A · 3 HR",IF($CH252&gt;=90,"B · 1-1/2 HR",IF($CH252&gt;=60,"B · 1 HR",IF($CH252&gt;=45,"C · 3/4 HR","20 MIN")))))&amp;IF(AND(N($CH252)&gt;0,OR($I252="CORRIDOR",$I252="SMOKE BARRIER"))," · S","")</f>
        <v/>
      </c>
      <c r="BS252" s="84">
        <f>IF($CS252,"",IF($AV252&lt;&gt;"",$AV252,IF(OR($AC252="HGC",$AO252="HGC"),"CONT",IF(($BI252-HeadClr-Undercut)&lt;=60,2,IF(($BI252-HeadClr-Undercut)&lt;=90,3,IF(($BI252-HeadClr-Undercut)&lt;=120,4,5))))))</f>
        <v/>
      </c>
      <c r="BT252" s="84">
        <f>IF($CS252,"",IF($CT252,"CUSTOM (typed)",IF($CV252,$AT252&amp;" "&amp;$CU252&amp;CHAR(34)&amp;IF($CU252&lt;&gt;$BI252,IF(AND($BI252&lt;$CU252,$BI252-IF(N(VLOOKUP($AT252&amp;"|"&amp;$CU252,LocTable,7,FALSE))&gt;0,VLOOKUP($AT252&amp;"|"&amp;$CU252,LocTable,7,FALSE),VLOOKUP($AT252&amp;"|"&amp;$CU252,LocTable,6,FALSE))-$CR252-0.75&gt;=2.125)," cut down"," adj."),""),"ANSI/SDI A250.6")))</f>
        <v/>
      </c>
      <c r="BU252" s="88">
        <f>IF($CS252,"",IF($CT252,IF(N($AW252)&gt;0,N($AW252),""),IF(1&gt;$CQ252,"",IF($CQ252=1,$CW252,$CW252+($CX252-$CW252)*0/($CQ252-1)))))</f>
        <v/>
      </c>
      <c r="BV252" s="88">
        <f>IF($CS252,"",IF($CT252,IF(N($AX252)&gt;0,N($AX252),""),IF(2&gt;$CQ252,"",IF($CQ252=1,$CW252,$CW252+($CX252-$CW252)*1/($CQ252-1)))))</f>
        <v/>
      </c>
      <c r="BW252" s="88">
        <f>IF($CS252,"",IF($CT252,IF(N($AY252)&gt;0,N($AY252),""),IF(3&gt;$CQ252,"",IF($CQ252=1,$CW252,$CW252+($CX252-$CW252)*2/($CQ252-1)))))</f>
        <v/>
      </c>
      <c r="BX252" s="88">
        <f>IF($CS252,"",IF($CT252,IF(N($AZ252)&gt;0,N($AZ252),""),IF(4&gt;$CQ252,"",IF($CQ252=1,$CW252,$CW252+($CX252-$CW252)*3/($CQ252-1)))))</f>
        <v/>
      </c>
      <c r="BY252" s="88">
        <f>IF($CS252,"",IF($CT252,"",IF(5&gt;$CQ252,"",IF($CQ252=1,$CW252,$CW252+($CX252-$CW252)*4/($CQ252-1)))))</f>
        <v/>
      </c>
      <c r="BZ252" s="88">
        <f>IF(OR($CS252,$AP252="-",AND($AP252="",$AD252="")),"",IF(N($BA252)&gt;0,N($BA252),IF($CV252,IF(AND($BI252&lt;$CU252,$BI252-IF(N(VLOOKUP($AT252&amp;"|"&amp;$CU252,LocTable,7,FALSE))&gt;0,VLOOKUP($AT252&amp;"|"&amp;$CU252,LocTable,7,FALSE),VLOOKUP($AT252&amp;"|"&amp;$CU252,LocTable,6,FALSE))-$CR252-0.75&gt;=2.125),VLOOKUP($AT252&amp;"|"&amp;$CU252,LocTable,8,FALSE),VLOOKUP($AT252&amp;"|"&amp;$CU252,LocTable,8,FALSE)+($BI252-$CU252)),$BI252-LockAFF)))</f>
        <v/>
      </c>
      <c r="CA252" s="89">
        <f>IF($BZ252="","",$BI252-$BZ252)</f>
        <v/>
      </c>
      <c r="CB252" s="84">
        <f>IF(OR(NOT(AND($A252&lt;&gt;"",$C252&lt;&gt;"DOOR ONLY")),$BI252=""),"",IF(($BI252+IF(N($P252)&gt;0,$P252+FaceW,0))&lt;=90,3,IF(($BI252+IF(N($P252)&gt;0,$P252+FaceW,0))&lt;=114,4,5)))</f>
        <v/>
      </c>
      <c r="CC252" s="84">
        <f>IF($CB252="","",$CB252*(2+IF(N($Q252)&gt;0,IF($R252="LR",2,1),0)))</f>
        <v/>
      </c>
      <c r="CD252" s="84">
        <f>IF($CB252="","",(2+IF(N($Q252)&gt;0,IF($R252="LR",2,1),0)))</f>
        <v/>
      </c>
      <c r="CE252" s="84">
        <f>IF(N($BJ252)=0,"",IF(OR($AL252="",$AL252="FLUSH"),"FLUSH",IFERROR(LEFT($AL252,FIND("-",$AL252)-1),LEFT($AL252,2))))</f>
        <v/>
      </c>
      <c r="CF252" s="84">
        <f>IF($CE252="","",IFERROR(VALUE(MID($AL252,FIND("-",$AL252)+1,FIND(CHAR(34)&amp;"x",$AL252)-FIND("-",$AL252)-1)),0))</f>
        <v/>
      </c>
      <c r="CG252" s="84">
        <f>IF($CE252="","",IFERROR(VALUE(MID($AL252,FIND(CHAR(34)&amp;"x",$AL252)+2,FIND(CHAR(34),$AL252,FIND(CHAR(34)&amp;"x",$AL252)+2)-FIND(CHAR(34)&amp;"x",$AL252)-2)),0))</f>
        <v/>
      </c>
      <c r="CH252" s="90">
        <f>IF(OR($A252="",$H252="",$H252="NO LAB"),0,IFERROR(VALUE(LEFT($H252,FIND(" ",$H252)-1)),0))</f>
        <v/>
      </c>
      <c r="CI252" s="91">
        <f>IF(OR($A252="",$I252="",$I252="NON-RATED",N($J252)=0),"",IFERROR(VLOOKUP($I252&amp;"|"&amp;$J252,IBC,2,FALSE),"?"))</f>
        <v/>
      </c>
      <c r="CJ252" s="85">
        <f>IF(NOT(AND($A252&lt;&gt;"",$C252&lt;&gt;"DOOR ONLY")),"",TRIM(IFERROR(VLOOKUP($U252,CODES,2,FALSE),"")&amp;" "&amp;$BG252&amp;" "&amp;IFERROR(VLOOKUP($Z252,CODES,2,FALSE),"")&amp;" "&amp;IFERROR(VLOOKUP($X252,CODES,2,FALSE),"")&amp;" "&amp;IFERROR(VLOOKUP($S252,CODES,2,FALSE),"")&amp;IF(N($P252)&gt;0," w/TRANSOM "&amp;$P252&amp;CHAR(34),"")&amp;IF(N($Q252)&gt;0," w/SIDELITE "&amp;$Q252&amp;CHAR(34)&amp;" "&amp;IF($R252="","R",$R252),"")&amp;IF($Y252="","  |  "," | "&amp;IFERROR(VLOOKUP($Y252,CODES,2,FALSE),"")&amp;" | ")&amp;IFERROR(VLOOKUP($AC252,CODES,2,FALSE),"")&amp;" "&amp;IFERROR(VLOOKUP($AD252,CODES,2,FALSE),"")&amp;IF(OR($AE252="",$AE252="-"),""," "&amp;$AE252)&amp;IF(OR($AF252="",$AF252="-"),""," "&amp;$AF252)&amp;IF($AB252="Y"," 4"&amp;CHAR(34)&amp;" HEAD","")&amp;" "&amp;IFERROR(VLOOKUP($H252,CODES,2,FALSE),"")&amp;IF($CT252," | LOC "&amp;$CY252,"")))</f>
        <v/>
      </c>
      <c r="CK252" s="85">
        <f>IF(NOT(AND($A252&lt;&gt;"",N($BJ252)&gt;0)),"",TRIM(IFERROR(VLOOKUP($AH252,CODES,2,FALSE),"")&amp;IF($AI252=""," "," "&amp;$AI252&amp;"GA ")&amp;$BG252&amp;" "&amp;IF($AN252="",IFERROR(VLOOKUP($Z252,CODES,2,FALSE),""),IFERROR(VLOOKUP($AN252,CODES,2,FALSE),""))&amp;IF($BJ252=2," PAIR","")&amp;" DOOR | "&amp;IF($AL252="","?",$AL252)&amp;" | "&amp;IF($AO252="",IFERROR(VLOOKUP($AC252,CODES,2,FALSE),""),IFERROR(VLOOKUP($AO252,CODES,2,FALSE),""))&amp;" "&amp;IFERROR(VLOOKUP($AP252,CODES,2,FALSE),"")&amp;IF(OR($AQ252="",$AQ252="-"),""," SEAM "&amp;$AQ252)&amp;IF($AR252="Y"," ASTRAGAL","")&amp;IF($AJ252=""," "," "&amp;$AJ252)&amp;IF($AK252=""," "," "&amp;$AK252)&amp;IF(OR($AT252="",$AT252="ANSI/SDI",$AT252="CUSTOM LOC"),""," "&amp;$AT252)&amp;IF($AM252=""," "," SERIES "&amp;$AM252)&amp;" "&amp;IFERROR(VLOOKUP($H252,CODES,2,FALSE),"")&amp;IF($CT252," | LOC "&amp;$CZ252,"")))</f>
        <v/>
      </c>
      <c r="CL252" s="84">
        <f>IF(CP252="","",IF(COUNTIF($CP$6:CP252,CP252)=1,MAX($CL$5:CL251)+1,INDEX($CL$5:CL251,MATCH(CP252,$CP$5:CP251,0))))</f>
        <v/>
      </c>
      <c r="CM252" s="84">
        <f>IF(NOT(AND($A252&lt;&gt;"",$C252&lt;&gt;"DOOR ONLY")),"",MAX($CM$5:CM251)+1)</f>
        <v/>
      </c>
      <c r="CN252" s="84">
        <f>IF(NOT(AND($A252&lt;&gt;"",N($BJ252)&gt;0)),"",MAX($CN$5:CN251)+1)</f>
        <v/>
      </c>
      <c r="CO252" s="84">
        <f>IF($A252="","",MAX($CO$5:CO251)+1)</f>
        <v/>
      </c>
      <c r="CP252" s="84">
        <f>IF(OR($A252="",$BH252="",$BI252=""),"",$BG252&amp;"|"&amp;$O252&amp;"|"&amp;$AL252&amp;"|"&amp;$S252&amp;"|"&amp;$P252&amp;"|"&amp;$Q252&amp;$R252&amp;"|"&amp;$C252&amp;"|"&amp;$AB252)</f>
        <v/>
      </c>
      <c r="CQ252" s="84">
        <f>N($BS252)</f>
        <v/>
      </c>
      <c r="CR252" s="84">
        <f>IF(N($AU252)&gt;0,N($AU252),4.5)</f>
        <v/>
      </c>
      <c r="CS252" s="84">
        <f>OR($A252="",$BI252="",$S252="BL",AND($C252="FRAME ONLY",OR($AC252="",$AC252="BLK")))</f>
        <v/>
      </c>
      <c r="CT252" s="84">
        <f>AND(NOT($CS252),OR($AT252="CUSTOM LOC",N($AW252)+N($AX252)+N($AY252)+N($AZ252)+N($BA252)&gt;0))</f>
        <v/>
      </c>
      <c r="CU252" s="84">
        <f>IF($BI252="","",IF($BI252&lt;=80,80,IF($BI252&lt;=84,84,96)))</f>
        <v/>
      </c>
      <c r="CV252" s="84">
        <f>ISNUMBER(MATCH($AT252&amp;"|80",LocKeys,0))</f>
        <v/>
      </c>
      <c r="CW252" s="86">
        <f>IF($CS252,"",IF($CV252,VLOOKUP($AT252&amp;"|"&amp;$CU252,LocTable,4,FALSE),5))</f>
        <v/>
      </c>
      <c r="CX252" s="86">
        <f>IF($CS252,"",IF($CV252,IF(OR($BI252=$CU252,AND($BI252&lt;$CU252,$BI252-IF(N(VLOOKUP($AT252&amp;"|"&amp;$CU252,LocTable,7,FALSE))&gt;0,VLOOKUP($AT252&amp;"|"&amp;$CU252,LocTable,7,FALSE),VLOOKUP($AT252&amp;"|"&amp;$CU252,LocTable,6,FALSE))-$CR252-0.75&gt;=2.125)),IF(N(VLOOKUP($AT252&amp;"|"&amp;$CU252,LocTable,7,FALSE))&gt;0,VLOOKUP($AT252&amp;"|"&amp;$CU252,LocTable,7,FALSE),VLOOKUP($AT252&amp;"|"&amp;$CU252,LocTable,6,FALSE)),$BI252-($CU252-IF(N(VLOOKUP($AT252&amp;"|"&amp;$CU252,LocTable,7,FALSE))&gt;0,VLOOKUP($AT252&amp;"|"&amp;$CU252,LocTable,7,FALSE),VLOOKUP($AT252&amp;"|"&amp;$CU252,LocTable,6,FALSE)))),$BI252-10-$CR252))</f>
        <v/>
      </c>
      <c r="CY252" s="85">
        <f>IF($CS252,"",TRIM(IF(ISNUMBER($BU252),"A "&amp;TRIM(TEXT($BU252,"# ?/??"))&amp;CHAR(34)&amp;"  ","")&amp;IF(ISNUMBER($BV252),"B "&amp;TRIM(TEXT($BV252,"# ?/??"))&amp;CHAR(34)&amp;"  ","")&amp;IF(ISNUMBER($BW252),"C "&amp;TRIM(TEXT($BW252,"# ?/??"))&amp;CHAR(34)&amp;"  ","")&amp;IF(ISNUMBER($BX252),"D "&amp;TRIM(TEXT($BX252,"# ?/??"))&amp;CHAR(34)&amp;"  ","")&amp;IF(ISNUMBER($BY252),"F "&amp;TRIM(TEXT($BY252,"# ?/??"))&amp;CHAR(34)&amp;"  ","")&amp;IF(ISNUMBER($BZ252),"E "&amp;TRIM(TEXT($BZ252,"# ?/??"))&amp;CHAR(34)&amp;"  ","")))</f>
        <v/>
      </c>
      <c r="CZ252" s="85">
        <f>IF(OR($CS252,N($BJ252)=0),"",TRIM(IF(ISNUMBER($BU252),"A "&amp;TRIM(TEXT($BU252-HeadClr,"# ?/??"))&amp;CHAR(34)&amp;"  ","")&amp;IF(ISNUMBER($BV252),"B "&amp;TRIM(TEXT($BV252-HeadClr,"# ?/??"))&amp;CHAR(34)&amp;"  ","")&amp;IF(ISNUMBER($BW252),"C "&amp;TRIM(TEXT($BW252-HeadClr,"# ?/??"))&amp;CHAR(34)&amp;"  ","")&amp;IF(ISNUMBER($BX252),"D "&amp;TRIM(TEXT($BX252-HeadClr,"# ?/??"))&amp;CHAR(34)&amp;"  ","")&amp;IF(ISNUMBER($BY252),"F "&amp;TRIM(TEXT($BY252-HeadClr,"# ?/??"))&amp;CHAR(34)&amp;"  ","")&amp;IF(ISNUMBER($BZ252),"E "&amp;TRIM(TEXT($BZ252-HeadClr,"# ?/??"))&amp;CHAR(34)&amp;"  ","")))</f>
        <v/>
      </c>
      <c r="DA252" s="84">
        <f>IF($A252="","",IF($AN252="",IFERROR(VLOOKUP($Z252,CODES,2,FALSE),""),IFERROR(VLOOKUP($AN252,CODES,2,FALSE),"")))</f>
        <v/>
      </c>
      <c r="DB252" s="84">
        <f>IF($A252="","",IF($O252="Y","PR",IF(OR($Z252="L",$Z252="RR",LEFT($Z252,2)="L-",LEFT($Z252,3)="RR-"),"LH","RH")))</f>
        <v/>
      </c>
      <c r="DC252" s="84">
        <f>IF($A252="","","S.HM"&amp;IF(OR($C252="DOOR ONLY",$X252&lt;&gt;"KD"),"MASONRY","DRYWALL")&amp;IF($C252="DOOR ONLY","",$U252)&amp;IF(AND($C252&lt;&gt;"FRAME ONLY",OR(LEFT($AH252,3)="OAK",LEFT($AH252,3)="BIR",LEFT($AH252,3)="MAP",$AH252="PC",$AH252="MC",$AH252="SCLC",$AH252="P-LAM")),"WD","HM")&amp;"1.75")</f>
        <v/>
      </c>
      <c r="DD252" s="84">
        <f>IF($CJ252="","",IF($O252="Y",$CJ252,SUBSTITUTE($CJ252,$BG252&amp;" "&amp;IFERROR(VLOOKUP($Z252,CODES,2,FALSE),"")&amp;" ",$BG252&amp;" ")))</f>
        <v/>
      </c>
      <c r="DE252" s="84">
        <f>IF($CK252="","",IF($O252="Y",$CK252,SUBSTITUTE($CK252,$BG252&amp;" "&amp;IF($AN252="",IFERROR(VLOOKUP($Z252,CODES,2,FALSE),""),IFERROR(VLOOKUP($AN252,CODES,2,FALSE),""))&amp;" ",$BG252&amp;" ")))</f>
        <v/>
      </c>
      <c r="DF252" s="84">
        <f>IF($CJ252="","",$DC252&amp;"|"&amp;$DD252&amp;"|"&amp;$DB252&amp;"|"&amp;$AT252&amp;"|"&amp;$V252&amp;"|"&amp;$Y252&amp;"|"&amp;$AB252)</f>
        <v/>
      </c>
      <c r="DG252" s="84">
        <f>IF(DF252="","",IF(COUNTIF($DF$6:DF252,DF252)=1,MAX($DG$5:DG251)+1,INDEX($DG$5:DG251,MATCH(DF252,$DF$5:DF251,0))))</f>
        <v/>
      </c>
      <c r="DH252" s="84">
        <f>IF($CK252="","",$DC252&amp;"|"&amp;$DE252&amp;"|"&amp;$AI252&amp;"|"&amp;$BK252&amp;"|"&amp;$BL252)</f>
        <v/>
      </c>
      <c r="DI252" s="84">
        <f>IF(DH252="","",IF(COUNTIF($DH$6:DH252,DH252)=1,MAX($DI$5:DI251)+1,INDEX($DI$5:DI251,MATCH(DH252,$DH$5:DH251,0))))</f>
        <v/>
      </c>
      <c r="DJ252" s="84">
        <f>IF($A252="","",IF($B252="","qty, ","")&amp;IF($C252="","scope, ","")&amp;IF(OR($K252="",$M252=""),"size, ","")&amp;IF(AND($A252&lt;&gt;"",$C252&lt;&gt;"DOOR ONLY"),IF($U252="","jamb depth, ","")&amp;IF($X252="","construction, ","")&amp;IF($Y252="","anchor, ","")&amp;IF($S252="","frame type, ",""),"")&amp;IF(AND(N($BJ252)&gt;0,$Z252=""),"hand, ","")&amp;IF(N($BJ252)&gt;0,IF($AH252="","door material, ","")&amp;IF($AL252="","face type, ","")&amp;IF($AP252="","lock prep, ","")&amp;IF(AND($AO252="",$AC252=""),"hinge prep, ",""),"")&amp;IF(AND($CH252&gt;0,$AH252="FRP"),"FRP cannot carry a label, ","")&amp;IF(AND($O252="Y",OR($Z252="L",$Z252="R",$Z252="LR",$Z252="RR")),"pair marked but hand is single, ","")&amp;IF(AND($O252&lt;&gt;"Y",OR($Z252="PR",AND(LEN($Z252)&gt;1,ISNUMBER(SEARCH("-",$Z252))))),"pair hand on a single door, ","")&amp;IF(AND(ISNUMBER($CI252),$CH252&lt;N($CI252)),"wall needs a "&amp;$CI252&amp;" min door, ","")&amp;IF(AND($CH252&gt;=180,AND(OR($CE252="FG",$CE252="HG",$CE252="FNV",$CE252="FV"),N($CF252)*N($CG252)&gt;100)),"180 min lite over 100 sq in, ","")&amp;IF(N($BK252)&gt;48,"leaf wider than 4'-0"&amp;CHAR(34)&amp;", ","")&amp;IF(AND($CT252,COUNT($AW252:$AZ252)=0,$CQ252&gt;0),"CUSTOM LOC with no locations typed, ",""))</f>
        <v/>
      </c>
      <c r="DK252" s="84">
        <f>IF($A252="","",IF(AND($CH252&gt;0,AND($A252&lt;&gt;"",$C252&lt;&gt;"DOOR ONLY"),$X252="KD",$E252="EXTERIOR"),"KD label on an exterior opening, ","")&amp;IF(AND($E252="EXTERIOR",OR(AND(AND($A252&lt;&gt;"",$C252&lt;&gt;"DOOR ONLY"),$W252="CR"),AND(N($BJ252)&gt;0,$AH252="CR"))),"exterior in CR steel (G9?), ","")&amp;IF(AND(ISNUMBER($BQ252),N($BQ252)&lt;32),"clear width ~"&amp;TEXT($BQ252,"0.0")&amp;CHAR(34)&amp;" under 32"&amp;CHAR(34)&amp;" (ADA), ","")&amp;IF(AND($CH252=90,AND(OR($CE252="FG",$CE252="HG",$CE252="FNV",$CE252="FV"),N($CF252)*N($CG252)&gt;100)),"90 min lite over 100 sq in (stair/exit), ","")&amp;IF(AND($CH252&gt;0,AND($A252&lt;&gt;"",$C252&lt;&gt;"DOOR ONLY"),OR($AF252="",$AF252="-")),"rated: closer reinf.?, ","")&amp;IF(OR($I252="CORRIDOR",$I252="SMOKE BARRIER"),"S label + smoke gasketing, ","")&amp;IF($CI252="?","wall type/hr not in IBC table, ","")&amp;IF(AND(N($BJ252)&gt;0,$BB252=""),"no hardware set, ","")&amp;IF(AND($BB252&lt;&gt;"",ISNA(MATCH($BB252&amp;"",HWSets,0))),"set "&amp;$BB252&amp;" not on HW Sets, ","")&amp;IF(N($BL252)&gt;96,"leaf over 8'-0"&amp;CHAR(34)&amp;" - check listing, ","")&amp;IF(AND($CT252,COUNT($AW252:$AZ252)&gt;0,COUNT($AW252:$AZ252)&lt;&gt;$CQ252),COUNT($AW252:$AZ252)&amp;" custom hinges typed, "&amp;$CQ252&amp;" expected, ","")&amp;IF(AND(ISNUMBER($CA252),OR(N($CA252)&lt;34,N($CA252)&gt;48)),"lock "&amp;TEXT($CA252,"0.0")&amp;CHAR(34)&amp;" AFF outside 34-48"&amp;CHAR(34)&amp;" (ADA), ","")&amp;IF(AND(ISNUMBER($AV252),ISNUMBER($BL252),N($AV252)&lt;IF(N($BL252)&lt;=60,2,IF(N($BL252)&lt;=90,3,IF(N($BL252)&lt;=120,4,5)))),"fewer hinges than standard, ",""))</f>
        <v/>
      </c>
    </row>
    <row r="253" ht="15" customHeight="1">
      <c r="A253" s="77" t="n"/>
      <c r="B253" s="78" t="n"/>
      <c r="C253" s="78" t="n"/>
      <c r="D253" s="78" t="n"/>
      <c r="E253" s="78" t="n"/>
      <c r="F253" s="78" t="n"/>
      <c r="G253" s="78" t="n"/>
      <c r="H253" s="78" t="n"/>
      <c r="I253" s="78" t="n"/>
      <c r="J253" s="78" t="n"/>
      <c r="K253" s="78" t="n"/>
      <c r="L253" s="78" t="n"/>
      <c r="M253" s="78" t="n"/>
      <c r="N253" s="78" t="n"/>
      <c r="O253" s="78" t="n"/>
      <c r="P253" s="78" t="n"/>
      <c r="Q253" s="78" t="n"/>
      <c r="R253" s="78" t="n"/>
      <c r="S253" s="79" t="n"/>
      <c r="T253" s="79" t="n"/>
      <c r="U253" s="79" t="n"/>
      <c r="V253" s="79" t="n"/>
      <c r="W253" s="79" t="n"/>
      <c r="X253" s="79" t="n"/>
      <c r="Y253" s="79" t="n"/>
      <c r="Z253" s="79" t="n"/>
      <c r="AA253" s="79" t="n"/>
      <c r="AB253" s="79" t="n"/>
      <c r="AC253" s="79" t="n"/>
      <c r="AD253" s="79" t="n"/>
      <c r="AE253" s="79" t="n"/>
      <c r="AF253" s="79" t="n"/>
      <c r="AG253" s="79" t="n"/>
      <c r="AH253" s="80" t="n"/>
      <c r="AI253" s="80" t="n"/>
      <c r="AJ253" s="80" t="n"/>
      <c r="AK253" s="80" t="n"/>
      <c r="AL253" s="80" t="n"/>
      <c r="AM253" s="80" t="n"/>
      <c r="AN253" s="80" t="n"/>
      <c r="AO253" s="80" t="n"/>
      <c r="AP253" s="80" t="n"/>
      <c r="AQ253" s="80" t="n"/>
      <c r="AR253" s="80" t="n"/>
      <c r="AS253" s="80" t="n"/>
      <c r="AT253" s="81" t="n"/>
      <c r="AU253" s="81" t="n"/>
      <c r="AV253" s="81" t="n"/>
      <c r="AW253" s="82" t="n"/>
      <c r="AX253" s="82" t="n"/>
      <c r="AY253" s="82" t="n"/>
      <c r="AZ253" s="82" t="n"/>
      <c r="BA253" s="82" t="n"/>
      <c r="BB253" s="83" t="n"/>
      <c r="BC253" s="83" t="n"/>
      <c r="BD253" s="84">
        <f>IF($A253="","",IF($DJ253&lt;&gt;"","FIX",IF($DK253&lt;&gt;"","CHECK","OK")))</f>
        <v/>
      </c>
      <c r="BE253" s="85">
        <f>IF($A253="","",IF($DJ253&lt;&gt;"","FIX: "&amp;LEFT($DJ253,LEN($DJ253)-2)&amp;IF($DK253&lt;&gt;"","  ·  ",""),"")&amp;IF($DK253&lt;&gt;"","CHECK: "&amp;LEFT($DK253,LEN($DK253)-2),""))</f>
        <v/>
      </c>
      <c r="BF253" s="84">
        <f>IF(OR($A253="",$K253=""),"",$K253&amp;"'-"&amp;N($L253)&amp;CHAR(34)&amp;" x "&amp;$M253&amp;"'-"&amp;N($N253)&amp;CHAR(34))</f>
        <v/>
      </c>
      <c r="BG253" s="84">
        <f>IF(OR($A253="",$K253=""),"",$K253&amp;N($L253)&amp;$M253&amp;N($N253))</f>
        <v/>
      </c>
      <c r="BH253" s="84">
        <f>IF(OR($A253="",$K253=""),"",$K253*12+N($L253))</f>
        <v/>
      </c>
      <c r="BI253" s="84">
        <f>IF(OR($A253="",$M253=""),"",$M253*12+N($N253))</f>
        <v/>
      </c>
      <c r="BJ253" s="84">
        <f>IF($A253="","",IF(OR($C253="FRAME ONLY",$S253="BL"),0,IF($O253="Y",2,1)))</f>
        <v/>
      </c>
      <c r="BK253" s="86">
        <f>IF(OR(N($BJ253)=0,$BH253=""),"",($BH253-2*EdgeClr-IF($BJ253=2,MeetClr,0))/$BJ253)</f>
        <v/>
      </c>
      <c r="BL253" s="86">
        <f>IF(OR(N($BJ253)=0,$BI253=""),"",$BI253-HeadClr-Undercut)</f>
        <v/>
      </c>
      <c r="BM253" s="86">
        <f>IF($BH253="","",$BH253+2*FaceW+IF(N($Q253)&gt;0,($Q253+FaceW)*IF($R253="LR",2,1),0))</f>
        <v/>
      </c>
      <c r="BN253" s="86">
        <f>IF($BI253="","",$BI253+IF($AB253="Y",4,FaceW)+IF(N($P253)&gt;0,$P253+FaceW,0)+IF(OR($S253="4F",$S253="BL"),FaceW,0))</f>
        <v/>
      </c>
      <c r="BO253" s="86">
        <f>IF($BM253="","",$BM253+2*ROSide)</f>
        <v/>
      </c>
      <c r="BP253" s="86">
        <f>IF($BN253="","",$BN253+ROTop)</f>
        <v/>
      </c>
      <c r="BQ253" s="87">
        <f>IF(OR(N($BJ253)=0,$BH253=""),"",$BH253/$BJ253-ClearDeduct)</f>
        <v/>
      </c>
      <c r="BR253" s="84">
        <f>IF(N($CH253)=0,"",IF($CH253&gt;=180,"A · 3 HR",IF($CH253&gt;=90,"B · 1-1/2 HR",IF($CH253&gt;=60,"B · 1 HR",IF($CH253&gt;=45,"C · 3/4 HR","20 MIN")))))&amp;IF(AND(N($CH253)&gt;0,OR($I253="CORRIDOR",$I253="SMOKE BARRIER"))," · S","")</f>
        <v/>
      </c>
      <c r="BS253" s="84">
        <f>IF($CS253,"",IF($AV253&lt;&gt;"",$AV253,IF(OR($AC253="HGC",$AO253="HGC"),"CONT",IF(($BI253-HeadClr-Undercut)&lt;=60,2,IF(($BI253-HeadClr-Undercut)&lt;=90,3,IF(($BI253-HeadClr-Undercut)&lt;=120,4,5))))))</f>
        <v/>
      </c>
      <c r="BT253" s="84">
        <f>IF($CS253,"",IF($CT253,"CUSTOM (typed)",IF($CV253,$AT253&amp;" "&amp;$CU253&amp;CHAR(34)&amp;IF($CU253&lt;&gt;$BI253,IF(AND($BI253&lt;$CU253,$BI253-IF(N(VLOOKUP($AT253&amp;"|"&amp;$CU253,LocTable,7,FALSE))&gt;0,VLOOKUP($AT253&amp;"|"&amp;$CU253,LocTable,7,FALSE),VLOOKUP($AT253&amp;"|"&amp;$CU253,LocTable,6,FALSE))-$CR253-0.75&gt;=2.125)," cut down"," adj."),""),"ANSI/SDI A250.6")))</f>
        <v/>
      </c>
      <c r="BU253" s="88">
        <f>IF($CS253,"",IF($CT253,IF(N($AW253)&gt;0,N($AW253),""),IF(1&gt;$CQ253,"",IF($CQ253=1,$CW253,$CW253+($CX253-$CW253)*0/($CQ253-1)))))</f>
        <v/>
      </c>
      <c r="BV253" s="88">
        <f>IF($CS253,"",IF($CT253,IF(N($AX253)&gt;0,N($AX253),""),IF(2&gt;$CQ253,"",IF($CQ253=1,$CW253,$CW253+($CX253-$CW253)*1/($CQ253-1)))))</f>
        <v/>
      </c>
      <c r="BW253" s="88">
        <f>IF($CS253,"",IF($CT253,IF(N($AY253)&gt;0,N($AY253),""),IF(3&gt;$CQ253,"",IF($CQ253=1,$CW253,$CW253+($CX253-$CW253)*2/($CQ253-1)))))</f>
        <v/>
      </c>
      <c r="BX253" s="88">
        <f>IF($CS253,"",IF($CT253,IF(N($AZ253)&gt;0,N($AZ253),""),IF(4&gt;$CQ253,"",IF($CQ253=1,$CW253,$CW253+($CX253-$CW253)*3/($CQ253-1)))))</f>
        <v/>
      </c>
      <c r="BY253" s="88">
        <f>IF($CS253,"",IF($CT253,"",IF(5&gt;$CQ253,"",IF($CQ253=1,$CW253,$CW253+($CX253-$CW253)*4/($CQ253-1)))))</f>
        <v/>
      </c>
      <c r="BZ253" s="88">
        <f>IF(OR($CS253,$AP253="-",AND($AP253="",$AD253="")),"",IF(N($BA253)&gt;0,N($BA253),IF($CV253,IF(AND($BI253&lt;$CU253,$BI253-IF(N(VLOOKUP($AT253&amp;"|"&amp;$CU253,LocTable,7,FALSE))&gt;0,VLOOKUP($AT253&amp;"|"&amp;$CU253,LocTable,7,FALSE),VLOOKUP($AT253&amp;"|"&amp;$CU253,LocTable,6,FALSE))-$CR253-0.75&gt;=2.125),VLOOKUP($AT253&amp;"|"&amp;$CU253,LocTable,8,FALSE),VLOOKUP($AT253&amp;"|"&amp;$CU253,LocTable,8,FALSE)+($BI253-$CU253)),$BI253-LockAFF)))</f>
        <v/>
      </c>
      <c r="CA253" s="89">
        <f>IF($BZ253="","",$BI253-$BZ253)</f>
        <v/>
      </c>
      <c r="CB253" s="84">
        <f>IF(OR(NOT(AND($A253&lt;&gt;"",$C253&lt;&gt;"DOOR ONLY")),$BI253=""),"",IF(($BI253+IF(N($P253)&gt;0,$P253+FaceW,0))&lt;=90,3,IF(($BI253+IF(N($P253)&gt;0,$P253+FaceW,0))&lt;=114,4,5)))</f>
        <v/>
      </c>
      <c r="CC253" s="84">
        <f>IF($CB253="","",$CB253*(2+IF(N($Q253)&gt;0,IF($R253="LR",2,1),0)))</f>
        <v/>
      </c>
      <c r="CD253" s="84">
        <f>IF($CB253="","",(2+IF(N($Q253)&gt;0,IF($R253="LR",2,1),0)))</f>
        <v/>
      </c>
      <c r="CE253" s="84">
        <f>IF(N($BJ253)=0,"",IF(OR($AL253="",$AL253="FLUSH"),"FLUSH",IFERROR(LEFT($AL253,FIND("-",$AL253)-1),LEFT($AL253,2))))</f>
        <v/>
      </c>
      <c r="CF253" s="84">
        <f>IF($CE253="","",IFERROR(VALUE(MID($AL253,FIND("-",$AL253)+1,FIND(CHAR(34)&amp;"x",$AL253)-FIND("-",$AL253)-1)),0))</f>
        <v/>
      </c>
      <c r="CG253" s="84">
        <f>IF($CE253="","",IFERROR(VALUE(MID($AL253,FIND(CHAR(34)&amp;"x",$AL253)+2,FIND(CHAR(34),$AL253,FIND(CHAR(34)&amp;"x",$AL253)+2)-FIND(CHAR(34)&amp;"x",$AL253)-2)),0))</f>
        <v/>
      </c>
      <c r="CH253" s="90">
        <f>IF(OR($A253="",$H253="",$H253="NO LAB"),0,IFERROR(VALUE(LEFT($H253,FIND(" ",$H253)-1)),0))</f>
        <v/>
      </c>
      <c r="CI253" s="91">
        <f>IF(OR($A253="",$I253="",$I253="NON-RATED",N($J253)=0),"",IFERROR(VLOOKUP($I253&amp;"|"&amp;$J253,IBC,2,FALSE),"?"))</f>
        <v/>
      </c>
      <c r="CJ253" s="85">
        <f>IF(NOT(AND($A253&lt;&gt;"",$C253&lt;&gt;"DOOR ONLY")),"",TRIM(IFERROR(VLOOKUP($U253,CODES,2,FALSE),"")&amp;" "&amp;$BG253&amp;" "&amp;IFERROR(VLOOKUP($Z253,CODES,2,FALSE),"")&amp;" "&amp;IFERROR(VLOOKUP($X253,CODES,2,FALSE),"")&amp;" "&amp;IFERROR(VLOOKUP($S253,CODES,2,FALSE),"")&amp;IF(N($P253)&gt;0," w/TRANSOM "&amp;$P253&amp;CHAR(34),"")&amp;IF(N($Q253)&gt;0," w/SIDELITE "&amp;$Q253&amp;CHAR(34)&amp;" "&amp;IF($R253="","R",$R253),"")&amp;IF($Y253="","  |  "," | "&amp;IFERROR(VLOOKUP($Y253,CODES,2,FALSE),"")&amp;" | ")&amp;IFERROR(VLOOKUP($AC253,CODES,2,FALSE),"")&amp;" "&amp;IFERROR(VLOOKUP($AD253,CODES,2,FALSE),"")&amp;IF(OR($AE253="",$AE253="-"),""," "&amp;$AE253)&amp;IF(OR($AF253="",$AF253="-"),""," "&amp;$AF253)&amp;IF($AB253="Y"," 4"&amp;CHAR(34)&amp;" HEAD","")&amp;" "&amp;IFERROR(VLOOKUP($H253,CODES,2,FALSE),"")&amp;IF($CT253," | LOC "&amp;$CY253,"")))</f>
        <v/>
      </c>
      <c r="CK253" s="85">
        <f>IF(NOT(AND($A253&lt;&gt;"",N($BJ253)&gt;0)),"",TRIM(IFERROR(VLOOKUP($AH253,CODES,2,FALSE),"")&amp;IF($AI253=""," "," "&amp;$AI253&amp;"GA ")&amp;$BG253&amp;" "&amp;IF($AN253="",IFERROR(VLOOKUP($Z253,CODES,2,FALSE),""),IFERROR(VLOOKUP($AN253,CODES,2,FALSE),""))&amp;IF($BJ253=2," PAIR","")&amp;" DOOR | "&amp;IF($AL253="","?",$AL253)&amp;" | "&amp;IF($AO253="",IFERROR(VLOOKUP($AC253,CODES,2,FALSE),""),IFERROR(VLOOKUP($AO253,CODES,2,FALSE),""))&amp;" "&amp;IFERROR(VLOOKUP($AP253,CODES,2,FALSE),"")&amp;IF(OR($AQ253="",$AQ253="-"),""," SEAM "&amp;$AQ253)&amp;IF($AR253="Y"," ASTRAGAL","")&amp;IF($AJ253=""," "," "&amp;$AJ253)&amp;IF($AK253=""," "," "&amp;$AK253)&amp;IF(OR($AT253="",$AT253="ANSI/SDI",$AT253="CUSTOM LOC"),""," "&amp;$AT253)&amp;IF($AM253=""," "," SERIES "&amp;$AM253)&amp;" "&amp;IFERROR(VLOOKUP($H253,CODES,2,FALSE),"")&amp;IF($CT253," | LOC "&amp;$CZ253,"")))</f>
        <v/>
      </c>
      <c r="CL253" s="84">
        <f>IF(CP253="","",IF(COUNTIF($CP$6:CP253,CP253)=1,MAX($CL$5:CL252)+1,INDEX($CL$5:CL252,MATCH(CP253,$CP$5:CP252,0))))</f>
        <v/>
      </c>
      <c r="CM253" s="84">
        <f>IF(NOT(AND($A253&lt;&gt;"",$C253&lt;&gt;"DOOR ONLY")),"",MAX($CM$5:CM252)+1)</f>
        <v/>
      </c>
      <c r="CN253" s="84">
        <f>IF(NOT(AND($A253&lt;&gt;"",N($BJ253)&gt;0)),"",MAX($CN$5:CN252)+1)</f>
        <v/>
      </c>
      <c r="CO253" s="84">
        <f>IF($A253="","",MAX($CO$5:CO252)+1)</f>
        <v/>
      </c>
      <c r="CP253" s="84">
        <f>IF(OR($A253="",$BH253="",$BI253=""),"",$BG253&amp;"|"&amp;$O253&amp;"|"&amp;$AL253&amp;"|"&amp;$S253&amp;"|"&amp;$P253&amp;"|"&amp;$Q253&amp;$R253&amp;"|"&amp;$C253&amp;"|"&amp;$AB253)</f>
        <v/>
      </c>
      <c r="CQ253" s="84">
        <f>N($BS253)</f>
        <v/>
      </c>
      <c r="CR253" s="84">
        <f>IF(N($AU253)&gt;0,N($AU253),4.5)</f>
        <v/>
      </c>
      <c r="CS253" s="84">
        <f>OR($A253="",$BI253="",$S253="BL",AND($C253="FRAME ONLY",OR($AC253="",$AC253="BLK")))</f>
        <v/>
      </c>
      <c r="CT253" s="84">
        <f>AND(NOT($CS253),OR($AT253="CUSTOM LOC",N($AW253)+N($AX253)+N($AY253)+N($AZ253)+N($BA253)&gt;0))</f>
        <v/>
      </c>
      <c r="CU253" s="84">
        <f>IF($BI253="","",IF($BI253&lt;=80,80,IF($BI253&lt;=84,84,96)))</f>
        <v/>
      </c>
      <c r="CV253" s="84">
        <f>ISNUMBER(MATCH($AT253&amp;"|80",LocKeys,0))</f>
        <v/>
      </c>
      <c r="CW253" s="86">
        <f>IF($CS253,"",IF($CV253,VLOOKUP($AT253&amp;"|"&amp;$CU253,LocTable,4,FALSE),5))</f>
        <v/>
      </c>
      <c r="CX253" s="86">
        <f>IF($CS253,"",IF($CV253,IF(OR($BI253=$CU253,AND($BI253&lt;$CU253,$BI253-IF(N(VLOOKUP($AT253&amp;"|"&amp;$CU253,LocTable,7,FALSE))&gt;0,VLOOKUP($AT253&amp;"|"&amp;$CU253,LocTable,7,FALSE),VLOOKUP($AT253&amp;"|"&amp;$CU253,LocTable,6,FALSE))-$CR253-0.75&gt;=2.125)),IF(N(VLOOKUP($AT253&amp;"|"&amp;$CU253,LocTable,7,FALSE))&gt;0,VLOOKUP($AT253&amp;"|"&amp;$CU253,LocTable,7,FALSE),VLOOKUP($AT253&amp;"|"&amp;$CU253,LocTable,6,FALSE)),$BI253-($CU253-IF(N(VLOOKUP($AT253&amp;"|"&amp;$CU253,LocTable,7,FALSE))&gt;0,VLOOKUP($AT253&amp;"|"&amp;$CU253,LocTable,7,FALSE),VLOOKUP($AT253&amp;"|"&amp;$CU253,LocTable,6,FALSE)))),$BI253-10-$CR253))</f>
        <v/>
      </c>
      <c r="CY253" s="85">
        <f>IF($CS253,"",TRIM(IF(ISNUMBER($BU253),"A "&amp;TRIM(TEXT($BU253,"# ?/??"))&amp;CHAR(34)&amp;"  ","")&amp;IF(ISNUMBER($BV253),"B "&amp;TRIM(TEXT($BV253,"# ?/??"))&amp;CHAR(34)&amp;"  ","")&amp;IF(ISNUMBER($BW253),"C "&amp;TRIM(TEXT($BW253,"# ?/??"))&amp;CHAR(34)&amp;"  ","")&amp;IF(ISNUMBER($BX253),"D "&amp;TRIM(TEXT($BX253,"# ?/??"))&amp;CHAR(34)&amp;"  ","")&amp;IF(ISNUMBER($BY253),"F "&amp;TRIM(TEXT($BY253,"# ?/??"))&amp;CHAR(34)&amp;"  ","")&amp;IF(ISNUMBER($BZ253),"E "&amp;TRIM(TEXT($BZ253,"# ?/??"))&amp;CHAR(34)&amp;"  ","")))</f>
        <v/>
      </c>
      <c r="CZ253" s="85">
        <f>IF(OR($CS253,N($BJ253)=0),"",TRIM(IF(ISNUMBER($BU253),"A "&amp;TRIM(TEXT($BU253-HeadClr,"# ?/??"))&amp;CHAR(34)&amp;"  ","")&amp;IF(ISNUMBER($BV253),"B "&amp;TRIM(TEXT($BV253-HeadClr,"# ?/??"))&amp;CHAR(34)&amp;"  ","")&amp;IF(ISNUMBER($BW253),"C "&amp;TRIM(TEXT($BW253-HeadClr,"# ?/??"))&amp;CHAR(34)&amp;"  ","")&amp;IF(ISNUMBER($BX253),"D "&amp;TRIM(TEXT($BX253-HeadClr,"# ?/??"))&amp;CHAR(34)&amp;"  ","")&amp;IF(ISNUMBER($BY253),"F "&amp;TRIM(TEXT($BY253-HeadClr,"# ?/??"))&amp;CHAR(34)&amp;"  ","")&amp;IF(ISNUMBER($BZ253),"E "&amp;TRIM(TEXT($BZ253-HeadClr,"# ?/??"))&amp;CHAR(34)&amp;"  ","")))</f>
        <v/>
      </c>
      <c r="DA253" s="84">
        <f>IF($A253="","",IF($AN253="",IFERROR(VLOOKUP($Z253,CODES,2,FALSE),""),IFERROR(VLOOKUP($AN253,CODES,2,FALSE),"")))</f>
        <v/>
      </c>
      <c r="DB253" s="84">
        <f>IF($A253="","",IF($O253="Y","PR",IF(OR($Z253="L",$Z253="RR",LEFT($Z253,2)="L-",LEFT($Z253,3)="RR-"),"LH","RH")))</f>
        <v/>
      </c>
      <c r="DC253" s="84">
        <f>IF($A253="","","S.HM"&amp;IF(OR($C253="DOOR ONLY",$X253&lt;&gt;"KD"),"MASONRY","DRYWALL")&amp;IF($C253="DOOR ONLY","",$U253)&amp;IF(AND($C253&lt;&gt;"FRAME ONLY",OR(LEFT($AH253,3)="OAK",LEFT($AH253,3)="BIR",LEFT($AH253,3)="MAP",$AH253="PC",$AH253="MC",$AH253="SCLC",$AH253="P-LAM")),"WD","HM")&amp;"1.75")</f>
        <v/>
      </c>
      <c r="DD253" s="84">
        <f>IF($CJ253="","",IF($O253="Y",$CJ253,SUBSTITUTE($CJ253,$BG253&amp;" "&amp;IFERROR(VLOOKUP($Z253,CODES,2,FALSE),"")&amp;" ",$BG253&amp;" ")))</f>
        <v/>
      </c>
      <c r="DE253" s="84">
        <f>IF($CK253="","",IF($O253="Y",$CK253,SUBSTITUTE($CK253,$BG253&amp;" "&amp;IF($AN253="",IFERROR(VLOOKUP($Z253,CODES,2,FALSE),""),IFERROR(VLOOKUP($AN253,CODES,2,FALSE),""))&amp;" ",$BG253&amp;" ")))</f>
        <v/>
      </c>
      <c r="DF253" s="84">
        <f>IF($CJ253="","",$DC253&amp;"|"&amp;$DD253&amp;"|"&amp;$DB253&amp;"|"&amp;$AT253&amp;"|"&amp;$V253&amp;"|"&amp;$Y253&amp;"|"&amp;$AB253)</f>
        <v/>
      </c>
      <c r="DG253" s="84">
        <f>IF(DF253="","",IF(COUNTIF($DF$6:DF253,DF253)=1,MAX($DG$5:DG252)+1,INDEX($DG$5:DG252,MATCH(DF253,$DF$5:DF252,0))))</f>
        <v/>
      </c>
      <c r="DH253" s="84">
        <f>IF($CK253="","",$DC253&amp;"|"&amp;$DE253&amp;"|"&amp;$AI253&amp;"|"&amp;$BK253&amp;"|"&amp;$BL253)</f>
        <v/>
      </c>
      <c r="DI253" s="84">
        <f>IF(DH253="","",IF(COUNTIF($DH$6:DH253,DH253)=1,MAX($DI$5:DI252)+1,INDEX($DI$5:DI252,MATCH(DH253,$DH$5:DH252,0))))</f>
        <v/>
      </c>
      <c r="DJ253" s="84">
        <f>IF($A253="","",IF($B253="","qty, ","")&amp;IF($C253="","scope, ","")&amp;IF(OR($K253="",$M253=""),"size, ","")&amp;IF(AND($A253&lt;&gt;"",$C253&lt;&gt;"DOOR ONLY"),IF($U253="","jamb depth, ","")&amp;IF($X253="","construction, ","")&amp;IF($Y253="","anchor, ","")&amp;IF($S253="","frame type, ",""),"")&amp;IF(AND(N($BJ253)&gt;0,$Z253=""),"hand, ","")&amp;IF(N($BJ253)&gt;0,IF($AH253="","door material, ","")&amp;IF($AL253="","face type, ","")&amp;IF($AP253="","lock prep, ","")&amp;IF(AND($AO253="",$AC253=""),"hinge prep, ",""),"")&amp;IF(AND($CH253&gt;0,$AH253="FRP"),"FRP cannot carry a label, ","")&amp;IF(AND($O253="Y",OR($Z253="L",$Z253="R",$Z253="LR",$Z253="RR")),"pair marked but hand is single, ","")&amp;IF(AND($O253&lt;&gt;"Y",OR($Z253="PR",AND(LEN($Z253)&gt;1,ISNUMBER(SEARCH("-",$Z253))))),"pair hand on a single door, ","")&amp;IF(AND(ISNUMBER($CI253),$CH253&lt;N($CI253)),"wall needs a "&amp;$CI253&amp;" min door, ","")&amp;IF(AND($CH253&gt;=180,AND(OR($CE253="FG",$CE253="HG",$CE253="FNV",$CE253="FV"),N($CF253)*N($CG253)&gt;100)),"180 min lite over 100 sq in, ","")&amp;IF(N($BK253)&gt;48,"leaf wider than 4'-0"&amp;CHAR(34)&amp;", ","")&amp;IF(AND($CT253,COUNT($AW253:$AZ253)=0,$CQ253&gt;0),"CUSTOM LOC with no locations typed, ",""))</f>
        <v/>
      </c>
      <c r="DK253" s="84">
        <f>IF($A253="","",IF(AND($CH253&gt;0,AND($A253&lt;&gt;"",$C253&lt;&gt;"DOOR ONLY"),$X253="KD",$E253="EXTERIOR"),"KD label on an exterior opening, ","")&amp;IF(AND($E253="EXTERIOR",OR(AND(AND($A253&lt;&gt;"",$C253&lt;&gt;"DOOR ONLY"),$W253="CR"),AND(N($BJ253)&gt;0,$AH253="CR"))),"exterior in CR steel (G9?), ","")&amp;IF(AND(ISNUMBER($BQ253),N($BQ253)&lt;32),"clear width ~"&amp;TEXT($BQ253,"0.0")&amp;CHAR(34)&amp;" under 32"&amp;CHAR(34)&amp;" (ADA), ","")&amp;IF(AND($CH253=90,AND(OR($CE253="FG",$CE253="HG",$CE253="FNV",$CE253="FV"),N($CF253)*N($CG253)&gt;100)),"90 min lite over 100 sq in (stair/exit), ","")&amp;IF(AND($CH253&gt;0,AND($A253&lt;&gt;"",$C253&lt;&gt;"DOOR ONLY"),OR($AF253="",$AF253="-")),"rated: closer reinf.?, ","")&amp;IF(OR($I253="CORRIDOR",$I253="SMOKE BARRIER"),"S label + smoke gasketing, ","")&amp;IF($CI253="?","wall type/hr not in IBC table, ","")&amp;IF(AND(N($BJ253)&gt;0,$BB253=""),"no hardware set, ","")&amp;IF(AND($BB253&lt;&gt;"",ISNA(MATCH($BB253&amp;"",HWSets,0))),"set "&amp;$BB253&amp;" not on HW Sets, ","")&amp;IF(N($BL253)&gt;96,"leaf over 8'-0"&amp;CHAR(34)&amp;" - check listing, ","")&amp;IF(AND($CT253,COUNT($AW253:$AZ253)&gt;0,COUNT($AW253:$AZ253)&lt;&gt;$CQ253),COUNT($AW253:$AZ253)&amp;" custom hinges typed, "&amp;$CQ253&amp;" expected, ","")&amp;IF(AND(ISNUMBER($CA253),OR(N($CA253)&lt;34,N($CA253)&gt;48)),"lock "&amp;TEXT($CA253,"0.0")&amp;CHAR(34)&amp;" AFF outside 34-48"&amp;CHAR(34)&amp;" (ADA), ","")&amp;IF(AND(ISNUMBER($AV253),ISNUMBER($BL253),N($AV253)&lt;IF(N($BL253)&lt;=60,2,IF(N($BL253)&lt;=90,3,IF(N($BL253)&lt;=120,4,5)))),"fewer hinges than standard, ",""))</f>
        <v/>
      </c>
    </row>
    <row r="254" ht="15" customHeight="1">
      <c r="A254" s="77" t="n"/>
      <c r="B254" s="78" t="n"/>
      <c r="C254" s="78" t="n"/>
      <c r="D254" s="78" t="n"/>
      <c r="E254" s="78" t="n"/>
      <c r="F254" s="78" t="n"/>
      <c r="G254" s="78" t="n"/>
      <c r="H254" s="78" t="n"/>
      <c r="I254" s="78" t="n"/>
      <c r="J254" s="78" t="n"/>
      <c r="K254" s="78" t="n"/>
      <c r="L254" s="78" t="n"/>
      <c r="M254" s="78" t="n"/>
      <c r="N254" s="78" t="n"/>
      <c r="O254" s="78" t="n"/>
      <c r="P254" s="78" t="n"/>
      <c r="Q254" s="78" t="n"/>
      <c r="R254" s="78" t="n"/>
      <c r="S254" s="79" t="n"/>
      <c r="T254" s="79" t="n"/>
      <c r="U254" s="79" t="n"/>
      <c r="V254" s="79" t="n"/>
      <c r="W254" s="79" t="n"/>
      <c r="X254" s="79" t="n"/>
      <c r="Y254" s="79" t="n"/>
      <c r="Z254" s="79" t="n"/>
      <c r="AA254" s="79" t="n"/>
      <c r="AB254" s="79" t="n"/>
      <c r="AC254" s="79" t="n"/>
      <c r="AD254" s="79" t="n"/>
      <c r="AE254" s="79" t="n"/>
      <c r="AF254" s="79" t="n"/>
      <c r="AG254" s="79" t="n"/>
      <c r="AH254" s="80" t="n"/>
      <c r="AI254" s="80" t="n"/>
      <c r="AJ254" s="80" t="n"/>
      <c r="AK254" s="80" t="n"/>
      <c r="AL254" s="80" t="n"/>
      <c r="AM254" s="80" t="n"/>
      <c r="AN254" s="80" t="n"/>
      <c r="AO254" s="80" t="n"/>
      <c r="AP254" s="80" t="n"/>
      <c r="AQ254" s="80" t="n"/>
      <c r="AR254" s="80" t="n"/>
      <c r="AS254" s="80" t="n"/>
      <c r="AT254" s="81" t="n"/>
      <c r="AU254" s="81" t="n"/>
      <c r="AV254" s="81" t="n"/>
      <c r="AW254" s="82" t="n"/>
      <c r="AX254" s="82" t="n"/>
      <c r="AY254" s="82" t="n"/>
      <c r="AZ254" s="82" t="n"/>
      <c r="BA254" s="82" t="n"/>
      <c r="BB254" s="83" t="n"/>
      <c r="BC254" s="83" t="n"/>
      <c r="BD254" s="84">
        <f>IF($A254="","",IF($DJ254&lt;&gt;"","FIX",IF($DK254&lt;&gt;"","CHECK","OK")))</f>
        <v/>
      </c>
      <c r="BE254" s="85">
        <f>IF($A254="","",IF($DJ254&lt;&gt;"","FIX: "&amp;LEFT($DJ254,LEN($DJ254)-2)&amp;IF($DK254&lt;&gt;"","  ·  ",""),"")&amp;IF($DK254&lt;&gt;"","CHECK: "&amp;LEFT($DK254,LEN($DK254)-2),""))</f>
        <v/>
      </c>
      <c r="BF254" s="84">
        <f>IF(OR($A254="",$K254=""),"",$K254&amp;"'-"&amp;N($L254)&amp;CHAR(34)&amp;" x "&amp;$M254&amp;"'-"&amp;N($N254)&amp;CHAR(34))</f>
        <v/>
      </c>
      <c r="BG254" s="84">
        <f>IF(OR($A254="",$K254=""),"",$K254&amp;N($L254)&amp;$M254&amp;N($N254))</f>
        <v/>
      </c>
      <c r="BH254" s="84">
        <f>IF(OR($A254="",$K254=""),"",$K254*12+N($L254))</f>
        <v/>
      </c>
      <c r="BI254" s="84">
        <f>IF(OR($A254="",$M254=""),"",$M254*12+N($N254))</f>
        <v/>
      </c>
      <c r="BJ254" s="84">
        <f>IF($A254="","",IF(OR($C254="FRAME ONLY",$S254="BL"),0,IF($O254="Y",2,1)))</f>
        <v/>
      </c>
      <c r="BK254" s="86">
        <f>IF(OR(N($BJ254)=0,$BH254=""),"",($BH254-2*EdgeClr-IF($BJ254=2,MeetClr,0))/$BJ254)</f>
        <v/>
      </c>
      <c r="BL254" s="86">
        <f>IF(OR(N($BJ254)=0,$BI254=""),"",$BI254-HeadClr-Undercut)</f>
        <v/>
      </c>
      <c r="BM254" s="86">
        <f>IF($BH254="","",$BH254+2*FaceW+IF(N($Q254)&gt;0,($Q254+FaceW)*IF($R254="LR",2,1),0))</f>
        <v/>
      </c>
      <c r="BN254" s="86">
        <f>IF($BI254="","",$BI254+IF($AB254="Y",4,FaceW)+IF(N($P254)&gt;0,$P254+FaceW,0)+IF(OR($S254="4F",$S254="BL"),FaceW,0))</f>
        <v/>
      </c>
      <c r="BO254" s="86">
        <f>IF($BM254="","",$BM254+2*ROSide)</f>
        <v/>
      </c>
      <c r="BP254" s="86">
        <f>IF($BN254="","",$BN254+ROTop)</f>
        <v/>
      </c>
      <c r="BQ254" s="87">
        <f>IF(OR(N($BJ254)=0,$BH254=""),"",$BH254/$BJ254-ClearDeduct)</f>
        <v/>
      </c>
      <c r="BR254" s="84">
        <f>IF(N($CH254)=0,"",IF($CH254&gt;=180,"A · 3 HR",IF($CH254&gt;=90,"B · 1-1/2 HR",IF($CH254&gt;=60,"B · 1 HR",IF($CH254&gt;=45,"C · 3/4 HR","20 MIN")))))&amp;IF(AND(N($CH254)&gt;0,OR($I254="CORRIDOR",$I254="SMOKE BARRIER"))," · S","")</f>
        <v/>
      </c>
      <c r="BS254" s="84">
        <f>IF($CS254,"",IF($AV254&lt;&gt;"",$AV254,IF(OR($AC254="HGC",$AO254="HGC"),"CONT",IF(($BI254-HeadClr-Undercut)&lt;=60,2,IF(($BI254-HeadClr-Undercut)&lt;=90,3,IF(($BI254-HeadClr-Undercut)&lt;=120,4,5))))))</f>
        <v/>
      </c>
      <c r="BT254" s="84">
        <f>IF($CS254,"",IF($CT254,"CUSTOM (typed)",IF($CV254,$AT254&amp;" "&amp;$CU254&amp;CHAR(34)&amp;IF($CU254&lt;&gt;$BI254,IF(AND($BI254&lt;$CU254,$BI254-IF(N(VLOOKUP($AT254&amp;"|"&amp;$CU254,LocTable,7,FALSE))&gt;0,VLOOKUP($AT254&amp;"|"&amp;$CU254,LocTable,7,FALSE),VLOOKUP($AT254&amp;"|"&amp;$CU254,LocTable,6,FALSE))-$CR254-0.75&gt;=2.125)," cut down"," adj."),""),"ANSI/SDI A250.6")))</f>
        <v/>
      </c>
      <c r="BU254" s="88">
        <f>IF($CS254,"",IF($CT254,IF(N($AW254)&gt;0,N($AW254),""),IF(1&gt;$CQ254,"",IF($CQ254=1,$CW254,$CW254+($CX254-$CW254)*0/($CQ254-1)))))</f>
        <v/>
      </c>
      <c r="BV254" s="88">
        <f>IF($CS254,"",IF($CT254,IF(N($AX254)&gt;0,N($AX254),""),IF(2&gt;$CQ254,"",IF($CQ254=1,$CW254,$CW254+($CX254-$CW254)*1/($CQ254-1)))))</f>
        <v/>
      </c>
      <c r="BW254" s="88">
        <f>IF($CS254,"",IF($CT254,IF(N($AY254)&gt;0,N($AY254),""),IF(3&gt;$CQ254,"",IF($CQ254=1,$CW254,$CW254+($CX254-$CW254)*2/($CQ254-1)))))</f>
        <v/>
      </c>
      <c r="BX254" s="88">
        <f>IF($CS254,"",IF($CT254,IF(N($AZ254)&gt;0,N($AZ254),""),IF(4&gt;$CQ254,"",IF($CQ254=1,$CW254,$CW254+($CX254-$CW254)*3/($CQ254-1)))))</f>
        <v/>
      </c>
      <c r="BY254" s="88">
        <f>IF($CS254,"",IF($CT254,"",IF(5&gt;$CQ254,"",IF($CQ254=1,$CW254,$CW254+($CX254-$CW254)*4/($CQ254-1)))))</f>
        <v/>
      </c>
      <c r="BZ254" s="88">
        <f>IF(OR($CS254,$AP254="-",AND($AP254="",$AD254="")),"",IF(N($BA254)&gt;0,N($BA254),IF($CV254,IF(AND($BI254&lt;$CU254,$BI254-IF(N(VLOOKUP($AT254&amp;"|"&amp;$CU254,LocTable,7,FALSE))&gt;0,VLOOKUP($AT254&amp;"|"&amp;$CU254,LocTable,7,FALSE),VLOOKUP($AT254&amp;"|"&amp;$CU254,LocTable,6,FALSE))-$CR254-0.75&gt;=2.125),VLOOKUP($AT254&amp;"|"&amp;$CU254,LocTable,8,FALSE),VLOOKUP($AT254&amp;"|"&amp;$CU254,LocTable,8,FALSE)+($BI254-$CU254)),$BI254-LockAFF)))</f>
        <v/>
      </c>
      <c r="CA254" s="89">
        <f>IF($BZ254="","",$BI254-$BZ254)</f>
        <v/>
      </c>
      <c r="CB254" s="84">
        <f>IF(OR(NOT(AND($A254&lt;&gt;"",$C254&lt;&gt;"DOOR ONLY")),$BI254=""),"",IF(($BI254+IF(N($P254)&gt;0,$P254+FaceW,0))&lt;=90,3,IF(($BI254+IF(N($P254)&gt;0,$P254+FaceW,0))&lt;=114,4,5)))</f>
        <v/>
      </c>
      <c r="CC254" s="84">
        <f>IF($CB254="","",$CB254*(2+IF(N($Q254)&gt;0,IF($R254="LR",2,1),0)))</f>
        <v/>
      </c>
      <c r="CD254" s="84">
        <f>IF($CB254="","",(2+IF(N($Q254)&gt;0,IF($R254="LR",2,1),0)))</f>
        <v/>
      </c>
      <c r="CE254" s="84">
        <f>IF(N($BJ254)=0,"",IF(OR($AL254="",$AL254="FLUSH"),"FLUSH",IFERROR(LEFT($AL254,FIND("-",$AL254)-1),LEFT($AL254,2))))</f>
        <v/>
      </c>
      <c r="CF254" s="84">
        <f>IF($CE254="","",IFERROR(VALUE(MID($AL254,FIND("-",$AL254)+1,FIND(CHAR(34)&amp;"x",$AL254)-FIND("-",$AL254)-1)),0))</f>
        <v/>
      </c>
      <c r="CG254" s="84">
        <f>IF($CE254="","",IFERROR(VALUE(MID($AL254,FIND(CHAR(34)&amp;"x",$AL254)+2,FIND(CHAR(34),$AL254,FIND(CHAR(34)&amp;"x",$AL254)+2)-FIND(CHAR(34)&amp;"x",$AL254)-2)),0))</f>
        <v/>
      </c>
      <c r="CH254" s="90">
        <f>IF(OR($A254="",$H254="",$H254="NO LAB"),0,IFERROR(VALUE(LEFT($H254,FIND(" ",$H254)-1)),0))</f>
        <v/>
      </c>
      <c r="CI254" s="91">
        <f>IF(OR($A254="",$I254="",$I254="NON-RATED",N($J254)=0),"",IFERROR(VLOOKUP($I254&amp;"|"&amp;$J254,IBC,2,FALSE),"?"))</f>
        <v/>
      </c>
      <c r="CJ254" s="85">
        <f>IF(NOT(AND($A254&lt;&gt;"",$C254&lt;&gt;"DOOR ONLY")),"",TRIM(IFERROR(VLOOKUP($U254,CODES,2,FALSE),"")&amp;" "&amp;$BG254&amp;" "&amp;IFERROR(VLOOKUP($Z254,CODES,2,FALSE),"")&amp;" "&amp;IFERROR(VLOOKUP($X254,CODES,2,FALSE),"")&amp;" "&amp;IFERROR(VLOOKUP($S254,CODES,2,FALSE),"")&amp;IF(N($P254)&gt;0," w/TRANSOM "&amp;$P254&amp;CHAR(34),"")&amp;IF(N($Q254)&gt;0," w/SIDELITE "&amp;$Q254&amp;CHAR(34)&amp;" "&amp;IF($R254="","R",$R254),"")&amp;IF($Y254="","  |  "," | "&amp;IFERROR(VLOOKUP($Y254,CODES,2,FALSE),"")&amp;" | ")&amp;IFERROR(VLOOKUP($AC254,CODES,2,FALSE),"")&amp;" "&amp;IFERROR(VLOOKUP($AD254,CODES,2,FALSE),"")&amp;IF(OR($AE254="",$AE254="-"),""," "&amp;$AE254)&amp;IF(OR($AF254="",$AF254="-"),""," "&amp;$AF254)&amp;IF($AB254="Y"," 4"&amp;CHAR(34)&amp;" HEAD","")&amp;" "&amp;IFERROR(VLOOKUP($H254,CODES,2,FALSE),"")&amp;IF($CT254," | LOC "&amp;$CY254,"")))</f>
        <v/>
      </c>
      <c r="CK254" s="85">
        <f>IF(NOT(AND($A254&lt;&gt;"",N($BJ254)&gt;0)),"",TRIM(IFERROR(VLOOKUP($AH254,CODES,2,FALSE),"")&amp;IF($AI254=""," "," "&amp;$AI254&amp;"GA ")&amp;$BG254&amp;" "&amp;IF($AN254="",IFERROR(VLOOKUP($Z254,CODES,2,FALSE),""),IFERROR(VLOOKUP($AN254,CODES,2,FALSE),""))&amp;IF($BJ254=2," PAIR","")&amp;" DOOR | "&amp;IF($AL254="","?",$AL254)&amp;" | "&amp;IF($AO254="",IFERROR(VLOOKUP($AC254,CODES,2,FALSE),""),IFERROR(VLOOKUP($AO254,CODES,2,FALSE),""))&amp;" "&amp;IFERROR(VLOOKUP($AP254,CODES,2,FALSE),"")&amp;IF(OR($AQ254="",$AQ254="-"),""," SEAM "&amp;$AQ254)&amp;IF($AR254="Y"," ASTRAGAL","")&amp;IF($AJ254=""," "," "&amp;$AJ254)&amp;IF($AK254=""," "," "&amp;$AK254)&amp;IF(OR($AT254="",$AT254="ANSI/SDI",$AT254="CUSTOM LOC"),""," "&amp;$AT254)&amp;IF($AM254=""," "," SERIES "&amp;$AM254)&amp;" "&amp;IFERROR(VLOOKUP($H254,CODES,2,FALSE),"")&amp;IF($CT254," | LOC "&amp;$CZ254,"")))</f>
        <v/>
      </c>
      <c r="CL254" s="84">
        <f>IF(CP254="","",IF(COUNTIF($CP$6:CP254,CP254)=1,MAX($CL$5:CL253)+1,INDEX($CL$5:CL253,MATCH(CP254,$CP$5:CP253,0))))</f>
        <v/>
      </c>
      <c r="CM254" s="84">
        <f>IF(NOT(AND($A254&lt;&gt;"",$C254&lt;&gt;"DOOR ONLY")),"",MAX($CM$5:CM253)+1)</f>
        <v/>
      </c>
      <c r="CN254" s="84">
        <f>IF(NOT(AND($A254&lt;&gt;"",N($BJ254)&gt;0)),"",MAX($CN$5:CN253)+1)</f>
        <v/>
      </c>
      <c r="CO254" s="84">
        <f>IF($A254="","",MAX($CO$5:CO253)+1)</f>
        <v/>
      </c>
      <c r="CP254" s="84">
        <f>IF(OR($A254="",$BH254="",$BI254=""),"",$BG254&amp;"|"&amp;$O254&amp;"|"&amp;$AL254&amp;"|"&amp;$S254&amp;"|"&amp;$P254&amp;"|"&amp;$Q254&amp;$R254&amp;"|"&amp;$C254&amp;"|"&amp;$AB254)</f>
        <v/>
      </c>
      <c r="CQ254" s="84">
        <f>N($BS254)</f>
        <v/>
      </c>
      <c r="CR254" s="84">
        <f>IF(N($AU254)&gt;0,N($AU254),4.5)</f>
        <v/>
      </c>
      <c r="CS254" s="84">
        <f>OR($A254="",$BI254="",$S254="BL",AND($C254="FRAME ONLY",OR($AC254="",$AC254="BLK")))</f>
        <v/>
      </c>
      <c r="CT254" s="84">
        <f>AND(NOT($CS254),OR($AT254="CUSTOM LOC",N($AW254)+N($AX254)+N($AY254)+N($AZ254)+N($BA254)&gt;0))</f>
        <v/>
      </c>
      <c r="CU254" s="84">
        <f>IF($BI254="","",IF($BI254&lt;=80,80,IF($BI254&lt;=84,84,96)))</f>
        <v/>
      </c>
      <c r="CV254" s="84">
        <f>ISNUMBER(MATCH($AT254&amp;"|80",LocKeys,0))</f>
        <v/>
      </c>
      <c r="CW254" s="86">
        <f>IF($CS254,"",IF($CV254,VLOOKUP($AT254&amp;"|"&amp;$CU254,LocTable,4,FALSE),5))</f>
        <v/>
      </c>
      <c r="CX254" s="86">
        <f>IF($CS254,"",IF($CV254,IF(OR($BI254=$CU254,AND($BI254&lt;$CU254,$BI254-IF(N(VLOOKUP($AT254&amp;"|"&amp;$CU254,LocTable,7,FALSE))&gt;0,VLOOKUP($AT254&amp;"|"&amp;$CU254,LocTable,7,FALSE),VLOOKUP($AT254&amp;"|"&amp;$CU254,LocTable,6,FALSE))-$CR254-0.75&gt;=2.125)),IF(N(VLOOKUP($AT254&amp;"|"&amp;$CU254,LocTable,7,FALSE))&gt;0,VLOOKUP($AT254&amp;"|"&amp;$CU254,LocTable,7,FALSE),VLOOKUP($AT254&amp;"|"&amp;$CU254,LocTable,6,FALSE)),$BI254-($CU254-IF(N(VLOOKUP($AT254&amp;"|"&amp;$CU254,LocTable,7,FALSE))&gt;0,VLOOKUP($AT254&amp;"|"&amp;$CU254,LocTable,7,FALSE),VLOOKUP($AT254&amp;"|"&amp;$CU254,LocTable,6,FALSE)))),$BI254-10-$CR254))</f>
        <v/>
      </c>
      <c r="CY254" s="85">
        <f>IF($CS254,"",TRIM(IF(ISNUMBER($BU254),"A "&amp;TRIM(TEXT($BU254,"# ?/??"))&amp;CHAR(34)&amp;"  ","")&amp;IF(ISNUMBER($BV254),"B "&amp;TRIM(TEXT($BV254,"# ?/??"))&amp;CHAR(34)&amp;"  ","")&amp;IF(ISNUMBER($BW254),"C "&amp;TRIM(TEXT($BW254,"# ?/??"))&amp;CHAR(34)&amp;"  ","")&amp;IF(ISNUMBER($BX254),"D "&amp;TRIM(TEXT($BX254,"# ?/??"))&amp;CHAR(34)&amp;"  ","")&amp;IF(ISNUMBER($BY254),"F "&amp;TRIM(TEXT($BY254,"# ?/??"))&amp;CHAR(34)&amp;"  ","")&amp;IF(ISNUMBER($BZ254),"E "&amp;TRIM(TEXT($BZ254,"# ?/??"))&amp;CHAR(34)&amp;"  ","")))</f>
        <v/>
      </c>
      <c r="CZ254" s="85">
        <f>IF(OR($CS254,N($BJ254)=0),"",TRIM(IF(ISNUMBER($BU254),"A "&amp;TRIM(TEXT($BU254-HeadClr,"# ?/??"))&amp;CHAR(34)&amp;"  ","")&amp;IF(ISNUMBER($BV254),"B "&amp;TRIM(TEXT($BV254-HeadClr,"# ?/??"))&amp;CHAR(34)&amp;"  ","")&amp;IF(ISNUMBER($BW254),"C "&amp;TRIM(TEXT($BW254-HeadClr,"# ?/??"))&amp;CHAR(34)&amp;"  ","")&amp;IF(ISNUMBER($BX254),"D "&amp;TRIM(TEXT($BX254-HeadClr,"# ?/??"))&amp;CHAR(34)&amp;"  ","")&amp;IF(ISNUMBER($BY254),"F "&amp;TRIM(TEXT($BY254-HeadClr,"# ?/??"))&amp;CHAR(34)&amp;"  ","")&amp;IF(ISNUMBER($BZ254),"E "&amp;TRIM(TEXT($BZ254-HeadClr,"# ?/??"))&amp;CHAR(34)&amp;"  ","")))</f>
        <v/>
      </c>
      <c r="DA254" s="84">
        <f>IF($A254="","",IF($AN254="",IFERROR(VLOOKUP($Z254,CODES,2,FALSE),""),IFERROR(VLOOKUP($AN254,CODES,2,FALSE),"")))</f>
        <v/>
      </c>
      <c r="DB254" s="84">
        <f>IF($A254="","",IF($O254="Y","PR",IF(OR($Z254="L",$Z254="RR",LEFT($Z254,2)="L-",LEFT($Z254,3)="RR-"),"LH","RH")))</f>
        <v/>
      </c>
      <c r="DC254" s="84">
        <f>IF($A254="","","S.HM"&amp;IF(OR($C254="DOOR ONLY",$X254&lt;&gt;"KD"),"MASONRY","DRYWALL")&amp;IF($C254="DOOR ONLY","",$U254)&amp;IF(AND($C254&lt;&gt;"FRAME ONLY",OR(LEFT($AH254,3)="OAK",LEFT($AH254,3)="BIR",LEFT($AH254,3)="MAP",$AH254="PC",$AH254="MC",$AH254="SCLC",$AH254="P-LAM")),"WD","HM")&amp;"1.75")</f>
        <v/>
      </c>
      <c r="DD254" s="84">
        <f>IF($CJ254="","",IF($O254="Y",$CJ254,SUBSTITUTE($CJ254,$BG254&amp;" "&amp;IFERROR(VLOOKUP($Z254,CODES,2,FALSE),"")&amp;" ",$BG254&amp;" ")))</f>
        <v/>
      </c>
      <c r="DE254" s="84">
        <f>IF($CK254="","",IF($O254="Y",$CK254,SUBSTITUTE($CK254,$BG254&amp;" "&amp;IF($AN254="",IFERROR(VLOOKUP($Z254,CODES,2,FALSE),""),IFERROR(VLOOKUP($AN254,CODES,2,FALSE),""))&amp;" ",$BG254&amp;" ")))</f>
        <v/>
      </c>
      <c r="DF254" s="84">
        <f>IF($CJ254="","",$DC254&amp;"|"&amp;$DD254&amp;"|"&amp;$DB254&amp;"|"&amp;$AT254&amp;"|"&amp;$V254&amp;"|"&amp;$Y254&amp;"|"&amp;$AB254)</f>
        <v/>
      </c>
      <c r="DG254" s="84">
        <f>IF(DF254="","",IF(COUNTIF($DF$6:DF254,DF254)=1,MAX($DG$5:DG253)+1,INDEX($DG$5:DG253,MATCH(DF254,$DF$5:DF253,0))))</f>
        <v/>
      </c>
      <c r="DH254" s="84">
        <f>IF($CK254="","",$DC254&amp;"|"&amp;$DE254&amp;"|"&amp;$AI254&amp;"|"&amp;$BK254&amp;"|"&amp;$BL254)</f>
        <v/>
      </c>
      <c r="DI254" s="84">
        <f>IF(DH254="","",IF(COUNTIF($DH$6:DH254,DH254)=1,MAX($DI$5:DI253)+1,INDEX($DI$5:DI253,MATCH(DH254,$DH$5:DH253,0))))</f>
        <v/>
      </c>
      <c r="DJ254" s="84">
        <f>IF($A254="","",IF($B254="","qty, ","")&amp;IF($C254="","scope, ","")&amp;IF(OR($K254="",$M254=""),"size, ","")&amp;IF(AND($A254&lt;&gt;"",$C254&lt;&gt;"DOOR ONLY"),IF($U254="","jamb depth, ","")&amp;IF($X254="","construction, ","")&amp;IF($Y254="","anchor, ","")&amp;IF($S254="","frame type, ",""),"")&amp;IF(AND(N($BJ254)&gt;0,$Z254=""),"hand, ","")&amp;IF(N($BJ254)&gt;0,IF($AH254="","door material, ","")&amp;IF($AL254="","face type, ","")&amp;IF($AP254="","lock prep, ","")&amp;IF(AND($AO254="",$AC254=""),"hinge prep, ",""),"")&amp;IF(AND($CH254&gt;0,$AH254="FRP"),"FRP cannot carry a label, ","")&amp;IF(AND($O254="Y",OR($Z254="L",$Z254="R",$Z254="LR",$Z254="RR")),"pair marked but hand is single, ","")&amp;IF(AND($O254&lt;&gt;"Y",OR($Z254="PR",AND(LEN($Z254)&gt;1,ISNUMBER(SEARCH("-",$Z254))))),"pair hand on a single door, ","")&amp;IF(AND(ISNUMBER($CI254),$CH254&lt;N($CI254)),"wall needs a "&amp;$CI254&amp;" min door, ","")&amp;IF(AND($CH254&gt;=180,AND(OR($CE254="FG",$CE254="HG",$CE254="FNV",$CE254="FV"),N($CF254)*N($CG254)&gt;100)),"180 min lite over 100 sq in, ","")&amp;IF(N($BK254)&gt;48,"leaf wider than 4'-0"&amp;CHAR(34)&amp;", ","")&amp;IF(AND($CT254,COUNT($AW254:$AZ254)=0,$CQ254&gt;0),"CUSTOM LOC with no locations typed, ",""))</f>
        <v/>
      </c>
      <c r="DK254" s="84">
        <f>IF($A254="","",IF(AND($CH254&gt;0,AND($A254&lt;&gt;"",$C254&lt;&gt;"DOOR ONLY"),$X254="KD",$E254="EXTERIOR"),"KD label on an exterior opening, ","")&amp;IF(AND($E254="EXTERIOR",OR(AND(AND($A254&lt;&gt;"",$C254&lt;&gt;"DOOR ONLY"),$W254="CR"),AND(N($BJ254)&gt;0,$AH254="CR"))),"exterior in CR steel (G9?), ","")&amp;IF(AND(ISNUMBER($BQ254),N($BQ254)&lt;32),"clear width ~"&amp;TEXT($BQ254,"0.0")&amp;CHAR(34)&amp;" under 32"&amp;CHAR(34)&amp;" (ADA), ","")&amp;IF(AND($CH254=90,AND(OR($CE254="FG",$CE254="HG",$CE254="FNV",$CE254="FV"),N($CF254)*N($CG254)&gt;100)),"90 min lite over 100 sq in (stair/exit), ","")&amp;IF(AND($CH254&gt;0,AND($A254&lt;&gt;"",$C254&lt;&gt;"DOOR ONLY"),OR($AF254="",$AF254="-")),"rated: closer reinf.?, ","")&amp;IF(OR($I254="CORRIDOR",$I254="SMOKE BARRIER"),"S label + smoke gasketing, ","")&amp;IF($CI254="?","wall type/hr not in IBC table, ","")&amp;IF(AND(N($BJ254)&gt;0,$BB254=""),"no hardware set, ","")&amp;IF(AND($BB254&lt;&gt;"",ISNA(MATCH($BB254&amp;"",HWSets,0))),"set "&amp;$BB254&amp;" not on HW Sets, ","")&amp;IF(N($BL254)&gt;96,"leaf over 8'-0"&amp;CHAR(34)&amp;" - check listing, ","")&amp;IF(AND($CT254,COUNT($AW254:$AZ254)&gt;0,COUNT($AW254:$AZ254)&lt;&gt;$CQ254),COUNT($AW254:$AZ254)&amp;" custom hinges typed, "&amp;$CQ254&amp;" expected, ","")&amp;IF(AND(ISNUMBER($CA254),OR(N($CA254)&lt;34,N($CA254)&gt;48)),"lock "&amp;TEXT($CA254,"0.0")&amp;CHAR(34)&amp;" AFF outside 34-48"&amp;CHAR(34)&amp;" (ADA), ","")&amp;IF(AND(ISNUMBER($AV254),ISNUMBER($BL254),N($AV254)&lt;IF(N($BL254)&lt;=60,2,IF(N($BL254)&lt;=90,3,IF(N($BL254)&lt;=120,4,5)))),"fewer hinges than standard, ",""))</f>
        <v/>
      </c>
    </row>
    <row r="255" ht="15" customHeight="1">
      <c r="A255" s="92" t="n"/>
      <c r="B255" s="93" t="n"/>
      <c r="C255" s="93" t="n"/>
      <c r="D255" s="93" t="n"/>
      <c r="E255" s="93" t="n"/>
      <c r="F255" s="93" t="n"/>
      <c r="G255" s="93" t="n"/>
      <c r="H255" s="93" t="n"/>
      <c r="I255" s="93" t="n"/>
      <c r="J255" s="93" t="n"/>
      <c r="K255" s="93" t="n"/>
      <c r="L255" s="93" t="n"/>
      <c r="M255" s="93" t="n"/>
      <c r="N255" s="93" t="n"/>
      <c r="O255" s="93" t="n"/>
      <c r="P255" s="93" t="n"/>
      <c r="Q255" s="93" t="n"/>
      <c r="R255" s="93" t="n"/>
      <c r="S255" s="94" t="n"/>
      <c r="T255" s="94" t="n"/>
      <c r="U255" s="94" t="n"/>
      <c r="V255" s="94" t="n"/>
      <c r="W255" s="94" t="n"/>
      <c r="X255" s="94" t="n"/>
      <c r="Y255" s="94" t="n"/>
      <c r="Z255" s="94" t="n"/>
      <c r="AA255" s="94" t="n"/>
      <c r="AB255" s="94" t="n"/>
      <c r="AC255" s="94" t="n"/>
      <c r="AD255" s="94" t="n"/>
      <c r="AE255" s="94" t="n"/>
      <c r="AF255" s="94" t="n"/>
      <c r="AG255" s="94" t="n"/>
      <c r="AH255" s="95" t="n"/>
      <c r="AI255" s="95" t="n"/>
      <c r="AJ255" s="95" t="n"/>
      <c r="AK255" s="95" t="n"/>
      <c r="AL255" s="95" t="n"/>
      <c r="AM255" s="95" t="n"/>
      <c r="AN255" s="95" t="n"/>
      <c r="AO255" s="95" t="n"/>
      <c r="AP255" s="95" t="n"/>
      <c r="AQ255" s="95" t="n"/>
      <c r="AR255" s="95" t="n"/>
      <c r="AS255" s="95" t="n"/>
      <c r="AT255" s="96" t="n"/>
      <c r="AU255" s="96" t="n"/>
      <c r="AV255" s="96" t="n"/>
      <c r="AW255" s="97" t="n"/>
      <c r="AX255" s="97" t="n"/>
      <c r="AY255" s="97" t="n"/>
      <c r="AZ255" s="97" t="n"/>
      <c r="BA255" s="97" t="n"/>
      <c r="BB255" s="98" t="n"/>
      <c r="BC255" s="98" t="n"/>
      <c r="BD255" s="99">
        <f>IF($A255="","",IF($DJ255&lt;&gt;"","FIX",IF($DK255&lt;&gt;"","CHECK","OK")))</f>
        <v/>
      </c>
      <c r="BE255" s="100">
        <f>IF($A255="","",IF($DJ255&lt;&gt;"","FIX: "&amp;LEFT($DJ255,LEN($DJ255)-2)&amp;IF($DK255&lt;&gt;"","  ·  ",""),"")&amp;IF($DK255&lt;&gt;"","CHECK: "&amp;LEFT($DK255,LEN($DK255)-2),""))</f>
        <v/>
      </c>
      <c r="BF255" s="99">
        <f>IF(OR($A255="",$K255=""),"",$K255&amp;"'-"&amp;N($L255)&amp;CHAR(34)&amp;" x "&amp;$M255&amp;"'-"&amp;N($N255)&amp;CHAR(34))</f>
        <v/>
      </c>
      <c r="BG255" s="99">
        <f>IF(OR($A255="",$K255=""),"",$K255&amp;N($L255)&amp;$M255&amp;N($N255))</f>
        <v/>
      </c>
      <c r="BH255" s="99">
        <f>IF(OR($A255="",$K255=""),"",$K255*12+N($L255))</f>
        <v/>
      </c>
      <c r="BI255" s="99">
        <f>IF(OR($A255="",$M255=""),"",$M255*12+N($N255))</f>
        <v/>
      </c>
      <c r="BJ255" s="99">
        <f>IF($A255="","",IF(OR($C255="FRAME ONLY",$S255="BL"),0,IF($O255="Y",2,1)))</f>
        <v/>
      </c>
      <c r="BK255" s="101">
        <f>IF(OR(N($BJ255)=0,$BH255=""),"",($BH255-2*EdgeClr-IF($BJ255=2,MeetClr,0))/$BJ255)</f>
        <v/>
      </c>
      <c r="BL255" s="101">
        <f>IF(OR(N($BJ255)=0,$BI255=""),"",$BI255-HeadClr-Undercut)</f>
        <v/>
      </c>
      <c r="BM255" s="101">
        <f>IF($BH255="","",$BH255+2*FaceW+IF(N($Q255)&gt;0,($Q255+FaceW)*IF($R255="LR",2,1),0))</f>
        <v/>
      </c>
      <c r="BN255" s="101">
        <f>IF($BI255="","",$BI255+IF($AB255="Y",4,FaceW)+IF(N($P255)&gt;0,$P255+FaceW,0)+IF(OR($S255="4F",$S255="BL"),FaceW,0))</f>
        <v/>
      </c>
      <c r="BO255" s="101">
        <f>IF($BM255="","",$BM255+2*ROSide)</f>
        <v/>
      </c>
      <c r="BP255" s="101">
        <f>IF($BN255="","",$BN255+ROTop)</f>
        <v/>
      </c>
      <c r="BQ255" s="102">
        <f>IF(OR(N($BJ255)=0,$BH255=""),"",$BH255/$BJ255-ClearDeduct)</f>
        <v/>
      </c>
      <c r="BR255" s="99">
        <f>IF(N($CH255)=0,"",IF($CH255&gt;=180,"A · 3 HR",IF($CH255&gt;=90,"B · 1-1/2 HR",IF($CH255&gt;=60,"B · 1 HR",IF($CH255&gt;=45,"C · 3/4 HR","20 MIN")))))&amp;IF(AND(N($CH255)&gt;0,OR($I255="CORRIDOR",$I255="SMOKE BARRIER"))," · S","")</f>
        <v/>
      </c>
      <c r="BS255" s="99">
        <f>IF($CS255,"",IF($AV255&lt;&gt;"",$AV255,IF(OR($AC255="HGC",$AO255="HGC"),"CONT",IF(($BI255-HeadClr-Undercut)&lt;=60,2,IF(($BI255-HeadClr-Undercut)&lt;=90,3,IF(($BI255-HeadClr-Undercut)&lt;=120,4,5))))))</f>
        <v/>
      </c>
      <c r="BT255" s="99">
        <f>IF($CS255,"",IF($CT255,"CUSTOM (typed)",IF($CV255,$AT255&amp;" "&amp;$CU255&amp;CHAR(34)&amp;IF($CU255&lt;&gt;$BI255,IF(AND($BI255&lt;$CU255,$BI255-IF(N(VLOOKUP($AT255&amp;"|"&amp;$CU255,LocTable,7,FALSE))&gt;0,VLOOKUP($AT255&amp;"|"&amp;$CU255,LocTable,7,FALSE),VLOOKUP($AT255&amp;"|"&amp;$CU255,LocTable,6,FALSE))-$CR255-0.75&gt;=2.125)," cut down"," adj."),""),"ANSI/SDI A250.6")))</f>
        <v/>
      </c>
      <c r="BU255" s="103">
        <f>IF($CS255,"",IF($CT255,IF(N($AW255)&gt;0,N($AW255),""),IF(1&gt;$CQ255,"",IF($CQ255=1,$CW255,$CW255+($CX255-$CW255)*0/($CQ255-1)))))</f>
        <v/>
      </c>
      <c r="BV255" s="103">
        <f>IF($CS255,"",IF($CT255,IF(N($AX255)&gt;0,N($AX255),""),IF(2&gt;$CQ255,"",IF($CQ255=1,$CW255,$CW255+($CX255-$CW255)*1/($CQ255-1)))))</f>
        <v/>
      </c>
      <c r="BW255" s="103">
        <f>IF($CS255,"",IF($CT255,IF(N($AY255)&gt;0,N($AY255),""),IF(3&gt;$CQ255,"",IF($CQ255=1,$CW255,$CW255+($CX255-$CW255)*2/($CQ255-1)))))</f>
        <v/>
      </c>
      <c r="BX255" s="103">
        <f>IF($CS255,"",IF($CT255,IF(N($AZ255)&gt;0,N($AZ255),""),IF(4&gt;$CQ255,"",IF($CQ255=1,$CW255,$CW255+($CX255-$CW255)*3/($CQ255-1)))))</f>
        <v/>
      </c>
      <c r="BY255" s="103">
        <f>IF($CS255,"",IF($CT255,"",IF(5&gt;$CQ255,"",IF($CQ255=1,$CW255,$CW255+($CX255-$CW255)*4/($CQ255-1)))))</f>
        <v/>
      </c>
      <c r="BZ255" s="103">
        <f>IF(OR($CS255,$AP255="-",AND($AP255="",$AD255="")),"",IF(N($BA255)&gt;0,N($BA255),IF($CV255,IF(AND($BI255&lt;$CU255,$BI255-IF(N(VLOOKUP($AT255&amp;"|"&amp;$CU255,LocTable,7,FALSE))&gt;0,VLOOKUP($AT255&amp;"|"&amp;$CU255,LocTable,7,FALSE),VLOOKUP($AT255&amp;"|"&amp;$CU255,LocTable,6,FALSE))-$CR255-0.75&gt;=2.125),VLOOKUP($AT255&amp;"|"&amp;$CU255,LocTable,8,FALSE),VLOOKUP($AT255&amp;"|"&amp;$CU255,LocTable,8,FALSE)+($BI255-$CU255)),$BI255-LockAFF)))</f>
        <v/>
      </c>
      <c r="CA255" s="104">
        <f>IF($BZ255="","",$BI255-$BZ255)</f>
        <v/>
      </c>
      <c r="CB255" s="99">
        <f>IF(OR(NOT(AND($A255&lt;&gt;"",$C255&lt;&gt;"DOOR ONLY")),$BI255=""),"",IF(($BI255+IF(N($P255)&gt;0,$P255+FaceW,0))&lt;=90,3,IF(($BI255+IF(N($P255)&gt;0,$P255+FaceW,0))&lt;=114,4,5)))</f>
        <v/>
      </c>
      <c r="CC255" s="99">
        <f>IF($CB255="","",$CB255*(2+IF(N($Q255)&gt;0,IF($R255="LR",2,1),0)))</f>
        <v/>
      </c>
      <c r="CD255" s="99">
        <f>IF($CB255="","",(2+IF(N($Q255)&gt;0,IF($R255="LR",2,1),0)))</f>
        <v/>
      </c>
      <c r="CE255" s="99">
        <f>IF(N($BJ255)=0,"",IF(OR($AL255="",$AL255="FLUSH"),"FLUSH",IFERROR(LEFT($AL255,FIND("-",$AL255)-1),LEFT($AL255,2))))</f>
        <v/>
      </c>
      <c r="CF255" s="99">
        <f>IF($CE255="","",IFERROR(VALUE(MID($AL255,FIND("-",$AL255)+1,FIND(CHAR(34)&amp;"x",$AL255)-FIND("-",$AL255)-1)),0))</f>
        <v/>
      </c>
      <c r="CG255" s="99">
        <f>IF($CE255="","",IFERROR(VALUE(MID($AL255,FIND(CHAR(34)&amp;"x",$AL255)+2,FIND(CHAR(34),$AL255,FIND(CHAR(34)&amp;"x",$AL255)+2)-FIND(CHAR(34)&amp;"x",$AL255)-2)),0))</f>
        <v/>
      </c>
      <c r="CH255" s="105">
        <f>IF(OR($A255="",$H255="",$H255="NO LAB"),0,IFERROR(VALUE(LEFT($H255,FIND(" ",$H255)-1)),0))</f>
        <v/>
      </c>
      <c r="CI255" s="106">
        <f>IF(OR($A255="",$I255="",$I255="NON-RATED",N($J255)=0),"",IFERROR(VLOOKUP($I255&amp;"|"&amp;$J255,IBC,2,FALSE),"?"))</f>
        <v/>
      </c>
      <c r="CJ255" s="100">
        <f>IF(NOT(AND($A255&lt;&gt;"",$C255&lt;&gt;"DOOR ONLY")),"",TRIM(IFERROR(VLOOKUP($U255,CODES,2,FALSE),"")&amp;" "&amp;$BG255&amp;" "&amp;IFERROR(VLOOKUP($Z255,CODES,2,FALSE),"")&amp;" "&amp;IFERROR(VLOOKUP($X255,CODES,2,FALSE),"")&amp;" "&amp;IFERROR(VLOOKUP($S255,CODES,2,FALSE),"")&amp;IF(N($P255)&gt;0," w/TRANSOM "&amp;$P255&amp;CHAR(34),"")&amp;IF(N($Q255)&gt;0," w/SIDELITE "&amp;$Q255&amp;CHAR(34)&amp;" "&amp;IF($R255="","R",$R255),"")&amp;IF($Y255="","  |  "," | "&amp;IFERROR(VLOOKUP($Y255,CODES,2,FALSE),"")&amp;" | ")&amp;IFERROR(VLOOKUP($AC255,CODES,2,FALSE),"")&amp;" "&amp;IFERROR(VLOOKUP($AD255,CODES,2,FALSE),"")&amp;IF(OR($AE255="",$AE255="-"),""," "&amp;$AE255)&amp;IF(OR($AF255="",$AF255="-"),""," "&amp;$AF255)&amp;IF($AB255="Y"," 4"&amp;CHAR(34)&amp;" HEAD","")&amp;" "&amp;IFERROR(VLOOKUP($H255,CODES,2,FALSE),"")&amp;IF($CT255," | LOC "&amp;$CY255,"")))</f>
        <v/>
      </c>
      <c r="CK255" s="100">
        <f>IF(NOT(AND($A255&lt;&gt;"",N($BJ255)&gt;0)),"",TRIM(IFERROR(VLOOKUP($AH255,CODES,2,FALSE),"")&amp;IF($AI255=""," "," "&amp;$AI255&amp;"GA ")&amp;$BG255&amp;" "&amp;IF($AN255="",IFERROR(VLOOKUP($Z255,CODES,2,FALSE),""),IFERROR(VLOOKUP($AN255,CODES,2,FALSE),""))&amp;IF($BJ255=2," PAIR","")&amp;" DOOR | "&amp;IF($AL255="","?",$AL255)&amp;" | "&amp;IF($AO255="",IFERROR(VLOOKUP($AC255,CODES,2,FALSE),""),IFERROR(VLOOKUP($AO255,CODES,2,FALSE),""))&amp;" "&amp;IFERROR(VLOOKUP($AP255,CODES,2,FALSE),"")&amp;IF(OR($AQ255="",$AQ255="-"),""," SEAM "&amp;$AQ255)&amp;IF($AR255="Y"," ASTRAGAL","")&amp;IF($AJ255=""," "," "&amp;$AJ255)&amp;IF($AK255=""," "," "&amp;$AK255)&amp;IF(OR($AT255="",$AT255="ANSI/SDI",$AT255="CUSTOM LOC"),""," "&amp;$AT255)&amp;IF($AM255=""," "," SERIES "&amp;$AM255)&amp;" "&amp;IFERROR(VLOOKUP($H255,CODES,2,FALSE),"")&amp;IF($CT255," | LOC "&amp;$CZ255,"")))</f>
        <v/>
      </c>
      <c r="CL255" s="99">
        <f>IF(CP255="","",IF(COUNTIF($CP$6:CP255,CP255)=1,MAX($CL$5:CL254)+1,INDEX($CL$5:CL254,MATCH(CP255,$CP$5:CP254,0))))</f>
        <v/>
      </c>
      <c r="CM255" s="99">
        <f>IF(NOT(AND($A255&lt;&gt;"",$C255&lt;&gt;"DOOR ONLY")),"",MAX($CM$5:CM254)+1)</f>
        <v/>
      </c>
      <c r="CN255" s="99">
        <f>IF(NOT(AND($A255&lt;&gt;"",N($BJ255)&gt;0)),"",MAX($CN$5:CN254)+1)</f>
        <v/>
      </c>
      <c r="CO255" s="99">
        <f>IF($A255="","",MAX($CO$5:CO254)+1)</f>
        <v/>
      </c>
      <c r="CP255" s="99">
        <f>IF(OR($A255="",$BH255="",$BI255=""),"",$BG255&amp;"|"&amp;$O255&amp;"|"&amp;$AL255&amp;"|"&amp;$S255&amp;"|"&amp;$P255&amp;"|"&amp;$Q255&amp;$R255&amp;"|"&amp;$C255&amp;"|"&amp;$AB255)</f>
        <v/>
      </c>
      <c r="CQ255" s="99">
        <f>N($BS255)</f>
        <v/>
      </c>
      <c r="CR255" s="99">
        <f>IF(N($AU255)&gt;0,N($AU255),4.5)</f>
        <v/>
      </c>
      <c r="CS255" s="99">
        <f>OR($A255="",$BI255="",$S255="BL",AND($C255="FRAME ONLY",OR($AC255="",$AC255="BLK")))</f>
        <v/>
      </c>
      <c r="CT255" s="99">
        <f>AND(NOT($CS255),OR($AT255="CUSTOM LOC",N($AW255)+N($AX255)+N($AY255)+N($AZ255)+N($BA255)&gt;0))</f>
        <v/>
      </c>
      <c r="CU255" s="99">
        <f>IF($BI255="","",IF($BI255&lt;=80,80,IF($BI255&lt;=84,84,96)))</f>
        <v/>
      </c>
      <c r="CV255" s="99">
        <f>ISNUMBER(MATCH($AT255&amp;"|80",LocKeys,0))</f>
        <v/>
      </c>
      <c r="CW255" s="101">
        <f>IF($CS255,"",IF($CV255,VLOOKUP($AT255&amp;"|"&amp;$CU255,LocTable,4,FALSE),5))</f>
        <v/>
      </c>
      <c r="CX255" s="101">
        <f>IF($CS255,"",IF($CV255,IF(OR($BI255=$CU255,AND($BI255&lt;$CU255,$BI255-IF(N(VLOOKUP($AT255&amp;"|"&amp;$CU255,LocTable,7,FALSE))&gt;0,VLOOKUP($AT255&amp;"|"&amp;$CU255,LocTable,7,FALSE),VLOOKUP($AT255&amp;"|"&amp;$CU255,LocTable,6,FALSE))-$CR255-0.75&gt;=2.125)),IF(N(VLOOKUP($AT255&amp;"|"&amp;$CU255,LocTable,7,FALSE))&gt;0,VLOOKUP($AT255&amp;"|"&amp;$CU255,LocTable,7,FALSE),VLOOKUP($AT255&amp;"|"&amp;$CU255,LocTable,6,FALSE)),$BI255-($CU255-IF(N(VLOOKUP($AT255&amp;"|"&amp;$CU255,LocTable,7,FALSE))&gt;0,VLOOKUP($AT255&amp;"|"&amp;$CU255,LocTable,7,FALSE),VLOOKUP($AT255&amp;"|"&amp;$CU255,LocTable,6,FALSE)))),$BI255-10-$CR255))</f>
        <v/>
      </c>
      <c r="CY255" s="100">
        <f>IF($CS255,"",TRIM(IF(ISNUMBER($BU255),"A "&amp;TRIM(TEXT($BU255,"# ?/??"))&amp;CHAR(34)&amp;"  ","")&amp;IF(ISNUMBER($BV255),"B "&amp;TRIM(TEXT($BV255,"# ?/??"))&amp;CHAR(34)&amp;"  ","")&amp;IF(ISNUMBER($BW255),"C "&amp;TRIM(TEXT($BW255,"# ?/??"))&amp;CHAR(34)&amp;"  ","")&amp;IF(ISNUMBER($BX255),"D "&amp;TRIM(TEXT($BX255,"# ?/??"))&amp;CHAR(34)&amp;"  ","")&amp;IF(ISNUMBER($BY255),"F "&amp;TRIM(TEXT($BY255,"# ?/??"))&amp;CHAR(34)&amp;"  ","")&amp;IF(ISNUMBER($BZ255),"E "&amp;TRIM(TEXT($BZ255,"# ?/??"))&amp;CHAR(34)&amp;"  ","")))</f>
        <v/>
      </c>
      <c r="CZ255" s="100">
        <f>IF(OR($CS255,N($BJ255)=0),"",TRIM(IF(ISNUMBER($BU255),"A "&amp;TRIM(TEXT($BU255-HeadClr,"# ?/??"))&amp;CHAR(34)&amp;"  ","")&amp;IF(ISNUMBER($BV255),"B "&amp;TRIM(TEXT($BV255-HeadClr,"# ?/??"))&amp;CHAR(34)&amp;"  ","")&amp;IF(ISNUMBER($BW255),"C "&amp;TRIM(TEXT($BW255-HeadClr,"# ?/??"))&amp;CHAR(34)&amp;"  ","")&amp;IF(ISNUMBER($BX255),"D "&amp;TRIM(TEXT($BX255-HeadClr,"# ?/??"))&amp;CHAR(34)&amp;"  ","")&amp;IF(ISNUMBER($BY255),"F "&amp;TRIM(TEXT($BY255-HeadClr,"# ?/??"))&amp;CHAR(34)&amp;"  ","")&amp;IF(ISNUMBER($BZ255),"E "&amp;TRIM(TEXT($BZ255-HeadClr,"# ?/??"))&amp;CHAR(34)&amp;"  ","")))</f>
        <v/>
      </c>
      <c r="DA255" s="99">
        <f>IF($A255="","",IF($AN255="",IFERROR(VLOOKUP($Z255,CODES,2,FALSE),""),IFERROR(VLOOKUP($AN255,CODES,2,FALSE),"")))</f>
        <v/>
      </c>
      <c r="DB255" s="99">
        <f>IF($A255="","",IF($O255="Y","PR",IF(OR($Z255="L",$Z255="RR",LEFT($Z255,2)="L-",LEFT($Z255,3)="RR-"),"LH","RH")))</f>
        <v/>
      </c>
      <c r="DC255" s="99">
        <f>IF($A255="","","S.HM"&amp;IF(OR($C255="DOOR ONLY",$X255&lt;&gt;"KD"),"MASONRY","DRYWALL")&amp;IF($C255="DOOR ONLY","",$U255)&amp;IF(AND($C255&lt;&gt;"FRAME ONLY",OR(LEFT($AH255,3)="OAK",LEFT($AH255,3)="BIR",LEFT($AH255,3)="MAP",$AH255="PC",$AH255="MC",$AH255="SCLC",$AH255="P-LAM")),"WD","HM")&amp;"1.75")</f>
        <v/>
      </c>
      <c r="DD255" s="99">
        <f>IF($CJ255="","",IF($O255="Y",$CJ255,SUBSTITUTE($CJ255,$BG255&amp;" "&amp;IFERROR(VLOOKUP($Z255,CODES,2,FALSE),"")&amp;" ",$BG255&amp;" ")))</f>
        <v/>
      </c>
      <c r="DE255" s="99">
        <f>IF($CK255="","",IF($O255="Y",$CK255,SUBSTITUTE($CK255,$BG255&amp;" "&amp;IF($AN255="",IFERROR(VLOOKUP($Z255,CODES,2,FALSE),""),IFERROR(VLOOKUP($AN255,CODES,2,FALSE),""))&amp;" ",$BG255&amp;" ")))</f>
        <v/>
      </c>
      <c r="DF255" s="99">
        <f>IF($CJ255="","",$DC255&amp;"|"&amp;$DD255&amp;"|"&amp;$DB255&amp;"|"&amp;$AT255&amp;"|"&amp;$V255&amp;"|"&amp;$Y255&amp;"|"&amp;$AB255)</f>
        <v/>
      </c>
      <c r="DG255" s="99">
        <f>IF(DF255="","",IF(COUNTIF($DF$6:DF255,DF255)=1,MAX($DG$5:DG254)+1,INDEX($DG$5:DG254,MATCH(DF255,$DF$5:DF254,0))))</f>
        <v/>
      </c>
      <c r="DH255" s="99">
        <f>IF($CK255="","",$DC255&amp;"|"&amp;$DE255&amp;"|"&amp;$AI255&amp;"|"&amp;$BK255&amp;"|"&amp;$BL255)</f>
        <v/>
      </c>
      <c r="DI255" s="99">
        <f>IF(DH255="","",IF(COUNTIF($DH$6:DH255,DH255)=1,MAX($DI$5:DI254)+1,INDEX($DI$5:DI254,MATCH(DH255,$DH$5:DH254,0))))</f>
        <v/>
      </c>
      <c r="DJ255" s="99">
        <f>IF($A255="","",IF($B255="","qty, ","")&amp;IF($C255="","scope, ","")&amp;IF(OR($K255="",$M255=""),"size, ","")&amp;IF(AND($A255&lt;&gt;"",$C255&lt;&gt;"DOOR ONLY"),IF($U255="","jamb depth, ","")&amp;IF($X255="","construction, ","")&amp;IF($Y255="","anchor, ","")&amp;IF($S255="","frame type, ",""),"")&amp;IF(AND(N($BJ255)&gt;0,$Z255=""),"hand, ","")&amp;IF(N($BJ255)&gt;0,IF($AH255="","door material, ","")&amp;IF($AL255="","face type, ","")&amp;IF($AP255="","lock prep, ","")&amp;IF(AND($AO255="",$AC255=""),"hinge prep, ",""),"")&amp;IF(AND($CH255&gt;0,$AH255="FRP"),"FRP cannot carry a label, ","")&amp;IF(AND($O255="Y",OR($Z255="L",$Z255="R",$Z255="LR",$Z255="RR")),"pair marked but hand is single, ","")&amp;IF(AND($O255&lt;&gt;"Y",OR($Z255="PR",AND(LEN($Z255)&gt;1,ISNUMBER(SEARCH("-",$Z255))))),"pair hand on a single door, ","")&amp;IF(AND(ISNUMBER($CI255),$CH255&lt;N($CI255)),"wall needs a "&amp;$CI255&amp;" min door, ","")&amp;IF(AND($CH255&gt;=180,AND(OR($CE255="FG",$CE255="HG",$CE255="FNV",$CE255="FV"),N($CF255)*N($CG255)&gt;100)),"180 min lite over 100 sq in, ","")&amp;IF(N($BK255)&gt;48,"leaf wider than 4'-0"&amp;CHAR(34)&amp;", ","")&amp;IF(AND($CT255,COUNT($AW255:$AZ255)=0,$CQ255&gt;0),"CUSTOM LOC with no locations typed, ",""))</f>
        <v/>
      </c>
      <c r="DK255" s="99">
        <f>IF($A255="","",IF(AND($CH255&gt;0,AND($A255&lt;&gt;"",$C255&lt;&gt;"DOOR ONLY"),$X255="KD",$E255="EXTERIOR"),"KD label on an exterior opening, ","")&amp;IF(AND($E255="EXTERIOR",OR(AND(AND($A255&lt;&gt;"",$C255&lt;&gt;"DOOR ONLY"),$W255="CR"),AND(N($BJ255)&gt;0,$AH255="CR"))),"exterior in CR steel (G9?), ","")&amp;IF(AND(ISNUMBER($BQ255),N($BQ255)&lt;32),"clear width ~"&amp;TEXT($BQ255,"0.0")&amp;CHAR(34)&amp;" under 32"&amp;CHAR(34)&amp;" (ADA), ","")&amp;IF(AND($CH255=90,AND(OR($CE255="FG",$CE255="HG",$CE255="FNV",$CE255="FV"),N($CF255)*N($CG255)&gt;100)),"90 min lite over 100 sq in (stair/exit), ","")&amp;IF(AND($CH255&gt;0,AND($A255&lt;&gt;"",$C255&lt;&gt;"DOOR ONLY"),OR($AF255="",$AF255="-")),"rated: closer reinf.?, ","")&amp;IF(OR($I255="CORRIDOR",$I255="SMOKE BARRIER"),"S label + smoke gasketing, ","")&amp;IF($CI255="?","wall type/hr not in IBC table, ","")&amp;IF(AND(N($BJ255)&gt;0,$BB255=""),"no hardware set, ","")&amp;IF(AND($BB255&lt;&gt;"",ISNA(MATCH($BB255&amp;"",HWSets,0))),"set "&amp;$BB255&amp;" not on HW Sets, ","")&amp;IF(N($BL255)&gt;96,"leaf over 8'-0"&amp;CHAR(34)&amp;" - check listing, ","")&amp;IF(AND($CT255,COUNT($AW255:$AZ255)&gt;0,COUNT($AW255:$AZ255)&lt;&gt;$CQ255),COUNT($AW255:$AZ255)&amp;" custom hinges typed, "&amp;$CQ255&amp;" expected, ","")&amp;IF(AND(ISNUMBER($CA255),OR(N($CA255)&lt;34,N($CA255)&gt;48)),"lock "&amp;TEXT($CA255,"0.0")&amp;CHAR(34)&amp;" AFF outside 34-48"&amp;CHAR(34)&amp;" (ADA), ","")&amp;IF(AND(ISNUMBER($AV255),ISNUMBER($BL255),N($AV255)&lt;IF(N($BL255)&lt;=60,2,IF(N($BL255)&lt;=90,3,IF(N($BL255)&lt;=120,4,5)))),"fewer hinges than standard, ",""))</f>
        <v/>
      </c>
    </row>
    <row r="256" ht="15" customHeight="1">
      <c r="A256" s="77" t="n"/>
      <c r="B256" s="78" t="n"/>
      <c r="C256" s="78" t="n"/>
      <c r="D256" s="78" t="n"/>
      <c r="E256" s="78" t="n"/>
      <c r="F256" s="78" t="n"/>
      <c r="G256" s="78" t="n"/>
      <c r="H256" s="78" t="n"/>
      <c r="I256" s="78" t="n"/>
      <c r="J256" s="78" t="n"/>
      <c r="K256" s="78" t="n"/>
      <c r="L256" s="78" t="n"/>
      <c r="M256" s="78" t="n"/>
      <c r="N256" s="78" t="n"/>
      <c r="O256" s="78" t="n"/>
      <c r="P256" s="78" t="n"/>
      <c r="Q256" s="78" t="n"/>
      <c r="R256" s="78" t="n"/>
      <c r="S256" s="79" t="n"/>
      <c r="T256" s="79" t="n"/>
      <c r="U256" s="79" t="n"/>
      <c r="V256" s="79" t="n"/>
      <c r="W256" s="79" t="n"/>
      <c r="X256" s="79" t="n"/>
      <c r="Y256" s="79" t="n"/>
      <c r="Z256" s="79" t="n"/>
      <c r="AA256" s="79" t="n"/>
      <c r="AB256" s="79" t="n"/>
      <c r="AC256" s="79" t="n"/>
      <c r="AD256" s="79" t="n"/>
      <c r="AE256" s="79" t="n"/>
      <c r="AF256" s="79" t="n"/>
      <c r="AG256" s="79" t="n"/>
      <c r="AH256" s="80" t="n"/>
      <c r="AI256" s="80" t="n"/>
      <c r="AJ256" s="80" t="n"/>
      <c r="AK256" s="80" t="n"/>
      <c r="AL256" s="80" t="n"/>
      <c r="AM256" s="80" t="n"/>
      <c r="AN256" s="80" t="n"/>
      <c r="AO256" s="80" t="n"/>
      <c r="AP256" s="80" t="n"/>
      <c r="AQ256" s="80" t="n"/>
      <c r="AR256" s="80" t="n"/>
      <c r="AS256" s="80" t="n"/>
      <c r="AT256" s="81" t="n"/>
      <c r="AU256" s="81" t="n"/>
      <c r="AV256" s="81" t="n"/>
      <c r="AW256" s="82" t="n"/>
      <c r="AX256" s="82" t="n"/>
      <c r="AY256" s="82" t="n"/>
      <c r="AZ256" s="82" t="n"/>
      <c r="BA256" s="82" t="n"/>
      <c r="BB256" s="83" t="n"/>
      <c r="BC256" s="83" t="n"/>
      <c r="BD256" s="84">
        <f>IF($A256="","",IF($DJ256&lt;&gt;"","FIX",IF($DK256&lt;&gt;"","CHECK","OK")))</f>
        <v/>
      </c>
      <c r="BE256" s="85">
        <f>IF($A256="","",IF($DJ256&lt;&gt;"","FIX: "&amp;LEFT($DJ256,LEN($DJ256)-2)&amp;IF($DK256&lt;&gt;"","  ·  ",""),"")&amp;IF($DK256&lt;&gt;"","CHECK: "&amp;LEFT($DK256,LEN($DK256)-2),""))</f>
        <v/>
      </c>
      <c r="BF256" s="84">
        <f>IF(OR($A256="",$K256=""),"",$K256&amp;"'-"&amp;N($L256)&amp;CHAR(34)&amp;" x "&amp;$M256&amp;"'-"&amp;N($N256)&amp;CHAR(34))</f>
        <v/>
      </c>
      <c r="BG256" s="84">
        <f>IF(OR($A256="",$K256=""),"",$K256&amp;N($L256)&amp;$M256&amp;N($N256))</f>
        <v/>
      </c>
      <c r="BH256" s="84">
        <f>IF(OR($A256="",$K256=""),"",$K256*12+N($L256))</f>
        <v/>
      </c>
      <c r="BI256" s="84">
        <f>IF(OR($A256="",$M256=""),"",$M256*12+N($N256))</f>
        <v/>
      </c>
      <c r="BJ256" s="84">
        <f>IF($A256="","",IF(OR($C256="FRAME ONLY",$S256="BL"),0,IF($O256="Y",2,1)))</f>
        <v/>
      </c>
      <c r="BK256" s="86">
        <f>IF(OR(N($BJ256)=0,$BH256=""),"",($BH256-2*EdgeClr-IF($BJ256=2,MeetClr,0))/$BJ256)</f>
        <v/>
      </c>
      <c r="BL256" s="86">
        <f>IF(OR(N($BJ256)=0,$BI256=""),"",$BI256-HeadClr-Undercut)</f>
        <v/>
      </c>
      <c r="BM256" s="86">
        <f>IF($BH256="","",$BH256+2*FaceW+IF(N($Q256)&gt;0,($Q256+FaceW)*IF($R256="LR",2,1),0))</f>
        <v/>
      </c>
      <c r="BN256" s="86">
        <f>IF($BI256="","",$BI256+IF($AB256="Y",4,FaceW)+IF(N($P256)&gt;0,$P256+FaceW,0)+IF(OR($S256="4F",$S256="BL"),FaceW,0))</f>
        <v/>
      </c>
      <c r="BO256" s="86">
        <f>IF($BM256="","",$BM256+2*ROSide)</f>
        <v/>
      </c>
      <c r="BP256" s="86">
        <f>IF($BN256="","",$BN256+ROTop)</f>
        <v/>
      </c>
      <c r="BQ256" s="87">
        <f>IF(OR(N($BJ256)=0,$BH256=""),"",$BH256/$BJ256-ClearDeduct)</f>
        <v/>
      </c>
      <c r="BR256" s="84">
        <f>IF(N($CH256)=0,"",IF($CH256&gt;=180,"A · 3 HR",IF($CH256&gt;=90,"B · 1-1/2 HR",IF($CH256&gt;=60,"B · 1 HR",IF($CH256&gt;=45,"C · 3/4 HR","20 MIN")))))&amp;IF(AND(N($CH256)&gt;0,OR($I256="CORRIDOR",$I256="SMOKE BARRIER"))," · S","")</f>
        <v/>
      </c>
      <c r="BS256" s="84">
        <f>IF($CS256,"",IF($AV256&lt;&gt;"",$AV256,IF(OR($AC256="HGC",$AO256="HGC"),"CONT",IF(($BI256-HeadClr-Undercut)&lt;=60,2,IF(($BI256-HeadClr-Undercut)&lt;=90,3,IF(($BI256-HeadClr-Undercut)&lt;=120,4,5))))))</f>
        <v/>
      </c>
      <c r="BT256" s="84">
        <f>IF($CS256,"",IF($CT256,"CUSTOM (typed)",IF($CV256,$AT256&amp;" "&amp;$CU256&amp;CHAR(34)&amp;IF($CU256&lt;&gt;$BI256,IF(AND($BI256&lt;$CU256,$BI256-IF(N(VLOOKUP($AT256&amp;"|"&amp;$CU256,LocTable,7,FALSE))&gt;0,VLOOKUP($AT256&amp;"|"&amp;$CU256,LocTable,7,FALSE),VLOOKUP($AT256&amp;"|"&amp;$CU256,LocTable,6,FALSE))-$CR256-0.75&gt;=2.125)," cut down"," adj."),""),"ANSI/SDI A250.6")))</f>
        <v/>
      </c>
      <c r="BU256" s="88">
        <f>IF($CS256,"",IF($CT256,IF(N($AW256)&gt;0,N($AW256),""),IF(1&gt;$CQ256,"",IF($CQ256=1,$CW256,$CW256+($CX256-$CW256)*0/($CQ256-1)))))</f>
        <v/>
      </c>
      <c r="BV256" s="88">
        <f>IF($CS256,"",IF($CT256,IF(N($AX256)&gt;0,N($AX256),""),IF(2&gt;$CQ256,"",IF($CQ256=1,$CW256,$CW256+($CX256-$CW256)*1/($CQ256-1)))))</f>
        <v/>
      </c>
      <c r="BW256" s="88">
        <f>IF($CS256,"",IF($CT256,IF(N($AY256)&gt;0,N($AY256),""),IF(3&gt;$CQ256,"",IF($CQ256=1,$CW256,$CW256+($CX256-$CW256)*2/($CQ256-1)))))</f>
        <v/>
      </c>
      <c r="BX256" s="88">
        <f>IF($CS256,"",IF($CT256,IF(N($AZ256)&gt;0,N($AZ256),""),IF(4&gt;$CQ256,"",IF($CQ256=1,$CW256,$CW256+($CX256-$CW256)*3/($CQ256-1)))))</f>
        <v/>
      </c>
      <c r="BY256" s="88">
        <f>IF($CS256,"",IF($CT256,"",IF(5&gt;$CQ256,"",IF($CQ256=1,$CW256,$CW256+($CX256-$CW256)*4/($CQ256-1)))))</f>
        <v/>
      </c>
      <c r="BZ256" s="88">
        <f>IF(OR($CS256,$AP256="-",AND($AP256="",$AD256="")),"",IF(N($BA256)&gt;0,N($BA256),IF($CV256,IF(AND($BI256&lt;$CU256,$BI256-IF(N(VLOOKUP($AT256&amp;"|"&amp;$CU256,LocTable,7,FALSE))&gt;0,VLOOKUP($AT256&amp;"|"&amp;$CU256,LocTable,7,FALSE),VLOOKUP($AT256&amp;"|"&amp;$CU256,LocTable,6,FALSE))-$CR256-0.75&gt;=2.125),VLOOKUP($AT256&amp;"|"&amp;$CU256,LocTable,8,FALSE),VLOOKUP($AT256&amp;"|"&amp;$CU256,LocTable,8,FALSE)+($BI256-$CU256)),$BI256-LockAFF)))</f>
        <v/>
      </c>
      <c r="CA256" s="89">
        <f>IF($BZ256="","",$BI256-$BZ256)</f>
        <v/>
      </c>
      <c r="CB256" s="84">
        <f>IF(OR(NOT(AND($A256&lt;&gt;"",$C256&lt;&gt;"DOOR ONLY")),$BI256=""),"",IF(($BI256+IF(N($P256)&gt;0,$P256+FaceW,0))&lt;=90,3,IF(($BI256+IF(N($P256)&gt;0,$P256+FaceW,0))&lt;=114,4,5)))</f>
        <v/>
      </c>
      <c r="CC256" s="84">
        <f>IF($CB256="","",$CB256*(2+IF(N($Q256)&gt;0,IF($R256="LR",2,1),0)))</f>
        <v/>
      </c>
      <c r="CD256" s="84">
        <f>IF($CB256="","",(2+IF(N($Q256)&gt;0,IF($R256="LR",2,1),0)))</f>
        <v/>
      </c>
      <c r="CE256" s="84">
        <f>IF(N($BJ256)=0,"",IF(OR($AL256="",$AL256="FLUSH"),"FLUSH",IFERROR(LEFT($AL256,FIND("-",$AL256)-1),LEFT($AL256,2))))</f>
        <v/>
      </c>
      <c r="CF256" s="84">
        <f>IF($CE256="","",IFERROR(VALUE(MID($AL256,FIND("-",$AL256)+1,FIND(CHAR(34)&amp;"x",$AL256)-FIND("-",$AL256)-1)),0))</f>
        <v/>
      </c>
      <c r="CG256" s="84">
        <f>IF($CE256="","",IFERROR(VALUE(MID($AL256,FIND(CHAR(34)&amp;"x",$AL256)+2,FIND(CHAR(34),$AL256,FIND(CHAR(34)&amp;"x",$AL256)+2)-FIND(CHAR(34)&amp;"x",$AL256)-2)),0))</f>
        <v/>
      </c>
      <c r="CH256" s="90">
        <f>IF(OR($A256="",$H256="",$H256="NO LAB"),0,IFERROR(VALUE(LEFT($H256,FIND(" ",$H256)-1)),0))</f>
        <v/>
      </c>
      <c r="CI256" s="91">
        <f>IF(OR($A256="",$I256="",$I256="NON-RATED",N($J256)=0),"",IFERROR(VLOOKUP($I256&amp;"|"&amp;$J256,IBC,2,FALSE),"?"))</f>
        <v/>
      </c>
      <c r="CJ256" s="85">
        <f>IF(NOT(AND($A256&lt;&gt;"",$C256&lt;&gt;"DOOR ONLY")),"",TRIM(IFERROR(VLOOKUP($U256,CODES,2,FALSE),"")&amp;" "&amp;$BG256&amp;" "&amp;IFERROR(VLOOKUP($Z256,CODES,2,FALSE),"")&amp;" "&amp;IFERROR(VLOOKUP($X256,CODES,2,FALSE),"")&amp;" "&amp;IFERROR(VLOOKUP($S256,CODES,2,FALSE),"")&amp;IF(N($P256)&gt;0," w/TRANSOM "&amp;$P256&amp;CHAR(34),"")&amp;IF(N($Q256)&gt;0," w/SIDELITE "&amp;$Q256&amp;CHAR(34)&amp;" "&amp;IF($R256="","R",$R256),"")&amp;IF($Y256="","  |  "," | "&amp;IFERROR(VLOOKUP($Y256,CODES,2,FALSE),"")&amp;" | ")&amp;IFERROR(VLOOKUP($AC256,CODES,2,FALSE),"")&amp;" "&amp;IFERROR(VLOOKUP($AD256,CODES,2,FALSE),"")&amp;IF(OR($AE256="",$AE256="-"),""," "&amp;$AE256)&amp;IF(OR($AF256="",$AF256="-"),""," "&amp;$AF256)&amp;IF($AB256="Y"," 4"&amp;CHAR(34)&amp;" HEAD","")&amp;" "&amp;IFERROR(VLOOKUP($H256,CODES,2,FALSE),"")&amp;IF($CT256," | LOC "&amp;$CY256,"")))</f>
        <v/>
      </c>
      <c r="CK256" s="85">
        <f>IF(NOT(AND($A256&lt;&gt;"",N($BJ256)&gt;0)),"",TRIM(IFERROR(VLOOKUP($AH256,CODES,2,FALSE),"")&amp;IF($AI256=""," "," "&amp;$AI256&amp;"GA ")&amp;$BG256&amp;" "&amp;IF($AN256="",IFERROR(VLOOKUP($Z256,CODES,2,FALSE),""),IFERROR(VLOOKUP($AN256,CODES,2,FALSE),""))&amp;IF($BJ256=2," PAIR","")&amp;" DOOR | "&amp;IF($AL256="","?",$AL256)&amp;" | "&amp;IF($AO256="",IFERROR(VLOOKUP($AC256,CODES,2,FALSE),""),IFERROR(VLOOKUP($AO256,CODES,2,FALSE),""))&amp;" "&amp;IFERROR(VLOOKUP($AP256,CODES,2,FALSE),"")&amp;IF(OR($AQ256="",$AQ256="-"),""," SEAM "&amp;$AQ256)&amp;IF($AR256="Y"," ASTRAGAL","")&amp;IF($AJ256=""," "," "&amp;$AJ256)&amp;IF($AK256=""," "," "&amp;$AK256)&amp;IF(OR($AT256="",$AT256="ANSI/SDI",$AT256="CUSTOM LOC"),""," "&amp;$AT256)&amp;IF($AM256=""," "," SERIES "&amp;$AM256)&amp;" "&amp;IFERROR(VLOOKUP($H256,CODES,2,FALSE),"")&amp;IF($CT256," | LOC "&amp;$CZ256,"")))</f>
        <v/>
      </c>
      <c r="CL256" s="84">
        <f>IF(CP256="","",IF(COUNTIF($CP$6:CP256,CP256)=1,MAX($CL$5:CL255)+1,INDEX($CL$5:CL255,MATCH(CP256,$CP$5:CP255,0))))</f>
        <v/>
      </c>
      <c r="CM256" s="84">
        <f>IF(NOT(AND($A256&lt;&gt;"",$C256&lt;&gt;"DOOR ONLY")),"",MAX($CM$5:CM255)+1)</f>
        <v/>
      </c>
      <c r="CN256" s="84">
        <f>IF(NOT(AND($A256&lt;&gt;"",N($BJ256)&gt;0)),"",MAX($CN$5:CN255)+1)</f>
        <v/>
      </c>
      <c r="CO256" s="84">
        <f>IF($A256="","",MAX($CO$5:CO255)+1)</f>
        <v/>
      </c>
      <c r="CP256" s="84">
        <f>IF(OR($A256="",$BH256="",$BI256=""),"",$BG256&amp;"|"&amp;$O256&amp;"|"&amp;$AL256&amp;"|"&amp;$S256&amp;"|"&amp;$P256&amp;"|"&amp;$Q256&amp;$R256&amp;"|"&amp;$C256&amp;"|"&amp;$AB256)</f>
        <v/>
      </c>
      <c r="CQ256" s="84">
        <f>N($BS256)</f>
        <v/>
      </c>
      <c r="CR256" s="84">
        <f>IF(N($AU256)&gt;0,N($AU256),4.5)</f>
        <v/>
      </c>
      <c r="CS256" s="84">
        <f>OR($A256="",$BI256="",$S256="BL",AND($C256="FRAME ONLY",OR($AC256="",$AC256="BLK")))</f>
        <v/>
      </c>
      <c r="CT256" s="84">
        <f>AND(NOT($CS256),OR($AT256="CUSTOM LOC",N($AW256)+N($AX256)+N($AY256)+N($AZ256)+N($BA256)&gt;0))</f>
        <v/>
      </c>
      <c r="CU256" s="84">
        <f>IF($BI256="","",IF($BI256&lt;=80,80,IF($BI256&lt;=84,84,96)))</f>
        <v/>
      </c>
      <c r="CV256" s="84">
        <f>ISNUMBER(MATCH($AT256&amp;"|80",LocKeys,0))</f>
        <v/>
      </c>
      <c r="CW256" s="86">
        <f>IF($CS256,"",IF($CV256,VLOOKUP($AT256&amp;"|"&amp;$CU256,LocTable,4,FALSE),5))</f>
        <v/>
      </c>
      <c r="CX256" s="86">
        <f>IF($CS256,"",IF($CV256,IF(OR($BI256=$CU256,AND($BI256&lt;$CU256,$BI256-IF(N(VLOOKUP($AT256&amp;"|"&amp;$CU256,LocTable,7,FALSE))&gt;0,VLOOKUP($AT256&amp;"|"&amp;$CU256,LocTable,7,FALSE),VLOOKUP($AT256&amp;"|"&amp;$CU256,LocTable,6,FALSE))-$CR256-0.75&gt;=2.125)),IF(N(VLOOKUP($AT256&amp;"|"&amp;$CU256,LocTable,7,FALSE))&gt;0,VLOOKUP($AT256&amp;"|"&amp;$CU256,LocTable,7,FALSE),VLOOKUP($AT256&amp;"|"&amp;$CU256,LocTable,6,FALSE)),$BI256-($CU256-IF(N(VLOOKUP($AT256&amp;"|"&amp;$CU256,LocTable,7,FALSE))&gt;0,VLOOKUP($AT256&amp;"|"&amp;$CU256,LocTable,7,FALSE),VLOOKUP($AT256&amp;"|"&amp;$CU256,LocTable,6,FALSE)))),$BI256-10-$CR256))</f>
        <v/>
      </c>
      <c r="CY256" s="85">
        <f>IF($CS256,"",TRIM(IF(ISNUMBER($BU256),"A "&amp;TRIM(TEXT($BU256,"# ?/??"))&amp;CHAR(34)&amp;"  ","")&amp;IF(ISNUMBER($BV256),"B "&amp;TRIM(TEXT($BV256,"# ?/??"))&amp;CHAR(34)&amp;"  ","")&amp;IF(ISNUMBER($BW256),"C "&amp;TRIM(TEXT($BW256,"# ?/??"))&amp;CHAR(34)&amp;"  ","")&amp;IF(ISNUMBER($BX256),"D "&amp;TRIM(TEXT($BX256,"# ?/??"))&amp;CHAR(34)&amp;"  ","")&amp;IF(ISNUMBER($BY256),"F "&amp;TRIM(TEXT($BY256,"# ?/??"))&amp;CHAR(34)&amp;"  ","")&amp;IF(ISNUMBER($BZ256),"E "&amp;TRIM(TEXT($BZ256,"# ?/??"))&amp;CHAR(34)&amp;"  ","")))</f>
        <v/>
      </c>
      <c r="CZ256" s="85">
        <f>IF(OR($CS256,N($BJ256)=0),"",TRIM(IF(ISNUMBER($BU256),"A "&amp;TRIM(TEXT($BU256-HeadClr,"# ?/??"))&amp;CHAR(34)&amp;"  ","")&amp;IF(ISNUMBER($BV256),"B "&amp;TRIM(TEXT($BV256-HeadClr,"# ?/??"))&amp;CHAR(34)&amp;"  ","")&amp;IF(ISNUMBER($BW256),"C "&amp;TRIM(TEXT($BW256-HeadClr,"# ?/??"))&amp;CHAR(34)&amp;"  ","")&amp;IF(ISNUMBER($BX256),"D "&amp;TRIM(TEXT($BX256-HeadClr,"# ?/??"))&amp;CHAR(34)&amp;"  ","")&amp;IF(ISNUMBER($BY256),"F "&amp;TRIM(TEXT($BY256-HeadClr,"# ?/??"))&amp;CHAR(34)&amp;"  ","")&amp;IF(ISNUMBER($BZ256),"E "&amp;TRIM(TEXT($BZ256-HeadClr,"# ?/??"))&amp;CHAR(34)&amp;"  ","")))</f>
        <v/>
      </c>
      <c r="DA256" s="84">
        <f>IF($A256="","",IF($AN256="",IFERROR(VLOOKUP($Z256,CODES,2,FALSE),""),IFERROR(VLOOKUP($AN256,CODES,2,FALSE),"")))</f>
        <v/>
      </c>
      <c r="DB256" s="84">
        <f>IF($A256="","",IF($O256="Y","PR",IF(OR($Z256="L",$Z256="RR",LEFT($Z256,2)="L-",LEFT($Z256,3)="RR-"),"LH","RH")))</f>
        <v/>
      </c>
      <c r="DC256" s="84">
        <f>IF($A256="","","S.HM"&amp;IF(OR($C256="DOOR ONLY",$X256&lt;&gt;"KD"),"MASONRY","DRYWALL")&amp;IF($C256="DOOR ONLY","",$U256)&amp;IF(AND($C256&lt;&gt;"FRAME ONLY",OR(LEFT($AH256,3)="OAK",LEFT($AH256,3)="BIR",LEFT($AH256,3)="MAP",$AH256="PC",$AH256="MC",$AH256="SCLC",$AH256="P-LAM")),"WD","HM")&amp;"1.75")</f>
        <v/>
      </c>
      <c r="DD256" s="84">
        <f>IF($CJ256="","",IF($O256="Y",$CJ256,SUBSTITUTE($CJ256,$BG256&amp;" "&amp;IFERROR(VLOOKUP($Z256,CODES,2,FALSE),"")&amp;" ",$BG256&amp;" ")))</f>
        <v/>
      </c>
      <c r="DE256" s="84">
        <f>IF($CK256="","",IF($O256="Y",$CK256,SUBSTITUTE($CK256,$BG256&amp;" "&amp;IF($AN256="",IFERROR(VLOOKUP($Z256,CODES,2,FALSE),""),IFERROR(VLOOKUP($AN256,CODES,2,FALSE),""))&amp;" ",$BG256&amp;" ")))</f>
        <v/>
      </c>
      <c r="DF256" s="84">
        <f>IF($CJ256="","",$DC256&amp;"|"&amp;$DD256&amp;"|"&amp;$DB256&amp;"|"&amp;$AT256&amp;"|"&amp;$V256&amp;"|"&amp;$Y256&amp;"|"&amp;$AB256)</f>
        <v/>
      </c>
      <c r="DG256" s="84">
        <f>IF(DF256="","",IF(COUNTIF($DF$6:DF256,DF256)=1,MAX($DG$5:DG255)+1,INDEX($DG$5:DG255,MATCH(DF256,$DF$5:DF255,0))))</f>
        <v/>
      </c>
      <c r="DH256" s="84">
        <f>IF($CK256="","",$DC256&amp;"|"&amp;$DE256&amp;"|"&amp;$AI256&amp;"|"&amp;$BK256&amp;"|"&amp;$BL256)</f>
        <v/>
      </c>
      <c r="DI256" s="84">
        <f>IF(DH256="","",IF(COUNTIF($DH$6:DH256,DH256)=1,MAX($DI$5:DI255)+1,INDEX($DI$5:DI255,MATCH(DH256,$DH$5:DH255,0))))</f>
        <v/>
      </c>
      <c r="DJ256" s="84">
        <f>IF($A256="","",IF($B256="","qty, ","")&amp;IF($C256="","scope, ","")&amp;IF(OR($K256="",$M256=""),"size, ","")&amp;IF(AND($A256&lt;&gt;"",$C256&lt;&gt;"DOOR ONLY"),IF($U256="","jamb depth, ","")&amp;IF($X256="","construction, ","")&amp;IF($Y256="","anchor, ","")&amp;IF($S256="","frame type, ",""),"")&amp;IF(AND(N($BJ256)&gt;0,$Z256=""),"hand, ","")&amp;IF(N($BJ256)&gt;0,IF($AH256="","door material, ","")&amp;IF($AL256="","face type, ","")&amp;IF($AP256="","lock prep, ","")&amp;IF(AND($AO256="",$AC256=""),"hinge prep, ",""),"")&amp;IF(AND($CH256&gt;0,$AH256="FRP"),"FRP cannot carry a label, ","")&amp;IF(AND($O256="Y",OR($Z256="L",$Z256="R",$Z256="LR",$Z256="RR")),"pair marked but hand is single, ","")&amp;IF(AND($O256&lt;&gt;"Y",OR($Z256="PR",AND(LEN($Z256)&gt;1,ISNUMBER(SEARCH("-",$Z256))))),"pair hand on a single door, ","")&amp;IF(AND(ISNUMBER($CI256),$CH256&lt;N($CI256)),"wall needs a "&amp;$CI256&amp;" min door, ","")&amp;IF(AND($CH256&gt;=180,AND(OR($CE256="FG",$CE256="HG",$CE256="FNV",$CE256="FV"),N($CF256)*N($CG256)&gt;100)),"180 min lite over 100 sq in, ","")&amp;IF(N($BK256)&gt;48,"leaf wider than 4'-0"&amp;CHAR(34)&amp;", ","")&amp;IF(AND($CT256,COUNT($AW256:$AZ256)=0,$CQ256&gt;0),"CUSTOM LOC with no locations typed, ",""))</f>
        <v/>
      </c>
      <c r="DK256" s="84">
        <f>IF($A256="","",IF(AND($CH256&gt;0,AND($A256&lt;&gt;"",$C256&lt;&gt;"DOOR ONLY"),$X256="KD",$E256="EXTERIOR"),"KD label on an exterior opening, ","")&amp;IF(AND($E256="EXTERIOR",OR(AND(AND($A256&lt;&gt;"",$C256&lt;&gt;"DOOR ONLY"),$W256="CR"),AND(N($BJ256)&gt;0,$AH256="CR"))),"exterior in CR steel (G9?), ","")&amp;IF(AND(ISNUMBER($BQ256),N($BQ256)&lt;32),"clear width ~"&amp;TEXT($BQ256,"0.0")&amp;CHAR(34)&amp;" under 32"&amp;CHAR(34)&amp;" (ADA), ","")&amp;IF(AND($CH256=90,AND(OR($CE256="FG",$CE256="HG",$CE256="FNV",$CE256="FV"),N($CF256)*N($CG256)&gt;100)),"90 min lite over 100 sq in (stair/exit), ","")&amp;IF(AND($CH256&gt;0,AND($A256&lt;&gt;"",$C256&lt;&gt;"DOOR ONLY"),OR($AF256="",$AF256="-")),"rated: closer reinf.?, ","")&amp;IF(OR($I256="CORRIDOR",$I256="SMOKE BARRIER"),"S label + smoke gasketing, ","")&amp;IF($CI256="?","wall type/hr not in IBC table, ","")&amp;IF(AND(N($BJ256)&gt;0,$BB256=""),"no hardware set, ","")&amp;IF(AND($BB256&lt;&gt;"",ISNA(MATCH($BB256&amp;"",HWSets,0))),"set "&amp;$BB256&amp;" not on HW Sets, ","")&amp;IF(N($BL256)&gt;96,"leaf over 8'-0"&amp;CHAR(34)&amp;" - check listing, ","")&amp;IF(AND($CT256,COUNT($AW256:$AZ256)&gt;0,COUNT($AW256:$AZ256)&lt;&gt;$CQ256),COUNT($AW256:$AZ256)&amp;" custom hinges typed, "&amp;$CQ256&amp;" expected, ","")&amp;IF(AND(ISNUMBER($CA256),OR(N($CA256)&lt;34,N($CA256)&gt;48)),"lock "&amp;TEXT($CA256,"0.0")&amp;CHAR(34)&amp;" AFF outside 34-48"&amp;CHAR(34)&amp;" (ADA), ","")&amp;IF(AND(ISNUMBER($AV256),ISNUMBER($BL256),N($AV256)&lt;IF(N($BL256)&lt;=60,2,IF(N($BL256)&lt;=90,3,IF(N($BL256)&lt;=120,4,5)))),"fewer hinges than standard, ",""))</f>
        <v/>
      </c>
    </row>
    <row r="257" ht="15" customHeight="1">
      <c r="A257" s="77" t="n"/>
      <c r="B257" s="78" t="n"/>
      <c r="C257" s="78" t="n"/>
      <c r="D257" s="78" t="n"/>
      <c r="E257" s="78" t="n"/>
      <c r="F257" s="78" t="n"/>
      <c r="G257" s="78" t="n"/>
      <c r="H257" s="78" t="n"/>
      <c r="I257" s="78" t="n"/>
      <c r="J257" s="78" t="n"/>
      <c r="K257" s="78" t="n"/>
      <c r="L257" s="78" t="n"/>
      <c r="M257" s="78" t="n"/>
      <c r="N257" s="78" t="n"/>
      <c r="O257" s="78" t="n"/>
      <c r="P257" s="78" t="n"/>
      <c r="Q257" s="78" t="n"/>
      <c r="R257" s="78" t="n"/>
      <c r="S257" s="79" t="n"/>
      <c r="T257" s="79" t="n"/>
      <c r="U257" s="79" t="n"/>
      <c r="V257" s="79" t="n"/>
      <c r="W257" s="79" t="n"/>
      <c r="X257" s="79" t="n"/>
      <c r="Y257" s="79" t="n"/>
      <c r="Z257" s="79" t="n"/>
      <c r="AA257" s="79" t="n"/>
      <c r="AB257" s="79" t="n"/>
      <c r="AC257" s="79" t="n"/>
      <c r="AD257" s="79" t="n"/>
      <c r="AE257" s="79" t="n"/>
      <c r="AF257" s="79" t="n"/>
      <c r="AG257" s="79" t="n"/>
      <c r="AH257" s="80" t="n"/>
      <c r="AI257" s="80" t="n"/>
      <c r="AJ257" s="80" t="n"/>
      <c r="AK257" s="80" t="n"/>
      <c r="AL257" s="80" t="n"/>
      <c r="AM257" s="80" t="n"/>
      <c r="AN257" s="80" t="n"/>
      <c r="AO257" s="80" t="n"/>
      <c r="AP257" s="80" t="n"/>
      <c r="AQ257" s="80" t="n"/>
      <c r="AR257" s="80" t="n"/>
      <c r="AS257" s="80" t="n"/>
      <c r="AT257" s="81" t="n"/>
      <c r="AU257" s="81" t="n"/>
      <c r="AV257" s="81" t="n"/>
      <c r="AW257" s="82" t="n"/>
      <c r="AX257" s="82" t="n"/>
      <c r="AY257" s="82" t="n"/>
      <c r="AZ257" s="82" t="n"/>
      <c r="BA257" s="82" t="n"/>
      <c r="BB257" s="83" t="n"/>
      <c r="BC257" s="83" t="n"/>
      <c r="BD257" s="84">
        <f>IF($A257="","",IF($DJ257&lt;&gt;"","FIX",IF($DK257&lt;&gt;"","CHECK","OK")))</f>
        <v/>
      </c>
      <c r="BE257" s="85">
        <f>IF($A257="","",IF($DJ257&lt;&gt;"","FIX: "&amp;LEFT($DJ257,LEN($DJ257)-2)&amp;IF($DK257&lt;&gt;"","  ·  ",""),"")&amp;IF($DK257&lt;&gt;"","CHECK: "&amp;LEFT($DK257,LEN($DK257)-2),""))</f>
        <v/>
      </c>
      <c r="BF257" s="84">
        <f>IF(OR($A257="",$K257=""),"",$K257&amp;"'-"&amp;N($L257)&amp;CHAR(34)&amp;" x "&amp;$M257&amp;"'-"&amp;N($N257)&amp;CHAR(34))</f>
        <v/>
      </c>
      <c r="BG257" s="84">
        <f>IF(OR($A257="",$K257=""),"",$K257&amp;N($L257)&amp;$M257&amp;N($N257))</f>
        <v/>
      </c>
      <c r="BH257" s="84">
        <f>IF(OR($A257="",$K257=""),"",$K257*12+N($L257))</f>
        <v/>
      </c>
      <c r="BI257" s="84">
        <f>IF(OR($A257="",$M257=""),"",$M257*12+N($N257))</f>
        <v/>
      </c>
      <c r="BJ257" s="84">
        <f>IF($A257="","",IF(OR($C257="FRAME ONLY",$S257="BL"),0,IF($O257="Y",2,1)))</f>
        <v/>
      </c>
      <c r="BK257" s="86">
        <f>IF(OR(N($BJ257)=0,$BH257=""),"",($BH257-2*EdgeClr-IF($BJ257=2,MeetClr,0))/$BJ257)</f>
        <v/>
      </c>
      <c r="BL257" s="86">
        <f>IF(OR(N($BJ257)=0,$BI257=""),"",$BI257-HeadClr-Undercut)</f>
        <v/>
      </c>
      <c r="BM257" s="86">
        <f>IF($BH257="","",$BH257+2*FaceW+IF(N($Q257)&gt;0,($Q257+FaceW)*IF($R257="LR",2,1),0))</f>
        <v/>
      </c>
      <c r="BN257" s="86">
        <f>IF($BI257="","",$BI257+IF($AB257="Y",4,FaceW)+IF(N($P257)&gt;0,$P257+FaceW,0)+IF(OR($S257="4F",$S257="BL"),FaceW,0))</f>
        <v/>
      </c>
      <c r="BO257" s="86">
        <f>IF($BM257="","",$BM257+2*ROSide)</f>
        <v/>
      </c>
      <c r="BP257" s="86">
        <f>IF($BN257="","",$BN257+ROTop)</f>
        <v/>
      </c>
      <c r="BQ257" s="87">
        <f>IF(OR(N($BJ257)=0,$BH257=""),"",$BH257/$BJ257-ClearDeduct)</f>
        <v/>
      </c>
      <c r="BR257" s="84">
        <f>IF(N($CH257)=0,"",IF($CH257&gt;=180,"A · 3 HR",IF($CH257&gt;=90,"B · 1-1/2 HR",IF($CH257&gt;=60,"B · 1 HR",IF($CH257&gt;=45,"C · 3/4 HR","20 MIN")))))&amp;IF(AND(N($CH257)&gt;0,OR($I257="CORRIDOR",$I257="SMOKE BARRIER"))," · S","")</f>
        <v/>
      </c>
      <c r="BS257" s="84">
        <f>IF($CS257,"",IF($AV257&lt;&gt;"",$AV257,IF(OR($AC257="HGC",$AO257="HGC"),"CONT",IF(($BI257-HeadClr-Undercut)&lt;=60,2,IF(($BI257-HeadClr-Undercut)&lt;=90,3,IF(($BI257-HeadClr-Undercut)&lt;=120,4,5))))))</f>
        <v/>
      </c>
      <c r="BT257" s="84">
        <f>IF($CS257,"",IF($CT257,"CUSTOM (typed)",IF($CV257,$AT257&amp;" "&amp;$CU257&amp;CHAR(34)&amp;IF($CU257&lt;&gt;$BI257,IF(AND($BI257&lt;$CU257,$BI257-IF(N(VLOOKUP($AT257&amp;"|"&amp;$CU257,LocTable,7,FALSE))&gt;0,VLOOKUP($AT257&amp;"|"&amp;$CU257,LocTable,7,FALSE),VLOOKUP($AT257&amp;"|"&amp;$CU257,LocTable,6,FALSE))-$CR257-0.75&gt;=2.125)," cut down"," adj."),""),"ANSI/SDI A250.6")))</f>
        <v/>
      </c>
      <c r="BU257" s="88">
        <f>IF($CS257,"",IF($CT257,IF(N($AW257)&gt;0,N($AW257),""),IF(1&gt;$CQ257,"",IF($CQ257=1,$CW257,$CW257+($CX257-$CW257)*0/($CQ257-1)))))</f>
        <v/>
      </c>
      <c r="BV257" s="88">
        <f>IF($CS257,"",IF($CT257,IF(N($AX257)&gt;0,N($AX257),""),IF(2&gt;$CQ257,"",IF($CQ257=1,$CW257,$CW257+($CX257-$CW257)*1/($CQ257-1)))))</f>
        <v/>
      </c>
      <c r="BW257" s="88">
        <f>IF($CS257,"",IF($CT257,IF(N($AY257)&gt;0,N($AY257),""),IF(3&gt;$CQ257,"",IF($CQ257=1,$CW257,$CW257+($CX257-$CW257)*2/($CQ257-1)))))</f>
        <v/>
      </c>
      <c r="BX257" s="88">
        <f>IF($CS257,"",IF($CT257,IF(N($AZ257)&gt;0,N($AZ257),""),IF(4&gt;$CQ257,"",IF($CQ257=1,$CW257,$CW257+($CX257-$CW257)*3/($CQ257-1)))))</f>
        <v/>
      </c>
      <c r="BY257" s="88">
        <f>IF($CS257,"",IF($CT257,"",IF(5&gt;$CQ257,"",IF($CQ257=1,$CW257,$CW257+($CX257-$CW257)*4/($CQ257-1)))))</f>
        <v/>
      </c>
      <c r="BZ257" s="88">
        <f>IF(OR($CS257,$AP257="-",AND($AP257="",$AD257="")),"",IF(N($BA257)&gt;0,N($BA257),IF($CV257,IF(AND($BI257&lt;$CU257,$BI257-IF(N(VLOOKUP($AT257&amp;"|"&amp;$CU257,LocTable,7,FALSE))&gt;0,VLOOKUP($AT257&amp;"|"&amp;$CU257,LocTable,7,FALSE),VLOOKUP($AT257&amp;"|"&amp;$CU257,LocTable,6,FALSE))-$CR257-0.75&gt;=2.125),VLOOKUP($AT257&amp;"|"&amp;$CU257,LocTable,8,FALSE),VLOOKUP($AT257&amp;"|"&amp;$CU257,LocTable,8,FALSE)+($BI257-$CU257)),$BI257-LockAFF)))</f>
        <v/>
      </c>
      <c r="CA257" s="89">
        <f>IF($BZ257="","",$BI257-$BZ257)</f>
        <v/>
      </c>
      <c r="CB257" s="84">
        <f>IF(OR(NOT(AND($A257&lt;&gt;"",$C257&lt;&gt;"DOOR ONLY")),$BI257=""),"",IF(($BI257+IF(N($P257)&gt;0,$P257+FaceW,0))&lt;=90,3,IF(($BI257+IF(N($P257)&gt;0,$P257+FaceW,0))&lt;=114,4,5)))</f>
        <v/>
      </c>
      <c r="CC257" s="84">
        <f>IF($CB257="","",$CB257*(2+IF(N($Q257)&gt;0,IF($R257="LR",2,1),0)))</f>
        <v/>
      </c>
      <c r="CD257" s="84">
        <f>IF($CB257="","",(2+IF(N($Q257)&gt;0,IF($R257="LR",2,1),0)))</f>
        <v/>
      </c>
      <c r="CE257" s="84">
        <f>IF(N($BJ257)=0,"",IF(OR($AL257="",$AL257="FLUSH"),"FLUSH",IFERROR(LEFT($AL257,FIND("-",$AL257)-1),LEFT($AL257,2))))</f>
        <v/>
      </c>
      <c r="CF257" s="84">
        <f>IF($CE257="","",IFERROR(VALUE(MID($AL257,FIND("-",$AL257)+1,FIND(CHAR(34)&amp;"x",$AL257)-FIND("-",$AL257)-1)),0))</f>
        <v/>
      </c>
      <c r="CG257" s="84">
        <f>IF($CE257="","",IFERROR(VALUE(MID($AL257,FIND(CHAR(34)&amp;"x",$AL257)+2,FIND(CHAR(34),$AL257,FIND(CHAR(34)&amp;"x",$AL257)+2)-FIND(CHAR(34)&amp;"x",$AL257)-2)),0))</f>
        <v/>
      </c>
      <c r="CH257" s="90">
        <f>IF(OR($A257="",$H257="",$H257="NO LAB"),0,IFERROR(VALUE(LEFT($H257,FIND(" ",$H257)-1)),0))</f>
        <v/>
      </c>
      <c r="CI257" s="91">
        <f>IF(OR($A257="",$I257="",$I257="NON-RATED",N($J257)=0),"",IFERROR(VLOOKUP($I257&amp;"|"&amp;$J257,IBC,2,FALSE),"?"))</f>
        <v/>
      </c>
      <c r="CJ257" s="85">
        <f>IF(NOT(AND($A257&lt;&gt;"",$C257&lt;&gt;"DOOR ONLY")),"",TRIM(IFERROR(VLOOKUP($U257,CODES,2,FALSE),"")&amp;" "&amp;$BG257&amp;" "&amp;IFERROR(VLOOKUP($Z257,CODES,2,FALSE),"")&amp;" "&amp;IFERROR(VLOOKUP($X257,CODES,2,FALSE),"")&amp;" "&amp;IFERROR(VLOOKUP($S257,CODES,2,FALSE),"")&amp;IF(N($P257)&gt;0," w/TRANSOM "&amp;$P257&amp;CHAR(34),"")&amp;IF(N($Q257)&gt;0," w/SIDELITE "&amp;$Q257&amp;CHAR(34)&amp;" "&amp;IF($R257="","R",$R257),"")&amp;IF($Y257="","  |  "," | "&amp;IFERROR(VLOOKUP($Y257,CODES,2,FALSE),"")&amp;" | ")&amp;IFERROR(VLOOKUP($AC257,CODES,2,FALSE),"")&amp;" "&amp;IFERROR(VLOOKUP($AD257,CODES,2,FALSE),"")&amp;IF(OR($AE257="",$AE257="-"),""," "&amp;$AE257)&amp;IF(OR($AF257="",$AF257="-"),""," "&amp;$AF257)&amp;IF($AB257="Y"," 4"&amp;CHAR(34)&amp;" HEAD","")&amp;" "&amp;IFERROR(VLOOKUP($H257,CODES,2,FALSE),"")&amp;IF($CT257," | LOC "&amp;$CY257,"")))</f>
        <v/>
      </c>
      <c r="CK257" s="85">
        <f>IF(NOT(AND($A257&lt;&gt;"",N($BJ257)&gt;0)),"",TRIM(IFERROR(VLOOKUP($AH257,CODES,2,FALSE),"")&amp;IF($AI257=""," "," "&amp;$AI257&amp;"GA ")&amp;$BG257&amp;" "&amp;IF($AN257="",IFERROR(VLOOKUP($Z257,CODES,2,FALSE),""),IFERROR(VLOOKUP($AN257,CODES,2,FALSE),""))&amp;IF($BJ257=2," PAIR","")&amp;" DOOR | "&amp;IF($AL257="","?",$AL257)&amp;" | "&amp;IF($AO257="",IFERROR(VLOOKUP($AC257,CODES,2,FALSE),""),IFERROR(VLOOKUP($AO257,CODES,2,FALSE),""))&amp;" "&amp;IFERROR(VLOOKUP($AP257,CODES,2,FALSE),"")&amp;IF(OR($AQ257="",$AQ257="-"),""," SEAM "&amp;$AQ257)&amp;IF($AR257="Y"," ASTRAGAL","")&amp;IF($AJ257=""," "," "&amp;$AJ257)&amp;IF($AK257=""," "," "&amp;$AK257)&amp;IF(OR($AT257="",$AT257="ANSI/SDI",$AT257="CUSTOM LOC"),""," "&amp;$AT257)&amp;IF($AM257=""," "," SERIES "&amp;$AM257)&amp;" "&amp;IFERROR(VLOOKUP($H257,CODES,2,FALSE),"")&amp;IF($CT257," | LOC "&amp;$CZ257,"")))</f>
        <v/>
      </c>
      <c r="CL257" s="84">
        <f>IF(CP257="","",IF(COUNTIF($CP$6:CP257,CP257)=1,MAX($CL$5:CL256)+1,INDEX($CL$5:CL256,MATCH(CP257,$CP$5:CP256,0))))</f>
        <v/>
      </c>
      <c r="CM257" s="84">
        <f>IF(NOT(AND($A257&lt;&gt;"",$C257&lt;&gt;"DOOR ONLY")),"",MAX($CM$5:CM256)+1)</f>
        <v/>
      </c>
      <c r="CN257" s="84">
        <f>IF(NOT(AND($A257&lt;&gt;"",N($BJ257)&gt;0)),"",MAX($CN$5:CN256)+1)</f>
        <v/>
      </c>
      <c r="CO257" s="84">
        <f>IF($A257="","",MAX($CO$5:CO256)+1)</f>
        <v/>
      </c>
      <c r="CP257" s="84">
        <f>IF(OR($A257="",$BH257="",$BI257=""),"",$BG257&amp;"|"&amp;$O257&amp;"|"&amp;$AL257&amp;"|"&amp;$S257&amp;"|"&amp;$P257&amp;"|"&amp;$Q257&amp;$R257&amp;"|"&amp;$C257&amp;"|"&amp;$AB257)</f>
        <v/>
      </c>
      <c r="CQ257" s="84">
        <f>N($BS257)</f>
        <v/>
      </c>
      <c r="CR257" s="84">
        <f>IF(N($AU257)&gt;0,N($AU257),4.5)</f>
        <v/>
      </c>
      <c r="CS257" s="84">
        <f>OR($A257="",$BI257="",$S257="BL",AND($C257="FRAME ONLY",OR($AC257="",$AC257="BLK")))</f>
        <v/>
      </c>
      <c r="CT257" s="84">
        <f>AND(NOT($CS257),OR($AT257="CUSTOM LOC",N($AW257)+N($AX257)+N($AY257)+N($AZ257)+N($BA257)&gt;0))</f>
        <v/>
      </c>
      <c r="CU257" s="84">
        <f>IF($BI257="","",IF($BI257&lt;=80,80,IF($BI257&lt;=84,84,96)))</f>
        <v/>
      </c>
      <c r="CV257" s="84">
        <f>ISNUMBER(MATCH($AT257&amp;"|80",LocKeys,0))</f>
        <v/>
      </c>
      <c r="CW257" s="86">
        <f>IF($CS257,"",IF($CV257,VLOOKUP($AT257&amp;"|"&amp;$CU257,LocTable,4,FALSE),5))</f>
        <v/>
      </c>
      <c r="CX257" s="86">
        <f>IF($CS257,"",IF($CV257,IF(OR($BI257=$CU257,AND($BI257&lt;$CU257,$BI257-IF(N(VLOOKUP($AT257&amp;"|"&amp;$CU257,LocTable,7,FALSE))&gt;0,VLOOKUP($AT257&amp;"|"&amp;$CU257,LocTable,7,FALSE),VLOOKUP($AT257&amp;"|"&amp;$CU257,LocTable,6,FALSE))-$CR257-0.75&gt;=2.125)),IF(N(VLOOKUP($AT257&amp;"|"&amp;$CU257,LocTable,7,FALSE))&gt;0,VLOOKUP($AT257&amp;"|"&amp;$CU257,LocTable,7,FALSE),VLOOKUP($AT257&amp;"|"&amp;$CU257,LocTable,6,FALSE)),$BI257-($CU257-IF(N(VLOOKUP($AT257&amp;"|"&amp;$CU257,LocTable,7,FALSE))&gt;0,VLOOKUP($AT257&amp;"|"&amp;$CU257,LocTable,7,FALSE),VLOOKUP($AT257&amp;"|"&amp;$CU257,LocTable,6,FALSE)))),$BI257-10-$CR257))</f>
        <v/>
      </c>
      <c r="CY257" s="85">
        <f>IF($CS257,"",TRIM(IF(ISNUMBER($BU257),"A "&amp;TRIM(TEXT($BU257,"# ?/??"))&amp;CHAR(34)&amp;"  ","")&amp;IF(ISNUMBER($BV257),"B "&amp;TRIM(TEXT($BV257,"# ?/??"))&amp;CHAR(34)&amp;"  ","")&amp;IF(ISNUMBER($BW257),"C "&amp;TRIM(TEXT($BW257,"# ?/??"))&amp;CHAR(34)&amp;"  ","")&amp;IF(ISNUMBER($BX257),"D "&amp;TRIM(TEXT($BX257,"# ?/??"))&amp;CHAR(34)&amp;"  ","")&amp;IF(ISNUMBER($BY257),"F "&amp;TRIM(TEXT($BY257,"# ?/??"))&amp;CHAR(34)&amp;"  ","")&amp;IF(ISNUMBER($BZ257),"E "&amp;TRIM(TEXT($BZ257,"# ?/??"))&amp;CHAR(34)&amp;"  ","")))</f>
        <v/>
      </c>
      <c r="CZ257" s="85">
        <f>IF(OR($CS257,N($BJ257)=0),"",TRIM(IF(ISNUMBER($BU257),"A "&amp;TRIM(TEXT($BU257-HeadClr,"# ?/??"))&amp;CHAR(34)&amp;"  ","")&amp;IF(ISNUMBER($BV257),"B "&amp;TRIM(TEXT($BV257-HeadClr,"# ?/??"))&amp;CHAR(34)&amp;"  ","")&amp;IF(ISNUMBER($BW257),"C "&amp;TRIM(TEXT($BW257-HeadClr,"# ?/??"))&amp;CHAR(34)&amp;"  ","")&amp;IF(ISNUMBER($BX257),"D "&amp;TRIM(TEXT($BX257-HeadClr,"# ?/??"))&amp;CHAR(34)&amp;"  ","")&amp;IF(ISNUMBER($BY257),"F "&amp;TRIM(TEXT($BY257-HeadClr,"# ?/??"))&amp;CHAR(34)&amp;"  ","")&amp;IF(ISNUMBER($BZ257),"E "&amp;TRIM(TEXT($BZ257-HeadClr,"# ?/??"))&amp;CHAR(34)&amp;"  ","")))</f>
        <v/>
      </c>
      <c r="DA257" s="84">
        <f>IF($A257="","",IF($AN257="",IFERROR(VLOOKUP($Z257,CODES,2,FALSE),""),IFERROR(VLOOKUP($AN257,CODES,2,FALSE),"")))</f>
        <v/>
      </c>
      <c r="DB257" s="84">
        <f>IF($A257="","",IF($O257="Y","PR",IF(OR($Z257="L",$Z257="RR",LEFT($Z257,2)="L-",LEFT($Z257,3)="RR-"),"LH","RH")))</f>
        <v/>
      </c>
      <c r="DC257" s="84">
        <f>IF($A257="","","S.HM"&amp;IF(OR($C257="DOOR ONLY",$X257&lt;&gt;"KD"),"MASONRY","DRYWALL")&amp;IF($C257="DOOR ONLY","",$U257)&amp;IF(AND($C257&lt;&gt;"FRAME ONLY",OR(LEFT($AH257,3)="OAK",LEFT($AH257,3)="BIR",LEFT($AH257,3)="MAP",$AH257="PC",$AH257="MC",$AH257="SCLC",$AH257="P-LAM")),"WD","HM")&amp;"1.75")</f>
        <v/>
      </c>
      <c r="DD257" s="84">
        <f>IF($CJ257="","",IF($O257="Y",$CJ257,SUBSTITUTE($CJ257,$BG257&amp;" "&amp;IFERROR(VLOOKUP($Z257,CODES,2,FALSE),"")&amp;" ",$BG257&amp;" ")))</f>
        <v/>
      </c>
      <c r="DE257" s="84">
        <f>IF($CK257="","",IF($O257="Y",$CK257,SUBSTITUTE($CK257,$BG257&amp;" "&amp;IF($AN257="",IFERROR(VLOOKUP($Z257,CODES,2,FALSE),""),IFERROR(VLOOKUP($AN257,CODES,2,FALSE),""))&amp;" ",$BG257&amp;" ")))</f>
        <v/>
      </c>
      <c r="DF257" s="84">
        <f>IF($CJ257="","",$DC257&amp;"|"&amp;$DD257&amp;"|"&amp;$DB257&amp;"|"&amp;$AT257&amp;"|"&amp;$V257&amp;"|"&amp;$Y257&amp;"|"&amp;$AB257)</f>
        <v/>
      </c>
      <c r="DG257" s="84">
        <f>IF(DF257="","",IF(COUNTIF($DF$6:DF257,DF257)=1,MAX($DG$5:DG256)+1,INDEX($DG$5:DG256,MATCH(DF257,$DF$5:DF256,0))))</f>
        <v/>
      </c>
      <c r="DH257" s="84">
        <f>IF($CK257="","",$DC257&amp;"|"&amp;$DE257&amp;"|"&amp;$AI257&amp;"|"&amp;$BK257&amp;"|"&amp;$BL257)</f>
        <v/>
      </c>
      <c r="DI257" s="84">
        <f>IF(DH257="","",IF(COUNTIF($DH$6:DH257,DH257)=1,MAX($DI$5:DI256)+1,INDEX($DI$5:DI256,MATCH(DH257,$DH$5:DH256,0))))</f>
        <v/>
      </c>
      <c r="DJ257" s="84">
        <f>IF($A257="","",IF($B257="","qty, ","")&amp;IF($C257="","scope, ","")&amp;IF(OR($K257="",$M257=""),"size, ","")&amp;IF(AND($A257&lt;&gt;"",$C257&lt;&gt;"DOOR ONLY"),IF($U257="","jamb depth, ","")&amp;IF($X257="","construction, ","")&amp;IF($Y257="","anchor, ","")&amp;IF($S257="","frame type, ",""),"")&amp;IF(AND(N($BJ257)&gt;0,$Z257=""),"hand, ","")&amp;IF(N($BJ257)&gt;0,IF($AH257="","door material, ","")&amp;IF($AL257="","face type, ","")&amp;IF($AP257="","lock prep, ","")&amp;IF(AND($AO257="",$AC257=""),"hinge prep, ",""),"")&amp;IF(AND($CH257&gt;0,$AH257="FRP"),"FRP cannot carry a label, ","")&amp;IF(AND($O257="Y",OR($Z257="L",$Z257="R",$Z257="LR",$Z257="RR")),"pair marked but hand is single, ","")&amp;IF(AND($O257&lt;&gt;"Y",OR($Z257="PR",AND(LEN($Z257)&gt;1,ISNUMBER(SEARCH("-",$Z257))))),"pair hand on a single door, ","")&amp;IF(AND(ISNUMBER($CI257),$CH257&lt;N($CI257)),"wall needs a "&amp;$CI257&amp;" min door, ","")&amp;IF(AND($CH257&gt;=180,AND(OR($CE257="FG",$CE257="HG",$CE257="FNV",$CE257="FV"),N($CF257)*N($CG257)&gt;100)),"180 min lite over 100 sq in, ","")&amp;IF(N($BK257)&gt;48,"leaf wider than 4'-0"&amp;CHAR(34)&amp;", ","")&amp;IF(AND($CT257,COUNT($AW257:$AZ257)=0,$CQ257&gt;0),"CUSTOM LOC with no locations typed, ",""))</f>
        <v/>
      </c>
      <c r="DK257" s="84">
        <f>IF($A257="","",IF(AND($CH257&gt;0,AND($A257&lt;&gt;"",$C257&lt;&gt;"DOOR ONLY"),$X257="KD",$E257="EXTERIOR"),"KD label on an exterior opening, ","")&amp;IF(AND($E257="EXTERIOR",OR(AND(AND($A257&lt;&gt;"",$C257&lt;&gt;"DOOR ONLY"),$W257="CR"),AND(N($BJ257)&gt;0,$AH257="CR"))),"exterior in CR steel (G9?), ","")&amp;IF(AND(ISNUMBER($BQ257),N($BQ257)&lt;32),"clear width ~"&amp;TEXT($BQ257,"0.0")&amp;CHAR(34)&amp;" under 32"&amp;CHAR(34)&amp;" (ADA), ","")&amp;IF(AND($CH257=90,AND(OR($CE257="FG",$CE257="HG",$CE257="FNV",$CE257="FV"),N($CF257)*N($CG257)&gt;100)),"90 min lite over 100 sq in (stair/exit), ","")&amp;IF(AND($CH257&gt;0,AND($A257&lt;&gt;"",$C257&lt;&gt;"DOOR ONLY"),OR($AF257="",$AF257="-")),"rated: closer reinf.?, ","")&amp;IF(OR($I257="CORRIDOR",$I257="SMOKE BARRIER"),"S label + smoke gasketing, ","")&amp;IF($CI257="?","wall type/hr not in IBC table, ","")&amp;IF(AND(N($BJ257)&gt;0,$BB257=""),"no hardware set, ","")&amp;IF(AND($BB257&lt;&gt;"",ISNA(MATCH($BB257&amp;"",HWSets,0))),"set "&amp;$BB257&amp;" not on HW Sets, ","")&amp;IF(N($BL257)&gt;96,"leaf over 8'-0"&amp;CHAR(34)&amp;" - check listing, ","")&amp;IF(AND($CT257,COUNT($AW257:$AZ257)&gt;0,COUNT($AW257:$AZ257)&lt;&gt;$CQ257),COUNT($AW257:$AZ257)&amp;" custom hinges typed, "&amp;$CQ257&amp;" expected, ","")&amp;IF(AND(ISNUMBER($CA257),OR(N($CA257)&lt;34,N($CA257)&gt;48)),"lock "&amp;TEXT($CA257,"0.0")&amp;CHAR(34)&amp;" AFF outside 34-48"&amp;CHAR(34)&amp;" (ADA), ","")&amp;IF(AND(ISNUMBER($AV257),ISNUMBER($BL257),N($AV257)&lt;IF(N($BL257)&lt;=60,2,IF(N($BL257)&lt;=90,3,IF(N($BL257)&lt;=120,4,5)))),"fewer hinges than standard, ",""))</f>
        <v/>
      </c>
    </row>
    <row r="258" ht="15" customHeight="1">
      <c r="A258" s="77" t="n"/>
      <c r="B258" s="78" t="n"/>
      <c r="C258" s="78" t="n"/>
      <c r="D258" s="78" t="n"/>
      <c r="E258" s="78" t="n"/>
      <c r="F258" s="78" t="n"/>
      <c r="G258" s="78" t="n"/>
      <c r="H258" s="78" t="n"/>
      <c r="I258" s="78" t="n"/>
      <c r="J258" s="78" t="n"/>
      <c r="K258" s="78" t="n"/>
      <c r="L258" s="78" t="n"/>
      <c r="M258" s="78" t="n"/>
      <c r="N258" s="78" t="n"/>
      <c r="O258" s="78" t="n"/>
      <c r="P258" s="78" t="n"/>
      <c r="Q258" s="78" t="n"/>
      <c r="R258" s="78" t="n"/>
      <c r="S258" s="79" t="n"/>
      <c r="T258" s="79" t="n"/>
      <c r="U258" s="79" t="n"/>
      <c r="V258" s="79" t="n"/>
      <c r="W258" s="79" t="n"/>
      <c r="X258" s="79" t="n"/>
      <c r="Y258" s="79" t="n"/>
      <c r="Z258" s="79" t="n"/>
      <c r="AA258" s="79" t="n"/>
      <c r="AB258" s="79" t="n"/>
      <c r="AC258" s="79" t="n"/>
      <c r="AD258" s="79" t="n"/>
      <c r="AE258" s="79" t="n"/>
      <c r="AF258" s="79" t="n"/>
      <c r="AG258" s="79" t="n"/>
      <c r="AH258" s="80" t="n"/>
      <c r="AI258" s="80" t="n"/>
      <c r="AJ258" s="80" t="n"/>
      <c r="AK258" s="80" t="n"/>
      <c r="AL258" s="80" t="n"/>
      <c r="AM258" s="80" t="n"/>
      <c r="AN258" s="80" t="n"/>
      <c r="AO258" s="80" t="n"/>
      <c r="AP258" s="80" t="n"/>
      <c r="AQ258" s="80" t="n"/>
      <c r="AR258" s="80" t="n"/>
      <c r="AS258" s="80" t="n"/>
      <c r="AT258" s="81" t="n"/>
      <c r="AU258" s="81" t="n"/>
      <c r="AV258" s="81" t="n"/>
      <c r="AW258" s="82" t="n"/>
      <c r="AX258" s="82" t="n"/>
      <c r="AY258" s="82" t="n"/>
      <c r="AZ258" s="82" t="n"/>
      <c r="BA258" s="82" t="n"/>
      <c r="BB258" s="83" t="n"/>
      <c r="BC258" s="83" t="n"/>
      <c r="BD258" s="84">
        <f>IF($A258="","",IF($DJ258&lt;&gt;"","FIX",IF($DK258&lt;&gt;"","CHECK","OK")))</f>
        <v/>
      </c>
      <c r="BE258" s="85">
        <f>IF($A258="","",IF($DJ258&lt;&gt;"","FIX: "&amp;LEFT($DJ258,LEN($DJ258)-2)&amp;IF($DK258&lt;&gt;"","  ·  ",""),"")&amp;IF($DK258&lt;&gt;"","CHECK: "&amp;LEFT($DK258,LEN($DK258)-2),""))</f>
        <v/>
      </c>
      <c r="BF258" s="84">
        <f>IF(OR($A258="",$K258=""),"",$K258&amp;"'-"&amp;N($L258)&amp;CHAR(34)&amp;" x "&amp;$M258&amp;"'-"&amp;N($N258)&amp;CHAR(34))</f>
        <v/>
      </c>
      <c r="BG258" s="84">
        <f>IF(OR($A258="",$K258=""),"",$K258&amp;N($L258)&amp;$M258&amp;N($N258))</f>
        <v/>
      </c>
      <c r="BH258" s="84">
        <f>IF(OR($A258="",$K258=""),"",$K258*12+N($L258))</f>
        <v/>
      </c>
      <c r="BI258" s="84">
        <f>IF(OR($A258="",$M258=""),"",$M258*12+N($N258))</f>
        <v/>
      </c>
      <c r="BJ258" s="84">
        <f>IF($A258="","",IF(OR($C258="FRAME ONLY",$S258="BL"),0,IF($O258="Y",2,1)))</f>
        <v/>
      </c>
      <c r="BK258" s="86">
        <f>IF(OR(N($BJ258)=0,$BH258=""),"",($BH258-2*EdgeClr-IF($BJ258=2,MeetClr,0))/$BJ258)</f>
        <v/>
      </c>
      <c r="BL258" s="86">
        <f>IF(OR(N($BJ258)=0,$BI258=""),"",$BI258-HeadClr-Undercut)</f>
        <v/>
      </c>
      <c r="BM258" s="86">
        <f>IF($BH258="","",$BH258+2*FaceW+IF(N($Q258)&gt;0,($Q258+FaceW)*IF($R258="LR",2,1),0))</f>
        <v/>
      </c>
      <c r="BN258" s="86">
        <f>IF($BI258="","",$BI258+IF($AB258="Y",4,FaceW)+IF(N($P258)&gt;0,$P258+FaceW,0)+IF(OR($S258="4F",$S258="BL"),FaceW,0))</f>
        <v/>
      </c>
      <c r="BO258" s="86">
        <f>IF($BM258="","",$BM258+2*ROSide)</f>
        <v/>
      </c>
      <c r="BP258" s="86">
        <f>IF($BN258="","",$BN258+ROTop)</f>
        <v/>
      </c>
      <c r="BQ258" s="87">
        <f>IF(OR(N($BJ258)=0,$BH258=""),"",$BH258/$BJ258-ClearDeduct)</f>
        <v/>
      </c>
      <c r="BR258" s="84">
        <f>IF(N($CH258)=0,"",IF($CH258&gt;=180,"A · 3 HR",IF($CH258&gt;=90,"B · 1-1/2 HR",IF($CH258&gt;=60,"B · 1 HR",IF($CH258&gt;=45,"C · 3/4 HR","20 MIN")))))&amp;IF(AND(N($CH258)&gt;0,OR($I258="CORRIDOR",$I258="SMOKE BARRIER"))," · S","")</f>
        <v/>
      </c>
      <c r="BS258" s="84">
        <f>IF($CS258,"",IF($AV258&lt;&gt;"",$AV258,IF(OR($AC258="HGC",$AO258="HGC"),"CONT",IF(($BI258-HeadClr-Undercut)&lt;=60,2,IF(($BI258-HeadClr-Undercut)&lt;=90,3,IF(($BI258-HeadClr-Undercut)&lt;=120,4,5))))))</f>
        <v/>
      </c>
      <c r="BT258" s="84">
        <f>IF($CS258,"",IF($CT258,"CUSTOM (typed)",IF($CV258,$AT258&amp;" "&amp;$CU258&amp;CHAR(34)&amp;IF($CU258&lt;&gt;$BI258,IF(AND($BI258&lt;$CU258,$BI258-IF(N(VLOOKUP($AT258&amp;"|"&amp;$CU258,LocTable,7,FALSE))&gt;0,VLOOKUP($AT258&amp;"|"&amp;$CU258,LocTable,7,FALSE),VLOOKUP($AT258&amp;"|"&amp;$CU258,LocTable,6,FALSE))-$CR258-0.75&gt;=2.125)," cut down"," adj."),""),"ANSI/SDI A250.6")))</f>
        <v/>
      </c>
      <c r="BU258" s="88">
        <f>IF($CS258,"",IF($CT258,IF(N($AW258)&gt;0,N($AW258),""),IF(1&gt;$CQ258,"",IF($CQ258=1,$CW258,$CW258+($CX258-$CW258)*0/($CQ258-1)))))</f>
        <v/>
      </c>
      <c r="BV258" s="88">
        <f>IF($CS258,"",IF($CT258,IF(N($AX258)&gt;0,N($AX258),""),IF(2&gt;$CQ258,"",IF($CQ258=1,$CW258,$CW258+($CX258-$CW258)*1/($CQ258-1)))))</f>
        <v/>
      </c>
      <c r="BW258" s="88">
        <f>IF($CS258,"",IF($CT258,IF(N($AY258)&gt;0,N($AY258),""),IF(3&gt;$CQ258,"",IF($CQ258=1,$CW258,$CW258+($CX258-$CW258)*2/($CQ258-1)))))</f>
        <v/>
      </c>
      <c r="BX258" s="88">
        <f>IF($CS258,"",IF($CT258,IF(N($AZ258)&gt;0,N($AZ258),""),IF(4&gt;$CQ258,"",IF($CQ258=1,$CW258,$CW258+($CX258-$CW258)*3/($CQ258-1)))))</f>
        <v/>
      </c>
      <c r="BY258" s="88">
        <f>IF($CS258,"",IF($CT258,"",IF(5&gt;$CQ258,"",IF($CQ258=1,$CW258,$CW258+($CX258-$CW258)*4/($CQ258-1)))))</f>
        <v/>
      </c>
      <c r="BZ258" s="88">
        <f>IF(OR($CS258,$AP258="-",AND($AP258="",$AD258="")),"",IF(N($BA258)&gt;0,N($BA258),IF($CV258,IF(AND($BI258&lt;$CU258,$BI258-IF(N(VLOOKUP($AT258&amp;"|"&amp;$CU258,LocTable,7,FALSE))&gt;0,VLOOKUP($AT258&amp;"|"&amp;$CU258,LocTable,7,FALSE),VLOOKUP($AT258&amp;"|"&amp;$CU258,LocTable,6,FALSE))-$CR258-0.75&gt;=2.125),VLOOKUP($AT258&amp;"|"&amp;$CU258,LocTable,8,FALSE),VLOOKUP($AT258&amp;"|"&amp;$CU258,LocTable,8,FALSE)+($BI258-$CU258)),$BI258-LockAFF)))</f>
        <v/>
      </c>
      <c r="CA258" s="89">
        <f>IF($BZ258="","",$BI258-$BZ258)</f>
        <v/>
      </c>
      <c r="CB258" s="84">
        <f>IF(OR(NOT(AND($A258&lt;&gt;"",$C258&lt;&gt;"DOOR ONLY")),$BI258=""),"",IF(($BI258+IF(N($P258)&gt;0,$P258+FaceW,0))&lt;=90,3,IF(($BI258+IF(N($P258)&gt;0,$P258+FaceW,0))&lt;=114,4,5)))</f>
        <v/>
      </c>
      <c r="CC258" s="84">
        <f>IF($CB258="","",$CB258*(2+IF(N($Q258)&gt;0,IF($R258="LR",2,1),0)))</f>
        <v/>
      </c>
      <c r="CD258" s="84">
        <f>IF($CB258="","",(2+IF(N($Q258)&gt;0,IF($R258="LR",2,1),0)))</f>
        <v/>
      </c>
      <c r="CE258" s="84">
        <f>IF(N($BJ258)=0,"",IF(OR($AL258="",$AL258="FLUSH"),"FLUSH",IFERROR(LEFT($AL258,FIND("-",$AL258)-1),LEFT($AL258,2))))</f>
        <v/>
      </c>
      <c r="CF258" s="84">
        <f>IF($CE258="","",IFERROR(VALUE(MID($AL258,FIND("-",$AL258)+1,FIND(CHAR(34)&amp;"x",$AL258)-FIND("-",$AL258)-1)),0))</f>
        <v/>
      </c>
      <c r="CG258" s="84">
        <f>IF($CE258="","",IFERROR(VALUE(MID($AL258,FIND(CHAR(34)&amp;"x",$AL258)+2,FIND(CHAR(34),$AL258,FIND(CHAR(34)&amp;"x",$AL258)+2)-FIND(CHAR(34)&amp;"x",$AL258)-2)),0))</f>
        <v/>
      </c>
      <c r="CH258" s="90">
        <f>IF(OR($A258="",$H258="",$H258="NO LAB"),0,IFERROR(VALUE(LEFT($H258,FIND(" ",$H258)-1)),0))</f>
        <v/>
      </c>
      <c r="CI258" s="91">
        <f>IF(OR($A258="",$I258="",$I258="NON-RATED",N($J258)=0),"",IFERROR(VLOOKUP($I258&amp;"|"&amp;$J258,IBC,2,FALSE),"?"))</f>
        <v/>
      </c>
      <c r="CJ258" s="85">
        <f>IF(NOT(AND($A258&lt;&gt;"",$C258&lt;&gt;"DOOR ONLY")),"",TRIM(IFERROR(VLOOKUP($U258,CODES,2,FALSE),"")&amp;" "&amp;$BG258&amp;" "&amp;IFERROR(VLOOKUP($Z258,CODES,2,FALSE),"")&amp;" "&amp;IFERROR(VLOOKUP($X258,CODES,2,FALSE),"")&amp;" "&amp;IFERROR(VLOOKUP($S258,CODES,2,FALSE),"")&amp;IF(N($P258)&gt;0," w/TRANSOM "&amp;$P258&amp;CHAR(34),"")&amp;IF(N($Q258)&gt;0," w/SIDELITE "&amp;$Q258&amp;CHAR(34)&amp;" "&amp;IF($R258="","R",$R258),"")&amp;IF($Y258="","  |  "," | "&amp;IFERROR(VLOOKUP($Y258,CODES,2,FALSE),"")&amp;" | ")&amp;IFERROR(VLOOKUP($AC258,CODES,2,FALSE),"")&amp;" "&amp;IFERROR(VLOOKUP($AD258,CODES,2,FALSE),"")&amp;IF(OR($AE258="",$AE258="-"),""," "&amp;$AE258)&amp;IF(OR($AF258="",$AF258="-"),""," "&amp;$AF258)&amp;IF($AB258="Y"," 4"&amp;CHAR(34)&amp;" HEAD","")&amp;" "&amp;IFERROR(VLOOKUP($H258,CODES,2,FALSE),"")&amp;IF($CT258," | LOC "&amp;$CY258,"")))</f>
        <v/>
      </c>
      <c r="CK258" s="85">
        <f>IF(NOT(AND($A258&lt;&gt;"",N($BJ258)&gt;0)),"",TRIM(IFERROR(VLOOKUP($AH258,CODES,2,FALSE),"")&amp;IF($AI258=""," "," "&amp;$AI258&amp;"GA ")&amp;$BG258&amp;" "&amp;IF($AN258="",IFERROR(VLOOKUP($Z258,CODES,2,FALSE),""),IFERROR(VLOOKUP($AN258,CODES,2,FALSE),""))&amp;IF($BJ258=2," PAIR","")&amp;" DOOR | "&amp;IF($AL258="","?",$AL258)&amp;" | "&amp;IF($AO258="",IFERROR(VLOOKUP($AC258,CODES,2,FALSE),""),IFERROR(VLOOKUP($AO258,CODES,2,FALSE),""))&amp;" "&amp;IFERROR(VLOOKUP($AP258,CODES,2,FALSE),"")&amp;IF(OR($AQ258="",$AQ258="-"),""," SEAM "&amp;$AQ258)&amp;IF($AR258="Y"," ASTRAGAL","")&amp;IF($AJ258=""," "," "&amp;$AJ258)&amp;IF($AK258=""," "," "&amp;$AK258)&amp;IF(OR($AT258="",$AT258="ANSI/SDI",$AT258="CUSTOM LOC"),""," "&amp;$AT258)&amp;IF($AM258=""," "," SERIES "&amp;$AM258)&amp;" "&amp;IFERROR(VLOOKUP($H258,CODES,2,FALSE),"")&amp;IF($CT258," | LOC "&amp;$CZ258,"")))</f>
        <v/>
      </c>
      <c r="CL258" s="84">
        <f>IF(CP258="","",IF(COUNTIF($CP$6:CP258,CP258)=1,MAX($CL$5:CL257)+1,INDEX($CL$5:CL257,MATCH(CP258,$CP$5:CP257,0))))</f>
        <v/>
      </c>
      <c r="CM258" s="84">
        <f>IF(NOT(AND($A258&lt;&gt;"",$C258&lt;&gt;"DOOR ONLY")),"",MAX($CM$5:CM257)+1)</f>
        <v/>
      </c>
      <c r="CN258" s="84">
        <f>IF(NOT(AND($A258&lt;&gt;"",N($BJ258)&gt;0)),"",MAX($CN$5:CN257)+1)</f>
        <v/>
      </c>
      <c r="CO258" s="84">
        <f>IF($A258="","",MAX($CO$5:CO257)+1)</f>
        <v/>
      </c>
      <c r="CP258" s="84">
        <f>IF(OR($A258="",$BH258="",$BI258=""),"",$BG258&amp;"|"&amp;$O258&amp;"|"&amp;$AL258&amp;"|"&amp;$S258&amp;"|"&amp;$P258&amp;"|"&amp;$Q258&amp;$R258&amp;"|"&amp;$C258&amp;"|"&amp;$AB258)</f>
        <v/>
      </c>
      <c r="CQ258" s="84">
        <f>N($BS258)</f>
        <v/>
      </c>
      <c r="CR258" s="84">
        <f>IF(N($AU258)&gt;0,N($AU258),4.5)</f>
        <v/>
      </c>
      <c r="CS258" s="84">
        <f>OR($A258="",$BI258="",$S258="BL",AND($C258="FRAME ONLY",OR($AC258="",$AC258="BLK")))</f>
        <v/>
      </c>
      <c r="CT258" s="84">
        <f>AND(NOT($CS258),OR($AT258="CUSTOM LOC",N($AW258)+N($AX258)+N($AY258)+N($AZ258)+N($BA258)&gt;0))</f>
        <v/>
      </c>
      <c r="CU258" s="84">
        <f>IF($BI258="","",IF($BI258&lt;=80,80,IF($BI258&lt;=84,84,96)))</f>
        <v/>
      </c>
      <c r="CV258" s="84">
        <f>ISNUMBER(MATCH($AT258&amp;"|80",LocKeys,0))</f>
        <v/>
      </c>
      <c r="CW258" s="86">
        <f>IF($CS258,"",IF($CV258,VLOOKUP($AT258&amp;"|"&amp;$CU258,LocTable,4,FALSE),5))</f>
        <v/>
      </c>
      <c r="CX258" s="86">
        <f>IF($CS258,"",IF($CV258,IF(OR($BI258=$CU258,AND($BI258&lt;$CU258,$BI258-IF(N(VLOOKUP($AT258&amp;"|"&amp;$CU258,LocTable,7,FALSE))&gt;0,VLOOKUP($AT258&amp;"|"&amp;$CU258,LocTable,7,FALSE),VLOOKUP($AT258&amp;"|"&amp;$CU258,LocTable,6,FALSE))-$CR258-0.75&gt;=2.125)),IF(N(VLOOKUP($AT258&amp;"|"&amp;$CU258,LocTable,7,FALSE))&gt;0,VLOOKUP($AT258&amp;"|"&amp;$CU258,LocTable,7,FALSE),VLOOKUP($AT258&amp;"|"&amp;$CU258,LocTable,6,FALSE)),$BI258-($CU258-IF(N(VLOOKUP($AT258&amp;"|"&amp;$CU258,LocTable,7,FALSE))&gt;0,VLOOKUP($AT258&amp;"|"&amp;$CU258,LocTable,7,FALSE),VLOOKUP($AT258&amp;"|"&amp;$CU258,LocTable,6,FALSE)))),$BI258-10-$CR258))</f>
        <v/>
      </c>
      <c r="CY258" s="85">
        <f>IF($CS258,"",TRIM(IF(ISNUMBER($BU258),"A "&amp;TRIM(TEXT($BU258,"# ?/??"))&amp;CHAR(34)&amp;"  ","")&amp;IF(ISNUMBER($BV258),"B "&amp;TRIM(TEXT($BV258,"# ?/??"))&amp;CHAR(34)&amp;"  ","")&amp;IF(ISNUMBER($BW258),"C "&amp;TRIM(TEXT($BW258,"# ?/??"))&amp;CHAR(34)&amp;"  ","")&amp;IF(ISNUMBER($BX258),"D "&amp;TRIM(TEXT($BX258,"# ?/??"))&amp;CHAR(34)&amp;"  ","")&amp;IF(ISNUMBER($BY258),"F "&amp;TRIM(TEXT($BY258,"# ?/??"))&amp;CHAR(34)&amp;"  ","")&amp;IF(ISNUMBER($BZ258),"E "&amp;TRIM(TEXT($BZ258,"# ?/??"))&amp;CHAR(34)&amp;"  ","")))</f>
        <v/>
      </c>
      <c r="CZ258" s="85">
        <f>IF(OR($CS258,N($BJ258)=0),"",TRIM(IF(ISNUMBER($BU258),"A "&amp;TRIM(TEXT($BU258-HeadClr,"# ?/??"))&amp;CHAR(34)&amp;"  ","")&amp;IF(ISNUMBER($BV258),"B "&amp;TRIM(TEXT($BV258-HeadClr,"# ?/??"))&amp;CHAR(34)&amp;"  ","")&amp;IF(ISNUMBER($BW258),"C "&amp;TRIM(TEXT($BW258-HeadClr,"# ?/??"))&amp;CHAR(34)&amp;"  ","")&amp;IF(ISNUMBER($BX258),"D "&amp;TRIM(TEXT($BX258-HeadClr,"# ?/??"))&amp;CHAR(34)&amp;"  ","")&amp;IF(ISNUMBER($BY258),"F "&amp;TRIM(TEXT($BY258-HeadClr,"# ?/??"))&amp;CHAR(34)&amp;"  ","")&amp;IF(ISNUMBER($BZ258),"E "&amp;TRIM(TEXT($BZ258-HeadClr,"# ?/??"))&amp;CHAR(34)&amp;"  ","")))</f>
        <v/>
      </c>
      <c r="DA258" s="84">
        <f>IF($A258="","",IF($AN258="",IFERROR(VLOOKUP($Z258,CODES,2,FALSE),""),IFERROR(VLOOKUP($AN258,CODES,2,FALSE),"")))</f>
        <v/>
      </c>
      <c r="DB258" s="84">
        <f>IF($A258="","",IF($O258="Y","PR",IF(OR($Z258="L",$Z258="RR",LEFT($Z258,2)="L-",LEFT($Z258,3)="RR-"),"LH","RH")))</f>
        <v/>
      </c>
      <c r="DC258" s="84">
        <f>IF($A258="","","S.HM"&amp;IF(OR($C258="DOOR ONLY",$X258&lt;&gt;"KD"),"MASONRY","DRYWALL")&amp;IF($C258="DOOR ONLY","",$U258)&amp;IF(AND($C258&lt;&gt;"FRAME ONLY",OR(LEFT($AH258,3)="OAK",LEFT($AH258,3)="BIR",LEFT($AH258,3)="MAP",$AH258="PC",$AH258="MC",$AH258="SCLC",$AH258="P-LAM")),"WD","HM")&amp;"1.75")</f>
        <v/>
      </c>
      <c r="DD258" s="84">
        <f>IF($CJ258="","",IF($O258="Y",$CJ258,SUBSTITUTE($CJ258,$BG258&amp;" "&amp;IFERROR(VLOOKUP($Z258,CODES,2,FALSE),"")&amp;" ",$BG258&amp;" ")))</f>
        <v/>
      </c>
      <c r="DE258" s="84">
        <f>IF($CK258="","",IF($O258="Y",$CK258,SUBSTITUTE($CK258,$BG258&amp;" "&amp;IF($AN258="",IFERROR(VLOOKUP($Z258,CODES,2,FALSE),""),IFERROR(VLOOKUP($AN258,CODES,2,FALSE),""))&amp;" ",$BG258&amp;" ")))</f>
        <v/>
      </c>
      <c r="DF258" s="84">
        <f>IF($CJ258="","",$DC258&amp;"|"&amp;$DD258&amp;"|"&amp;$DB258&amp;"|"&amp;$AT258&amp;"|"&amp;$V258&amp;"|"&amp;$Y258&amp;"|"&amp;$AB258)</f>
        <v/>
      </c>
      <c r="DG258" s="84">
        <f>IF(DF258="","",IF(COUNTIF($DF$6:DF258,DF258)=1,MAX($DG$5:DG257)+1,INDEX($DG$5:DG257,MATCH(DF258,$DF$5:DF257,0))))</f>
        <v/>
      </c>
      <c r="DH258" s="84">
        <f>IF($CK258="","",$DC258&amp;"|"&amp;$DE258&amp;"|"&amp;$AI258&amp;"|"&amp;$BK258&amp;"|"&amp;$BL258)</f>
        <v/>
      </c>
      <c r="DI258" s="84">
        <f>IF(DH258="","",IF(COUNTIF($DH$6:DH258,DH258)=1,MAX($DI$5:DI257)+1,INDEX($DI$5:DI257,MATCH(DH258,$DH$5:DH257,0))))</f>
        <v/>
      </c>
      <c r="DJ258" s="84">
        <f>IF($A258="","",IF($B258="","qty, ","")&amp;IF($C258="","scope, ","")&amp;IF(OR($K258="",$M258=""),"size, ","")&amp;IF(AND($A258&lt;&gt;"",$C258&lt;&gt;"DOOR ONLY"),IF($U258="","jamb depth, ","")&amp;IF($X258="","construction, ","")&amp;IF($Y258="","anchor, ","")&amp;IF($S258="","frame type, ",""),"")&amp;IF(AND(N($BJ258)&gt;0,$Z258=""),"hand, ","")&amp;IF(N($BJ258)&gt;0,IF($AH258="","door material, ","")&amp;IF($AL258="","face type, ","")&amp;IF($AP258="","lock prep, ","")&amp;IF(AND($AO258="",$AC258=""),"hinge prep, ",""),"")&amp;IF(AND($CH258&gt;0,$AH258="FRP"),"FRP cannot carry a label, ","")&amp;IF(AND($O258="Y",OR($Z258="L",$Z258="R",$Z258="LR",$Z258="RR")),"pair marked but hand is single, ","")&amp;IF(AND($O258&lt;&gt;"Y",OR($Z258="PR",AND(LEN($Z258)&gt;1,ISNUMBER(SEARCH("-",$Z258))))),"pair hand on a single door, ","")&amp;IF(AND(ISNUMBER($CI258),$CH258&lt;N($CI258)),"wall needs a "&amp;$CI258&amp;" min door, ","")&amp;IF(AND($CH258&gt;=180,AND(OR($CE258="FG",$CE258="HG",$CE258="FNV",$CE258="FV"),N($CF258)*N($CG258)&gt;100)),"180 min lite over 100 sq in, ","")&amp;IF(N($BK258)&gt;48,"leaf wider than 4'-0"&amp;CHAR(34)&amp;", ","")&amp;IF(AND($CT258,COUNT($AW258:$AZ258)=0,$CQ258&gt;0),"CUSTOM LOC with no locations typed, ",""))</f>
        <v/>
      </c>
      <c r="DK258" s="84">
        <f>IF($A258="","",IF(AND($CH258&gt;0,AND($A258&lt;&gt;"",$C258&lt;&gt;"DOOR ONLY"),$X258="KD",$E258="EXTERIOR"),"KD label on an exterior opening, ","")&amp;IF(AND($E258="EXTERIOR",OR(AND(AND($A258&lt;&gt;"",$C258&lt;&gt;"DOOR ONLY"),$W258="CR"),AND(N($BJ258)&gt;0,$AH258="CR"))),"exterior in CR steel (G9?), ","")&amp;IF(AND(ISNUMBER($BQ258),N($BQ258)&lt;32),"clear width ~"&amp;TEXT($BQ258,"0.0")&amp;CHAR(34)&amp;" under 32"&amp;CHAR(34)&amp;" (ADA), ","")&amp;IF(AND($CH258=90,AND(OR($CE258="FG",$CE258="HG",$CE258="FNV",$CE258="FV"),N($CF258)*N($CG258)&gt;100)),"90 min lite over 100 sq in (stair/exit), ","")&amp;IF(AND($CH258&gt;0,AND($A258&lt;&gt;"",$C258&lt;&gt;"DOOR ONLY"),OR($AF258="",$AF258="-")),"rated: closer reinf.?, ","")&amp;IF(OR($I258="CORRIDOR",$I258="SMOKE BARRIER"),"S label + smoke gasketing, ","")&amp;IF($CI258="?","wall type/hr not in IBC table, ","")&amp;IF(AND(N($BJ258)&gt;0,$BB258=""),"no hardware set, ","")&amp;IF(AND($BB258&lt;&gt;"",ISNA(MATCH($BB258&amp;"",HWSets,0))),"set "&amp;$BB258&amp;" not on HW Sets, ","")&amp;IF(N($BL258)&gt;96,"leaf over 8'-0"&amp;CHAR(34)&amp;" - check listing, ","")&amp;IF(AND($CT258,COUNT($AW258:$AZ258)&gt;0,COUNT($AW258:$AZ258)&lt;&gt;$CQ258),COUNT($AW258:$AZ258)&amp;" custom hinges typed, "&amp;$CQ258&amp;" expected, ","")&amp;IF(AND(ISNUMBER($CA258),OR(N($CA258)&lt;34,N($CA258)&gt;48)),"lock "&amp;TEXT($CA258,"0.0")&amp;CHAR(34)&amp;" AFF outside 34-48"&amp;CHAR(34)&amp;" (ADA), ","")&amp;IF(AND(ISNUMBER($AV258),ISNUMBER($BL258),N($AV258)&lt;IF(N($BL258)&lt;=60,2,IF(N($BL258)&lt;=90,3,IF(N($BL258)&lt;=120,4,5)))),"fewer hinges than standard, ",""))</f>
        <v/>
      </c>
    </row>
    <row r="259" ht="15" customHeight="1">
      <c r="A259" s="77" t="n"/>
      <c r="B259" s="78" t="n"/>
      <c r="C259" s="78" t="n"/>
      <c r="D259" s="78" t="n"/>
      <c r="E259" s="78" t="n"/>
      <c r="F259" s="78" t="n"/>
      <c r="G259" s="78" t="n"/>
      <c r="H259" s="78" t="n"/>
      <c r="I259" s="78" t="n"/>
      <c r="J259" s="78" t="n"/>
      <c r="K259" s="78" t="n"/>
      <c r="L259" s="78" t="n"/>
      <c r="M259" s="78" t="n"/>
      <c r="N259" s="78" t="n"/>
      <c r="O259" s="78" t="n"/>
      <c r="P259" s="78" t="n"/>
      <c r="Q259" s="78" t="n"/>
      <c r="R259" s="78" t="n"/>
      <c r="S259" s="79" t="n"/>
      <c r="T259" s="79" t="n"/>
      <c r="U259" s="79" t="n"/>
      <c r="V259" s="79" t="n"/>
      <c r="W259" s="79" t="n"/>
      <c r="X259" s="79" t="n"/>
      <c r="Y259" s="79" t="n"/>
      <c r="Z259" s="79" t="n"/>
      <c r="AA259" s="79" t="n"/>
      <c r="AB259" s="79" t="n"/>
      <c r="AC259" s="79" t="n"/>
      <c r="AD259" s="79" t="n"/>
      <c r="AE259" s="79" t="n"/>
      <c r="AF259" s="79" t="n"/>
      <c r="AG259" s="79" t="n"/>
      <c r="AH259" s="80" t="n"/>
      <c r="AI259" s="80" t="n"/>
      <c r="AJ259" s="80" t="n"/>
      <c r="AK259" s="80" t="n"/>
      <c r="AL259" s="80" t="n"/>
      <c r="AM259" s="80" t="n"/>
      <c r="AN259" s="80" t="n"/>
      <c r="AO259" s="80" t="n"/>
      <c r="AP259" s="80" t="n"/>
      <c r="AQ259" s="80" t="n"/>
      <c r="AR259" s="80" t="n"/>
      <c r="AS259" s="80" t="n"/>
      <c r="AT259" s="81" t="n"/>
      <c r="AU259" s="81" t="n"/>
      <c r="AV259" s="81" t="n"/>
      <c r="AW259" s="82" t="n"/>
      <c r="AX259" s="82" t="n"/>
      <c r="AY259" s="82" t="n"/>
      <c r="AZ259" s="82" t="n"/>
      <c r="BA259" s="82" t="n"/>
      <c r="BB259" s="83" t="n"/>
      <c r="BC259" s="83" t="n"/>
      <c r="BD259" s="84">
        <f>IF($A259="","",IF($DJ259&lt;&gt;"","FIX",IF($DK259&lt;&gt;"","CHECK","OK")))</f>
        <v/>
      </c>
      <c r="BE259" s="85">
        <f>IF($A259="","",IF($DJ259&lt;&gt;"","FIX: "&amp;LEFT($DJ259,LEN($DJ259)-2)&amp;IF($DK259&lt;&gt;"","  ·  ",""),"")&amp;IF($DK259&lt;&gt;"","CHECK: "&amp;LEFT($DK259,LEN($DK259)-2),""))</f>
        <v/>
      </c>
      <c r="BF259" s="84">
        <f>IF(OR($A259="",$K259=""),"",$K259&amp;"'-"&amp;N($L259)&amp;CHAR(34)&amp;" x "&amp;$M259&amp;"'-"&amp;N($N259)&amp;CHAR(34))</f>
        <v/>
      </c>
      <c r="BG259" s="84">
        <f>IF(OR($A259="",$K259=""),"",$K259&amp;N($L259)&amp;$M259&amp;N($N259))</f>
        <v/>
      </c>
      <c r="BH259" s="84">
        <f>IF(OR($A259="",$K259=""),"",$K259*12+N($L259))</f>
        <v/>
      </c>
      <c r="BI259" s="84">
        <f>IF(OR($A259="",$M259=""),"",$M259*12+N($N259))</f>
        <v/>
      </c>
      <c r="BJ259" s="84">
        <f>IF($A259="","",IF(OR($C259="FRAME ONLY",$S259="BL"),0,IF($O259="Y",2,1)))</f>
        <v/>
      </c>
      <c r="BK259" s="86">
        <f>IF(OR(N($BJ259)=0,$BH259=""),"",($BH259-2*EdgeClr-IF($BJ259=2,MeetClr,0))/$BJ259)</f>
        <v/>
      </c>
      <c r="BL259" s="86">
        <f>IF(OR(N($BJ259)=0,$BI259=""),"",$BI259-HeadClr-Undercut)</f>
        <v/>
      </c>
      <c r="BM259" s="86">
        <f>IF($BH259="","",$BH259+2*FaceW+IF(N($Q259)&gt;0,($Q259+FaceW)*IF($R259="LR",2,1),0))</f>
        <v/>
      </c>
      <c r="BN259" s="86">
        <f>IF($BI259="","",$BI259+IF($AB259="Y",4,FaceW)+IF(N($P259)&gt;0,$P259+FaceW,0)+IF(OR($S259="4F",$S259="BL"),FaceW,0))</f>
        <v/>
      </c>
      <c r="BO259" s="86">
        <f>IF($BM259="","",$BM259+2*ROSide)</f>
        <v/>
      </c>
      <c r="BP259" s="86">
        <f>IF($BN259="","",$BN259+ROTop)</f>
        <v/>
      </c>
      <c r="BQ259" s="87">
        <f>IF(OR(N($BJ259)=0,$BH259=""),"",$BH259/$BJ259-ClearDeduct)</f>
        <v/>
      </c>
      <c r="BR259" s="84">
        <f>IF(N($CH259)=0,"",IF($CH259&gt;=180,"A · 3 HR",IF($CH259&gt;=90,"B · 1-1/2 HR",IF($CH259&gt;=60,"B · 1 HR",IF($CH259&gt;=45,"C · 3/4 HR","20 MIN")))))&amp;IF(AND(N($CH259)&gt;0,OR($I259="CORRIDOR",$I259="SMOKE BARRIER"))," · S","")</f>
        <v/>
      </c>
      <c r="BS259" s="84">
        <f>IF($CS259,"",IF($AV259&lt;&gt;"",$AV259,IF(OR($AC259="HGC",$AO259="HGC"),"CONT",IF(($BI259-HeadClr-Undercut)&lt;=60,2,IF(($BI259-HeadClr-Undercut)&lt;=90,3,IF(($BI259-HeadClr-Undercut)&lt;=120,4,5))))))</f>
        <v/>
      </c>
      <c r="BT259" s="84">
        <f>IF($CS259,"",IF($CT259,"CUSTOM (typed)",IF($CV259,$AT259&amp;" "&amp;$CU259&amp;CHAR(34)&amp;IF($CU259&lt;&gt;$BI259,IF(AND($BI259&lt;$CU259,$BI259-IF(N(VLOOKUP($AT259&amp;"|"&amp;$CU259,LocTable,7,FALSE))&gt;0,VLOOKUP($AT259&amp;"|"&amp;$CU259,LocTable,7,FALSE),VLOOKUP($AT259&amp;"|"&amp;$CU259,LocTable,6,FALSE))-$CR259-0.75&gt;=2.125)," cut down"," adj."),""),"ANSI/SDI A250.6")))</f>
        <v/>
      </c>
      <c r="BU259" s="88">
        <f>IF($CS259,"",IF($CT259,IF(N($AW259)&gt;0,N($AW259),""),IF(1&gt;$CQ259,"",IF($CQ259=1,$CW259,$CW259+($CX259-$CW259)*0/($CQ259-1)))))</f>
        <v/>
      </c>
      <c r="BV259" s="88">
        <f>IF($CS259,"",IF($CT259,IF(N($AX259)&gt;0,N($AX259),""),IF(2&gt;$CQ259,"",IF($CQ259=1,$CW259,$CW259+($CX259-$CW259)*1/($CQ259-1)))))</f>
        <v/>
      </c>
      <c r="BW259" s="88">
        <f>IF($CS259,"",IF($CT259,IF(N($AY259)&gt;0,N($AY259),""),IF(3&gt;$CQ259,"",IF($CQ259=1,$CW259,$CW259+($CX259-$CW259)*2/($CQ259-1)))))</f>
        <v/>
      </c>
      <c r="BX259" s="88">
        <f>IF($CS259,"",IF($CT259,IF(N($AZ259)&gt;0,N($AZ259),""),IF(4&gt;$CQ259,"",IF($CQ259=1,$CW259,$CW259+($CX259-$CW259)*3/($CQ259-1)))))</f>
        <v/>
      </c>
      <c r="BY259" s="88">
        <f>IF($CS259,"",IF($CT259,"",IF(5&gt;$CQ259,"",IF($CQ259=1,$CW259,$CW259+($CX259-$CW259)*4/($CQ259-1)))))</f>
        <v/>
      </c>
      <c r="BZ259" s="88">
        <f>IF(OR($CS259,$AP259="-",AND($AP259="",$AD259="")),"",IF(N($BA259)&gt;0,N($BA259),IF($CV259,IF(AND($BI259&lt;$CU259,$BI259-IF(N(VLOOKUP($AT259&amp;"|"&amp;$CU259,LocTable,7,FALSE))&gt;0,VLOOKUP($AT259&amp;"|"&amp;$CU259,LocTable,7,FALSE),VLOOKUP($AT259&amp;"|"&amp;$CU259,LocTable,6,FALSE))-$CR259-0.75&gt;=2.125),VLOOKUP($AT259&amp;"|"&amp;$CU259,LocTable,8,FALSE),VLOOKUP($AT259&amp;"|"&amp;$CU259,LocTable,8,FALSE)+($BI259-$CU259)),$BI259-LockAFF)))</f>
        <v/>
      </c>
      <c r="CA259" s="89">
        <f>IF($BZ259="","",$BI259-$BZ259)</f>
        <v/>
      </c>
      <c r="CB259" s="84">
        <f>IF(OR(NOT(AND($A259&lt;&gt;"",$C259&lt;&gt;"DOOR ONLY")),$BI259=""),"",IF(($BI259+IF(N($P259)&gt;0,$P259+FaceW,0))&lt;=90,3,IF(($BI259+IF(N($P259)&gt;0,$P259+FaceW,0))&lt;=114,4,5)))</f>
        <v/>
      </c>
      <c r="CC259" s="84">
        <f>IF($CB259="","",$CB259*(2+IF(N($Q259)&gt;0,IF($R259="LR",2,1),0)))</f>
        <v/>
      </c>
      <c r="CD259" s="84">
        <f>IF($CB259="","",(2+IF(N($Q259)&gt;0,IF($R259="LR",2,1),0)))</f>
        <v/>
      </c>
      <c r="CE259" s="84">
        <f>IF(N($BJ259)=0,"",IF(OR($AL259="",$AL259="FLUSH"),"FLUSH",IFERROR(LEFT($AL259,FIND("-",$AL259)-1),LEFT($AL259,2))))</f>
        <v/>
      </c>
      <c r="CF259" s="84">
        <f>IF($CE259="","",IFERROR(VALUE(MID($AL259,FIND("-",$AL259)+1,FIND(CHAR(34)&amp;"x",$AL259)-FIND("-",$AL259)-1)),0))</f>
        <v/>
      </c>
      <c r="CG259" s="84">
        <f>IF($CE259="","",IFERROR(VALUE(MID($AL259,FIND(CHAR(34)&amp;"x",$AL259)+2,FIND(CHAR(34),$AL259,FIND(CHAR(34)&amp;"x",$AL259)+2)-FIND(CHAR(34)&amp;"x",$AL259)-2)),0))</f>
        <v/>
      </c>
      <c r="CH259" s="90">
        <f>IF(OR($A259="",$H259="",$H259="NO LAB"),0,IFERROR(VALUE(LEFT($H259,FIND(" ",$H259)-1)),0))</f>
        <v/>
      </c>
      <c r="CI259" s="91">
        <f>IF(OR($A259="",$I259="",$I259="NON-RATED",N($J259)=0),"",IFERROR(VLOOKUP($I259&amp;"|"&amp;$J259,IBC,2,FALSE),"?"))</f>
        <v/>
      </c>
      <c r="CJ259" s="85">
        <f>IF(NOT(AND($A259&lt;&gt;"",$C259&lt;&gt;"DOOR ONLY")),"",TRIM(IFERROR(VLOOKUP($U259,CODES,2,FALSE),"")&amp;" "&amp;$BG259&amp;" "&amp;IFERROR(VLOOKUP($Z259,CODES,2,FALSE),"")&amp;" "&amp;IFERROR(VLOOKUP($X259,CODES,2,FALSE),"")&amp;" "&amp;IFERROR(VLOOKUP($S259,CODES,2,FALSE),"")&amp;IF(N($P259)&gt;0," w/TRANSOM "&amp;$P259&amp;CHAR(34),"")&amp;IF(N($Q259)&gt;0," w/SIDELITE "&amp;$Q259&amp;CHAR(34)&amp;" "&amp;IF($R259="","R",$R259),"")&amp;IF($Y259="","  |  "," | "&amp;IFERROR(VLOOKUP($Y259,CODES,2,FALSE),"")&amp;" | ")&amp;IFERROR(VLOOKUP($AC259,CODES,2,FALSE),"")&amp;" "&amp;IFERROR(VLOOKUP($AD259,CODES,2,FALSE),"")&amp;IF(OR($AE259="",$AE259="-"),""," "&amp;$AE259)&amp;IF(OR($AF259="",$AF259="-"),""," "&amp;$AF259)&amp;IF($AB259="Y"," 4"&amp;CHAR(34)&amp;" HEAD","")&amp;" "&amp;IFERROR(VLOOKUP($H259,CODES,2,FALSE),"")&amp;IF($CT259," | LOC "&amp;$CY259,"")))</f>
        <v/>
      </c>
      <c r="CK259" s="85">
        <f>IF(NOT(AND($A259&lt;&gt;"",N($BJ259)&gt;0)),"",TRIM(IFERROR(VLOOKUP($AH259,CODES,2,FALSE),"")&amp;IF($AI259=""," "," "&amp;$AI259&amp;"GA ")&amp;$BG259&amp;" "&amp;IF($AN259="",IFERROR(VLOOKUP($Z259,CODES,2,FALSE),""),IFERROR(VLOOKUP($AN259,CODES,2,FALSE),""))&amp;IF($BJ259=2," PAIR","")&amp;" DOOR | "&amp;IF($AL259="","?",$AL259)&amp;" | "&amp;IF($AO259="",IFERROR(VLOOKUP($AC259,CODES,2,FALSE),""),IFERROR(VLOOKUP($AO259,CODES,2,FALSE),""))&amp;" "&amp;IFERROR(VLOOKUP($AP259,CODES,2,FALSE),"")&amp;IF(OR($AQ259="",$AQ259="-"),""," SEAM "&amp;$AQ259)&amp;IF($AR259="Y"," ASTRAGAL","")&amp;IF($AJ259=""," "," "&amp;$AJ259)&amp;IF($AK259=""," "," "&amp;$AK259)&amp;IF(OR($AT259="",$AT259="ANSI/SDI",$AT259="CUSTOM LOC"),""," "&amp;$AT259)&amp;IF($AM259=""," "," SERIES "&amp;$AM259)&amp;" "&amp;IFERROR(VLOOKUP($H259,CODES,2,FALSE),"")&amp;IF($CT259," | LOC "&amp;$CZ259,"")))</f>
        <v/>
      </c>
      <c r="CL259" s="84">
        <f>IF(CP259="","",IF(COUNTIF($CP$6:CP259,CP259)=1,MAX($CL$5:CL258)+1,INDEX($CL$5:CL258,MATCH(CP259,$CP$5:CP258,0))))</f>
        <v/>
      </c>
      <c r="CM259" s="84">
        <f>IF(NOT(AND($A259&lt;&gt;"",$C259&lt;&gt;"DOOR ONLY")),"",MAX($CM$5:CM258)+1)</f>
        <v/>
      </c>
      <c r="CN259" s="84">
        <f>IF(NOT(AND($A259&lt;&gt;"",N($BJ259)&gt;0)),"",MAX($CN$5:CN258)+1)</f>
        <v/>
      </c>
      <c r="CO259" s="84">
        <f>IF($A259="","",MAX($CO$5:CO258)+1)</f>
        <v/>
      </c>
      <c r="CP259" s="84">
        <f>IF(OR($A259="",$BH259="",$BI259=""),"",$BG259&amp;"|"&amp;$O259&amp;"|"&amp;$AL259&amp;"|"&amp;$S259&amp;"|"&amp;$P259&amp;"|"&amp;$Q259&amp;$R259&amp;"|"&amp;$C259&amp;"|"&amp;$AB259)</f>
        <v/>
      </c>
      <c r="CQ259" s="84">
        <f>N($BS259)</f>
        <v/>
      </c>
      <c r="CR259" s="84">
        <f>IF(N($AU259)&gt;0,N($AU259),4.5)</f>
        <v/>
      </c>
      <c r="CS259" s="84">
        <f>OR($A259="",$BI259="",$S259="BL",AND($C259="FRAME ONLY",OR($AC259="",$AC259="BLK")))</f>
        <v/>
      </c>
      <c r="CT259" s="84">
        <f>AND(NOT($CS259),OR($AT259="CUSTOM LOC",N($AW259)+N($AX259)+N($AY259)+N($AZ259)+N($BA259)&gt;0))</f>
        <v/>
      </c>
      <c r="CU259" s="84">
        <f>IF($BI259="","",IF($BI259&lt;=80,80,IF($BI259&lt;=84,84,96)))</f>
        <v/>
      </c>
      <c r="CV259" s="84">
        <f>ISNUMBER(MATCH($AT259&amp;"|80",LocKeys,0))</f>
        <v/>
      </c>
      <c r="CW259" s="86">
        <f>IF($CS259,"",IF($CV259,VLOOKUP($AT259&amp;"|"&amp;$CU259,LocTable,4,FALSE),5))</f>
        <v/>
      </c>
      <c r="CX259" s="86">
        <f>IF($CS259,"",IF($CV259,IF(OR($BI259=$CU259,AND($BI259&lt;$CU259,$BI259-IF(N(VLOOKUP($AT259&amp;"|"&amp;$CU259,LocTable,7,FALSE))&gt;0,VLOOKUP($AT259&amp;"|"&amp;$CU259,LocTable,7,FALSE),VLOOKUP($AT259&amp;"|"&amp;$CU259,LocTable,6,FALSE))-$CR259-0.75&gt;=2.125)),IF(N(VLOOKUP($AT259&amp;"|"&amp;$CU259,LocTable,7,FALSE))&gt;0,VLOOKUP($AT259&amp;"|"&amp;$CU259,LocTable,7,FALSE),VLOOKUP($AT259&amp;"|"&amp;$CU259,LocTable,6,FALSE)),$BI259-($CU259-IF(N(VLOOKUP($AT259&amp;"|"&amp;$CU259,LocTable,7,FALSE))&gt;0,VLOOKUP($AT259&amp;"|"&amp;$CU259,LocTable,7,FALSE),VLOOKUP($AT259&amp;"|"&amp;$CU259,LocTable,6,FALSE)))),$BI259-10-$CR259))</f>
        <v/>
      </c>
      <c r="CY259" s="85">
        <f>IF($CS259,"",TRIM(IF(ISNUMBER($BU259),"A "&amp;TRIM(TEXT($BU259,"# ?/??"))&amp;CHAR(34)&amp;"  ","")&amp;IF(ISNUMBER($BV259),"B "&amp;TRIM(TEXT($BV259,"# ?/??"))&amp;CHAR(34)&amp;"  ","")&amp;IF(ISNUMBER($BW259),"C "&amp;TRIM(TEXT($BW259,"# ?/??"))&amp;CHAR(34)&amp;"  ","")&amp;IF(ISNUMBER($BX259),"D "&amp;TRIM(TEXT($BX259,"# ?/??"))&amp;CHAR(34)&amp;"  ","")&amp;IF(ISNUMBER($BY259),"F "&amp;TRIM(TEXT($BY259,"# ?/??"))&amp;CHAR(34)&amp;"  ","")&amp;IF(ISNUMBER($BZ259),"E "&amp;TRIM(TEXT($BZ259,"# ?/??"))&amp;CHAR(34)&amp;"  ","")))</f>
        <v/>
      </c>
      <c r="CZ259" s="85">
        <f>IF(OR($CS259,N($BJ259)=0),"",TRIM(IF(ISNUMBER($BU259),"A "&amp;TRIM(TEXT($BU259-HeadClr,"# ?/??"))&amp;CHAR(34)&amp;"  ","")&amp;IF(ISNUMBER($BV259),"B "&amp;TRIM(TEXT($BV259-HeadClr,"# ?/??"))&amp;CHAR(34)&amp;"  ","")&amp;IF(ISNUMBER($BW259),"C "&amp;TRIM(TEXT($BW259-HeadClr,"# ?/??"))&amp;CHAR(34)&amp;"  ","")&amp;IF(ISNUMBER($BX259),"D "&amp;TRIM(TEXT($BX259-HeadClr,"# ?/??"))&amp;CHAR(34)&amp;"  ","")&amp;IF(ISNUMBER($BY259),"F "&amp;TRIM(TEXT($BY259-HeadClr,"# ?/??"))&amp;CHAR(34)&amp;"  ","")&amp;IF(ISNUMBER($BZ259),"E "&amp;TRIM(TEXT($BZ259-HeadClr,"# ?/??"))&amp;CHAR(34)&amp;"  ","")))</f>
        <v/>
      </c>
      <c r="DA259" s="84">
        <f>IF($A259="","",IF($AN259="",IFERROR(VLOOKUP($Z259,CODES,2,FALSE),""),IFERROR(VLOOKUP($AN259,CODES,2,FALSE),"")))</f>
        <v/>
      </c>
      <c r="DB259" s="84">
        <f>IF($A259="","",IF($O259="Y","PR",IF(OR($Z259="L",$Z259="RR",LEFT($Z259,2)="L-",LEFT($Z259,3)="RR-"),"LH","RH")))</f>
        <v/>
      </c>
      <c r="DC259" s="84">
        <f>IF($A259="","","S.HM"&amp;IF(OR($C259="DOOR ONLY",$X259&lt;&gt;"KD"),"MASONRY","DRYWALL")&amp;IF($C259="DOOR ONLY","",$U259)&amp;IF(AND($C259&lt;&gt;"FRAME ONLY",OR(LEFT($AH259,3)="OAK",LEFT($AH259,3)="BIR",LEFT($AH259,3)="MAP",$AH259="PC",$AH259="MC",$AH259="SCLC",$AH259="P-LAM")),"WD","HM")&amp;"1.75")</f>
        <v/>
      </c>
      <c r="DD259" s="84">
        <f>IF($CJ259="","",IF($O259="Y",$CJ259,SUBSTITUTE($CJ259,$BG259&amp;" "&amp;IFERROR(VLOOKUP($Z259,CODES,2,FALSE),"")&amp;" ",$BG259&amp;" ")))</f>
        <v/>
      </c>
      <c r="DE259" s="84">
        <f>IF($CK259="","",IF($O259="Y",$CK259,SUBSTITUTE($CK259,$BG259&amp;" "&amp;IF($AN259="",IFERROR(VLOOKUP($Z259,CODES,2,FALSE),""),IFERROR(VLOOKUP($AN259,CODES,2,FALSE),""))&amp;" ",$BG259&amp;" ")))</f>
        <v/>
      </c>
      <c r="DF259" s="84">
        <f>IF($CJ259="","",$DC259&amp;"|"&amp;$DD259&amp;"|"&amp;$DB259&amp;"|"&amp;$AT259&amp;"|"&amp;$V259&amp;"|"&amp;$Y259&amp;"|"&amp;$AB259)</f>
        <v/>
      </c>
      <c r="DG259" s="84">
        <f>IF(DF259="","",IF(COUNTIF($DF$6:DF259,DF259)=1,MAX($DG$5:DG258)+1,INDEX($DG$5:DG258,MATCH(DF259,$DF$5:DF258,0))))</f>
        <v/>
      </c>
      <c r="DH259" s="84">
        <f>IF($CK259="","",$DC259&amp;"|"&amp;$DE259&amp;"|"&amp;$AI259&amp;"|"&amp;$BK259&amp;"|"&amp;$BL259)</f>
        <v/>
      </c>
      <c r="DI259" s="84">
        <f>IF(DH259="","",IF(COUNTIF($DH$6:DH259,DH259)=1,MAX($DI$5:DI258)+1,INDEX($DI$5:DI258,MATCH(DH259,$DH$5:DH258,0))))</f>
        <v/>
      </c>
      <c r="DJ259" s="84">
        <f>IF($A259="","",IF($B259="","qty, ","")&amp;IF($C259="","scope, ","")&amp;IF(OR($K259="",$M259=""),"size, ","")&amp;IF(AND($A259&lt;&gt;"",$C259&lt;&gt;"DOOR ONLY"),IF($U259="","jamb depth, ","")&amp;IF($X259="","construction, ","")&amp;IF($Y259="","anchor, ","")&amp;IF($S259="","frame type, ",""),"")&amp;IF(AND(N($BJ259)&gt;0,$Z259=""),"hand, ","")&amp;IF(N($BJ259)&gt;0,IF($AH259="","door material, ","")&amp;IF($AL259="","face type, ","")&amp;IF($AP259="","lock prep, ","")&amp;IF(AND($AO259="",$AC259=""),"hinge prep, ",""),"")&amp;IF(AND($CH259&gt;0,$AH259="FRP"),"FRP cannot carry a label, ","")&amp;IF(AND($O259="Y",OR($Z259="L",$Z259="R",$Z259="LR",$Z259="RR")),"pair marked but hand is single, ","")&amp;IF(AND($O259&lt;&gt;"Y",OR($Z259="PR",AND(LEN($Z259)&gt;1,ISNUMBER(SEARCH("-",$Z259))))),"pair hand on a single door, ","")&amp;IF(AND(ISNUMBER($CI259),$CH259&lt;N($CI259)),"wall needs a "&amp;$CI259&amp;" min door, ","")&amp;IF(AND($CH259&gt;=180,AND(OR($CE259="FG",$CE259="HG",$CE259="FNV",$CE259="FV"),N($CF259)*N($CG259)&gt;100)),"180 min lite over 100 sq in, ","")&amp;IF(N($BK259)&gt;48,"leaf wider than 4'-0"&amp;CHAR(34)&amp;", ","")&amp;IF(AND($CT259,COUNT($AW259:$AZ259)=0,$CQ259&gt;0),"CUSTOM LOC with no locations typed, ",""))</f>
        <v/>
      </c>
      <c r="DK259" s="84">
        <f>IF($A259="","",IF(AND($CH259&gt;0,AND($A259&lt;&gt;"",$C259&lt;&gt;"DOOR ONLY"),$X259="KD",$E259="EXTERIOR"),"KD label on an exterior opening, ","")&amp;IF(AND($E259="EXTERIOR",OR(AND(AND($A259&lt;&gt;"",$C259&lt;&gt;"DOOR ONLY"),$W259="CR"),AND(N($BJ259)&gt;0,$AH259="CR"))),"exterior in CR steel (G9?), ","")&amp;IF(AND(ISNUMBER($BQ259),N($BQ259)&lt;32),"clear width ~"&amp;TEXT($BQ259,"0.0")&amp;CHAR(34)&amp;" under 32"&amp;CHAR(34)&amp;" (ADA), ","")&amp;IF(AND($CH259=90,AND(OR($CE259="FG",$CE259="HG",$CE259="FNV",$CE259="FV"),N($CF259)*N($CG259)&gt;100)),"90 min lite over 100 sq in (stair/exit), ","")&amp;IF(AND($CH259&gt;0,AND($A259&lt;&gt;"",$C259&lt;&gt;"DOOR ONLY"),OR($AF259="",$AF259="-")),"rated: closer reinf.?, ","")&amp;IF(OR($I259="CORRIDOR",$I259="SMOKE BARRIER"),"S label + smoke gasketing, ","")&amp;IF($CI259="?","wall type/hr not in IBC table, ","")&amp;IF(AND(N($BJ259)&gt;0,$BB259=""),"no hardware set, ","")&amp;IF(AND($BB259&lt;&gt;"",ISNA(MATCH($BB259&amp;"",HWSets,0))),"set "&amp;$BB259&amp;" not on HW Sets, ","")&amp;IF(N($BL259)&gt;96,"leaf over 8'-0"&amp;CHAR(34)&amp;" - check listing, ","")&amp;IF(AND($CT259,COUNT($AW259:$AZ259)&gt;0,COUNT($AW259:$AZ259)&lt;&gt;$CQ259),COUNT($AW259:$AZ259)&amp;" custom hinges typed, "&amp;$CQ259&amp;" expected, ","")&amp;IF(AND(ISNUMBER($CA259),OR(N($CA259)&lt;34,N($CA259)&gt;48)),"lock "&amp;TEXT($CA259,"0.0")&amp;CHAR(34)&amp;" AFF outside 34-48"&amp;CHAR(34)&amp;" (ADA), ","")&amp;IF(AND(ISNUMBER($AV259),ISNUMBER($BL259),N($AV259)&lt;IF(N($BL259)&lt;=60,2,IF(N($BL259)&lt;=90,3,IF(N($BL259)&lt;=120,4,5)))),"fewer hinges than standard, ",""))</f>
        <v/>
      </c>
    </row>
    <row r="260" ht="15" customHeight="1">
      <c r="A260" s="92" t="n"/>
      <c r="B260" s="93" t="n"/>
      <c r="C260" s="93" t="n"/>
      <c r="D260" s="93" t="n"/>
      <c r="E260" s="93" t="n"/>
      <c r="F260" s="93" t="n"/>
      <c r="G260" s="93" t="n"/>
      <c r="H260" s="93" t="n"/>
      <c r="I260" s="93" t="n"/>
      <c r="J260" s="93" t="n"/>
      <c r="K260" s="93" t="n"/>
      <c r="L260" s="93" t="n"/>
      <c r="M260" s="93" t="n"/>
      <c r="N260" s="93" t="n"/>
      <c r="O260" s="93" t="n"/>
      <c r="P260" s="93" t="n"/>
      <c r="Q260" s="93" t="n"/>
      <c r="R260" s="93" t="n"/>
      <c r="S260" s="94" t="n"/>
      <c r="T260" s="94" t="n"/>
      <c r="U260" s="94" t="n"/>
      <c r="V260" s="94" t="n"/>
      <c r="W260" s="94" t="n"/>
      <c r="X260" s="94" t="n"/>
      <c r="Y260" s="94" t="n"/>
      <c r="Z260" s="94" t="n"/>
      <c r="AA260" s="94" t="n"/>
      <c r="AB260" s="94" t="n"/>
      <c r="AC260" s="94" t="n"/>
      <c r="AD260" s="94" t="n"/>
      <c r="AE260" s="94" t="n"/>
      <c r="AF260" s="94" t="n"/>
      <c r="AG260" s="94" t="n"/>
      <c r="AH260" s="95" t="n"/>
      <c r="AI260" s="95" t="n"/>
      <c r="AJ260" s="95" t="n"/>
      <c r="AK260" s="95" t="n"/>
      <c r="AL260" s="95" t="n"/>
      <c r="AM260" s="95" t="n"/>
      <c r="AN260" s="95" t="n"/>
      <c r="AO260" s="95" t="n"/>
      <c r="AP260" s="95" t="n"/>
      <c r="AQ260" s="95" t="n"/>
      <c r="AR260" s="95" t="n"/>
      <c r="AS260" s="95" t="n"/>
      <c r="AT260" s="96" t="n"/>
      <c r="AU260" s="96" t="n"/>
      <c r="AV260" s="96" t="n"/>
      <c r="AW260" s="97" t="n"/>
      <c r="AX260" s="97" t="n"/>
      <c r="AY260" s="97" t="n"/>
      <c r="AZ260" s="97" t="n"/>
      <c r="BA260" s="97" t="n"/>
      <c r="BB260" s="98" t="n"/>
      <c r="BC260" s="98" t="n"/>
      <c r="BD260" s="99">
        <f>IF($A260="","",IF($DJ260&lt;&gt;"","FIX",IF($DK260&lt;&gt;"","CHECK","OK")))</f>
        <v/>
      </c>
      <c r="BE260" s="100">
        <f>IF($A260="","",IF($DJ260&lt;&gt;"","FIX: "&amp;LEFT($DJ260,LEN($DJ260)-2)&amp;IF($DK260&lt;&gt;"","  ·  ",""),"")&amp;IF($DK260&lt;&gt;"","CHECK: "&amp;LEFT($DK260,LEN($DK260)-2),""))</f>
        <v/>
      </c>
      <c r="BF260" s="99">
        <f>IF(OR($A260="",$K260=""),"",$K260&amp;"'-"&amp;N($L260)&amp;CHAR(34)&amp;" x "&amp;$M260&amp;"'-"&amp;N($N260)&amp;CHAR(34))</f>
        <v/>
      </c>
      <c r="BG260" s="99">
        <f>IF(OR($A260="",$K260=""),"",$K260&amp;N($L260)&amp;$M260&amp;N($N260))</f>
        <v/>
      </c>
      <c r="BH260" s="99">
        <f>IF(OR($A260="",$K260=""),"",$K260*12+N($L260))</f>
        <v/>
      </c>
      <c r="BI260" s="99">
        <f>IF(OR($A260="",$M260=""),"",$M260*12+N($N260))</f>
        <v/>
      </c>
      <c r="BJ260" s="99">
        <f>IF($A260="","",IF(OR($C260="FRAME ONLY",$S260="BL"),0,IF($O260="Y",2,1)))</f>
        <v/>
      </c>
      <c r="BK260" s="101">
        <f>IF(OR(N($BJ260)=0,$BH260=""),"",($BH260-2*EdgeClr-IF($BJ260=2,MeetClr,0))/$BJ260)</f>
        <v/>
      </c>
      <c r="BL260" s="101">
        <f>IF(OR(N($BJ260)=0,$BI260=""),"",$BI260-HeadClr-Undercut)</f>
        <v/>
      </c>
      <c r="BM260" s="101">
        <f>IF($BH260="","",$BH260+2*FaceW+IF(N($Q260)&gt;0,($Q260+FaceW)*IF($R260="LR",2,1),0))</f>
        <v/>
      </c>
      <c r="BN260" s="101">
        <f>IF($BI260="","",$BI260+IF($AB260="Y",4,FaceW)+IF(N($P260)&gt;0,$P260+FaceW,0)+IF(OR($S260="4F",$S260="BL"),FaceW,0))</f>
        <v/>
      </c>
      <c r="BO260" s="101">
        <f>IF($BM260="","",$BM260+2*ROSide)</f>
        <v/>
      </c>
      <c r="BP260" s="101">
        <f>IF($BN260="","",$BN260+ROTop)</f>
        <v/>
      </c>
      <c r="BQ260" s="102">
        <f>IF(OR(N($BJ260)=0,$BH260=""),"",$BH260/$BJ260-ClearDeduct)</f>
        <v/>
      </c>
      <c r="BR260" s="99">
        <f>IF(N($CH260)=0,"",IF($CH260&gt;=180,"A · 3 HR",IF($CH260&gt;=90,"B · 1-1/2 HR",IF($CH260&gt;=60,"B · 1 HR",IF($CH260&gt;=45,"C · 3/4 HR","20 MIN")))))&amp;IF(AND(N($CH260)&gt;0,OR($I260="CORRIDOR",$I260="SMOKE BARRIER"))," · S","")</f>
        <v/>
      </c>
      <c r="BS260" s="99">
        <f>IF($CS260,"",IF($AV260&lt;&gt;"",$AV260,IF(OR($AC260="HGC",$AO260="HGC"),"CONT",IF(($BI260-HeadClr-Undercut)&lt;=60,2,IF(($BI260-HeadClr-Undercut)&lt;=90,3,IF(($BI260-HeadClr-Undercut)&lt;=120,4,5))))))</f>
        <v/>
      </c>
      <c r="BT260" s="99">
        <f>IF($CS260,"",IF($CT260,"CUSTOM (typed)",IF($CV260,$AT260&amp;" "&amp;$CU260&amp;CHAR(34)&amp;IF($CU260&lt;&gt;$BI260,IF(AND($BI260&lt;$CU260,$BI260-IF(N(VLOOKUP($AT260&amp;"|"&amp;$CU260,LocTable,7,FALSE))&gt;0,VLOOKUP($AT260&amp;"|"&amp;$CU260,LocTable,7,FALSE),VLOOKUP($AT260&amp;"|"&amp;$CU260,LocTable,6,FALSE))-$CR260-0.75&gt;=2.125)," cut down"," adj."),""),"ANSI/SDI A250.6")))</f>
        <v/>
      </c>
      <c r="BU260" s="103">
        <f>IF($CS260,"",IF($CT260,IF(N($AW260)&gt;0,N($AW260),""),IF(1&gt;$CQ260,"",IF($CQ260=1,$CW260,$CW260+($CX260-$CW260)*0/($CQ260-1)))))</f>
        <v/>
      </c>
      <c r="BV260" s="103">
        <f>IF($CS260,"",IF($CT260,IF(N($AX260)&gt;0,N($AX260),""),IF(2&gt;$CQ260,"",IF($CQ260=1,$CW260,$CW260+($CX260-$CW260)*1/($CQ260-1)))))</f>
        <v/>
      </c>
      <c r="BW260" s="103">
        <f>IF($CS260,"",IF($CT260,IF(N($AY260)&gt;0,N($AY260),""),IF(3&gt;$CQ260,"",IF($CQ260=1,$CW260,$CW260+($CX260-$CW260)*2/($CQ260-1)))))</f>
        <v/>
      </c>
      <c r="BX260" s="103">
        <f>IF($CS260,"",IF($CT260,IF(N($AZ260)&gt;0,N($AZ260),""),IF(4&gt;$CQ260,"",IF($CQ260=1,$CW260,$CW260+($CX260-$CW260)*3/($CQ260-1)))))</f>
        <v/>
      </c>
      <c r="BY260" s="103">
        <f>IF($CS260,"",IF($CT260,"",IF(5&gt;$CQ260,"",IF($CQ260=1,$CW260,$CW260+($CX260-$CW260)*4/($CQ260-1)))))</f>
        <v/>
      </c>
      <c r="BZ260" s="103">
        <f>IF(OR($CS260,$AP260="-",AND($AP260="",$AD260="")),"",IF(N($BA260)&gt;0,N($BA260),IF($CV260,IF(AND($BI260&lt;$CU260,$BI260-IF(N(VLOOKUP($AT260&amp;"|"&amp;$CU260,LocTable,7,FALSE))&gt;0,VLOOKUP($AT260&amp;"|"&amp;$CU260,LocTable,7,FALSE),VLOOKUP($AT260&amp;"|"&amp;$CU260,LocTable,6,FALSE))-$CR260-0.75&gt;=2.125),VLOOKUP($AT260&amp;"|"&amp;$CU260,LocTable,8,FALSE),VLOOKUP($AT260&amp;"|"&amp;$CU260,LocTable,8,FALSE)+($BI260-$CU260)),$BI260-LockAFF)))</f>
        <v/>
      </c>
      <c r="CA260" s="104">
        <f>IF($BZ260="","",$BI260-$BZ260)</f>
        <v/>
      </c>
      <c r="CB260" s="99">
        <f>IF(OR(NOT(AND($A260&lt;&gt;"",$C260&lt;&gt;"DOOR ONLY")),$BI260=""),"",IF(($BI260+IF(N($P260)&gt;0,$P260+FaceW,0))&lt;=90,3,IF(($BI260+IF(N($P260)&gt;0,$P260+FaceW,0))&lt;=114,4,5)))</f>
        <v/>
      </c>
      <c r="CC260" s="99">
        <f>IF($CB260="","",$CB260*(2+IF(N($Q260)&gt;0,IF($R260="LR",2,1),0)))</f>
        <v/>
      </c>
      <c r="CD260" s="99">
        <f>IF($CB260="","",(2+IF(N($Q260)&gt;0,IF($R260="LR",2,1),0)))</f>
        <v/>
      </c>
      <c r="CE260" s="99">
        <f>IF(N($BJ260)=0,"",IF(OR($AL260="",$AL260="FLUSH"),"FLUSH",IFERROR(LEFT($AL260,FIND("-",$AL260)-1),LEFT($AL260,2))))</f>
        <v/>
      </c>
      <c r="CF260" s="99">
        <f>IF($CE260="","",IFERROR(VALUE(MID($AL260,FIND("-",$AL260)+1,FIND(CHAR(34)&amp;"x",$AL260)-FIND("-",$AL260)-1)),0))</f>
        <v/>
      </c>
      <c r="CG260" s="99">
        <f>IF($CE260="","",IFERROR(VALUE(MID($AL260,FIND(CHAR(34)&amp;"x",$AL260)+2,FIND(CHAR(34),$AL260,FIND(CHAR(34)&amp;"x",$AL260)+2)-FIND(CHAR(34)&amp;"x",$AL260)-2)),0))</f>
        <v/>
      </c>
      <c r="CH260" s="105">
        <f>IF(OR($A260="",$H260="",$H260="NO LAB"),0,IFERROR(VALUE(LEFT($H260,FIND(" ",$H260)-1)),0))</f>
        <v/>
      </c>
      <c r="CI260" s="106">
        <f>IF(OR($A260="",$I260="",$I260="NON-RATED",N($J260)=0),"",IFERROR(VLOOKUP($I260&amp;"|"&amp;$J260,IBC,2,FALSE),"?"))</f>
        <v/>
      </c>
      <c r="CJ260" s="100">
        <f>IF(NOT(AND($A260&lt;&gt;"",$C260&lt;&gt;"DOOR ONLY")),"",TRIM(IFERROR(VLOOKUP($U260,CODES,2,FALSE),"")&amp;" "&amp;$BG260&amp;" "&amp;IFERROR(VLOOKUP($Z260,CODES,2,FALSE),"")&amp;" "&amp;IFERROR(VLOOKUP($X260,CODES,2,FALSE),"")&amp;" "&amp;IFERROR(VLOOKUP($S260,CODES,2,FALSE),"")&amp;IF(N($P260)&gt;0," w/TRANSOM "&amp;$P260&amp;CHAR(34),"")&amp;IF(N($Q260)&gt;0," w/SIDELITE "&amp;$Q260&amp;CHAR(34)&amp;" "&amp;IF($R260="","R",$R260),"")&amp;IF($Y260="","  |  "," | "&amp;IFERROR(VLOOKUP($Y260,CODES,2,FALSE),"")&amp;" | ")&amp;IFERROR(VLOOKUP($AC260,CODES,2,FALSE),"")&amp;" "&amp;IFERROR(VLOOKUP($AD260,CODES,2,FALSE),"")&amp;IF(OR($AE260="",$AE260="-"),""," "&amp;$AE260)&amp;IF(OR($AF260="",$AF260="-"),""," "&amp;$AF260)&amp;IF($AB260="Y"," 4"&amp;CHAR(34)&amp;" HEAD","")&amp;" "&amp;IFERROR(VLOOKUP($H260,CODES,2,FALSE),"")&amp;IF($CT260," | LOC "&amp;$CY260,"")))</f>
        <v/>
      </c>
      <c r="CK260" s="100">
        <f>IF(NOT(AND($A260&lt;&gt;"",N($BJ260)&gt;0)),"",TRIM(IFERROR(VLOOKUP($AH260,CODES,2,FALSE),"")&amp;IF($AI260=""," "," "&amp;$AI260&amp;"GA ")&amp;$BG260&amp;" "&amp;IF($AN260="",IFERROR(VLOOKUP($Z260,CODES,2,FALSE),""),IFERROR(VLOOKUP($AN260,CODES,2,FALSE),""))&amp;IF($BJ260=2," PAIR","")&amp;" DOOR | "&amp;IF($AL260="","?",$AL260)&amp;" | "&amp;IF($AO260="",IFERROR(VLOOKUP($AC260,CODES,2,FALSE),""),IFERROR(VLOOKUP($AO260,CODES,2,FALSE),""))&amp;" "&amp;IFERROR(VLOOKUP($AP260,CODES,2,FALSE),"")&amp;IF(OR($AQ260="",$AQ260="-"),""," SEAM "&amp;$AQ260)&amp;IF($AR260="Y"," ASTRAGAL","")&amp;IF($AJ260=""," "," "&amp;$AJ260)&amp;IF($AK260=""," "," "&amp;$AK260)&amp;IF(OR($AT260="",$AT260="ANSI/SDI",$AT260="CUSTOM LOC"),""," "&amp;$AT260)&amp;IF($AM260=""," "," SERIES "&amp;$AM260)&amp;" "&amp;IFERROR(VLOOKUP($H260,CODES,2,FALSE),"")&amp;IF($CT260," | LOC "&amp;$CZ260,"")))</f>
        <v/>
      </c>
      <c r="CL260" s="99">
        <f>IF(CP260="","",IF(COUNTIF($CP$6:CP260,CP260)=1,MAX($CL$5:CL259)+1,INDEX($CL$5:CL259,MATCH(CP260,$CP$5:CP259,0))))</f>
        <v/>
      </c>
      <c r="CM260" s="99">
        <f>IF(NOT(AND($A260&lt;&gt;"",$C260&lt;&gt;"DOOR ONLY")),"",MAX($CM$5:CM259)+1)</f>
        <v/>
      </c>
      <c r="CN260" s="99">
        <f>IF(NOT(AND($A260&lt;&gt;"",N($BJ260)&gt;0)),"",MAX($CN$5:CN259)+1)</f>
        <v/>
      </c>
      <c r="CO260" s="99">
        <f>IF($A260="","",MAX($CO$5:CO259)+1)</f>
        <v/>
      </c>
      <c r="CP260" s="99">
        <f>IF(OR($A260="",$BH260="",$BI260=""),"",$BG260&amp;"|"&amp;$O260&amp;"|"&amp;$AL260&amp;"|"&amp;$S260&amp;"|"&amp;$P260&amp;"|"&amp;$Q260&amp;$R260&amp;"|"&amp;$C260&amp;"|"&amp;$AB260)</f>
        <v/>
      </c>
      <c r="CQ260" s="99">
        <f>N($BS260)</f>
        <v/>
      </c>
      <c r="CR260" s="99">
        <f>IF(N($AU260)&gt;0,N($AU260),4.5)</f>
        <v/>
      </c>
      <c r="CS260" s="99">
        <f>OR($A260="",$BI260="",$S260="BL",AND($C260="FRAME ONLY",OR($AC260="",$AC260="BLK")))</f>
        <v/>
      </c>
      <c r="CT260" s="99">
        <f>AND(NOT($CS260),OR($AT260="CUSTOM LOC",N($AW260)+N($AX260)+N($AY260)+N($AZ260)+N($BA260)&gt;0))</f>
        <v/>
      </c>
      <c r="CU260" s="99">
        <f>IF($BI260="","",IF($BI260&lt;=80,80,IF($BI260&lt;=84,84,96)))</f>
        <v/>
      </c>
      <c r="CV260" s="99">
        <f>ISNUMBER(MATCH($AT260&amp;"|80",LocKeys,0))</f>
        <v/>
      </c>
      <c r="CW260" s="101">
        <f>IF($CS260,"",IF($CV260,VLOOKUP($AT260&amp;"|"&amp;$CU260,LocTable,4,FALSE),5))</f>
        <v/>
      </c>
      <c r="CX260" s="101">
        <f>IF($CS260,"",IF($CV260,IF(OR($BI260=$CU260,AND($BI260&lt;$CU260,$BI260-IF(N(VLOOKUP($AT260&amp;"|"&amp;$CU260,LocTable,7,FALSE))&gt;0,VLOOKUP($AT260&amp;"|"&amp;$CU260,LocTable,7,FALSE),VLOOKUP($AT260&amp;"|"&amp;$CU260,LocTable,6,FALSE))-$CR260-0.75&gt;=2.125)),IF(N(VLOOKUP($AT260&amp;"|"&amp;$CU260,LocTable,7,FALSE))&gt;0,VLOOKUP($AT260&amp;"|"&amp;$CU260,LocTable,7,FALSE),VLOOKUP($AT260&amp;"|"&amp;$CU260,LocTable,6,FALSE)),$BI260-($CU260-IF(N(VLOOKUP($AT260&amp;"|"&amp;$CU260,LocTable,7,FALSE))&gt;0,VLOOKUP($AT260&amp;"|"&amp;$CU260,LocTable,7,FALSE),VLOOKUP($AT260&amp;"|"&amp;$CU260,LocTable,6,FALSE)))),$BI260-10-$CR260))</f>
        <v/>
      </c>
      <c r="CY260" s="100">
        <f>IF($CS260,"",TRIM(IF(ISNUMBER($BU260),"A "&amp;TRIM(TEXT($BU260,"# ?/??"))&amp;CHAR(34)&amp;"  ","")&amp;IF(ISNUMBER($BV260),"B "&amp;TRIM(TEXT($BV260,"# ?/??"))&amp;CHAR(34)&amp;"  ","")&amp;IF(ISNUMBER($BW260),"C "&amp;TRIM(TEXT($BW260,"# ?/??"))&amp;CHAR(34)&amp;"  ","")&amp;IF(ISNUMBER($BX260),"D "&amp;TRIM(TEXT($BX260,"# ?/??"))&amp;CHAR(34)&amp;"  ","")&amp;IF(ISNUMBER($BY260),"F "&amp;TRIM(TEXT($BY260,"# ?/??"))&amp;CHAR(34)&amp;"  ","")&amp;IF(ISNUMBER($BZ260),"E "&amp;TRIM(TEXT($BZ260,"# ?/??"))&amp;CHAR(34)&amp;"  ","")))</f>
        <v/>
      </c>
      <c r="CZ260" s="100">
        <f>IF(OR($CS260,N($BJ260)=0),"",TRIM(IF(ISNUMBER($BU260),"A "&amp;TRIM(TEXT($BU260-HeadClr,"# ?/??"))&amp;CHAR(34)&amp;"  ","")&amp;IF(ISNUMBER($BV260),"B "&amp;TRIM(TEXT($BV260-HeadClr,"# ?/??"))&amp;CHAR(34)&amp;"  ","")&amp;IF(ISNUMBER($BW260),"C "&amp;TRIM(TEXT($BW260-HeadClr,"# ?/??"))&amp;CHAR(34)&amp;"  ","")&amp;IF(ISNUMBER($BX260),"D "&amp;TRIM(TEXT($BX260-HeadClr,"# ?/??"))&amp;CHAR(34)&amp;"  ","")&amp;IF(ISNUMBER($BY260),"F "&amp;TRIM(TEXT($BY260-HeadClr,"# ?/??"))&amp;CHAR(34)&amp;"  ","")&amp;IF(ISNUMBER($BZ260),"E "&amp;TRIM(TEXT($BZ260-HeadClr,"# ?/??"))&amp;CHAR(34)&amp;"  ","")))</f>
        <v/>
      </c>
      <c r="DA260" s="99">
        <f>IF($A260="","",IF($AN260="",IFERROR(VLOOKUP($Z260,CODES,2,FALSE),""),IFERROR(VLOOKUP($AN260,CODES,2,FALSE),"")))</f>
        <v/>
      </c>
      <c r="DB260" s="99">
        <f>IF($A260="","",IF($O260="Y","PR",IF(OR($Z260="L",$Z260="RR",LEFT($Z260,2)="L-",LEFT($Z260,3)="RR-"),"LH","RH")))</f>
        <v/>
      </c>
      <c r="DC260" s="99">
        <f>IF($A260="","","S.HM"&amp;IF(OR($C260="DOOR ONLY",$X260&lt;&gt;"KD"),"MASONRY","DRYWALL")&amp;IF($C260="DOOR ONLY","",$U260)&amp;IF(AND($C260&lt;&gt;"FRAME ONLY",OR(LEFT($AH260,3)="OAK",LEFT($AH260,3)="BIR",LEFT($AH260,3)="MAP",$AH260="PC",$AH260="MC",$AH260="SCLC",$AH260="P-LAM")),"WD","HM")&amp;"1.75")</f>
        <v/>
      </c>
      <c r="DD260" s="99">
        <f>IF($CJ260="","",IF($O260="Y",$CJ260,SUBSTITUTE($CJ260,$BG260&amp;" "&amp;IFERROR(VLOOKUP($Z260,CODES,2,FALSE),"")&amp;" ",$BG260&amp;" ")))</f>
        <v/>
      </c>
      <c r="DE260" s="99">
        <f>IF($CK260="","",IF($O260="Y",$CK260,SUBSTITUTE($CK260,$BG260&amp;" "&amp;IF($AN260="",IFERROR(VLOOKUP($Z260,CODES,2,FALSE),""),IFERROR(VLOOKUP($AN260,CODES,2,FALSE),""))&amp;" ",$BG260&amp;" ")))</f>
        <v/>
      </c>
      <c r="DF260" s="99">
        <f>IF($CJ260="","",$DC260&amp;"|"&amp;$DD260&amp;"|"&amp;$DB260&amp;"|"&amp;$AT260&amp;"|"&amp;$V260&amp;"|"&amp;$Y260&amp;"|"&amp;$AB260)</f>
        <v/>
      </c>
      <c r="DG260" s="99">
        <f>IF(DF260="","",IF(COUNTIF($DF$6:DF260,DF260)=1,MAX($DG$5:DG259)+1,INDEX($DG$5:DG259,MATCH(DF260,$DF$5:DF259,0))))</f>
        <v/>
      </c>
      <c r="DH260" s="99">
        <f>IF($CK260="","",$DC260&amp;"|"&amp;$DE260&amp;"|"&amp;$AI260&amp;"|"&amp;$BK260&amp;"|"&amp;$BL260)</f>
        <v/>
      </c>
      <c r="DI260" s="99">
        <f>IF(DH260="","",IF(COUNTIF($DH$6:DH260,DH260)=1,MAX($DI$5:DI259)+1,INDEX($DI$5:DI259,MATCH(DH260,$DH$5:DH259,0))))</f>
        <v/>
      </c>
      <c r="DJ260" s="99">
        <f>IF($A260="","",IF($B260="","qty, ","")&amp;IF($C260="","scope, ","")&amp;IF(OR($K260="",$M260=""),"size, ","")&amp;IF(AND($A260&lt;&gt;"",$C260&lt;&gt;"DOOR ONLY"),IF($U260="","jamb depth, ","")&amp;IF($X260="","construction, ","")&amp;IF($Y260="","anchor, ","")&amp;IF($S260="","frame type, ",""),"")&amp;IF(AND(N($BJ260)&gt;0,$Z260=""),"hand, ","")&amp;IF(N($BJ260)&gt;0,IF($AH260="","door material, ","")&amp;IF($AL260="","face type, ","")&amp;IF($AP260="","lock prep, ","")&amp;IF(AND($AO260="",$AC260=""),"hinge prep, ",""),"")&amp;IF(AND($CH260&gt;0,$AH260="FRP"),"FRP cannot carry a label, ","")&amp;IF(AND($O260="Y",OR($Z260="L",$Z260="R",$Z260="LR",$Z260="RR")),"pair marked but hand is single, ","")&amp;IF(AND($O260&lt;&gt;"Y",OR($Z260="PR",AND(LEN($Z260)&gt;1,ISNUMBER(SEARCH("-",$Z260))))),"pair hand on a single door, ","")&amp;IF(AND(ISNUMBER($CI260),$CH260&lt;N($CI260)),"wall needs a "&amp;$CI260&amp;" min door, ","")&amp;IF(AND($CH260&gt;=180,AND(OR($CE260="FG",$CE260="HG",$CE260="FNV",$CE260="FV"),N($CF260)*N($CG260)&gt;100)),"180 min lite over 100 sq in, ","")&amp;IF(N($BK260)&gt;48,"leaf wider than 4'-0"&amp;CHAR(34)&amp;", ","")&amp;IF(AND($CT260,COUNT($AW260:$AZ260)=0,$CQ260&gt;0),"CUSTOM LOC with no locations typed, ",""))</f>
        <v/>
      </c>
      <c r="DK260" s="99">
        <f>IF($A260="","",IF(AND($CH260&gt;0,AND($A260&lt;&gt;"",$C260&lt;&gt;"DOOR ONLY"),$X260="KD",$E260="EXTERIOR"),"KD label on an exterior opening, ","")&amp;IF(AND($E260="EXTERIOR",OR(AND(AND($A260&lt;&gt;"",$C260&lt;&gt;"DOOR ONLY"),$W260="CR"),AND(N($BJ260)&gt;0,$AH260="CR"))),"exterior in CR steel (G9?), ","")&amp;IF(AND(ISNUMBER($BQ260),N($BQ260)&lt;32),"clear width ~"&amp;TEXT($BQ260,"0.0")&amp;CHAR(34)&amp;" under 32"&amp;CHAR(34)&amp;" (ADA), ","")&amp;IF(AND($CH260=90,AND(OR($CE260="FG",$CE260="HG",$CE260="FNV",$CE260="FV"),N($CF260)*N($CG260)&gt;100)),"90 min lite over 100 sq in (stair/exit), ","")&amp;IF(AND($CH260&gt;0,AND($A260&lt;&gt;"",$C260&lt;&gt;"DOOR ONLY"),OR($AF260="",$AF260="-")),"rated: closer reinf.?, ","")&amp;IF(OR($I260="CORRIDOR",$I260="SMOKE BARRIER"),"S label + smoke gasketing, ","")&amp;IF($CI260="?","wall type/hr not in IBC table, ","")&amp;IF(AND(N($BJ260)&gt;0,$BB260=""),"no hardware set, ","")&amp;IF(AND($BB260&lt;&gt;"",ISNA(MATCH($BB260&amp;"",HWSets,0))),"set "&amp;$BB260&amp;" not on HW Sets, ","")&amp;IF(N($BL260)&gt;96,"leaf over 8'-0"&amp;CHAR(34)&amp;" - check listing, ","")&amp;IF(AND($CT260,COUNT($AW260:$AZ260)&gt;0,COUNT($AW260:$AZ260)&lt;&gt;$CQ260),COUNT($AW260:$AZ260)&amp;" custom hinges typed, "&amp;$CQ260&amp;" expected, ","")&amp;IF(AND(ISNUMBER($CA260),OR(N($CA260)&lt;34,N($CA260)&gt;48)),"lock "&amp;TEXT($CA260,"0.0")&amp;CHAR(34)&amp;" AFF outside 34-48"&amp;CHAR(34)&amp;" (ADA), ","")&amp;IF(AND(ISNUMBER($AV260),ISNUMBER($BL260),N($AV260)&lt;IF(N($BL260)&lt;=60,2,IF(N($BL260)&lt;=90,3,IF(N($BL260)&lt;=120,4,5)))),"fewer hinges than standard, ",""))</f>
        <v/>
      </c>
    </row>
    <row r="261" ht="15" customHeight="1">
      <c r="A261" s="77" t="n"/>
      <c r="B261" s="78" t="n"/>
      <c r="C261" s="78" t="n"/>
      <c r="D261" s="78" t="n"/>
      <c r="E261" s="78" t="n"/>
      <c r="F261" s="78" t="n"/>
      <c r="G261" s="78" t="n"/>
      <c r="H261" s="78" t="n"/>
      <c r="I261" s="78" t="n"/>
      <c r="J261" s="78" t="n"/>
      <c r="K261" s="78" t="n"/>
      <c r="L261" s="78" t="n"/>
      <c r="M261" s="78" t="n"/>
      <c r="N261" s="78" t="n"/>
      <c r="O261" s="78" t="n"/>
      <c r="P261" s="78" t="n"/>
      <c r="Q261" s="78" t="n"/>
      <c r="R261" s="78" t="n"/>
      <c r="S261" s="79" t="n"/>
      <c r="T261" s="79" t="n"/>
      <c r="U261" s="79" t="n"/>
      <c r="V261" s="79" t="n"/>
      <c r="W261" s="79" t="n"/>
      <c r="X261" s="79" t="n"/>
      <c r="Y261" s="79" t="n"/>
      <c r="Z261" s="79" t="n"/>
      <c r="AA261" s="79" t="n"/>
      <c r="AB261" s="79" t="n"/>
      <c r="AC261" s="79" t="n"/>
      <c r="AD261" s="79" t="n"/>
      <c r="AE261" s="79" t="n"/>
      <c r="AF261" s="79" t="n"/>
      <c r="AG261" s="79" t="n"/>
      <c r="AH261" s="80" t="n"/>
      <c r="AI261" s="80" t="n"/>
      <c r="AJ261" s="80" t="n"/>
      <c r="AK261" s="80" t="n"/>
      <c r="AL261" s="80" t="n"/>
      <c r="AM261" s="80" t="n"/>
      <c r="AN261" s="80" t="n"/>
      <c r="AO261" s="80" t="n"/>
      <c r="AP261" s="80" t="n"/>
      <c r="AQ261" s="80" t="n"/>
      <c r="AR261" s="80" t="n"/>
      <c r="AS261" s="80" t="n"/>
      <c r="AT261" s="81" t="n"/>
      <c r="AU261" s="81" t="n"/>
      <c r="AV261" s="81" t="n"/>
      <c r="AW261" s="82" t="n"/>
      <c r="AX261" s="82" t="n"/>
      <c r="AY261" s="82" t="n"/>
      <c r="AZ261" s="82" t="n"/>
      <c r="BA261" s="82" t="n"/>
      <c r="BB261" s="83" t="n"/>
      <c r="BC261" s="83" t="n"/>
      <c r="BD261" s="84">
        <f>IF($A261="","",IF($DJ261&lt;&gt;"","FIX",IF($DK261&lt;&gt;"","CHECK","OK")))</f>
        <v/>
      </c>
      <c r="BE261" s="85">
        <f>IF($A261="","",IF($DJ261&lt;&gt;"","FIX: "&amp;LEFT($DJ261,LEN($DJ261)-2)&amp;IF($DK261&lt;&gt;"","  ·  ",""),"")&amp;IF($DK261&lt;&gt;"","CHECK: "&amp;LEFT($DK261,LEN($DK261)-2),""))</f>
        <v/>
      </c>
      <c r="BF261" s="84">
        <f>IF(OR($A261="",$K261=""),"",$K261&amp;"'-"&amp;N($L261)&amp;CHAR(34)&amp;" x "&amp;$M261&amp;"'-"&amp;N($N261)&amp;CHAR(34))</f>
        <v/>
      </c>
      <c r="BG261" s="84">
        <f>IF(OR($A261="",$K261=""),"",$K261&amp;N($L261)&amp;$M261&amp;N($N261))</f>
        <v/>
      </c>
      <c r="BH261" s="84">
        <f>IF(OR($A261="",$K261=""),"",$K261*12+N($L261))</f>
        <v/>
      </c>
      <c r="BI261" s="84">
        <f>IF(OR($A261="",$M261=""),"",$M261*12+N($N261))</f>
        <v/>
      </c>
      <c r="BJ261" s="84">
        <f>IF($A261="","",IF(OR($C261="FRAME ONLY",$S261="BL"),0,IF($O261="Y",2,1)))</f>
        <v/>
      </c>
      <c r="BK261" s="86">
        <f>IF(OR(N($BJ261)=0,$BH261=""),"",($BH261-2*EdgeClr-IF($BJ261=2,MeetClr,0))/$BJ261)</f>
        <v/>
      </c>
      <c r="BL261" s="86">
        <f>IF(OR(N($BJ261)=0,$BI261=""),"",$BI261-HeadClr-Undercut)</f>
        <v/>
      </c>
      <c r="BM261" s="86">
        <f>IF($BH261="","",$BH261+2*FaceW+IF(N($Q261)&gt;0,($Q261+FaceW)*IF($R261="LR",2,1),0))</f>
        <v/>
      </c>
      <c r="BN261" s="86">
        <f>IF($BI261="","",$BI261+IF($AB261="Y",4,FaceW)+IF(N($P261)&gt;0,$P261+FaceW,0)+IF(OR($S261="4F",$S261="BL"),FaceW,0))</f>
        <v/>
      </c>
      <c r="BO261" s="86">
        <f>IF($BM261="","",$BM261+2*ROSide)</f>
        <v/>
      </c>
      <c r="BP261" s="86">
        <f>IF($BN261="","",$BN261+ROTop)</f>
        <v/>
      </c>
      <c r="BQ261" s="87">
        <f>IF(OR(N($BJ261)=0,$BH261=""),"",$BH261/$BJ261-ClearDeduct)</f>
        <v/>
      </c>
      <c r="BR261" s="84">
        <f>IF(N($CH261)=0,"",IF($CH261&gt;=180,"A · 3 HR",IF($CH261&gt;=90,"B · 1-1/2 HR",IF($CH261&gt;=60,"B · 1 HR",IF($CH261&gt;=45,"C · 3/4 HR","20 MIN")))))&amp;IF(AND(N($CH261)&gt;0,OR($I261="CORRIDOR",$I261="SMOKE BARRIER"))," · S","")</f>
        <v/>
      </c>
      <c r="BS261" s="84">
        <f>IF($CS261,"",IF($AV261&lt;&gt;"",$AV261,IF(OR($AC261="HGC",$AO261="HGC"),"CONT",IF(($BI261-HeadClr-Undercut)&lt;=60,2,IF(($BI261-HeadClr-Undercut)&lt;=90,3,IF(($BI261-HeadClr-Undercut)&lt;=120,4,5))))))</f>
        <v/>
      </c>
      <c r="BT261" s="84">
        <f>IF($CS261,"",IF($CT261,"CUSTOM (typed)",IF($CV261,$AT261&amp;" "&amp;$CU261&amp;CHAR(34)&amp;IF($CU261&lt;&gt;$BI261,IF(AND($BI261&lt;$CU261,$BI261-IF(N(VLOOKUP($AT261&amp;"|"&amp;$CU261,LocTable,7,FALSE))&gt;0,VLOOKUP($AT261&amp;"|"&amp;$CU261,LocTable,7,FALSE),VLOOKUP($AT261&amp;"|"&amp;$CU261,LocTable,6,FALSE))-$CR261-0.75&gt;=2.125)," cut down"," adj."),""),"ANSI/SDI A250.6")))</f>
        <v/>
      </c>
      <c r="BU261" s="88">
        <f>IF($CS261,"",IF($CT261,IF(N($AW261)&gt;0,N($AW261),""),IF(1&gt;$CQ261,"",IF($CQ261=1,$CW261,$CW261+($CX261-$CW261)*0/($CQ261-1)))))</f>
        <v/>
      </c>
      <c r="BV261" s="88">
        <f>IF($CS261,"",IF($CT261,IF(N($AX261)&gt;0,N($AX261),""),IF(2&gt;$CQ261,"",IF($CQ261=1,$CW261,$CW261+($CX261-$CW261)*1/($CQ261-1)))))</f>
        <v/>
      </c>
      <c r="BW261" s="88">
        <f>IF($CS261,"",IF($CT261,IF(N($AY261)&gt;0,N($AY261),""),IF(3&gt;$CQ261,"",IF($CQ261=1,$CW261,$CW261+($CX261-$CW261)*2/($CQ261-1)))))</f>
        <v/>
      </c>
      <c r="BX261" s="88">
        <f>IF($CS261,"",IF($CT261,IF(N($AZ261)&gt;0,N($AZ261),""),IF(4&gt;$CQ261,"",IF($CQ261=1,$CW261,$CW261+($CX261-$CW261)*3/($CQ261-1)))))</f>
        <v/>
      </c>
      <c r="BY261" s="88">
        <f>IF($CS261,"",IF($CT261,"",IF(5&gt;$CQ261,"",IF($CQ261=1,$CW261,$CW261+($CX261-$CW261)*4/($CQ261-1)))))</f>
        <v/>
      </c>
      <c r="BZ261" s="88">
        <f>IF(OR($CS261,$AP261="-",AND($AP261="",$AD261="")),"",IF(N($BA261)&gt;0,N($BA261),IF($CV261,IF(AND($BI261&lt;$CU261,$BI261-IF(N(VLOOKUP($AT261&amp;"|"&amp;$CU261,LocTable,7,FALSE))&gt;0,VLOOKUP($AT261&amp;"|"&amp;$CU261,LocTable,7,FALSE),VLOOKUP($AT261&amp;"|"&amp;$CU261,LocTable,6,FALSE))-$CR261-0.75&gt;=2.125),VLOOKUP($AT261&amp;"|"&amp;$CU261,LocTable,8,FALSE),VLOOKUP($AT261&amp;"|"&amp;$CU261,LocTable,8,FALSE)+($BI261-$CU261)),$BI261-LockAFF)))</f>
        <v/>
      </c>
      <c r="CA261" s="89">
        <f>IF($BZ261="","",$BI261-$BZ261)</f>
        <v/>
      </c>
      <c r="CB261" s="84">
        <f>IF(OR(NOT(AND($A261&lt;&gt;"",$C261&lt;&gt;"DOOR ONLY")),$BI261=""),"",IF(($BI261+IF(N($P261)&gt;0,$P261+FaceW,0))&lt;=90,3,IF(($BI261+IF(N($P261)&gt;0,$P261+FaceW,0))&lt;=114,4,5)))</f>
        <v/>
      </c>
      <c r="CC261" s="84">
        <f>IF($CB261="","",$CB261*(2+IF(N($Q261)&gt;0,IF($R261="LR",2,1),0)))</f>
        <v/>
      </c>
      <c r="CD261" s="84">
        <f>IF($CB261="","",(2+IF(N($Q261)&gt;0,IF($R261="LR",2,1),0)))</f>
        <v/>
      </c>
      <c r="CE261" s="84">
        <f>IF(N($BJ261)=0,"",IF(OR($AL261="",$AL261="FLUSH"),"FLUSH",IFERROR(LEFT($AL261,FIND("-",$AL261)-1),LEFT($AL261,2))))</f>
        <v/>
      </c>
      <c r="CF261" s="84">
        <f>IF($CE261="","",IFERROR(VALUE(MID($AL261,FIND("-",$AL261)+1,FIND(CHAR(34)&amp;"x",$AL261)-FIND("-",$AL261)-1)),0))</f>
        <v/>
      </c>
      <c r="CG261" s="84">
        <f>IF($CE261="","",IFERROR(VALUE(MID($AL261,FIND(CHAR(34)&amp;"x",$AL261)+2,FIND(CHAR(34),$AL261,FIND(CHAR(34)&amp;"x",$AL261)+2)-FIND(CHAR(34)&amp;"x",$AL261)-2)),0))</f>
        <v/>
      </c>
      <c r="CH261" s="90">
        <f>IF(OR($A261="",$H261="",$H261="NO LAB"),0,IFERROR(VALUE(LEFT($H261,FIND(" ",$H261)-1)),0))</f>
        <v/>
      </c>
      <c r="CI261" s="91">
        <f>IF(OR($A261="",$I261="",$I261="NON-RATED",N($J261)=0),"",IFERROR(VLOOKUP($I261&amp;"|"&amp;$J261,IBC,2,FALSE),"?"))</f>
        <v/>
      </c>
      <c r="CJ261" s="85">
        <f>IF(NOT(AND($A261&lt;&gt;"",$C261&lt;&gt;"DOOR ONLY")),"",TRIM(IFERROR(VLOOKUP($U261,CODES,2,FALSE),"")&amp;" "&amp;$BG261&amp;" "&amp;IFERROR(VLOOKUP($Z261,CODES,2,FALSE),"")&amp;" "&amp;IFERROR(VLOOKUP($X261,CODES,2,FALSE),"")&amp;" "&amp;IFERROR(VLOOKUP($S261,CODES,2,FALSE),"")&amp;IF(N($P261)&gt;0," w/TRANSOM "&amp;$P261&amp;CHAR(34),"")&amp;IF(N($Q261)&gt;0," w/SIDELITE "&amp;$Q261&amp;CHAR(34)&amp;" "&amp;IF($R261="","R",$R261),"")&amp;IF($Y261="","  |  "," | "&amp;IFERROR(VLOOKUP($Y261,CODES,2,FALSE),"")&amp;" | ")&amp;IFERROR(VLOOKUP($AC261,CODES,2,FALSE),"")&amp;" "&amp;IFERROR(VLOOKUP($AD261,CODES,2,FALSE),"")&amp;IF(OR($AE261="",$AE261="-"),""," "&amp;$AE261)&amp;IF(OR($AF261="",$AF261="-"),""," "&amp;$AF261)&amp;IF($AB261="Y"," 4"&amp;CHAR(34)&amp;" HEAD","")&amp;" "&amp;IFERROR(VLOOKUP($H261,CODES,2,FALSE),"")&amp;IF($CT261," | LOC "&amp;$CY261,"")))</f>
        <v/>
      </c>
      <c r="CK261" s="85">
        <f>IF(NOT(AND($A261&lt;&gt;"",N($BJ261)&gt;0)),"",TRIM(IFERROR(VLOOKUP($AH261,CODES,2,FALSE),"")&amp;IF($AI261=""," "," "&amp;$AI261&amp;"GA ")&amp;$BG261&amp;" "&amp;IF($AN261="",IFERROR(VLOOKUP($Z261,CODES,2,FALSE),""),IFERROR(VLOOKUP($AN261,CODES,2,FALSE),""))&amp;IF($BJ261=2," PAIR","")&amp;" DOOR | "&amp;IF($AL261="","?",$AL261)&amp;" | "&amp;IF($AO261="",IFERROR(VLOOKUP($AC261,CODES,2,FALSE),""),IFERROR(VLOOKUP($AO261,CODES,2,FALSE),""))&amp;" "&amp;IFERROR(VLOOKUP($AP261,CODES,2,FALSE),"")&amp;IF(OR($AQ261="",$AQ261="-"),""," SEAM "&amp;$AQ261)&amp;IF($AR261="Y"," ASTRAGAL","")&amp;IF($AJ261=""," "," "&amp;$AJ261)&amp;IF($AK261=""," "," "&amp;$AK261)&amp;IF(OR($AT261="",$AT261="ANSI/SDI",$AT261="CUSTOM LOC"),""," "&amp;$AT261)&amp;IF($AM261=""," "," SERIES "&amp;$AM261)&amp;" "&amp;IFERROR(VLOOKUP($H261,CODES,2,FALSE),"")&amp;IF($CT261," | LOC "&amp;$CZ261,"")))</f>
        <v/>
      </c>
      <c r="CL261" s="84">
        <f>IF(CP261="","",IF(COUNTIF($CP$6:CP261,CP261)=1,MAX($CL$5:CL260)+1,INDEX($CL$5:CL260,MATCH(CP261,$CP$5:CP260,0))))</f>
        <v/>
      </c>
      <c r="CM261" s="84">
        <f>IF(NOT(AND($A261&lt;&gt;"",$C261&lt;&gt;"DOOR ONLY")),"",MAX($CM$5:CM260)+1)</f>
        <v/>
      </c>
      <c r="CN261" s="84">
        <f>IF(NOT(AND($A261&lt;&gt;"",N($BJ261)&gt;0)),"",MAX($CN$5:CN260)+1)</f>
        <v/>
      </c>
      <c r="CO261" s="84">
        <f>IF($A261="","",MAX($CO$5:CO260)+1)</f>
        <v/>
      </c>
      <c r="CP261" s="84">
        <f>IF(OR($A261="",$BH261="",$BI261=""),"",$BG261&amp;"|"&amp;$O261&amp;"|"&amp;$AL261&amp;"|"&amp;$S261&amp;"|"&amp;$P261&amp;"|"&amp;$Q261&amp;$R261&amp;"|"&amp;$C261&amp;"|"&amp;$AB261)</f>
        <v/>
      </c>
      <c r="CQ261" s="84">
        <f>N($BS261)</f>
        <v/>
      </c>
      <c r="CR261" s="84">
        <f>IF(N($AU261)&gt;0,N($AU261),4.5)</f>
        <v/>
      </c>
      <c r="CS261" s="84">
        <f>OR($A261="",$BI261="",$S261="BL",AND($C261="FRAME ONLY",OR($AC261="",$AC261="BLK")))</f>
        <v/>
      </c>
      <c r="CT261" s="84">
        <f>AND(NOT($CS261),OR($AT261="CUSTOM LOC",N($AW261)+N($AX261)+N($AY261)+N($AZ261)+N($BA261)&gt;0))</f>
        <v/>
      </c>
      <c r="CU261" s="84">
        <f>IF($BI261="","",IF($BI261&lt;=80,80,IF($BI261&lt;=84,84,96)))</f>
        <v/>
      </c>
      <c r="CV261" s="84">
        <f>ISNUMBER(MATCH($AT261&amp;"|80",LocKeys,0))</f>
        <v/>
      </c>
      <c r="CW261" s="86">
        <f>IF($CS261,"",IF($CV261,VLOOKUP($AT261&amp;"|"&amp;$CU261,LocTable,4,FALSE),5))</f>
        <v/>
      </c>
      <c r="CX261" s="86">
        <f>IF($CS261,"",IF($CV261,IF(OR($BI261=$CU261,AND($BI261&lt;$CU261,$BI261-IF(N(VLOOKUP($AT261&amp;"|"&amp;$CU261,LocTable,7,FALSE))&gt;0,VLOOKUP($AT261&amp;"|"&amp;$CU261,LocTable,7,FALSE),VLOOKUP($AT261&amp;"|"&amp;$CU261,LocTable,6,FALSE))-$CR261-0.75&gt;=2.125)),IF(N(VLOOKUP($AT261&amp;"|"&amp;$CU261,LocTable,7,FALSE))&gt;0,VLOOKUP($AT261&amp;"|"&amp;$CU261,LocTable,7,FALSE),VLOOKUP($AT261&amp;"|"&amp;$CU261,LocTable,6,FALSE)),$BI261-($CU261-IF(N(VLOOKUP($AT261&amp;"|"&amp;$CU261,LocTable,7,FALSE))&gt;0,VLOOKUP($AT261&amp;"|"&amp;$CU261,LocTable,7,FALSE),VLOOKUP($AT261&amp;"|"&amp;$CU261,LocTable,6,FALSE)))),$BI261-10-$CR261))</f>
        <v/>
      </c>
      <c r="CY261" s="85">
        <f>IF($CS261,"",TRIM(IF(ISNUMBER($BU261),"A "&amp;TRIM(TEXT($BU261,"# ?/??"))&amp;CHAR(34)&amp;"  ","")&amp;IF(ISNUMBER($BV261),"B "&amp;TRIM(TEXT($BV261,"# ?/??"))&amp;CHAR(34)&amp;"  ","")&amp;IF(ISNUMBER($BW261),"C "&amp;TRIM(TEXT($BW261,"# ?/??"))&amp;CHAR(34)&amp;"  ","")&amp;IF(ISNUMBER($BX261),"D "&amp;TRIM(TEXT($BX261,"# ?/??"))&amp;CHAR(34)&amp;"  ","")&amp;IF(ISNUMBER($BY261),"F "&amp;TRIM(TEXT($BY261,"# ?/??"))&amp;CHAR(34)&amp;"  ","")&amp;IF(ISNUMBER($BZ261),"E "&amp;TRIM(TEXT($BZ261,"# ?/??"))&amp;CHAR(34)&amp;"  ","")))</f>
        <v/>
      </c>
      <c r="CZ261" s="85">
        <f>IF(OR($CS261,N($BJ261)=0),"",TRIM(IF(ISNUMBER($BU261),"A "&amp;TRIM(TEXT($BU261-HeadClr,"# ?/??"))&amp;CHAR(34)&amp;"  ","")&amp;IF(ISNUMBER($BV261),"B "&amp;TRIM(TEXT($BV261-HeadClr,"# ?/??"))&amp;CHAR(34)&amp;"  ","")&amp;IF(ISNUMBER($BW261),"C "&amp;TRIM(TEXT($BW261-HeadClr,"# ?/??"))&amp;CHAR(34)&amp;"  ","")&amp;IF(ISNUMBER($BX261),"D "&amp;TRIM(TEXT($BX261-HeadClr,"# ?/??"))&amp;CHAR(34)&amp;"  ","")&amp;IF(ISNUMBER($BY261),"F "&amp;TRIM(TEXT($BY261-HeadClr,"# ?/??"))&amp;CHAR(34)&amp;"  ","")&amp;IF(ISNUMBER($BZ261),"E "&amp;TRIM(TEXT($BZ261-HeadClr,"# ?/??"))&amp;CHAR(34)&amp;"  ","")))</f>
        <v/>
      </c>
      <c r="DA261" s="84">
        <f>IF($A261="","",IF($AN261="",IFERROR(VLOOKUP($Z261,CODES,2,FALSE),""),IFERROR(VLOOKUP($AN261,CODES,2,FALSE),"")))</f>
        <v/>
      </c>
      <c r="DB261" s="84">
        <f>IF($A261="","",IF($O261="Y","PR",IF(OR($Z261="L",$Z261="RR",LEFT($Z261,2)="L-",LEFT($Z261,3)="RR-"),"LH","RH")))</f>
        <v/>
      </c>
      <c r="DC261" s="84">
        <f>IF($A261="","","S.HM"&amp;IF(OR($C261="DOOR ONLY",$X261&lt;&gt;"KD"),"MASONRY","DRYWALL")&amp;IF($C261="DOOR ONLY","",$U261)&amp;IF(AND($C261&lt;&gt;"FRAME ONLY",OR(LEFT($AH261,3)="OAK",LEFT($AH261,3)="BIR",LEFT($AH261,3)="MAP",$AH261="PC",$AH261="MC",$AH261="SCLC",$AH261="P-LAM")),"WD","HM")&amp;"1.75")</f>
        <v/>
      </c>
      <c r="DD261" s="84">
        <f>IF($CJ261="","",IF($O261="Y",$CJ261,SUBSTITUTE($CJ261,$BG261&amp;" "&amp;IFERROR(VLOOKUP($Z261,CODES,2,FALSE),"")&amp;" ",$BG261&amp;" ")))</f>
        <v/>
      </c>
      <c r="DE261" s="84">
        <f>IF($CK261="","",IF($O261="Y",$CK261,SUBSTITUTE($CK261,$BG261&amp;" "&amp;IF($AN261="",IFERROR(VLOOKUP($Z261,CODES,2,FALSE),""),IFERROR(VLOOKUP($AN261,CODES,2,FALSE),""))&amp;" ",$BG261&amp;" ")))</f>
        <v/>
      </c>
      <c r="DF261" s="84">
        <f>IF($CJ261="","",$DC261&amp;"|"&amp;$DD261&amp;"|"&amp;$DB261&amp;"|"&amp;$AT261&amp;"|"&amp;$V261&amp;"|"&amp;$Y261&amp;"|"&amp;$AB261)</f>
        <v/>
      </c>
      <c r="DG261" s="84">
        <f>IF(DF261="","",IF(COUNTIF($DF$6:DF261,DF261)=1,MAX($DG$5:DG260)+1,INDEX($DG$5:DG260,MATCH(DF261,$DF$5:DF260,0))))</f>
        <v/>
      </c>
      <c r="DH261" s="84">
        <f>IF($CK261="","",$DC261&amp;"|"&amp;$DE261&amp;"|"&amp;$AI261&amp;"|"&amp;$BK261&amp;"|"&amp;$BL261)</f>
        <v/>
      </c>
      <c r="DI261" s="84">
        <f>IF(DH261="","",IF(COUNTIF($DH$6:DH261,DH261)=1,MAX($DI$5:DI260)+1,INDEX($DI$5:DI260,MATCH(DH261,$DH$5:DH260,0))))</f>
        <v/>
      </c>
      <c r="DJ261" s="84">
        <f>IF($A261="","",IF($B261="","qty, ","")&amp;IF($C261="","scope, ","")&amp;IF(OR($K261="",$M261=""),"size, ","")&amp;IF(AND($A261&lt;&gt;"",$C261&lt;&gt;"DOOR ONLY"),IF($U261="","jamb depth, ","")&amp;IF($X261="","construction, ","")&amp;IF($Y261="","anchor, ","")&amp;IF($S261="","frame type, ",""),"")&amp;IF(AND(N($BJ261)&gt;0,$Z261=""),"hand, ","")&amp;IF(N($BJ261)&gt;0,IF($AH261="","door material, ","")&amp;IF($AL261="","face type, ","")&amp;IF($AP261="","lock prep, ","")&amp;IF(AND($AO261="",$AC261=""),"hinge prep, ",""),"")&amp;IF(AND($CH261&gt;0,$AH261="FRP"),"FRP cannot carry a label, ","")&amp;IF(AND($O261="Y",OR($Z261="L",$Z261="R",$Z261="LR",$Z261="RR")),"pair marked but hand is single, ","")&amp;IF(AND($O261&lt;&gt;"Y",OR($Z261="PR",AND(LEN($Z261)&gt;1,ISNUMBER(SEARCH("-",$Z261))))),"pair hand on a single door, ","")&amp;IF(AND(ISNUMBER($CI261),$CH261&lt;N($CI261)),"wall needs a "&amp;$CI261&amp;" min door, ","")&amp;IF(AND($CH261&gt;=180,AND(OR($CE261="FG",$CE261="HG",$CE261="FNV",$CE261="FV"),N($CF261)*N($CG261)&gt;100)),"180 min lite over 100 sq in, ","")&amp;IF(N($BK261)&gt;48,"leaf wider than 4'-0"&amp;CHAR(34)&amp;", ","")&amp;IF(AND($CT261,COUNT($AW261:$AZ261)=0,$CQ261&gt;0),"CUSTOM LOC with no locations typed, ",""))</f>
        <v/>
      </c>
      <c r="DK261" s="84">
        <f>IF($A261="","",IF(AND($CH261&gt;0,AND($A261&lt;&gt;"",$C261&lt;&gt;"DOOR ONLY"),$X261="KD",$E261="EXTERIOR"),"KD label on an exterior opening, ","")&amp;IF(AND($E261="EXTERIOR",OR(AND(AND($A261&lt;&gt;"",$C261&lt;&gt;"DOOR ONLY"),$W261="CR"),AND(N($BJ261)&gt;0,$AH261="CR"))),"exterior in CR steel (G9?), ","")&amp;IF(AND(ISNUMBER($BQ261),N($BQ261)&lt;32),"clear width ~"&amp;TEXT($BQ261,"0.0")&amp;CHAR(34)&amp;" under 32"&amp;CHAR(34)&amp;" (ADA), ","")&amp;IF(AND($CH261=90,AND(OR($CE261="FG",$CE261="HG",$CE261="FNV",$CE261="FV"),N($CF261)*N($CG261)&gt;100)),"90 min lite over 100 sq in (stair/exit), ","")&amp;IF(AND($CH261&gt;0,AND($A261&lt;&gt;"",$C261&lt;&gt;"DOOR ONLY"),OR($AF261="",$AF261="-")),"rated: closer reinf.?, ","")&amp;IF(OR($I261="CORRIDOR",$I261="SMOKE BARRIER"),"S label + smoke gasketing, ","")&amp;IF($CI261="?","wall type/hr not in IBC table, ","")&amp;IF(AND(N($BJ261)&gt;0,$BB261=""),"no hardware set, ","")&amp;IF(AND($BB261&lt;&gt;"",ISNA(MATCH($BB261&amp;"",HWSets,0))),"set "&amp;$BB261&amp;" not on HW Sets, ","")&amp;IF(N($BL261)&gt;96,"leaf over 8'-0"&amp;CHAR(34)&amp;" - check listing, ","")&amp;IF(AND($CT261,COUNT($AW261:$AZ261)&gt;0,COUNT($AW261:$AZ261)&lt;&gt;$CQ261),COUNT($AW261:$AZ261)&amp;" custom hinges typed, "&amp;$CQ261&amp;" expected, ","")&amp;IF(AND(ISNUMBER($CA261),OR(N($CA261)&lt;34,N($CA261)&gt;48)),"lock "&amp;TEXT($CA261,"0.0")&amp;CHAR(34)&amp;" AFF outside 34-48"&amp;CHAR(34)&amp;" (ADA), ","")&amp;IF(AND(ISNUMBER($AV261),ISNUMBER($BL261),N($AV261)&lt;IF(N($BL261)&lt;=60,2,IF(N($BL261)&lt;=90,3,IF(N($BL261)&lt;=120,4,5)))),"fewer hinges than standard, ",""))</f>
        <v/>
      </c>
    </row>
    <row r="262" ht="15" customHeight="1">
      <c r="A262" s="77" t="n"/>
      <c r="B262" s="78" t="n"/>
      <c r="C262" s="78" t="n"/>
      <c r="D262" s="78" t="n"/>
      <c r="E262" s="78" t="n"/>
      <c r="F262" s="78" t="n"/>
      <c r="G262" s="78" t="n"/>
      <c r="H262" s="78" t="n"/>
      <c r="I262" s="78" t="n"/>
      <c r="J262" s="78" t="n"/>
      <c r="K262" s="78" t="n"/>
      <c r="L262" s="78" t="n"/>
      <c r="M262" s="78" t="n"/>
      <c r="N262" s="78" t="n"/>
      <c r="O262" s="78" t="n"/>
      <c r="P262" s="78" t="n"/>
      <c r="Q262" s="78" t="n"/>
      <c r="R262" s="78" t="n"/>
      <c r="S262" s="79" t="n"/>
      <c r="T262" s="79" t="n"/>
      <c r="U262" s="79" t="n"/>
      <c r="V262" s="79" t="n"/>
      <c r="W262" s="79" t="n"/>
      <c r="X262" s="79" t="n"/>
      <c r="Y262" s="79" t="n"/>
      <c r="Z262" s="79" t="n"/>
      <c r="AA262" s="79" t="n"/>
      <c r="AB262" s="79" t="n"/>
      <c r="AC262" s="79" t="n"/>
      <c r="AD262" s="79" t="n"/>
      <c r="AE262" s="79" t="n"/>
      <c r="AF262" s="79" t="n"/>
      <c r="AG262" s="79" t="n"/>
      <c r="AH262" s="80" t="n"/>
      <c r="AI262" s="80" t="n"/>
      <c r="AJ262" s="80" t="n"/>
      <c r="AK262" s="80" t="n"/>
      <c r="AL262" s="80" t="n"/>
      <c r="AM262" s="80" t="n"/>
      <c r="AN262" s="80" t="n"/>
      <c r="AO262" s="80" t="n"/>
      <c r="AP262" s="80" t="n"/>
      <c r="AQ262" s="80" t="n"/>
      <c r="AR262" s="80" t="n"/>
      <c r="AS262" s="80" t="n"/>
      <c r="AT262" s="81" t="n"/>
      <c r="AU262" s="81" t="n"/>
      <c r="AV262" s="81" t="n"/>
      <c r="AW262" s="82" t="n"/>
      <c r="AX262" s="82" t="n"/>
      <c r="AY262" s="82" t="n"/>
      <c r="AZ262" s="82" t="n"/>
      <c r="BA262" s="82" t="n"/>
      <c r="BB262" s="83" t="n"/>
      <c r="BC262" s="83" t="n"/>
      <c r="BD262" s="84">
        <f>IF($A262="","",IF($DJ262&lt;&gt;"","FIX",IF($DK262&lt;&gt;"","CHECK","OK")))</f>
        <v/>
      </c>
      <c r="BE262" s="85">
        <f>IF($A262="","",IF($DJ262&lt;&gt;"","FIX: "&amp;LEFT($DJ262,LEN($DJ262)-2)&amp;IF($DK262&lt;&gt;"","  ·  ",""),"")&amp;IF($DK262&lt;&gt;"","CHECK: "&amp;LEFT($DK262,LEN($DK262)-2),""))</f>
        <v/>
      </c>
      <c r="BF262" s="84">
        <f>IF(OR($A262="",$K262=""),"",$K262&amp;"'-"&amp;N($L262)&amp;CHAR(34)&amp;" x "&amp;$M262&amp;"'-"&amp;N($N262)&amp;CHAR(34))</f>
        <v/>
      </c>
      <c r="BG262" s="84">
        <f>IF(OR($A262="",$K262=""),"",$K262&amp;N($L262)&amp;$M262&amp;N($N262))</f>
        <v/>
      </c>
      <c r="BH262" s="84">
        <f>IF(OR($A262="",$K262=""),"",$K262*12+N($L262))</f>
        <v/>
      </c>
      <c r="BI262" s="84">
        <f>IF(OR($A262="",$M262=""),"",$M262*12+N($N262))</f>
        <v/>
      </c>
      <c r="BJ262" s="84">
        <f>IF($A262="","",IF(OR($C262="FRAME ONLY",$S262="BL"),0,IF($O262="Y",2,1)))</f>
        <v/>
      </c>
      <c r="BK262" s="86">
        <f>IF(OR(N($BJ262)=0,$BH262=""),"",($BH262-2*EdgeClr-IF($BJ262=2,MeetClr,0))/$BJ262)</f>
        <v/>
      </c>
      <c r="BL262" s="86">
        <f>IF(OR(N($BJ262)=0,$BI262=""),"",$BI262-HeadClr-Undercut)</f>
        <v/>
      </c>
      <c r="BM262" s="86">
        <f>IF($BH262="","",$BH262+2*FaceW+IF(N($Q262)&gt;0,($Q262+FaceW)*IF($R262="LR",2,1),0))</f>
        <v/>
      </c>
      <c r="BN262" s="86">
        <f>IF($BI262="","",$BI262+IF($AB262="Y",4,FaceW)+IF(N($P262)&gt;0,$P262+FaceW,0)+IF(OR($S262="4F",$S262="BL"),FaceW,0))</f>
        <v/>
      </c>
      <c r="BO262" s="86">
        <f>IF($BM262="","",$BM262+2*ROSide)</f>
        <v/>
      </c>
      <c r="BP262" s="86">
        <f>IF($BN262="","",$BN262+ROTop)</f>
        <v/>
      </c>
      <c r="BQ262" s="87">
        <f>IF(OR(N($BJ262)=0,$BH262=""),"",$BH262/$BJ262-ClearDeduct)</f>
        <v/>
      </c>
      <c r="BR262" s="84">
        <f>IF(N($CH262)=0,"",IF($CH262&gt;=180,"A · 3 HR",IF($CH262&gt;=90,"B · 1-1/2 HR",IF($CH262&gt;=60,"B · 1 HR",IF($CH262&gt;=45,"C · 3/4 HR","20 MIN")))))&amp;IF(AND(N($CH262)&gt;0,OR($I262="CORRIDOR",$I262="SMOKE BARRIER"))," · S","")</f>
        <v/>
      </c>
      <c r="BS262" s="84">
        <f>IF($CS262,"",IF($AV262&lt;&gt;"",$AV262,IF(OR($AC262="HGC",$AO262="HGC"),"CONT",IF(($BI262-HeadClr-Undercut)&lt;=60,2,IF(($BI262-HeadClr-Undercut)&lt;=90,3,IF(($BI262-HeadClr-Undercut)&lt;=120,4,5))))))</f>
        <v/>
      </c>
      <c r="BT262" s="84">
        <f>IF($CS262,"",IF($CT262,"CUSTOM (typed)",IF($CV262,$AT262&amp;" "&amp;$CU262&amp;CHAR(34)&amp;IF($CU262&lt;&gt;$BI262,IF(AND($BI262&lt;$CU262,$BI262-IF(N(VLOOKUP($AT262&amp;"|"&amp;$CU262,LocTable,7,FALSE))&gt;0,VLOOKUP($AT262&amp;"|"&amp;$CU262,LocTable,7,FALSE),VLOOKUP($AT262&amp;"|"&amp;$CU262,LocTable,6,FALSE))-$CR262-0.75&gt;=2.125)," cut down"," adj."),""),"ANSI/SDI A250.6")))</f>
        <v/>
      </c>
      <c r="BU262" s="88">
        <f>IF($CS262,"",IF($CT262,IF(N($AW262)&gt;0,N($AW262),""),IF(1&gt;$CQ262,"",IF($CQ262=1,$CW262,$CW262+($CX262-$CW262)*0/($CQ262-1)))))</f>
        <v/>
      </c>
      <c r="BV262" s="88">
        <f>IF($CS262,"",IF($CT262,IF(N($AX262)&gt;0,N($AX262),""),IF(2&gt;$CQ262,"",IF($CQ262=1,$CW262,$CW262+($CX262-$CW262)*1/($CQ262-1)))))</f>
        <v/>
      </c>
      <c r="BW262" s="88">
        <f>IF($CS262,"",IF($CT262,IF(N($AY262)&gt;0,N($AY262),""),IF(3&gt;$CQ262,"",IF($CQ262=1,$CW262,$CW262+($CX262-$CW262)*2/($CQ262-1)))))</f>
        <v/>
      </c>
      <c r="BX262" s="88">
        <f>IF($CS262,"",IF($CT262,IF(N($AZ262)&gt;0,N($AZ262),""),IF(4&gt;$CQ262,"",IF($CQ262=1,$CW262,$CW262+($CX262-$CW262)*3/($CQ262-1)))))</f>
        <v/>
      </c>
      <c r="BY262" s="88">
        <f>IF($CS262,"",IF($CT262,"",IF(5&gt;$CQ262,"",IF($CQ262=1,$CW262,$CW262+($CX262-$CW262)*4/($CQ262-1)))))</f>
        <v/>
      </c>
      <c r="BZ262" s="88">
        <f>IF(OR($CS262,$AP262="-",AND($AP262="",$AD262="")),"",IF(N($BA262)&gt;0,N($BA262),IF($CV262,IF(AND($BI262&lt;$CU262,$BI262-IF(N(VLOOKUP($AT262&amp;"|"&amp;$CU262,LocTable,7,FALSE))&gt;0,VLOOKUP($AT262&amp;"|"&amp;$CU262,LocTable,7,FALSE),VLOOKUP($AT262&amp;"|"&amp;$CU262,LocTable,6,FALSE))-$CR262-0.75&gt;=2.125),VLOOKUP($AT262&amp;"|"&amp;$CU262,LocTable,8,FALSE),VLOOKUP($AT262&amp;"|"&amp;$CU262,LocTable,8,FALSE)+($BI262-$CU262)),$BI262-LockAFF)))</f>
        <v/>
      </c>
      <c r="CA262" s="89">
        <f>IF($BZ262="","",$BI262-$BZ262)</f>
        <v/>
      </c>
      <c r="CB262" s="84">
        <f>IF(OR(NOT(AND($A262&lt;&gt;"",$C262&lt;&gt;"DOOR ONLY")),$BI262=""),"",IF(($BI262+IF(N($P262)&gt;0,$P262+FaceW,0))&lt;=90,3,IF(($BI262+IF(N($P262)&gt;0,$P262+FaceW,0))&lt;=114,4,5)))</f>
        <v/>
      </c>
      <c r="CC262" s="84">
        <f>IF($CB262="","",$CB262*(2+IF(N($Q262)&gt;0,IF($R262="LR",2,1),0)))</f>
        <v/>
      </c>
      <c r="CD262" s="84">
        <f>IF($CB262="","",(2+IF(N($Q262)&gt;0,IF($R262="LR",2,1),0)))</f>
        <v/>
      </c>
      <c r="CE262" s="84">
        <f>IF(N($BJ262)=0,"",IF(OR($AL262="",$AL262="FLUSH"),"FLUSH",IFERROR(LEFT($AL262,FIND("-",$AL262)-1),LEFT($AL262,2))))</f>
        <v/>
      </c>
      <c r="CF262" s="84">
        <f>IF($CE262="","",IFERROR(VALUE(MID($AL262,FIND("-",$AL262)+1,FIND(CHAR(34)&amp;"x",$AL262)-FIND("-",$AL262)-1)),0))</f>
        <v/>
      </c>
      <c r="CG262" s="84">
        <f>IF($CE262="","",IFERROR(VALUE(MID($AL262,FIND(CHAR(34)&amp;"x",$AL262)+2,FIND(CHAR(34),$AL262,FIND(CHAR(34)&amp;"x",$AL262)+2)-FIND(CHAR(34)&amp;"x",$AL262)-2)),0))</f>
        <v/>
      </c>
      <c r="CH262" s="90">
        <f>IF(OR($A262="",$H262="",$H262="NO LAB"),0,IFERROR(VALUE(LEFT($H262,FIND(" ",$H262)-1)),0))</f>
        <v/>
      </c>
      <c r="CI262" s="91">
        <f>IF(OR($A262="",$I262="",$I262="NON-RATED",N($J262)=0),"",IFERROR(VLOOKUP($I262&amp;"|"&amp;$J262,IBC,2,FALSE),"?"))</f>
        <v/>
      </c>
      <c r="CJ262" s="85">
        <f>IF(NOT(AND($A262&lt;&gt;"",$C262&lt;&gt;"DOOR ONLY")),"",TRIM(IFERROR(VLOOKUP($U262,CODES,2,FALSE),"")&amp;" "&amp;$BG262&amp;" "&amp;IFERROR(VLOOKUP($Z262,CODES,2,FALSE),"")&amp;" "&amp;IFERROR(VLOOKUP($X262,CODES,2,FALSE),"")&amp;" "&amp;IFERROR(VLOOKUP($S262,CODES,2,FALSE),"")&amp;IF(N($P262)&gt;0," w/TRANSOM "&amp;$P262&amp;CHAR(34),"")&amp;IF(N($Q262)&gt;0," w/SIDELITE "&amp;$Q262&amp;CHAR(34)&amp;" "&amp;IF($R262="","R",$R262),"")&amp;IF($Y262="","  |  "," | "&amp;IFERROR(VLOOKUP($Y262,CODES,2,FALSE),"")&amp;" | ")&amp;IFERROR(VLOOKUP($AC262,CODES,2,FALSE),"")&amp;" "&amp;IFERROR(VLOOKUP($AD262,CODES,2,FALSE),"")&amp;IF(OR($AE262="",$AE262="-"),""," "&amp;$AE262)&amp;IF(OR($AF262="",$AF262="-"),""," "&amp;$AF262)&amp;IF($AB262="Y"," 4"&amp;CHAR(34)&amp;" HEAD","")&amp;" "&amp;IFERROR(VLOOKUP($H262,CODES,2,FALSE),"")&amp;IF($CT262," | LOC "&amp;$CY262,"")))</f>
        <v/>
      </c>
      <c r="CK262" s="85">
        <f>IF(NOT(AND($A262&lt;&gt;"",N($BJ262)&gt;0)),"",TRIM(IFERROR(VLOOKUP($AH262,CODES,2,FALSE),"")&amp;IF($AI262=""," "," "&amp;$AI262&amp;"GA ")&amp;$BG262&amp;" "&amp;IF($AN262="",IFERROR(VLOOKUP($Z262,CODES,2,FALSE),""),IFERROR(VLOOKUP($AN262,CODES,2,FALSE),""))&amp;IF($BJ262=2," PAIR","")&amp;" DOOR | "&amp;IF($AL262="","?",$AL262)&amp;" | "&amp;IF($AO262="",IFERROR(VLOOKUP($AC262,CODES,2,FALSE),""),IFERROR(VLOOKUP($AO262,CODES,2,FALSE),""))&amp;" "&amp;IFERROR(VLOOKUP($AP262,CODES,2,FALSE),"")&amp;IF(OR($AQ262="",$AQ262="-"),""," SEAM "&amp;$AQ262)&amp;IF($AR262="Y"," ASTRAGAL","")&amp;IF($AJ262=""," "," "&amp;$AJ262)&amp;IF($AK262=""," "," "&amp;$AK262)&amp;IF(OR($AT262="",$AT262="ANSI/SDI",$AT262="CUSTOM LOC"),""," "&amp;$AT262)&amp;IF($AM262=""," "," SERIES "&amp;$AM262)&amp;" "&amp;IFERROR(VLOOKUP($H262,CODES,2,FALSE),"")&amp;IF($CT262," | LOC "&amp;$CZ262,"")))</f>
        <v/>
      </c>
      <c r="CL262" s="84">
        <f>IF(CP262="","",IF(COUNTIF($CP$6:CP262,CP262)=1,MAX($CL$5:CL261)+1,INDEX($CL$5:CL261,MATCH(CP262,$CP$5:CP261,0))))</f>
        <v/>
      </c>
      <c r="CM262" s="84">
        <f>IF(NOT(AND($A262&lt;&gt;"",$C262&lt;&gt;"DOOR ONLY")),"",MAX($CM$5:CM261)+1)</f>
        <v/>
      </c>
      <c r="CN262" s="84">
        <f>IF(NOT(AND($A262&lt;&gt;"",N($BJ262)&gt;0)),"",MAX($CN$5:CN261)+1)</f>
        <v/>
      </c>
      <c r="CO262" s="84">
        <f>IF($A262="","",MAX($CO$5:CO261)+1)</f>
        <v/>
      </c>
      <c r="CP262" s="84">
        <f>IF(OR($A262="",$BH262="",$BI262=""),"",$BG262&amp;"|"&amp;$O262&amp;"|"&amp;$AL262&amp;"|"&amp;$S262&amp;"|"&amp;$P262&amp;"|"&amp;$Q262&amp;$R262&amp;"|"&amp;$C262&amp;"|"&amp;$AB262)</f>
        <v/>
      </c>
      <c r="CQ262" s="84">
        <f>N($BS262)</f>
        <v/>
      </c>
      <c r="CR262" s="84">
        <f>IF(N($AU262)&gt;0,N($AU262),4.5)</f>
        <v/>
      </c>
      <c r="CS262" s="84">
        <f>OR($A262="",$BI262="",$S262="BL",AND($C262="FRAME ONLY",OR($AC262="",$AC262="BLK")))</f>
        <v/>
      </c>
      <c r="CT262" s="84">
        <f>AND(NOT($CS262),OR($AT262="CUSTOM LOC",N($AW262)+N($AX262)+N($AY262)+N($AZ262)+N($BA262)&gt;0))</f>
        <v/>
      </c>
      <c r="CU262" s="84">
        <f>IF($BI262="","",IF($BI262&lt;=80,80,IF($BI262&lt;=84,84,96)))</f>
        <v/>
      </c>
      <c r="CV262" s="84">
        <f>ISNUMBER(MATCH($AT262&amp;"|80",LocKeys,0))</f>
        <v/>
      </c>
      <c r="CW262" s="86">
        <f>IF($CS262,"",IF($CV262,VLOOKUP($AT262&amp;"|"&amp;$CU262,LocTable,4,FALSE),5))</f>
        <v/>
      </c>
      <c r="CX262" s="86">
        <f>IF($CS262,"",IF($CV262,IF(OR($BI262=$CU262,AND($BI262&lt;$CU262,$BI262-IF(N(VLOOKUP($AT262&amp;"|"&amp;$CU262,LocTable,7,FALSE))&gt;0,VLOOKUP($AT262&amp;"|"&amp;$CU262,LocTable,7,FALSE),VLOOKUP($AT262&amp;"|"&amp;$CU262,LocTable,6,FALSE))-$CR262-0.75&gt;=2.125)),IF(N(VLOOKUP($AT262&amp;"|"&amp;$CU262,LocTable,7,FALSE))&gt;0,VLOOKUP($AT262&amp;"|"&amp;$CU262,LocTable,7,FALSE),VLOOKUP($AT262&amp;"|"&amp;$CU262,LocTable,6,FALSE)),$BI262-($CU262-IF(N(VLOOKUP($AT262&amp;"|"&amp;$CU262,LocTable,7,FALSE))&gt;0,VLOOKUP($AT262&amp;"|"&amp;$CU262,LocTable,7,FALSE),VLOOKUP($AT262&amp;"|"&amp;$CU262,LocTable,6,FALSE)))),$BI262-10-$CR262))</f>
        <v/>
      </c>
      <c r="CY262" s="85">
        <f>IF($CS262,"",TRIM(IF(ISNUMBER($BU262),"A "&amp;TRIM(TEXT($BU262,"# ?/??"))&amp;CHAR(34)&amp;"  ","")&amp;IF(ISNUMBER($BV262),"B "&amp;TRIM(TEXT($BV262,"# ?/??"))&amp;CHAR(34)&amp;"  ","")&amp;IF(ISNUMBER($BW262),"C "&amp;TRIM(TEXT($BW262,"# ?/??"))&amp;CHAR(34)&amp;"  ","")&amp;IF(ISNUMBER($BX262),"D "&amp;TRIM(TEXT($BX262,"# ?/??"))&amp;CHAR(34)&amp;"  ","")&amp;IF(ISNUMBER($BY262),"F "&amp;TRIM(TEXT($BY262,"# ?/??"))&amp;CHAR(34)&amp;"  ","")&amp;IF(ISNUMBER($BZ262),"E "&amp;TRIM(TEXT($BZ262,"# ?/??"))&amp;CHAR(34)&amp;"  ","")))</f>
        <v/>
      </c>
      <c r="CZ262" s="85">
        <f>IF(OR($CS262,N($BJ262)=0),"",TRIM(IF(ISNUMBER($BU262),"A "&amp;TRIM(TEXT($BU262-HeadClr,"# ?/??"))&amp;CHAR(34)&amp;"  ","")&amp;IF(ISNUMBER($BV262),"B "&amp;TRIM(TEXT($BV262-HeadClr,"# ?/??"))&amp;CHAR(34)&amp;"  ","")&amp;IF(ISNUMBER($BW262),"C "&amp;TRIM(TEXT($BW262-HeadClr,"# ?/??"))&amp;CHAR(34)&amp;"  ","")&amp;IF(ISNUMBER($BX262),"D "&amp;TRIM(TEXT($BX262-HeadClr,"# ?/??"))&amp;CHAR(34)&amp;"  ","")&amp;IF(ISNUMBER($BY262),"F "&amp;TRIM(TEXT($BY262-HeadClr,"# ?/??"))&amp;CHAR(34)&amp;"  ","")&amp;IF(ISNUMBER($BZ262),"E "&amp;TRIM(TEXT($BZ262-HeadClr,"# ?/??"))&amp;CHAR(34)&amp;"  ","")))</f>
        <v/>
      </c>
      <c r="DA262" s="84">
        <f>IF($A262="","",IF($AN262="",IFERROR(VLOOKUP($Z262,CODES,2,FALSE),""),IFERROR(VLOOKUP($AN262,CODES,2,FALSE),"")))</f>
        <v/>
      </c>
      <c r="DB262" s="84">
        <f>IF($A262="","",IF($O262="Y","PR",IF(OR($Z262="L",$Z262="RR",LEFT($Z262,2)="L-",LEFT($Z262,3)="RR-"),"LH","RH")))</f>
        <v/>
      </c>
      <c r="DC262" s="84">
        <f>IF($A262="","","S.HM"&amp;IF(OR($C262="DOOR ONLY",$X262&lt;&gt;"KD"),"MASONRY","DRYWALL")&amp;IF($C262="DOOR ONLY","",$U262)&amp;IF(AND($C262&lt;&gt;"FRAME ONLY",OR(LEFT($AH262,3)="OAK",LEFT($AH262,3)="BIR",LEFT($AH262,3)="MAP",$AH262="PC",$AH262="MC",$AH262="SCLC",$AH262="P-LAM")),"WD","HM")&amp;"1.75")</f>
        <v/>
      </c>
      <c r="DD262" s="84">
        <f>IF($CJ262="","",IF($O262="Y",$CJ262,SUBSTITUTE($CJ262,$BG262&amp;" "&amp;IFERROR(VLOOKUP($Z262,CODES,2,FALSE),"")&amp;" ",$BG262&amp;" ")))</f>
        <v/>
      </c>
      <c r="DE262" s="84">
        <f>IF($CK262="","",IF($O262="Y",$CK262,SUBSTITUTE($CK262,$BG262&amp;" "&amp;IF($AN262="",IFERROR(VLOOKUP($Z262,CODES,2,FALSE),""),IFERROR(VLOOKUP($AN262,CODES,2,FALSE),""))&amp;" ",$BG262&amp;" ")))</f>
        <v/>
      </c>
      <c r="DF262" s="84">
        <f>IF($CJ262="","",$DC262&amp;"|"&amp;$DD262&amp;"|"&amp;$DB262&amp;"|"&amp;$AT262&amp;"|"&amp;$V262&amp;"|"&amp;$Y262&amp;"|"&amp;$AB262)</f>
        <v/>
      </c>
      <c r="DG262" s="84">
        <f>IF(DF262="","",IF(COUNTIF($DF$6:DF262,DF262)=1,MAX($DG$5:DG261)+1,INDEX($DG$5:DG261,MATCH(DF262,$DF$5:DF261,0))))</f>
        <v/>
      </c>
      <c r="DH262" s="84">
        <f>IF($CK262="","",$DC262&amp;"|"&amp;$DE262&amp;"|"&amp;$AI262&amp;"|"&amp;$BK262&amp;"|"&amp;$BL262)</f>
        <v/>
      </c>
      <c r="DI262" s="84">
        <f>IF(DH262="","",IF(COUNTIF($DH$6:DH262,DH262)=1,MAX($DI$5:DI261)+1,INDEX($DI$5:DI261,MATCH(DH262,$DH$5:DH261,0))))</f>
        <v/>
      </c>
      <c r="DJ262" s="84">
        <f>IF($A262="","",IF($B262="","qty, ","")&amp;IF($C262="","scope, ","")&amp;IF(OR($K262="",$M262=""),"size, ","")&amp;IF(AND($A262&lt;&gt;"",$C262&lt;&gt;"DOOR ONLY"),IF($U262="","jamb depth, ","")&amp;IF($X262="","construction, ","")&amp;IF($Y262="","anchor, ","")&amp;IF($S262="","frame type, ",""),"")&amp;IF(AND(N($BJ262)&gt;0,$Z262=""),"hand, ","")&amp;IF(N($BJ262)&gt;0,IF($AH262="","door material, ","")&amp;IF($AL262="","face type, ","")&amp;IF($AP262="","lock prep, ","")&amp;IF(AND($AO262="",$AC262=""),"hinge prep, ",""),"")&amp;IF(AND($CH262&gt;0,$AH262="FRP"),"FRP cannot carry a label, ","")&amp;IF(AND($O262="Y",OR($Z262="L",$Z262="R",$Z262="LR",$Z262="RR")),"pair marked but hand is single, ","")&amp;IF(AND($O262&lt;&gt;"Y",OR($Z262="PR",AND(LEN($Z262)&gt;1,ISNUMBER(SEARCH("-",$Z262))))),"pair hand on a single door, ","")&amp;IF(AND(ISNUMBER($CI262),$CH262&lt;N($CI262)),"wall needs a "&amp;$CI262&amp;" min door, ","")&amp;IF(AND($CH262&gt;=180,AND(OR($CE262="FG",$CE262="HG",$CE262="FNV",$CE262="FV"),N($CF262)*N($CG262)&gt;100)),"180 min lite over 100 sq in, ","")&amp;IF(N($BK262)&gt;48,"leaf wider than 4'-0"&amp;CHAR(34)&amp;", ","")&amp;IF(AND($CT262,COUNT($AW262:$AZ262)=0,$CQ262&gt;0),"CUSTOM LOC with no locations typed, ",""))</f>
        <v/>
      </c>
      <c r="DK262" s="84">
        <f>IF($A262="","",IF(AND($CH262&gt;0,AND($A262&lt;&gt;"",$C262&lt;&gt;"DOOR ONLY"),$X262="KD",$E262="EXTERIOR"),"KD label on an exterior opening, ","")&amp;IF(AND($E262="EXTERIOR",OR(AND(AND($A262&lt;&gt;"",$C262&lt;&gt;"DOOR ONLY"),$W262="CR"),AND(N($BJ262)&gt;0,$AH262="CR"))),"exterior in CR steel (G9?), ","")&amp;IF(AND(ISNUMBER($BQ262),N($BQ262)&lt;32),"clear width ~"&amp;TEXT($BQ262,"0.0")&amp;CHAR(34)&amp;" under 32"&amp;CHAR(34)&amp;" (ADA), ","")&amp;IF(AND($CH262=90,AND(OR($CE262="FG",$CE262="HG",$CE262="FNV",$CE262="FV"),N($CF262)*N($CG262)&gt;100)),"90 min lite over 100 sq in (stair/exit), ","")&amp;IF(AND($CH262&gt;0,AND($A262&lt;&gt;"",$C262&lt;&gt;"DOOR ONLY"),OR($AF262="",$AF262="-")),"rated: closer reinf.?, ","")&amp;IF(OR($I262="CORRIDOR",$I262="SMOKE BARRIER"),"S label + smoke gasketing, ","")&amp;IF($CI262="?","wall type/hr not in IBC table, ","")&amp;IF(AND(N($BJ262)&gt;0,$BB262=""),"no hardware set, ","")&amp;IF(AND($BB262&lt;&gt;"",ISNA(MATCH($BB262&amp;"",HWSets,0))),"set "&amp;$BB262&amp;" not on HW Sets, ","")&amp;IF(N($BL262)&gt;96,"leaf over 8'-0"&amp;CHAR(34)&amp;" - check listing, ","")&amp;IF(AND($CT262,COUNT($AW262:$AZ262)&gt;0,COUNT($AW262:$AZ262)&lt;&gt;$CQ262),COUNT($AW262:$AZ262)&amp;" custom hinges typed, "&amp;$CQ262&amp;" expected, ","")&amp;IF(AND(ISNUMBER($CA262),OR(N($CA262)&lt;34,N($CA262)&gt;48)),"lock "&amp;TEXT($CA262,"0.0")&amp;CHAR(34)&amp;" AFF outside 34-48"&amp;CHAR(34)&amp;" (ADA), ","")&amp;IF(AND(ISNUMBER($AV262),ISNUMBER($BL262),N($AV262)&lt;IF(N($BL262)&lt;=60,2,IF(N($BL262)&lt;=90,3,IF(N($BL262)&lt;=120,4,5)))),"fewer hinges than standard, ",""))</f>
        <v/>
      </c>
    </row>
    <row r="263" ht="15" customHeight="1">
      <c r="A263" s="77" t="n"/>
      <c r="B263" s="78" t="n"/>
      <c r="C263" s="78" t="n"/>
      <c r="D263" s="78" t="n"/>
      <c r="E263" s="78" t="n"/>
      <c r="F263" s="78" t="n"/>
      <c r="G263" s="78" t="n"/>
      <c r="H263" s="78" t="n"/>
      <c r="I263" s="78" t="n"/>
      <c r="J263" s="78" t="n"/>
      <c r="K263" s="78" t="n"/>
      <c r="L263" s="78" t="n"/>
      <c r="M263" s="78" t="n"/>
      <c r="N263" s="78" t="n"/>
      <c r="O263" s="78" t="n"/>
      <c r="P263" s="78" t="n"/>
      <c r="Q263" s="78" t="n"/>
      <c r="R263" s="78" t="n"/>
      <c r="S263" s="79" t="n"/>
      <c r="T263" s="79" t="n"/>
      <c r="U263" s="79" t="n"/>
      <c r="V263" s="79" t="n"/>
      <c r="W263" s="79" t="n"/>
      <c r="X263" s="79" t="n"/>
      <c r="Y263" s="79" t="n"/>
      <c r="Z263" s="79" t="n"/>
      <c r="AA263" s="79" t="n"/>
      <c r="AB263" s="79" t="n"/>
      <c r="AC263" s="79" t="n"/>
      <c r="AD263" s="79" t="n"/>
      <c r="AE263" s="79" t="n"/>
      <c r="AF263" s="79" t="n"/>
      <c r="AG263" s="79" t="n"/>
      <c r="AH263" s="80" t="n"/>
      <c r="AI263" s="80" t="n"/>
      <c r="AJ263" s="80" t="n"/>
      <c r="AK263" s="80" t="n"/>
      <c r="AL263" s="80" t="n"/>
      <c r="AM263" s="80" t="n"/>
      <c r="AN263" s="80" t="n"/>
      <c r="AO263" s="80" t="n"/>
      <c r="AP263" s="80" t="n"/>
      <c r="AQ263" s="80" t="n"/>
      <c r="AR263" s="80" t="n"/>
      <c r="AS263" s="80" t="n"/>
      <c r="AT263" s="81" t="n"/>
      <c r="AU263" s="81" t="n"/>
      <c r="AV263" s="81" t="n"/>
      <c r="AW263" s="82" t="n"/>
      <c r="AX263" s="82" t="n"/>
      <c r="AY263" s="82" t="n"/>
      <c r="AZ263" s="82" t="n"/>
      <c r="BA263" s="82" t="n"/>
      <c r="BB263" s="83" t="n"/>
      <c r="BC263" s="83" t="n"/>
      <c r="BD263" s="84">
        <f>IF($A263="","",IF($DJ263&lt;&gt;"","FIX",IF($DK263&lt;&gt;"","CHECK","OK")))</f>
        <v/>
      </c>
      <c r="BE263" s="85">
        <f>IF($A263="","",IF($DJ263&lt;&gt;"","FIX: "&amp;LEFT($DJ263,LEN($DJ263)-2)&amp;IF($DK263&lt;&gt;"","  ·  ",""),"")&amp;IF($DK263&lt;&gt;"","CHECK: "&amp;LEFT($DK263,LEN($DK263)-2),""))</f>
        <v/>
      </c>
      <c r="BF263" s="84">
        <f>IF(OR($A263="",$K263=""),"",$K263&amp;"'-"&amp;N($L263)&amp;CHAR(34)&amp;" x "&amp;$M263&amp;"'-"&amp;N($N263)&amp;CHAR(34))</f>
        <v/>
      </c>
      <c r="BG263" s="84">
        <f>IF(OR($A263="",$K263=""),"",$K263&amp;N($L263)&amp;$M263&amp;N($N263))</f>
        <v/>
      </c>
      <c r="BH263" s="84">
        <f>IF(OR($A263="",$K263=""),"",$K263*12+N($L263))</f>
        <v/>
      </c>
      <c r="BI263" s="84">
        <f>IF(OR($A263="",$M263=""),"",$M263*12+N($N263))</f>
        <v/>
      </c>
      <c r="BJ263" s="84">
        <f>IF($A263="","",IF(OR($C263="FRAME ONLY",$S263="BL"),0,IF($O263="Y",2,1)))</f>
        <v/>
      </c>
      <c r="BK263" s="86">
        <f>IF(OR(N($BJ263)=0,$BH263=""),"",($BH263-2*EdgeClr-IF($BJ263=2,MeetClr,0))/$BJ263)</f>
        <v/>
      </c>
      <c r="BL263" s="86">
        <f>IF(OR(N($BJ263)=0,$BI263=""),"",$BI263-HeadClr-Undercut)</f>
        <v/>
      </c>
      <c r="BM263" s="86">
        <f>IF($BH263="","",$BH263+2*FaceW+IF(N($Q263)&gt;0,($Q263+FaceW)*IF($R263="LR",2,1),0))</f>
        <v/>
      </c>
      <c r="BN263" s="86">
        <f>IF($BI263="","",$BI263+IF($AB263="Y",4,FaceW)+IF(N($P263)&gt;0,$P263+FaceW,0)+IF(OR($S263="4F",$S263="BL"),FaceW,0))</f>
        <v/>
      </c>
      <c r="BO263" s="86">
        <f>IF($BM263="","",$BM263+2*ROSide)</f>
        <v/>
      </c>
      <c r="BP263" s="86">
        <f>IF($BN263="","",$BN263+ROTop)</f>
        <v/>
      </c>
      <c r="BQ263" s="87">
        <f>IF(OR(N($BJ263)=0,$BH263=""),"",$BH263/$BJ263-ClearDeduct)</f>
        <v/>
      </c>
      <c r="BR263" s="84">
        <f>IF(N($CH263)=0,"",IF($CH263&gt;=180,"A · 3 HR",IF($CH263&gt;=90,"B · 1-1/2 HR",IF($CH263&gt;=60,"B · 1 HR",IF($CH263&gt;=45,"C · 3/4 HR","20 MIN")))))&amp;IF(AND(N($CH263)&gt;0,OR($I263="CORRIDOR",$I263="SMOKE BARRIER"))," · S","")</f>
        <v/>
      </c>
      <c r="BS263" s="84">
        <f>IF($CS263,"",IF($AV263&lt;&gt;"",$AV263,IF(OR($AC263="HGC",$AO263="HGC"),"CONT",IF(($BI263-HeadClr-Undercut)&lt;=60,2,IF(($BI263-HeadClr-Undercut)&lt;=90,3,IF(($BI263-HeadClr-Undercut)&lt;=120,4,5))))))</f>
        <v/>
      </c>
      <c r="BT263" s="84">
        <f>IF($CS263,"",IF($CT263,"CUSTOM (typed)",IF($CV263,$AT263&amp;" "&amp;$CU263&amp;CHAR(34)&amp;IF($CU263&lt;&gt;$BI263,IF(AND($BI263&lt;$CU263,$BI263-IF(N(VLOOKUP($AT263&amp;"|"&amp;$CU263,LocTable,7,FALSE))&gt;0,VLOOKUP($AT263&amp;"|"&amp;$CU263,LocTable,7,FALSE),VLOOKUP($AT263&amp;"|"&amp;$CU263,LocTable,6,FALSE))-$CR263-0.75&gt;=2.125)," cut down"," adj."),""),"ANSI/SDI A250.6")))</f>
        <v/>
      </c>
      <c r="BU263" s="88">
        <f>IF($CS263,"",IF($CT263,IF(N($AW263)&gt;0,N($AW263),""),IF(1&gt;$CQ263,"",IF($CQ263=1,$CW263,$CW263+($CX263-$CW263)*0/($CQ263-1)))))</f>
        <v/>
      </c>
      <c r="BV263" s="88">
        <f>IF($CS263,"",IF($CT263,IF(N($AX263)&gt;0,N($AX263),""),IF(2&gt;$CQ263,"",IF($CQ263=1,$CW263,$CW263+($CX263-$CW263)*1/($CQ263-1)))))</f>
        <v/>
      </c>
      <c r="BW263" s="88">
        <f>IF($CS263,"",IF($CT263,IF(N($AY263)&gt;0,N($AY263),""),IF(3&gt;$CQ263,"",IF($CQ263=1,$CW263,$CW263+($CX263-$CW263)*2/($CQ263-1)))))</f>
        <v/>
      </c>
      <c r="BX263" s="88">
        <f>IF($CS263,"",IF($CT263,IF(N($AZ263)&gt;0,N($AZ263),""),IF(4&gt;$CQ263,"",IF($CQ263=1,$CW263,$CW263+($CX263-$CW263)*3/($CQ263-1)))))</f>
        <v/>
      </c>
      <c r="BY263" s="88">
        <f>IF($CS263,"",IF($CT263,"",IF(5&gt;$CQ263,"",IF($CQ263=1,$CW263,$CW263+($CX263-$CW263)*4/($CQ263-1)))))</f>
        <v/>
      </c>
      <c r="BZ263" s="88">
        <f>IF(OR($CS263,$AP263="-",AND($AP263="",$AD263="")),"",IF(N($BA263)&gt;0,N($BA263),IF($CV263,IF(AND($BI263&lt;$CU263,$BI263-IF(N(VLOOKUP($AT263&amp;"|"&amp;$CU263,LocTable,7,FALSE))&gt;0,VLOOKUP($AT263&amp;"|"&amp;$CU263,LocTable,7,FALSE),VLOOKUP($AT263&amp;"|"&amp;$CU263,LocTable,6,FALSE))-$CR263-0.75&gt;=2.125),VLOOKUP($AT263&amp;"|"&amp;$CU263,LocTable,8,FALSE),VLOOKUP($AT263&amp;"|"&amp;$CU263,LocTable,8,FALSE)+($BI263-$CU263)),$BI263-LockAFF)))</f>
        <v/>
      </c>
      <c r="CA263" s="89">
        <f>IF($BZ263="","",$BI263-$BZ263)</f>
        <v/>
      </c>
      <c r="CB263" s="84">
        <f>IF(OR(NOT(AND($A263&lt;&gt;"",$C263&lt;&gt;"DOOR ONLY")),$BI263=""),"",IF(($BI263+IF(N($P263)&gt;0,$P263+FaceW,0))&lt;=90,3,IF(($BI263+IF(N($P263)&gt;0,$P263+FaceW,0))&lt;=114,4,5)))</f>
        <v/>
      </c>
      <c r="CC263" s="84">
        <f>IF($CB263="","",$CB263*(2+IF(N($Q263)&gt;0,IF($R263="LR",2,1),0)))</f>
        <v/>
      </c>
      <c r="CD263" s="84">
        <f>IF($CB263="","",(2+IF(N($Q263)&gt;0,IF($R263="LR",2,1),0)))</f>
        <v/>
      </c>
      <c r="CE263" s="84">
        <f>IF(N($BJ263)=0,"",IF(OR($AL263="",$AL263="FLUSH"),"FLUSH",IFERROR(LEFT($AL263,FIND("-",$AL263)-1),LEFT($AL263,2))))</f>
        <v/>
      </c>
      <c r="CF263" s="84">
        <f>IF($CE263="","",IFERROR(VALUE(MID($AL263,FIND("-",$AL263)+1,FIND(CHAR(34)&amp;"x",$AL263)-FIND("-",$AL263)-1)),0))</f>
        <v/>
      </c>
      <c r="CG263" s="84">
        <f>IF($CE263="","",IFERROR(VALUE(MID($AL263,FIND(CHAR(34)&amp;"x",$AL263)+2,FIND(CHAR(34),$AL263,FIND(CHAR(34)&amp;"x",$AL263)+2)-FIND(CHAR(34)&amp;"x",$AL263)-2)),0))</f>
        <v/>
      </c>
      <c r="CH263" s="90">
        <f>IF(OR($A263="",$H263="",$H263="NO LAB"),0,IFERROR(VALUE(LEFT($H263,FIND(" ",$H263)-1)),0))</f>
        <v/>
      </c>
      <c r="CI263" s="91">
        <f>IF(OR($A263="",$I263="",$I263="NON-RATED",N($J263)=0),"",IFERROR(VLOOKUP($I263&amp;"|"&amp;$J263,IBC,2,FALSE),"?"))</f>
        <v/>
      </c>
      <c r="CJ263" s="85">
        <f>IF(NOT(AND($A263&lt;&gt;"",$C263&lt;&gt;"DOOR ONLY")),"",TRIM(IFERROR(VLOOKUP($U263,CODES,2,FALSE),"")&amp;" "&amp;$BG263&amp;" "&amp;IFERROR(VLOOKUP($Z263,CODES,2,FALSE),"")&amp;" "&amp;IFERROR(VLOOKUP($X263,CODES,2,FALSE),"")&amp;" "&amp;IFERROR(VLOOKUP($S263,CODES,2,FALSE),"")&amp;IF(N($P263)&gt;0," w/TRANSOM "&amp;$P263&amp;CHAR(34),"")&amp;IF(N($Q263)&gt;0," w/SIDELITE "&amp;$Q263&amp;CHAR(34)&amp;" "&amp;IF($R263="","R",$R263),"")&amp;IF($Y263="","  |  "," | "&amp;IFERROR(VLOOKUP($Y263,CODES,2,FALSE),"")&amp;" | ")&amp;IFERROR(VLOOKUP($AC263,CODES,2,FALSE),"")&amp;" "&amp;IFERROR(VLOOKUP($AD263,CODES,2,FALSE),"")&amp;IF(OR($AE263="",$AE263="-"),""," "&amp;$AE263)&amp;IF(OR($AF263="",$AF263="-"),""," "&amp;$AF263)&amp;IF($AB263="Y"," 4"&amp;CHAR(34)&amp;" HEAD","")&amp;" "&amp;IFERROR(VLOOKUP($H263,CODES,2,FALSE),"")&amp;IF($CT263," | LOC "&amp;$CY263,"")))</f>
        <v/>
      </c>
      <c r="CK263" s="85">
        <f>IF(NOT(AND($A263&lt;&gt;"",N($BJ263)&gt;0)),"",TRIM(IFERROR(VLOOKUP($AH263,CODES,2,FALSE),"")&amp;IF($AI263=""," "," "&amp;$AI263&amp;"GA ")&amp;$BG263&amp;" "&amp;IF($AN263="",IFERROR(VLOOKUP($Z263,CODES,2,FALSE),""),IFERROR(VLOOKUP($AN263,CODES,2,FALSE),""))&amp;IF($BJ263=2," PAIR","")&amp;" DOOR | "&amp;IF($AL263="","?",$AL263)&amp;" | "&amp;IF($AO263="",IFERROR(VLOOKUP($AC263,CODES,2,FALSE),""),IFERROR(VLOOKUP($AO263,CODES,2,FALSE),""))&amp;" "&amp;IFERROR(VLOOKUP($AP263,CODES,2,FALSE),"")&amp;IF(OR($AQ263="",$AQ263="-"),""," SEAM "&amp;$AQ263)&amp;IF($AR263="Y"," ASTRAGAL","")&amp;IF($AJ263=""," "," "&amp;$AJ263)&amp;IF($AK263=""," "," "&amp;$AK263)&amp;IF(OR($AT263="",$AT263="ANSI/SDI",$AT263="CUSTOM LOC"),""," "&amp;$AT263)&amp;IF($AM263=""," "," SERIES "&amp;$AM263)&amp;" "&amp;IFERROR(VLOOKUP($H263,CODES,2,FALSE),"")&amp;IF($CT263," | LOC "&amp;$CZ263,"")))</f>
        <v/>
      </c>
      <c r="CL263" s="84">
        <f>IF(CP263="","",IF(COUNTIF($CP$6:CP263,CP263)=1,MAX($CL$5:CL262)+1,INDEX($CL$5:CL262,MATCH(CP263,$CP$5:CP262,0))))</f>
        <v/>
      </c>
      <c r="CM263" s="84">
        <f>IF(NOT(AND($A263&lt;&gt;"",$C263&lt;&gt;"DOOR ONLY")),"",MAX($CM$5:CM262)+1)</f>
        <v/>
      </c>
      <c r="CN263" s="84">
        <f>IF(NOT(AND($A263&lt;&gt;"",N($BJ263)&gt;0)),"",MAX($CN$5:CN262)+1)</f>
        <v/>
      </c>
      <c r="CO263" s="84">
        <f>IF($A263="","",MAX($CO$5:CO262)+1)</f>
        <v/>
      </c>
      <c r="CP263" s="84">
        <f>IF(OR($A263="",$BH263="",$BI263=""),"",$BG263&amp;"|"&amp;$O263&amp;"|"&amp;$AL263&amp;"|"&amp;$S263&amp;"|"&amp;$P263&amp;"|"&amp;$Q263&amp;$R263&amp;"|"&amp;$C263&amp;"|"&amp;$AB263)</f>
        <v/>
      </c>
      <c r="CQ263" s="84">
        <f>N($BS263)</f>
        <v/>
      </c>
      <c r="CR263" s="84">
        <f>IF(N($AU263)&gt;0,N($AU263),4.5)</f>
        <v/>
      </c>
      <c r="CS263" s="84">
        <f>OR($A263="",$BI263="",$S263="BL",AND($C263="FRAME ONLY",OR($AC263="",$AC263="BLK")))</f>
        <v/>
      </c>
      <c r="CT263" s="84">
        <f>AND(NOT($CS263),OR($AT263="CUSTOM LOC",N($AW263)+N($AX263)+N($AY263)+N($AZ263)+N($BA263)&gt;0))</f>
        <v/>
      </c>
      <c r="CU263" s="84">
        <f>IF($BI263="","",IF($BI263&lt;=80,80,IF($BI263&lt;=84,84,96)))</f>
        <v/>
      </c>
      <c r="CV263" s="84">
        <f>ISNUMBER(MATCH($AT263&amp;"|80",LocKeys,0))</f>
        <v/>
      </c>
      <c r="CW263" s="86">
        <f>IF($CS263,"",IF($CV263,VLOOKUP($AT263&amp;"|"&amp;$CU263,LocTable,4,FALSE),5))</f>
        <v/>
      </c>
      <c r="CX263" s="86">
        <f>IF($CS263,"",IF($CV263,IF(OR($BI263=$CU263,AND($BI263&lt;$CU263,$BI263-IF(N(VLOOKUP($AT263&amp;"|"&amp;$CU263,LocTable,7,FALSE))&gt;0,VLOOKUP($AT263&amp;"|"&amp;$CU263,LocTable,7,FALSE),VLOOKUP($AT263&amp;"|"&amp;$CU263,LocTable,6,FALSE))-$CR263-0.75&gt;=2.125)),IF(N(VLOOKUP($AT263&amp;"|"&amp;$CU263,LocTable,7,FALSE))&gt;0,VLOOKUP($AT263&amp;"|"&amp;$CU263,LocTable,7,FALSE),VLOOKUP($AT263&amp;"|"&amp;$CU263,LocTable,6,FALSE)),$BI263-($CU263-IF(N(VLOOKUP($AT263&amp;"|"&amp;$CU263,LocTable,7,FALSE))&gt;0,VLOOKUP($AT263&amp;"|"&amp;$CU263,LocTable,7,FALSE),VLOOKUP($AT263&amp;"|"&amp;$CU263,LocTable,6,FALSE)))),$BI263-10-$CR263))</f>
        <v/>
      </c>
      <c r="CY263" s="85">
        <f>IF($CS263,"",TRIM(IF(ISNUMBER($BU263),"A "&amp;TRIM(TEXT($BU263,"# ?/??"))&amp;CHAR(34)&amp;"  ","")&amp;IF(ISNUMBER($BV263),"B "&amp;TRIM(TEXT($BV263,"# ?/??"))&amp;CHAR(34)&amp;"  ","")&amp;IF(ISNUMBER($BW263),"C "&amp;TRIM(TEXT($BW263,"# ?/??"))&amp;CHAR(34)&amp;"  ","")&amp;IF(ISNUMBER($BX263),"D "&amp;TRIM(TEXT($BX263,"# ?/??"))&amp;CHAR(34)&amp;"  ","")&amp;IF(ISNUMBER($BY263),"F "&amp;TRIM(TEXT($BY263,"# ?/??"))&amp;CHAR(34)&amp;"  ","")&amp;IF(ISNUMBER($BZ263),"E "&amp;TRIM(TEXT($BZ263,"# ?/??"))&amp;CHAR(34)&amp;"  ","")))</f>
        <v/>
      </c>
      <c r="CZ263" s="85">
        <f>IF(OR($CS263,N($BJ263)=0),"",TRIM(IF(ISNUMBER($BU263),"A "&amp;TRIM(TEXT($BU263-HeadClr,"# ?/??"))&amp;CHAR(34)&amp;"  ","")&amp;IF(ISNUMBER($BV263),"B "&amp;TRIM(TEXT($BV263-HeadClr,"# ?/??"))&amp;CHAR(34)&amp;"  ","")&amp;IF(ISNUMBER($BW263),"C "&amp;TRIM(TEXT($BW263-HeadClr,"# ?/??"))&amp;CHAR(34)&amp;"  ","")&amp;IF(ISNUMBER($BX263),"D "&amp;TRIM(TEXT($BX263-HeadClr,"# ?/??"))&amp;CHAR(34)&amp;"  ","")&amp;IF(ISNUMBER($BY263),"F "&amp;TRIM(TEXT($BY263-HeadClr,"# ?/??"))&amp;CHAR(34)&amp;"  ","")&amp;IF(ISNUMBER($BZ263),"E "&amp;TRIM(TEXT($BZ263-HeadClr,"# ?/??"))&amp;CHAR(34)&amp;"  ","")))</f>
        <v/>
      </c>
      <c r="DA263" s="84">
        <f>IF($A263="","",IF($AN263="",IFERROR(VLOOKUP($Z263,CODES,2,FALSE),""),IFERROR(VLOOKUP($AN263,CODES,2,FALSE),"")))</f>
        <v/>
      </c>
      <c r="DB263" s="84">
        <f>IF($A263="","",IF($O263="Y","PR",IF(OR($Z263="L",$Z263="RR",LEFT($Z263,2)="L-",LEFT($Z263,3)="RR-"),"LH","RH")))</f>
        <v/>
      </c>
      <c r="DC263" s="84">
        <f>IF($A263="","","S.HM"&amp;IF(OR($C263="DOOR ONLY",$X263&lt;&gt;"KD"),"MASONRY","DRYWALL")&amp;IF($C263="DOOR ONLY","",$U263)&amp;IF(AND($C263&lt;&gt;"FRAME ONLY",OR(LEFT($AH263,3)="OAK",LEFT($AH263,3)="BIR",LEFT($AH263,3)="MAP",$AH263="PC",$AH263="MC",$AH263="SCLC",$AH263="P-LAM")),"WD","HM")&amp;"1.75")</f>
        <v/>
      </c>
      <c r="DD263" s="84">
        <f>IF($CJ263="","",IF($O263="Y",$CJ263,SUBSTITUTE($CJ263,$BG263&amp;" "&amp;IFERROR(VLOOKUP($Z263,CODES,2,FALSE),"")&amp;" ",$BG263&amp;" ")))</f>
        <v/>
      </c>
      <c r="DE263" s="84">
        <f>IF($CK263="","",IF($O263="Y",$CK263,SUBSTITUTE($CK263,$BG263&amp;" "&amp;IF($AN263="",IFERROR(VLOOKUP($Z263,CODES,2,FALSE),""),IFERROR(VLOOKUP($AN263,CODES,2,FALSE),""))&amp;" ",$BG263&amp;" ")))</f>
        <v/>
      </c>
      <c r="DF263" s="84">
        <f>IF($CJ263="","",$DC263&amp;"|"&amp;$DD263&amp;"|"&amp;$DB263&amp;"|"&amp;$AT263&amp;"|"&amp;$V263&amp;"|"&amp;$Y263&amp;"|"&amp;$AB263)</f>
        <v/>
      </c>
      <c r="DG263" s="84">
        <f>IF(DF263="","",IF(COUNTIF($DF$6:DF263,DF263)=1,MAX($DG$5:DG262)+1,INDEX($DG$5:DG262,MATCH(DF263,$DF$5:DF262,0))))</f>
        <v/>
      </c>
      <c r="DH263" s="84">
        <f>IF($CK263="","",$DC263&amp;"|"&amp;$DE263&amp;"|"&amp;$AI263&amp;"|"&amp;$BK263&amp;"|"&amp;$BL263)</f>
        <v/>
      </c>
      <c r="DI263" s="84">
        <f>IF(DH263="","",IF(COUNTIF($DH$6:DH263,DH263)=1,MAX($DI$5:DI262)+1,INDEX($DI$5:DI262,MATCH(DH263,$DH$5:DH262,0))))</f>
        <v/>
      </c>
      <c r="DJ263" s="84">
        <f>IF($A263="","",IF($B263="","qty, ","")&amp;IF($C263="","scope, ","")&amp;IF(OR($K263="",$M263=""),"size, ","")&amp;IF(AND($A263&lt;&gt;"",$C263&lt;&gt;"DOOR ONLY"),IF($U263="","jamb depth, ","")&amp;IF($X263="","construction, ","")&amp;IF($Y263="","anchor, ","")&amp;IF($S263="","frame type, ",""),"")&amp;IF(AND(N($BJ263)&gt;0,$Z263=""),"hand, ","")&amp;IF(N($BJ263)&gt;0,IF($AH263="","door material, ","")&amp;IF($AL263="","face type, ","")&amp;IF($AP263="","lock prep, ","")&amp;IF(AND($AO263="",$AC263=""),"hinge prep, ",""),"")&amp;IF(AND($CH263&gt;0,$AH263="FRP"),"FRP cannot carry a label, ","")&amp;IF(AND($O263="Y",OR($Z263="L",$Z263="R",$Z263="LR",$Z263="RR")),"pair marked but hand is single, ","")&amp;IF(AND($O263&lt;&gt;"Y",OR($Z263="PR",AND(LEN($Z263)&gt;1,ISNUMBER(SEARCH("-",$Z263))))),"pair hand on a single door, ","")&amp;IF(AND(ISNUMBER($CI263),$CH263&lt;N($CI263)),"wall needs a "&amp;$CI263&amp;" min door, ","")&amp;IF(AND($CH263&gt;=180,AND(OR($CE263="FG",$CE263="HG",$CE263="FNV",$CE263="FV"),N($CF263)*N($CG263)&gt;100)),"180 min lite over 100 sq in, ","")&amp;IF(N($BK263)&gt;48,"leaf wider than 4'-0"&amp;CHAR(34)&amp;", ","")&amp;IF(AND($CT263,COUNT($AW263:$AZ263)=0,$CQ263&gt;0),"CUSTOM LOC with no locations typed, ",""))</f>
        <v/>
      </c>
      <c r="DK263" s="84">
        <f>IF($A263="","",IF(AND($CH263&gt;0,AND($A263&lt;&gt;"",$C263&lt;&gt;"DOOR ONLY"),$X263="KD",$E263="EXTERIOR"),"KD label on an exterior opening, ","")&amp;IF(AND($E263="EXTERIOR",OR(AND(AND($A263&lt;&gt;"",$C263&lt;&gt;"DOOR ONLY"),$W263="CR"),AND(N($BJ263)&gt;0,$AH263="CR"))),"exterior in CR steel (G9?), ","")&amp;IF(AND(ISNUMBER($BQ263),N($BQ263)&lt;32),"clear width ~"&amp;TEXT($BQ263,"0.0")&amp;CHAR(34)&amp;" under 32"&amp;CHAR(34)&amp;" (ADA), ","")&amp;IF(AND($CH263=90,AND(OR($CE263="FG",$CE263="HG",$CE263="FNV",$CE263="FV"),N($CF263)*N($CG263)&gt;100)),"90 min lite over 100 sq in (stair/exit), ","")&amp;IF(AND($CH263&gt;0,AND($A263&lt;&gt;"",$C263&lt;&gt;"DOOR ONLY"),OR($AF263="",$AF263="-")),"rated: closer reinf.?, ","")&amp;IF(OR($I263="CORRIDOR",$I263="SMOKE BARRIER"),"S label + smoke gasketing, ","")&amp;IF($CI263="?","wall type/hr not in IBC table, ","")&amp;IF(AND(N($BJ263)&gt;0,$BB263=""),"no hardware set, ","")&amp;IF(AND($BB263&lt;&gt;"",ISNA(MATCH($BB263&amp;"",HWSets,0))),"set "&amp;$BB263&amp;" not on HW Sets, ","")&amp;IF(N($BL263)&gt;96,"leaf over 8'-0"&amp;CHAR(34)&amp;" - check listing, ","")&amp;IF(AND($CT263,COUNT($AW263:$AZ263)&gt;0,COUNT($AW263:$AZ263)&lt;&gt;$CQ263),COUNT($AW263:$AZ263)&amp;" custom hinges typed, "&amp;$CQ263&amp;" expected, ","")&amp;IF(AND(ISNUMBER($CA263),OR(N($CA263)&lt;34,N($CA263)&gt;48)),"lock "&amp;TEXT($CA263,"0.0")&amp;CHAR(34)&amp;" AFF outside 34-48"&amp;CHAR(34)&amp;" (ADA), ","")&amp;IF(AND(ISNUMBER($AV263),ISNUMBER($BL263),N($AV263)&lt;IF(N($BL263)&lt;=60,2,IF(N($BL263)&lt;=90,3,IF(N($BL263)&lt;=120,4,5)))),"fewer hinges than standard, ",""))</f>
        <v/>
      </c>
    </row>
    <row r="264" ht="15" customHeight="1">
      <c r="A264" s="77" t="n"/>
      <c r="B264" s="78" t="n"/>
      <c r="C264" s="78" t="n"/>
      <c r="D264" s="78" t="n"/>
      <c r="E264" s="78" t="n"/>
      <c r="F264" s="78" t="n"/>
      <c r="G264" s="78" t="n"/>
      <c r="H264" s="78" t="n"/>
      <c r="I264" s="78" t="n"/>
      <c r="J264" s="78" t="n"/>
      <c r="K264" s="78" t="n"/>
      <c r="L264" s="78" t="n"/>
      <c r="M264" s="78" t="n"/>
      <c r="N264" s="78" t="n"/>
      <c r="O264" s="78" t="n"/>
      <c r="P264" s="78" t="n"/>
      <c r="Q264" s="78" t="n"/>
      <c r="R264" s="78" t="n"/>
      <c r="S264" s="79" t="n"/>
      <c r="T264" s="79" t="n"/>
      <c r="U264" s="79" t="n"/>
      <c r="V264" s="79" t="n"/>
      <c r="W264" s="79" t="n"/>
      <c r="X264" s="79" t="n"/>
      <c r="Y264" s="79" t="n"/>
      <c r="Z264" s="79" t="n"/>
      <c r="AA264" s="79" t="n"/>
      <c r="AB264" s="79" t="n"/>
      <c r="AC264" s="79" t="n"/>
      <c r="AD264" s="79" t="n"/>
      <c r="AE264" s="79" t="n"/>
      <c r="AF264" s="79" t="n"/>
      <c r="AG264" s="79" t="n"/>
      <c r="AH264" s="80" t="n"/>
      <c r="AI264" s="80" t="n"/>
      <c r="AJ264" s="80" t="n"/>
      <c r="AK264" s="80" t="n"/>
      <c r="AL264" s="80" t="n"/>
      <c r="AM264" s="80" t="n"/>
      <c r="AN264" s="80" t="n"/>
      <c r="AO264" s="80" t="n"/>
      <c r="AP264" s="80" t="n"/>
      <c r="AQ264" s="80" t="n"/>
      <c r="AR264" s="80" t="n"/>
      <c r="AS264" s="80" t="n"/>
      <c r="AT264" s="81" t="n"/>
      <c r="AU264" s="81" t="n"/>
      <c r="AV264" s="81" t="n"/>
      <c r="AW264" s="82" t="n"/>
      <c r="AX264" s="82" t="n"/>
      <c r="AY264" s="82" t="n"/>
      <c r="AZ264" s="82" t="n"/>
      <c r="BA264" s="82" t="n"/>
      <c r="BB264" s="83" t="n"/>
      <c r="BC264" s="83" t="n"/>
      <c r="BD264" s="84">
        <f>IF($A264="","",IF($DJ264&lt;&gt;"","FIX",IF($DK264&lt;&gt;"","CHECK","OK")))</f>
        <v/>
      </c>
      <c r="BE264" s="85">
        <f>IF($A264="","",IF($DJ264&lt;&gt;"","FIX: "&amp;LEFT($DJ264,LEN($DJ264)-2)&amp;IF($DK264&lt;&gt;"","  ·  ",""),"")&amp;IF($DK264&lt;&gt;"","CHECK: "&amp;LEFT($DK264,LEN($DK264)-2),""))</f>
        <v/>
      </c>
      <c r="BF264" s="84">
        <f>IF(OR($A264="",$K264=""),"",$K264&amp;"'-"&amp;N($L264)&amp;CHAR(34)&amp;" x "&amp;$M264&amp;"'-"&amp;N($N264)&amp;CHAR(34))</f>
        <v/>
      </c>
      <c r="BG264" s="84">
        <f>IF(OR($A264="",$K264=""),"",$K264&amp;N($L264)&amp;$M264&amp;N($N264))</f>
        <v/>
      </c>
      <c r="BH264" s="84">
        <f>IF(OR($A264="",$K264=""),"",$K264*12+N($L264))</f>
        <v/>
      </c>
      <c r="BI264" s="84">
        <f>IF(OR($A264="",$M264=""),"",$M264*12+N($N264))</f>
        <v/>
      </c>
      <c r="BJ264" s="84">
        <f>IF($A264="","",IF(OR($C264="FRAME ONLY",$S264="BL"),0,IF($O264="Y",2,1)))</f>
        <v/>
      </c>
      <c r="BK264" s="86">
        <f>IF(OR(N($BJ264)=0,$BH264=""),"",($BH264-2*EdgeClr-IF($BJ264=2,MeetClr,0))/$BJ264)</f>
        <v/>
      </c>
      <c r="BL264" s="86">
        <f>IF(OR(N($BJ264)=0,$BI264=""),"",$BI264-HeadClr-Undercut)</f>
        <v/>
      </c>
      <c r="BM264" s="86">
        <f>IF($BH264="","",$BH264+2*FaceW+IF(N($Q264)&gt;0,($Q264+FaceW)*IF($R264="LR",2,1),0))</f>
        <v/>
      </c>
      <c r="BN264" s="86">
        <f>IF($BI264="","",$BI264+IF($AB264="Y",4,FaceW)+IF(N($P264)&gt;0,$P264+FaceW,0)+IF(OR($S264="4F",$S264="BL"),FaceW,0))</f>
        <v/>
      </c>
      <c r="BO264" s="86">
        <f>IF($BM264="","",$BM264+2*ROSide)</f>
        <v/>
      </c>
      <c r="BP264" s="86">
        <f>IF($BN264="","",$BN264+ROTop)</f>
        <v/>
      </c>
      <c r="BQ264" s="87">
        <f>IF(OR(N($BJ264)=0,$BH264=""),"",$BH264/$BJ264-ClearDeduct)</f>
        <v/>
      </c>
      <c r="BR264" s="84">
        <f>IF(N($CH264)=0,"",IF($CH264&gt;=180,"A · 3 HR",IF($CH264&gt;=90,"B · 1-1/2 HR",IF($CH264&gt;=60,"B · 1 HR",IF($CH264&gt;=45,"C · 3/4 HR","20 MIN")))))&amp;IF(AND(N($CH264)&gt;0,OR($I264="CORRIDOR",$I264="SMOKE BARRIER"))," · S","")</f>
        <v/>
      </c>
      <c r="BS264" s="84">
        <f>IF($CS264,"",IF($AV264&lt;&gt;"",$AV264,IF(OR($AC264="HGC",$AO264="HGC"),"CONT",IF(($BI264-HeadClr-Undercut)&lt;=60,2,IF(($BI264-HeadClr-Undercut)&lt;=90,3,IF(($BI264-HeadClr-Undercut)&lt;=120,4,5))))))</f>
        <v/>
      </c>
      <c r="BT264" s="84">
        <f>IF($CS264,"",IF($CT264,"CUSTOM (typed)",IF($CV264,$AT264&amp;" "&amp;$CU264&amp;CHAR(34)&amp;IF($CU264&lt;&gt;$BI264,IF(AND($BI264&lt;$CU264,$BI264-IF(N(VLOOKUP($AT264&amp;"|"&amp;$CU264,LocTable,7,FALSE))&gt;0,VLOOKUP($AT264&amp;"|"&amp;$CU264,LocTable,7,FALSE),VLOOKUP($AT264&amp;"|"&amp;$CU264,LocTable,6,FALSE))-$CR264-0.75&gt;=2.125)," cut down"," adj."),""),"ANSI/SDI A250.6")))</f>
        <v/>
      </c>
      <c r="BU264" s="88">
        <f>IF($CS264,"",IF($CT264,IF(N($AW264)&gt;0,N($AW264),""),IF(1&gt;$CQ264,"",IF($CQ264=1,$CW264,$CW264+($CX264-$CW264)*0/($CQ264-1)))))</f>
        <v/>
      </c>
      <c r="BV264" s="88">
        <f>IF($CS264,"",IF($CT264,IF(N($AX264)&gt;0,N($AX264),""),IF(2&gt;$CQ264,"",IF($CQ264=1,$CW264,$CW264+($CX264-$CW264)*1/($CQ264-1)))))</f>
        <v/>
      </c>
      <c r="BW264" s="88">
        <f>IF($CS264,"",IF($CT264,IF(N($AY264)&gt;0,N($AY264),""),IF(3&gt;$CQ264,"",IF($CQ264=1,$CW264,$CW264+($CX264-$CW264)*2/($CQ264-1)))))</f>
        <v/>
      </c>
      <c r="BX264" s="88">
        <f>IF($CS264,"",IF($CT264,IF(N($AZ264)&gt;0,N($AZ264),""),IF(4&gt;$CQ264,"",IF($CQ264=1,$CW264,$CW264+($CX264-$CW264)*3/($CQ264-1)))))</f>
        <v/>
      </c>
      <c r="BY264" s="88">
        <f>IF($CS264,"",IF($CT264,"",IF(5&gt;$CQ264,"",IF($CQ264=1,$CW264,$CW264+($CX264-$CW264)*4/($CQ264-1)))))</f>
        <v/>
      </c>
      <c r="BZ264" s="88">
        <f>IF(OR($CS264,$AP264="-",AND($AP264="",$AD264="")),"",IF(N($BA264)&gt;0,N($BA264),IF($CV264,IF(AND($BI264&lt;$CU264,$BI264-IF(N(VLOOKUP($AT264&amp;"|"&amp;$CU264,LocTable,7,FALSE))&gt;0,VLOOKUP($AT264&amp;"|"&amp;$CU264,LocTable,7,FALSE),VLOOKUP($AT264&amp;"|"&amp;$CU264,LocTable,6,FALSE))-$CR264-0.75&gt;=2.125),VLOOKUP($AT264&amp;"|"&amp;$CU264,LocTable,8,FALSE),VLOOKUP($AT264&amp;"|"&amp;$CU264,LocTable,8,FALSE)+($BI264-$CU264)),$BI264-LockAFF)))</f>
        <v/>
      </c>
      <c r="CA264" s="89">
        <f>IF($BZ264="","",$BI264-$BZ264)</f>
        <v/>
      </c>
      <c r="CB264" s="84">
        <f>IF(OR(NOT(AND($A264&lt;&gt;"",$C264&lt;&gt;"DOOR ONLY")),$BI264=""),"",IF(($BI264+IF(N($P264)&gt;0,$P264+FaceW,0))&lt;=90,3,IF(($BI264+IF(N($P264)&gt;0,$P264+FaceW,0))&lt;=114,4,5)))</f>
        <v/>
      </c>
      <c r="CC264" s="84">
        <f>IF($CB264="","",$CB264*(2+IF(N($Q264)&gt;0,IF($R264="LR",2,1),0)))</f>
        <v/>
      </c>
      <c r="CD264" s="84">
        <f>IF($CB264="","",(2+IF(N($Q264)&gt;0,IF($R264="LR",2,1),0)))</f>
        <v/>
      </c>
      <c r="CE264" s="84">
        <f>IF(N($BJ264)=0,"",IF(OR($AL264="",$AL264="FLUSH"),"FLUSH",IFERROR(LEFT($AL264,FIND("-",$AL264)-1),LEFT($AL264,2))))</f>
        <v/>
      </c>
      <c r="CF264" s="84">
        <f>IF($CE264="","",IFERROR(VALUE(MID($AL264,FIND("-",$AL264)+1,FIND(CHAR(34)&amp;"x",$AL264)-FIND("-",$AL264)-1)),0))</f>
        <v/>
      </c>
      <c r="CG264" s="84">
        <f>IF($CE264="","",IFERROR(VALUE(MID($AL264,FIND(CHAR(34)&amp;"x",$AL264)+2,FIND(CHAR(34),$AL264,FIND(CHAR(34)&amp;"x",$AL264)+2)-FIND(CHAR(34)&amp;"x",$AL264)-2)),0))</f>
        <v/>
      </c>
      <c r="CH264" s="90">
        <f>IF(OR($A264="",$H264="",$H264="NO LAB"),0,IFERROR(VALUE(LEFT($H264,FIND(" ",$H264)-1)),0))</f>
        <v/>
      </c>
      <c r="CI264" s="91">
        <f>IF(OR($A264="",$I264="",$I264="NON-RATED",N($J264)=0),"",IFERROR(VLOOKUP($I264&amp;"|"&amp;$J264,IBC,2,FALSE),"?"))</f>
        <v/>
      </c>
      <c r="CJ264" s="85">
        <f>IF(NOT(AND($A264&lt;&gt;"",$C264&lt;&gt;"DOOR ONLY")),"",TRIM(IFERROR(VLOOKUP($U264,CODES,2,FALSE),"")&amp;" "&amp;$BG264&amp;" "&amp;IFERROR(VLOOKUP($Z264,CODES,2,FALSE),"")&amp;" "&amp;IFERROR(VLOOKUP($X264,CODES,2,FALSE),"")&amp;" "&amp;IFERROR(VLOOKUP($S264,CODES,2,FALSE),"")&amp;IF(N($P264)&gt;0," w/TRANSOM "&amp;$P264&amp;CHAR(34),"")&amp;IF(N($Q264)&gt;0," w/SIDELITE "&amp;$Q264&amp;CHAR(34)&amp;" "&amp;IF($R264="","R",$R264),"")&amp;IF($Y264="","  |  "," | "&amp;IFERROR(VLOOKUP($Y264,CODES,2,FALSE),"")&amp;" | ")&amp;IFERROR(VLOOKUP($AC264,CODES,2,FALSE),"")&amp;" "&amp;IFERROR(VLOOKUP($AD264,CODES,2,FALSE),"")&amp;IF(OR($AE264="",$AE264="-"),""," "&amp;$AE264)&amp;IF(OR($AF264="",$AF264="-"),""," "&amp;$AF264)&amp;IF($AB264="Y"," 4"&amp;CHAR(34)&amp;" HEAD","")&amp;" "&amp;IFERROR(VLOOKUP($H264,CODES,2,FALSE),"")&amp;IF($CT264," | LOC "&amp;$CY264,"")))</f>
        <v/>
      </c>
      <c r="CK264" s="85">
        <f>IF(NOT(AND($A264&lt;&gt;"",N($BJ264)&gt;0)),"",TRIM(IFERROR(VLOOKUP($AH264,CODES,2,FALSE),"")&amp;IF($AI264=""," "," "&amp;$AI264&amp;"GA ")&amp;$BG264&amp;" "&amp;IF($AN264="",IFERROR(VLOOKUP($Z264,CODES,2,FALSE),""),IFERROR(VLOOKUP($AN264,CODES,2,FALSE),""))&amp;IF($BJ264=2," PAIR","")&amp;" DOOR | "&amp;IF($AL264="","?",$AL264)&amp;" | "&amp;IF($AO264="",IFERROR(VLOOKUP($AC264,CODES,2,FALSE),""),IFERROR(VLOOKUP($AO264,CODES,2,FALSE),""))&amp;" "&amp;IFERROR(VLOOKUP($AP264,CODES,2,FALSE),"")&amp;IF(OR($AQ264="",$AQ264="-"),""," SEAM "&amp;$AQ264)&amp;IF($AR264="Y"," ASTRAGAL","")&amp;IF($AJ264=""," "," "&amp;$AJ264)&amp;IF($AK264=""," "," "&amp;$AK264)&amp;IF(OR($AT264="",$AT264="ANSI/SDI",$AT264="CUSTOM LOC"),""," "&amp;$AT264)&amp;IF($AM264=""," "," SERIES "&amp;$AM264)&amp;" "&amp;IFERROR(VLOOKUP($H264,CODES,2,FALSE),"")&amp;IF($CT264," | LOC "&amp;$CZ264,"")))</f>
        <v/>
      </c>
      <c r="CL264" s="84">
        <f>IF(CP264="","",IF(COUNTIF($CP$6:CP264,CP264)=1,MAX($CL$5:CL263)+1,INDEX($CL$5:CL263,MATCH(CP264,$CP$5:CP263,0))))</f>
        <v/>
      </c>
      <c r="CM264" s="84">
        <f>IF(NOT(AND($A264&lt;&gt;"",$C264&lt;&gt;"DOOR ONLY")),"",MAX($CM$5:CM263)+1)</f>
        <v/>
      </c>
      <c r="CN264" s="84">
        <f>IF(NOT(AND($A264&lt;&gt;"",N($BJ264)&gt;0)),"",MAX($CN$5:CN263)+1)</f>
        <v/>
      </c>
      <c r="CO264" s="84">
        <f>IF($A264="","",MAX($CO$5:CO263)+1)</f>
        <v/>
      </c>
      <c r="CP264" s="84">
        <f>IF(OR($A264="",$BH264="",$BI264=""),"",$BG264&amp;"|"&amp;$O264&amp;"|"&amp;$AL264&amp;"|"&amp;$S264&amp;"|"&amp;$P264&amp;"|"&amp;$Q264&amp;$R264&amp;"|"&amp;$C264&amp;"|"&amp;$AB264)</f>
        <v/>
      </c>
      <c r="CQ264" s="84">
        <f>N($BS264)</f>
        <v/>
      </c>
      <c r="CR264" s="84">
        <f>IF(N($AU264)&gt;0,N($AU264),4.5)</f>
        <v/>
      </c>
      <c r="CS264" s="84">
        <f>OR($A264="",$BI264="",$S264="BL",AND($C264="FRAME ONLY",OR($AC264="",$AC264="BLK")))</f>
        <v/>
      </c>
      <c r="CT264" s="84">
        <f>AND(NOT($CS264),OR($AT264="CUSTOM LOC",N($AW264)+N($AX264)+N($AY264)+N($AZ264)+N($BA264)&gt;0))</f>
        <v/>
      </c>
      <c r="CU264" s="84">
        <f>IF($BI264="","",IF($BI264&lt;=80,80,IF($BI264&lt;=84,84,96)))</f>
        <v/>
      </c>
      <c r="CV264" s="84">
        <f>ISNUMBER(MATCH($AT264&amp;"|80",LocKeys,0))</f>
        <v/>
      </c>
      <c r="CW264" s="86">
        <f>IF($CS264,"",IF($CV264,VLOOKUP($AT264&amp;"|"&amp;$CU264,LocTable,4,FALSE),5))</f>
        <v/>
      </c>
      <c r="CX264" s="86">
        <f>IF($CS264,"",IF($CV264,IF(OR($BI264=$CU264,AND($BI264&lt;$CU264,$BI264-IF(N(VLOOKUP($AT264&amp;"|"&amp;$CU264,LocTable,7,FALSE))&gt;0,VLOOKUP($AT264&amp;"|"&amp;$CU264,LocTable,7,FALSE),VLOOKUP($AT264&amp;"|"&amp;$CU264,LocTable,6,FALSE))-$CR264-0.75&gt;=2.125)),IF(N(VLOOKUP($AT264&amp;"|"&amp;$CU264,LocTable,7,FALSE))&gt;0,VLOOKUP($AT264&amp;"|"&amp;$CU264,LocTable,7,FALSE),VLOOKUP($AT264&amp;"|"&amp;$CU264,LocTable,6,FALSE)),$BI264-($CU264-IF(N(VLOOKUP($AT264&amp;"|"&amp;$CU264,LocTable,7,FALSE))&gt;0,VLOOKUP($AT264&amp;"|"&amp;$CU264,LocTable,7,FALSE),VLOOKUP($AT264&amp;"|"&amp;$CU264,LocTable,6,FALSE)))),$BI264-10-$CR264))</f>
        <v/>
      </c>
      <c r="CY264" s="85">
        <f>IF($CS264,"",TRIM(IF(ISNUMBER($BU264),"A "&amp;TRIM(TEXT($BU264,"# ?/??"))&amp;CHAR(34)&amp;"  ","")&amp;IF(ISNUMBER($BV264),"B "&amp;TRIM(TEXT($BV264,"# ?/??"))&amp;CHAR(34)&amp;"  ","")&amp;IF(ISNUMBER($BW264),"C "&amp;TRIM(TEXT($BW264,"# ?/??"))&amp;CHAR(34)&amp;"  ","")&amp;IF(ISNUMBER($BX264),"D "&amp;TRIM(TEXT($BX264,"# ?/??"))&amp;CHAR(34)&amp;"  ","")&amp;IF(ISNUMBER($BY264),"F "&amp;TRIM(TEXT($BY264,"# ?/??"))&amp;CHAR(34)&amp;"  ","")&amp;IF(ISNUMBER($BZ264),"E "&amp;TRIM(TEXT($BZ264,"# ?/??"))&amp;CHAR(34)&amp;"  ","")))</f>
        <v/>
      </c>
      <c r="CZ264" s="85">
        <f>IF(OR($CS264,N($BJ264)=0),"",TRIM(IF(ISNUMBER($BU264),"A "&amp;TRIM(TEXT($BU264-HeadClr,"# ?/??"))&amp;CHAR(34)&amp;"  ","")&amp;IF(ISNUMBER($BV264),"B "&amp;TRIM(TEXT($BV264-HeadClr,"# ?/??"))&amp;CHAR(34)&amp;"  ","")&amp;IF(ISNUMBER($BW264),"C "&amp;TRIM(TEXT($BW264-HeadClr,"# ?/??"))&amp;CHAR(34)&amp;"  ","")&amp;IF(ISNUMBER($BX264),"D "&amp;TRIM(TEXT($BX264-HeadClr,"# ?/??"))&amp;CHAR(34)&amp;"  ","")&amp;IF(ISNUMBER($BY264),"F "&amp;TRIM(TEXT($BY264-HeadClr,"# ?/??"))&amp;CHAR(34)&amp;"  ","")&amp;IF(ISNUMBER($BZ264),"E "&amp;TRIM(TEXT($BZ264-HeadClr,"# ?/??"))&amp;CHAR(34)&amp;"  ","")))</f>
        <v/>
      </c>
      <c r="DA264" s="84">
        <f>IF($A264="","",IF($AN264="",IFERROR(VLOOKUP($Z264,CODES,2,FALSE),""),IFERROR(VLOOKUP($AN264,CODES,2,FALSE),"")))</f>
        <v/>
      </c>
      <c r="DB264" s="84">
        <f>IF($A264="","",IF($O264="Y","PR",IF(OR($Z264="L",$Z264="RR",LEFT($Z264,2)="L-",LEFT($Z264,3)="RR-"),"LH","RH")))</f>
        <v/>
      </c>
      <c r="DC264" s="84">
        <f>IF($A264="","","S.HM"&amp;IF(OR($C264="DOOR ONLY",$X264&lt;&gt;"KD"),"MASONRY","DRYWALL")&amp;IF($C264="DOOR ONLY","",$U264)&amp;IF(AND($C264&lt;&gt;"FRAME ONLY",OR(LEFT($AH264,3)="OAK",LEFT($AH264,3)="BIR",LEFT($AH264,3)="MAP",$AH264="PC",$AH264="MC",$AH264="SCLC",$AH264="P-LAM")),"WD","HM")&amp;"1.75")</f>
        <v/>
      </c>
      <c r="DD264" s="84">
        <f>IF($CJ264="","",IF($O264="Y",$CJ264,SUBSTITUTE($CJ264,$BG264&amp;" "&amp;IFERROR(VLOOKUP($Z264,CODES,2,FALSE),"")&amp;" ",$BG264&amp;" ")))</f>
        <v/>
      </c>
      <c r="DE264" s="84">
        <f>IF($CK264="","",IF($O264="Y",$CK264,SUBSTITUTE($CK264,$BG264&amp;" "&amp;IF($AN264="",IFERROR(VLOOKUP($Z264,CODES,2,FALSE),""),IFERROR(VLOOKUP($AN264,CODES,2,FALSE),""))&amp;" ",$BG264&amp;" ")))</f>
        <v/>
      </c>
      <c r="DF264" s="84">
        <f>IF($CJ264="","",$DC264&amp;"|"&amp;$DD264&amp;"|"&amp;$DB264&amp;"|"&amp;$AT264&amp;"|"&amp;$V264&amp;"|"&amp;$Y264&amp;"|"&amp;$AB264)</f>
        <v/>
      </c>
      <c r="DG264" s="84">
        <f>IF(DF264="","",IF(COUNTIF($DF$6:DF264,DF264)=1,MAX($DG$5:DG263)+1,INDEX($DG$5:DG263,MATCH(DF264,$DF$5:DF263,0))))</f>
        <v/>
      </c>
      <c r="DH264" s="84">
        <f>IF($CK264="","",$DC264&amp;"|"&amp;$DE264&amp;"|"&amp;$AI264&amp;"|"&amp;$BK264&amp;"|"&amp;$BL264)</f>
        <v/>
      </c>
      <c r="DI264" s="84">
        <f>IF(DH264="","",IF(COUNTIF($DH$6:DH264,DH264)=1,MAX($DI$5:DI263)+1,INDEX($DI$5:DI263,MATCH(DH264,$DH$5:DH263,0))))</f>
        <v/>
      </c>
      <c r="DJ264" s="84">
        <f>IF($A264="","",IF($B264="","qty, ","")&amp;IF($C264="","scope, ","")&amp;IF(OR($K264="",$M264=""),"size, ","")&amp;IF(AND($A264&lt;&gt;"",$C264&lt;&gt;"DOOR ONLY"),IF($U264="","jamb depth, ","")&amp;IF($X264="","construction, ","")&amp;IF($Y264="","anchor, ","")&amp;IF($S264="","frame type, ",""),"")&amp;IF(AND(N($BJ264)&gt;0,$Z264=""),"hand, ","")&amp;IF(N($BJ264)&gt;0,IF($AH264="","door material, ","")&amp;IF($AL264="","face type, ","")&amp;IF($AP264="","lock prep, ","")&amp;IF(AND($AO264="",$AC264=""),"hinge prep, ",""),"")&amp;IF(AND($CH264&gt;0,$AH264="FRP"),"FRP cannot carry a label, ","")&amp;IF(AND($O264="Y",OR($Z264="L",$Z264="R",$Z264="LR",$Z264="RR")),"pair marked but hand is single, ","")&amp;IF(AND($O264&lt;&gt;"Y",OR($Z264="PR",AND(LEN($Z264)&gt;1,ISNUMBER(SEARCH("-",$Z264))))),"pair hand on a single door, ","")&amp;IF(AND(ISNUMBER($CI264),$CH264&lt;N($CI264)),"wall needs a "&amp;$CI264&amp;" min door, ","")&amp;IF(AND($CH264&gt;=180,AND(OR($CE264="FG",$CE264="HG",$CE264="FNV",$CE264="FV"),N($CF264)*N($CG264)&gt;100)),"180 min lite over 100 sq in, ","")&amp;IF(N($BK264)&gt;48,"leaf wider than 4'-0"&amp;CHAR(34)&amp;", ","")&amp;IF(AND($CT264,COUNT($AW264:$AZ264)=0,$CQ264&gt;0),"CUSTOM LOC with no locations typed, ",""))</f>
        <v/>
      </c>
      <c r="DK264" s="84">
        <f>IF($A264="","",IF(AND($CH264&gt;0,AND($A264&lt;&gt;"",$C264&lt;&gt;"DOOR ONLY"),$X264="KD",$E264="EXTERIOR"),"KD label on an exterior opening, ","")&amp;IF(AND($E264="EXTERIOR",OR(AND(AND($A264&lt;&gt;"",$C264&lt;&gt;"DOOR ONLY"),$W264="CR"),AND(N($BJ264)&gt;0,$AH264="CR"))),"exterior in CR steel (G9?), ","")&amp;IF(AND(ISNUMBER($BQ264),N($BQ264)&lt;32),"clear width ~"&amp;TEXT($BQ264,"0.0")&amp;CHAR(34)&amp;" under 32"&amp;CHAR(34)&amp;" (ADA), ","")&amp;IF(AND($CH264=90,AND(OR($CE264="FG",$CE264="HG",$CE264="FNV",$CE264="FV"),N($CF264)*N($CG264)&gt;100)),"90 min lite over 100 sq in (stair/exit), ","")&amp;IF(AND($CH264&gt;0,AND($A264&lt;&gt;"",$C264&lt;&gt;"DOOR ONLY"),OR($AF264="",$AF264="-")),"rated: closer reinf.?, ","")&amp;IF(OR($I264="CORRIDOR",$I264="SMOKE BARRIER"),"S label + smoke gasketing, ","")&amp;IF($CI264="?","wall type/hr not in IBC table, ","")&amp;IF(AND(N($BJ264)&gt;0,$BB264=""),"no hardware set, ","")&amp;IF(AND($BB264&lt;&gt;"",ISNA(MATCH($BB264&amp;"",HWSets,0))),"set "&amp;$BB264&amp;" not on HW Sets, ","")&amp;IF(N($BL264)&gt;96,"leaf over 8'-0"&amp;CHAR(34)&amp;" - check listing, ","")&amp;IF(AND($CT264,COUNT($AW264:$AZ264)&gt;0,COUNT($AW264:$AZ264)&lt;&gt;$CQ264),COUNT($AW264:$AZ264)&amp;" custom hinges typed, "&amp;$CQ264&amp;" expected, ","")&amp;IF(AND(ISNUMBER($CA264),OR(N($CA264)&lt;34,N($CA264)&gt;48)),"lock "&amp;TEXT($CA264,"0.0")&amp;CHAR(34)&amp;" AFF outside 34-48"&amp;CHAR(34)&amp;" (ADA), ","")&amp;IF(AND(ISNUMBER($AV264),ISNUMBER($BL264),N($AV264)&lt;IF(N($BL264)&lt;=60,2,IF(N($BL264)&lt;=90,3,IF(N($BL264)&lt;=120,4,5)))),"fewer hinges than standard, ",""))</f>
        <v/>
      </c>
    </row>
    <row r="265" ht="15" customHeight="1">
      <c r="A265" s="92" t="n"/>
      <c r="B265" s="93" t="n"/>
      <c r="C265" s="93" t="n"/>
      <c r="D265" s="93" t="n"/>
      <c r="E265" s="93" t="n"/>
      <c r="F265" s="93" t="n"/>
      <c r="G265" s="93" t="n"/>
      <c r="H265" s="93" t="n"/>
      <c r="I265" s="93" t="n"/>
      <c r="J265" s="93" t="n"/>
      <c r="K265" s="93" t="n"/>
      <c r="L265" s="93" t="n"/>
      <c r="M265" s="93" t="n"/>
      <c r="N265" s="93" t="n"/>
      <c r="O265" s="93" t="n"/>
      <c r="P265" s="93" t="n"/>
      <c r="Q265" s="93" t="n"/>
      <c r="R265" s="93" t="n"/>
      <c r="S265" s="94" t="n"/>
      <c r="T265" s="94" t="n"/>
      <c r="U265" s="94" t="n"/>
      <c r="V265" s="94" t="n"/>
      <c r="W265" s="94" t="n"/>
      <c r="X265" s="94" t="n"/>
      <c r="Y265" s="94" t="n"/>
      <c r="Z265" s="94" t="n"/>
      <c r="AA265" s="94" t="n"/>
      <c r="AB265" s="94" t="n"/>
      <c r="AC265" s="94" t="n"/>
      <c r="AD265" s="94" t="n"/>
      <c r="AE265" s="94" t="n"/>
      <c r="AF265" s="94" t="n"/>
      <c r="AG265" s="94" t="n"/>
      <c r="AH265" s="95" t="n"/>
      <c r="AI265" s="95" t="n"/>
      <c r="AJ265" s="95" t="n"/>
      <c r="AK265" s="95" t="n"/>
      <c r="AL265" s="95" t="n"/>
      <c r="AM265" s="95" t="n"/>
      <c r="AN265" s="95" t="n"/>
      <c r="AO265" s="95" t="n"/>
      <c r="AP265" s="95" t="n"/>
      <c r="AQ265" s="95" t="n"/>
      <c r="AR265" s="95" t="n"/>
      <c r="AS265" s="95" t="n"/>
      <c r="AT265" s="96" t="n"/>
      <c r="AU265" s="96" t="n"/>
      <c r="AV265" s="96" t="n"/>
      <c r="AW265" s="97" t="n"/>
      <c r="AX265" s="97" t="n"/>
      <c r="AY265" s="97" t="n"/>
      <c r="AZ265" s="97" t="n"/>
      <c r="BA265" s="97" t="n"/>
      <c r="BB265" s="98" t="n"/>
      <c r="BC265" s="98" t="n"/>
      <c r="BD265" s="99">
        <f>IF($A265="","",IF($DJ265&lt;&gt;"","FIX",IF($DK265&lt;&gt;"","CHECK","OK")))</f>
        <v/>
      </c>
      <c r="BE265" s="100">
        <f>IF($A265="","",IF($DJ265&lt;&gt;"","FIX: "&amp;LEFT($DJ265,LEN($DJ265)-2)&amp;IF($DK265&lt;&gt;"","  ·  ",""),"")&amp;IF($DK265&lt;&gt;"","CHECK: "&amp;LEFT($DK265,LEN($DK265)-2),""))</f>
        <v/>
      </c>
      <c r="BF265" s="99">
        <f>IF(OR($A265="",$K265=""),"",$K265&amp;"'-"&amp;N($L265)&amp;CHAR(34)&amp;" x "&amp;$M265&amp;"'-"&amp;N($N265)&amp;CHAR(34))</f>
        <v/>
      </c>
      <c r="BG265" s="99">
        <f>IF(OR($A265="",$K265=""),"",$K265&amp;N($L265)&amp;$M265&amp;N($N265))</f>
        <v/>
      </c>
      <c r="BH265" s="99">
        <f>IF(OR($A265="",$K265=""),"",$K265*12+N($L265))</f>
        <v/>
      </c>
      <c r="BI265" s="99">
        <f>IF(OR($A265="",$M265=""),"",$M265*12+N($N265))</f>
        <v/>
      </c>
      <c r="BJ265" s="99">
        <f>IF($A265="","",IF(OR($C265="FRAME ONLY",$S265="BL"),0,IF($O265="Y",2,1)))</f>
        <v/>
      </c>
      <c r="BK265" s="101">
        <f>IF(OR(N($BJ265)=0,$BH265=""),"",($BH265-2*EdgeClr-IF($BJ265=2,MeetClr,0))/$BJ265)</f>
        <v/>
      </c>
      <c r="BL265" s="101">
        <f>IF(OR(N($BJ265)=0,$BI265=""),"",$BI265-HeadClr-Undercut)</f>
        <v/>
      </c>
      <c r="BM265" s="101">
        <f>IF($BH265="","",$BH265+2*FaceW+IF(N($Q265)&gt;0,($Q265+FaceW)*IF($R265="LR",2,1),0))</f>
        <v/>
      </c>
      <c r="BN265" s="101">
        <f>IF($BI265="","",$BI265+IF($AB265="Y",4,FaceW)+IF(N($P265)&gt;0,$P265+FaceW,0)+IF(OR($S265="4F",$S265="BL"),FaceW,0))</f>
        <v/>
      </c>
      <c r="BO265" s="101">
        <f>IF($BM265="","",$BM265+2*ROSide)</f>
        <v/>
      </c>
      <c r="BP265" s="101">
        <f>IF($BN265="","",$BN265+ROTop)</f>
        <v/>
      </c>
      <c r="BQ265" s="102">
        <f>IF(OR(N($BJ265)=0,$BH265=""),"",$BH265/$BJ265-ClearDeduct)</f>
        <v/>
      </c>
      <c r="BR265" s="99">
        <f>IF(N($CH265)=0,"",IF($CH265&gt;=180,"A · 3 HR",IF($CH265&gt;=90,"B · 1-1/2 HR",IF($CH265&gt;=60,"B · 1 HR",IF($CH265&gt;=45,"C · 3/4 HR","20 MIN")))))&amp;IF(AND(N($CH265)&gt;0,OR($I265="CORRIDOR",$I265="SMOKE BARRIER"))," · S","")</f>
        <v/>
      </c>
      <c r="BS265" s="99">
        <f>IF($CS265,"",IF($AV265&lt;&gt;"",$AV265,IF(OR($AC265="HGC",$AO265="HGC"),"CONT",IF(($BI265-HeadClr-Undercut)&lt;=60,2,IF(($BI265-HeadClr-Undercut)&lt;=90,3,IF(($BI265-HeadClr-Undercut)&lt;=120,4,5))))))</f>
        <v/>
      </c>
      <c r="BT265" s="99">
        <f>IF($CS265,"",IF($CT265,"CUSTOM (typed)",IF($CV265,$AT265&amp;" "&amp;$CU265&amp;CHAR(34)&amp;IF($CU265&lt;&gt;$BI265,IF(AND($BI265&lt;$CU265,$BI265-IF(N(VLOOKUP($AT265&amp;"|"&amp;$CU265,LocTable,7,FALSE))&gt;0,VLOOKUP($AT265&amp;"|"&amp;$CU265,LocTable,7,FALSE),VLOOKUP($AT265&amp;"|"&amp;$CU265,LocTable,6,FALSE))-$CR265-0.75&gt;=2.125)," cut down"," adj."),""),"ANSI/SDI A250.6")))</f>
        <v/>
      </c>
      <c r="BU265" s="103">
        <f>IF($CS265,"",IF($CT265,IF(N($AW265)&gt;0,N($AW265),""),IF(1&gt;$CQ265,"",IF($CQ265=1,$CW265,$CW265+($CX265-$CW265)*0/($CQ265-1)))))</f>
        <v/>
      </c>
      <c r="BV265" s="103">
        <f>IF($CS265,"",IF($CT265,IF(N($AX265)&gt;0,N($AX265),""),IF(2&gt;$CQ265,"",IF($CQ265=1,$CW265,$CW265+($CX265-$CW265)*1/($CQ265-1)))))</f>
        <v/>
      </c>
      <c r="BW265" s="103">
        <f>IF($CS265,"",IF($CT265,IF(N($AY265)&gt;0,N($AY265),""),IF(3&gt;$CQ265,"",IF($CQ265=1,$CW265,$CW265+($CX265-$CW265)*2/($CQ265-1)))))</f>
        <v/>
      </c>
      <c r="BX265" s="103">
        <f>IF($CS265,"",IF($CT265,IF(N($AZ265)&gt;0,N($AZ265),""),IF(4&gt;$CQ265,"",IF($CQ265=1,$CW265,$CW265+($CX265-$CW265)*3/($CQ265-1)))))</f>
        <v/>
      </c>
      <c r="BY265" s="103">
        <f>IF($CS265,"",IF($CT265,"",IF(5&gt;$CQ265,"",IF($CQ265=1,$CW265,$CW265+($CX265-$CW265)*4/($CQ265-1)))))</f>
        <v/>
      </c>
      <c r="BZ265" s="103">
        <f>IF(OR($CS265,$AP265="-",AND($AP265="",$AD265="")),"",IF(N($BA265)&gt;0,N($BA265),IF($CV265,IF(AND($BI265&lt;$CU265,$BI265-IF(N(VLOOKUP($AT265&amp;"|"&amp;$CU265,LocTable,7,FALSE))&gt;0,VLOOKUP($AT265&amp;"|"&amp;$CU265,LocTable,7,FALSE),VLOOKUP($AT265&amp;"|"&amp;$CU265,LocTable,6,FALSE))-$CR265-0.75&gt;=2.125),VLOOKUP($AT265&amp;"|"&amp;$CU265,LocTable,8,FALSE),VLOOKUP($AT265&amp;"|"&amp;$CU265,LocTable,8,FALSE)+($BI265-$CU265)),$BI265-LockAFF)))</f>
        <v/>
      </c>
      <c r="CA265" s="104">
        <f>IF($BZ265="","",$BI265-$BZ265)</f>
        <v/>
      </c>
      <c r="CB265" s="99">
        <f>IF(OR(NOT(AND($A265&lt;&gt;"",$C265&lt;&gt;"DOOR ONLY")),$BI265=""),"",IF(($BI265+IF(N($P265)&gt;0,$P265+FaceW,0))&lt;=90,3,IF(($BI265+IF(N($P265)&gt;0,$P265+FaceW,0))&lt;=114,4,5)))</f>
        <v/>
      </c>
      <c r="CC265" s="99">
        <f>IF($CB265="","",$CB265*(2+IF(N($Q265)&gt;0,IF($R265="LR",2,1),0)))</f>
        <v/>
      </c>
      <c r="CD265" s="99">
        <f>IF($CB265="","",(2+IF(N($Q265)&gt;0,IF($R265="LR",2,1),0)))</f>
        <v/>
      </c>
      <c r="CE265" s="99">
        <f>IF(N($BJ265)=0,"",IF(OR($AL265="",$AL265="FLUSH"),"FLUSH",IFERROR(LEFT($AL265,FIND("-",$AL265)-1),LEFT($AL265,2))))</f>
        <v/>
      </c>
      <c r="CF265" s="99">
        <f>IF($CE265="","",IFERROR(VALUE(MID($AL265,FIND("-",$AL265)+1,FIND(CHAR(34)&amp;"x",$AL265)-FIND("-",$AL265)-1)),0))</f>
        <v/>
      </c>
      <c r="CG265" s="99">
        <f>IF($CE265="","",IFERROR(VALUE(MID($AL265,FIND(CHAR(34)&amp;"x",$AL265)+2,FIND(CHAR(34),$AL265,FIND(CHAR(34)&amp;"x",$AL265)+2)-FIND(CHAR(34)&amp;"x",$AL265)-2)),0))</f>
        <v/>
      </c>
      <c r="CH265" s="105">
        <f>IF(OR($A265="",$H265="",$H265="NO LAB"),0,IFERROR(VALUE(LEFT($H265,FIND(" ",$H265)-1)),0))</f>
        <v/>
      </c>
      <c r="CI265" s="106">
        <f>IF(OR($A265="",$I265="",$I265="NON-RATED",N($J265)=0),"",IFERROR(VLOOKUP($I265&amp;"|"&amp;$J265,IBC,2,FALSE),"?"))</f>
        <v/>
      </c>
      <c r="CJ265" s="100">
        <f>IF(NOT(AND($A265&lt;&gt;"",$C265&lt;&gt;"DOOR ONLY")),"",TRIM(IFERROR(VLOOKUP($U265,CODES,2,FALSE),"")&amp;" "&amp;$BG265&amp;" "&amp;IFERROR(VLOOKUP($Z265,CODES,2,FALSE),"")&amp;" "&amp;IFERROR(VLOOKUP($X265,CODES,2,FALSE),"")&amp;" "&amp;IFERROR(VLOOKUP($S265,CODES,2,FALSE),"")&amp;IF(N($P265)&gt;0," w/TRANSOM "&amp;$P265&amp;CHAR(34),"")&amp;IF(N($Q265)&gt;0," w/SIDELITE "&amp;$Q265&amp;CHAR(34)&amp;" "&amp;IF($R265="","R",$R265),"")&amp;IF($Y265="","  |  "," | "&amp;IFERROR(VLOOKUP($Y265,CODES,2,FALSE),"")&amp;" | ")&amp;IFERROR(VLOOKUP($AC265,CODES,2,FALSE),"")&amp;" "&amp;IFERROR(VLOOKUP($AD265,CODES,2,FALSE),"")&amp;IF(OR($AE265="",$AE265="-"),""," "&amp;$AE265)&amp;IF(OR($AF265="",$AF265="-"),""," "&amp;$AF265)&amp;IF($AB265="Y"," 4"&amp;CHAR(34)&amp;" HEAD","")&amp;" "&amp;IFERROR(VLOOKUP($H265,CODES,2,FALSE),"")&amp;IF($CT265," | LOC "&amp;$CY265,"")))</f>
        <v/>
      </c>
      <c r="CK265" s="100">
        <f>IF(NOT(AND($A265&lt;&gt;"",N($BJ265)&gt;0)),"",TRIM(IFERROR(VLOOKUP($AH265,CODES,2,FALSE),"")&amp;IF($AI265=""," "," "&amp;$AI265&amp;"GA ")&amp;$BG265&amp;" "&amp;IF($AN265="",IFERROR(VLOOKUP($Z265,CODES,2,FALSE),""),IFERROR(VLOOKUP($AN265,CODES,2,FALSE),""))&amp;IF($BJ265=2," PAIR","")&amp;" DOOR | "&amp;IF($AL265="","?",$AL265)&amp;" | "&amp;IF($AO265="",IFERROR(VLOOKUP($AC265,CODES,2,FALSE),""),IFERROR(VLOOKUP($AO265,CODES,2,FALSE),""))&amp;" "&amp;IFERROR(VLOOKUP($AP265,CODES,2,FALSE),"")&amp;IF(OR($AQ265="",$AQ265="-"),""," SEAM "&amp;$AQ265)&amp;IF($AR265="Y"," ASTRAGAL","")&amp;IF($AJ265=""," "," "&amp;$AJ265)&amp;IF($AK265=""," "," "&amp;$AK265)&amp;IF(OR($AT265="",$AT265="ANSI/SDI",$AT265="CUSTOM LOC"),""," "&amp;$AT265)&amp;IF($AM265=""," "," SERIES "&amp;$AM265)&amp;" "&amp;IFERROR(VLOOKUP($H265,CODES,2,FALSE),"")&amp;IF($CT265," | LOC "&amp;$CZ265,"")))</f>
        <v/>
      </c>
      <c r="CL265" s="99">
        <f>IF(CP265="","",IF(COUNTIF($CP$6:CP265,CP265)=1,MAX($CL$5:CL264)+1,INDEX($CL$5:CL264,MATCH(CP265,$CP$5:CP264,0))))</f>
        <v/>
      </c>
      <c r="CM265" s="99">
        <f>IF(NOT(AND($A265&lt;&gt;"",$C265&lt;&gt;"DOOR ONLY")),"",MAX($CM$5:CM264)+1)</f>
        <v/>
      </c>
      <c r="CN265" s="99">
        <f>IF(NOT(AND($A265&lt;&gt;"",N($BJ265)&gt;0)),"",MAX($CN$5:CN264)+1)</f>
        <v/>
      </c>
      <c r="CO265" s="99">
        <f>IF($A265="","",MAX($CO$5:CO264)+1)</f>
        <v/>
      </c>
      <c r="CP265" s="99">
        <f>IF(OR($A265="",$BH265="",$BI265=""),"",$BG265&amp;"|"&amp;$O265&amp;"|"&amp;$AL265&amp;"|"&amp;$S265&amp;"|"&amp;$P265&amp;"|"&amp;$Q265&amp;$R265&amp;"|"&amp;$C265&amp;"|"&amp;$AB265)</f>
        <v/>
      </c>
      <c r="CQ265" s="99">
        <f>N($BS265)</f>
        <v/>
      </c>
      <c r="CR265" s="99">
        <f>IF(N($AU265)&gt;0,N($AU265),4.5)</f>
        <v/>
      </c>
      <c r="CS265" s="99">
        <f>OR($A265="",$BI265="",$S265="BL",AND($C265="FRAME ONLY",OR($AC265="",$AC265="BLK")))</f>
        <v/>
      </c>
      <c r="CT265" s="99">
        <f>AND(NOT($CS265),OR($AT265="CUSTOM LOC",N($AW265)+N($AX265)+N($AY265)+N($AZ265)+N($BA265)&gt;0))</f>
        <v/>
      </c>
      <c r="CU265" s="99">
        <f>IF($BI265="","",IF($BI265&lt;=80,80,IF($BI265&lt;=84,84,96)))</f>
        <v/>
      </c>
      <c r="CV265" s="99">
        <f>ISNUMBER(MATCH($AT265&amp;"|80",LocKeys,0))</f>
        <v/>
      </c>
      <c r="CW265" s="101">
        <f>IF($CS265,"",IF($CV265,VLOOKUP($AT265&amp;"|"&amp;$CU265,LocTable,4,FALSE),5))</f>
        <v/>
      </c>
      <c r="CX265" s="101">
        <f>IF($CS265,"",IF($CV265,IF(OR($BI265=$CU265,AND($BI265&lt;$CU265,$BI265-IF(N(VLOOKUP($AT265&amp;"|"&amp;$CU265,LocTable,7,FALSE))&gt;0,VLOOKUP($AT265&amp;"|"&amp;$CU265,LocTable,7,FALSE),VLOOKUP($AT265&amp;"|"&amp;$CU265,LocTable,6,FALSE))-$CR265-0.75&gt;=2.125)),IF(N(VLOOKUP($AT265&amp;"|"&amp;$CU265,LocTable,7,FALSE))&gt;0,VLOOKUP($AT265&amp;"|"&amp;$CU265,LocTable,7,FALSE),VLOOKUP($AT265&amp;"|"&amp;$CU265,LocTable,6,FALSE)),$BI265-($CU265-IF(N(VLOOKUP($AT265&amp;"|"&amp;$CU265,LocTable,7,FALSE))&gt;0,VLOOKUP($AT265&amp;"|"&amp;$CU265,LocTable,7,FALSE),VLOOKUP($AT265&amp;"|"&amp;$CU265,LocTable,6,FALSE)))),$BI265-10-$CR265))</f>
        <v/>
      </c>
      <c r="CY265" s="100">
        <f>IF($CS265,"",TRIM(IF(ISNUMBER($BU265),"A "&amp;TRIM(TEXT($BU265,"# ?/??"))&amp;CHAR(34)&amp;"  ","")&amp;IF(ISNUMBER($BV265),"B "&amp;TRIM(TEXT($BV265,"# ?/??"))&amp;CHAR(34)&amp;"  ","")&amp;IF(ISNUMBER($BW265),"C "&amp;TRIM(TEXT($BW265,"# ?/??"))&amp;CHAR(34)&amp;"  ","")&amp;IF(ISNUMBER($BX265),"D "&amp;TRIM(TEXT($BX265,"# ?/??"))&amp;CHAR(34)&amp;"  ","")&amp;IF(ISNUMBER($BY265),"F "&amp;TRIM(TEXT($BY265,"# ?/??"))&amp;CHAR(34)&amp;"  ","")&amp;IF(ISNUMBER($BZ265),"E "&amp;TRIM(TEXT($BZ265,"# ?/??"))&amp;CHAR(34)&amp;"  ","")))</f>
        <v/>
      </c>
      <c r="CZ265" s="100">
        <f>IF(OR($CS265,N($BJ265)=0),"",TRIM(IF(ISNUMBER($BU265),"A "&amp;TRIM(TEXT($BU265-HeadClr,"# ?/??"))&amp;CHAR(34)&amp;"  ","")&amp;IF(ISNUMBER($BV265),"B "&amp;TRIM(TEXT($BV265-HeadClr,"# ?/??"))&amp;CHAR(34)&amp;"  ","")&amp;IF(ISNUMBER($BW265),"C "&amp;TRIM(TEXT($BW265-HeadClr,"# ?/??"))&amp;CHAR(34)&amp;"  ","")&amp;IF(ISNUMBER($BX265),"D "&amp;TRIM(TEXT($BX265-HeadClr,"# ?/??"))&amp;CHAR(34)&amp;"  ","")&amp;IF(ISNUMBER($BY265),"F "&amp;TRIM(TEXT($BY265-HeadClr,"# ?/??"))&amp;CHAR(34)&amp;"  ","")&amp;IF(ISNUMBER($BZ265),"E "&amp;TRIM(TEXT($BZ265-HeadClr,"# ?/??"))&amp;CHAR(34)&amp;"  ","")))</f>
        <v/>
      </c>
      <c r="DA265" s="99">
        <f>IF($A265="","",IF($AN265="",IFERROR(VLOOKUP($Z265,CODES,2,FALSE),""),IFERROR(VLOOKUP($AN265,CODES,2,FALSE),"")))</f>
        <v/>
      </c>
      <c r="DB265" s="99">
        <f>IF($A265="","",IF($O265="Y","PR",IF(OR($Z265="L",$Z265="RR",LEFT($Z265,2)="L-",LEFT($Z265,3)="RR-"),"LH","RH")))</f>
        <v/>
      </c>
      <c r="DC265" s="99">
        <f>IF($A265="","","S.HM"&amp;IF(OR($C265="DOOR ONLY",$X265&lt;&gt;"KD"),"MASONRY","DRYWALL")&amp;IF($C265="DOOR ONLY","",$U265)&amp;IF(AND($C265&lt;&gt;"FRAME ONLY",OR(LEFT($AH265,3)="OAK",LEFT($AH265,3)="BIR",LEFT($AH265,3)="MAP",$AH265="PC",$AH265="MC",$AH265="SCLC",$AH265="P-LAM")),"WD","HM")&amp;"1.75")</f>
        <v/>
      </c>
      <c r="DD265" s="99">
        <f>IF($CJ265="","",IF($O265="Y",$CJ265,SUBSTITUTE($CJ265,$BG265&amp;" "&amp;IFERROR(VLOOKUP($Z265,CODES,2,FALSE),"")&amp;" ",$BG265&amp;" ")))</f>
        <v/>
      </c>
      <c r="DE265" s="99">
        <f>IF($CK265="","",IF($O265="Y",$CK265,SUBSTITUTE($CK265,$BG265&amp;" "&amp;IF($AN265="",IFERROR(VLOOKUP($Z265,CODES,2,FALSE),""),IFERROR(VLOOKUP($AN265,CODES,2,FALSE),""))&amp;" ",$BG265&amp;" ")))</f>
        <v/>
      </c>
      <c r="DF265" s="99">
        <f>IF($CJ265="","",$DC265&amp;"|"&amp;$DD265&amp;"|"&amp;$DB265&amp;"|"&amp;$AT265&amp;"|"&amp;$V265&amp;"|"&amp;$Y265&amp;"|"&amp;$AB265)</f>
        <v/>
      </c>
      <c r="DG265" s="99">
        <f>IF(DF265="","",IF(COUNTIF($DF$6:DF265,DF265)=1,MAX($DG$5:DG264)+1,INDEX($DG$5:DG264,MATCH(DF265,$DF$5:DF264,0))))</f>
        <v/>
      </c>
      <c r="DH265" s="99">
        <f>IF($CK265="","",$DC265&amp;"|"&amp;$DE265&amp;"|"&amp;$AI265&amp;"|"&amp;$BK265&amp;"|"&amp;$BL265)</f>
        <v/>
      </c>
      <c r="DI265" s="99">
        <f>IF(DH265="","",IF(COUNTIF($DH$6:DH265,DH265)=1,MAX($DI$5:DI264)+1,INDEX($DI$5:DI264,MATCH(DH265,$DH$5:DH264,0))))</f>
        <v/>
      </c>
      <c r="DJ265" s="99">
        <f>IF($A265="","",IF($B265="","qty, ","")&amp;IF($C265="","scope, ","")&amp;IF(OR($K265="",$M265=""),"size, ","")&amp;IF(AND($A265&lt;&gt;"",$C265&lt;&gt;"DOOR ONLY"),IF($U265="","jamb depth, ","")&amp;IF($X265="","construction, ","")&amp;IF($Y265="","anchor, ","")&amp;IF($S265="","frame type, ",""),"")&amp;IF(AND(N($BJ265)&gt;0,$Z265=""),"hand, ","")&amp;IF(N($BJ265)&gt;0,IF($AH265="","door material, ","")&amp;IF($AL265="","face type, ","")&amp;IF($AP265="","lock prep, ","")&amp;IF(AND($AO265="",$AC265=""),"hinge prep, ",""),"")&amp;IF(AND($CH265&gt;0,$AH265="FRP"),"FRP cannot carry a label, ","")&amp;IF(AND($O265="Y",OR($Z265="L",$Z265="R",$Z265="LR",$Z265="RR")),"pair marked but hand is single, ","")&amp;IF(AND($O265&lt;&gt;"Y",OR($Z265="PR",AND(LEN($Z265)&gt;1,ISNUMBER(SEARCH("-",$Z265))))),"pair hand on a single door, ","")&amp;IF(AND(ISNUMBER($CI265),$CH265&lt;N($CI265)),"wall needs a "&amp;$CI265&amp;" min door, ","")&amp;IF(AND($CH265&gt;=180,AND(OR($CE265="FG",$CE265="HG",$CE265="FNV",$CE265="FV"),N($CF265)*N($CG265)&gt;100)),"180 min lite over 100 sq in, ","")&amp;IF(N($BK265)&gt;48,"leaf wider than 4'-0"&amp;CHAR(34)&amp;", ","")&amp;IF(AND($CT265,COUNT($AW265:$AZ265)=0,$CQ265&gt;0),"CUSTOM LOC with no locations typed, ",""))</f>
        <v/>
      </c>
      <c r="DK265" s="99">
        <f>IF($A265="","",IF(AND($CH265&gt;0,AND($A265&lt;&gt;"",$C265&lt;&gt;"DOOR ONLY"),$X265="KD",$E265="EXTERIOR"),"KD label on an exterior opening, ","")&amp;IF(AND($E265="EXTERIOR",OR(AND(AND($A265&lt;&gt;"",$C265&lt;&gt;"DOOR ONLY"),$W265="CR"),AND(N($BJ265)&gt;0,$AH265="CR"))),"exterior in CR steel (G9?), ","")&amp;IF(AND(ISNUMBER($BQ265),N($BQ265)&lt;32),"clear width ~"&amp;TEXT($BQ265,"0.0")&amp;CHAR(34)&amp;" under 32"&amp;CHAR(34)&amp;" (ADA), ","")&amp;IF(AND($CH265=90,AND(OR($CE265="FG",$CE265="HG",$CE265="FNV",$CE265="FV"),N($CF265)*N($CG265)&gt;100)),"90 min lite over 100 sq in (stair/exit), ","")&amp;IF(AND($CH265&gt;0,AND($A265&lt;&gt;"",$C265&lt;&gt;"DOOR ONLY"),OR($AF265="",$AF265="-")),"rated: closer reinf.?, ","")&amp;IF(OR($I265="CORRIDOR",$I265="SMOKE BARRIER"),"S label + smoke gasketing, ","")&amp;IF($CI265="?","wall type/hr not in IBC table, ","")&amp;IF(AND(N($BJ265)&gt;0,$BB265=""),"no hardware set, ","")&amp;IF(AND($BB265&lt;&gt;"",ISNA(MATCH($BB265&amp;"",HWSets,0))),"set "&amp;$BB265&amp;" not on HW Sets, ","")&amp;IF(N($BL265)&gt;96,"leaf over 8'-0"&amp;CHAR(34)&amp;" - check listing, ","")&amp;IF(AND($CT265,COUNT($AW265:$AZ265)&gt;0,COUNT($AW265:$AZ265)&lt;&gt;$CQ265),COUNT($AW265:$AZ265)&amp;" custom hinges typed, "&amp;$CQ265&amp;" expected, ","")&amp;IF(AND(ISNUMBER($CA265),OR(N($CA265)&lt;34,N($CA265)&gt;48)),"lock "&amp;TEXT($CA265,"0.0")&amp;CHAR(34)&amp;" AFF outside 34-48"&amp;CHAR(34)&amp;" (ADA), ","")&amp;IF(AND(ISNUMBER($AV265),ISNUMBER($BL265),N($AV265)&lt;IF(N($BL265)&lt;=60,2,IF(N($BL265)&lt;=90,3,IF(N($BL265)&lt;=120,4,5)))),"fewer hinges than standard, ",""))</f>
        <v/>
      </c>
    </row>
    <row r="266" ht="15" customHeight="1">
      <c r="A266" s="77" t="n"/>
      <c r="B266" s="78" t="n"/>
      <c r="C266" s="78" t="n"/>
      <c r="D266" s="78" t="n"/>
      <c r="E266" s="78" t="n"/>
      <c r="F266" s="78" t="n"/>
      <c r="G266" s="78" t="n"/>
      <c r="H266" s="78" t="n"/>
      <c r="I266" s="78" t="n"/>
      <c r="J266" s="78" t="n"/>
      <c r="K266" s="78" t="n"/>
      <c r="L266" s="78" t="n"/>
      <c r="M266" s="78" t="n"/>
      <c r="N266" s="78" t="n"/>
      <c r="O266" s="78" t="n"/>
      <c r="P266" s="78" t="n"/>
      <c r="Q266" s="78" t="n"/>
      <c r="R266" s="78" t="n"/>
      <c r="S266" s="79" t="n"/>
      <c r="T266" s="79" t="n"/>
      <c r="U266" s="79" t="n"/>
      <c r="V266" s="79" t="n"/>
      <c r="W266" s="79" t="n"/>
      <c r="X266" s="79" t="n"/>
      <c r="Y266" s="79" t="n"/>
      <c r="Z266" s="79" t="n"/>
      <c r="AA266" s="79" t="n"/>
      <c r="AB266" s="79" t="n"/>
      <c r="AC266" s="79" t="n"/>
      <c r="AD266" s="79" t="n"/>
      <c r="AE266" s="79" t="n"/>
      <c r="AF266" s="79" t="n"/>
      <c r="AG266" s="79" t="n"/>
      <c r="AH266" s="80" t="n"/>
      <c r="AI266" s="80" t="n"/>
      <c r="AJ266" s="80" t="n"/>
      <c r="AK266" s="80" t="n"/>
      <c r="AL266" s="80" t="n"/>
      <c r="AM266" s="80" t="n"/>
      <c r="AN266" s="80" t="n"/>
      <c r="AO266" s="80" t="n"/>
      <c r="AP266" s="80" t="n"/>
      <c r="AQ266" s="80" t="n"/>
      <c r="AR266" s="80" t="n"/>
      <c r="AS266" s="80" t="n"/>
      <c r="AT266" s="81" t="n"/>
      <c r="AU266" s="81" t="n"/>
      <c r="AV266" s="81" t="n"/>
      <c r="AW266" s="82" t="n"/>
      <c r="AX266" s="82" t="n"/>
      <c r="AY266" s="82" t="n"/>
      <c r="AZ266" s="82" t="n"/>
      <c r="BA266" s="82" t="n"/>
      <c r="BB266" s="83" t="n"/>
      <c r="BC266" s="83" t="n"/>
      <c r="BD266" s="84">
        <f>IF($A266="","",IF($DJ266&lt;&gt;"","FIX",IF($DK266&lt;&gt;"","CHECK","OK")))</f>
        <v/>
      </c>
      <c r="BE266" s="85">
        <f>IF($A266="","",IF($DJ266&lt;&gt;"","FIX: "&amp;LEFT($DJ266,LEN($DJ266)-2)&amp;IF($DK266&lt;&gt;"","  ·  ",""),"")&amp;IF($DK266&lt;&gt;"","CHECK: "&amp;LEFT($DK266,LEN($DK266)-2),""))</f>
        <v/>
      </c>
      <c r="BF266" s="84">
        <f>IF(OR($A266="",$K266=""),"",$K266&amp;"'-"&amp;N($L266)&amp;CHAR(34)&amp;" x "&amp;$M266&amp;"'-"&amp;N($N266)&amp;CHAR(34))</f>
        <v/>
      </c>
      <c r="BG266" s="84">
        <f>IF(OR($A266="",$K266=""),"",$K266&amp;N($L266)&amp;$M266&amp;N($N266))</f>
        <v/>
      </c>
      <c r="BH266" s="84">
        <f>IF(OR($A266="",$K266=""),"",$K266*12+N($L266))</f>
        <v/>
      </c>
      <c r="BI266" s="84">
        <f>IF(OR($A266="",$M266=""),"",$M266*12+N($N266))</f>
        <v/>
      </c>
      <c r="BJ266" s="84">
        <f>IF($A266="","",IF(OR($C266="FRAME ONLY",$S266="BL"),0,IF($O266="Y",2,1)))</f>
        <v/>
      </c>
      <c r="BK266" s="86">
        <f>IF(OR(N($BJ266)=0,$BH266=""),"",($BH266-2*EdgeClr-IF($BJ266=2,MeetClr,0))/$BJ266)</f>
        <v/>
      </c>
      <c r="BL266" s="86">
        <f>IF(OR(N($BJ266)=0,$BI266=""),"",$BI266-HeadClr-Undercut)</f>
        <v/>
      </c>
      <c r="BM266" s="86">
        <f>IF($BH266="","",$BH266+2*FaceW+IF(N($Q266)&gt;0,($Q266+FaceW)*IF($R266="LR",2,1),0))</f>
        <v/>
      </c>
      <c r="BN266" s="86">
        <f>IF($BI266="","",$BI266+IF($AB266="Y",4,FaceW)+IF(N($P266)&gt;0,$P266+FaceW,0)+IF(OR($S266="4F",$S266="BL"),FaceW,0))</f>
        <v/>
      </c>
      <c r="BO266" s="86">
        <f>IF($BM266="","",$BM266+2*ROSide)</f>
        <v/>
      </c>
      <c r="BP266" s="86">
        <f>IF($BN266="","",$BN266+ROTop)</f>
        <v/>
      </c>
      <c r="BQ266" s="87">
        <f>IF(OR(N($BJ266)=0,$BH266=""),"",$BH266/$BJ266-ClearDeduct)</f>
        <v/>
      </c>
      <c r="BR266" s="84">
        <f>IF(N($CH266)=0,"",IF($CH266&gt;=180,"A · 3 HR",IF($CH266&gt;=90,"B · 1-1/2 HR",IF($CH266&gt;=60,"B · 1 HR",IF($CH266&gt;=45,"C · 3/4 HR","20 MIN")))))&amp;IF(AND(N($CH266)&gt;0,OR($I266="CORRIDOR",$I266="SMOKE BARRIER"))," · S","")</f>
        <v/>
      </c>
      <c r="BS266" s="84">
        <f>IF($CS266,"",IF($AV266&lt;&gt;"",$AV266,IF(OR($AC266="HGC",$AO266="HGC"),"CONT",IF(($BI266-HeadClr-Undercut)&lt;=60,2,IF(($BI266-HeadClr-Undercut)&lt;=90,3,IF(($BI266-HeadClr-Undercut)&lt;=120,4,5))))))</f>
        <v/>
      </c>
      <c r="BT266" s="84">
        <f>IF($CS266,"",IF($CT266,"CUSTOM (typed)",IF($CV266,$AT266&amp;" "&amp;$CU266&amp;CHAR(34)&amp;IF($CU266&lt;&gt;$BI266,IF(AND($BI266&lt;$CU266,$BI266-IF(N(VLOOKUP($AT266&amp;"|"&amp;$CU266,LocTable,7,FALSE))&gt;0,VLOOKUP($AT266&amp;"|"&amp;$CU266,LocTable,7,FALSE),VLOOKUP($AT266&amp;"|"&amp;$CU266,LocTable,6,FALSE))-$CR266-0.75&gt;=2.125)," cut down"," adj."),""),"ANSI/SDI A250.6")))</f>
        <v/>
      </c>
      <c r="BU266" s="88">
        <f>IF($CS266,"",IF($CT266,IF(N($AW266)&gt;0,N($AW266),""),IF(1&gt;$CQ266,"",IF($CQ266=1,$CW266,$CW266+($CX266-$CW266)*0/($CQ266-1)))))</f>
        <v/>
      </c>
      <c r="BV266" s="88">
        <f>IF($CS266,"",IF($CT266,IF(N($AX266)&gt;0,N($AX266),""),IF(2&gt;$CQ266,"",IF($CQ266=1,$CW266,$CW266+($CX266-$CW266)*1/($CQ266-1)))))</f>
        <v/>
      </c>
      <c r="BW266" s="88">
        <f>IF($CS266,"",IF($CT266,IF(N($AY266)&gt;0,N($AY266),""),IF(3&gt;$CQ266,"",IF($CQ266=1,$CW266,$CW266+($CX266-$CW266)*2/($CQ266-1)))))</f>
        <v/>
      </c>
      <c r="BX266" s="88">
        <f>IF($CS266,"",IF($CT266,IF(N($AZ266)&gt;0,N($AZ266),""),IF(4&gt;$CQ266,"",IF($CQ266=1,$CW266,$CW266+($CX266-$CW266)*3/($CQ266-1)))))</f>
        <v/>
      </c>
      <c r="BY266" s="88">
        <f>IF($CS266,"",IF($CT266,"",IF(5&gt;$CQ266,"",IF($CQ266=1,$CW266,$CW266+($CX266-$CW266)*4/($CQ266-1)))))</f>
        <v/>
      </c>
      <c r="BZ266" s="88">
        <f>IF(OR($CS266,$AP266="-",AND($AP266="",$AD266="")),"",IF(N($BA266)&gt;0,N($BA266),IF($CV266,IF(AND($BI266&lt;$CU266,$BI266-IF(N(VLOOKUP($AT266&amp;"|"&amp;$CU266,LocTable,7,FALSE))&gt;0,VLOOKUP($AT266&amp;"|"&amp;$CU266,LocTable,7,FALSE),VLOOKUP($AT266&amp;"|"&amp;$CU266,LocTable,6,FALSE))-$CR266-0.75&gt;=2.125),VLOOKUP($AT266&amp;"|"&amp;$CU266,LocTable,8,FALSE),VLOOKUP($AT266&amp;"|"&amp;$CU266,LocTable,8,FALSE)+($BI266-$CU266)),$BI266-LockAFF)))</f>
        <v/>
      </c>
      <c r="CA266" s="89">
        <f>IF($BZ266="","",$BI266-$BZ266)</f>
        <v/>
      </c>
      <c r="CB266" s="84">
        <f>IF(OR(NOT(AND($A266&lt;&gt;"",$C266&lt;&gt;"DOOR ONLY")),$BI266=""),"",IF(($BI266+IF(N($P266)&gt;0,$P266+FaceW,0))&lt;=90,3,IF(($BI266+IF(N($P266)&gt;0,$P266+FaceW,0))&lt;=114,4,5)))</f>
        <v/>
      </c>
      <c r="CC266" s="84">
        <f>IF($CB266="","",$CB266*(2+IF(N($Q266)&gt;0,IF($R266="LR",2,1),0)))</f>
        <v/>
      </c>
      <c r="CD266" s="84">
        <f>IF($CB266="","",(2+IF(N($Q266)&gt;0,IF($R266="LR",2,1),0)))</f>
        <v/>
      </c>
      <c r="CE266" s="84">
        <f>IF(N($BJ266)=0,"",IF(OR($AL266="",$AL266="FLUSH"),"FLUSH",IFERROR(LEFT($AL266,FIND("-",$AL266)-1),LEFT($AL266,2))))</f>
        <v/>
      </c>
      <c r="CF266" s="84">
        <f>IF($CE266="","",IFERROR(VALUE(MID($AL266,FIND("-",$AL266)+1,FIND(CHAR(34)&amp;"x",$AL266)-FIND("-",$AL266)-1)),0))</f>
        <v/>
      </c>
      <c r="CG266" s="84">
        <f>IF($CE266="","",IFERROR(VALUE(MID($AL266,FIND(CHAR(34)&amp;"x",$AL266)+2,FIND(CHAR(34),$AL266,FIND(CHAR(34)&amp;"x",$AL266)+2)-FIND(CHAR(34)&amp;"x",$AL266)-2)),0))</f>
        <v/>
      </c>
      <c r="CH266" s="90">
        <f>IF(OR($A266="",$H266="",$H266="NO LAB"),0,IFERROR(VALUE(LEFT($H266,FIND(" ",$H266)-1)),0))</f>
        <v/>
      </c>
      <c r="CI266" s="91">
        <f>IF(OR($A266="",$I266="",$I266="NON-RATED",N($J266)=0),"",IFERROR(VLOOKUP($I266&amp;"|"&amp;$J266,IBC,2,FALSE),"?"))</f>
        <v/>
      </c>
      <c r="CJ266" s="85">
        <f>IF(NOT(AND($A266&lt;&gt;"",$C266&lt;&gt;"DOOR ONLY")),"",TRIM(IFERROR(VLOOKUP($U266,CODES,2,FALSE),"")&amp;" "&amp;$BG266&amp;" "&amp;IFERROR(VLOOKUP($Z266,CODES,2,FALSE),"")&amp;" "&amp;IFERROR(VLOOKUP($X266,CODES,2,FALSE),"")&amp;" "&amp;IFERROR(VLOOKUP($S266,CODES,2,FALSE),"")&amp;IF(N($P266)&gt;0," w/TRANSOM "&amp;$P266&amp;CHAR(34),"")&amp;IF(N($Q266)&gt;0," w/SIDELITE "&amp;$Q266&amp;CHAR(34)&amp;" "&amp;IF($R266="","R",$R266),"")&amp;IF($Y266="","  |  "," | "&amp;IFERROR(VLOOKUP($Y266,CODES,2,FALSE),"")&amp;" | ")&amp;IFERROR(VLOOKUP($AC266,CODES,2,FALSE),"")&amp;" "&amp;IFERROR(VLOOKUP($AD266,CODES,2,FALSE),"")&amp;IF(OR($AE266="",$AE266="-"),""," "&amp;$AE266)&amp;IF(OR($AF266="",$AF266="-"),""," "&amp;$AF266)&amp;IF($AB266="Y"," 4"&amp;CHAR(34)&amp;" HEAD","")&amp;" "&amp;IFERROR(VLOOKUP($H266,CODES,2,FALSE),"")&amp;IF($CT266," | LOC "&amp;$CY266,"")))</f>
        <v/>
      </c>
      <c r="CK266" s="85">
        <f>IF(NOT(AND($A266&lt;&gt;"",N($BJ266)&gt;0)),"",TRIM(IFERROR(VLOOKUP($AH266,CODES,2,FALSE),"")&amp;IF($AI266=""," "," "&amp;$AI266&amp;"GA ")&amp;$BG266&amp;" "&amp;IF($AN266="",IFERROR(VLOOKUP($Z266,CODES,2,FALSE),""),IFERROR(VLOOKUP($AN266,CODES,2,FALSE),""))&amp;IF($BJ266=2," PAIR","")&amp;" DOOR | "&amp;IF($AL266="","?",$AL266)&amp;" | "&amp;IF($AO266="",IFERROR(VLOOKUP($AC266,CODES,2,FALSE),""),IFERROR(VLOOKUP($AO266,CODES,2,FALSE),""))&amp;" "&amp;IFERROR(VLOOKUP($AP266,CODES,2,FALSE),"")&amp;IF(OR($AQ266="",$AQ266="-"),""," SEAM "&amp;$AQ266)&amp;IF($AR266="Y"," ASTRAGAL","")&amp;IF($AJ266=""," "," "&amp;$AJ266)&amp;IF($AK266=""," "," "&amp;$AK266)&amp;IF(OR($AT266="",$AT266="ANSI/SDI",$AT266="CUSTOM LOC"),""," "&amp;$AT266)&amp;IF($AM266=""," "," SERIES "&amp;$AM266)&amp;" "&amp;IFERROR(VLOOKUP($H266,CODES,2,FALSE),"")&amp;IF($CT266," | LOC "&amp;$CZ266,"")))</f>
        <v/>
      </c>
      <c r="CL266" s="84">
        <f>IF(CP266="","",IF(COUNTIF($CP$6:CP266,CP266)=1,MAX($CL$5:CL265)+1,INDEX($CL$5:CL265,MATCH(CP266,$CP$5:CP265,0))))</f>
        <v/>
      </c>
      <c r="CM266" s="84">
        <f>IF(NOT(AND($A266&lt;&gt;"",$C266&lt;&gt;"DOOR ONLY")),"",MAX($CM$5:CM265)+1)</f>
        <v/>
      </c>
      <c r="CN266" s="84">
        <f>IF(NOT(AND($A266&lt;&gt;"",N($BJ266)&gt;0)),"",MAX($CN$5:CN265)+1)</f>
        <v/>
      </c>
      <c r="CO266" s="84">
        <f>IF($A266="","",MAX($CO$5:CO265)+1)</f>
        <v/>
      </c>
      <c r="CP266" s="84">
        <f>IF(OR($A266="",$BH266="",$BI266=""),"",$BG266&amp;"|"&amp;$O266&amp;"|"&amp;$AL266&amp;"|"&amp;$S266&amp;"|"&amp;$P266&amp;"|"&amp;$Q266&amp;$R266&amp;"|"&amp;$C266&amp;"|"&amp;$AB266)</f>
        <v/>
      </c>
      <c r="CQ266" s="84">
        <f>N($BS266)</f>
        <v/>
      </c>
      <c r="CR266" s="84">
        <f>IF(N($AU266)&gt;0,N($AU266),4.5)</f>
        <v/>
      </c>
      <c r="CS266" s="84">
        <f>OR($A266="",$BI266="",$S266="BL",AND($C266="FRAME ONLY",OR($AC266="",$AC266="BLK")))</f>
        <v/>
      </c>
      <c r="CT266" s="84">
        <f>AND(NOT($CS266),OR($AT266="CUSTOM LOC",N($AW266)+N($AX266)+N($AY266)+N($AZ266)+N($BA266)&gt;0))</f>
        <v/>
      </c>
      <c r="CU266" s="84">
        <f>IF($BI266="","",IF($BI266&lt;=80,80,IF($BI266&lt;=84,84,96)))</f>
        <v/>
      </c>
      <c r="CV266" s="84">
        <f>ISNUMBER(MATCH($AT266&amp;"|80",LocKeys,0))</f>
        <v/>
      </c>
      <c r="CW266" s="86">
        <f>IF($CS266,"",IF($CV266,VLOOKUP($AT266&amp;"|"&amp;$CU266,LocTable,4,FALSE),5))</f>
        <v/>
      </c>
      <c r="CX266" s="86">
        <f>IF($CS266,"",IF($CV266,IF(OR($BI266=$CU266,AND($BI266&lt;$CU266,$BI266-IF(N(VLOOKUP($AT266&amp;"|"&amp;$CU266,LocTable,7,FALSE))&gt;0,VLOOKUP($AT266&amp;"|"&amp;$CU266,LocTable,7,FALSE),VLOOKUP($AT266&amp;"|"&amp;$CU266,LocTable,6,FALSE))-$CR266-0.75&gt;=2.125)),IF(N(VLOOKUP($AT266&amp;"|"&amp;$CU266,LocTable,7,FALSE))&gt;0,VLOOKUP($AT266&amp;"|"&amp;$CU266,LocTable,7,FALSE),VLOOKUP($AT266&amp;"|"&amp;$CU266,LocTable,6,FALSE)),$BI266-($CU266-IF(N(VLOOKUP($AT266&amp;"|"&amp;$CU266,LocTable,7,FALSE))&gt;0,VLOOKUP($AT266&amp;"|"&amp;$CU266,LocTable,7,FALSE),VLOOKUP($AT266&amp;"|"&amp;$CU266,LocTable,6,FALSE)))),$BI266-10-$CR266))</f>
        <v/>
      </c>
      <c r="CY266" s="85">
        <f>IF($CS266,"",TRIM(IF(ISNUMBER($BU266),"A "&amp;TRIM(TEXT($BU266,"# ?/??"))&amp;CHAR(34)&amp;"  ","")&amp;IF(ISNUMBER($BV266),"B "&amp;TRIM(TEXT($BV266,"# ?/??"))&amp;CHAR(34)&amp;"  ","")&amp;IF(ISNUMBER($BW266),"C "&amp;TRIM(TEXT($BW266,"# ?/??"))&amp;CHAR(34)&amp;"  ","")&amp;IF(ISNUMBER($BX266),"D "&amp;TRIM(TEXT($BX266,"# ?/??"))&amp;CHAR(34)&amp;"  ","")&amp;IF(ISNUMBER($BY266),"F "&amp;TRIM(TEXT($BY266,"# ?/??"))&amp;CHAR(34)&amp;"  ","")&amp;IF(ISNUMBER($BZ266),"E "&amp;TRIM(TEXT($BZ266,"# ?/??"))&amp;CHAR(34)&amp;"  ","")))</f>
        <v/>
      </c>
      <c r="CZ266" s="85">
        <f>IF(OR($CS266,N($BJ266)=0),"",TRIM(IF(ISNUMBER($BU266),"A "&amp;TRIM(TEXT($BU266-HeadClr,"# ?/??"))&amp;CHAR(34)&amp;"  ","")&amp;IF(ISNUMBER($BV266),"B "&amp;TRIM(TEXT($BV266-HeadClr,"# ?/??"))&amp;CHAR(34)&amp;"  ","")&amp;IF(ISNUMBER($BW266),"C "&amp;TRIM(TEXT($BW266-HeadClr,"# ?/??"))&amp;CHAR(34)&amp;"  ","")&amp;IF(ISNUMBER($BX266),"D "&amp;TRIM(TEXT($BX266-HeadClr,"# ?/??"))&amp;CHAR(34)&amp;"  ","")&amp;IF(ISNUMBER($BY266),"F "&amp;TRIM(TEXT($BY266-HeadClr,"# ?/??"))&amp;CHAR(34)&amp;"  ","")&amp;IF(ISNUMBER($BZ266),"E "&amp;TRIM(TEXT($BZ266-HeadClr,"# ?/??"))&amp;CHAR(34)&amp;"  ","")))</f>
        <v/>
      </c>
      <c r="DA266" s="84">
        <f>IF($A266="","",IF($AN266="",IFERROR(VLOOKUP($Z266,CODES,2,FALSE),""),IFERROR(VLOOKUP($AN266,CODES,2,FALSE),"")))</f>
        <v/>
      </c>
      <c r="DB266" s="84">
        <f>IF($A266="","",IF($O266="Y","PR",IF(OR($Z266="L",$Z266="RR",LEFT($Z266,2)="L-",LEFT($Z266,3)="RR-"),"LH","RH")))</f>
        <v/>
      </c>
      <c r="DC266" s="84">
        <f>IF($A266="","","S.HM"&amp;IF(OR($C266="DOOR ONLY",$X266&lt;&gt;"KD"),"MASONRY","DRYWALL")&amp;IF($C266="DOOR ONLY","",$U266)&amp;IF(AND($C266&lt;&gt;"FRAME ONLY",OR(LEFT($AH266,3)="OAK",LEFT($AH266,3)="BIR",LEFT($AH266,3)="MAP",$AH266="PC",$AH266="MC",$AH266="SCLC",$AH266="P-LAM")),"WD","HM")&amp;"1.75")</f>
        <v/>
      </c>
      <c r="DD266" s="84">
        <f>IF($CJ266="","",IF($O266="Y",$CJ266,SUBSTITUTE($CJ266,$BG266&amp;" "&amp;IFERROR(VLOOKUP($Z266,CODES,2,FALSE),"")&amp;" ",$BG266&amp;" ")))</f>
        <v/>
      </c>
      <c r="DE266" s="84">
        <f>IF($CK266="","",IF($O266="Y",$CK266,SUBSTITUTE($CK266,$BG266&amp;" "&amp;IF($AN266="",IFERROR(VLOOKUP($Z266,CODES,2,FALSE),""),IFERROR(VLOOKUP($AN266,CODES,2,FALSE),""))&amp;" ",$BG266&amp;" ")))</f>
        <v/>
      </c>
      <c r="DF266" s="84">
        <f>IF($CJ266="","",$DC266&amp;"|"&amp;$DD266&amp;"|"&amp;$DB266&amp;"|"&amp;$AT266&amp;"|"&amp;$V266&amp;"|"&amp;$Y266&amp;"|"&amp;$AB266)</f>
        <v/>
      </c>
      <c r="DG266" s="84">
        <f>IF(DF266="","",IF(COUNTIF($DF$6:DF266,DF266)=1,MAX($DG$5:DG265)+1,INDEX($DG$5:DG265,MATCH(DF266,$DF$5:DF265,0))))</f>
        <v/>
      </c>
      <c r="DH266" s="84">
        <f>IF($CK266="","",$DC266&amp;"|"&amp;$DE266&amp;"|"&amp;$AI266&amp;"|"&amp;$BK266&amp;"|"&amp;$BL266)</f>
        <v/>
      </c>
      <c r="DI266" s="84">
        <f>IF(DH266="","",IF(COUNTIF($DH$6:DH266,DH266)=1,MAX($DI$5:DI265)+1,INDEX($DI$5:DI265,MATCH(DH266,$DH$5:DH265,0))))</f>
        <v/>
      </c>
      <c r="DJ266" s="84">
        <f>IF($A266="","",IF($B266="","qty, ","")&amp;IF($C266="","scope, ","")&amp;IF(OR($K266="",$M266=""),"size, ","")&amp;IF(AND($A266&lt;&gt;"",$C266&lt;&gt;"DOOR ONLY"),IF($U266="","jamb depth, ","")&amp;IF($X266="","construction, ","")&amp;IF($Y266="","anchor, ","")&amp;IF($S266="","frame type, ",""),"")&amp;IF(AND(N($BJ266)&gt;0,$Z266=""),"hand, ","")&amp;IF(N($BJ266)&gt;0,IF($AH266="","door material, ","")&amp;IF($AL266="","face type, ","")&amp;IF($AP266="","lock prep, ","")&amp;IF(AND($AO266="",$AC266=""),"hinge prep, ",""),"")&amp;IF(AND($CH266&gt;0,$AH266="FRP"),"FRP cannot carry a label, ","")&amp;IF(AND($O266="Y",OR($Z266="L",$Z266="R",$Z266="LR",$Z266="RR")),"pair marked but hand is single, ","")&amp;IF(AND($O266&lt;&gt;"Y",OR($Z266="PR",AND(LEN($Z266)&gt;1,ISNUMBER(SEARCH("-",$Z266))))),"pair hand on a single door, ","")&amp;IF(AND(ISNUMBER($CI266),$CH266&lt;N($CI266)),"wall needs a "&amp;$CI266&amp;" min door, ","")&amp;IF(AND($CH266&gt;=180,AND(OR($CE266="FG",$CE266="HG",$CE266="FNV",$CE266="FV"),N($CF266)*N($CG266)&gt;100)),"180 min lite over 100 sq in, ","")&amp;IF(N($BK266)&gt;48,"leaf wider than 4'-0"&amp;CHAR(34)&amp;", ","")&amp;IF(AND($CT266,COUNT($AW266:$AZ266)=0,$CQ266&gt;0),"CUSTOM LOC with no locations typed, ",""))</f>
        <v/>
      </c>
      <c r="DK266" s="84">
        <f>IF($A266="","",IF(AND($CH266&gt;0,AND($A266&lt;&gt;"",$C266&lt;&gt;"DOOR ONLY"),$X266="KD",$E266="EXTERIOR"),"KD label on an exterior opening, ","")&amp;IF(AND($E266="EXTERIOR",OR(AND(AND($A266&lt;&gt;"",$C266&lt;&gt;"DOOR ONLY"),$W266="CR"),AND(N($BJ266)&gt;0,$AH266="CR"))),"exterior in CR steel (G9?), ","")&amp;IF(AND(ISNUMBER($BQ266),N($BQ266)&lt;32),"clear width ~"&amp;TEXT($BQ266,"0.0")&amp;CHAR(34)&amp;" under 32"&amp;CHAR(34)&amp;" (ADA), ","")&amp;IF(AND($CH266=90,AND(OR($CE266="FG",$CE266="HG",$CE266="FNV",$CE266="FV"),N($CF266)*N($CG266)&gt;100)),"90 min lite over 100 sq in (stair/exit), ","")&amp;IF(AND($CH266&gt;0,AND($A266&lt;&gt;"",$C266&lt;&gt;"DOOR ONLY"),OR($AF266="",$AF266="-")),"rated: closer reinf.?, ","")&amp;IF(OR($I266="CORRIDOR",$I266="SMOKE BARRIER"),"S label + smoke gasketing, ","")&amp;IF($CI266="?","wall type/hr not in IBC table, ","")&amp;IF(AND(N($BJ266)&gt;0,$BB266=""),"no hardware set, ","")&amp;IF(AND($BB266&lt;&gt;"",ISNA(MATCH($BB266&amp;"",HWSets,0))),"set "&amp;$BB266&amp;" not on HW Sets, ","")&amp;IF(N($BL266)&gt;96,"leaf over 8'-0"&amp;CHAR(34)&amp;" - check listing, ","")&amp;IF(AND($CT266,COUNT($AW266:$AZ266)&gt;0,COUNT($AW266:$AZ266)&lt;&gt;$CQ266),COUNT($AW266:$AZ266)&amp;" custom hinges typed, "&amp;$CQ266&amp;" expected, ","")&amp;IF(AND(ISNUMBER($CA266),OR(N($CA266)&lt;34,N($CA266)&gt;48)),"lock "&amp;TEXT($CA266,"0.0")&amp;CHAR(34)&amp;" AFF outside 34-48"&amp;CHAR(34)&amp;" (ADA), ","")&amp;IF(AND(ISNUMBER($AV266),ISNUMBER($BL266),N($AV266)&lt;IF(N($BL266)&lt;=60,2,IF(N($BL266)&lt;=90,3,IF(N($BL266)&lt;=120,4,5)))),"fewer hinges than standard, ",""))</f>
        <v/>
      </c>
    </row>
    <row r="267" ht="15" customHeight="1">
      <c r="A267" s="77" t="n"/>
      <c r="B267" s="78" t="n"/>
      <c r="C267" s="78" t="n"/>
      <c r="D267" s="78" t="n"/>
      <c r="E267" s="78" t="n"/>
      <c r="F267" s="78" t="n"/>
      <c r="G267" s="78" t="n"/>
      <c r="H267" s="78" t="n"/>
      <c r="I267" s="78" t="n"/>
      <c r="J267" s="78" t="n"/>
      <c r="K267" s="78" t="n"/>
      <c r="L267" s="78" t="n"/>
      <c r="M267" s="78" t="n"/>
      <c r="N267" s="78" t="n"/>
      <c r="O267" s="78" t="n"/>
      <c r="P267" s="78" t="n"/>
      <c r="Q267" s="78" t="n"/>
      <c r="R267" s="78" t="n"/>
      <c r="S267" s="79" t="n"/>
      <c r="T267" s="79" t="n"/>
      <c r="U267" s="79" t="n"/>
      <c r="V267" s="79" t="n"/>
      <c r="W267" s="79" t="n"/>
      <c r="X267" s="79" t="n"/>
      <c r="Y267" s="79" t="n"/>
      <c r="Z267" s="79" t="n"/>
      <c r="AA267" s="79" t="n"/>
      <c r="AB267" s="79" t="n"/>
      <c r="AC267" s="79" t="n"/>
      <c r="AD267" s="79" t="n"/>
      <c r="AE267" s="79" t="n"/>
      <c r="AF267" s="79" t="n"/>
      <c r="AG267" s="79" t="n"/>
      <c r="AH267" s="80" t="n"/>
      <c r="AI267" s="80" t="n"/>
      <c r="AJ267" s="80" t="n"/>
      <c r="AK267" s="80" t="n"/>
      <c r="AL267" s="80" t="n"/>
      <c r="AM267" s="80" t="n"/>
      <c r="AN267" s="80" t="n"/>
      <c r="AO267" s="80" t="n"/>
      <c r="AP267" s="80" t="n"/>
      <c r="AQ267" s="80" t="n"/>
      <c r="AR267" s="80" t="n"/>
      <c r="AS267" s="80" t="n"/>
      <c r="AT267" s="81" t="n"/>
      <c r="AU267" s="81" t="n"/>
      <c r="AV267" s="81" t="n"/>
      <c r="AW267" s="82" t="n"/>
      <c r="AX267" s="82" t="n"/>
      <c r="AY267" s="82" t="n"/>
      <c r="AZ267" s="82" t="n"/>
      <c r="BA267" s="82" t="n"/>
      <c r="BB267" s="83" t="n"/>
      <c r="BC267" s="83" t="n"/>
      <c r="BD267" s="84">
        <f>IF($A267="","",IF($DJ267&lt;&gt;"","FIX",IF($DK267&lt;&gt;"","CHECK","OK")))</f>
        <v/>
      </c>
      <c r="BE267" s="85">
        <f>IF($A267="","",IF($DJ267&lt;&gt;"","FIX: "&amp;LEFT($DJ267,LEN($DJ267)-2)&amp;IF($DK267&lt;&gt;"","  ·  ",""),"")&amp;IF($DK267&lt;&gt;"","CHECK: "&amp;LEFT($DK267,LEN($DK267)-2),""))</f>
        <v/>
      </c>
      <c r="BF267" s="84">
        <f>IF(OR($A267="",$K267=""),"",$K267&amp;"'-"&amp;N($L267)&amp;CHAR(34)&amp;" x "&amp;$M267&amp;"'-"&amp;N($N267)&amp;CHAR(34))</f>
        <v/>
      </c>
      <c r="BG267" s="84">
        <f>IF(OR($A267="",$K267=""),"",$K267&amp;N($L267)&amp;$M267&amp;N($N267))</f>
        <v/>
      </c>
      <c r="BH267" s="84">
        <f>IF(OR($A267="",$K267=""),"",$K267*12+N($L267))</f>
        <v/>
      </c>
      <c r="BI267" s="84">
        <f>IF(OR($A267="",$M267=""),"",$M267*12+N($N267))</f>
        <v/>
      </c>
      <c r="BJ267" s="84">
        <f>IF($A267="","",IF(OR($C267="FRAME ONLY",$S267="BL"),0,IF($O267="Y",2,1)))</f>
        <v/>
      </c>
      <c r="BK267" s="86">
        <f>IF(OR(N($BJ267)=0,$BH267=""),"",($BH267-2*EdgeClr-IF($BJ267=2,MeetClr,0))/$BJ267)</f>
        <v/>
      </c>
      <c r="BL267" s="86">
        <f>IF(OR(N($BJ267)=0,$BI267=""),"",$BI267-HeadClr-Undercut)</f>
        <v/>
      </c>
      <c r="BM267" s="86">
        <f>IF($BH267="","",$BH267+2*FaceW+IF(N($Q267)&gt;0,($Q267+FaceW)*IF($R267="LR",2,1),0))</f>
        <v/>
      </c>
      <c r="BN267" s="86">
        <f>IF($BI267="","",$BI267+IF($AB267="Y",4,FaceW)+IF(N($P267)&gt;0,$P267+FaceW,0)+IF(OR($S267="4F",$S267="BL"),FaceW,0))</f>
        <v/>
      </c>
      <c r="BO267" s="86">
        <f>IF($BM267="","",$BM267+2*ROSide)</f>
        <v/>
      </c>
      <c r="BP267" s="86">
        <f>IF($BN267="","",$BN267+ROTop)</f>
        <v/>
      </c>
      <c r="BQ267" s="87">
        <f>IF(OR(N($BJ267)=0,$BH267=""),"",$BH267/$BJ267-ClearDeduct)</f>
        <v/>
      </c>
      <c r="BR267" s="84">
        <f>IF(N($CH267)=0,"",IF($CH267&gt;=180,"A · 3 HR",IF($CH267&gt;=90,"B · 1-1/2 HR",IF($CH267&gt;=60,"B · 1 HR",IF($CH267&gt;=45,"C · 3/4 HR","20 MIN")))))&amp;IF(AND(N($CH267)&gt;0,OR($I267="CORRIDOR",$I267="SMOKE BARRIER"))," · S","")</f>
        <v/>
      </c>
      <c r="BS267" s="84">
        <f>IF($CS267,"",IF($AV267&lt;&gt;"",$AV267,IF(OR($AC267="HGC",$AO267="HGC"),"CONT",IF(($BI267-HeadClr-Undercut)&lt;=60,2,IF(($BI267-HeadClr-Undercut)&lt;=90,3,IF(($BI267-HeadClr-Undercut)&lt;=120,4,5))))))</f>
        <v/>
      </c>
      <c r="BT267" s="84">
        <f>IF($CS267,"",IF($CT267,"CUSTOM (typed)",IF($CV267,$AT267&amp;" "&amp;$CU267&amp;CHAR(34)&amp;IF($CU267&lt;&gt;$BI267,IF(AND($BI267&lt;$CU267,$BI267-IF(N(VLOOKUP($AT267&amp;"|"&amp;$CU267,LocTable,7,FALSE))&gt;0,VLOOKUP($AT267&amp;"|"&amp;$CU267,LocTable,7,FALSE),VLOOKUP($AT267&amp;"|"&amp;$CU267,LocTable,6,FALSE))-$CR267-0.75&gt;=2.125)," cut down"," adj."),""),"ANSI/SDI A250.6")))</f>
        <v/>
      </c>
      <c r="BU267" s="88">
        <f>IF($CS267,"",IF($CT267,IF(N($AW267)&gt;0,N($AW267),""),IF(1&gt;$CQ267,"",IF($CQ267=1,$CW267,$CW267+($CX267-$CW267)*0/($CQ267-1)))))</f>
        <v/>
      </c>
      <c r="BV267" s="88">
        <f>IF($CS267,"",IF($CT267,IF(N($AX267)&gt;0,N($AX267),""),IF(2&gt;$CQ267,"",IF($CQ267=1,$CW267,$CW267+($CX267-$CW267)*1/($CQ267-1)))))</f>
        <v/>
      </c>
      <c r="BW267" s="88">
        <f>IF($CS267,"",IF($CT267,IF(N($AY267)&gt;0,N($AY267),""),IF(3&gt;$CQ267,"",IF($CQ267=1,$CW267,$CW267+($CX267-$CW267)*2/($CQ267-1)))))</f>
        <v/>
      </c>
      <c r="BX267" s="88">
        <f>IF($CS267,"",IF($CT267,IF(N($AZ267)&gt;0,N($AZ267),""),IF(4&gt;$CQ267,"",IF($CQ267=1,$CW267,$CW267+($CX267-$CW267)*3/($CQ267-1)))))</f>
        <v/>
      </c>
      <c r="BY267" s="88">
        <f>IF($CS267,"",IF($CT267,"",IF(5&gt;$CQ267,"",IF($CQ267=1,$CW267,$CW267+($CX267-$CW267)*4/($CQ267-1)))))</f>
        <v/>
      </c>
      <c r="BZ267" s="88">
        <f>IF(OR($CS267,$AP267="-",AND($AP267="",$AD267="")),"",IF(N($BA267)&gt;0,N($BA267),IF($CV267,IF(AND($BI267&lt;$CU267,$BI267-IF(N(VLOOKUP($AT267&amp;"|"&amp;$CU267,LocTable,7,FALSE))&gt;0,VLOOKUP($AT267&amp;"|"&amp;$CU267,LocTable,7,FALSE),VLOOKUP($AT267&amp;"|"&amp;$CU267,LocTable,6,FALSE))-$CR267-0.75&gt;=2.125),VLOOKUP($AT267&amp;"|"&amp;$CU267,LocTable,8,FALSE),VLOOKUP($AT267&amp;"|"&amp;$CU267,LocTable,8,FALSE)+($BI267-$CU267)),$BI267-LockAFF)))</f>
        <v/>
      </c>
      <c r="CA267" s="89">
        <f>IF($BZ267="","",$BI267-$BZ267)</f>
        <v/>
      </c>
      <c r="CB267" s="84">
        <f>IF(OR(NOT(AND($A267&lt;&gt;"",$C267&lt;&gt;"DOOR ONLY")),$BI267=""),"",IF(($BI267+IF(N($P267)&gt;0,$P267+FaceW,0))&lt;=90,3,IF(($BI267+IF(N($P267)&gt;0,$P267+FaceW,0))&lt;=114,4,5)))</f>
        <v/>
      </c>
      <c r="CC267" s="84">
        <f>IF($CB267="","",$CB267*(2+IF(N($Q267)&gt;0,IF($R267="LR",2,1),0)))</f>
        <v/>
      </c>
      <c r="CD267" s="84">
        <f>IF($CB267="","",(2+IF(N($Q267)&gt;0,IF($R267="LR",2,1),0)))</f>
        <v/>
      </c>
      <c r="CE267" s="84">
        <f>IF(N($BJ267)=0,"",IF(OR($AL267="",$AL267="FLUSH"),"FLUSH",IFERROR(LEFT($AL267,FIND("-",$AL267)-1),LEFT($AL267,2))))</f>
        <v/>
      </c>
      <c r="CF267" s="84">
        <f>IF($CE267="","",IFERROR(VALUE(MID($AL267,FIND("-",$AL267)+1,FIND(CHAR(34)&amp;"x",$AL267)-FIND("-",$AL267)-1)),0))</f>
        <v/>
      </c>
      <c r="CG267" s="84">
        <f>IF($CE267="","",IFERROR(VALUE(MID($AL267,FIND(CHAR(34)&amp;"x",$AL267)+2,FIND(CHAR(34),$AL267,FIND(CHAR(34)&amp;"x",$AL267)+2)-FIND(CHAR(34)&amp;"x",$AL267)-2)),0))</f>
        <v/>
      </c>
      <c r="CH267" s="90">
        <f>IF(OR($A267="",$H267="",$H267="NO LAB"),0,IFERROR(VALUE(LEFT($H267,FIND(" ",$H267)-1)),0))</f>
        <v/>
      </c>
      <c r="CI267" s="91">
        <f>IF(OR($A267="",$I267="",$I267="NON-RATED",N($J267)=0),"",IFERROR(VLOOKUP($I267&amp;"|"&amp;$J267,IBC,2,FALSE),"?"))</f>
        <v/>
      </c>
      <c r="CJ267" s="85">
        <f>IF(NOT(AND($A267&lt;&gt;"",$C267&lt;&gt;"DOOR ONLY")),"",TRIM(IFERROR(VLOOKUP($U267,CODES,2,FALSE),"")&amp;" "&amp;$BG267&amp;" "&amp;IFERROR(VLOOKUP($Z267,CODES,2,FALSE),"")&amp;" "&amp;IFERROR(VLOOKUP($X267,CODES,2,FALSE),"")&amp;" "&amp;IFERROR(VLOOKUP($S267,CODES,2,FALSE),"")&amp;IF(N($P267)&gt;0," w/TRANSOM "&amp;$P267&amp;CHAR(34),"")&amp;IF(N($Q267)&gt;0," w/SIDELITE "&amp;$Q267&amp;CHAR(34)&amp;" "&amp;IF($R267="","R",$R267),"")&amp;IF($Y267="","  |  "," | "&amp;IFERROR(VLOOKUP($Y267,CODES,2,FALSE),"")&amp;" | ")&amp;IFERROR(VLOOKUP($AC267,CODES,2,FALSE),"")&amp;" "&amp;IFERROR(VLOOKUP($AD267,CODES,2,FALSE),"")&amp;IF(OR($AE267="",$AE267="-"),""," "&amp;$AE267)&amp;IF(OR($AF267="",$AF267="-"),""," "&amp;$AF267)&amp;IF($AB267="Y"," 4"&amp;CHAR(34)&amp;" HEAD","")&amp;" "&amp;IFERROR(VLOOKUP($H267,CODES,2,FALSE),"")&amp;IF($CT267," | LOC "&amp;$CY267,"")))</f>
        <v/>
      </c>
      <c r="CK267" s="85">
        <f>IF(NOT(AND($A267&lt;&gt;"",N($BJ267)&gt;0)),"",TRIM(IFERROR(VLOOKUP($AH267,CODES,2,FALSE),"")&amp;IF($AI267=""," "," "&amp;$AI267&amp;"GA ")&amp;$BG267&amp;" "&amp;IF($AN267="",IFERROR(VLOOKUP($Z267,CODES,2,FALSE),""),IFERROR(VLOOKUP($AN267,CODES,2,FALSE),""))&amp;IF($BJ267=2," PAIR","")&amp;" DOOR | "&amp;IF($AL267="","?",$AL267)&amp;" | "&amp;IF($AO267="",IFERROR(VLOOKUP($AC267,CODES,2,FALSE),""),IFERROR(VLOOKUP($AO267,CODES,2,FALSE),""))&amp;" "&amp;IFERROR(VLOOKUP($AP267,CODES,2,FALSE),"")&amp;IF(OR($AQ267="",$AQ267="-"),""," SEAM "&amp;$AQ267)&amp;IF($AR267="Y"," ASTRAGAL","")&amp;IF($AJ267=""," "," "&amp;$AJ267)&amp;IF($AK267=""," "," "&amp;$AK267)&amp;IF(OR($AT267="",$AT267="ANSI/SDI",$AT267="CUSTOM LOC"),""," "&amp;$AT267)&amp;IF($AM267=""," "," SERIES "&amp;$AM267)&amp;" "&amp;IFERROR(VLOOKUP($H267,CODES,2,FALSE),"")&amp;IF($CT267," | LOC "&amp;$CZ267,"")))</f>
        <v/>
      </c>
      <c r="CL267" s="84">
        <f>IF(CP267="","",IF(COUNTIF($CP$6:CP267,CP267)=1,MAX($CL$5:CL266)+1,INDEX($CL$5:CL266,MATCH(CP267,$CP$5:CP266,0))))</f>
        <v/>
      </c>
      <c r="CM267" s="84">
        <f>IF(NOT(AND($A267&lt;&gt;"",$C267&lt;&gt;"DOOR ONLY")),"",MAX($CM$5:CM266)+1)</f>
        <v/>
      </c>
      <c r="CN267" s="84">
        <f>IF(NOT(AND($A267&lt;&gt;"",N($BJ267)&gt;0)),"",MAX($CN$5:CN266)+1)</f>
        <v/>
      </c>
      <c r="CO267" s="84">
        <f>IF($A267="","",MAX($CO$5:CO266)+1)</f>
        <v/>
      </c>
      <c r="CP267" s="84">
        <f>IF(OR($A267="",$BH267="",$BI267=""),"",$BG267&amp;"|"&amp;$O267&amp;"|"&amp;$AL267&amp;"|"&amp;$S267&amp;"|"&amp;$P267&amp;"|"&amp;$Q267&amp;$R267&amp;"|"&amp;$C267&amp;"|"&amp;$AB267)</f>
        <v/>
      </c>
      <c r="CQ267" s="84">
        <f>N($BS267)</f>
        <v/>
      </c>
      <c r="CR267" s="84">
        <f>IF(N($AU267)&gt;0,N($AU267),4.5)</f>
        <v/>
      </c>
      <c r="CS267" s="84">
        <f>OR($A267="",$BI267="",$S267="BL",AND($C267="FRAME ONLY",OR($AC267="",$AC267="BLK")))</f>
        <v/>
      </c>
      <c r="CT267" s="84">
        <f>AND(NOT($CS267),OR($AT267="CUSTOM LOC",N($AW267)+N($AX267)+N($AY267)+N($AZ267)+N($BA267)&gt;0))</f>
        <v/>
      </c>
      <c r="CU267" s="84">
        <f>IF($BI267="","",IF($BI267&lt;=80,80,IF($BI267&lt;=84,84,96)))</f>
        <v/>
      </c>
      <c r="CV267" s="84">
        <f>ISNUMBER(MATCH($AT267&amp;"|80",LocKeys,0))</f>
        <v/>
      </c>
      <c r="CW267" s="86">
        <f>IF($CS267,"",IF($CV267,VLOOKUP($AT267&amp;"|"&amp;$CU267,LocTable,4,FALSE),5))</f>
        <v/>
      </c>
      <c r="CX267" s="86">
        <f>IF($CS267,"",IF($CV267,IF(OR($BI267=$CU267,AND($BI267&lt;$CU267,$BI267-IF(N(VLOOKUP($AT267&amp;"|"&amp;$CU267,LocTable,7,FALSE))&gt;0,VLOOKUP($AT267&amp;"|"&amp;$CU267,LocTable,7,FALSE),VLOOKUP($AT267&amp;"|"&amp;$CU267,LocTable,6,FALSE))-$CR267-0.75&gt;=2.125)),IF(N(VLOOKUP($AT267&amp;"|"&amp;$CU267,LocTable,7,FALSE))&gt;0,VLOOKUP($AT267&amp;"|"&amp;$CU267,LocTable,7,FALSE),VLOOKUP($AT267&amp;"|"&amp;$CU267,LocTable,6,FALSE)),$BI267-($CU267-IF(N(VLOOKUP($AT267&amp;"|"&amp;$CU267,LocTable,7,FALSE))&gt;0,VLOOKUP($AT267&amp;"|"&amp;$CU267,LocTable,7,FALSE),VLOOKUP($AT267&amp;"|"&amp;$CU267,LocTable,6,FALSE)))),$BI267-10-$CR267))</f>
        <v/>
      </c>
      <c r="CY267" s="85">
        <f>IF($CS267,"",TRIM(IF(ISNUMBER($BU267),"A "&amp;TRIM(TEXT($BU267,"# ?/??"))&amp;CHAR(34)&amp;"  ","")&amp;IF(ISNUMBER($BV267),"B "&amp;TRIM(TEXT($BV267,"# ?/??"))&amp;CHAR(34)&amp;"  ","")&amp;IF(ISNUMBER($BW267),"C "&amp;TRIM(TEXT($BW267,"# ?/??"))&amp;CHAR(34)&amp;"  ","")&amp;IF(ISNUMBER($BX267),"D "&amp;TRIM(TEXT($BX267,"# ?/??"))&amp;CHAR(34)&amp;"  ","")&amp;IF(ISNUMBER($BY267),"F "&amp;TRIM(TEXT($BY267,"# ?/??"))&amp;CHAR(34)&amp;"  ","")&amp;IF(ISNUMBER($BZ267),"E "&amp;TRIM(TEXT($BZ267,"# ?/??"))&amp;CHAR(34)&amp;"  ","")))</f>
        <v/>
      </c>
      <c r="CZ267" s="85">
        <f>IF(OR($CS267,N($BJ267)=0),"",TRIM(IF(ISNUMBER($BU267),"A "&amp;TRIM(TEXT($BU267-HeadClr,"# ?/??"))&amp;CHAR(34)&amp;"  ","")&amp;IF(ISNUMBER($BV267),"B "&amp;TRIM(TEXT($BV267-HeadClr,"# ?/??"))&amp;CHAR(34)&amp;"  ","")&amp;IF(ISNUMBER($BW267),"C "&amp;TRIM(TEXT($BW267-HeadClr,"# ?/??"))&amp;CHAR(34)&amp;"  ","")&amp;IF(ISNUMBER($BX267),"D "&amp;TRIM(TEXT($BX267-HeadClr,"# ?/??"))&amp;CHAR(34)&amp;"  ","")&amp;IF(ISNUMBER($BY267),"F "&amp;TRIM(TEXT($BY267-HeadClr,"# ?/??"))&amp;CHAR(34)&amp;"  ","")&amp;IF(ISNUMBER($BZ267),"E "&amp;TRIM(TEXT($BZ267-HeadClr,"# ?/??"))&amp;CHAR(34)&amp;"  ","")))</f>
        <v/>
      </c>
      <c r="DA267" s="84">
        <f>IF($A267="","",IF($AN267="",IFERROR(VLOOKUP($Z267,CODES,2,FALSE),""),IFERROR(VLOOKUP($AN267,CODES,2,FALSE),"")))</f>
        <v/>
      </c>
      <c r="DB267" s="84">
        <f>IF($A267="","",IF($O267="Y","PR",IF(OR($Z267="L",$Z267="RR",LEFT($Z267,2)="L-",LEFT($Z267,3)="RR-"),"LH","RH")))</f>
        <v/>
      </c>
      <c r="DC267" s="84">
        <f>IF($A267="","","S.HM"&amp;IF(OR($C267="DOOR ONLY",$X267&lt;&gt;"KD"),"MASONRY","DRYWALL")&amp;IF($C267="DOOR ONLY","",$U267)&amp;IF(AND($C267&lt;&gt;"FRAME ONLY",OR(LEFT($AH267,3)="OAK",LEFT($AH267,3)="BIR",LEFT($AH267,3)="MAP",$AH267="PC",$AH267="MC",$AH267="SCLC",$AH267="P-LAM")),"WD","HM")&amp;"1.75")</f>
        <v/>
      </c>
      <c r="DD267" s="84">
        <f>IF($CJ267="","",IF($O267="Y",$CJ267,SUBSTITUTE($CJ267,$BG267&amp;" "&amp;IFERROR(VLOOKUP($Z267,CODES,2,FALSE),"")&amp;" ",$BG267&amp;" ")))</f>
        <v/>
      </c>
      <c r="DE267" s="84">
        <f>IF($CK267="","",IF($O267="Y",$CK267,SUBSTITUTE($CK267,$BG267&amp;" "&amp;IF($AN267="",IFERROR(VLOOKUP($Z267,CODES,2,FALSE),""),IFERROR(VLOOKUP($AN267,CODES,2,FALSE),""))&amp;" ",$BG267&amp;" ")))</f>
        <v/>
      </c>
      <c r="DF267" s="84">
        <f>IF($CJ267="","",$DC267&amp;"|"&amp;$DD267&amp;"|"&amp;$DB267&amp;"|"&amp;$AT267&amp;"|"&amp;$V267&amp;"|"&amp;$Y267&amp;"|"&amp;$AB267)</f>
        <v/>
      </c>
      <c r="DG267" s="84">
        <f>IF(DF267="","",IF(COUNTIF($DF$6:DF267,DF267)=1,MAX($DG$5:DG266)+1,INDEX($DG$5:DG266,MATCH(DF267,$DF$5:DF266,0))))</f>
        <v/>
      </c>
      <c r="DH267" s="84">
        <f>IF($CK267="","",$DC267&amp;"|"&amp;$DE267&amp;"|"&amp;$AI267&amp;"|"&amp;$BK267&amp;"|"&amp;$BL267)</f>
        <v/>
      </c>
      <c r="DI267" s="84">
        <f>IF(DH267="","",IF(COUNTIF($DH$6:DH267,DH267)=1,MAX($DI$5:DI266)+1,INDEX($DI$5:DI266,MATCH(DH267,$DH$5:DH266,0))))</f>
        <v/>
      </c>
      <c r="DJ267" s="84">
        <f>IF($A267="","",IF($B267="","qty, ","")&amp;IF($C267="","scope, ","")&amp;IF(OR($K267="",$M267=""),"size, ","")&amp;IF(AND($A267&lt;&gt;"",$C267&lt;&gt;"DOOR ONLY"),IF($U267="","jamb depth, ","")&amp;IF($X267="","construction, ","")&amp;IF($Y267="","anchor, ","")&amp;IF($S267="","frame type, ",""),"")&amp;IF(AND(N($BJ267)&gt;0,$Z267=""),"hand, ","")&amp;IF(N($BJ267)&gt;0,IF($AH267="","door material, ","")&amp;IF($AL267="","face type, ","")&amp;IF($AP267="","lock prep, ","")&amp;IF(AND($AO267="",$AC267=""),"hinge prep, ",""),"")&amp;IF(AND($CH267&gt;0,$AH267="FRP"),"FRP cannot carry a label, ","")&amp;IF(AND($O267="Y",OR($Z267="L",$Z267="R",$Z267="LR",$Z267="RR")),"pair marked but hand is single, ","")&amp;IF(AND($O267&lt;&gt;"Y",OR($Z267="PR",AND(LEN($Z267)&gt;1,ISNUMBER(SEARCH("-",$Z267))))),"pair hand on a single door, ","")&amp;IF(AND(ISNUMBER($CI267),$CH267&lt;N($CI267)),"wall needs a "&amp;$CI267&amp;" min door, ","")&amp;IF(AND($CH267&gt;=180,AND(OR($CE267="FG",$CE267="HG",$CE267="FNV",$CE267="FV"),N($CF267)*N($CG267)&gt;100)),"180 min lite over 100 sq in, ","")&amp;IF(N($BK267)&gt;48,"leaf wider than 4'-0"&amp;CHAR(34)&amp;", ","")&amp;IF(AND($CT267,COUNT($AW267:$AZ267)=0,$CQ267&gt;0),"CUSTOM LOC with no locations typed, ",""))</f>
        <v/>
      </c>
      <c r="DK267" s="84">
        <f>IF($A267="","",IF(AND($CH267&gt;0,AND($A267&lt;&gt;"",$C267&lt;&gt;"DOOR ONLY"),$X267="KD",$E267="EXTERIOR"),"KD label on an exterior opening, ","")&amp;IF(AND($E267="EXTERIOR",OR(AND(AND($A267&lt;&gt;"",$C267&lt;&gt;"DOOR ONLY"),$W267="CR"),AND(N($BJ267)&gt;0,$AH267="CR"))),"exterior in CR steel (G9?), ","")&amp;IF(AND(ISNUMBER($BQ267),N($BQ267)&lt;32),"clear width ~"&amp;TEXT($BQ267,"0.0")&amp;CHAR(34)&amp;" under 32"&amp;CHAR(34)&amp;" (ADA), ","")&amp;IF(AND($CH267=90,AND(OR($CE267="FG",$CE267="HG",$CE267="FNV",$CE267="FV"),N($CF267)*N($CG267)&gt;100)),"90 min lite over 100 sq in (stair/exit), ","")&amp;IF(AND($CH267&gt;0,AND($A267&lt;&gt;"",$C267&lt;&gt;"DOOR ONLY"),OR($AF267="",$AF267="-")),"rated: closer reinf.?, ","")&amp;IF(OR($I267="CORRIDOR",$I267="SMOKE BARRIER"),"S label + smoke gasketing, ","")&amp;IF($CI267="?","wall type/hr not in IBC table, ","")&amp;IF(AND(N($BJ267)&gt;0,$BB267=""),"no hardware set, ","")&amp;IF(AND($BB267&lt;&gt;"",ISNA(MATCH($BB267&amp;"",HWSets,0))),"set "&amp;$BB267&amp;" not on HW Sets, ","")&amp;IF(N($BL267)&gt;96,"leaf over 8'-0"&amp;CHAR(34)&amp;" - check listing, ","")&amp;IF(AND($CT267,COUNT($AW267:$AZ267)&gt;0,COUNT($AW267:$AZ267)&lt;&gt;$CQ267),COUNT($AW267:$AZ267)&amp;" custom hinges typed, "&amp;$CQ267&amp;" expected, ","")&amp;IF(AND(ISNUMBER($CA267),OR(N($CA267)&lt;34,N($CA267)&gt;48)),"lock "&amp;TEXT($CA267,"0.0")&amp;CHAR(34)&amp;" AFF outside 34-48"&amp;CHAR(34)&amp;" (ADA), ","")&amp;IF(AND(ISNUMBER($AV267),ISNUMBER($BL267),N($AV267)&lt;IF(N($BL267)&lt;=60,2,IF(N($BL267)&lt;=90,3,IF(N($BL267)&lt;=120,4,5)))),"fewer hinges than standard, ",""))</f>
        <v/>
      </c>
    </row>
    <row r="268" ht="15" customHeight="1">
      <c r="A268" s="77" t="n"/>
      <c r="B268" s="78" t="n"/>
      <c r="C268" s="78" t="n"/>
      <c r="D268" s="78" t="n"/>
      <c r="E268" s="78" t="n"/>
      <c r="F268" s="78" t="n"/>
      <c r="G268" s="78" t="n"/>
      <c r="H268" s="78" t="n"/>
      <c r="I268" s="78" t="n"/>
      <c r="J268" s="78" t="n"/>
      <c r="K268" s="78" t="n"/>
      <c r="L268" s="78" t="n"/>
      <c r="M268" s="78" t="n"/>
      <c r="N268" s="78" t="n"/>
      <c r="O268" s="78" t="n"/>
      <c r="P268" s="78" t="n"/>
      <c r="Q268" s="78" t="n"/>
      <c r="R268" s="78" t="n"/>
      <c r="S268" s="79" t="n"/>
      <c r="T268" s="79" t="n"/>
      <c r="U268" s="79" t="n"/>
      <c r="V268" s="79" t="n"/>
      <c r="W268" s="79" t="n"/>
      <c r="X268" s="79" t="n"/>
      <c r="Y268" s="79" t="n"/>
      <c r="Z268" s="79" t="n"/>
      <c r="AA268" s="79" t="n"/>
      <c r="AB268" s="79" t="n"/>
      <c r="AC268" s="79" t="n"/>
      <c r="AD268" s="79" t="n"/>
      <c r="AE268" s="79" t="n"/>
      <c r="AF268" s="79" t="n"/>
      <c r="AG268" s="79" t="n"/>
      <c r="AH268" s="80" t="n"/>
      <c r="AI268" s="80" t="n"/>
      <c r="AJ268" s="80" t="n"/>
      <c r="AK268" s="80" t="n"/>
      <c r="AL268" s="80" t="n"/>
      <c r="AM268" s="80" t="n"/>
      <c r="AN268" s="80" t="n"/>
      <c r="AO268" s="80" t="n"/>
      <c r="AP268" s="80" t="n"/>
      <c r="AQ268" s="80" t="n"/>
      <c r="AR268" s="80" t="n"/>
      <c r="AS268" s="80" t="n"/>
      <c r="AT268" s="81" t="n"/>
      <c r="AU268" s="81" t="n"/>
      <c r="AV268" s="81" t="n"/>
      <c r="AW268" s="82" t="n"/>
      <c r="AX268" s="82" t="n"/>
      <c r="AY268" s="82" t="n"/>
      <c r="AZ268" s="82" t="n"/>
      <c r="BA268" s="82" t="n"/>
      <c r="BB268" s="83" t="n"/>
      <c r="BC268" s="83" t="n"/>
      <c r="BD268" s="84">
        <f>IF($A268="","",IF($DJ268&lt;&gt;"","FIX",IF($DK268&lt;&gt;"","CHECK","OK")))</f>
        <v/>
      </c>
      <c r="BE268" s="85">
        <f>IF($A268="","",IF($DJ268&lt;&gt;"","FIX: "&amp;LEFT($DJ268,LEN($DJ268)-2)&amp;IF($DK268&lt;&gt;"","  ·  ",""),"")&amp;IF($DK268&lt;&gt;"","CHECK: "&amp;LEFT($DK268,LEN($DK268)-2),""))</f>
        <v/>
      </c>
      <c r="BF268" s="84">
        <f>IF(OR($A268="",$K268=""),"",$K268&amp;"'-"&amp;N($L268)&amp;CHAR(34)&amp;" x "&amp;$M268&amp;"'-"&amp;N($N268)&amp;CHAR(34))</f>
        <v/>
      </c>
      <c r="BG268" s="84">
        <f>IF(OR($A268="",$K268=""),"",$K268&amp;N($L268)&amp;$M268&amp;N($N268))</f>
        <v/>
      </c>
      <c r="BH268" s="84">
        <f>IF(OR($A268="",$K268=""),"",$K268*12+N($L268))</f>
        <v/>
      </c>
      <c r="BI268" s="84">
        <f>IF(OR($A268="",$M268=""),"",$M268*12+N($N268))</f>
        <v/>
      </c>
      <c r="BJ268" s="84">
        <f>IF($A268="","",IF(OR($C268="FRAME ONLY",$S268="BL"),0,IF($O268="Y",2,1)))</f>
        <v/>
      </c>
      <c r="BK268" s="86">
        <f>IF(OR(N($BJ268)=0,$BH268=""),"",($BH268-2*EdgeClr-IF($BJ268=2,MeetClr,0))/$BJ268)</f>
        <v/>
      </c>
      <c r="BL268" s="86">
        <f>IF(OR(N($BJ268)=0,$BI268=""),"",$BI268-HeadClr-Undercut)</f>
        <v/>
      </c>
      <c r="BM268" s="86">
        <f>IF($BH268="","",$BH268+2*FaceW+IF(N($Q268)&gt;0,($Q268+FaceW)*IF($R268="LR",2,1),0))</f>
        <v/>
      </c>
      <c r="BN268" s="86">
        <f>IF($BI268="","",$BI268+IF($AB268="Y",4,FaceW)+IF(N($P268)&gt;0,$P268+FaceW,0)+IF(OR($S268="4F",$S268="BL"),FaceW,0))</f>
        <v/>
      </c>
      <c r="BO268" s="86">
        <f>IF($BM268="","",$BM268+2*ROSide)</f>
        <v/>
      </c>
      <c r="BP268" s="86">
        <f>IF($BN268="","",$BN268+ROTop)</f>
        <v/>
      </c>
      <c r="BQ268" s="87">
        <f>IF(OR(N($BJ268)=0,$BH268=""),"",$BH268/$BJ268-ClearDeduct)</f>
        <v/>
      </c>
      <c r="BR268" s="84">
        <f>IF(N($CH268)=0,"",IF($CH268&gt;=180,"A · 3 HR",IF($CH268&gt;=90,"B · 1-1/2 HR",IF($CH268&gt;=60,"B · 1 HR",IF($CH268&gt;=45,"C · 3/4 HR","20 MIN")))))&amp;IF(AND(N($CH268)&gt;0,OR($I268="CORRIDOR",$I268="SMOKE BARRIER"))," · S","")</f>
        <v/>
      </c>
      <c r="BS268" s="84">
        <f>IF($CS268,"",IF($AV268&lt;&gt;"",$AV268,IF(OR($AC268="HGC",$AO268="HGC"),"CONT",IF(($BI268-HeadClr-Undercut)&lt;=60,2,IF(($BI268-HeadClr-Undercut)&lt;=90,3,IF(($BI268-HeadClr-Undercut)&lt;=120,4,5))))))</f>
        <v/>
      </c>
      <c r="BT268" s="84">
        <f>IF($CS268,"",IF($CT268,"CUSTOM (typed)",IF($CV268,$AT268&amp;" "&amp;$CU268&amp;CHAR(34)&amp;IF($CU268&lt;&gt;$BI268,IF(AND($BI268&lt;$CU268,$BI268-IF(N(VLOOKUP($AT268&amp;"|"&amp;$CU268,LocTable,7,FALSE))&gt;0,VLOOKUP($AT268&amp;"|"&amp;$CU268,LocTable,7,FALSE),VLOOKUP($AT268&amp;"|"&amp;$CU268,LocTable,6,FALSE))-$CR268-0.75&gt;=2.125)," cut down"," adj."),""),"ANSI/SDI A250.6")))</f>
        <v/>
      </c>
      <c r="BU268" s="88">
        <f>IF($CS268,"",IF($CT268,IF(N($AW268)&gt;0,N($AW268),""),IF(1&gt;$CQ268,"",IF($CQ268=1,$CW268,$CW268+($CX268-$CW268)*0/($CQ268-1)))))</f>
        <v/>
      </c>
      <c r="BV268" s="88">
        <f>IF($CS268,"",IF($CT268,IF(N($AX268)&gt;0,N($AX268),""),IF(2&gt;$CQ268,"",IF($CQ268=1,$CW268,$CW268+($CX268-$CW268)*1/($CQ268-1)))))</f>
        <v/>
      </c>
      <c r="BW268" s="88">
        <f>IF($CS268,"",IF($CT268,IF(N($AY268)&gt;0,N($AY268),""),IF(3&gt;$CQ268,"",IF($CQ268=1,$CW268,$CW268+($CX268-$CW268)*2/($CQ268-1)))))</f>
        <v/>
      </c>
      <c r="BX268" s="88">
        <f>IF($CS268,"",IF($CT268,IF(N($AZ268)&gt;0,N($AZ268),""),IF(4&gt;$CQ268,"",IF($CQ268=1,$CW268,$CW268+($CX268-$CW268)*3/($CQ268-1)))))</f>
        <v/>
      </c>
      <c r="BY268" s="88">
        <f>IF($CS268,"",IF($CT268,"",IF(5&gt;$CQ268,"",IF($CQ268=1,$CW268,$CW268+($CX268-$CW268)*4/($CQ268-1)))))</f>
        <v/>
      </c>
      <c r="BZ268" s="88">
        <f>IF(OR($CS268,$AP268="-",AND($AP268="",$AD268="")),"",IF(N($BA268)&gt;0,N($BA268),IF($CV268,IF(AND($BI268&lt;$CU268,$BI268-IF(N(VLOOKUP($AT268&amp;"|"&amp;$CU268,LocTable,7,FALSE))&gt;0,VLOOKUP($AT268&amp;"|"&amp;$CU268,LocTable,7,FALSE),VLOOKUP($AT268&amp;"|"&amp;$CU268,LocTable,6,FALSE))-$CR268-0.75&gt;=2.125),VLOOKUP($AT268&amp;"|"&amp;$CU268,LocTable,8,FALSE),VLOOKUP($AT268&amp;"|"&amp;$CU268,LocTable,8,FALSE)+($BI268-$CU268)),$BI268-LockAFF)))</f>
        <v/>
      </c>
      <c r="CA268" s="89">
        <f>IF($BZ268="","",$BI268-$BZ268)</f>
        <v/>
      </c>
      <c r="CB268" s="84">
        <f>IF(OR(NOT(AND($A268&lt;&gt;"",$C268&lt;&gt;"DOOR ONLY")),$BI268=""),"",IF(($BI268+IF(N($P268)&gt;0,$P268+FaceW,0))&lt;=90,3,IF(($BI268+IF(N($P268)&gt;0,$P268+FaceW,0))&lt;=114,4,5)))</f>
        <v/>
      </c>
      <c r="CC268" s="84">
        <f>IF($CB268="","",$CB268*(2+IF(N($Q268)&gt;0,IF($R268="LR",2,1),0)))</f>
        <v/>
      </c>
      <c r="CD268" s="84">
        <f>IF($CB268="","",(2+IF(N($Q268)&gt;0,IF($R268="LR",2,1),0)))</f>
        <v/>
      </c>
      <c r="CE268" s="84">
        <f>IF(N($BJ268)=0,"",IF(OR($AL268="",$AL268="FLUSH"),"FLUSH",IFERROR(LEFT($AL268,FIND("-",$AL268)-1),LEFT($AL268,2))))</f>
        <v/>
      </c>
      <c r="CF268" s="84">
        <f>IF($CE268="","",IFERROR(VALUE(MID($AL268,FIND("-",$AL268)+1,FIND(CHAR(34)&amp;"x",$AL268)-FIND("-",$AL268)-1)),0))</f>
        <v/>
      </c>
      <c r="CG268" s="84">
        <f>IF($CE268="","",IFERROR(VALUE(MID($AL268,FIND(CHAR(34)&amp;"x",$AL268)+2,FIND(CHAR(34),$AL268,FIND(CHAR(34)&amp;"x",$AL268)+2)-FIND(CHAR(34)&amp;"x",$AL268)-2)),0))</f>
        <v/>
      </c>
      <c r="CH268" s="90">
        <f>IF(OR($A268="",$H268="",$H268="NO LAB"),0,IFERROR(VALUE(LEFT($H268,FIND(" ",$H268)-1)),0))</f>
        <v/>
      </c>
      <c r="CI268" s="91">
        <f>IF(OR($A268="",$I268="",$I268="NON-RATED",N($J268)=0),"",IFERROR(VLOOKUP($I268&amp;"|"&amp;$J268,IBC,2,FALSE),"?"))</f>
        <v/>
      </c>
      <c r="CJ268" s="85">
        <f>IF(NOT(AND($A268&lt;&gt;"",$C268&lt;&gt;"DOOR ONLY")),"",TRIM(IFERROR(VLOOKUP($U268,CODES,2,FALSE),"")&amp;" "&amp;$BG268&amp;" "&amp;IFERROR(VLOOKUP($Z268,CODES,2,FALSE),"")&amp;" "&amp;IFERROR(VLOOKUP($X268,CODES,2,FALSE),"")&amp;" "&amp;IFERROR(VLOOKUP($S268,CODES,2,FALSE),"")&amp;IF(N($P268)&gt;0," w/TRANSOM "&amp;$P268&amp;CHAR(34),"")&amp;IF(N($Q268)&gt;0," w/SIDELITE "&amp;$Q268&amp;CHAR(34)&amp;" "&amp;IF($R268="","R",$R268),"")&amp;IF($Y268="","  |  "," | "&amp;IFERROR(VLOOKUP($Y268,CODES,2,FALSE),"")&amp;" | ")&amp;IFERROR(VLOOKUP($AC268,CODES,2,FALSE),"")&amp;" "&amp;IFERROR(VLOOKUP($AD268,CODES,2,FALSE),"")&amp;IF(OR($AE268="",$AE268="-"),""," "&amp;$AE268)&amp;IF(OR($AF268="",$AF268="-"),""," "&amp;$AF268)&amp;IF($AB268="Y"," 4"&amp;CHAR(34)&amp;" HEAD","")&amp;" "&amp;IFERROR(VLOOKUP($H268,CODES,2,FALSE),"")&amp;IF($CT268," | LOC "&amp;$CY268,"")))</f>
        <v/>
      </c>
      <c r="CK268" s="85">
        <f>IF(NOT(AND($A268&lt;&gt;"",N($BJ268)&gt;0)),"",TRIM(IFERROR(VLOOKUP($AH268,CODES,2,FALSE),"")&amp;IF($AI268=""," "," "&amp;$AI268&amp;"GA ")&amp;$BG268&amp;" "&amp;IF($AN268="",IFERROR(VLOOKUP($Z268,CODES,2,FALSE),""),IFERROR(VLOOKUP($AN268,CODES,2,FALSE),""))&amp;IF($BJ268=2," PAIR","")&amp;" DOOR | "&amp;IF($AL268="","?",$AL268)&amp;" | "&amp;IF($AO268="",IFERROR(VLOOKUP($AC268,CODES,2,FALSE),""),IFERROR(VLOOKUP($AO268,CODES,2,FALSE),""))&amp;" "&amp;IFERROR(VLOOKUP($AP268,CODES,2,FALSE),"")&amp;IF(OR($AQ268="",$AQ268="-"),""," SEAM "&amp;$AQ268)&amp;IF($AR268="Y"," ASTRAGAL","")&amp;IF($AJ268=""," "," "&amp;$AJ268)&amp;IF($AK268=""," "," "&amp;$AK268)&amp;IF(OR($AT268="",$AT268="ANSI/SDI",$AT268="CUSTOM LOC"),""," "&amp;$AT268)&amp;IF($AM268=""," "," SERIES "&amp;$AM268)&amp;" "&amp;IFERROR(VLOOKUP($H268,CODES,2,FALSE),"")&amp;IF($CT268," | LOC "&amp;$CZ268,"")))</f>
        <v/>
      </c>
      <c r="CL268" s="84">
        <f>IF(CP268="","",IF(COUNTIF($CP$6:CP268,CP268)=1,MAX($CL$5:CL267)+1,INDEX($CL$5:CL267,MATCH(CP268,$CP$5:CP267,0))))</f>
        <v/>
      </c>
      <c r="CM268" s="84">
        <f>IF(NOT(AND($A268&lt;&gt;"",$C268&lt;&gt;"DOOR ONLY")),"",MAX($CM$5:CM267)+1)</f>
        <v/>
      </c>
      <c r="CN268" s="84">
        <f>IF(NOT(AND($A268&lt;&gt;"",N($BJ268)&gt;0)),"",MAX($CN$5:CN267)+1)</f>
        <v/>
      </c>
      <c r="CO268" s="84">
        <f>IF($A268="","",MAX($CO$5:CO267)+1)</f>
        <v/>
      </c>
      <c r="CP268" s="84">
        <f>IF(OR($A268="",$BH268="",$BI268=""),"",$BG268&amp;"|"&amp;$O268&amp;"|"&amp;$AL268&amp;"|"&amp;$S268&amp;"|"&amp;$P268&amp;"|"&amp;$Q268&amp;$R268&amp;"|"&amp;$C268&amp;"|"&amp;$AB268)</f>
        <v/>
      </c>
      <c r="CQ268" s="84">
        <f>N($BS268)</f>
        <v/>
      </c>
      <c r="CR268" s="84">
        <f>IF(N($AU268)&gt;0,N($AU268),4.5)</f>
        <v/>
      </c>
      <c r="CS268" s="84">
        <f>OR($A268="",$BI268="",$S268="BL",AND($C268="FRAME ONLY",OR($AC268="",$AC268="BLK")))</f>
        <v/>
      </c>
      <c r="CT268" s="84">
        <f>AND(NOT($CS268),OR($AT268="CUSTOM LOC",N($AW268)+N($AX268)+N($AY268)+N($AZ268)+N($BA268)&gt;0))</f>
        <v/>
      </c>
      <c r="CU268" s="84">
        <f>IF($BI268="","",IF($BI268&lt;=80,80,IF($BI268&lt;=84,84,96)))</f>
        <v/>
      </c>
      <c r="CV268" s="84">
        <f>ISNUMBER(MATCH($AT268&amp;"|80",LocKeys,0))</f>
        <v/>
      </c>
      <c r="CW268" s="86">
        <f>IF($CS268,"",IF($CV268,VLOOKUP($AT268&amp;"|"&amp;$CU268,LocTable,4,FALSE),5))</f>
        <v/>
      </c>
      <c r="CX268" s="86">
        <f>IF($CS268,"",IF($CV268,IF(OR($BI268=$CU268,AND($BI268&lt;$CU268,$BI268-IF(N(VLOOKUP($AT268&amp;"|"&amp;$CU268,LocTable,7,FALSE))&gt;0,VLOOKUP($AT268&amp;"|"&amp;$CU268,LocTable,7,FALSE),VLOOKUP($AT268&amp;"|"&amp;$CU268,LocTable,6,FALSE))-$CR268-0.75&gt;=2.125)),IF(N(VLOOKUP($AT268&amp;"|"&amp;$CU268,LocTable,7,FALSE))&gt;0,VLOOKUP($AT268&amp;"|"&amp;$CU268,LocTable,7,FALSE),VLOOKUP($AT268&amp;"|"&amp;$CU268,LocTable,6,FALSE)),$BI268-($CU268-IF(N(VLOOKUP($AT268&amp;"|"&amp;$CU268,LocTable,7,FALSE))&gt;0,VLOOKUP($AT268&amp;"|"&amp;$CU268,LocTable,7,FALSE),VLOOKUP($AT268&amp;"|"&amp;$CU268,LocTable,6,FALSE)))),$BI268-10-$CR268))</f>
        <v/>
      </c>
      <c r="CY268" s="85">
        <f>IF($CS268,"",TRIM(IF(ISNUMBER($BU268),"A "&amp;TRIM(TEXT($BU268,"# ?/??"))&amp;CHAR(34)&amp;"  ","")&amp;IF(ISNUMBER($BV268),"B "&amp;TRIM(TEXT($BV268,"# ?/??"))&amp;CHAR(34)&amp;"  ","")&amp;IF(ISNUMBER($BW268),"C "&amp;TRIM(TEXT($BW268,"# ?/??"))&amp;CHAR(34)&amp;"  ","")&amp;IF(ISNUMBER($BX268),"D "&amp;TRIM(TEXT($BX268,"# ?/??"))&amp;CHAR(34)&amp;"  ","")&amp;IF(ISNUMBER($BY268),"F "&amp;TRIM(TEXT($BY268,"# ?/??"))&amp;CHAR(34)&amp;"  ","")&amp;IF(ISNUMBER($BZ268),"E "&amp;TRIM(TEXT($BZ268,"# ?/??"))&amp;CHAR(34)&amp;"  ","")))</f>
        <v/>
      </c>
      <c r="CZ268" s="85">
        <f>IF(OR($CS268,N($BJ268)=0),"",TRIM(IF(ISNUMBER($BU268),"A "&amp;TRIM(TEXT($BU268-HeadClr,"# ?/??"))&amp;CHAR(34)&amp;"  ","")&amp;IF(ISNUMBER($BV268),"B "&amp;TRIM(TEXT($BV268-HeadClr,"# ?/??"))&amp;CHAR(34)&amp;"  ","")&amp;IF(ISNUMBER($BW268),"C "&amp;TRIM(TEXT($BW268-HeadClr,"# ?/??"))&amp;CHAR(34)&amp;"  ","")&amp;IF(ISNUMBER($BX268),"D "&amp;TRIM(TEXT($BX268-HeadClr,"# ?/??"))&amp;CHAR(34)&amp;"  ","")&amp;IF(ISNUMBER($BY268),"F "&amp;TRIM(TEXT($BY268-HeadClr,"# ?/??"))&amp;CHAR(34)&amp;"  ","")&amp;IF(ISNUMBER($BZ268),"E "&amp;TRIM(TEXT($BZ268-HeadClr,"# ?/??"))&amp;CHAR(34)&amp;"  ","")))</f>
        <v/>
      </c>
      <c r="DA268" s="84">
        <f>IF($A268="","",IF($AN268="",IFERROR(VLOOKUP($Z268,CODES,2,FALSE),""),IFERROR(VLOOKUP($AN268,CODES,2,FALSE),"")))</f>
        <v/>
      </c>
      <c r="DB268" s="84">
        <f>IF($A268="","",IF($O268="Y","PR",IF(OR($Z268="L",$Z268="RR",LEFT($Z268,2)="L-",LEFT($Z268,3)="RR-"),"LH","RH")))</f>
        <v/>
      </c>
      <c r="DC268" s="84">
        <f>IF($A268="","","S.HM"&amp;IF(OR($C268="DOOR ONLY",$X268&lt;&gt;"KD"),"MASONRY","DRYWALL")&amp;IF($C268="DOOR ONLY","",$U268)&amp;IF(AND($C268&lt;&gt;"FRAME ONLY",OR(LEFT($AH268,3)="OAK",LEFT($AH268,3)="BIR",LEFT($AH268,3)="MAP",$AH268="PC",$AH268="MC",$AH268="SCLC",$AH268="P-LAM")),"WD","HM")&amp;"1.75")</f>
        <v/>
      </c>
      <c r="DD268" s="84">
        <f>IF($CJ268="","",IF($O268="Y",$CJ268,SUBSTITUTE($CJ268,$BG268&amp;" "&amp;IFERROR(VLOOKUP($Z268,CODES,2,FALSE),"")&amp;" ",$BG268&amp;" ")))</f>
        <v/>
      </c>
      <c r="DE268" s="84">
        <f>IF($CK268="","",IF($O268="Y",$CK268,SUBSTITUTE($CK268,$BG268&amp;" "&amp;IF($AN268="",IFERROR(VLOOKUP($Z268,CODES,2,FALSE),""),IFERROR(VLOOKUP($AN268,CODES,2,FALSE),""))&amp;" ",$BG268&amp;" ")))</f>
        <v/>
      </c>
      <c r="DF268" s="84">
        <f>IF($CJ268="","",$DC268&amp;"|"&amp;$DD268&amp;"|"&amp;$DB268&amp;"|"&amp;$AT268&amp;"|"&amp;$V268&amp;"|"&amp;$Y268&amp;"|"&amp;$AB268)</f>
        <v/>
      </c>
      <c r="DG268" s="84">
        <f>IF(DF268="","",IF(COUNTIF($DF$6:DF268,DF268)=1,MAX($DG$5:DG267)+1,INDEX($DG$5:DG267,MATCH(DF268,$DF$5:DF267,0))))</f>
        <v/>
      </c>
      <c r="DH268" s="84">
        <f>IF($CK268="","",$DC268&amp;"|"&amp;$DE268&amp;"|"&amp;$AI268&amp;"|"&amp;$BK268&amp;"|"&amp;$BL268)</f>
        <v/>
      </c>
      <c r="DI268" s="84">
        <f>IF(DH268="","",IF(COUNTIF($DH$6:DH268,DH268)=1,MAX($DI$5:DI267)+1,INDEX($DI$5:DI267,MATCH(DH268,$DH$5:DH267,0))))</f>
        <v/>
      </c>
      <c r="DJ268" s="84">
        <f>IF($A268="","",IF($B268="","qty, ","")&amp;IF($C268="","scope, ","")&amp;IF(OR($K268="",$M268=""),"size, ","")&amp;IF(AND($A268&lt;&gt;"",$C268&lt;&gt;"DOOR ONLY"),IF($U268="","jamb depth, ","")&amp;IF($X268="","construction, ","")&amp;IF($Y268="","anchor, ","")&amp;IF($S268="","frame type, ",""),"")&amp;IF(AND(N($BJ268)&gt;0,$Z268=""),"hand, ","")&amp;IF(N($BJ268)&gt;0,IF($AH268="","door material, ","")&amp;IF($AL268="","face type, ","")&amp;IF($AP268="","lock prep, ","")&amp;IF(AND($AO268="",$AC268=""),"hinge prep, ",""),"")&amp;IF(AND($CH268&gt;0,$AH268="FRP"),"FRP cannot carry a label, ","")&amp;IF(AND($O268="Y",OR($Z268="L",$Z268="R",$Z268="LR",$Z268="RR")),"pair marked but hand is single, ","")&amp;IF(AND($O268&lt;&gt;"Y",OR($Z268="PR",AND(LEN($Z268)&gt;1,ISNUMBER(SEARCH("-",$Z268))))),"pair hand on a single door, ","")&amp;IF(AND(ISNUMBER($CI268),$CH268&lt;N($CI268)),"wall needs a "&amp;$CI268&amp;" min door, ","")&amp;IF(AND($CH268&gt;=180,AND(OR($CE268="FG",$CE268="HG",$CE268="FNV",$CE268="FV"),N($CF268)*N($CG268)&gt;100)),"180 min lite over 100 sq in, ","")&amp;IF(N($BK268)&gt;48,"leaf wider than 4'-0"&amp;CHAR(34)&amp;", ","")&amp;IF(AND($CT268,COUNT($AW268:$AZ268)=0,$CQ268&gt;0),"CUSTOM LOC with no locations typed, ",""))</f>
        <v/>
      </c>
      <c r="DK268" s="84">
        <f>IF($A268="","",IF(AND($CH268&gt;0,AND($A268&lt;&gt;"",$C268&lt;&gt;"DOOR ONLY"),$X268="KD",$E268="EXTERIOR"),"KD label on an exterior opening, ","")&amp;IF(AND($E268="EXTERIOR",OR(AND(AND($A268&lt;&gt;"",$C268&lt;&gt;"DOOR ONLY"),$W268="CR"),AND(N($BJ268)&gt;0,$AH268="CR"))),"exterior in CR steel (G9?), ","")&amp;IF(AND(ISNUMBER($BQ268),N($BQ268)&lt;32),"clear width ~"&amp;TEXT($BQ268,"0.0")&amp;CHAR(34)&amp;" under 32"&amp;CHAR(34)&amp;" (ADA), ","")&amp;IF(AND($CH268=90,AND(OR($CE268="FG",$CE268="HG",$CE268="FNV",$CE268="FV"),N($CF268)*N($CG268)&gt;100)),"90 min lite over 100 sq in (stair/exit), ","")&amp;IF(AND($CH268&gt;0,AND($A268&lt;&gt;"",$C268&lt;&gt;"DOOR ONLY"),OR($AF268="",$AF268="-")),"rated: closer reinf.?, ","")&amp;IF(OR($I268="CORRIDOR",$I268="SMOKE BARRIER"),"S label + smoke gasketing, ","")&amp;IF($CI268="?","wall type/hr not in IBC table, ","")&amp;IF(AND(N($BJ268)&gt;0,$BB268=""),"no hardware set, ","")&amp;IF(AND($BB268&lt;&gt;"",ISNA(MATCH($BB268&amp;"",HWSets,0))),"set "&amp;$BB268&amp;" not on HW Sets, ","")&amp;IF(N($BL268)&gt;96,"leaf over 8'-0"&amp;CHAR(34)&amp;" - check listing, ","")&amp;IF(AND($CT268,COUNT($AW268:$AZ268)&gt;0,COUNT($AW268:$AZ268)&lt;&gt;$CQ268),COUNT($AW268:$AZ268)&amp;" custom hinges typed, "&amp;$CQ268&amp;" expected, ","")&amp;IF(AND(ISNUMBER($CA268),OR(N($CA268)&lt;34,N($CA268)&gt;48)),"lock "&amp;TEXT($CA268,"0.0")&amp;CHAR(34)&amp;" AFF outside 34-48"&amp;CHAR(34)&amp;" (ADA), ","")&amp;IF(AND(ISNUMBER($AV268),ISNUMBER($BL268),N($AV268)&lt;IF(N($BL268)&lt;=60,2,IF(N($BL268)&lt;=90,3,IF(N($BL268)&lt;=120,4,5)))),"fewer hinges than standard, ",""))</f>
        <v/>
      </c>
    </row>
    <row r="269" ht="15" customHeight="1">
      <c r="A269" s="77" t="n"/>
      <c r="B269" s="78" t="n"/>
      <c r="C269" s="78" t="n"/>
      <c r="D269" s="78" t="n"/>
      <c r="E269" s="78" t="n"/>
      <c r="F269" s="78" t="n"/>
      <c r="G269" s="78" t="n"/>
      <c r="H269" s="78" t="n"/>
      <c r="I269" s="78" t="n"/>
      <c r="J269" s="78" t="n"/>
      <c r="K269" s="78" t="n"/>
      <c r="L269" s="78" t="n"/>
      <c r="M269" s="78" t="n"/>
      <c r="N269" s="78" t="n"/>
      <c r="O269" s="78" t="n"/>
      <c r="P269" s="78" t="n"/>
      <c r="Q269" s="78" t="n"/>
      <c r="R269" s="78" t="n"/>
      <c r="S269" s="79" t="n"/>
      <c r="T269" s="79" t="n"/>
      <c r="U269" s="79" t="n"/>
      <c r="V269" s="79" t="n"/>
      <c r="W269" s="79" t="n"/>
      <c r="X269" s="79" t="n"/>
      <c r="Y269" s="79" t="n"/>
      <c r="Z269" s="79" t="n"/>
      <c r="AA269" s="79" t="n"/>
      <c r="AB269" s="79" t="n"/>
      <c r="AC269" s="79" t="n"/>
      <c r="AD269" s="79" t="n"/>
      <c r="AE269" s="79" t="n"/>
      <c r="AF269" s="79" t="n"/>
      <c r="AG269" s="79" t="n"/>
      <c r="AH269" s="80" t="n"/>
      <c r="AI269" s="80" t="n"/>
      <c r="AJ269" s="80" t="n"/>
      <c r="AK269" s="80" t="n"/>
      <c r="AL269" s="80" t="n"/>
      <c r="AM269" s="80" t="n"/>
      <c r="AN269" s="80" t="n"/>
      <c r="AO269" s="80" t="n"/>
      <c r="AP269" s="80" t="n"/>
      <c r="AQ269" s="80" t="n"/>
      <c r="AR269" s="80" t="n"/>
      <c r="AS269" s="80" t="n"/>
      <c r="AT269" s="81" t="n"/>
      <c r="AU269" s="81" t="n"/>
      <c r="AV269" s="81" t="n"/>
      <c r="AW269" s="82" t="n"/>
      <c r="AX269" s="82" t="n"/>
      <c r="AY269" s="82" t="n"/>
      <c r="AZ269" s="82" t="n"/>
      <c r="BA269" s="82" t="n"/>
      <c r="BB269" s="83" t="n"/>
      <c r="BC269" s="83" t="n"/>
      <c r="BD269" s="84">
        <f>IF($A269="","",IF($DJ269&lt;&gt;"","FIX",IF($DK269&lt;&gt;"","CHECK","OK")))</f>
        <v/>
      </c>
      <c r="BE269" s="85">
        <f>IF($A269="","",IF($DJ269&lt;&gt;"","FIX: "&amp;LEFT($DJ269,LEN($DJ269)-2)&amp;IF($DK269&lt;&gt;"","  ·  ",""),"")&amp;IF($DK269&lt;&gt;"","CHECK: "&amp;LEFT($DK269,LEN($DK269)-2),""))</f>
        <v/>
      </c>
      <c r="BF269" s="84">
        <f>IF(OR($A269="",$K269=""),"",$K269&amp;"'-"&amp;N($L269)&amp;CHAR(34)&amp;" x "&amp;$M269&amp;"'-"&amp;N($N269)&amp;CHAR(34))</f>
        <v/>
      </c>
      <c r="BG269" s="84">
        <f>IF(OR($A269="",$K269=""),"",$K269&amp;N($L269)&amp;$M269&amp;N($N269))</f>
        <v/>
      </c>
      <c r="BH269" s="84">
        <f>IF(OR($A269="",$K269=""),"",$K269*12+N($L269))</f>
        <v/>
      </c>
      <c r="BI269" s="84">
        <f>IF(OR($A269="",$M269=""),"",$M269*12+N($N269))</f>
        <v/>
      </c>
      <c r="BJ269" s="84">
        <f>IF($A269="","",IF(OR($C269="FRAME ONLY",$S269="BL"),0,IF($O269="Y",2,1)))</f>
        <v/>
      </c>
      <c r="BK269" s="86">
        <f>IF(OR(N($BJ269)=0,$BH269=""),"",($BH269-2*EdgeClr-IF($BJ269=2,MeetClr,0))/$BJ269)</f>
        <v/>
      </c>
      <c r="BL269" s="86">
        <f>IF(OR(N($BJ269)=0,$BI269=""),"",$BI269-HeadClr-Undercut)</f>
        <v/>
      </c>
      <c r="BM269" s="86">
        <f>IF($BH269="","",$BH269+2*FaceW+IF(N($Q269)&gt;0,($Q269+FaceW)*IF($R269="LR",2,1),0))</f>
        <v/>
      </c>
      <c r="BN269" s="86">
        <f>IF($BI269="","",$BI269+IF($AB269="Y",4,FaceW)+IF(N($P269)&gt;0,$P269+FaceW,0)+IF(OR($S269="4F",$S269="BL"),FaceW,0))</f>
        <v/>
      </c>
      <c r="BO269" s="86">
        <f>IF($BM269="","",$BM269+2*ROSide)</f>
        <v/>
      </c>
      <c r="BP269" s="86">
        <f>IF($BN269="","",$BN269+ROTop)</f>
        <v/>
      </c>
      <c r="BQ269" s="87">
        <f>IF(OR(N($BJ269)=0,$BH269=""),"",$BH269/$BJ269-ClearDeduct)</f>
        <v/>
      </c>
      <c r="BR269" s="84">
        <f>IF(N($CH269)=0,"",IF($CH269&gt;=180,"A · 3 HR",IF($CH269&gt;=90,"B · 1-1/2 HR",IF($CH269&gt;=60,"B · 1 HR",IF($CH269&gt;=45,"C · 3/4 HR","20 MIN")))))&amp;IF(AND(N($CH269)&gt;0,OR($I269="CORRIDOR",$I269="SMOKE BARRIER"))," · S","")</f>
        <v/>
      </c>
      <c r="BS269" s="84">
        <f>IF($CS269,"",IF($AV269&lt;&gt;"",$AV269,IF(OR($AC269="HGC",$AO269="HGC"),"CONT",IF(($BI269-HeadClr-Undercut)&lt;=60,2,IF(($BI269-HeadClr-Undercut)&lt;=90,3,IF(($BI269-HeadClr-Undercut)&lt;=120,4,5))))))</f>
        <v/>
      </c>
      <c r="BT269" s="84">
        <f>IF($CS269,"",IF($CT269,"CUSTOM (typed)",IF($CV269,$AT269&amp;" "&amp;$CU269&amp;CHAR(34)&amp;IF($CU269&lt;&gt;$BI269,IF(AND($BI269&lt;$CU269,$BI269-IF(N(VLOOKUP($AT269&amp;"|"&amp;$CU269,LocTable,7,FALSE))&gt;0,VLOOKUP($AT269&amp;"|"&amp;$CU269,LocTable,7,FALSE),VLOOKUP($AT269&amp;"|"&amp;$CU269,LocTable,6,FALSE))-$CR269-0.75&gt;=2.125)," cut down"," adj."),""),"ANSI/SDI A250.6")))</f>
        <v/>
      </c>
      <c r="BU269" s="88">
        <f>IF($CS269,"",IF($CT269,IF(N($AW269)&gt;0,N($AW269),""),IF(1&gt;$CQ269,"",IF($CQ269=1,$CW269,$CW269+($CX269-$CW269)*0/($CQ269-1)))))</f>
        <v/>
      </c>
      <c r="BV269" s="88">
        <f>IF($CS269,"",IF($CT269,IF(N($AX269)&gt;0,N($AX269),""),IF(2&gt;$CQ269,"",IF($CQ269=1,$CW269,$CW269+($CX269-$CW269)*1/($CQ269-1)))))</f>
        <v/>
      </c>
      <c r="BW269" s="88">
        <f>IF($CS269,"",IF($CT269,IF(N($AY269)&gt;0,N($AY269),""),IF(3&gt;$CQ269,"",IF($CQ269=1,$CW269,$CW269+($CX269-$CW269)*2/($CQ269-1)))))</f>
        <v/>
      </c>
      <c r="BX269" s="88">
        <f>IF($CS269,"",IF($CT269,IF(N($AZ269)&gt;0,N($AZ269),""),IF(4&gt;$CQ269,"",IF($CQ269=1,$CW269,$CW269+($CX269-$CW269)*3/($CQ269-1)))))</f>
        <v/>
      </c>
      <c r="BY269" s="88">
        <f>IF($CS269,"",IF($CT269,"",IF(5&gt;$CQ269,"",IF($CQ269=1,$CW269,$CW269+($CX269-$CW269)*4/($CQ269-1)))))</f>
        <v/>
      </c>
      <c r="BZ269" s="88">
        <f>IF(OR($CS269,$AP269="-",AND($AP269="",$AD269="")),"",IF(N($BA269)&gt;0,N($BA269),IF($CV269,IF(AND($BI269&lt;$CU269,$BI269-IF(N(VLOOKUP($AT269&amp;"|"&amp;$CU269,LocTable,7,FALSE))&gt;0,VLOOKUP($AT269&amp;"|"&amp;$CU269,LocTable,7,FALSE),VLOOKUP($AT269&amp;"|"&amp;$CU269,LocTable,6,FALSE))-$CR269-0.75&gt;=2.125),VLOOKUP($AT269&amp;"|"&amp;$CU269,LocTable,8,FALSE),VLOOKUP($AT269&amp;"|"&amp;$CU269,LocTable,8,FALSE)+($BI269-$CU269)),$BI269-LockAFF)))</f>
        <v/>
      </c>
      <c r="CA269" s="89">
        <f>IF($BZ269="","",$BI269-$BZ269)</f>
        <v/>
      </c>
      <c r="CB269" s="84">
        <f>IF(OR(NOT(AND($A269&lt;&gt;"",$C269&lt;&gt;"DOOR ONLY")),$BI269=""),"",IF(($BI269+IF(N($P269)&gt;0,$P269+FaceW,0))&lt;=90,3,IF(($BI269+IF(N($P269)&gt;0,$P269+FaceW,0))&lt;=114,4,5)))</f>
        <v/>
      </c>
      <c r="CC269" s="84">
        <f>IF($CB269="","",$CB269*(2+IF(N($Q269)&gt;0,IF($R269="LR",2,1),0)))</f>
        <v/>
      </c>
      <c r="CD269" s="84">
        <f>IF($CB269="","",(2+IF(N($Q269)&gt;0,IF($R269="LR",2,1),0)))</f>
        <v/>
      </c>
      <c r="CE269" s="84">
        <f>IF(N($BJ269)=0,"",IF(OR($AL269="",$AL269="FLUSH"),"FLUSH",IFERROR(LEFT($AL269,FIND("-",$AL269)-1),LEFT($AL269,2))))</f>
        <v/>
      </c>
      <c r="CF269" s="84">
        <f>IF($CE269="","",IFERROR(VALUE(MID($AL269,FIND("-",$AL269)+1,FIND(CHAR(34)&amp;"x",$AL269)-FIND("-",$AL269)-1)),0))</f>
        <v/>
      </c>
      <c r="CG269" s="84">
        <f>IF($CE269="","",IFERROR(VALUE(MID($AL269,FIND(CHAR(34)&amp;"x",$AL269)+2,FIND(CHAR(34),$AL269,FIND(CHAR(34)&amp;"x",$AL269)+2)-FIND(CHAR(34)&amp;"x",$AL269)-2)),0))</f>
        <v/>
      </c>
      <c r="CH269" s="90">
        <f>IF(OR($A269="",$H269="",$H269="NO LAB"),0,IFERROR(VALUE(LEFT($H269,FIND(" ",$H269)-1)),0))</f>
        <v/>
      </c>
      <c r="CI269" s="91">
        <f>IF(OR($A269="",$I269="",$I269="NON-RATED",N($J269)=0),"",IFERROR(VLOOKUP($I269&amp;"|"&amp;$J269,IBC,2,FALSE),"?"))</f>
        <v/>
      </c>
      <c r="CJ269" s="85">
        <f>IF(NOT(AND($A269&lt;&gt;"",$C269&lt;&gt;"DOOR ONLY")),"",TRIM(IFERROR(VLOOKUP($U269,CODES,2,FALSE),"")&amp;" "&amp;$BG269&amp;" "&amp;IFERROR(VLOOKUP($Z269,CODES,2,FALSE),"")&amp;" "&amp;IFERROR(VLOOKUP($X269,CODES,2,FALSE),"")&amp;" "&amp;IFERROR(VLOOKUP($S269,CODES,2,FALSE),"")&amp;IF(N($P269)&gt;0," w/TRANSOM "&amp;$P269&amp;CHAR(34),"")&amp;IF(N($Q269)&gt;0," w/SIDELITE "&amp;$Q269&amp;CHAR(34)&amp;" "&amp;IF($R269="","R",$R269),"")&amp;IF($Y269="","  |  "," | "&amp;IFERROR(VLOOKUP($Y269,CODES,2,FALSE),"")&amp;" | ")&amp;IFERROR(VLOOKUP($AC269,CODES,2,FALSE),"")&amp;" "&amp;IFERROR(VLOOKUP($AD269,CODES,2,FALSE),"")&amp;IF(OR($AE269="",$AE269="-"),""," "&amp;$AE269)&amp;IF(OR($AF269="",$AF269="-"),""," "&amp;$AF269)&amp;IF($AB269="Y"," 4"&amp;CHAR(34)&amp;" HEAD","")&amp;" "&amp;IFERROR(VLOOKUP($H269,CODES,2,FALSE),"")&amp;IF($CT269," | LOC "&amp;$CY269,"")))</f>
        <v/>
      </c>
      <c r="CK269" s="85">
        <f>IF(NOT(AND($A269&lt;&gt;"",N($BJ269)&gt;0)),"",TRIM(IFERROR(VLOOKUP($AH269,CODES,2,FALSE),"")&amp;IF($AI269=""," "," "&amp;$AI269&amp;"GA ")&amp;$BG269&amp;" "&amp;IF($AN269="",IFERROR(VLOOKUP($Z269,CODES,2,FALSE),""),IFERROR(VLOOKUP($AN269,CODES,2,FALSE),""))&amp;IF($BJ269=2," PAIR","")&amp;" DOOR | "&amp;IF($AL269="","?",$AL269)&amp;" | "&amp;IF($AO269="",IFERROR(VLOOKUP($AC269,CODES,2,FALSE),""),IFERROR(VLOOKUP($AO269,CODES,2,FALSE),""))&amp;" "&amp;IFERROR(VLOOKUP($AP269,CODES,2,FALSE),"")&amp;IF(OR($AQ269="",$AQ269="-"),""," SEAM "&amp;$AQ269)&amp;IF($AR269="Y"," ASTRAGAL","")&amp;IF($AJ269=""," "," "&amp;$AJ269)&amp;IF($AK269=""," "," "&amp;$AK269)&amp;IF(OR($AT269="",$AT269="ANSI/SDI",$AT269="CUSTOM LOC"),""," "&amp;$AT269)&amp;IF($AM269=""," "," SERIES "&amp;$AM269)&amp;" "&amp;IFERROR(VLOOKUP($H269,CODES,2,FALSE),"")&amp;IF($CT269," | LOC "&amp;$CZ269,"")))</f>
        <v/>
      </c>
      <c r="CL269" s="84">
        <f>IF(CP269="","",IF(COUNTIF($CP$6:CP269,CP269)=1,MAX($CL$5:CL268)+1,INDEX($CL$5:CL268,MATCH(CP269,$CP$5:CP268,0))))</f>
        <v/>
      </c>
      <c r="CM269" s="84">
        <f>IF(NOT(AND($A269&lt;&gt;"",$C269&lt;&gt;"DOOR ONLY")),"",MAX($CM$5:CM268)+1)</f>
        <v/>
      </c>
      <c r="CN269" s="84">
        <f>IF(NOT(AND($A269&lt;&gt;"",N($BJ269)&gt;0)),"",MAX($CN$5:CN268)+1)</f>
        <v/>
      </c>
      <c r="CO269" s="84">
        <f>IF($A269="","",MAX($CO$5:CO268)+1)</f>
        <v/>
      </c>
      <c r="CP269" s="84">
        <f>IF(OR($A269="",$BH269="",$BI269=""),"",$BG269&amp;"|"&amp;$O269&amp;"|"&amp;$AL269&amp;"|"&amp;$S269&amp;"|"&amp;$P269&amp;"|"&amp;$Q269&amp;$R269&amp;"|"&amp;$C269&amp;"|"&amp;$AB269)</f>
        <v/>
      </c>
      <c r="CQ269" s="84">
        <f>N($BS269)</f>
        <v/>
      </c>
      <c r="CR269" s="84">
        <f>IF(N($AU269)&gt;0,N($AU269),4.5)</f>
        <v/>
      </c>
      <c r="CS269" s="84">
        <f>OR($A269="",$BI269="",$S269="BL",AND($C269="FRAME ONLY",OR($AC269="",$AC269="BLK")))</f>
        <v/>
      </c>
      <c r="CT269" s="84">
        <f>AND(NOT($CS269),OR($AT269="CUSTOM LOC",N($AW269)+N($AX269)+N($AY269)+N($AZ269)+N($BA269)&gt;0))</f>
        <v/>
      </c>
      <c r="CU269" s="84">
        <f>IF($BI269="","",IF($BI269&lt;=80,80,IF($BI269&lt;=84,84,96)))</f>
        <v/>
      </c>
      <c r="CV269" s="84">
        <f>ISNUMBER(MATCH($AT269&amp;"|80",LocKeys,0))</f>
        <v/>
      </c>
      <c r="CW269" s="86">
        <f>IF($CS269,"",IF($CV269,VLOOKUP($AT269&amp;"|"&amp;$CU269,LocTable,4,FALSE),5))</f>
        <v/>
      </c>
      <c r="CX269" s="86">
        <f>IF($CS269,"",IF($CV269,IF(OR($BI269=$CU269,AND($BI269&lt;$CU269,$BI269-IF(N(VLOOKUP($AT269&amp;"|"&amp;$CU269,LocTable,7,FALSE))&gt;0,VLOOKUP($AT269&amp;"|"&amp;$CU269,LocTable,7,FALSE),VLOOKUP($AT269&amp;"|"&amp;$CU269,LocTable,6,FALSE))-$CR269-0.75&gt;=2.125)),IF(N(VLOOKUP($AT269&amp;"|"&amp;$CU269,LocTable,7,FALSE))&gt;0,VLOOKUP($AT269&amp;"|"&amp;$CU269,LocTable,7,FALSE),VLOOKUP($AT269&amp;"|"&amp;$CU269,LocTable,6,FALSE)),$BI269-($CU269-IF(N(VLOOKUP($AT269&amp;"|"&amp;$CU269,LocTable,7,FALSE))&gt;0,VLOOKUP($AT269&amp;"|"&amp;$CU269,LocTable,7,FALSE),VLOOKUP($AT269&amp;"|"&amp;$CU269,LocTable,6,FALSE)))),$BI269-10-$CR269))</f>
        <v/>
      </c>
      <c r="CY269" s="85">
        <f>IF($CS269,"",TRIM(IF(ISNUMBER($BU269),"A "&amp;TRIM(TEXT($BU269,"# ?/??"))&amp;CHAR(34)&amp;"  ","")&amp;IF(ISNUMBER($BV269),"B "&amp;TRIM(TEXT($BV269,"# ?/??"))&amp;CHAR(34)&amp;"  ","")&amp;IF(ISNUMBER($BW269),"C "&amp;TRIM(TEXT($BW269,"# ?/??"))&amp;CHAR(34)&amp;"  ","")&amp;IF(ISNUMBER($BX269),"D "&amp;TRIM(TEXT($BX269,"# ?/??"))&amp;CHAR(34)&amp;"  ","")&amp;IF(ISNUMBER($BY269),"F "&amp;TRIM(TEXT($BY269,"# ?/??"))&amp;CHAR(34)&amp;"  ","")&amp;IF(ISNUMBER($BZ269),"E "&amp;TRIM(TEXT($BZ269,"# ?/??"))&amp;CHAR(34)&amp;"  ","")))</f>
        <v/>
      </c>
      <c r="CZ269" s="85">
        <f>IF(OR($CS269,N($BJ269)=0),"",TRIM(IF(ISNUMBER($BU269),"A "&amp;TRIM(TEXT($BU269-HeadClr,"# ?/??"))&amp;CHAR(34)&amp;"  ","")&amp;IF(ISNUMBER($BV269),"B "&amp;TRIM(TEXT($BV269-HeadClr,"# ?/??"))&amp;CHAR(34)&amp;"  ","")&amp;IF(ISNUMBER($BW269),"C "&amp;TRIM(TEXT($BW269-HeadClr,"# ?/??"))&amp;CHAR(34)&amp;"  ","")&amp;IF(ISNUMBER($BX269),"D "&amp;TRIM(TEXT($BX269-HeadClr,"# ?/??"))&amp;CHAR(34)&amp;"  ","")&amp;IF(ISNUMBER($BY269),"F "&amp;TRIM(TEXT($BY269-HeadClr,"# ?/??"))&amp;CHAR(34)&amp;"  ","")&amp;IF(ISNUMBER($BZ269),"E "&amp;TRIM(TEXT($BZ269-HeadClr,"# ?/??"))&amp;CHAR(34)&amp;"  ","")))</f>
        <v/>
      </c>
      <c r="DA269" s="84">
        <f>IF($A269="","",IF($AN269="",IFERROR(VLOOKUP($Z269,CODES,2,FALSE),""),IFERROR(VLOOKUP($AN269,CODES,2,FALSE),"")))</f>
        <v/>
      </c>
      <c r="DB269" s="84">
        <f>IF($A269="","",IF($O269="Y","PR",IF(OR($Z269="L",$Z269="RR",LEFT($Z269,2)="L-",LEFT($Z269,3)="RR-"),"LH","RH")))</f>
        <v/>
      </c>
      <c r="DC269" s="84">
        <f>IF($A269="","","S.HM"&amp;IF(OR($C269="DOOR ONLY",$X269&lt;&gt;"KD"),"MASONRY","DRYWALL")&amp;IF($C269="DOOR ONLY","",$U269)&amp;IF(AND($C269&lt;&gt;"FRAME ONLY",OR(LEFT($AH269,3)="OAK",LEFT($AH269,3)="BIR",LEFT($AH269,3)="MAP",$AH269="PC",$AH269="MC",$AH269="SCLC",$AH269="P-LAM")),"WD","HM")&amp;"1.75")</f>
        <v/>
      </c>
      <c r="DD269" s="84">
        <f>IF($CJ269="","",IF($O269="Y",$CJ269,SUBSTITUTE($CJ269,$BG269&amp;" "&amp;IFERROR(VLOOKUP($Z269,CODES,2,FALSE),"")&amp;" ",$BG269&amp;" ")))</f>
        <v/>
      </c>
      <c r="DE269" s="84">
        <f>IF($CK269="","",IF($O269="Y",$CK269,SUBSTITUTE($CK269,$BG269&amp;" "&amp;IF($AN269="",IFERROR(VLOOKUP($Z269,CODES,2,FALSE),""),IFERROR(VLOOKUP($AN269,CODES,2,FALSE),""))&amp;" ",$BG269&amp;" ")))</f>
        <v/>
      </c>
      <c r="DF269" s="84">
        <f>IF($CJ269="","",$DC269&amp;"|"&amp;$DD269&amp;"|"&amp;$DB269&amp;"|"&amp;$AT269&amp;"|"&amp;$V269&amp;"|"&amp;$Y269&amp;"|"&amp;$AB269)</f>
        <v/>
      </c>
      <c r="DG269" s="84">
        <f>IF(DF269="","",IF(COUNTIF($DF$6:DF269,DF269)=1,MAX($DG$5:DG268)+1,INDEX($DG$5:DG268,MATCH(DF269,$DF$5:DF268,0))))</f>
        <v/>
      </c>
      <c r="DH269" s="84">
        <f>IF($CK269="","",$DC269&amp;"|"&amp;$DE269&amp;"|"&amp;$AI269&amp;"|"&amp;$BK269&amp;"|"&amp;$BL269)</f>
        <v/>
      </c>
      <c r="DI269" s="84">
        <f>IF(DH269="","",IF(COUNTIF($DH$6:DH269,DH269)=1,MAX($DI$5:DI268)+1,INDEX($DI$5:DI268,MATCH(DH269,$DH$5:DH268,0))))</f>
        <v/>
      </c>
      <c r="DJ269" s="84">
        <f>IF($A269="","",IF($B269="","qty, ","")&amp;IF($C269="","scope, ","")&amp;IF(OR($K269="",$M269=""),"size, ","")&amp;IF(AND($A269&lt;&gt;"",$C269&lt;&gt;"DOOR ONLY"),IF($U269="","jamb depth, ","")&amp;IF($X269="","construction, ","")&amp;IF($Y269="","anchor, ","")&amp;IF($S269="","frame type, ",""),"")&amp;IF(AND(N($BJ269)&gt;0,$Z269=""),"hand, ","")&amp;IF(N($BJ269)&gt;0,IF($AH269="","door material, ","")&amp;IF($AL269="","face type, ","")&amp;IF($AP269="","lock prep, ","")&amp;IF(AND($AO269="",$AC269=""),"hinge prep, ",""),"")&amp;IF(AND($CH269&gt;0,$AH269="FRP"),"FRP cannot carry a label, ","")&amp;IF(AND($O269="Y",OR($Z269="L",$Z269="R",$Z269="LR",$Z269="RR")),"pair marked but hand is single, ","")&amp;IF(AND($O269&lt;&gt;"Y",OR($Z269="PR",AND(LEN($Z269)&gt;1,ISNUMBER(SEARCH("-",$Z269))))),"pair hand on a single door, ","")&amp;IF(AND(ISNUMBER($CI269),$CH269&lt;N($CI269)),"wall needs a "&amp;$CI269&amp;" min door, ","")&amp;IF(AND($CH269&gt;=180,AND(OR($CE269="FG",$CE269="HG",$CE269="FNV",$CE269="FV"),N($CF269)*N($CG269)&gt;100)),"180 min lite over 100 sq in, ","")&amp;IF(N($BK269)&gt;48,"leaf wider than 4'-0"&amp;CHAR(34)&amp;", ","")&amp;IF(AND($CT269,COUNT($AW269:$AZ269)=0,$CQ269&gt;0),"CUSTOM LOC with no locations typed, ",""))</f>
        <v/>
      </c>
      <c r="DK269" s="84">
        <f>IF($A269="","",IF(AND($CH269&gt;0,AND($A269&lt;&gt;"",$C269&lt;&gt;"DOOR ONLY"),$X269="KD",$E269="EXTERIOR"),"KD label on an exterior opening, ","")&amp;IF(AND($E269="EXTERIOR",OR(AND(AND($A269&lt;&gt;"",$C269&lt;&gt;"DOOR ONLY"),$W269="CR"),AND(N($BJ269)&gt;0,$AH269="CR"))),"exterior in CR steel (G9?), ","")&amp;IF(AND(ISNUMBER($BQ269),N($BQ269)&lt;32),"clear width ~"&amp;TEXT($BQ269,"0.0")&amp;CHAR(34)&amp;" under 32"&amp;CHAR(34)&amp;" (ADA), ","")&amp;IF(AND($CH269=90,AND(OR($CE269="FG",$CE269="HG",$CE269="FNV",$CE269="FV"),N($CF269)*N($CG269)&gt;100)),"90 min lite over 100 sq in (stair/exit), ","")&amp;IF(AND($CH269&gt;0,AND($A269&lt;&gt;"",$C269&lt;&gt;"DOOR ONLY"),OR($AF269="",$AF269="-")),"rated: closer reinf.?, ","")&amp;IF(OR($I269="CORRIDOR",$I269="SMOKE BARRIER"),"S label + smoke gasketing, ","")&amp;IF($CI269="?","wall type/hr not in IBC table, ","")&amp;IF(AND(N($BJ269)&gt;0,$BB269=""),"no hardware set, ","")&amp;IF(AND($BB269&lt;&gt;"",ISNA(MATCH($BB269&amp;"",HWSets,0))),"set "&amp;$BB269&amp;" not on HW Sets, ","")&amp;IF(N($BL269)&gt;96,"leaf over 8'-0"&amp;CHAR(34)&amp;" - check listing, ","")&amp;IF(AND($CT269,COUNT($AW269:$AZ269)&gt;0,COUNT($AW269:$AZ269)&lt;&gt;$CQ269),COUNT($AW269:$AZ269)&amp;" custom hinges typed, "&amp;$CQ269&amp;" expected, ","")&amp;IF(AND(ISNUMBER($CA269),OR(N($CA269)&lt;34,N($CA269)&gt;48)),"lock "&amp;TEXT($CA269,"0.0")&amp;CHAR(34)&amp;" AFF outside 34-48"&amp;CHAR(34)&amp;" (ADA), ","")&amp;IF(AND(ISNUMBER($AV269),ISNUMBER($BL269),N($AV269)&lt;IF(N($BL269)&lt;=60,2,IF(N($BL269)&lt;=90,3,IF(N($BL269)&lt;=120,4,5)))),"fewer hinges than standard, ",""))</f>
        <v/>
      </c>
    </row>
    <row r="270" ht="15" customHeight="1">
      <c r="A270" s="92" t="n"/>
      <c r="B270" s="93" t="n"/>
      <c r="C270" s="93" t="n"/>
      <c r="D270" s="93" t="n"/>
      <c r="E270" s="93" t="n"/>
      <c r="F270" s="93" t="n"/>
      <c r="G270" s="93" t="n"/>
      <c r="H270" s="93" t="n"/>
      <c r="I270" s="93" t="n"/>
      <c r="J270" s="93" t="n"/>
      <c r="K270" s="93" t="n"/>
      <c r="L270" s="93" t="n"/>
      <c r="M270" s="93" t="n"/>
      <c r="N270" s="93" t="n"/>
      <c r="O270" s="93" t="n"/>
      <c r="P270" s="93" t="n"/>
      <c r="Q270" s="93" t="n"/>
      <c r="R270" s="93" t="n"/>
      <c r="S270" s="94" t="n"/>
      <c r="T270" s="94" t="n"/>
      <c r="U270" s="94" t="n"/>
      <c r="V270" s="94" t="n"/>
      <c r="W270" s="94" t="n"/>
      <c r="X270" s="94" t="n"/>
      <c r="Y270" s="94" t="n"/>
      <c r="Z270" s="94" t="n"/>
      <c r="AA270" s="94" t="n"/>
      <c r="AB270" s="94" t="n"/>
      <c r="AC270" s="94" t="n"/>
      <c r="AD270" s="94" t="n"/>
      <c r="AE270" s="94" t="n"/>
      <c r="AF270" s="94" t="n"/>
      <c r="AG270" s="94" t="n"/>
      <c r="AH270" s="95" t="n"/>
      <c r="AI270" s="95" t="n"/>
      <c r="AJ270" s="95" t="n"/>
      <c r="AK270" s="95" t="n"/>
      <c r="AL270" s="95" t="n"/>
      <c r="AM270" s="95" t="n"/>
      <c r="AN270" s="95" t="n"/>
      <c r="AO270" s="95" t="n"/>
      <c r="AP270" s="95" t="n"/>
      <c r="AQ270" s="95" t="n"/>
      <c r="AR270" s="95" t="n"/>
      <c r="AS270" s="95" t="n"/>
      <c r="AT270" s="96" t="n"/>
      <c r="AU270" s="96" t="n"/>
      <c r="AV270" s="96" t="n"/>
      <c r="AW270" s="97" t="n"/>
      <c r="AX270" s="97" t="n"/>
      <c r="AY270" s="97" t="n"/>
      <c r="AZ270" s="97" t="n"/>
      <c r="BA270" s="97" t="n"/>
      <c r="BB270" s="98" t="n"/>
      <c r="BC270" s="98" t="n"/>
      <c r="BD270" s="99">
        <f>IF($A270="","",IF($DJ270&lt;&gt;"","FIX",IF($DK270&lt;&gt;"","CHECK","OK")))</f>
        <v/>
      </c>
      <c r="BE270" s="100">
        <f>IF($A270="","",IF($DJ270&lt;&gt;"","FIX: "&amp;LEFT($DJ270,LEN($DJ270)-2)&amp;IF($DK270&lt;&gt;"","  ·  ",""),"")&amp;IF($DK270&lt;&gt;"","CHECK: "&amp;LEFT($DK270,LEN($DK270)-2),""))</f>
        <v/>
      </c>
      <c r="BF270" s="99">
        <f>IF(OR($A270="",$K270=""),"",$K270&amp;"'-"&amp;N($L270)&amp;CHAR(34)&amp;" x "&amp;$M270&amp;"'-"&amp;N($N270)&amp;CHAR(34))</f>
        <v/>
      </c>
      <c r="BG270" s="99">
        <f>IF(OR($A270="",$K270=""),"",$K270&amp;N($L270)&amp;$M270&amp;N($N270))</f>
        <v/>
      </c>
      <c r="BH270" s="99">
        <f>IF(OR($A270="",$K270=""),"",$K270*12+N($L270))</f>
        <v/>
      </c>
      <c r="BI270" s="99">
        <f>IF(OR($A270="",$M270=""),"",$M270*12+N($N270))</f>
        <v/>
      </c>
      <c r="BJ270" s="99">
        <f>IF($A270="","",IF(OR($C270="FRAME ONLY",$S270="BL"),0,IF($O270="Y",2,1)))</f>
        <v/>
      </c>
      <c r="BK270" s="101">
        <f>IF(OR(N($BJ270)=0,$BH270=""),"",($BH270-2*EdgeClr-IF($BJ270=2,MeetClr,0))/$BJ270)</f>
        <v/>
      </c>
      <c r="BL270" s="101">
        <f>IF(OR(N($BJ270)=0,$BI270=""),"",$BI270-HeadClr-Undercut)</f>
        <v/>
      </c>
      <c r="BM270" s="101">
        <f>IF($BH270="","",$BH270+2*FaceW+IF(N($Q270)&gt;0,($Q270+FaceW)*IF($R270="LR",2,1),0))</f>
        <v/>
      </c>
      <c r="BN270" s="101">
        <f>IF($BI270="","",$BI270+IF($AB270="Y",4,FaceW)+IF(N($P270)&gt;0,$P270+FaceW,0)+IF(OR($S270="4F",$S270="BL"),FaceW,0))</f>
        <v/>
      </c>
      <c r="BO270" s="101">
        <f>IF($BM270="","",$BM270+2*ROSide)</f>
        <v/>
      </c>
      <c r="BP270" s="101">
        <f>IF($BN270="","",$BN270+ROTop)</f>
        <v/>
      </c>
      <c r="BQ270" s="102">
        <f>IF(OR(N($BJ270)=0,$BH270=""),"",$BH270/$BJ270-ClearDeduct)</f>
        <v/>
      </c>
      <c r="BR270" s="99">
        <f>IF(N($CH270)=0,"",IF($CH270&gt;=180,"A · 3 HR",IF($CH270&gt;=90,"B · 1-1/2 HR",IF($CH270&gt;=60,"B · 1 HR",IF($CH270&gt;=45,"C · 3/4 HR","20 MIN")))))&amp;IF(AND(N($CH270)&gt;0,OR($I270="CORRIDOR",$I270="SMOKE BARRIER"))," · S","")</f>
        <v/>
      </c>
      <c r="BS270" s="99">
        <f>IF($CS270,"",IF($AV270&lt;&gt;"",$AV270,IF(OR($AC270="HGC",$AO270="HGC"),"CONT",IF(($BI270-HeadClr-Undercut)&lt;=60,2,IF(($BI270-HeadClr-Undercut)&lt;=90,3,IF(($BI270-HeadClr-Undercut)&lt;=120,4,5))))))</f>
        <v/>
      </c>
      <c r="BT270" s="99">
        <f>IF($CS270,"",IF($CT270,"CUSTOM (typed)",IF($CV270,$AT270&amp;" "&amp;$CU270&amp;CHAR(34)&amp;IF($CU270&lt;&gt;$BI270,IF(AND($BI270&lt;$CU270,$BI270-IF(N(VLOOKUP($AT270&amp;"|"&amp;$CU270,LocTable,7,FALSE))&gt;0,VLOOKUP($AT270&amp;"|"&amp;$CU270,LocTable,7,FALSE),VLOOKUP($AT270&amp;"|"&amp;$CU270,LocTable,6,FALSE))-$CR270-0.75&gt;=2.125)," cut down"," adj."),""),"ANSI/SDI A250.6")))</f>
        <v/>
      </c>
      <c r="BU270" s="103">
        <f>IF($CS270,"",IF($CT270,IF(N($AW270)&gt;0,N($AW270),""),IF(1&gt;$CQ270,"",IF($CQ270=1,$CW270,$CW270+($CX270-$CW270)*0/($CQ270-1)))))</f>
        <v/>
      </c>
      <c r="BV270" s="103">
        <f>IF($CS270,"",IF($CT270,IF(N($AX270)&gt;0,N($AX270),""),IF(2&gt;$CQ270,"",IF($CQ270=1,$CW270,$CW270+($CX270-$CW270)*1/($CQ270-1)))))</f>
        <v/>
      </c>
      <c r="BW270" s="103">
        <f>IF($CS270,"",IF($CT270,IF(N($AY270)&gt;0,N($AY270),""),IF(3&gt;$CQ270,"",IF($CQ270=1,$CW270,$CW270+($CX270-$CW270)*2/($CQ270-1)))))</f>
        <v/>
      </c>
      <c r="BX270" s="103">
        <f>IF($CS270,"",IF($CT270,IF(N($AZ270)&gt;0,N($AZ270),""),IF(4&gt;$CQ270,"",IF($CQ270=1,$CW270,$CW270+($CX270-$CW270)*3/($CQ270-1)))))</f>
        <v/>
      </c>
      <c r="BY270" s="103">
        <f>IF($CS270,"",IF($CT270,"",IF(5&gt;$CQ270,"",IF($CQ270=1,$CW270,$CW270+($CX270-$CW270)*4/($CQ270-1)))))</f>
        <v/>
      </c>
      <c r="BZ270" s="103">
        <f>IF(OR($CS270,$AP270="-",AND($AP270="",$AD270="")),"",IF(N($BA270)&gt;0,N($BA270),IF($CV270,IF(AND($BI270&lt;$CU270,$BI270-IF(N(VLOOKUP($AT270&amp;"|"&amp;$CU270,LocTable,7,FALSE))&gt;0,VLOOKUP($AT270&amp;"|"&amp;$CU270,LocTable,7,FALSE),VLOOKUP($AT270&amp;"|"&amp;$CU270,LocTable,6,FALSE))-$CR270-0.75&gt;=2.125),VLOOKUP($AT270&amp;"|"&amp;$CU270,LocTable,8,FALSE),VLOOKUP($AT270&amp;"|"&amp;$CU270,LocTable,8,FALSE)+($BI270-$CU270)),$BI270-LockAFF)))</f>
        <v/>
      </c>
      <c r="CA270" s="104">
        <f>IF($BZ270="","",$BI270-$BZ270)</f>
        <v/>
      </c>
      <c r="CB270" s="99">
        <f>IF(OR(NOT(AND($A270&lt;&gt;"",$C270&lt;&gt;"DOOR ONLY")),$BI270=""),"",IF(($BI270+IF(N($P270)&gt;0,$P270+FaceW,0))&lt;=90,3,IF(($BI270+IF(N($P270)&gt;0,$P270+FaceW,0))&lt;=114,4,5)))</f>
        <v/>
      </c>
      <c r="CC270" s="99">
        <f>IF($CB270="","",$CB270*(2+IF(N($Q270)&gt;0,IF($R270="LR",2,1),0)))</f>
        <v/>
      </c>
      <c r="CD270" s="99">
        <f>IF($CB270="","",(2+IF(N($Q270)&gt;0,IF($R270="LR",2,1),0)))</f>
        <v/>
      </c>
      <c r="CE270" s="99">
        <f>IF(N($BJ270)=0,"",IF(OR($AL270="",$AL270="FLUSH"),"FLUSH",IFERROR(LEFT($AL270,FIND("-",$AL270)-1),LEFT($AL270,2))))</f>
        <v/>
      </c>
      <c r="CF270" s="99">
        <f>IF($CE270="","",IFERROR(VALUE(MID($AL270,FIND("-",$AL270)+1,FIND(CHAR(34)&amp;"x",$AL270)-FIND("-",$AL270)-1)),0))</f>
        <v/>
      </c>
      <c r="CG270" s="99">
        <f>IF($CE270="","",IFERROR(VALUE(MID($AL270,FIND(CHAR(34)&amp;"x",$AL270)+2,FIND(CHAR(34),$AL270,FIND(CHAR(34)&amp;"x",$AL270)+2)-FIND(CHAR(34)&amp;"x",$AL270)-2)),0))</f>
        <v/>
      </c>
      <c r="CH270" s="105">
        <f>IF(OR($A270="",$H270="",$H270="NO LAB"),0,IFERROR(VALUE(LEFT($H270,FIND(" ",$H270)-1)),0))</f>
        <v/>
      </c>
      <c r="CI270" s="106">
        <f>IF(OR($A270="",$I270="",$I270="NON-RATED",N($J270)=0),"",IFERROR(VLOOKUP($I270&amp;"|"&amp;$J270,IBC,2,FALSE),"?"))</f>
        <v/>
      </c>
      <c r="CJ270" s="100">
        <f>IF(NOT(AND($A270&lt;&gt;"",$C270&lt;&gt;"DOOR ONLY")),"",TRIM(IFERROR(VLOOKUP($U270,CODES,2,FALSE),"")&amp;" "&amp;$BG270&amp;" "&amp;IFERROR(VLOOKUP($Z270,CODES,2,FALSE),"")&amp;" "&amp;IFERROR(VLOOKUP($X270,CODES,2,FALSE),"")&amp;" "&amp;IFERROR(VLOOKUP($S270,CODES,2,FALSE),"")&amp;IF(N($P270)&gt;0," w/TRANSOM "&amp;$P270&amp;CHAR(34),"")&amp;IF(N($Q270)&gt;0," w/SIDELITE "&amp;$Q270&amp;CHAR(34)&amp;" "&amp;IF($R270="","R",$R270),"")&amp;IF($Y270="","  |  "," | "&amp;IFERROR(VLOOKUP($Y270,CODES,2,FALSE),"")&amp;" | ")&amp;IFERROR(VLOOKUP($AC270,CODES,2,FALSE),"")&amp;" "&amp;IFERROR(VLOOKUP($AD270,CODES,2,FALSE),"")&amp;IF(OR($AE270="",$AE270="-"),""," "&amp;$AE270)&amp;IF(OR($AF270="",$AF270="-"),""," "&amp;$AF270)&amp;IF($AB270="Y"," 4"&amp;CHAR(34)&amp;" HEAD","")&amp;" "&amp;IFERROR(VLOOKUP($H270,CODES,2,FALSE),"")&amp;IF($CT270," | LOC "&amp;$CY270,"")))</f>
        <v/>
      </c>
      <c r="CK270" s="100">
        <f>IF(NOT(AND($A270&lt;&gt;"",N($BJ270)&gt;0)),"",TRIM(IFERROR(VLOOKUP($AH270,CODES,2,FALSE),"")&amp;IF($AI270=""," "," "&amp;$AI270&amp;"GA ")&amp;$BG270&amp;" "&amp;IF($AN270="",IFERROR(VLOOKUP($Z270,CODES,2,FALSE),""),IFERROR(VLOOKUP($AN270,CODES,2,FALSE),""))&amp;IF($BJ270=2," PAIR","")&amp;" DOOR | "&amp;IF($AL270="","?",$AL270)&amp;" | "&amp;IF($AO270="",IFERROR(VLOOKUP($AC270,CODES,2,FALSE),""),IFERROR(VLOOKUP($AO270,CODES,2,FALSE),""))&amp;" "&amp;IFERROR(VLOOKUP($AP270,CODES,2,FALSE),"")&amp;IF(OR($AQ270="",$AQ270="-"),""," SEAM "&amp;$AQ270)&amp;IF($AR270="Y"," ASTRAGAL","")&amp;IF($AJ270=""," "," "&amp;$AJ270)&amp;IF($AK270=""," "," "&amp;$AK270)&amp;IF(OR($AT270="",$AT270="ANSI/SDI",$AT270="CUSTOM LOC"),""," "&amp;$AT270)&amp;IF($AM270=""," "," SERIES "&amp;$AM270)&amp;" "&amp;IFERROR(VLOOKUP($H270,CODES,2,FALSE),"")&amp;IF($CT270," | LOC "&amp;$CZ270,"")))</f>
        <v/>
      </c>
      <c r="CL270" s="99">
        <f>IF(CP270="","",IF(COUNTIF($CP$6:CP270,CP270)=1,MAX($CL$5:CL269)+1,INDEX($CL$5:CL269,MATCH(CP270,$CP$5:CP269,0))))</f>
        <v/>
      </c>
      <c r="CM270" s="99">
        <f>IF(NOT(AND($A270&lt;&gt;"",$C270&lt;&gt;"DOOR ONLY")),"",MAX($CM$5:CM269)+1)</f>
        <v/>
      </c>
      <c r="CN270" s="99">
        <f>IF(NOT(AND($A270&lt;&gt;"",N($BJ270)&gt;0)),"",MAX($CN$5:CN269)+1)</f>
        <v/>
      </c>
      <c r="CO270" s="99">
        <f>IF($A270="","",MAX($CO$5:CO269)+1)</f>
        <v/>
      </c>
      <c r="CP270" s="99">
        <f>IF(OR($A270="",$BH270="",$BI270=""),"",$BG270&amp;"|"&amp;$O270&amp;"|"&amp;$AL270&amp;"|"&amp;$S270&amp;"|"&amp;$P270&amp;"|"&amp;$Q270&amp;$R270&amp;"|"&amp;$C270&amp;"|"&amp;$AB270)</f>
        <v/>
      </c>
      <c r="CQ270" s="99">
        <f>N($BS270)</f>
        <v/>
      </c>
      <c r="CR270" s="99">
        <f>IF(N($AU270)&gt;0,N($AU270),4.5)</f>
        <v/>
      </c>
      <c r="CS270" s="99">
        <f>OR($A270="",$BI270="",$S270="BL",AND($C270="FRAME ONLY",OR($AC270="",$AC270="BLK")))</f>
        <v/>
      </c>
      <c r="CT270" s="99">
        <f>AND(NOT($CS270),OR($AT270="CUSTOM LOC",N($AW270)+N($AX270)+N($AY270)+N($AZ270)+N($BA270)&gt;0))</f>
        <v/>
      </c>
      <c r="CU270" s="99">
        <f>IF($BI270="","",IF($BI270&lt;=80,80,IF($BI270&lt;=84,84,96)))</f>
        <v/>
      </c>
      <c r="CV270" s="99">
        <f>ISNUMBER(MATCH($AT270&amp;"|80",LocKeys,0))</f>
        <v/>
      </c>
      <c r="CW270" s="101">
        <f>IF($CS270,"",IF($CV270,VLOOKUP($AT270&amp;"|"&amp;$CU270,LocTable,4,FALSE),5))</f>
        <v/>
      </c>
      <c r="CX270" s="101">
        <f>IF($CS270,"",IF($CV270,IF(OR($BI270=$CU270,AND($BI270&lt;$CU270,$BI270-IF(N(VLOOKUP($AT270&amp;"|"&amp;$CU270,LocTable,7,FALSE))&gt;0,VLOOKUP($AT270&amp;"|"&amp;$CU270,LocTable,7,FALSE),VLOOKUP($AT270&amp;"|"&amp;$CU270,LocTable,6,FALSE))-$CR270-0.75&gt;=2.125)),IF(N(VLOOKUP($AT270&amp;"|"&amp;$CU270,LocTable,7,FALSE))&gt;0,VLOOKUP($AT270&amp;"|"&amp;$CU270,LocTable,7,FALSE),VLOOKUP($AT270&amp;"|"&amp;$CU270,LocTable,6,FALSE)),$BI270-($CU270-IF(N(VLOOKUP($AT270&amp;"|"&amp;$CU270,LocTable,7,FALSE))&gt;0,VLOOKUP($AT270&amp;"|"&amp;$CU270,LocTable,7,FALSE),VLOOKUP($AT270&amp;"|"&amp;$CU270,LocTable,6,FALSE)))),$BI270-10-$CR270))</f>
        <v/>
      </c>
      <c r="CY270" s="100">
        <f>IF($CS270,"",TRIM(IF(ISNUMBER($BU270),"A "&amp;TRIM(TEXT($BU270,"# ?/??"))&amp;CHAR(34)&amp;"  ","")&amp;IF(ISNUMBER($BV270),"B "&amp;TRIM(TEXT($BV270,"# ?/??"))&amp;CHAR(34)&amp;"  ","")&amp;IF(ISNUMBER($BW270),"C "&amp;TRIM(TEXT($BW270,"# ?/??"))&amp;CHAR(34)&amp;"  ","")&amp;IF(ISNUMBER($BX270),"D "&amp;TRIM(TEXT($BX270,"# ?/??"))&amp;CHAR(34)&amp;"  ","")&amp;IF(ISNUMBER($BY270),"F "&amp;TRIM(TEXT($BY270,"# ?/??"))&amp;CHAR(34)&amp;"  ","")&amp;IF(ISNUMBER($BZ270),"E "&amp;TRIM(TEXT($BZ270,"# ?/??"))&amp;CHAR(34)&amp;"  ","")))</f>
        <v/>
      </c>
      <c r="CZ270" s="100">
        <f>IF(OR($CS270,N($BJ270)=0),"",TRIM(IF(ISNUMBER($BU270),"A "&amp;TRIM(TEXT($BU270-HeadClr,"# ?/??"))&amp;CHAR(34)&amp;"  ","")&amp;IF(ISNUMBER($BV270),"B "&amp;TRIM(TEXT($BV270-HeadClr,"# ?/??"))&amp;CHAR(34)&amp;"  ","")&amp;IF(ISNUMBER($BW270),"C "&amp;TRIM(TEXT($BW270-HeadClr,"# ?/??"))&amp;CHAR(34)&amp;"  ","")&amp;IF(ISNUMBER($BX270),"D "&amp;TRIM(TEXT($BX270-HeadClr,"# ?/??"))&amp;CHAR(34)&amp;"  ","")&amp;IF(ISNUMBER($BY270),"F "&amp;TRIM(TEXT($BY270-HeadClr,"# ?/??"))&amp;CHAR(34)&amp;"  ","")&amp;IF(ISNUMBER($BZ270),"E "&amp;TRIM(TEXT($BZ270-HeadClr,"# ?/??"))&amp;CHAR(34)&amp;"  ","")))</f>
        <v/>
      </c>
      <c r="DA270" s="99">
        <f>IF($A270="","",IF($AN270="",IFERROR(VLOOKUP($Z270,CODES,2,FALSE),""),IFERROR(VLOOKUP($AN270,CODES,2,FALSE),"")))</f>
        <v/>
      </c>
      <c r="DB270" s="99">
        <f>IF($A270="","",IF($O270="Y","PR",IF(OR($Z270="L",$Z270="RR",LEFT($Z270,2)="L-",LEFT($Z270,3)="RR-"),"LH","RH")))</f>
        <v/>
      </c>
      <c r="DC270" s="99">
        <f>IF($A270="","","S.HM"&amp;IF(OR($C270="DOOR ONLY",$X270&lt;&gt;"KD"),"MASONRY","DRYWALL")&amp;IF($C270="DOOR ONLY","",$U270)&amp;IF(AND($C270&lt;&gt;"FRAME ONLY",OR(LEFT($AH270,3)="OAK",LEFT($AH270,3)="BIR",LEFT($AH270,3)="MAP",$AH270="PC",$AH270="MC",$AH270="SCLC",$AH270="P-LAM")),"WD","HM")&amp;"1.75")</f>
        <v/>
      </c>
      <c r="DD270" s="99">
        <f>IF($CJ270="","",IF($O270="Y",$CJ270,SUBSTITUTE($CJ270,$BG270&amp;" "&amp;IFERROR(VLOOKUP($Z270,CODES,2,FALSE),"")&amp;" ",$BG270&amp;" ")))</f>
        <v/>
      </c>
      <c r="DE270" s="99">
        <f>IF($CK270="","",IF($O270="Y",$CK270,SUBSTITUTE($CK270,$BG270&amp;" "&amp;IF($AN270="",IFERROR(VLOOKUP($Z270,CODES,2,FALSE),""),IFERROR(VLOOKUP($AN270,CODES,2,FALSE),""))&amp;" ",$BG270&amp;" ")))</f>
        <v/>
      </c>
      <c r="DF270" s="99">
        <f>IF($CJ270="","",$DC270&amp;"|"&amp;$DD270&amp;"|"&amp;$DB270&amp;"|"&amp;$AT270&amp;"|"&amp;$V270&amp;"|"&amp;$Y270&amp;"|"&amp;$AB270)</f>
        <v/>
      </c>
      <c r="DG270" s="99">
        <f>IF(DF270="","",IF(COUNTIF($DF$6:DF270,DF270)=1,MAX($DG$5:DG269)+1,INDEX($DG$5:DG269,MATCH(DF270,$DF$5:DF269,0))))</f>
        <v/>
      </c>
      <c r="DH270" s="99">
        <f>IF($CK270="","",$DC270&amp;"|"&amp;$DE270&amp;"|"&amp;$AI270&amp;"|"&amp;$BK270&amp;"|"&amp;$BL270)</f>
        <v/>
      </c>
      <c r="DI270" s="99">
        <f>IF(DH270="","",IF(COUNTIF($DH$6:DH270,DH270)=1,MAX($DI$5:DI269)+1,INDEX($DI$5:DI269,MATCH(DH270,$DH$5:DH269,0))))</f>
        <v/>
      </c>
      <c r="DJ270" s="99">
        <f>IF($A270="","",IF($B270="","qty, ","")&amp;IF($C270="","scope, ","")&amp;IF(OR($K270="",$M270=""),"size, ","")&amp;IF(AND($A270&lt;&gt;"",$C270&lt;&gt;"DOOR ONLY"),IF($U270="","jamb depth, ","")&amp;IF($X270="","construction, ","")&amp;IF($Y270="","anchor, ","")&amp;IF($S270="","frame type, ",""),"")&amp;IF(AND(N($BJ270)&gt;0,$Z270=""),"hand, ","")&amp;IF(N($BJ270)&gt;0,IF($AH270="","door material, ","")&amp;IF($AL270="","face type, ","")&amp;IF($AP270="","lock prep, ","")&amp;IF(AND($AO270="",$AC270=""),"hinge prep, ",""),"")&amp;IF(AND($CH270&gt;0,$AH270="FRP"),"FRP cannot carry a label, ","")&amp;IF(AND($O270="Y",OR($Z270="L",$Z270="R",$Z270="LR",$Z270="RR")),"pair marked but hand is single, ","")&amp;IF(AND($O270&lt;&gt;"Y",OR($Z270="PR",AND(LEN($Z270)&gt;1,ISNUMBER(SEARCH("-",$Z270))))),"pair hand on a single door, ","")&amp;IF(AND(ISNUMBER($CI270),$CH270&lt;N($CI270)),"wall needs a "&amp;$CI270&amp;" min door, ","")&amp;IF(AND($CH270&gt;=180,AND(OR($CE270="FG",$CE270="HG",$CE270="FNV",$CE270="FV"),N($CF270)*N($CG270)&gt;100)),"180 min lite over 100 sq in, ","")&amp;IF(N($BK270)&gt;48,"leaf wider than 4'-0"&amp;CHAR(34)&amp;", ","")&amp;IF(AND($CT270,COUNT($AW270:$AZ270)=0,$CQ270&gt;0),"CUSTOM LOC with no locations typed, ",""))</f>
        <v/>
      </c>
      <c r="DK270" s="99">
        <f>IF($A270="","",IF(AND($CH270&gt;0,AND($A270&lt;&gt;"",$C270&lt;&gt;"DOOR ONLY"),$X270="KD",$E270="EXTERIOR"),"KD label on an exterior opening, ","")&amp;IF(AND($E270="EXTERIOR",OR(AND(AND($A270&lt;&gt;"",$C270&lt;&gt;"DOOR ONLY"),$W270="CR"),AND(N($BJ270)&gt;0,$AH270="CR"))),"exterior in CR steel (G9?), ","")&amp;IF(AND(ISNUMBER($BQ270),N($BQ270)&lt;32),"clear width ~"&amp;TEXT($BQ270,"0.0")&amp;CHAR(34)&amp;" under 32"&amp;CHAR(34)&amp;" (ADA), ","")&amp;IF(AND($CH270=90,AND(OR($CE270="FG",$CE270="HG",$CE270="FNV",$CE270="FV"),N($CF270)*N($CG270)&gt;100)),"90 min lite over 100 sq in (stair/exit), ","")&amp;IF(AND($CH270&gt;0,AND($A270&lt;&gt;"",$C270&lt;&gt;"DOOR ONLY"),OR($AF270="",$AF270="-")),"rated: closer reinf.?, ","")&amp;IF(OR($I270="CORRIDOR",$I270="SMOKE BARRIER"),"S label + smoke gasketing, ","")&amp;IF($CI270="?","wall type/hr not in IBC table, ","")&amp;IF(AND(N($BJ270)&gt;0,$BB270=""),"no hardware set, ","")&amp;IF(AND($BB270&lt;&gt;"",ISNA(MATCH($BB270&amp;"",HWSets,0))),"set "&amp;$BB270&amp;" not on HW Sets, ","")&amp;IF(N($BL270)&gt;96,"leaf over 8'-0"&amp;CHAR(34)&amp;" - check listing, ","")&amp;IF(AND($CT270,COUNT($AW270:$AZ270)&gt;0,COUNT($AW270:$AZ270)&lt;&gt;$CQ270),COUNT($AW270:$AZ270)&amp;" custom hinges typed, "&amp;$CQ270&amp;" expected, ","")&amp;IF(AND(ISNUMBER($CA270),OR(N($CA270)&lt;34,N($CA270)&gt;48)),"lock "&amp;TEXT($CA270,"0.0")&amp;CHAR(34)&amp;" AFF outside 34-48"&amp;CHAR(34)&amp;" (ADA), ","")&amp;IF(AND(ISNUMBER($AV270),ISNUMBER($BL270),N($AV270)&lt;IF(N($BL270)&lt;=60,2,IF(N($BL270)&lt;=90,3,IF(N($BL270)&lt;=120,4,5)))),"fewer hinges than standard, ",""))</f>
        <v/>
      </c>
    </row>
    <row r="271" ht="15" customHeight="1">
      <c r="A271" s="77" t="n"/>
      <c r="B271" s="78" t="n"/>
      <c r="C271" s="78" t="n"/>
      <c r="D271" s="78" t="n"/>
      <c r="E271" s="78" t="n"/>
      <c r="F271" s="78" t="n"/>
      <c r="G271" s="78" t="n"/>
      <c r="H271" s="78" t="n"/>
      <c r="I271" s="78" t="n"/>
      <c r="J271" s="78" t="n"/>
      <c r="K271" s="78" t="n"/>
      <c r="L271" s="78" t="n"/>
      <c r="M271" s="78" t="n"/>
      <c r="N271" s="78" t="n"/>
      <c r="O271" s="78" t="n"/>
      <c r="P271" s="78" t="n"/>
      <c r="Q271" s="78" t="n"/>
      <c r="R271" s="78" t="n"/>
      <c r="S271" s="79" t="n"/>
      <c r="T271" s="79" t="n"/>
      <c r="U271" s="79" t="n"/>
      <c r="V271" s="79" t="n"/>
      <c r="W271" s="79" t="n"/>
      <c r="X271" s="79" t="n"/>
      <c r="Y271" s="79" t="n"/>
      <c r="Z271" s="79" t="n"/>
      <c r="AA271" s="79" t="n"/>
      <c r="AB271" s="79" t="n"/>
      <c r="AC271" s="79" t="n"/>
      <c r="AD271" s="79" t="n"/>
      <c r="AE271" s="79" t="n"/>
      <c r="AF271" s="79" t="n"/>
      <c r="AG271" s="79" t="n"/>
      <c r="AH271" s="80" t="n"/>
      <c r="AI271" s="80" t="n"/>
      <c r="AJ271" s="80" t="n"/>
      <c r="AK271" s="80" t="n"/>
      <c r="AL271" s="80" t="n"/>
      <c r="AM271" s="80" t="n"/>
      <c r="AN271" s="80" t="n"/>
      <c r="AO271" s="80" t="n"/>
      <c r="AP271" s="80" t="n"/>
      <c r="AQ271" s="80" t="n"/>
      <c r="AR271" s="80" t="n"/>
      <c r="AS271" s="80" t="n"/>
      <c r="AT271" s="81" t="n"/>
      <c r="AU271" s="81" t="n"/>
      <c r="AV271" s="81" t="n"/>
      <c r="AW271" s="82" t="n"/>
      <c r="AX271" s="82" t="n"/>
      <c r="AY271" s="82" t="n"/>
      <c r="AZ271" s="82" t="n"/>
      <c r="BA271" s="82" t="n"/>
      <c r="BB271" s="83" t="n"/>
      <c r="BC271" s="83" t="n"/>
      <c r="BD271" s="84">
        <f>IF($A271="","",IF($DJ271&lt;&gt;"","FIX",IF($DK271&lt;&gt;"","CHECK","OK")))</f>
        <v/>
      </c>
      <c r="BE271" s="85">
        <f>IF($A271="","",IF($DJ271&lt;&gt;"","FIX: "&amp;LEFT($DJ271,LEN($DJ271)-2)&amp;IF($DK271&lt;&gt;"","  ·  ",""),"")&amp;IF($DK271&lt;&gt;"","CHECK: "&amp;LEFT($DK271,LEN($DK271)-2),""))</f>
        <v/>
      </c>
      <c r="BF271" s="84">
        <f>IF(OR($A271="",$K271=""),"",$K271&amp;"'-"&amp;N($L271)&amp;CHAR(34)&amp;" x "&amp;$M271&amp;"'-"&amp;N($N271)&amp;CHAR(34))</f>
        <v/>
      </c>
      <c r="BG271" s="84">
        <f>IF(OR($A271="",$K271=""),"",$K271&amp;N($L271)&amp;$M271&amp;N($N271))</f>
        <v/>
      </c>
      <c r="BH271" s="84">
        <f>IF(OR($A271="",$K271=""),"",$K271*12+N($L271))</f>
        <v/>
      </c>
      <c r="BI271" s="84">
        <f>IF(OR($A271="",$M271=""),"",$M271*12+N($N271))</f>
        <v/>
      </c>
      <c r="BJ271" s="84">
        <f>IF($A271="","",IF(OR($C271="FRAME ONLY",$S271="BL"),0,IF($O271="Y",2,1)))</f>
        <v/>
      </c>
      <c r="BK271" s="86">
        <f>IF(OR(N($BJ271)=0,$BH271=""),"",($BH271-2*EdgeClr-IF($BJ271=2,MeetClr,0))/$BJ271)</f>
        <v/>
      </c>
      <c r="BL271" s="86">
        <f>IF(OR(N($BJ271)=0,$BI271=""),"",$BI271-HeadClr-Undercut)</f>
        <v/>
      </c>
      <c r="BM271" s="86">
        <f>IF($BH271="","",$BH271+2*FaceW+IF(N($Q271)&gt;0,($Q271+FaceW)*IF($R271="LR",2,1),0))</f>
        <v/>
      </c>
      <c r="BN271" s="86">
        <f>IF($BI271="","",$BI271+IF($AB271="Y",4,FaceW)+IF(N($P271)&gt;0,$P271+FaceW,0)+IF(OR($S271="4F",$S271="BL"),FaceW,0))</f>
        <v/>
      </c>
      <c r="BO271" s="86">
        <f>IF($BM271="","",$BM271+2*ROSide)</f>
        <v/>
      </c>
      <c r="BP271" s="86">
        <f>IF($BN271="","",$BN271+ROTop)</f>
        <v/>
      </c>
      <c r="BQ271" s="87">
        <f>IF(OR(N($BJ271)=0,$BH271=""),"",$BH271/$BJ271-ClearDeduct)</f>
        <v/>
      </c>
      <c r="BR271" s="84">
        <f>IF(N($CH271)=0,"",IF($CH271&gt;=180,"A · 3 HR",IF($CH271&gt;=90,"B · 1-1/2 HR",IF($CH271&gt;=60,"B · 1 HR",IF($CH271&gt;=45,"C · 3/4 HR","20 MIN")))))&amp;IF(AND(N($CH271)&gt;0,OR($I271="CORRIDOR",$I271="SMOKE BARRIER"))," · S","")</f>
        <v/>
      </c>
      <c r="BS271" s="84">
        <f>IF($CS271,"",IF($AV271&lt;&gt;"",$AV271,IF(OR($AC271="HGC",$AO271="HGC"),"CONT",IF(($BI271-HeadClr-Undercut)&lt;=60,2,IF(($BI271-HeadClr-Undercut)&lt;=90,3,IF(($BI271-HeadClr-Undercut)&lt;=120,4,5))))))</f>
        <v/>
      </c>
      <c r="BT271" s="84">
        <f>IF($CS271,"",IF($CT271,"CUSTOM (typed)",IF($CV271,$AT271&amp;" "&amp;$CU271&amp;CHAR(34)&amp;IF($CU271&lt;&gt;$BI271,IF(AND($BI271&lt;$CU271,$BI271-IF(N(VLOOKUP($AT271&amp;"|"&amp;$CU271,LocTable,7,FALSE))&gt;0,VLOOKUP($AT271&amp;"|"&amp;$CU271,LocTable,7,FALSE),VLOOKUP($AT271&amp;"|"&amp;$CU271,LocTable,6,FALSE))-$CR271-0.75&gt;=2.125)," cut down"," adj."),""),"ANSI/SDI A250.6")))</f>
        <v/>
      </c>
      <c r="BU271" s="88">
        <f>IF($CS271,"",IF($CT271,IF(N($AW271)&gt;0,N($AW271),""),IF(1&gt;$CQ271,"",IF($CQ271=1,$CW271,$CW271+($CX271-$CW271)*0/($CQ271-1)))))</f>
        <v/>
      </c>
      <c r="BV271" s="88">
        <f>IF($CS271,"",IF($CT271,IF(N($AX271)&gt;0,N($AX271),""),IF(2&gt;$CQ271,"",IF($CQ271=1,$CW271,$CW271+($CX271-$CW271)*1/($CQ271-1)))))</f>
        <v/>
      </c>
      <c r="BW271" s="88">
        <f>IF($CS271,"",IF($CT271,IF(N($AY271)&gt;0,N($AY271),""),IF(3&gt;$CQ271,"",IF($CQ271=1,$CW271,$CW271+($CX271-$CW271)*2/($CQ271-1)))))</f>
        <v/>
      </c>
      <c r="BX271" s="88">
        <f>IF($CS271,"",IF($CT271,IF(N($AZ271)&gt;0,N($AZ271),""),IF(4&gt;$CQ271,"",IF($CQ271=1,$CW271,$CW271+($CX271-$CW271)*3/($CQ271-1)))))</f>
        <v/>
      </c>
      <c r="BY271" s="88">
        <f>IF($CS271,"",IF($CT271,"",IF(5&gt;$CQ271,"",IF($CQ271=1,$CW271,$CW271+($CX271-$CW271)*4/($CQ271-1)))))</f>
        <v/>
      </c>
      <c r="BZ271" s="88">
        <f>IF(OR($CS271,$AP271="-",AND($AP271="",$AD271="")),"",IF(N($BA271)&gt;0,N($BA271),IF($CV271,IF(AND($BI271&lt;$CU271,$BI271-IF(N(VLOOKUP($AT271&amp;"|"&amp;$CU271,LocTable,7,FALSE))&gt;0,VLOOKUP($AT271&amp;"|"&amp;$CU271,LocTable,7,FALSE),VLOOKUP($AT271&amp;"|"&amp;$CU271,LocTable,6,FALSE))-$CR271-0.75&gt;=2.125),VLOOKUP($AT271&amp;"|"&amp;$CU271,LocTable,8,FALSE),VLOOKUP($AT271&amp;"|"&amp;$CU271,LocTable,8,FALSE)+($BI271-$CU271)),$BI271-LockAFF)))</f>
        <v/>
      </c>
      <c r="CA271" s="89">
        <f>IF($BZ271="","",$BI271-$BZ271)</f>
        <v/>
      </c>
      <c r="CB271" s="84">
        <f>IF(OR(NOT(AND($A271&lt;&gt;"",$C271&lt;&gt;"DOOR ONLY")),$BI271=""),"",IF(($BI271+IF(N($P271)&gt;0,$P271+FaceW,0))&lt;=90,3,IF(($BI271+IF(N($P271)&gt;0,$P271+FaceW,0))&lt;=114,4,5)))</f>
        <v/>
      </c>
      <c r="CC271" s="84">
        <f>IF($CB271="","",$CB271*(2+IF(N($Q271)&gt;0,IF($R271="LR",2,1),0)))</f>
        <v/>
      </c>
      <c r="CD271" s="84">
        <f>IF($CB271="","",(2+IF(N($Q271)&gt;0,IF($R271="LR",2,1),0)))</f>
        <v/>
      </c>
      <c r="CE271" s="84">
        <f>IF(N($BJ271)=0,"",IF(OR($AL271="",$AL271="FLUSH"),"FLUSH",IFERROR(LEFT($AL271,FIND("-",$AL271)-1),LEFT($AL271,2))))</f>
        <v/>
      </c>
      <c r="CF271" s="84">
        <f>IF($CE271="","",IFERROR(VALUE(MID($AL271,FIND("-",$AL271)+1,FIND(CHAR(34)&amp;"x",$AL271)-FIND("-",$AL271)-1)),0))</f>
        <v/>
      </c>
      <c r="CG271" s="84">
        <f>IF($CE271="","",IFERROR(VALUE(MID($AL271,FIND(CHAR(34)&amp;"x",$AL271)+2,FIND(CHAR(34),$AL271,FIND(CHAR(34)&amp;"x",$AL271)+2)-FIND(CHAR(34)&amp;"x",$AL271)-2)),0))</f>
        <v/>
      </c>
      <c r="CH271" s="90">
        <f>IF(OR($A271="",$H271="",$H271="NO LAB"),0,IFERROR(VALUE(LEFT($H271,FIND(" ",$H271)-1)),0))</f>
        <v/>
      </c>
      <c r="CI271" s="91">
        <f>IF(OR($A271="",$I271="",$I271="NON-RATED",N($J271)=0),"",IFERROR(VLOOKUP($I271&amp;"|"&amp;$J271,IBC,2,FALSE),"?"))</f>
        <v/>
      </c>
      <c r="CJ271" s="85">
        <f>IF(NOT(AND($A271&lt;&gt;"",$C271&lt;&gt;"DOOR ONLY")),"",TRIM(IFERROR(VLOOKUP($U271,CODES,2,FALSE),"")&amp;" "&amp;$BG271&amp;" "&amp;IFERROR(VLOOKUP($Z271,CODES,2,FALSE),"")&amp;" "&amp;IFERROR(VLOOKUP($X271,CODES,2,FALSE),"")&amp;" "&amp;IFERROR(VLOOKUP($S271,CODES,2,FALSE),"")&amp;IF(N($P271)&gt;0," w/TRANSOM "&amp;$P271&amp;CHAR(34),"")&amp;IF(N($Q271)&gt;0," w/SIDELITE "&amp;$Q271&amp;CHAR(34)&amp;" "&amp;IF($R271="","R",$R271),"")&amp;IF($Y271="","  |  "," | "&amp;IFERROR(VLOOKUP($Y271,CODES,2,FALSE),"")&amp;" | ")&amp;IFERROR(VLOOKUP($AC271,CODES,2,FALSE),"")&amp;" "&amp;IFERROR(VLOOKUP($AD271,CODES,2,FALSE),"")&amp;IF(OR($AE271="",$AE271="-"),""," "&amp;$AE271)&amp;IF(OR($AF271="",$AF271="-"),""," "&amp;$AF271)&amp;IF($AB271="Y"," 4"&amp;CHAR(34)&amp;" HEAD","")&amp;" "&amp;IFERROR(VLOOKUP($H271,CODES,2,FALSE),"")&amp;IF($CT271," | LOC "&amp;$CY271,"")))</f>
        <v/>
      </c>
      <c r="CK271" s="85">
        <f>IF(NOT(AND($A271&lt;&gt;"",N($BJ271)&gt;0)),"",TRIM(IFERROR(VLOOKUP($AH271,CODES,2,FALSE),"")&amp;IF($AI271=""," "," "&amp;$AI271&amp;"GA ")&amp;$BG271&amp;" "&amp;IF($AN271="",IFERROR(VLOOKUP($Z271,CODES,2,FALSE),""),IFERROR(VLOOKUP($AN271,CODES,2,FALSE),""))&amp;IF($BJ271=2," PAIR","")&amp;" DOOR | "&amp;IF($AL271="","?",$AL271)&amp;" | "&amp;IF($AO271="",IFERROR(VLOOKUP($AC271,CODES,2,FALSE),""),IFERROR(VLOOKUP($AO271,CODES,2,FALSE),""))&amp;" "&amp;IFERROR(VLOOKUP($AP271,CODES,2,FALSE),"")&amp;IF(OR($AQ271="",$AQ271="-"),""," SEAM "&amp;$AQ271)&amp;IF($AR271="Y"," ASTRAGAL","")&amp;IF($AJ271=""," "," "&amp;$AJ271)&amp;IF($AK271=""," "," "&amp;$AK271)&amp;IF(OR($AT271="",$AT271="ANSI/SDI",$AT271="CUSTOM LOC"),""," "&amp;$AT271)&amp;IF($AM271=""," "," SERIES "&amp;$AM271)&amp;" "&amp;IFERROR(VLOOKUP($H271,CODES,2,FALSE),"")&amp;IF($CT271," | LOC "&amp;$CZ271,"")))</f>
        <v/>
      </c>
      <c r="CL271" s="84">
        <f>IF(CP271="","",IF(COUNTIF($CP$6:CP271,CP271)=1,MAX($CL$5:CL270)+1,INDEX($CL$5:CL270,MATCH(CP271,$CP$5:CP270,0))))</f>
        <v/>
      </c>
      <c r="CM271" s="84">
        <f>IF(NOT(AND($A271&lt;&gt;"",$C271&lt;&gt;"DOOR ONLY")),"",MAX($CM$5:CM270)+1)</f>
        <v/>
      </c>
      <c r="CN271" s="84">
        <f>IF(NOT(AND($A271&lt;&gt;"",N($BJ271)&gt;0)),"",MAX($CN$5:CN270)+1)</f>
        <v/>
      </c>
      <c r="CO271" s="84">
        <f>IF($A271="","",MAX($CO$5:CO270)+1)</f>
        <v/>
      </c>
      <c r="CP271" s="84">
        <f>IF(OR($A271="",$BH271="",$BI271=""),"",$BG271&amp;"|"&amp;$O271&amp;"|"&amp;$AL271&amp;"|"&amp;$S271&amp;"|"&amp;$P271&amp;"|"&amp;$Q271&amp;$R271&amp;"|"&amp;$C271&amp;"|"&amp;$AB271)</f>
        <v/>
      </c>
      <c r="CQ271" s="84">
        <f>N($BS271)</f>
        <v/>
      </c>
      <c r="CR271" s="84">
        <f>IF(N($AU271)&gt;0,N($AU271),4.5)</f>
        <v/>
      </c>
      <c r="CS271" s="84">
        <f>OR($A271="",$BI271="",$S271="BL",AND($C271="FRAME ONLY",OR($AC271="",$AC271="BLK")))</f>
        <v/>
      </c>
      <c r="CT271" s="84">
        <f>AND(NOT($CS271),OR($AT271="CUSTOM LOC",N($AW271)+N($AX271)+N($AY271)+N($AZ271)+N($BA271)&gt;0))</f>
        <v/>
      </c>
      <c r="CU271" s="84">
        <f>IF($BI271="","",IF($BI271&lt;=80,80,IF($BI271&lt;=84,84,96)))</f>
        <v/>
      </c>
      <c r="CV271" s="84">
        <f>ISNUMBER(MATCH($AT271&amp;"|80",LocKeys,0))</f>
        <v/>
      </c>
      <c r="CW271" s="86">
        <f>IF($CS271,"",IF($CV271,VLOOKUP($AT271&amp;"|"&amp;$CU271,LocTable,4,FALSE),5))</f>
        <v/>
      </c>
      <c r="CX271" s="86">
        <f>IF($CS271,"",IF($CV271,IF(OR($BI271=$CU271,AND($BI271&lt;$CU271,$BI271-IF(N(VLOOKUP($AT271&amp;"|"&amp;$CU271,LocTable,7,FALSE))&gt;0,VLOOKUP($AT271&amp;"|"&amp;$CU271,LocTable,7,FALSE),VLOOKUP($AT271&amp;"|"&amp;$CU271,LocTable,6,FALSE))-$CR271-0.75&gt;=2.125)),IF(N(VLOOKUP($AT271&amp;"|"&amp;$CU271,LocTable,7,FALSE))&gt;0,VLOOKUP($AT271&amp;"|"&amp;$CU271,LocTable,7,FALSE),VLOOKUP($AT271&amp;"|"&amp;$CU271,LocTable,6,FALSE)),$BI271-($CU271-IF(N(VLOOKUP($AT271&amp;"|"&amp;$CU271,LocTable,7,FALSE))&gt;0,VLOOKUP($AT271&amp;"|"&amp;$CU271,LocTable,7,FALSE),VLOOKUP($AT271&amp;"|"&amp;$CU271,LocTable,6,FALSE)))),$BI271-10-$CR271))</f>
        <v/>
      </c>
      <c r="CY271" s="85">
        <f>IF($CS271,"",TRIM(IF(ISNUMBER($BU271),"A "&amp;TRIM(TEXT($BU271,"# ?/??"))&amp;CHAR(34)&amp;"  ","")&amp;IF(ISNUMBER($BV271),"B "&amp;TRIM(TEXT($BV271,"# ?/??"))&amp;CHAR(34)&amp;"  ","")&amp;IF(ISNUMBER($BW271),"C "&amp;TRIM(TEXT($BW271,"# ?/??"))&amp;CHAR(34)&amp;"  ","")&amp;IF(ISNUMBER($BX271),"D "&amp;TRIM(TEXT($BX271,"# ?/??"))&amp;CHAR(34)&amp;"  ","")&amp;IF(ISNUMBER($BY271),"F "&amp;TRIM(TEXT($BY271,"# ?/??"))&amp;CHAR(34)&amp;"  ","")&amp;IF(ISNUMBER($BZ271),"E "&amp;TRIM(TEXT($BZ271,"# ?/??"))&amp;CHAR(34)&amp;"  ","")))</f>
        <v/>
      </c>
      <c r="CZ271" s="85">
        <f>IF(OR($CS271,N($BJ271)=0),"",TRIM(IF(ISNUMBER($BU271),"A "&amp;TRIM(TEXT($BU271-HeadClr,"# ?/??"))&amp;CHAR(34)&amp;"  ","")&amp;IF(ISNUMBER($BV271),"B "&amp;TRIM(TEXT($BV271-HeadClr,"# ?/??"))&amp;CHAR(34)&amp;"  ","")&amp;IF(ISNUMBER($BW271),"C "&amp;TRIM(TEXT($BW271-HeadClr,"# ?/??"))&amp;CHAR(34)&amp;"  ","")&amp;IF(ISNUMBER($BX271),"D "&amp;TRIM(TEXT($BX271-HeadClr,"# ?/??"))&amp;CHAR(34)&amp;"  ","")&amp;IF(ISNUMBER($BY271),"F "&amp;TRIM(TEXT($BY271-HeadClr,"# ?/??"))&amp;CHAR(34)&amp;"  ","")&amp;IF(ISNUMBER($BZ271),"E "&amp;TRIM(TEXT($BZ271-HeadClr,"# ?/??"))&amp;CHAR(34)&amp;"  ","")))</f>
        <v/>
      </c>
      <c r="DA271" s="84">
        <f>IF($A271="","",IF($AN271="",IFERROR(VLOOKUP($Z271,CODES,2,FALSE),""),IFERROR(VLOOKUP($AN271,CODES,2,FALSE),"")))</f>
        <v/>
      </c>
      <c r="DB271" s="84">
        <f>IF($A271="","",IF($O271="Y","PR",IF(OR($Z271="L",$Z271="RR",LEFT($Z271,2)="L-",LEFT($Z271,3)="RR-"),"LH","RH")))</f>
        <v/>
      </c>
      <c r="DC271" s="84">
        <f>IF($A271="","","S.HM"&amp;IF(OR($C271="DOOR ONLY",$X271&lt;&gt;"KD"),"MASONRY","DRYWALL")&amp;IF($C271="DOOR ONLY","",$U271)&amp;IF(AND($C271&lt;&gt;"FRAME ONLY",OR(LEFT($AH271,3)="OAK",LEFT($AH271,3)="BIR",LEFT($AH271,3)="MAP",$AH271="PC",$AH271="MC",$AH271="SCLC",$AH271="P-LAM")),"WD","HM")&amp;"1.75")</f>
        <v/>
      </c>
      <c r="DD271" s="84">
        <f>IF($CJ271="","",IF($O271="Y",$CJ271,SUBSTITUTE($CJ271,$BG271&amp;" "&amp;IFERROR(VLOOKUP($Z271,CODES,2,FALSE),"")&amp;" ",$BG271&amp;" ")))</f>
        <v/>
      </c>
      <c r="DE271" s="84">
        <f>IF($CK271="","",IF($O271="Y",$CK271,SUBSTITUTE($CK271,$BG271&amp;" "&amp;IF($AN271="",IFERROR(VLOOKUP($Z271,CODES,2,FALSE),""),IFERROR(VLOOKUP($AN271,CODES,2,FALSE),""))&amp;" ",$BG271&amp;" ")))</f>
        <v/>
      </c>
      <c r="DF271" s="84">
        <f>IF($CJ271="","",$DC271&amp;"|"&amp;$DD271&amp;"|"&amp;$DB271&amp;"|"&amp;$AT271&amp;"|"&amp;$V271&amp;"|"&amp;$Y271&amp;"|"&amp;$AB271)</f>
        <v/>
      </c>
      <c r="DG271" s="84">
        <f>IF(DF271="","",IF(COUNTIF($DF$6:DF271,DF271)=1,MAX($DG$5:DG270)+1,INDEX($DG$5:DG270,MATCH(DF271,$DF$5:DF270,0))))</f>
        <v/>
      </c>
      <c r="DH271" s="84">
        <f>IF($CK271="","",$DC271&amp;"|"&amp;$DE271&amp;"|"&amp;$AI271&amp;"|"&amp;$BK271&amp;"|"&amp;$BL271)</f>
        <v/>
      </c>
      <c r="DI271" s="84">
        <f>IF(DH271="","",IF(COUNTIF($DH$6:DH271,DH271)=1,MAX($DI$5:DI270)+1,INDEX($DI$5:DI270,MATCH(DH271,$DH$5:DH270,0))))</f>
        <v/>
      </c>
      <c r="DJ271" s="84">
        <f>IF($A271="","",IF($B271="","qty, ","")&amp;IF($C271="","scope, ","")&amp;IF(OR($K271="",$M271=""),"size, ","")&amp;IF(AND($A271&lt;&gt;"",$C271&lt;&gt;"DOOR ONLY"),IF($U271="","jamb depth, ","")&amp;IF($X271="","construction, ","")&amp;IF($Y271="","anchor, ","")&amp;IF($S271="","frame type, ",""),"")&amp;IF(AND(N($BJ271)&gt;0,$Z271=""),"hand, ","")&amp;IF(N($BJ271)&gt;0,IF($AH271="","door material, ","")&amp;IF($AL271="","face type, ","")&amp;IF($AP271="","lock prep, ","")&amp;IF(AND($AO271="",$AC271=""),"hinge prep, ",""),"")&amp;IF(AND($CH271&gt;0,$AH271="FRP"),"FRP cannot carry a label, ","")&amp;IF(AND($O271="Y",OR($Z271="L",$Z271="R",$Z271="LR",$Z271="RR")),"pair marked but hand is single, ","")&amp;IF(AND($O271&lt;&gt;"Y",OR($Z271="PR",AND(LEN($Z271)&gt;1,ISNUMBER(SEARCH("-",$Z271))))),"pair hand on a single door, ","")&amp;IF(AND(ISNUMBER($CI271),$CH271&lt;N($CI271)),"wall needs a "&amp;$CI271&amp;" min door, ","")&amp;IF(AND($CH271&gt;=180,AND(OR($CE271="FG",$CE271="HG",$CE271="FNV",$CE271="FV"),N($CF271)*N($CG271)&gt;100)),"180 min lite over 100 sq in, ","")&amp;IF(N($BK271)&gt;48,"leaf wider than 4'-0"&amp;CHAR(34)&amp;", ","")&amp;IF(AND($CT271,COUNT($AW271:$AZ271)=0,$CQ271&gt;0),"CUSTOM LOC with no locations typed, ",""))</f>
        <v/>
      </c>
      <c r="DK271" s="84">
        <f>IF($A271="","",IF(AND($CH271&gt;0,AND($A271&lt;&gt;"",$C271&lt;&gt;"DOOR ONLY"),$X271="KD",$E271="EXTERIOR"),"KD label on an exterior opening, ","")&amp;IF(AND($E271="EXTERIOR",OR(AND(AND($A271&lt;&gt;"",$C271&lt;&gt;"DOOR ONLY"),$W271="CR"),AND(N($BJ271)&gt;0,$AH271="CR"))),"exterior in CR steel (G9?), ","")&amp;IF(AND(ISNUMBER($BQ271),N($BQ271)&lt;32),"clear width ~"&amp;TEXT($BQ271,"0.0")&amp;CHAR(34)&amp;" under 32"&amp;CHAR(34)&amp;" (ADA), ","")&amp;IF(AND($CH271=90,AND(OR($CE271="FG",$CE271="HG",$CE271="FNV",$CE271="FV"),N($CF271)*N($CG271)&gt;100)),"90 min lite over 100 sq in (stair/exit), ","")&amp;IF(AND($CH271&gt;0,AND($A271&lt;&gt;"",$C271&lt;&gt;"DOOR ONLY"),OR($AF271="",$AF271="-")),"rated: closer reinf.?, ","")&amp;IF(OR($I271="CORRIDOR",$I271="SMOKE BARRIER"),"S label + smoke gasketing, ","")&amp;IF($CI271="?","wall type/hr not in IBC table, ","")&amp;IF(AND(N($BJ271)&gt;0,$BB271=""),"no hardware set, ","")&amp;IF(AND($BB271&lt;&gt;"",ISNA(MATCH($BB271&amp;"",HWSets,0))),"set "&amp;$BB271&amp;" not on HW Sets, ","")&amp;IF(N($BL271)&gt;96,"leaf over 8'-0"&amp;CHAR(34)&amp;" - check listing, ","")&amp;IF(AND($CT271,COUNT($AW271:$AZ271)&gt;0,COUNT($AW271:$AZ271)&lt;&gt;$CQ271),COUNT($AW271:$AZ271)&amp;" custom hinges typed, "&amp;$CQ271&amp;" expected, ","")&amp;IF(AND(ISNUMBER($CA271),OR(N($CA271)&lt;34,N($CA271)&gt;48)),"lock "&amp;TEXT($CA271,"0.0")&amp;CHAR(34)&amp;" AFF outside 34-48"&amp;CHAR(34)&amp;" (ADA), ","")&amp;IF(AND(ISNUMBER($AV271),ISNUMBER($BL271),N($AV271)&lt;IF(N($BL271)&lt;=60,2,IF(N($BL271)&lt;=90,3,IF(N($BL271)&lt;=120,4,5)))),"fewer hinges than standard, ",""))</f>
        <v/>
      </c>
    </row>
    <row r="272" ht="15" customHeight="1">
      <c r="A272" s="77" t="n"/>
      <c r="B272" s="78" t="n"/>
      <c r="C272" s="78" t="n"/>
      <c r="D272" s="78" t="n"/>
      <c r="E272" s="78" t="n"/>
      <c r="F272" s="78" t="n"/>
      <c r="G272" s="78" t="n"/>
      <c r="H272" s="78" t="n"/>
      <c r="I272" s="78" t="n"/>
      <c r="J272" s="78" t="n"/>
      <c r="K272" s="78" t="n"/>
      <c r="L272" s="78" t="n"/>
      <c r="M272" s="78" t="n"/>
      <c r="N272" s="78" t="n"/>
      <c r="O272" s="78" t="n"/>
      <c r="P272" s="78" t="n"/>
      <c r="Q272" s="78" t="n"/>
      <c r="R272" s="78" t="n"/>
      <c r="S272" s="79" t="n"/>
      <c r="T272" s="79" t="n"/>
      <c r="U272" s="79" t="n"/>
      <c r="V272" s="79" t="n"/>
      <c r="W272" s="79" t="n"/>
      <c r="X272" s="79" t="n"/>
      <c r="Y272" s="79" t="n"/>
      <c r="Z272" s="79" t="n"/>
      <c r="AA272" s="79" t="n"/>
      <c r="AB272" s="79" t="n"/>
      <c r="AC272" s="79" t="n"/>
      <c r="AD272" s="79" t="n"/>
      <c r="AE272" s="79" t="n"/>
      <c r="AF272" s="79" t="n"/>
      <c r="AG272" s="79" t="n"/>
      <c r="AH272" s="80" t="n"/>
      <c r="AI272" s="80" t="n"/>
      <c r="AJ272" s="80" t="n"/>
      <c r="AK272" s="80" t="n"/>
      <c r="AL272" s="80" t="n"/>
      <c r="AM272" s="80" t="n"/>
      <c r="AN272" s="80" t="n"/>
      <c r="AO272" s="80" t="n"/>
      <c r="AP272" s="80" t="n"/>
      <c r="AQ272" s="80" t="n"/>
      <c r="AR272" s="80" t="n"/>
      <c r="AS272" s="80" t="n"/>
      <c r="AT272" s="81" t="n"/>
      <c r="AU272" s="81" t="n"/>
      <c r="AV272" s="81" t="n"/>
      <c r="AW272" s="82" t="n"/>
      <c r="AX272" s="82" t="n"/>
      <c r="AY272" s="82" t="n"/>
      <c r="AZ272" s="82" t="n"/>
      <c r="BA272" s="82" t="n"/>
      <c r="BB272" s="83" t="n"/>
      <c r="BC272" s="83" t="n"/>
      <c r="BD272" s="84">
        <f>IF($A272="","",IF($DJ272&lt;&gt;"","FIX",IF($DK272&lt;&gt;"","CHECK","OK")))</f>
        <v/>
      </c>
      <c r="BE272" s="85">
        <f>IF($A272="","",IF($DJ272&lt;&gt;"","FIX: "&amp;LEFT($DJ272,LEN($DJ272)-2)&amp;IF($DK272&lt;&gt;"","  ·  ",""),"")&amp;IF($DK272&lt;&gt;"","CHECK: "&amp;LEFT($DK272,LEN($DK272)-2),""))</f>
        <v/>
      </c>
      <c r="BF272" s="84">
        <f>IF(OR($A272="",$K272=""),"",$K272&amp;"'-"&amp;N($L272)&amp;CHAR(34)&amp;" x "&amp;$M272&amp;"'-"&amp;N($N272)&amp;CHAR(34))</f>
        <v/>
      </c>
      <c r="BG272" s="84">
        <f>IF(OR($A272="",$K272=""),"",$K272&amp;N($L272)&amp;$M272&amp;N($N272))</f>
        <v/>
      </c>
      <c r="BH272" s="84">
        <f>IF(OR($A272="",$K272=""),"",$K272*12+N($L272))</f>
        <v/>
      </c>
      <c r="BI272" s="84">
        <f>IF(OR($A272="",$M272=""),"",$M272*12+N($N272))</f>
        <v/>
      </c>
      <c r="BJ272" s="84">
        <f>IF($A272="","",IF(OR($C272="FRAME ONLY",$S272="BL"),0,IF($O272="Y",2,1)))</f>
        <v/>
      </c>
      <c r="BK272" s="86">
        <f>IF(OR(N($BJ272)=0,$BH272=""),"",($BH272-2*EdgeClr-IF($BJ272=2,MeetClr,0))/$BJ272)</f>
        <v/>
      </c>
      <c r="BL272" s="86">
        <f>IF(OR(N($BJ272)=0,$BI272=""),"",$BI272-HeadClr-Undercut)</f>
        <v/>
      </c>
      <c r="BM272" s="86">
        <f>IF($BH272="","",$BH272+2*FaceW+IF(N($Q272)&gt;0,($Q272+FaceW)*IF($R272="LR",2,1),0))</f>
        <v/>
      </c>
      <c r="BN272" s="86">
        <f>IF($BI272="","",$BI272+IF($AB272="Y",4,FaceW)+IF(N($P272)&gt;0,$P272+FaceW,0)+IF(OR($S272="4F",$S272="BL"),FaceW,0))</f>
        <v/>
      </c>
      <c r="BO272" s="86">
        <f>IF($BM272="","",$BM272+2*ROSide)</f>
        <v/>
      </c>
      <c r="BP272" s="86">
        <f>IF($BN272="","",$BN272+ROTop)</f>
        <v/>
      </c>
      <c r="BQ272" s="87">
        <f>IF(OR(N($BJ272)=0,$BH272=""),"",$BH272/$BJ272-ClearDeduct)</f>
        <v/>
      </c>
      <c r="BR272" s="84">
        <f>IF(N($CH272)=0,"",IF($CH272&gt;=180,"A · 3 HR",IF($CH272&gt;=90,"B · 1-1/2 HR",IF($CH272&gt;=60,"B · 1 HR",IF($CH272&gt;=45,"C · 3/4 HR","20 MIN")))))&amp;IF(AND(N($CH272)&gt;0,OR($I272="CORRIDOR",$I272="SMOKE BARRIER"))," · S","")</f>
        <v/>
      </c>
      <c r="BS272" s="84">
        <f>IF($CS272,"",IF($AV272&lt;&gt;"",$AV272,IF(OR($AC272="HGC",$AO272="HGC"),"CONT",IF(($BI272-HeadClr-Undercut)&lt;=60,2,IF(($BI272-HeadClr-Undercut)&lt;=90,3,IF(($BI272-HeadClr-Undercut)&lt;=120,4,5))))))</f>
        <v/>
      </c>
      <c r="BT272" s="84">
        <f>IF($CS272,"",IF($CT272,"CUSTOM (typed)",IF($CV272,$AT272&amp;" "&amp;$CU272&amp;CHAR(34)&amp;IF($CU272&lt;&gt;$BI272,IF(AND($BI272&lt;$CU272,$BI272-IF(N(VLOOKUP($AT272&amp;"|"&amp;$CU272,LocTable,7,FALSE))&gt;0,VLOOKUP($AT272&amp;"|"&amp;$CU272,LocTable,7,FALSE),VLOOKUP($AT272&amp;"|"&amp;$CU272,LocTable,6,FALSE))-$CR272-0.75&gt;=2.125)," cut down"," adj."),""),"ANSI/SDI A250.6")))</f>
        <v/>
      </c>
      <c r="BU272" s="88">
        <f>IF($CS272,"",IF($CT272,IF(N($AW272)&gt;0,N($AW272),""),IF(1&gt;$CQ272,"",IF($CQ272=1,$CW272,$CW272+($CX272-$CW272)*0/($CQ272-1)))))</f>
        <v/>
      </c>
      <c r="BV272" s="88">
        <f>IF($CS272,"",IF($CT272,IF(N($AX272)&gt;0,N($AX272),""),IF(2&gt;$CQ272,"",IF($CQ272=1,$CW272,$CW272+($CX272-$CW272)*1/($CQ272-1)))))</f>
        <v/>
      </c>
      <c r="BW272" s="88">
        <f>IF($CS272,"",IF($CT272,IF(N($AY272)&gt;0,N($AY272),""),IF(3&gt;$CQ272,"",IF($CQ272=1,$CW272,$CW272+($CX272-$CW272)*2/($CQ272-1)))))</f>
        <v/>
      </c>
      <c r="BX272" s="88">
        <f>IF($CS272,"",IF($CT272,IF(N($AZ272)&gt;0,N($AZ272),""),IF(4&gt;$CQ272,"",IF($CQ272=1,$CW272,$CW272+($CX272-$CW272)*3/($CQ272-1)))))</f>
        <v/>
      </c>
      <c r="BY272" s="88">
        <f>IF($CS272,"",IF($CT272,"",IF(5&gt;$CQ272,"",IF($CQ272=1,$CW272,$CW272+($CX272-$CW272)*4/($CQ272-1)))))</f>
        <v/>
      </c>
      <c r="BZ272" s="88">
        <f>IF(OR($CS272,$AP272="-",AND($AP272="",$AD272="")),"",IF(N($BA272)&gt;0,N($BA272),IF($CV272,IF(AND($BI272&lt;$CU272,$BI272-IF(N(VLOOKUP($AT272&amp;"|"&amp;$CU272,LocTable,7,FALSE))&gt;0,VLOOKUP($AT272&amp;"|"&amp;$CU272,LocTable,7,FALSE),VLOOKUP($AT272&amp;"|"&amp;$CU272,LocTable,6,FALSE))-$CR272-0.75&gt;=2.125),VLOOKUP($AT272&amp;"|"&amp;$CU272,LocTable,8,FALSE),VLOOKUP($AT272&amp;"|"&amp;$CU272,LocTable,8,FALSE)+($BI272-$CU272)),$BI272-LockAFF)))</f>
        <v/>
      </c>
      <c r="CA272" s="89">
        <f>IF($BZ272="","",$BI272-$BZ272)</f>
        <v/>
      </c>
      <c r="CB272" s="84">
        <f>IF(OR(NOT(AND($A272&lt;&gt;"",$C272&lt;&gt;"DOOR ONLY")),$BI272=""),"",IF(($BI272+IF(N($P272)&gt;0,$P272+FaceW,0))&lt;=90,3,IF(($BI272+IF(N($P272)&gt;0,$P272+FaceW,0))&lt;=114,4,5)))</f>
        <v/>
      </c>
      <c r="CC272" s="84">
        <f>IF($CB272="","",$CB272*(2+IF(N($Q272)&gt;0,IF($R272="LR",2,1),0)))</f>
        <v/>
      </c>
      <c r="CD272" s="84">
        <f>IF($CB272="","",(2+IF(N($Q272)&gt;0,IF($R272="LR",2,1),0)))</f>
        <v/>
      </c>
      <c r="CE272" s="84">
        <f>IF(N($BJ272)=0,"",IF(OR($AL272="",$AL272="FLUSH"),"FLUSH",IFERROR(LEFT($AL272,FIND("-",$AL272)-1),LEFT($AL272,2))))</f>
        <v/>
      </c>
      <c r="CF272" s="84">
        <f>IF($CE272="","",IFERROR(VALUE(MID($AL272,FIND("-",$AL272)+1,FIND(CHAR(34)&amp;"x",$AL272)-FIND("-",$AL272)-1)),0))</f>
        <v/>
      </c>
      <c r="CG272" s="84">
        <f>IF($CE272="","",IFERROR(VALUE(MID($AL272,FIND(CHAR(34)&amp;"x",$AL272)+2,FIND(CHAR(34),$AL272,FIND(CHAR(34)&amp;"x",$AL272)+2)-FIND(CHAR(34)&amp;"x",$AL272)-2)),0))</f>
        <v/>
      </c>
      <c r="CH272" s="90">
        <f>IF(OR($A272="",$H272="",$H272="NO LAB"),0,IFERROR(VALUE(LEFT($H272,FIND(" ",$H272)-1)),0))</f>
        <v/>
      </c>
      <c r="CI272" s="91">
        <f>IF(OR($A272="",$I272="",$I272="NON-RATED",N($J272)=0),"",IFERROR(VLOOKUP($I272&amp;"|"&amp;$J272,IBC,2,FALSE),"?"))</f>
        <v/>
      </c>
      <c r="CJ272" s="85">
        <f>IF(NOT(AND($A272&lt;&gt;"",$C272&lt;&gt;"DOOR ONLY")),"",TRIM(IFERROR(VLOOKUP($U272,CODES,2,FALSE),"")&amp;" "&amp;$BG272&amp;" "&amp;IFERROR(VLOOKUP($Z272,CODES,2,FALSE),"")&amp;" "&amp;IFERROR(VLOOKUP($X272,CODES,2,FALSE),"")&amp;" "&amp;IFERROR(VLOOKUP($S272,CODES,2,FALSE),"")&amp;IF(N($P272)&gt;0," w/TRANSOM "&amp;$P272&amp;CHAR(34),"")&amp;IF(N($Q272)&gt;0," w/SIDELITE "&amp;$Q272&amp;CHAR(34)&amp;" "&amp;IF($R272="","R",$R272),"")&amp;IF($Y272="","  |  "," | "&amp;IFERROR(VLOOKUP($Y272,CODES,2,FALSE),"")&amp;" | ")&amp;IFERROR(VLOOKUP($AC272,CODES,2,FALSE),"")&amp;" "&amp;IFERROR(VLOOKUP($AD272,CODES,2,FALSE),"")&amp;IF(OR($AE272="",$AE272="-"),""," "&amp;$AE272)&amp;IF(OR($AF272="",$AF272="-"),""," "&amp;$AF272)&amp;IF($AB272="Y"," 4"&amp;CHAR(34)&amp;" HEAD","")&amp;" "&amp;IFERROR(VLOOKUP($H272,CODES,2,FALSE),"")&amp;IF($CT272," | LOC "&amp;$CY272,"")))</f>
        <v/>
      </c>
      <c r="CK272" s="85">
        <f>IF(NOT(AND($A272&lt;&gt;"",N($BJ272)&gt;0)),"",TRIM(IFERROR(VLOOKUP($AH272,CODES,2,FALSE),"")&amp;IF($AI272=""," "," "&amp;$AI272&amp;"GA ")&amp;$BG272&amp;" "&amp;IF($AN272="",IFERROR(VLOOKUP($Z272,CODES,2,FALSE),""),IFERROR(VLOOKUP($AN272,CODES,2,FALSE),""))&amp;IF($BJ272=2," PAIR","")&amp;" DOOR | "&amp;IF($AL272="","?",$AL272)&amp;" | "&amp;IF($AO272="",IFERROR(VLOOKUP($AC272,CODES,2,FALSE),""),IFERROR(VLOOKUP($AO272,CODES,2,FALSE),""))&amp;" "&amp;IFERROR(VLOOKUP($AP272,CODES,2,FALSE),"")&amp;IF(OR($AQ272="",$AQ272="-"),""," SEAM "&amp;$AQ272)&amp;IF($AR272="Y"," ASTRAGAL","")&amp;IF($AJ272=""," "," "&amp;$AJ272)&amp;IF($AK272=""," "," "&amp;$AK272)&amp;IF(OR($AT272="",$AT272="ANSI/SDI",$AT272="CUSTOM LOC"),""," "&amp;$AT272)&amp;IF($AM272=""," "," SERIES "&amp;$AM272)&amp;" "&amp;IFERROR(VLOOKUP($H272,CODES,2,FALSE),"")&amp;IF($CT272," | LOC "&amp;$CZ272,"")))</f>
        <v/>
      </c>
      <c r="CL272" s="84">
        <f>IF(CP272="","",IF(COUNTIF($CP$6:CP272,CP272)=1,MAX($CL$5:CL271)+1,INDEX($CL$5:CL271,MATCH(CP272,$CP$5:CP271,0))))</f>
        <v/>
      </c>
      <c r="CM272" s="84">
        <f>IF(NOT(AND($A272&lt;&gt;"",$C272&lt;&gt;"DOOR ONLY")),"",MAX($CM$5:CM271)+1)</f>
        <v/>
      </c>
      <c r="CN272" s="84">
        <f>IF(NOT(AND($A272&lt;&gt;"",N($BJ272)&gt;0)),"",MAX($CN$5:CN271)+1)</f>
        <v/>
      </c>
      <c r="CO272" s="84">
        <f>IF($A272="","",MAX($CO$5:CO271)+1)</f>
        <v/>
      </c>
      <c r="CP272" s="84">
        <f>IF(OR($A272="",$BH272="",$BI272=""),"",$BG272&amp;"|"&amp;$O272&amp;"|"&amp;$AL272&amp;"|"&amp;$S272&amp;"|"&amp;$P272&amp;"|"&amp;$Q272&amp;$R272&amp;"|"&amp;$C272&amp;"|"&amp;$AB272)</f>
        <v/>
      </c>
      <c r="CQ272" s="84">
        <f>N($BS272)</f>
        <v/>
      </c>
      <c r="CR272" s="84">
        <f>IF(N($AU272)&gt;0,N($AU272),4.5)</f>
        <v/>
      </c>
      <c r="CS272" s="84">
        <f>OR($A272="",$BI272="",$S272="BL",AND($C272="FRAME ONLY",OR($AC272="",$AC272="BLK")))</f>
        <v/>
      </c>
      <c r="CT272" s="84">
        <f>AND(NOT($CS272),OR($AT272="CUSTOM LOC",N($AW272)+N($AX272)+N($AY272)+N($AZ272)+N($BA272)&gt;0))</f>
        <v/>
      </c>
      <c r="CU272" s="84">
        <f>IF($BI272="","",IF($BI272&lt;=80,80,IF($BI272&lt;=84,84,96)))</f>
        <v/>
      </c>
      <c r="CV272" s="84">
        <f>ISNUMBER(MATCH($AT272&amp;"|80",LocKeys,0))</f>
        <v/>
      </c>
      <c r="CW272" s="86">
        <f>IF($CS272,"",IF($CV272,VLOOKUP($AT272&amp;"|"&amp;$CU272,LocTable,4,FALSE),5))</f>
        <v/>
      </c>
      <c r="CX272" s="86">
        <f>IF($CS272,"",IF($CV272,IF(OR($BI272=$CU272,AND($BI272&lt;$CU272,$BI272-IF(N(VLOOKUP($AT272&amp;"|"&amp;$CU272,LocTable,7,FALSE))&gt;0,VLOOKUP($AT272&amp;"|"&amp;$CU272,LocTable,7,FALSE),VLOOKUP($AT272&amp;"|"&amp;$CU272,LocTable,6,FALSE))-$CR272-0.75&gt;=2.125)),IF(N(VLOOKUP($AT272&amp;"|"&amp;$CU272,LocTable,7,FALSE))&gt;0,VLOOKUP($AT272&amp;"|"&amp;$CU272,LocTable,7,FALSE),VLOOKUP($AT272&amp;"|"&amp;$CU272,LocTable,6,FALSE)),$BI272-($CU272-IF(N(VLOOKUP($AT272&amp;"|"&amp;$CU272,LocTable,7,FALSE))&gt;0,VLOOKUP($AT272&amp;"|"&amp;$CU272,LocTable,7,FALSE),VLOOKUP($AT272&amp;"|"&amp;$CU272,LocTable,6,FALSE)))),$BI272-10-$CR272))</f>
        <v/>
      </c>
      <c r="CY272" s="85">
        <f>IF($CS272,"",TRIM(IF(ISNUMBER($BU272),"A "&amp;TRIM(TEXT($BU272,"# ?/??"))&amp;CHAR(34)&amp;"  ","")&amp;IF(ISNUMBER($BV272),"B "&amp;TRIM(TEXT($BV272,"# ?/??"))&amp;CHAR(34)&amp;"  ","")&amp;IF(ISNUMBER($BW272),"C "&amp;TRIM(TEXT($BW272,"# ?/??"))&amp;CHAR(34)&amp;"  ","")&amp;IF(ISNUMBER($BX272),"D "&amp;TRIM(TEXT($BX272,"# ?/??"))&amp;CHAR(34)&amp;"  ","")&amp;IF(ISNUMBER($BY272),"F "&amp;TRIM(TEXT($BY272,"# ?/??"))&amp;CHAR(34)&amp;"  ","")&amp;IF(ISNUMBER($BZ272),"E "&amp;TRIM(TEXT($BZ272,"# ?/??"))&amp;CHAR(34)&amp;"  ","")))</f>
        <v/>
      </c>
      <c r="CZ272" s="85">
        <f>IF(OR($CS272,N($BJ272)=0),"",TRIM(IF(ISNUMBER($BU272),"A "&amp;TRIM(TEXT($BU272-HeadClr,"# ?/??"))&amp;CHAR(34)&amp;"  ","")&amp;IF(ISNUMBER($BV272),"B "&amp;TRIM(TEXT($BV272-HeadClr,"# ?/??"))&amp;CHAR(34)&amp;"  ","")&amp;IF(ISNUMBER($BW272),"C "&amp;TRIM(TEXT($BW272-HeadClr,"# ?/??"))&amp;CHAR(34)&amp;"  ","")&amp;IF(ISNUMBER($BX272),"D "&amp;TRIM(TEXT($BX272-HeadClr,"# ?/??"))&amp;CHAR(34)&amp;"  ","")&amp;IF(ISNUMBER($BY272),"F "&amp;TRIM(TEXT($BY272-HeadClr,"# ?/??"))&amp;CHAR(34)&amp;"  ","")&amp;IF(ISNUMBER($BZ272),"E "&amp;TRIM(TEXT($BZ272-HeadClr,"# ?/??"))&amp;CHAR(34)&amp;"  ","")))</f>
        <v/>
      </c>
      <c r="DA272" s="84">
        <f>IF($A272="","",IF($AN272="",IFERROR(VLOOKUP($Z272,CODES,2,FALSE),""),IFERROR(VLOOKUP($AN272,CODES,2,FALSE),"")))</f>
        <v/>
      </c>
      <c r="DB272" s="84">
        <f>IF($A272="","",IF($O272="Y","PR",IF(OR($Z272="L",$Z272="RR",LEFT($Z272,2)="L-",LEFT($Z272,3)="RR-"),"LH","RH")))</f>
        <v/>
      </c>
      <c r="DC272" s="84">
        <f>IF($A272="","","S.HM"&amp;IF(OR($C272="DOOR ONLY",$X272&lt;&gt;"KD"),"MASONRY","DRYWALL")&amp;IF($C272="DOOR ONLY","",$U272)&amp;IF(AND($C272&lt;&gt;"FRAME ONLY",OR(LEFT($AH272,3)="OAK",LEFT($AH272,3)="BIR",LEFT($AH272,3)="MAP",$AH272="PC",$AH272="MC",$AH272="SCLC",$AH272="P-LAM")),"WD","HM")&amp;"1.75")</f>
        <v/>
      </c>
      <c r="DD272" s="84">
        <f>IF($CJ272="","",IF($O272="Y",$CJ272,SUBSTITUTE($CJ272,$BG272&amp;" "&amp;IFERROR(VLOOKUP($Z272,CODES,2,FALSE),"")&amp;" ",$BG272&amp;" ")))</f>
        <v/>
      </c>
      <c r="DE272" s="84">
        <f>IF($CK272="","",IF($O272="Y",$CK272,SUBSTITUTE($CK272,$BG272&amp;" "&amp;IF($AN272="",IFERROR(VLOOKUP($Z272,CODES,2,FALSE),""),IFERROR(VLOOKUP($AN272,CODES,2,FALSE),""))&amp;" ",$BG272&amp;" ")))</f>
        <v/>
      </c>
      <c r="DF272" s="84">
        <f>IF($CJ272="","",$DC272&amp;"|"&amp;$DD272&amp;"|"&amp;$DB272&amp;"|"&amp;$AT272&amp;"|"&amp;$V272&amp;"|"&amp;$Y272&amp;"|"&amp;$AB272)</f>
        <v/>
      </c>
      <c r="DG272" s="84">
        <f>IF(DF272="","",IF(COUNTIF($DF$6:DF272,DF272)=1,MAX($DG$5:DG271)+1,INDEX($DG$5:DG271,MATCH(DF272,$DF$5:DF271,0))))</f>
        <v/>
      </c>
      <c r="DH272" s="84">
        <f>IF($CK272="","",$DC272&amp;"|"&amp;$DE272&amp;"|"&amp;$AI272&amp;"|"&amp;$BK272&amp;"|"&amp;$BL272)</f>
        <v/>
      </c>
      <c r="DI272" s="84">
        <f>IF(DH272="","",IF(COUNTIF($DH$6:DH272,DH272)=1,MAX($DI$5:DI271)+1,INDEX($DI$5:DI271,MATCH(DH272,$DH$5:DH271,0))))</f>
        <v/>
      </c>
      <c r="DJ272" s="84">
        <f>IF($A272="","",IF($B272="","qty, ","")&amp;IF($C272="","scope, ","")&amp;IF(OR($K272="",$M272=""),"size, ","")&amp;IF(AND($A272&lt;&gt;"",$C272&lt;&gt;"DOOR ONLY"),IF($U272="","jamb depth, ","")&amp;IF($X272="","construction, ","")&amp;IF($Y272="","anchor, ","")&amp;IF($S272="","frame type, ",""),"")&amp;IF(AND(N($BJ272)&gt;0,$Z272=""),"hand, ","")&amp;IF(N($BJ272)&gt;0,IF($AH272="","door material, ","")&amp;IF($AL272="","face type, ","")&amp;IF($AP272="","lock prep, ","")&amp;IF(AND($AO272="",$AC272=""),"hinge prep, ",""),"")&amp;IF(AND($CH272&gt;0,$AH272="FRP"),"FRP cannot carry a label, ","")&amp;IF(AND($O272="Y",OR($Z272="L",$Z272="R",$Z272="LR",$Z272="RR")),"pair marked but hand is single, ","")&amp;IF(AND($O272&lt;&gt;"Y",OR($Z272="PR",AND(LEN($Z272)&gt;1,ISNUMBER(SEARCH("-",$Z272))))),"pair hand on a single door, ","")&amp;IF(AND(ISNUMBER($CI272),$CH272&lt;N($CI272)),"wall needs a "&amp;$CI272&amp;" min door, ","")&amp;IF(AND($CH272&gt;=180,AND(OR($CE272="FG",$CE272="HG",$CE272="FNV",$CE272="FV"),N($CF272)*N($CG272)&gt;100)),"180 min lite over 100 sq in, ","")&amp;IF(N($BK272)&gt;48,"leaf wider than 4'-0"&amp;CHAR(34)&amp;", ","")&amp;IF(AND($CT272,COUNT($AW272:$AZ272)=0,$CQ272&gt;0),"CUSTOM LOC with no locations typed, ",""))</f>
        <v/>
      </c>
      <c r="DK272" s="84">
        <f>IF($A272="","",IF(AND($CH272&gt;0,AND($A272&lt;&gt;"",$C272&lt;&gt;"DOOR ONLY"),$X272="KD",$E272="EXTERIOR"),"KD label on an exterior opening, ","")&amp;IF(AND($E272="EXTERIOR",OR(AND(AND($A272&lt;&gt;"",$C272&lt;&gt;"DOOR ONLY"),$W272="CR"),AND(N($BJ272)&gt;0,$AH272="CR"))),"exterior in CR steel (G9?), ","")&amp;IF(AND(ISNUMBER($BQ272),N($BQ272)&lt;32),"clear width ~"&amp;TEXT($BQ272,"0.0")&amp;CHAR(34)&amp;" under 32"&amp;CHAR(34)&amp;" (ADA), ","")&amp;IF(AND($CH272=90,AND(OR($CE272="FG",$CE272="HG",$CE272="FNV",$CE272="FV"),N($CF272)*N($CG272)&gt;100)),"90 min lite over 100 sq in (stair/exit), ","")&amp;IF(AND($CH272&gt;0,AND($A272&lt;&gt;"",$C272&lt;&gt;"DOOR ONLY"),OR($AF272="",$AF272="-")),"rated: closer reinf.?, ","")&amp;IF(OR($I272="CORRIDOR",$I272="SMOKE BARRIER"),"S label + smoke gasketing, ","")&amp;IF($CI272="?","wall type/hr not in IBC table, ","")&amp;IF(AND(N($BJ272)&gt;0,$BB272=""),"no hardware set, ","")&amp;IF(AND($BB272&lt;&gt;"",ISNA(MATCH($BB272&amp;"",HWSets,0))),"set "&amp;$BB272&amp;" not on HW Sets, ","")&amp;IF(N($BL272)&gt;96,"leaf over 8'-0"&amp;CHAR(34)&amp;" - check listing, ","")&amp;IF(AND($CT272,COUNT($AW272:$AZ272)&gt;0,COUNT($AW272:$AZ272)&lt;&gt;$CQ272),COUNT($AW272:$AZ272)&amp;" custom hinges typed, "&amp;$CQ272&amp;" expected, ","")&amp;IF(AND(ISNUMBER($CA272),OR(N($CA272)&lt;34,N($CA272)&gt;48)),"lock "&amp;TEXT($CA272,"0.0")&amp;CHAR(34)&amp;" AFF outside 34-48"&amp;CHAR(34)&amp;" (ADA), ","")&amp;IF(AND(ISNUMBER($AV272),ISNUMBER($BL272),N($AV272)&lt;IF(N($BL272)&lt;=60,2,IF(N($BL272)&lt;=90,3,IF(N($BL272)&lt;=120,4,5)))),"fewer hinges than standard, ",""))</f>
        <v/>
      </c>
    </row>
    <row r="273" ht="15" customHeight="1">
      <c r="A273" s="77" t="n"/>
      <c r="B273" s="78" t="n"/>
      <c r="C273" s="78" t="n"/>
      <c r="D273" s="78" t="n"/>
      <c r="E273" s="78" t="n"/>
      <c r="F273" s="78" t="n"/>
      <c r="G273" s="78" t="n"/>
      <c r="H273" s="78" t="n"/>
      <c r="I273" s="78" t="n"/>
      <c r="J273" s="78" t="n"/>
      <c r="K273" s="78" t="n"/>
      <c r="L273" s="78" t="n"/>
      <c r="M273" s="78" t="n"/>
      <c r="N273" s="78" t="n"/>
      <c r="O273" s="78" t="n"/>
      <c r="P273" s="78" t="n"/>
      <c r="Q273" s="78" t="n"/>
      <c r="R273" s="78" t="n"/>
      <c r="S273" s="79" t="n"/>
      <c r="T273" s="79" t="n"/>
      <c r="U273" s="79" t="n"/>
      <c r="V273" s="79" t="n"/>
      <c r="W273" s="79" t="n"/>
      <c r="X273" s="79" t="n"/>
      <c r="Y273" s="79" t="n"/>
      <c r="Z273" s="79" t="n"/>
      <c r="AA273" s="79" t="n"/>
      <c r="AB273" s="79" t="n"/>
      <c r="AC273" s="79" t="n"/>
      <c r="AD273" s="79" t="n"/>
      <c r="AE273" s="79" t="n"/>
      <c r="AF273" s="79" t="n"/>
      <c r="AG273" s="79" t="n"/>
      <c r="AH273" s="80" t="n"/>
      <c r="AI273" s="80" t="n"/>
      <c r="AJ273" s="80" t="n"/>
      <c r="AK273" s="80" t="n"/>
      <c r="AL273" s="80" t="n"/>
      <c r="AM273" s="80" t="n"/>
      <c r="AN273" s="80" t="n"/>
      <c r="AO273" s="80" t="n"/>
      <c r="AP273" s="80" t="n"/>
      <c r="AQ273" s="80" t="n"/>
      <c r="AR273" s="80" t="n"/>
      <c r="AS273" s="80" t="n"/>
      <c r="AT273" s="81" t="n"/>
      <c r="AU273" s="81" t="n"/>
      <c r="AV273" s="81" t="n"/>
      <c r="AW273" s="82" t="n"/>
      <c r="AX273" s="82" t="n"/>
      <c r="AY273" s="82" t="n"/>
      <c r="AZ273" s="82" t="n"/>
      <c r="BA273" s="82" t="n"/>
      <c r="BB273" s="83" t="n"/>
      <c r="BC273" s="83" t="n"/>
      <c r="BD273" s="84">
        <f>IF($A273="","",IF($DJ273&lt;&gt;"","FIX",IF($DK273&lt;&gt;"","CHECK","OK")))</f>
        <v/>
      </c>
      <c r="BE273" s="85">
        <f>IF($A273="","",IF($DJ273&lt;&gt;"","FIX: "&amp;LEFT($DJ273,LEN($DJ273)-2)&amp;IF($DK273&lt;&gt;"","  ·  ",""),"")&amp;IF($DK273&lt;&gt;"","CHECK: "&amp;LEFT($DK273,LEN($DK273)-2),""))</f>
        <v/>
      </c>
      <c r="BF273" s="84">
        <f>IF(OR($A273="",$K273=""),"",$K273&amp;"'-"&amp;N($L273)&amp;CHAR(34)&amp;" x "&amp;$M273&amp;"'-"&amp;N($N273)&amp;CHAR(34))</f>
        <v/>
      </c>
      <c r="BG273" s="84">
        <f>IF(OR($A273="",$K273=""),"",$K273&amp;N($L273)&amp;$M273&amp;N($N273))</f>
        <v/>
      </c>
      <c r="BH273" s="84">
        <f>IF(OR($A273="",$K273=""),"",$K273*12+N($L273))</f>
        <v/>
      </c>
      <c r="BI273" s="84">
        <f>IF(OR($A273="",$M273=""),"",$M273*12+N($N273))</f>
        <v/>
      </c>
      <c r="BJ273" s="84">
        <f>IF($A273="","",IF(OR($C273="FRAME ONLY",$S273="BL"),0,IF($O273="Y",2,1)))</f>
        <v/>
      </c>
      <c r="BK273" s="86">
        <f>IF(OR(N($BJ273)=0,$BH273=""),"",($BH273-2*EdgeClr-IF($BJ273=2,MeetClr,0))/$BJ273)</f>
        <v/>
      </c>
      <c r="BL273" s="86">
        <f>IF(OR(N($BJ273)=0,$BI273=""),"",$BI273-HeadClr-Undercut)</f>
        <v/>
      </c>
      <c r="BM273" s="86">
        <f>IF($BH273="","",$BH273+2*FaceW+IF(N($Q273)&gt;0,($Q273+FaceW)*IF($R273="LR",2,1),0))</f>
        <v/>
      </c>
      <c r="BN273" s="86">
        <f>IF($BI273="","",$BI273+IF($AB273="Y",4,FaceW)+IF(N($P273)&gt;0,$P273+FaceW,0)+IF(OR($S273="4F",$S273="BL"),FaceW,0))</f>
        <v/>
      </c>
      <c r="BO273" s="86">
        <f>IF($BM273="","",$BM273+2*ROSide)</f>
        <v/>
      </c>
      <c r="BP273" s="86">
        <f>IF($BN273="","",$BN273+ROTop)</f>
        <v/>
      </c>
      <c r="BQ273" s="87">
        <f>IF(OR(N($BJ273)=0,$BH273=""),"",$BH273/$BJ273-ClearDeduct)</f>
        <v/>
      </c>
      <c r="BR273" s="84">
        <f>IF(N($CH273)=0,"",IF($CH273&gt;=180,"A · 3 HR",IF($CH273&gt;=90,"B · 1-1/2 HR",IF($CH273&gt;=60,"B · 1 HR",IF($CH273&gt;=45,"C · 3/4 HR","20 MIN")))))&amp;IF(AND(N($CH273)&gt;0,OR($I273="CORRIDOR",$I273="SMOKE BARRIER"))," · S","")</f>
        <v/>
      </c>
      <c r="BS273" s="84">
        <f>IF($CS273,"",IF($AV273&lt;&gt;"",$AV273,IF(OR($AC273="HGC",$AO273="HGC"),"CONT",IF(($BI273-HeadClr-Undercut)&lt;=60,2,IF(($BI273-HeadClr-Undercut)&lt;=90,3,IF(($BI273-HeadClr-Undercut)&lt;=120,4,5))))))</f>
        <v/>
      </c>
      <c r="BT273" s="84">
        <f>IF($CS273,"",IF($CT273,"CUSTOM (typed)",IF($CV273,$AT273&amp;" "&amp;$CU273&amp;CHAR(34)&amp;IF($CU273&lt;&gt;$BI273,IF(AND($BI273&lt;$CU273,$BI273-IF(N(VLOOKUP($AT273&amp;"|"&amp;$CU273,LocTable,7,FALSE))&gt;0,VLOOKUP($AT273&amp;"|"&amp;$CU273,LocTable,7,FALSE),VLOOKUP($AT273&amp;"|"&amp;$CU273,LocTable,6,FALSE))-$CR273-0.75&gt;=2.125)," cut down"," adj."),""),"ANSI/SDI A250.6")))</f>
        <v/>
      </c>
      <c r="BU273" s="88">
        <f>IF($CS273,"",IF($CT273,IF(N($AW273)&gt;0,N($AW273),""),IF(1&gt;$CQ273,"",IF($CQ273=1,$CW273,$CW273+($CX273-$CW273)*0/($CQ273-1)))))</f>
        <v/>
      </c>
      <c r="BV273" s="88">
        <f>IF($CS273,"",IF($CT273,IF(N($AX273)&gt;0,N($AX273),""),IF(2&gt;$CQ273,"",IF($CQ273=1,$CW273,$CW273+($CX273-$CW273)*1/($CQ273-1)))))</f>
        <v/>
      </c>
      <c r="BW273" s="88">
        <f>IF($CS273,"",IF($CT273,IF(N($AY273)&gt;0,N($AY273),""),IF(3&gt;$CQ273,"",IF($CQ273=1,$CW273,$CW273+($CX273-$CW273)*2/($CQ273-1)))))</f>
        <v/>
      </c>
      <c r="BX273" s="88">
        <f>IF($CS273,"",IF($CT273,IF(N($AZ273)&gt;0,N($AZ273),""),IF(4&gt;$CQ273,"",IF($CQ273=1,$CW273,$CW273+($CX273-$CW273)*3/($CQ273-1)))))</f>
        <v/>
      </c>
      <c r="BY273" s="88">
        <f>IF($CS273,"",IF($CT273,"",IF(5&gt;$CQ273,"",IF($CQ273=1,$CW273,$CW273+($CX273-$CW273)*4/($CQ273-1)))))</f>
        <v/>
      </c>
      <c r="BZ273" s="88">
        <f>IF(OR($CS273,$AP273="-",AND($AP273="",$AD273="")),"",IF(N($BA273)&gt;0,N($BA273),IF($CV273,IF(AND($BI273&lt;$CU273,$BI273-IF(N(VLOOKUP($AT273&amp;"|"&amp;$CU273,LocTable,7,FALSE))&gt;0,VLOOKUP($AT273&amp;"|"&amp;$CU273,LocTable,7,FALSE),VLOOKUP($AT273&amp;"|"&amp;$CU273,LocTable,6,FALSE))-$CR273-0.75&gt;=2.125),VLOOKUP($AT273&amp;"|"&amp;$CU273,LocTable,8,FALSE),VLOOKUP($AT273&amp;"|"&amp;$CU273,LocTable,8,FALSE)+($BI273-$CU273)),$BI273-LockAFF)))</f>
        <v/>
      </c>
      <c r="CA273" s="89">
        <f>IF($BZ273="","",$BI273-$BZ273)</f>
        <v/>
      </c>
      <c r="CB273" s="84">
        <f>IF(OR(NOT(AND($A273&lt;&gt;"",$C273&lt;&gt;"DOOR ONLY")),$BI273=""),"",IF(($BI273+IF(N($P273)&gt;0,$P273+FaceW,0))&lt;=90,3,IF(($BI273+IF(N($P273)&gt;0,$P273+FaceW,0))&lt;=114,4,5)))</f>
        <v/>
      </c>
      <c r="CC273" s="84">
        <f>IF($CB273="","",$CB273*(2+IF(N($Q273)&gt;0,IF($R273="LR",2,1),0)))</f>
        <v/>
      </c>
      <c r="CD273" s="84">
        <f>IF($CB273="","",(2+IF(N($Q273)&gt;0,IF($R273="LR",2,1),0)))</f>
        <v/>
      </c>
      <c r="CE273" s="84">
        <f>IF(N($BJ273)=0,"",IF(OR($AL273="",$AL273="FLUSH"),"FLUSH",IFERROR(LEFT($AL273,FIND("-",$AL273)-1),LEFT($AL273,2))))</f>
        <v/>
      </c>
      <c r="CF273" s="84">
        <f>IF($CE273="","",IFERROR(VALUE(MID($AL273,FIND("-",$AL273)+1,FIND(CHAR(34)&amp;"x",$AL273)-FIND("-",$AL273)-1)),0))</f>
        <v/>
      </c>
      <c r="CG273" s="84">
        <f>IF($CE273="","",IFERROR(VALUE(MID($AL273,FIND(CHAR(34)&amp;"x",$AL273)+2,FIND(CHAR(34),$AL273,FIND(CHAR(34)&amp;"x",$AL273)+2)-FIND(CHAR(34)&amp;"x",$AL273)-2)),0))</f>
        <v/>
      </c>
      <c r="CH273" s="90">
        <f>IF(OR($A273="",$H273="",$H273="NO LAB"),0,IFERROR(VALUE(LEFT($H273,FIND(" ",$H273)-1)),0))</f>
        <v/>
      </c>
      <c r="CI273" s="91">
        <f>IF(OR($A273="",$I273="",$I273="NON-RATED",N($J273)=0),"",IFERROR(VLOOKUP($I273&amp;"|"&amp;$J273,IBC,2,FALSE),"?"))</f>
        <v/>
      </c>
      <c r="CJ273" s="85">
        <f>IF(NOT(AND($A273&lt;&gt;"",$C273&lt;&gt;"DOOR ONLY")),"",TRIM(IFERROR(VLOOKUP($U273,CODES,2,FALSE),"")&amp;" "&amp;$BG273&amp;" "&amp;IFERROR(VLOOKUP($Z273,CODES,2,FALSE),"")&amp;" "&amp;IFERROR(VLOOKUP($X273,CODES,2,FALSE),"")&amp;" "&amp;IFERROR(VLOOKUP($S273,CODES,2,FALSE),"")&amp;IF(N($P273)&gt;0," w/TRANSOM "&amp;$P273&amp;CHAR(34),"")&amp;IF(N($Q273)&gt;0," w/SIDELITE "&amp;$Q273&amp;CHAR(34)&amp;" "&amp;IF($R273="","R",$R273),"")&amp;IF($Y273="","  |  "," | "&amp;IFERROR(VLOOKUP($Y273,CODES,2,FALSE),"")&amp;" | ")&amp;IFERROR(VLOOKUP($AC273,CODES,2,FALSE),"")&amp;" "&amp;IFERROR(VLOOKUP($AD273,CODES,2,FALSE),"")&amp;IF(OR($AE273="",$AE273="-"),""," "&amp;$AE273)&amp;IF(OR($AF273="",$AF273="-"),""," "&amp;$AF273)&amp;IF($AB273="Y"," 4"&amp;CHAR(34)&amp;" HEAD","")&amp;" "&amp;IFERROR(VLOOKUP($H273,CODES,2,FALSE),"")&amp;IF($CT273," | LOC "&amp;$CY273,"")))</f>
        <v/>
      </c>
      <c r="CK273" s="85">
        <f>IF(NOT(AND($A273&lt;&gt;"",N($BJ273)&gt;0)),"",TRIM(IFERROR(VLOOKUP($AH273,CODES,2,FALSE),"")&amp;IF($AI273=""," "," "&amp;$AI273&amp;"GA ")&amp;$BG273&amp;" "&amp;IF($AN273="",IFERROR(VLOOKUP($Z273,CODES,2,FALSE),""),IFERROR(VLOOKUP($AN273,CODES,2,FALSE),""))&amp;IF($BJ273=2," PAIR","")&amp;" DOOR | "&amp;IF($AL273="","?",$AL273)&amp;" | "&amp;IF($AO273="",IFERROR(VLOOKUP($AC273,CODES,2,FALSE),""),IFERROR(VLOOKUP($AO273,CODES,2,FALSE),""))&amp;" "&amp;IFERROR(VLOOKUP($AP273,CODES,2,FALSE),"")&amp;IF(OR($AQ273="",$AQ273="-"),""," SEAM "&amp;$AQ273)&amp;IF($AR273="Y"," ASTRAGAL","")&amp;IF($AJ273=""," "," "&amp;$AJ273)&amp;IF($AK273=""," "," "&amp;$AK273)&amp;IF(OR($AT273="",$AT273="ANSI/SDI",$AT273="CUSTOM LOC"),""," "&amp;$AT273)&amp;IF($AM273=""," "," SERIES "&amp;$AM273)&amp;" "&amp;IFERROR(VLOOKUP($H273,CODES,2,FALSE),"")&amp;IF($CT273," | LOC "&amp;$CZ273,"")))</f>
        <v/>
      </c>
      <c r="CL273" s="84">
        <f>IF(CP273="","",IF(COUNTIF($CP$6:CP273,CP273)=1,MAX($CL$5:CL272)+1,INDEX($CL$5:CL272,MATCH(CP273,$CP$5:CP272,0))))</f>
        <v/>
      </c>
      <c r="CM273" s="84">
        <f>IF(NOT(AND($A273&lt;&gt;"",$C273&lt;&gt;"DOOR ONLY")),"",MAX($CM$5:CM272)+1)</f>
        <v/>
      </c>
      <c r="CN273" s="84">
        <f>IF(NOT(AND($A273&lt;&gt;"",N($BJ273)&gt;0)),"",MAX($CN$5:CN272)+1)</f>
        <v/>
      </c>
      <c r="CO273" s="84">
        <f>IF($A273="","",MAX($CO$5:CO272)+1)</f>
        <v/>
      </c>
      <c r="CP273" s="84">
        <f>IF(OR($A273="",$BH273="",$BI273=""),"",$BG273&amp;"|"&amp;$O273&amp;"|"&amp;$AL273&amp;"|"&amp;$S273&amp;"|"&amp;$P273&amp;"|"&amp;$Q273&amp;$R273&amp;"|"&amp;$C273&amp;"|"&amp;$AB273)</f>
        <v/>
      </c>
      <c r="CQ273" s="84">
        <f>N($BS273)</f>
        <v/>
      </c>
      <c r="CR273" s="84">
        <f>IF(N($AU273)&gt;0,N($AU273),4.5)</f>
        <v/>
      </c>
      <c r="CS273" s="84">
        <f>OR($A273="",$BI273="",$S273="BL",AND($C273="FRAME ONLY",OR($AC273="",$AC273="BLK")))</f>
        <v/>
      </c>
      <c r="CT273" s="84">
        <f>AND(NOT($CS273),OR($AT273="CUSTOM LOC",N($AW273)+N($AX273)+N($AY273)+N($AZ273)+N($BA273)&gt;0))</f>
        <v/>
      </c>
      <c r="CU273" s="84">
        <f>IF($BI273="","",IF($BI273&lt;=80,80,IF($BI273&lt;=84,84,96)))</f>
        <v/>
      </c>
      <c r="CV273" s="84">
        <f>ISNUMBER(MATCH($AT273&amp;"|80",LocKeys,0))</f>
        <v/>
      </c>
      <c r="CW273" s="86">
        <f>IF($CS273,"",IF($CV273,VLOOKUP($AT273&amp;"|"&amp;$CU273,LocTable,4,FALSE),5))</f>
        <v/>
      </c>
      <c r="CX273" s="86">
        <f>IF($CS273,"",IF($CV273,IF(OR($BI273=$CU273,AND($BI273&lt;$CU273,$BI273-IF(N(VLOOKUP($AT273&amp;"|"&amp;$CU273,LocTable,7,FALSE))&gt;0,VLOOKUP($AT273&amp;"|"&amp;$CU273,LocTable,7,FALSE),VLOOKUP($AT273&amp;"|"&amp;$CU273,LocTable,6,FALSE))-$CR273-0.75&gt;=2.125)),IF(N(VLOOKUP($AT273&amp;"|"&amp;$CU273,LocTable,7,FALSE))&gt;0,VLOOKUP($AT273&amp;"|"&amp;$CU273,LocTable,7,FALSE),VLOOKUP($AT273&amp;"|"&amp;$CU273,LocTable,6,FALSE)),$BI273-($CU273-IF(N(VLOOKUP($AT273&amp;"|"&amp;$CU273,LocTable,7,FALSE))&gt;0,VLOOKUP($AT273&amp;"|"&amp;$CU273,LocTable,7,FALSE),VLOOKUP($AT273&amp;"|"&amp;$CU273,LocTable,6,FALSE)))),$BI273-10-$CR273))</f>
        <v/>
      </c>
      <c r="CY273" s="85">
        <f>IF($CS273,"",TRIM(IF(ISNUMBER($BU273),"A "&amp;TRIM(TEXT($BU273,"# ?/??"))&amp;CHAR(34)&amp;"  ","")&amp;IF(ISNUMBER($BV273),"B "&amp;TRIM(TEXT($BV273,"# ?/??"))&amp;CHAR(34)&amp;"  ","")&amp;IF(ISNUMBER($BW273),"C "&amp;TRIM(TEXT($BW273,"# ?/??"))&amp;CHAR(34)&amp;"  ","")&amp;IF(ISNUMBER($BX273),"D "&amp;TRIM(TEXT($BX273,"# ?/??"))&amp;CHAR(34)&amp;"  ","")&amp;IF(ISNUMBER($BY273),"F "&amp;TRIM(TEXT($BY273,"# ?/??"))&amp;CHAR(34)&amp;"  ","")&amp;IF(ISNUMBER($BZ273),"E "&amp;TRIM(TEXT($BZ273,"# ?/??"))&amp;CHAR(34)&amp;"  ","")))</f>
        <v/>
      </c>
      <c r="CZ273" s="85">
        <f>IF(OR($CS273,N($BJ273)=0),"",TRIM(IF(ISNUMBER($BU273),"A "&amp;TRIM(TEXT($BU273-HeadClr,"# ?/??"))&amp;CHAR(34)&amp;"  ","")&amp;IF(ISNUMBER($BV273),"B "&amp;TRIM(TEXT($BV273-HeadClr,"# ?/??"))&amp;CHAR(34)&amp;"  ","")&amp;IF(ISNUMBER($BW273),"C "&amp;TRIM(TEXT($BW273-HeadClr,"# ?/??"))&amp;CHAR(34)&amp;"  ","")&amp;IF(ISNUMBER($BX273),"D "&amp;TRIM(TEXT($BX273-HeadClr,"# ?/??"))&amp;CHAR(34)&amp;"  ","")&amp;IF(ISNUMBER($BY273),"F "&amp;TRIM(TEXT($BY273-HeadClr,"# ?/??"))&amp;CHAR(34)&amp;"  ","")&amp;IF(ISNUMBER($BZ273),"E "&amp;TRIM(TEXT($BZ273-HeadClr,"# ?/??"))&amp;CHAR(34)&amp;"  ","")))</f>
        <v/>
      </c>
      <c r="DA273" s="84">
        <f>IF($A273="","",IF($AN273="",IFERROR(VLOOKUP($Z273,CODES,2,FALSE),""),IFERROR(VLOOKUP($AN273,CODES,2,FALSE),"")))</f>
        <v/>
      </c>
      <c r="DB273" s="84">
        <f>IF($A273="","",IF($O273="Y","PR",IF(OR($Z273="L",$Z273="RR",LEFT($Z273,2)="L-",LEFT($Z273,3)="RR-"),"LH","RH")))</f>
        <v/>
      </c>
      <c r="DC273" s="84">
        <f>IF($A273="","","S.HM"&amp;IF(OR($C273="DOOR ONLY",$X273&lt;&gt;"KD"),"MASONRY","DRYWALL")&amp;IF($C273="DOOR ONLY","",$U273)&amp;IF(AND($C273&lt;&gt;"FRAME ONLY",OR(LEFT($AH273,3)="OAK",LEFT($AH273,3)="BIR",LEFT($AH273,3)="MAP",$AH273="PC",$AH273="MC",$AH273="SCLC",$AH273="P-LAM")),"WD","HM")&amp;"1.75")</f>
        <v/>
      </c>
      <c r="DD273" s="84">
        <f>IF($CJ273="","",IF($O273="Y",$CJ273,SUBSTITUTE($CJ273,$BG273&amp;" "&amp;IFERROR(VLOOKUP($Z273,CODES,2,FALSE),"")&amp;" ",$BG273&amp;" ")))</f>
        <v/>
      </c>
      <c r="DE273" s="84">
        <f>IF($CK273="","",IF($O273="Y",$CK273,SUBSTITUTE($CK273,$BG273&amp;" "&amp;IF($AN273="",IFERROR(VLOOKUP($Z273,CODES,2,FALSE),""),IFERROR(VLOOKUP($AN273,CODES,2,FALSE),""))&amp;" ",$BG273&amp;" ")))</f>
        <v/>
      </c>
      <c r="DF273" s="84">
        <f>IF($CJ273="","",$DC273&amp;"|"&amp;$DD273&amp;"|"&amp;$DB273&amp;"|"&amp;$AT273&amp;"|"&amp;$V273&amp;"|"&amp;$Y273&amp;"|"&amp;$AB273)</f>
        <v/>
      </c>
      <c r="DG273" s="84">
        <f>IF(DF273="","",IF(COUNTIF($DF$6:DF273,DF273)=1,MAX($DG$5:DG272)+1,INDEX($DG$5:DG272,MATCH(DF273,$DF$5:DF272,0))))</f>
        <v/>
      </c>
      <c r="DH273" s="84">
        <f>IF($CK273="","",$DC273&amp;"|"&amp;$DE273&amp;"|"&amp;$AI273&amp;"|"&amp;$BK273&amp;"|"&amp;$BL273)</f>
        <v/>
      </c>
      <c r="DI273" s="84">
        <f>IF(DH273="","",IF(COUNTIF($DH$6:DH273,DH273)=1,MAX($DI$5:DI272)+1,INDEX($DI$5:DI272,MATCH(DH273,$DH$5:DH272,0))))</f>
        <v/>
      </c>
      <c r="DJ273" s="84">
        <f>IF($A273="","",IF($B273="","qty, ","")&amp;IF($C273="","scope, ","")&amp;IF(OR($K273="",$M273=""),"size, ","")&amp;IF(AND($A273&lt;&gt;"",$C273&lt;&gt;"DOOR ONLY"),IF($U273="","jamb depth, ","")&amp;IF($X273="","construction, ","")&amp;IF($Y273="","anchor, ","")&amp;IF($S273="","frame type, ",""),"")&amp;IF(AND(N($BJ273)&gt;0,$Z273=""),"hand, ","")&amp;IF(N($BJ273)&gt;0,IF($AH273="","door material, ","")&amp;IF($AL273="","face type, ","")&amp;IF($AP273="","lock prep, ","")&amp;IF(AND($AO273="",$AC273=""),"hinge prep, ",""),"")&amp;IF(AND($CH273&gt;0,$AH273="FRP"),"FRP cannot carry a label, ","")&amp;IF(AND($O273="Y",OR($Z273="L",$Z273="R",$Z273="LR",$Z273="RR")),"pair marked but hand is single, ","")&amp;IF(AND($O273&lt;&gt;"Y",OR($Z273="PR",AND(LEN($Z273)&gt;1,ISNUMBER(SEARCH("-",$Z273))))),"pair hand on a single door, ","")&amp;IF(AND(ISNUMBER($CI273),$CH273&lt;N($CI273)),"wall needs a "&amp;$CI273&amp;" min door, ","")&amp;IF(AND($CH273&gt;=180,AND(OR($CE273="FG",$CE273="HG",$CE273="FNV",$CE273="FV"),N($CF273)*N($CG273)&gt;100)),"180 min lite over 100 sq in, ","")&amp;IF(N($BK273)&gt;48,"leaf wider than 4'-0"&amp;CHAR(34)&amp;", ","")&amp;IF(AND($CT273,COUNT($AW273:$AZ273)=0,$CQ273&gt;0),"CUSTOM LOC with no locations typed, ",""))</f>
        <v/>
      </c>
      <c r="DK273" s="84">
        <f>IF($A273="","",IF(AND($CH273&gt;0,AND($A273&lt;&gt;"",$C273&lt;&gt;"DOOR ONLY"),$X273="KD",$E273="EXTERIOR"),"KD label on an exterior opening, ","")&amp;IF(AND($E273="EXTERIOR",OR(AND(AND($A273&lt;&gt;"",$C273&lt;&gt;"DOOR ONLY"),$W273="CR"),AND(N($BJ273)&gt;0,$AH273="CR"))),"exterior in CR steel (G9?), ","")&amp;IF(AND(ISNUMBER($BQ273),N($BQ273)&lt;32),"clear width ~"&amp;TEXT($BQ273,"0.0")&amp;CHAR(34)&amp;" under 32"&amp;CHAR(34)&amp;" (ADA), ","")&amp;IF(AND($CH273=90,AND(OR($CE273="FG",$CE273="HG",$CE273="FNV",$CE273="FV"),N($CF273)*N($CG273)&gt;100)),"90 min lite over 100 sq in (stair/exit), ","")&amp;IF(AND($CH273&gt;0,AND($A273&lt;&gt;"",$C273&lt;&gt;"DOOR ONLY"),OR($AF273="",$AF273="-")),"rated: closer reinf.?, ","")&amp;IF(OR($I273="CORRIDOR",$I273="SMOKE BARRIER"),"S label + smoke gasketing, ","")&amp;IF($CI273="?","wall type/hr not in IBC table, ","")&amp;IF(AND(N($BJ273)&gt;0,$BB273=""),"no hardware set, ","")&amp;IF(AND($BB273&lt;&gt;"",ISNA(MATCH($BB273&amp;"",HWSets,0))),"set "&amp;$BB273&amp;" not on HW Sets, ","")&amp;IF(N($BL273)&gt;96,"leaf over 8'-0"&amp;CHAR(34)&amp;" - check listing, ","")&amp;IF(AND($CT273,COUNT($AW273:$AZ273)&gt;0,COUNT($AW273:$AZ273)&lt;&gt;$CQ273),COUNT($AW273:$AZ273)&amp;" custom hinges typed, "&amp;$CQ273&amp;" expected, ","")&amp;IF(AND(ISNUMBER($CA273),OR(N($CA273)&lt;34,N($CA273)&gt;48)),"lock "&amp;TEXT($CA273,"0.0")&amp;CHAR(34)&amp;" AFF outside 34-48"&amp;CHAR(34)&amp;" (ADA), ","")&amp;IF(AND(ISNUMBER($AV273),ISNUMBER($BL273),N($AV273)&lt;IF(N($BL273)&lt;=60,2,IF(N($BL273)&lt;=90,3,IF(N($BL273)&lt;=120,4,5)))),"fewer hinges than standard, ",""))</f>
        <v/>
      </c>
    </row>
    <row r="274" ht="15" customHeight="1">
      <c r="A274" s="77" t="n"/>
      <c r="B274" s="78" t="n"/>
      <c r="C274" s="78" t="n"/>
      <c r="D274" s="78" t="n"/>
      <c r="E274" s="78" t="n"/>
      <c r="F274" s="78" t="n"/>
      <c r="G274" s="78" t="n"/>
      <c r="H274" s="78" t="n"/>
      <c r="I274" s="78" t="n"/>
      <c r="J274" s="78" t="n"/>
      <c r="K274" s="78" t="n"/>
      <c r="L274" s="78" t="n"/>
      <c r="M274" s="78" t="n"/>
      <c r="N274" s="78" t="n"/>
      <c r="O274" s="78" t="n"/>
      <c r="P274" s="78" t="n"/>
      <c r="Q274" s="78" t="n"/>
      <c r="R274" s="78" t="n"/>
      <c r="S274" s="79" t="n"/>
      <c r="T274" s="79" t="n"/>
      <c r="U274" s="79" t="n"/>
      <c r="V274" s="79" t="n"/>
      <c r="W274" s="79" t="n"/>
      <c r="X274" s="79" t="n"/>
      <c r="Y274" s="79" t="n"/>
      <c r="Z274" s="79" t="n"/>
      <c r="AA274" s="79" t="n"/>
      <c r="AB274" s="79" t="n"/>
      <c r="AC274" s="79" t="n"/>
      <c r="AD274" s="79" t="n"/>
      <c r="AE274" s="79" t="n"/>
      <c r="AF274" s="79" t="n"/>
      <c r="AG274" s="79" t="n"/>
      <c r="AH274" s="80" t="n"/>
      <c r="AI274" s="80" t="n"/>
      <c r="AJ274" s="80" t="n"/>
      <c r="AK274" s="80" t="n"/>
      <c r="AL274" s="80" t="n"/>
      <c r="AM274" s="80" t="n"/>
      <c r="AN274" s="80" t="n"/>
      <c r="AO274" s="80" t="n"/>
      <c r="AP274" s="80" t="n"/>
      <c r="AQ274" s="80" t="n"/>
      <c r="AR274" s="80" t="n"/>
      <c r="AS274" s="80" t="n"/>
      <c r="AT274" s="81" t="n"/>
      <c r="AU274" s="81" t="n"/>
      <c r="AV274" s="81" t="n"/>
      <c r="AW274" s="82" t="n"/>
      <c r="AX274" s="82" t="n"/>
      <c r="AY274" s="82" t="n"/>
      <c r="AZ274" s="82" t="n"/>
      <c r="BA274" s="82" t="n"/>
      <c r="BB274" s="83" t="n"/>
      <c r="BC274" s="83" t="n"/>
      <c r="BD274" s="84">
        <f>IF($A274="","",IF($DJ274&lt;&gt;"","FIX",IF($DK274&lt;&gt;"","CHECK","OK")))</f>
        <v/>
      </c>
      <c r="BE274" s="85">
        <f>IF($A274="","",IF($DJ274&lt;&gt;"","FIX: "&amp;LEFT($DJ274,LEN($DJ274)-2)&amp;IF($DK274&lt;&gt;"","  ·  ",""),"")&amp;IF($DK274&lt;&gt;"","CHECK: "&amp;LEFT($DK274,LEN($DK274)-2),""))</f>
        <v/>
      </c>
      <c r="BF274" s="84">
        <f>IF(OR($A274="",$K274=""),"",$K274&amp;"'-"&amp;N($L274)&amp;CHAR(34)&amp;" x "&amp;$M274&amp;"'-"&amp;N($N274)&amp;CHAR(34))</f>
        <v/>
      </c>
      <c r="BG274" s="84">
        <f>IF(OR($A274="",$K274=""),"",$K274&amp;N($L274)&amp;$M274&amp;N($N274))</f>
        <v/>
      </c>
      <c r="BH274" s="84">
        <f>IF(OR($A274="",$K274=""),"",$K274*12+N($L274))</f>
        <v/>
      </c>
      <c r="BI274" s="84">
        <f>IF(OR($A274="",$M274=""),"",$M274*12+N($N274))</f>
        <v/>
      </c>
      <c r="BJ274" s="84">
        <f>IF($A274="","",IF(OR($C274="FRAME ONLY",$S274="BL"),0,IF($O274="Y",2,1)))</f>
        <v/>
      </c>
      <c r="BK274" s="86">
        <f>IF(OR(N($BJ274)=0,$BH274=""),"",($BH274-2*EdgeClr-IF($BJ274=2,MeetClr,0))/$BJ274)</f>
        <v/>
      </c>
      <c r="BL274" s="86">
        <f>IF(OR(N($BJ274)=0,$BI274=""),"",$BI274-HeadClr-Undercut)</f>
        <v/>
      </c>
      <c r="BM274" s="86">
        <f>IF($BH274="","",$BH274+2*FaceW+IF(N($Q274)&gt;0,($Q274+FaceW)*IF($R274="LR",2,1),0))</f>
        <v/>
      </c>
      <c r="BN274" s="86">
        <f>IF($BI274="","",$BI274+IF($AB274="Y",4,FaceW)+IF(N($P274)&gt;0,$P274+FaceW,0)+IF(OR($S274="4F",$S274="BL"),FaceW,0))</f>
        <v/>
      </c>
      <c r="BO274" s="86">
        <f>IF($BM274="","",$BM274+2*ROSide)</f>
        <v/>
      </c>
      <c r="BP274" s="86">
        <f>IF($BN274="","",$BN274+ROTop)</f>
        <v/>
      </c>
      <c r="BQ274" s="87">
        <f>IF(OR(N($BJ274)=0,$BH274=""),"",$BH274/$BJ274-ClearDeduct)</f>
        <v/>
      </c>
      <c r="BR274" s="84">
        <f>IF(N($CH274)=0,"",IF($CH274&gt;=180,"A · 3 HR",IF($CH274&gt;=90,"B · 1-1/2 HR",IF($CH274&gt;=60,"B · 1 HR",IF($CH274&gt;=45,"C · 3/4 HR","20 MIN")))))&amp;IF(AND(N($CH274)&gt;0,OR($I274="CORRIDOR",$I274="SMOKE BARRIER"))," · S","")</f>
        <v/>
      </c>
      <c r="BS274" s="84">
        <f>IF($CS274,"",IF($AV274&lt;&gt;"",$AV274,IF(OR($AC274="HGC",$AO274="HGC"),"CONT",IF(($BI274-HeadClr-Undercut)&lt;=60,2,IF(($BI274-HeadClr-Undercut)&lt;=90,3,IF(($BI274-HeadClr-Undercut)&lt;=120,4,5))))))</f>
        <v/>
      </c>
      <c r="BT274" s="84">
        <f>IF($CS274,"",IF($CT274,"CUSTOM (typed)",IF($CV274,$AT274&amp;" "&amp;$CU274&amp;CHAR(34)&amp;IF($CU274&lt;&gt;$BI274,IF(AND($BI274&lt;$CU274,$BI274-IF(N(VLOOKUP($AT274&amp;"|"&amp;$CU274,LocTable,7,FALSE))&gt;0,VLOOKUP($AT274&amp;"|"&amp;$CU274,LocTable,7,FALSE),VLOOKUP($AT274&amp;"|"&amp;$CU274,LocTable,6,FALSE))-$CR274-0.75&gt;=2.125)," cut down"," adj."),""),"ANSI/SDI A250.6")))</f>
        <v/>
      </c>
      <c r="BU274" s="88">
        <f>IF($CS274,"",IF($CT274,IF(N($AW274)&gt;0,N($AW274),""),IF(1&gt;$CQ274,"",IF($CQ274=1,$CW274,$CW274+($CX274-$CW274)*0/($CQ274-1)))))</f>
        <v/>
      </c>
      <c r="BV274" s="88">
        <f>IF($CS274,"",IF($CT274,IF(N($AX274)&gt;0,N($AX274),""),IF(2&gt;$CQ274,"",IF($CQ274=1,$CW274,$CW274+($CX274-$CW274)*1/($CQ274-1)))))</f>
        <v/>
      </c>
      <c r="BW274" s="88">
        <f>IF($CS274,"",IF($CT274,IF(N($AY274)&gt;0,N($AY274),""),IF(3&gt;$CQ274,"",IF($CQ274=1,$CW274,$CW274+($CX274-$CW274)*2/($CQ274-1)))))</f>
        <v/>
      </c>
      <c r="BX274" s="88">
        <f>IF($CS274,"",IF($CT274,IF(N($AZ274)&gt;0,N($AZ274),""),IF(4&gt;$CQ274,"",IF($CQ274=1,$CW274,$CW274+($CX274-$CW274)*3/($CQ274-1)))))</f>
        <v/>
      </c>
      <c r="BY274" s="88">
        <f>IF($CS274,"",IF($CT274,"",IF(5&gt;$CQ274,"",IF($CQ274=1,$CW274,$CW274+($CX274-$CW274)*4/($CQ274-1)))))</f>
        <v/>
      </c>
      <c r="BZ274" s="88">
        <f>IF(OR($CS274,$AP274="-",AND($AP274="",$AD274="")),"",IF(N($BA274)&gt;0,N($BA274),IF($CV274,IF(AND($BI274&lt;$CU274,$BI274-IF(N(VLOOKUP($AT274&amp;"|"&amp;$CU274,LocTable,7,FALSE))&gt;0,VLOOKUP($AT274&amp;"|"&amp;$CU274,LocTable,7,FALSE),VLOOKUP($AT274&amp;"|"&amp;$CU274,LocTable,6,FALSE))-$CR274-0.75&gt;=2.125),VLOOKUP($AT274&amp;"|"&amp;$CU274,LocTable,8,FALSE),VLOOKUP($AT274&amp;"|"&amp;$CU274,LocTable,8,FALSE)+($BI274-$CU274)),$BI274-LockAFF)))</f>
        <v/>
      </c>
      <c r="CA274" s="89">
        <f>IF($BZ274="","",$BI274-$BZ274)</f>
        <v/>
      </c>
      <c r="CB274" s="84">
        <f>IF(OR(NOT(AND($A274&lt;&gt;"",$C274&lt;&gt;"DOOR ONLY")),$BI274=""),"",IF(($BI274+IF(N($P274)&gt;0,$P274+FaceW,0))&lt;=90,3,IF(($BI274+IF(N($P274)&gt;0,$P274+FaceW,0))&lt;=114,4,5)))</f>
        <v/>
      </c>
      <c r="CC274" s="84">
        <f>IF($CB274="","",$CB274*(2+IF(N($Q274)&gt;0,IF($R274="LR",2,1),0)))</f>
        <v/>
      </c>
      <c r="CD274" s="84">
        <f>IF($CB274="","",(2+IF(N($Q274)&gt;0,IF($R274="LR",2,1),0)))</f>
        <v/>
      </c>
      <c r="CE274" s="84">
        <f>IF(N($BJ274)=0,"",IF(OR($AL274="",$AL274="FLUSH"),"FLUSH",IFERROR(LEFT($AL274,FIND("-",$AL274)-1),LEFT($AL274,2))))</f>
        <v/>
      </c>
      <c r="CF274" s="84">
        <f>IF($CE274="","",IFERROR(VALUE(MID($AL274,FIND("-",$AL274)+1,FIND(CHAR(34)&amp;"x",$AL274)-FIND("-",$AL274)-1)),0))</f>
        <v/>
      </c>
      <c r="CG274" s="84">
        <f>IF($CE274="","",IFERROR(VALUE(MID($AL274,FIND(CHAR(34)&amp;"x",$AL274)+2,FIND(CHAR(34),$AL274,FIND(CHAR(34)&amp;"x",$AL274)+2)-FIND(CHAR(34)&amp;"x",$AL274)-2)),0))</f>
        <v/>
      </c>
      <c r="CH274" s="90">
        <f>IF(OR($A274="",$H274="",$H274="NO LAB"),0,IFERROR(VALUE(LEFT($H274,FIND(" ",$H274)-1)),0))</f>
        <v/>
      </c>
      <c r="CI274" s="91">
        <f>IF(OR($A274="",$I274="",$I274="NON-RATED",N($J274)=0),"",IFERROR(VLOOKUP($I274&amp;"|"&amp;$J274,IBC,2,FALSE),"?"))</f>
        <v/>
      </c>
      <c r="CJ274" s="85">
        <f>IF(NOT(AND($A274&lt;&gt;"",$C274&lt;&gt;"DOOR ONLY")),"",TRIM(IFERROR(VLOOKUP($U274,CODES,2,FALSE),"")&amp;" "&amp;$BG274&amp;" "&amp;IFERROR(VLOOKUP($Z274,CODES,2,FALSE),"")&amp;" "&amp;IFERROR(VLOOKUP($X274,CODES,2,FALSE),"")&amp;" "&amp;IFERROR(VLOOKUP($S274,CODES,2,FALSE),"")&amp;IF(N($P274)&gt;0," w/TRANSOM "&amp;$P274&amp;CHAR(34),"")&amp;IF(N($Q274)&gt;0," w/SIDELITE "&amp;$Q274&amp;CHAR(34)&amp;" "&amp;IF($R274="","R",$R274),"")&amp;IF($Y274="","  |  "," | "&amp;IFERROR(VLOOKUP($Y274,CODES,2,FALSE),"")&amp;" | ")&amp;IFERROR(VLOOKUP($AC274,CODES,2,FALSE),"")&amp;" "&amp;IFERROR(VLOOKUP($AD274,CODES,2,FALSE),"")&amp;IF(OR($AE274="",$AE274="-"),""," "&amp;$AE274)&amp;IF(OR($AF274="",$AF274="-"),""," "&amp;$AF274)&amp;IF($AB274="Y"," 4"&amp;CHAR(34)&amp;" HEAD","")&amp;" "&amp;IFERROR(VLOOKUP($H274,CODES,2,FALSE),"")&amp;IF($CT274," | LOC "&amp;$CY274,"")))</f>
        <v/>
      </c>
      <c r="CK274" s="85">
        <f>IF(NOT(AND($A274&lt;&gt;"",N($BJ274)&gt;0)),"",TRIM(IFERROR(VLOOKUP($AH274,CODES,2,FALSE),"")&amp;IF($AI274=""," "," "&amp;$AI274&amp;"GA ")&amp;$BG274&amp;" "&amp;IF($AN274="",IFERROR(VLOOKUP($Z274,CODES,2,FALSE),""),IFERROR(VLOOKUP($AN274,CODES,2,FALSE),""))&amp;IF($BJ274=2," PAIR","")&amp;" DOOR | "&amp;IF($AL274="","?",$AL274)&amp;" | "&amp;IF($AO274="",IFERROR(VLOOKUP($AC274,CODES,2,FALSE),""),IFERROR(VLOOKUP($AO274,CODES,2,FALSE),""))&amp;" "&amp;IFERROR(VLOOKUP($AP274,CODES,2,FALSE),"")&amp;IF(OR($AQ274="",$AQ274="-"),""," SEAM "&amp;$AQ274)&amp;IF($AR274="Y"," ASTRAGAL","")&amp;IF($AJ274=""," "," "&amp;$AJ274)&amp;IF($AK274=""," "," "&amp;$AK274)&amp;IF(OR($AT274="",$AT274="ANSI/SDI",$AT274="CUSTOM LOC"),""," "&amp;$AT274)&amp;IF($AM274=""," "," SERIES "&amp;$AM274)&amp;" "&amp;IFERROR(VLOOKUP($H274,CODES,2,FALSE),"")&amp;IF($CT274," | LOC "&amp;$CZ274,"")))</f>
        <v/>
      </c>
      <c r="CL274" s="84">
        <f>IF(CP274="","",IF(COUNTIF($CP$6:CP274,CP274)=1,MAX($CL$5:CL273)+1,INDEX($CL$5:CL273,MATCH(CP274,$CP$5:CP273,0))))</f>
        <v/>
      </c>
      <c r="CM274" s="84">
        <f>IF(NOT(AND($A274&lt;&gt;"",$C274&lt;&gt;"DOOR ONLY")),"",MAX($CM$5:CM273)+1)</f>
        <v/>
      </c>
      <c r="CN274" s="84">
        <f>IF(NOT(AND($A274&lt;&gt;"",N($BJ274)&gt;0)),"",MAX($CN$5:CN273)+1)</f>
        <v/>
      </c>
      <c r="CO274" s="84">
        <f>IF($A274="","",MAX($CO$5:CO273)+1)</f>
        <v/>
      </c>
      <c r="CP274" s="84">
        <f>IF(OR($A274="",$BH274="",$BI274=""),"",$BG274&amp;"|"&amp;$O274&amp;"|"&amp;$AL274&amp;"|"&amp;$S274&amp;"|"&amp;$P274&amp;"|"&amp;$Q274&amp;$R274&amp;"|"&amp;$C274&amp;"|"&amp;$AB274)</f>
        <v/>
      </c>
      <c r="CQ274" s="84">
        <f>N($BS274)</f>
        <v/>
      </c>
      <c r="CR274" s="84">
        <f>IF(N($AU274)&gt;0,N($AU274),4.5)</f>
        <v/>
      </c>
      <c r="CS274" s="84">
        <f>OR($A274="",$BI274="",$S274="BL",AND($C274="FRAME ONLY",OR($AC274="",$AC274="BLK")))</f>
        <v/>
      </c>
      <c r="CT274" s="84">
        <f>AND(NOT($CS274),OR($AT274="CUSTOM LOC",N($AW274)+N($AX274)+N($AY274)+N($AZ274)+N($BA274)&gt;0))</f>
        <v/>
      </c>
      <c r="CU274" s="84">
        <f>IF($BI274="","",IF($BI274&lt;=80,80,IF($BI274&lt;=84,84,96)))</f>
        <v/>
      </c>
      <c r="CV274" s="84">
        <f>ISNUMBER(MATCH($AT274&amp;"|80",LocKeys,0))</f>
        <v/>
      </c>
      <c r="CW274" s="86">
        <f>IF($CS274,"",IF($CV274,VLOOKUP($AT274&amp;"|"&amp;$CU274,LocTable,4,FALSE),5))</f>
        <v/>
      </c>
      <c r="CX274" s="86">
        <f>IF($CS274,"",IF($CV274,IF(OR($BI274=$CU274,AND($BI274&lt;$CU274,$BI274-IF(N(VLOOKUP($AT274&amp;"|"&amp;$CU274,LocTable,7,FALSE))&gt;0,VLOOKUP($AT274&amp;"|"&amp;$CU274,LocTable,7,FALSE),VLOOKUP($AT274&amp;"|"&amp;$CU274,LocTable,6,FALSE))-$CR274-0.75&gt;=2.125)),IF(N(VLOOKUP($AT274&amp;"|"&amp;$CU274,LocTable,7,FALSE))&gt;0,VLOOKUP($AT274&amp;"|"&amp;$CU274,LocTable,7,FALSE),VLOOKUP($AT274&amp;"|"&amp;$CU274,LocTable,6,FALSE)),$BI274-($CU274-IF(N(VLOOKUP($AT274&amp;"|"&amp;$CU274,LocTable,7,FALSE))&gt;0,VLOOKUP($AT274&amp;"|"&amp;$CU274,LocTable,7,FALSE),VLOOKUP($AT274&amp;"|"&amp;$CU274,LocTable,6,FALSE)))),$BI274-10-$CR274))</f>
        <v/>
      </c>
      <c r="CY274" s="85">
        <f>IF($CS274,"",TRIM(IF(ISNUMBER($BU274),"A "&amp;TRIM(TEXT($BU274,"# ?/??"))&amp;CHAR(34)&amp;"  ","")&amp;IF(ISNUMBER($BV274),"B "&amp;TRIM(TEXT($BV274,"# ?/??"))&amp;CHAR(34)&amp;"  ","")&amp;IF(ISNUMBER($BW274),"C "&amp;TRIM(TEXT($BW274,"# ?/??"))&amp;CHAR(34)&amp;"  ","")&amp;IF(ISNUMBER($BX274),"D "&amp;TRIM(TEXT($BX274,"# ?/??"))&amp;CHAR(34)&amp;"  ","")&amp;IF(ISNUMBER($BY274),"F "&amp;TRIM(TEXT($BY274,"# ?/??"))&amp;CHAR(34)&amp;"  ","")&amp;IF(ISNUMBER($BZ274),"E "&amp;TRIM(TEXT($BZ274,"# ?/??"))&amp;CHAR(34)&amp;"  ","")))</f>
        <v/>
      </c>
      <c r="CZ274" s="85">
        <f>IF(OR($CS274,N($BJ274)=0),"",TRIM(IF(ISNUMBER($BU274),"A "&amp;TRIM(TEXT($BU274-HeadClr,"# ?/??"))&amp;CHAR(34)&amp;"  ","")&amp;IF(ISNUMBER($BV274),"B "&amp;TRIM(TEXT($BV274-HeadClr,"# ?/??"))&amp;CHAR(34)&amp;"  ","")&amp;IF(ISNUMBER($BW274),"C "&amp;TRIM(TEXT($BW274-HeadClr,"# ?/??"))&amp;CHAR(34)&amp;"  ","")&amp;IF(ISNUMBER($BX274),"D "&amp;TRIM(TEXT($BX274-HeadClr,"# ?/??"))&amp;CHAR(34)&amp;"  ","")&amp;IF(ISNUMBER($BY274),"F "&amp;TRIM(TEXT($BY274-HeadClr,"# ?/??"))&amp;CHAR(34)&amp;"  ","")&amp;IF(ISNUMBER($BZ274),"E "&amp;TRIM(TEXT($BZ274-HeadClr,"# ?/??"))&amp;CHAR(34)&amp;"  ","")))</f>
        <v/>
      </c>
      <c r="DA274" s="84">
        <f>IF($A274="","",IF($AN274="",IFERROR(VLOOKUP($Z274,CODES,2,FALSE),""),IFERROR(VLOOKUP($AN274,CODES,2,FALSE),"")))</f>
        <v/>
      </c>
      <c r="DB274" s="84">
        <f>IF($A274="","",IF($O274="Y","PR",IF(OR($Z274="L",$Z274="RR",LEFT($Z274,2)="L-",LEFT($Z274,3)="RR-"),"LH","RH")))</f>
        <v/>
      </c>
      <c r="DC274" s="84">
        <f>IF($A274="","","S.HM"&amp;IF(OR($C274="DOOR ONLY",$X274&lt;&gt;"KD"),"MASONRY","DRYWALL")&amp;IF($C274="DOOR ONLY","",$U274)&amp;IF(AND($C274&lt;&gt;"FRAME ONLY",OR(LEFT($AH274,3)="OAK",LEFT($AH274,3)="BIR",LEFT($AH274,3)="MAP",$AH274="PC",$AH274="MC",$AH274="SCLC",$AH274="P-LAM")),"WD","HM")&amp;"1.75")</f>
        <v/>
      </c>
      <c r="DD274" s="84">
        <f>IF($CJ274="","",IF($O274="Y",$CJ274,SUBSTITUTE($CJ274,$BG274&amp;" "&amp;IFERROR(VLOOKUP($Z274,CODES,2,FALSE),"")&amp;" ",$BG274&amp;" ")))</f>
        <v/>
      </c>
      <c r="DE274" s="84">
        <f>IF($CK274="","",IF($O274="Y",$CK274,SUBSTITUTE($CK274,$BG274&amp;" "&amp;IF($AN274="",IFERROR(VLOOKUP($Z274,CODES,2,FALSE),""),IFERROR(VLOOKUP($AN274,CODES,2,FALSE),""))&amp;" ",$BG274&amp;" ")))</f>
        <v/>
      </c>
      <c r="DF274" s="84">
        <f>IF($CJ274="","",$DC274&amp;"|"&amp;$DD274&amp;"|"&amp;$DB274&amp;"|"&amp;$AT274&amp;"|"&amp;$V274&amp;"|"&amp;$Y274&amp;"|"&amp;$AB274)</f>
        <v/>
      </c>
      <c r="DG274" s="84">
        <f>IF(DF274="","",IF(COUNTIF($DF$6:DF274,DF274)=1,MAX($DG$5:DG273)+1,INDEX($DG$5:DG273,MATCH(DF274,$DF$5:DF273,0))))</f>
        <v/>
      </c>
      <c r="DH274" s="84">
        <f>IF($CK274="","",$DC274&amp;"|"&amp;$DE274&amp;"|"&amp;$AI274&amp;"|"&amp;$BK274&amp;"|"&amp;$BL274)</f>
        <v/>
      </c>
      <c r="DI274" s="84">
        <f>IF(DH274="","",IF(COUNTIF($DH$6:DH274,DH274)=1,MAX($DI$5:DI273)+1,INDEX($DI$5:DI273,MATCH(DH274,$DH$5:DH273,0))))</f>
        <v/>
      </c>
      <c r="DJ274" s="84">
        <f>IF($A274="","",IF($B274="","qty, ","")&amp;IF($C274="","scope, ","")&amp;IF(OR($K274="",$M274=""),"size, ","")&amp;IF(AND($A274&lt;&gt;"",$C274&lt;&gt;"DOOR ONLY"),IF($U274="","jamb depth, ","")&amp;IF($X274="","construction, ","")&amp;IF($Y274="","anchor, ","")&amp;IF($S274="","frame type, ",""),"")&amp;IF(AND(N($BJ274)&gt;0,$Z274=""),"hand, ","")&amp;IF(N($BJ274)&gt;0,IF($AH274="","door material, ","")&amp;IF($AL274="","face type, ","")&amp;IF($AP274="","lock prep, ","")&amp;IF(AND($AO274="",$AC274=""),"hinge prep, ",""),"")&amp;IF(AND($CH274&gt;0,$AH274="FRP"),"FRP cannot carry a label, ","")&amp;IF(AND($O274="Y",OR($Z274="L",$Z274="R",$Z274="LR",$Z274="RR")),"pair marked but hand is single, ","")&amp;IF(AND($O274&lt;&gt;"Y",OR($Z274="PR",AND(LEN($Z274)&gt;1,ISNUMBER(SEARCH("-",$Z274))))),"pair hand on a single door, ","")&amp;IF(AND(ISNUMBER($CI274),$CH274&lt;N($CI274)),"wall needs a "&amp;$CI274&amp;" min door, ","")&amp;IF(AND($CH274&gt;=180,AND(OR($CE274="FG",$CE274="HG",$CE274="FNV",$CE274="FV"),N($CF274)*N($CG274)&gt;100)),"180 min lite over 100 sq in, ","")&amp;IF(N($BK274)&gt;48,"leaf wider than 4'-0"&amp;CHAR(34)&amp;", ","")&amp;IF(AND($CT274,COUNT($AW274:$AZ274)=0,$CQ274&gt;0),"CUSTOM LOC with no locations typed, ",""))</f>
        <v/>
      </c>
      <c r="DK274" s="84">
        <f>IF($A274="","",IF(AND($CH274&gt;0,AND($A274&lt;&gt;"",$C274&lt;&gt;"DOOR ONLY"),$X274="KD",$E274="EXTERIOR"),"KD label on an exterior opening, ","")&amp;IF(AND($E274="EXTERIOR",OR(AND(AND($A274&lt;&gt;"",$C274&lt;&gt;"DOOR ONLY"),$W274="CR"),AND(N($BJ274)&gt;0,$AH274="CR"))),"exterior in CR steel (G9?), ","")&amp;IF(AND(ISNUMBER($BQ274),N($BQ274)&lt;32),"clear width ~"&amp;TEXT($BQ274,"0.0")&amp;CHAR(34)&amp;" under 32"&amp;CHAR(34)&amp;" (ADA), ","")&amp;IF(AND($CH274=90,AND(OR($CE274="FG",$CE274="HG",$CE274="FNV",$CE274="FV"),N($CF274)*N($CG274)&gt;100)),"90 min lite over 100 sq in (stair/exit), ","")&amp;IF(AND($CH274&gt;0,AND($A274&lt;&gt;"",$C274&lt;&gt;"DOOR ONLY"),OR($AF274="",$AF274="-")),"rated: closer reinf.?, ","")&amp;IF(OR($I274="CORRIDOR",$I274="SMOKE BARRIER"),"S label + smoke gasketing, ","")&amp;IF($CI274="?","wall type/hr not in IBC table, ","")&amp;IF(AND(N($BJ274)&gt;0,$BB274=""),"no hardware set, ","")&amp;IF(AND($BB274&lt;&gt;"",ISNA(MATCH($BB274&amp;"",HWSets,0))),"set "&amp;$BB274&amp;" not on HW Sets, ","")&amp;IF(N($BL274)&gt;96,"leaf over 8'-0"&amp;CHAR(34)&amp;" - check listing, ","")&amp;IF(AND($CT274,COUNT($AW274:$AZ274)&gt;0,COUNT($AW274:$AZ274)&lt;&gt;$CQ274),COUNT($AW274:$AZ274)&amp;" custom hinges typed, "&amp;$CQ274&amp;" expected, ","")&amp;IF(AND(ISNUMBER($CA274),OR(N($CA274)&lt;34,N($CA274)&gt;48)),"lock "&amp;TEXT($CA274,"0.0")&amp;CHAR(34)&amp;" AFF outside 34-48"&amp;CHAR(34)&amp;" (ADA), ","")&amp;IF(AND(ISNUMBER($AV274),ISNUMBER($BL274),N($AV274)&lt;IF(N($BL274)&lt;=60,2,IF(N($BL274)&lt;=90,3,IF(N($BL274)&lt;=120,4,5)))),"fewer hinges than standard, ",""))</f>
        <v/>
      </c>
    </row>
    <row r="275" ht="15" customHeight="1">
      <c r="A275" s="92" t="n"/>
      <c r="B275" s="93" t="n"/>
      <c r="C275" s="93" t="n"/>
      <c r="D275" s="93" t="n"/>
      <c r="E275" s="93" t="n"/>
      <c r="F275" s="93" t="n"/>
      <c r="G275" s="93" t="n"/>
      <c r="H275" s="93" t="n"/>
      <c r="I275" s="93" t="n"/>
      <c r="J275" s="93" t="n"/>
      <c r="K275" s="93" t="n"/>
      <c r="L275" s="93" t="n"/>
      <c r="M275" s="93" t="n"/>
      <c r="N275" s="93" t="n"/>
      <c r="O275" s="93" t="n"/>
      <c r="P275" s="93" t="n"/>
      <c r="Q275" s="93" t="n"/>
      <c r="R275" s="93" t="n"/>
      <c r="S275" s="94" t="n"/>
      <c r="T275" s="94" t="n"/>
      <c r="U275" s="94" t="n"/>
      <c r="V275" s="94" t="n"/>
      <c r="W275" s="94" t="n"/>
      <c r="X275" s="94" t="n"/>
      <c r="Y275" s="94" t="n"/>
      <c r="Z275" s="94" t="n"/>
      <c r="AA275" s="94" t="n"/>
      <c r="AB275" s="94" t="n"/>
      <c r="AC275" s="94" t="n"/>
      <c r="AD275" s="94" t="n"/>
      <c r="AE275" s="94" t="n"/>
      <c r="AF275" s="94" t="n"/>
      <c r="AG275" s="94" t="n"/>
      <c r="AH275" s="95" t="n"/>
      <c r="AI275" s="95" t="n"/>
      <c r="AJ275" s="95" t="n"/>
      <c r="AK275" s="95" t="n"/>
      <c r="AL275" s="95" t="n"/>
      <c r="AM275" s="95" t="n"/>
      <c r="AN275" s="95" t="n"/>
      <c r="AO275" s="95" t="n"/>
      <c r="AP275" s="95" t="n"/>
      <c r="AQ275" s="95" t="n"/>
      <c r="AR275" s="95" t="n"/>
      <c r="AS275" s="95" t="n"/>
      <c r="AT275" s="96" t="n"/>
      <c r="AU275" s="96" t="n"/>
      <c r="AV275" s="96" t="n"/>
      <c r="AW275" s="97" t="n"/>
      <c r="AX275" s="97" t="n"/>
      <c r="AY275" s="97" t="n"/>
      <c r="AZ275" s="97" t="n"/>
      <c r="BA275" s="97" t="n"/>
      <c r="BB275" s="98" t="n"/>
      <c r="BC275" s="98" t="n"/>
      <c r="BD275" s="99">
        <f>IF($A275="","",IF($DJ275&lt;&gt;"","FIX",IF($DK275&lt;&gt;"","CHECK","OK")))</f>
        <v/>
      </c>
      <c r="BE275" s="100">
        <f>IF($A275="","",IF($DJ275&lt;&gt;"","FIX: "&amp;LEFT($DJ275,LEN($DJ275)-2)&amp;IF($DK275&lt;&gt;"","  ·  ",""),"")&amp;IF($DK275&lt;&gt;"","CHECK: "&amp;LEFT($DK275,LEN($DK275)-2),""))</f>
        <v/>
      </c>
      <c r="BF275" s="99">
        <f>IF(OR($A275="",$K275=""),"",$K275&amp;"'-"&amp;N($L275)&amp;CHAR(34)&amp;" x "&amp;$M275&amp;"'-"&amp;N($N275)&amp;CHAR(34))</f>
        <v/>
      </c>
      <c r="BG275" s="99">
        <f>IF(OR($A275="",$K275=""),"",$K275&amp;N($L275)&amp;$M275&amp;N($N275))</f>
        <v/>
      </c>
      <c r="BH275" s="99">
        <f>IF(OR($A275="",$K275=""),"",$K275*12+N($L275))</f>
        <v/>
      </c>
      <c r="BI275" s="99">
        <f>IF(OR($A275="",$M275=""),"",$M275*12+N($N275))</f>
        <v/>
      </c>
      <c r="BJ275" s="99">
        <f>IF($A275="","",IF(OR($C275="FRAME ONLY",$S275="BL"),0,IF($O275="Y",2,1)))</f>
        <v/>
      </c>
      <c r="BK275" s="101">
        <f>IF(OR(N($BJ275)=0,$BH275=""),"",($BH275-2*EdgeClr-IF($BJ275=2,MeetClr,0))/$BJ275)</f>
        <v/>
      </c>
      <c r="BL275" s="101">
        <f>IF(OR(N($BJ275)=0,$BI275=""),"",$BI275-HeadClr-Undercut)</f>
        <v/>
      </c>
      <c r="BM275" s="101">
        <f>IF($BH275="","",$BH275+2*FaceW+IF(N($Q275)&gt;0,($Q275+FaceW)*IF($R275="LR",2,1),0))</f>
        <v/>
      </c>
      <c r="BN275" s="101">
        <f>IF($BI275="","",$BI275+IF($AB275="Y",4,FaceW)+IF(N($P275)&gt;0,$P275+FaceW,0)+IF(OR($S275="4F",$S275="BL"),FaceW,0))</f>
        <v/>
      </c>
      <c r="BO275" s="101">
        <f>IF($BM275="","",$BM275+2*ROSide)</f>
        <v/>
      </c>
      <c r="BP275" s="101">
        <f>IF($BN275="","",$BN275+ROTop)</f>
        <v/>
      </c>
      <c r="BQ275" s="102">
        <f>IF(OR(N($BJ275)=0,$BH275=""),"",$BH275/$BJ275-ClearDeduct)</f>
        <v/>
      </c>
      <c r="BR275" s="99">
        <f>IF(N($CH275)=0,"",IF($CH275&gt;=180,"A · 3 HR",IF($CH275&gt;=90,"B · 1-1/2 HR",IF($CH275&gt;=60,"B · 1 HR",IF($CH275&gt;=45,"C · 3/4 HR","20 MIN")))))&amp;IF(AND(N($CH275)&gt;0,OR($I275="CORRIDOR",$I275="SMOKE BARRIER"))," · S","")</f>
        <v/>
      </c>
      <c r="BS275" s="99">
        <f>IF($CS275,"",IF($AV275&lt;&gt;"",$AV275,IF(OR($AC275="HGC",$AO275="HGC"),"CONT",IF(($BI275-HeadClr-Undercut)&lt;=60,2,IF(($BI275-HeadClr-Undercut)&lt;=90,3,IF(($BI275-HeadClr-Undercut)&lt;=120,4,5))))))</f>
        <v/>
      </c>
      <c r="BT275" s="99">
        <f>IF($CS275,"",IF($CT275,"CUSTOM (typed)",IF($CV275,$AT275&amp;" "&amp;$CU275&amp;CHAR(34)&amp;IF($CU275&lt;&gt;$BI275,IF(AND($BI275&lt;$CU275,$BI275-IF(N(VLOOKUP($AT275&amp;"|"&amp;$CU275,LocTable,7,FALSE))&gt;0,VLOOKUP($AT275&amp;"|"&amp;$CU275,LocTable,7,FALSE),VLOOKUP($AT275&amp;"|"&amp;$CU275,LocTable,6,FALSE))-$CR275-0.75&gt;=2.125)," cut down"," adj."),""),"ANSI/SDI A250.6")))</f>
        <v/>
      </c>
      <c r="BU275" s="103">
        <f>IF($CS275,"",IF($CT275,IF(N($AW275)&gt;0,N($AW275),""),IF(1&gt;$CQ275,"",IF($CQ275=1,$CW275,$CW275+($CX275-$CW275)*0/($CQ275-1)))))</f>
        <v/>
      </c>
      <c r="BV275" s="103">
        <f>IF($CS275,"",IF($CT275,IF(N($AX275)&gt;0,N($AX275),""),IF(2&gt;$CQ275,"",IF($CQ275=1,$CW275,$CW275+($CX275-$CW275)*1/($CQ275-1)))))</f>
        <v/>
      </c>
      <c r="BW275" s="103">
        <f>IF($CS275,"",IF($CT275,IF(N($AY275)&gt;0,N($AY275),""),IF(3&gt;$CQ275,"",IF($CQ275=1,$CW275,$CW275+($CX275-$CW275)*2/($CQ275-1)))))</f>
        <v/>
      </c>
      <c r="BX275" s="103">
        <f>IF($CS275,"",IF($CT275,IF(N($AZ275)&gt;0,N($AZ275),""),IF(4&gt;$CQ275,"",IF($CQ275=1,$CW275,$CW275+($CX275-$CW275)*3/($CQ275-1)))))</f>
        <v/>
      </c>
      <c r="BY275" s="103">
        <f>IF($CS275,"",IF($CT275,"",IF(5&gt;$CQ275,"",IF($CQ275=1,$CW275,$CW275+($CX275-$CW275)*4/($CQ275-1)))))</f>
        <v/>
      </c>
      <c r="BZ275" s="103">
        <f>IF(OR($CS275,$AP275="-",AND($AP275="",$AD275="")),"",IF(N($BA275)&gt;0,N($BA275),IF($CV275,IF(AND($BI275&lt;$CU275,$BI275-IF(N(VLOOKUP($AT275&amp;"|"&amp;$CU275,LocTable,7,FALSE))&gt;0,VLOOKUP($AT275&amp;"|"&amp;$CU275,LocTable,7,FALSE),VLOOKUP($AT275&amp;"|"&amp;$CU275,LocTable,6,FALSE))-$CR275-0.75&gt;=2.125),VLOOKUP($AT275&amp;"|"&amp;$CU275,LocTable,8,FALSE),VLOOKUP($AT275&amp;"|"&amp;$CU275,LocTable,8,FALSE)+($BI275-$CU275)),$BI275-LockAFF)))</f>
        <v/>
      </c>
      <c r="CA275" s="104">
        <f>IF($BZ275="","",$BI275-$BZ275)</f>
        <v/>
      </c>
      <c r="CB275" s="99">
        <f>IF(OR(NOT(AND($A275&lt;&gt;"",$C275&lt;&gt;"DOOR ONLY")),$BI275=""),"",IF(($BI275+IF(N($P275)&gt;0,$P275+FaceW,0))&lt;=90,3,IF(($BI275+IF(N($P275)&gt;0,$P275+FaceW,0))&lt;=114,4,5)))</f>
        <v/>
      </c>
      <c r="CC275" s="99">
        <f>IF($CB275="","",$CB275*(2+IF(N($Q275)&gt;0,IF($R275="LR",2,1),0)))</f>
        <v/>
      </c>
      <c r="CD275" s="99">
        <f>IF($CB275="","",(2+IF(N($Q275)&gt;0,IF($R275="LR",2,1),0)))</f>
        <v/>
      </c>
      <c r="CE275" s="99">
        <f>IF(N($BJ275)=0,"",IF(OR($AL275="",$AL275="FLUSH"),"FLUSH",IFERROR(LEFT($AL275,FIND("-",$AL275)-1),LEFT($AL275,2))))</f>
        <v/>
      </c>
      <c r="CF275" s="99">
        <f>IF($CE275="","",IFERROR(VALUE(MID($AL275,FIND("-",$AL275)+1,FIND(CHAR(34)&amp;"x",$AL275)-FIND("-",$AL275)-1)),0))</f>
        <v/>
      </c>
      <c r="CG275" s="99">
        <f>IF($CE275="","",IFERROR(VALUE(MID($AL275,FIND(CHAR(34)&amp;"x",$AL275)+2,FIND(CHAR(34),$AL275,FIND(CHAR(34)&amp;"x",$AL275)+2)-FIND(CHAR(34)&amp;"x",$AL275)-2)),0))</f>
        <v/>
      </c>
      <c r="CH275" s="105">
        <f>IF(OR($A275="",$H275="",$H275="NO LAB"),0,IFERROR(VALUE(LEFT($H275,FIND(" ",$H275)-1)),0))</f>
        <v/>
      </c>
      <c r="CI275" s="106">
        <f>IF(OR($A275="",$I275="",$I275="NON-RATED",N($J275)=0),"",IFERROR(VLOOKUP($I275&amp;"|"&amp;$J275,IBC,2,FALSE),"?"))</f>
        <v/>
      </c>
      <c r="CJ275" s="100">
        <f>IF(NOT(AND($A275&lt;&gt;"",$C275&lt;&gt;"DOOR ONLY")),"",TRIM(IFERROR(VLOOKUP($U275,CODES,2,FALSE),"")&amp;" "&amp;$BG275&amp;" "&amp;IFERROR(VLOOKUP($Z275,CODES,2,FALSE),"")&amp;" "&amp;IFERROR(VLOOKUP($X275,CODES,2,FALSE),"")&amp;" "&amp;IFERROR(VLOOKUP($S275,CODES,2,FALSE),"")&amp;IF(N($P275)&gt;0," w/TRANSOM "&amp;$P275&amp;CHAR(34),"")&amp;IF(N($Q275)&gt;0," w/SIDELITE "&amp;$Q275&amp;CHAR(34)&amp;" "&amp;IF($R275="","R",$R275),"")&amp;IF($Y275="","  |  "," | "&amp;IFERROR(VLOOKUP($Y275,CODES,2,FALSE),"")&amp;" | ")&amp;IFERROR(VLOOKUP($AC275,CODES,2,FALSE),"")&amp;" "&amp;IFERROR(VLOOKUP($AD275,CODES,2,FALSE),"")&amp;IF(OR($AE275="",$AE275="-"),""," "&amp;$AE275)&amp;IF(OR($AF275="",$AF275="-"),""," "&amp;$AF275)&amp;IF($AB275="Y"," 4"&amp;CHAR(34)&amp;" HEAD","")&amp;" "&amp;IFERROR(VLOOKUP($H275,CODES,2,FALSE),"")&amp;IF($CT275," | LOC "&amp;$CY275,"")))</f>
        <v/>
      </c>
      <c r="CK275" s="100">
        <f>IF(NOT(AND($A275&lt;&gt;"",N($BJ275)&gt;0)),"",TRIM(IFERROR(VLOOKUP($AH275,CODES,2,FALSE),"")&amp;IF($AI275=""," "," "&amp;$AI275&amp;"GA ")&amp;$BG275&amp;" "&amp;IF($AN275="",IFERROR(VLOOKUP($Z275,CODES,2,FALSE),""),IFERROR(VLOOKUP($AN275,CODES,2,FALSE),""))&amp;IF($BJ275=2," PAIR","")&amp;" DOOR | "&amp;IF($AL275="","?",$AL275)&amp;" | "&amp;IF($AO275="",IFERROR(VLOOKUP($AC275,CODES,2,FALSE),""),IFERROR(VLOOKUP($AO275,CODES,2,FALSE),""))&amp;" "&amp;IFERROR(VLOOKUP($AP275,CODES,2,FALSE),"")&amp;IF(OR($AQ275="",$AQ275="-"),""," SEAM "&amp;$AQ275)&amp;IF($AR275="Y"," ASTRAGAL","")&amp;IF($AJ275=""," "," "&amp;$AJ275)&amp;IF($AK275=""," "," "&amp;$AK275)&amp;IF(OR($AT275="",$AT275="ANSI/SDI",$AT275="CUSTOM LOC"),""," "&amp;$AT275)&amp;IF($AM275=""," "," SERIES "&amp;$AM275)&amp;" "&amp;IFERROR(VLOOKUP($H275,CODES,2,FALSE),"")&amp;IF($CT275," | LOC "&amp;$CZ275,"")))</f>
        <v/>
      </c>
      <c r="CL275" s="99">
        <f>IF(CP275="","",IF(COUNTIF($CP$6:CP275,CP275)=1,MAX($CL$5:CL274)+1,INDEX($CL$5:CL274,MATCH(CP275,$CP$5:CP274,0))))</f>
        <v/>
      </c>
      <c r="CM275" s="99">
        <f>IF(NOT(AND($A275&lt;&gt;"",$C275&lt;&gt;"DOOR ONLY")),"",MAX($CM$5:CM274)+1)</f>
        <v/>
      </c>
      <c r="CN275" s="99">
        <f>IF(NOT(AND($A275&lt;&gt;"",N($BJ275)&gt;0)),"",MAX($CN$5:CN274)+1)</f>
        <v/>
      </c>
      <c r="CO275" s="99">
        <f>IF($A275="","",MAX($CO$5:CO274)+1)</f>
        <v/>
      </c>
      <c r="CP275" s="99">
        <f>IF(OR($A275="",$BH275="",$BI275=""),"",$BG275&amp;"|"&amp;$O275&amp;"|"&amp;$AL275&amp;"|"&amp;$S275&amp;"|"&amp;$P275&amp;"|"&amp;$Q275&amp;$R275&amp;"|"&amp;$C275&amp;"|"&amp;$AB275)</f>
        <v/>
      </c>
      <c r="CQ275" s="99">
        <f>N($BS275)</f>
        <v/>
      </c>
      <c r="CR275" s="99">
        <f>IF(N($AU275)&gt;0,N($AU275),4.5)</f>
        <v/>
      </c>
      <c r="CS275" s="99">
        <f>OR($A275="",$BI275="",$S275="BL",AND($C275="FRAME ONLY",OR($AC275="",$AC275="BLK")))</f>
        <v/>
      </c>
      <c r="CT275" s="99">
        <f>AND(NOT($CS275),OR($AT275="CUSTOM LOC",N($AW275)+N($AX275)+N($AY275)+N($AZ275)+N($BA275)&gt;0))</f>
        <v/>
      </c>
      <c r="CU275" s="99">
        <f>IF($BI275="","",IF($BI275&lt;=80,80,IF($BI275&lt;=84,84,96)))</f>
        <v/>
      </c>
      <c r="CV275" s="99">
        <f>ISNUMBER(MATCH($AT275&amp;"|80",LocKeys,0))</f>
        <v/>
      </c>
      <c r="CW275" s="101">
        <f>IF($CS275,"",IF($CV275,VLOOKUP($AT275&amp;"|"&amp;$CU275,LocTable,4,FALSE),5))</f>
        <v/>
      </c>
      <c r="CX275" s="101">
        <f>IF($CS275,"",IF($CV275,IF(OR($BI275=$CU275,AND($BI275&lt;$CU275,$BI275-IF(N(VLOOKUP($AT275&amp;"|"&amp;$CU275,LocTable,7,FALSE))&gt;0,VLOOKUP($AT275&amp;"|"&amp;$CU275,LocTable,7,FALSE),VLOOKUP($AT275&amp;"|"&amp;$CU275,LocTable,6,FALSE))-$CR275-0.75&gt;=2.125)),IF(N(VLOOKUP($AT275&amp;"|"&amp;$CU275,LocTable,7,FALSE))&gt;0,VLOOKUP($AT275&amp;"|"&amp;$CU275,LocTable,7,FALSE),VLOOKUP($AT275&amp;"|"&amp;$CU275,LocTable,6,FALSE)),$BI275-($CU275-IF(N(VLOOKUP($AT275&amp;"|"&amp;$CU275,LocTable,7,FALSE))&gt;0,VLOOKUP($AT275&amp;"|"&amp;$CU275,LocTable,7,FALSE),VLOOKUP($AT275&amp;"|"&amp;$CU275,LocTable,6,FALSE)))),$BI275-10-$CR275))</f>
        <v/>
      </c>
      <c r="CY275" s="100">
        <f>IF($CS275,"",TRIM(IF(ISNUMBER($BU275),"A "&amp;TRIM(TEXT($BU275,"# ?/??"))&amp;CHAR(34)&amp;"  ","")&amp;IF(ISNUMBER($BV275),"B "&amp;TRIM(TEXT($BV275,"# ?/??"))&amp;CHAR(34)&amp;"  ","")&amp;IF(ISNUMBER($BW275),"C "&amp;TRIM(TEXT($BW275,"# ?/??"))&amp;CHAR(34)&amp;"  ","")&amp;IF(ISNUMBER($BX275),"D "&amp;TRIM(TEXT($BX275,"# ?/??"))&amp;CHAR(34)&amp;"  ","")&amp;IF(ISNUMBER($BY275),"F "&amp;TRIM(TEXT($BY275,"# ?/??"))&amp;CHAR(34)&amp;"  ","")&amp;IF(ISNUMBER($BZ275),"E "&amp;TRIM(TEXT($BZ275,"# ?/??"))&amp;CHAR(34)&amp;"  ","")))</f>
        <v/>
      </c>
      <c r="CZ275" s="100">
        <f>IF(OR($CS275,N($BJ275)=0),"",TRIM(IF(ISNUMBER($BU275),"A "&amp;TRIM(TEXT($BU275-HeadClr,"# ?/??"))&amp;CHAR(34)&amp;"  ","")&amp;IF(ISNUMBER($BV275),"B "&amp;TRIM(TEXT($BV275-HeadClr,"# ?/??"))&amp;CHAR(34)&amp;"  ","")&amp;IF(ISNUMBER($BW275),"C "&amp;TRIM(TEXT($BW275-HeadClr,"# ?/??"))&amp;CHAR(34)&amp;"  ","")&amp;IF(ISNUMBER($BX275),"D "&amp;TRIM(TEXT($BX275-HeadClr,"# ?/??"))&amp;CHAR(34)&amp;"  ","")&amp;IF(ISNUMBER($BY275),"F "&amp;TRIM(TEXT($BY275-HeadClr,"# ?/??"))&amp;CHAR(34)&amp;"  ","")&amp;IF(ISNUMBER($BZ275),"E "&amp;TRIM(TEXT($BZ275-HeadClr,"# ?/??"))&amp;CHAR(34)&amp;"  ","")))</f>
        <v/>
      </c>
      <c r="DA275" s="99">
        <f>IF($A275="","",IF($AN275="",IFERROR(VLOOKUP($Z275,CODES,2,FALSE),""),IFERROR(VLOOKUP($AN275,CODES,2,FALSE),"")))</f>
        <v/>
      </c>
      <c r="DB275" s="99">
        <f>IF($A275="","",IF($O275="Y","PR",IF(OR($Z275="L",$Z275="RR",LEFT($Z275,2)="L-",LEFT($Z275,3)="RR-"),"LH","RH")))</f>
        <v/>
      </c>
      <c r="DC275" s="99">
        <f>IF($A275="","","S.HM"&amp;IF(OR($C275="DOOR ONLY",$X275&lt;&gt;"KD"),"MASONRY","DRYWALL")&amp;IF($C275="DOOR ONLY","",$U275)&amp;IF(AND($C275&lt;&gt;"FRAME ONLY",OR(LEFT($AH275,3)="OAK",LEFT($AH275,3)="BIR",LEFT($AH275,3)="MAP",$AH275="PC",$AH275="MC",$AH275="SCLC",$AH275="P-LAM")),"WD","HM")&amp;"1.75")</f>
        <v/>
      </c>
      <c r="DD275" s="99">
        <f>IF($CJ275="","",IF($O275="Y",$CJ275,SUBSTITUTE($CJ275,$BG275&amp;" "&amp;IFERROR(VLOOKUP($Z275,CODES,2,FALSE),"")&amp;" ",$BG275&amp;" ")))</f>
        <v/>
      </c>
      <c r="DE275" s="99">
        <f>IF($CK275="","",IF($O275="Y",$CK275,SUBSTITUTE($CK275,$BG275&amp;" "&amp;IF($AN275="",IFERROR(VLOOKUP($Z275,CODES,2,FALSE),""),IFERROR(VLOOKUP($AN275,CODES,2,FALSE),""))&amp;" ",$BG275&amp;" ")))</f>
        <v/>
      </c>
      <c r="DF275" s="99">
        <f>IF($CJ275="","",$DC275&amp;"|"&amp;$DD275&amp;"|"&amp;$DB275&amp;"|"&amp;$AT275&amp;"|"&amp;$V275&amp;"|"&amp;$Y275&amp;"|"&amp;$AB275)</f>
        <v/>
      </c>
      <c r="DG275" s="99">
        <f>IF(DF275="","",IF(COUNTIF($DF$6:DF275,DF275)=1,MAX($DG$5:DG274)+1,INDEX($DG$5:DG274,MATCH(DF275,$DF$5:DF274,0))))</f>
        <v/>
      </c>
      <c r="DH275" s="99">
        <f>IF($CK275="","",$DC275&amp;"|"&amp;$DE275&amp;"|"&amp;$AI275&amp;"|"&amp;$BK275&amp;"|"&amp;$BL275)</f>
        <v/>
      </c>
      <c r="DI275" s="99">
        <f>IF(DH275="","",IF(COUNTIF($DH$6:DH275,DH275)=1,MAX($DI$5:DI274)+1,INDEX($DI$5:DI274,MATCH(DH275,$DH$5:DH274,0))))</f>
        <v/>
      </c>
      <c r="DJ275" s="99">
        <f>IF($A275="","",IF($B275="","qty, ","")&amp;IF($C275="","scope, ","")&amp;IF(OR($K275="",$M275=""),"size, ","")&amp;IF(AND($A275&lt;&gt;"",$C275&lt;&gt;"DOOR ONLY"),IF($U275="","jamb depth, ","")&amp;IF($X275="","construction, ","")&amp;IF($Y275="","anchor, ","")&amp;IF($S275="","frame type, ",""),"")&amp;IF(AND(N($BJ275)&gt;0,$Z275=""),"hand, ","")&amp;IF(N($BJ275)&gt;0,IF($AH275="","door material, ","")&amp;IF($AL275="","face type, ","")&amp;IF($AP275="","lock prep, ","")&amp;IF(AND($AO275="",$AC275=""),"hinge prep, ",""),"")&amp;IF(AND($CH275&gt;0,$AH275="FRP"),"FRP cannot carry a label, ","")&amp;IF(AND($O275="Y",OR($Z275="L",$Z275="R",$Z275="LR",$Z275="RR")),"pair marked but hand is single, ","")&amp;IF(AND($O275&lt;&gt;"Y",OR($Z275="PR",AND(LEN($Z275)&gt;1,ISNUMBER(SEARCH("-",$Z275))))),"pair hand on a single door, ","")&amp;IF(AND(ISNUMBER($CI275),$CH275&lt;N($CI275)),"wall needs a "&amp;$CI275&amp;" min door, ","")&amp;IF(AND($CH275&gt;=180,AND(OR($CE275="FG",$CE275="HG",$CE275="FNV",$CE275="FV"),N($CF275)*N($CG275)&gt;100)),"180 min lite over 100 sq in, ","")&amp;IF(N($BK275)&gt;48,"leaf wider than 4'-0"&amp;CHAR(34)&amp;", ","")&amp;IF(AND($CT275,COUNT($AW275:$AZ275)=0,$CQ275&gt;0),"CUSTOM LOC with no locations typed, ",""))</f>
        <v/>
      </c>
      <c r="DK275" s="99">
        <f>IF($A275="","",IF(AND($CH275&gt;0,AND($A275&lt;&gt;"",$C275&lt;&gt;"DOOR ONLY"),$X275="KD",$E275="EXTERIOR"),"KD label on an exterior opening, ","")&amp;IF(AND($E275="EXTERIOR",OR(AND(AND($A275&lt;&gt;"",$C275&lt;&gt;"DOOR ONLY"),$W275="CR"),AND(N($BJ275)&gt;0,$AH275="CR"))),"exterior in CR steel (G9?), ","")&amp;IF(AND(ISNUMBER($BQ275),N($BQ275)&lt;32),"clear width ~"&amp;TEXT($BQ275,"0.0")&amp;CHAR(34)&amp;" under 32"&amp;CHAR(34)&amp;" (ADA), ","")&amp;IF(AND($CH275=90,AND(OR($CE275="FG",$CE275="HG",$CE275="FNV",$CE275="FV"),N($CF275)*N($CG275)&gt;100)),"90 min lite over 100 sq in (stair/exit), ","")&amp;IF(AND($CH275&gt;0,AND($A275&lt;&gt;"",$C275&lt;&gt;"DOOR ONLY"),OR($AF275="",$AF275="-")),"rated: closer reinf.?, ","")&amp;IF(OR($I275="CORRIDOR",$I275="SMOKE BARRIER"),"S label + smoke gasketing, ","")&amp;IF($CI275="?","wall type/hr not in IBC table, ","")&amp;IF(AND(N($BJ275)&gt;0,$BB275=""),"no hardware set, ","")&amp;IF(AND($BB275&lt;&gt;"",ISNA(MATCH($BB275&amp;"",HWSets,0))),"set "&amp;$BB275&amp;" not on HW Sets, ","")&amp;IF(N($BL275)&gt;96,"leaf over 8'-0"&amp;CHAR(34)&amp;" - check listing, ","")&amp;IF(AND($CT275,COUNT($AW275:$AZ275)&gt;0,COUNT($AW275:$AZ275)&lt;&gt;$CQ275),COUNT($AW275:$AZ275)&amp;" custom hinges typed, "&amp;$CQ275&amp;" expected, ","")&amp;IF(AND(ISNUMBER($CA275),OR(N($CA275)&lt;34,N($CA275)&gt;48)),"lock "&amp;TEXT($CA275,"0.0")&amp;CHAR(34)&amp;" AFF outside 34-48"&amp;CHAR(34)&amp;" (ADA), ","")&amp;IF(AND(ISNUMBER($AV275),ISNUMBER($BL275),N($AV275)&lt;IF(N($BL275)&lt;=60,2,IF(N($BL275)&lt;=90,3,IF(N($BL275)&lt;=120,4,5)))),"fewer hinges than standard, ",""))</f>
        <v/>
      </c>
    </row>
    <row r="276" ht="15" customHeight="1">
      <c r="A276" s="77" t="n"/>
      <c r="B276" s="78" t="n"/>
      <c r="C276" s="78" t="n"/>
      <c r="D276" s="78" t="n"/>
      <c r="E276" s="78" t="n"/>
      <c r="F276" s="78" t="n"/>
      <c r="G276" s="78" t="n"/>
      <c r="H276" s="78" t="n"/>
      <c r="I276" s="78" t="n"/>
      <c r="J276" s="78" t="n"/>
      <c r="K276" s="78" t="n"/>
      <c r="L276" s="78" t="n"/>
      <c r="M276" s="78" t="n"/>
      <c r="N276" s="78" t="n"/>
      <c r="O276" s="78" t="n"/>
      <c r="P276" s="78" t="n"/>
      <c r="Q276" s="78" t="n"/>
      <c r="R276" s="78" t="n"/>
      <c r="S276" s="79" t="n"/>
      <c r="T276" s="79" t="n"/>
      <c r="U276" s="79" t="n"/>
      <c r="V276" s="79" t="n"/>
      <c r="W276" s="79" t="n"/>
      <c r="X276" s="79" t="n"/>
      <c r="Y276" s="79" t="n"/>
      <c r="Z276" s="79" t="n"/>
      <c r="AA276" s="79" t="n"/>
      <c r="AB276" s="79" t="n"/>
      <c r="AC276" s="79" t="n"/>
      <c r="AD276" s="79" t="n"/>
      <c r="AE276" s="79" t="n"/>
      <c r="AF276" s="79" t="n"/>
      <c r="AG276" s="79" t="n"/>
      <c r="AH276" s="80" t="n"/>
      <c r="AI276" s="80" t="n"/>
      <c r="AJ276" s="80" t="n"/>
      <c r="AK276" s="80" t="n"/>
      <c r="AL276" s="80" t="n"/>
      <c r="AM276" s="80" t="n"/>
      <c r="AN276" s="80" t="n"/>
      <c r="AO276" s="80" t="n"/>
      <c r="AP276" s="80" t="n"/>
      <c r="AQ276" s="80" t="n"/>
      <c r="AR276" s="80" t="n"/>
      <c r="AS276" s="80" t="n"/>
      <c r="AT276" s="81" t="n"/>
      <c r="AU276" s="81" t="n"/>
      <c r="AV276" s="81" t="n"/>
      <c r="AW276" s="82" t="n"/>
      <c r="AX276" s="82" t="n"/>
      <c r="AY276" s="82" t="n"/>
      <c r="AZ276" s="82" t="n"/>
      <c r="BA276" s="82" t="n"/>
      <c r="BB276" s="83" t="n"/>
      <c r="BC276" s="83" t="n"/>
      <c r="BD276" s="84">
        <f>IF($A276="","",IF($DJ276&lt;&gt;"","FIX",IF($DK276&lt;&gt;"","CHECK","OK")))</f>
        <v/>
      </c>
      <c r="BE276" s="85">
        <f>IF($A276="","",IF($DJ276&lt;&gt;"","FIX: "&amp;LEFT($DJ276,LEN($DJ276)-2)&amp;IF($DK276&lt;&gt;"","  ·  ",""),"")&amp;IF($DK276&lt;&gt;"","CHECK: "&amp;LEFT($DK276,LEN($DK276)-2),""))</f>
        <v/>
      </c>
      <c r="BF276" s="84">
        <f>IF(OR($A276="",$K276=""),"",$K276&amp;"'-"&amp;N($L276)&amp;CHAR(34)&amp;" x "&amp;$M276&amp;"'-"&amp;N($N276)&amp;CHAR(34))</f>
        <v/>
      </c>
      <c r="BG276" s="84">
        <f>IF(OR($A276="",$K276=""),"",$K276&amp;N($L276)&amp;$M276&amp;N($N276))</f>
        <v/>
      </c>
      <c r="BH276" s="84">
        <f>IF(OR($A276="",$K276=""),"",$K276*12+N($L276))</f>
        <v/>
      </c>
      <c r="BI276" s="84">
        <f>IF(OR($A276="",$M276=""),"",$M276*12+N($N276))</f>
        <v/>
      </c>
      <c r="BJ276" s="84">
        <f>IF($A276="","",IF(OR($C276="FRAME ONLY",$S276="BL"),0,IF($O276="Y",2,1)))</f>
        <v/>
      </c>
      <c r="BK276" s="86">
        <f>IF(OR(N($BJ276)=0,$BH276=""),"",($BH276-2*EdgeClr-IF($BJ276=2,MeetClr,0))/$BJ276)</f>
        <v/>
      </c>
      <c r="BL276" s="86">
        <f>IF(OR(N($BJ276)=0,$BI276=""),"",$BI276-HeadClr-Undercut)</f>
        <v/>
      </c>
      <c r="BM276" s="86">
        <f>IF($BH276="","",$BH276+2*FaceW+IF(N($Q276)&gt;0,($Q276+FaceW)*IF($R276="LR",2,1),0))</f>
        <v/>
      </c>
      <c r="BN276" s="86">
        <f>IF($BI276="","",$BI276+IF($AB276="Y",4,FaceW)+IF(N($P276)&gt;0,$P276+FaceW,0)+IF(OR($S276="4F",$S276="BL"),FaceW,0))</f>
        <v/>
      </c>
      <c r="BO276" s="86">
        <f>IF($BM276="","",$BM276+2*ROSide)</f>
        <v/>
      </c>
      <c r="BP276" s="86">
        <f>IF($BN276="","",$BN276+ROTop)</f>
        <v/>
      </c>
      <c r="BQ276" s="87">
        <f>IF(OR(N($BJ276)=0,$BH276=""),"",$BH276/$BJ276-ClearDeduct)</f>
        <v/>
      </c>
      <c r="BR276" s="84">
        <f>IF(N($CH276)=0,"",IF($CH276&gt;=180,"A · 3 HR",IF($CH276&gt;=90,"B · 1-1/2 HR",IF($CH276&gt;=60,"B · 1 HR",IF($CH276&gt;=45,"C · 3/4 HR","20 MIN")))))&amp;IF(AND(N($CH276)&gt;0,OR($I276="CORRIDOR",$I276="SMOKE BARRIER"))," · S","")</f>
        <v/>
      </c>
      <c r="BS276" s="84">
        <f>IF($CS276,"",IF($AV276&lt;&gt;"",$AV276,IF(OR($AC276="HGC",$AO276="HGC"),"CONT",IF(($BI276-HeadClr-Undercut)&lt;=60,2,IF(($BI276-HeadClr-Undercut)&lt;=90,3,IF(($BI276-HeadClr-Undercut)&lt;=120,4,5))))))</f>
        <v/>
      </c>
      <c r="BT276" s="84">
        <f>IF($CS276,"",IF($CT276,"CUSTOM (typed)",IF($CV276,$AT276&amp;" "&amp;$CU276&amp;CHAR(34)&amp;IF($CU276&lt;&gt;$BI276,IF(AND($BI276&lt;$CU276,$BI276-IF(N(VLOOKUP($AT276&amp;"|"&amp;$CU276,LocTable,7,FALSE))&gt;0,VLOOKUP($AT276&amp;"|"&amp;$CU276,LocTable,7,FALSE),VLOOKUP($AT276&amp;"|"&amp;$CU276,LocTable,6,FALSE))-$CR276-0.75&gt;=2.125)," cut down"," adj."),""),"ANSI/SDI A250.6")))</f>
        <v/>
      </c>
      <c r="BU276" s="88">
        <f>IF($CS276,"",IF($CT276,IF(N($AW276)&gt;0,N($AW276),""),IF(1&gt;$CQ276,"",IF($CQ276=1,$CW276,$CW276+($CX276-$CW276)*0/($CQ276-1)))))</f>
        <v/>
      </c>
      <c r="BV276" s="88">
        <f>IF($CS276,"",IF($CT276,IF(N($AX276)&gt;0,N($AX276),""),IF(2&gt;$CQ276,"",IF($CQ276=1,$CW276,$CW276+($CX276-$CW276)*1/($CQ276-1)))))</f>
        <v/>
      </c>
      <c r="BW276" s="88">
        <f>IF($CS276,"",IF($CT276,IF(N($AY276)&gt;0,N($AY276),""),IF(3&gt;$CQ276,"",IF($CQ276=1,$CW276,$CW276+($CX276-$CW276)*2/($CQ276-1)))))</f>
        <v/>
      </c>
      <c r="BX276" s="88">
        <f>IF($CS276,"",IF($CT276,IF(N($AZ276)&gt;0,N($AZ276),""),IF(4&gt;$CQ276,"",IF($CQ276=1,$CW276,$CW276+($CX276-$CW276)*3/($CQ276-1)))))</f>
        <v/>
      </c>
      <c r="BY276" s="88">
        <f>IF($CS276,"",IF($CT276,"",IF(5&gt;$CQ276,"",IF($CQ276=1,$CW276,$CW276+($CX276-$CW276)*4/($CQ276-1)))))</f>
        <v/>
      </c>
      <c r="BZ276" s="88">
        <f>IF(OR($CS276,$AP276="-",AND($AP276="",$AD276="")),"",IF(N($BA276)&gt;0,N($BA276),IF($CV276,IF(AND($BI276&lt;$CU276,$BI276-IF(N(VLOOKUP($AT276&amp;"|"&amp;$CU276,LocTable,7,FALSE))&gt;0,VLOOKUP($AT276&amp;"|"&amp;$CU276,LocTable,7,FALSE),VLOOKUP($AT276&amp;"|"&amp;$CU276,LocTable,6,FALSE))-$CR276-0.75&gt;=2.125),VLOOKUP($AT276&amp;"|"&amp;$CU276,LocTable,8,FALSE),VLOOKUP($AT276&amp;"|"&amp;$CU276,LocTable,8,FALSE)+($BI276-$CU276)),$BI276-LockAFF)))</f>
        <v/>
      </c>
      <c r="CA276" s="89">
        <f>IF($BZ276="","",$BI276-$BZ276)</f>
        <v/>
      </c>
      <c r="CB276" s="84">
        <f>IF(OR(NOT(AND($A276&lt;&gt;"",$C276&lt;&gt;"DOOR ONLY")),$BI276=""),"",IF(($BI276+IF(N($P276)&gt;0,$P276+FaceW,0))&lt;=90,3,IF(($BI276+IF(N($P276)&gt;0,$P276+FaceW,0))&lt;=114,4,5)))</f>
        <v/>
      </c>
      <c r="CC276" s="84">
        <f>IF($CB276="","",$CB276*(2+IF(N($Q276)&gt;0,IF($R276="LR",2,1),0)))</f>
        <v/>
      </c>
      <c r="CD276" s="84">
        <f>IF($CB276="","",(2+IF(N($Q276)&gt;0,IF($R276="LR",2,1),0)))</f>
        <v/>
      </c>
      <c r="CE276" s="84">
        <f>IF(N($BJ276)=0,"",IF(OR($AL276="",$AL276="FLUSH"),"FLUSH",IFERROR(LEFT($AL276,FIND("-",$AL276)-1),LEFT($AL276,2))))</f>
        <v/>
      </c>
      <c r="CF276" s="84">
        <f>IF($CE276="","",IFERROR(VALUE(MID($AL276,FIND("-",$AL276)+1,FIND(CHAR(34)&amp;"x",$AL276)-FIND("-",$AL276)-1)),0))</f>
        <v/>
      </c>
      <c r="CG276" s="84">
        <f>IF($CE276="","",IFERROR(VALUE(MID($AL276,FIND(CHAR(34)&amp;"x",$AL276)+2,FIND(CHAR(34),$AL276,FIND(CHAR(34)&amp;"x",$AL276)+2)-FIND(CHAR(34)&amp;"x",$AL276)-2)),0))</f>
        <v/>
      </c>
      <c r="CH276" s="90">
        <f>IF(OR($A276="",$H276="",$H276="NO LAB"),0,IFERROR(VALUE(LEFT($H276,FIND(" ",$H276)-1)),0))</f>
        <v/>
      </c>
      <c r="CI276" s="91">
        <f>IF(OR($A276="",$I276="",$I276="NON-RATED",N($J276)=0),"",IFERROR(VLOOKUP($I276&amp;"|"&amp;$J276,IBC,2,FALSE),"?"))</f>
        <v/>
      </c>
      <c r="CJ276" s="85">
        <f>IF(NOT(AND($A276&lt;&gt;"",$C276&lt;&gt;"DOOR ONLY")),"",TRIM(IFERROR(VLOOKUP($U276,CODES,2,FALSE),"")&amp;" "&amp;$BG276&amp;" "&amp;IFERROR(VLOOKUP($Z276,CODES,2,FALSE),"")&amp;" "&amp;IFERROR(VLOOKUP($X276,CODES,2,FALSE),"")&amp;" "&amp;IFERROR(VLOOKUP($S276,CODES,2,FALSE),"")&amp;IF(N($P276)&gt;0," w/TRANSOM "&amp;$P276&amp;CHAR(34),"")&amp;IF(N($Q276)&gt;0," w/SIDELITE "&amp;$Q276&amp;CHAR(34)&amp;" "&amp;IF($R276="","R",$R276),"")&amp;IF($Y276="","  |  "," | "&amp;IFERROR(VLOOKUP($Y276,CODES,2,FALSE),"")&amp;" | ")&amp;IFERROR(VLOOKUP($AC276,CODES,2,FALSE),"")&amp;" "&amp;IFERROR(VLOOKUP($AD276,CODES,2,FALSE),"")&amp;IF(OR($AE276="",$AE276="-"),""," "&amp;$AE276)&amp;IF(OR($AF276="",$AF276="-"),""," "&amp;$AF276)&amp;IF($AB276="Y"," 4"&amp;CHAR(34)&amp;" HEAD","")&amp;" "&amp;IFERROR(VLOOKUP($H276,CODES,2,FALSE),"")&amp;IF($CT276," | LOC "&amp;$CY276,"")))</f>
        <v/>
      </c>
      <c r="CK276" s="85">
        <f>IF(NOT(AND($A276&lt;&gt;"",N($BJ276)&gt;0)),"",TRIM(IFERROR(VLOOKUP($AH276,CODES,2,FALSE),"")&amp;IF($AI276=""," "," "&amp;$AI276&amp;"GA ")&amp;$BG276&amp;" "&amp;IF($AN276="",IFERROR(VLOOKUP($Z276,CODES,2,FALSE),""),IFERROR(VLOOKUP($AN276,CODES,2,FALSE),""))&amp;IF($BJ276=2," PAIR","")&amp;" DOOR | "&amp;IF($AL276="","?",$AL276)&amp;" | "&amp;IF($AO276="",IFERROR(VLOOKUP($AC276,CODES,2,FALSE),""),IFERROR(VLOOKUP($AO276,CODES,2,FALSE),""))&amp;" "&amp;IFERROR(VLOOKUP($AP276,CODES,2,FALSE),"")&amp;IF(OR($AQ276="",$AQ276="-"),""," SEAM "&amp;$AQ276)&amp;IF($AR276="Y"," ASTRAGAL","")&amp;IF($AJ276=""," "," "&amp;$AJ276)&amp;IF($AK276=""," "," "&amp;$AK276)&amp;IF(OR($AT276="",$AT276="ANSI/SDI",$AT276="CUSTOM LOC"),""," "&amp;$AT276)&amp;IF($AM276=""," "," SERIES "&amp;$AM276)&amp;" "&amp;IFERROR(VLOOKUP($H276,CODES,2,FALSE),"")&amp;IF($CT276," | LOC "&amp;$CZ276,"")))</f>
        <v/>
      </c>
      <c r="CL276" s="84">
        <f>IF(CP276="","",IF(COUNTIF($CP$6:CP276,CP276)=1,MAX($CL$5:CL275)+1,INDEX($CL$5:CL275,MATCH(CP276,$CP$5:CP275,0))))</f>
        <v/>
      </c>
      <c r="CM276" s="84">
        <f>IF(NOT(AND($A276&lt;&gt;"",$C276&lt;&gt;"DOOR ONLY")),"",MAX($CM$5:CM275)+1)</f>
        <v/>
      </c>
      <c r="CN276" s="84">
        <f>IF(NOT(AND($A276&lt;&gt;"",N($BJ276)&gt;0)),"",MAX($CN$5:CN275)+1)</f>
        <v/>
      </c>
      <c r="CO276" s="84">
        <f>IF($A276="","",MAX($CO$5:CO275)+1)</f>
        <v/>
      </c>
      <c r="CP276" s="84">
        <f>IF(OR($A276="",$BH276="",$BI276=""),"",$BG276&amp;"|"&amp;$O276&amp;"|"&amp;$AL276&amp;"|"&amp;$S276&amp;"|"&amp;$P276&amp;"|"&amp;$Q276&amp;$R276&amp;"|"&amp;$C276&amp;"|"&amp;$AB276)</f>
        <v/>
      </c>
      <c r="CQ276" s="84">
        <f>N($BS276)</f>
        <v/>
      </c>
      <c r="CR276" s="84">
        <f>IF(N($AU276)&gt;0,N($AU276),4.5)</f>
        <v/>
      </c>
      <c r="CS276" s="84">
        <f>OR($A276="",$BI276="",$S276="BL",AND($C276="FRAME ONLY",OR($AC276="",$AC276="BLK")))</f>
        <v/>
      </c>
      <c r="CT276" s="84">
        <f>AND(NOT($CS276),OR($AT276="CUSTOM LOC",N($AW276)+N($AX276)+N($AY276)+N($AZ276)+N($BA276)&gt;0))</f>
        <v/>
      </c>
      <c r="CU276" s="84">
        <f>IF($BI276="","",IF($BI276&lt;=80,80,IF($BI276&lt;=84,84,96)))</f>
        <v/>
      </c>
      <c r="CV276" s="84">
        <f>ISNUMBER(MATCH($AT276&amp;"|80",LocKeys,0))</f>
        <v/>
      </c>
      <c r="CW276" s="86">
        <f>IF($CS276,"",IF($CV276,VLOOKUP($AT276&amp;"|"&amp;$CU276,LocTable,4,FALSE),5))</f>
        <v/>
      </c>
      <c r="CX276" s="86">
        <f>IF($CS276,"",IF($CV276,IF(OR($BI276=$CU276,AND($BI276&lt;$CU276,$BI276-IF(N(VLOOKUP($AT276&amp;"|"&amp;$CU276,LocTable,7,FALSE))&gt;0,VLOOKUP($AT276&amp;"|"&amp;$CU276,LocTable,7,FALSE),VLOOKUP($AT276&amp;"|"&amp;$CU276,LocTable,6,FALSE))-$CR276-0.75&gt;=2.125)),IF(N(VLOOKUP($AT276&amp;"|"&amp;$CU276,LocTable,7,FALSE))&gt;0,VLOOKUP($AT276&amp;"|"&amp;$CU276,LocTable,7,FALSE),VLOOKUP($AT276&amp;"|"&amp;$CU276,LocTable,6,FALSE)),$BI276-($CU276-IF(N(VLOOKUP($AT276&amp;"|"&amp;$CU276,LocTable,7,FALSE))&gt;0,VLOOKUP($AT276&amp;"|"&amp;$CU276,LocTable,7,FALSE),VLOOKUP($AT276&amp;"|"&amp;$CU276,LocTable,6,FALSE)))),$BI276-10-$CR276))</f>
        <v/>
      </c>
      <c r="CY276" s="85">
        <f>IF($CS276,"",TRIM(IF(ISNUMBER($BU276),"A "&amp;TRIM(TEXT($BU276,"# ?/??"))&amp;CHAR(34)&amp;"  ","")&amp;IF(ISNUMBER($BV276),"B "&amp;TRIM(TEXT($BV276,"# ?/??"))&amp;CHAR(34)&amp;"  ","")&amp;IF(ISNUMBER($BW276),"C "&amp;TRIM(TEXT($BW276,"# ?/??"))&amp;CHAR(34)&amp;"  ","")&amp;IF(ISNUMBER($BX276),"D "&amp;TRIM(TEXT($BX276,"# ?/??"))&amp;CHAR(34)&amp;"  ","")&amp;IF(ISNUMBER($BY276),"F "&amp;TRIM(TEXT($BY276,"# ?/??"))&amp;CHAR(34)&amp;"  ","")&amp;IF(ISNUMBER($BZ276),"E "&amp;TRIM(TEXT($BZ276,"# ?/??"))&amp;CHAR(34)&amp;"  ","")))</f>
        <v/>
      </c>
      <c r="CZ276" s="85">
        <f>IF(OR($CS276,N($BJ276)=0),"",TRIM(IF(ISNUMBER($BU276),"A "&amp;TRIM(TEXT($BU276-HeadClr,"# ?/??"))&amp;CHAR(34)&amp;"  ","")&amp;IF(ISNUMBER($BV276),"B "&amp;TRIM(TEXT($BV276-HeadClr,"# ?/??"))&amp;CHAR(34)&amp;"  ","")&amp;IF(ISNUMBER($BW276),"C "&amp;TRIM(TEXT($BW276-HeadClr,"# ?/??"))&amp;CHAR(34)&amp;"  ","")&amp;IF(ISNUMBER($BX276),"D "&amp;TRIM(TEXT($BX276-HeadClr,"# ?/??"))&amp;CHAR(34)&amp;"  ","")&amp;IF(ISNUMBER($BY276),"F "&amp;TRIM(TEXT($BY276-HeadClr,"# ?/??"))&amp;CHAR(34)&amp;"  ","")&amp;IF(ISNUMBER($BZ276),"E "&amp;TRIM(TEXT($BZ276-HeadClr,"# ?/??"))&amp;CHAR(34)&amp;"  ","")))</f>
        <v/>
      </c>
      <c r="DA276" s="84">
        <f>IF($A276="","",IF($AN276="",IFERROR(VLOOKUP($Z276,CODES,2,FALSE),""),IFERROR(VLOOKUP($AN276,CODES,2,FALSE),"")))</f>
        <v/>
      </c>
      <c r="DB276" s="84">
        <f>IF($A276="","",IF($O276="Y","PR",IF(OR($Z276="L",$Z276="RR",LEFT($Z276,2)="L-",LEFT($Z276,3)="RR-"),"LH","RH")))</f>
        <v/>
      </c>
      <c r="DC276" s="84">
        <f>IF($A276="","","S.HM"&amp;IF(OR($C276="DOOR ONLY",$X276&lt;&gt;"KD"),"MASONRY","DRYWALL")&amp;IF($C276="DOOR ONLY","",$U276)&amp;IF(AND($C276&lt;&gt;"FRAME ONLY",OR(LEFT($AH276,3)="OAK",LEFT($AH276,3)="BIR",LEFT($AH276,3)="MAP",$AH276="PC",$AH276="MC",$AH276="SCLC",$AH276="P-LAM")),"WD","HM")&amp;"1.75")</f>
        <v/>
      </c>
      <c r="DD276" s="84">
        <f>IF($CJ276="","",IF($O276="Y",$CJ276,SUBSTITUTE($CJ276,$BG276&amp;" "&amp;IFERROR(VLOOKUP($Z276,CODES,2,FALSE),"")&amp;" ",$BG276&amp;" ")))</f>
        <v/>
      </c>
      <c r="DE276" s="84">
        <f>IF($CK276="","",IF($O276="Y",$CK276,SUBSTITUTE($CK276,$BG276&amp;" "&amp;IF($AN276="",IFERROR(VLOOKUP($Z276,CODES,2,FALSE),""),IFERROR(VLOOKUP($AN276,CODES,2,FALSE),""))&amp;" ",$BG276&amp;" ")))</f>
        <v/>
      </c>
      <c r="DF276" s="84">
        <f>IF($CJ276="","",$DC276&amp;"|"&amp;$DD276&amp;"|"&amp;$DB276&amp;"|"&amp;$AT276&amp;"|"&amp;$V276&amp;"|"&amp;$Y276&amp;"|"&amp;$AB276)</f>
        <v/>
      </c>
      <c r="DG276" s="84">
        <f>IF(DF276="","",IF(COUNTIF($DF$6:DF276,DF276)=1,MAX($DG$5:DG275)+1,INDEX($DG$5:DG275,MATCH(DF276,$DF$5:DF275,0))))</f>
        <v/>
      </c>
      <c r="DH276" s="84">
        <f>IF($CK276="","",$DC276&amp;"|"&amp;$DE276&amp;"|"&amp;$AI276&amp;"|"&amp;$BK276&amp;"|"&amp;$BL276)</f>
        <v/>
      </c>
      <c r="DI276" s="84">
        <f>IF(DH276="","",IF(COUNTIF($DH$6:DH276,DH276)=1,MAX($DI$5:DI275)+1,INDEX($DI$5:DI275,MATCH(DH276,$DH$5:DH275,0))))</f>
        <v/>
      </c>
      <c r="DJ276" s="84">
        <f>IF($A276="","",IF($B276="","qty, ","")&amp;IF($C276="","scope, ","")&amp;IF(OR($K276="",$M276=""),"size, ","")&amp;IF(AND($A276&lt;&gt;"",$C276&lt;&gt;"DOOR ONLY"),IF($U276="","jamb depth, ","")&amp;IF($X276="","construction, ","")&amp;IF($Y276="","anchor, ","")&amp;IF($S276="","frame type, ",""),"")&amp;IF(AND(N($BJ276)&gt;0,$Z276=""),"hand, ","")&amp;IF(N($BJ276)&gt;0,IF($AH276="","door material, ","")&amp;IF($AL276="","face type, ","")&amp;IF($AP276="","lock prep, ","")&amp;IF(AND($AO276="",$AC276=""),"hinge prep, ",""),"")&amp;IF(AND($CH276&gt;0,$AH276="FRP"),"FRP cannot carry a label, ","")&amp;IF(AND($O276="Y",OR($Z276="L",$Z276="R",$Z276="LR",$Z276="RR")),"pair marked but hand is single, ","")&amp;IF(AND($O276&lt;&gt;"Y",OR($Z276="PR",AND(LEN($Z276)&gt;1,ISNUMBER(SEARCH("-",$Z276))))),"pair hand on a single door, ","")&amp;IF(AND(ISNUMBER($CI276),$CH276&lt;N($CI276)),"wall needs a "&amp;$CI276&amp;" min door, ","")&amp;IF(AND($CH276&gt;=180,AND(OR($CE276="FG",$CE276="HG",$CE276="FNV",$CE276="FV"),N($CF276)*N($CG276)&gt;100)),"180 min lite over 100 sq in, ","")&amp;IF(N($BK276)&gt;48,"leaf wider than 4'-0"&amp;CHAR(34)&amp;", ","")&amp;IF(AND($CT276,COUNT($AW276:$AZ276)=0,$CQ276&gt;0),"CUSTOM LOC with no locations typed, ",""))</f>
        <v/>
      </c>
      <c r="DK276" s="84">
        <f>IF($A276="","",IF(AND($CH276&gt;0,AND($A276&lt;&gt;"",$C276&lt;&gt;"DOOR ONLY"),$X276="KD",$E276="EXTERIOR"),"KD label on an exterior opening, ","")&amp;IF(AND($E276="EXTERIOR",OR(AND(AND($A276&lt;&gt;"",$C276&lt;&gt;"DOOR ONLY"),$W276="CR"),AND(N($BJ276)&gt;0,$AH276="CR"))),"exterior in CR steel (G9?), ","")&amp;IF(AND(ISNUMBER($BQ276),N($BQ276)&lt;32),"clear width ~"&amp;TEXT($BQ276,"0.0")&amp;CHAR(34)&amp;" under 32"&amp;CHAR(34)&amp;" (ADA), ","")&amp;IF(AND($CH276=90,AND(OR($CE276="FG",$CE276="HG",$CE276="FNV",$CE276="FV"),N($CF276)*N($CG276)&gt;100)),"90 min lite over 100 sq in (stair/exit), ","")&amp;IF(AND($CH276&gt;0,AND($A276&lt;&gt;"",$C276&lt;&gt;"DOOR ONLY"),OR($AF276="",$AF276="-")),"rated: closer reinf.?, ","")&amp;IF(OR($I276="CORRIDOR",$I276="SMOKE BARRIER"),"S label + smoke gasketing, ","")&amp;IF($CI276="?","wall type/hr not in IBC table, ","")&amp;IF(AND(N($BJ276)&gt;0,$BB276=""),"no hardware set, ","")&amp;IF(AND($BB276&lt;&gt;"",ISNA(MATCH($BB276&amp;"",HWSets,0))),"set "&amp;$BB276&amp;" not on HW Sets, ","")&amp;IF(N($BL276)&gt;96,"leaf over 8'-0"&amp;CHAR(34)&amp;" - check listing, ","")&amp;IF(AND($CT276,COUNT($AW276:$AZ276)&gt;0,COUNT($AW276:$AZ276)&lt;&gt;$CQ276),COUNT($AW276:$AZ276)&amp;" custom hinges typed, "&amp;$CQ276&amp;" expected, ","")&amp;IF(AND(ISNUMBER($CA276),OR(N($CA276)&lt;34,N($CA276)&gt;48)),"lock "&amp;TEXT($CA276,"0.0")&amp;CHAR(34)&amp;" AFF outside 34-48"&amp;CHAR(34)&amp;" (ADA), ","")&amp;IF(AND(ISNUMBER($AV276),ISNUMBER($BL276),N($AV276)&lt;IF(N($BL276)&lt;=60,2,IF(N($BL276)&lt;=90,3,IF(N($BL276)&lt;=120,4,5)))),"fewer hinges than standard, ",""))</f>
        <v/>
      </c>
    </row>
    <row r="277" ht="15" customHeight="1">
      <c r="A277" s="77" t="n"/>
      <c r="B277" s="78" t="n"/>
      <c r="C277" s="78" t="n"/>
      <c r="D277" s="78" t="n"/>
      <c r="E277" s="78" t="n"/>
      <c r="F277" s="78" t="n"/>
      <c r="G277" s="78" t="n"/>
      <c r="H277" s="78" t="n"/>
      <c r="I277" s="78" t="n"/>
      <c r="J277" s="78" t="n"/>
      <c r="K277" s="78" t="n"/>
      <c r="L277" s="78" t="n"/>
      <c r="M277" s="78" t="n"/>
      <c r="N277" s="78" t="n"/>
      <c r="O277" s="78" t="n"/>
      <c r="P277" s="78" t="n"/>
      <c r="Q277" s="78" t="n"/>
      <c r="R277" s="78" t="n"/>
      <c r="S277" s="79" t="n"/>
      <c r="T277" s="79" t="n"/>
      <c r="U277" s="79" t="n"/>
      <c r="V277" s="79" t="n"/>
      <c r="W277" s="79" t="n"/>
      <c r="X277" s="79" t="n"/>
      <c r="Y277" s="79" t="n"/>
      <c r="Z277" s="79" t="n"/>
      <c r="AA277" s="79" t="n"/>
      <c r="AB277" s="79" t="n"/>
      <c r="AC277" s="79" t="n"/>
      <c r="AD277" s="79" t="n"/>
      <c r="AE277" s="79" t="n"/>
      <c r="AF277" s="79" t="n"/>
      <c r="AG277" s="79" t="n"/>
      <c r="AH277" s="80" t="n"/>
      <c r="AI277" s="80" t="n"/>
      <c r="AJ277" s="80" t="n"/>
      <c r="AK277" s="80" t="n"/>
      <c r="AL277" s="80" t="n"/>
      <c r="AM277" s="80" t="n"/>
      <c r="AN277" s="80" t="n"/>
      <c r="AO277" s="80" t="n"/>
      <c r="AP277" s="80" t="n"/>
      <c r="AQ277" s="80" t="n"/>
      <c r="AR277" s="80" t="n"/>
      <c r="AS277" s="80" t="n"/>
      <c r="AT277" s="81" t="n"/>
      <c r="AU277" s="81" t="n"/>
      <c r="AV277" s="81" t="n"/>
      <c r="AW277" s="82" t="n"/>
      <c r="AX277" s="82" t="n"/>
      <c r="AY277" s="82" t="n"/>
      <c r="AZ277" s="82" t="n"/>
      <c r="BA277" s="82" t="n"/>
      <c r="BB277" s="83" t="n"/>
      <c r="BC277" s="83" t="n"/>
      <c r="BD277" s="84">
        <f>IF($A277="","",IF($DJ277&lt;&gt;"","FIX",IF($DK277&lt;&gt;"","CHECK","OK")))</f>
        <v/>
      </c>
      <c r="BE277" s="85">
        <f>IF($A277="","",IF($DJ277&lt;&gt;"","FIX: "&amp;LEFT($DJ277,LEN($DJ277)-2)&amp;IF($DK277&lt;&gt;"","  ·  ",""),"")&amp;IF($DK277&lt;&gt;"","CHECK: "&amp;LEFT($DK277,LEN($DK277)-2),""))</f>
        <v/>
      </c>
      <c r="BF277" s="84">
        <f>IF(OR($A277="",$K277=""),"",$K277&amp;"'-"&amp;N($L277)&amp;CHAR(34)&amp;" x "&amp;$M277&amp;"'-"&amp;N($N277)&amp;CHAR(34))</f>
        <v/>
      </c>
      <c r="BG277" s="84">
        <f>IF(OR($A277="",$K277=""),"",$K277&amp;N($L277)&amp;$M277&amp;N($N277))</f>
        <v/>
      </c>
      <c r="BH277" s="84">
        <f>IF(OR($A277="",$K277=""),"",$K277*12+N($L277))</f>
        <v/>
      </c>
      <c r="BI277" s="84">
        <f>IF(OR($A277="",$M277=""),"",$M277*12+N($N277))</f>
        <v/>
      </c>
      <c r="BJ277" s="84">
        <f>IF($A277="","",IF(OR($C277="FRAME ONLY",$S277="BL"),0,IF($O277="Y",2,1)))</f>
        <v/>
      </c>
      <c r="BK277" s="86">
        <f>IF(OR(N($BJ277)=0,$BH277=""),"",($BH277-2*EdgeClr-IF($BJ277=2,MeetClr,0))/$BJ277)</f>
        <v/>
      </c>
      <c r="BL277" s="86">
        <f>IF(OR(N($BJ277)=0,$BI277=""),"",$BI277-HeadClr-Undercut)</f>
        <v/>
      </c>
      <c r="BM277" s="86">
        <f>IF($BH277="","",$BH277+2*FaceW+IF(N($Q277)&gt;0,($Q277+FaceW)*IF($R277="LR",2,1),0))</f>
        <v/>
      </c>
      <c r="BN277" s="86">
        <f>IF($BI277="","",$BI277+IF($AB277="Y",4,FaceW)+IF(N($P277)&gt;0,$P277+FaceW,0)+IF(OR($S277="4F",$S277="BL"),FaceW,0))</f>
        <v/>
      </c>
      <c r="BO277" s="86">
        <f>IF($BM277="","",$BM277+2*ROSide)</f>
        <v/>
      </c>
      <c r="BP277" s="86">
        <f>IF($BN277="","",$BN277+ROTop)</f>
        <v/>
      </c>
      <c r="BQ277" s="87">
        <f>IF(OR(N($BJ277)=0,$BH277=""),"",$BH277/$BJ277-ClearDeduct)</f>
        <v/>
      </c>
      <c r="BR277" s="84">
        <f>IF(N($CH277)=0,"",IF($CH277&gt;=180,"A · 3 HR",IF($CH277&gt;=90,"B · 1-1/2 HR",IF($CH277&gt;=60,"B · 1 HR",IF($CH277&gt;=45,"C · 3/4 HR","20 MIN")))))&amp;IF(AND(N($CH277)&gt;0,OR($I277="CORRIDOR",$I277="SMOKE BARRIER"))," · S","")</f>
        <v/>
      </c>
      <c r="BS277" s="84">
        <f>IF($CS277,"",IF($AV277&lt;&gt;"",$AV277,IF(OR($AC277="HGC",$AO277="HGC"),"CONT",IF(($BI277-HeadClr-Undercut)&lt;=60,2,IF(($BI277-HeadClr-Undercut)&lt;=90,3,IF(($BI277-HeadClr-Undercut)&lt;=120,4,5))))))</f>
        <v/>
      </c>
      <c r="BT277" s="84">
        <f>IF($CS277,"",IF($CT277,"CUSTOM (typed)",IF($CV277,$AT277&amp;" "&amp;$CU277&amp;CHAR(34)&amp;IF($CU277&lt;&gt;$BI277,IF(AND($BI277&lt;$CU277,$BI277-IF(N(VLOOKUP($AT277&amp;"|"&amp;$CU277,LocTable,7,FALSE))&gt;0,VLOOKUP($AT277&amp;"|"&amp;$CU277,LocTable,7,FALSE),VLOOKUP($AT277&amp;"|"&amp;$CU277,LocTable,6,FALSE))-$CR277-0.75&gt;=2.125)," cut down"," adj."),""),"ANSI/SDI A250.6")))</f>
        <v/>
      </c>
      <c r="BU277" s="88">
        <f>IF($CS277,"",IF($CT277,IF(N($AW277)&gt;0,N($AW277),""),IF(1&gt;$CQ277,"",IF($CQ277=1,$CW277,$CW277+($CX277-$CW277)*0/($CQ277-1)))))</f>
        <v/>
      </c>
      <c r="BV277" s="88">
        <f>IF($CS277,"",IF($CT277,IF(N($AX277)&gt;0,N($AX277),""),IF(2&gt;$CQ277,"",IF($CQ277=1,$CW277,$CW277+($CX277-$CW277)*1/($CQ277-1)))))</f>
        <v/>
      </c>
      <c r="BW277" s="88">
        <f>IF($CS277,"",IF($CT277,IF(N($AY277)&gt;0,N($AY277),""),IF(3&gt;$CQ277,"",IF($CQ277=1,$CW277,$CW277+($CX277-$CW277)*2/($CQ277-1)))))</f>
        <v/>
      </c>
      <c r="BX277" s="88">
        <f>IF($CS277,"",IF($CT277,IF(N($AZ277)&gt;0,N($AZ277),""),IF(4&gt;$CQ277,"",IF($CQ277=1,$CW277,$CW277+($CX277-$CW277)*3/($CQ277-1)))))</f>
        <v/>
      </c>
      <c r="BY277" s="88">
        <f>IF($CS277,"",IF($CT277,"",IF(5&gt;$CQ277,"",IF($CQ277=1,$CW277,$CW277+($CX277-$CW277)*4/($CQ277-1)))))</f>
        <v/>
      </c>
      <c r="BZ277" s="88">
        <f>IF(OR($CS277,$AP277="-",AND($AP277="",$AD277="")),"",IF(N($BA277)&gt;0,N($BA277),IF($CV277,IF(AND($BI277&lt;$CU277,$BI277-IF(N(VLOOKUP($AT277&amp;"|"&amp;$CU277,LocTable,7,FALSE))&gt;0,VLOOKUP($AT277&amp;"|"&amp;$CU277,LocTable,7,FALSE),VLOOKUP($AT277&amp;"|"&amp;$CU277,LocTable,6,FALSE))-$CR277-0.75&gt;=2.125),VLOOKUP($AT277&amp;"|"&amp;$CU277,LocTable,8,FALSE),VLOOKUP($AT277&amp;"|"&amp;$CU277,LocTable,8,FALSE)+($BI277-$CU277)),$BI277-LockAFF)))</f>
        <v/>
      </c>
      <c r="CA277" s="89">
        <f>IF($BZ277="","",$BI277-$BZ277)</f>
        <v/>
      </c>
      <c r="CB277" s="84">
        <f>IF(OR(NOT(AND($A277&lt;&gt;"",$C277&lt;&gt;"DOOR ONLY")),$BI277=""),"",IF(($BI277+IF(N($P277)&gt;0,$P277+FaceW,0))&lt;=90,3,IF(($BI277+IF(N($P277)&gt;0,$P277+FaceW,0))&lt;=114,4,5)))</f>
        <v/>
      </c>
      <c r="CC277" s="84">
        <f>IF($CB277="","",$CB277*(2+IF(N($Q277)&gt;0,IF($R277="LR",2,1),0)))</f>
        <v/>
      </c>
      <c r="CD277" s="84">
        <f>IF($CB277="","",(2+IF(N($Q277)&gt;0,IF($R277="LR",2,1),0)))</f>
        <v/>
      </c>
      <c r="CE277" s="84">
        <f>IF(N($BJ277)=0,"",IF(OR($AL277="",$AL277="FLUSH"),"FLUSH",IFERROR(LEFT($AL277,FIND("-",$AL277)-1),LEFT($AL277,2))))</f>
        <v/>
      </c>
      <c r="CF277" s="84">
        <f>IF($CE277="","",IFERROR(VALUE(MID($AL277,FIND("-",$AL277)+1,FIND(CHAR(34)&amp;"x",$AL277)-FIND("-",$AL277)-1)),0))</f>
        <v/>
      </c>
      <c r="CG277" s="84">
        <f>IF($CE277="","",IFERROR(VALUE(MID($AL277,FIND(CHAR(34)&amp;"x",$AL277)+2,FIND(CHAR(34),$AL277,FIND(CHAR(34)&amp;"x",$AL277)+2)-FIND(CHAR(34)&amp;"x",$AL277)-2)),0))</f>
        <v/>
      </c>
      <c r="CH277" s="90">
        <f>IF(OR($A277="",$H277="",$H277="NO LAB"),0,IFERROR(VALUE(LEFT($H277,FIND(" ",$H277)-1)),0))</f>
        <v/>
      </c>
      <c r="CI277" s="91">
        <f>IF(OR($A277="",$I277="",$I277="NON-RATED",N($J277)=0),"",IFERROR(VLOOKUP($I277&amp;"|"&amp;$J277,IBC,2,FALSE),"?"))</f>
        <v/>
      </c>
      <c r="CJ277" s="85">
        <f>IF(NOT(AND($A277&lt;&gt;"",$C277&lt;&gt;"DOOR ONLY")),"",TRIM(IFERROR(VLOOKUP($U277,CODES,2,FALSE),"")&amp;" "&amp;$BG277&amp;" "&amp;IFERROR(VLOOKUP($Z277,CODES,2,FALSE),"")&amp;" "&amp;IFERROR(VLOOKUP($X277,CODES,2,FALSE),"")&amp;" "&amp;IFERROR(VLOOKUP($S277,CODES,2,FALSE),"")&amp;IF(N($P277)&gt;0," w/TRANSOM "&amp;$P277&amp;CHAR(34),"")&amp;IF(N($Q277)&gt;0," w/SIDELITE "&amp;$Q277&amp;CHAR(34)&amp;" "&amp;IF($R277="","R",$R277),"")&amp;IF($Y277="","  |  "," | "&amp;IFERROR(VLOOKUP($Y277,CODES,2,FALSE),"")&amp;" | ")&amp;IFERROR(VLOOKUP($AC277,CODES,2,FALSE),"")&amp;" "&amp;IFERROR(VLOOKUP($AD277,CODES,2,FALSE),"")&amp;IF(OR($AE277="",$AE277="-"),""," "&amp;$AE277)&amp;IF(OR($AF277="",$AF277="-"),""," "&amp;$AF277)&amp;IF($AB277="Y"," 4"&amp;CHAR(34)&amp;" HEAD","")&amp;" "&amp;IFERROR(VLOOKUP($H277,CODES,2,FALSE),"")&amp;IF($CT277," | LOC "&amp;$CY277,"")))</f>
        <v/>
      </c>
      <c r="CK277" s="85">
        <f>IF(NOT(AND($A277&lt;&gt;"",N($BJ277)&gt;0)),"",TRIM(IFERROR(VLOOKUP($AH277,CODES,2,FALSE),"")&amp;IF($AI277=""," "," "&amp;$AI277&amp;"GA ")&amp;$BG277&amp;" "&amp;IF($AN277="",IFERROR(VLOOKUP($Z277,CODES,2,FALSE),""),IFERROR(VLOOKUP($AN277,CODES,2,FALSE),""))&amp;IF($BJ277=2," PAIR","")&amp;" DOOR | "&amp;IF($AL277="","?",$AL277)&amp;" | "&amp;IF($AO277="",IFERROR(VLOOKUP($AC277,CODES,2,FALSE),""),IFERROR(VLOOKUP($AO277,CODES,2,FALSE),""))&amp;" "&amp;IFERROR(VLOOKUP($AP277,CODES,2,FALSE),"")&amp;IF(OR($AQ277="",$AQ277="-"),""," SEAM "&amp;$AQ277)&amp;IF($AR277="Y"," ASTRAGAL","")&amp;IF($AJ277=""," "," "&amp;$AJ277)&amp;IF($AK277=""," "," "&amp;$AK277)&amp;IF(OR($AT277="",$AT277="ANSI/SDI",$AT277="CUSTOM LOC"),""," "&amp;$AT277)&amp;IF($AM277=""," "," SERIES "&amp;$AM277)&amp;" "&amp;IFERROR(VLOOKUP($H277,CODES,2,FALSE),"")&amp;IF($CT277," | LOC "&amp;$CZ277,"")))</f>
        <v/>
      </c>
      <c r="CL277" s="84">
        <f>IF(CP277="","",IF(COUNTIF($CP$6:CP277,CP277)=1,MAX($CL$5:CL276)+1,INDEX($CL$5:CL276,MATCH(CP277,$CP$5:CP276,0))))</f>
        <v/>
      </c>
      <c r="CM277" s="84">
        <f>IF(NOT(AND($A277&lt;&gt;"",$C277&lt;&gt;"DOOR ONLY")),"",MAX($CM$5:CM276)+1)</f>
        <v/>
      </c>
      <c r="CN277" s="84">
        <f>IF(NOT(AND($A277&lt;&gt;"",N($BJ277)&gt;0)),"",MAX($CN$5:CN276)+1)</f>
        <v/>
      </c>
      <c r="CO277" s="84">
        <f>IF($A277="","",MAX($CO$5:CO276)+1)</f>
        <v/>
      </c>
      <c r="CP277" s="84">
        <f>IF(OR($A277="",$BH277="",$BI277=""),"",$BG277&amp;"|"&amp;$O277&amp;"|"&amp;$AL277&amp;"|"&amp;$S277&amp;"|"&amp;$P277&amp;"|"&amp;$Q277&amp;$R277&amp;"|"&amp;$C277&amp;"|"&amp;$AB277)</f>
        <v/>
      </c>
      <c r="CQ277" s="84">
        <f>N($BS277)</f>
        <v/>
      </c>
      <c r="CR277" s="84">
        <f>IF(N($AU277)&gt;0,N($AU277),4.5)</f>
        <v/>
      </c>
      <c r="CS277" s="84">
        <f>OR($A277="",$BI277="",$S277="BL",AND($C277="FRAME ONLY",OR($AC277="",$AC277="BLK")))</f>
        <v/>
      </c>
      <c r="CT277" s="84">
        <f>AND(NOT($CS277),OR($AT277="CUSTOM LOC",N($AW277)+N($AX277)+N($AY277)+N($AZ277)+N($BA277)&gt;0))</f>
        <v/>
      </c>
      <c r="CU277" s="84">
        <f>IF($BI277="","",IF($BI277&lt;=80,80,IF($BI277&lt;=84,84,96)))</f>
        <v/>
      </c>
      <c r="CV277" s="84">
        <f>ISNUMBER(MATCH($AT277&amp;"|80",LocKeys,0))</f>
        <v/>
      </c>
      <c r="CW277" s="86">
        <f>IF($CS277,"",IF($CV277,VLOOKUP($AT277&amp;"|"&amp;$CU277,LocTable,4,FALSE),5))</f>
        <v/>
      </c>
      <c r="CX277" s="86">
        <f>IF($CS277,"",IF($CV277,IF(OR($BI277=$CU277,AND($BI277&lt;$CU277,$BI277-IF(N(VLOOKUP($AT277&amp;"|"&amp;$CU277,LocTable,7,FALSE))&gt;0,VLOOKUP($AT277&amp;"|"&amp;$CU277,LocTable,7,FALSE),VLOOKUP($AT277&amp;"|"&amp;$CU277,LocTable,6,FALSE))-$CR277-0.75&gt;=2.125)),IF(N(VLOOKUP($AT277&amp;"|"&amp;$CU277,LocTable,7,FALSE))&gt;0,VLOOKUP($AT277&amp;"|"&amp;$CU277,LocTable,7,FALSE),VLOOKUP($AT277&amp;"|"&amp;$CU277,LocTable,6,FALSE)),$BI277-($CU277-IF(N(VLOOKUP($AT277&amp;"|"&amp;$CU277,LocTable,7,FALSE))&gt;0,VLOOKUP($AT277&amp;"|"&amp;$CU277,LocTable,7,FALSE),VLOOKUP($AT277&amp;"|"&amp;$CU277,LocTable,6,FALSE)))),$BI277-10-$CR277))</f>
        <v/>
      </c>
      <c r="CY277" s="85">
        <f>IF($CS277,"",TRIM(IF(ISNUMBER($BU277),"A "&amp;TRIM(TEXT($BU277,"# ?/??"))&amp;CHAR(34)&amp;"  ","")&amp;IF(ISNUMBER($BV277),"B "&amp;TRIM(TEXT($BV277,"# ?/??"))&amp;CHAR(34)&amp;"  ","")&amp;IF(ISNUMBER($BW277),"C "&amp;TRIM(TEXT($BW277,"# ?/??"))&amp;CHAR(34)&amp;"  ","")&amp;IF(ISNUMBER($BX277),"D "&amp;TRIM(TEXT($BX277,"# ?/??"))&amp;CHAR(34)&amp;"  ","")&amp;IF(ISNUMBER($BY277),"F "&amp;TRIM(TEXT($BY277,"# ?/??"))&amp;CHAR(34)&amp;"  ","")&amp;IF(ISNUMBER($BZ277),"E "&amp;TRIM(TEXT($BZ277,"# ?/??"))&amp;CHAR(34)&amp;"  ","")))</f>
        <v/>
      </c>
      <c r="CZ277" s="85">
        <f>IF(OR($CS277,N($BJ277)=0),"",TRIM(IF(ISNUMBER($BU277),"A "&amp;TRIM(TEXT($BU277-HeadClr,"# ?/??"))&amp;CHAR(34)&amp;"  ","")&amp;IF(ISNUMBER($BV277),"B "&amp;TRIM(TEXT($BV277-HeadClr,"# ?/??"))&amp;CHAR(34)&amp;"  ","")&amp;IF(ISNUMBER($BW277),"C "&amp;TRIM(TEXT($BW277-HeadClr,"# ?/??"))&amp;CHAR(34)&amp;"  ","")&amp;IF(ISNUMBER($BX277),"D "&amp;TRIM(TEXT($BX277-HeadClr,"# ?/??"))&amp;CHAR(34)&amp;"  ","")&amp;IF(ISNUMBER($BY277),"F "&amp;TRIM(TEXT($BY277-HeadClr,"# ?/??"))&amp;CHAR(34)&amp;"  ","")&amp;IF(ISNUMBER($BZ277),"E "&amp;TRIM(TEXT($BZ277-HeadClr,"# ?/??"))&amp;CHAR(34)&amp;"  ","")))</f>
        <v/>
      </c>
      <c r="DA277" s="84">
        <f>IF($A277="","",IF($AN277="",IFERROR(VLOOKUP($Z277,CODES,2,FALSE),""),IFERROR(VLOOKUP($AN277,CODES,2,FALSE),"")))</f>
        <v/>
      </c>
      <c r="DB277" s="84">
        <f>IF($A277="","",IF($O277="Y","PR",IF(OR($Z277="L",$Z277="RR",LEFT($Z277,2)="L-",LEFT($Z277,3)="RR-"),"LH","RH")))</f>
        <v/>
      </c>
      <c r="DC277" s="84">
        <f>IF($A277="","","S.HM"&amp;IF(OR($C277="DOOR ONLY",$X277&lt;&gt;"KD"),"MASONRY","DRYWALL")&amp;IF($C277="DOOR ONLY","",$U277)&amp;IF(AND($C277&lt;&gt;"FRAME ONLY",OR(LEFT($AH277,3)="OAK",LEFT($AH277,3)="BIR",LEFT($AH277,3)="MAP",$AH277="PC",$AH277="MC",$AH277="SCLC",$AH277="P-LAM")),"WD","HM")&amp;"1.75")</f>
        <v/>
      </c>
      <c r="DD277" s="84">
        <f>IF($CJ277="","",IF($O277="Y",$CJ277,SUBSTITUTE($CJ277,$BG277&amp;" "&amp;IFERROR(VLOOKUP($Z277,CODES,2,FALSE),"")&amp;" ",$BG277&amp;" ")))</f>
        <v/>
      </c>
      <c r="DE277" s="84">
        <f>IF($CK277="","",IF($O277="Y",$CK277,SUBSTITUTE($CK277,$BG277&amp;" "&amp;IF($AN277="",IFERROR(VLOOKUP($Z277,CODES,2,FALSE),""),IFERROR(VLOOKUP($AN277,CODES,2,FALSE),""))&amp;" ",$BG277&amp;" ")))</f>
        <v/>
      </c>
      <c r="DF277" s="84">
        <f>IF($CJ277="","",$DC277&amp;"|"&amp;$DD277&amp;"|"&amp;$DB277&amp;"|"&amp;$AT277&amp;"|"&amp;$V277&amp;"|"&amp;$Y277&amp;"|"&amp;$AB277)</f>
        <v/>
      </c>
      <c r="DG277" s="84">
        <f>IF(DF277="","",IF(COUNTIF($DF$6:DF277,DF277)=1,MAX($DG$5:DG276)+1,INDEX($DG$5:DG276,MATCH(DF277,$DF$5:DF276,0))))</f>
        <v/>
      </c>
      <c r="DH277" s="84">
        <f>IF($CK277="","",$DC277&amp;"|"&amp;$DE277&amp;"|"&amp;$AI277&amp;"|"&amp;$BK277&amp;"|"&amp;$BL277)</f>
        <v/>
      </c>
      <c r="DI277" s="84">
        <f>IF(DH277="","",IF(COUNTIF($DH$6:DH277,DH277)=1,MAX($DI$5:DI276)+1,INDEX($DI$5:DI276,MATCH(DH277,$DH$5:DH276,0))))</f>
        <v/>
      </c>
      <c r="DJ277" s="84">
        <f>IF($A277="","",IF($B277="","qty, ","")&amp;IF($C277="","scope, ","")&amp;IF(OR($K277="",$M277=""),"size, ","")&amp;IF(AND($A277&lt;&gt;"",$C277&lt;&gt;"DOOR ONLY"),IF($U277="","jamb depth, ","")&amp;IF($X277="","construction, ","")&amp;IF($Y277="","anchor, ","")&amp;IF($S277="","frame type, ",""),"")&amp;IF(AND(N($BJ277)&gt;0,$Z277=""),"hand, ","")&amp;IF(N($BJ277)&gt;0,IF($AH277="","door material, ","")&amp;IF($AL277="","face type, ","")&amp;IF($AP277="","lock prep, ","")&amp;IF(AND($AO277="",$AC277=""),"hinge prep, ",""),"")&amp;IF(AND($CH277&gt;0,$AH277="FRP"),"FRP cannot carry a label, ","")&amp;IF(AND($O277="Y",OR($Z277="L",$Z277="R",$Z277="LR",$Z277="RR")),"pair marked but hand is single, ","")&amp;IF(AND($O277&lt;&gt;"Y",OR($Z277="PR",AND(LEN($Z277)&gt;1,ISNUMBER(SEARCH("-",$Z277))))),"pair hand on a single door, ","")&amp;IF(AND(ISNUMBER($CI277),$CH277&lt;N($CI277)),"wall needs a "&amp;$CI277&amp;" min door, ","")&amp;IF(AND($CH277&gt;=180,AND(OR($CE277="FG",$CE277="HG",$CE277="FNV",$CE277="FV"),N($CF277)*N($CG277)&gt;100)),"180 min lite over 100 sq in, ","")&amp;IF(N($BK277)&gt;48,"leaf wider than 4'-0"&amp;CHAR(34)&amp;", ","")&amp;IF(AND($CT277,COUNT($AW277:$AZ277)=0,$CQ277&gt;0),"CUSTOM LOC with no locations typed, ",""))</f>
        <v/>
      </c>
      <c r="DK277" s="84">
        <f>IF($A277="","",IF(AND($CH277&gt;0,AND($A277&lt;&gt;"",$C277&lt;&gt;"DOOR ONLY"),$X277="KD",$E277="EXTERIOR"),"KD label on an exterior opening, ","")&amp;IF(AND($E277="EXTERIOR",OR(AND(AND($A277&lt;&gt;"",$C277&lt;&gt;"DOOR ONLY"),$W277="CR"),AND(N($BJ277)&gt;0,$AH277="CR"))),"exterior in CR steel (G9?), ","")&amp;IF(AND(ISNUMBER($BQ277),N($BQ277)&lt;32),"clear width ~"&amp;TEXT($BQ277,"0.0")&amp;CHAR(34)&amp;" under 32"&amp;CHAR(34)&amp;" (ADA), ","")&amp;IF(AND($CH277=90,AND(OR($CE277="FG",$CE277="HG",$CE277="FNV",$CE277="FV"),N($CF277)*N($CG277)&gt;100)),"90 min lite over 100 sq in (stair/exit), ","")&amp;IF(AND($CH277&gt;0,AND($A277&lt;&gt;"",$C277&lt;&gt;"DOOR ONLY"),OR($AF277="",$AF277="-")),"rated: closer reinf.?, ","")&amp;IF(OR($I277="CORRIDOR",$I277="SMOKE BARRIER"),"S label + smoke gasketing, ","")&amp;IF($CI277="?","wall type/hr not in IBC table, ","")&amp;IF(AND(N($BJ277)&gt;0,$BB277=""),"no hardware set, ","")&amp;IF(AND($BB277&lt;&gt;"",ISNA(MATCH($BB277&amp;"",HWSets,0))),"set "&amp;$BB277&amp;" not on HW Sets, ","")&amp;IF(N($BL277)&gt;96,"leaf over 8'-0"&amp;CHAR(34)&amp;" - check listing, ","")&amp;IF(AND($CT277,COUNT($AW277:$AZ277)&gt;0,COUNT($AW277:$AZ277)&lt;&gt;$CQ277),COUNT($AW277:$AZ277)&amp;" custom hinges typed, "&amp;$CQ277&amp;" expected, ","")&amp;IF(AND(ISNUMBER($CA277),OR(N($CA277)&lt;34,N($CA277)&gt;48)),"lock "&amp;TEXT($CA277,"0.0")&amp;CHAR(34)&amp;" AFF outside 34-48"&amp;CHAR(34)&amp;" (ADA), ","")&amp;IF(AND(ISNUMBER($AV277),ISNUMBER($BL277),N($AV277)&lt;IF(N($BL277)&lt;=60,2,IF(N($BL277)&lt;=90,3,IF(N($BL277)&lt;=120,4,5)))),"fewer hinges than standard, ",""))</f>
        <v/>
      </c>
    </row>
    <row r="278" ht="15" customHeight="1">
      <c r="A278" s="77" t="n"/>
      <c r="B278" s="78" t="n"/>
      <c r="C278" s="78" t="n"/>
      <c r="D278" s="78" t="n"/>
      <c r="E278" s="78" t="n"/>
      <c r="F278" s="78" t="n"/>
      <c r="G278" s="78" t="n"/>
      <c r="H278" s="78" t="n"/>
      <c r="I278" s="78" t="n"/>
      <c r="J278" s="78" t="n"/>
      <c r="K278" s="78" t="n"/>
      <c r="L278" s="78" t="n"/>
      <c r="M278" s="78" t="n"/>
      <c r="N278" s="78" t="n"/>
      <c r="O278" s="78" t="n"/>
      <c r="P278" s="78" t="n"/>
      <c r="Q278" s="78" t="n"/>
      <c r="R278" s="78" t="n"/>
      <c r="S278" s="79" t="n"/>
      <c r="T278" s="79" t="n"/>
      <c r="U278" s="79" t="n"/>
      <c r="V278" s="79" t="n"/>
      <c r="W278" s="79" t="n"/>
      <c r="X278" s="79" t="n"/>
      <c r="Y278" s="79" t="n"/>
      <c r="Z278" s="79" t="n"/>
      <c r="AA278" s="79" t="n"/>
      <c r="AB278" s="79" t="n"/>
      <c r="AC278" s="79" t="n"/>
      <c r="AD278" s="79" t="n"/>
      <c r="AE278" s="79" t="n"/>
      <c r="AF278" s="79" t="n"/>
      <c r="AG278" s="79" t="n"/>
      <c r="AH278" s="80" t="n"/>
      <c r="AI278" s="80" t="n"/>
      <c r="AJ278" s="80" t="n"/>
      <c r="AK278" s="80" t="n"/>
      <c r="AL278" s="80" t="n"/>
      <c r="AM278" s="80" t="n"/>
      <c r="AN278" s="80" t="n"/>
      <c r="AO278" s="80" t="n"/>
      <c r="AP278" s="80" t="n"/>
      <c r="AQ278" s="80" t="n"/>
      <c r="AR278" s="80" t="n"/>
      <c r="AS278" s="80" t="n"/>
      <c r="AT278" s="81" t="n"/>
      <c r="AU278" s="81" t="n"/>
      <c r="AV278" s="81" t="n"/>
      <c r="AW278" s="82" t="n"/>
      <c r="AX278" s="82" t="n"/>
      <c r="AY278" s="82" t="n"/>
      <c r="AZ278" s="82" t="n"/>
      <c r="BA278" s="82" t="n"/>
      <c r="BB278" s="83" t="n"/>
      <c r="BC278" s="83" t="n"/>
      <c r="BD278" s="84">
        <f>IF($A278="","",IF($DJ278&lt;&gt;"","FIX",IF($DK278&lt;&gt;"","CHECK","OK")))</f>
        <v/>
      </c>
      <c r="BE278" s="85">
        <f>IF($A278="","",IF($DJ278&lt;&gt;"","FIX: "&amp;LEFT($DJ278,LEN($DJ278)-2)&amp;IF($DK278&lt;&gt;"","  ·  ",""),"")&amp;IF($DK278&lt;&gt;"","CHECK: "&amp;LEFT($DK278,LEN($DK278)-2),""))</f>
        <v/>
      </c>
      <c r="BF278" s="84">
        <f>IF(OR($A278="",$K278=""),"",$K278&amp;"'-"&amp;N($L278)&amp;CHAR(34)&amp;" x "&amp;$M278&amp;"'-"&amp;N($N278)&amp;CHAR(34))</f>
        <v/>
      </c>
      <c r="BG278" s="84">
        <f>IF(OR($A278="",$K278=""),"",$K278&amp;N($L278)&amp;$M278&amp;N($N278))</f>
        <v/>
      </c>
      <c r="BH278" s="84">
        <f>IF(OR($A278="",$K278=""),"",$K278*12+N($L278))</f>
        <v/>
      </c>
      <c r="BI278" s="84">
        <f>IF(OR($A278="",$M278=""),"",$M278*12+N($N278))</f>
        <v/>
      </c>
      <c r="BJ278" s="84">
        <f>IF($A278="","",IF(OR($C278="FRAME ONLY",$S278="BL"),0,IF($O278="Y",2,1)))</f>
        <v/>
      </c>
      <c r="BK278" s="86">
        <f>IF(OR(N($BJ278)=0,$BH278=""),"",($BH278-2*EdgeClr-IF($BJ278=2,MeetClr,0))/$BJ278)</f>
        <v/>
      </c>
      <c r="BL278" s="86">
        <f>IF(OR(N($BJ278)=0,$BI278=""),"",$BI278-HeadClr-Undercut)</f>
        <v/>
      </c>
      <c r="BM278" s="86">
        <f>IF($BH278="","",$BH278+2*FaceW+IF(N($Q278)&gt;0,($Q278+FaceW)*IF($R278="LR",2,1),0))</f>
        <v/>
      </c>
      <c r="BN278" s="86">
        <f>IF($BI278="","",$BI278+IF($AB278="Y",4,FaceW)+IF(N($P278)&gt;0,$P278+FaceW,0)+IF(OR($S278="4F",$S278="BL"),FaceW,0))</f>
        <v/>
      </c>
      <c r="BO278" s="86">
        <f>IF($BM278="","",$BM278+2*ROSide)</f>
        <v/>
      </c>
      <c r="BP278" s="86">
        <f>IF($BN278="","",$BN278+ROTop)</f>
        <v/>
      </c>
      <c r="BQ278" s="87">
        <f>IF(OR(N($BJ278)=0,$BH278=""),"",$BH278/$BJ278-ClearDeduct)</f>
        <v/>
      </c>
      <c r="BR278" s="84">
        <f>IF(N($CH278)=0,"",IF($CH278&gt;=180,"A · 3 HR",IF($CH278&gt;=90,"B · 1-1/2 HR",IF($CH278&gt;=60,"B · 1 HR",IF($CH278&gt;=45,"C · 3/4 HR","20 MIN")))))&amp;IF(AND(N($CH278)&gt;0,OR($I278="CORRIDOR",$I278="SMOKE BARRIER"))," · S","")</f>
        <v/>
      </c>
      <c r="BS278" s="84">
        <f>IF($CS278,"",IF($AV278&lt;&gt;"",$AV278,IF(OR($AC278="HGC",$AO278="HGC"),"CONT",IF(($BI278-HeadClr-Undercut)&lt;=60,2,IF(($BI278-HeadClr-Undercut)&lt;=90,3,IF(($BI278-HeadClr-Undercut)&lt;=120,4,5))))))</f>
        <v/>
      </c>
      <c r="BT278" s="84">
        <f>IF($CS278,"",IF($CT278,"CUSTOM (typed)",IF($CV278,$AT278&amp;" "&amp;$CU278&amp;CHAR(34)&amp;IF($CU278&lt;&gt;$BI278,IF(AND($BI278&lt;$CU278,$BI278-IF(N(VLOOKUP($AT278&amp;"|"&amp;$CU278,LocTable,7,FALSE))&gt;0,VLOOKUP($AT278&amp;"|"&amp;$CU278,LocTable,7,FALSE),VLOOKUP($AT278&amp;"|"&amp;$CU278,LocTable,6,FALSE))-$CR278-0.75&gt;=2.125)," cut down"," adj."),""),"ANSI/SDI A250.6")))</f>
        <v/>
      </c>
      <c r="BU278" s="88">
        <f>IF($CS278,"",IF($CT278,IF(N($AW278)&gt;0,N($AW278),""),IF(1&gt;$CQ278,"",IF($CQ278=1,$CW278,$CW278+($CX278-$CW278)*0/($CQ278-1)))))</f>
        <v/>
      </c>
      <c r="BV278" s="88">
        <f>IF($CS278,"",IF($CT278,IF(N($AX278)&gt;0,N($AX278),""),IF(2&gt;$CQ278,"",IF($CQ278=1,$CW278,$CW278+($CX278-$CW278)*1/($CQ278-1)))))</f>
        <v/>
      </c>
      <c r="BW278" s="88">
        <f>IF($CS278,"",IF($CT278,IF(N($AY278)&gt;0,N($AY278),""),IF(3&gt;$CQ278,"",IF($CQ278=1,$CW278,$CW278+($CX278-$CW278)*2/($CQ278-1)))))</f>
        <v/>
      </c>
      <c r="BX278" s="88">
        <f>IF($CS278,"",IF($CT278,IF(N($AZ278)&gt;0,N($AZ278),""),IF(4&gt;$CQ278,"",IF($CQ278=1,$CW278,$CW278+($CX278-$CW278)*3/($CQ278-1)))))</f>
        <v/>
      </c>
      <c r="BY278" s="88">
        <f>IF($CS278,"",IF($CT278,"",IF(5&gt;$CQ278,"",IF($CQ278=1,$CW278,$CW278+($CX278-$CW278)*4/($CQ278-1)))))</f>
        <v/>
      </c>
      <c r="BZ278" s="88">
        <f>IF(OR($CS278,$AP278="-",AND($AP278="",$AD278="")),"",IF(N($BA278)&gt;0,N($BA278),IF($CV278,IF(AND($BI278&lt;$CU278,$BI278-IF(N(VLOOKUP($AT278&amp;"|"&amp;$CU278,LocTable,7,FALSE))&gt;0,VLOOKUP($AT278&amp;"|"&amp;$CU278,LocTable,7,FALSE),VLOOKUP($AT278&amp;"|"&amp;$CU278,LocTable,6,FALSE))-$CR278-0.75&gt;=2.125),VLOOKUP($AT278&amp;"|"&amp;$CU278,LocTable,8,FALSE),VLOOKUP($AT278&amp;"|"&amp;$CU278,LocTable,8,FALSE)+($BI278-$CU278)),$BI278-LockAFF)))</f>
        <v/>
      </c>
      <c r="CA278" s="89">
        <f>IF($BZ278="","",$BI278-$BZ278)</f>
        <v/>
      </c>
      <c r="CB278" s="84">
        <f>IF(OR(NOT(AND($A278&lt;&gt;"",$C278&lt;&gt;"DOOR ONLY")),$BI278=""),"",IF(($BI278+IF(N($P278)&gt;0,$P278+FaceW,0))&lt;=90,3,IF(($BI278+IF(N($P278)&gt;0,$P278+FaceW,0))&lt;=114,4,5)))</f>
        <v/>
      </c>
      <c r="CC278" s="84">
        <f>IF($CB278="","",$CB278*(2+IF(N($Q278)&gt;0,IF($R278="LR",2,1),0)))</f>
        <v/>
      </c>
      <c r="CD278" s="84">
        <f>IF($CB278="","",(2+IF(N($Q278)&gt;0,IF($R278="LR",2,1),0)))</f>
        <v/>
      </c>
      <c r="CE278" s="84">
        <f>IF(N($BJ278)=0,"",IF(OR($AL278="",$AL278="FLUSH"),"FLUSH",IFERROR(LEFT($AL278,FIND("-",$AL278)-1),LEFT($AL278,2))))</f>
        <v/>
      </c>
      <c r="CF278" s="84">
        <f>IF($CE278="","",IFERROR(VALUE(MID($AL278,FIND("-",$AL278)+1,FIND(CHAR(34)&amp;"x",$AL278)-FIND("-",$AL278)-1)),0))</f>
        <v/>
      </c>
      <c r="CG278" s="84">
        <f>IF($CE278="","",IFERROR(VALUE(MID($AL278,FIND(CHAR(34)&amp;"x",$AL278)+2,FIND(CHAR(34),$AL278,FIND(CHAR(34)&amp;"x",$AL278)+2)-FIND(CHAR(34)&amp;"x",$AL278)-2)),0))</f>
        <v/>
      </c>
      <c r="CH278" s="90">
        <f>IF(OR($A278="",$H278="",$H278="NO LAB"),0,IFERROR(VALUE(LEFT($H278,FIND(" ",$H278)-1)),0))</f>
        <v/>
      </c>
      <c r="CI278" s="91">
        <f>IF(OR($A278="",$I278="",$I278="NON-RATED",N($J278)=0),"",IFERROR(VLOOKUP($I278&amp;"|"&amp;$J278,IBC,2,FALSE),"?"))</f>
        <v/>
      </c>
      <c r="CJ278" s="85">
        <f>IF(NOT(AND($A278&lt;&gt;"",$C278&lt;&gt;"DOOR ONLY")),"",TRIM(IFERROR(VLOOKUP($U278,CODES,2,FALSE),"")&amp;" "&amp;$BG278&amp;" "&amp;IFERROR(VLOOKUP($Z278,CODES,2,FALSE),"")&amp;" "&amp;IFERROR(VLOOKUP($X278,CODES,2,FALSE),"")&amp;" "&amp;IFERROR(VLOOKUP($S278,CODES,2,FALSE),"")&amp;IF(N($P278)&gt;0," w/TRANSOM "&amp;$P278&amp;CHAR(34),"")&amp;IF(N($Q278)&gt;0," w/SIDELITE "&amp;$Q278&amp;CHAR(34)&amp;" "&amp;IF($R278="","R",$R278),"")&amp;IF($Y278="","  |  "," | "&amp;IFERROR(VLOOKUP($Y278,CODES,2,FALSE),"")&amp;" | ")&amp;IFERROR(VLOOKUP($AC278,CODES,2,FALSE),"")&amp;" "&amp;IFERROR(VLOOKUP($AD278,CODES,2,FALSE),"")&amp;IF(OR($AE278="",$AE278="-"),""," "&amp;$AE278)&amp;IF(OR($AF278="",$AF278="-"),""," "&amp;$AF278)&amp;IF($AB278="Y"," 4"&amp;CHAR(34)&amp;" HEAD","")&amp;" "&amp;IFERROR(VLOOKUP($H278,CODES,2,FALSE),"")&amp;IF($CT278," | LOC "&amp;$CY278,"")))</f>
        <v/>
      </c>
      <c r="CK278" s="85">
        <f>IF(NOT(AND($A278&lt;&gt;"",N($BJ278)&gt;0)),"",TRIM(IFERROR(VLOOKUP($AH278,CODES,2,FALSE),"")&amp;IF($AI278=""," "," "&amp;$AI278&amp;"GA ")&amp;$BG278&amp;" "&amp;IF($AN278="",IFERROR(VLOOKUP($Z278,CODES,2,FALSE),""),IFERROR(VLOOKUP($AN278,CODES,2,FALSE),""))&amp;IF($BJ278=2," PAIR","")&amp;" DOOR | "&amp;IF($AL278="","?",$AL278)&amp;" | "&amp;IF($AO278="",IFERROR(VLOOKUP($AC278,CODES,2,FALSE),""),IFERROR(VLOOKUP($AO278,CODES,2,FALSE),""))&amp;" "&amp;IFERROR(VLOOKUP($AP278,CODES,2,FALSE),"")&amp;IF(OR($AQ278="",$AQ278="-"),""," SEAM "&amp;$AQ278)&amp;IF($AR278="Y"," ASTRAGAL","")&amp;IF($AJ278=""," "," "&amp;$AJ278)&amp;IF($AK278=""," "," "&amp;$AK278)&amp;IF(OR($AT278="",$AT278="ANSI/SDI",$AT278="CUSTOM LOC"),""," "&amp;$AT278)&amp;IF($AM278=""," "," SERIES "&amp;$AM278)&amp;" "&amp;IFERROR(VLOOKUP($H278,CODES,2,FALSE),"")&amp;IF($CT278," | LOC "&amp;$CZ278,"")))</f>
        <v/>
      </c>
      <c r="CL278" s="84">
        <f>IF(CP278="","",IF(COUNTIF($CP$6:CP278,CP278)=1,MAX($CL$5:CL277)+1,INDEX($CL$5:CL277,MATCH(CP278,$CP$5:CP277,0))))</f>
        <v/>
      </c>
      <c r="CM278" s="84">
        <f>IF(NOT(AND($A278&lt;&gt;"",$C278&lt;&gt;"DOOR ONLY")),"",MAX($CM$5:CM277)+1)</f>
        <v/>
      </c>
      <c r="CN278" s="84">
        <f>IF(NOT(AND($A278&lt;&gt;"",N($BJ278)&gt;0)),"",MAX($CN$5:CN277)+1)</f>
        <v/>
      </c>
      <c r="CO278" s="84">
        <f>IF($A278="","",MAX($CO$5:CO277)+1)</f>
        <v/>
      </c>
      <c r="CP278" s="84">
        <f>IF(OR($A278="",$BH278="",$BI278=""),"",$BG278&amp;"|"&amp;$O278&amp;"|"&amp;$AL278&amp;"|"&amp;$S278&amp;"|"&amp;$P278&amp;"|"&amp;$Q278&amp;$R278&amp;"|"&amp;$C278&amp;"|"&amp;$AB278)</f>
        <v/>
      </c>
      <c r="CQ278" s="84">
        <f>N($BS278)</f>
        <v/>
      </c>
      <c r="CR278" s="84">
        <f>IF(N($AU278)&gt;0,N($AU278),4.5)</f>
        <v/>
      </c>
      <c r="CS278" s="84">
        <f>OR($A278="",$BI278="",$S278="BL",AND($C278="FRAME ONLY",OR($AC278="",$AC278="BLK")))</f>
        <v/>
      </c>
      <c r="CT278" s="84">
        <f>AND(NOT($CS278),OR($AT278="CUSTOM LOC",N($AW278)+N($AX278)+N($AY278)+N($AZ278)+N($BA278)&gt;0))</f>
        <v/>
      </c>
      <c r="CU278" s="84">
        <f>IF($BI278="","",IF($BI278&lt;=80,80,IF($BI278&lt;=84,84,96)))</f>
        <v/>
      </c>
      <c r="CV278" s="84">
        <f>ISNUMBER(MATCH($AT278&amp;"|80",LocKeys,0))</f>
        <v/>
      </c>
      <c r="CW278" s="86">
        <f>IF($CS278,"",IF($CV278,VLOOKUP($AT278&amp;"|"&amp;$CU278,LocTable,4,FALSE),5))</f>
        <v/>
      </c>
      <c r="CX278" s="86">
        <f>IF($CS278,"",IF($CV278,IF(OR($BI278=$CU278,AND($BI278&lt;$CU278,$BI278-IF(N(VLOOKUP($AT278&amp;"|"&amp;$CU278,LocTable,7,FALSE))&gt;0,VLOOKUP($AT278&amp;"|"&amp;$CU278,LocTable,7,FALSE),VLOOKUP($AT278&amp;"|"&amp;$CU278,LocTable,6,FALSE))-$CR278-0.75&gt;=2.125)),IF(N(VLOOKUP($AT278&amp;"|"&amp;$CU278,LocTable,7,FALSE))&gt;0,VLOOKUP($AT278&amp;"|"&amp;$CU278,LocTable,7,FALSE),VLOOKUP($AT278&amp;"|"&amp;$CU278,LocTable,6,FALSE)),$BI278-($CU278-IF(N(VLOOKUP($AT278&amp;"|"&amp;$CU278,LocTable,7,FALSE))&gt;0,VLOOKUP($AT278&amp;"|"&amp;$CU278,LocTable,7,FALSE),VLOOKUP($AT278&amp;"|"&amp;$CU278,LocTable,6,FALSE)))),$BI278-10-$CR278))</f>
        <v/>
      </c>
      <c r="CY278" s="85">
        <f>IF($CS278,"",TRIM(IF(ISNUMBER($BU278),"A "&amp;TRIM(TEXT($BU278,"# ?/??"))&amp;CHAR(34)&amp;"  ","")&amp;IF(ISNUMBER($BV278),"B "&amp;TRIM(TEXT($BV278,"# ?/??"))&amp;CHAR(34)&amp;"  ","")&amp;IF(ISNUMBER($BW278),"C "&amp;TRIM(TEXT($BW278,"# ?/??"))&amp;CHAR(34)&amp;"  ","")&amp;IF(ISNUMBER($BX278),"D "&amp;TRIM(TEXT($BX278,"# ?/??"))&amp;CHAR(34)&amp;"  ","")&amp;IF(ISNUMBER($BY278),"F "&amp;TRIM(TEXT($BY278,"# ?/??"))&amp;CHAR(34)&amp;"  ","")&amp;IF(ISNUMBER($BZ278),"E "&amp;TRIM(TEXT($BZ278,"# ?/??"))&amp;CHAR(34)&amp;"  ","")))</f>
        <v/>
      </c>
      <c r="CZ278" s="85">
        <f>IF(OR($CS278,N($BJ278)=0),"",TRIM(IF(ISNUMBER($BU278),"A "&amp;TRIM(TEXT($BU278-HeadClr,"# ?/??"))&amp;CHAR(34)&amp;"  ","")&amp;IF(ISNUMBER($BV278),"B "&amp;TRIM(TEXT($BV278-HeadClr,"# ?/??"))&amp;CHAR(34)&amp;"  ","")&amp;IF(ISNUMBER($BW278),"C "&amp;TRIM(TEXT($BW278-HeadClr,"# ?/??"))&amp;CHAR(34)&amp;"  ","")&amp;IF(ISNUMBER($BX278),"D "&amp;TRIM(TEXT($BX278-HeadClr,"# ?/??"))&amp;CHAR(34)&amp;"  ","")&amp;IF(ISNUMBER($BY278),"F "&amp;TRIM(TEXT($BY278-HeadClr,"# ?/??"))&amp;CHAR(34)&amp;"  ","")&amp;IF(ISNUMBER($BZ278),"E "&amp;TRIM(TEXT($BZ278-HeadClr,"# ?/??"))&amp;CHAR(34)&amp;"  ","")))</f>
        <v/>
      </c>
      <c r="DA278" s="84">
        <f>IF($A278="","",IF($AN278="",IFERROR(VLOOKUP($Z278,CODES,2,FALSE),""),IFERROR(VLOOKUP($AN278,CODES,2,FALSE),"")))</f>
        <v/>
      </c>
      <c r="DB278" s="84">
        <f>IF($A278="","",IF($O278="Y","PR",IF(OR($Z278="L",$Z278="RR",LEFT($Z278,2)="L-",LEFT($Z278,3)="RR-"),"LH","RH")))</f>
        <v/>
      </c>
      <c r="DC278" s="84">
        <f>IF($A278="","","S.HM"&amp;IF(OR($C278="DOOR ONLY",$X278&lt;&gt;"KD"),"MASONRY","DRYWALL")&amp;IF($C278="DOOR ONLY","",$U278)&amp;IF(AND($C278&lt;&gt;"FRAME ONLY",OR(LEFT($AH278,3)="OAK",LEFT($AH278,3)="BIR",LEFT($AH278,3)="MAP",$AH278="PC",$AH278="MC",$AH278="SCLC",$AH278="P-LAM")),"WD","HM")&amp;"1.75")</f>
        <v/>
      </c>
      <c r="DD278" s="84">
        <f>IF($CJ278="","",IF($O278="Y",$CJ278,SUBSTITUTE($CJ278,$BG278&amp;" "&amp;IFERROR(VLOOKUP($Z278,CODES,2,FALSE),"")&amp;" ",$BG278&amp;" ")))</f>
        <v/>
      </c>
      <c r="DE278" s="84">
        <f>IF($CK278="","",IF($O278="Y",$CK278,SUBSTITUTE($CK278,$BG278&amp;" "&amp;IF($AN278="",IFERROR(VLOOKUP($Z278,CODES,2,FALSE),""),IFERROR(VLOOKUP($AN278,CODES,2,FALSE),""))&amp;" ",$BG278&amp;" ")))</f>
        <v/>
      </c>
      <c r="DF278" s="84">
        <f>IF($CJ278="","",$DC278&amp;"|"&amp;$DD278&amp;"|"&amp;$DB278&amp;"|"&amp;$AT278&amp;"|"&amp;$V278&amp;"|"&amp;$Y278&amp;"|"&amp;$AB278)</f>
        <v/>
      </c>
      <c r="DG278" s="84">
        <f>IF(DF278="","",IF(COUNTIF($DF$6:DF278,DF278)=1,MAX($DG$5:DG277)+1,INDEX($DG$5:DG277,MATCH(DF278,$DF$5:DF277,0))))</f>
        <v/>
      </c>
      <c r="DH278" s="84">
        <f>IF($CK278="","",$DC278&amp;"|"&amp;$DE278&amp;"|"&amp;$AI278&amp;"|"&amp;$BK278&amp;"|"&amp;$BL278)</f>
        <v/>
      </c>
      <c r="DI278" s="84">
        <f>IF(DH278="","",IF(COUNTIF($DH$6:DH278,DH278)=1,MAX($DI$5:DI277)+1,INDEX($DI$5:DI277,MATCH(DH278,$DH$5:DH277,0))))</f>
        <v/>
      </c>
      <c r="DJ278" s="84">
        <f>IF($A278="","",IF($B278="","qty, ","")&amp;IF($C278="","scope, ","")&amp;IF(OR($K278="",$M278=""),"size, ","")&amp;IF(AND($A278&lt;&gt;"",$C278&lt;&gt;"DOOR ONLY"),IF($U278="","jamb depth, ","")&amp;IF($X278="","construction, ","")&amp;IF($Y278="","anchor, ","")&amp;IF($S278="","frame type, ",""),"")&amp;IF(AND(N($BJ278)&gt;0,$Z278=""),"hand, ","")&amp;IF(N($BJ278)&gt;0,IF($AH278="","door material, ","")&amp;IF($AL278="","face type, ","")&amp;IF($AP278="","lock prep, ","")&amp;IF(AND($AO278="",$AC278=""),"hinge prep, ",""),"")&amp;IF(AND($CH278&gt;0,$AH278="FRP"),"FRP cannot carry a label, ","")&amp;IF(AND($O278="Y",OR($Z278="L",$Z278="R",$Z278="LR",$Z278="RR")),"pair marked but hand is single, ","")&amp;IF(AND($O278&lt;&gt;"Y",OR($Z278="PR",AND(LEN($Z278)&gt;1,ISNUMBER(SEARCH("-",$Z278))))),"pair hand on a single door, ","")&amp;IF(AND(ISNUMBER($CI278),$CH278&lt;N($CI278)),"wall needs a "&amp;$CI278&amp;" min door, ","")&amp;IF(AND($CH278&gt;=180,AND(OR($CE278="FG",$CE278="HG",$CE278="FNV",$CE278="FV"),N($CF278)*N($CG278)&gt;100)),"180 min lite over 100 sq in, ","")&amp;IF(N($BK278)&gt;48,"leaf wider than 4'-0"&amp;CHAR(34)&amp;", ","")&amp;IF(AND($CT278,COUNT($AW278:$AZ278)=0,$CQ278&gt;0),"CUSTOM LOC with no locations typed, ",""))</f>
        <v/>
      </c>
      <c r="DK278" s="84">
        <f>IF($A278="","",IF(AND($CH278&gt;0,AND($A278&lt;&gt;"",$C278&lt;&gt;"DOOR ONLY"),$X278="KD",$E278="EXTERIOR"),"KD label on an exterior opening, ","")&amp;IF(AND($E278="EXTERIOR",OR(AND(AND($A278&lt;&gt;"",$C278&lt;&gt;"DOOR ONLY"),$W278="CR"),AND(N($BJ278)&gt;0,$AH278="CR"))),"exterior in CR steel (G9?), ","")&amp;IF(AND(ISNUMBER($BQ278),N($BQ278)&lt;32),"clear width ~"&amp;TEXT($BQ278,"0.0")&amp;CHAR(34)&amp;" under 32"&amp;CHAR(34)&amp;" (ADA), ","")&amp;IF(AND($CH278=90,AND(OR($CE278="FG",$CE278="HG",$CE278="FNV",$CE278="FV"),N($CF278)*N($CG278)&gt;100)),"90 min lite over 100 sq in (stair/exit), ","")&amp;IF(AND($CH278&gt;0,AND($A278&lt;&gt;"",$C278&lt;&gt;"DOOR ONLY"),OR($AF278="",$AF278="-")),"rated: closer reinf.?, ","")&amp;IF(OR($I278="CORRIDOR",$I278="SMOKE BARRIER"),"S label + smoke gasketing, ","")&amp;IF($CI278="?","wall type/hr not in IBC table, ","")&amp;IF(AND(N($BJ278)&gt;0,$BB278=""),"no hardware set, ","")&amp;IF(AND($BB278&lt;&gt;"",ISNA(MATCH($BB278&amp;"",HWSets,0))),"set "&amp;$BB278&amp;" not on HW Sets, ","")&amp;IF(N($BL278)&gt;96,"leaf over 8'-0"&amp;CHAR(34)&amp;" - check listing, ","")&amp;IF(AND($CT278,COUNT($AW278:$AZ278)&gt;0,COUNT($AW278:$AZ278)&lt;&gt;$CQ278),COUNT($AW278:$AZ278)&amp;" custom hinges typed, "&amp;$CQ278&amp;" expected, ","")&amp;IF(AND(ISNUMBER($CA278),OR(N($CA278)&lt;34,N($CA278)&gt;48)),"lock "&amp;TEXT($CA278,"0.0")&amp;CHAR(34)&amp;" AFF outside 34-48"&amp;CHAR(34)&amp;" (ADA), ","")&amp;IF(AND(ISNUMBER($AV278),ISNUMBER($BL278),N($AV278)&lt;IF(N($BL278)&lt;=60,2,IF(N($BL278)&lt;=90,3,IF(N($BL278)&lt;=120,4,5)))),"fewer hinges than standard, ",""))</f>
        <v/>
      </c>
    </row>
    <row r="279" ht="15" customHeight="1">
      <c r="A279" s="77" t="n"/>
      <c r="B279" s="78" t="n"/>
      <c r="C279" s="78" t="n"/>
      <c r="D279" s="78" t="n"/>
      <c r="E279" s="78" t="n"/>
      <c r="F279" s="78" t="n"/>
      <c r="G279" s="78" t="n"/>
      <c r="H279" s="78" t="n"/>
      <c r="I279" s="78" t="n"/>
      <c r="J279" s="78" t="n"/>
      <c r="K279" s="78" t="n"/>
      <c r="L279" s="78" t="n"/>
      <c r="M279" s="78" t="n"/>
      <c r="N279" s="78" t="n"/>
      <c r="O279" s="78" t="n"/>
      <c r="P279" s="78" t="n"/>
      <c r="Q279" s="78" t="n"/>
      <c r="R279" s="78" t="n"/>
      <c r="S279" s="79" t="n"/>
      <c r="T279" s="79" t="n"/>
      <c r="U279" s="79" t="n"/>
      <c r="V279" s="79" t="n"/>
      <c r="W279" s="79" t="n"/>
      <c r="X279" s="79" t="n"/>
      <c r="Y279" s="79" t="n"/>
      <c r="Z279" s="79" t="n"/>
      <c r="AA279" s="79" t="n"/>
      <c r="AB279" s="79" t="n"/>
      <c r="AC279" s="79" t="n"/>
      <c r="AD279" s="79" t="n"/>
      <c r="AE279" s="79" t="n"/>
      <c r="AF279" s="79" t="n"/>
      <c r="AG279" s="79" t="n"/>
      <c r="AH279" s="80" t="n"/>
      <c r="AI279" s="80" t="n"/>
      <c r="AJ279" s="80" t="n"/>
      <c r="AK279" s="80" t="n"/>
      <c r="AL279" s="80" t="n"/>
      <c r="AM279" s="80" t="n"/>
      <c r="AN279" s="80" t="n"/>
      <c r="AO279" s="80" t="n"/>
      <c r="AP279" s="80" t="n"/>
      <c r="AQ279" s="80" t="n"/>
      <c r="AR279" s="80" t="n"/>
      <c r="AS279" s="80" t="n"/>
      <c r="AT279" s="81" t="n"/>
      <c r="AU279" s="81" t="n"/>
      <c r="AV279" s="81" t="n"/>
      <c r="AW279" s="82" t="n"/>
      <c r="AX279" s="82" t="n"/>
      <c r="AY279" s="82" t="n"/>
      <c r="AZ279" s="82" t="n"/>
      <c r="BA279" s="82" t="n"/>
      <c r="BB279" s="83" t="n"/>
      <c r="BC279" s="83" t="n"/>
      <c r="BD279" s="84">
        <f>IF($A279="","",IF($DJ279&lt;&gt;"","FIX",IF($DK279&lt;&gt;"","CHECK","OK")))</f>
        <v/>
      </c>
      <c r="BE279" s="85">
        <f>IF($A279="","",IF($DJ279&lt;&gt;"","FIX: "&amp;LEFT($DJ279,LEN($DJ279)-2)&amp;IF($DK279&lt;&gt;"","  ·  ",""),"")&amp;IF($DK279&lt;&gt;"","CHECK: "&amp;LEFT($DK279,LEN($DK279)-2),""))</f>
        <v/>
      </c>
      <c r="BF279" s="84">
        <f>IF(OR($A279="",$K279=""),"",$K279&amp;"'-"&amp;N($L279)&amp;CHAR(34)&amp;" x "&amp;$M279&amp;"'-"&amp;N($N279)&amp;CHAR(34))</f>
        <v/>
      </c>
      <c r="BG279" s="84">
        <f>IF(OR($A279="",$K279=""),"",$K279&amp;N($L279)&amp;$M279&amp;N($N279))</f>
        <v/>
      </c>
      <c r="BH279" s="84">
        <f>IF(OR($A279="",$K279=""),"",$K279*12+N($L279))</f>
        <v/>
      </c>
      <c r="BI279" s="84">
        <f>IF(OR($A279="",$M279=""),"",$M279*12+N($N279))</f>
        <v/>
      </c>
      <c r="BJ279" s="84">
        <f>IF($A279="","",IF(OR($C279="FRAME ONLY",$S279="BL"),0,IF($O279="Y",2,1)))</f>
        <v/>
      </c>
      <c r="BK279" s="86">
        <f>IF(OR(N($BJ279)=0,$BH279=""),"",($BH279-2*EdgeClr-IF($BJ279=2,MeetClr,0))/$BJ279)</f>
        <v/>
      </c>
      <c r="BL279" s="86">
        <f>IF(OR(N($BJ279)=0,$BI279=""),"",$BI279-HeadClr-Undercut)</f>
        <v/>
      </c>
      <c r="BM279" s="86">
        <f>IF($BH279="","",$BH279+2*FaceW+IF(N($Q279)&gt;0,($Q279+FaceW)*IF($R279="LR",2,1),0))</f>
        <v/>
      </c>
      <c r="BN279" s="86">
        <f>IF($BI279="","",$BI279+IF($AB279="Y",4,FaceW)+IF(N($P279)&gt;0,$P279+FaceW,0)+IF(OR($S279="4F",$S279="BL"),FaceW,0))</f>
        <v/>
      </c>
      <c r="BO279" s="86">
        <f>IF($BM279="","",$BM279+2*ROSide)</f>
        <v/>
      </c>
      <c r="BP279" s="86">
        <f>IF($BN279="","",$BN279+ROTop)</f>
        <v/>
      </c>
      <c r="BQ279" s="87">
        <f>IF(OR(N($BJ279)=0,$BH279=""),"",$BH279/$BJ279-ClearDeduct)</f>
        <v/>
      </c>
      <c r="BR279" s="84">
        <f>IF(N($CH279)=0,"",IF($CH279&gt;=180,"A · 3 HR",IF($CH279&gt;=90,"B · 1-1/2 HR",IF($CH279&gt;=60,"B · 1 HR",IF($CH279&gt;=45,"C · 3/4 HR","20 MIN")))))&amp;IF(AND(N($CH279)&gt;0,OR($I279="CORRIDOR",$I279="SMOKE BARRIER"))," · S","")</f>
        <v/>
      </c>
      <c r="BS279" s="84">
        <f>IF($CS279,"",IF($AV279&lt;&gt;"",$AV279,IF(OR($AC279="HGC",$AO279="HGC"),"CONT",IF(($BI279-HeadClr-Undercut)&lt;=60,2,IF(($BI279-HeadClr-Undercut)&lt;=90,3,IF(($BI279-HeadClr-Undercut)&lt;=120,4,5))))))</f>
        <v/>
      </c>
      <c r="BT279" s="84">
        <f>IF($CS279,"",IF($CT279,"CUSTOM (typed)",IF($CV279,$AT279&amp;" "&amp;$CU279&amp;CHAR(34)&amp;IF($CU279&lt;&gt;$BI279,IF(AND($BI279&lt;$CU279,$BI279-IF(N(VLOOKUP($AT279&amp;"|"&amp;$CU279,LocTable,7,FALSE))&gt;0,VLOOKUP($AT279&amp;"|"&amp;$CU279,LocTable,7,FALSE),VLOOKUP($AT279&amp;"|"&amp;$CU279,LocTable,6,FALSE))-$CR279-0.75&gt;=2.125)," cut down"," adj."),""),"ANSI/SDI A250.6")))</f>
        <v/>
      </c>
      <c r="BU279" s="88">
        <f>IF($CS279,"",IF($CT279,IF(N($AW279)&gt;0,N($AW279),""),IF(1&gt;$CQ279,"",IF($CQ279=1,$CW279,$CW279+($CX279-$CW279)*0/($CQ279-1)))))</f>
        <v/>
      </c>
      <c r="BV279" s="88">
        <f>IF($CS279,"",IF($CT279,IF(N($AX279)&gt;0,N($AX279),""),IF(2&gt;$CQ279,"",IF($CQ279=1,$CW279,$CW279+($CX279-$CW279)*1/($CQ279-1)))))</f>
        <v/>
      </c>
      <c r="BW279" s="88">
        <f>IF($CS279,"",IF($CT279,IF(N($AY279)&gt;0,N($AY279),""),IF(3&gt;$CQ279,"",IF($CQ279=1,$CW279,$CW279+($CX279-$CW279)*2/($CQ279-1)))))</f>
        <v/>
      </c>
      <c r="BX279" s="88">
        <f>IF($CS279,"",IF($CT279,IF(N($AZ279)&gt;0,N($AZ279),""),IF(4&gt;$CQ279,"",IF($CQ279=1,$CW279,$CW279+($CX279-$CW279)*3/($CQ279-1)))))</f>
        <v/>
      </c>
      <c r="BY279" s="88">
        <f>IF($CS279,"",IF($CT279,"",IF(5&gt;$CQ279,"",IF($CQ279=1,$CW279,$CW279+($CX279-$CW279)*4/($CQ279-1)))))</f>
        <v/>
      </c>
      <c r="BZ279" s="88">
        <f>IF(OR($CS279,$AP279="-",AND($AP279="",$AD279="")),"",IF(N($BA279)&gt;0,N($BA279),IF($CV279,IF(AND($BI279&lt;$CU279,$BI279-IF(N(VLOOKUP($AT279&amp;"|"&amp;$CU279,LocTable,7,FALSE))&gt;0,VLOOKUP($AT279&amp;"|"&amp;$CU279,LocTable,7,FALSE),VLOOKUP($AT279&amp;"|"&amp;$CU279,LocTable,6,FALSE))-$CR279-0.75&gt;=2.125),VLOOKUP($AT279&amp;"|"&amp;$CU279,LocTable,8,FALSE),VLOOKUP($AT279&amp;"|"&amp;$CU279,LocTable,8,FALSE)+($BI279-$CU279)),$BI279-LockAFF)))</f>
        <v/>
      </c>
      <c r="CA279" s="89">
        <f>IF($BZ279="","",$BI279-$BZ279)</f>
        <v/>
      </c>
      <c r="CB279" s="84">
        <f>IF(OR(NOT(AND($A279&lt;&gt;"",$C279&lt;&gt;"DOOR ONLY")),$BI279=""),"",IF(($BI279+IF(N($P279)&gt;0,$P279+FaceW,0))&lt;=90,3,IF(($BI279+IF(N($P279)&gt;0,$P279+FaceW,0))&lt;=114,4,5)))</f>
        <v/>
      </c>
      <c r="CC279" s="84">
        <f>IF($CB279="","",$CB279*(2+IF(N($Q279)&gt;0,IF($R279="LR",2,1),0)))</f>
        <v/>
      </c>
      <c r="CD279" s="84">
        <f>IF($CB279="","",(2+IF(N($Q279)&gt;0,IF($R279="LR",2,1),0)))</f>
        <v/>
      </c>
      <c r="CE279" s="84">
        <f>IF(N($BJ279)=0,"",IF(OR($AL279="",$AL279="FLUSH"),"FLUSH",IFERROR(LEFT($AL279,FIND("-",$AL279)-1),LEFT($AL279,2))))</f>
        <v/>
      </c>
      <c r="CF279" s="84">
        <f>IF($CE279="","",IFERROR(VALUE(MID($AL279,FIND("-",$AL279)+1,FIND(CHAR(34)&amp;"x",$AL279)-FIND("-",$AL279)-1)),0))</f>
        <v/>
      </c>
      <c r="CG279" s="84">
        <f>IF($CE279="","",IFERROR(VALUE(MID($AL279,FIND(CHAR(34)&amp;"x",$AL279)+2,FIND(CHAR(34),$AL279,FIND(CHAR(34)&amp;"x",$AL279)+2)-FIND(CHAR(34)&amp;"x",$AL279)-2)),0))</f>
        <v/>
      </c>
      <c r="CH279" s="90">
        <f>IF(OR($A279="",$H279="",$H279="NO LAB"),0,IFERROR(VALUE(LEFT($H279,FIND(" ",$H279)-1)),0))</f>
        <v/>
      </c>
      <c r="CI279" s="91">
        <f>IF(OR($A279="",$I279="",$I279="NON-RATED",N($J279)=0),"",IFERROR(VLOOKUP($I279&amp;"|"&amp;$J279,IBC,2,FALSE),"?"))</f>
        <v/>
      </c>
      <c r="CJ279" s="85">
        <f>IF(NOT(AND($A279&lt;&gt;"",$C279&lt;&gt;"DOOR ONLY")),"",TRIM(IFERROR(VLOOKUP($U279,CODES,2,FALSE),"")&amp;" "&amp;$BG279&amp;" "&amp;IFERROR(VLOOKUP($Z279,CODES,2,FALSE),"")&amp;" "&amp;IFERROR(VLOOKUP($X279,CODES,2,FALSE),"")&amp;" "&amp;IFERROR(VLOOKUP($S279,CODES,2,FALSE),"")&amp;IF(N($P279)&gt;0," w/TRANSOM "&amp;$P279&amp;CHAR(34),"")&amp;IF(N($Q279)&gt;0," w/SIDELITE "&amp;$Q279&amp;CHAR(34)&amp;" "&amp;IF($R279="","R",$R279),"")&amp;IF($Y279="","  |  "," | "&amp;IFERROR(VLOOKUP($Y279,CODES,2,FALSE),"")&amp;" | ")&amp;IFERROR(VLOOKUP($AC279,CODES,2,FALSE),"")&amp;" "&amp;IFERROR(VLOOKUP($AD279,CODES,2,FALSE),"")&amp;IF(OR($AE279="",$AE279="-"),""," "&amp;$AE279)&amp;IF(OR($AF279="",$AF279="-"),""," "&amp;$AF279)&amp;IF($AB279="Y"," 4"&amp;CHAR(34)&amp;" HEAD","")&amp;" "&amp;IFERROR(VLOOKUP($H279,CODES,2,FALSE),"")&amp;IF($CT279," | LOC "&amp;$CY279,"")))</f>
        <v/>
      </c>
      <c r="CK279" s="85">
        <f>IF(NOT(AND($A279&lt;&gt;"",N($BJ279)&gt;0)),"",TRIM(IFERROR(VLOOKUP($AH279,CODES,2,FALSE),"")&amp;IF($AI279=""," "," "&amp;$AI279&amp;"GA ")&amp;$BG279&amp;" "&amp;IF($AN279="",IFERROR(VLOOKUP($Z279,CODES,2,FALSE),""),IFERROR(VLOOKUP($AN279,CODES,2,FALSE),""))&amp;IF($BJ279=2," PAIR","")&amp;" DOOR | "&amp;IF($AL279="","?",$AL279)&amp;" | "&amp;IF($AO279="",IFERROR(VLOOKUP($AC279,CODES,2,FALSE),""),IFERROR(VLOOKUP($AO279,CODES,2,FALSE),""))&amp;" "&amp;IFERROR(VLOOKUP($AP279,CODES,2,FALSE),"")&amp;IF(OR($AQ279="",$AQ279="-"),""," SEAM "&amp;$AQ279)&amp;IF($AR279="Y"," ASTRAGAL","")&amp;IF($AJ279=""," "," "&amp;$AJ279)&amp;IF($AK279=""," "," "&amp;$AK279)&amp;IF(OR($AT279="",$AT279="ANSI/SDI",$AT279="CUSTOM LOC"),""," "&amp;$AT279)&amp;IF($AM279=""," "," SERIES "&amp;$AM279)&amp;" "&amp;IFERROR(VLOOKUP($H279,CODES,2,FALSE),"")&amp;IF($CT279," | LOC "&amp;$CZ279,"")))</f>
        <v/>
      </c>
      <c r="CL279" s="84">
        <f>IF(CP279="","",IF(COUNTIF($CP$6:CP279,CP279)=1,MAX($CL$5:CL278)+1,INDEX($CL$5:CL278,MATCH(CP279,$CP$5:CP278,0))))</f>
        <v/>
      </c>
      <c r="CM279" s="84">
        <f>IF(NOT(AND($A279&lt;&gt;"",$C279&lt;&gt;"DOOR ONLY")),"",MAX($CM$5:CM278)+1)</f>
        <v/>
      </c>
      <c r="CN279" s="84">
        <f>IF(NOT(AND($A279&lt;&gt;"",N($BJ279)&gt;0)),"",MAX($CN$5:CN278)+1)</f>
        <v/>
      </c>
      <c r="CO279" s="84">
        <f>IF($A279="","",MAX($CO$5:CO278)+1)</f>
        <v/>
      </c>
      <c r="CP279" s="84">
        <f>IF(OR($A279="",$BH279="",$BI279=""),"",$BG279&amp;"|"&amp;$O279&amp;"|"&amp;$AL279&amp;"|"&amp;$S279&amp;"|"&amp;$P279&amp;"|"&amp;$Q279&amp;$R279&amp;"|"&amp;$C279&amp;"|"&amp;$AB279)</f>
        <v/>
      </c>
      <c r="CQ279" s="84">
        <f>N($BS279)</f>
        <v/>
      </c>
      <c r="CR279" s="84">
        <f>IF(N($AU279)&gt;0,N($AU279),4.5)</f>
        <v/>
      </c>
      <c r="CS279" s="84">
        <f>OR($A279="",$BI279="",$S279="BL",AND($C279="FRAME ONLY",OR($AC279="",$AC279="BLK")))</f>
        <v/>
      </c>
      <c r="CT279" s="84">
        <f>AND(NOT($CS279),OR($AT279="CUSTOM LOC",N($AW279)+N($AX279)+N($AY279)+N($AZ279)+N($BA279)&gt;0))</f>
        <v/>
      </c>
      <c r="CU279" s="84">
        <f>IF($BI279="","",IF($BI279&lt;=80,80,IF($BI279&lt;=84,84,96)))</f>
        <v/>
      </c>
      <c r="CV279" s="84">
        <f>ISNUMBER(MATCH($AT279&amp;"|80",LocKeys,0))</f>
        <v/>
      </c>
      <c r="CW279" s="86">
        <f>IF($CS279,"",IF($CV279,VLOOKUP($AT279&amp;"|"&amp;$CU279,LocTable,4,FALSE),5))</f>
        <v/>
      </c>
      <c r="CX279" s="86">
        <f>IF($CS279,"",IF($CV279,IF(OR($BI279=$CU279,AND($BI279&lt;$CU279,$BI279-IF(N(VLOOKUP($AT279&amp;"|"&amp;$CU279,LocTable,7,FALSE))&gt;0,VLOOKUP($AT279&amp;"|"&amp;$CU279,LocTable,7,FALSE),VLOOKUP($AT279&amp;"|"&amp;$CU279,LocTable,6,FALSE))-$CR279-0.75&gt;=2.125)),IF(N(VLOOKUP($AT279&amp;"|"&amp;$CU279,LocTable,7,FALSE))&gt;0,VLOOKUP($AT279&amp;"|"&amp;$CU279,LocTable,7,FALSE),VLOOKUP($AT279&amp;"|"&amp;$CU279,LocTable,6,FALSE)),$BI279-($CU279-IF(N(VLOOKUP($AT279&amp;"|"&amp;$CU279,LocTable,7,FALSE))&gt;0,VLOOKUP($AT279&amp;"|"&amp;$CU279,LocTable,7,FALSE),VLOOKUP($AT279&amp;"|"&amp;$CU279,LocTable,6,FALSE)))),$BI279-10-$CR279))</f>
        <v/>
      </c>
      <c r="CY279" s="85">
        <f>IF($CS279,"",TRIM(IF(ISNUMBER($BU279),"A "&amp;TRIM(TEXT($BU279,"# ?/??"))&amp;CHAR(34)&amp;"  ","")&amp;IF(ISNUMBER($BV279),"B "&amp;TRIM(TEXT($BV279,"# ?/??"))&amp;CHAR(34)&amp;"  ","")&amp;IF(ISNUMBER($BW279),"C "&amp;TRIM(TEXT($BW279,"# ?/??"))&amp;CHAR(34)&amp;"  ","")&amp;IF(ISNUMBER($BX279),"D "&amp;TRIM(TEXT($BX279,"# ?/??"))&amp;CHAR(34)&amp;"  ","")&amp;IF(ISNUMBER($BY279),"F "&amp;TRIM(TEXT($BY279,"# ?/??"))&amp;CHAR(34)&amp;"  ","")&amp;IF(ISNUMBER($BZ279),"E "&amp;TRIM(TEXT($BZ279,"# ?/??"))&amp;CHAR(34)&amp;"  ","")))</f>
        <v/>
      </c>
      <c r="CZ279" s="85">
        <f>IF(OR($CS279,N($BJ279)=0),"",TRIM(IF(ISNUMBER($BU279),"A "&amp;TRIM(TEXT($BU279-HeadClr,"# ?/??"))&amp;CHAR(34)&amp;"  ","")&amp;IF(ISNUMBER($BV279),"B "&amp;TRIM(TEXT($BV279-HeadClr,"# ?/??"))&amp;CHAR(34)&amp;"  ","")&amp;IF(ISNUMBER($BW279),"C "&amp;TRIM(TEXT($BW279-HeadClr,"# ?/??"))&amp;CHAR(34)&amp;"  ","")&amp;IF(ISNUMBER($BX279),"D "&amp;TRIM(TEXT($BX279-HeadClr,"# ?/??"))&amp;CHAR(34)&amp;"  ","")&amp;IF(ISNUMBER($BY279),"F "&amp;TRIM(TEXT($BY279-HeadClr,"# ?/??"))&amp;CHAR(34)&amp;"  ","")&amp;IF(ISNUMBER($BZ279),"E "&amp;TRIM(TEXT($BZ279-HeadClr,"# ?/??"))&amp;CHAR(34)&amp;"  ","")))</f>
        <v/>
      </c>
      <c r="DA279" s="84">
        <f>IF($A279="","",IF($AN279="",IFERROR(VLOOKUP($Z279,CODES,2,FALSE),""),IFERROR(VLOOKUP($AN279,CODES,2,FALSE),"")))</f>
        <v/>
      </c>
      <c r="DB279" s="84">
        <f>IF($A279="","",IF($O279="Y","PR",IF(OR($Z279="L",$Z279="RR",LEFT($Z279,2)="L-",LEFT($Z279,3)="RR-"),"LH","RH")))</f>
        <v/>
      </c>
      <c r="DC279" s="84">
        <f>IF($A279="","","S.HM"&amp;IF(OR($C279="DOOR ONLY",$X279&lt;&gt;"KD"),"MASONRY","DRYWALL")&amp;IF($C279="DOOR ONLY","",$U279)&amp;IF(AND($C279&lt;&gt;"FRAME ONLY",OR(LEFT($AH279,3)="OAK",LEFT($AH279,3)="BIR",LEFT($AH279,3)="MAP",$AH279="PC",$AH279="MC",$AH279="SCLC",$AH279="P-LAM")),"WD","HM")&amp;"1.75")</f>
        <v/>
      </c>
      <c r="DD279" s="84">
        <f>IF($CJ279="","",IF($O279="Y",$CJ279,SUBSTITUTE($CJ279,$BG279&amp;" "&amp;IFERROR(VLOOKUP($Z279,CODES,2,FALSE),"")&amp;" ",$BG279&amp;" ")))</f>
        <v/>
      </c>
      <c r="DE279" s="84">
        <f>IF($CK279="","",IF($O279="Y",$CK279,SUBSTITUTE($CK279,$BG279&amp;" "&amp;IF($AN279="",IFERROR(VLOOKUP($Z279,CODES,2,FALSE),""),IFERROR(VLOOKUP($AN279,CODES,2,FALSE),""))&amp;" ",$BG279&amp;" ")))</f>
        <v/>
      </c>
      <c r="DF279" s="84">
        <f>IF($CJ279="","",$DC279&amp;"|"&amp;$DD279&amp;"|"&amp;$DB279&amp;"|"&amp;$AT279&amp;"|"&amp;$V279&amp;"|"&amp;$Y279&amp;"|"&amp;$AB279)</f>
        <v/>
      </c>
      <c r="DG279" s="84">
        <f>IF(DF279="","",IF(COUNTIF($DF$6:DF279,DF279)=1,MAX($DG$5:DG278)+1,INDEX($DG$5:DG278,MATCH(DF279,$DF$5:DF278,0))))</f>
        <v/>
      </c>
      <c r="DH279" s="84">
        <f>IF($CK279="","",$DC279&amp;"|"&amp;$DE279&amp;"|"&amp;$AI279&amp;"|"&amp;$BK279&amp;"|"&amp;$BL279)</f>
        <v/>
      </c>
      <c r="DI279" s="84">
        <f>IF(DH279="","",IF(COUNTIF($DH$6:DH279,DH279)=1,MAX($DI$5:DI278)+1,INDEX($DI$5:DI278,MATCH(DH279,$DH$5:DH278,0))))</f>
        <v/>
      </c>
      <c r="DJ279" s="84">
        <f>IF($A279="","",IF($B279="","qty, ","")&amp;IF($C279="","scope, ","")&amp;IF(OR($K279="",$M279=""),"size, ","")&amp;IF(AND($A279&lt;&gt;"",$C279&lt;&gt;"DOOR ONLY"),IF($U279="","jamb depth, ","")&amp;IF($X279="","construction, ","")&amp;IF($Y279="","anchor, ","")&amp;IF($S279="","frame type, ",""),"")&amp;IF(AND(N($BJ279)&gt;0,$Z279=""),"hand, ","")&amp;IF(N($BJ279)&gt;0,IF($AH279="","door material, ","")&amp;IF($AL279="","face type, ","")&amp;IF($AP279="","lock prep, ","")&amp;IF(AND($AO279="",$AC279=""),"hinge prep, ",""),"")&amp;IF(AND($CH279&gt;0,$AH279="FRP"),"FRP cannot carry a label, ","")&amp;IF(AND($O279="Y",OR($Z279="L",$Z279="R",$Z279="LR",$Z279="RR")),"pair marked but hand is single, ","")&amp;IF(AND($O279&lt;&gt;"Y",OR($Z279="PR",AND(LEN($Z279)&gt;1,ISNUMBER(SEARCH("-",$Z279))))),"pair hand on a single door, ","")&amp;IF(AND(ISNUMBER($CI279),$CH279&lt;N($CI279)),"wall needs a "&amp;$CI279&amp;" min door, ","")&amp;IF(AND($CH279&gt;=180,AND(OR($CE279="FG",$CE279="HG",$CE279="FNV",$CE279="FV"),N($CF279)*N($CG279)&gt;100)),"180 min lite over 100 sq in, ","")&amp;IF(N($BK279)&gt;48,"leaf wider than 4'-0"&amp;CHAR(34)&amp;", ","")&amp;IF(AND($CT279,COUNT($AW279:$AZ279)=0,$CQ279&gt;0),"CUSTOM LOC with no locations typed, ",""))</f>
        <v/>
      </c>
      <c r="DK279" s="84">
        <f>IF($A279="","",IF(AND($CH279&gt;0,AND($A279&lt;&gt;"",$C279&lt;&gt;"DOOR ONLY"),$X279="KD",$E279="EXTERIOR"),"KD label on an exterior opening, ","")&amp;IF(AND($E279="EXTERIOR",OR(AND(AND($A279&lt;&gt;"",$C279&lt;&gt;"DOOR ONLY"),$W279="CR"),AND(N($BJ279)&gt;0,$AH279="CR"))),"exterior in CR steel (G9?), ","")&amp;IF(AND(ISNUMBER($BQ279),N($BQ279)&lt;32),"clear width ~"&amp;TEXT($BQ279,"0.0")&amp;CHAR(34)&amp;" under 32"&amp;CHAR(34)&amp;" (ADA), ","")&amp;IF(AND($CH279=90,AND(OR($CE279="FG",$CE279="HG",$CE279="FNV",$CE279="FV"),N($CF279)*N($CG279)&gt;100)),"90 min lite over 100 sq in (stair/exit), ","")&amp;IF(AND($CH279&gt;0,AND($A279&lt;&gt;"",$C279&lt;&gt;"DOOR ONLY"),OR($AF279="",$AF279="-")),"rated: closer reinf.?, ","")&amp;IF(OR($I279="CORRIDOR",$I279="SMOKE BARRIER"),"S label + smoke gasketing, ","")&amp;IF($CI279="?","wall type/hr not in IBC table, ","")&amp;IF(AND(N($BJ279)&gt;0,$BB279=""),"no hardware set, ","")&amp;IF(AND($BB279&lt;&gt;"",ISNA(MATCH($BB279&amp;"",HWSets,0))),"set "&amp;$BB279&amp;" not on HW Sets, ","")&amp;IF(N($BL279)&gt;96,"leaf over 8'-0"&amp;CHAR(34)&amp;" - check listing, ","")&amp;IF(AND($CT279,COUNT($AW279:$AZ279)&gt;0,COUNT($AW279:$AZ279)&lt;&gt;$CQ279),COUNT($AW279:$AZ279)&amp;" custom hinges typed, "&amp;$CQ279&amp;" expected, ","")&amp;IF(AND(ISNUMBER($CA279),OR(N($CA279)&lt;34,N($CA279)&gt;48)),"lock "&amp;TEXT($CA279,"0.0")&amp;CHAR(34)&amp;" AFF outside 34-48"&amp;CHAR(34)&amp;" (ADA), ","")&amp;IF(AND(ISNUMBER($AV279),ISNUMBER($BL279),N($AV279)&lt;IF(N($BL279)&lt;=60,2,IF(N($BL279)&lt;=90,3,IF(N($BL279)&lt;=120,4,5)))),"fewer hinges than standard, ",""))</f>
        <v/>
      </c>
    </row>
    <row r="280" ht="15" customHeight="1">
      <c r="A280" s="92" t="n"/>
      <c r="B280" s="93" t="n"/>
      <c r="C280" s="93" t="n"/>
      <c r="D280" s="93" t="n"/>
      <c r="E280" s="93" t="n"/>
      <c r="F280" s="93" t="n"/>
      <c r="G280" s="93" t="n"/>
      <c r="H280" s="93" t="n"/>
      <c r="I280" s="93" t="n"/>
      <c r="J280" s="93" t="n"/>
      <c r="K280" s="93" t="n"/>
      <c r="L280" s="93" t="n"/>
      <c r="M280" s="93" t="n"/>
      <c r="N280" s="93" t="n"/>
      <c r="O280" s="93" t="n"/>
      <c r="P280" s="93" t="n"/>
      <c r="Q280" s="93" t="n"/>
      <c r="R280" s="93" t="n"/>
      <c r="S280" s="94" t="n"/>
      <c r="T280" s="94" t="n"/>
      <c r="U280" s="94" t="n"/>
      <c r="V280" s="94" t="n"/>
      <c r="W280" s="94" t="n"/>
      <c r="X280" s="94" t="n"/>
      <c r="Y280" s="94" t="n"/>
      <c r="Z280" s="94" t="n"/>
      <c r="AA280" s="94" t="n"/>
      <c r="AB280" s="94" t="n"/>
      <c r="AC280" s="94" t="n"/>
      <c r="AD280" s="94" t="n"/>
      <c r="AE280" s="94" t="n"/>
      <c r="AF280" s="94" t="n"/>
      <c r="AG280" s="94" t="n"/>
      <c r="AH280" s="95" t="n"/>
      <c r="AI280" s="95" t="n"/>
      <c r="AJ280" s="95" t="n"/>
      <c r="AK280" s="95" t="n"/>
      <c r="AL280" s="95" t="n"/>
      <c r="AM280" s="95" t="n"/>
      <c r="AN280" s="95" t="n"/>
      <c r="AO280" s="95" t="n"/>
      <c r="AP280" s="95" t="n"/>
      <c r="AQ280" s="95" t="n"/>
      <c r="AR280" s="95" t="n"/>
      <c r="AS280" s="95" t="n"/>
      <c r="AT280" s="96" t="n"/>
      <c r="AU280" s="96" t="n"/>
      <c r="AV280" s="96" t="n"/>
      <c r="AW280" s="97" t="n"/>
      <c r="AX280" s="97" t="n"/>
      <c r="AY280" s="97" t="n"/>
      <c r="AZ280" s="97" t="n"/>
      <c r="BA280" s="97" t="n"/>
      <c r="BB280" s="98" t="n"/>
      <c r="BC280" s="98" t="n"/>
      <c r="BD280" s="99">
        <f>IF($A280="","",IF($DJ280&lt;&gt;"","FIX",IF($DK280&lt;&gt;"","CHECK","OK")))</f>
        <v/>
      </c>
      <c r="BE280" s="100">
        <f>IF($A280="","",IF($DJ280&lt;&gt;"","FIX: "&amp;LEFT($DJ280,LEN($DJ280)-2)&amp;IF($DK280&lt;&gt;"","  ·  ",""),"")&amp;IF($DK280&lt;&gt;"","CHECK: "&amp;LEFT($DK280,LEN($DK280)-2),""))</f>
        <v/>
      </c>
      <c r="BF280" s="99">
        <f>IF(OR($A280="",$K280=""),"",$K280&amp;"'-"&amp;N($L280)&amp;CHAR(34)&amp;" x "&amp;$M280&amp;"'-"&amp;N($N280)&amp;CHAR(34))</f>
        <v/>
      </c>
      <c r="BG280" s="99">
        <f>IF(OR($A280="",$K280=""),"",$K280&amp;N($L280)&amp;$M280&amp;N($N280))</f>
        <v/>
      </c>
      <c r="BH280" s="99">
        <f>IF(OR($A280="",$K280=""),"",$K280*12+N($L280))</f>
        <v/>
      </c>
      <c r="BI280" s="99">
        <f>IF(OR($A280="",$M280=""),"",$M280*12+N($N280))</f>
        <v/>
      </c>
      <c r="BJ280" s="99">
        <f>IF($A280="","",IF(OR($C280="FRAME ONLY",$S280="BL"),0,IF($O280="Y",2,1)))</f>
        <v/>
      </c>
      <c r="BK280" s="101">
        <f>IF(OR(N($BJ280)=0,$BH280=""),"",($BH280-2*EdgeClr-IF($BJ280=2,MeetClr,0))/$BJ280)</f>
        <v/>
      </c>
      <c r="BL280" s="101">
        <f>IF(OR(N($BJ280)=0,$BI280=""),"",$BI280-HeadClr-Undercut)</f>
        <v/>
      </c>
      <c r="BM280" s="101">
        <f>IF($BH280="","",$BH280+2*FaceW+IF(N($Q280)&gt;0,($Q280+FaceW)*IF($R280="LR",2,1),0))</f>
        <v/>
      </c>
      <c r="BN280" s="101">
        <f>IF($BI280="","",$BI280+IF($AB280="Y",4,FaceW)+IF(N($P280)&gt;0,$P280+FaceW,0)+IF(OR($S280="4F",$S280="BL"),FaceW,0))</f>
        <v/>
      </c>
      <c r="BO280" s="101">
        <f>IF($BM280="","",$BM280+2*ROSide)</f>
        <v/>
      </c>
      <c r="BP280" s="101">
        <f>IF($BN280="","",$BN280+ROTop)</f>
        <v/>
      </c>
      <c r="BQ280" s="102">
        <f>IF(OR(N($BJ280)=0,$BH280=""),"",$BH280/$BJ280-ClearDeduct)</f>
        <v/>
      </c>
      <c r="BR280" s="99">
        <f>IF(N($CH280)=0,"",IF($CH280&gt;=180,"A · 3 HR",IF($CH280&gt;=90,"B · 1-1/2 HR",IF($CH280&gt;=60,"B · 1 HR",IF($CH280&gt;=45,"C · 3/4 HR","20 MIN")))))&amp;IF(AND(N($CH280)&gt;0,OR($I280="CORRIDOR",$I280="SMOKE BARRIER"))," · S","")</f>
        <v/>
      </c>
      <c r="BS280" s="99">
        <f>IF($CS280,"",IF($AV280&lt;&gt;"",$AV280,IF(OR($AC280="HGC",$AO280="HGC"),"CONT",IF(($BI280-HeadClr-Undercut)&lt;=60,2,IF(($BI280-HeadClr-Undercut)&lt;=90,3,IF(($BI280-HeadClr-Undercut)&lt;=120,4,5))))))</f>
        <v/>
      </c>
      <c r="BT280" s="99">
        <f>IF($CS280,"",IF($CT280,"CUSTOM (typed)",IF($CV280,$AT280&amp;" "&amp;$CU280&amp;CHAR(34)&amp;IF($CU280&lt;&gt;$BI280,IF(AND($BI280&lt;$CU280,$BI280-IF(N(VLOOKUP($AT280&amp;"|"&amp;$CU280,LocTable,7,FALSE))&gt;0,VLOOKUP($AT280&amp;"|"&amp;$CU280,LocTable,7,FALSE),VLOOKUP($AT280&amp;"|"&amp;$CU280,LocTable,6,FALSE))-$CR280-0.75&gt;=2.125)," cut down"," adj."),""),"ANSI/SDI A250.6")))</f>
        <v/>
      </c>
      <c r="BU280" s="103">
        <f>IF($CS280,"",IF($CT280,IF(N($AW280)&gt;0,N($AW280),""),IF(1&gt;$CQ280,"",IF($CQ280=1,$CW280,$CW280+($CX280-$CW280)*0/($CQ280-1)))))</f>
        <v/>
      </c>
      <c r="BV280" s="103">
        <f>IF($CS280,"",IF($CT280,IF(N($AX280)&gt;0,N($AX280),""),IF(2&gt;$CQ280,"",IF($CQ280=1,$CW280,$CW280+($CX280-$CW280)*1/($CQ280-1)))))</f>
        <v/>
      </c>
      <c r="BW280" s="103">
        <f>IF($CS280,"",IF($CT280,IF(N($AY280)&gt;0,N($AY280),""),IF(3&gt;$CQ280,"",IF($CQ280=1,$CW280,$CW280+($CX280-$CW280)*2/($CQ280-1)))))</f>
        <v/>
      </c>
      <c r="BX280" s="103">
        <f>IF($CS280,"",IF($CT280,IF(N($AZ280)&gt;0,N($AZ280),""),IF(4&gt;$CQ280,"",IF($CQ280=1,$CW280,$CW280+($CX280-$CW280)*3/($CQ280-1)))))</f>
        <v/>
      </c>
      <c r="BY280" s="103">
        <f>IF($CS280,"",IF($CT280,"",IF(5&gt;$CQ280,"",IF($CQ280=1,$CW280,$CW280+($CX280-$CW280)*4/($CQ280-1)))))</f>
        <v/>
      </c>
      <c r="BZ280" s="103">
        <f>IF(OR($CS280,$AP280="-",AND($AP280="",$AD280="")),"",IF(N($BA280)&gt;0,N($BA280),IF($CV280,IF(AND($BI280&lt;$CU280,$BI280-IF(N(VLOOKUP($AT280&amp;"|"&amp;$CU280,LocTable,7,FALSE))&gt;0,VLOOKUP($AT280&amp;"|"&amp;$CU280,LocTable,7,FALSE),VLOOKUP($AT280&amp;"|"&amp;$CU280,LocTable,6,FALSE))-$CR280-0.75&gt;=2.125),VLOOKUP($AT280&amp;"|"&amp;$CU280,LocTable,8,FALSE),VLOOKUP($AT280&amp;"|"&amp;$CU280,LocTable,8,FALSE)+($BI280-$CU280)),$BI280-LockAFF)))</f>
        <v/>
      </c>
      <c r="CA280" s="104">
        <f>IF($BZ280="","",$BI280-$BZ280)</f>
        <v/>
      </c>
      <c r="CB280" s="99">
        <f>IF(OR(NOT(AND($A280&lt;&gt;"",$C280&lt;&gt;"DOOR ONLY")),$BI280=""),"",IF(($BI280+IF(N($P280)&gt;0,$P280+FaceW,0))&lt;=90,3,IF(($BI280+IF(N($P280)&gt;0,$P280+FaceW,0))&lt;=114,4,5)))</f>
        <v/>
      </c>
      <c r="CC280" s="99">
        <f>IF($CB280="","",$CB280*(2+IF(N($Q280)&gt;0,IF($R280="LR",2,1),0)))</f>
        <v/>
      </c>
      <c r="CD280" s="99">
        <f>IF($CB280="","",(2+IF(N($Q280)&gt;0,IF($R280="LR",2,1),0)))</f>
        <v/>
      </c>
      <c r="CE280" s="99">
        <f>IF(N($BJ280)=0,"",IF(OR($AL280="",$AL280="FLUSH"),"FLUSH",IFERROR(LEFT($AL280,FIND("-",$AL280)-1),LEFT($AL280,2))))</f>
        <v/>
      </c>
      <c r="CF280" s="99">
        <f>IF($CE280="","",IFERROR(VALUE(MID($AL280,FIND("-",$AL280)+1,FIND(CHAR(34)&amp;"x",$AL280)-FIND("-",$AL280)-1)),0))</f>
        <v/>
      </c>
      <c r="CG280" s="99">
        <f>IF($CE280="","",IFERROR(VALUE(MID($AL280,FIND(CHAR(34)&amp;"x",$AL280)+2,FIND(CHAR(34),$AL280,FIND(CHAR(34)&amp;"x",$AL280)+2)-FIND(CHAR(34)&amp;"x",$AL280)-2)),0))</f>
        <v/>
      </c>
      <c r="CH280" s="105">
        <f>IF(OR($A280="",$H280="",$H280="NO LAB"),0,IFERROR(VALUE(LEFT($H280,FIND(" ",$H280)-1)),0))</f>
        <v/>
      </c>
      <c r="CI280" s="106">
        <f>IF(OR($A280="",$I280="",$I280="NON-RATED",N($J280)=0),"",IFERROR(VLOOKUP($I280&amp;"|"&amp;$J280,IBC,2,FALSE),"?"))</f>
        <v/>
      </c>
      <c r="CJ280" s="100">
        <f>IF(NOT(AND($A280&lt;&gt;"",$C280&lt;&gt;"DOOR ONLY")),"",TRIM(IFERROR(VLOOKUP($U280,CODES,2,FALSE),"")&amp;" "&amp;$BG280&amp;" "&amp;IFERROR(VLOOKUP($Z280,CODES,2,FALSE),"")&amp;" "&amp;IFERROR(VLOOKUP($X280,CODES,2,FALSE),"")&amp;" "&amp;IFERROR(VLOOKUP($S280,CODES,2,FALSE),"")&amp;IF(N($P280)&gt;0," w/TRANSOM "&amp;$P280&amp;CHAR(34),"")&amp;IF(N($Q280)&gt;0," w/SIDELITE "&amp;$Q280&amp;CHAR(34)&amp;" "&amp;IF($R280="","R",$R280),"")&amp;IF($Y280="","  |  "," | "&amp;IFERROR(VLOOKUP($Y280,CODES,2,FALSE),"")&amp;" | ")&amp;IFERROR(VLOOKUP($AC280,CODES,2,FALSE),"")&amp;" "&amp;IFERROR(VLOOKUP($AD280,CODES,2,FALSE),"")&amp;IF(OR($AE280="",$AE280="-"),""," "&amp;$AE280)&amp;IF(OR($AF280="",$AF280="-"),""," "&amp;$AF280)&amp;IF($AB280="Y"," 4"&amp;CHAR(34)&amp;" HEAD","")&amp;" "&amp;IFERROR(VLOOKUP($H280,CODES,2,FALSE),"")&amp;IF($CT280," | LOC "&amp;$CY280,"")))</f>
        <v/>
      </c>
      <c r="CK280" s="100">
        <f>IF(NOT(AND($A280&lt;&gt;"",N($BJ280)&gt;0)),"",TRIM(IFERROR(VLOOKUP($AH280,CODES,2,FALSE),"")&amp;IF($AI280=""," "," "&amp;$AI280&amp;"GA ")&amp;$BG280&amp;" "&amp;IF($AN280="",IFERROR(VLOOKUP($Z280,CODES,2,FALSE),""),IFERROR(VLOOKUP($AN280,CODES,2,FALSE),""))&amp;IF($BJ280=2," PAIR","")&amp;" DOOR | "&amp;IF($AL280="","?",$AL280)&amp;" | "&amp;IF($AO280="",IFERROR(VLOOKUP($AC280,CODES,2,FALSE),""),IFERROR(VLOOKUP($AO280,CODES,2,FALSE),""))&amp;" "&amp;IFERROR(VLOOKUP($AP280,CODES,2,FALSE),"")&amp;IF(OR($AQ280="",$AQ280="-"),""," SEAM "&amp;$AQ280)&amp;IF($AR280="Y"," ASTRAGAL","")&amp;IF($AJ280=""," "," "&amp;$AJ280)&amp;IF($AK280=""," "," "&amp;$AK280)&amp;IF(OR($AT280="",$AT280="ANSI/SDI",$AT280="CUSTOM LOC"),""," "&amp;$AT280)&amp;IF($AM280=""," "," SERIES "&amp;$AM280)&amp;" "&amp;IFERROR(VLOOKUP($H280,CODES,2,FALSE),"")&amp;IF($CT280," | LOC "&amp;$CZ280,"")))</f>
        <v/>
      </c>
      <c r="CL280" s="99">
        <f>IF(CP280="","",IF(COUNTIF($CP$6:CP280,CP280)=1,MAX($CL$5:CL279)+1,INDEX($CL$5:CL279,MATCH(CP280,$CP$5:CP279,0))))</f>
        <v/>
      </c>
      <c r="CM280" s="99">
        <f>IF(NOT(AND($A280&lt;&gt;"",$C280&lt;&gt;"DOOR ONLY")),"",MAX($CM$5:CM279)+1)</f>
        <v/>
      </c>
      <c r="CN280" s="99">
        <f>IF(NOT(AND($A280&lt;&gt;"",N($BJ280)&gt;0)),"",MAX($CN$5:CN279)+1)</f>
        <v/>
      </c>
      <c r="CO280" s="99">
        <f>IF($A280="","",MAX($CO$5:CO279)+1)</f>
        <v/>
      </c>
      <c r="CP280" s="99">
        <f>IF(OR($A280="",$BH280="",$BI280=""),"",$BG280&amp;"|"&amp;$O280&amp;"|"&amp;$AL280&amp;"|"&amp;$S280&amp;"|"&amp;$P280&amp;"|"&amp;$Q280&amp;$R280&amp;"|"&amp;$C280&amp;"|"&amp;$AB280)</f>
        <v/>
      </c>
      <c r="CQ280" s="99">
        <f>N($BS280)</f>
        <v/>
      </c>
      <c r="CR280" s="99">
        <f>IF(N($AU280)&gt;0,N($AU280),4.5)</f>
        <v/>
      </c>
      <c r="CS280" s="99">
        <f>OR($A280="",$BI280="",$S280="BL",AND($C280="FRAME ONLY",OR($AC280="",$AC280="BLK")))</f>
        <v/>
      </c>
      <c r="CT280" s="99">
        <f>AND(NOT($CS280),OR($AT280="CUSTOM LOC",N($AW280)+N($AX280)+N($AY280)+N($AZ280)+N($BA280)&gt;0))</f>
        <v/>
      </c>
      <c r="CU280" s="99">
        <f>IF($BI280="","",IF($BI280&lt;=80,80,IF($BI280&lt;=84,84,96)))</f>
        <v/>
      </c>
      <c r="CV280" s="99">
        <f>ISNUMBER(MATCH($AT280&amp;"|80",LocKeys,0))</f>
        <v/>
      </c>
      <c r="CW280" s="101">
        <f>IF($CS280,"",IF($CV280,VLOOKUP($AT280&amp;"|"&amp;$CU280,LocTable,4,FALSE),5))</f>
        <v/>
      </c>
      <c r="CX280" s="101">
        <f>IF($CS280,"",IF($CV280,IF(OR($BI280=$CU280,AND($BI280&lt;$CU280,$BI280-IF(N(VLOOKUP($AT280&amp;"|"&amp;$CU280,LocTable,7,FALSE))&gt;0,VLOOKUP($AT280&amp;"|"&amp;$CU280,LocTable,7,FALSE),VLOOKUP($AT280&amp;"|"&amp;$CU280,LocTable,6,FALSE))-$CR280-0.75&gt;=2.125)),IF(N(VLOOKUP($AT280&amp;"|"&amp;$CU280,LocTable,7,FALSE))&gt;0,VLOOKUP($AT280&amp;"|"&amp;$CU280,LocTable,7,FALSE),VLOOKUP($AT280&amp;"|"&amp;$CU280,LocTable,6,FALSE)),$BI280-($CU280-IF(N(VLOOKUP($AT280&amp;"|"&amp;$CU280,LocTable,7,FALSE))&gt;0,VLOOKUP($AT280&amp;"|"&amp;$CU280,LocTable,7,FALSE),VLOOKUP($AT280&amp;"|"&amp;$CU280,LocTable,6,FALSE)))),$BI280-10-$CR280))</f>
        <v/>
      </c>
      <c r="CY280" s="100">
        <f>IF($CS280,"",TRIM(IF(ISNUMBER($BU280),"A "&amp;TRIM(TEXT($BU280,"# ?/??"))&amp;CHAR(34)&amp;"  ","")&amp;IF(ISNUMBER($BV280),"B "&amp;TRIM(TEXT($BV280,"# ?/??"))&amp;CHAR(34)&amp;"  ","")&amp;IF(ISNUMBER($BW280),"C "&amp;TRIM(TEXT($BW280,"# ?/??"))&amp;CHAR(34)&amp;"  ","")&amp;IF(ISNUMBER($BX280),"D "&amp;TRIM(TEXT($BX280,"# ?/??"))&amp;CHAR(34)&amp;"  ","")&amp;IF(ISNUMBER($BY280),"F "&amp;TRIM(TEXT($BY280,"# ?/??"))&amp;CHAR(34)&amp;"  ","")&amp;IF(ISNUMBER($BZ280),"E "&amp;TRIM(TEXT($BZ280,"# ?/??"))&amp;CHAR(34)&amp;"  ","")))</f>
        <v/>
      </c>
      <c r="CZ280" s="100">
        <f>IF(OR($CS280,N($BJ280)=0),"",TRIM(IF(ISNUMBER($BU280),"A "&amp;TRIM(TEXT($BU280-HeadClr,"# ?/??"))&amp;CHAR(34)&amp;"  ","")&amp;IF(ISNUMBER($BV280),"B "&amp;TRIM(TEXT($BV280-HeadClr,"# ?/??"))&amp;CHAR(34)&amp;"  ","")&amp;IF(ISNUMBER($BW280),"C "&amp;TRIM(TEXT($BW280-HeadClr,"# ?/??"))&amp;CHAR(34)&amp;"  ","")&amp;IF(ISNUMBER($BX280),"D "&amp;TRIM(TEXT($BX280-HeadClr,"# ?/??"))&amp;CHAR(34)&amp;"  ","")&amp;IF(ISNUMBER($BY280),"F "&amp;TRIM(TEXT($BY280-HeadClr,"# ?/??"))&amp;CHAR(34)&amp;"  ","")&amp;IF(ISNUMBER($BZ280),"E "&amp;TRIM(TEXT($BZ280-HeadClr,"# ?/??"))&amp;CHAR(34)&amp;"  ","")))</f>
        <v/>
      </c>
      <c r="DA280" s="99">
        <f>IF($A280="","",IF($AN280="",IFERROR(VLOOKUP($Z280,CODES,2,FALSE),""),IFERROR(VLOOKUP($AN280,CODES,2,FALSE),"")))</f>
        <v/>
      </c>
      <c r="DB280" s="99">
        <f>IF($A280="","",IF($O280="Y","PR",IF(OR($Z280="L",$Z280="RR",LEFT($Z280,2)="L-",LEFT($Z280,3)="RR-"),"LH","RH")))</f>
        <v/>
      </c>
      <c r="DC280" s="99">
        <f>IF($A280="","","S.HM"&amp;IF(OR($C280="DOOR ONLY",$X280&lt;&gt;"KD"),"MASONRY","DRYWALL")&amp;IF($C280="DOOR ONLY","",$U280)&amp;IF(AND($C280&lt;&gt;"FRAME ONLY",OR(LEFT($AH280,3)="OAK",LEFT($AH280,3)="BIR",LEFT($AH280,3)="MAP",$AH280="PC",$AH280="MC",$AH280="SCLC",$AH280="P-LAM")),"WD","HM")&amp;"1.75")</f>
        <v/>
      </c>
      <c r="DD280" s="99">
        <f>IF($CJ280="","",IF($O280="Y",$CJ280,SUBSTITUTE($CJ280,$BG280&amp;" "&amp;IFERROR(VLOOKUP($Z280,CODES,2,FALSE),"")&amp;" ",$BG280&amp;" ")))</f>
        <v/>
      </c>
      <c r="DE280" s="99">
        <f>IF($CK280="","",IF($O280="Y",$CK280,SUBSTITUTE($CK280,$BG280&amp;" "&amp;IF($AN280="",IFERROR(VLOOKUP($Z280,CODES,2,FALSE),""),IFERROR(VLOOKUP($AN280,CODES,2,FALSE),""))&amp;" ",$BG280&amp;" ")))</f>
        <v/>
      </c>
      <c r="DF280" s="99">
        <f>IF($CJ280="","",$DC280&amp;"|"&amp;$DD280&amp;"|"&amp;$DB280&amp;"|"&amp;$AT280&amp;"|"&amp;$V280&amp;"|"&amp;$Y280&amp;"|"&amp;$AB280)</f>
        <v/>
      </c>
      <c r="DG280" s="99">
        <f>IF(DF280="","",IF(COUNTIF($DF$6:DF280,DF280)=1,MAX($DG$5:DG279)+1,INDEX($DG$5:DG279,MATCH(DF280,$DF$5:DF279,0))))</f>
        <v/>
      </c>
      <c r="DH280" s="99">
        <f>IF($CK280="","",$DC280&amp;"|"&amp;$DE280&amp;"|"&amp;$AI280&amp;"|"&amp;$BK280&amp;"|"&amp;$BL280)</f>
        <v/>
      </c>
      <c r="DI280" s="99">
        <f>IF(DH280="","",IF(COUNTIF($DH$6:DH280,DH280)=1,MAX($DI$5:DI279)+1,INDEX($DI$5:DI279,MATCH(DH280,$DH$5:DH279,0))))</f>
        <v/>
      </c>
      <c r="DJ280" s="99">
        <f>IF($A280="","",IF($B280="","qty, ","")&amp;IF($C280="","scope, ","")&amp;IF(OR($K280="",$M280=""),"size, ","")&amp;IF(AND($A280&lt;&gt;"",$C280&lt;&gt;"DOOR ONLY"),IF($U280="","jamb depth, ","")&amp;IF($X280="","construction, ","")&amp;IF($Y280="","anchor, ","")&amp;IF($S280="","frame type, ",""),"")&amp;IF(AND(N($BJ280)&gt;0,$Z280=""),"hand, ","")&amp;IF(N($BJ280)&gt;0,IF($AH280="","door material, ","")&amp;IF($AL280="","face type, ","")&amp;IF($AP280="","lock prep, ","")&amp;IF(AND($AO280="",$AC280=""),"hinge prep, ",""),"")&amp;IF(AND($CH280&gt;0,$AH280="FRP"),"FRP cannot carry a label, ","")&amp;IF(AND($O280="Y",OR($Z280="L",$Z280="R",$Z280="LR",$Z280="RR")),"pair marked but hand is single, ","")&amp;IF(AND($O280&lt;&gt;"Y",OR($Z280="PR",AND(LEN($Z280)&gt;1,ISNUMBER(SEARCH("-",$Z280))))),"pair hand on a single door, ","")&amp;IF(AND(ISNUMBER($CI280),$CH280&lt;N($CI280)),"wall needs a "&amp;$CI280&amp;" min door, ","")&amp;IF(AND($CH280&gt;=180,AND(OR($CE280="FG",$CE280="HG",$CE280="FNV",$CE280="FV"),N($CF280)*N($CG280)&gt;100)),"180 min lite over 100 sq in, ","")&amp;IF(N($BK280)&gt;48,"leaf wider than 4'-0"&amp;CHAR(34)&amp;", ","")&amp;IF(AND($CT280,COUNT($AW280:$AZ280)=0,$CQ280&gt;0),"CUSTOM LOC with no locations typed, ",""))</f>
        <v/>
      </c>
      <c r="DK280" s="99">
        <f>IF($A280="","",IF(AND($CH280&gt;0,AND($A280&lt;&gt;"",$C280&lt;&gt;"DOOR ONLY"),$X280="KD",$E280="EXTERIOR"),"KD label on an exterior opening, ","")&amp;IF(AND($E280="EXTERIOR",OR(AND(AND($A280&lt;&gt;"",$C280&lt;&gt;"DOOR ONLY"),$W280="CR"),AND(N($BJ280)&gt;0,$AH280="CR"))),"exterior in CR steel (G9?), ","")&amp;IF(AND(ISNUMBER($BQ280),N($BQ280)&lt;32),"clear width ~"&amp;TEXT($BQ280,"0.0")&amp;CHAR(34)&amp;" under 32"&amp;CHAR(34)&amp;" (ADA), ","")&amp;IF(AND($CH280=90,AND(OR($CE280="FG",$CE280="HG",$CE280="FNV",$CE280="FV"),N($CF280)*N($CG280)&gt;100)),"90 min lite over 100 sq in (stair/exit), ","")&amp;IF(AND($CH280&gt;0,AND($A280&lt;&gt;"",$C280&lt;&gt;"DOOR ONLY"),OR($AF280="",$AF280="-")),"rated: closer reinf.?, ","")&amp;IF(OR($I280="CORRIDOR",$I280="SMOKE BARRIER"),"S label + smoke gasketing, ","")&amp;IF($CI280="?","wall type/hr not in IBC table, ","")&amp;IF(AND(N($BJ280)&gt;0,$BB280=""),"no hardware set, ","")&amp;IF(AND($BB280&lt;&gt;"",ISNA(MATCH($BB280&amp;"",HWSets,0))),"set "&amp;$BB280&amp;" not on HW Sets, ","")&amp;IF(N($BL280)&gt;96,"leaf over 8'-0"&amp;CHAR(34)&amp;" - check listing, ","")&amp;IF(AND($CT280,COUNT($AW280:$AZ280)&gt;0,COUNT($AW280:$AZ280)&lt;&gt;$CQ280),COUNT($AW280:$AZ280)&amp;" custom hinges typed, "&amp;$CQ280&amp;" expected, ","")&amp;IF(AND(ISNUMBER($CA280),OR(N($CA280)&lt;34,N($CA280)&gt;48)),"lock "&amp;TEXT($CA280,"0.0")&amp;CHAR(34)&amp;" AFF outside 34-48"&amp;CHAR(34)&amp;" (ADA), ","")&amp;IF(AND(ISNUMBER($AV280),ISNUMBER($BL280),N($AV280)&lt;IF(N($BL280)&lt;=60,2,IF(N($BL280)&lt;=90,3,IF(N($BL280)&lt;=120,4,5)))),"fewer hinges than standard, ",""))</f>
        <v/>
      </c>
    </row>
    <row r="281" ht="15" customHeight="1">
      <c r="A281" s="77" t="n"/>
      <c r="B281" s="78" t="n"/>
      <c r="C281" s="78" t="n"/>
      <c r="D281" s="78" t="n"/>
      <c r="E281" s="78" t="n"/>
      <c r="F281" s="78" t="n"/>
      <c r="G281" s="78" t="n"/>
      <c r="H281" s="78" t="n"/>
      <c r="I281" s="78" t="n"/>
      <c r="J281" s="78" t="n"/>
      <c r="K281" s="78" t="n"/>
      <c r="L281" s="78" t="n"/>
      <c r="M281" s="78" t="n"/>
      <c r="N281" s="78" t="n"/>
      <c r="O281" s="78" t="n"/>
      <c r="P281" s="78" t="n"/>
      <c r="Q281" s="78" t="n"/>
      <c r="R281" s="78" t="n"/>
      <c r="S281" s="79" t="n"/>
      <c r="T281" s="79" t="n"/>
      <c r="U281" s="79" t="n"/>
      <c r="V281" s="79" t="n"/>
      <c r="W281" s="79" t="n"/>
      <c r="X281" s="79" t="n"/>
      <c r="Y281" s="79" t="n"/>
      <c r="Z281" s="79" t="n"/>
      <c r="AA281" s="79" t="n"/>
      <c r="AB281" s="79" t="n"/>
      <c r="AC281" s="79" t="n"/>
      <c r="AD281" s="79" t="n"/>
      <c r="AE281" s="79" t="n"/>
      <c r="AF281" s="79" t="n"/>
      <c r="AG281" s="79" t="n"/>
      <c r="AH281" s="80" t="n"/>
      <c r="AI281" s="80" t="n"/>
      <c r="AJ281" s="80" t="n"/>
      <c r="AK281" s="80" t="n"/>
      <c r="AL281" s="80" t="n"/>
      <c r="AM281" s="80" t="n"/>
      <c r="AN281" s="80" t="n"/>
      <c r="AO281" s="80" t="n"/>
      <c r="AP281" s="80" t="n"/>
      <c r="AQ281" s="80" t="n"/>
      <c r="AR281" s="80" t="n"/>
      <c r="AS281" s="80" t="n"/>
      <c r="AT281" s="81" t="n"/>
      <c r="AU281" s="81" t="n"/>
      <c r="AV281" s="81" t="n"/>
      <c r="AW281" s="82" t="n"/>
      <c r="AX281" s="82" t="n"/>
      <c r="AY281" s="82" t="n"/>
      <c r="AZ281" s="82" t="n"/>
      <c r="BA281" s="82" t="n"/>
      <c r="BB281" s="83" t="n"/>
      <c r="BC281" s="83" t="n"/>
      <c r="BD281" s="84">
        <f>IF($A281="","",IF($DJ281&lt;&gt;"","FIX",IF($DK281&lt;&gt;"","CHECK","OK")))</f>
        <v/>
      </c>
      <c r="BE281" s="85">
        <f>IF($A281="","",IF($DJ281&lt;&gt;"","FIX: "&amp;LEFT($DJ281,LEN($DJ281)-2)&amp;IF($DK281&lt;&gt;"","  ·  ",""),"")&amp;IF($DK281&lt;&gt;"","CHECK: "&amp;LEFT($DK281,LEN($DK281)-2),""))</f>
        <v/>
      </c>
      <c r="BF281" s="84">
        <f>IF(OR($A281="",$K281=""),"",$K281&amp;"'-"&amp;N($L281)&amp;CHAR(34)&amp;" x "&amp;$M281&amp;"'-"&amp;N($N281)&amp;CHAR(34))</f>
        <v/>
      </c>
      <c r="BG281" s="84">
        <f>IF(OR($A281="",$K281=""),"",$K281&amp;N($L281)&amp;$M281&amp;N($N281))</f>
        <v/>
      </c>
      <c r="BH281" s="84">
        <f>IF(OR($A281="",$K281=""),"",$K281*12+N($L281))</f>
        <v/>
      </c>
      <c r="BI281" s="84">
        <f>IF(OR($A281="",$M281=""),"",$M281*12+N($N281))</f>
        <v/>
      </c>
      <c r="BJ281" s="84">
        <f>IF($A281="","",IF(OR($C281="FRAME ONLY",$S281="BL"),0,IF($O281="Y",2,1)))</f>
        <v/>
      </c>
      <c r="BK281" s="86">
        <f>IF(OR(N($BJ281)=0,$BH281=""),"",($BH281-2*EdgeClr-IF($BJ281=2,MeetClr,0))/$BJ281)</f>
        <v/>
      </c>
      <c r="BL281" s="86">
        <f>IF(OR(N($BJ281)=0,$BI281=""),"",$BI281-HeadClr-Undercut)</f>
        <v/>
      </c>
      <c r="BM281" s="86">
        <f>IF($BH281="","",$BH281+2*FaceW+IF(N($Q281)&gt;0,($Q281+FaceW)*IF($R281="LR",2,1),0))</f>
        <v/>
      </c>
      <c r="BN281" s="86">
        <f>IF($BI281="","",$BI281+IF($AB281="Y",4,FaceW)+IF(N($P281)&gt;0,$P281+FaceW,0)+IF(OR($S281="4F",$S281="BL"),FaceW,0))</f>
        <v/>
      </c>
      <c r="BO281" s="86">
        <f>IF($BM281="","",$BM281+2*ROSide)</f>
        <v/>
      </c>
      <c r="BP281" s="86">
        <f>IF($BN281="","",$BN281+ROTop)</f>
        <v/>
      </c>
      <c r="BQ281" s="87">
        <f>IF(OR(N($BJ281)=0,$BH281=""),"",$BH281/$BJ281-ClearDeduct)</f>
        <v/>
      </c>
      <c r="BR281" s="84">
        <f>IF(N($CH281)=0,"",IF($CH281&gt;=180,"A · 3 HR",IF($CH281&gt;=90,"B · 1-1/2 HR",IF($CH281&gt;=60,"B · 1 HR",IF($CH281&gt;=45,"C · 3/4 HR","20 MIN")))))&amp;IF(AND(N($CH281)&gt;0,OR($I281="CORRIDOR",$I281="SMOKE BARRIER"))," · S","")</f>
        <v/>
      </c>
      <c r="BS281" s="84">
        <f>IF($CS281,"",IF($AV281&lt;&gt;"",$AV281,IF(OR($AC281="HGC",$AO281="HGC"),"CONT",IF(($BI281-HeadClr-Undercut)&lt;=60,2,IF(($BI281-HeadClr-Undercut)&lt;=90,3,IF(($BI281-HeadClr-Undercut)&lt;=120,4,5))))))</f>
        <v/>
      </c>
      <c r="BT281" s="84">
        <f>IF($CS281,"",IF($CT281,"CUSTOM (typed)",IF($CV281,$AT281&amp;" "&amp;$CU281&amp;CHAR(34)&amp;IF($CU281&lt;&gt;$BI281,IF(AND($BI281&lt;$CU281,$BI281-IF(N(VLOOKUP($AT281&amp;"|"&amp;$CU281,LocTable,7,FALSE))&gt;0,VLOOKUP($AT281&amp;"|"&amp;$CU281,LocTable,7,FALSE),VLOOKUP($AT281&amp;"|"&amp;$CU281,LocTable,6,FALSE))-$CR281-0.75&gt;=2.125)," cut down"," adj."),""),"ANSI/SDI A250.6")))</f>
        <v/>
      </c>
      <c r="BU281" s="88">
        <f>IF($CS281,"",IF($CT281,IF(N($AW281)&gt;0,N($AW281),""),IF(1&gt;$CQ281,"",IF($CQ281=1,$CW281,$CW281+($CX281-$CW281)*0/($CQ281-1)))))</f>
        <v/>
      </c>
      <c r="BV281" s="88">
        <f>IF($CS281,"",IF($CT281,IF(N($AX281)&gt;0,N($AX281),""),IF(2&gt;$CQ281,"",IF($CQ281=1,$CW281,$CW281+($CX281-$CW281)*1/($CQ281-1)))))</f>
        <v/>
      </c>
      <c r="BW281" s="88">
        <f>IF($CS281,"",IF($CT281,IF(N($AY281)&gt;0,N($AY281),""),IF(3&gt;$CQ281,"",IF($CQ281=1,$CW281,$CW281+($CX281-$CW281)*2/($CQ281-1)))))</f>
        <v/>
      </c>
      <c r="BX281" s="88">
        <f>IF($CS281,"",IF($CT281,IF(N($AZ281)&gt;0,N($AZ281),""),IF(4&gt;$CQ281,"",IF($CQ281=1,$CW281,$CW281+($CX281-$CW281)*3/($CQ281-1)))))</f>
        <v/>
      </c>
      <c r="BY281" s="88">
        <f>IF($CS281,"",IF($CT281,"",IF(5&gt;$CQ281,"",IF($CQ281=1,$CW281,$CW281+($CX281-$CW281)*4/($CQ281-1)))))</f>
        <v/>
      </c>
      <c r="BZ281" s="88">
        <f>IF(OR($CS281,$AP281="-",AND($AP281="",$AD281="")),"",IF(N($BA281)&gt;0,N($BA281),IF($CV281,IF(AND($BI281&lt;$CU281,$BI281-IF(N(VLOOKUP($AT281&amp;"|"&amp;$CU281,LocTable,7,FALSE))&gt;0,VLOOKUP($AT281&amp;"|"&amp;$CU281,LocTable,7,FALSE),VLOOKUP($AT281&amp;"|"&amp;$CU281,LocTable,6,FALSE))-$CR281-0.75&gt;=2.125),VLOOKUP($AT281&amp;"|"&amp;$CU281,LocTable,8,FALSE),VLOOKUP($AT281&amp;"|"&amp;$CU281,LocTable,8,FALSE)+($BI281-$CU281)),$BI281-LockAFF)))</f>
        <v/>
      </c>
      <c r="CA281" s="89">
        <f>IF($BZ281="","",$BI281-$BZ281)</f>
        <v/>
      </c>
      <c r="CB281" s="84">
        <f>IF(OR(NOT(AND($A281&lt;&gt;"",$C281&lt;&gt;"DOOR ONLY")),$BI281=""),"",IF(($BI281+IF(N($P281)&gt;0,$P281+FaceW,0))&lt;=90,3,IF(($BI281+IF(N($P281)&gt;0,$P281+FaceW,0))&lt;=114,4,5)))</f>
        <v/>
      </c>
      <c r="CC281" s="84">
        <f>IF($CB281="","",$CB281*(2+IF(N($Q281)&gt;0,IF($R281="LR",2,1),0)))</f>
        <v/>
      </c>
      <c r="CD281" s="84">
        <f>IF($CB281="","",(2+IF(N($Q281)&gt;0,IF($R281="LR",2,1),0)))</f>
        <v/>
      </c>
      <c r="CE281" s="84">
        <f>IF(N($BJ281)=0,"",IF(OR($AL281="",$AL281="FLUSH"),"FLUSH",IFERROR(LEFT($AL281,FIND("-",$AL281)-1),LEFT($AL281,2))))</f>
        <v/>
      </c>
      <c r="CF281" s="84">
        <f>IF($CE281="","",IFERROR(VALUE(MID($AL281,FIND("-",$AL281)+1,FIND(CHAR(34)&amp;"x",$AL281)-FIND("-",$AL281)-1)),0))</f>
        <v/>
      </c>
      <c r="CG281" s="84">
        <f>IF($CE281="","",IFERROR(VALUE(MID($AL281,FIND(CHAR(34)&amp;"x",$AL281)+2,FIND(CHAR(34),$AL281,FIND(CHAR(34)&amp;"x",$AL281)+2)-FIND(CHAR(34)&amp;"x",$AL281)-2)),0))</f>
        <v/>
      </c>
      <c r="CH281" s="90">
        <f>IF(OR($A281="",$H281="",$H281="NO LAB"),0,IFERROR(VALUE(LEFT($H281,FIND(" ",$H281)-1)),0))</f>
        <v/>
      </c>
      <c r="CI281" s="91">
        <f>IF(OR($A281="",$I281="",$I281="NON-RATED",N($J281)=0),"",IFERROR(VLOOKUP($I281&amp;"|"&amp;$J281,IBC,2,FALSE),"?"))</f>
        <v/>
      </c>
      <c r="CJ281" s="85">
        <f>IF(NOT(AND($A281&lt;&gt;"",$C281&lt;&gt;"DOOR ONLY")),"",TRIM(IFERROR(VLOOKUP($U281,CODES,2,FALSE),"")&amp;" "&amp;$BG281&amp;" "&amp;IFERROR(VLOOKUP($Z281,CODES,2,FALSE),"")&amp;" "&amp;IFERROR(VLOOKUP($X281,CODES,2,FALSE),"")&amp;" "&amp;IFERROR(VLOOKUP($S281,CODES,2,FALSE),"")&amp;IF(N($P281)&gt;0," w/TRANSOM "&amp;$P281&amp;CHAR(34),"")&amp;IF(N($Q281)&gt;0," w/SIDELITE "&amp;$Q281&amp;CHAR(34)&amp;" "&amp;IF($R281="","R",$R281),"")&amp;IF($Y281="","  |  "," | "&amp;IFERROR(VLOOKUP($Y281,CODES,2,FALSE),"")&amp;" | ")&amp;IFERROR(VLOOKUP($AC281,CODES,2,FALSE),"")&amp;" "&amp;IFERROR(VLOOKUP($AD281,CODES,2,FALSE),"")&amp;IF(OR($AE281="",$AE281="-"),""," "&amp;$AE281)&amp;IF(OR($AF281="",$AF281="-"),""," "&amp;$AF281)&amp;IF($AB281="Y"," 4"&amp;CHAR(34)&amp;" HEAD","")&amp;" "&amp;IFERROR(VLOOKUP($H281,CODES,2,FALSE),"")&amp;IF($CT281," | LOC "&amp;$CY281,"")))</f>
        <v/>
      </c>
      <c r="CK281" s="85">
        <f>IF(NOT(AND($A281&lt;&gt;"",N($BJ281)&gt;0)),"",TRIM(IFERROR(VLOOKUP($AH281,CODES,2,FALSE),"")&amp;IF($AI281=""," "," "&amp;$AI281&amp;"GA ")&amp;$BG281&amp;" "&amp;IF($AN281="",IFERROR(VLOOKUP($Z281,CODES,2,FALSE),""),IFERROR(VLOOKUP($AN281,CODES,2,FALSE),""))&amp;IF($BJ281=2," PAIR","")&amp;" DOOR | "&amp;IF($AL281="","?",$AL281)&amp;" | "&amp;IF($AO281="",IFERROR(VLOOKUP($AC281,CODES,2,FALSE),""),IFERROR(VLOOKUP($AO281,CODES,2,FALSE),""))&amp;" "&amp;IFERROR(VLOOKUP($AP281,CODES,2,FALSE),"")&amp;IF(OR($AQ281="",$AQ281="-"),""," SEAM "&amp;$AQ281)&amp;IF($AR281="Y"," ASTRAGAL","")&amp;IF($AJ281=""," "," "&amp;$AJ281)&amp;IF($AK281=""," "," "&amp;$AK281)&amp;IF(OR($AT281="",$AT281="ANSI/SDI",$AT281="CUSTOM LOC"),""," "&amp;$AT281)&amp;IF($AM281=""," "," SERIES "&amp;$AM281)&amp;" "&amp;IFERROR(VLOOKUP($H281,CODES,2,FALSE),"")&amp;IF($CT281," | LOC "&amp;$CZ281,"")))</f>
        <v/>
      </c>
      <c r="CL281" s="84">
        <f>IF(CP281="","",IF(COUNTIF($CP$6:CP281,CP281)=1,MAX($CL$5:CL280)+1,INDEX($CL$5:CL280,MATCH(CP281,$CP$5:CP280,0))))</f>
        <v/>
      </c>
      <c r="CM281" s="84">
        <f>IF(NOT(AND($A281&lt;&gt;"",$C281&lt;&gt;"DOOR ONLY")),"",MAX($CM$5:CM280)+1)</f>
        <v/>
      </c>
      <c r="CN281" s="84">
        <f>IF(NOT(AND($A281&lt;&gt;"",N($BJ281)&gt;0)),"",MAX($CN$5:CN280)+1)</f>
        <v/>
      </c>
      <c r="CO281" s="84">
        <f>IF($A281="","",MAX($CO$5:CO280)+1)</f>
        <v/>
      </c>
      <c r="CP281" s="84">
        <f>IF(OR($A281="",$BH281="",$BI281=""),"",$BG281&amp;"|"&amp;$O281&amp;"|"&amp;$AL281&amp;"|"&amp;$S281&amp;"|"&amp;$P281&amp;"|"&amp;$Q281&amp;$R281&amp;"|"&amp;$C281&amp;"|"&amp;$AB281)</f>
        <v/>
      </c>
      <c r="CQ281" s="84">
        <f>N($BS281)</f>
        <v/>
      </c>
      <c r="CR281" s="84">
        <f>IF(N($AU281)&gt;0,N($AU281),4.5)</f>
        <v/>
      </c>
      <c r="CS281" s="84">
        <f>OR($A281="",$BI281="",$S281="BL",AND($C281="FRAME ONLY",OR($AC281="",$AC281="BLK")))</f>
        <v/>
      </c>
      <c r="CT281" s="84">
        <f>AND(NOT($CS281),OR($AT281="CUSTOM LOC",N($AW281)+N($AX281)+N($AY281)+N($AZ281)+N($BA281)&gt;0))</f>
        <v/>
      </c>
      <c r="CU281" s="84">
        <f>IF($BI281="","",IF($BI281&lt;=80,80,IF($BI281&lt;=84,84,96)))</f>
        <v/>
      </c>
      <c r="CV281" s="84">
        <f>ISNUMBER(MATCH($AT281&amp;"|80",LocKeys,0))</f>
        <v/>
      </c>
      <c r="CW281" s="86">
        <f>IF($CS281,"",IF($CV281,VLOOKUP($AT281&amp;"|"&amp;$CU281,LocTable,4,FALSE),5))</f>
        <v/>
      </c>
      <c r="CX281" s="86">
        <f>IF($CS281,"",IF($CV281,IF(OR($BI281=$CU281,AND($BI281&lt;$CU281,$BI281-IF(N(VLOOKUP($AT281&amp;"|"&amp;$CU281,LocTable,7,FALSE))&gt;0,VLOOKUP($AT281&amp;"|"&amp;$CU281,LocTable,7,FALSE),VLOOKUP($AT281&amp;"|"&amp;$CU281,LocTable,6,FALSE))-$CR281-0.75&gt;=2.125)),IF(N(VLOOKUP($AT281&amp;"|"&amp;$CU281,LocTable,7,FALSE))&gt;0,VLOOKUP($AT281&amp;"|"&amp;$CU281,LocTable,7,FALSE),VLOOKUP($AT281&amp;"|"&amp;$CU281,LocTable,6,FALSE)),$BI281-($CU281-IF(N(VLOOKUP($AT281&amp;"|"&amp;$CU281,LocTable,7,FALSE))&gt;0,VLOOKUP($AT281&amp;"|"&amp;$CU281,LocTable,7,FALSE),VLOOKUP($AT281&amp;"|"&amp;$CU281,LocTable,6,FALSE)))),$BI281-10-$CR281))</f>
        <v/>
      </c>
      <c r="CY281" s="85">
        <f>IF($CS281,"",TRIM(IF(ISNUMBER($BU281),"A "&amp;TRIM(TEXT($BU281,"# ?/??"))&amp;CHAR(34)&amp;"  ","")&amp;IF(ISNUMBER($BV281),"B "&amp;TRIM(TEXT($BV281,"# ?/??"))&amp;CHAR(34)&amp;"  ","")&amp;IF(ISNUMBER($BW281),"C "&amp;TRIM(TEXT($BW281,"# ?/??"))&amp;CHAR(34)&amp;"  ","")&amp;IF(ISNUMBER($BX281),"D "&amp;TRIM(TEXT($BX281,"# ?/??"))&amp;CHAR(34)&amp;"  ","")&amp;IF(ISNUMBER($BY281),"F "&amp;TRIM(TEXT($BY281,"# ?/??"))&amp;CHAR(34)&amp;"  ","")&amp;IF(ISNUMBER($BZ281),"E "&amp;TRIM(TEXT($BZ281,"# ?/??"))&amp;CHAR(34)&amp;"  ","")))</f>
        <v/>
      </c>
      <c r="CZ281" s="85">
        <f>IF(OR($CS281,N($BJ281)=0),"",TRIM(IF(ISNUMBER($BU281),"A "&amp;TRIM(TEXT($BU281-HeadClr,"# ?/??"))&amp;CHAR(34)&amp;"  ","")&amp;IF(ISNUMBER($BV281),"B "&amp;TRIM(TEXT($BV281-HeadClr,"# ?/??"))&amp;CHAR(34)&amp;"  ","")&amp;IF(ISNUMBER($BW281),"C "&amp;TRIM(TEXT($BW281-HeadClr,"# ?/??"))&amp;CHAR(34)&amp;"  ","")&amp;IF(ISNUMBER($BX281),"D "&amp;TRIM(TEXT($BX281-HeadClr,"# ?/??"))&amp;CHAR(34)&amp;"  ","")&amp;IF(ISNUMBER($BY281),"F "&amp;TRIM(TEXT($BY281-HeadClr,"# ?/??"))&amp;CHAR(34)&amp;"  ","")&amp;IF(ISNUMBER($BZ281),"E "&amp;TRIM(TEXT($BZ281-HeadClr,"# ?/??"))&amp;CHAR(34)&amp;"  ","")))</f>
        <v/>
      </c>
      <c r="DA281" s="84">
        <f>IF($A281="","",IF($AN281="",IFERROR(VLOOKUP($Z281,CODES,2,FALSE),""),IFERROR(VLOOKUP($AN281,CODES,2,FALSE),"")))</f>
        <v/>
      </c>
      <c r="DB281" s="84">
        <f>IF($A281="","",IF($O281="Y","PR",IF(OR($Z281="L",$Z281="RR",LEFT($Z281,2)="L-",LEFT($Z281,3)="RR-"),"LH","RH")))</f>
        <v/>
      </c>
      <c r="DC281" s="84">
        <f>IF($A281="","","S.HM"&amp;IF(OR($C281="DOOR ONLY",$X281&lt;&gt;"KD"),"MASONRY","DRYWALL")&amp;IF($C281="DOOR ONLY","",$U281)&amp;IF(AND($C281&lt;&gt;"FRAME ONLY",OR(LEFT($AH281,3)="OAK",LEFT($AH281,3)="BIR",LEFT($AH281,3)="MAP",$AH281="PC",$AH281="MC",$AH281="SCLC",$AH281="P-LAM")),"WD","HM")&amp;"1.75")</f>
        <v/>
      </c>
      <c r="DD281" s="84">
        <f>IF($CJ281="","",IF($O281="Y",$CJ281,SUBSTITUTE($CJ281,$BG281&amp;" "&amp;IFERROR(VLOOKUP($Z281,CODES,2,FALSE),"")&amp;" ",$BG281&amp;" ")))</f>
        <v/>
      </c>
      <c r="DE281" s="84">
        <f>IF($CK281="","",IF($O281="Y",$CK281,SUBSTITUTE($CK281,$BG281&amp;" "&amp;IF($AN281="",IFERROR(VLOOKUP($Z281,CODES,2,FALSE),""),IFERROR(VLOOKUP($AN281,CODES,2,FALSE),""))&amp;" ",$BG281&amp;" ")))</f>
        <v/>
      </c>
      <c r="DF281" s="84">
        <f>IF($CJ281="","",$DC281&amp;"|"&amp;$DD281&amp;"|"&amp;$DB281&amp;"|"&amp;$AT281&amp;"|"&amp;$V281&amp;"|"&amp;$Y281&amp;"|"&amp;$AB281)</f>
        <v/>
      </c>
      <c r="DG281" s="84">
        <f>IF(DF281="","",IF(COUNTIF($DF$6:DF281,DF281)=1,MAX($DG$5:DG280)+1,INDEX($DG$5:DG280,MATCH(DF281,$DF$5:DF280,0))))</f>
        <v/>
      </c>
      <c r="DH281" s="84">
        <f>IF($CK281="","",$DC281&amp;"|"&amp;$DE281&amp;"|"&amp;$AI281&amp;"|"&amp;$BK281&amp;"|"&amp;$BL281)</f>
        <v/>
      </c>
      <c r="DI281" s="84">
        <f>IF(DH281="","",IF(COUNTIF($DH$6:DH281,DH281)=1,MAX($DI$5:DI280)+1,INDEX($DI$5:DI280,MATCH(DH281,$DH$5:DH280,0))))</f>
        <v/>
      </c>
      <c r="DJ281" s="84">
        <f>IF($A281="","",IF($B281="","qty, ","")&amp;IF($C281="","scope, ","")&amp;IF(OR($K281="",$M281=""),"size, ","")&amp;IF(AND($A281&lt;&gt;"",$C281&lt;&gt;"DOOR ONLY"),IF($U281="","jamb depth, ","")&amp;IF($X281="","construction, ","")&amp;IF($Y281="","anchor, ","")&amp;IF($S281="","frame type, ",""),"")&amp;IF(AND(N($BJ281)&gt;0,$Z281=""),"hand, ","")&amp;IF(N($BJ281)&gt;0,IF($AH281="","door material, ","")&amp;IF($AL281="","face type, ","")&amp;IF($AP281="","lock prep, ","")&amp;IF(AND($AO281="",$AC281=""),"hinge prep, ",""),"")&amp;IF(AND($CH281&gt;0,$AH281="FRP"),"FRP cannot carry a label, ","")&amp;IF(AND($O281="Y",OR($Z281="L",$Z281="R",$Z281="LR",$Z281="RR")),"pair marked but hand is single, ","")&amp;IF(AND($O281&lt;&gt;"Y",OR($Z281="PR",AND(LEN($Z281)&gt;1,ISNUMBER(SEARCH("-",$Z281))))),"pair hand on a single door, ","")&amp;IF(AND(ISNUMBER($CI281),$CH281&lt;N($CI281)),"wall needs a "&amp;$CI281&amp;" min door, ","")&amp;IF(AND($CH281&gt;=180,AND(OR($CE281="FG",$CE281="HG",$CE281="FNV",$CE281="FV"),N($CF281)*N($CG281)&gt;100)),"180 min lite over 100 sq in, ","")&amp;IF(N($BK281)&gt;48,"leaf wider than 4'-0"&amp;CHAR(34)&amp;", ","")&amp;IF(AND($CT281,COUNT($AW281:$AZ281)=0,$CQ281&gt;0),"CUSTOM LOC with no locations typed, ",""))</f>
        <v/>
      </c>
      <c r="DK281" s="84">
        <f>IF($A281="","",IF(AND($CH281&gt;0,AND($A281&lt;&gt;"",$C281&lt;&gt;"DOOR ONLY"),$X281="KD",$E281="EXTERIOR"),"KD label on an exterior opening, ","")&amp;IF(AND($E281="EXTERIOR",OR(AND(AND($A281&lt;&gt;"",$C281&lt;&gt;"DOOR ONLY"),$W281="CR"),AND(N($BJ281)&gt;0,$AH281="CR"))),"exterior in CR steel (G9?), ","")&amp;IF(AND(ISNUMBER($BQ281),N($BQ281)&lt;32),"clear width ~"&amp;TEXT($BQ281,"0.0")&amp;CHAR(34)&amp;" under 32"&amp;CHAR(34)&amp;" (ADA), ","")&amp;IF(AND($CH281=90,AND(OR($CE281="FG",$CE281="HG",$CE281="FNV",$CE281="FV"),N($CF281)*N($CG281)&gt;100)),"90 min lite over 100 sq in (stair/exit), ","")&amp;IF(AND($CH281&gt;0,AND($A281&lt;&gt;"",$C281&lt;&gt;"DOOR ONLY"),OR($AF281="",$AF281="-")),"rated: closer reinf.?, ","")&amp;IF(OR($I281="CORRIDOR",$I281="SMOKE BARRIER"),"S label + smoke gasketing, ","")&amp;IF($CI281="?","wall type/hr not in IBC table, ","")&amp;IF(AND(N($BJ281)&gt;0,$BB281=""),"no hardware set, ","")&amp;IF(AND($BB281&lt;&gt;"",ISNA(MATCH($BB281&amp;"",HWSets,0))),"set "&amp;$BB281&amp;" not on HW Sets, ","")&amp;IF(N($BL281)&gt;96,"leaf over 8'-0"&amp;CHAR(34)&amp;" - check listing, ","")&amp;IF(AND($CT281,COUNT($AW281:$AZ281)&gt;0,COUNT($AW281:$AZ281)&lt;&gt;$CQ281),COUNT($AW281:$AZ281)&amp;" custom hinges typed, "&amp;$CQ281&amp;" expected, ","")&amp;IF(AND(ISNUMBER($CA281),OR(N($CA281)&lt;34,N($CA281)&gt;48)),"lock "&amp;TEXT($CA281,"0.0")&amp;CHAR(34)&amp;" AFF outside 34-48"&amp;CHAR(34)&amp;" (ADA), ","")&amp;IF(AND(ISNUMBER($AV281),ISNUMBER($BL281),N($AV281)&lt;IF(N($BL281)&lt;=60,2,IF(N($BL281)&lt;=90,3,IF(N($BL281)&lt;=120,4,5)))),"fewer hinges than standard, ",""))</f>
        <v/>
      </c>
    </row>
    <row r="282" ht="15" customHeight="1">
      <c r="A282" s="77" t="n"/>
      <c r="B282" s="78" t="n"/>
      <c r="C282" s="78" t="n"/>
      <c r="D282" s="78" t="n"/>
      <c r="E282" s="78" t="n"/>
      <c r="F282" s="78" t="n"/>
      <c r="G282" s="78" t="n"/>
      <c r="H282" s="78" t="n"/>
      <c r="I282" s="78" t="n"/>
      <c r="J282" s="78" t="n"/>
      <c r="K282" s="78" t="n"/>
      <c r="L282" s="78" t="n"/>
      <c r="M282" s="78" t="n"/>
      <c r="N282" s="78" t="n"/>
      <c r="O282" s="78" t="n"/>
      <c r="P282" s="78" t="n"/>
      <c r="Q282" s="78" t="n"/>
      <c r="R282" s="78" t="n"/>
      <c r="S282" s="79" t="n"/>
      <c r="T282" s="79" t="n"/>
      <c r="U282" s="79" t="n"/>
      <c r="V282" s="79" t="n"/>
      <c r="W282" s="79" t="n"/>
      <c r="X282" s="79" t="n"/>
      <c r="Y282" s="79" t="n"/>
      <c r="Z282" s="79" t="n"/>
      <c r="AA282" s="79" t="n"/>
      <c r="AB282" s="79" t="n"/>
      <c r="AC282" s="79" t="n"/>
      <c r="AD282" s="79" t="n"/>
      <c r="AE282" s="79" t="n"/>
      <c r="AF282" s="79" t="n"/>
      <c r="AG282" s="79" t="n"/>
      <c r="AH282" s="80" t="n"/>
      <c r="AI282" s="80" t="n"/>
      <c r="AJ282" s="80" t="n"/>
      <c r="AK282" s="80" t="n"/>
      <c r="AL282" s="80" t="n"/>
      <c r="AM282" s="80" t="n"/>
      <c r="AN282" s="80" t="n"/>
      <c r="AO282" s="80" t="n"/>
      <c r="AP282" s="80" t="n"/>
      <c r="AQ282" s="80" t="n"/>
      <c r="AR282" s="80" t="n"/>
      <c r="AS282" s="80" t="n"/>
      <c r="AT282" s="81" t="n"/>
      <c r="AU282" s="81" t="n"/>
      <c r="AV282" s="81" t="n"/>
      <c r="AW282" s="82" t="n"/>
      <c r="AX282" s="82" t="n"/>
      <c r="AY282" s="82" t="n"/>
      <c r="AZ282" s="82" t="n"/>
      <c r="BA282" s="82" t="n"/>
      <c r="BB282" s="83" t="n"/>
      <c r="BC282" s="83" t="n"/>
      <c r="BD282" s="84">
        <f>IF($A282="","",IF($DJ282&lt;&gt;"","FIX",IF($DK282&lt;&gt;"","CHECK","OK")))</f>
        <v/>
      </c>
      <c r="BE282" s="85">
        <f>IF($A282="","",IF($DJ282&lt;&gt;"","FIX: "&amp;LEFT($DJ282,LEN($DJ282)-2)&amp;IF($DK282&lt;&gt;"","  ·  ",""),"")&amp;IF($DK282&lt;&gt;"","CHECK: "&amp;LEFT($DK282,LEN($DK282)-2),""))</f>
        <v/>
      </c>
      <c r="BF282" s="84">
        <f>IF(OR($A282="",$K282=""),"",$K282&amp;"'-"&amp;N($L282)&amp;CHAR(34)&amp;" x "&amp;$M282&amp;"'-"&amp;N($N282)&amp;CHAR(34))</f>
        <v/>
      </c>
      <c r="BG282" s="84">
        <f>IF(OR($A282="",$K282=""),"",$K282&amp;N($L282)&amp;$M282&amp;N($N282))</f>
        <v/>
      </c>
      <c r="BH282" s="84">
        <f>IF(OR($A282="",$K282=""),"",$K282*12+N($L282))</f>
        <v/>
      </c>
      <c r="BI282" s="84">
        <f>IF(OR($A282="",$M282=""),"",$M282*12+N($N282))</f>
        <v/>
      </c>
      <c r="BJ282" s="84">
        <f>IF($A282="","",IF(OR($C282="FRAME ONLY",$S282="BL"),0,IF($O282="Y",2,1)))</f>
        <v/>
      </c>
      <c r="BK282" s="86">
        <f>IF(OR(N($BJ282)=0,$BH282=""),"",($BH282-2*EdgeClr-IF($BJ282=2,MeetClr,0))/$BJ282)</f>
        <v/>
      </c>
      <c r="BL282" s="86">
        <f>IF(OR(N($BJ282)=0,$BI282=""),"",$BI282-HeadClr-Undercut)</f>
        <v/>
      </c>
      <c r="BM282" s="86">
        <f>IF($BH282="","",$BH282+2*FaceW+IF(N($Q282)&gt;0,($Q282+FaceW)*IF($R282="LR",2,1),0))</f>
        <v/>
      </c>
      <c r="BN282" s="86">
        <f>IF($BI282="","",$BI282+IF($AB282="Y",4,FaceW)+IF(N($P282)&gt;0,$P282+FaceW,0)+IF(OR($S282="4F",$S282="BL"),FaceW,0))</f>
        <v/>
      </c>
      <c r="BO282" s="86">
        <f>IF($BM282="","",$BM282+2*ROSide)</f>
        <v/>
      </c>
      <c r="BP282" s="86">
        <f>IF($BN282="","",$BN282+ROTop)</f>
        <v/>
      </c>
      <c r="BQ282" s="87">
        <f>IF(OR(N($BJ282)=0,$BH282=""),"",$BH282/$BJ282-ClearDeduct)</f>
        <v/>
      </c>
      <c r="BR282" s="84">
        <f>IF(N($CH282)=0,"",IF($CH282&gt;=180,"A · 3 HR",IF($CH282&gt;=90,"B · 1-1/2 HR",IF($CH282&gt;=60,"B · 1 HR",IF($CH282&gt;=45,"C · 3/4 HR","20 MIN")))))&amp;IF(AND(N($CH282)&gt;0,OR($I282="CORRIDOR",$I282="SMOKE BARRIER"))," · S","")</f>
        <v/>
      </c>
      <c r="BS282" s="84">
        <f>IF($CS282,"",IF($AV282&lt;&gt;"",$AV282,IF(OR($AC282="HGC",$AO282="HGC"),"CONT",IF(($BI282-HeadClr-Undercut)&lt;=60,2,IF(($BI282-HeadClr-Undercut)&lt;=90,3,IF(($BI282-HeadClr-Undercut)&lt;=120,4,5))))))</f>
        <v/>
      </c>
      <c r="BT282" s="84">
        <f>IF($CS282,"",IF($CT282,"CUSTOM (typed)",IF($CV282,$AT282&amp;" "&amp;$CU282&amp;CHAR(34)&amp;IF($CU282&lt;&gt;$BI282,IF(AND($BI282&lt;$CU282,$BI282-IF(N(VLOOKUP($AT282&amp;"|"&amp;$CU282,LocTable,7,FALSE))&gt;0,VLOOKUP($AT282&amp;"|"&amp;$CU282,LocTable,7,FALSE),VLOOKUP($AT282&amp;"|"&amp;$CU282,LocTable,6,FALSE))-$CR282-0.75&gt;=2.125)," cut down"," adj."),""),"ANSI/SDI A250.6")))</f>
        <v/>
      </c>
      <c r="BU282" s="88">
        <f>IF($CS282,"",IF($CT282,IF(N($AW282)&gt;0,N($AW282),""),IF(1&gt;$CQ282,"",IF($CQ282=1,$CW282,$CW282+($CX282-$CW282)*0/($CQ282-1)))))</f>
        <v/>
      </c>
      <c r="BV282" s="88">
        <f>IF($CS282,"",IF($CT282,IF(N($AX282)&gt;0,N($AX282),""),IF(2&gt;$CQ282,"",IF($CQ282=1,$CW282,$CW282+($CX282-$CW282)*1/($CQ282-1)))))</f>
        <v/>
      </c>
      <c r="BW282" s="88">
        <f>IF($CS282,"",IF($CT282,IF(N($AY282)&gt;0,N($AY282),""),IF(3&gt;$CQ282,"",IF($CQ282=1,$CW282,$CW282+($CX282-$CW282)*2/($CQ282-1)))))</f>
        <v/>
      </c>
      <c r="BX282" s="88">
        <f>IF($CS282,"",IF($CT282,IF(N($AZ282)&gt;0,N($AZ282),""),IF(4&gt;$CQ282,"",IF($CQ282=1,$CW282,$CW282+($CX282-$CW282)*3/($CQ282-1)))))</f>
        <v/>
      </c>
      <c r="BY282" s="88">
        <f>IF($CS282,"",IF($CT282,"",IF(5&gt;$CQ282,"",IF($CQ282=1,$CW282,$CW282+($CX282-$CW282)*4/($CQ282-1)))))</f>
        <v/>
      </c>
      <c r="BZ282" s="88">
        <f>IF(OR($CS282,$AP282="-",AND($AP282="",$AD282="")),"",IF(N($BA282)&gt;0,N($BA282),IF($CV282,IF(AND($BI282&lt;$CU282,$BI282-IF(N(VLOOKUP($AT282&amp;"|"&amp;$CU282,LocTable,7,FALSE))&gt;0,VLOOKUP($AT282&amp;"|"&amp;$CU282,LocTable,7,FALSE),VLOOKUP($AT282&amp;"|"&amp;$CU282,LocTable,6,FALSE))-$CR282-0.75&gt;=2.125),VLOOKUP($AT282&amp;"|"&amp;$CU282,LocTable,8,FALSE),VLOOKUP($AT282&amp;"|"&amp;$CU282,LocTable,8,FALSE)+($BI282-$CU282)),$BI282-LockAFF)))</f>
        <v/>
      </c>
      <c r="CA282" s="89">
        <f>IF($BZ282="","",$BI282-$BZ282)</f>
        <v/>
      </c>
      <c r="CB282" s="84">
        <f>IF(OR(NOT(AND($A282&lt;&gt;"",$C282&lt;&gt;"DOOR ONLY")),$BI282=""),"",IF(($BI282+IF(N($P282)&gt;0,$P282+FaceW,0))&lt;=90,3,IF(($BI282+IF(N($P282)&gt;0,$P282+FaceW,0))&lt;=114,4,5)))</f>
        <v/>
      </c>
      <c r="CC282" s="84">
        <f>IF($CB282="","",$CB282*(2+IF(N($Q282)&gt;0,IF($R282="LR",2,1),0)))</f>
        <v/>
      </c>
      <c r="CD282" s="84">
        <f>IF($CB282="","",(2+IF(N($Q282)&gt;0,IF($R282="LR",2,1),0)))</f>
        <v/>
      </c>
      <c r="CE282" s="84">
        <f>IF(N($BJ282)=0,"",IF(OR($AL282="",$AL282="FLUSH"),"FLUSH",IFERROR(LEFT($AL282,FIND("-",$AL282)-1),LEFT($AL282,2))))</f>
        <v/>
      </c>
      <c r="CF282" s="84">
        <f>IF($CE282="","",IFERROR(VALUE(MID($AL282,FIND("-",$AL282)+1,FIND(CHAR(34)&amp;"x",$AL282)-FIND("-",$AL282)-1)),0))</f>
        <v/>
      </c>
      <c r="CG282" s="84">
        <f>IF($CE282="","",IFERROR(VALUE(MID($AL282,FIND(CHAR(34)&amp;"x",$AL282)+2,FIND(CHAR(34),$AL282,FIND(CHAR(34)&amp;"x",$AL282)+2)-FIND(CHAR(34)&amp;"x",$AL282)-2)),0))</f>
        <v/>
      </c>
      <c r="CH282" s="90">
        <f>IF(OR($A282="",$H282="",$H282="NO LAB"),0,IFERROR(VALUE(LEFT($H282,FIND(" ",$H282)-1)),0))</f>
        <v/>
      </c>
      <c r="CI282" s="91">
        <f>IF(OR($A282="",$I282="",$I282="NON-RATED",N($J282)=0),"",IFERROR(VLOOKUP($I282&amp;"|"&amp;$J282,IBC,2,FALSE),"?"))</f>
        <v/>
      </c>
      <c r="CJ282" s="85">
        <f>IF(NOT(AND($A282&lt;&gt;"",$C282&lt;&gt;"DOOR ONLY")),"",TRIM(IFERROR(VLOOKUP($U282,CODES,2,FALSE),"")&amp;" "&amp;$BG282&amp;" "&amp;IFERROR(VLOOKUP($Z282,CODES,2,FALSE),"")&amp;" "&amp;IFERROR(VLOOKUP($X282,CODES,2,FALSE),"")&amp;" "&amp;IFERROR(VLOOKUP($S282,CODES,2,FALSE),"")&amp;IF(N($P282)&gt;0," w/TRANSOM "&amp;$P282&amp;CHAR(34),"")&amp;IF(N($Q282)&gt;0," w/SIDELITE "&amp;$Q282&amp;CHAR(34)&amp;" "&amp;IF($R282="","R",$R282),"")&amp;IF($Y282="","  |  "," | "&amp;IFERROR(VLOOKUP($Y282,CODES,2,FALSE),"")&amp;" | ")&amp;IFERROR(VLOOKUP($AC282,CODES,2,FALSE),"")&amp;" "&amp;IFERROR(VLOOKUP($AD282,CODES,2,FALSE),"")&amp;IF(OR($AE282="",$AE282="-"),""," "&amp;$AE282)&amp;IF(OR($AF282="",$AF282="-"),""," "&amp;$AF282)&amp;IF($AB282="Y"," 4"&amp;CHAR(34)&amp;" HEAD","")&amp;" "&amp;IFERROR(VLOOKUP($H282,CODES,2,FALSE),"")&amp;IF($CT282," | LOC "&amp;$CY282,"")))</f>
        <v/>
      </c>
      <c r="CK282" s="85">
        <f>IF(NOT(AND($A282&lt;&gt;"",N($BJ282)&gt;0)),"",TRIM(IFERROR(VLOOKUP($AH282,CODES,2,FALSE),"")&amp;IF($AI282=""," "," "&amp;$AI282&amp;"GA ")&amp;$BG282&amp;" "&amp;IF($AN282="",IFERROR(VLOOKUP($Z282,CODES,2,FALSE),""),IFERROR(VLOOKUP($AN282,CODES,2,FALSE),""))&amp;IF($BJ282=2," PAIR","")&amp;" DOOR | "&amp;IF($AL282="","?",$AL282)&amp;" | "&amp;IF($AO282="",IFERROR(VLOOKUP($AC282,CODES,2,FALSE),""),IFERROR(VLOOKUP($AO282,CODES,2,FALSE),""))&amp;" "&amp;IFERROR(VLOOKUP($AP282,CODES,2,FALSE),"")&amp;IF(OR($AQ282="",$AQ282="-"),""," SEAM "&amp;$AQ282)&amp;IF($AR282="Y"," ASTRAGAL","")&amp;IF($AJ282=""," "," "&amp;$AJ282)&amp;IF($AK282=""," "," "&amp;$AK282)&amp;IF(OR($AT282="",$AT282="ANSI/SDI",$AT282="CUSTOM LOC"),""," "&amp;$AT282)&amp;IF($AM282=""," "," SERIES "&amp;$AM282)&amp;" "&amp;IFERROR(VLOOKUP($H282,CODES,2,FALSE),"")&amp;IF($CT282," | LOC "&amp;$CZ282,"")))</f>
        <v/>
      </c>
      <c r="CL282" s="84">
        <f>IF(CP282="","",IF(COUNTIF($CP$6:CP282,CP282)=1,MAX($CL$5:CL281)+1,INDEX($CL$5:CL281,MATCH(CP282,$CP$5:CP281,0))))</f>
        <v/>
      </c>
      <c r="CM282" s="84">
        <f>IF(NOT(AND($A282&lt;&gt;"",$C282&lt;&gt;"DOOR ONLY")),"",MAX($CM$5:CM281)+1)</f>
        <v/>
      </c>
      <c r="CN282" s="84">
        <f>IF(NOT(AND($A282&lt;&gt;"",N($BJ282)&gt;0)),"",MAX($CN$5:CN281)+1)</f>
        <v/>
      </c>
      <c r="CO282" s="84">
        <f>IF($A282="","",MAX($CO$5:CO281)+1)</f>
        <v/>
      </c>
      <c r="CP282" s="84">
        <f>IF(OR($A282="",$BH282="",$BI282=""),"",$BG282&amp;"|"&amp;$O282&amp;"|"&amp;$AL282&amp;"|"&amp;$S282&amp;"|"&amp;$P282&amp;"|"&amp;$Q282&amp;$R282&amp;"|"&amp;$C282&amp;"|"&amp;$AB282)</f>
        <v/>
      </c>
      <c r="CQ282" s="84">
        <f>N($BS282)</f>
        <v/>
      </c>
      <c r="CR282" s="84">
        <f>IF(N($AU282)&gt;0,N($AU282),4.5)</f>
        <v/>
      </c>
      <c r="CS282" s="84">
        <f>OR($A282="",$BI282="",$S282="BL",AND($C282="FRAME ONLY",OR($AC282="",$AC282="BLK")))</f>
        <v/>
      </c>
      <c r="CT282" s="84">
        <f>AND(NOT($CS282),OR($AT282="CUSTOM LOC",N($AW282)+N($AX282)+N($AY282)+N($AZ282)+N($BA282)&gt;0))</f>
        <v/>
      </c>
      <c r="CU282" s="84">
        <f>IF($BI282="","",IF($BI282&lt;=80,80,IF($BI282&lt;=84,84,96)))</f>
        <v/>
      </c>
      <c r="CV282" s="84">
        <f>ISNUMBER(MATCH($AT282&amp;"|80",LocKeys,0))</f>
        <v/>
      </c>
      <c r="CW282" s="86">
        <f>IF($CS282,"",IF($CV282,VLOOKUP($AT282&amp;"|"&amp;$CU282,LocTable,4,FALSE),5))</f>
        <v/>
      </c>
      <c r="CX282" s="86">
        <f>IF($CS282,"",IF($CV282,IF(OR($BI282=$CU282,AND($BI282&lt;$CU282,$BI282-IF(N(VLOOKUP($AT282&amp;"|"&amp;$CU282,LocTable,7,FALSE))&gt;0,VLOOKUP($AT282&amp;"|"&amp;$CU282,LocTable,7,FALSE),VLOOKUP($AT282&amp;"|"&amp;$CU282,LocTable,6,FALSE))-$CR282-0.75&gt;=2.125)),IF(N(VLOOKUP($AT282&amp;"|"&amp;$CU282,LocTable,7,FALSE))&gt;0,VLOOKUP($AT282&amp;"|"&amp;$CU282,LocTable,7,FALSE),VLOOKUP($AT282&amp;"|"&amp;$CU282,LocTable,6,FALSE)),$BI282-($CU282-IF(N(VLOOKUP($AT282&amp;"|"&amp;$CU282,LocTable,7,FALSE))&gt;0,VLOOKUP($AT282&amp;"|"&amp;$CU282,LocTable,7,FALSE),VLOOKUP($AT282&amp;"|"&amp;$CU282,LocTable,6,FALSE)))),$BI282-10-$CR282))</f>
        <v/>
      </c>
      <c r="CY282" s="85">
        <f>IF($CS282,"",TRIM(IF(ISNUMBER($BU282),"A "&amp;TRIM(TEXT($BU282,"# ?/??"))&amp;CHAR(34)&amp;"  ","")&amp;IF(ISNUMBER($BV282),"B "&amp;TRIM(TEXT($BV282,"# ?/??"))&amp;CHAR(34)&amp;"  ","")&amp;IF(ISNUMBER($BW282),"C "&amp;TRIM(TEXT($BW282,"# ?/??"))&amp;CHAR(34)&amp;"  ","")&amp;IF(ISNUMBER($BX282),"D "&amp;TRIM(TEXT($BX282,"# ?/??"))&amp;CHAR(34)&amp;"  ","")&amp;IF(ISNUMBER($BY282),"F "&amp;TRIM(TEXT($BY282,"# ?/??"))&amp;CHAR(34)&amp;"  ","")&amp;IF(ISNUMBER($BZ282),"E "&amp;TRIM(TEXT($BZ282,"# ?/??"))&amp;CHAR(34)&amp;"  ","")))</f>
        <v/>
      </c>
      <c r="CZ282" s="85">
        <f>IF(OR($CS282,N($BJ282)=0),"",TRIM(IF(ISNUMBER($BU282),"A "&amp;TRIM(TEXT($BU282-HeadClr,"# ?/??"))&amp;CHAR(34)&amp;"  ","")&amp;IF(ISNUMBER($BV282),"B "&amp;TRIM(TEXT($BV282-HeadClr,"# ?/??"))&amp;CHAR(34)&amp;"  ","")&amp;IF(ISNUMBER($BW282),"C "&amp;TRIM(TEXT($BW282-HeadClr,"# ?/??"))&amp;CHAR(34)&amp;"  ","")&amp;IF(ISNUMBER($BX282),"D "&amp;TRIM(TEXT($BX282-HeadClr,"# ?/??"))&amp;CHAR(34)&amp;"  ","")&amp;IF(ISNUMBER($BY282),"F "&amp;TRIM(TEXT($BY282-HeadClr,"# ?/??"))&amp;CHAR(34)&amp;"  ","")&amp;IF(ISNUMBER($BZ282),"E "&amp;TRIM(TEXT($BZ282-HeadClr,"# ?/??"))&amp;CHAR(34)&amp;"  ","")))</f>
        <v/>
      </c>
      <c r="DA282" s="84">
        <f>IF($A282="","",IF($AN282="",IFERROR(VLOOKUP($Z282,CODES,2,FALSE),""),IFERROR(VLOOKUP($AN282,CODES,2,FALSE),"")))</f>
        <v/>
      </c>
      <c r="DB282" s="84">
        <f>IF($A282="","",IF($O282="Y","PR",IF(OR($Z282="L",$Z282="RR",LEFT($Z282,2)="L-",LEFT($Z282,3)="RR-"),"LH","RH")))</f>
        <v/>
      </c>
      <c r="DC282" s="84">
        <f>IF($A282="","","S.HM"&amp;IF(OR($C282="DOOR ONLY",$X282&lt;&gt;"KD"),"MASONRY","DRYWALL")&amp;IF($C282="DOOR ONLY","",$U282)&amp;IF(AND($C282&lt;&gt;"FRAME ONLY",OR(LEFT($AH282,3)="OAK",LEFT($AH282,3)="BIR",LEFT($AH282,3)="MAP",$AH282="PC",$AH282="MC",$AH282="SCLC",$AH282="P-LAM")),"WD","HM")&amp;"1.75")</f>
        <v/>
      </c>
      <c r="DD282" s="84">
        <f>IF($CJ282="","",IF($O282="Y",$CJ282,SUBSTITUTE($CJ282,$BG282&amp;" "&amp;IFERROR(VLOOKUP($Z282,CODES,2,FALSE),"")&amp;" ",$BG282&amp;" ")))</f>
        <v/>
      </c>
      <c r="DE282" s="84">
        <f>IF($CK282="","",IF($O282="Y",$CK282,SUBSTITUTE($CK282,$BG282&amp;" "&amp;IF($AN282="",IFERROR(VLOOKUP($Z282,CODES,2,FALSE),""),IFERROR(VLOOKUP($AN282,CODES,2,FALSE),""))&amp;" ",$BG282&amp;" ")))</f>
        <v/>
      </c>
      <c r="DF282" s="84">
        <f>IF($CJ282="","",$DC282&amp;"|"&amp;$DD282&amp;"|"&amp;$DB282&amp;"|"&amp;$AT282&amp;"|"&amp;$V282&amp;"|"&amp;$Y282&amp;"|"&amp;$AB282)</f>
        <v/>
      </c>
      <c r="DG282" s="84">
        <f>IF(DF282="","",IF(COUNTIF($DF$6:DF282,DF282)=1,MAX($DG$5:DG281)+1,INDEX($DG$5:DG281,MATCH(DF282,$DF$5:DF281,0))))</f>
        <v/>
      </c>
      <c r="DH282" s="84">
        <f>IF($CK282="","",$DC282&amp;"|"&amp;$DE282&amp;"|"&amp;$AI282&amp;"|"&amp;$BK282&amp;"|"&amp;$BL282)</f>
        <v/>
      </c>
      <c r="DI282" s="84">
        <f>IF(DH282="","",IF(COUNTIF($DH$6:DH282,DH282)=1,MAX($DI$5:DI281)+1,INDEX($DI$5:DI281,MATCH(DH282,$DH$5:DH281,0))))</f>
        <v/>
      </c>
      <c r="DJ282" s="84">
        <f>IF($A282="","",IF($B282="","qty, ","")&amp;IF($C282="","scope, ","")&amp;IF(OR($K282="",$M282=""),"size, ","")&amp;IF(AND($A282&lt;&gt;"",$C282&lt;&gt;"DOOR ONLY"),IF($U282="","jamb depth, ","")&amp;IF($X282="","construction, ","")&amp;IF($Y282="","anchor, ","")&amp;IF($S282="","frame type, ",""),"")&amp;IF(AND(N($BJ282)&gt;0,$Z282=""),"hand, ","")&amp;IF(N($BJ282)&gt;0,IF($AH282="","door material, ","")&amp;IF($AL282="","face type, ","")&amp;IF($AP282="","lock prep, ","")&amp;IF(AND($AO282="",$AC282=""),"hinge prep, ",""),"")&amp;IF(AND($CH282&gt;0,$AH282="FRP"),"FRP cannot carry a label, ","")&amp;IF(AND($O282="Y",OR($Z282="L",$Z282="R",$Z282="LR",$Z282="RR")),"pair marked but hand is single, ","")&amp;IF(AND($O282&lt;&gt;"Y",OR($Z282="PR",AND(LEN($Z282)&gt;1,ISNUMBER(SEARCH("-",$Z282))))),"pair hand on a single door, ","")&amp;IF(AND(ISNUMBER($CI282),$CH282&lt;N($CI282)),"wall needs a "&amp;$CI282&amp;" min door, ","")&amp;IF(AND($CH282&gt;=180,AND(OR($CE282="FG",$CE282="HG",$CE282="FNV",$CE282="FV"),N($CF282)*N($CG282)&gt;100)),"180 min lite over 100 sq in, ","")&amp;IF(N($BK282)&gt;48,"leaf wider than 4'-0"&amp;CHAR(34)&amp;", ","")&amp;IF(AND($CT282,COUNT($AW282:$AZ282)=0,$CQ282&gt;0),"CUSTOM LOC with no locations typed, ",""))</f>
        <v/>
      </c>
      <c r="DK282" s="84">
        <f>IF($A282="","",IF(AND($CH282&gt;0,AND($A282&lt;&gt;"",$C282&lt;&gt;"DOOR ONLY"),$X282="KD",$E282="EXTERIOR"),"KD label on an exterior opening, ","")&amp;IF(AND($E282="EXTERIOR",OR(AND(AND($A282&lt;&gt;"",$C282&lt;&gt;"DOOR ONLY"),$W282="CR"),AND(N($BJ282)&gt;0,$AH282="CR"))),"exterior in CR steel (G9?), ","")&amp;IF(AND(ISNUMBER($BQ282),N($BQ282)&lt;32),"clear width ~"&amp;TEXT($BQ282,"0.0")&amp;CHAR(34)&amp;" under 32"&amp;CHAR(34)&amp;" (ADA), ","")&amp;IF(AND($CH282=90,AND(OR($CE282="FG",$CE282="HG",$CE282="FNV",$CE282="FV"),N($CF282)*N($CG282)&gt;100)),"90 min lite over 100 sq in (stair/exit), ","")&amp;IF(AND($CH282&gt;0,AND($A282&lt;&gt;"",$C282&lt;&gt;"DOOR ONLY"),OR($AF282="",$AF282="-")),"rated: closer reinf.?, ","")&amp;IF(OR($I282="CORRIDOR",$I282="SMOKE BARRIER"),"S label + smoke gasketing, ","")&amp;IF($CI282="?","wall type/hr not in IBC table, ","")&amp;IF(AND(N($BJ282)&gt;0,$BB282=""),"no hardware set, ","")&amp;IF(AND($BB282&lt;&gt;"",ISNA(MATCH($BB282&amp;"",HWSets,0))),"set "&amp;$BB282&amp;" not on HW Sets, ","")&amp;IF(N($BL282)&gt;96,"leaf over 8'-0"&amp;CHAR(34)&amp;" - check listing, ","")&amp;IF(AND($CT282,COUNT($AW282:$AZ282)&gt;0,COUNT($AW282:$AZ282)&lt;&gt;$CQ282),COUNT($AW282:$AZ282)&amp;" custom hinges typed, "&amp;$CQ282&amp;" expected, ","")&amp;IF(AND(ISNUMBER($CA282),OR(N($CA282)&lt;34,N($CA282)&gt;48)),"lock "&amp;TEXT($CA282,"0.0")&amp;CHAR(34)&amp;" AFF outside 34-48"&amp;CHAR(34)&amp;" (ADA), ","")&amp;IF(AND(ISNUMBER($AV282),ISNUMBER($BL282),N($AV282)&lt;IF(N($BL282)&lt;=60,2,IF(N($BL282)&lt;=90,3,IF(N($BL282)&lt;=120,4,5)))),"fewer hinges than standard, ",""))</f>
        <v/>
      </c>
    </row>
    <row r="283" ht="15" customHeight="1">
      <c r="A283" s="77" t="n"/>
      <c r="B283" s="78" t="n"/>
      <c r="C283" s="78" t="n"/>
      <c r="D283" s="78" t="n"/>
      <c r="E283" s="78" t="n"/>
      <c r="F283" s="78" t="n"/>
      <c r="G283" s="78" t="n"/>
      <c r="H283" s="78" t="n"/>
      <c r="I283" s="78" t="n"/>
      <c r="J283" s="78" t="n"/>
      <c r="K283" s="78" t="n"/>
      <c r="L283" s="78" t="n"/>
      <c r="M283" s="78" t="n"/>
      <c r="N283" s="78" t="n"/>
      <c r="O283" s="78" t="n"/>
      <c r="P283" s="78" t="n"/>
      <c r="Q283" s="78" t="n"/>
      <c r="R283" s="78" t="n"/>
      <c r="S283" s="79" t="n"/>
      <c r="T283" s="79" t="n"/>
      <c r="U283" s="79" t="n"/>
      <c r="V283" s="79" t="n"/>
      <c r="W283" s="79" t="n"/>
      <c r="X283" s="79" t="n"/>
      <c r="Y283" s="79" t="n"/>
      <c r="Z283" s="79" t="n"/>
      <c r="AA283" s="79" t="n"/>
      <c r="AB283" s="79" t="n"/>
      <c r="AC283" s="79" t="n"/>
      <c r="AD283" s="79" t="n"/>
      <c r="AE283" s="79" t="n"/>
      <c r="AF283" s="79" t="n"/>
      <c r="AG283" s="79" t="n"/>
      <c r="AH283" s="80" t="n"/>
      <c r="AI283" s="80" t="n"/>
      <c r="AJ283" s="80" t="n"/>
      <c r="AK283" s="80" t="n"/>
      <c r="AL283" s="80" t="n"/>
      <c r="AM283" s="80" t="n"/>
      <c r="AN283" s="80" t="n"/>
      <c r="AO283" s="80" t="n"/>
      <c r="AP283" s="80" t="n"/>
      <c r="AQ283" s="80" t="n"/>
      <c r="AR283" s="80" t="n"/>
      <c r="AS283" s="80" t="n"/>
      <c r="AT283" s="81" t="n"/>
      <c r="AU283" s="81" t="n"/>
      <c r="AV283" s="81" t="n"/>
      <c r="AW283" s="82" t="n"/>
      <c r="AX283" s="82" t="n"/>
      <c r="AY283" s="82" t="n"/>
      <c r="AZ283" s="82" t="n"/>
      <c r="BA283" s="82" t="n"/>
      <c r="BB283" s="83" t="n"/>
      <c r="BC283" s="83" t="n"/>
      <c r="BD283" s="84">
        <f>IF($A283="","",IF($DJ283&lt;&gt;"","FIX",IF($DK283&lt;&gt;"","CHECK","OK")))</f>
        <v/>
      </c>
      <c r="BE283" s="85">
        <f>IF($A283="","",IF($DJ283&lt;&gt;"","FIX: "&amp;LEFT($DJ283,LEN($DJ283)-2)&amp;IF($DK283&lt;&gt;"","  ·  ",""),"")&amp;IF($DK283&lt;&gt;"","CHECK: "&amp;LEFT($DK283,LEN($DK283)-2),""))</f>
        <v/>
      </c>
      <c r="BF283" s="84">
        <f>IF(OR($A283="",$K283=""),"",$K283&amp;"'-"&amp;N($L283)&amp;CHAR(34)&amp;" x "&amp;$M283&amp;"'-"&amp;N($N283)&amp;CHAR(34))</f>
        <v/>
      </c>
      <c r="BG283" s="84">
        <f>IF(OR($A283="",$K283=""),"",$K283&amp;N($L283)&amp;$M283&amp;N($N283))</f>
        <v/>
      </c>
      <c r="BH283" s="84">
        <f>IF(OR($A283="",$K283=""),"",$K283*12+N($L283))</f>
        <v/>
      </c>
      <c r="BI283" s="84">
        <f>IF(OR($A283="",$M283=""),"",$M283*12+N($N283))</f>
        <v/>
      </c>
      <c r="BJ283" s="84">
        <f>IF($A283="","",IF(OR($C283="FRAME ONLY",$S283="BL"),0,IF($O283="Y",2,1)))</f>
        <v/>
      </c>
      <c r="BK283" s="86">
        <f>IF(OR(N($BJ283)=0,$BH283=""),"",($BH283-2*EdgeClr-IF($BJ283=2,MeetClr,0))/$BJ283)</f>
        <v/>
      </c>
      <c r="BL283" s="86">
        <f>IF(OR(N($BJ283)=0,$BI283=""),"",$BI283-HeadClr-Undercut)</f>
        <v/>
      </c>
      <c r="BM283" s="86">
        <f>IF($BH283="","",$BH283+2*FaceW+IF(N($Q283)&gt;0,($Q283+FaceW)*IF($R283="LR",2,1),0))</f>
        <v/>
      </c>
      <c r="BN283" s="86">
        <f>IF($BI283="","",$BI283+IF($AB283="Y",4,FaceW)+IF(N($P283)&gt;0,$P283+FaceW,0)+IF(OR($S283="4F",$S283="BL"),FaceW,0))</f>
        <v/>
      </c>
      <c r="BO283" s="86">
        <f>IF($BM283="","",$BM283+2*ROSide)</f>
        <v/>
      </c>
      <c r="BP283" s="86">
        <f>IF($BN283="","",$BN283+ROTop)</f>
        <v/>
      </c>
      <c r="BQ283" s="87">
        <f>IF(OR(N($BJ283)=0,$BH283=""),"",$BH283/$BJ283-ClearDeduct)</f>
        <v/>
      </c>
      <c r="BR283" s="84">
        <f>IF(N($CH283)=0,"",IF($CH283&gt;=180,"A · 3 HR",IF($CH283&gt;=90,"B · 1-1/2 HR",IF($CH283&gt;=60,"B · 1 HR",IF($CH283&gt;=45,"C · 3/4 HR","20 MIN")))))&amp;IF(AND(N($CH283)&gt;0,OR($I283="CORRIDOR",$I283="SMOKE BARRIER"))," · S","")</f>
        <v/>
      </c>
      <c r="BS283" s="84">
        <f>IF($CS283,"",IF($AV283&lt;&gt;"",$AV283,IF(OR($AC283="HGC",$AO283="HGC"),"CONT",IF(($BI283-HeadClr-Undercut)&lt;=60,2,IF(($BI283-HeadClr-Undercut)&lt;=90,3,IF(($BI283-HeadClr-Undercut)&lt;=120,4,5))))))</f>
        <v/>
      </c>
      <c r="BT283" s="84">
        <f>IF($CS283,"",IF($CT283,"CUSTOM (typed)",IF($CV283,$AT283&amp;" "&amp;$CU283&amp;CHAR(34)&amp;IF($CU283&lt;&gt;$BI283,IF(AND($BI283&lt;$CU283,$BI283-IF(N(VLOOKUP($AT283&amp;"|"&amp;$CU283,LocTable,7,FALSE))&gt;0,VLOOKUP($AT283&amp;"|"&amp;$CU283,LocTable,7,FALSE),VLOOKUP($AT283&amp;"|"&amp;$CU283,LocTable,6,FALSE))-$CR283-0.75&gt;=2.125)," cut down"," adj."),""),"ANSI/SDI A250.6")))</f>
        <v/>
      </c>
      <c r="BU283" s="88">
        <f>IF($CS283,"",IF($CT283,IF(N($AW283)&gt;0,N($AW283),""),IF(1&gt;$CQ283,"",IF($CQ283=1,$CW283,$CW283+($CX283-$CW283)*0/($CQ283-1)))))</f>
        <v/>
      </c>
      <c r="BV283" s="88">
        <f>IF($CS283,"",IF($CT283,IF(N($AX283)&gt;0,N($AX283),""),IF(2&gt;$CQ283,"",IF($CQ283=1,$CW283,$CW283+($CX283-$CW283)*1/($CQ283-1)))))</f>
        <v/>
      </c>
      <c r="BW283" s="88">
        <f>IF($CS283,"",IF($CT283,IF(N($AY283)&gt;0,N($AY283),""),IF(3&gt;$CQ283,"",IF($CQ283=1,$CW283,$CW283+($CX283-$CW283)*2/($CQ283-1)))))</f>
        <v/>
      </c>
      <c r="BX283" s="88">
        <f>IF($CS283,"",IF($CT283,IF(N($AZ283)&gt;0,N($AZ283),""),IF(4&gt;$CQ283,"",IF($CQ283=1,$CW283,$CW283+($CX283-$CW283)*3/($CQ283-1)))))</f>
        <v/>
      </c>
      <c r="BY283" s="88">
        <f>IF($CS283,"",IF($CT283,"",IF(5&gt;$CQ283,"",IF($CQ283=1,$CW283,$CW283+($CX283-$CW283)*4/($CQ283-1)))))</f>
        <v/>
      </c>
      <c r="BZ283" s="88">
        <f>IF(OR($CS283,$AP283="-",AND($AP283="",$AD283="")),"",IF(N($BA283)&gt;0,N($BA283),IF($CV283,IF(AND($BI283&lt;$CU283,$BI283-IF(N(VLOOKUP($AT283&amp;"|"&amp;$CU283,LocTable,7,FALSE))&gt;0,VLOOKUP($AT283&amp;"|"&amp;$CU283,LocTable,7,FALSE),VLOOKUP($AT283&amp;"|"&amp;$CU283,LocTable,6,FALSE))-$CR283-0.75&gt;=2.125),VLOOKUP($AT283&amp;"|"&amp;$CU283,LocTable,8,FALSE),VLOOKUP($AT283&amp;"|"&amp;$CU283,LocTable,8,FALSE)+($BI283-$CU283)),$BI283-LockAFF)))</f>
        <v/>
      </c>
      <c r="CA283" s="89">
        <f>IF($BZ283="","",$BI283-$BZ283)</f>
        <v/>
      </c>
      <c r="CB283" s="84">
        <f>IF(OR(NOT(AND($A283&lt;&gt;"",$C283&lt;&gt;"DOOR ONLY")),$BI283=""),"",IF(($BI283+IF(N($P283)&gt;0,$P283+FaceW,0))&lt;=90,3,IF(($BI283+IF(N($P283)&gt;0,$P283+FaceW,0))&lt;=114,4,5)))</f>
        <v/>
      </c>
      <c r="CC283" s="84">
        <f>IF($CB283="","",$CB283*(2+IF(N($Q283)&gt;0,IF($R283="LR",2,1),0)))</f>
        <v/>
      </c>
      <c r="CD283" s="84">
        <f>IF($CB283="","",(2+IF(N($Q283)&gt;0,IF($R283="LR",2,1),0)))</f>
        <v/>
      </c>
      <c r="CE283" s="84">
        <f>IF(N($BJ283)=0,"",IF(OR($AL283="",$AL283="FLUSH"),"FLUSH",IFERROR(LEFT($AL283,FIND("-",$AL283)-1),LEFT($AL283,2))))</f>
        <v/>
      </c>
      <c r="CF283" s="84">
        <f>IF($CE283="","",IFERROR(VALUE(MID($AL283,FIND("-",$AL283)+1,FIND(CHAR(34)&amp;"x",$AL283)-FIND("-",$AL283)-1)),0))</f>
        <v/>
      </c>
      <c r="CG283" s="84">
        <f>IF($CE283="","",IFERROR(VALUE(MID($AL283,FIND(CHAR(34)&amp;"x",$AL283)+2,FIND(CHAR(34),$AL283,FIND(CHAR(34)&amp;"x",$AL283)+2)-FIND(CHAR(34)&amp;"x",$AL283)-2)),0))</f>
        <v/>
      </c>
      <c r="CH283" s="90">
        <f>IF(OR($A283="",$H283="",$H283="NO LAB"),0,IFERROR(VALUE(LEFT($H283,FIND(" ",$H283)-1)),0))</f>
        <v/>
      </c>
      <c r="CI283" s="91">
        <f>IF(OR($A283="",$I283="",$I283="NON-RATED",N($J283)=0),"",IFERROR(VLOOKUP($I283&amp;"|"&amp;$J283,IBC,2,FALSE),"?"))</f>
        <v/>
      </c>
      <c r="CJ283" s="85">
        <f>IF(NOT(AND($A283&lt;&gt;"",$C283&lt;&gt;"DOOR ONLY")),"",TRIM(IFERROR(VLOOKUP($U283,CODES,2,FALSE),"")&amp;" "&amp;$BG283&amp;" "&amp;IFERROR(VLOOKUP($Z283,CODES,2,FALSE),"")&amp;" "&amp;IFERROR(VLOOKUP($X283,CODES,2,FALSE),"")&amp;" "&amp;IFERROR(VLOOKUP($S283,CODES,2,FALSE),"")&amp;IF(N($P283)&gt;0," w/TRANSOM "&amp;$P283&amp;CHAR(34),"")&amp;IF(N($Q283)&gt;0," w/SIDELITE "&amp;$Q283&amp;CHAR(34)&amp;" "&amp;IF($R283="","R",$R283),"")&amp;IF($Y283="","  |  "," | "&amp;IFERROR(VLOOKUP($Y283,CODES,2,FALSE),"")&amp;" | ")&amp;IFERROR(VLOOKUP($AC283,CODES,2,FALSE),"")&amp;" "&amp;IFERROR(VLOOKUP($AD283,CODES,2,FALSE),"")&amp;IF(OR($AE283="",$AE283="-"),""," "&amp;$AE283)&amp;IF(OR($AF283="",$AF283="-"),""," "&amp;$AF283)&amp;IF($AB283="Y"," 4"&amp;CHAR(34)&amp;" HEAD","")&amp;" "&amp;IFERROR(VLOOKUP($H283,CODES,2,FALSE),"")&amp;IF($CT283," | LOC "&amp;$CY283,"")))</f>
        <v/>
      </c>
      <c r="CK283" s="85">
        <f>IF(NOT(AND($A283&lt;&gt;"",N($BJ283)&gt;0)),"",TRIM(IFERROR(VLOOKUP($AH283,CODES,2,FALSE),"")&amp;IF($AI283=""," "," "&amp;$AI283&amp;"GA ")&amp;$BG283&amp;" "&amp;IF($AN283="",IFERROR(VLOOKUP($Z283,CODES,2,FALSE),""),IFERROR(VLOOKUP($AN283,CODES,2,FALSE),""))&amp;IF($BJ283=2," PAIR","")&amp;" DOOR | "&amp;IF($AL283="","?",$AL283)&amp;" | "&amp;IF($AO283="",IFERROR(VLOOKUP($AC283,CODES,2,FALSE),""),IFERROR(VLOOKUP($AO283,CODES,2,FALSE),""))&amp;" "&amp;IFERROR(VLOOKUP($AP283,CODES,2,FALSE),"")&amp;IF(OR($AQ283="",$AQ283="-"),""," SEAM "&amp;$AQ283)&amp;IF($AR283="Y"," ASTRAGAL","")&amp;IF($AJ283=""," "," "&amp;$AJ283)&amp;IF($AK283=""," "," "&amp;$AK283)&amp;IF(OR($AT283="",$AT283="ANSI/SDI",$AT283="CUSTOM LOC"),""," "&amp;$AT283)&amp;IF($AM283=""," "," SERIES "&amp;$AM283)&amp;" "&amp;IFERROR(VLOOKUP($H283,CODES,2,FALSE),"")&amp;IF($CT283," | LOC "&amp;$CZ283,"")))</f>
        <v/>
      </c>
      <c r="CL283" s="84">
        <f>IF(CP283="","",IF(COUNTIF($CP$6:CP283,CP283)=1,MAX($CL$5:CL282)+1,INDEX($CL$5:CL282,MATCH(CP283,$CP$5:CP282,0))))</f>
        <v/>
      </c>
      <c r="CM283" s="84">
        <f>IF(NOT(AND($A283&lt;&gt;"",$C283&lt;&gt;"DOOR ONLY")),"",MAX($CM$5:CM282)+1)</f>
        <v/>
      </c>
      <c r="CN283" s="84">
        <f>IF(NOT(AND($A283&lt;&gt;"",N($BJ283)&gt;0)),"",MAX($CN$5:CN282)+1)</f>
        <v/>
      </c>
      <c r="CO283" s="84">
        <f>IF($A283="","",MAX($CO$5:CO282)+1)</f>
        <v/>
      </c>
      <c r="CP283" s="84">
        <f>IF(OR($A283="",$BH283="",$BI283=""),"",$BG283&amp;"|"&amp;$O283&amp;"|"&amp;$AL283&amp;"|"&amp;$S283&amp;"|"&amp;$P283&amp;"|"&amp;$Q283&amp;$R283&amp;"|"&amp;$C283&amp;"|"&amp;$AB283)</f>
        <v/>
      </c>
      <c r="CQ283" s="84">
        <f>N($BS283)</f>
        <v/>
      </c>
      <c r="CR283" s="84">
        <f>IF(N($AU283)&gt;0,N($AU283),4.5)</f>
        <v/>
      </c>
      <c r="CS283" s="84">
        <f>OR($A283="",$BI283="",$S283="BL",AND($C283="FRAME ONLY",OR($AC283="",$AC283="BLK")))</f>
        <v/>
      </c>
      <c r="CT283" s="84">
        <f>AND(NOT($CS283),OR($AT283="CUSTOM LOC",N($AW283)+N($AX283)+N($AY283)+N($AZ283)+N($BA283)&gt;0))</f>
        <v/>
      </c>
      <c r="CU283" s="84">
        <f>IF($BI283="","",IF($BI283&lt;=80,80,IF($BI283&lt;=84,84,96)))</f>
        <v/>
      </c>
      <c r="CV283" s="84">
        <f>ISNUMBER(MATCH($AT283&amp;"|80",LocKeys,0))</f>
        <v/>
      </c>
      <c r="CW283" s="86">
        <f>IF($CS283,"",IF($CV283,VLOOKUP($AT283&amp;"|"&amp;$CU283,LocTable,4,FALSE),5))</f>
        <v/>
      </c>
      <c r="CX283" s="86">
        <f>IF($CS283,"",IF($CV283,IF(OR($BI283=$CU283,AND($BI283&lt;$CU283,$BI283-IF(N(VLOOKUP($AT283&amp;"|"&amp;$CU283,LocTable,7,FALSE))&gt;0,VLOOKUP($AT283&amp;"|"&amp;$CU283,LocTable,7,FALSE),VLOOKUP($AT283&amp;"|"&amp;$CU283,LocTable,6,FALSE))-$CR283-0.75&gt;=2.125)),IF(N(VLOOKUP($AT283&amp;"|"&amp;$CU283,LocTable,7,FALSE))&gt;0,VLOOKUP($AT283&amp;"|"&amp;$CU283,LocTable,7,FALSE),VLOOKUP($AT283&amp;"|"&amp;$CU283,LocTable,6,FALSE)),$BI283-($CU283-IF(N(VLOOKUP($AT283&amp;"|"&amp;$CU283,LocTable,7,FALSE))&gt;0,VLOOKUP($AT283&amp;"|"&amp;$CU283,LocTable,7,FALSE),VLOOKUP($AT283&amp;"|"&amp;$CU283,LocTable,6,FALSE)))),$BI283-10-$CR283))</f>
        <v/>
      </c>
      <c r="CY283" s="85">
        <f>IF($CS283,"",TRIM(IF(ISNUMBER($BU283),"A "&amp;TRIM(TEXT($BU283,"# ?/??"))&amp;CHAR(34)&amp;"  ","")&amp;IF(ISNUMBER($BV283),"B "&amp;TRIM(TEXT($BV283,"# ?/??"))&amp;CHAR(34)&amp;"  ","")&amp;IF(ISNUMBER($BW283),"C "&amp;TRIM(TEXT($BW283,"# ?/??"))&amp;CHAR(34)&amp;"  ","")&amp;IF(ISNUMBER($BX283),"D "&amp;TRIM(TEXT($BX283,"# ?/??"))&amp;CHAR(34)&amp;"  ","")&amp;IF(ISNUMBER($BY283),"F "&amp;TRIM(TEXT($BY283,"# ?/??"))&amp;CHAR(34)&amp;"  ","")&amp;IF(ISNUMBER($BZ283),"E "&amp;TRIM(TEXT($BZ283,"# ?/??"))&amp;CHAR(34)&amp;"  ","")))</f>
        <v/>
      </c>
      <c r="CZ283" s="85">
        <f>IF(OR($CS283,N($BJ283)=0),"",TRIM(IF(ISNUMBER($BU283),"A "&amp;TRIM(TEXT($BU283-HeadClr,"# ?/??"))&amp;CHAR(34)&amp;"  ","")&amp;IF(ISNUMBER($BV283),"B "&amp;TRIM(TEXT($BV283-HeadClr,"# ?/??"))&amp;CHAR(34)&amp;"  ","")&amp;IF(ISNUMBER($BW283),"C "&amp;TRIM(TEXT($BW283-HeadClr,"# ?/??"))&amp;CHAR(34)&amp;"  ","")&amp;IF(ISNUMBER($BX283),"D "&amp;TRIM(TEXT($BX283-HeadClr,"# ?/??"))&amp;CHAR(34)&amp;"  ","")&amp;IF(ISNUMBER($BY283),"F "&amp;TRIM(TEXT($BY283-HeadClr,"# ?/??"))&amp;CHAR(34)&amp;"  ","")&amp;IF(ISNUMBER($BZ283),"E "&amp;TRIM(TEXT($BZ283-HeadClr,"# ?/??"))&amp;CHAR(34)&amp;"  ","")))</f>
        <v/>
      </c>
      <c r="DA283" s="84">
        <f>IF($A283="","",IF($AN283="",IFERROR(VLOOKUP($Z283,CODES,2,FALSE),""),IFERROR(VLOOKUP($AN283,CODES,2,FALSE),"")))</f>
        <v/>
      </c>
      <c r="DB283" s="84">
        <f>IF($A283="","",IF($O283="Y","PR",IF(OR($Z283="L",$Z283="RR",LEFT($Z283,2)="L-",LEFT($Z283,3)="RR-"),"LH","RH")))</f>
        <v/>
      </c>
      <c r="DC283" s="84">
        <f>IF($A283="","","S.HM"&amp;IF(OR($C283="DOOR ONLY",$X283&lt;&gt;"KD"),"MASONRY","DRYWALL")&amp;IF($C283="DOOR ONLY","",$U283)&amp;IF(AND($C283&lt;&gt;"FRAME ONLY",OR(LEFT($AH283,3)="OAK",LEFT($AH283,3)="BIR",LEFT($AH283,3)="MAP",$AH283="PC",$AH283="MC",$AH283="SCLC",$AH283="P-LAM")),"WD","HM")&amp;"1.75")</f>
        <v/>
      </c>
      <c r="DD283" s="84">
        <f>IF($CJ283="","",IF($O283="Y",$CJ283,SUBSTITUTE($CJ283,$BG283&amp;" "&amp;IFERROR(VLOOKUP($Z283,CODES,2,FALSE),"")&amp;" ",$BG283&amp;" ")))</f>
        <v/>
      </c>
      <c r="DE283" s="84">
        <f>IF($CK283="","",IF($O283="Y",$CK283,SUBSTITUTE($CK283,$BG283&amp;" "&amp;IF($AN283="",IFERROR(VLOOKUP($Z283,CODES,2,FALSE),""),IFERROR(VLOOKUP($AN283,CODES,2,FALSE),""))&amp;" ",$BG283&amp;" ")))</f>
        <v/>
      </c>
      <c r="DF283" s="84">
        <f>IF($CJ283="","",$DC283&amp;"|"&amp;$DD283&amp;"|"&amp;$DB283&amp;"|"&amp;$AT283&amp;"|"&amp;$V283&amp;"|"&amp;$Y283&amp;"|"&amp;$AB283)</f>
        <v/>
      </c>
      <c r="DG283" s="84">
        <f>IF(DF283="","",IF(COUNTIF($DF$6:DF283,DF283)=1,MAX($DG$5:DG282)+1,INDEX($DG$5:DG282,MATCH(DF283,$DF$5:DF282,0))))</f>
        <v/>
      </c>
      <c r="DH283" s="84">
        <f>IF($CK283="","",$DC283&amp;"|"&amp;$DE283&amp;"|"&amp;$AI283&amp;"|"&amp;$BK283&amp;"|"&amp;$BL283)</f>
        <v/>
      </c>
      <c r="DI283" s="84">
        <f>IF(DH283="","",IF(COUNTIF($DH$6:DH283,DH283)=1,MAX($DI$5:DI282)+1,INDEX($DI$5:DI282,MATCH(DH283,$DH$5:DH282,0))))</f>
        <v/>
      </c>
      <c r="DJ283" s="84">
        <f>IF($A283="","",IF($B283="","qty, ","")&amp;IF($C283="","scope, ","")&amp;IF(OR($K283="",$M283=""),"size, ","")&amp;IF(AND($A283&lt;&gt;"",$C283&lt;&gt;"DOOR ONLY"),IF($U283="","jamb depth, ","")&amp;IF($X283="","construction, ","")&amp;IF($Y283="","anchor, ","")&amp;IF($S283="","frame type, ",""),"")&amp;IF(AND(N($BJ283)&gt;0,$Z283=""),"hand, ","")&amp;IF(N($BJ283)&gt;0,IF($AH283="","door material, ","")&amp;IF($AL283="","face type, ","")&amp;IF($AP283="","lock prep, ","")&amp;IF(AND($AO283="",$AC283=""),"hinge prep, ",""),"")&amp;IF(AND($CH283&gt;0,$AH283="FRP"),"FRP cannot carry a label, ","")&amp;IF(AND($O283="Y",OR($Z283="L",$Z283="R",$Z283="LR",$Z283="RR")),"pair marked but hand is single, ","")&amp;IF(AND($O283&lt;&gt;"Y",OR($Z283="PR",AND(LEN($Z283)&gt;1,ISNUMBER(SEARCH("-",$Z283))))),"pair hand on a single door, ","")&amp;IF(AND(ISNUMBER($CI283),$CH283&lt;N($CI283)),"wall needs a "&amp;$CI283&amp;" min door, ","")&amp;IF(AND($CH283&gt;=180,AND(OR($CE283="FG",$CE283="HG",$CE283="FNV",$CE283="FV"),N($CF283)*N($CG283)&gt;100)),"180 min lite over 100 sq in, ","")&amp;IF(N($BK283)&gt;48,"leaf wider than 4'-0"&amp;CHAR(34)&amp;", ","")&amp;IF(AND($CT283,COUNT($AW283:$AZ283)=0,$CQ283&gt;0),"CUSTOM LOC with no locations typed, ",""))</f>
        <v/>
      </c>
      <c r="DK283" s="84">
        <f>IF($A283="","",IF(AND($CH283&gt;0,AND($A283&lt;&gt;"",$C283&lt;&gt;"DOOR ONLY"),$X283="KD",$E283="EXTERIOR"),"KD label on an exterior opening, ","")&amp;IF(AND($E283="EXTERIOR",OR(AND(AND($A283&lt;&gt;"",$C283&lt;&gt;"DOOR ONLY"),$W283="CR"),AND(N($BJ283)&gt;0,$AH283="CR"))),"exterior in CR steel (G9?), ","")&amp;IF(AND(ISNUMBER($BQ283),N($BQ283)&lt;32),"clear width ~"&amp;TEXT($BQ283,"0.0")&amp;CHAR(34)&amp;" under 32"&amp;CHAR(34)&amp;" (ADA), ","")&amp;IF(AND($CH283=90,AND(OR($CE283="FG",$CE283="HG",$CE283="FNV",$CE283="FV"),N($CF283)*N($CG283)&gt;100)),"90 min lite over 100 sq in (stair/exit), ","")&amp;IF(AND($CH283&gt;0,AND($A283&lt;&gt;"",$C283&lt;&gt;"DOOR ONLY"),OR($AF283="",$AF283="-")),"rated: closer reinf.?, ","")&amp;IF(OR($I283="CORRIDOR",$I283="SMOKE BARRIER"),"S label + smoke gasketing, ","")&amp;IF($CI283="?","wall type/hr not in IBC table, ","")&amp;IF(AND(N($BJ283)&gt;0,$BB283=""),"no hardware set, ","")&amp;IF(AND($BB283&lt;&gt;"",ISNA(MATCH($BB283&amp;"",HWSets,0))),"set "&amp;$BB283&amp;" not on HW Sets, ","")&amp;IF(N($BL283)&gt;96,"leaf over 8'-0"&amp;CHAR(34)&amp;" - check listing, ","")&amp;IF(AND($CT283,COUNT($AW283:$AZ283)&gt;0,COUNT($AW283:$AZ283)&lt;&gt;$CQ283),COUNT($AW283:$AZ283)&amp;" custom hinges typed, "&amp;$CQ283&amp;" expected, ","")&amp;IF(AND(ISNUMBER($CA283),OR(N($CA283)&lt;34,N($CA283)&gt;48)),"lock "&amp;TEXT($CA283,"0.0")&amp;CHAR(34)&amp;" AFF outside 34-48"&amp;CHAR(34)&amp;" (ADA), ","")&amp;IF(AND(ISNUMBER($AV283),ISNUMBER($BL283),N($AV283)&lt;IF(N($BL283)&lt;=60,2,IF(N($BL283)&lt;=90,3,IF(N($BL283)&lt;=120,4,5)))),"fewer hinges than standard, ",""))</f>
        <v/>
      </c>
    </row>
    <row r="284" ht="15" customHeight="1">
      <c r="A284" s="77" t="n"/>
      <c r="B284" s="78" t="n"/>
      <c r="C284" s="78" t="n"/>
      <c r="D284" s="78" t="n"/>
      <c r="E284" s="78" t="n"/>
      <c r="F284" s="78" t="n"/>
      <c r="G284" s="78" t="n"/>
      <c r="H284" s="78" t="n"/>
      <c r="I284" s="78" t="n"/>
      <c r="J284" s="78" t="n"/>
      <c r="K284" s="78" t="n"/>
      <c r="L284" s="78" t="n"/>
      <c r="M284" s="78" t="n"/>
      <c r="N284" s="78" t="n"/>
      <c r="O284" s="78" t="n"/>
      <c r="P284" s="78" t="n"/>
      <c r="Q284" s="78" t="n"/>
      <c r="R284" s="78" t="n"/>
      <c r="S284" s="79" t="n"/>
      <c r="T284" s="79" t="n"/>
      <c r="U284" s="79" t="n"/>
      <c r="V284" s="79" t="n"/>
      <c r="W284" s="79" t="n"/>
      <c r="X284" s="79" t="n"/>
      <c r="Y284" s="79" t="n"/>
      <c r="Z284" s="79" t="n"/>
      <c r="AA284" s="79" t="n"/>
      <c r="AB284" s="79" t="n"/>
      <c r="AC284" s="79" t="n"/>
      <c r="AD284" s="79" t="n"/>
      <c r="AE284" s="79" t="n"/>
      <c r="AF284" s="79" t="n"/>
      <c r="AG284" s="79" t="n"/>
      <c r="AH284" s="80" t="n"/>
      <c r="AI284" s="80" t="n"/>
      <c r="AJ284" s="80" t="n"/>
      <c r="AK284" s="80" t="n"/>
      <c r="AL284" s="80" t="n"/>
      <c r="AM284" s="80" t="n"/>
      <c r="AN284" s="80" t="n"/>
      <c r="AO284" s="80" t="n"/>
      <c r="AP284" s="80" t="n"/>
      <c r="AQ284" s="80" t="n"/>
      <c r="AR284" s="80" t="n"/>
      <c r="AS284" s="80" t="n"/>
      <c r="AT284" s="81" t="n"/>
      <c r="AU284" s="81" t="n"/>
      <c r="AV284" s="81" t="n"/>
      <c r="AW284" s="82" t="n"/>
      <c r="AX284" s="82" t="n"/>
      <c r="AY284" s="82" t="n"/>
      <c r="AZ284" s="82" t="n"/>
      <c r="BA284" s="82" t="n"/>
      <c r="BB284" s="83" t="n"/>
      <c r="BC284" s="83" t="n"/>
      <c r="BD284" s="84">
        <f>IF($A284="","",IF($DJ284&lt;&gt;"","FIX",IF($DK284&lt;&gt;"","CHECK","OK")))</f>
        <v/>
      </c>
      <c r="BE284" s="85">
        <f>IF($A284="","",IF($DJ284&lt;&gt;"","FIX: "&amp;LEFT($DJ284,LEN($DJ284)-2)&amp;IF($DK284&lt;&gt;"","  ·  ",""),"")&amp;IF($DK284&lt;&gt;"","CHECK: "&amp;LEFT($DK284,LEN($DK284)-2),""))</f>
        <v/>
      </c>
      <c r="BF284" s="84">
        <f>IF(OR($A284="",$K284=""),"",$K284&amp;"'-"&amp;N($L284)&amp;CHAR(34)&amp;" x "&amp;$M284&amp;"'-"&amp;N($N284)&amp;CHAR(34))</f>
        <v/>
      </c>
      <c r="BG284" s="84">
        <f>IF(OR($A284="",$K284=""),"",$K284&amp;N($L284)&amp;$M284&amp;N($N284))</f>
        <v/>
      </c>
      <c r="BH284" s="84">
        <f>IF(OR($A284="",$K284=""),"",$K284*12+N($L284))</f>
        <v/>
      </c>
      <c r="BI284" s="84">
        <f>IF(OR($A284="",$M284=""),"",$M284*12+N($N284))</f>
        <v/>
      </c>
      <c r="BJ284" s="84">
        <f>IF($A284="","",IF(OR($C284="FRAME ONLY",$S284="BL"),0,IF($O284="Y",2,1)))</f>
        <v/>
      </c>
      <c r="BK284" s="86">
        <f>IF(OR(N($BJ284)=0,$BH284=""),"",($BH284-2*EdgeClr-IF($BJ284=2,MeetClr,0))/$BJ284)</f>
        <v/>
      </c>
      <c r="BL284" s="86">
        <f>IF(OR(N($BJ284)=0,$BI284=""),"",$BI284-HeadClr-Undercut)</f>
        <v/>
      </c>
      <c r="BM284" s="86">
        <f>IF($BH284="","",$BH284+2*FaceW+IF(N($Q284)&gt;0,($Q284+FaceW)*IF($R284="LR",2,1),0))</f>
        <v/>
      </c>
      <c r="BN284" s="86">
        <f>IF($BI284="","",$BI284+IF($AB284="Y",4,FaceW)+IF(N($P284)&gt;0,$P284+FaceW,0)+IF(OR($S284="4F",$S284="BL"),FaceW,0))</f>
        <v/>
      </c>
      <c r="BO284" s="86">
        <f>IF($BM284="","",$BM284+2*ROSide)</f>
        <v/>
      </c>
      <c r="BP284" s="86">
        <f>IF($BN284="","",$BN284+ROTop)</f>
        <v/>
      </c>
      <c r="BQ284" s="87">
        <f>IF(OR(N($BJ284)=0,$BH284=""),"",$BH284/$BJ284-ClearDeduct)</f>
        <v/>
      </c>
      <c r="BR284" s="84">
        <f>IF(N($CH284)=0,"",IF($CH284&gt;=180,"A · 3 HR",IF($CH284&gt;=90,"B · 1-1/2 HR",IF($CH284&gt;=60,"B · 1 HR",IF($CH284&gt;=45,"C · 3/4 HR","20 MIN")))))&amp;IF(AND(N($CH284)&gt;0,OR($I284="CORRIDOR",$I284="SMOKE BARRIER"))," · S","")</f>
        <v/>
      </c>
      <c r="BS284" s="84">
        <f>IF($CS284,"",IF($AV284&lt;&gt;"",$AV284,IF(OR($AC284="HGC",$AO284="HGC"),"CONT",IF(($BI284-HeadClr-Undercut)&lt;=60,2,IF(($BI284-HeadClr-Undercut)&lt;=90,3,IF(($BI284-HeadClr-Undercut)&lt;=120,4,5))))))</f>
        <v/>
      </c>
      <c r="BT284" s="84">
        <f>IF($CS284,"",IF($CT284,"CUSTOM (typed)",IF($CV284,$AT284&amp;" "&amp;$CU284&amp;CHAR(34)&amp;IF($CU284&lt;&gt;$BI284,IF(AND($BI284&lt;$CU284,$BI284-IF(N(VLOOKUP($AT284&amp;"|"&amp;$CU284,LocTable,7,FALSE))&gt;0,VLOOKUP($AT284&amp;"|"&amp;$CU284,LocTable,7,FALSE),VLOOKUP($AT284&amp;"|"&amp;$CU284,LocTable,6,FALSE))-$CR284-0.75&gt;=2.125)," cut down"," adj."),""),"ANSI/SDI A250.6")))</f>
        <v/>
      </c>
      <c r="BU284" s="88">
        <f>IF($CS284,"",IF($CT284,IF(N($AW284)&gt;0,N($AW284),""),IF(1&gt;$CQ284,"",IF($CQ284=1,$CW284,$CW284+($CX284-$CW284)*0/($CQ284-1)))))</f>
        <v/>
      </c>
      <c r="BV284" s="88">
        <f>IF($CS284,"",IF($CT284,IF(N($AX284)&gt;0,N($AX284),""),IF(2&gt;$CQ284,"",IF($CQ284=1,$CW284,$CW284+($CX284-$CW284)*1/($CQ284-1)))))</f>
        <v/>
      </c>
      <c r="BW284" s="88">
        <f>IF($CS284,"",IF($CT284,IF(N($AY284)&gt;0,N($AY284),""),IF(3&gt;$CQ284,"",IF($CQ284=1,$CW284,$CW284+($CX284-$CW284)*2/($CQ284-1)))))</f>
        <v/>
      </c>
      <c r="BX284" s="88">
        <f>IF($CS284,"",IF($CT284,IF(N($AZ284)&gt;0,N($AZ284),""),IF(4&gt;$CQ284,"",IF($CQ284=1,$CW284,$CW284+($CX284-$CW284)*3/($CQ284-1)))))</f>
        <v/>
      </c>
      <c r="BY284" s="88">
        <f>IF($CS284,"",IF($CT284,"",IF(5&gt;$CQ284,"",IF($CQ284=1,$CW284,$CW284+($CX284-$CW284)*4/($CQ284-1)))))</f>
        <v/>
      </c>
      <c r="BZ284" s="88">
        <f>IF(OR($CS284,$AP284="-",AND($AP284="",$AD284="")),"",IF(N($BA284)&gt;0,N($BA284),IF($CV284,IF(AND($BI284&lt;$CU284,$BI284-IF(N(VLOOKUP($AT284&amp;"|"&amp;$CU284,LocTable,7,FALSE))&gt;0,VLOOKUP($AT284&amp;"|"&amp;$CU284,LocTable,7,FALSE),VLOOKUP($AT284&amp;"|"&amp;$CU284,LocTable,6,FALSE))-$CR284-0.75&gt;=2.125),VLOOKUP($AT284&amp;"|"&amp;$CU284,LocTable,8,FALSE),VLOOKUP($AT284&amp;"|"&amp;$CU284,LocTable,8,FALSE)+($BI284-$CU284)),$BI284-LockAFF)))</f>
        <v/>
      </c>
      <c r="CA284" s="89">
        <f>IF($BZ284="","",$BI284-$BZ284)</f>
        <v/>
      </c>
      <c r="CB284" s="84">
        <f>IF(OR(NOT(AND($A284&lt;&gt;"",$C284&lt;&gt;"DOOR ONLY")),$BI284=""),"",IF(($BI284+IF(N($P284)&gt;0,$P284+FaceW,0))&lt;=90,3,IF(($BI284+IF(N($P284)&gt;0,$P284+FaceW,0))&lt;=114,4,5)))</f>
        <v/>
      </c>
      <c r="CC284" s="84">
        <f>IF($CB284="","",$CB284*(2+IF(N($Q284)&gt;0,IF($R284="LR",2,1),0)))</f>
        <v/>
      </c>
      <c r="CD284" s="84">
        <f>IF($CB284="","",(2+IF(N($Q284)&gt;0,IF($R284="LR",2,1),0)))</f>
        <v/>
      </c>
      <c r="CE284" s="84">
        <f>IF(N($BJ284)=0,"",IF(OR($AL284="",$AL284="FLUSH"),"FLUSH",IFERROR(LEFT($AL284,FIND("-",$AL284)-1),LEFT($AL284,2))))</f>
        <v/>
      </c>
      <c r="CF284" s="84">
        <f>IF($CE284="","",IFERROR(VALUE(MID($AL284,FIND("-",$AL284)+1,FIND(CHAR(34)&amp;"x",$AL284)-FIND("-",$AL284)-1)),0))</f>
        <v/>
      </c>
      <c r="CG284" s="84">
        <f>IF($CE284="","",IFERROR(VALUE(MID($AL284,FIND(CHAR(34)&amp;"x",$AL284)+2,FIND(CHAR(34),$AL284,FIND(CHAR(34)&amp;"x",$AL284)+2)-FIND(CHAR(34)&amp;"x",$AL284)-2)),0))</f>
        <v/>
      </c>
      <c r="CH284" s="90">
        <f>IF(OR($A284="",$H284="",$H284="NO LAB"),0,IFERROR(VALUE(LEFT($H284,FIND(" ",$H284)-1)),0))</f>
        <v/>
      </c>
      <c r="CI284" s="91">
        <f>IF(OR($A284="",$I284="",$I284="NON-RATED",N($J284)=0),"",IFERROR(VLOOKUP($I284&amp;"|"&amp;$J284,IBC,2,FALSE),"?"))</f>
        <v/>
      </c>
      <c r="CJ284" s="85">
        <f>IF(NOT(AND($A284&lt;&gt;"",$C284&lt;&gt;"DOOR ONLY")),"",TRIM(IFERROR(VLOOKUP($U284,CODES,2,FALSE),"")&amp;" "&amp;$BG284&amp;" "&amp;IFERROR(VLOOKUP($Z284,CODES,2,FALSE),"")&amp;" "&amp;IFERROR(VLOOKUP($X284,CODES,2,FALSE),"")&amp;" "&amp;IFERROR(VLOOKUP($S284,CODES,2,FALSE),"")&amp;IF(N($P284)&gt;0," w/TRANSOM "&amp;$P284&amp;CHAR(34),"")&amp;IF(N($Q284)&gt;0," w/SIDELITE "&amp;$Q284&amp;CHAR(34)&amp;" "&amp;IF($R284="","R",$R284),"")&amp;IF($Y284="","  |  "," | "&amp;IFERROR(VLOOKUP($Y284,CODES,2,FALSE),"")&amp;" | ")&amp;IFERROR(VLOOKUP($AC284,CODES,2,FALSE),"")&amp;" "&amp;IFERROR(VLOOKUP($AD284,CODES,2,FALSE),"")&amp;IF(OR($AE284="",$AE284="-"),""," "&amp;$AE284)&amp;IF(OR($AF284="",$AF284="-"),""," "&amp;$AF284)&amp;IF($AB284="Y"," 4"&amp;CHAR(34)&amp;" HEAD","")&amp;" "&amp;IFERROR(VLOOKUP($H284,CODES,2,FALSE),"")&amp;IF($CT284," | LOC "&amp;$CY284,"")))</f>
        <v/>
      </c>
      <c r="CK284" s="85">
        <f>IF(NOT(AND($A284&lt;&gt;"",N($BJ284)&gt;0)),"",TRIM(IFERROR(VLOOKUP($AH284,CODES,2,FALSE),"")&amp;IF($AI284=""," "," "&amp;$AI284&amp;"GA ")&amp;$BG284&amp;" "&amp;IF($AN284="",IFERROR(VLOOKUP($Z284,CODES,2,FALSE),""),IFERROR(VLOOKUP($AN284,CODES,2,FALSE),""))&amp;IF($BJ284=2," PAIR","")&amp;" DOOR | "&amp;IF($AL284="","?",$AL284)&amp;" | "&amp;IF($AO284="",IFERROR(VLOOKUP($AC284,CODES,2,FALSE),""),IFERROR(VLOOKUP($AO284,CODES,2,FALSE),""))&amp;" "&amp;IFERROR(VLOOKUP($AP284,CODES,2,FALSE),"")&amp;IF(OR($AQ284="",$AQ284="-"),""," SEAM "&amp;$AQ284)&amp;IF($AR284="Y"," ASTRAGAL","")&amp;IF($AJ284=""," "," "&amp;$AJ284)&amp;IF($AK284=""," "," "&amp;$AK284)&amp;IF(OR($AT284="",$AT284="ANSI/SDI",$AT284="CUSTOM LOC"),""," "&amp;$AT284)&amp;IF($AM284=""," "," SERIES "&amp;$AM284)&amp;" "&amp;IFERROR(VLOOKUP($H284,CODES,2,FALSE),"")&amp;IF($CT284," | LOC "&amp;$CZ284,"")))</f>
        <v/>
      </c>
      <c r="CL284" s="84">
        <f>IF(CP284="","",IF(COUNTIF($CP$6:CP284,CP284)=1,MAX($CL$5:CL283)+1,INDEX($CL$5:CL283,MATCH(CP284,$CP$5:CP283,0))))</f>
        <v/>
      </c>
      <c r="CM284" s="84">
        <f>IF(NOT(AND($A284&lt;&gt;"",$C284&lt;&gt;"DOOR ONLY")),"",MAX($CM$5:CM283)+1)</f>
        <v/>
      </c>
      <c r="CN284" s="84">
        <f>IF(NOT(AND($A284&lt;&gt;"",N($BJ284)&gt;0)),"",MAX($CN$5:CN283)+1)</f>
        <v/>
      </c>
      <c r="CO284" s="84">
        <f>IF($A284="","",MAX($CO$5:CO283)+1)</f>
        <v/>
      </c>
      <c r="CP284" s="84">
        <f>IF(OR($A284="",$BH284="",$BI284=""),"",$BG284&amp;"|"&amp;$O284&amp;"|"&amp;$AL284&amp;"|"&amp;$S284&amp;"|"&amp;$P284&amp;"|"&amp;$Q284&amp;$R284&amp;"|"&amp;$C284&amp;"|"&amp;$AB284)</f>
        <v/>
      </c>
      <c r="CQ284" s="84">
        <f>N($BS284)</f>
        <v/>
      </c>
      <c r="CR284" s="84">
        <f>IF(N($AU284)&gt;0,N($AU284),4.5)</f>
        <v/>
      </c>
      <c r="CS284" s="84">
        <f>OR($A284="",$BI284="",$S284="BL",AND($C284="FRAME ONLY",OR($AC284="",$AC284="BLK")))</f>
        <v/>
      </c>
      <c r="CT284" s="84">
        <f>AND(NOT($CS284),OR($AT284="CUSTOM LOC",N($AW284)+N($AX284)+N($AY284)+N($AZ284)+N($BA284)&gt;0))</f>
        <v/>
      </c>
      <c r="CU284" s="84">
        <f>IF($BI284="","",IF($BI284&lt;=80,80,IF($BI284&lt;=84,84,96)))</f>
        <v/>
      </c>
      <c r="CV284" s="84">
        <f>ISNUMBER(MATCH($AT284&amp;"|80",LocKeys,0))</f>
        <v/>
      </c>
      <c r="CW284" s="86">
        <f>IF($CS284,"",IF($CV284,VLOOKUP($AT284&amp;"|"&amp;$CU284,LocTable,4,FALSE),5))</f>
        <v/>
      </c>
      <c r="CX284" s="86">
        <f>IF($CS284,"",IF($CV284,IF(OR($BI284=$CU284,AND($BI284&lt;$CU284,$BI284-IF(N(VLOOKUP($AT284&amp;"|"&amp;$CU284,LocTable,7,FALSE))&gt;0,VLOOKUP($AT284&amp;"|"&amp;$CU284,LocTable,7,FALSE),VLOOKUP($AT284&amp;"|"&amp;$CU284,LocTable,6,FALSE))-$CR284-0.75&gt;=2.125)),IF(N(VLOOKUP($AT284&amp;"|"&amp;$CU284,LocTable,7,FALSE))&gt;0,VLOOKUP($AT284&amp;"|"&amp;$CU284,LocTable,7,FALSE),VLOOKUP($AT284&amp;"|"&amp;$CU284,LocTable,6,FALSE)),$BI284-($CU284-IF(N(VLOOKUP($AT284&amp;"|"&amp;$CU284,LocTable,7,FALSE))&gt;0,VLOOKUP($AT284&amp;"|"&amp;$CU284,LocTable,7,FALSE),VLOOKUP($AT284&amp;"|"&amp;$CU284,LocTable,6,FALSE)))),$BI284-10-$CR284))</f>
        <v/>
      </c>
      <c r="CY284" s="85">
        <f>IF($CS284,"",TRIM(IF(ISNUMBER($BU284),"A "&amp;TRIM(TEXT($BU284,"# ?/??"))&amp;CHAR(34)&amp;"  ","")&amp;IF(ISNUMBER($BV284),"B "&amp;TRIM(TEXT($BV284,"# ?/??"))&amp;CHAR(34)&amp;"  ","")&amp;IF(ISNUMBER($BW284),"C "&amp;TRIM(TEXT($BW284,"# ?/??"))&amp;CHAR(34)&amp;"  ","")&amp;IF(ISNUMBER($BX284),"D "&amp;TRIM(TEXT($BX284,"# ?/??"))&amp;CHAR(34)&amp;"  ","")&amp;IF(ISNUMBER($BY284),"F "&amp;TRIM(TEXT($BY284,"# ?/??"))&amp;CHAR(34)&amp;"  ","")&amp;IF(ISNUMBER($BZ284),"E "&amp;TRIM(TEXT($BZ284,"# ?/??"))&amp;CHAR(34)&amp;"  ","")))</f>
        <v/>
      </c>
      <c r="CZ284" s="85">
        <f>IF(OR($CS284,N($BJ284)=0),"",TRIM(IF(ISNUMBER($BU284),"A "&amp;TRIM(TEXT($BU284-HeadClr,"# ?/??"))&amp;CHAR(34)&amp;"  ","")&amp;IF(ISNUMBER($BV284),"B "&amp;TRIM(TEXT($BV284-HeadClr,"# ?/??"))&amp;CHAR(34)&amp;"  ","")&amp;IF(ISNUMBER($BW284),"C "&amp;TRIM(TEXT($BW284-HeadClr,"# ?/??"))&amp;CHAR(34)&amp;"  ","")&amp;IF(ISNUMBER($BX284),"D "&amp;TRIM(TEXT($BX284-HeadClr,"# ?/??"))&amp;CHAR(34)&amp;"  ","")&amp;IF(ISNUMBER($BY284),"F "&amp;TRIM(TEXT($BY284-HeadClr,"# ?/??"))&amp;CHAR(34)&amp;"  ","")&amp;IF(ISNUMBER($BZ284),"E "&amp;TRIM(TEXT($BZ284-HeadClr,"# ?/??"))&amp;CHAR(34)&amp;"  ","")))</f>
        <v/>
      </c>
      <c r="DA284" s="84">
        <f>IF($A284="","",IF($AN284="",IFERROR(VLOOKUP($Z284,CODES,2,FALSE),""),IFERROR(VLOOKUP($AN284,CODES,2,FALSE),"")))</f>
        <v/>
      </c>
      <c r="DB284" s="84">
        <f>IF($A284="","",IF($O284="Y","PR",IF(OR($Z284="L",$Z284="RR",LEFT($Z284,2)="L-",LEFT($Z284,3)="RR-"),"LH","RH")))</f>
        <v/>
      </c>
      <c r="DC284" s="84">
        <f>IF($A284="","","S.HM"&amp;IF(OR($C284="DOOR ONLY",$X284&lt;&gt;"KD"),"MASONRY","DRYWALL")&amp;IF($C284="DOOR ONLY","",$U284)&amp;IF(AND($C284&lt;&gt;"FRAME ONLY",OR(LEFT($AH284,3)="OAK",LEFT($AH284,3)="BIR",LEFT($AH284,3)="MAP",$AH284="PC",$AH284="MC",$AH284="SCLC",$AH284="P-LAM")),"WD","HM")&amp;"1.75")</f>
        <v/>
      </c>
      <c r="DD284" s="84">
        <f>IF($CJ284="","",IF($O284="Y",$CJ284,SUBSTITUTE($CJ284,$BG284&amp;" "&amp;IFERROR(VLOOKUP($Z284,CODES,2,FALSE),"")&amp;" ",$BG284&amp;" ")))</f>
        <v/>
      </c>
      <c r="DE284" s="84">
        <f>IF($CK284="","",IF($O284="Y",$CK284,SUBSTITUTE($CK284,$BG284&amp;" "&amp;IF($AN284="",IFERROR(VLOOKUP($Z284,CODES,2,FALSE),""),IFERROR(VLOOKUP($AN284,CODES,2,FALSE),""))&amp;" ",$BG284&amp;" ")))</f>
        <v/>
      </c>
      <c r="DF284" s="84">
        <f>IF($CJ284="","",$DC284&amp;"|"&amp;$DD284&amp;"|"&amp;$DB284&amp;"|"&amp;$AT284&amp;"|"&amp;$V284&amp;"|"&amp;$Y284&amp;"|"&amp;$AB284)</f>
        <v/>
      </c>
      <c r="DG284" s="84">
        <f>IF(DF284="","",IF(COUNTIF($DF$6:DF284,DF284)=1,MAX($DG$5:DG283)+1,INDEX($DG$5:DG283,MATCH(DF284,$DF$5:DF283,0))))</f>
        <v/>
      </c>
      <c r="DH284" s="84">
        <f>IF($CK284="","",$DC284&amp;"|"&amp;$DE284&amp;"|"&amp;$AI284&amp;"|"&amp;$BK284&amp;"|"&amp;$BL284)</f>
        <v/>
      </c>
      <c r="DI284" s="84">
        <f>IF(DH284="","",IF(COUNTIF($DH$6:DH284,DH284)=1,MAX($DI$5:DI283)+1,INDEX($DI$5:DI283,MATCH(DH284,$DH$5:DH283,0))))</f>
        <v/>
      </c>
      <c r="DJ284" s="84">
        <f>IF($A284="","",IF($B284="","qty, ","")&amp;IF($C284="","scope, ","")&amp;IF(OR($K284="",$M284=""),"size, ","")&amp;IF(AND($A284&lt;&gt;"",$C284&lt;&gt;"DOOR ONLY"),IF($U284="","jamb depth, ","")&amp;IF($X284="","construction, ","")&amp;IF($Y284="","anchor, ","")&amp;IF($S284="","frame type, ",""),"")&amp;IF(AND(N($BJ284)&gt;0,$Z284=""),"hand, ","")&amp;IF(N($BJ284)&gt;0,IF($AH284="","door material, ","")&amp;IF($AL284="","face type, ","")&amp;IF($AP284="","lock prep, ","")&amp;IF(AND($AO284="",$AC284=""),"hinge prep, ",""),"")&amp;IF(AND($CH284&gt;0,$AH284="FRP"),"FRP cannot carry a label, ","")&amp;IF(AND($O284="Y",OR($Z284="L",$Z284="R",$Z284="LR",$Z284="RR")),"pair marked but hand is single, ","")&amp;IF(AND($O284&lt;&gt;"Y",OR($Z284="PR",AND(LEN($Z284)&gt;1,ISNUMBER(SEARCH("-",$Z284))))),"pair hand on a single door, ","")&amp;IF(AND(ISNUMBER($CI284),$CH284&lt;N($CI284)),"wall needs a "&amp;$CI284&amp;" min door, ","")&amp;IF(AND($CH284&gt;=180,AND(OR($CE284="FG",$CE284="HG",$CE284="FNV",$CE284="FV"),N($CF284)*N($CG284)&gt;100)),"180 min lite over 100 sq in, ","")&amp;IF(N($BK284)&gt;48,"leaf wider than 4'-0"&amp;CHAR(34)&amp;", ","")&amp;IF(AND($CT284,COUNT($AW284:$AZ284)=0,$CQ284&gt;0),"CUSTOM LOC with no locations typed, ",""))</f>
        <v/>
      </c>
      <c r="DK284" s="84">
        <f>IF($A284="","",IF(AND($CH284&gt;0,AND($A284&lt;&gt;"",$C284&lt;&gt;"DOOR ONLY"),$X284="KD",$E284="EXTERIOR"),"KD label on an exterior opening, ","")&amp;IF(AND($E284="EXTERIOR",OR(AND(AND($A284&lt;&gt;"",$C284&lt;&gt;"DOOR ONLY"),$W284="CR"),AND(N($BJ284)&gt;0,$AH284="CR"))),"exterior in CR steel (G9?), ","")&amp;IF(AND(ISNUMBER($BQ284),N($BQ284)&lt;32),"clear width ~"&amp;TEXT($BQ284,"0.0")&amp;CHAR(34)&amp;" under 32"&amp;CHAR(34)&amp;" (ADA), ","")&amp;IF(AND($CH284=90,AND(OR($CE284="FG",$CE284="HG",$CE284="FNV",$CE284="FV"),N($CF284)*N($CG284)&gt;100)),"90 min lite over 100 sq in (stair/exit), ","")&amp;IF(AND($CH284&gt;0,AND($A284&lt;&gt;"",$C284&lt;&gt;"DOOR ONLY"),OR($AF284="",$AF284="-")),"rated: closer reinf.?, ","")&amp;IF(OR($I284="CORRIDOR",$I284="SMOKE BARRIER"),"S label + smoke gasketing, ","")&amp;IF($CI284="?","wall type/hr not in IBC table, ","")&amp;IF(AND(N($BJ284)&gt;0,$BB284=""),"no hardware set, ","")&amp;IF(AND($BB284&lt;&gt;"",ISNA(MATCH($BB284&amp;"",HWSets,0))),"set "&amp;$BB284&amp;" not on HW Sets, ","")&amp;IF(N($BL284)&gt;96,"leaf over 8'-0"&amp;CHAR(34)&amp;" - check listing, ","")&amp;IF(AND($CT284,COUNT($AW284:$AZ284)&gt;0,COUNT($AW284:$AZ284)&lt;&gt;$CQ284),COUNT($AW284:$AZ284)&amp;" custom hinges typed, "&amp;$CQ284&amp;" expected, ","")&amp;IF(AND(ISNUMBER($CA284),OR(N($CA284)&lt;34,N($CA284)&gt;48)),"lock "&amp;TEXT($CA284,"0.0")&amp;CHAR(34)&amp;" AFF outside 34-48"&amp;CHAR(34)&amp;" (ADA), ","")&amp;IF(AND(ISNUMBER($AV284),ISNUMBER($BL284),N($AV284)&lt;IF(N($BL284)&lt;=60,2,IF(N($BL284)&lt;=90,3,IF(N($BL284)&lt;=120,4,5)))),"fewer hinges than standard, ",""))</f>
        <v/>
      </c>
    </row>
    <row r="285" ht="15" customHeight="1">
      <c r="A285" s="92" t="n"/>
      <c r="B285" s="93" t="n"/>
      <c r="C285" s="93" t="n"/>
      <c r="D285" s="93" t="n"/>
      <c r="E285" s="93" t="n"/>
      <c r="F285" s="93" t="n"/>
      <c r="G285" s="93" t="n"/>
      <c r="H285" s="93" t="n"/>
      <c r="I285" s="93" t="n"/>
      <c r="J285" s="93" t="n"/>
      <c r="K285" s="93" t="n"/>
      <c r="L285" s="93" t="n"/>
      <c r="M285" s="93" t="n"/>
      <c r="N285" s="93" t="n"/>
      <c r="O285" s="93" t="n"/>
      <c r="P285" s="93" t="n"/>
      <c r="Q285" s="93" t="n"/>
      <c r="R285" s="93" t="n"/>
      <c r="S285" s="94" t="n"/>
      <c r="T285" s="94" t="n"/>
      <c r="U285" s="94" t="n"/>
      <c r="V285" s="94" t="n"/>
      <c r="W285" s="94" t="n"/>
      <c r="X285" s="94" t="n"/>
      <c r="Y285" s="94" t="n"/>
      <c r="Z285" s="94" t="n"/>
      <c r="AA285" s="94" t="n"/>
      <c r="AB285" s="94" t="n"/>
      <c r="AC285" s="94" t="n"/>
      <c r="AD285" s="94" t="n"/>
      <c r="AE285" s="94" t="n"/>
      <c r="AF285" s="94" t="n"/>
      <c r="AG285" s="94" t="n"/>
      <c r="AH285" s="95" t="n"/>
      <c r="AI285" s="95" t="n"/>
      <c r="AJ285" s="95" t="n"/>
      <c r="AK285" s="95" t="n"/>
      <c r="AL285" s="95" t="n"/>
      <c r="AM285" s="95" t="n"/>
      <c r="AN285" s="95" t="n"/>
      <c r="AO285" s="95" t="n"/>
      <c r="AP285" s="95" t="n"/>
      <c r="AQ285" s="95" t="n"/>
      <c r="AR285" s="95" t="n"/>
      <c r="AS285" s="95" t="n"/>
      <c r="AT285" s="96" t="n"/>
      <c r="AU285" s="96" t="n"/>
      <c r="AV285" s="96" t="n"/>
      <c r="AW285" s="97" t="n"/>
      <c r="AX285" s="97" t="n"/>
      <c r="AY285" s="97" t="n"/>
      <c r="AZ285" s="97" t="n"/>
      <c r="BA285" s="97" t="n"/>
      <c r="BB285" s="98" t="n"/>
      <c r="BC285" s="98" t="n"/>
      <c r="BD285" s="99">
        <f>IF($A285="","",IF($DJ285&lt;&gt;"","FIX",IF($DK285&lt;&gt;"","CHECK","OK")))</f>
        <v/>
      </c>
      <c r="BE285" s="100">
        <f>IF($A285="","",IF($DJ285&lt;&gt;"","FIX: "&amp;LEFT($DJ285,LEN($DJ285)-2)&amp;IF($DK285&lt;&gt;"","  ·  ",""),"")&amp;IF($DK285&lt;&gt;"","CHECK: "&amp;LEFT($DK285,LEN($DK285)-2),""))</f>
        <v/>
      </c>
      <c r="BF285" s="99">
        <f>IF(OR($A285="",$K285=""),"",$K285&amp;"'-"&amp;N($L285)&amp;CHAR(34)&amp;" x "&amp;$M285&amp;"'-"&amp;N($N285)&amp;CHAR(34))</f>
        <v/>
      </c>
      <c r="BG285" s="99">
        <f>IF(OR($A285="",$K285=""),"",$K285&amp;N($L285)&amp;$M285&amp;N($N285))</f>
        <v/>
      </c>
      <c r="BH285" s="99">
        <f>IF(OR($A285="",$K285=""),"",$K285*12+N($L285))</f>
        <v/>
      </c>
      <c r="BI285" s="99">
        <f>IF(OR($A285="",$M285=""),"",$M285*12+N($N285))</f>
        <v/>
      </c>
      <c r="BJ285" s="99">
        <f>IF($A285="","",IF(OR($C285="FRAME ONLY",$S285="BL"),0,IF($O285="Y",2,1)))</f>
        <v/>
      </c>
      <c r="BK285" s="101">
        <f>IF(OR(N($BJ285)=0,$BH285=""),"",($BH285-2*EdgeClr-IF($BJ285=2,MeetClr,0))/$BJ285)</f>
        <v/>
      </c>
      <c r="BL285" s="101">
        <f>IF(OR(N($BJ285)=0,$BI285=""),"",$BI285-HeadClr-Undercut)</f>
        <v/>
      </c>
      <c r="BM285" s="101">
        <f>IF($BH285="","",$BH285+2*FaceW+IF(N($Q285)&gt;0,($Q285+FaceW)*IF($R285="LR",2,1),0))</f>
        <v/>
      </c>
      <c r="BN285" s="101">
        <f>IF($BI285="","",$BI285+IF($AB285="Y",4,FaceW)+IF(N($P285)&gt;0,$P285+FaceW,0)+IF(OR($S285="4F",$S285="BL"),FaceW,0))</f>
        <v/>
      </c>
      <c r="BO285" s="101">
        <f>IF($BM285="","",$BM285+2*ROSide)</f>
        <v/>
      </c>
      <c r="BP285" s="101">
        <f>IF($BN285="","",$BN285+ROTop)</f>
        <v/>
      </c>
      <c r="BQ285" s="102">
        <f>IF(OR(N($BJ285)=0,$BH285=""),"",$BH285/$BJ285-ClearDeduct)</f>
        <v/>
      </c>
      <c r="BR285" s="99">
        <f>IF(N($CH285)=0,"",IF($CH285&gt;=180,"A · 3 HR",IF($CH285&gt;=90,"B · 1-1/2 HR",IF($CH285&gt;=60,"B · 1 HR",IF($CH285&gt;=45,"C · 3/4 HR","20 MIN")))))&amp;IF(AND(N($CH285)&gt;0,OR($I285="CORRIDOR",$I285="SMOKE BARRIER"))," · S","")</f>
        <v/>
      </c>
      <c r="BS285" s="99">
        <f>IF($CS285,"",IF($AV285&lt;&gt;"",$AV285,IF(OR($AC285="HGC",$AO285="HGC"),"CONT",IF(($BI285-HeadClr-Undercut)&lt;=60,2,IF(($BI285-HeadClr-Undercut)&lt;=90,3,IF(($BI285-HeadClr-Undercut)&lt;=120,4,5))))))</f>
        <v/>
      </c>
      <c r="BT285" s="99">
        <f>IF($CS285,"",IF($CT285,"CUSTOM (typed)",IF($CV285,$AT285&amp;" "&amp;$CU285&amp;CHAR(34)&amp;IF($CU285&lt;&gt;$BI285,IF(AND($BI285&lt;$CU285,$BI285-IF(N(VLOOKUP($AT285&amp;"|"&amp;$CU285,LocTable,7,FALSE))&gt;0,VLOOKUP($AT285&amp;"|"&amp;$CU285,LocTable,7,FALSE),VLOOKUP($AT285&amp;"|"&amp;$CU285,LocTable,6,FALSE))-$CR285-0.75&gt;=2.125)," cut down"," adj."),""),"ANSI/SDI A250.6")))</f>
        <v/>
      </c>
      <c r="BU285" s="103">
        <f>IF($CS285,"",IF($CT285,IF(N($AW285)&gt;0,N($AW285),""),IF(1&gt;$CQ285,"",IF($CQ285=1,$CW285,$CW285+($CX285-$CW285)*0/($CQ285-1)))))</f>
        <v/>
      </c>
      <c r="BV285" s="103">
        <f>IF($CS285,"",IF($CT285,IF(N($AX285)&gt;0,N($AX285),""),IF(2&gt;$CQ285,"",IF($CQ285=1,$CW285,$CW285+($CX285-$CW285)*1/($CQ285-1)))))</f>
        <v/>
      </c>
      <c r="BW285" s="103">
        <f>IF($CS285,"",IF($CT285,IF(N($AY285)&gt;0,N($AY285),""),IF(3&gt;$CQ285,"",IF($CQ285=1,$CW285,$CW285+($CX285-$CW285)*2/($CQ285-1)))))</f>
        <v/>
      </c>
      <c r="BX285" s="103">
        <f>IF($CS285,"",IF($CT285,IF(N($AZ285)&gt;0,N($AZ285),""),IF(4&gt;$CQ285,"",IF($CQ285=1,$CW285,$CW285+($CX285-$CW285)*3/($CQ285-1)))))</f>
        <v/>
      </c>
      <c r="BY285" s="103">
        <f>IF($CS285,"",IF($CT285,"",IF(5&gt;$CQ285,"",IF($CQ285=1,$CW285,$CW285+($CX285-$CW285)*4/($CQ285-1)))))</f>
        <v/>
      </c>
      <c r="BZ285" s="103">
        <f>IF(OR($CS285,$AP285="-",AND($AP285="",$AD285="")),"",IF(N($BA285)&gt;0,N($BA285),IF($CV285,IF(AND($BI285&lt;$CU285,$BI285-IF(N(VLOOKUP($AT285&amp;"|"&amp;$CU285,LocTable,7,FALSE))&gt;0,VLOOKUP($AT285&amp;"|"&amp;$CU285,LocTable,7,FALSE),VLOOKUP($AT285&amp;"|"&amp;$CU285,LocTable,6,FALSE))-$CR285-0.75&gt;=2.125),VLOOKUP($AT285&amp;"|"&amp;$CU285,LocTable,8,FALSE),VLOOKUP($AT285&amp;"|"&amp;$CU285,LocTable,8,FALSE)+($BI285-$CU285)),$BI285-LockAFF)))</f>
        <v/>
      </c>
      <c r="CA285" s="104">
        <f>IF($BZ285="","",$BI285-$BZ285)</f>
        <v/>
      </c>
      <c r="CB285" s="99">
        <f>IF(OR(NOT(AND($A285&lt;&gt;"",$C285&lt;&gt;"DOOR ONLY")),$BI285=""),"",IF(($BI285+IF(N($P285)&gt;0,$P285+FaceW,0))&lt;=90,3,IF(($BI285+IF(N($P285)&gt;0,$P285+FaceW,0))&lt;=114,4,5)))</f>
        <v/>
      </c>
      <c r="CC285" s="99">
        <f>IF($CB285="","",$CB285*(2+IF(N($Q285)&gt;0,IF($R285="LR",2,1),0)))</f>
        <v/>
      </c>
      <c r="CD285" s="99">
        <f>IF($CB285="","",(2+IF(N($Q285)&gt;0,IF($R285="LR",2,1),0)))</f>
        <v/>
      </c>
      <c r="CE285" s="99">
        <f>IF(N($BJ285)=0,"",IF(OR($AL285="",$AL285="FLUSH"),"FLUSH",IFERROR(LEFT($AL285,FIND("-",$AL285)-1),LEFT($AL285,2))))</f>
        <v/>
      </c>
      <c r="CF285" s="99">
        <f>IF($CE285="","",IFERROR(VALUE(MID($AL285,FIND("-",$AL285)+1,FIND(CHAR(34)&amp;"x",$AL285)-FIND("-",$AL285)-1)),0))</f>
        <v/>
      </c>
      <c r="CG285" s="99">
        <f>IF($CE285="","",IFERROR(VALUE(MID($AL285,FIND(CHAR(34)&amp;"x",$AL285)+2,FIND(CHAR(34),$AL285,FIND(CHAR(34)&amp;"x",$AL285)+2)-FIND(CHAR(34)&amp;"x",$AL285)-2)),0))</f>
        <v/>
      </c>
      <c r="CH285" s="105">
        <f>IF(OR($A285="",$H285="",$H285="NO LAB"),0,IFERROR(VALUE(LEFT($H285,FIND(" ",$H285)-1)),0))</f>
        <v/>
      </c>
      <c r="CI285" s="106">
        <f>IF(OR($A285="",$I285="",$I285="NON-RATED",N($J285)=0),"",IFERROR(VLOOKUP($I285&amp;"|"&amp;$J285,IBC,2,FALSE),"?"))</f>
        <v/>
      </c>
      <c r="CJ285" s="100">
        <f>IF(NOT(AND($A285&lt;&gt;"",$C285&lt;&gt;"DOOR ONLY")),"",TRIM(IFERROR(VLOOKUP($U285,CODES,2,FALSE),"")&amp;" "&amp;$BG285&amp;" "&amp;IFERROR(VLOOKUP($Z285,CODES,2,FALSE),"")&amp;" "&amp;IFERROR(VLOOKUP($X285,CODES,2,FALSE),"")&amp;" "&amp;IFERROR(VLOOKUP($S285,CODES,2,FALSE),"")&amp;IF(N($P285)&gt;0," w/TRANSOM "&amp;$P285&amp;CHAR(34),"")&amp;IF(N($Q285)&gt;0," w/SIDELITE "&amp;$Q285&amp;CHAR(34)&amp;" "&amp;IF($R285="","R",$R285),"")&amp;IF($Y285="","  |  "," | "&amp;IFERROR(VLOOKUP($Y285,CODES,2,FALSE),"")&amp;" | ")&amp;IFERROR(VLOOKUP($AC285,CODES,2,FALSE),"")&amp;" "&amp;IFERROR(VLOOKUP($AD285,CODES,2,FALSE),"")&amp;IF(OR($AE285="",$AE285="-"),""," "&amp;$AE285)&amp;IF(OR($AF285="",$AF285="-"),""," "&amp;$AF285)&amp;IF($AB285="Y"," 4"&amp;CHAR(34)&amp;" HEAD","")&amp;" "&amp;IFERROR(VLOOKUP($H285,CODES,2,FALSE),"")&amp;IF($CT285," | LOC "&amp;$CY285,"")))</f>
        <v/>
      </c>
      <c r="CK285" s="100">
        <f>IF(NOT(AND($A285&lt;&gt;"",N($BJ285)&gt;0)),"",TRIM(IFERROR(VLOOKUP($AH285,CODES,2,FALSE),"")&amp;IF($AI285=""," "," "&amp;$AI285&amp;"GA ")&amp;$BG285&amp;" "&amp;IF($AN285="",IFERROR(VLOOKUP($Z285,CODES,2,FALSE),""),IFERROR(VLOOKUP($AN285,CODES,2,FALSE),""))&amp;IF($BJ285=2," PAIR","")&amp;" DOOR | "&amp;IF($AL285="","?",$AL285)&amp;" | "&amp;IF($AO285="",IFERROR(VLOOKUP($AC285,CODES,2,FALSE),""),IFERROR(VLOOKUP($AO285,CODES,2,FALSE),""))&amp;" "&amp;IFERROR(VLOOKUP($AP285,CODES,2,FALSE),"")&amp;IF(OR($AQ285="",$AQ285="-"),""," SEAM "&amp;$AQ285)&amp;IF($AR285="Y"," ASTRAGAL","")&amp;IF($AJ285=""," "," "&amp;$AJ285)&amp;IF($AK285=""," "," "&amp;$AK285)&amp;IF(OR($AT285="",$AT285="ANSI/SDI",$AT285="CUSTOM LOC"),""," "&amp;$AT285)&amp;IF($AM285=""," "," SERIES "&amp;$AM285)&amp;" "&amp;IFERROR(VLOOKUP($H285,CODES,2,FALSE),"")&amp;IF($CT285," | LOC "&amp;$CZ285,"")))</f>
        <v/>
      </c>
      <c r="CL285" s="99">
        <f>IF(CP285="","",IF(COUNTIF($CP$6:CP285,CP285)=1,MAX($CL$5:CL284)+1,INDEX($CL$5:CL284,MATCH(CP285,$CP$5:CP284,0))))</f>
        <v/>
      </c>
      <c r="CM285" s="99">
        <f>IF(NOT(AND($A285&lt;&gt;"",$C285&lt;&gt;"DOOR ONLY")),"",MAX($CM$5:CM284)+1)</f>
        <v/>
      </c>
      <c r="CN285" s="99">
        <f>IF(NOT(AND($A285&lt;&gt;"",N($BJ285)&gt;0)),"",MAX($CN$5:CN284)+1)</f>
        <v/>
      </c>
      <c r="CO285" s="99">
        <f>IF($A285="","",MAX($CO$5:CO284)+1)</f>
        <v/>
      </c>
      <c r="CP285" s="99">
        <f>IF(OR($A285="",$BH285="",$BI285=""),"",$BG285&amp;"|"&amp;$O285&amp;"|"&amp;$AL285&amp;"|"&amp;$S285&amp;"|"&amp;$P285&amp;"|"&amp;$Q285&amp;$R285&amp;"|"&amp;$C285&amp;"|"&amp;$AB285)</f>
        <v/>
      </c>
      <c r="CQ285" s="99">
        <f>N($BS285)</f>
        <v/>
      </c>
      <c r="CR285" s="99">
        <f>IF(N($AU285)&gt;0,N($AU285),4.5)</f>
        <v/>
      </c>
      <c r="CS285" s="99">
        <f>OR($A285="",$BI285="",$S285="BL",AND($C285="FRAME ONLY",OR($AC285="",$AC285="BLK")))</f>
        <v/>
      </c>
      <c r="CT285" s="99">
        <f>AND(NOT($CS285),OR($AT285="CUSTOM LOC",N($AW285)+N($AX285)+N($AY285)+N($AZ285)+N($BA285)&gt;0))</f>
        <v/>
      </c>
      <c r="CU285" s="99">
        <f>IF($BI285="","",IF($BI285&lt;=80,80,IF($BI285&lt;=84,84,96)))</f>
        <v/>
      </c>
      <c r="CV285" s="99">
        <f>ISNUMBER(MATCH($AT285&amp;"|80",LocKeys,0))</f>
        <v/>
      </c>
      <c r="CW285" s="101">
        <f>IF($CS285,"",IF($CV285,VLOOKUP($AT285&amp;"|"&amp;$CU285,LocTable,4,FALSE),5))</f>
        <v/>
      </c>
      <c r="CX285" s="101">
        <f>IF($CS285,"",IF($CV285,IF(OR($BI285=$CU285,AND($BI285&lt;$CU285,$BI285-IF(N(VLOOKUP($AT285&amp;"|"&amp;$CU285,LocTable,7,FALSE))&gt;0,VLOOKUP($AT285&amp;"|"&amp;$CU285,LocTable,7,FALSE),VLOOKUP($AT285&amp;"|"&amp;$CU285,LocTable,6,FALSE))-$CR285-0.75&gt;=2.125)),IF(N(VLOOKUP($AT285&amp;"|"&amp;$CU285,LocTable,7,FALSE))&gt;0,VLOOKUP($AT285&amp;"|"&amp;$CU285,LocTable,7,FALSE),VLOOKUP($AT285&amp;"|"&amp;$CU285,LocTable,6,FALSE)),$BI285-($CU285-IF(N(VLOOKUP($AT285&amp;"|"&amp;$CU285,LocTable,7,FALSE))&gt;0,VLOOKUP($AT285&amp;"|"&amp;$CU285,LocTable,7,FALSE),VLOOKUP($AT285&amp;"|"&amp;$CU285,LocTable,6,FALSE)))),$BI285-10-$CR285))</f>
        <v/>
      </c>
      <c r="CY285" s="100">
        <f>IF($CS285,"",TRIM(IF(ISNUMBER($BU285),"A "&amp;TRIM(TEXT($BU285,"# ?/??"))&amp;CHAR(34)&amp;"  ","")&amp;IF(ISNUMBER($BV285),"B "&amp;TRIM(TEXT($BV285,"# ?/??"))&amp;CHAR(34)&amp;"  ","")&amp;IF(ISNUMBER($BW285),"C "&amp;TRIM(TEXT($BW285,"# ?/??"))&amp;CHAR(34)&amp;"  ","")&amp;IF(ISNUMBER($BX285),"D "&amp;TRIM(TEXT($BX285,"# ?/??"))&amp;CHAR(34)&amp;"  ","")&amp;IF(ISNUMBER($BY285),"F "&amp;TRIM(TEXT($BY285,"# ?/??"))&amp;CHAR(34)&amp;"  ","")&amp;IF(ISNUMBER($BZ285),"E "&amp;TRIM(TEXT($BZ285,"# ?/??"))&amp;CHAR(34)&amp;"  ","")))</f>
        <v/>
      </c>
      <c r="CZ285" s="100">
        <f>IF(OR($CS285,N($BJ285)=0),"",TRIM(IF(ISNUMBER($BU285),"A "&amp;TRIM(TEXT($BU285-HeadClr,"# ?/??"))&amp;CHAR(34)&amp;"  ","")&amp;IF(ISNUMBER($BV285),"B "&amp;TRIM(TEXT($BV285-HeadClr,"# ?/??"))&amp;CHAR(34)&amp;"  ","")&amp;IF(ISNUMBER($BW285),"C "&amp;TRIM(TEXT($BW285-HeadClr,"# ?/??"))&amp;CHAR(34)&amp;"  ","")&amp;IF(ISNUMBER($BX285),"D "&amp;TRIM(TEXT($BX285-HeadClr,"# ?/??"))&amp;CHAR(34)&amp;"  ","")&amp;IF(ISNUMBER($BY285),"F "&amp;TRIM(TEXT($BY285-HeadClr,"# ?/??"))&amp;CHAR(34)&amp;"  ","")&amp;IF(ISNUMBER($BZ285),"E "&amp;TRIM(TEXT($BZ285-HeadClr,"# ?/??"))&amp;CHAR(34)&amp;"  ","")))</f>
        <v/>
      </c>
      <c r="DA285" s="99">
        <f>IF($A285="","",IF($AN285="",IFERROR(VLOOKUP($Z285,CODES,2,FALSE),""),IFERROR(VLOOKUP($AN285,CODES,2,FALSE),"")))</f>
        <v/>
      </c>
      <c r="DB285" s="99">
        <f>IF($A285="","",IF($O285="Y","PR",IF(OR($Z285="L",$Z285="RR",LEFT($Z285,2)="L-",LEFT($Z285,3)="RR-"),"LH","RH")))</f>
        <v/>
      </c>
      <c r="DC285" s="99">
        <f>IF($A285="","","S.HM"&amp;IF(OR($C285="DOOR ONLY",$X285&lt;&gt;"KD"),"MASONRY","DRYWALL")&amp;IF($C285="DOOR ONLY","",$U285)&amp;IF(AND($C285&lt;&gt;"FRAME ONLY",OR(LEFT($AH285,3)="OAK",LEFT($AH285,3)="BIR",LEFT($AH285,3)="MAP",$AH285="PC",$AH285="MC",$AH285="SCLC",$AH285="P-LAM")),"WD","HM")&amp;"1.75")</f>
        <v/>
      </c>
      <c r="DD285" s="99">
        <f>IF($CJ285="","",IF($O285="Y",$CJ285,SUBSTITUTE($CJ285,$BG285&amp;" "&amp;IFERROR(VLOOKUP($Z285,CODES,2,FALSE),"")&amp;" ",$BG285&amp;" ")))</f>
        <v/>
      </c>
      <c r="DE285" s="99">
        <f>IF($CK285="","",IF($O285="Y",$CK285,SUBSTITUTE($CK285,$BG285&amp;" "&amp;IF($AN285="",IFERROR(VLOOKUP($Z285,CODES,2,FALSE),""),IFERROR(VLOOKUP($AN285,CODES,2,FALSE),""))&amp;" ",$BG285&amp;" ")))</f>
        <v/>
      </c>
      <c r="DF285" s="99">
        <f>IF($CJ285="","",$DC285&amp;"|"&amp;$DD285&amp;"|"&amp;$DB285&amp;"|"&amp;$AT285&amp;"|"&amp;$V285&amp;"|"&amp;$Y285&amp;"|"&amp;$AB285)</f>
        <v/>
      </c>
      <c r="DG285" s="99">
        <f>IF(DF285="","",IF(COUNTIF($DF$6:DF285,DF285)=1,MAX($DG$5:DG284)+1,INDEX($DG$5:DG284,MATCH(DF285,$DF$5:DF284,0))))</f>
        <v/>
      </c>
      <c r="DH285" s="99">
        <f>IF($CK285="","",$DC285&amp;"|"&amp;$DE285&amp;"|"&amp;$AI285&amp;"|"&amp;$BK285&amp;"|"&amp;$BL285)</f>
        <v/>
      </c>
      <c r="DI285" s="99">
        <f>IF(DH285="","",IF(COUNTIF($DH$6:DH285,DH285)=1,MAX($DI$5:DI284)+1,INDEX($DI$5:DI284,MATCH(DH285,$DH$5:DH284,0))))</f>
        <v/>
      </c>
      <c r="DJ285" s="99">
        <f>IF($A285="","",IF($B285="","qty, ","")&amp;IF($C285="","scope, ","")&amp;IF(OR($K285="",$M285=""),"size, ","")&amp;IF(AND($A285&lt;&gt;"",$C285&lt;&gt;"DOOR ONLY"),IF($U285="","jamb depth, ","")&amp;IF($X285="","construction, ","")&amp;IF($Y285="","anchor, ","")&amp;IF($S285="","frame type, ",""),"")&amp;IF(AND(N($BJ285)&gt;0,$Z285=""),"hand, ","")&amp;IF(N($BJ285)&gt;0,IF($AH285="","door material, ","")&amp;IF($AL285="","face type, ","")&amp;IF($AP285="","lock prep, ","")&amp;IF(AND($AO285="",$AC285=""),"hinge prep, ",""),"")&amp;IF(AND($CH285&gt;0,$AH285="FRP"),"FRP cannot carry a label, ","")&amp;IF(AND($O285="Y",OR($Z285="L",$Z285="R",$Z285="LR",$Z285="RR")),"pair marked but hand is single, ","")&amp;IF(AND($O285&lt;&gt;"Y",OR($Z285="PR",AND(LEN($Z285)&gt;1,ISNUMBER(SEARCH("-",$Z285))))),"pair hand on a single door, ","")&amp;IF(AND(ISNUMBER($CI285),$CH285&lt;N($CI285)),"wall needs a "&amp;$CI285&amp;" min door, ","")&amp;IF(AND($CH285&gt;=180,AND(OR($CE285="FG",$CE285="HG",$CE285="FNV",$CE285="FV"),N($CF285)*N($CG285)&gt;100)),"180 min lite over 100 sq in, ","")&amp;IF(N($BK285)&gt;48,"leaf wider than 4'-0"&amp;CHAR(34)&amp;", ","")&amp;IF(AND($CT285,COUNT($AW285:$AZ285)=0,$CQ285&gt;0),"CUSTOM LOC with no locations typed, ",""))</f>
        <v/>
      </c>
      <c r="DK285" s="99">
        <f>IF($A285="","",IF(AND($CH285&gt;0,AND($A285&lt;&gt;"",$C285&lt;&gt;"DOOR ONLY"),$X285="KD",$E285="EXTERIOR"),"KD label on an exterior opening, ","")&amp;IF(AND($E285="EXTERIOR",OR(AND(AND($A285&lt;&gt;"",$C285&lt;&gt;"DOOR ONLY"),$W285="CR"),AND(N($BJ285)&gt;0,$AH285="CR"))),"exterior in CR steel (G9?), ","")&amp;IF(AND(ISNUMBER($BQ285),N($BQ285)&lt;32),"clear width ~"&amp;TEXT($BQ285,"0.0")&amp;CHAR(34)&amp;" under 32"&amp;CHAR(34)&amp;" (ADA), ","")&amp;IF(AND($CH285=90,AND(OR($CE285="FG",$CE285="HG",$CE285="FNV",$CE285="FV"),N($CF285)*N($CG285)&gt;100)),"90 min lite over 100 sq in (stair/exit), ","")&amp;IF(AND($CH285&gt;0,AND($A285&lt;&gt;"",$C285&lt;&gt;"DOOR ONLY"),OR($AF285="",$AF285="-")),"rated: closer reinf.?, ","")&amp;IF(OR($I285="CORRIDOR",$I285="SMOKE BARRIER"),"S label + smoke gasketing, ","")&amp;IF($CI285="?","wall type/hr not in IBC table, ","")&amp;IF(AND(N($BJ285)&gt;0,$BB285=""),"no hardware set, ","")&amp;IF(AND($BB285&lt;&gt;"",ISNA(MATCH($BB285&amp;"",HWSets,0))),"set "&amp;$BB285&amp;" not on HW Sets, ","")&amp;IF(N($BL285)&gt;96,"leaf over 8'-0"&amp;CHAR(34)&amp;" - check listing, ","")&amp;IF(AND($CT285,COUNT($AW285:$AZ285)&gt;0,COUNT($AW285:$AZ285)&lt;&gt;$CQ285),COUNT($AW285:$AZ285)&amp;" custom hinges typed, "&amp;$CQ285&amp;" expected, ","")&amp;IF(AND(ISNUMBER($CA285),OR(N($CA285)&lt;34,N($CA285)&gt;48)),"lock "&amp;TEXT($CA285,"0.0")&amp;CHAR(34)&amp;" AFF outside 34-48"&amp;CHAR(34)&amp;" (ADA), ","")&amp;IF(AND(ISNUMBER($AV285),ISNUMBER($BL285),N($AV285)&lt;IF(N($BL285)&lt;=60,2,IF(N($BL285)&lt;=90,3,IF(N($BL285)&lt;=120,4,5)))),"fewer hinges than standard, ",""))</f>
        <v/>
      </c>
    </row>
    <row r="286" ht="15" customHeight="1">
      <c r="A286" s="77" t="n"/>
      <c r="B286" s="78" t="n"/>
      <c r="C286" s="78" t="n"/>
      <c r="D286" s="78" t="n"/>
      <c r="E286" s="78" t="n"/>
      <c r="F286" s="78" t="n"/>
      <c r="G286" s="78" t="n"/>
      <c r="H286" s="78" t="n"/>
      <c r="I286" s="78" t="n"/>
      <c r="J286" s="78" t="n"/>
      <c r="K286" s="78" t="n"/>
      <c r="L286" s="78" t="n"/>
      <c r="M286" s="78" t="n"/>
      <c r="N286" s="78" t="n"/>
      <c r="O286" s="78" t="n"/>
      <c r="P286" s="78" t="n"/>
      <c r="Q286" s="78" t="n"/>
      <c r="R286" s="78" t="n"/>
      <c r="S286" s="79" t="n"/>
      <c r="T286" s="79" t="n"/>
      <c r="U286" s="79" t="n"/>
      <c r="V286" s="79" t="n"/>
      <c r="W286" s="79" t="n"/>
      <c r="X286" s="79" t="n"/>
      <c r="Y286" s="79" t="n"/>
      <c r="Z286" s="79" t="n"/>
      <c r="AA286" s="79" t="n"/>
      <c r="AB286" s="79" t="n"/>
      <c r="AC286" s="79" t="n"/>
      <c r="AD286" s="79" t="n"/>
      <c r="AE286" s="79" t="n"/>
      <c r="AF286" s="79" t="n"/>
      <c r="AG286" s="79" t="n"/>
      <c r="AH286" s="80" t="n"/>
      <c r="AI286" s="80" t="n"/>
      <c r="AJ286" s="80" t="n"/>
      <c r="AK286" s="80" t="n"/>
      <c r="AL286" s="80" t="n"/>
      <c r="AM286" s="80" t="n"/>
      <c r="AN286" s="80" t="n"/>
      <c r="AO286" s="80" t="n"/>
      <c r="AP286" s="80" t="n"/>
      <c r="AQ286" s="80" t="n"/>
      <c r="AR286" s="80" t="n"/>
      <c r="AS286" s="80" t="n"/>
      <c r="AT286" s="81" t="n"/>
      <c r="AU286" s="81" t="n"/>
      <c r="AV286" s="81" t="n"/>
      <c r="AW286" s="82" t="n"/>
      <c r="AX286" s="82" t="n"/>
      <c r="AY286" s="82" t="n"/>
      <c r="AZ286" s="82" t="n"/>
      <c r="BA286" s="82" t="n"/>
      <c r="BB286" s="83" t="n"/>
      <c r="BC286" s="83" t="n"/>
      <c r="BD286" s="84">
        <f>IF($A286="","",IF($DJ286&lt;&gt;"","FIX",IF($DK286&lt;&gt;"","CHECK","OK")))</f>
        <v/>
      </c>
      <c r="BE286" s="85">
        <f>IF($A286="","",IF($DJ286&lt;&gt;"","FIX: "&amp;LEFT($DJ286,LEN($DJ286)-2)&amp;IF($DK286&lt;&gt;"","  ·  ",""),"")&amp;IF($DK286&lt;&gt;"","CHECK: "&amp;LEFT($DK286,LEN($DK286)-2),""))</f>
        <v/>
      </c>
      <c r="BF286" s="84">
        <f>IF(OR($A286="",$K286=""),"",$K286&amp;"'-"&amp;N($L286)&amp;CHAR(34)&amp;" x "&amp;$M286&amp;"'-"&amp;N($N286)&amp;CHAR(34))</f>
        <v/>
      </c>
      <c r="BG286" s="84">
        <f>IF(OR($A286="",$K286=""),"",$K286&amp;N($L286)&amp;$M286&amp;N($N286))</f>
        <v/>
      </c>
      <c r="BH286" s="84">
        <f>IF(OR($A286="",$K286=""),"",$K286*12+N($L286))</f>
        <v/>
      </c>
      <c r="BI286" s="84">
        <f>IF(OR($A286="",$M286=""),"",$M286*12+N($N286))</f>
        <v/>
      </c>
      <c r="BJ286" s="84">
        <f>IF($A286="","",IF(OR($C286="FRAME ONLY",$S286="BL"),0,IF($O286="Y",2,1)))</f>
        <v/>
      </c>
      <c r="BK286" s="86">
        <f>IF(OR(N($BJ286)=0,$BH286=""),"",($BH286-2*EdgeClr-IF($BJ286=2,MeetClr,0))/$BJ286)</f>
        <v/>
      </c>
      <c r="BL286" s="86">
        <f>IF(OR(N($BJ286)=0,$BI286=""),"",$BI286-HeadClr-Undercut)</f>
        <v/>
      </c>
      <c r="BM286" s="86">
        <f>IF($BH286="","",$BH286+2*FaceW+IF(N($Q286)&gt;0,($Q286+FaceW)*IF($R286="LR",2,1),0))</f>
        <v/>
      </c>
      <c r="BN286" s="86">
        <f>IF($BI286="","",$BI286+IF($AB286="Y",4,FaceW)+IF(N($P286)&gt;0,$P286+FaceW,0)+IF(OR($S286="4F",$S286="BL"),FaceW,0))</f>
        <v/>
      </c>
      <c r="BO286" s="86">
        <f>IF($BM286="","",$BM286+2*ROSide)</f>
        <v/>
      </c>
      <c r="BP286" s="86">
        <f>IF($BN286="","",$BN286+ROTop)</f>
        <v/>
      </c>
      <c r="BQ286" s="87">
        <f>IF(OR(N($BJ286)=0,$BH286=""),"",$BH286/$BJ286-ClearDeduct)</f>
        <v/>
      </c>
      <c r="BR286" s="84">
        <f>IF(N($CH286)=0,"",IF($CH286&gt;=180,"A · 3 HR",IF($CH286&gt;=90,"B · 1-1/2 HR",IF($CH286&gt;=60,"B · 1 HR",IF($CH286&gt;=45,"C · 3/4 HR","20 MIN")))))&amp;IF(AND(N($CH286)&gt;0,OR($I286="CORRIDOR",$I286="SMOKE BARRIER"))," · S","")</f>
        <v/>
      </c>
      <c r="BS286" s="84">
        <f>IF($CS286,"",IF($AV286&lt;&gt;"",$AV286,IF(OR($AC286="HGC",$AO286="HGC"),"CONT",IF(($BI286-HeadClr-Undercut)&lt;=60,2,IF(($BI286-HeadClr-Undercut)&lt;=90,3,IF(($BI286-HeadClr-Undercut)&lt;=120,4,5))))))</f>
        <v/>
      </c>
      <c r="BT286" s="84">
        <f>IF($CS286,"",IF($CT286,"CUSTOM (typed)",IF($CV286,$AT286&amp;" "&amp;$CU286&amp;CHAR(34)&amp;IF($CU286&lt;&gt;$BI286,IF(AND($BI286&lt;$CU286,$BI286-IF(N(VLOOKUP($AT286&amp;"|"&amp;$CU286,LocTable,7,FALSE))&gt;0,VLOOKUP($AT286&amp;"|"&amp;$CU286,LocTable,7,FALSE),VLOOKUP($AT286&amp;"|"&amp;$CU286,LocTable,6,FALSE))-$CR286-0.75&gt;=2.125)," cut down"," adj."),""),"ANSI/SDI A250.6")))</f>
        <v/>
      </c>
      <c r="BU286" s="88">
        <f>IF($CS286,"",IF($CT286,IF(N($AW286)&gt;0,N($AW286),""),IF(1&gt;$CQ286,"",IF($CQ286=1,$CW286,$CW286+($CX286-$CW286)*0/($CQ286-1)))))</f>
        <v/>
      </c>
      <c r="BV286" s="88">
        <f>IF($CS286,"",IF($CT286,IF(N($AX286)&gt;0,N($AX286),""),IF(2&gt;$CQ286,"",IF($CQ286=1,$CW286,$CW286+($CX286-$CW286)*1/($CQ286-1)))))</f>
        <v/>
      </c>
      <c r="BW286" s="88">
        <f>IF($CS286,"",IF($CT286,IF(N($AY286)&gt;0,N($AY286),""),IF(3&gt;$CQ286,"",IF($CQ286=1,$CW286,$CW286+($CX286-$CW286)*2/($CQ286-1)))))</f>
        <v/>
      </c>
      <c r="BX286" s="88">
        <f>IF($CS286,"",IF($CT286,IF(N($AZ286)&gt;0,N($AZ286),""),IF(4&gt;$CQ286,"",IF($CQ286=1,$CW286,$CW286+($CX286-$CW286)*3/($CQ286-1)))))</f>
        <v/>
      </c>
      <c r="BY286" s="88">
        <f>IF($CS286,"",IF($CT286,"",IF(5&gt;$CQ286,"",IF($CQ286=1,$CW286,$CW286+($CX286-$CW286)*4/($CQ286-1)))))</f>
        <v/>
      </c>
      <c r="BZ286" s="88">
        <f>IF(OR($CS286,$AP286="-",AND($AP286="",$AD286="")),"",IF(N($BA286)&gt;0,N($BA286),IF($CV286,IF(AND($BI286&lt;$CU286,$BI286-IF(N(VLOOKUP($AT286&amp;"|"&amp;$CU286,LocTable,7,FALSE))&gt;0,VLOOKUP($AT286&amp;"|"&amp;$CU286,LocTable,7,FALSE),VLOOKUP($AT286&amp;"|"&amp;$CU286,LocTable,6,FALSE))-$CR286-0.75&gt;=2.125),VLOOKUP($AT286&amp;"|"&amp;$CU286,LocTable,8,FALSE),VLOOKUP($AT286&amp;"|"&amp;$CU286,LocTable,8,FALSE)+($BI286-$CU286)),$BI286-LockAFF)))</f>
        <v/>
      </c>
      <c r="CA286" s="89">
        <f>IF($BZ286="","",$BI286-$BZ286)</f>
        <v/>
      </c>
      <c r="CB286" s="84">
        <f>IF(OR(NOT(AND($A286&lt;&gt;"",$C286&lt;&gt;"DOOR ONLY")),$BI286=""),"",IF(($BI286+IF(N($P286)&gt;0,$P286+FaceW,0))&lt;=90,3,IF(($BI286+IF(N($P286)&gt;0,$P286+FaceW,0))&lt;=114,4,5)))</f>
        <v/>
      </c>
      <c r="CC286" s="84">
        <f>IF($CB286="","",$CB286*(2+IF(N($Q286)&gt;0,IF($R286="LR",2,1),0)))</f>
        <v/>
      </c>
      <c r="CD286" s="84">
        <f>IF($CB286="","",(2+IF(N($Q286)&gt;0,IF($R286="LR",2,1),0)))</f>
        <v/>
      </c>
      <c r="CE286" s="84">
        <f>IF(N($BJ286)=0,"",IF(OR($AL286="",$AL286="FLUSH"),"FLUSH",IFERROR(LEFT($AL286,FIND("-",$AL286)-1),LEFT($AL286,2))))</f>
        <v/>
      </c>
      <c r="CF286" s="84">
        <f>IF($CE286="","",IFERROR(VALUE(MID($AL286,FIND("-",$AL286)+1,FIND(CHAR(34)&amp;"x",$AL286)-FIND("-",$AL286)-1)),0))</f>
        <v/>
      </c>
      <c r="CG286" s="84">
        <f>IF($CE286="","",IFERROR(VALUE(MID($AL286,FIND(CHAR(34)&amp;"x",$AL286)+2,FIND(CHAR(34),$AL286,FIND(CHAR(34)&amp;"x",$AL286)+2)-FIND(CHAR(34)&amp;"x",$AL286)-2)),0))</f>
        <v/>
      </c>
      <c r="CH286" s="90">
        <f>IF(OR($A286="",$H286="",$H286="NO LAB"),0,IFERROR(VALUE(LEFT($H286,FIND(" ",$H286)-1)),0))</f>
        <v/>
      </c>
      <c r="CI286" s="91">
        <f>IF(OR($A286="",$I286="",$I286="NON-RATED",N($J286)=0),"",IFERROR(VLOOKUP($I286&amp;"|"&amp;$J286,IBC,2,FALSE),"?"))</f>
        <v/>
      </c>
      <c r="CJ286" s="85">
        <f>IF(NOT(AND($A286&lt;&gt;"",$C286&lt;&gt;"DOOR ONLY")),"",TRIM(IFERROR(VLOOKUP($U286,CODES,2,FALSE),"")&amp;" "&amp;$BG286&amp;" "&amp;IFERROR(VLOOKUP($Z286,CODES,2,FALSE),"")&amp;" "&amp;IFERROR(VLOOKUP($X286,CODES,2,FALSE),"")&amp;" "&amp;IFERROR(VLOOKUP($S286,CODES,2,FALSE),"")&amp;IF(N($P286)&gt;0," w/TRANSOM "&amp;$P286&amp;CHAR(34),"")&amp;IF(N($Q286)&gt;0," w/SIDELITE "&amp;$Q286&amp;CHAR(34)&amp;" "&amp;IF($R286="","R",$R286),"")&amp;IF($Y286="","  |  "," | "&amp;IFERROR(VLOOKUP($Y286,CODES,2,FALSE),"")&amp;" | ")&amp;IFERROR(VLOOKUP($AC286,CODES,2,FALSE),"")&amp;" "&amp;IFERROR(VLOOKUP($AD286,CODES,2,FALSE),"")&amp;IF(OR($AE286="",$AE286="-"),""," "&amp;$AE286)&amp;IF(OR($AF286="",$AF286="-"),""," "&amp;$AF286)&amp;IF($AB286="Y"," 4"&amp;CHAR(34)&amp;" HEAD","")&amp;" "&amp;IFERROR(VLOOKUP($H286,CODES,2,FALSE),"")&amp;IF($CT286," | LOC "&amp;$CY286,"")))</f>
        <v/>
      </c>
      <c r="CK286" s="85">
        <f>IF(NOT(AND($A286&lt;&gt;"",N($BJ286)&gt;0)),"",TRIM(IFERROR(VLOOKUP($AH286,CODES,2,FALSE),"")&amp;IF($AI286=""," "," "&amp;$AI286&amp;"GA ")&amp;$BG286&amp;" "&amp;IF($AN286="",IFERROR(VLOOKUP($Z286,CODES,2,FALSE),""),IFERROR(VLOOKUP($AN286,CODES,2,FALSE),""))&amp;IF($BJ286=2," PAIR","")&amp;" DOOR | "&amp;IF($AL286="","?",$AL286)&amp;" | "&amp;IF($AO286="",IFERROR(VLOOKUP($AC286,CODES,2,FALSE),""),IFERROR(VLOOKUP($AO286,CODES,2,FALSE),""))&amp;" "&amp;IFERROR(VLOOKUP($AP286,CODES,2,FALSE),"")&amp;IF(OR($AQ286="",$AQ286="-"),""," SEAM "&amp;$AQ286)&amp;IF($AR286="Y"," ASTRAGAL","")&amp;IF($AJ286=""," "," "&amp;$AJ286)&amp;IF($AK286=""," "," "&amp;$AK286)&amp;IF(OR($AT286="",$AT286="ANSI/SDI",$AT286="CUSTOM LOC"),""," "&amp;$AT286)&amp;IF($AM286=""," "," SERIES "&amp;$AM286)&amp;" "&amp;IFERROR(VLOOKUP($H286,CODES,2,FALSE),"")&amp;IF($CT286," | LOC "&amp;$CZ286,"")))</f>
        <v/>
      </c>
      <c r="CL286" s="84">
        <f>IF(CP286="","",IF(COUNTIF($CP$6:CP286,CP286)=1,MAX($CL$5:CL285)+1,INDEX($CL$5:CL285,MATCH(CP286,$CP$5:CP285,0))))</f>
        <v/>
      </c>
      <c r="CM286" s="84">
        <f>IF(NOT(AND($A286&lt;&gt;"",$C286&lt;&gt;"DOOR ONLY")),"",MAX($CM$5:CM285)+1)</f>
        <v/>
      </c>
      <c r="CN286" s="84">
        <f>IF(NOT(AND($A286&lt;&gt;"",N($BJ286)&gt;0)),"",MAX($CN$5:CN285)+1)</f>
        <v/>
      </c>
      <c r="CO286" s="84">
        <f>IF($A286="","",MAX($CO$5:CO285)+1)</f>
        <v/>
      </c>
      <c r="CP286" s="84">
        <f>IF(OR($A286="",$BH286="",$BI286=""),"",$BG286&amp;"|"&amp;$O286&amp;"|"&amp;$AL286&amp;"|"&amp;$S286&amp;"|"&amp;$P286&amp;"|"&amp;$Q286&amp;$R286&amp;"|"&amp;$C286&amp;"|"&amp;$AB286)</f>
        <v/>
      </c>
      <c r="CQ286" s="84">
        <f>N($BS286)</f>
        <v/>
      </c>
      <c r="CR286" s="84">
        <f>IF(N($AU286)&gt;0,N($AU286),4.5)</f>
        <v/>
      </c>
      <c r="CS286" s="84">
        <f>OR($A286="",$BI286="",$S286="BL",AND($C286="FRAME ONLY",OR($AC286="",$AC286="BLK")))</f>
        <v/>
      </c>
      <c r="CT286" s="84">
        <f>AND(NOT($CS286),OR($AT286="CUSTOM LOC",N($AW286)+N($AX286)+N($AY286)+N($AZ286)+N($BA286)&gt;0))</f>
        <v/>
      </c>
      <c r="CU286" s="84">
        <f>IF($BI286="","",IF($BI286&lt;=80,80,IF($BI286&lt;=84,84,96)))</f>
        <v/>
      </c>
      <c r="CV286" s="84">
        <f>ISNUMBER(MATCH($AT286&amp;"|80",LocKeys,0))</f>
        <v/>
      </c>
      <c r="CW286" s="86">
        <f>IF($CS286,"",IF($CV286,VLOOKUP($AT286&amp;"|"&amp;$CU286,LocTable,4,FALSE),5))</f>
        <v/>
      </c>
      <c r="CX286" s="86">
        <f>IF($CS286,"",IF($CV286,IF(OR($BI286=$CU286,AND($BI286&lt;$CU286,$BI286-IF(N(VLOOKUP($AT286&amp;"|"&amp;$CU286,LocTable,7,FALSE))&gt;0,VLOOKUP($AT286&amp;"|"&amp;$CU286,LocTable,7,FALSE),VLOOKUP($AT286&amp;"|"&amp;$CU286,LocTable,6,FALSE))-$CR286-0.75&gt;=2.125)),IF(N(VLOOKUP($AT286&amp;"|"&amp;$CU286,LocTable,7,FALSE))&gt;0,VLOOKUP($AT286&amp;"|"&amp;$CU286,LocTable,7,FALSE),VLOOKUP($AT286&amp;"|"&amp;$CU286,LocTable,6,FALSE)),$BI286-($CU286-IF(N(VLOOKUP($AT286&amp;"|"&amp;$CU286,LocTable,7,FALSE))&gt;0,VLOOKUP($AT286&amp;"|"&amp;$CU286,LocTable,7,FALSE),VLOOKUP($AT286&amp;"|"&amp;$CU286,LocTable,6,FALSE)))),$BI286-10-$CR286))</f>
        <v/>
      </c>
      <c r="CY286" s="85">
        <f>IF($CS286,"",TRIM(IF(ISNUMBER($BU286),"A "&amp;TRIM(TEXT($BU286,"# ?/??"))&amp;CHAR(34)&amp;"  ","")&amp;IF(ISNUMBER($BV286),"B "&amp;TRIM(TEXT($BV286,"# ?/??"))&amp;CHAR(34)&amp;"  ","")&amp;IF(ISNUMBER($BW286),"C "&amp;TRIM(TEXT($BW286,"# ?/??"))&amp;CHAR(34)&amp;"  ","")&amp;IF(ISNUMBER($BX286),"D "&amp;TRIM(TEXT($BX286,"# ?/??"))&amp;CHAR(34)&amp;"  ","")&amp;IF(ISNUMBER($BY286),"F "&amp;TRIM(TEXT($BY286,"# ?/??"))&amp;CHAR(34)&amp;"  ","")&amp;IF(ISNUMBER($BZ286),"E "&amp;TRIM(TEXT($BZ286,"# ?/??"))&amp;CHAR(34)&amp;"  ","")))</f>
        <v/>
      </c>
      <c r="CZ286" s="85">
        <f>IF(OR($CS286,N($BJ286)=0),"",TRIM(IF(ISNUMBER($BU286),"A "&amp;TRIM(TEXT($BU286-HeadClr,"# ?/??"))&amp;CHAR(34)&amp;"  ","")&amp;IF(ISNUMBER($BV286),"B "&amp;TRIM(TEXT($BV286-HeadClr,"# ?/??"))&amp;CHAR(34)&amp;"  ","")&amp;IF(ISNUMBER($BW286),"C "&amp;TRIM(TEXT($BW286-HeadClr,"# ?/??"))&amp;CHAR(34)&amp;"  ","")&amp;IF(ISNUMBER($BX286),"D "&amp;TRIM(TEXT($BX286-HeadClr,"# ?/??"))&amp;CHAR(34)&amp;"  ","")&amp;IF(ISNUMBER($BY286),"F "&amp;TRIM(TEXT($BY286-HeadClr,"# ?/??"))&amp;CHAR(34)&amp;"  ","")&amp;IF(ISNUMBER($BZ286),"E "&amp;TRIM(TEXT($BZ286-HeadClr,"# ?/??"))&amp;CHAR(34)&amp;"  ","")))</f>
        <v/>
      </c>
      <c r="DA286" s="84">
        <f>IF($A286="","",IF($AN286="",IFERROR(VLOOKUP($Z286,CODES,2,FALSE),""),IFERROR(VLOOKUP($AN286,CODES,2,FALSE),"")))</f>
        <v/>
      </c>
      <c r="DB286" s="84">
        <f>IF($A286="","",IF($O286="Y","PR",IF(OR($Z286="L",$Z286="RR",LEFT($Z286,2)="L-",LEFT($Z286,3)="RR-"),"LH","RH")))</f>
        <v/>
      </c>
      <c r="DC286" s="84">
        <f>IF($A286="","","S.HM"&amp;IF(OR($C286="DOOR ONLY",$X286&lt;&gt;"KD"),"MASONRY","DRYWALL")&amp;IF($C286="DOOR ONLY","",$U286)&amp;IF(AND($C286&lt;&gt;"FRAME ONLY",OR(LEFT($AH286,3)="OAK",LEFT($AH286,3)="BIR",LEFT($AH286,3)="MAP",$AH286="PC",$AH286="MC",$AH286="SCLC",$AH286="P-LAM")),"WD","HM")&amp;"1.75")</f>
        <v/>
      </c>
      <c r="DD286" s="84">
        <f>IF($CJ286="","",IF($O286="Y",$CJ286,SUBSTITUTE($CJ286,$BG286&amp;" "&amp;IFERROR(VLOOKUP($Z286,CODES,2,FALSE),"")&amp;" ",$BG286&amp;" ")))</f>
        <v/>
      </c>
      <c r="DE286" s="84">
        <f>IF($CK286="","",IF($O286="Y",$CK286,SUBSTITUTE($CK286,$BG286&amp;" "&amp;IF($AN286="",IFERROR(VLOOKUP($Z286,CODES,2,FALSE),""),IFERROR(VLOOKUP($AN286,CODES,2,FALSE),""))&amp;" ",$BG286&amp;" ")))</f>
        <v/>
      </c>
      <c r="DF286" s="84">
        <f>IF($CJ286="","",$DC286&amp;"|"&amp;$DD286&amp;"|"&amp;$DB286&amp;"|"&amp;$AT286&amp;"|"&amp;$V286&amp;"|"&amp;$Y286&amp;"|"&amp;$AB286)</f>
        <v/>
      </c>
      <c r="DG286" s="84">
        <f>IF(DF286="","",IF(COUNTIF($DF$6:DF286,DF286)=1,MAX($DG$5:DG285)+1,INDEX($DG$5:DG285,MATCH(DF286,$DF$5:DF285,0))))</f>
        <v/>
      </c>
      <c r="DH286" s="84">
        <f>IF($CK286="","",$DC286&amp;"|"&amp;$DE286&amp;"|"&amp;$AI286&amp;"|"&amp;$BK286&amp;"|"&amp;$BL286)</f>
        <v/>
      </c>
      <c r="DI286" s="84">
        <f>IF(DH286="","",IF(COUNTIF($DH$6:DH286,DH286)=1,MAX($DI$5:DI285)+1,INDEX($DI$5:DI285,MATCH(DH286,$DH$5:DH285,0))))</f>
        <v/>
      </c>
      <c r="DJ286" s="84">
        <f>IF($A286="","",IF($B286="","qty, ","")&amp;IF($C286="","scope, ","")&amp;IF(OR($K286="",$M286=""),"size, ","")&amp;IF(AND($A286&lt;&gt;"",$C286&lt;&gt;"DOOR ONLY"),IF($U286="","jamb depth, ","")&amp;IF($X286="","construction, ","")&amp;IF($Y286="","anchor, ","")&amp;IF($S286="","frame type, ",""),"")&amp;IF(AND(N($BJ286)&gt;0,$Z286=""),"hand, ","")&amp;IF(N($BJ286)&gt;0,IF($AH286="","door material, ","")&amp;IF($AL286="","face type, ","")&amp;IF($AP286="","lock prep, ","")&amp;IF(AND($AO286="",$AC286=""),"hinge prep, ",""),"")&amp;IF(AND($CH286&gt;0,$AH286="FRP"),"FRP cannot carry a label, ","")&amp;IF(AND($O286="Y",OR($Z286="L",$Z286="R",$Z286="LR",$Z286="RR")),"pair marked but hand is single, ","")&amp;IF(AND($O286&lt;&gt;"Y",OR($Z286="PR",AND(LEN($Z286)&gt;1,ISNUMBER(SEARCH("-",$Z286))))),"pair hand on a single door, ","")&amp;IF(AND(ISNUMBER($CI286),$CH286&lt;N($CI286)),"wall needs a "&amp;$CI286&amp;" min door, ","")&amp;IF(AND($CH286&gt;=180,AND(OR($CE286="FG",$CE286="HG",$CE286="FNV",$CE286="FV"),N($CF286)*N($CG286)&gt;100)),"180 min lite over 100 sq in, ","")&amp;IF(N($BK286)&gt;48,"leaf wider than 4'-0"&amp;CHAR(34)&amp;", ","")&amp;IF(AND($CT286,COUNT($AW286:$AZ286)=0,$CQ286&gt;0),"CUSTOM LOC with no locations typed, ",""))</f>
        <v/>
      </c>
      <c r="DK286" s="84">
        <f>IF($A286="","",IF(AND($CH286&gt;0,AND($A286&lt;&gt;"",$C286&lt;&gt;"DOOR ONLY"),$X286="KD",$E286="EXTERIOR"),"KD label on an exterior opening, ","")&amp;IF(AND($E286="EXTERIOR",OR(AND(AND($A286&lt;&gt;"",$C286&lt;&gt;"DOOR ONLY"),$W286="CR"),AND(N($BJ286)&gt;0,$AH286="CR"))),"exterior in CR steel (G9?), ","")&amp;IF(AND(ISNUMBER($BQ286),N($BQ286)&lt;32),"clear width ~"&amp;TEXT($BQ286,"0.0")&amp;CHAR(34)&amp;" under 32"&amp;CHAR(34)&amp;" (ADA), ","")&amp;IF(AND($CH286=90,AND(OR($CE286="FG",$CE286="HG",$CE286="FNV",$CE286="FV"),N($CF286)*N($CG286)&gt;100)),"90 min lite over 100 sq in (stair/exit), ","")&amp;IF(AND($CH286&gt;0,AND($A286&lt;&gt;"",$C286&lt;&gt;"DOOR ONLY"),OR($AF286="",$AF286="-")),"rated: closer reinf.?, ","")&amp;IF(OR($I286="CORRIDOR",$I286="SMOKE BARRIER"),"S label + smoke gasketing, ","")&amp;IF($CI286="?","wall type/hr not in IBC table, ","")&amp;IF(AND(N($BJ286)&gt;0,$BB286=""),"no hardware set, ","")&amp;IF(AND($BB286&lt;&gt;"",ISNA(MATCH($BB286&amp;"",HWSets,0))),"set "&amp;$BB286&amp;" not on HW Sets, ","")&amp;IF(N($BL286)&gt;96,"leaf over 8'-0"&amp;CHAR(34)&amp;" - check listing, ","")&amp;IF(AND($CT286,COUNT($AW286:$AZ286)&gt;0,COUNT($AW286:$AZ286)&lt;&gt;$CQ286),COUNT($AW286:$AZ286)&amp;" custom hinges typed, "&amp;$CQ286&amp;" expected, ","")&amp;IF(AND(ISNUMBER($CA286),OR(N($CA286)&lt;34,N($CA286)&gt;48)),"lock "&amp;TEXT($CA286,"0.0")&amp;CHAR(34)&amp;" AFF outside 34-48"&amp;CHAR(34)&amp;" (ADA), ","")&amp;IF(AND(ISNUMBER($AV286),ISNUMBER($BL286),N($AV286)&lt;IF(N($BL286)&lt;=60,2,IF(N($BL286)&lt;=90,3,IF(N($BL286)&lt;=120,4,5)))),"fewer hinges than standard, ",""))</f>
        <v/>
      </c>
    </row>
    <row r="287" ht="15" customHeight="1">
      <c r="A287" s="77" t="n"/>
      <c r="B287" s="78" t="n"/>
      <c r="C287" s="78" t="n"/>
      <c r="D287" s="78" t="n"/>
      <c r="E287" s="78" t="n"/>
      <c r="F287" s="78" t="n"/>
      <c r="G287" s="78" t="n"/>
      <c r="H287" s="78" t="n"/>
      <c r="I287" s="78" t="n"/>
      <c r="J287" s="78" t="n"/>
      <c r="K287" s="78" t="n"/>
      <c r="L287" s="78" t="n"/>
      <c r="M287" s="78" t="n"/>
      <c r="N287" s="78" t="n"/>
      <c r="O287" s="78" t="n"/>
      <c r="P287" s="78" t="n"/>
      <c r="Q287" s="78" t="n"/>
      <c r="R287" s="78" t="n"/>
      <c r="S287" s="79" t="n"/>
      <c r="T287" s="79" t="n"/>
      <c r="U287" s="79" t="n"/>
      <c r="V287" s="79" t="n"/>
      <c r="W287" s="79" t="n"/>
      <c r="X287" s="79" t="n"/>
      <c r="Y287" s="79" t="n"/>
      <c r="Z287" s="79" t="n"/>
      <c r="AA287" s="79" t="n"/>
      <c r="AB287" s="79" t="n"/>
      <c r="AC287" s="79" t="n"/>
      <c r="AD287" s="79" t="n"/>
      <c r="AE287" s="79" t="n"/>
      <c r="AF287" s="79" t="n"/>
      <c r="AG287" s="79" t="n"/>
      <c r="AH287" s="80" t="n"/>
      <c r="AI287" s="80" t="n"/>
      <c r="AJ287" s="80" t="n"/>
      <c r="AK287" s="80" t="n"/>
      <c r="AL287" s="80" t="n"/>
      <c r="AM287" s="80" t="n"/>
      <c r="AN287" s="80" t="n"/>
      <c r="AO287" s="80" t="n"/>
      <c r="AP287" s="80" t="n"/>
      <c r="AQ287" s="80" t="n"/>
      <c r="AR287" s="80" t="n"/>
      <c r="AS287" s="80" t="n"/>
      <c r="AT287" s="81" t="n"/>
      <c r="AU287" s="81" t="n"/>
      <c r="AV287" s="81" t="n"/>
      <c r="AW287" s="82" t="n"/>
      <c r="AX287" s="82" t="n"/>
      <c r="AY287" s="82" t="n"/>
      <c r="AZ287" s="82" t="n"/>
      <c r="BA287" s="82" t="n"/>
      <c r="BB287" s="83" t="n"/>
      <c r="BC287" s="83" t="n"/>
      <c r="BD287" s="84">
        <f>IF($A287="","",IF($DJ287&lt;&gt;"","FIX",IF($DK287&lt;&gt;"","CHECK","OK")))</f>
        <v/>
      </c>
      <c r="BE287" s="85">
        <f>IF($A287="","",IF($DJ287&lt;&gt;"","FIX: "&amp;LEFT($DJ287,LEN($DJ287)-2)&amp;IF($DK287&lt;&gt;"","  ·  ",""),"")&amp;IF($DK287&lt;&gt;"","CHECK: "&amp;LEFT($DK287,LEN($DK287)-2),""))</f>
        <v/>
      </c>
      <c r="BF287" s="84">
        <f>IF(OR($A287="",$K287=""),"",$K287&amp;"'-"&amp;N($L287)&amp;CHAR(34)&amp;" x "&amp;$M287&amp;"'-"&amp;N($N287)&amp;CHAR(34))</f>
        <v/>
      </c>
      <c r="BG287" s="84">
        <f>IF(OR($A287="",$K287=""),"",$K287&amp;N($L287)&amp;$M287&amp;N($N287))</f>
        <v/>
      </c>
      <c r="BH287" s="84">
        <f>IF(OR($A287="",$K287=""),"",$K287*12+N($L287))</f>
        <v/>
      </c>
      <c r="BI287" s="84">
        <f>IF(OR($A287="",$M287=""),"",$M287*12+N($N287))</f>
        <v/>
      </c>
      <c r="BJ287" s="84">
        <f>IF($A287="","",IF(OR($C287="FRAME ONLY",$S287="BL"),0,IF($O287="Y",2,1)))</f>
        <v/>
      </c>
      <c r="BK287" s="86">
        <f>IF(OR(N($BJ287)=0,$BH287=""),"",($BH287-2*EdgeClr-IF($BJ287=2,MeetClr,0))/$BJ287)</f>
        <v/>
      </c>
      <c r="BL287" s="86">
        <f>IF(OR(N($BJ287)=0,$BI287=""),"",$BI287-HeadClr-Undercut)</f>
        <v/>
      </c>
      <c r="BM287" s="86">
        <f>IF($BH287="","",$BH287+2*FaceW+IF(N($Q287)&gt;0,($Q287+FaceW)*IF($R287="LR",2,1),0))</f>
        <v/>
      </c>
      <c r="BN287" s="86">
        <f>IF($BI287="","",$BI287+IF($AB287="Y",4,FaceW)+IF(N($P287)&gt;0,$P287+FaceW,0)+IF(OR($S287="4F",$S287="BL"),FaceW,0))</f>
        <v/>
      </c>
      <c r="BO287" s="86">
        <f>IF($BM287="","",$BM287+2*ROSide)</f>
        <v/>
      </c>
      <c r="BP287" s="86">
        <f>IF($BN287="","",$BN287+ROTop)</f>
        <v/>
      </c>
      <c r="BQ287" s="87">
        <f>IF(OR(N($BJ287)=0,$BH287=""),"",$BH287/$BJ287-ClearDeduct)</f>
        <v/>
      </c>
      <c r="BR287" s="84">
        <f>IF(N($CH287)=0,"",IF($CH287&gt;=180,"A · 3 HR",IF($CH287&gt;=90,"B · 1-1/2 HR",IF($CH287&gt;=60,"B · 1 HR",IF($CH287&gt;=45,"C · 3/4 HR","20 MIN")))))&amp;IF(AND(N($CH287)&gt;0,OR($I287="CORRIDOR",$I287="SMOKE BARRIER"))," · S","")</f>
        <v/>
      </c>
      <c r="BS287" s="84">
        <f>IF($CS287,"",IF($AV287&lt;&gt;"",$AV287,IF(OR($AC287="HGC",$AO287="HGC"),"CONT",IF(($BI287-HeadClr-Undercut)&lt;=60,2,IF(($BI287-HeadClr-Undercut)&lt;=90,3,IF(($BI287-HeadClr-Undercut)&lt;=120,4,5))))))</f>
        <v/>
      </c>
      <c r="BT287" s="84">
        <f>IF($CS287,"",IF($CT287,"CUSTOM (typed)",IF($CV287,$AT287&amp;" "&amp;$CU287&amp;CHAR(34)&amp;IF($CU287&lt;&gt;$BI287,IF(AND($BI287&lt;$CU287,$BI287-IF(N(VLOOKUP($AT287&amp;"|"&amp;$CU287,LocTable,7,FALSE))&gt;0,VLOOKUP($AT287&amp;"|"&amp;$CU287,LocTable,7,FALSE),VLOOKUP($AT287&amp;"|"&amp;$CU287,LocTable,6,FALSE))-$CR287-0.75&gt;=2.125)," cut down"," adj."),""),"ANSI/SDI A250.6")))</f>
        <v/>
      </c>
      <c r="BU287" s="88">
        <f>IF($CS287,"",IF($CT287,IF(N($AW287)&gt;0,N($AW287),""),IF(1&gt;$CQ287,"",IF($CQ287=1,$CW287,$CW287+($CX287-$CW287)*0/($CQ287-1)))))</f>
        <v/>
      </c>
      <c r="BV287" s="88">
        <f>IF($CS287,"",IF($CT287,IF(N($AX287)&gt;0,N($AX287),""),IF(2&gt;$CQ287,"",IF($CQ287=1,$CW287,$CW287+($CX287-$CW287)*1/($CQ287-1)))))</f>
        <v/>
      </c>
      <c r="BW287" s="88">
        <f>IF($CS287,"",IF($CT287,IF(N($AY287)&gt;0,N($AY287),""),IF(3&gt;$CQ287,"",IF($CQ287=1,$CW287,$CW287+($CX287-$CW287)*2/($CQ287-1)))))</f>
        <v/>
      </c>
      <c r="BX287" s="88">
        <f>IF($CS287,"",IF($CT287,IF(N($AZ287)&gt;0,N($AZ287),""),IF(4&gt;$CQ287,"",IF($CQ287=1,$CW287,$CW287+($CX287-$CW287)*3/($CQ287-1)))))</f>
        <v/>
      </c>
      <c r="BY287" s="88">
        <f>IF($CS287,"",IF($CT287,"",IF(5&gt;$CQ287,"",IF($CQ287=1,$CW287,$CW287+($CX287-$CW287)*4/($CQ287-1)))))</f>
        <v/>
      </c>
      <c r="BZ287" s="88">
        <f>IF(OR($CS287,$AP287="-",AND($AP287="",$AD287="")),"",IF(N($BA287)&gt;0,N($BA287),IF($CV287,IF(AND($BI287&lt;$CU287,$BI287-IF(N(VLOOKUP($AT287&amp;"|"&amp;$CU287,LocTable,7,FALSE))&gt;0,VLOOKUP($AT287&amp;"|"&amp;$CU287,LocTable,7,FALSE),VLOOKUP($AT287&amp;"|"&amp;$CU287,LocTable,6,FALSE))-$CR287-0.75&gt;=2.125),VLOOKUP($AT287&amp;"|"&amp;$CU287,LocTable,8,FALSE),VLOOKUP($AT287&amp;"|"&amp;$CU287,LocTable,8,FALSE)+($BI287-$CU287)),$BI287-LockAFF)))</f>
        <v/>
      </c>
      <c r="CA287" s="89">
        <f>IF($BZ287="","",$BI287-$BZ287)</f>
        <v/>
      </c>
      <c r="CB287" s="84">
        <f>IF(OR(NOT(AND($A287&lt;&gt;"",$C287&lt;&gt;"DOOR ONLY")),$BI287=""),"",IF(($BI287+IF(N($P287)&gt;0,$P287+FaceW,0))&lt;=90,3,IF(($BI287+IF(N($P287)&gt;0,$P287+FaceW,0))&lt;=114,4,5)))</f>
        <v/>
      </c>
      <c r="CC287" s="84">
        <f>IF($CB287="","",$CB287*(2+IF(N($Q287)&gt;0,IF($R287="LR",2,1),0)))</f>
        <v/>
      </c>
      <c r="CD287" s="84">
        <f>IF($CB287="","",(2+IF(N($Q287)&gt;0,IF($R287="LR",2,1),0)))</f>
        <v/>
      </c>
      <c r="CE287" s="84">
        <f>IF(N($BJ287)=0,"",IF(OR($AL287="",$AL287="FLUSH"),"FLUSH",IFERROR(LEFT($AL287,FIND("-",$AL287)-1),LEFT($AL287,2))))</f>
        <v/>
      </c>
      <c r="CF287" s="84">
        <f>IF($CE287="","",IFERROR(VALUE(MID($AL287,FIND("-",$AL287)+1,FIND(CHAR(34)&amp;"x",$AL287)-FIND("-",$AL287)-1)),0))</f>
        <v/>
      </c>
      <c r="CG287" s="84">
        <f>IF($CE287="","",IFERROR(VALUE(MID($AL287,FIND(CHAR(34)&amp;"x",$AL287)+2,FIND(CHAR(34),$AL287,FIND(CHAR(34)&amp;"x",$AL287)+2)-FIND(CHAR(34)&amp;"x",$AL287)-2)),0))</f>
        <v/>
      </c>
      <c r="CH287" s="90">
        <f>IF(OR($A287="",$H287="",$H287="NO LAB"),0,IFERROR(VALUE(LEFT($H287,FIND(" ",$H287)-1)),0))</f>
        <v/>
      </c>
      <c r="CI287" s="91">
        <f>IF(OR($A287="",$I287="",$I287="NON-RATED",N($J287)=0),"",IFERROR(VLOOKUP($I287&amp;"|"&amp;$J287,IBC,2,FALSE),"?"))</f>
        <v/>
      </c>
      <c r="CJ287" s="85">
        <f>IF(NOT(AND($A287&lt;&gt;"",$C287&lt;&gt;"DOOR ONLY")),"",TRIM(IFERROR(VLOOKUP($U287,CODES,2,FALSE),"")&amp;" "&amp;$BG287&amp;" "&amp;IFERROR(VLOOKUP($Z287,CODES,2,FALSE),"")&amp;" "&amp;IFERROR(VLOOKUP($X287,CODES,2,FALSE),"")&amp;" "&amp;IFERROR(VLOOKUP($S287,CODES,2,FALSE),"")&amp;IF(N($P287)&gt;0," w/TRANSOM "&amp;$P287&amp;CHAR(34),"")&amp;IF(N($Q287)&gt;0," w/SIDELITE "&amp;$Q287&amp;CHAR(34)&amp;" "&amp;IF($R287="","R",$R287),"")&amp;IF($Y287="","  |  "," | "&amp;IFERROR(VLOOKUP($Y287,CODES,2,FALSE),"")&amp;" | ")&amp;IFERROR(VLOOKUP($AC287,CODES,2,FALSE),"")&amp;" "&amp;IFERROR(VLOOKUP($AD287,CODES,2,FALSE),"")&amp;IF(OR($AE287="",$AE287="-"),""," "&amp;$AE287)&amp;IF(OR($AF287="",$AF287="-"),""," "&amp;$AF287)&amp;IF($AB287="Y"," 4"&amp;CHAR(34)&amp;" HEAD","")&amp;" "&amp;IFERROR(VLOOKUP($H287,CODES,2,FALSE),"")&amp;IF($CT287," | LOC "&amp;$CY287,"")))</f>
        <v/>
      </c>
      <c r="CK287" s="85">
        <f>IF(NOT(AND($A287&lt;&gt;"",N($BJ287)&gt;0)),"",TRIM(IFERROR(VLOOKUP($AH287,CODES,2,FALSE),"")&amp;IF($AI287=""," "," "&amp;$AI287&amp;"GA ")&amp;$BG287&amp;" "&amp;IF($AN287="",IFERROR(VLOOKUP($Z287,CODES,2,FALSE),""),IFERROR(VLOOKUP($AN287,CODES,2,FALSE),""))&amp;IF($BJ287=2," PAIR","")&amp;" DOOR | "&amp;IF($AL287="","?",$AL287)&amp;" | "&amp;IF($AO287="",IFERROR(VLOOKUP($AC287,CODES,2,FALSE),""),IFERROR(VLOOKUP($AO287,CODES,2,FALSE),""))&amp;" "&amp;IFERROR(VLOOKUP($AP287,CODES,2,FALSE),"")&amp;IF(OR($AQ287="",$AQ287="-"),""," SEAM "&amp;$AQ287)&amp;IF($AR287="Y"," ASTRAGAL","")&amp;IF($AJ287=""," "," "&amp;$AJ287)&amp;IF($AK287=""," "," "&amp;$AK287)&amp;IF(OR($AT287="",$AT287="ANSI/SDI",$AT287="CUSTOM LOC"),""," "&amp;$AT287)&amp;IF($AM287=""," "," SERIES "&amp;$AM287)&amp;" "&amp;IFERROR(VLOOKUP($H287,CODES,2,FALSE),"")&amp;IF($CT287," | LOC "&amp;$CZ287,"")))</f>
        <v/>
      </c>
      <c r="CL287" s="84">
        <f>IF(CP287="","",IF(COUNTIF($CP$6:CP287,CP287)=1,MAX($CL$5:CL286)+1,INDEX($CL$5:CL286,MATCH(CP287,$CP$5:CP286,0))))</f>
        <v/>
      </c>
      <c r="CM287" s="84">
        <f>IF(NOT(AND($A287&lt;&gt;"",$C287&lt;&gt;"DOOR ONLY")),"",MAX($CM$5:CM286)+1)</f>
        <v/>
      </c>
      <c r="CN287" s="84">
        <f>IF(NOT(AND($A287&lt;&gt;"",N($BJ287)&gt;0)),"",MAX($CN$5:CN286)+1)</f>
        <v/>
      </c>
      <c r="CO287" s="84">
        <f>IF($A287="","",MAX($CO$5:CO286)+1)</f>
        <v/>
      </c>
      <c r="CP287" s="84">
        <f>IF(OR($A287="",$BH287="",$BI287=""),"",$BG287&amp;"|"&amp;$O287&amp;"|"&amp;$AL287&amp;"|"&amp;$S287&amp;"|"&amp;$P287&amp;"|"&amp;$Q287&amp;$R287&amp;"|"&amp;$C287&amp;"|"&amp;$AB287)</f>
        <v/>
      </c>
      <c r="CQ287" s="84">
        <f>N($BS287)</f>
        <v/>
      </c>
      <c r="CR287" s="84">
        <f>IF(N($AU287)&gt;0,N($AU287),4.5)</f>
        <v/>
      </c>
      <c r="CS287" s="84">
        <f>OR($A287="",$BI287="",$S287="BL",AND($C287="FRAME ONLY",OR($AC287="",$AC287="BLK")))</f>
        <v/>
      </c>
      <c r="CT287" s="84">
        <f>AND(NOT($CS287),OR($AT287="CUSTOM LOC",N($AW287)+N($AX287)+N($AY287)+N($AZ287)+N($BA287)&gt;0))</f>
        <v/>
      </c>
      <c r="CU287" s="84">
        <f>IF($BI287="","",IF($BI287&lt;=80,80,IF($BI287&lt;=84,84,96)))</f>
        <v/>
      </c>
      <c r="CV287" s="84">
        <f>ISNUMBER(MATCH($AT287&amp;"|80",LocKeys,0))</f>
        <v/>
      </c>
      <c r="CW287" s="86">
        <f>IF($CS287,"",IF($CV287,VLOOKUP($AT287&amp;"|"&amp;$CU287,LocTable,4,FALSE),5))</f>
        <v/>
      </c>
      <c r="CX287" s="86">
        <f>IF($CS287,"",IF($CV287,IF(OR($BI287=$CU287,AND($BI287&lt;$CU287,$BI287-IF(N(VLOOKUP($AT287&amp;"|"&amp;$CU287,LocTable,7,FALSE))&gt;0,VLOOKUP($AT287&amp;"|"&amp;$CU287,LocTable,7,FALSE),VLOOKUP($AT287&amp;"|"&amp;$CU287,LocTable,6,FALSE))-$CR287-0.75&gt;=2.125)),IF(N(VLOOKUP($AT287&amp;"|"&amp;$CU287,LocTable,7,FALSE))&gt;0,VLOOKUP($AT287&amp;"|"&amp;$CU287,LocTable,7,FALSE),VLOOKUP($AT287&amp;"|"&amp;$CU287,LocTable,6,FALSE)),$BI287-($CU287-IF(N(VLOOKUP($AT287&amp;"|"&amp;$CU287,LocTable,7,FALSE))&gt;0,VLOOKUP($AT287&amp;"|"&amp;$CU287,LocTable,7,FALSE),VLOOKUP($AT287&amp;"|"&amp;$CU287,LocTable,6,FALSE)))),$BI287-10-$CR287))</f>
        <v/>
      </c>
      <c r="CY287" s="85">
        <f>IF($CS287,"",TRIM(IF(ISNUMBER($BU287),"A "&amp;TRIM(TEXT($BU287,"# ?/??"))&amp;CHAR(34)&amp;"  ","")&amp;IF(ISNUMBER($BV287),"B "&amp;TRIM(TEXT($BV287,"# ?/??"))&amp;CHAR(34)&amp;"  ","")&amp;IF(ISNUMBER($BW287),"C "&amp;TRIM(TEXT($BW287,"# ?/??"))&amp;CHAR(34)&amp;"  ","")&amp;IF(ISNUMBER($BX287),"D "&amp;TRIM(TEXT($BX287,"# ?/??"))&amp;CHAR(34)&amp;"  ","")&amp;IF(ISNUMBER($BY287),"F "&amp;TRIM(TEXT($BY287,"# ?/??"))&amp;CHAR(34)&amp;"  ","")&amp;IF(ISNUMBER($BZ287),"E "&amp;TRIM(TEXT($BZ287,"# ?/??"))&amp;CHAR(34)&amp;"  ","")))</f>
        <v/>
      </c>
      <c r="CZ287" s="85">
        <f>IF(OR($CS287,N($BJ287)=0),"",TRIM(IF(ISNUMBER($BU287),"A "&amp;TRIM(TEXT($BU287-HeadClr,"# ?/??"))&amp;CHAR(34)&amp;"  ","")&amp;IF(ISNUMBER($BV287),"B "&amp;TRIM(TEXT($BV287-HeadClr,"# ?/??"))&amp;CHAR(34)&amp;"  ","")&amp;IF(ISNUMBER($BW287),"C "&amp;TRIM(TEXT($BW287-HeadClr,"# ?/??"))&amp;CHAR(34)&amp;"  ","")&amp;IF(ISNUMBER($BX287),"D "&amp;TRIM(TEXT($BX287-HeadClr,"# ?/??"))&amp;CHAR(34)&amp;"  ","")&amp;IF(ISNUMBER($BY287),"F "&amp;TRIM(TEXT($BY287-HeadClr,"# ?/??"))&amp;CHAR(34)&amp;"  ","")&amp;IF(ISNUMBER($BZ287),"E "&amp;TRIM(TEXT($BZ287-HeadClr,"# ?/??"))&amp;CHAR(34)&amp;"  ","")))</f>
        <v/>
      </c>
      <c r="DA287" s="84">
        <f>IF($A287="","",IF($AN287="",IFERROR(VLOOKUP($Z287,CODES,2,FALSE),""),IFERROR(VLOOKUP($AN287,CODES,2,FALSE),"")))</f>
        <v/>
      </c>
      <c r="DB287" s="84">
        <f>IF($A287="","",IF($O287="Y","PR",IF(OR($Z287="L",$Z287="RR",LEFT($Z287,2)="L-",LEFT($Z287,3)="RR-"),"LH","RH")))</f>
        <v/>
      </c>
      <c r="DC287" s="84">
        <f>IF($A287="","","S.HM"&amp;IF(OR($C287="DOOR ONLY",$X287&lt;&gt;"KD"),"MASONRY","DRYWALL")&amp;IF($C287="DOOR ONLY","",$U287)&amp;IF(AND($C287&lt;&gt;"FRAME ONLY",OR(LEFT($AH287,3)="OAK",LEFT($AH287,3)="BIR",LEFT($AH287,3)="MAP",$AH287="PC",$AH287="MC",$AH287="SCLC",$AH287="P-LAM")),"WD","HM")&amp;"1.75")</f>
        <v/>
      </c>
      <c r="DD287" s="84">
        <f>IF($CJ287="","",IF($O287="Y",$CJ287,SUBSTITUTE($CJ287,$BG287&amp;" "&amp;IFERROR(VLOOKUP($Z287,CODES,2,FALSE),"")&amp;" ",$BG287&amp;" ")))</f>
        <v/>
      </c>
      <c r="DE287" s="84">
        <f>IF($CK287="","",IF($O287="Y",$CK287,SUBSTITUTE($CK287,$BG287&amp;" "&amp;IF($AN287="",IFERROR(VLOOKUP($Z287,CODES,2,FALSE),""),IFERROR(VLOOKUP($AN287,CODES,2,FALSE),""))&amp;" ",$BG287&amp;" ")))</f>
        <v/>
      </c>
      <c r="DF287" s="84">
        <f>IF($CJ287="","",$DC287&amp;"|"&amp;$DD287&amp;"|"&amp;$DB287&amp;"|"&amp;$AT287&amp;"|"&amp;$V287&amp;"|"&amp;$Y287&amp;"|"&amp;$AB287)</f>
        <v/>
      </c>
      <c r="DG287" s="84">
        <f>IF(DF287="","",IF(COUNTIF($DF$6:DF287,DF287)=1,MAX($DG$5:DG286)+1,INDEX($DG$5:DG286,MATCH(DF287,$DF$5:DF286,0))))</f>
        <v/>
      </c>
      <c r="DH287" s="84">
        <f>IF($CK287="","",$DC287&amp;"|"&amp;$DE287&amp;"|"&amp;$AI287&amp;"|"&amp;$BK287&amp;"|"&amp;$BL287)</f>
        <v/>
      </c>
      <c r="DI287" s="84">
        <f>IF(DH287="","",IF(COUNTIF($DH$6:DH287,DH287)=1,MAX($DI$5:DI286)+1,INDEX($DI$5:DI286,MATCH(DH287,$DH$5:DH286,0))))</f>
        <v/>
      </c>
      <c r="DJ287" s="84">
        <f>IF($A287="","",IF($B287="","qty, ","")&amp;IF($C287="","scope, ","")&amp;IF(OR($K287="",$M287=""),"size, ","")&amp;IF(AND($A287&lt;&gt;"",$C287&lt;&gt;"DOOR ONLY"),IF($U287="","jamb depth, ","")&amp;IF($X287="","construction, ","")&amp;IF($Y287="","anchor, ","")&amp;IF($S287="","frame type, ",""),"")&amp;IF(AND(N($BJ287)&gt;0,$Z287=""),"hand, ","")&amp;IF(N($BJ287)&gt;0,IF($AH287="","door material, ","")&amp;IF($AL287="","face type, ","")&amp;IF($AP287="","lock prep, ","")&amp;IF(AND($AO287="",$AC287=""),"hinge prep, ",""),"")&amp;IF(AND($CH287&gt;0,$AH287="FRP"),"FRP cannot carry a label, ","")&amp;IF(AND($O287="Y",OR($Z287="L",$Z287="R",$Z287="LR",$Z287="RR")),"pair marked but hand is single, ","")&amp;IF(AND($O287&lt;&gt;"Y",OR($Z287="PR",AND(LEN($Z287)&gt;1,ISNUMBER(SEARCH("-",$Z287))))),"pair hand on a single door, ","")&amp;IF(AND(ISNUMBER($CI287),$CH287&lt;N($CI287)),"wall needs a "&amp;$CI287&amp;" min door, ","")&amp;IF(AND($CH287&gt;=180,AND(OR($CE287="FG",$CE287="HG",$CE287="FNV",$CE287="FV"),N($CF287)*N($CG287)&gt;100)),"180 min lite over 100 sq in, ","")&amp;IF(N($BK287)&gt;48,"leaf wider than 4'-0"&amp;CHAR(34)&amp;", ","")&amp;IF(AND($CT287,COUNT($AW287:$AZ287)=0,$CQ287&gt;0),"CUSTOM LOC with no locations typed, ",""))</f>
        <v/>
      </c>
      <c r="DK287" s="84">
        <f>IF($A287="","",IF(AND($CH287&gt;0,AND($A287&lt;&gt;"",$C287&lt;&gt;"DOOR ONLY"),$X287="KD",$E287="EXTERIOR"),"KD label on an exterior opening, ","")&amp;IF(AND($E287="EXTERIOR",OR(AND(AND($A287&lt;&gt;"",$C287&lt;&gt;"DOOR ONLY"),$W287="CR"),AND(N($BJ287)&gt;0,$AH287="CR"))),"exterior in CR steel (G9?), ","")&amp;IF(AND(ISNUMBER($BQ287),N($BQ287)&lt;32),"clear width ~"&amp;TEXT($BQ287,"0.0")&amp;CHAR(34)&amp;" under 32"&amp;CHAR(34)&amp;" (ADA), ","")&amp;IF(AND($CH287=90,AND(OR($CE287="FG",$CE287="HG",$CE287="FNV",$CE287="FV"),N($CF287)*N($CG287)&gt;100)),"90 min lite over 100 sq in (stair/exit), ","")&amp;IF(AND($CH287&gt;0,AND($A287&lt;&gt;"",$C287&lt;&gt;"DOOR ONLY"),OR($AF287="",$AF287="-")),"rated: closer reinf.?, ","")&amp;IF(OR($I287="CORRIDOR",$I287="SMOKE BARRIER"),"S label + smoke gasketing, ","")&amp;IF($CI287="?","wall type/hr not in IBC table, ","")&amp;IF(AND(N($BJ287)&gt;0,$BB287=""),"no hardware set, ","")&amp;IF(AND($BB287&lt;&gt;"",ISNA(MATCH($BB287&amp;"",HWSets,0))),"set "&amp;$BB287&amp;" not on HW Sets, ","")&amp;IF(N($BL287)&gt;96,"leaf over 8'-0"&amp;CHAR(34)&amp;" - check listing, ","")&amp;IF(AND($CT287,COUNT($AW287:$AZ287)&gt;0,COUNT($AW287:$AZ287)&lt;&gt;$CQ287),COUNT($AW287:$AZ287)&amp;" custom hinges typed, "&amp;$CQ287&amp;" expected, ","")&amp;IF(AND(ISNUMBER($CA287),OR(N($CA287)&lt;34,N($CA287)&gt;48)),"lock "&amp;TEXT($CA287,"0.0")&amp;CHAR(34)&amp;" AFF outside 34-48"&amp;CHAR(34)&amp;" (ADA), ","")&amp;IF(AND(ISNUMBER($AV287),ISNUMBER($BL287),N($AV287)&lt;IF(N($BL287)&lt;=60,2,IF(N($BL287)&lt;=90,3,IF(N($BL287)&lt;=120,4,5)))),"fewer hinges than standard, ",""))</f>
        <v/>
      </c>
    </row>
    <row r="288" ht="15" customHeight="1">
      <c r="A288" s="77" t="n"/>
      <c r="B288" s="78" t="n"/>
      <c r="C288" s="78" t="n"/>
      <c r="D288" s="78" t="n"/>
      <c r="E288" s="78" t="n"/>
      <c r="F288" s="78" t="n"/>
      <c r="G288" s="78" t="n"/>
      <c r="H288" s="78" t="n"/>
      <c r="I288" s="78" t="n"/>
      <c r="J288" s="78" t="n"/>
      <c r="K288" s="78" t="n"/>
      <c r="L288" s="78" t="n"/>
      <c r="M288" s="78" t="n"/>
      <c r="N288" s="78" t="n"/>
      <c r="O288" s="78" t="n"/>
      <c r="P288" s="78" t="n"/>
      <c r="Q288" s="78" t="n"/>
      <c r="R288" s="78" t="n"/>
      <c r="S288" s="79" t="n"/>
      <c r="T288" s="79" t="n"/>
      <c r="U288" s="79" t="n"/>
      <c r="V288" s="79" t="n"/>
      <c r="W288" s="79" t="n"/>
      <c r="X288" s="79" t="n"/>
      <c r="Y288" s="79" t="n"/>
      <c r="Z288" s="79" t="n"/>
      <c r="AA288" s="79" t="n"/>
      <c r="AB288" s="79" t="n"/>
      <c r="AC288" s="79" t="n"/>
      <c r="AD288" s="79" t="n"/>
      <c r="AE288" s="79" t="n"/>
      <c r="AF288" s="79" t="n"/>
      <c r="AG288" s="79" t="n"/>
      <c r="AH288" s="80" t="n"/>
      <c r="AI288" s="80" t="n"/>
      <c r="AJ288" s="80" t="n"/>
      <c r="AK288" s="80" t="n"/>
      <c r="AL288" s="80" t="n"/>
      <c r="AM288" s="80" t="n"/>
      <c r="AN288" s="80" t="n"/>
      <c r="AO288" s="80" t="n"/>
      <c r="AP288" s="80" t="n"/>
      <c r="AQ288" s="80" t="n"/>
      <c r="AR288" s="80" t="n"/>
      <c r="AS288" s="80" t="n"/>
      <c r="AT288" s="81" t="n"/>
      <c r="AU288" s="81" t="n"/>
      <c r="AV288" s="81" t="n"/>
      <c r="AW288" s="82" t="n"/>
      <c r="AX288" s="82" t="n"/>
      <c r="AY288" s="82" t="n"/>
      <c r="AZ288" s="82" t="n"/>
      <c r="BA288" s="82" t="n"/>
      <c r="BB288" s="83" t="n"/>
      <c r="BC288" s="83" t="n"/>
      <c r="BD288" s="84">
        <f>IF($A288="","",IF($DJ288&lt;&gt;"","FIX",IF($DK288&lt;&gt;"","CHECK","OK")))</f>
        <v/>
      </c>
      <c r="BE288" s="85">
        <f>IF($A288="","",IF($DJ288&lt;&gt;"","FIX: "&amp;LEFT($DJ288,LEN($DJ288)-2)&amp;IF($DK288&lt;&gt;"","  ·  ",""),"")&amp;IF($DK288&lt;&gt;"","CHECK: "&amp;LEFT($DK288,LEN($DK288)-2),""))</f>
        <v/>
      </c>
      <c r="BF288" s="84">
        <f>IF(OR($A288="",$K288=""),"",$K288&amp;"'-"&amp;N($L288)&amp;CHAR(34)&amp;" x "&amp;$M288&amp;"'-"&amp;N($N288)&amp;CHAR(34))</f>
        <v/>
      </c>
      <c r="BG288" s="84">
        <f>IF(OR($A288="",$K288=""),"",$K288&amp;N($L288)&amp;$M288&amp;N($N288))</f>
        <v/>
      </c>
      <c r="BH288" s="84">
        <f>IF(OR($A288="",$K288=""),"",$K288*12+N($L288))</f>
        <v/>
      </c>
      <c r="BI288" s="84">
        <f>IF(OR($A288="",$M288=""),"",$M288*12+N($N288))</f>
        <v/>
      </c>
      <c r="BJ288" s="84">
        <f>IF($A288="","",IF(OR($C288="FRAME ONLY",$S288="BL"),0,IF($O288="Y",2,1)))</f>
        <v/>
      </c>
      <c r="BK288" s="86">
        <f>IF(OR(N($BJ288)=0,$BH288=""),"",($BH288-2*EdgeClr-IF($BJ288=2,MeetClr,0))/$BJ288)</f>
        <v/>
      </c>
      <c r="BL288" s="86">
        <f>IF(OR(N($BJ288)=0,$BI288=""),"",$BI288-HeadClr-Undercut)</f>
        <v/>
      </c>
      <c r="BM288" s="86">
        <f>IF($BH288="","",$BH288+2*FaceW+IF(N($Q288)&gt;0,($Q288+FaceW)*IF($R288="LR",2,1),0))</f>
        <v/>
      </c>
      <c r="BN288" s="86">
        <f>IF($BI288="","",$BI288+IF($AB288="Y",4,FaceW)+IF(N($P288)&gt;0,$P288+FaceW,0)+IF(OR($S288="4F",$S288="BL"),FaceW,0))</f>
        <v/>
      </c>
      <c r="BO288" s="86">
        <f>IF($BM288="","",$BM288+2*ROSide)</f>
        <v/>
      </c>
      <c r="BP288" s="86">
        <f>IF($BN288="","",$BN288+ROTop)</f>
        <v/>
      </c>
      <c r="BQ288" s="87">
        <f>IF(OR(N($BJ288)=0,$BH288=""),"",$BH288/$BJ288-ClearDeduct)</f>
        <v/>
      </c>
      <c r="BR288" s="84">
        <f>IF(N($CH288)=0,"",IF($CH288&gt;=180,"A · 3 HR",IF($CH288&gt;=90,"B · 1-1/2 HR",IF($CH288&gt;=60,"B · 1 HR",IF($CH288&gt;=45,"C · 3/4 HR","20 MIN")))))&amp;IF(AND(N($CH288)&gt;0,OR($I288="CORRIDOR",$I288="SMOKE BARRIER"))," · S","")</f>
        <v/>
      </c>
      <c r="BS288" s="84">
        <f>IF($CS288,"",IF($AV288&lt;&gt;"",$AV288,IF(OR($AC288="HGC",$AO288="HGC"),"CONT",IF(($BI288-HeadClr-Undercut)&lt;=60,2,IF(($BI288-HeadClr-Undercut)&lt;=90,3,IF(($BI288-HeadClr-Undercut)&lt;=120,4,5))))))</f>
        <v/>
      </c>
      <c r="BT288" s="84">
        <f>IF($CS288,"",IF($CT288,"CUSTOM (typed)",IF($CV288,$AT288&amp;" "&amp;$CU288&amp;CHAR(34)&amp;IF($CU288&lt;&gt;$BI288,IF(AND($BI288&lt;$CU288,$BI288-IF(N(VLOOKUP($AT288&amp;"|"&amp;$CU288,LocTable,7,FALSE))&gt;0,VLOOKUP($AT288&amp;"|"&amp;$CU288,LocTable,7,FALSE),VLOOKUP($AT288&amp;"|"&amp;$CU288,LocTable,6,FALSE))-$CR288-0.75&gt;=2.125)," cut down"," adj."),""),"ANSI/SDI A250.6")))</f>
        <v/>
      </c>
      <c r="BU288" s="88">
        <f>IF($CS288,"",IF($CT288,IF(N($AW288)&gt;0,N($AW288),""),IF(1&gt;$CQ288,"",IF($CQ288=1,$CW288,$CW288+($CX288-$CW288)*0/($CQ288-1)))))</f>
        <v/>
      </c>
      <c r="BV288" s="88">
        <f>IF($CS288,"",IF($CT288,IF(N($AX288)&gt;0,N($AX288),""),IF(2&gt;$CQ288,"",IF($CQ288=1,$CW288,$CW288+($CX288-$CW288)*1/($CQ288-1)))))</f>
        <v/>
      </c>
      <c r="BW288" s="88">
        <f>IF($CS288,"",IF($CT288,IF(N($AY288)&gt;0,N($AY288),""),IF(3&gt;$CQ288,"",IF($CQ288=1,$CW288,$CW288+($CX288-$CW288)*2/($CQ288-1)))))</f>
        <v/>
      </c>
      <c r="BX288" s="88">
        <f>IF($CS288,"",IF($CT288,IF(N($AZ288)&gt;0,N($AZ288),""),IF(4&gt;$CQ288,"",IF($CQ288=1,$CW288,$CW288+($CX288-$CW288)*3/($CQ288-1)))))</f>
        <v/>
      </c>
      <c r="BY288" s="88">
        <f>IF($CS288,"",IF($CT288,"",IF(5&gt;$CQ288,"",IF($CQ288=1,$CW288,$CW288+($CX288-$CW288)*4/($CQ288-1)))))</f>
        <v/>
      </c>
      <c r="BZ288" s="88">
        <f>IF(OR($CS288,$AP288="-",AND($AP288="",$AD288="")),"",IF(N($BA288)&gt;0,N($BA288),IF($CV288,IF(AND($BI288&lt;$CU288,$BI288-IF(N(VLOOKUP($AT288&amp;"|"&amp;$CU288,LocTable,7,FALSE))&gt;0,VLOOKUP($AT288&amp;"|"&amp;$CU288,LocTable,7,FALSE),VLOOKUP($AT288&amp;"|"&amp;$CU288,LocTable,6,FALSE))-$CR288-0.75&gt;=2.125),VLOOKUP($AT288&amp;"|"&amp;$CU288,LocTable,8,FALSE),VLOOKUP($AT288&amp;"|"&amp;$CU288,LocTable,8,FALSE)+($BI288-$CU288)),$BI288-LockAFF)))</f>
        <v/>
      </c>
      <c r="CA288" s="89">
        <f>IF($BZ288="","",$BI288-$BZ288)</f>
        <v/>
      </c>
      <c r="CB288" s="84">
        <f>IF(OR(NOT(AND($A288&lt;&gt;"",$C288&lt;&gt;"DOOR ONLY")),$BI288=""),"",IF(($BI288+IF(N($P288)&gt;0,$P288+FaceW,0))&lt;=90,3,IF(($BI288+IF(N($P288)&gt;0,$P288+FaceW,0))&lt;=114,4,5)))</f>
        <v/>
      </c>
      <c r="CC288" s="84">
        <f>IF($CB288="","",$CB288*(2+IF(N($Q288)&gt;0,IF($R288="LR",2,1),0)))</f>
        <v/>
      </c>
      <c r="CD288" s="84">
        <f>IF($CB288="","",(2+IF(N($Q288)&gt;0,IF($R288="LR",2,1),0)))</f>
        <v/>
      </c>
      <c r="CE288" s="84">
        <f>IF(N($BJ288)=0,"",IF(OR($AL288="",$AL288="FLUSH"),"FLUSH",IFERROR(LEFT($AL288,FIND("-",$AL288)-1),LEFT($AL288,2))))</f>
        <v/>
      </c>
      <c r="CF288" s="84">
        <f>IF($CE288="","",IFERROR(VALUE(MID($AL288,FIND("-",$AL288)+1,FIND(CHAR(34)&amp;"x",$AL288)-FIND("-",$AL288)-1)),0))</f>
        <v/>
      </c>
      <c r="CG288" s="84">
        <f>IF($CE288="","",IFERROR(VALUE(MID($AL288,FIND(CHAR(34)&amp;"x",$AL288)+2,FIND(CHAR(34),$AL288,FIND(CHAR(34)&amp;"x",$AL288)+2)-FIND(CHAR(34)&amp;"x",$AL288)-2)),0))</f>
        <v/>
      </c>
      <c r="CH288" s="90">
        <f>IF(OR($A288="",$H288="",$H288="NO LAB"),0,IFERROR(VALUE(LEFT($H288,FIND(" ",$H288)-1)),0))</f>
        <v/>
      </c>
      <c r="CI288" s="91">
        <f>IF(OR($A288="",$I288="",$I288="NON-RATED",N($J288)=0),"",IFERROR(VLOOKUP($I288&amp;"|"&amp;$J288,IBC,2,FALSE),"?"))</f>
        <v/>
      </c>
      <c r="CJ288" s="85">
        <f>IF(NOT(AND($A288&lt;&gt;"",$C288&lt;&gt;"DOOR ONLY")),"",TRIM(IFERROR(VLOOKUP($U288,CODES,2,FALSE),"")&amp;" "&amp;$BG288&amp;" "&amp;IFERROR(VLOOKUP($Z288,CODES,2,FALSE),"")&amp;" "&amp;IFERROR(VLOOKUP($X288,CODES,2,FALSE),"")&amp;" "&amp;IFERROR(VLOOKUP($S288,CODES,2,FALSE),"")&amp;IF(N($P288)&gt;0," w/TRANSOM "&amp;$P288&amp;CHAR(34),"")&amp;IF(N($Q288)&gt;0," w/SIDELITE "&amp;$Q288&amp;CHAR(34)&amp;" "&amp;IF($R288="","R",$R288),"")&amp;IF($Y288="","  |  "," | "&amp;IFERROR(VLOOKUP($Y288,CODES,2,FALSE),"")&amp;" | ")&amp;IFERROR(VLOOKUP($AC288,CODES,2,FALSE),"")&amp;" "&amp;IFERROR(VLOOKUP($AD288,CODES,2,FALSE),"")&amp;IF(OR($AE288="",$AE288="-"),""," "&amp;$AE288)&amp;IF(OR($AF288="",$AF288="-"),""," "&amp;$AF288)&amp;IF($AB288="Y"," 4"&amp;CHAR(34)&amp;" HEAD","")&amp;" "&amp;IFERROR(VLOOKUP($H288,CODES,2,FALSE),"")&amp;IF($CT288," | LOC "&amp;$CY288,"")))</f>
        <v/>
      </c>
      <c r="CK288" s="85">
        <f>IF(NOT(AND($A288&lt;&gt;"",N($BJ288)&gt;0)),"",TRIM(IFERROR(VLOOKUP($AH288,CODES,2,FALSE),"")&amp;IF($AI288=""," "," "&amp;$AI288&amp;"GA ")&amp;$BG288&amp;" "&amp;IF($AN288="",IFERROR(VLOOKUP($Z288,CODES,2,FALSE),""),IFERROR(VLOOKUP($AN288,CODES,2,FALSE),""))&amp;IF($BJ288=2," PAIR","")&amp;" DOOR | "&amp;IF($AL288="","?",$AL288)&amp;" | "&amp;IF($AO288="",IFERROR(VLOOKUP($AC288,CODES,2,FALSE),""),IFERROR(VLOOKUP($AO288,CODES,2,FALSE),""))&amp;" "&amp;IFERROR(VLOOKUP($AP288,CODES,2,FALSE),"")&amp;IF(OR($AQ288="",$AQ288="-"),""," SEAM "&amp;$AQ288)&amp;IF($AR288="Y"," ASTRAGAL","")&amp;IF($AJ288=""," "," "&amp;$AJ288)&amp;IF($AK288=""," "," "&amp;$AK288)&amp;IF(OR($AT288="",$AT288="ANSI/SDI",$AT288="CUSTOM LOC"),""," "&amp;$AT288)&amp;IF($AM288=""," "," SERIES "&amp;$AM288)&amp;" "&amp;IFERROR(VLOOKUP($H288,CODES,2,FALSE),"")&amp;IF($CT288," | LOC "&amp;$CZ288,"")))</f>
        <v/>
      </c>
      <c r="CL288" s="84">
        <f>IF(CP288="","",IF(COUNTIF($CP$6:CP288,CP288)=1,MAX($CL$5:CL287)+1,INDEX($CL$5:CL287,MATCH(CP288,$CP$5:CP287,0))))</f>
        <v/>
      </c>
      <c r="CM288" s="84">
        <f>IF(NOT(AND($A288&lt;&gt;"",$C288&lt;&gt;"DOOR ONLY")),"",MAX($CM$5:CM287)+1)</f>
        <v/>
      </c>
      <c r="CN288" s="84">
        <f>IF(NOT(AND($A288&lt;&gt;"",N($BJ288)&gt;0)),"",MAX($CN$5:CN287)+1)</f>
        <v/>
      </c>
      <c r="CO288" s="84">
        <f>IF($A288="","",MAX($CO$5:CO287)+1)</f>
        <v/>
      </c>
      <c r="CP288" s="84">
        <f>IF(OR($A288="",$BH288="",$BI288=""),"",$BG288&amp;"|"&amp;$O288&amp;"|"&amp;$AL288&amp;"|"&amp;$S288&amp;"|"&amp;$P288&amp;"|"&amp;$Q288&amp;$R288&amp;"|"&amp;$C288&amp;"|"&amp;$AB288)</f>
        <v/>
      </c>
      <c r="CQ288" s="84">
        <f>N($BS288)</f>
        <v/>
      </c>
      <c r="CR288" s="84">
        <f>IF(N($AU288)&gt;0,N($AU288),4.5)</f>
        <v/>
      </c>
      <c r="CS288" s="84">
        <f>OR($A288="",$BI288="",$S288="BL",AND($C288="FRAME ONLY",OR($AC288="",$AC288="BLK")))</f>
        <v/>
      </c>
      <c r="CT288" s="84">
        <f>AND(NOT($CS288),OR($AT288="CUSTOM LOC",N($AW288)+N($AX288)+N($AY288)+N($AZ288)+N($BA288)&gt;0))</f>
        <v/>
      </c>
      <c r="CU288" s="84">
        <f>IF($BI288="","",IF($BI288&lt;=80,80,IF($BI288&lt;=84,84,96)))</f>
        <v/>
      </c>
      <c r="CV288" s="84">
        <f>ISNUMBER(MATCH($AT288&amp;"|80",LocKeys,0))</f>
        <v/>
      </c>
      <c r="CW288" s="86">
        <f>IF($CS288,"",IF($CV288,VLOOKUP($AT288&amp;"|"&amp;$CU288,LocTable,4,FALSE),5))</f>
        <v/>
      </c>
      <c r="CX288" s="86">
        <f>IF($CS288,"",IF($CV288,IF(OR($BI288=$CU288,AND($BI288&lt;$CU288,$BI288-IF(N(VLOOKUP($AT288&amp;"|"&amp;$CU288,LocTable,7,FALSE))&gt;0,VLOOKUP($AT288&amp;"|"&amp;$CU288,LocTable,7,FALSE),VLOOKUP($AT288&amp;"|"&amp;$CU288,LocTable,6,FALSE))-$CR288-0.75&gt;=2.125)),IF(N(VLOOKUP($AT288&amp;"|"&amp;$CU288,LocTable,7,FALSE))&gt;0,VLOOKUP($AT288&amp;"|"&amp;$CU288,LocTable,7,FALSE),VLOOKUP($AT288&amp;"|"&amp;$CU288,LocTable,6,FALSE)),$BI288-($CU288-IF(N(VLOOKUP($AT288&amp;"|"&amp;$CU288,LocTable,7,FALSE))&gt;0,VLOOKUP($AT288&amp;"|"&amp;$CU288,LocTable,7,FALSE),VLOOKUP($AT288&amp;"|"&amp;$CU288,LocTable,6,FALSE)))),$BI288-10-$CR288))</f>
        <v/>
      </c>
      <c r="CY288" s="85">
        <f>IF($CS288,"",TRIM(IF(ISNUMBER($BU288),"A "&amp;TRIM(TEXT($BU288,"# ?/??"))&amp;CHAR(34)&amp;"  ","")&amp;IF(ISNUMBER($BV288),"B "&amp;TRIM(TEXT($BV288,"# ?/??"))&amp;CHAR(34)&amp;"  ","")&amp;IF(ISNUMBER($BW288),"C "&amp;TRIM(TEXT($BW288,"# ?/??"))&amp;CHAR(34)&amp;"  ","")&amp;IF(ISNUMBER($BX288),"D "&amp;TRIM(TEXT($BX288,"# ?/??"))&amp;CHAR(34)&amp;"  ","")&amp;IF(ISNUMBER($BY288),"F "&amp;TRIM(TEXT($BY288,"# ?/??"))&amp;CHAR(34)&amp;"  ","")&amp;IF(ISNUMBER($BZ288),"E "&amp;TRIM(TEXT($BZ288,"# ?/??"))&amp;CHAR(34)&amp;"  ","")))</f>
        <v/>
      </c>
      <c r="CZ288" s="85">
        <f>IF(OR($CS288,N($BJ288)=0),"",TRIM(IF(ISNUMBER($BU288),"A "&amp;TRIM(TEXT($BU288-HeadClr,"# ?/??"))&amp;CHAR(34)&amp;"  ","")&amp;IF(ISNUMBER($BV288),"B "&amp;TRIM(TEXT($BV288-HeadClr,"# ?/??"))&amp;CHAR(34)&amp;"  ","")&amp;IF(ISNUMBER($BW288),"C "&amp;TRIM(TEXT($BW288-HeadClr,"# ?/??"))&amp;CHAR(34)&amp;"  ","")&amp;IF(ISNUMBER($BX288),"D "&amp;TRIM(TEXT($BX288-HeadClr,"# ?/??"))&amp;CHAR(34)&amp;"  ","")&amp;IF(ISNUMBER($BY288),"F "&amp;TRIM(TEXT($BY288-HeadClr,"# ?/??"))&amp;CHAR(34)&amp;"  ","")&amp;IF(ISNUMBER($BZ288),"E "&amp;TRIM(TEXT($BZ288-HeadClr,"# ?/??"))&amp;CHAR(34)&amp;"  ","")))</f>
        <v/>
      </c>
      <c r="DA288" s="84">
        <f>IF($A288="","",IF($AN288="",IFERROR(VLOOKUP($Z288,CODES,2,FALSE),""),IFERROR(VLOOKUP($AN288,CODES,2,FALSE),"")))</f>
        <v/>
      </c>
      <c r="DB288" s="84">
        <f>IF($A288="","",IF($O288="Y","PR",IF(OR($Z288="L",$Z288="RR",LEFT($Z288,2)="L-",LEFT($Z288,3)="RR-"),"LH","RH")))</f>
        <v/>
      </c>
      <c r="DC288" s="84">
        <f>IF($A288="","","S.HM"&amp;IF(OR($C288="DOOR ONLY",$X288&lt;&gt;"KD"),"MASONRY","DRYWALL")&amp;IF($C288="DOOR ONLY","",$U288)&amp;IF(AND($C288&lt;&gt;"FRAME ONLY",OR(LEFT($AH288,3)="OAK",LEFT($AH288,3)="BIR",LEFT($AH288,3)="MAP",$AH288="PC",$AH288="MC",$AH288="SCLC",$AH288="P-LAM")),"WD","HM")&amp;"1.75")</f>
        <v/>
      </c>
      <c r="DD288" s="84">
        <f>IF($CJ288="","",IF($O288="Y",$CJ288,SUBSTITUTE($CJ288,$BG288&amp;" "&amp;IFERROR(VLOOKUP($Z288,CODES,2,FALSE),"")&amp;" ",$BG288&amp;" ")))</f>
        <v/>
      </c>
      <c r="DE288" s="84">
        <f>IF($CK288="","",IF($O288="Y",$CK288,SUBSTITUTE($CK288,$BG288&amp;" "&amp;IF($AN288="",IFERROR(VLOOKUP($Z288,CODES,2,FALSE),""),IFERROR(VLOOKUP($AN288,CODES,2,FALSE),""))&amp;" ",$BG288&amp;" ")))</f>
        <v/>
      </c>
      <c r="DF288" s="84">
        <f>IF($CJ288="","",$DC288&amp;"|"&amp;$DD288&amp;"|"&amp;$DB288&amp;"|"&amp;$AT288&amp;"|"&amp;$V288&amp;"|"&amp;$Y288&amp;"|"&amp;$AB288)</f>
        <v/>
      </c>
      <c r="DG288" s="84">
        <f>IF(DF288="","",IF(COUNTIF($DF$6:DF288,DF288)=1,MAX($DG$5:DG287)+1,INDEX($DG$5:DG287,MATCH(DF288,$DF$5:DF287,0))))</f>
        <v/>
      </c>
      <c r="DH288" s="84">
        <f>IF($CK288="","",$DC288&amp;"|"&amp;$DE288&amp;"|"&amp;$AI288&amp;"|"&amp;$BK288&amp;"|"&amp;$BL288)</f>
        <v/>
      </c>
      <c r="DI288" s="84">
        <f>IF(DH288="","",IF(COUNTIF($DH$6:DH288,DH288)=1,MAX($DI$5:DI287)+1,INDEX($DI$5:DI287,MATCH(DH288,$DH$5:DH287,0))))</f>
        <v/>
      </c>
      <c r="DJ288" s="84">
        <f>IF($A288="","",IF($B288="","qty, ","")&amp;IF($C288="","scope, ","")&amp;IF(OR($K288="",$M288=""),"size, ","")&amp;IF(AND($A288&lt;&gt;"",$C288&lt;&gt;"DOOR ONLY"),IF($U288="","jamb depth, ","")&amp;IF($X288="","construction, ","")&amp;IF($Y288="","anchor, ","")&amp;IF($S288="","frame type, ",""),"")&amp;IF(AND(N($BJ288)&gt;0,$Z288=""),"hand, ","")&amp;IF(N($BJ288)&gt;0,IF($AH288="","door material, ","")&amp;IF($AL288="","face type, ","")&amp;IF($AP288="","lock prep, ","")&amp;IF(AND($AO288="",$AC288=""),"hinge prep, ",""),"")&amp;IF(AND($CH288&gt;0,$AH288="FRP"),"FRP cannot carry a label, ","")&amp;IF(AND($O288="Y",OR($Z288="L",$Z288="R",$Z288="LR",$Z288="RR")),"pair marked but hand is single, ","")&amp;IF(AND($O288&lt;&gt;"Y",OR($Z288="PR",AND(LEN($Z288)&gt;1,ISNUMBER(SEARCH("-",$Z288))))),"pair hand on a single door, ","")&amp;IF(AND(ISNUMBER($CI288),$CH288&lt;N($CI288)),"wall needs a "&amp;$CI288&amp;" min door, ","")&amp;IF(AND($CH288&gt;=180,AND(OR($CE288="FG",$CE288="HG",$CE288="FNV",$CE288="FV"),N($CF288)*N($CG288)&gt;100)),"180 min lite over 100 sq in, ","")&amp;IF(N($BK288)&gt;48,"leaf wider than 4'-0"&amp;CHAR(34)&amp;", ","")&amp;IF(AND($CT288,COUNT($AW288:$AZ288)=0,$CQ288&gt;0),"CUSTOM LOC with no locations typed, ",""))</f>
        <v/>
      </c>
      <c r="DK288" s="84">
        <f>IF($A288="","",IF(AND($CH288&gt;0,AND($A288&lt;&gt;"",$C288&lt;&gt;"DOOR ONLY"),$X288="KD",$E288="EXTERIOR"),"KD label on an exterior opening, ","")&amp;IF(AND($E288="EXTERIOR",OR(AND(AND($A288&lt;&gt;"",$C288&lt;&gt;"DOOR ONLY"),$W288="CR"),AND(N($BJ288)&gt;0,$AH288="CR"))),"exterior in CR steel (G9?), ","")&amp;IF(AND(ISNUMBER($BQ288),N($BQ288)&lt;32),"clear width ~"&amp;TEXT($BQ288,"0.0")&amp;CHAR(34)&amp;" under 32"&amp;CHAR(34)&amp;" (ADA), ","")&amp;IF(AND($CH288=90,AND(OR($CE288="FG",$CE288="HG",$CE288="FNV",$CE288="FV"),N($CF288)*N($CG288)&gt;100)),"90 min lite over 100 sq in (stair/exit), ","")&amp;IF(AND($CH288&gt;0,AND($A288&lt;&gt;"",$C288&lt;&gt;"DOOR ONLY"),OR($AF288="",$AF288="-")),"rated: closer reinf.?, ","")&amp;IF(OR($I288="CORRIDOR",$I288="SMOKE BARRIER"),"S label + smoke gasketing, ","")&amp;IF($CI288="?","wall type/hr not in IBC table, ","")&amp;IF(AND(N($BJ288)&gt;0,$BB288=""),"no hardware set, ","")&amp;IF(AND($BB288&lt;&gt;"",ISNA(MATCH($BB288&amp;"",HWSets,0))),"set "&amp;$BB288&amp;" not on HW Sets, ","")&amp;IF(N($BL288)&gt;96,"leaf over 8'-0"&amp;CHAR(34)&amp;" - check listing, ","")&amp;IF(AND($CT288,COUNT($AW288:$AZ288)&gt;0,COUNT($AW288:$AZ288)&lt;&gt;$CQ288),COUNT($AW288:$AZ288)&amp;" custom hinges typed, "&amp;$CQ288&amp;" expected, ","")&amp;IF(AND(ISNUMBER($CA288),OR(N($CA288)&lt;34,N($CA288)&gt;48)),"lock "&amp;TEXT($CA288,"0.0")&amp;CHAR(34)&amp;" AFF outside 34-48"&amp;CHAR(34)&amp;" (ADA), ","")&amp;IF(AND(ISNUMBER($AV288),ISNUMBER($BL288),N($AV288)&lt;IF(N($BL288)&lt;=60,2,IF(N($BL288)&lt;=90,3,IF(N($BL288)&lt;=120,4,5)))),"fewer hinges than standard, ",""))</f>
        <v/>
      </c>
    </row>
    <row r="289" ht="15" customHeight="1">
      <c r="A289" s="77" t="n"/>
      <c r="B289" s="78" t="n"/>
      <c r="C289" s="78" t="n"/>
      <c r="D289" s="78" t="n"/>
      <c r="E289" s="78" t="n"/>
      <c r="F289" s="78" t="n"/>
      <c r="G289" s="78" t="n"/>
      <c r="H289" s="78" t="n"/>
      <c r="I289" s="78" t="n"/>
      <c r="J289" s="78" t="n"/>
      <c r="K289" s="78" t="n"/>
      <c r="L289" s="78" t="n"/>
      <c r="M289" s="78" t="n"/>
      <c r="N289" s="78" t="n"/>
      <c r="O289" s="78" t="n"/>
      <c r="P289" s="78" t="n"/>
      <c r="Q289" s="78" t="n"/>
      <c r="R289" s="78" t="n"/>
      <c r="S289" s="79" t="n"/>
      <c r="T289" s="79" t="n"/>
      <c r="U289" s="79" t="n"/>
      <c r="V289" s="79" t="n"/>
      <c r="W289" s="79" t="n"/>
      <c r="X289" s="79" t="n"/>
      <c r="Y289" s="79" t="n"/>
      <c r="Z289" s="79" t="n"/>
      <c r="AA289" s="79" t="n"/>
      <c r="AB289" s="79" t="n"/>
      <c r="AC289" s="79" t="n"/>
      <c r="AD289" s="79" t="n"/>
      <c r="AE289" s="79" t="n"/>
      <c r="AF289" s="79" t="n"/>
      <c r="AG289" s="79" t="n"/>
      <c r="AH289" s="80" t="n"/>
      <c r="AI289" s="80" t="n"/>
      <c r="AJ289" s="80" t="n"/>
      <c r="AK289" s="80" t="n"/>
      <c r="AL289" s="80" t="n"/>
      <c r="AM289" s="80" t="n"/>
      <c r="AN289" s="80" t="n"/>
      <c r="AO289" s="80" t="n"/>
      <c r="AP289" s="80" t="n"/>
      <c r="AQ289" s="80" t="n"/>
      <c r="AR289" s="80" t="n"/>
      <c r="AS289" s="80" t="n"/>
      <c r="AT289" s="81" t="n"/>
      <c r="AU289" s="81" t="n"/>
      <c r="AV289" s="81" t="n"/>
      <c r="AW289" s="82" t="n"/>
      <c r="AX289" s="82" t="n"/>
      <c r="AY289" s="82" t="n"/>
      <c r="AZ289" s="82" t="n"/>
      <c r="BA289" s="82" t="n"/>
      <c r="BB289" s="83" t="n"/>
      <c r="BC289" s="83" t="n"/>
      <c r="BD289" s="84">
        <f>IF($A289="","",IF($DJ289&lt;&gt;"","FIX",IF($DK289&lt;&gt;"","CHECK","OK")))</f>
        <v/>
      </c>
      <c r="BE289" s="85">
        <f>IF($A289="","",IF($DJ289&lt;&gt;"","FIX: "&amp;LEFT($DJ289,LEN($DJ289)-2)&amp;IF($DK289&lt;&gt;"","  ·  ",""),"")&amp;IF($DK289&lt;&gt;"","CHECK: "&amp;LEFT($DK289,LEN($DK289)-2),""))</f>
        <v/>
      </c>
      <c r="BF289" s="84">
        <f>IF(OR($A289="",$K289=""),"",$K289&amp;"'-"&amp;N($L289)&amp;CHAR(34)&amp;" x "&amp;$M289&amp;"'-"&amp;N($N289)&amp;CHAR(34))</f>
        <v/>
      </c>
      <c r="BG289" s="84">
        <f>IF(OR($A289="",$K289=""),"",$K289&amp;N($L289)&amp;$M289&amp;N($N289))</f>
        <v/>
      </c>
      <c r="BH289" s="84">
        <f>IF(OR($A289="",$K289=""),"",$K289*12+N($L289))</f>
        <v/>
      </c>
      <c r="BI289" s="84">
        <f>IF(OR($A289="",$M289=""),"",$M289*12+N($N289))</f>
        <v/>
      </c>
      <c r="BJ289" s="84">
        <f>IF($A289="","",IF(OR($C289="FRAME ONLY",$S289="BL"),0,IF($O289="Y",2,1)))</f>
        <v/>
      </c>
      <c r="BK289" s="86">
        <f>IF(OR(N($BJ289)=0,$BH289=""),"",($BH289-2*EdgeClr-IF($BJ289=2,MeetClr,0))/$BJ289)</f>
        <v/>
      </c>
      <c r="BL289" s="86">
        <f>IF(OR(N($BJ289)=0,$BI289=""),"",$BI289-HeadClr-Undercut)</f>
        <v/>
      </c>
      <c r="BM289" s="86">
        <f>IF($BH289="","",$BH289+2*FaceW+IF(N($Q289)&gt;0,($Q289+FaceW)*IF($R289="LR",2,1),0))</f>
        <v/>
      </c>
      <c r="BN289" s="86">
        <f>IF($BI289="","",$BI289+IF($AB289="Y",4,FaceW)+IF(N($P289)&gt;0,$P289+FaceW,0)+IF(OR($S289="4F",$S289="BL"),FaceW,0))</f>
        <v/>
      </c>
      <c r="BO289" s="86">
        <f>IF($BM289="","",$BM289+2*ROSide)</f>
        <v/>
      </c>
      <c r="BP289" s="86">
        <f>IF($BN289="","",$BN289+ROTop)</f>
        <v/>
      </c>
      <c r="BQ289" s="87">
        <f>IF(OR(N($BJ289)=0,$BH289=""),"",$BH289/$BJ289-ClearDeduct)</f>
        <v/>
      </c>
      <c r="BR289" s="84">
        <f>IF(N($CH289)=0,"",IF($CH289&gt;=180,"A · 3 HR",IF($CH289&gt;=90,"B · 1-1/2 HR",IF($CH289&gt;=60,"B · 1 HR",IF($CH289&gt;=45,"C · 3/4 HR","20 MIN")))))&amp;IF(AND(N($CH289)&gt;0,OR($I289="CORRIDOR",$I289="SMOKE BARRIER"))," · S","")</f>
        <v/>
      </c>
      <c r="BS289" s="84">
        <f>IF($CS289,"",IF($AV289&lt;&gt;"",$AV289,IF(OR($AC289="HGC",$AO289="HGC"),"CONT",IF(($BI289-HeadClr-Undercut)&lt;=60,2,IF(($BI289-HeadClr-Undercut)&lt;=90,3,IF(($BI289-HeadClr-Undercut)&lt;=120,4,5))))))</f>
        <v/>
      </c>
      <c r="BT289" s="84">
        <f>IF($CS289,"",IF($CT289,"CUSTOM (typed)",IF($CV289,$AT289&amp;" "&amp;$CU289&amp;CHAR(34)&amp;IF($CU289&lt;&gt;$BI289,IF(AND($BI289&lt;$CU289,$BI289-IF(N(VLOOKUP($AT289&amp;"|"&amp;$CU289,LocTable,7,FALSE))&gt;0,VLOOKUP($AT289&amp;"|"&amp;$CU289,LocTable,7,FALSE),VLOOKUP($AT289&amp;"|"&amp;$CU289,LocTable,6,FALSE))-$CR289-0.75&gt;=2.125)," cut down"," adj."),""),"ANSI/SDI A250.6")))</f>
        <v/>
      </c>
      <c r="BU289" s="88">
        <f>IF($CS289,"",IF($CT289,IF(N($AW289)&gt;0,N($AW289),""),IF(1&gt;$CQ289,"",IF($CQ289=1,$CW289,$CW289+($CX289-$CW289)*0/($CQ289-1)))))</f>
        <v/>
      </c>
      <c r="BV289" s="88">
        <f>IF($CS289,"",IF($CT289,IF(N($AX289)&gt;0,N($AX289),""),IF(2&gt;$CQ289,"",IF($CQ289=1,$CW289,$CW289+($CX289-$CW289)*1/($CQ289-1)))))</f>
        <v/>
      </c>
      <c r="BW289" s="88">
        <f>IF($CS289,"",IF($CT289,IF(N($AY289)&gt;0,N($AY289),""),IF(3&gt;$CQ289,"",IF($CQ289=1,$CW289,$CW289+($CX289-$CW289)*2/($CQ289-1)))))</f>
        <v/>
      </c>
      <c r="BX289" s="88">
        <f>IF($CS289,"",IF($CT289,IF(N($AZ289)&gt;0,N($AZ289),""),IF(4&gt;$CQ289,"",IF($CQ289=1,$CW289,$CW289+($CX289-$CW289)*3/($CQ289-1)))))</f>
        <v/>
      </c>
      <c r="BY289" s="88">
        <f>IF($CS289,"",IF($CT289,"",IF(5&gt;$CQ289,"",IF($CQ289=1,$CW289,$CW289+($CX289-$CW289)*4/($CQ289-1)))))</f>
        <v/>
      </c>
      <c r="BZ289" s="88">
        <f>IF(OR($CS289,$AP289="-",AND($AP289="",$AD289="")),"",IF(N($BA289)&gt;0,N($BA289),IF($CV289,IF(AND($BI289&lt;$CU289,$BI289-IF(N(VLOOKUP($AT289&amp;"|"&amp;$CU289,LocTable,7,FALSE))&gt;0,VLOOKUP($AT289&amp;"|"&amp;$CU289,LocTable,7,FALSE),VLOOKUP($AT289&amp;"|"&amp;$CU289,LocTable,6,FALSE))-$CR289-0.75&gt;=2.125),VLOOKUP($AT289&amp;"|"&amp;$CU289,LocTable,8,FALSE),VLOOKUP($AT289&amp;"|"&amp;$CU289,LocTable,8,FALSE)+($BI289-$CU289)),$BI289-LockAFF)))</f>
        <v/>
      </c>
      <c r="CA289" s="89">
        <f>IF($BZ289="","",$BI289-$BZ289)</f>
        <v/>
      </c>
      <c r="CB289" s="84">
        <f>IF(OR(NOT(AND($A289&lt;&gt;"",$C289&lt;&gt;"DOOR ONLY")),$BI289=""),"",IF(($BI289+IF(N($P289)&gt;0,$P289+FaceW,0))&lt;=90,3,IF(($BI289+IF(N($P289)&gt;0,$P289+FaceW,0))&lt;=114,4,5)))</f>
        <v/>
      </c>
      <c r="CC289" s="84">
        <f>IF($CB289="","",$CB289*(2+IF(N($Q289)&gt;0,IF($R289="LR",2,1),0)))</f>
        <v/>
      </c>
      <c r="CD289" s="84">
        <f>IF($CB289="","",(2+IF(N($Q289)&gt;0,IF($R289="LR",2,1),0)))</f>
        <v/>
      </c>
      <c r="CE289" s="84">
        <f>IF(N($BJ289)=0,"",IF(OR($AL289="",$AL289="FLUSH"),"FLUSH",IFERROR(LEFT($AL289,FIND("-",$AL289)-1),LEFT($AL289,2))))</f>
        <v/>
      </c>
      <c r="CF289" s="84">
        <f>IF($CE289="","",IFERROR(VALUE(MID($AL289,FIND("-",$AL289)+1,FIND(CHAR(34)&amp;"x",$AL289)-FIND("-",$AL289)-1)),0))</f>
        <v/>
      </c>
      <c r="CG289" s="84">
        <f>IF($CE289="","",IFERROR(VALUE(MID($AL289,FIND(CHAR(34)&amp;"x",$AL289)+2,FIND(CHAR(34),$AL289,FIND(CHAR(34)&amp;"x",$AL289)+2)-FIND(CHAR(34)&amp;"x",$AL289)-2)),0))</f>
        <v/>
      </c>
      <c r="CH289" s="90">
        <f>IF(OR($A289="",$H289="",$H289="NO LAB"),0,IFERROR(VALUE(LEFT($H289,FIND(" ",$H289)-1)),0))</f>
        <v/>
      </c>
      <c r="CI289" s="91">
        <f>IF(OR($A289="",$I289="",$I289="NON-RATED",N($J289)=0),"",IFERROR(VLOOKUP($I289&amp;"|"&amp;$J289,IBC,2,FALSE),"?"))</f>
        <v/>
      </c>
      <c r="CJ289" s="85">
        <f>IF(NOT(AND($A289&lt;&gt;"",$C289&lt;&gt;"DOOR ONLY")),"",TRIM(IFERROR(VLOOKUP($U289,CODES,2,FALSE),"")&amp;" "&amp;$BG289&amp;" "&amp;IFERROR(VLOOKUP($Z289,CODES,2,FALSE),"")&amp;" "&amp;IFERROR(VLOOKUP($X289,CODES,2,FALSE),"")&amp;" "&amp;IFERROR(VLOOKUP($S289,CODES,2,FALSE),"")&amp;IF(N($P289)&gt;0," w/TRANSOM "&amp;$P289&amp;CHAR(34),"")&amp;IF(N($Q289)&gt;0," w/SIDELITE "&amp;$Q289&amp;CHAR(34)&amp;" "&amp;IF($R289="","R",$R289),"")&amp;IF($Y289="","  |  "," | "&amp;IFERROR(VLOOKUP($Y289,CODES,2,FALSE),"")&amp;" | ")&amp;IFERROR(VLOOKUP($AC289,CODES,2,FALSE),"")&amp;" "&amp;IFERROR(VLOOKUP($AD289,CODES,2,FALSE),"")&amp;IF(OR($AE289="",$AE289="-"),""," "&amp;$AE289)&amp;IF(OR($AF289="",$AF289="-"),""," "&amp;$AF289)&amp;IF($AB289="Y"," 4"&amp;CHAR(34)&amp;" HEAD","")&amp;" "&amp;IFERROR(VLOOKUP($H289,CODES,2,FALSE),"")&amp;IF($CT289," | LOC "&amp;$CY289,"")))</f>
        <v/>
      </c>
      <c r="CK289" s="85">
        <f>IF(NOT(AND($A289&lt;&gt;"",N($BJ289)&gt;0)),"",TRIM(IFERROR(VLOOKUP($AH289,CODES,2,FALSE),"")&amp;IF($AI289=""," "," "&amp;$AI289&amp;"GA ")&amp;$BG289&amp;" "&amp;IF($AN289="",IFERROR(VLOOKUP($Z289,CODES,2,FALSE),""),IFERROR(VLOOKUP($AN289,CODES,2,FALSE),""))&amp;IF($BJ289=2," PAIR","")&amp;" DOOR | "&amp;IF($AL289="","?",$AL289)&amp;" | "&amp;IF($AO289="",IFERROR(VLOOKUP($AC289,CODES,2,FALSE),""),IFERROR(VLOOKUP($AO289,CODES,2,FALSE),""))&amp;" "&amp;IFERROR(VLOOKUP($AP289,CODES,2,FALSE),"")&amp;IF(OR($AQ289="",$AQ289="-"),""," SEAM "&amp;$AQ289)&amp;IF($AR289="Y"," ASTRAGAL","")&amp;IF($AJ289=""," "," "&amp;$AJ289)&amp;IF($AK289=""," "," "&amp;$AK289)&amp;IF(OR($AT289="",$AT289="ANSI/SDI",$AT289="CUSTOM LOC"),""," "&amp;$AT289)&amp;IF($AM289=""," "," SERIES "&amp;$AM289)&amp;" "&amp;IFERROR(VLOOKUP($H289,CODES,2,FALSE),"")&amp;IF($CT289," | LOC "&amp;$CZ289,"")))</f>
        <v/>
      </c>
      <c r="CL289" s="84">
        <f>IF(CP289="","",IF(COUNTIF($CP$6:CP289,CP289)=1,MAX($CL$5:CL288)+1,INDEX($CL$5:CL288,MATCH(CP289,$CP$5:CP288,0))))</f>
        <v/>
      </c>
      <c r="CM289" s="84">
        <f>IF(NOT(AND($A289&lt;&gt;"",$C289&lt;&gt;"DOOR ONLY")),"",MAX($CM$5:CM288)+1)</f>
        <v/>
      </c>
      <c r="CN289" s="84">
        <f>IF(NOT(AND($A289&lt;&gt;"",N($BJ289)&gt;0)),"",MAX($CN$5:CN288)+1)</f>
        <v/>
      </c>
      <c r="CO289" s="84">
        <f>IF($A289="","",MAX($CO$5:CO288)+1)</f>
        <v/>
      </c>
      <c r="CP289" s="84">
        <f>IF(OR($A289="",$BH289="",$BI289=""),"",$BG289&amp;"|"&amp;$O289&amp;"|"&amp;$AL289&amp;"|"&amp;$S289&amp;"|"&amp;$P289&amp;"|"&amp;$Q289&amp;$R289&amp;"|"&amp;$C289&amp;"|"&amp;$AB289)</f>
        <v/>
      </c>
      <c r="CQ289" s="84">
        <f>N($BS289)</f>
        <v/>
      </c>
      <c r="CR289" s="84">
        <f>IF(N($AU289)&gt;0,N($AU289),4.5)</f>
        <v/>
      </c>
      <c r="CS289" s="84">
        <f>OR($A289="",$BI289="",$S289="BL",AND($C289="FRAME ONLY",OR($AC289="",$AC289="BLK")))</f>
        <v/>
      </c>
      <c r="CT289" s="84">
        <f>AND(NOT($CS289),OR($AT289="CUSTOM LOC",N($AW289)+N($AX289)+N($AY289)+N($AZ289)+N($BA289)&gt;0))</f>
        <v/>
      </c>
      <c r="CU289" s="84">
        <f>IF($BI289="","",IF($BI289&lt;=80,80,IF($BI289&lt;=84,84,96)))</f>
        <v/>
      </c>
      <c r="CV289" s="84">
        <f>ISNUMBER(MATCH($AT289&amp;"|80",LocKeys,0))</f>
        <v/>
      </c>
      <c r="CW289" s="86">
        <f>IF($CS289,"",IF($CV289,VLOOKUP($AT289&amp;"|"&amp;$CU289,LocTable,4,FALSE),5))</f>
        <v/>
      </c>
      <c r="CX289" s="86">
        <f>IF($CS289,"",IF($CV289,IF(OR($BI289=$CU289,AND($BI289&lt;$CU289,$BI289-IF(N(VLOOKUP($AT289&amp;"|"&amp;$CU289,LocTable,7,FALSE))&gt;0,VLOOKUP($AT289&amp;"|"&amp;$CU289,LocTable,7,FALSE),VLOOKUP($AT289&amp;"|"&amp;$CU289,LocTable,6,FALSE))-$CR289-0.75&gt;=2.125)),IF(N(VLOOKUP($AT289&amp;"|"&amp;$CU289,LocTable,7,FALSE))&gt;0,VLOOKUP($AT289&amp;"|"&amp;$CU289,LocTable,7,FALSE),VLOOKUP($AT289&amp;"|"&amp;$CU289,LocTable,6,FALSE)),$BI289-($CU289-IF(N(VLOOKUP($AT289&amp;"|"&amp;$CU289,LocTable,7,FALSE))&gt;0,VLOOKUP($AT289&amp;"|"&amp;$CU289,LocTable,7,FALSE),VLOOKUP($AT289&amp;"|"&amp;$CU289,LocTable,6,FALSE)))),$BI289-10-$CR289))</f>
        <v/>
      </c>
      <c r="CY289" s="85">
        <f>IF($CS289,"",TRIM(IF(ISNUMBER($BU289),"A "&amp;TRIM(TEXT($BU289,"# ?/??"))&amp;CHAR(34)&amp;"  ","")&amp;IF(ISNUMBER($BV289),"B "&amp;TRIM(TEXT($BV289,"# ?/??"))&amp;CHAR(34)&amp;"  ","")&amp;IF(ISNUMBER($BW289),"C "&amp;TRIM(TEXT($BW289,"# ?/??"))&amp;CHAR(34)&amp;"  ","")&amp;IF(ISNUMBER($BX289),"D "&amp;TRIM(TEXT($BX289,"# ?/??"))&amp;CHAR(34)&amp;"  ","")&amp;IF(ISNUMBER($BY289),"F "&amp;TRIM(TEXT($BY289,"# ?/??"))&amp;CHAR(34)&amp;"  ","")&amp;IF(ISNUMBER($BZ289),"E "&amp;TRIM(TEXT($BZ289,"# ?/??"))&amp;CHAR(34)&amp;"  ","")))</f>
        <v/>
      </c>
      <c r="CZ289" s="85">
        <f>IF(OR($CS289,N($BJ289)=0),"",TRIM(IF(ISNUMBER($BU289),"A "&amp;TRIM(TEXT($BU289-HeadClr,"# ?/??"))&amp;CHAR(34)&amp;"  ","")&amp;IF(ISNUMBER($BV289),"B "&amp;TRIM(TEXT($BV289-HeadClr,"# ?/??"))&amp;CHAR(34)&amp;"  ","")&amp;IF(ISNUMBER($BW289),"C "&amp;TRIM(TEXT($BW289-HeadClr,"# ?/??"))&amp;CHAR(34)&amp;"  ","")&amp;IF(ISNUMBER($BX289),"D "&amp;TRIM(TEXT($BX289-HeadClr,"# ?/??"))&amp;CHAR(34)&amp;"  ","")&amp;IF(ISNUMBER($BY289),"F "&amp;TRIM(TEXT($BY289-HeadClr,"# ?/??"))&amp;CHAR(34)&amp;"  ","")&amp;IF(ISNUMBER($BZ289),"E "&amp;TRIM(TEXT($BZ289-HeadClr,"# ?/??"))&amp;CHAR(34)&amp;"  ","")))</f>
        <v/>
      </c>
      <c r="DA289" s="84">
        <f>IF($A289="","",IF($AN289="",IFERROR(VLOOKUP($Z289,CODES,2,FALSE),""),IFERROR(VLOOKUP($AN289,CODES,2,FALSE),"")))</f>
        <v/>
      </c>
      <c r="DB289" s="84">
        <f>IF($A289="","",IF($O289="Y","PR",IF(OR($Z289="L",$Z289="RR",LEFT($Z289,2)="L-",LEFT($Z289,3)="RR-"),"LH","RH")))</f>
        <v/>
      </c>
      <c r="DC289" s="84">
        <f>IF($A289="","","S.HM"&amp;IF(OR($C289="DOOR ONLY",$X289&lt;&gt;"KD"),"MASONRY","DRYWALL")&amp;IF($C289="DOOR ONLY","",$U289)&amp;IF(AND($C289&lt;&gt;"FRAME ONLY",OR(LEFT($AH289,3)="OAK",LEFT($AH289,3)="BIR",LEFT($AH289,3)="MAP",$AH289="PC",$AH289="MC",$AH289="SCLC",$AH289="P-LAM")),"WD","HM")&amp;"1.75")</f>
        <v/>
      </c>
      <c r="DD289" s="84">
        <f>IF($CJ289="","",IF($O289="Y",$CJ289,SUBSTITUTE($CJ289,$BG289&amp;" "&amp;IFERROR(VLOOKUP($Z289,CODES,2,FALSE),"")&amp;" ",$BG289&amp;" ")))</f>
        <v/>
      </c>
      <c r="DE289" s="84">
        <f>IF($CK289="","",IF($O289="Y",$CK289,SUBSTITUTE($CK289,$BG289&amp;" "&amp;IF($AN289="",IFERROR(VLOOKUP($Z289,CODES,2,FALSE),""),IFERROR(VLOOKUP($AN289,CODES,2,FALSE),""))&amp;" ",$BG289&amp;" ")))</f>
        <v/>
      </c>
      <c r="DF289" s="84">
        <f>IF($CJ289="","",$DC289&amp;"|"&amp;$DD289&amp;"|"&amp;$DB289&amp;"|"&amp;$AT289&amp;"|"&amp;$V289&amp;"|"&amp;$Y289&amp;"|"&amp;$AB289)</f>
        <v/>
      </c>
      <c r="DG289" s="84">
        <f>IF(DF289="","",IF(COUNTIF($DF$6:DF289,DF289)=1,MAX($DG$5:DG288)+1,INDEX($DG$5:DG288,MATCH(DF289,$DF$5:DF288,0))))</f>
        <v/>
      </c>
      <c r="DH289" s="84">
        <f>IF($CK289="","",$DC289&amp;"|"&amp;$DE289&amp;"|"&amp;$AI289&amp;"|"&amp;$BK289&amp;"|"&amp;$BL289)</f>
        <v/>
      </c>
      <c r="DI289" s="84">
        <f>IF(DH289="","",IF(COUNTIF($DH$6:DH289,DH289)=1,MAX($DI$5:DI288)+1,INDEX($DI$5:DI288,MATCH(DH289,$DH$5:DH288,0))))</f>
        <v/>
      </c>
      <c r="DJ289" s="84">
        <f>IF($A289="","",IF($B289="","qty, ","")&amp;IF($C289="","scope, ","")&amp;IF(OR($K289="",$M289=""),"size, ","")&amp;IF(AND($A289&lt;&gt;"",$C289&lt;&gt;"DOOR ONLY"),IF($U289="","jamb depth, ","")&amp;IF($X289="","construction, ","")&amp;IF($Y289="","anchor, ","")&amp;IF($S289="","frame type, ",""),"")&amp;IF(AND(N($BJ289)&gt;0,$Z289=""),"hand, ","")&amp;IF(N($BJ289)&gt;0,IF($AH289="","door material, ","")&amp;IF($AL289="","face type, ","")&amp;IF($AP289="","lock prep, ","")&amp;IF(AND($AO289="",$AC289=""),"hinge prep, ",""),"")&amp;IF(AND($CH289&gt;0,$AH289="FRP"),"FRP cannot carry a label, ","")&amp;IF(AND($O289="Y",OR($Z289="L",$Z289="R",$Z289="LR",$Z289="RR")),"pair marked but hand is single, ","")&amp;IF(AND($O289&lt;&gt;"Y",OR($Z289="PR",AND(LEN($Z289)&gt;1,ISNUMBER(SEARCH("-",$Z289))))),"pair hand on a single door, ","")&amp;IF(AND(ISNUMBER($CI289),$CH289&lt;N($CI289)),"wall needs a "&amp;$CI289&amp;" min door, ","")&amp;IF(AND($CH289&gt;=180,AND(OR($CE289="FG",$CE289="HG",$CE289="FNV",$CE289="FV"),N($CF289)*N($CG289)&gt;100)),"180 min lite over 100 sq in, ","")&amp;IF(N($BK289)&gt;48,"leaf wider than 4'-0"&amp;CHAR(34)&amp;", ","")&amp;IF(AND($CT289,COUNT($AW289:$AZ289)=0,$CQ289&gt;0),"CUSTOM LOC with no locations typed, ",""))</f>
        <v/>
      </c>
      <c r="DK289" s="84">
        <f>IF($A289="","",IF(AND($CH289&gt;0,AND($A289&lt;&gt;"",$C289&lt;&gt;"DOOR ONLY"),$X289="KD",$E289="EXTERIOR"),"KD label on an exterior opening, ","")&amp;IF(AND($E289="EXTERIOR",OR(AND(AND($A289&lt;&gt;"",$C289&lt;&gt;"DOOR ONLY"),$W289="CR"),AND(N($BJ289)&gt;0,$AH289="CR"))),"exterior in CR steel (G9?), ","")&amp;IF(AND(ISNUMBER($BQ289),N($BQ289)&lt;32),"clear width ~"&amp;TEXT($BQ289,"0.0")&amp;CHAR(34)&amp;" under 32"&amp;CHAR(34)&amp;" (ADA), ","")&amp;IF(AND($CH289=90,AND(OR($CE289="FG",$CE289="HG",$CE289="FNV",$CE289="FV"),N($CF289)*N($CG289)&gt;100)),"90 min lite over 100 sq in (stair/exit), ","")&amp;IF(AND($CH289&gt;0,AND($A289&lt;&gt;"",$C289&lt;&gt;"DOOR ONLY"),OR($AF289="",$AF289="-")),"rated: closer reinf.?, ","")&amp;IF(OR($I289="CORRIDOR",$I289="SMOKE BARRIER"),"S label + smoke gasketing, ","")&amp;IF($CI289="?","wall type/hr not in IBC table, ","")&amp;IF(AND(N($BJ289)&gt;0,$BB289=""),"no hardware set, ","")&amp;IF(AND($BB289&lt;&gt;"",ISNA(MATCH($BB289&amp;"",HWSets,0))),"set "&amp;$BB289&amp;" not on HW Sets, ","")&amp;IF(N($BL289)&gt;96,"leaf over 8'-0"&amp;CHAR(34)&amp;" - check listing, ","")&amp;IF(AND($CT289,COUNT($AW289:$AZ289)&gt;0,COUNT($AW289:$AZ289)&lt;&gt;$CQ289),COUNT($AW289:$AZ289)&amp;" custom hinges typed, "&amp;$CQ289&amp;" expected, ","")&amp;IF(AND(ISNUMBER($CA289),OR(N($CA289)&lt;34,N($CA289)&gt;48)),"lock "&amp;TEXT($CA289,"0.0")&amp;CHAR(34)&amp;" AFF outside 34-48"&amp;CHAR(34)&amp;" (ADA), ","")&amp;IF(AND(ISNUMBER($AV289),ISNUMBER($BL289),N($AV289)&lt;IF(N($BL289)&lt;=60,2,IF(N($BL289)&lt;=90,3,IF(N($BL289)&lt;=120,4,5)))),"fewer hinges than standard, ",""))</f>
        <v/>
      </c>
    </row>
    <row r="290" ht="15" customHeight="1">
      <c r="A290" s="92" t="n"/>
      <c r="B290" s="93" t="n"/>
      <c r="C290" s="93" t="n"/>
      <c r="D290" s="93" t="n"/>
      <c r="E290" s="93" t="n"/>
      <c r="F290" s="93" t="n"/>
      <c r="G290" s="93" t="n"/>
      <c r="H290" s="93" t="n"/>
      <c r="I290" s="93" t="n"/>
      <c r="J290" s="93" t="n"/>
      <c r="K290" s="93" t="n"/>
      <c r="L290" s="93" t="n"/>
      <c r="M290" s="93" t="n"/>
      <c r="N290" s="93" t="n"/>
      <c r="O290" s="93" t="n"/>
      <c r="P290" s="93" t="n"/>
      <c r="Q290" s="93" t="n"/>
      <c r="R290" s="93" t="n"/>
      <c r="S290" s="94" t="n"/>
      <c r="T290" s="94" t="n"/>
      <c r="U290" s="94" t="n"/>
      <c r="V290" s="94" t="n"/>
      <c r="W290" s="94" t="n"/>
      <c r="X290" s="94" t="n"/>
      <c r="Y290" s="94" t="n"/>
      <c r="Z290" s="94" t="n"/>
      <c r="AA290" s="94" t="n"/>
      <c r="AB290" s="94" t="n"/>
      <c r="AC290" s="94" t="n"/>
      <c r="AD290" s="94" t="n"/>
      <c r="AE290" s="94" t="n"/>
      <c r="AF290" s="94" t="n"/>
      <c r="AG290" s="94" t="n"/>
      <c r="AH290" s="95" t="n"/>
      <c r="AI290" s="95" t="n"/>
      <c r="AJ290" s="95" t="n"/>
      <c r="AK290" s="95" t="n"/>
      <c r="AL290" s="95" t="n"/>
      <c r="AM290" s="95" t="n"/>
      <c r="AN290" s="95" t="n"/>
      <c r="AO290" s="95" t="n"/>
      <c r="AP290" s="95" t="n"/>
      <c r="AQ290" s="95" t="n"/>
      <c r="AR290" s="95" t="n"/>
      <c r="AS290" s="95" t="n"/>
      <c r="AT290" s="96" t="n"/>
      <c r="AU290" s="96" t="n"/>
      <c r="AV290" s="96" t="n"/>
      <c r="AW290" s="97" t="n"/>
      <c r="AX290" s="97" t="n"/>
      <c r="AY290" s="97" t="n"/>
      <c r="AZ290" s="97" t="n"/>
      <c r="BA290" s="97" t="n"/>
      <c r="BB290" s="98" t="n"/>
      <c r="BC290" s="98" t="n"/>
      <c r="BD290" s="99">
        <f>IF($A290="","",IF($DJ290&lt;&gt;"","FIX",IF($DK290&lt;&gt;"","CHECK","OK")))</f>
        <v/>
      </c>
      <c r="BE290" s="100">
        <f>IF($A290="","",IF($DJ290&lt;&gt;"","FIX: "&amp;LEFT($DJ290,LEN($DJ290)-2)&amp;IF($DK290&lt;&gt;"","  ·  ",""),"")&amp;IF($DK290&lt;&gt;"","CHECK: "&amp;LEFT($DK290,LEN($DK290)-2),""))</f>
        <v/>
      </c>
      <c r="BF290" s="99">
        <f>IF(OR($A290="",$K290=""),"",$K290&amp;"'-"&amp;N($L290)&amp;CHAR(34)&amp;" x "&amp;$M290&amp;"'-"&amp;N($N290)&amp;CHAR(34))</f>
        <v/>
      </c>
      <c r="BG290" s="99">
        <f>IF(OR($A290="",$K290=""),"",$K290&amp;N($L290)&amp;$M290&amp;N($N290))</f>
        <v/>
      </c>
      <c r="BH290" s="99">
        <f>IF(OR($A290="",$K290=""),"",$K290*12+N($L290))</f>
        <v/>
      </c>
      <c r="BI290" s="99">
        <f>IF(OR($A290="",$M290=""),"",$M290*12+N($N290))</f>
        <v/>
      </c>
      <c r="BJ290" s="99">
        <f>IF($A290="","",IF(OR($C290="FRAME ONLY",$S290="BL"),0,IF($O290="Y",2,1)))</f>
        <v/>
      </c>
      <c r="BK290" s="101">
        <f>IF(OR(N($BJ290)=0,$BH290=""),"",($BH290-2*EdgeClr-IF($BJ290=2,MeetClr,0))/$BJ290)</f>
        <v/>
      </c>
      <c r="BL290" s="101">
        <f>IF(OR(N($BJ290)=0,$BI290=""),"",$BI290-HeadClr-Undercut)</f>
        <v/>
      </c>
      <c r="BM290" s="101">
        <f>IF($BH290="","",$BH290+2*FaceW+IF(N($Q290)&gt;0,($Q290+FaceW)*IF($R290="LR",2,1),0))</f>
        <v/>
      </c>
      <c r="BN290" s="101">
        <f>IF($BI290="","",$BI290+IF($AB290="Y",4,FaceW)+IF(N($P290)&gt;0,$P290+FaceW,0)+IF(OR($S290="4F",$S290="BL"),FaceW,0))</f>
        <v/>
      </c>
      <c r="BO290" s="101">
        <f>IF($BM290="","",$BM290+2*ROSide)</f>
        <v/>
      </c>
      <c r="BP290" s="101">
        <f>IF($BN290="","",$BN290+ROTop)</f>
        <v/>
      </c>
      <c r="BQ290" s="102">
        <f>IF(OR(N($BJ290)=0,$BH290=""),"",$BH290/$BJ290-ClearDeduct)</f>
        <v/>
      </c>
      <c r="BR290" s="99">
        <f>IF(N($CH290)=0,"",IF($CH290&gt;=180,"A · 3 HR",IF($CH290&gt;=90,"B · 1-1/2 HR",IF($CH290&gt;=60,"B · 1 HR",IF($CH290&gt;=45,"C · 3/4 HR","20 MIN")))))&amp;IF(AND(N($CH290)&gt;0,OR($I290="CORRIDOR",$I290="SMOKE BARRIER"))," · S","")</f>
        <v/>
      </c>
      <c r="BS290" s="99">
        <f>IF($CS290,"",IF($AV290&lt;&gt;"",$AV290,IF(OR($AC290="HGC",$AO290="HGC"),"CONT",IF(($BI290-HeadClr-Undercut)&lt;=60,2,IF(($BI290-HeadClr-Undercut)&lt;=90,3,IF(($BI290-HeadClr-Undercut)&lt;=120,4,5))))))</f>
        <v/>
      </c>
      <c r="BT290" s="99">
        <f>IF($CS290,"",IF($CT290,"CUSTOM (typed)",IF($CV290,$AT290&amp;" "&amp;$CU290&amp;CHAR(34)&amp;IF($CU290&lt;&gt;$BI290,IF(AND($BI290&lt;$CU290,$BI290-IF(N(VLOOKUP($AT290&amp;"|"&amp;$CU290,LocTable,7,FALSE))&gt;0,VLOOKUP($AT290&amp;"|"&amp;$CU290,LocTable,7,FALSE),VLOOKUP($AT290&amp;"|"&amp;$CU290,LocTable,6,FALSE))-$CR290-0.75&gt;=2.125)," cut down"," adj."),""),"ANSI/SDI A250.6")))</f>
        <v/>
      </c>
      <c r="BU290" s="103">
        <f>IF($CS290,"",IF($CT290,IF(N($AW290)&gt;0,N($AW290),""),IF(1&gt;$CQ290,"",IF($CQ290=1,$CW290,$CW290+($CX290-$CW290)*0/($CQ290-1)))))</f>
        <v/>
      </c>
      <c r="BV290" s="103">
        <f>IF($CS290,"",IF($CT290,IF(N($AX290)&gt;0,N($AX290),""),IF(2&gt;$CQ290,"",IF($CQ290=1,$CW290,$CW290+($CX290-$CW290)*1/($CQ290-1)))))</f>
        <v/>
      </c>
      <c r="BW290" s="103">
        <f>IF($CS290,"",IF($CT290,IF(N($AY290)&gt;0,N($AY290),""),IF(3&gt;$CQ290,"",IF($CQ290=1,$CW290,$CW290+($CX290-$CW290)*2/($CQ290-1)))))</f>
        <v/>
      </c>
      <c r="BX290" s="103">
        <f>IF($CS290,"",IF($CT290,IF(N($AZ290)&gt;0,N($AZ290),""),IF(4&gt;$CQ290,"",IF($CQ290=1,$CW290,$CW290+($CX290-$CW290)*3/($CQ290-1)))))</f>
        <v/>
      </c>
      <c r="BY290" s="103">
        <f>IF($CS290,"",IF($CT290,"",IF(5&gt;$CQ290,"",IF($CQ290=1,$CW290,$CW290+($CX290-$CW290)*4/($CQ290-1)))))</f>
        <v/>
      </c>
      <c r="BZ290" s="103">
        <f>IF(OR($CS290,$AP290="-",AND($AP290="",$AD290="")),"",IF(N($BA290)&gt;0,N($BA290),IF($CV290,IF(AND($BI290&lt;$CU290,$BI290-IF(N(VLOOKUP($AT290&amp;"|"&amp;$CU290,LocTable,7,FALSE))&gt;0,VLOOKUP($AT290&amp;"|"&amp;$CU290,LocTable,7,FALSE),VLOOKUP($AT290&amp;"|"&amp;$CU290,LocTable,6,FALSE))-$CR290-0.75&gt;=2.125),VLOOKUP($AT290&amp;"|"&amp;$CU290,LocTable,8,FALSE),VLOOKUP($AT290&amp;"|"&amp;$CU290,LocTable,8,FALSE)+($BI290-$CU290)),$BI290-LockAFF)))</f>
        <v/>
      </c>
      <c r="CA290" s="104">
        <f>IF($BZ290="","",$BI290-$BZ290)</f>
        <v/>
      </c>
      <c r="CB290" s="99">
        <f>IF(OR(NOT(AND($A290&lt;&gt;"",$C290&lt;&gt;"DOOR ONLY")),$BI290=""),"",IF(($BI290+IF(N($P290)&gt;0,$P290+FaceW,0))&lt;=90,3,IF(($BI290+IF(N($P290)&gt;0,$P290+FaceW,0))&lt;=114,4,5)))</f>
        <v/>
      </c>
      <c r="CC290" s="99">
        <f>IF($CB290="","",$CB290*(2+IF(N($Q290)&gt;0,IF($R290="LR",2,1),0)))</f>
        <v/>
      </c>
      <c r="CD290" s="99">
        <f>IF($CB290="","",(2+IF(N($Q290)&gt;0,IF($R290="LR",2,1),0)))</f>
        <v/>
      </c>
      <c r="CE290" s="99">
        <f>IF(N($BJ290)=0,"",IF(OR($AL290="",$AL290="FLUSH"),"FLUSH",IFERROR(LEFT($AL290,FIND("-",$AL290)-1),LEFT($AL290,2))))</f>
        <v/>
      </c>
      <c r="CF290" s="99">
        <f>IF($CE290="","",IFERROR(VALUE(MID($AL290,FIND("-",$AL290)+1,FIND(CHAR(34)&amp;"x",$AL290)-FIND("-",$AL290)-1)),0))</f>
        <v/>
      </c>
      <c r="CG290" s="99">
        <f>IF($CE290="","",IFERROR(VALUE(MID($AL290,FIND(CHAR(34)&amp;"x",$AL290)+2,FIND(CHAR(34),$AL290,FIND(CHAR(34)&amp;"x",$AL290)+2)-FIND(CHAR(34)&amp;"x",$AL290)-2)),0))</f>
        <v/>
      </c>
      <c r="CH290" s="105">
        <f>IF(OR($A290="",$H290="",$H290="NO LAB"),0,IFERROR(VALUE(LEFT($H290,FIND(" ",$H290)-1)),0))</f>
        <v/>
      </c>
      <c r="CI290" s="106">
        <f>IF(OR($A290="",$I290="",$I290="NON-RATED",N($J290)=0),"",IFERROR(VLOOKUP($I290&amp;"|"&amp;$J290,IBC,2,FALSE),"?"))</f>
        <v/>
      </c>
      <c r="CJ290" s="100">
        <f>IF(NOT(AND($A290&lt;&gt;"",$C290&lt;&gt;"DOOR ONLY")),"",TRIM(IFERROR(VLOOKUP($U290,CODES,2,FALSE),"")&amp;" "&amp;$BG290&amp;" "&amp;IFERROR(VLOOKUP($Z290,CODES,2,FALSE),"")&amp;" "&amp;IFERROR(VLOOKUP($X290,CODES,2,FALSE),"")&amp;" "&amp;IFERROR(VLOOKUP($S290,CODES,2,FALSE),"")&amp;IF(N($P290)&gt;0," w/TRANSOM "&amp;$P290&amp;CHAR(34),"")&amp;IF(N($Q290)&gt;0," w/SIDELITE "&amp;$Q290&amp;CHAR(34)&amp;" "&amp;IF($R290="","R",$R290),"")&amp;IF($Y290="","  |  "," | "&amp;IFERROR(VLOOKUP($Y290,CODES,2,FALSE),"")&amp;" | ")&amp;IFERROR(VLOOKUP($AC290,CODES,2,FALSE),"")&amp;" "&amp;IFERROR(VLOOKUP($AD290,CODES,2,FALSE),"")&amp;IF(OR($AE290="",$AE290="-"),""," "&amp;$AE290)&amp;IF(OR($AF290="",$AF290="-"),""," "&amp;$AF290)&amp;IF($AB290="Y"," 4"&amp;CHAR(34)&amp;" HEAD","")&amp;" "&amp;IFERROR(VLOOKUP($H290,CODES,2,FALSE),"")&amp;IF($CT290," | LOC "&amp;$CY290,"")))</f>
        <v/>
      </c>
      <c r="CK290" s="100">
        <f>IF(NOT(AND($A290&lt;&gt;"",N($BJ290)&gt;0)),"",TRIM(IFERROR(VLOOKUP($AH290,CODES,2,FALSE),"")&amp;IF($AI290=""," "," "&amp;$AI290&amp;"GA ")&amp;$BG290&amp;" "&amp;IF($AN290="",IFERROR(VLOOKUP($Z290,CODES,2,FALSE),""),IFERROR(VLOOKUP($AN290,CODES,2,FALSE),""))&amp;IF($BJ290=2," PAIR","")&amp;" DOOR | "&amp;IF($AL290="","?",$AL290)&amp;" | "&amp;IF($AO290="",IFERROR(VLOOKUP($AC290,CODES,2,FALSE),""),IFERROR(VLOOKUP($AO290,CODES,2,FALSE),""))&amp;" "&amp;IFERROR(VLOOKUP($AP290,CODES,2,FALSE),"")&amp;IF(OR($AQ290="",$AQ290="-"),""," SEAM "&amp;$AQ290)&amp;IF($AR290="Y"," ASTRAGAL","")&amp;IF($AJ290=""," "," "&amp;$AJ290)&amp;IF($AK290=""," "," "&amp;$AK290)&amp;IF(OR($AT290="",$AT290="ANSI/SDI",$AT290="CUSTOM LOC"),""," "&amp;$AT290)&amp;IF($AM290=""," "," SERIES "&amp;$AM290)&amp;" "&amp;IFERROR(VLOOKUP($H290,CODES,2,FALSE),"")&amp;IF($CT290," | LOC "&amp;$CZ290,"")))</f>
        <v/>
      </c>
      <c r="CL290" s="99">
        <f>IF(CP290="","",IF(COUNTIF($CP$6:CP290,CP290)=1,MAX($CL$5:CL289)+1,INDEX($CL$5:CL289,MATCH(CP290,$CP$5:CP289,0))))</f>
        <v/>
      </c>
      <c r="CM290" s="99">
        <f>IF(NOT(AND($A290&lt;&gt;"",$C290&lt;&gt;"DOOR ONLY")),"",MAX($CM$5:CM289)+1)</f>
        <v/>
      </c>
      <c r="CN290" s="99">
        <f>IF(NOT(AND($A290&lt;&gt;"",N($BJ290)&gt;0)),"",MAX($CN$5:CN289)+1)</f>
        <v/>
      </c>
      <c r="CO290" s="99">
        <f>IF($A290="","",MAX($CO$5:CO289)+1)</f>
        <v/>
      </c>
      <c r="CP290" s="99">
        <f>IF(OR($A290="",$BH290="",$BI290=""),"",$BG290&amp;"|"&amp;$O290&amp;"|"&amp;$AL290&amp;"|"&amp;$S290&amp;"|"&amp;$P290&amp;"|"&amp;$Q290&amp;$R290&amp;"|"&amp;$C290&amp;"|"&amp;$AB290)</f>
        <v/>
      </c>
      <c r="CQ290" s="99">
        <f>N($BS290)</f>
        <v/>
      </c>
      <c r="CR290" s="99">
        <f>IF(N($AU290)&gt;0,N($AU290),4.5)</f>
        <v/>
      </c>
      <c r="CS290" s="99">
        <f>OR($A290="",$BI290="",$S290="BL",AND($C290="FRAME ONLY",OR($AC290="",$AC290="BLK")))</f>
        <v/>
      </c>
      <c r="CT290" s="99">
        <f>AND(NOT($CS290),OR($AT290="CUSTOM LOC",N($AW290)+N($AX290)+N($AY290)+N($AZ290)+N($BA290)&gt;0))</f>
        <v/>
      </c>
      <c r="CU290" s="99">
        <f>IF($BI290="","",IF($BI290&lt;=80,80,IF($BI290&lt;=84,84,96)))</f>
        <v/>
      </c>
      <c r="CV290" s="99">
        <f>ISNUMBER(MATCH($AT290&amp;"|80",LocKeys,0))</f>
        <v/>
      </c>
      <c r="CW290" s="101">
        <f>IF($CS290,"",IF($CV290,VLOOKUP($AT290&amp;"|"&amp;$CU290,LocTable,4,FALSE),5))</f>
        <v/>
      </c>
      <c r="CX290" s="101">
        <f>IF($CS290,"",IF($CV290,IF(OR($BI290=$CU290,AND($BI290&lt;$CU290,$BI290-IF(N(VLOOKUP($AT290&amp;"|"&amp;$CU290,LocTable,7,FALSE))&gt;0,VLOOKUP($AT290&amp;"|"&amp;$CU290,LocTable,7,FALSE),VLOOKUP($AT290&amp;"|"&amp;$CU290,LocTable,6,FALSE))-$CR290-0.75&gt;=2.125)),IF(N(VLOOKUP($AT290&amp;"|"&amp;$CU290,LocTable,7,FALSE))&gt;0,VLOOKUP($AT290&amp;"|"&amp;$CU290,LocTable,7,FALSE),VLOOKUP($AT290&amp;"|"&amp;$CU290,LocTable,6,FALSE)),$BI290-($CU290-IF(N(VLOOKUP($AT290&amp;"|"&amp;$CU290,LocTable,7,FALSE))&gt;0,VLOOKUP($AT290&amp;"|"&amp;$CU290,LocTable,7,FALSE),VLOOKUP($AT290&amp;"|"&amp;$CU290,LocTable,6,FALSE)))),$BI290-10-$CR290))</f>
        <v/>
      </c>
      <c r="CY290" s="100">
        <f>IF($CS290,"",TRIM(IF(ISNUMBER($BU290),"A "&amp;TRIM(TEXT($BU290,"# ?/??"))&amp;CHAR(34)&amp;"  ","")&amp;IF(ISNUMBER($BV290),"B "&amp;TRIM(TEXT($BV290,"# ?/??"))&amp;CHAR(34)&amp;"  ","")&amp;IF(ISNUMBER($BW290),"C "&amp;TRIM(TEXT($BW290,"# ?/??"))&amp;CHAR(34)&amp;"  ","")&amp;IF(ISNUMBER($BX290),"D "&amp;TRIM(TEXT($BX290,"# ?/??"))&amp;CHAR(34)&amp;"  ","")&amp;IF(ISNUMBER($BY290),"F "&amp;TRIM(TEXT($BY290,"# ?/??"))&amp;CHAR(34)&amp;"  ","")&amp;IF(ISNUMBER($BZ290),"E "&amp;TRIM(TEXT($BZ290,"# ?/??"))&amp;CHAR(34)&amp;"  ","")))</f>
        <v/>
      </c>
      <c r="CZ290" s="100">
        <f>IF(OR($CS290,N($BJ290)=0),"",TRIM(IF(ISNUMBER($BU290),"A "&amp;TRIM(TEXT($BU290-HeadClr,"# ?/??"))&amp;CHAR(34)&amp;"  ","")&amp;IF(ISNUMBER($BV290),"B "&amp;TRIM(TEXT($BV290-HeadClr,"# ?/??"))&amp;CHAR(34)&amp;"  ","")&amp;IF(ISNUMBER($BW290),"C "&amp;TRIM(TEXT($BW290-HeadClr,"# ?/??"))&amp;CHAR(34)&amp;"  ","")&amp;IF(ISNUMBER($BX290),"D "&amp;TRIM(TEXT($BX290-HeadClr,"# ?/??"))&amp;CHAR(34)&amp;"  ","")&amp;IF(ISNUMBER($BY290),"F "&amp;TRIM(TEXT($BY290-HeadClr,"# ?/??"))&amp;CHAR(34)&amp;"  ","")&amp;IF(ISNUMBER($BZ290),"E "&amp;TRIM(TEXT($BZ290-HeadClr,"# ?/??"))&amp;CHAR(34)&amp;"  ","")))</f>
        <v/>
      </c>
      <c r="DA290" s="99">
        <f>IF($A290="","",IF($AN290="",IFERROR(VLOOKUP($Z290,CODES,2,FALSE),""),IFERROR(VLOOKUP($AN290,CODES,2,FALSE),"")))</f>
        <v/>
      </c>
      <c r="DB290" s="99">
        <f>IF($A290="","",IF($O290="Y","PR",IF(OR($Z290="L",$Z290="RR",LEFT($Z290,2)="L-",LEFT($Z290,3)="RR-"),"LH","RH")))</f>
        <v/>
      </c>
      <c r="DC290" s="99">
        <f>IF($A290="","","S.HM"&amp;IF(OR($C290="DOOR ONLY",$X290&lt;&gt;"KD"),"MASONRY","DRYWALL")&amp;IF($C290="DOOR ONLY","",$U290)&amp;IF(AND($C290&lt;&gt;"FRAME ONLY",OR(LEFT($AH290,3)="OAK",LEFT($AH290,3)="BIR",LEFT($AH290,3)="MAP",$AH290="PC",$AH290="MC",$AH290="SCLC",$AH290="P-LAM")),"WD","HM")&amp;"1.75")</f>
        <v/>
      </c>
      <c r="DD290" s="99">
        <f>IF($CJ290="","",IF($O290="Y",$CJ290,SUBSTITUTE($CJ290,$BG290&amp;" "&amp;IFERROR(VLOOKUP($Z290,CODES,2,FALSE),"")&amp;" ",$BG290&amp;" ")))</f>
        <v/>
      </c>
      <c r="DE290" s="99">
        <f>IF($CK290="","",IF($O290="Y",$CK290,SUBSTITUTE($CK290,$BG290&amp;" "&amp;IF($AN290="",IFERROR(VLOOKUP($Z290,CODES,2,FALSE),""),IFERROR(VLOOKUP($AN290,CODES,2,FALSE),""))&amp;" ",$BG290&amp;" ")))</f>
        <v/>
      </c>
      <c r="DF290" s="99">
        <f>IF($CJ290="","",$DC290&amp;"|"&amp;$DD290&amp;"|"&amp;$DB290&amp;"|"&amp;$AT290&amp;"|"&amp;$V290&amp;"|"&amp;$Y290&amp;"|"&amp;$AB290)</f>
        <v/>
      </c>
      <c r="DG290" s="99">
        <f>IF(DF290="","",IF(COUNTIF($DF$6:DF290,DF290)=1,MAX($DG$5:DG289)+1,INDEX($DG$5:DG289,MATCH(DF290,$DF$5:DF289,0))))</f>
        <v/>
      </c>
      <c r="DH290" s="99">
        <f>IF($CK290="","",$DC290&amp;"|"&amp;$DE290&amp;"|"&amp;$AI290&amp;"|"&amp;$BK290&amp;"|"&amp;$BL290)</f>
        <v/>
      </c>
      <c r="DI290" s="99">
        <f>IF(DH290="","",IF(COUNTIF($DH$6:DH290,DH290)=1,MAX($DI$5:DI289)+1,INDEX($DI$5:DI289,MATCH(DH290,$DH$5:DH289,0))))</f>
        <v/>
      </c>
      <c r="DJ290" s="99">
        <f>IF($A290="","",IF($B290="","qty, ","")&amp;IF($C290="","scope, ","")&amp;IF(OR($K290="",$M290=""),"size, ","")&amp;IF(AND($A290&lt;&gt;"",$C290&lt;&gt;"DOOR ONLY"),IF($U290="","jamb depth, ","")&amp;IF($X290="","construction, ","")&amp;IF($Y290="","anchor, ","")&amp;IF($S290="","frame type, ",""),"")&amp;IF(AND(N($BJ290)&gt;0,$Z290=""),"hand, ","")&amp;IF(N($BJ290)&gt;0,IF($AH290="","door material, ","")&amp;IF($AL290="","face type, ","")&amp;IF($AP290="","lock prep, ","")&amp;IF(AND($AO290="",$AC290=""),"hinge prep, ",""),"")&amp;IF(AND($CH290&gt;0,$AH290="FRP"),"FRP cannot carry a label, ","")&amp;IF(AND($O290="Y",OR($Z290="L",$Z290="R",$Z290="LR",$Z290="RR")),"pair marked but hand is single, ","")&amp;IF(AND($O290&lt;&gt;"Y",OR($Z290="PR",AND(LEN($Z290)&gt;1,ISNUMBER(SEARCH("-",$Z290))))),"pair hand on a single door, ","")&amp;IF(AND(ISNUMBER($CI290),$CH290&lt;N($CI290)),"wall needs a "&amp;$CI290&amp;" min door, ","")&amp;IF(AND($CH290&gt;=180,AND(OR($CE290="FG",$CE290="HG",$CE290="FNV",$CE290="FV"),N($CF290)*N($CG290)&gt;100)),"180 min lite over 100 sq in, ","")&amp;IF(N($BK290)&gt;48,"leaf wider than 4'-0"&amp;CHAR(34)&amp;", ","")&amp;IF(AND($CT290,COUNT($AW290:$AZ290)=0,$CQ290&gt;0),"CUSTOM LOC with no locations typed, ",""))</f>
        <v/>
      </c>
      <c r="DK290" s="99">
        <f>IF($A290="","",IF(AND($CH290&gt;0,AND($A290&lt;&gt;"",$C290&lt;&gt;"DOOR ONLY"),$X290="KD",$E290="EXTERIOR"),"KD label on an exterior opening, ","")&amp;IF(AND($E290="EXTERIOR",OR(AND(AND($A290&lt;&gt;"",$C290&lt;&gt;"DOOR ONLY"),$W290="CR"),AND(N($BJ290)&gt;0,$AH290="CR"))),"exterior in CR steel (G9?), ","")&amp;IF(AND(ISNUMBER($BQ290),N($BQ290)&lt;32),"clear width ~"&amp;TEXT($BQ290,"0.0")&amp;CHAR(34)&amp;" under 32"&amp;CHAR(34)&amp;" (ADA), ","")&amp;IF(AND($CH290=90,AND(OR($CE290="FG",$CE290="HG",$CE290="FNV",$CE290="FV"),N($CF290)*N($CG290)&gt;100)),"90 min lite over 100 sq in (stair/exit), ","")&amp;IF(AND($CH290&gt;0,AND($A290&lt;&gt;"",$C290&lt;&gt;"DOOR ONLY"),OR($AF290="",$AF290="-")),"rated: closer reinf.?, ","")&amp;IF(OR($I290="CORRIDOR",$I290="SMOKE BARRIER"),"S label + smoke gasketing, ","")&amp;IF($CI290="?","wall type/hr not in IBC table, ","")&amp;IF(AND(N($BJ290)&gt;0,$BB290=""),"no hardware set, ","")&amp;IF(AND($BB290&lt;&gt;"",ISNA(MATCH($BB290&amp;"",HWSets,0))),"set "&amp;$BB290&amp;" not on HW Sets, ","")&amp;IF(N($BL290)&gt;96,"leaf over 8'-0"&amp;CHAR(34)&amp;" - check listing, ","")&amp;IF(AND($CT290,COUNT($AW290:$AZ290)&gt;0,COUNT($AW290:$AZ290)&lt;&gt;$CQ290),COUNT($AW290:$AZ290)&amp;" custom hinges typed, "&amp;$CQ290&amp;" expected, ","")&amp;IF(AND(ISNUMBER($CA290),OR(N($CA290)&lt;34,N($CA290)&gt;48)),"lock "&amp;TEXT($CA290,"0.0")&amp;CHAR(34)&amp;" AFF outside 34-48"&amp;CHAR(34)&amp;" (ADA), ","")&amp;IF(AND(ISNUMBER($AV290),ISNUMBER($BL290),N($AV290)&lt;IF(N($BL290)&lt;=60,2,IF(N($BL290)&lt;=90,3,IF(N($BL290)&lt;=120,4,5)))),"fewer hinges than standard, ",""))</f>
        <v/>
      </c>
    </row>
    <row r="291" ht="15" customHeight="1">
      <c r="A291" s="77" t="n"/>
      <c r="B291" s="78" t="n"/>
      <c r="C291" s="78" t="n"/>
      <c r="D291" s="78" t="n"/>
      <c r="E291" s="78" t="n"/>
      <c r="F291" s="78" t="n"/>
      <c r="G291" s="78" t="n"/>
      <c r="H291" s="78" t="n"/>
      <c r="I291" s="78" t="n"/>
      <c r="J291" s="78" t="n"/>
      <c r="K291" s="78" t="n"/>
      <c r="L291" s="78" t="n"/>
      <c r="M291" s="78" t="n"/>
      <c r="N291" s="78" t="n"/>
      <c r="O291" s="78" t="n"/>
      <c r="P291" s="78" t="n"/>
      <c r="Q291" s="78" t="n"/>
      <c r="R291" s="78" t="n"/>
      <c r="S291" s="79" t="n"/>
      <c r="T291" s="79" t="n"/>
      <c r="U291" s="79" t="n"/>
      <c r="V291" s="79" t="n"/>
      <c r="W291" s="79" t="n"/>
      <c r="X291" s="79" t="n"/>
      <c r="Y291" s="79" t="n"/>
      <c r="Z291" s="79" t="n"/>
      <c r="AA291" s="79" t="n"/>
      <c r="AB291" s="79" t="n"/>
      <c r="AC291" s="79" t="n"/>
      <c r="AD291" s="79" t="n"/>
      <c r="AE291" s="79" t="n"/>
      <c r="AF291" s="79" t="n"/>
      <c r="AG291" s="79" t="n"/>
      <c r="AH291" s="80" t="n"/>
      <c r="AI291" s="80" t="n"/>
      <c r="AJ291" s="80" t="n"/>
      <c r="AK291" s="80" t="n"/>
      <c r="AL291" s="80" t="n"/>
      <c r="AM291" s="80" t="n"/>
      <c r="AN291" s="80" t="n"/>
      <c r="AO291" s="80" t="n"/>
      <c r="AP291" s="80" t="n"/>
      <c r="AQ291" s="80" t="n"/>
      <c r="AR291" s="80" t="n"/>
      <c r="AS291" s="80" t="n"/>
      <c r="AT291" s="81" t="n"/>
      <c r="AU291" s="81" t="n"/>
      <c r="AV291" s="81" t="n"/>
      <c r="AW291" s="82" t="n"/>
      <c r="AX291" s="82" t="n"/>
      <c r="AY291" s="82" t="n"/>
      <c r="AZ291" s="82" t="n"/>
      <c r="BA291" s="82" t="n"/>
      <c r="BB291" s="83" t="n"/>
      <c r="BC291" s="83" t="n"/>
      <c r="BD291" s="84">
        <f>IF($A291="","",IF($DJ291&lt;&gt;"","FIX",IF($DK291&lt;&gt;"","CHECK","OK")))</f>
        <v/>
      </c>
      <c r="BE291" s="85">
        <f>IF($A291="","",IF($DJ291&lt;&gt;"","FIX: "&amp;LEFT($DJ291,LEN($DJ291)-2)&amp;IF($DK291&lt;&gt;"","  ·  ",""),"")&amp;IF($DK291&lt;&gt;"","CHECK: "&amp;LEFT($DK291,LEN($DK291)-2),""))</f>
        <v/>
      </c>
      <c r="BF291" s="84">
        <f>IF(OR($A291="",$K291=""),"",$K291&amp;"'-"&amp;N($L291)&amp;CHAR(34)&amp;" x "&amp;$M291&amp;"'-"&amp;N($N291)&amp;CHAR(34))</f>
        <v/>
      </c>
      <c r="BG291" s="84">
        <f>IF(OR($A291="",$K291=""),"",$K291&amp;N($L291)&amp;$M291&amp;N($N291))</f>
        <v/>
      </c>
      <c r="BH291" s="84">
        <f>IF(OR($A291="",$K291=""),"",$K291*12+N($L291))</f>
        <v/>
      </c>
      <c r="BI291" s="84">
        <f>IF(OR($A291="",$M291=""),"",$M291*12+N($N291))</f>
        <v/>
      </c>
      <c r="BJ291" s="84">
        <f>IF($A291="","",IF(OR($C291="FRAME ONLY",$S291="BL"),0,IF($O291="Y",2,1)))</f>
        <v/>
      </c>
      <c r="BK291" s="86">
        <f>IF(OR(N($BJ291)=0,$BH291=""),"",($BH291-2*EdgeClr-IF($BJ291=2,MeetClr,0))/$BJ291)</f>
        <v/>
      </c>
      <c r="BL291" s="86">
        <f>IF(OR(N($BJ291)=0,$BI291=""),"",$BI291-HeadClr-Undercut)</f>
        <v/>
      </c>
      <c r="BM291" s="86">
        <f>IF($BH291="","",$BH291+2*FaceW+IF(N($Q291)&gt;0,($Q291+FaceW)*IF($R291="LR",2,1),0))</f>
        <v/>
      </c>
      <c r="BN291" s="86">
        <f>IF($BI291="","",$BI291+IF($AB291="Y",4,FaceW)+IF(N($P291)&gt;0,$P291+FaceW,0)+IF(OR($S291="4F",$S291="BL"),FaceW,0))</f>
        <v/>
      </c>
      <c r="BO291" s="86">
        <f>IF($BM291="","",$BM291+2*ROSide)</f>
        <v/>
      </c>
      <c r="BP291" s="86">
        <f>IF($BN291="","",$BN291+ROTop)</f>
        <v/>
      </c>
      <c r="BQ291" s="87">
        <f>IF(OR(N($BJ291)=0,$BH291=""),"",$BH291/$BJ291-ClearDeduct)</f>
        <v/>
      </c>
      <c r="BR291" s="84">
        <f>IF(N($CH291)=0,"",IF($CH291&gt;=180,"A · 3 HR",IF($CH291&gt;=90,"B · 1-1/2 HR",IF($CH291&gt;=60,"B · 1 HR",IF($CH291&gt;=45,"C · 3/4 HR","20 MIN")))))&amp;IF(AND(N($CH291)&gt;0,OR($I291="CORRIDOR",$I291="SMOKE BARRIER"))," · S","")</f>
        <v/>
      </c>
      <c r="BS291" s="84">
        <f>IF($CS291,"",IF($AV291&lt;&gt;"",$AV291,IF(OR($AC291="HGC",$AO291="HGC"),"CONT",IF(($BI291-HeadClr-Undercut)&lt;=60,2,IF(($BI291-HeadClr-Undercut)&lt;=90,3,IF(($BI291-HeadClr-Undercut)&lt;=120,4,5))))))</f>
        <v/>
      </c>
      <c r="BT291" s="84">
        <f>IF($CS291,"",IF($CT291,"CUSTOM (typed)",IF($CV291,$AT291&amp;" "&amp;$CU291&amp;CHAR(34)&amp;IF($CU291&lt;&gt;$BI291,IF(AND($BI291&lt;$CU291,$BI291-IF(N(VLOOKUP($AT291&amp;"|"&amp;$CU291,LocTable,7,FALSE))&gt;0,VLOOKUP($AT291&amp;"|"&amp;$CU291,LocTable,7,FALSE),VLOOKUP($AT291&amp;"|"&amp;$CU291,LocTable,6,FALSE))-$CR291-0.75&gt;=2.125)," cut down"," adj."),""),"ANSI/SDI A250.6")))</f>
        <v/>
      </c>
      <c r="BU291" s="88">
        <f>IF($CS291,"",IF($CT291,IF(N($AW291)&gt;0,N($AW291),""),IF(1&gt;$CQ291,"",IF($CQ291=1,$CW291,$CW291+($CX291-$CW291)*0/($CQ291-1)))))</f>
        <v/>
      </c>
      <c r="BV291" s="88">
        <f>IF($CS291,"",IF($CT291,IF(N($AX291)&gt;0,N($AX291),""),IF(2&gt;$CQ291,"",IF($CQ291=1,$CW291,$CW291+($CX291-$CW291)*1/($CQ291-1)))))</f>
        <v/>
      </c>
      <c r="BW291" s="88">
        <f>IF($CS291,"",IF($CT291,IF(N($AY291)&gt;0,N($AY291),""),IF(3&gt;$CQ291,"",IF($CQ291=1,$CW291,$CW291+($CX291-$CW291)*2/($CQ291-1)))))</f>
        <v/>
      </c>
      <c r="BX291" s="88">
        <f>IF($CS291,"",IF($CT291,IF(N($AZ291)&gt;0,N($AZ291),""),IF(4&gt;$CQ291,"",IF($CQ291=1,$CW291,$CW291+($CX291-$CW291)*3/($CQ291-1)))))</f>
        <v/>
      </c>
      <c r="BY291" s="88">
        <f>IF($CS291,"",IF($CT291,"",IF(5&gt;$CQ291,"",IF($CQ291=1,$CW291,$CW291+($CX291-$CW291)*4/($CQ291-1)))))</f>
        <v/>
      </c>
      <c r="BZ291" s="88">
        <f>IF(OR($CS291,$AP291="-",AND($AP291="",$AD291="")),"",IF(N($BA291)&gt;0,N($BA291),IF($CV291,IF(AND($BI291&lt;$CU291,$BI291-IF(N(VLOOKUP($AT291&amp;"|"&amp;$CU291,LocTable,7,FALSE))&gt;0,VLOOKUP($AT291&amp;"|"&amp;$CU291,LocTable,7,FALSE),VLOOKUP($AT291&amp;"|"&amp;$CU291,LocTable,6,FALSE))-$CR291-0.75&gt;=2.125),VLOOKUP($AT291&amp;"|"&amp;$CU291,LocTable,8,FALSE),VLOOKUP($AT291&amp;"|"&amp;$CU291,LocTable,8,FALSE)+($BI291-$CU291)),$BI291-LockAFF)))</f>
        <v/>
      </c>
      <c r="CA291" s="89">
        <f>IF($BZ291="","",$BI291-$BZ291)</f>
        <v/>
      </c>
      <c r="CB291" s="84">
        <f>IF(OR(NOT(AND($A291&lt;&gt;"",$C291&lt;&gt;"DOOR ONLY")),$BI291=""),"",IF(($BI291+IF(N($P291)&gt;0,$P291+FaceW,0))&lt;=90,3,IF(($BI291+IF(N($P291)&gt;0,$P291+FaceW,0))&lt;=114,4,5)))</f>
        <v/>
      </c>
      <c r="CC291" s="84">
        <f>IF($CB291="","",$CB291*(2+IF(N($Q291)&gt;0,IF($R291="LR",2,1),0)))</f>
        <v/>
      </c>
      <c r="CD291" s="84">
        <f>IF($CB291="","",(2+IF(N($Q291)&gt;0,IF($R291="LR",2,1),0)))</f>
        <v/>
      </c>
      <c r="CE291" s="84">
        <f>IF(N($BJ291)=0,"",IF(OR($AL291="",$AL291="FLUSH"),"FLUSH",IFERROR(LEFT($AL291,FIND("-",$AL291)-1),LEFT($AL291,2))))</f>
        <v/>
      </c>
      <c r="CF291" s="84">
        <f>IF($CE291="","",IFERROR(VALUE(MID($AL291,FIND("-",$AL291)+1,FIND(CHAR(34)&amp;"x",$AL291)-FIND("-",$AL291)-1)),0))</f>
        <v/>
      </c>
      <c r="CG291" s="84">
        <f>IF($CE291="","",IFERROR(VALUE(MID($AL291,FIND(CHAR(34)&amp;"x",$AL291)+2,FIND(CHAR(34),$AL291,FIND(CHAR(34)&amp;"x",$AL291)+2)-FIND(CHAR(34)&amp;"x",$AL291)-2)),0))</f>
        <v/>
      </c>
      <c r="CH291" s="90">
        <f>IF(OR($A291="",$H291="",$H291="NO LAB"),0,IFERROR(VALUE(LEFT($H291,FIND(" ",$H291)-1)),0))</f>
        <v/>
      </c>
      <c r="CI291" s="91">
        <f>IF(OR($A291="",$I291="",$I291="NON-RATED",N($J291)=0),"",IFERROR(VLOOKUP($I291&amp;"|"&amp;$J291,IBC,2,FALSE),"?"))</f>
        <v/>
      </c>
      <c r="CJ291" s="85">
        <f>IF(NOT(AND($A291&lt;&gt;"",$C291&lt;&gt;"DOOR ONLY")),"",TRIM(IFERROR(VLOOKUP($U291,CODES,2,FALSE),"")&amp;" "&amp;$BG291&amp;" "&amp;IFERROR(VLOOKUP($Z291,CODES,2,FALSE),"")&amp;" "&amp;IFERROR(VLOOKUP($X291,CODES,2,FALSE),"")&amp;" "&amp;IFERROR(VLOOKUP($S291,CODES,2,FALSE),"")&amp;IF(N($P291)&gt;0," w/TRANSOM "&amp;$P291&amp;CHAR(34),"")&amp;IF(N($Q291)&gt;0," w/SIDELITE "&amp;$Q291&amp;CHAR(34)&amp;" "&amp;IF($R291="","R",$R291),"")&amp;IF($Y291="","  |  "," | "&amp;IFERROR(VLOOKUP($Y291,CODES,2,FALSE),"")&amp;" | ")&amp;IFERROR(VLOOKUP($AC291,CODES,2,FALSE),"")&amp;" "&amp;IFERROR(VLOOKUP($AD291,CODES,2,FALSE),"")&amp;IF(OR($AE291="",$AE291="-"),""," "&amp;$AE291)&amp;IF(OR($AF291="",$AF291="-"),""," "&amp;$AF291)&amp;IF($AB291="Y"," 4"&amp;CHAR(34)&amp;" HEAD","")&amp;" "&amp;IFERROR(VLOOKUP($H291,CODES,2,FALSE),"")&amp;IF($CT291," | LOC "&amp;$CY291,"")))</f>
        <v/>
      </c>
      <c r="CK291" s="85">
        <f>IF(NOT(AND($A291&lt;&gt;"",N($BJ291)&gt;0)),"",TRIM(IFERROR(VLOOKUP($AH291,CODES,2,FALSE),"")&amp;IF($AI291=""," "," "&amp;$AI291&amp;"GA ")&amp;$BG291&amp;" "&amp;IF($AN291="",IFERROR(VLOOKUP($Z291,CODES,2,FALSE),""),IFERROR(VLOOKUP($AN291,CODES,2,FALSE),""))&amp;IF($BJ291=2," PAIR","")&amp;" DOOR | "&amp;IF($AL291="","?",$AL291)&amp;" | "&amp;IF($AO291="",IFERROR(VLOOKUP($AC291,CODES,2,FALSE),""),IFERROR(VLOOKUP($AO291,CODES,2,FALSE),""))&amp;" "&amp;IFERROR(VLOOKUP($AP291,CODES,2,FALSE),"")&amp;IF(OR($AQ291="",$AQ291="-"),""," SEAM "&amp;$AQ291)&amp;IF($AR291="Y"," ASTRAGAL","")&amp;IF($AJ291=""," "," "&amp;$AJ291)&amp;IF($AK291=""," "," "&amp;$AK291)&amp;IF(OR($AT291="",$AT291="ANSI/SDI",$AT291="CUSTOM LOC"),""," "&amp;$AT291)&amp;IF($AM291=""," "," SERIES "&amp;$AM291)&amp;" "&amp;IFERROR(VLOOKUP($H291,CODES,2,FALSE),"")&amp;IF($CT291," | LOC "&amp;$CZ291,"")))</f>
        <v/>
      </c>
      <c r="CL291" s="84">
        <f>IF(CP291="","",IF(COUNTIF($CP$6:CP291,CP291)=1,MAX($CL$5:CL290)+1,INDEX($CL$5:CL290,MATCH(CP291,$CP$5:CP290,0))))</f>
        <v/>
      </c>
      <c r="CM291" s="84">
        <f>IF(NOT(AND($A291&lt;&gt;"",$C291&lt;&gt;"DOOR ONLY")),"",MAX($CM$5:CM290)+1)</f>
        <v/>
      </c>
      <c r="CN291" s="84">
        <f>IF(NOT(AND($A291&lt;&gt;"",N($BJ291)&gt;0)),"",MAX($CN$5:CN290)+1)</f>
        <v/>
      </c>
      <c r="CO291" s="84">
        <f>IF($A291="","",MAX($CO$5:CO290)+1)</f>
        <v/>
      </c>
      <c r="CP291" s="84">
        <f>IF(OR($A291="",$BH291="",$BI291=""),"",$BG291&amp;"|"&amp;$O291&amp;"|"&amp;$AL291&amp;"|"&amp;$S291&amp;"|"&amp;$P291&amp;"|"&amp;$Q291&amp;$R291&amp;"|"&amp;$C291&amp;"|"&amp;$AB291)</f>
        <v/>
      </c>
      <c r="CQ291" s="84">
        <f>N($BS291)</f>
        <v/>
      </c>
      <c r="CR291" s="84">
        <f>IF(N($AU291)&gt;0,N($AU291),4.5)</f>
        <v/>
      </c>
      <c r="CS291" s="84">
        <f>OR($A291="",$BI291="",$S291="BL",AND($C291="FRAME ONLY",OR($AC291="",$AC291="BLK")))</f>
        <v/>
      </c>
      <c r="CT291" s="84">
        <f>AND(NOT($CS291),OR($AT291="CUSTOM LOC",N($AW291)+N($AX291)+N($AY291)+N($AZ291)+N($BA291)&gt;0))</f>
        <v/>
      </c>
      <c r="CU291" s="84">
        <f>IF($BI291="","",IF($BI291&lt;=80,80,IF($BI291&lt;=84,84,96)))</f>
        <v/>
      </c>
      <c r="CV291" s="84">
        <f>ISNUMBER(MATCH($AT291&amp;"|80",LocKeys,0))</f>
        <v/>
      </c>
      <c r="CW291" s="86">
        <f>IF($CS291,"",IF($CV291,VLOOKUP($AT291&amp;"|"&amp;$CU291,LocTable,4,FALSE),5))</f>
        <v/>
      </c>
      <c r="CX291" s="86">
        <f>IF($CS291,"",IF($CV291,IF(OR($BI291=$CU291,AND($BI291&lt;$CU291,$BI291-IF(N(VLOOKUP($AT291&amp;"|"&amp;$CU291,LocTable,7,FALSE))&gt;0,VLOOKUP($AT291&amp;"|"&amp;$CU291,LocTable,7,FALSE),VLOOKUP($AT291&amp;"|"&amp;$CU291,LocTable,6,FALSE))-$CR291-0.75&gt;=2.125)),IF(N(VLOOKUP($AT291&amp;"|"&amp;$CU291,LocTable,7,FALSE))&gt;0,VLOOKUP($AT291&amp;"|"&amp;$CU291,LocTable,7,FALSE),VLOOKUP($AT291&amp;"|"&amp;$CU291,LocTable,6,FALSE)),$BI291-($CU291-IF(N(VLOOKUP($AT291&amp;"|"&amp;$CU291,LocTable,7,FALSE))&gt;0,VLOOKUP($AT291&amp;"|"&amp;$CU291,LocTable,7,FALSE),VLOOKUP($AT291&amp;"|"&amp;$CU291,LocTable,6,FALSE)))),$BI291-10-$CR291))</f>
        <v/>
      </c>
      <c r="CY291" s="85">
        <f>IF($CS291,"",TRIM(IF(ISNUMBER($BU291),"A "&amp;TRIM(TEXT($BU291,"# ?/??"))&amp;CHAR(34)&amp;"  ","")&amp;IF(ISNUMBER($BV291),"B "&amp;TRIM(TEXT($BV291,"# ?/??"))&amp;CHAR(34)&amp;"  ","")&amp;IF(ISNUMBER($BW291),"C "&amp;TRIM(TEXT($BW291,"# ?/??"))&amp;CHAR(34)&amp;"  ","")&amp;IF(ISNUMBER($BX291),"D "&amp;TRIM(TEXT($BX291,"# ?/??"))&amp;CHAR(34)&amp;"  ","")&amp;IF(ISNUMBER($BY291),"F "&amp;TRIM(TEXT($BY291,"# ?/??"))&amp;CHAR(34)&amp;"  ","")&amp;IF(ISNUMBER($BZ291),"E "&amp;TRIM(TEXT($BZ291,"# ?/??"))&amp;CHAR(34)&amp;"  ","")))</f>
        <v/>
      </c>
      <c r="CZ291" s="85">
        <f>IF(OR($CS291,N($BJ291)=0),"",TRIM(IF(ISNUMBER($BU291),"A "&amp;TRIM(TEXT($BU291-HeadClr,"# ?/??"))&amp;CHAR(34)&amp;"  ","")&amp;IF(ISNUMBER($BV291),"B "&amp;TRIM(TEXT($BV291-HeadClr,"# ?/??"))&amp;CHAR(34)&amp;"  ","")&amp;IF(ISNUMBER($BW291),"C "&amp;TRIM(TEXT($BW291-HeadClr,"# ?/??"))&amp;CHAR(34)&amp;"  ","")&amp;IF(ISNUMBER($BX291),"D "&amp;TRIM(TEXT($BX291-HeadClr,"# ?/??"))&amp;CHAR(34)&amp;"  ","")&amp;IF(ISNUMBER($BY291),"F "&amp;TRIM(TEXT($BY291-HeadClr,"# ?/??"))&amp;CHAR(34)&amp;"  ","")&amp;IF(ISNUMBER($BZ291),"E "&amp;TRIM(TEXT($BZ291-HeadClr,"# ?/??"))&amp;CHAR(34)&amp;"  ","")))</f>
        <v/>
      </c>
      <c r="DA291" s="84">
        <f>IF($A291="","",IF($AN291="",IFERROR(VLOOKUP($Z291,CODES,2,FALSE),""),IFERROR(VLOOKUP($AN291,CODES,2,FALSE),"")))</f>
        <v/>
      </c>
      <c r="DB291" s="84">
        <f>IF($A291="","",IF($O291="Y","PR",IF(OR($Z291="L",$Z291="RR",LEFT($Z291,2)="L-",LEFT($Z291,3)="RR-"),"LH","RH")))</f>
        <v/>
      </c>
      <c r="DC291" s="84">
        <f>IF($A291="","","S.HM"&amp;IF(OR($C291="DOOR ONLY",$X291&lt;&gt;"KD"),"MASONRY","DRYWALL")&amp;IF($C291="DOOR ONLY","",$U291)&amp;IF(AND($C291&lt;&gt;"FRAME ONLY",OR(LEFT($AH291,3)="OAK",LEFT($AH291,3)="BIR",LEFT($AH291,3)="MAP",$AH291="PC",$AH291="MC",$AH291="SCLC",$AH291="P-LAM")),"WD","HM")&amp;"1.75")</f>
        <v/>
      </c>
      <c r="DD291" s="84">
        <f>IF($CJ291="","",IF($O291="Y",$CJ291,SUBSTITUTE($CJ291,$BG291&amp;" "&amp;IFERROR(VLOOKUP($Z291,CODES,2,FALSE),"")&amp;" ",$BG291&amp;" ")))</f>
        <v/>
      </c>
      <c r="DE291" s="84">
        <f>IF($CK291="","",IF($O291="Y",$CK291,SUBSTITUTE($CK291,$BG291&amp;" "&amp;IF($AN291="",IFERROR(VLOOKUP($Z291,CODES,2,FALSE),""),IFERROR(VLOOKUP($AN291,CODES,2,FALSE),""))&amp;" ",$BG291&amp;" ")))</f>
        <v/>
      </c>
      <c r="DF291" s="84">
        <f>IF($CJ291="","",$DC291&amp;"|"&amp;$DD291&amp;"|"&amp;$DB291&amp;"|"&amp;$AT291&amp;"|"&amp;$V291&amp;"|"&amp;$Y291&amp;"|"&amp;$AB291)</f>
        <v/>
      </c>
      <c r="DG291" s="84">
        <f>IF(DF291="","",IF(COUNTIF($DF$6:DF291,DF291)=1,MAX($DG$5:DG290)+1,INDEX($DG$5:DG290,MATCH(DF291,$DF$5:DF290,0))))</f>
        <v/>
      </c>
      <c r="DH291" s="84">
        <f>IF($CK291="","",$DC291&amp;"|"&amp;$DE291&amp;"|"&amp;$AI291&amp;"|"&amp;$BK291&amp;"|"&amp;$BL291)</f>
        <v/>
      </c>
      <c r="DI291" s="84">
        <f>IF(DH291="","",IF(COUNTIF($DH$6:DH291,DH291)=1,MAX($DI$5:DI290)+1,INDEX($DI$5:DI290,MATCH(DH291,$DH$5:DH290,0))))</f>
        <v/>
      </c>
      <c r="DJ291" s="84">
        <f>IF($A291="","",IF($B291="","qty, ","")&amp;IF($C291="","scope, ","")&amp;IF(OR($K291="",$M291=""),"size, ","")&amp;IF(AND($A291&lt;&gt;"",$C291&lt;&gt;"DOOR ONLY"),IF($U291="","jamb depth, ","")&amp;IF($X291="","construction, ","")&amp;IF($Y291="","anchor, ","")&amp;IF($S291="","frame type, ",""),"")&amp;IF(AND(N($BJ291)&gt;0,$Z291=""),"hand, ","")&amp;IF(N($BJ291)&gt;0,IF($AH291="","door material, ","")&amp;IF($AL291="","face type, ","")&amp;IF($AP291="","lock prep, ","")&amp;IF(AND($AO291="",$AC291=""),"hinge prep, ",""),"")&amp;IF(AND($CH291&gt;0,$AH291="FRP"),"FRP cannot carry a label, ","")&amp;IF(AND($O291="Y",OR($Z291="L",$Z291="R",$Z291="LR",$Z291="RR")),"pair marked but hand is single, ","")&amp;IF(AND($O291&lt;&gt;"Y",OR($Z291="PR",AND(LEN($Z291)&gt;1,ISNUMBER(SEARCH("-",$Z291))))),"pair hand on a single door, ","")&amp;IF(AND(ISNUMBER($CI291),$CH291&lt;N($CI291)),"wall needs a "&amp;$CI291&amp;" min door, ","")&amp;IF(AND($CH291&gt;=180,AND(OR($CE291="FG",$CE291="HG",$CE291="FNV",$CE291="FV"),N($CF291)*N($CG291)&gt;100)),"180 min lite over 100 sq in, ","")&amp;IF(N($BK291)&gt;48,"leaf wider than 4'-0"&amp;CHAR(34)&amp;", ","")&amp;IF(AND($CT291,COUNT($AW291:$AZ291)=0,$CQ291&gt;0),"CUSTOM LOC with no locations typed, ",""))</f>
        <v/>
      </c>
      <c r="DK291" s="84">
        <f>IF($A291="","",IF(AND($CH291&gt;0,AND($A291&lt;&gt;"",$C291&lt;&gt;"DOOR ONLY"),$X291="KD",$E291="EXTERIOR"),"KD label on an exterior opening, ","")&amp;IF(AND($E291="EXTERIOR",OR(AND(AND($A291&lt;&gt;"",$C291&lt;&gt;"DOOR ONLY"),$W291="CR"),AND(N($BJ291)&gt;0,$AH291="CR"))),"exterior in CR steel (G9?), ","")&amp;IF(AND(ISNUMBER($BQ291),N($BQ291)&lt;32),"clear width ~"&amp;TEXT($BQ291,"0.0")&amp;CHAR(34)&amp;" under 32"&amp;CHAR(34)&amp;" (ADA), ","")&amp;IF(AND($CH291=90,AND(OR($CE291="FG",$CE291="HG",$CE291="FNV",$CE291="FV"),N($CF291)*N($CG291)&gt;100)),"90 min lite over 100 sq in (stair/exit), ","")&amp;IF(AND($CH291&gt;0,AND($A291&lt;&gt;"",$C291&lt;&gt;"DOOR ONLY"),OR($AF291="",$AF291="-")),"rated: closer reinf.?, ","")&amp;IF(OR($I291="CORRIDOR",$I291="SMOKE BARRIER"),"S label + smoke gasketing, ","")&amp;IF($CI291="?","wall type/hr not in IBC table, ","")&amp;IF(AND(N($BJ291)&gt;0,$BB291=""),"no hardware set, ","")&amp;IF(AND($BB291&lt;&gt;"",ISNA(MATCH($BB291&amp;"",HWSets,0))),"set "&amp;$BB291&amp;" not on HW Sets, ","")&amp;IF(N($BL291)&gt;96,"leaf over 8'-0"&amp;CHAR(34)&amp;" - check listing, ","")&amp;IF(AND($CT291,COUNT($AW291:$AZ291)&gt;0,COUNT($AW291:$AZ291)&lt;&gt;$CQ291),COUNT($AW291:$AZ291)&amp;" custom hinges typed, "&amp;$CQ291&amp;" expected, ","")&amp;IF(AND(ISNUMBER($CA291),OR(N($CA291)&lt;34,N($CA291)&gt;48)),"lock "&amp;TEXT($CA291,"0.0")&amp;CHAR(34)&amp;" AFF outside 34-48"&amp;CHAR(34)&amp;" (ADA), ","")&amp;IF(AND(ISNUMBER($AV291),ISNUMBER($BL291),N($AV291)&lt;IF(N($BL291)&lt;=60,2,IF(N($BL291)&lt;=90,3,IF(N($BL291)&lt;=120,4,5)))),"fewer hinges than standard, ",""))</f>
        <v/>
      </c>
    </row>
    <row r="292" ht="15" customHeight="1">
      <c r="A292" s="77" t="n"/>
      <c r="B292" s="78" t="n"/>
      <c r="C292" s="78" t="n"/>
      <c r="D292" s="78" t="n"/>
      <c r="E292" s="78" t="n"/>
      <c r="F292" s="78" t="n"/>
      <c r="G292" s="78" t="n"/>
      <c r="H292" s="78" t="n"/>
      <c r="I292" s="78" t="n"/>
      <c r="J292" s="78" t="n"/>
      <c r="K292" s="78" t="n"/>
      <c r="L292" s="78" t="n"/>
      <c r="M292" s="78" t="n"/>
      <c r="N292" s="78" t="n"/>
      <c r="O292" s="78" t="n"/>
      <c r="P292" s="78" t="n"/>
      <c r="Q292" s="78" t="n"/>
      <c r="R292" s="78" t="n"/>
      <c r="S292" s="79" t="n"/>
      <c r="T292" s="79" t="n"/>
      <c r="U292" s="79" t="n"/>
      <c r="V292" s="79" t="n"/>
      <c r="W292" s="79" t="n"/>
      <c r="X292" s="79" t="n"/>
      <c r="Y292" s="79" t="n"/>
      <c r="Z292" s="79" t="n"/>
      <c r="AA292" s="79" t="n"/>
      <c r="AB292" s="79" t="n"/>
      <c r="AC292" s="79" t="n"/>
      <c r="AD292" s="79" t="n"/>
      <c r="AE292" s="79" t="n"/>
      <c r="AF292" s="79" t="n"/>
      <c r="AG292" s="79" t="n"/>
      <c r="AH292" s="80" t="n"/>
      <c r="AI292" s="80" t="n"/>
      <c r="AJ292" s="80" t="n"/>
      <c r="AK292" s="80" t="n"/>
      <c r="AL292" s="80" t="n"/>
      <c r="AM292" s="80" t="n"/>
      <c r="AN292" s="80" t="n"/>
      <c r="AO292" s="80" t="n"/>
      <c r="AP292" s="80" t="n"/>
      <c r="AQ292" s="80" t="n"/>
      <c r="AR292" s="80" t="n"/>
      <c r="AS292" s="80" t="n"/>
      <c r="AT292" s="81" t="n"/>
      <c r="AU292" s="81" t="n"/>
      <c r="AV292" s="81" t="n"/>
      <c r="AW292" s="82" t="n"/>
      <c r="AX292" s="82" t="n"/>
      <c r="AY292" s="82" t="n"/>
      <c r="AZ292" s="82" t="n"/>
      <c r="BA292" s="82" t="n"/>
      <c r="BB292" s="83" t="n"/>
      <c r="BC292" s="83" t="n"/>
      <c r="BD292" s="84">
        <f>IF($A292="","",IF($DJ292&lt;&gt;"","FIX",IF($DK292&lt;&gt;"","CHECK","OK")))</f>
        <v/>
      </c>
      <c r="BE292" s="85">
        <f>IF($A292="","",IF($DJ292&lt;&gt;"","FIX: "&amp;LEFT($DJ292,LEN($DJ292)-2)&amp;IF($DK292&lt;&gt;"","  ·  ",""),"")&amp;IF($DK292&lt;&gt;"","CHECK: "&amp;LEFT($DK292,LEN($DK292)-2),""))</f>
        <v/>
      </c>
      <c r="BF292" s="84">
        <f>IF(OR($A292="",$K292=""),"",$K292&amp;"'-"&amp;N($L292)&amp;CHAR(34)&amp;" x "&amp;$M292&amp;"'-"&amp;N($N292)&amp;CHAR(34))</f>
        <v/>
      </c>
      <c r="BG292" s="84">
        <f>IF(OR($A292="",$K292=""),"",$K292&amp;N($L292)&amp;$M292&amp;N($N292))</f>
        <v/>
      </c>
      <c r="BH292" s="84">
        <f>IF(OR($A292="",$K292=""),"",$K292*12+N($L292))</f>
        <v/>
      </c>
      <c r="BI292" s="84">
        <f>IF(OR($A292="",$M292=""),"",$M292*12+N($N292))</f>
        <v/>
      </c>
      <c r="BJ292" s="84">
        <f>IF($A292="","",IF(OR($C292="FRAME ONLY",$S292="BL"),0,IF($O292="Y",2,1)))</f>
        <v/>
      </c>
      <c r="BK292" s="86">
        <f>IF(OR(N($BJ292)=0,$BH292=""),"",($BH292-2*EdgeClr-IF($BJ292=2,MeetClr,0))/$BJ292)</f>
        <v/>
      </c>
      <c r="BL292" s="86">
        <f>IF(OR(N($BJ292)=0,$BI292=""),"",$BI292-HeadClr-Undercut)</f>
        <v/>
      </c>
      <c r="BM292" s="86">
        <f>IF($BH292="","",$BH292+2*FaceW+IF(N($Q292)&gt;0,($Q292+FaceW)*IF($R292="LR",2,1),0))</f>
        <v/>
      </c>
      <c r="BN292" s="86">
        <f>IF($BI292="","",$BI292+IF($AB292="Y",4,FaceW)+IF(N($P292)&gt;0,$P292+FaceW,0)+IF(OR($S292="4F",$S292="BL"),FaceW,0))</f>
        <v/>
      </c>
      <c r="BO292" s="86">
        <f>IF($BM292="","",$BM292+2*ROSide)</f>
        <v/>
      </c>
      <c r="BP292" s="86">
        <f>IF($BN292="","",$BN292+ROTop)</f>
        <v/>
      </c>
      <c r="BQ292" s="87">
        <f>IF(OR(N($BJ292)=0,$BH292=""),"",$BH292/$BJ292-ClearDeduct)</f>
        <v/>
      </c>
      <c r="BR292" s="84">
        <f>IF(N($CH292)=0,"",IF($CH292&gt;=180,"A · 3 HR",IF($CH292&gt;=90,"B · 1-1/2 HR",IF($CH292&gt;=60,"B · 1 HR",IF($CH292&gt;=45,"C · 3/4 HR","20 MIN")))))&amp;IF(AND(N($CH292)&gt;0,OR($I292="CORRIDOR",$I292="SMOKE BARRIER"))," · S","")</f>
        <v/>
      </c>
      <c r="BS292" s="84">
        <f>IF($CS292,"",IF($AV292&lt;&gt;"",$AV292,IF(OR($AC292="HGC",$AO292="HGC"),"CONT",IF(($BI292-HeadClr-Undercut)&lt;=60,2,IF(($BI292-HeadClr-Undercut)&lt;=90,3,IF(($BI292-HeadClr-Undercut)&lt;=120,4,5))))))</f>
        <v/>
      </c>
      <c r="BT292" s="84">
        <f>IF($CS292,"",IF($CT292,"CUSTOM (typed)",IF($CV292,$AT292&amp;" "&amp;$CU292&amp;CHAR(34)&amp;IF($CU292&lt;&gt;$BI292,IF(AND($BI292&lt;$CU292,$BI292-IF(N(VLOOKUP($AT292&amp;"|"&amp;$CU292,LocTable,7,FALSE))&gt;0,VLOOKUP($AT292&amp;"|"&amp;$CU292,LocTable,7,FALSE),VLOOKUP($AT292&amp;"|"&amp;$CU292,LocTable,6,FALSE))-$CR292-0.75&gt;=2.125)," cut down"," adj."),""),"ANSI/SDI A250.6")))</f>
        <v/>
      </c>
      <c r="BU292" s="88">
        <f>IF($CS292,"",IF($CT292,IF(N($AW292)&gt;0,N($AW292),""),IF(1&gt;$CQ292,"",IF($CQ292=1,$CW292,$CW292+($CX292-$CW292)*0/($CQ292-1)))))</f>
        <v/>
      </c>
      <c r="BV292" s="88">
        <f>IF($CS292,"",IF($CT292,IF(N($AX292)&gt;0,N($AX292),""),IF(2&gt;$CQ292,"",IF($CQ292=1,$CW292,$CW292+($CX292-$CW292)*1/($CQ292-1)))))</f>
        <v/>
      </c>
      <c r="BW292" s="88">
        <f>IF($CS292,"",IF($CT292,IF(N($AY292)&gt;0,N($AY292),""),IF(3&gt;$CQ292,"",IF($CQ292=1,$CW292,$CW292+($CX292-$CW292)*2/($CQ292-1)))))</f>
        <v/>
      </c>
      <c r="BX292" s="88">
        <f>IF($CS292,"",IF($CT292,IF(N($AZ292)&gt;0,N($AZ292),""),IF(4&gt;$CQ292,"",IF($CQ292=1,$CW292,$CW292+($CX292-$CW292)*3/($CQ292-1)))))</f>
        <v/>
      </c>
      <c r="BY292" s="88">
        <f>IF($CS292,"",IF($CT292,"",IF(5&gt;$CQ292,"",IF($CQ292=1,$CW292,$CW292+($CX292-$CW292)*4/($CQ292-1)))))</f>
        <v/>
      </c>
      <c r="BZ292" s="88">
        <f>IF(OR($CS292,$AP292="-",AND($AP292="",$AD292="")),"",IF(N($BA292)&gt;0,N($BA292),IF($CV292,IF(AND($BI292&lt;$CU292,$BI292-IF(N(VLOOKUP($AT292&amp;"|"&amp;$CU292,LocTable,7,FALSE))&gt;0,VLOOKUP($AT292&amp;"|"&amp;$CU292,LocTable,7,FALSE),VLOOKUP($AT292&amp;"|"&amp;$CU292,LocTable,6,FALSE))-$CR292-0.75&gt;=2.125),VLOOKUP($AT292&amp;"|"&amp;$CU292,LocTable,8,FALSE),VLOOKUP($AT292&amp;"|"&amp;$CU292,LocTable,8,FALSE)+($BI292-$CU292)),$BI292-LockAFF)))</f>
        <v/>
      </c>
      <c r="CA292" s="89">
        <f>IF($BZ292="","",$BI292-$BZ292)</f>
        <v/>
      </c>
      <c r="CB292" s="84">
        <f>IF(OR(NOT(AND($A292&lt;&gt;"",$C292&lt;&gt;"DOOR ONLY")),$BI292=""),"",IF(($BI292+IF(N($P292)&gt;0,$P292+FaceW,0))&lt;=90,3,IF(($BI292+IF(N($P292)&gt;0,$P292+FaceW,0))&lt;=114,4,5)))</f>
        <v/>
      </c>
      <c r="CC292" s="84">
        <f>IF($CB292="","",$CB292*(2+IF(N($Q292)&gt;0,IF($R292="LR",2,1),0)))</f>
        <v/>
      </c>
      <c r="CD292" s="84">
        <f>IF($CB292="","",(2+IF(N($Q292)&gt;0,IF($R292="LR",2,1),0)))</f>
        <v/>
      </c>
      <c r="CE292" s="84">
        <f>IF(N($BJ292)=0,"",IF(OR($AL292="",$AL292="FLUSH"),"FLUSH",IFERROR(LEFT($AL292,FIND("-",$AL292)-1),LEFT($AL292,2))))</f>
        <v/>
      </c>
      <c r="CF292" s="84">
        <f>IF($CE292="","",IFERROR(VALUE(MID($AL292,FIND("-",$AL292)+1,FIND(CHAR(34)&amp;"x",$AL292)-FIND("-",$AL292)-1)),0))</f>
        <v/>
      </c>
      <c r="CG292" s="84">
        <f>IF($CE292="","",IFERROR(VALUE(MID($AL292,FIND(CHAR(34)&amp;"x",$AL292)+2,FIND(CHAR(34),$AL292,FIND(CHAR(34)&amp;"x",$AL292)+2)-FIND(CHAR(34)&amp;"x",$AL292)-2)),0))</f>
        <v/>
      </c>
      <c r="CH292" s="90">
        <f>IF(OR($A292="",$H292="",$H292="NO LAB"),0,IFERROR(VALUE(LEFT($H292,FIND(" ",$H292)-1)),0))</f>
        <v/>
      </c>
      <c r="CI292" s="91">
        <f>IF(OR($A292="",$I292="",$I292="NON-RATED",N($J292)=0),"",IFERROR(VLOOKUP($I292&amp;"|"&amp;$J292,IBC,2,FALSE),"?"))</f>
        <v/>
      </c>
      <c r="CJ292" s="85">
        <f>IF(NOT(AND($A292&lt;&gt;"",$C292&lt;&gt;"DOOR ONLY")),"",TRIM(IFERROR(VLOOKUP($U292,CODES,2,FALSE),"")&amp;" "&amp;$BG292&amp;" "&amp;IFERROR(VLOOKUP($Z292,CODES,2,FALSE),"")&amp;" "&amp;IFERROR(VLOOKUP($X292,CODES,2,FALSE),"")&amp;" "&amp;IFERROR(VLOOKUP($S292,CODES,2,FALSE),"")&amp;IF(N($P292)&gt;0," w/TRANSOM "&amp;$P292&amp;CHAR(34),"")&amp;IF(N($Q292)&gt;0," w/SIDELITE "&amp;$Q292&amp;CHAR(34)&amp;" "&amp;IF($R292="","R",$R292),"")&amp;IF($Y292="","  |  "," | "&amp;IFERROR(VLOOKUP($Y292,CODES,2,FALSE),"")&amp;" | ")&amp;IFERROR(VLOOKUP($AC292,CODES,2,FALSE),"")&amp;" "&amp;IFERROR(VLOOKUP($AD292,CODES,2,FALSE),"")&amp;IF(OR($AE292="",$AE292="-"),""," "&amp;$AE292)&amp;IF(OR($AF292="",$AF292="-"),""," "&amp;$AF292)&amp;IF($AB292="Y"," 4"&amp;CHAR(34)&amp;" HEAD","")&amp;" "&amp;IFERROR(VLOOKUP($H292,CODES,2,FALSE),"")&amp;IF($CT292," | LOC "&amp;$CY292,"")))</f>
        <v/>
      </c>
      <c r="CK292" s="85">
        <f>IF(NOT(AND($A292&lt;&gt;"",N($BJ292)&gt;0)),"",TRIM(IFERROR(VLOOKUP($AH292,CODES,2,FALSE),"")&amp;IF($AI292=""," "," "&amp;$AI292&amp;"GA ")&amp;$BG292&amp;" "&amp;IF($AN292="",IFERROR(VLOOKUP($Z292,CODES,2,FALSE),""),IFERROR(VLOOKUP($AN292,CODES,2,FALSE),""))&amp;IF($BJ292=2," PAIR","")&amp;" DOOR | "&amp;IF($AL292="","?",$AL292)&amp;" | "&amp;IF($AO292="",IFERROR(VLOOKUP($AC292,CODES,2,FALSE),""),IFERROR(VLOOKUP($AO292,CODES,2,FALSE),""))&amp;" "&amp;IFERROR(VLOOKUP($AP292,CODES,2,FALSE),"")&amp;IF(OR($AQ292="",$AQ292="-"),""," SEAM "&amp;$AQ292)&amp;IF($AR292="Y"," ASTRAGAL","")&amp;IF($AJ292=""," "," "&amp;$AJ292)&amp;IF($AK292=""," "," "&amp;$AK292)&amp;IF(OR($AT292="",$AT292="ANSI/SDI",$AT292="CUSTOM LOC"),""," "&amp;$AT292)&amp;IF($AM292=""," "," SERIES "&amp;$AM292)&amp;" "&amp;IFERROR(VLOOKUP($H292,CODES,2,FALSE),"")&amp;IF($CT292," | LOC "&amp;$CZ292,"")))</f>
        <v/>
      </c>
      <c r="CL292" s="84">
        <f>IF(CP292="","",IF(COUNTIF($CP$6:CP292,CP292)=1,MAX($CL$5:CL291)+1,INDEX($CL$5:CL291,MATCH(CP292,$CP$5:CP291,0))))</f>
        <v/>
      </c>
      <c r="CM292" s="84">
        <f>IF(NOT(AND($A292&lt;&gt;"",$C292&lt;&gt;"DOOR ONLY")),"",MAX($CM$5:CM291)+1)</f>
        <v/>
      </c>
      <c r="CN292" s="84">
        <f>IF(NOT(AND($A292&lt;&gt;"",N($BJ292)&gt;0)),"",MAX($CN$5:CN291)+1)</f>
        <v/>
      </c>
      <c r="CO292" s="84">
        <f>IF($A292="","",MAX($CO$5:CO291)+1)</f>
        <v/>
      </c>
      <c r="CP292" s="84">
        <f>IF(OR($A292="",$BH292="",$BI292=""),"",$BG292&amp;"|"&amp;$O292&amp;"|"&amp;$AL292&amp;"|"&amp;$S292&amp;"|"&amp;$P292&amp;"|"&amp;$Q292&amp;$R292&amp;"|"&amp;$C292&amp;"|"&amp;$AB292)</f>
        <v/>
      </c>
      <c r="CQ292" s="84">
        <f>N($BS292)</f>
        <v/>
      </c>
      <c r="CR292" s="84">
        <f>IF(N($AU292)&gt;0,N($AU292),4.5)</f>
        <v/>
      </c>
      <c r="CS292" s="84">
        <f>OR($A292="",$BI292="",$S292="BL",AND($C292="FRAME ONLY",OR($AC292="",$AC292="BLK")))</f>
        <v/>
      </c>
      <c r="CT292" s="84">
        <f>AND(NOT($CS292),OR($AT292="CUSTOM LOC",N($AW292)+N($AX292)+N($AY292)+N($AZ292)+N($BA292)&gt;0))</f>
        <v/>
      </c>
      <c r="CU292" s="84">
        <f>IF($BI292="","",IF($BI292&lt;=80,80,IF($BI292&lt;=84,84,96)))</f>
        <v/>
      </c>
      <c r="CV292" s="84">
        <f>ISNUMBER(MATCH($AT292&amp;"|80",LocKeys,0))</f>
        <v/>
      </c>
      <c r="CW292" s="86">
        <f>IF($CS292,"",IF($CV292,VLOOKUP($AT292&amp;"|"&amp;$CU292,LocTable,4,FALSE),5))</f>
        <v/>
      </c>
      <c r="CX292" s="86">
        <f>IF($CS292,"",IF($CV292,IF(OR($BI292=$CU292,AND($BI292&lt;$CU292,$BI292-IF(N(VLOOKUP($AT292&amp;"|"&amp;$CU292,LocTable,7,FALSE))&gt;0,VLOOKUP($AT292&amp;"|"&amp;$CU292,LocTable,7,FALSE),VLOOKUP($AT292&amp;"|"&amp;$CU292,LocTable,6,FALSE))-$CR292-0.75&gt;=2.125)),IF(N(VLOOKUP($AT292&amp;"|"&amp;$CU292,LocTable,7,FALSE))&gt;0,VLOOKUP($AT292&amp;"|"&amp;$CU292,LocTable,7,FALSE),VLOOKUP($AT292&amp;"|"&amp;$CU292,LocTable,6,FALSE)),$BI292-($CU292-IF(N(VLOOKUP($AT292&amp;"|"&amp;$CU292,LocTable,7,FALSE))&gt;0,VLOOKUP($AT292&amp;"|"&amp;$CU292,LocTable,7,FALSE),VLOOKUP($AT292&amp;"|"&amp;$CU292,LocTable,6,FALSE)))),$BI292-10-$CR292))</f>
        <v/>
      </c>
      <c r="CY292" s="85">
        <f>IF($CS292,"",TRIM(IF(ISNUMBER($BU292),"A "&amp;TRIM(TEXT($BU292,"# ?/??"))&amp;CHAR(34)&amp;"  ","")&amp;IF(ISNUMBER($BV292),"B "&amp;TRIM(TEXT($BV292,"# ?/??"))&amp;CHAR(34)&amp;"  ","")&amp;IF(ISNUMBER($BW292),"C "&amp;TRIM(TEXT($BW292,"# ?/??"))&amp;CHAR(34)&amp;"  ","")&amp;IF(ISNUMBER($BX292),"D "&amp;TRIM(TEXT($BX292,"# ?/??"))&amp;CHAR(34)&amp;"  ","")&amp;IF(ISNUMBER($BY292),"F "&amp;TRIM(TEXT($BY292,"# ?/??"))&amp;CHAR(34)&amp;"  ","")&amp;IF(ISNUMBER($BZ292),"E "&amp;TRIM(TEXT($BZ292,"# ?/??"))&amp;CHAR(34)&amp;"  ","")))</f>
        <v/>
      </c>
      <c r="CZ292" s="85">
        <f>IF(OR($CS292,N($BJ292)=0),"",TRIM(IF(ISNUMBER($BU292),"A "&amp;TRIM(TEXT($BU292-HeadClr,"# ?/??"))&amp;CHAR(34)&amp;"  ","")&amp;IF(ISNUMBER($BV292),"B "&amp;TRIM(TEXT($BV292-HeadClr,"# ?/??"))&amp;CHAR(34)&amp;"  ","")&amp;IF(ISNUMBER($BW292),"C "&amp;TRIM(TEXT($BW292-HeadClr,"# ?/??"))&amp;CHAR(34)&amp;"  ","")&amp;IF(ISNUMBER($BX292),"D "&amp;TRIM(TEXT($BX292-HeadClr,"# ?/??"))&amp;CHAR(34)&amp;"  ","")&amp;IF(ISNUMBER($BY292),"F "&amp;TRIM(TEXT($BY292-HeadClr,"# ?/??"))&amp;CHAR(34)&amp;"  ","")&amp;IF(ISNUMBER($BZ292),"E "&amp;TRIM(TEXT($BZ292-HeadClr,"# ?/??"))&amp;CHAR(34)&amp;"  ","")))</f>
        <v/>
      </c>
      <c r="DA292" s="84">
        <f>IF($A292="","",IF($AN292="",IFERROR(VLOOKUP($Z292,CODES,2,FALSE),""),IFERROR(VLOOKUP($AN292,CODES,2,FALSE),"")))</f>
        <v/>
      </c>
      <c r="DB292" s="84">
        <f>IF($A292="","",IF($O292="Y","PR",IF(OR($Z292="L",$Z292="RR",LEFT($Z292,2)="L-",LEFT($Z292,3)="RR-"),"LH","RH")))</f>
        <v/>
      </c>
      <c r="DC292" s="84">
        <f>IF($A292="","","S.HM"&amp;IF(OR($C292="DOOR ONLY",$X292&lt;&gt;"KD"),"MASONRY","DRYWALL")&amp;IF($C292="DOOR ONLY","",$U292)&amp;IF(AND($C292&lt;&gt;"FRAME ONLY",OR(LEFT($AH292,3)="OAK",LEFT($AH292,3)="BIR",LEFT($AH292,3)="MAP",$AH292="PC",$AH292="MC",$AH292="SCLC",$AH292="P-LAM")),"WD","HM")&amp;"1.75")</f>
        <v/>
      </c>
      <c r="DD292" s="84">
        <f>IF($CJ292="","",IF($O292="Y",$CJ292,SUBSTITUTE($CJ292,$BG292&amp;" "&amp;IFERROR(VLOOKUP($Z292,CODES,2,FALSE),"")&amp;" ",$BG292&amp;" ")))</f>
        <v/>
      </c>
      <c r="DE292" s="84">
        <f>IF($CK292="","",IF($O292="Y",$CK292,SUBSTITUTE($CK292,$BG292&amp;" "&amp;IF($AN292="",IFERROR(VLOOKUP($Z292,CODES,2,FALSE),""),IFERROR(VLOOKUP($AN292,CODES,2,FALSE),""))&amp;" ",$BG292&amp;" ")))</f>
        <v/>
      </c>
      <c r="DF292" s="84">
        <f>IF($CJ292="","",$DC292&amp;"|"&amp;$DD292&amp;"|"&amp;$DB292&amp;"|"&amp;$AT292&amp;"|"&amp;$V292&amp;"|"&amp;$Y292&amp;"|"&amp;$AB292)</f>
        <v/>
      </c>
      <c r="DG292" s="84">
        <f>IF(DF292="","",IF(COUNTIF($DF$6:DF292,DF292)=1,MAX($DG$5:DG291)+1,INDEX($DG$5:DG291,MATCH(DF292,$DF$5:DF291,0))))</f>
        <v/>
      </c>
      <c r="DH292" s="84">
        <f>IF($CK292="","",$DC292&amp;"|"&amp;$DE292&amp;"|"&amp;$AI292&amp;"|"&amp;$BK292&amp;"|"&amp;$BL292)</f>
        <v/>
      </c>
      <c r="DI292" s="84">
        <f>IF(DH292="","",IF(COUNTIF($DH$6:DH292,DH292)=1,MAX($DI$5:DI291)+1,INDEX($DI$5:DI291,MATCH(DH292,$DH$5:DH291,0))))</f>
        <v/>
      </c>
      <c r="DJ292" s="84">
        <f>IF($A292="","",IF($B292="","qty, ","")&amp;IF($C292="","scope, ","")&amp;IF(OR($K292="",$M292=""),"size, ","")&amp;IF(AND($A292&lt;&gt;"",$C292&lt;&gt;"DOOR ONLY"),IF($U292="","jamb depth, ","")&amp;IF($X292="","construction, ","")&amp;IF($Y292="","anchor, ","")&amp;IF($S292="","frame type, ",""),"")&amp;IF(AND(N($BJ292)&gt;0,$Z292=""),"hand, ","")&amp;IF(N($BJ292)&gt;0,IF($AH292="","door material, ","")&amp;IF($AL292="","face type, ","")&amp;IF($AP292="","lock prep, ","")&amp;IF(AND($AO292="",$AC292=""),"hinge prep, ",""),"")&amp;IF(AND($CH292&gt;0,$AH292="FRP"),"FRP cannot carry a label, ","")&amp;IF(AND($O292="Y",OR($Z292="L",$Z292="R",$Z292="LR",$Z292="RR")),"pair marked but hand is single, ","")&amp;IF(AND($O292&lt;&gt;"Y",OR($Z292="PR",AND(LEN($Z292)&gt;1,ISNUMBER(SEARCH("-",$Z292))))),"pair hand on a single door, ","")&amp;IF(AND(ISNUMBER($CI292),$CH292&lt;N($CI292)),"wall needs a "&amp;$CI292&amp;" min door, ","")&amp;IF(AND($CH292&gt;=180,AND(OR($CE292="FG",$CE292="HG",$CE292="FNV",$CE292="FV"),N($CF292)*N($CG292)&gt;100)),"180 min lite over 100 sq in, ","")&amp;IF(N($BK292)&gt;48,"leaf wider than 4'-0"&amp;CHAR(34)&amp;", ","")&amp;IF(AND($CT292,COUNT($AW292:$AZ292)=0,$CQ292&gt;0),"CUSTOM LOC with no locations typed, ",""))</f>
        <v/>
      </c>
      <c r="DK292" s="84">
        <f>IF($A292="","",IF(AND($CH292&gt;0,AND($A292&lt;&gt;"",$C292&lt;&gt;"DOOR ONLY"),$X292="KD",$E292="EXTERIOR"),"KD label on an exterior opening, ","")&amp;IF(AND($E292="EXTERIOR",OR(AND(AND($A292&lt;&gt;"",$C292&lt;&gt;"DOOR ONLY"),$W292="CR"),AND(N($BJ292)&gt;0,$AH292="CR"))),"exterior in CR steel (G9?), ","")&amp;IF(AND(ISNUMBER($BQ292),N($BQ292)&lt;32),"clear width ~"&amp;TEXT($BQ292,"0.0")&amp;CHAR(34)&amp;" under 32"&amp;CHAR(34)&amp;" (ADA), ","")&amp;IF(AND($CH292=90,AND(OR($CE292="FG",$CE292="HG",$CE292="FNV",$CE292="FV"),N($CF292)*N($CG292)&gt;100)),"90 min lite over 100 sq in (stair/exit), ","")&amp;IF(AND($CH292&gt;0,AND($A292&lt;&gt;"",$C292&lt;&gt;"DOOR ONLY"),OR($AF292="",$AF292="-")),"rated: closer reinf.?, ","")&amp;IF(OR($I292="CORRIDOR",$I292="SMOKE BARRIER"),"S label + smoke gasketing, ","")&amp;IF($CI292="?","wall type/hr not in IBC table, ","")&amp;IF(AND(N($BJ292)&gt;0,$BB292=""),"no hardware set, ","")&amp;IF(AND($BB292&lt;&gt;"",ISNA(MATCH($BB292&amp;"",HWSets,0))),"set "&amp;$BB292&amp;" not on HW Sets, ","")&amp;IF(N($BL292)&gt;96,"leaf over 8'-0"&amp;CHAR(34)&amp;" - check listing, ","")&amp;IF(AND($CT292,COUNT($AW292:$AZ292)&gt;0,COUNT($AW292:$AZ292)&lt;&gt;$CQ292),COUNT($AW292:$AZ292)&amp;" custom hinges typed, "&amp;$CQ292&amp;" expected, ","")&amp;IF(AND(ISNUMBER($CA292),OR(N($CA292)&lt;34,N($CA292)&gt;48)),"lock "&amp;TEXT($CA292,"0.0")&amp;CHAR(34)&amp;" AFF outside 34-48"&amp;CHAR(34)&amp;" (ADA), ","")&amp;IF(AND(ISNUMBER($AV292),ISNUMBER($BL292),N($AV292)&lt;IF(N($BL292)&lt;=60,2,IF(N($BL292)&lt;=90,3,IF(N($BL292)&lt;=120,4,5)))),"fewer hinges than standard, ",""))</f>
        <v/>
      </c>
    </row>
    <row r="293" ht="15" customHeight="1">
      <c r="A293" s="77" t="n"/>
      <c r="B293" s="78" t="n"/>
      <c r="C293" s="78" t="n"/>
      <c r="D293" s="78" t="n"/>
      <c r="E293" s="78" t="n"/>
      <c r="F293" s="78" t="n"/>
      <c r="G293" s="78" t="n"/>
      <c r="H293" s="78" t="n"/>
      <c r="I293" s="78" t="n"/>
      <c r="J293" s="78" t="n"/>
      <c r="K293" s="78" t="n"/>
      <c r="L293" s="78" t="n"/>
      <c r="M293" s="78" t="n"/>
      <c r="N293" s="78" t="n"/>
      <c r="O293" s="78" t="n"/>
      <c r="P293" s="78" t="n"/>
      <c r="Q293" s="78" t="n"/>
      <c r="R293" s="78" t="n"/>
      <c r="S293" s="79" t="n"/>
      <c r="T293" s="79" t="n"/>
      <c r="U293" s="79" t="n"/>
      <c r="V293" s="79" t="n"/>
      <c r="W293" s="79" t="n"/>
      <c r="X293" s="79" t="n"/>
      <c r="Y293" s="79" t="n"/>
      <c r="Z293" s="79" t="n"/>
      <c r="AA293" s="79" t="n"/>
      <c r="AB293" s="79" t="n"/>
      <c r="AC293" s="79" t="n"/>
      <c r="AD293" s="79" t="n"/>
      <c r="AE293" s="79" t="n"/>
      <c r="AF293" s="79" t="n"/>
      <c r="AG293" s="79" t="n"/>
      <c r="AH293" s="80" t="n"/>
      <c r="AI293" s="80" t="n"/>
      <c r="AJ293" s="80" t="n"/>
      <c r="AK293" s="80" t="n"/>
      <c r="AL293" s="80" t="n"/>
      <c r="AM293" s="80" t="n"/>
      <c r="AN293" s="80" t="n"/>
      <c r="AO293" s="80" t="n"/>
      <c r="AP293" s="80" t="n"/>
      <c r="AQ293" s="80" t="n"/>
      <c r="AR293" s="80" t="n"/>
      <c r="AS293" s="80" t="n"/>
      <c r="AT293" s="81" t="n"/>
      <c r="AU293" s="81" t="n"/>
      <c r="AV293" s="81" t="n"/>
      <c r="AW293" s="82" t="n"/>
      <c r="AX293" s="82" t="n"/>
      <c r="AY293" s="82" t="n"/>
      <c r="AZ293" s="82" t="n"/>
      <c r="BA293" s="82" t="n"/>
      <c r="BB293" s="83" t="n"/>
      <c r="BC293" s="83" t="n"/>
      <c r="BD293" s="84">
        <f>IF($A293="","",IF($DJ293&lt;&gt;"","FIX",IF($DK293&lt;&gt;"","CHECK","OK")))</f>
        <v/>
      </c>
      <c r="BE293" s="85">
        <f>IF($A293="","",IF($DJ293&lt;&gt;"","FIX: "&amp;LEFT($DJ293,LEN($DJ293)-2)&amp;IF($DK293&lt;&gt;"","  ·  ",""),"")&amp;IF($DK293&lt;&gt;"","CHECK: "&amp;LEFT($DK293,LEN($DK293)-2),""))</f>
        <v/>
      </c>
      <c r="BF293" s="84">
        <f>IF(OR($A293="",$K293=""),"",$K293&amp;"'-"&amp;N($L293)&amp;CHAR(34)&amp;" x "&amp;$M293&amp;"'-"&amp;N($N293)&amp;CHAR(34))</f>
        <v/>
      </c>
      <c r="BG293" s="84">
        <f>IF(OR($A293="",$K293=""),"",$K293&amp;N($L293)&amp;$M293&amp;N($N293))</f>
        <v/>
      </c>
      <c r="BH293" s="84">
        <f>IF(OR($A293="",$K293=""),"",$K293*12+N($L293))</f>
        <v/>
      </c>
      <c r="BI293" s="84">
        <f>IF(OR($A293="",$M293=""),"",$M293*12+N($N293))</f>
        <v/>
      </c>
      <c r="BJ293" s="84">
        <f>IF($A293="","",IF(OR($C293="FRAME ONLY",$S293="BL"),0,IF($O293="Y",2,1)))</f>
        <v/>
      </c>
      <c r="BK293" s="86">
        <f>IF(OR(N($BJ293)=0,$BH293=""),"",($BH293-2*EdgeClr-IF($BJ293=2,MeetClr,0))/$BJ293)</f>
        <v/>
      </c>
      <c r="BL293" s="86">
        <f>IF(OR(N($BJ293)=0,$BI293=""),"",$BI293-HeadClr-Undercut)</f>
        <v/>
      </c>
      <c r="BM293" s="86">
        <f>IF($BH293="","",$BH293+2*FaceW+IF(N($Q293)&gt;0,($Q293+FaceW)*IF($R293="LR",2,1),0))</f>
        <v/>
      </c>
      <c r="BN293" s="86">
        <f>IF($BI293="","",$BI293+IF($AB293="Y",4,FaceW)+IF(N($P293)&gt;0,$P293+FaceW,0)+IF(OR($S293="4F",$S293="BL"),FaceW,0))</f>
        <v/>
      </c>
      <c r="BO293" s="86">
        <f>IF($BM293="","",$BM293+2*ROSide)</f>
        <v/>
      </c>
      <c r="BP293" s="86">
        <f>IF($BN293="","",$BN293+ROTop)</f>
        <v/>
      </c>
      <c r="BQ293" s="87">
        <f>IF(OR(N($BJ293)=0,$BH293=""),"",$BH293/$BJ293-ClearDeduct)</f>
        <v/>
      </c>
      <c r="BR293" s="84">
        <f>IF(N($CH293)=0,"",IF($CH293&gt;=180,"A · 3 HR",IF($CH293&gt;=90,"B · 1-1/2 HR",IF($CH293&gt;=60,"B · 1 HR",IF($CH293&gt;=45,"C · 3/4 HR","20 MIN")))))&amp;IF(AND(N($CH293)&gt;0,OR($I293="CORRIDOR",$I293="SMOKE BARRIER"))," · S","")</f>
        <v/>
      </c>
      <c r="BS293" s="84">
        <f>IF($CS293,"",IF($AV293&lt;&gt;"",$AV293,IF(OR($AC293="HGC",$AO293="HGC"),"CONT",IF(($BI293-HeadClr-Undercut)&lt;=60,2,IF(($BI293-HeadClr-Undercut)&lt;=90,3,IF(($BI293-HeadClr-Undercut)&lt;=120,4,5))))))</f>
        <v/>
      </c>
      <c r="BT293" s="84">
        <f>IF($CS293,"",IF($CT293,"CUSTOM (typed)",IF($CV293,$AT293&amp;" "&amp;$CU293&amp;CHAR(34)&amp;IF($CU293&lt;&gt;$BI293,IF(AND($BI293&lt;$CU293,$BI293-IF(N(VLOOKUP($AT293&amp;"|"&amp;$CU293,LocTable,7,FALSE))&gt;0,VLOOKUP($AT293&amp;"|"&amp;$CU293,LocTable,7,FALSE),VLOOKUP($AT293&amp;"|"&amp;$CU293,LocTable,6,FALSE))-$CR293-0.75&gt;=2.125)," cut down"," adj."),""),"ANSI/SDI A250.6")))</f>
        <v/>
      </c>
      <c r="BU293" s="88">
        <f>IF($CS293,"",IF($CT293,IF(N($AW293)&gt;0,N($AW293),""),IF(1&gt;$CQ293,"",IF($CQ293=1,$CW293,$CW293+($CX293-$CW293)*0/($CQ293-1)))))</f>
        <v/>
      </c>
      <c r="BV293" s="88">
        <f>IF($CS293,"",IF($CT293,IF(N($AX293)&gt;0,N($AX293),""),IF(2&gt;$CQ293,"",IF($CQ293=1,$CW293,$CW293+($CX293-$CW293)*1/($CQ293-1)))))</f>
        <v/>
      </c>
      <c r="BW293" s="88">
        <f>IF($CS293,"",IF($CT293,IF(N($AY293)&gt;0,N($AY293),""),IF(3&gt;$CQ293,"",IF($CQ293=1,$CW293,$CW293+($CX293-$CW293)*2/($CQ293-1)))))</f>
        <v/>
      </c>
      <c r="BX293" s="88">
        <f>IF($CS293,"",IF($CT293,IF(N($AZ293)&gt;0,N($AZ293),""),IF(4&gt;$CQ293,"",IF($CQ293=1,$CW293,$CW293+($CX293-$CW293)*3/($CQ293-1)))))</f>
        <v/>
      </c>
      <c r="BY293" s="88">
        <f>IF($CS293,"",IF($CT293,"",IF(5&gt;$CQ293,"",IF($CQ293=1,$CW293,$CW293+($CX293-$CW293)*4/($CQ293-1)))))</f>
        <v/>
      </c>
      <c r="BZ293" s="88">
        <f>IF(OR($CS293,$AP293="-",AND($AP293="",$AD293="")),"",IF(N($BA293)&gt;0,N($BA293),IF($CV293,IF(AND($BI293&lt;$CU293,$BI293-IF(N(VLOOKUP($AT293&amp;"|"&amp;$CU293,LocTable,7,FALSE))&gt;0,VLOOKUP($AT293&amp;"|"&amp;$CU293,LocTable,7,FALSE),VLOOKUP($AT293&amp;"|"&amp;$CU293,LocTable,6,FALSE))-$CR293-0.75&gt;=2.125),VLOOKUP($AT293&amp;"|"&amp;$CU293,LocTable,8,FALSE),VLOOKUP($AT293&amp;"|"&amp;$CU293,LocTable,8,FALSE)+($BI293-$CU293)),$BI293-LockAFF)))</f>
        <v/>
      </c>
      <c r="CA293" s="89">
        <f>IF($BZ293="","",$BI293-$BZ293)</f>
        <v/>
      </c>
      <c r="CB293" s="84">
        <f>IF(OR(NOT(AND($A293&lt;&gt;"",$C293&lt;&gt;"DOOR ONLY")),$BI293=""),"",IF(($BI293+IF(N($P293)&gt;0,$P293+FaceW,0))&lt;=90,3,IF(($BI293+IF(N($P293)&gt;0,$P293+FaceW,0))&lt;=114,4,5)))</f>
        <v/>
      </c>
      <c r="CC293" s="84">
        <f>IF($CB293="","",$CB293*(2+IF(N($Q293)&gt;0,IF($R293="LR",2,1),0)))</f>
        <v/>
      </c>
      <c r="CD293" s="84">
        <f>IF($CB293="","",(2+IF(N($Q293)&gt;0,IF($R293="LR",2,1),0)))</f>
        <v/>
      </c>
      <c r="CE293" s="84">
        <f>IF(N($BJ293)=0,"",IF(OR($AL293="",$AL293="FLUSH"),"FLUSH",IFERROR(LEFT($AL293,FIND("-",$AL293)-1),LEFT($AL293,2))))</f>
        <v/>
      </c>
      <c r="CF293" s="84">
        <f>IF($CE293="","",IFERROR(VALUE(MID($AL293,FIND("-",$AL293)+1,FIND(CHAR(34)&amp;"x",$AL293)-FIND("-",$AL293)-1)),0))</f>
        <v/>
      </c>
      <c r="CG293" s="84">
        <f>IF($CE293="","",IFERROR(VALUE(MID($AL293,FIND(CHAR(34)&amp;"x",$AL293)+2,FIND(CHAR(34),$AL293,FIND(CHAR(34)&amp;"x",$AL293)+2)-FIND(CHAR(34)&amp;"x",$AL293)-2)),0))</f>
        <v/>
      </c>
      <c r="CH293" s="90">
        <f>IF(OR($A293="",$H293="",$H293="NO LAB"),0,IFERROR(VALUE(LEFT($H293,FIND(" ",$H293)-1)),0))</f>
        <v/>
      </c>
      <c r="CI293" s="91">
        <f>IF(OR($A293="",$I293="",$I293="NON-RATED",N($J293)=0),"",IFERROR(VLOOKUP($I293&amp;"|"&amp;$J293,IBC,2,FALSE),"?"))</f>
        <v/>
      </c>
      <c r="CJ293" s="85">
        <f>IF(NOT(AND($A293&lt;&gt;"",$C293&lt;&gt;"DOOR ONLY")),"",TRIM(IFERROR(VLOOKUP($U293,CODES,2,FALSE),"")&amp;" "&amp;$BG293&amp;" "&amp;IFERROR(VLOOKUP($Z293,CODES,2,FALSE),"")&amp;" "&amp;IFERROR(VLOOKUP($X293,CODES,2,FALSE),"")&amp;" "&amp;IFERROR(VLOOKUP($S293,CODES,2,FALSE),"")&amp;IF(N($P293)&gt;0," w/TRANSOM "&amp;$P293&amp;CHAR(34),"")&amp;IF(N($Q293)&gt;0," w/SIDELITE "&amp;$Q293&amp;CHAR(34)&amp;" "&amp;IF($R293="","R",$R293),"")&amp;IF($Y293="","  |  "," | "&amp;IFERROR(VLOOKUP($Y293,CODES,2,FALSE),"")&amp;" | ")&amp;IFERROR(VLOOKUP($AC293,CODES,2,FALSE),"")&amp;" "&amp;IFERROR(VLOOKUP($AD293,CODES,2,FALSE),"")&amp;IF(OR($AE293="",$AE293="-"),""," "&amp;$AE293)&amp;IF(OR($AF293="",$AF293="-"),""," "&amp;$AF293)&amp;IF($AB293="Y"," 4"&amp;CHAR(34)&amp;" HEAD","")&amp;" "&amp;IFERROR(VLOOKUP($H293,CODES,2,FALSE),"")&amp;IF($CT293," | LOC "&amp;$CY293,"")))</f>
        <v/>
      </c>
      <c r="CK293" s="85">
        <f>IF(NOT(AND($A293&lt;&gt;"",N($BJ293)&gt;0)),"",TRIM(IFERROR(VLOOKUP($AH293,CODES,2,FALSE),"")&amp;IF($AI293=""," "," "&amp;$AI293&amp;"GA ")&amp;$BG293&amp;" "&amp;IF($AN293="",IFERROR(VLOOKUP($Z293,CODES,2,FALSE),""),IFERROR(VLOOKUP($AN293,CODES,2,FALSE),""))&amp;IF($BJ293=2," PAIR","")&amp;" DOOR | "&amp;IF($AL293="","?",$AL293)&amp;" | "&amp;IF($AO293="",IFERROR(VLOOKUP($AC293,CODES,2,FALSE),""),IFERROR(VLOOKUP($AO293,CODES,2,FALSE),""))&amp;" "&amp;IFERROR(VLOOKUP($AP293,CODES,2,FALSE),"")&amp;IF(OR($AQ293="",$AQ293="-"),""," SEAM "&amp;$AQ293)&amp;IF($AR293="Y"," ASTRAGAL","")&amp;IF($AJ293=""," "," "&amp;$AJ293)&amp;IF($AK293=""," "," "&amp;$AK293)&amp;IF(OR($AT293="",$AT293="ANSI/SDI",$AT293="CUSTOM LOC"),""," "&amp;$AT293)&amp;IF($AM293=""," "," SERIES "&amp;$AM293)&amp;" "&amp;IFERROR(VLOOKUP($H293,CODES,2,FALSE),"")&amp;IF($CT293," | LOC "&amp;$CZ293,"")))</f>
        <v/>
      </c>
      <c r="CL293" s="84">
        <f>IF(CP293="","",IF(COUNTIF($CP$6:CP293,CP293)=1,MAX($CL$5:CL292)+1,INDEX($CL$5:CL292,MATCH(CP293,$CP$5:CP292,0))))</f>
        <v/>
      </c>
      <c r="CM293" s="84">
        <f>IF(NOT(AND($A293&lt;&gt;"",$C293&lt;&gt;"DOOR ONLY")),"",MAX($CM$5:CM292)+1)</f>
        <v/>
      </c>
      <c r="CN293" s="84">
        <f>IF(NOT(AND($A293&lt;&gt;"",N($BJ293)&gt;0)),"",MAX($CN$5:CN292)+1)</f>
        <v/>
      </c>
      <c r="CO293" s="84">
        <f>IF($A293="","",MAX($CO$5:CO292)+1)</f>
        <v/>
      </c>
      <c r="CP293" s="84">
        <f>IF(OR($A293="",$BH293="",$BI293=""),"",$BG293&amp;"|"&amp;$O293&amp;"|"&amp;$AL293&amp;"|"&amp;$S293&amp;"|"&amp;$P293&amp;"|"&amp;$Q293&amp;$R293&amp;"|"&amp;$C293&amp;"|"&amp;$AB293)</f>
        <v/>
      </c>
      <c r="CQ293" s="84">
        <f>N($BS293)</f>
        <v/>
      </c>
      <c r="CR293" s="84">
        <f>IF(N($AU293)&gt;0,N($AU293),4.5)</f>
        <v/>
      </c>
      <c r="CS293" s="84">
        <f>OR($A293="",$BI293="",$S293="BL",AND($C293="FRAME ONLY",OR($AC293="",$AC293="BLK")))</f>
        <v/>
      </c>
      <c r="CT293" s="84">
        <f>AND(NOT($CS293),OR($AT293="CUSTOM LOC",N($AW293)+N($AX293)+N($AY293)+N($AZ293)+N($BA293)&gt;0))</f>
        <v/>
      </c>
      <c r="CU293" s="84">
        <f>IF($BI293="","",IF($BI293&lt;=80,80,IF($BI293&lt;=84,84,96)))</f>
        <v/>
      </c>
      <c r="CV293" s="84">
        <f>ISNUMBER(MATCH($AT293&amp;"|80",LocKeys,0))</f>
        <v/>
      </c>
      <c r="CW293" s="86">
        <f>IF($CS293,"",IF($CV293,VLOOKUP($AT293&amp;"|"&amp;$CU293,LocTable,4,FALSE),5))</f>
        <v/>
      </c>
      <c r="CX293" s="86">
        <f>IF($CS293,"",IF($CV293,IF(OR($BI293=$CU293,AND($BI293&lt;$CU293,$BI293-IF(N(VLOOKUP($AT293&amp;"|"&amp;$CU293,LocTable,7,FALSE))&gt;0,VLOOKUP($AT293&amp;"|"&amp;$CU293,LocTable,7,FALSE),VLOOKUP($AT293&amp;"|"&amp;$CU293,LocTable,6,FALSE))-$CR293-0.75&gt;=2.125)),IF(N(VLOOKUP($AT293&amp;"|"&amp;$CU293,LocTable,7,FALSE))&gt;0,VLOOKUP($AT293&amp;"|"&amp;$CU293,LocTable,7,FALSE),VLOOKUP($AT293&amp;"|"&amp;$CU293,LocTable,6,FALSE)),$BI293-($CU293-IF(N(VLOOKUP($AT293&amp;"|"&amp;$CU293,LocTable,7,FALSE))&gt;0,VLOOKUP($AT293&amp;"|"&amp;$CU293,LocTable,7,FALSE),VLOOKUP($AT293&amp;"|"&amp;$CU293,LocTable,6,FALSE)))),$BI293-10-$CR293))</f>
        <v/>
      </c>
      <c r="CY293" s="85">
        <f>IF($CS293,"",TRIM(IF(ISNUMBER($BU293),"A "&amp;TRIM(TEXT($BU293,"# ?/??"))&amp;CHAR(34)&amp;"  ","")&amp;IF(ISNUMBER($BV293),"B "&amp;TRIM(TEXT($BV293,"# ?/??"))&amp;CHAR(34)&amp;"  ","")&amp;IF(ISNUMBER($BW293),"C "&amp;TRIM(TEXT($BW293,"# ?/??"))&amp;CHAR(34)&amp;"  ","")&amp;IF(ISNUMBER($BX293),"D "&amp;TRIM(TEXT($BX293,"# ?/??"))&amp;CHAR(34)&amp;"  ","")&amp;IF(ISNUMBER($BY293),"F "&amp;TRIM(TEXT($BY293,"# ?/??"))&amp;CHAR(34)&amp;"  ","")&amp;IF(ISNUMBER($BZ293),"E "&amp;TRIM(TEXT($BZ293,"# ?/??"))&amp;CHAR(34)&amp;"  ","")))</f>
        <v/>
      </c>
      <c r="CZ293" s="85">
        <f>IF(OR($CS293,N($BJ293)=0),"",TRIM(IF(ISNUMBER($BU293),"A "&amp;TRIM(TEXT($BU293-HeadClr,"# ?/??"))&amp;CHAR(34)&amp;"  ","")&amp;IF(ISNUMBER($BV293),"B "&amp;TRIM(TEXT($BV293-HeadClr,"# ?/??"))&amp;CHAR(34)&amp;"  ","")&amp;IF(ISNUMBER($BW293),"C "&amp;TRIM(TEXT($BW293-HeadClr,"# ?/??"))&amp;CHAR(34)&amp;"  ","")&amp;IF(ISNUMBER($BX293),"D "&amp;TRIM(TEXT($BX293-HeadClr,"# ?/??"))&amp;CHAR(34)&amp;"  ","")&amp;IF(ISNUMBER($BY293),"F "&amp;TRIM(TEXT($BY293-HeadClr,"# ?/??"))&amp;CHAR(34)&amp;"  ","")&amp;IF(ISNUMBER($BZ293),"E "&amp;TRIM(TEXT($BZ293-HeadClr,"# ?/??"))&amp;CHAR(34)&amp;"  ","")))</f>
        <v/>
      </c>
      <c r="DA293" s="84">
        <f>IF($A293="","",IF($AN293="",IFERROR(VLOOKUP($Z293,CODES,2,FALSE),""),IFERROR(VLOOKUP($AN293,CODES,2,FALSE),"")))</f>
        <v/>
      </c>
      <c r="DB293" s="84">
        <f>IF($A293="","",IF($O293="Y","PR",IF(OR($Z293="L",$Z293="RR",LEFT($Z293,2)="L-",LEFT($Z293,3)="RR-"),"LH","RH")))</f>
        <v/>
      </c>
      <c r="DC293" s="84">
        <f>IF($A293="","","S.HM"&amp;IF(OR($C293="DOOR ONLY",$X293&lt;&gt;"KD"),"MASONRY","DRYWALL")&amp;IF($C293="DOOR ONLY","",$U293)&amp;IF(AND($C293&lt;&gt;"FRAME ONLY",OR(LEFT($AH293,3)="OAK",LEFT($AH293,3)="BIR",LEFT($AH293,3)="MAP",$AH293="PC",$AH293="MC",$AH293="SCLC",$AH293="P-LAM")),"WD","HM")&amp;"1.75")</f>
        <v/>
      </c>
      <c r="DD293" s="84">
        <f>IF($CJ293="","",IF($O293="Y",$CJ293,SUBSTITUTE($CJ293,$BG293&amp;" "&amp;IFERROR(VLOOKUP($Z293,CODES,2,FALSE),"")&amp;" ",$BG293&amp;" ")))</f>
        <v/>
      </c>
      <c r="DE293" s="84">
        <f>IF($CK293="","",IF($O293="Y",$CK293,SUBSTITUTE($CK293,$BG293&amp;" "&amp;IF($AN293="",IFERROR(VLOOKUP($Z293,CODES,2,FALSE),""),IFERROR(VLOOKUP($AN293,CODES,2,FALSE),""))&amp;" ",$BG293&amp;" ")))</f>
        <v/>
      </c>
      <c r="DF293" s="84">
        <f>IF($CJ293="","",$DC293&amp;"|"&amp;$DD293&amp;"|"&amp;$DB293&amp;"|"&amp;$AT293&amp;"|"&amp;$V293&amp;"|"&amp;$Y293&amp;"|"&amp;$AB293)</f>
        <v/>
      </c>
      <c r="DG293" s="84">
        <f>IF(DF293="","",IF(COUNTIF($DF$6:DF293,DF293)=1,MAX($DG$5:DG292)+1,INDEX($DG$5:DG292,MATCH(DF293,$DF$5:DF292,0))))</f>
        <v/>
      </c>
      <c r="DH293" s="84">
        <f>IF($CK293="","",$DC293&amp;"|"&amp;$DE293&amp;"|"&amp;$AI293&amp;"|"&amp;$BK293&amp;"|"&amp;$BL293)</f>
        <v/>
      </c>
      <c r="DI293" s="84">
        <f>IF(DH293="","",IF(COUNTIF($DH$6:DH293,DH293)=1,MAX($DI$5:DI292)+1,INDEX($DI$5:DI292,MATCH(DH293,$DH$5:DH292,0))))</f>
        <v/>
      </c>
      <c r="DJ293" s="84">
        <f>IF($A293="","",IF($B293="","qty, ","")&amp;IF($C293="","scope, ","")&amp;IF(OR($K293="",$M293=""),"size, ","")&amp;IF(AND($A293&lt;&gt;"",$C293&lt;&gt;"DOOR ONLY"),IF($U293="","jamb depth, ","")&amp;IF($X293="","construction, ","")&amp;IF($Y293="","anchor, ","")&amp;IF($S293="","frame type, ",""),"")&amp;IF(AND(N($BJ293)&gt;0,$Z293=""),"hand, ","")&amp;IF(N($BJ293)&gt;0,IF($AH293="","door material, ","")&amp;IF($AL293="","face type, ","")&amp;IF($AP293="","lock prep, ","")&amp;IF(AND($AO293="",$AC293=""),"hinge prep, ",""),"")&amp;IF(AND($CH293&gt;0,$AH293="FRP"),"FRP cannot carry a label, ","")&amp;IF(AND($O293="Y",OR($Z293="L",$Z293="R",$Z293="LR",$Z293="RR")),"pair marked but hand is single, ","")&amp;IF(AND($O293&lt;&gt;"Y",OR($Z293="PR",AND(LEN($Z293)&gt;1,ISNUMBER(SEARCH("-",$Z293))))),"pair hand on a single door, ","")&amp;IF(AND(ISNUMBER($CI293),$CH293&lt;N($CI293)),"wall needs a "&amp;$CI293&amp;" min door, ","")&amp;IF(AND($CH293&gt;=180,AND(OR($CE293="FG",$CE293="HG",$CE293="FNV",$CE293="FV"),N($CF293)*N($CG293)&gt;100)),"180 min lite over 100 sq in, ","")&amp;IF(N($BK293)&gt;48,"leaf wider than 4'-0"&amp;CHAR(34)&amp;", ","")&amp;IF(AND($CT293,COUNT($AW293:$AZ293)=0,$CQ293&gt;0),"CUSTOM LOC with no locations typed, ",""))</f>
        <v/>
      </c>
      <c r="DK293" s="84">
        <f>IF($A293="","",IF(AND($CH293&gt;0,AND($A293&lt;&gt;"",$C293&lt;&gt;"DOOR ONLY"),$X293="KD",$E293="EXTERIOR"),"KD label on an exterior opening, ","")&amp;IF(AND($E293="EXTERIOR",OR(AND(AND($A293&lt;&gt;"",$C293&lt;&gt;"DOOR ONLY"),$W293="CR"),AND(N($BJ293)&gt;0,$AH293="CR"))),"exterior in CR steel (G9?), ","")&amp;IF(AND(ISNUMBER($BQ293),N($BQ293)&lt;32),"clear width ~"&amp;TEXT($BQ293,"0.0")&amp;CHAR(34)&amp;" under 32"&amp;CHAR(34)&amp;" (ADA), ","")&amp;IF(AND($CH293=90,AND(OR($CE293="FG",$CE293="HG",$CE293="FNV",$CE293="FV"),N($CF293)*N($CG293)&gt;100)),"90 min lite over 100 sq in (stair/exit), ","")&amp;IF(AND($CH293&gt;0,AND($A293&lt;&gt;"",$C293&lt;&gt;"DOOR ONLY"),OR($AF293="",$AF293="-")),"rated: closer reinf.?, ","")&amp;IF(OR($I293="CORRIDOR",$I293="SMOKE BARRIER"),"S label + smoke gasketing, ","")&amp;IF($CI293="?","wall type/hr not in IBC table, ","")&amp;IF(AND(N($BJ293)&gt;0,$BB293=""),"no hardware set, ","")&amp;IF(AND($BB293&lt;&gt;"",ISNA(MATCH($BB293&amp;"",HWSets,0))),"set "&amp;$BB293&amp;" not on HW Sets, ","")&amp;IF(N($BL293)&gt;96,"leaf over 8'-0"&amp;CHAR(34)&amp;" - check listing, ","")&amp;IF(AND($CT293,COUNT($AW293:$AZ293)&gt;0,COUNT($AW293:$AZ293)&lt;&gt;$CQ293),COUNT($AW293:$AZ293)&amp;" custom hinges typed, "&amp;$CQ293&amp;" expected, ","")&amp;IF(AND(ISNUMBER($CA293),OR(N($CA293)&lt;34,N($CA293)&gt;48)),"lock "&amp;TEXT($CA293,"0.0")&amp;CHAR(34)&amp;" AFF outside 34-48"&amp;CHAR(34)&amp;" (ADA), ","")&amp;IF(AND(ISNUMBER($AV293),ISNUMBER($BL293),N($AV293)&lt;IF(N($BL293)&lt;=60,2,IF(N($BL293)&lt;=90,3,IF(N($BL293)&lt;=120,4,5)))),"fewer hinges than standard, ",""))</f>
        <v/>
      </c>
    </row>
    <row r="294" ht="15" customHeight="1">
      <c r="A294" s="77" t="n"/>
      <c r="B294" s="78" t="n"/>
      <c r="C294" s="78" t="n"/>
      <c r="D294" s="78" t="n"/>
      <c r="E294" s="78" t="n"/>
      <c r="F294" s="78" t="n"/>
      <c r="G294" s="78" t="n"/>
      <c r="H294" s="78" t="n"/>
      <c r="I294" s="78" t="n"/>
      <c r="J294" s="78" t="n"/>
      <c r="K294" s="78" t="n"/>
      <c r="L294" s="78" t="n"/>
      <c r="M294" s="78" t="n"/>
      <c r="N294" s="78" t="n"/>
      <c r="O294" s="78" t="n"/>
      <c r="P294" s="78" t="n"/>
      <c r="Q294" s="78" t="n"/>
      <c r="R294" s="78" t="n"/>
      <c r="S294" s="79" t="n"/>
      <c r="T294" s="79" t="n"/>
      <c r="U294" s="79" t="n"/>
      <c r="V294" s="79" t="n"/>
      <c r="W294" s="79" t="n"/>
      <c r="X294" s="79" t="n"/>
      <c r="Y294" s="79" t="n"/>
      <c r="Z294" s="79" t="n"/>
      <c r="AA294" s="79" t="n"/>
      <c r="AB294" s="79" t="n"/>
      <c r="AC294" s="79" t="n"/>
      <c r="AD294" s="79" t="n"/>
      <c r="AE294" s="79" t="n"/>
      <c r="AF294" s="79" t="n"/>
      <c r="AG294" s="79" t="n"/>
      <c r="AH294" s="80" t="n"/>
      <c r="AI294" s="80" t="n"/>
      <c r="AJ294" s="80" t="n"/>
      <c r="AK294" s="80" t="n"/>
      <c r="AL294" s="80" t="n"/>
      <c r="AM294" s="80" t="n"/>
      <c r="AN294" s="80" t="n"/>
      <c r="AO294" s="80" t="n"/>
      <c r="AP294" s="80" t="n"/>
      <c r="AQ294" s="80" t="n"/>
      <c r="AR294" s="80" t="n"/>
      <c r="AS294" s="80" t="n"/>
      <c r="AT294" s="81" t="n"/>
      <c r="AU294" s="81" t="n"/>
      <c r="AV294" s="81" t="n"/>
      <c r="AW294" s="82" t="n"/>
      <c r="AX294" s="82" t="n"/>
      <c r="AY294" s="82" t="n"/>
      <c r="AZ294" s="82" t="n"/>
      <c r="BA294" s="82" t="n"/>
      <c r="BB294" s="83" t="n"/>
      <c r="BC294" s="83" t="n"/>
      <c r="BD294" s="84">
        <f>IF($A294="","",IF($DJ294&lt;&gt;"","FIX",IF($DK294&lt;&gt;"","CHECK","OK")))</f>
        <v/>
      </c>
      <c r="BE294" s="85">
        <f>IF($A294="","",IF($DJ294&lt;&gt;"","FIX: "&amp;LEFT($DJ294,LEN($DJ294)-2)&amp;IF($DK294&lt;&gt;"","  ·  ",""),"")&amp;IF($DK294&lt;&gt;"","CHECK: "&amp;LEFT($DK294,LEN($DK294)-2),""))</f>
        <v/>
      </c>
      <c r="BF294" s="84">
        <f>IF(OR($A294="",$K294=""),"",$K294&amp;"'-"&amp;N($L294)&amp;CHAR(34)&amp;" x "&amp;$M294&amp;"'-"&amp;N($N294)&amp;CHAR(34))</f>
        <v/>
      </c>
      <c r="BG294" s="84">
        <f>IF(OR($A294="",$K294=""),"",$K294&amp;N($L294)&amp;$M294&amp;N($N294))</f>
        <v/>
      </c>
      <c r="BH294" s="84">
        <f>IF(OR($A294="",$K294=""),"",$K294*12+N($L294))</f>
        <v/>
      </c>
      <c r="BI294" s="84">
        <f>IF(OR($A294="",$M294=""),"",$M294*12+N($N294))</f>
        <v/>
      </c>
      <c r="BJ294" s="84">
        <f>IF($A294="","",IF(OR($C294="FRAME ONLY",$S294="BL"),0,IF($O294="Y",2,1)))</f>
        <v/>
      </c>
      <c r="BK294" s="86">
        <f>IF(OR(N($BJ294)=0,$BH294=""),"",($BH294-2*EdgeClr-IF($BJ294=2,MeetClr,0))/$BJ294)</f>
        <v/>
      </c>
      <c r="BL294" s="86">
        <f>IF(OR(N($BJ294)=0,$BI294=""),"",$BI294-HeadClr-Undercut)</f>
        <v/>
      </c>
      <c r="BM294" s="86">
        <f>IF($BH294="","",$BH294+2*FaceW+IF(N($Q294)&gt;0,($Q294+FaceW)*IF($R294="LR",2,1),0))</f>
        <v/>
      </c>
      <c r="BN294" s="86">
        <f>IF($BI294="","",$BI294+IF($AB294="Y",4,FaceW)+IF(N($P294)&gt;0,$P294+FaceW,0)+IF(OR($S294="4F",$S294="BL"),FaceW,0))</f>
        <v/>
      </c>
      <c r="BO294" s="86">
        <f>IF($BM294="","",$BM294+2*ROSide)</f>
        <v/>
      </c>
      <c r="BP294" s="86">
        <f>IF($BN294="","",$BN294+ROTop)</f>
        <v/>
      </c>
      <c r="BQ294" s="87">
        <f>IF(OR(N($BJ294)=0,$BH294=""),"",$BH294/$BJ294-ClearDeduct)</f>
        <v/>
      </c>
      <c r="BR294" s="84">
        <f>IF(N($CH294)=0,"",IF($CH294&gt;=180,"A · 3 HR",IF($CH294&gt;=90,"B · 1-1/2 HR",IF($CH294&gt;=60,"B · 1 HR",IF($CH294&gt;=45,"C · 3/4 HR","20 MIN")))))&amp;IF(AND(N($CH294)&gt;0,OR($I294="CORRIDOR",$I294="SMOKE BARRIER"))," · S","")</f>
        <v/>
      </c>
      <c r="BS294" s="84">
        <f>IF($CS294,"",IF($AV294&lt;&gt;"",$AV294,IF(OR($AC294="HGC",$AO294="HGC"),"CONT",IF(($BI294-HeadClr-Undercut)&lt;=60,2,IF(($BI294-HeadClr-Undercut)&lt;=90,3,IF(($BI294-HeadClr-Undercut)&lt;=120,4,5))))))</f>
        <v/>
      </c>
      <c r="BT294" s="84">
        <f>IF($CS294,"",IF($CT294,"CUSTOM (typed)",IF($CV294,$AT294&amp;" "&amp;$CU294&amp;CHAR(34)&amp;IF($CU294&lt;&gt;$BI294,IF(AND($BI294&lt;$CU294,$BI294-IF(N(VLOOKUP($AT294&amp;"|"&amp;$CU294,LocTable,7,FALSE))&gt;0,VLOOKUP($AT294&amp;"|"&amp;$CU294,LocTable,7,FALSE),VLOOKUP($AT294&amp;"|"&amp;$CU294,LocTable,6,FALSE))-$CR294-0.75&gt;=2.125)," cut down"," adj."),""),"ANSI/SDI A250.6")))</f>
        <v/>
      </c>
      <c r="BU294" s="88">
        <f>IF($CS294,"",IF($CT294,IF(N($AW294)&gt;0,N($AW294),""),IF(1&gt;$CQ294,"",IF($CQ294=1,$CW294,$CW294+($CX294-$CW294)*0/($CQ294-1)))))</f>
        <v/>
      </c>
      <c r="BV294" s="88">
        <f>IF($CS294,"",IF($CT294,IF(N($AX294)&gt;0,N($AX294),""),IF(2&gt;$CQ294,"",IF($CQ294=1,$CW294,$CW294+($CX294-$CW294)*1/($CQ294-1)))))</f>
        <v/>
      </c>
      <c r="BW294" s="88">
        <f>IF($CS294,"",IF($CT294,IF(N($AY294)&gt;0,N($AY294),""),IF(3&gt;$CQ294,"",IF($CQ294=1,$CW294,$CW294+($CX294-$CW294)*2/($CQ294-1)))))</f>
        <v/>
      </c>
      <c r="BX294" s="88">
        <f>IF($CS294,"",IF($CT294,IF(N($AZ294)&gt;0,N($AZ294),""),IF(4&gt;$CQ294,"",IF($CQ294=1,$CW294,$CW294+($CX294-$CW294)*3/($CQ294-1)))))</f>
        <v/>
      </c>
      <c r="BY294" s="88">
        <f>IF($CS294,"",IF($CT294,"",IF(5&gt;$CQ294,"",IF($CQ294=1,$CW294,$CW294+($CX294-$CW294)*4/($CQ294-1)))))</f>
        <v/>
      </c>
      <c r="BZ294" s="88">
        <f>IF(OR($CS294,$AP294="-",AND($AP294="",$AD294="")),"",IF(N($BA294)&gt;0,N($BA294),IF($CV294,IF(AND($BI294&lt;$CU294,$BI294-IF(N(VLOOKUP($AT294&amp;"|"&amp;$CU294,LocTable,7,FALSE))&gt;0,VLOOKUP($AT294&amp;"|"&amp;$CU294,LocTable,7,FALSE),VLOOKUP($AT294&amp;"|"&amp;$CU294,LocTable,6,FALSE))-$CR294-0.75&gt;=2.125),VLOOKUP($AT294&amp;"|"&amp;$CU294,LocTable,8,FALSE),VLOOKUP($AT294&amp;"|"&amp;$CU294,LocTable,8,FALSE)+($BI294-$CU294)),$BI294-LockAFF)))</f>
        <v/>
      </c>
      <c r="CA294" s="89">
        <f>IF($BZ294="","",$BI294-$BZ294)</f>
        <v/>
      </c>
      <c r="CB294" s="84">
        <f>IF(OR(NOT(AND($A294&lt;&gt;"",$C294&lt;&gt;"DOOR ONLY")),$BI294=""),"",IF(($BI294+IF(N($P294)&gt;0,$P294+FaceW,0))&lt;=90,3,IF(($BI294+IF(N($P294)&gt;0,$P294+FaceW,0))&lt;=114,4,5)))</f>
        <v/>
      </c>
      <c r="CC294" s="84">
        <f>IF($CB294="","",$CB294*(2+IF(N($Q294)&gt;0,IF($R294="LR",2,1),0)))</f>
        <v/>
      </c>
      <c r="CD294" s="84">
        <f>IF($CB294="","",(2+IF(N($Q294)&gt;0,IF($R294="LR",2,1),0)))</f>
        <v/>
      </c>
      <c r="CE294" s="84">
        <f>IF(N($BJ294)=0,"",IF(OR($AL294="",$AL294="FLUSH"),"FLUSH",IFERROR(LEFT($AL294,FIND("-",$AL294)-1),LEFT($AL294,2))))</f>
        <v/>
      </c>
      <c r="CF294" s="84">
        <f>IF($CE294="","",IFERROR(VALUE(MID($AL294,FIND("-",$AL294)+1,FIND(CHAR(34)&amp;"x",$AL294)-FIND("-",$AL294)-1)),0))</f>
        <v/>
      </c>
      <c r="CG294" s="84">
        <f>IF($CE294="","",IFERROR(VALUE(MID($AL294,FIND(CHAR(34)&amp;"x",$AL294)+2,FIND(CHAR(34),$AL294,FIND(CHAR(34)&amp;"x",$AL294)+2)-FIND(CHAR(34)&amp;"x",$AL294)-2)),0))</f>
        <v/>
      </c>
      <c r="CH294" s="90">
        <f>IF(OR($A294="",$H294="",$H294="NO LAB"),0,IFERROR(VALUE(LEFT($H294,FIND(" ",$H294)-1)),0))</f>
        <v/>
      </c>
      <c r="CI294" s="91">
        <f>IF(OR($A294="",$I294="",$I294="NON-RATED",N($J294)=0),"",IFERROR(VLOOKUP($I294&amp;"|"&amp;$J294,IBC,2,FALSE),"?"))</f>
        <v/>
      </c>
      <c r="CJ294" s="85">
        <f>IF(NOT(AND($A294&lt;&gt;"",$C294&lt;&gt;"DOOR ONLY")),"",TRIM(IFERROR(VLOOKUP($U294,CODES,2,FALSE),"")&amp;" "&amp;$BG294&amp;" "&amp;IFERROR(VLOOKUP($Z294,CODES,2,FALSE),"")&amp;" "&amp;IFERROR(VLOOKUP($X294,CODES,2,FALSE),"")&amp;" "&amp;IFERROR(VLOOKUP($S294,CODES,2,FALSE),"")&amp;IF(N($P294)&gt;0," w/TRANSOM "&amp;$P294&amp;CHAR(34),"")&amp;IF(N($Q294)&gt;0," w/SIDELITE "&amp;$Q294&amp;CHAR(34)&amp;" "&amp;IF($R294="","R",$R294),"")&amp;IF($Y294="","  |  "," | "&amp;IFERROR(VLOOKUP($Y294,CODES,2,FALSE),"")&amp;" | ")&amp;IFERROR(VLOOKUP($AC294,CODES,2,FALSE),"")&amp;" "&amp;IFERROR(VLOOKUP($AD294,CODES,2,FALSE),"")&amp;IF(OR($AE294="",$AE294="-"),""," "&amp;$AE294)&amp;IF(OR($AF294="",$AF294="-"),""," "&amp;$AF294)&amp;IF($AB294="Y"," 4"&amp;CHAR(34)&amp;" HEAD","")&amp;" "&amp;IFERROR(VLOOKUP($H294,CODES,2,FALSE),"")&amp;IF($CT294," | LOC "&amp;$CY294,"")))</f>
        <v/>
      </c>
      <c r="CK294" s="85">
        <f>IF(NOT(AND($A294&lt;&gt;"",N($BJ294)&gt;0)),"",TRIM(IFERROR(VLOOKUP($AH294,CODES,2,FALSE),"")&amp;IF($AI294=""," "," "&amp;$AI294&amp;"GA ")&amp;$BG294&amp;" "&amp;IF($AN294="",IFERROR(VLOOKUP($Z294,CODES,2,FALSE),""),IFERROR(VLOOKUP($AN294,CODES,2,FALSE),""))&amp;IF($BJ294=2," PAIR","")&amp;" DOOR | "&amp;IF($AL294="","?",$AL294)&amp;" | "&amp;IF($AO294="",IFERROR(VLOOKUP($AC294,CODES,2,FALSE),""),IFERROR(VLOOKUP($AO294,CODES,2,FALSE),""))&amp;" "&amp;IFERROR(VLOOKUP($AP294,CODES,2,FALSE),"")&amp;IF(OR($AQ294="",$AQ294="-"),""," SEAM "&amp;$AQ294)&amp;IF($AR294="Y"," ASTRAGAL","")&amp;IF($AJ294=""," "," "&amp;$AJ294)&amp;IF($AK294=""," "," "&amp;$AK294)&amp;IF(OR($AT294="",$AT294="ANSI/SDI",$AT294="CUSTOM LOC"),""," "&amp;$AT294)&amp;IF($AM294=""," "," SERIES "&amp;$AM294)&amp;" "&amp;IFERROR(VLOOKUP($H294,CODES,2,FALSE),"")&amp;IF($CT294," | LOC "&amp;$CZ294,"")))</f>
        <v/>
      </c>
      <c r="CL294" s="84">
        <f>IF(CP294="","",IF(COUNTIF($CP$6:CP294,CP294)=1,MAX($CL$5:CL293)+1,INDEX($CL$5:CL293,MATCH(CP294,$CP$5:CP293,0))))</f>
        <v/>
      </c>
      <c r="CM294" s="84">
        <f>IF(NOT(AND($A294&lt;&gt;"",$C294&lt;&gt;"DOOR ONLY")),"",MAX($CM$5:CM293)+1)</f>
        <v/>
      </c>
      <c r="CN294" s="84">
        <f>IF(NOT(AND($A294&lt;&gt;"",N($BJ294)&gt;0)),"",MAX($CN$5:CN293)+1)</f>
        <v/>
      </c>
      <c r="CO294" s="84">
        <f>IF($A294="","",MAX($CO$5:CO293)+1)</f>
        <v/>
      </c>
      <c r="CP294" s="84">
        <f>IF(OR($A294="",$BH294="",$BI294=""),"",$BG294&amp;"|"&amp;$O294&amp;"|"&amp;$AL294&amp;"|"&amp;$S294&amp;"|"&amp;$P294&amp;"|"&amp;$Q294&amp;$R294&amp;"|"&amp;$C294&amp;"|"&amp;$AB294)</f>
        <v/>
      </c>
      <c r="CQ294" s="84">
        <f>N($BS294)</f>
        <v/>
      </c>
      <c r="CR294" s="84">
        <f>IF(N($AU294)&gt;0,N($AU294),4.5)</f>
        <v/>
      </c>
      <c r="CS294" s="84">
        <f>OR($A294="",$BI294="",$S294="BL",AND($C294="FRAME ONLY",OR($AC294="",$AC294="BLK")))</f>
        <v/>
      </c>
      <c r="CT294" s="84">
        <f>AND(NOT($CS294),OR($AT294="CUSTOM LOC",N($AW294)+N($AX294)+N($AY294)+N($AZ294)+N($BA294)&gt;0))</f>
        <v/>
      </c>
      <c r="CU294" s="84">
        <f>IF($BI294="","",IF($BI294&lt;=80,80,IF($BI294&lt;=84,84,96)))</f>
        <v/>
      </c>
      <c r="CV294" s="84">
        <f>ISNUMBER(MATCH($AT294&amp;"|80",LocKeys,0))</f>
        <v/>
      </c>
      <c r="CW294" s="86">
        <f>IF($CS294,"",IF($CV294,VLOOKUP($AT294&amp;"|"&amp;$CU294,LocTable,4,FALSE),5))</f>
        <v/>
      </c>
      <c r="CX294" s="86">
        <f>IF($CS294,"",IF($CV294,IF(OR($BI294=$CU294,AND($BI294&lt;$CU294,$BI294-IF(N(VLOOKUP($AT294&amp;"|"&amp;$CU294,LocTable,7,FALSE))&gt;0,VLOOKUP($AT294&amp;"|"&amp;$CU294,LocTable,7,FALSE),VLOOKUP($AT294&amp;"|"&amp;$CU294,LocTable,6,FALSE))-$CR294-0.75&gt;=2.125)),IF(N(VLOOKUP($AT294&amp;"|"&amp;$CU294,LocTable,7,FALSE))&gt;0,VLOOKUP($AT294&amp;"|"&amp;$CU294,LocTable,7,FALSE),VLOOKUP($AT294&amp;"|"&amp;$CU294,LocTable,6,FALSE)),$BI294-($CU294-IF(N(VLOOKUP($AT294&amp;"|"&amp;$CU294,LocTable,7,FALSE))&gt;0,VLOOKUP($AT294&amp;"|"&amp;$CU294,LocTable,7,FALSE),VLOOKUP($AT294&amp;"|"&amp;$CU294,LocTable,6,FALSE)))),$BI294-10-$CR294))</f>
        <v/>
      </c>
      <c r="CY294" s="85">
        <f>IF($CS294,"",TRIM(IF(ISNUMBER($BU294),"A "&amp;TRIM(TEXT($BU294,"# ?/??"))&amp;CHAR(34)&amp;"  ","")&amp;IF(ISNUMBER($BV294),"B "&amp;TRIM(TEXT($BV294,"# ?/??"))&amp;CHAR(34)&amp;"  ","")&amp;IF(ISNUMBER($BW294),"C "&amp;TRIM(TEXT($BW294,"# ?/??"))&amp;CHAR(34)&amp;"  ","")&amp;IF(ISNUMBER($BX294),"D "&amp;TRIM(TEXT($BX294,"# ?/??"))&amp;CHAR(34)&amp;"  ","")&amp;IF(ISNUMBER($BY294),"F "&amp;TRIM(TEXT($BY294,"# ?/??"))&amp;CHAR(34)&amp;"  ","")&amp;IF(ISNUMBER($BZ294),"E "&amp;TRIM(TEXT($BZ294,"# ?/??"))&amp;CHAR(34)&amp;"  ","")))</f>
        <v/>
      </c>
      <c r="CZ294" s="85">
        <f>IF(OR($CS294,N($BJ294)=0),"",TRIM(IF(ISNUMBER($BU294),"A "&amp;TRIM(TEXT($BU294-HeadClr,"# ?/??"))&amp;CHAR(34)&amp;"  ","")&amp;IF(ISNUMBER($BV294),"B "&amp;TRIM(TEXT($BV294-HeadClr,"# ?/??"))&amp;CHAR(34)&amp;"  ","")&amp;IF(ISNUMBER($BW294),"C "&amp;TRIM(TEXT($BW294-HeadClr,"# ?/??"))&amp;CHAR(34)&amp;"  ","")&amp;IF(ISNUMBER($BX294),"D "&amp;TRIM(TEXT($BX294-HeadClr,"# ?/??"))&amp;CHAR(34)&amp;"  ","")&amp;IF(ISNUMBER($BY294),"F "&amp;TRIM(TEXT($BY294-HeadClr,"# ?/??"))&amp;CHAR(34)&amp;"  ","")&amp;IF(ISNUMBER($BZ294),"E "&amp;TRIM(TEXT($BZ294-HeadClr,"# ?/??"))&amp;CHAR(34)&amp;"  ","")))</f>
        <v/>
      </c>
      <c r="DA294" s="84">
        <f>IF($A294="","",IF($AN294="",IFERROR(VLOOKUP($Z294,CODES,2,FALSE),""),IFERROR(VLOOKUP($AN294,CODES,2,FALSE),"")))</f>
        <v/>
      </c>
      <c r="DB294" s="84">
        <f>IF($A294="","",IF($O294="Y","PR",IF(OR($Z294="L",$Z294="RR",LEFT($Z294,2)="L-",LEFT($Z294,3)="RR-"),"LH","RH")))</f>
        <v/>
      </c>
      <c r="DC294" s="84">
        <f>IF($A294="","","S.HM"&amp;IF(OR($C294="DOOR ONLY",$X294&lt;&gt;"KD"),"MASONRY","DRYWALL")&amp;IF($C294="DOOR ONLY","",$U294)&amp;IF(AND($C294&lt;&gt;"FRAME ONLY",OR(LEFT($AH294,3)="OAK",LEFT($AH294,3)="BIR",LEFT($AH294,3)="MAP",$AH294="PC",$AH294="MC",$AH294="SCLC",$AH294="P-LAM")),"WD","HM")&amp;"1.75")</f>
        <v/>
      </c>
      <c r="DD294" s="84">
        <f>IF($CJ294="","",IF($O294="Y",$CJ294,SUBSTITUTE($CJ294,$BG294&amp;" "&amp;IFERROR(VLOOKUP($Z294,CODES,2,FALSE),"")&amp;" ",$BG294&amp;" ")))</f>
        <v/>
      </c>
      <c r="DE294" s="84">
        <f>IF($CK294="","",IF($O294="Y",$CK294,SUBSTITUTE($CK294,$BG294&amp;" "&amp;IF($AN294="",IFERROR(VLOOKUP($Z294,CODES,2,FALSE),""),IFERROR(VLOOKUP($AN294,CODES,2,FALSE),""))&amp;" ",$BG294&amp;" ")))</f>
        <v/>
      </c>
      <c r="DF294" s="84">
        <f>IF($CJ294="","",$DC294&amp;"|"&amp;$DD294&amp;"|"&amp;$DB294&amp;"|"&amp;$AT294&amp;"|"&amp;$V294&amp;"|"&amp;$Y294&amp;"|"&amp;$AB294)</f>
        <v/>
      </c>
      <c r="DG294" s="84">
        <f>IF(DF294="","",IF(COUNTIF($DF$6:DF294,DF294)=1,MAX($DG$5:DG293)+1,INDEX($DG$5:DG293,MATCH(DF294,$DF$5:DF293,0))))</f>
        <v/>
      </c>
      <c r="DH294" s="84">
        <f>IF($CK294="","",$DC294&amp;"|"&amp;$DE294&amp;"|"&amp;$AI294&amp;"|"&amp;$BK294&amp;"|"&amp;$BL294)</f>
        <v/>
      </c>
      <c r="DI294" s="84">
        <f>IF(DH294="","",IF(COUNTIF($DH$6:DH294,DH294)=1,MAX($DI$5:DI293)+1,INDEX($DI$5:DI293,MATCH(DH294,$DH$5:DH293,0))))</f>
        <v/>
      </c>
      <c r="DJ294" s="84">
        <f>IF($A294="","",IF($B294="","qty, ","")&amp;IF($C294="","scope, ","")&amp;IF(OR($K294="",$M294=""),"size, ","")&amp;IF(AND($A294&lt;&gt;"",$C294&lt;&gt;"DOOR ONLY"),IF($U294="","jamb depth, ","")&amp;IF($X294="","construction, ","")&amp;IF($Y294="","anchor, ","")&amp;IF($S294="","frame type, ",""),"")&amp;IF(AND(N($BJ294)&gt;0,$Z294=""),"hand, ","")&amp;IF(N($BJ294)&gt;0,IF($AH294="","door material, ","")&amp;IF($AL294="","face type, ","")&amp;IF($AP294="","lock prep, ","")&amp;IF(AND($AO294="",$AC294=""),"hinge prep, ",""),"")&amp;IF(AND($CH294&gt;0,$AH294="FRP"),"FRP cannot carry a label, ","")&amp;IF(AND($O294="Y",OR($Z294="L",$Z294="R",$Z294="LR",$Z294="RR")),"pair marked but hand is single, ","")&amp;IF(AND($O294&lt;&gt;"Y",OR($Z294="PR",AND(LEN($Z294)&gt;1,ISNUMBER(SEARCH("-",$Z294))))),"pair hand on a single door, ","")&amp;IF(AND(ISNUMBER($CI294),$CH294&lt;N($CI294)),"wall needs a "&amp;$CI294&amp;" min door, ","")&amp;IF(AND($CH294&gt;=180,AND(OR($CE294="FG",$CE294="HG",$CE294="FNV",$CE294="FV"),N($CF294)*N($CG294)&gt;100)),"180 min lite over 100 sq in, ","")&amp;IF(N($BK294)&gt;48,"leaf wider than 4'-0"&amp;CHAR(34)&amp;", ","")&amp;IF(AND($CT294,COUNT($AW294:$AZ294)=0,$CQ294&gt;0),"CUSTOM LOC with no locations typed, ",""))</f>
        <v/>
      </c>
      <c r="DK294" s="84">
        <f>IF($A294="","",IF(AND($CH294&gt;0,AND($A294&lt;&gt;"",$C294&lt;&gt;"DOOR ONLY"),$X294="KD",$E294="EXTERIOR"),"KD label on an exterior opening, ","")&amp;IF(AND($E294="EXTERIOR",OR(AND(AND($A294&lt;&gt;"",$C294&lt;&gt;"DOOR ONLY"),$W294="CR"),AND(N($BJ294)&gt;0,$AH294="CR"))),"exterior in CR steel (G9?), ","")&amp;IF(AND(ISNUMBER($BQ294),N($BQ294)&lt;32),"clear width ~"&amp;TEXT($BQ294,"0.0")&amp;CHAR(34)&amp;" under 32"&amp;CHAR(34)&amp;" (ADA), ","")&amp;IF(AND($CH294=90,AND(OR($CE294="FG",$CE294="HG",$CE294="FNV",$CE294="FV"),N($CF294)*N($CG294)&gt;100)),"90 min lite over 100 sq in (stair/exit), ","")&amp;IF(AND($CH294&gt;0,AND($A294&lt;&gt;"",$C294&lt;&gt;"DOOR ONLY"),OR($AF294="",$AF294="-")),"rated: closer reinf.?, ","")&amp;IF(OR($I294="CORRIDOR",$I294="SMOKE BARRIER"),"S label + smoke gasketing, ","")&amp;IF($CI294="?","wall type/hr not in IBC table, ","")&amp;IF(AND(N($BJ294)&gt;0,$BB294=""),"no hardware set, ","")&amp;IF(AND($BB294&lt;&gt;"",ISNA(MATCH($BB294&amp;"",HWSets,0))),"set "&amp;$BB294&amp;" not on HW Sets, ","")&amp;IF(N($BL294)&gt;96,"leaf over 8'-0"&amp;CHAR(34)&amp;" - check listing, ","")&amp;IF(AND($CT294,COUNT($AW294:$AZ294)&gt;0,COUNT($AW294:$AZ294)&lt;&gt;$CQ294),COUNT($AW294:$AZ294)&amp;" custom hinges typed, "&amp;$CQ294&amp;" expected, ","")&amp;IF(AND(ISNUMBER($CA294),OR(N($CA294)&lt;34,N($CA294)&gt;48)),"lock "&amp;TEXT($CA294,"0.0")&amp;CHAR(34)&amp;" AFF outside 34-48"&amp;CHAR(34)&amp;" (ADA), ","")&amp;IF(AND(ISNUMBER($AV294),ISNUMBER($BL294),N($AV294)&lt;IF(N($BL294)&lt;=60,2,IF(N($BL294)&lt;=90,3,IF(N($BL294)&lt;=120,4,5)))),"fewer hinges than standard, ",""))</f>
        <v/>
      </c>
    </row>
    <row r="295" ht="15" customHeight="1">
      <c r="A295" s="92" t="n"/>
      <c r="B295" s="93" t="n"/>
      <c r="C295" s="93" t="n"/>
      <c r="D295" s="93" t="n"/>
      <c r="E295" s="93" t="n"/>
      <c r="F295" s="93" t="n"/>
      <c r="G295" s="93" t="n"/>
      <c r="H295" s="93" t="n"/>
      <c r="I295" s="93" t="n"/>
      <c r="J295" s="93" t="n"/>
      <c r="K295" s="93" t="n"/>
      <c r="L295" s="93" t="n"/>
      <c r="M295" s="93" t="n"/>
      <c r="N295" s="93" t="n"/>
      <c r="O295" s="93" t="n"/>
      <c r="P295" s="93" t="n"/>
      <c r="Q295" s="93" t="n"/>
      <c r="R295" s="93" t="n"/>
      <c r="S295" s="94" t="n"/>
      <c r="T295" s="94" t="n"/>
      <c r="U295" s="94" t="n"/>
      <c r="V295" s="94" t="n"/>
      <c r="W295" s="94" t="n"/>
      <c r="X295" s="94" t="n"/>
      <c r="Y295" s="94" t="n"/>
      <c r="Z295" s="94" t="n"/>
      <c r="AA295" s="94" t="n"/>
      <c r="AB295" s="94" t="n"/>
      <c r="AC295" s="94" t="n"/>
      <c r="AD295" s="94" t="n"/>
      <c r="AE295" s="94" t="n"/>
      <c r="AF295" s="94" t="n"/>
      <c r="AG295" s="94" t="n"/>
      <c r="AH295" s="95" t="n"/>
      <c r="AI295" s="95" t="n"/>
      <c r="AJ295" s="95" t="n"/>
      <c r="AK295" s="95" t="n"/>
      <c r="AL295" s="95" t="n"/>
      <c r="AM295" s="95" t="n"/>
      <c r="AN295" s="95" t="n"/>
      <c r="AO295" s="95" t="n"/>
      <c r="AP295" s="95" t="n"/>
      <c r="AQ295" s="95" t="n"/>
      <c r="AR295" s="95" t="n"/>
      <c r="AS295" s="95" t="n"/>
      <c r="AT295" s="96" t="n"/>
      <c r="AU295" s="96" t="n"/>
      <c r="AV295" s="96" t="n"/>
      <c r="AW295" s="97" t="n"/>
      <c r="AX295" s="97" t="n"/>
      <c r="AY295" s="97" t="n"/>
      <c r="AZ295" s="97" t="n"/>
      <c r="BA295" s="97" t="n"/>
      <c r="BB295" s="98" t="n"/>
      <c r="BC295" s="98" t="n"/>
      <c r="BD295" s="99">
        <f>IF($A295="","",IF($DJ295&lt;&gt;"","FIX",IF($DK295&lt;&gt;"","CHECK","OK")))</f>
        <v/>
      </c>
      <c r="BE295" s="100">
        <f>IF($A295="","",IF($DJ295&lt;&gt;"","FIX: "&amp;LEFT($DJ295,LEN($DJ295)-2)&amp;IF($DK295&lt;&gt;"","  ·  ",""),"")&amp;IF($DK295&lt;&gt;"","CHECK: "&amp;LEFT($DK295,LEN($DK295)-2),""))</f>
        <v/>
      </c>
      <c r="BF295" s="99">
        <f>IF(OR($A295="",$K295=""),"",$K295&amp;"'-"&amp;N($L295)&amp;CHAR(34)&amp;" x "&amp;$M295&amp;"'-"&amp;N($N295)&amp;CHAR(34))</f>
        <v/>
      </c>
      <c r="BG295" s="99">
        <f>IF(OR($A295="",$K295=""),"",$K295&amp;N($L295)&amp;$M295&amp;N($N295))</f>
        <v/>
      </c>
      <c r="BH295" s="99">
        <f>IF(OR($A295="",$K295=""),"",$K295*12+N($L295))</f>
        <v/>
      </c>
      <c r="BI295" s="99">
        <f>IF(OR($A295="",$M295=""),"",$M295*12+N($N295))</f>
        <v/>
      </c>
      <c r="BJ295" s="99">
        <f>IF($A295="","",IF(OR($C295="FRAME ONLY",$S295="BL"),0,IF($O295="Y",2,1)))</f>
        <v/>
      </c>
      <c r="BK295" s="101">
        <f>IF(OR(N($BJ295)=0,$BH295=""),"",($BH295-2*EdgeClr-IF($BJ295=2,MeetClr,0))/$BJ295)</f>
        <v/>
      </c>
      <c r="BL295" s="101">
        <f>IF(OR(N($BJ295)=0,$BI295=""),"",$BI295-HeadClr-Undercut)</f>
        <v/>
      </c>
      <c r="BM295" s="101">
        <f>IF($BH295="","",$BH295+2*FaceW+IF(N($Q295)&gt;0,($Q295+FaceW)*IF($R295="LR",2,1),0))</f>
        <v/>
      </c>
      <c r="BN295" s="101">
        <f>IF($BI295="","",$BI295+IF($AB295="Y",4,FaceW)+IF(N($P295)&gt;0,$P295+FaceW,0)+IF(OR($S295="4F",$S295="BL"),FaceW,0))</f>
        <v/>
      </c>
      <c r="BO295" s="101">
        <f>IF($BM295="","",$BM295+2*ROSide)</f>
        <v/>
      </c>
      <c r="BP295" s="101">
        <f>IF($BN295="","",$BN295+ROTop)</f>
        <v/>
      </c>
      <c r="BQ295" s="102">
        <f>IF(OR(N($BJ295)=0,$BH295=""),"",$BH295/$BJ295-ClearDeduct)</f>
        <v/>
      </c>
      <c r="BR295" s="99">
        <f>IF(N($CH295)=0,"",IF($CH295&gt;=180,"A · 3 HR",IF($CH295&gt;=90,"B · 1-1/2 HR",IF($CH295&gt;=60,"B · 1 HR",IF($CH295&gt;=45,"C · 3/4 HR","20 MIN")))))&amp;IF(AND(N($CH295)&gt;0,OR($I295="CORRIDOR",$I295="SMOKE BARRIER"))," · S","")</f>
        <v/>
      </c>
      <c r="BS295" s="99">
        <f>IF($CS295,"",IF($AV295&lt;&gt;"",$AV295,IF(OR($AC295="HGC",$AO295="HGC"),"CONT",IF(($BI295-HeadClr-Undercut)&lt;=60,2,IF(($BI295-HeadClr-Undercut)&lt;=90,3,IF(($BI295-HeadClr-Undercut)&lt;=120,4,5))))))</f>
        <v/>
      </c>
      <c r="BT295" s="99">
        <f>IF($CS295,"",IF($CT295,"CUSTOM (typed)",IF($CV295,$AT295&amp;" "&amp;$CU295&amp;CHAR(34)&amp;IF($CU295&lt;&gt;$BI295,IF(AND($BI295&lt;$CU295,$BI295-IF(N(VLOOKUP($AT295&amp;"|"&amp;$CU295,LocTable,7,FALSE))&gt;0,VLOOKUP($AT295&amp;"|"&amp;$CU295,LocTable,7,FALSE),VLOOKUP($AT295&amp;"|"&amp;$CU295,LocTable,6,FALSE))-$CR295-0.75&gt;=2.125)," cut down"," adj."),""),"ANSI/SDI A250.6")))</f>
        <v/>
      </c>
      <c r="BU295" s="103">
        <f>IF($CS295,"",IF($CT295,IF(N($AW295)&gt;0,N($AW295),""),IF(1&gt;$CQ295,"",IF($CQ295=1,$CW295,$CW295+($CX295-$CW295)*0/($CQ295-1)))))</f>
        <v/>
      </c>
      <c r="BV295" s="103">
        <f>IF($CS295,"",IF($CT295,IF(N($AX295)&gt;0,N($AX295),""),IF(2&gt;$CQ295,"",IF($CQ295=1,$CW295,$CW295+($CX295-$CW295)*1/($CQ295-1)))))</f>
        <v/>
      </c>
      <c r="BW295" s="103">
        <f>IF($CS295,"",IF($CT295,IF(N($AY295)&gt;0,N($AY295),""),IF(3&gt;$CQ295,"",IF($CQ295=1,$CW295,$CW295+($CX295-$CW295)*2/($CQ295-1)))))</f>
        <v/>
      </c>
      <c r="BX295" s="103">
        <f>IF($CS295,"",IF($CT295,IF(N($AZ295)&gt;0,N($AZ295),""),IF(4&gt;$CQ295,"",IF($CQ295=1,$CW295,$CW295+($CX295-$CW295)*3/($CQ295-1)))))</f>
        <v/>
      </c>
      <c r="BY295" s="103">
        <f>IF($CS295,"",IF($CT295,"",IF(5&gt;$CQ295,"",IF($CQ295=1,$CW295,$CW295+($CX295-$CW295)*4/($CQ295-1)))))</f>
        <v/>
      </c>
      <c r="BZ295" s="103">
        <f>IF(OR($CS295,$AP295="-",AND($AP295="",$AD295="")),"",IF(N($BA295)&gt;0,N($BA295),IF($CV295,IF(AND($BI295&lt;$CU295,$BI295-IF(N(VLOOKUP($AT295&amp;"|"&amp;$CU295,LocTable,7,FALSE))&gt;0,VLOOKUP($AT295&amp;"|"&amp;$CU295,LocTable,7,FALSE),VLOOKUP($AT295&amp;"|"&amp;$CU295,LocTable,6,FALSE))-$CR295-0.75&gt;=2.125),VLOOKUP($AT295&amp;"|"&amp;$CU295,LocTable,8,FALSE),VLOOKUP($AT295&amp;"|"&amp;$CU295,LocTable,8,FALSE)+($BI295-$CU295)),$BI295-LockAFF)))</f>
        <v/>
      </c>
      <c r="CA295" s="104">
        <f>IF($BZ295="","",$BI295-$BZ295)</f>
        <v/>
      </c>
      <c r="CB295" s="99">
        <f>IF(OR(NOT(AND($A295&lt;&gt;"",$C295&lt;&gt;"DOOR ONLY")),$BI295=""),"",IF(($BI295+IF(N($P295)&gt;0,$P295+FaceW,0))&lt;=90,3,IF(($BI295+IF(N($P295)&gt;0,$P295+FaceW,0))&lt;=114,4,5)))</f>
        <v/>
      </c>
      <c r="CC295" s="99">
        <f>IF($CB295="","",$CB295*(2+IF(N($Q295)&gt;0,IF($R295="LR",2,1),0)))</f>
        <v/>
      </c>
      <c r="CD295" s="99">
        <f>IF($CB295="","",(2+IF(N($Q295)&gt;0,IF($R295="LR",2,1),0)))</f>
        <v/>
      </c>
      <c r="CE295" s="99">
        <f>IF(N($BJ295)=0,"",IF(OR($AL295="",$AL295="FLUSH"),"FLUSH",IFERROR(LEFT($AL295,FIND("-",$AL295)-1),LEFT($AL295,2))))</f>
        <v/>
      </c>
      <c r="CF295" s="99">
        <f>IF($CE295="","",IFERROR(VALUE(MID($AL295,FIND("-",$AL295)+1,FIND(CHAR(34)&amp;"x",$AL295)-FIND("-",$AL295)-1)),0))</f>
        <v/>
      </c>
      <c r="CG295" s="99">
        <f>IF($CE295="","",IFERROR(VALUE(MID($AL295,FIND(CHAR(34)&amp;"x",$AL295)+2,FIND(CHAR(34),$AL295,FIND(CHAR(34)&amp;"x",$AL295)+2)-FIND(CHAR(34)&amp;"x",$AL295)-2)),0))</f>
        <v/>
      </c>
      <c r="CH295" s="105">
        <f>IF(OR($A295="",$H295="",$H295="NO LAB"),0,IFERROR(VALUE(LEFT($H295,FIND(" ",$H295)-1)),0))</f>
        <v/>
      </c>
      <c r="CI295" s="106">
        <f>IF(OR($A295="",$I295="",$I295="NON-RATED",N($J295)=0),"",IFERROR(VLOOKUP($I295&amp;"|"&amp;$J295,IBC,2,FALSE),"?"))</f>
        <v/>
      </c>
      <c r="CJ295" s="100">
        <f>IF(NOT(AND($A295&lt;&gt;"",$C295&lt;&gt;"DOOR ONLY")),"",TRIM(IFERROR(VLOOKUP($U295,CODES,2,FALSE),"")&amp;" "&amp;$BG295&amp;" "&amp;IFERROR(VLOOKUP($Z295,CODES,2,FALSE),"")&amp;" "&amp;IFERROR(VLOOKUP($X295,CODES,2,FALSE),"")&amp;" "&amp;IFERROR(VLOOKUP($S295,CODES,2,FALSE),"")&amp;IF(N($P295)&gt;0," w/TRANSOM "&amp;$P295&amp;CHAR(34),"")&amp;IF(N($Q295)&gt;0," w/SIDELITE "&amp;$Q295&amp;CHAR(34)&amp;" "&amp;IF($R295="","R",$R295),"")&amp;IF($Y295="","  |  "," | "&amp;IFERROR(VLOOKUP($Y295,CODES,2,FALSE),"")&amp;" | ")&amp;IFERROR(VLOOKUP($AC295,CODES,2,FALSE),"")&amp;" "&amp;IFERROR(VLOOKUP($AD295,CODES,2,FALSE),"")&amp;IF(OR($AE295="",$AE295="-"),""," "&amp;$AE295)&amp;IF(OR($AF295="",$AF295="-"),""," "&amp;$AF295)&amp;IF($AB295="Y"," 4"&amp;CHAR(34)&amp;" HEAD","")&amp;" "&amp;IFERROR(VLOOKUP($H295,CODES,2,FALSE),"")&amp;IF($CT295," | LOC "&amp;$CY295,"")))</f>
        <v/>
      </c>
      <c r="CK295" s="100">
        <f>IF(NOT(AND($A295&lt;&gt;"",N($BJ295)&gt;0)),"",TRIM(IFERROR(VLOOKUP($AH295,CODES,2,FALSE),"")&amp;IF($AI295=""," "," "&amp;$AI295&amp;"GA ")&amp;$BG295&amp;" "&amp;IF($AN295="",IFERROR(VLOOKUP($Z295,CODES,2,FALSE),""),IFERROR(VLOOKUP($AN295,CODES,2,FALSE),""))&amp;IF($BJ295=2," PAIR","")&amp;" DOOR | "&amp;IF($AL295="","?",$AL295)&amp;" | "&amp;IF($AO295="",IFERROR(VLOOKUP($AC295,CODES,2,FALSE),""),IFERROR(VLOOKUP($AO295,CODES,2,FALSE),""))&amp;" "&amp;IFERROR(VLOOKUP($AP295,CODES,2,FALSE),"")&amp;IF(OR($AQ295="",$AQ295="-"),""," SEAM "&amp;$AQ295)&amp;IF($AR295="Y"," ASTRAGAL","")&amp;IF($AJ295=""," "," "&amp;$AJ295)&amp;IF($AK295=""," "," "&amp;$AK295)&amp;IF(OR($AT295="",$AT295="ANSI/SDI",$AT295="CUSTOM LOC"),""," "&amp;$AT295)&amp;IF($AM295=""," "," SERIES "&amp;$AM295)&amp;" "&amp;IFERROR(VLOOKUP($H295,CODES,2,FALSE),"")&amp;IF($CT295," | LOC "&amp;$CZ295,"")))</f>
        <v/>
      </c>
      <c r="CL295" s="99">
        <f>IF(CP295="","",IF(COUNTIF($CP$6:CP295,CP295)=1,MAX($CL$5:CL294)+1,INDEX($CL$5:CL294,MATCH(CP295,$CP$5:CP294,0))))</f>
        <v/>
      </c>
      <c r="CM295" s="99">
        <f>IF(NOT(AND($A295&lt;&gt;"",$C295&lt;&gt;"DOOR ONLY")),"",MAX($CM$5:CM294)+1)</f>
        <v/>
      </c>
      <c r="CN295" s="99">
        <f>IF(NOT(AND($A295&lt;&gt;"",N($BJ295)&gt;0)),"",MAX($CN$5:CN294)+1)</f>
        <v/>
      </c>
      <c r="CO295" s="99">
        <f>IF($A295="","",MAX($CO$5:CO294)+1)</f>
        <v/>
      </c>
      <c r="CP295" s="99">
        <f>IF(OR($A295="",$BH295="",$BI295=""),"",$BG295&amp;"|"&amp;$O295&amp;"|"&amp;$AL295&amp;"|"&amp;$S295&amp;"|"&amp;$P295&amp;"|"&amp;$Q295&amp;$R295&amp;"|"&amp;$C295&amp;"|"&amp;$AB295)</f>
        <v/>
      </c>
      <c r="CQ295" s="99">
        <f>N($BS295)</f>
        <v/>
      </c>
      <c r="CR295" s="99">
        <f>IF(N($AU295)&gt;0,N($AU295),4.5)</f>
        <v/>
      </c>
      <c r="CS295" s="99">
        <f>OR($A295="",$BI295="",$S295="BL",AND($C295="FRAME ONLY",OR($AC295="",$AC295="BLK")))</f>
        <v/>
      </c>
      <c r="CT295" s="99">
        <f>AND(NOT($CS295),OR($AT295="CUSTOM LOC",N($AW295)+N($AX295)+N($AY295)+N($AZ295)+N($BA295)&gt;0))</f>
        <v/>
      </c>
      <c r="CU295" s="99">
        <f>IF($BI295="","",IF($BI295&lt;=80,80,IF($BI295&lt;=84,84,96)))</f>
        <v/>
      </c>
      <c r="CV295" s="99">
        <f>ISNUMBER(MATCH($AT295&amp;"|80",LocKeys,0))</f>
        <v/>
      </c>
      <c r="CW295" s="101">
        <f>IF($CS295,"",IF($CV295,VLOOKUP($AT295&amp;"|"&amp;$CU295,LocTable,4,FALSE),5))</f>
        <v/>
      </c>
      <c r="CX295" s="101">
        <f>IF($CS295,"",IF($CV295,IF(OR($BI295=$CU295,AND($BI295&lt;$CU295,$BI295-IF(N(VLOOKUP($AT295&amp;"|"&amp;$CU295,LocTable,7,FALSE))&gt;0,VLOOKUP($AT295&amp;"|"&amp;$CU295,LocTable,7,FALSE),VLOOKUP($AT295&amp;"|"&amp;$CU295,LocTable,6,FALSE))-$CR295-0.75&gt;=2.125)),IF(N(VLOOKUP($AT295&amp;"|"&amp;$CU295,LocTable,7,FALSE))&gt;0,VLOOKUP($AT295&amp;"|"&amp;$CU295,LocTable,7,FALSE),VLOOKUP($AT295&amp;"|"&amp;$CU295,LocTable,6,FALSE)),$BI295-($CU295-IF(N(VLOOKUP($AT295&amp;"|"&amp;$CU295,LocTable,7,FALSE))&gt;0,VLOOKUP($AT295&amp;"|"&amp;$CU295,LocTable,7,FALSE),VLOOKUP($AT295&amp;"|"&amp;$CU295,LocTable,6,FALSE)))),$BI295-10-$CR295))</f>
        <v/>
      </c>
      <c r="CY295" s="100">
        <f>IF($CS295,"",TRIM(IF(ISNUMBER($BU295),"A "&amp;TRIM(TEXT($BU295,"# ?/??"))&amp;CHAR(34)&amp;"  ","")&amp;IF(ISNUMBER($BV295),"B "&amp;TRIM(TEXT($BV295,"# ?/??"))&amp;CHAR(34)&amp;"  ","")&amp;IF(ISNUMBER($BW295),"C "&amp;TRIM(TEXT($BW295,"# ?/??"))&amp;CHAR(34)&amp;"  ","")&amp;IF(ISNUMBER($BX295),"D "&amp;TRIM(TEXT($BX295,"# ?/??"))&amp;CHAR(34)&amp;"  ","")&amp;IF(ISNUMBER($BY295),"F "&amp;TRIM(TEXT($BY295,"# ?/??"))&amp;CHAR(34)&amp;"  ","")&amp;IF(ISNUMBER($BZ295),"E "&amp;TRIM(TEXT($BZ295,"# ?/??"))&amp;CHAR(34)&amp;"  ","")))</f>
        <v/>
      </c>
      <c r="CZ295" s="100">
        <f>IF(OR($CS295,N($BJ295)=0),"",TRIM(IF(ISNUMBER($BU295),"A "&amp;TRIM(TEXT($BU295-HeadClr,"# ?/??"))&amp;CHAR(34)&amp;"  ","")&amp;IF(ISNUMBER($BV295),"B "&amp;TRIM(TEXT($BV295-HeadClr,"# ?/??"))&amp;CHAR(34)&amp;"  ","")&amp;IF(ISNUMBER($BW295),"C "&amp;TRIM(TEXT($BW295-HeadClr,"# ?/??"))&amp;CHAR(34)&amp;"  ","")&amp;IF(ISNUMBER($BX295),"D "&amp;TRIM(TEXT($BX295-HeadClr,"# ?/??"))&amp;CHAR(34)&amp;"  ","")&amp;IF(ISNUMBER($BY295),"F "&amp;TRIM(TEXT($BY295-HeadClr,"# ?/??"))&amp;CHAR(34)&amp;"  ","")&amp;IF(ISNUMBER($BZ295),"E "&amp;TRIM(TEXT($BZ295-HeadClr,"# ?/??"))&amp;CHAR(34)&amp;"  ","")))</f>
        <v/>
      </c>
      <c r="DA295" s="99">
        <f>IF($A295="","",IF($AN295="",IFERROR(VLOOKUP($Z295,CODES,2,FALSE),""),IFERROR(VLOOKUP($AN295,CODES,2,FALSE),"")))</f>
        <v/>
      </c>
      <c r="DB295" s="99">
        <f>IF($A295="","",IF($O295="Y","PR",IF(OR($Z295="L",$Z295="RR",LEFT($Z295,2)="L-",LEFT($Z295,3)="RR-"),"LH","RH")))</f>
        <v/>
      </c>
      <c r="DC295" s="99">
        <f>IF($A295="","","S.HM"&amp;IF(OR($C295="DOOR ONLY",$X295&lt;&gt;"KD"),"MASONRY","DRYWALL")&amp;IF($C295="DOOR ONLY","",$U295)&amp;IF(AND($C295&lt;&gt;"FRAME ONLY",OR(LEFT($AH295,3)="OAK",LEFT($AH295,3)="BIR",LEFT($AH295,3)="MAP",$AH295="PC",$AH295="MC",$AH295="SCLC",$AH295="P-LAM")),"WD","HM")&amp;"1.75")</f>
        <v/>
      </c>
      <c r="DD295" s="99">
        <f>IF($CJ295="","",IF($O295="Y",$CJ295,SUBSTITUTE($CJ295,$BG295&amp;" "&amp;IFERROR(VLOOKUP($Z295,CODES,2,FALSE),"")&amp;" ",$BG295&amp;" ")))</f>
        <v/>
      </c>
      <c r="DE295" s="99">
        <f>IF($CK295="","",IF($O295="Y",$CK295,SUBSTITUTE($CK295,$BG295&amp;" "&amp;IF($AN295="",IFERROR(VLOOKUP($Z295,CODES,2,FALSE),""),IFERROR(VLOOKUP($AN295,CODES,2,FALSE),""))&amp;" ",$BG295&amp;" ")))</f>
        <v/>
      </c>
      <c r="DF295" s="99">
        <f>IF($CJ295="","",$DC295&amp;"|"&amp;$DD295&amp;"|"&amp;$DB295&amp;"|"&amp;$AT295&amp;"|"&amp;$V295&amp;"|"&amp;$Y295&amp;"|"&amp;$AB295)</f>
        <v/>
      </c>
      <c r="DG295" s="99">
        <f>IF(DF295="","",IF(COUNTIF($DF$6:DF295,DF295)=1,MAX($DG$5:DG294)+1,INDEX($DG$5:DG294,MATCH(DF295,$DF$5:DF294,0))))</f>
        <v/>
      </c>
      <c r="DH295" s="99">
        <f>IF($CK295="","",$DC295&amp;"|"&amp;$DE295&amp;"|"&amp;$AI295&amp;"|"&amp;$BK295&amp;"|"&amp;$BL295)</f>
        <v/>
      </c>
      <c r="DI295" s="99">
        <f>IF(DH295="","",IF(COUNTIF($DH$6:DH295,DH295)=1,MAX($DI$5:DI294)+1,INDEX($DI$5:DI294,MATCH(DH295,$DH$5:DH294,0))))</f>
        <v/>
      </c>
      <c r="DJ295" s="99">
        <f>IF($A295="","",IF($B295="","qty, ","")&amp;IF($C295="","scope, ","")&amp;IF(OR($K295="",$M295=""),"size, ","")&amp;IF(AND($A295&lt;&gt;"",$C295&lt;&gt;"DOOR ONLY"),IF($U295="","jamb depth, ","")&amp;IF($X295="","construction, ","")&amp;IF($Y295="","anchor, ","")&amp;IF($S295="","frame type, ",""),"")&amp;IF(AND(N($BJ295)&gt;0,$Z295=""),"hand, ","")&amp;IF(N($BJ295)&gt;0,IF($AH295="","door material, ","")&amp;IF($AL295="","face type, ","")&amp;IF($AP295="","lock prep, ","")&amp;IF(AND($AO295="",$AC295=""),"hinge prep, ",""),"")&amp;IF(AND($CH295&gt;0,$AH295="FRP"),"FRP cannot carry a label, ","")&amp;IF(AND($O295="Y",OR($Z295="L",$Z295="R",$Z295="LR",$Z295="RR")),"pair marked but hand is single, ","")&amp;IF(AND($O295&lt;&gt;"Y",OR($Z295="PR",AND(LEN($Z295)&gt;1,ISNUMBER(SEARCH("-",$Z295))))),"pair hand on a single door, ","")&amp;IF(AND(ISNUMBER($CI295),$CH295&lt;N($CI295)),"wall needs a "&amp;$CI295&amp;" min door, ","")&amp;IF(AND($CH295&gt;=180,AND(OR($CE295="FG",$CE295="HG",$CE295="FNV",$CE295="FV"),N($CF295)*N($CG295)&gt;100)),"180 min lite over 100 sq in, ","")&amp;IF(N($BK295)&gt;48,"leaf wider than 4'-0"&amp;CHAR(34)&amp;", ","")&amp;IF(AND($CT295,COUNT($AW295:$AZ295)=0,$CQ295&gt;0),"CUSTOM LOC with no locations typed, ",""))</f>
        <v/>
      </c>
      <c r="DK295" s="99">
        <f>IF($A295="","",IF(AND($CH295&gt;0,AND($A295&lt;&gt;"",$C295&lt;&gt;"DOOR ONLY"),$X295="KD",$E295="EXTERIOR"),"KD label on an exterior opening, ","")&amp;IF(AND($E295="EXTERIOR",OR(AND(AND($A295&lt;&gt;"",$C295&lt;&gt;"DOOR ONLY"),$W295="CR"),AND(N($BJ295)&gt;0,$AH295="CR"))),"exterior in CR steel (G9?), ","")&amp;IF(AND(ISNUMBER($BQ295),N($BQ295)&lt;32),"clear width ~"&amp;TEXT($BQ295,"0.0")&amp;CHAR(34)&amp;" under 32"&amp;CHAR(34)&amp;" (ADA), ","")&amp;IF(AND($CH295=90,AND(OR($CE295="FG",$CE295="HG",$CE295="FNV",$CE295="FV"),N($CF295)*N($CG295)&gt;100)),"90 min lite over 100 sq in (stair/exit), ","")&amp;IF(AND($CH295&gt;0,AND($A295&lt;&gt;"",$C295&lt;&gt;"DOOR ONLY"),OR($AF295="",$AF295="-")),"rated: closer reinf.?, ","")&amp;IF(OR($I295="CORRIDOR",$I295="SMOKE BARRIER"),"S label + smoke gasketing, ","")&amp;IF($CI295="?","wall type/hr not in IBC table, ","")&amp;IF(AND(N($BJ295)&gt;0,$BB295=""),"no hardware set, ","")&amp;IF(AND($BB295&lt;&gt;"",ISNA(MATCH($BB295&amp;"",HWSets,0))),"set "&amp;$BB295&amp;" not on HW Sets, ","")&amp;IF(N($BL295)&gt;96,"leaf over 8'-0"&amp;CHAR(34)&amp;" - check listing, ","")&amp;IF(AND($CT295,COUNT($AW295:$AZ295)&gt;0,COUNT($AW295:$AZ295)&lt;&gt;$CQ295),COUNT($AW295:$AZ295)&amp;" custom hinges typed, "&amp;$CQ295&amp;" expected, ","")&amp;IF(AND(ISNUMBER($CA295),OR(N($CA295)&lt;34,N($CA295)&gt;48)),"lock "&amp;TEXT($CA295,"0.0")&amp;CHAR(34)&amp;" AFF outside 34-48"&amp;CHAR(34)&amp;" (ADA), ","")&amp;IF(AND(ISNUMBER($AV295),ISNUMBER($BL295),N($AV295)&lt;IF(N($BL295)&lt;=60,2,IF(N($BL295)&lt;=90,3,IF(N($BL295)&lt;=120,4,5)))),"fewer hinges than standard, ",""))</f>
        <v/>
      </c>
    </row>
    <row r="296" ht="15" customHeight="1">
      <c r="A296" s="77" t="n"/>
      <c r="B296" s="78" t="n"/>
      <c r="C296" s="78" t="n"/>
      <c r="D296" s="78" t="n"/>
      <c r="E296" s="78" t="n"/>
      <c r="F296" s="78" t="n"/>
      <c r="G296" s="78" t="n"/>
      <c r="H296" s="78" t="n"/>
      <c r="I296" s="78" t="n"/>
      <c r="J296" s="78" t="n"/>
      <c r="K296" s="78" t="n"/>
      <c r="L296" s="78" t="n"/>
      <c r="M296" s="78" t="n"/>
      <c r="N296" s="78" t="n"/>
      <c r="O296" s="78" t="n"/>
      <c r="P296" s="78" t="n"/>
      <c r="Q296" s="78" t="n"/>
      <c r="R296" s="78" t="n"/>
      <c r="S296" s="79" t="n"/>
      <c r="T296" s="79" t="n"/>
      <c r="U296" s="79" t="n"/>
      <c r="V296" s="79" t="n"/>
      <c r="W296" s="79" t="n"/>
      <c r="X296" s="79" t="n"/>
      <c r="Y296" s="79" t="n"/>
      <c r="Z296" s="79" t="n"/>
      <c r="AA296" s="79" t="n"/>
      <c r="AB296" s="79" t="n"/>
      <c r="AC296" s="79" t="n"/>
      <c r="AD296" s="79" t="n"/>
      <c r="AE296" s="79" t="n"/>
      <c r="AF296" s="79" t="n"/>
      <c r="AG296" s="79" t="n"/>
      <c r="AH296" s="80" t="n"/>
      <c r="AI296" s="80" t="n"/>
      <c r="AJ296" s="80" t="n"/>
      <c r="AK296" s="80" t="n"/>
      <c r="AL296" s="80" t="n"/>
      <c r="AM296" s="80" t="n"/>
      <c r="AN296" s="80" t="n"/>
      <c r="AO296" s="80" t="n"/>
      <c r="AP296" s="80" t="n"/>
      <c r="AQ296" s="80" t="n"/>
      <c r="AR296" s="80" t="n"/>
      <c r="AS296" s="80" t="n"/>
      <c r="AT296" s="81" t="n"/>
      <c r="AU296" s="81" t="n"/>
      <c r="AV296" s="81" t="n"/>
      <c r="AW296" s="82" t="n"/>
      <c r="AX296" s="82" t="n"/>
      <c r="AY296" s="82" t="n"/>
      <c r="AZ296" s="82" t="n"/>
      <c r="BA296" s="82" t="n"/>
      <c r="BB296" s="83" t="n"/>
      <c r="BC296" s="83" t="n"/>
      <c r="BD296" s="84">
        <f>IF($A296="","",IF($DJ296&lt;&gt;"","FIX",IF($DK296&lt;&gt;"","CHECK","OK")))</f>
        <v/>
      </c>
      <c r="BE296" s="85">
        <f>IF($A296="","",IF($DJ296&lt;&gt;"","FIX: "&amp;LEFT($DJ296,LEN($DJ296)-2)&amp;IF($DK296&lt;&gt;"","  ·  ",""),"")&amp;IF($DK296&lt;&gt;"","CHECK: "&amp;LEFT($DK296,LEN($DK296)-2),""))</f>
        <v/>
      </c>
      <c r="BF296" s="84">
        <f>IF(OR($A296="",$K296=""),"",$K296&amp;"'-"&amp;N($L296)&amp;CHAR(34)&amp;" x "&amp;$M296&amp;"'-"&amp;N($N296)&amp;CHAR(34))</f>
        <v/>
      </c>
      <c r="BG296" s="84">
        <f>IF(OR($A296="",$K296=""),"",$K296&amp;N($L296)&amp;$M296&amp;N($N296))</f>
        <v/>
      </c>
      <c r="BH296" s="84">
        <f>IF(OR($A296="",$K296=""),"",$K296*12+N($L296))</f>
        <v/>
      </c>
      <c r="BI296" s="84">
        <f>IF(OR($A296="",$M296=""),"",$M296*12+N($N296))</f>
        <v/>
      </c>
      <c r="BJ296" s="84">
        <f>IF($A296="","",IF(OR($C296="FRAME ONLY",$S296="BL"),0,IF($O296="Y",2,1)))</f>
        <v/>
      </c>
      <c r="BK296" s="86">
        <f>IF(OR(N($BJ296)=0,$BH296=""),"",($BH296-2*EdgeClr-IF($BJ296=2,MeetClr,0))/$BJ296)</f>
        <v/>
      </c>
      <c r="BL296" s="86">
        <f>IF(OR(N($BJ296)=0,$BI296=""),"",$BI296-HeadClr-Undercut)</f>
        <v/>
      </c>
      <c r="BM296" s="86">
        <f>IF($BH296="","",$BH296+2*FaceW+IF(N($Q296)&gt;0,($Q296+FaceW)*IF($R296="LR",2,1),0))</f>
        <v/>
      </c>
      <c r="BN296" s="86">
        <f>IF($BI296="","",$BI296+IF($AB296="Y",4,FaceW)+IF(N($P296)&gt;0,$P296+FaceW,0)+IF(OR($S296="4F",$S296="BL"),FaceW,0))</f>
        <v/>
      </c>
      <c r="BO296" s="86">
        <f>IF($BM296="","",$BM296+2*ROSide)</f>
        <v/>
      </c>
      <c r="BP296" s="86">
        <f>IF($BN296="","",$BN296+ROTop)</f>
        <v/>
      </c>
      <c r="BQ296" s="87">
        <f>IF(OR(N($BJ296)=0,$BH296=""),"",$BH296/$BJ296-ClearDeduct)</f>
        <v/>
      </c>
      <c r="BR296" s="84">
        <f>IF(N($CH296)=0,"",IF($CH296&gt;=180,"A · 3 HR",IF($CH296&gt;=90,"B · 1-1/2 HR",IF($CH296&gt;=60,"B · 1 HR",IF($CH296&gt;=45,"C · 3/4 HR","20 MIN")))))&amp;IF(AND(N($CH296)&gt;0,OR($I296="CORRIDOR",$I296="SMOKE BARRIER"))," · S","")</f>
        <v/>
      </c>
      <c r="BS296" s="84">
        <f>IF($CS296,"",IF($AV296&lt;&gt;"",$AV296,IF(OR($AC296="HGC",$AO296="HGC"),"CONT",IF(($BI296-HeadClr-Undercut)&lt;=60,2,IF(($BI296-HeadClr-Undercut)&lt;=90,3,IF(($BI296-HeadClr-Undercut)&lt;=120,4,5))))))</f>
        <v/>
      </c>
      <c r="BT296" s="84">
        <f>IF($CS296,"",IF($CT296,"CUSTOM (typed)",IF($CV296,$AT296&amp;" "&amp;$CU296&amp;CHAR(34)&amp;IF($CU296&lt;&gt;$BI296,IF(AND($BI296&lt;$CU296,$BI296-IF(N(VLOOKUP($AT296&amp;"|"&amp;$CU296,LocTable,7,FALSE))&gt;0,VLOOKUP($AT296&amp;"|"&amp;$CU296,LocTable,7,FALSE),VLOOKUP($AT296&amp;"|"&amp;$CU296,LocTable,6,FALSE))-$CR296-0.75&gt;=2.125)," cut down"," adj."),""),"ANSI/SDI A250.6")))</f>
        <v/>
      </c>
      <c r="BU296" s="88">
        <f>IF($CS296,"",IF($CT296,IF(N($AW296)&gt;0,N($AW296),""),IF(1&gt;$CQ296,"",IF($CQ296=1,$CW296,$CW296+($CX296-$CW296)*0/($CQ296-1)))))</f>
        <v/>
      </c>
      <c r="BV296" s="88">
        <f>IF($CS296,"",IF($CT296,IF(N($AX296)&gt;0,N($AX296),""),IF(2&gt;$CQ296,"",IF($CQ296=1,$CW296,$CW296+($CX296-$CW296)*1/($CQ296-1)))))</f>
        <v/>
      </c>
      <c r="BW296" s="88">
        <f>IF($CS296,"",IF($CT296,IF(N($AY296)&gt;0,N($AY296),""),IF(3&gt;$CQ296,"",IF($CQ296=1,$CW296,$CW296+($CX296-$CW296)*2/($CQ296-1)))))</f>
        <v/>
      </c>
      <c r="BX296" s="88">
        <f>IF($CS296,"",IF($CT296,IF(N($AZ296)&gt;0,N($AZ296),""),IF(4&gt;$CQ296,"",IF($CQ296=1,$CW296,$CW296+($CX296-$CW296)*3/($CQ296-1)))))</f>
        <v/>
      </c>
      <c r="BY296" s="88">
        <f>IF($CS296,"",IF($CT296,"",IF(5&gt;$CQ296,"",IF($CQ296=1,$CW296,$CW296+($CX296-$CW296)*4/($CQ296-1)))))</f>
        <v/>
      </c>
      <c r="BZ296" s="88">
        <f>IF(OR($CS296,$AP296="-",AND($AP296="",$AD296="")),"",IF(N($BA296)&gt;0,N($BA296),IF($CV296,IF(AND($BI296&lt;$CU296,$BI296-IF(N(VLOOKUP($AT296&amp;"|"&amp;$CU296,LocTable,7,FALSE))&gt;0,VLOOKUP($AT296&amp;"|"&amp;$CU296,LocTable,7,FALSE),VLOOKUP($AT296&amp;"|"&amp;$CU296,LocTable,6,FALSE))-$CR296-0.75&gt;=2.125),VLOOKUP($AT296&amp;"|"&amp;$CU296,LocTable,8,FALSE),VLOOKUP($AT296&amp;"|"&amp;$CU296,LocTable,8,FALSE)+($BI296-$CU296)),$BI296-LockAFF)))</f>
        <v/>
      </c>
      <c r="CA296" s="89">
        <f>IF($BZ296="","",$BI296-$BZ296)</f>
        <v/>
      </c>
      <c r="CB296" s="84">
        <f>IF(OR(NOT(AND($A296&lt;&gt;"",$C296&lt;&gt;"DOOR ONLY")),$BI296=""),"",IF(($BI296+IF(N($P296)&gt;0,$P296+FaceW,0))&lt;=90,3,IF(($BI296+IF(N($P296)&gt;0,$P296+FaceW,0))&lt;=114,4,5)))</f>
        <v/>
      </c>
      <c r="CC296" s="84">
        <f>IF($CB296="","",$CB296*(2+IF(N($Q296)&gt;0,IF($R296="LR",2,1),0)))</f>
        <v/>
      </c>
      <c r="CD296" s="84">
        <f>IF($CB296="","",(2+IF(N($Q296)&gt;0,IF($R296="LR",2,1),0)))</f>
        <v/>
      </c>
      <c r="CE296" s="84">
        <f>IF(N($BJ296)=0,"",IF(OR($AL296="",$AL296="FLUSH"),"FLUSH",IFERROR(LEFT($AL296,FIND("-",$AL296)-1),LEFT($AL296,2))))</f>
        <v/>
      </c>
      <c r="CF296" s="84">
        <f>IF($CE296="","",IFERROR(VALUE(MID($AL296,FIND("-",$AL296)+1,FIND(CHAR(34)&amp;"x",$AL296)-FIND("-",$AL296)-1)),0))</f>
        <v/>
      </c>
      <c r="CG296" s="84">
        <f>IF($CE296="","",IFERROR(VALUE(MID($AL296,FIND(CHAR(34)&amp;"x",$AL296)+2,FIND(CHAR(34),$AL296,FIND(CHAR(34)&amp;"x",$AL296)+2)-FIND(CHAR(34)&amp;"x",$AL296)-2)),0))</f>
        <v/>
      </c>
      <c r="CH296" s="90">
        <f>IF(OR($A296="",$H296="",$H296="NO LAB"),0,IFERROR(VALUE(LEFT($H296,FIND(" ",$H296)-1)),0))</f>
        <v/>
      </c>
      <c r="CI296" s="91">
        <f>IF(OR($A296="",$I296="",$I296="NON-RATED",N($J296)=0),"",IFERROR(VLOOKUP($I296&amp;"|"&amp;$J296,IBC,2,FALSE),"?"))</f>
        <v/>
      </c>
      <c r="CJ296" s="85">
        <f>IF(NOT(AND($A296&lt;&gt;"",$C296&lt;&gt;"DOOR ONLY")),"",TRIM(IFERROR(VLOOKUP($U296,CODES,2,FALSE),"")&amp;" "&amp;$BG296&amp;" "&amp;IFERROR(VLOOKUP($Z296,CODES,2,FALSE),"")&amp;" "&amp;IFERROR(VLOOKUP($X296,CODES,2,FALSE),"")&amp;" "&amp;IFERROR(VLOOKUP($S296,CODES,2,FALSE),"")&amp;IF(N($P296)&gt;0," w/TRANSOM "&amp;$P296&amp;CHAR(34),"")&amp;IF(N($Q296)&gt;0," w/SIDELITE "&amp;$Q296&amp;CHAR(34)&amp;" "&amp;IF($R296="","R",$R296),"")&amp;IF($Y296="","  |  "," | "&amp;IFERROR(VLOOKUP($Y296,CODES,2,FALSE),"")&amp;" | ")&amp;IFERROR(VLOOKUP($AC296,CODES,2,FALSE),"")&amp;" "&amp;IFERROR(VLOOKUP($AD296,CODES,2,FALSE),"")&amp;IF(OR($AE296="",$AE296="-"),""," "&amp;$AE296)&amp;IF(OR($AF296="",$AF296="-"),""," "&amp;$AF296)&amp;IF($AB296="Y"," 4"&amp;CHAR(34)&amp;" HEAD","")&amp;" "&amp;IFERROR(VLOOKUP($H296,CODES,2,FALSE),"")&amp;IF($CT296," | LOC "&amp;$CY296,"")))</f>
        <v/>
      </c>
      <c r="CK296" s="85">
        <f>IF(NOT(AND($A296&lt;&gt;"",N($BJ296)&gt;0)),"",TRIM(IFERROR(VLOOKUP($AH296,CODES,2,FALSE),"")&amp;IF($AI296=""," "," "&amp;$AI296&amp;"GA ")&amp;$BG296&amp;" "&amp;IF($AN296="",IFERROR(VLOOKUP($Z296,CODES,2,FALSE),""),IFERROR(VLOOKUP($AN296,CODES,2,FALSE),""))&amp;IF($BJ296=2," PAIR","")&amp;" DOOR | "&amp;IF($AL296="","?",$AL296)&amp;" | "&amp;IF($AO296="",IFERROR(VLOOKUP($AC296,CODES,2,FALSE),""),IFERROR(VLOOKUP($AO296,CODES,2,FALSE),""))&amp;" "&amp;IFERROR(VLOOKUP($AP296,CODES,2,FALSE),"")&amp;IF(OR($AQ296="",$AQ296="-"),""," SEAM "&amp;$AQ296)&amp;IF($AR296="Y"," ASTRAGAL","")&amp;IF($AJ296=""," "," "&amp;$AJ296)&amp;IF($AK296=""," "," "&amp;$AK296)&amp;IF(OR($AT296="",$AT296="ANSI/SDI",$AT296="CUSTOM LOC"),""," "&amp;$AT296)&amp;IF($AM296=""," "," SERIES "&amp;$AM296)&amp;" "&amp;IFERROR(VLOOKUP($H296,CODES,2,FALSE),"")&amp;IF($CT296," | LOC "&amp;$CZ296,"")))</f>
        <v/>
      </c>
      <c r="CL296" s="84">
        <f>IF(CP296="","",IF(COUNTIF($CP$6:CP296,CP296)=1,MAX($CL$5:CL295)+1,INDEX($CL$5:CL295,MATCH(CP296,$CP$5:CP295,0))))</f>
        <v/>
      </c>
      <c r="CM296" s="84">
        <f>IF(NOT(AND($A296&lt;&gt;"",$C296&lt;&gt;"DOOR ONLY")),"",MAX($CM$5:CM295)+1)</f>
        <v/>
      </c>
      <c r="CN296" s="84">
        <f>IF(NOT(AND($A296&lt;&gt;"",N($BJ296)&gt;0)),"",MAX($CN$5:CN295)+1)</f>
        <v/>
      </c>
      <c r="CO296" s="84">
        <f>IF($A296="","",MAX($CO$5:CO295)+1)</f>
        <v/>
      </c>
      <c r="CP296" s="84">
        <f>IF(OR($A296="",$BH296="",$BI296=""),"",$BG296&amp;"|"&amp;$O296&amp;"|"&amp;$AL296&amp;"|"&amp;$S296&amp;"|"&amp;$P296&amp;"|"&amp;$Q296&amp;$R296&amp;"|"&amp;$C296&amp;"|"&amp;$AB296)</f>
        <v/>
      </c>
      <c r="CQ296" s="84">
        <f>N($BS296)</f>
        <v/>
      </c>
      <c r="CR296" s="84">
        <f>IF(N($AU296)&gt;0,N($AU296),4.5)</f>
        <v/>
      </c>
      <c r="CS296" s="84">
        <f>OR($A296="",$BI296="",$S296="BL",AND($C296="FRAME ONLY",OR($AC296="",$AC296="BLK")))</f>
        <v/>
      </c>
      <c r="CT296" s="84">
        <f>AND(NOT($CS296),OR($AT296="CUSTOM LOC",N($AW296)+N($AX296)+N($AY296)+N($AZ296)+N($BA296)&gt;0))</f>
        <v/>
      </c>
      <c r="CU296" s="84">
        <f>IF($BI296="","",IF($BI296&lt;=80,80,IF($BI296&lt;=84,84,96)))</f>
        <v/>
      </c>
      <c r="CV296" s="84">
        <f>ISNUMBER(MATCH($AT296&amp;"|80",LocKeys,0))</f>
        <v/>
      </c>
      <c r="CW296" s="86">
        <f>IF($CS296,"",IF($CV296,VLOOKUP($AT296&amp;"|"&amp;$CU296,LocTable,4,FALSE),5))</f>
        <v/>
      </c>
      <c r="CX296" s="86">
        <f>IF($CS296,"",IF($CV296,IF(OR($BI296=$CU296,AND($BI296&lt;$CU296,$BI296-IF(N(VLOOKUP($AT296&amp;"|"&amp;$CU296,LocTable,7,FALSE))&gt;0,VLOOKUP($AT296&amp;"|"&amp;$CU296,LocTable,7,FALSE),VLOOKUP($AT296&amp;"|"&amp;$CU296,LocTable,6,FALSE))-$CR296-0.75&gt;=2.125)),IF(N(VLOOKUP($AT296&amp;"|"&amp;$CU296,LocTable,7,FALSE))&gt;0,VLOOKUP($AT296&amp;"|"&amp;$CU296,LocTable,7,FALSE),VLOOKUP($AT296&amp;"|"&amp;$CU296,LocTable,6,FALSE)),$BI296-($CU296-IF(N(VLOOKUP($AT296&amp;"|"&amp;$CU296,LocTable,7,FALSE))&gt;0,VLOOKUP($AT296&amp;"|"&amp;$CU296,LocTable,7,FALSE),VLOOKUP($AT296&amp;"|"&amp;$CU296,LocTable,6,FALSE)))),$BI296-10-$CR296))</f>
        <v/>
      </c>
      <c r="CY296" s="85">
        <f>IF($CS296,"",TRIM(IF(ISNUMBER($BU296),"A "&amp;TRIM(TEXT($BU296,"# ?/??"))&amp;CHAR(34)&amp;"  ","")&amp;IF(ISNUMBER($BV296),"B "&amp;TRIM(TEXT($BV296,"# ?/??"))&amp;CHAR(34)&amp;"  ","")&amp;IF(ISNUMBER($BW296),"C "&amp;TRIM(TEXT($BW296,"# ?/??"))&amp;CHAR(34)&amp;"  ","")&amp;IF(ISNUMBER($BX296),"D "&amp;TRIM(TEXT($BX296,"# ?/??"))&amp;CHAR(34)&amp;"  ","")&amp;IF(ISNUMBER($BY296),"F "&amp;TRIM(TEXT($BY296,"# ?/??"))&amp;CHAR(34)&amp;"  ","")&amp;IF(ISNUMBER($BZ296),"E "&amp;TRIM(TEXT($BZ296,"# ?/??"))&amp;CHAR(34)&amp;"  ","")))</f>
        <v/>
      </c>
      <c r="CZ296" s="85">
        <f>IF(OR($CS296,N($BJ296)=0),"",TRIM(IF(ISNUMBER($BU296),"A "&amp;TRIM(TEXT($BU296-HeadClr,"# ?/??"))&amp;CHAR(34)&amp;"  ","")&amp;IF(ISNUMBER($BV296),"B "&amp;TRIM(TEXT($BV296-HeadClr,"# ?/??"))&amp;CHAR(34)&amp;"  ","")&amp;IF(ISNUMBER($BW296),"C "&amp;TRIM(TEXT($BW296-HeadClr,"# ?/??"))&amp;CHAR(34)&amp;"  ","")&amp;IF(ISNUMBER($BX296),"D "&amp;TRIM(TEXT($BX296-HeadClr,"# ?/??"))&amp;CHAR(34)&amp;"  ","")&amp;IF(ISNUMBER($BY296),"F "&amp;TRIM(TEXT($BY296-HeadClr,"# ?/??"))&amp;CHAR(34)&amp;"  ","")&amp;IF(ISNUMBER($BZ296),"E "&amp;TRIM(TEXT($BZ296-HeadClr,"# ?/??"))&amp;CHAR(34)&amp;"  ","")))</f>
        <v/>
      </c>
      <c r="DA296" s="84">
        <f>IF($A296="","",IF($AN296="",IFERROR(VLOOKUP($Z296,CODES,2,FALSE),""),IFERROR(VLOOKUP($AN296,CODES,2,FALSE),"")))</f>
        <v/>
      </c>
      <c r="DB296" s="84">
        <f>IF($A296="","",IF($O296="Y","PR",IF(OR($Z296="L",$Z296="RR",LEFT($Z296,2)="L-",LEFT($Z296,3)="RR-"),"LH","RH")))</f>
        <v/>
      </c>
      <c r="DC296" s="84">
        <f>IF($A296="","","S.HM"&amp;IF(OR($C296="DOOR ONLY",$X296&lt;&gt;"KD"),"MASONRY","DRYWALL")&amp;IF($C296="DOOR ONLY","",$U296)&amp;IF(AND($C296&lt;&gt;"FRAME ONLY",OR(LEFT($AH296,3)="OAK",LEFT($AH296,3)="BIR",LEFT($AH296,3)="MAP",$AH296="PC",$AH296="MC",$AH296="SCLC",$AH296="P-LAM")),"WD","HM")&amp;"1.75")</f>
        <v/>
      </c>
      <c r="DD296" s="84">
        <f>IF($CJ296="","",IF($O296="Y",$CJ296,SUBSTITUTE($CJ296,$BG296&amp;" "&amp;IFERROR(VLOOKUP($Z296,CODES,2,FALSE),"")&amp;" ",$BG296&amp;" ")))</f>
        <v/>
      </c>
      <c r="DE296" s="84">
        <f>IF($CK296="","",IF($O296="Y",$CK296,SUBSTITUTE($CK296,$BG296&amp;" "&amp;IF($AN296="",IFERROR(VLOOKUP($Z296,CODES,2,FALSE),""),IFERROR(VLOOKUP($AN296,CODES,2,FALSE),""))&amp;" ",$BG296&amp;" ")))</f>
        <v/>
      </c>
      <c r="DF296" s="84">
        <f>IF($CJ296="","",$DC296&amp;"|"&amp;$DD296&amp;"|"&amp;$DB296&amp;"|"&amp;$AT296&amp;"|"&amp;$V296&amp;"|"&amp;$Y296&amp;"|"&amp;$AB296)</f>
        <v/>
      </c>
      <c r="DG296" s="84">
        <f>IF(DF296="","",IF(COUNTIF($DF$6:DF296,DF296)=1,MAX($DG$5:DG295)+1,INDEX($DG$5:DG295,MATCH(DF296,$DF$5:DF295,0))))</f>
        <v/>
      </c>
      <c r="DH296" s="84">
        <f>IF($CK296="","",$DC296&amp;"|"&amp;$DE296&amp;"|"&amp;$AI296&amp;"|"&amp;$BK296&amp;"|"&amp;$BL296)</f>
        <v/>
      </c>
      <c r="DI296" s="84">
        <f>IF(DH296="","",IF(COUNTIF($DH$6:DH296,DH296)=1,MAX($DI$5:DI295)+1,INDEX($DI$5:DI295,MATCH(DH296,$DH$5:DH295,0))))</f>
        <v/>
      </c>
      <c r="DJ296" s="84">
        <f>IF($A296="","",IF($B296="","qty, ","")&amp;IF($C296="","scope, ","")&amp;IF(OR($K296="",$M296=""),"size, ","")&amp;IF(AND($A296&lt;&gt;"",$C296&lt;&gt;"DOOR ONLY"),IF($U296="","jamb depth, ","")&amp;IF($X296="","construction, ","")&amp;IF($Y296="","anchor, ","")&amp;IF($S296="","frame type, ",""),"")&amp;IF(AND(N($BJ296)&gt;0,$Z296=""),"hand, ","")&amp;IF(N($BJ296)&gt;0,IF($AH296="","door material, ","")&amp;IF($AL296="","face type, ","")&amp;IF($AP296="","lock prep, ","")&amp;IF(AND($AO296="",$AC296=""),"hinge prep, ",""),"")&amp;IF(AND($CH296&gt;0,$AH296="FRP"),"FRP cannot carry a label, ","")&amp;IF(AND($O296="Y",OR($Z296="L",$Z296="R",$Z296="LR",$Z296="RR")),"pair marked but hand is single, ","")&amp;IF(AND($O296&lt;&gt;"Y",OR($Z296="PR",AND(LEN($Z296)&gt;1,ISNUMBER(SEARCH("-",$Z296))))),"pair hand on a single door, ","")&amp;IF(AND(ISNUMBER($CI296),$CH296&lt;N($CI296)),"wall needs a "&amp;$CI296&amp;" min door, ","")&amp;IF(AND($CH296&gt;=180,AND(OR($CE296="FG",$CE296="HG",$CE296="FNV",$CE296="FV"),N($CF296)*N($CG296)&gt;100)),"180 min lite over 100 sq in, ","")&amp;IF(N($BK296)&gt;48,"leaf wider than 4'-0"&amp;CHAR(34)&amp;", ","")&amp;IF(AND($CT296,COUNT($AW296:$AZ296)=0,$CQ296&gt;0),"CUSTOM LOC with no locations typed, ",""))</f>
        <v/>
      </c>
      <c r="DK296" s="84">
        <f>IF($A296="","",IF(AND($CH296&gt;0,AND($A296&lt;&gt;"",$C296&lt;&gt;"DOOR ONLY"),$X296="KD",$E296="EXTERIOR"),"KD label on an exterior opening, ","")&amp;IF(AND($E296="EXTERIOR",OR(AND(AND($A296&lt;&gt;"",$C296&lt;&gt;"DOOR ONLY"),$W296="CR"),AND(N($BJ296)&gt;0,$AH296="CR"))),"exterior in CR steel (G9?), ","")&amp;IF(AND(ISNUMBER($BQ296),N($BQ296)&lt;32),"clear width ~"&amp;TEXT($BQ296,"0.0")&amp;CHAR(34)&amp;" under 32"&amp;CHAR(34)&amp;" (ADA), ","")&amp;IF(AND($CH296=90,AND(OR($CE296="FG",$CE296="HG",$CE296="FNV",$CE296="FV"),N($CF296)*N($CG296)&gt;100)),"90 min lite over 100 sq in (stair/exit), ","")&amp;IF(AND($CH296&gt;0,AND($A296&lt;&gt;"",$C296&lt;&gt;"DOOR ONLY"),OR($AF296="",$AF296="-")),"rated: closer reinf.?, ","")&amp;IF(OR($I296="CORRIDOR",$I296="SMOKE BARRIER"),"S label + smoke gasketing, ","")&amp;IF($CI296="?","wall type/hr not in IBC table, ","")&amp;IF(AND(N($BJ296)&gt;0,$BB296=""),"no hardware set, ","")&amp;IF(AND($BB296&lt;&gt;"",ISNA(MATCH($BB296&amp;"",HWSets,0))),"set "&amp;$BB296&amp;" not on HW Sets, ","")&amp;IF(N($BL296)&gt;96,"leaf over 8'-0"&amp;CHAR(34)&amp;" - check listing, ","")&amp;IF(AND($CT296,COUNT($AW296:$AZ296)&gt;0,COUNT($AW296:$AZ296)&lt;&gt;$CQ296),COUNT($AW296:$AZ296)&amp;" custom hinges typed, "&amp;$CQ296&amp;" expected, ","")&amp;IF(AND(ISNUMBER($CA296),OR(N($CA296)&lt;34,N($CA296)&gt;48)),"lock "&amp;TEXT($CA296,"0.0")&amp;CHAR(34)&amp;" AFF outside 34-48"&amp;CHAR(34)&amp;" (ADA), ","")&amp;IF(AND(ISNUMBER($AV296),ISNUMBER($BL296),N($AV296)&lt;IF(N($BL296)&lt;=60,2,IF(N($BL296)&lt;=90,3,IF(N($BL296)&lt;=120,4,5)))),"fewer hinges than standard, ",""))</f>
        <v/>
      </c>
    </row>
    <row r="297" ht="15" customHeight="1">
      <c r="A297" s="77" t="n"/>
      <c r="B297" s="78" t="n"/>
      <c r="C297" s="78" t="n"/>
      <c r="D297" s="78" t="n"/>
      <c r="E297" s="78" t="n"/>
      <c r="F297" s="78" t="n"/>
      <c r="G297" s="78" t="n"/>
      <c r="H297" s="78" t="n"/>
      <c r="I297" s="78" t="n"/>
      <c r="J297" s="78" t="n"/>
      <c r="K297" s="78" t="n"/>
      <c r="L297" s="78" t="n"/>
      <c r="M297" s="78" t="n"/>
      <c r="N297" s="78" t="n"/>
      <c r="O297" s="78" t="n"/>
      <c r="P297" s="78" t="n"/>
      <c r="Q297" s="78" t="n"/>
      <c r="R297" s="78" t="n"/>
      <c r="S297" s="79" t="n"/>
      <c r="T297" s="79" t="n"/>
      <c r="U297" s="79" t="n"/>
      <c r="V297" s="79" t="n"/>
      <c r="W297" s="79" t="n"/>
      <c r="X297" s="79" t="n"/>
      <c r="Y297" s="79" t="n"/>
      <c r="Z297" s="79" t="n"/>
      <c r="AA297" s="79" t="n"/>
      <c r="AB297" s="79" t="n"/>
      <c r="AC297" s="79" t="n"/>
      <c r="AD297" s="79" t="n"/>
      <c r="AE297" s="79" t="n"/>
      <c r="AF297" s="79" t="n"/>
      <c r="AG297" s="79" t="n"/>
      <c r="AH297" s="80" t="n"/>
      <c r="AI297" s="80" t="n"/>
      <c r="AJ297" s="80" t="n"/>
      <c r="AK297" s="80" t="n"/>
      <c r="AL297" s="80" t="n"/>
      <c r="AM297" s="80" t="n"/>
      <c r="AN297" s="80" t="n"/>
      <c r="AO297" s="80" t="n"/>
      <c r="AP297" s="80" t="n"/>
      <c r="AQ297" s="80" t="n"/>
      <c r="AR297" s="80" t="n"/>
      <c r="AS297" s="80" t="n"/>
      <c r="AT297" s="81" t="n"/>
      <c r="AU297" s="81" t="n"/>
      <c r="AV297" s="81" t="n"/>
      <c r="AW297" s="82" t="n"/>
      <c r="AX297" s="82" t="n"/>
      <c r="AY297" s="82" t="n"/>
      <c r="AZ297" s="82" t="n"/>
      <c r="BA297" s="82" t="n"/>
      <c r="BB297" s="83" t="n"/>
      <c r="BC297" s="83" t="n"/>
      <c r="BD297" s="84">
        <f>IF($A297="","",IF($DJ297&lt;&gt;"","FIX",IF($DK297&lt;&gt;"","CHECK","OK")))</f>
        <v/>
      </c>
      <c r="BE297" s="85">
        <f>IF($A297="","",IF($DJ297&lt;&gt;"","FIX: "&amp;LEFT($DJ297,LEN($DJ297)-2)&amp;IF($DK297&lt;&gt;"","  ·  ",""),"")&amp;IF($DK297&lt;&gt;"","CHECK: "&amp;LEFT($DK297,LEN($DK297)-2),""))</f>
        <v/>
      </c>
      <c r="BF297" s="84">
        <f>IF(OR($A297="",$K297=""),"",$K297&amp;"'-"&amp;N($L297)&amp;CHAR(34)&amp;" x "&amp;$M297&amp;"'-"&amp;N($N297)&amp;CHAR(34))</f>
        <v/>
      </c>
      <c r="BG297" s="84">
        <f>IF(OR($A297="",$K297=""),"",$K297&amp;N($L297)&amp;$M297&amp;N($N297))</f>
        <v/>
      </c>
      <c r="BH297" s="84">
        <f>IF(OR($A297="",$K297=""),"",$K297*12+N($L297))</f>
        <v/>
      </c>
      <c r="BI297" s="84">
        <f>IF(OR($A297="",$M297=""),"",$M297*12+N($N297))</f>
        <v/>
      </c>
      <c r="BJ297" s="84">
        <f>IF($A297="","",IF(OR($C297="FRAME ONLY",$S297="BL"),0,IF($O297="Y",2,1)))</f>
        <v/>
      </c>
      <c r="BK297" s="86">
        <f>IF(OR(N($BJ297)=0,$BH297=""),"",($BH297-2*EdgeClr-IF($BJ297=2,MeetClr,0))/$BJ297)</f>
        <v/>
      </c>
      <c r="BL297" s="86">
        <f>IF(OR(N($BJ297)=0,$BI297=""),"",$BI297-HeadClr-Undercut)</f>
        <v/>
      </c>
      <c r="BM297" s="86">
        <f>IF($BH297="","",$BH297+2*FaceW+IF(N($Q297)&gt;0,($Q297+FaceW)*IF($R297="LR",2,1),0))</f>
        <v/>
      </c>
      <c r="BN297" s="86">
        <f>IF($BI297="","",$BI297+IF($AB297="Y",4,FaceW)+IF(N($P297)&gt;0,$P297+FaceW,0)+IF(OR($S297="4F",$S297="BL"),FaceW,0))</f>
        <v/>
      </c>
      <c r="BO297" s="86">
        <f>IF($BM297="","",$BM297+2*ROSide)</f>
        <v/>
      </c>
      <c r="BP297" s="86">
        <f>IF($BN297="","",$BN297+ROTop)</f>
        <v/>
      </c>
      <c r="BQ297" s="87">
        <f>IF(OR(N($BJ297)=0,$BH297=""),"",$BH297/$BJ297-ClearDeduct)</f>
        <v/>
      </c>
      <c r="BR297" s="84">
        <f>IF(N($CH297)=0,"",IF($CH297&gt;=180,"A · 3 HR",IF($CH297&gt;=90,"B · 1-1/2 HR",IF($CH297&gt;=60,"B · 1 HR",IF($CH297&gt;=45,"C · 3/4 HR","20 MIN")))))&amp;IF(AND(N($CH297)&gt;0,OR($I297="CORRIDOR",$I297="SMOKE BARRIER"))," · S","")</f>
        <v/>
      </c>
      <c r="BS297" s="84">
        <f>IF($CS297,"",IF($AV297&lt;&gt;"",$AV297,IF(OR($AC297="HGC",$AO297="HGC"),"CONT",IF(($BI297-HeadClr-Undercut)&lt;=60,2,IF(($BI297-HeadClr-Undercut)&lt;=90,3,IF(($BI297-HeadClr-Undercut)&lt;=120,4,5))))))</f>
        <v/>
      </c>
      <c r="BT297" s="84">
        <f>IF($CS297,"",IF($CT297,"CUSTOM (typed)",IF($CV297,$AT297&amp;" "&amp;$CU297&amp;CHAR(34)&amp;IF($CU297&lt;&gt;$BI297,IF(AND($BI297&lt;$CU297,$BI297-IF(N(VLOOKUP($AT297&amp;"|"&amp;$CU297,LocTable,7,FALSE))&gt;0,VLOOKUP($AT297&amp;"|"&amp;$CU297,LocTable,7,FALSE),VLOOKUP($AT297&amp;"|"&amp;$CU297,LocTable,6,FALSE))-$CR297-0.75&gt;=2.125)," cut down"," adj."),""),"ANSI/SDI A250.6")))</f>
        <v/>
      </c>
      <c r="BU297" s="88">
        <f>IF($CS297,"",IF($CT297,IF(N($AW297)&gt;0,N($AW297),""),IF(1&gt;$CQ297,"",IF($CQ297=1,$CW297,$CW297+($CX297-$CW297)*0/($CQ297-1)))))</f>
        <v/>
      </c>
      <c r="BV297" s="88">
        <f>IF($CS297,"",IF($CT297,IF(N($AX297)&gt;0,N($AX297),""),IF(2&gt;$CQ297,"",IF($CQ297=1,$CW297,$CW297+($CX297-$CW297)*1/($CQ297-1)))))</f>
        <v/>
      </c>
      <c r="BW297" s="88">
        <f>IF($CS297,"",IF($CT297,IF(N($AY297)&gt;0,N($AY297),""),IF(3&gt;$CQ297,"",IF($CQ297=1,$CW297,$CW297+($CX297-$CW297)*2/($CQ297-1)))))</f>
        <v/>
      </c>
      <c r="BX297" s="88">
        <f>IF($CS297,"",IF($CT297,IF(N($AZ297)&gt;0,N($AZ297),""),IF(4&gt;$CQ297,"",IF($CQ297=1,$CW297,$CW297+($CX297-$CW297)*3/($CQ297-1)))))</f>
        <v/>
      </c>
      <c r="BY297" s="88">
        <f>IF($CS297,"",IF($CT297,"",IF(5&gt;$CQ297,"",IF($CQ297=1,$CW297,$CW297+($CX297-$CW297)*4/($CQ297-1)))))</f>
        <v/>
      </c>
      <c r="BZ297" s="88">
        <f>IF(OR($CS297,$AP297="-",AND($AP297="",$AD297="")),"",IF(N($BA297)&gt;0,N($BA297),IF($CV297,IF(AND($BI297&lt;$CU297,$BI297-IF(N(VLOOKUP($AT297&amp;"|"&amp;$CU297,LocTable,7,FALSE))&gt;0,VLOOKUP($AT297&amp;"|"&amp;$CU297,LocTable,7,FALSE),VLOOKUP($AT297&amp;"|"&amp;$CU297,LocTable,6,FALSE))-$CR297-0.75&gt;=2.125),VLOOKUP($AT297&amp;"|"&amp;$CU297,LocTable,8,FALSE),VLOOKUP($AT297&amp;"|"&amp;$CU297,LocTable,8,FALSE)+($BI297-$CU297)),$BI297-LockAFF)))</f>
        <v/>
      </c>
      <c r="CA297" s="89">
        <f>IF($BZ297="","",$BI297-$BZ297)</f>
        <v/>
      </c>
      <c r="CB297" s="84">
        <f>IF(OR(NOT(AND($A297&lt;&gt;"",$C297&lt;&gt;"DOOR ONLY")),$BI297=""),"",IF(($BI297+IF(N($P297)&gt;0,$P297+FaceW,0))&lt;=90,3,IF(($BI297+IF(N($P297)&gt;0,$P297+FaceW,0))&lt;=114,4,5)))</f>
        <v/>
      </c>
      <c r="CC297" s="84">
        <f>IF($CB297="","",$CB297*(2+IF(N($Q297)&gt;0,IF($R297="LR",2,1),0)))</f>
        <v/>
      </c>
      <c r="CD297" s="84">
        <f>IF($CB297="","",(2+IF(N($Q297)&gt;0,IF($R297="LR",2,1),0)))</f>
        <v/>
      </c>
      <c r="CE297" s="84">
        <f>IF(N($BJ297)=0,"",IF(OR($AL297="",$AL297="FLUSH"),"FLUSH",IFERROR(LEFT($AL297,FIND("-",$AL297)-1),LEFT($AL297,2))))</f>
        <v/>
      </c>
      <c r="CF297" s="84">
        <f>IF($CE297="","",IFERROR(VALUE(MID($AL297,FIND("-",$AL297)+1,FIND(CHAR(34)&amp;"x",$AL297)-FIND("-",$AL297)-1)),0))</f>
        <v/>
      </c>
      <c r="CG297" s="84">
        <f>IF($CE297="","",IFERROR(VALUE(MID($AL297,FIND(CHAR(34)&amp;"x",$AL297)+2,FIND(CHAR(34),$AL297,FIND(CHAR(34)&amp;"x",$AL297)+2)-FIND(CHAR(34)&amp;"x",$AL297)-2)),0))</f>
        <v/>
      </c>
      <c r="CH297" s="90">
        <f>IF(OR($A297="",$H297="",$H297="NO LAB"),0,IFERROR(VALUE(LEFT($H297,FIND(" ",$H297)-1)),0))</f>
        <v/>
      </c>
      <c r="CI297" s="91">
        <f>IF(OR($A297="",$I297="",$I297="NON-RATED",N($J297)=0),"",IFERROR(VLOOKUP($I297&amp;"|"&amp;$J297,IBC,2,FALSE),"?"))</f>
        <v/>
      </c>
      <c r="CJ297" s="85">
        <f>IF(NOT(AND($A297&lt;&gt;"",$C297&lt;&gt;"DOOR ONLY")),"",TRIM(IFERROR(VLOOKUP($U297,CODES,2,FALSE),"")&amp;" "&amp;$BG297&amp;" "&amp;IFERROR(VLOOKUP($Z297,CODES,2,FALSE),"")&amp;" "&amp;IFERROR(VLOOKUP($X297,CODES,2,FALSE),"")&amp;" "&amp;IFERROR(VLOOKUP($S297,CODES,2,FALSE),"")&amp;IF(N($P297)&gt;0," w/TRANSOM "&amp;$P297&amp;CHAR(34),"")&amp;IF(N($Q297)&gt;0," w/SIDELITE "&amp;$Q297&amp;CHAR(34)&amp;" "&amp;IF($R297="","R",$R297),"")&amp;IF($Y297="","  |  "," | "&amp;IFERROR(VLOOKUP($Y297,CODES,2,FALSE),"")&amp;" | ")&amp;IFERROR(VLOOKUP($AC297,CODES,2,FALSE),"")&amp;" "&amp;IFERROR(VLOOKUP($AD297,CODES,2,FALSE),"")&amp;IF(OR($AE297="",$AE297="-"),""," "&amp;$AE297)&amp;IF(OR($AF297="",$AF297="-"),""," "&amp;$AF297)&amp;IF($AB297="Y"," 4"&amp;CHAR(34)&amp;" HEAD","")&amp;" "&amp;IFERROR(VLOOKUP($H297,CODES,2,FALSE),"")&amp;IF($CT297," | LOC "&amp;$CY297,"")))</f>
        <v/>
      </c>
      <c r="CK297" s="85">
        <f>IF(NOT(AND($A297&lt;&gt;"",N($BJ297)&gt;0)),"",TRIM(IFERROR(VLOOKUP($AH297,CODES,2,FALSE),"")&amp;IF($AI297=""," "," "&amp;$AI297&amp;"GA ")&amp;$BG297&amp;" "&amp;IF($AN297="",IFERROR(VLOOKUP($Z297,CODES,2,FALSE),""),IFERROR(VLOOKUP($AN297,CODES,2,FALSE),""))&amp;IF($BJ297=2," PAIR","")&amp;" DOOR | "&amp;IF($AL297="","?",$AL297)&amp;" | "&amp;IF($AO297="",IFERROR(VLOOKUP($AC297,CODES,2,FALSE),""),IFERROR(VLOOKUP($AO297,CODES,2,FALSE),""))&amp;" "&amp;IFERROR(VLOOKUP($AP297,CODES,2,FALSE),"")&amp;IF(OR($AQ297="",$AQ297="-"),""," SEAM "&amp;$AQ297)&amp;IF($AR297="Y"," ASTRAGAL","")&amp;IF($AJ297=""," "," "&amp;$AJ297)&amp;IF($AK297=""," "," "&amp;$AK297)&amp;IF(OR($AT297="",$AT297="ANSI/SDI",$AT297="CUSTOM LOC"),""," "&amp;$AT297)&amp;IF($AM297=""," "," SERIES "&amp;$AM297)&amp;" "&amp;IFERROR(VLOOKUP($H297,CODES,2,FALSE),"")&amp;IF($CT297," | LOC "&amp;$CZ297,"")))</f>
        <v/>
      </c>
      <c r="CL297" s="84">
        <f>IF(CP297="","",IF(COUNTIF($CP$6:CP297,CP297)=1,MAX($CL$5:CL296)+1,INDEX($CL$5:CL296,MATCH(CP297,$CP$5:CP296,0))))</f>
        <v/>
      </c>
      <c r="CM297" s="84">
        <f>IF(NOT(AND($A297&lt;&gt;"",$C297&lt;&gt;"DOOR ONLY")),"",MAX($CM$5:CM296)+1)</f>
        <v/>
      </c>
      <c r="CN297" s="84">
        <f>IF(NOT(AND($A297&lt;&gt;"",N($BJ297)&gt;0)),"",MAX($CN$5:CN296)+1)</f>
        <v/>
      </c>
      <c r="CO297" s="84">
        <f>IF($A297="","",MAX($CO$5:CO296)+1)</f>
        <v/>
      </c>
      <c r="CP297" s="84">
        <f>IF(OR($A297="",$BH297="",$BI297=""),"",$BG297&amp;"|"&amp;$O297&amp;"|"&amp;$AL297&amp;"|"&amp;$S297&amp;"|"&amp;$P297&amp;"|"&amp;$Q297&amp;$R297&amp;"|"&amp;$C297&amp;"|"&amp;$AB297)</f>
        <v/>
      </c>
      <c r="CQ297" s="84">
        <f>N($BS297)</f>
        <v/>
      </c>
      <c r="CR297" s="84">
        <f>IF(N($AU297)&gt;0,N($AU297),4.5)</f>
        <v/>
      </c>
      <c r="CS297" s="84">
        <f>OR($A297="",$BI297="",$S297="BL",AND($C297="FRAME ONLY",OR($AC297="",$AC297="BLK")))</f>
        <v/>
      </c>
      <c r="CT297" s="84">
        <f>AND(NOT($CS297),OR($AT297="CUSTOM LOC",N($AW297)+N($AX297)+N($AY297)+N($AZ297)+N($BA297)&gt;0))</f>
        <v/>
      </c>
      <c r="CU297" s="84">
        <f>IF($BI297="","",IF($BI297&lt;=80,80,IF($BI297&lt;=84,84,96)))</f>
        <v/>
      </c>
      <c r="CV297" s="84">
        <f>ISNUMBER(MATCH($AT297&amp;"|80",LocKeys,0))</f>
        <v/>
      </c>
      <c r="CW297" s="86">
        <f>IF($CS297,"",IF($CV297,VLOOKUP($AT297&amp;"|"&amp;$CU297,LocTable,4,FALSE),5))</f>
        <v/>
      </c>
      <c r="CX297" s="86">
        <f>IF($CS297,"",IF($CV297,IF(OR($BI297=$CU297,AND($BI297&lt;$CU297,$BI297-IF(N(VLOOKUP($AT297&amp;"|"&amp;$CU297,LocTable,7,FALSE))&gt;0,VLOOKUP($AT297&amp;"|"&amp;$CU297,LocTable,7,FALSE),VLOOKUP($AT297&amp;"|"&amp;$CU297,LocTable,6,FALSE))-$CR297-0.75&gt;=2.125)),IF(N(VLOOKUP($AT297&amp;"|"&amp;$CU297,LocTable,7,FALSE))&gt;0,VLOOKUP($AT297&amp;"|"&amp;$CU297,LocTable,7,FALSE),VLOOKUP($AT297&amp;"|"&amp;$CU297,LocTable,6,FALSE)),$BI297-($CU297-IF(N(VLOOKUP($AT297&amp;"|"&amp;$CU297,LocTable,7,FALSE))&gt;0,VLOOKUP($AT297&amp;"|"&amp;$CU297,LocTable,7,FALSE),VLOOKUP($AT297&amp;"|"&amp;$CU297,LocTable,6,FALSE)))),$BI297-10-$CR297))</f>
        <v/>
      </c>
      <c r="CY297" s="85">
        <f>IF($CS297,"",TRIM(IF(ISNUMBER($BU297),"A "&amp;TRIM(TEXT($BU297,"# ?/??"))&amp;CHAR(34)&amp;"  ","")&amp;IF(ISNUMBER($BV297),"B "&amp;TRIM(TEXT($BV297,"# ?/??"))&amp;CHAR(34)&amp;"  ","")&amp;IF(ISNUMBER($BW297),"C "&amp;TRIM(TEXT($BW297,"# ?/??"))&amp;CHAR(34)&amp;"  ","")&amp;IF(ISNUMBER($BX297),"D "&amp;TRIM(TEXT($BX297,"# ?/??"))&amp;CHAR(34)&amp;"  ","")&amp;IF(ISNUMBER($BY297),"F "&amp;TRIM(TEXT($BY297,"# ?/??"))&amp;CHAR(34)&amp;"  ","")&amp;IF(ISNUMBER($BZ297),"E "&amp;TRIM(TEXT($BZ297,"# ?/??"))&amp;CHAR(34)&amp;"  ","")))</f>
        <v/>
      </c>
      <c r="CZ297" s="85">
        <f>IF(OR($CS297,N($BJ297)=0),"",TRIM(IF(ISNUMBER($BU297),"A "&amp;TRIM(TEXT($BU297-HeadClr,"# ?/??"))&amp;CHAR(34)&amp;"  ","")&amp;IF(ISNUMBER($BV297),"B "&amp;TRIM(TEXT($BV297-HeadClr,"# ?/??"))&amp;CHAR(34)&amp;"  ","")&amp;IF(ISNUMBER($BW297),"C "&amp;TRIM(TEXT($BW297-HeadClr,"# ?/??"))&amp;CHAR(34)&amp;"  ","")&amp;IF(ISNUMBER($BX297),"D "&amp;TRIM(TEXT($BX297-HeadClr,"# ?/??"))&amp;CHAR(34)&amp;"  ","")&amp;IF(ISNUMBER($BY297),"F "&amp;TRIM(TEXT($BY297-HeadClr,"# ?/??"))&amp;CHAR(34)&amp;"  ","")&amp;IF(ISNUMBER($BZ297),"E "&amp;TRIM(TEXT($BZ297-HeadClr,"# ?/??"))&amp;CHAR(34)&amp;"  ","")))</f>
        <v/>
      </c>
      <c r="DA297" s="84">
        <f>IF($A297="","",IF($AN297="",IFERROR(VLOOKUP($Z297,CODES,2,FALSE),""),IFERROR(VLOOKUP($AN297,CODES,2,FALSE),"")))</f>
        <v/>
      </c>
      <c r="DB297" s="84">
        <f>IF($A297="","",IF($O297="Y","PR",IF(OR($Z297="L",$Z297="RR",LEFT($Z297,2)="L-",LEFT($Z297,3)="RR-"),"LH","RH")))</f>
        <v/>
      </c>
      <c r="DC297" s="84">
        <f>IF($A297="","","S.HM"&amp;IF(OR($C297="DOOR ONLY",$X297&lt;&gt;"KD"),"MASONRY","DRYWALL")&amp;IF($C297="DOOR ONLY","",$U297)&amp;IF(AND($C297&lt;&gt;"FRAME ONLY",OR(LEFT($AH297,3)="OAK",LEFT($AH297,3)="BIR",LEFT($AH297,3)="MAP",$AH297="PC",$AH297="MC",$AH297="SCLC",$AH297="P-LAM")),"WD","HM")&amp;"1.75")</f>
        <v/>
      </c>
      <c r="DD297" s="84">
        <f>IF($CJ297="","",IF($O297="Y",$CJ297,SUBSTITUTE($CJ297,$BG297&amp;" "&amp;IFERROR(VLOOKUP($Z297,CODES,2,FALSE),"")&amp;" ",$BG297&amp;" ")))</f>
        <v/>
      </c>
      <c r="DE297" s="84">
        <f>IF($CK297="","",IF($O297="Y",$CK297,SUBSTITUTE($CK297,$BG297&amp;" "&amp;IF($AN297="",IFERROR(VLOOKUP($Z297,CODES,2,FALSE),""),IFERROR(VLOOKUP($AN297,CODES,2,FALSE),""))&amp;" ",$BG297&amp;" ")))</f>
        <v/>
      </c>
      <c r="DF297" s="84">
        <f>IF($CJ297="","",$DC297&amp;"|"&amp;$DD297&amp;"|"&amp;$DB297&amp;"|"&amp;$AT297&amp;"|"&amp;$V297&amp;"|"&amp;$Y297&amp;"|"&amp;$AB297)</f>
        <v/>
      </c>
      <c r="DG297" s="84">
        <f>IF(DF297="","",IF(COUNTIF($DF$6:DF297,DF297)=1,MAX($DG$5:DG296)+1,INDEX($DG$5:DG296,MATCH(DF297,$DF$5:DF296,0))))</f>
        <v/>
      </c>
      <c r="DH297" s="84">
        <f>IF($CK297="","",$DC297&amp;"|"&amp;$DE297&amp;"|"&amp;$AI297&amp;"|"&amp;$BK297&amp;"|"&amp;$BL297)</f>
        <v/>
      </c>
      <c r="DI297" s="84">
        <f>IF(DH297="","",IF(COUNTIF($DH$6:DH297,DH297)=1,MAX($DI$5:DI296)+1,INDEX($DI$5:DI296,MATCH(DH297,$DH$5:DH296,0))))</f>
        <v/>
      </c>
      <c r="DJ297" s="84">
        <f>IF($A297="","",IF($B297="","qty, ","")&amp;IF($C297="","scope, ","")&amp;IF(OR($K297="",$M297=""),"size, ","")&amp;IF(AND($A297&lt;&gt;"",$C297&lt;&gt;"DOOR ONLY"),IF($U297="","jamb depth, ","")&amp;IF($X297="","construction, ","")&amp;IF($Y297="","anchor, ","")&amp;IF($S297="","frame type, ",""),"")&amp;IF(AND(N($BJ297)&gt;0,$Z297=""),"hand, ","")&amp;IF(N($BJ297)&gt;0,IF($AH297="","door material, ","")&amp;IF($AL297="","face type, ","")&amp;IF($AP297="","lock prep, ","")&amp;IF(AND($AO297="",$AC297=""),"hinge prep, ",""),"")&amp;IF(AND($CH297&gt;0,$AH297="FRP"),"FRP cannot carry a label, ","")&amp;IF(AND($O297="Y",OR($Z297="L",$Z297="R",$Z297="LR",$Z297="RR")),"pair marked but hand is single, ","")&amp;IF(AND($O297&lt;&gt;"Y",OR($Z297="PR",AND(LEN($Z297)&gt;1,ISNUMBER(SEARCH("-",$Z297))))),"pair hand on a single door, ","")&amp;IF(AND(ISNUMBER($CI297),$CH297&lt;N($CI297)),"wall needs a "&amp;$CI297&amp;" min door, ","")&amp;IF(AND($CH297&gt;=180,AND(OR($CE297="FG",$CE297="HG",$CE297="FNV",$CE297="FV"),N($CF297)*N($CG297)&gt;100)),"180 min lite over 100 sq in, ","")&amp;IF(N($BK297)&gt;48,"leaf wider than 4'-0"&amp;CHAR(34)&amp;", ","")&amp;IF(AND($CT297,COUNT($AW297:$AZ297)=0,$CQ297&gt;0),"CUSTOM LOC with no locations typed, ",""))</f>
        <v/>
      </c>
      <c r="DK297" s="84">
        <f>IF($A297="","",IF(AND($CH297&gt;0,AND($A297&lt;&gt;"",$C297&lt;&gt;"DOOR ONLY"),$X297="KD",$E297="EXTERIOR"),"KD label on an exterior opening, ","")&amp;IF(AND($E297="EXTERIOR",OR(AND(AND($A297&lt;&gt;"",$C297&lt;&gt;"DOOR ONLY"),$W297="CR"),AND(N($BJ297)&gt;0,$AH297="CR"))),"exterior in CR steel (G9?), ","")&amp;IF(AND(ISNUMBER($BQ297),N($BQ297)&lt;32),"clear width ~"&amp;TEXT($BQ297,"0.0")&amp;CHAR(34)&amp;" under 32"&amp;CHAR(34)&amp;" (ADA), ","")&amp;IF(AND($CH297=90,AND(OR($CE297="FG",$CE297="HG",$CE297="FNV",$CE297="FV"),N($CF297)*N($CG297)&gt;100)),"90 min lite over 100 sq in (stair/exit), ","")&amp;IF(AND($CH297&gt;0,AND($A297&lt;&gt;"",$C297&lt;&gt;"DOOR ONLY"),OR($AF297="",$AF297="-")),"rated: closer reinf.?, ","")&amp;IF(OR($I297="CORRIDOR",$I297="SMOKE BARRIER"),"S label + smoke gasketing, ","")&amp;IF($CI297="?","wall type/hr not in IBC table, ","")&amp;IF(AND(N($BJ297)&gt;0,$BB297=""),"no hardware set, ","")&amp;IF(AND($BB297&lt;&gt;"",ISNA(MATCH($BB297&amp;"",HWSets,0))),"set "&amp;$BB297&amp;" not on HW Sets, ","")&amp;IF(N($BL297)&gt;96,"leaf over 8'-0"&amp;CHAR(34)&amp;" - check listing, ","")&amp;IF(AND($CT297,COUNT($AW297:$AZ297)&gt;0,COUNT($AW297:$AZ297)&lt;&gt;$CQ297),COUNT($AW297:$AZ297)&amp;" custom hinges typed, "&amp;$CQ297&amp;" expected, ","")&amp;IF(AND(ISNUMBER($CA297),OR(N($CA297)&lt;34,N($CA297)&gt;48)),"lock "&amp;TEXT($CA297,"0.0")&amp;CHAR(34)&amp;" AFF outside 34-48"&amp;CHAR(34)&amp;" (ADA), ","")&amp;IF(AND(ISNUMBER($AV297),ISNUMBER($BL297),N($AV297)&lt;IF(N($BL297)&lt;=60,2,IF(N($BL297)&lt;=90,3,IF(N($BL297)&lt;=120,4,5)))),"fewer hinges than standard, ",""))</f>
        <v/>
      </c>
    </row>
    <row r="298" ht="15" customHeight="1">
      <c r="A298" s="77" t="n"/>
      <c r="B298" s="78" t="n"/>
      <c r="C298" s="78" t="n"/>
      <c r="D298" s="78" t="n"/>
      <c r="E298" s="78" t="n"/>
      <c r="F298" s="78" t="n"/>
      <c r="G298" s="78" t="n"/>
      <c r="H298" s="78" t="n"/>
      <c r="I298" s="78" t="n"/>
      <c r="J298" s="78" t="n"/>
      <c r="K298" s="78" t="n"/>
      <c r="L298" s="78" t="n"/>
      <c r="M298" s="78" t="n"/>
      <c r="N298" s="78" t="n"/>
      <c r="O298" s="78" t="n"/>
      <c r="P298" s="78" t="n"/>
      <c r="Q298" s="78" t="n"/>
      <c r="R298" s="78" t="n"/>
      <c r="S298" s="79" t="n"/>
      <c r="T298" s="79" t="n"/>
      <c r="U298" s="79" t="n"/>
      <c r="V298" s="79" t="n"/>
      <c r="W298" s="79" t="n"/>
      <c r="X298" s="79" t="n"/>
      <c r="Y298" s="79" t="n"/>
      <c r="Z298" s="79" t="n"/>
      <c r="AA298" s="79" t="n"/>
      <c r="AB298" s="79" t="n"/>
      <c r="AC298" s="79" t="n"/>
      <c r="AD298" s="79" t="n"/>
      <c r="AE298" s="79" t="n"/>
      <c r="AF298" s="79" t="n"/>
      <c r="AG298" s="79" t="n"/>
      <c r="AH298" s="80" t="n"/>
      <c r="AI298" s="80" t="n"/>
      <c r="AJ298" s="80" t="n"/>
      <c r="AK298" s="80" t="n"/>
      <c r="AL298" s="80" t="n"/>
      <c r="AM298" s="80" t="n"/>
      <c r="AN298" s="80" t="n"/>
      <c r="AO298" s="80" t="n"/>
      <c r="AP298" s="80" t="n"/>
      <c r="AQ298" s="80" t="n"/>
      <c r="AR298" s="80" t="n"/>
      <c r="AS298" s="80" t="n"/>
      <c r="AT298" s="81" t="n"/>
      <c r="AU298" s="81" t="n"/>
      <c r="AV298" s="81" t="n"/>
      <c r="AW298" s="82" t="n"/>
      <c r="AX298" s="82" t="n"/>
      <c r="AY298" s="82" t="n"/>
      <c r="AZ298" s="82" t="n"/>
      <c r="BA298" s="82" t="n"/>
      <c r="BB298" s="83" t="n"/>
      <c r="BC298" s="83" t="n"/>
      <c r="BD298" s="84">
        <f>IF($A298="","",IF($DJ298&lt;&gt;"","FIX",IF($DK298&lt;&gt;"","CHECK","OK")))</f>
        <v/>
      </c>
      <c r="BE298" s="85">
        <f>IF($A298="","",IF($DJ298&lt;&gt;"","FIX: "&amp;LEFT($DJ298,LEN($DJ298)-2)&amp;IF($DK298&lt;&gt;"","  ·  ",""),"")&amp;IF($DK298&lt;&gt;"","CHECK: "&amp;LEFT($DK298,LEN($DK298)-2),""))</f>
        <v/>
      </c>
      <c r="BF298" s="84">
        <f>IF(OR($A298="",$K298=""),"",$K298&amp;"'-"&amp;N($L298)&amp;CHAR(34)&amp;" x "&amp;$M298&amp;"'-"&amp;N($N298)&amp;CHAR(34))</f>
        <v/>
      </c>
      <c r="BG298" s="84">
        <f>IF(OR($A298="",$K298=""),"",$K298&amp;N($L298)&amp;$M298&amp;N($N298))</f>
        <v/>
      </c>
      <c r="BH298" s="84">
        <f>IF(OR($A298="",$K298=""),"",$K298*12+N($L298))</f>
        <v/>
      </c>
      <c r="BI298" s="84">
        <f>IF(OR($A298="",$M298=""),"",$M298*12+N($N298))</f>
        <v/>
      </c>
      <c r="BJ298" s="84">
        <f>IF($A298="","",IF(OR($C298="FRAME ONLY",$S298="BL"),0,IF($O298="Y",2,1)))</f>
        <v/>
      </c>
      <c r="BK298" s="86">
        <f>IF(OR(N($BJ298)=0,$BH298=""),"",($BH298-2*EdgeClr-IF($BJ298=2,MeetClr,0))/$BJ298)</f>
        <v/>
      </c>
      <c r="BL298" s="86">
        <f>IF(OR(N($BJ298)=0,$BI298=""),"",$BI298-HeadClr-Undercut)</f>
        <v/>
      </c>
      <c r="BM298" s="86">
        <f>IF($BH298="","",$BH298+2*FaceW+IF(N($Q298)&gt;0,($Q298+FaceW)*IF($R298="LR",2,1),0))</f>
        <v/>
      </c>
      <c r="BN298" s="86">
        <f>IF($BI298="","",$BI298+IF($AB298="Y",4,FaceW)+IF(N($P298)&gt;0,$P298+FaceW,0)+IF(OR($S298="4F",$S298="BL"),FaceW,0))</f>
        <v/>
      </c>
      <c r="BO298" s="86">
        <f>IF($BM298="","",$BM298+2*ROSide)</f>
        <v/>
      </c>
      <c r="BP298" s="86">
        <f>IF($BN298="","",$BN298+ROTop)</f>
        <v/>
      </c>
      <c r="BQ298" s="87">
        <f>IF(OR(N($BJ298)=0,$BH298=""),"",$BH298/$BJ298-ClearDeduct)</f>
        <v/>
      </c>
      <c r="BR298" s="84">
        <f>IF(N($CH298)=0,"",IF($CH298&gt;=180,"A · 3 HR",IF($CH298&gt;=90,"B · 1-1/2 HR",IF($CH298&gt;=60,"B · 1 HR",IF($CH298&gt;=45,"C · 3/4 HR","20 MIN")))))&amp;IF(AND(N($CH298)&gt;0,OR($I298="CORRIDOR",$I298="SMOKE BARRIER"))," · S","")</f>
        <v/>
      </c>
      <c r="BS298" s="84">
        <f>IF($CS298,"",IF($AV298&lt;&gt;"",$AV298,IF(OR($AC298="HGC",$AO298="HGC"),"CONT",IF(($BI298-HeadClr-Undercut)&lt;=60,2,IF(($BI298-HeadClr-Undercut)&lt;=90,3,IF(($BI298-HeadClr-Undercut)&lt;=120,4,5))))))</f>
        <v/>
      </c>
      <c r="BT298" s="84">
        <f>IF($CS298,"",IF($CT298,"CUSTOM (typed)",IF($CV298,$AT298&amp;" "&amp;$CU298&amp;CHAR(34)&amp;IF($CU298&lt;&gt;$BI298,IF(AND($BI298&lt;$CU298,$BI298-IF(N(VLOOKUP($AT298&amp;"|"&amp;$CU298,LocTable,7,FALSE))&gt;0,VLOOKUP($AT298&amp;"|"&amp;$CU298,LocTable,7,FALSE),VLOOKUP($AT298&amp;"|"&amp;$CU298,LocTable,6,FALSE))-$CR298-0.75&gt;=2.125)," cut down"," adj."),""),"ANSI/SDI A250.6")))</f>
        <v/>
      </c>
      <c r="BU298" s="88">
        <f>IF($CS298,"",IF($CT298,IF(N($AW298)&gt;0,N($AW298),""),IF(1&gt;$CQ298,"",IF($CQ298=1,$CW298,$CW298+($CX298-$CW298)*0/($CQ298-1)))))</f>
        <v/>
      </c>
      <c r="BV298" s="88">
        <f>IF($CS298,"",IF($CT298,IF(N($AX298)&gt;0,N($AX298),""),IF(2&gt;$CQ298,"",IF($CQ298=1,$CW298,$CW298+($CX298-$CW298)*1/($CQ298-1)))))</f>
        <v/>
      </c>
      <c r="BW298" s="88">
        <f>IF($CS298,"",IF($CT298,IF(N($AY298)&gt;0,N($AY298),""),IF(3&gt;$CQ298,"",IF($CQ298=1,$CW298,$CW298+($CX298-$CW298)*2/($CQ298-1)))))</f>
        <v/>
      </c>
      <c r="BX298" s="88">
        <f>IF($CS298,"",IF($CT298,IF(N($AZ298)&gt;0,N($AZ298),""),IF(4&gt;$CQ298,"",IF($CQ298=1,$CW298,$CW298+($CX298-$CW298)*3/($CQ298-1)))))</f>
        <v/>
      </c>
      <c r="BY298" s="88">
        <f>IF($CS298,"",IF($CT298,"",IF(5&gt;$CQ298,"",IF($CQ298=1,$CW298,$CW298+($CX298-$CW298)*4/($CQ298-1)))))</f>
        <v/>
      </c>
      <c r="BZ298" s="88">
        <f>IF(OR($CS298,$AP298="-",AND($AP298="",$AD298="")),"",IF(N($BA298)&gt;0,N($BA298),IF($CV298,IF(AND($BI298&lt;$CU298,$BI298-IF(N(VLOOKUP($AT298&amp;"|"&amp;$CU298,LocTable,7,FALSE))&gt;0,VLOOKUP($AT298&amp;"|"&amp;$CU298,LocTable,7,FALSE),VLOOKUP($AT298&amp;"|"&amp;$CU298,LocTable,6,FALSE))-$CR298-0.75&gt;=2.125),VLOOKUP($AT298&amp;"|"&amp;$CU298,LocTable,8,FALSE),VLOOKUP($AT298&amp;"|"&amp;$CU298,LocTable,8,FALSE)+($BI298-$CU298)),$BI298-LockAFF)))</f>
        <v/>
      </c>
      <c r="CA298" s="89">
        <f>IF($BZ298="","",$BI298-$BZ298)</f>
        <v/>
      </c>
      <c r="CB298" s="84">
        <f>IF(OR(NOT(AND($A298&lt;&gt;"",$C298&lt;&gt;"DOOR ONLY")),$BI298=""),"",IF(($BI298+IF(N($P298)&gt;0,$P298+FaceW,0))&lt;=90,3,IF(($BI298+IF(N($P298)&gt;0,$P298+FaceW,0))&lt;=114,4,5)))</f>
        <v/>
      </c>
      <c r="CC298" s="84">
        <f>IF($CB298="","",$CB298*(2+IF(N($Q298)&gt;0,IF($R298="LR",2,1),0)))</f>
        <v/>
      </c>
      <c r="CD298" s="84">
        <f>IF($CB298="","",(2+IF(N($Q298)&gt;0,IF($R298="LR",2,1),0)))</f>
        <v/>
      </c>
      <c r="CE298" s="84">
        <f>IF(N($BJ298)=0,"",IF(OR($AL298="",$AL298="FLUSH"),"FLUSH",IFERROR(LEFT($AL298,FIND("-",$AL298)-1),LEFT($AL298,2))))</f>
        <v/>
      </c>
      <c r="CF298" s="84">
        <f>IF($CE298="","",IFERROR(VALUE(MID($AL298,FIND("-",$AL298)+1,FIND(CHAR(34)&amp;"x",$AL298)-FIND("-",$AL298)-1)),0))</f>
        <v/>
      </c>
      <c r="CG298" s="84">
        <f>IF($CE298="","",IFERROR(VALUE(MID($AL298,FIND(CHAR(34)&amp;"x",$AL298)+2,FIND(CHAR(34),$AL298,FIND(CHAR(34)&amp;"x",$AL298)+2)-FIND(CHAR(34)&amp;"x",$AL298)-2)),0))</f>
        <v/>
      </c>
      <c r="CH298" s="90">
        <f>IF(OR($A298="",$H298="",$H298="NO LAB"),0,IFERROR(VALUE(LEFT($H298,FIND(" ",$H298)-1)),0))</f>
        <v/>
      </c>
      <c r="CI298" s="91">
        <f>IF(OR($A298="",$I298="",$I298="NON-RATED",N($J298)=0),"",IFERROR(VLOOKUP($I298&amp;"|"&amp;$J298,IBC,2,FALSE),"?"))</f>
        <v/>
      </c>
      <c r="CJ298" s="85">
        <f>IF(NOT(AND($A298&lt;&gt;"",$C298&lt;&gt;"DOOR ONLY")),"",TRIM(IFERROR(VLOOKUP($U298,CODES,2,FALSE),"")&amp;" "&amp;$BG298&amp;" "&amp;IFERROR(VLOOKUP($Z298,CODES,2,FALSE),"")&amp;" "&amp;IFERROR(VLOOKUP($X298,CODES,2,FALSE),"")&amp;" "&amp;IFERROR(VLOOKUP($S298,CODES,2,FALSE),"")&amp;IF(N($P298)&gt;0," w/TRANSOM "&amp;$P298&amp;CHAR(34),"")&amp;IF(N($Q298)&gt;0," w/SIDELITE "&amp;$Q298&amp;CHAR(34)&amp;" "&amp;IF($R298="","R",$R298),"")&amp;IF($Y298="","  |  "," | "&amp;IFERROR(VLOOKUP($Y298,CODES,2,FALSE),"")&amp;" | ")&amp;IFERROR(VLOOKUP($AC298,CODES,2,FALSE),"")&amp;" "&amp;IFERROR(VLOOKUP($AD298,CODES,2,FALSE),"")&amp;IF(OR($AE298="",$AE298="-"),""," "&amp;$AE298)&amp;IF(OR($AF298="",$AF298="-"),""," "&amp;$AF298)&amp;IF($AB298="Y"," 4"&amp;CHAR(34)&amp;" HEAD","")&amp;" "&amp;IFERROR(VLOOKUP($H298,CODES,2,FALSE),"")&amp;IF($CT298," | LOC "&amp;$CY298,"")))</f>
        <v/>
      </c>
      <c r="CK298" s="85">
        <f>IF(NOT(AND($A298&lt;&gt;"",N($BJ298)&gt;0)),"",TRIM(IFERROR(VLOOKUP($AH298,CODES,2,FALSE),"")&amp;IF($AI298=""," "," "&amp;$AI298&amp;"GA ")&amp;$BG298&amp;" "&amp;IF($AN298="",IFERROR(VLOOKUP($Z298,CODES,2,FALSE),""),IFERROR(VLOOKUP($AN298,CODES,2,FALSE),""))&amp;IF($BJ298=2," PAIR","")&amp;" DOOR | "&amp;IF($AL298="","?",$AL298)&amp;" | "&amp;IF($AO298="",IFERROR(VLOOKUP($AC298,CODES,2,FALSE),""),IFERROR(VLOOKUP($AO298,CODES,2,FALSE),""))&amp;" "&amp;IFERROR(VLOOKUP($AP298,CODES,2,FALSE),"")&amp;IF(OR($AQ298="",$AQ298="-"),""," SEAM "&amp;$AQ298)&amp;IF($AR298="Y"," ASTRAGAL","")&amp;IF($AJ298=""," "," "&amp;$AJ298)&amp;IF($AK298=""," "," "&amp;$AK298)&amp;IF(OR($AT298="",$AT298="ANSI/SDI",$AT298="CUSTOM LOC"),""," "&amp;$AT298)&amp;IF($AM298=""," "," SERIES "&amp;$AM298)&amp;" "&amp;IFERROR(VLOOKUP($H298,CODES,2,FALSE),"")&amp;IF($CT298," | LOC "&amp;$CZ298,"")))</f>
        <v/>
      </c>
      <c r="CL298" s="84">
        <f>IF(CP298="","",IF(COUNTIF($CP$6:CP298,CP298)=1,MAX($CL$5:CL297)+1,INDEX($CL$5:CL297,MATCH(CP298,$CP$5:CP297,0))))</f>
        <v/>
      </c>
      <c r="CM298" s="84">
        <f>IF(NOT(AND($A298&lt;&gt;"",$C298&lt;&gt;"DOOR ONLY")),"",MAX($CM$5:CM297)+1)</f>
        <v/>
      </c>
      <c r="CN298" s="84">
        <f>IF(NOT(AND($A298&lt;&gt;"",N($BJ298)&gt;0)),"",MAX($CN$5:CN297)+1)</f>
        <v/>
      </c>
      <c r="CO298" s="84">
        <f>IF($A298="","",MAX($CO$5:CO297)+1)</f>
        <v/>
      </c>
      <c r="CP298" s="84">
        <f>IF(OR($A298="",$BH298="",$BI298=""),"",$BG298&amp;"|"&amp;$O298&amp;"|"&amp;$AL298&amp;"|"&amp;$S298&amp;"|"&amp;$P298&amp;"|"&amp;$Q298&amp;$R298&amp;"|"&amp;$C298&amp;"|"&amp;$AB298)</f>
        <v/>
      </c>
      <c r="CQ298" s="84">
        <f>N($BS298)</f>
        <v/>
      </c>
      <c r="CR298" s="84">
        <f>IF(N($AU298)&gt;0,N($AU298),4.5)</f>
        <v/>
      </c>
      <c r="CS298" s="84">
        <f>OR($A298="",$BI298="",$S298="BL",AND($C298="FRAME ONLY",OR($AC298="",$AC298="BLK")))</f>
        <v/>
      </c>
      <c r="CT298" s="84">
        <f>AND(NOT($CS298),OR($AT298="CUSTOM LOC",N($AW298)+N($AX298)+N($AY298)+N($AZ298)+N($BA298)&gt;0))</f>
        <v/>
      </c>
      <c r="CU298" s="84">
        <f>IF($BI298="","",IF($BI298&lt;=80,80,IF($BI298&lt;=84,84,96)))</f>
        <v/>
      </c>
      <c r="CV298" s="84">
        <f>ISNUMBER(MATCH($AT298&amp;"|80",LocKeys,0))</f>
        <v/>
      </c>
      <c r="CW298" s="86">
        <f>IF($CS298,"",IF($CV298,VLOOKUP($AT298&amp;"|"&amp;$CU298,LocTable,4,FALSE),5))</f>
        <v/>
      </c>
      <c r="CX298" s="86">
        <f>IF($CS298,"",IF($CV298,IF(OR($BI298=$CU298,AND($BI298&lt;$CU298,$BI298-IF(N(VLOOKUP($AT298&amp;"|"&amp;$CU298,LocTable,7,FALSE))&gt;0,VLOOKUP($AT298&amp;"|"&amp;$CU298,LocTable,7,FALSE),VLOOKUP($AT298&amp;"|"&amp;$CU298,LocTable,6,FALSE))-$CR298-0.75&gt;=2.125)),IF(N(VLOOKUP($AT298&amp;"|"&amp;$CU298,LocTable,7,FALSE))&gt;0,VLOOKUP($AT298&amp;"|"&amp;$CU298,LocTable,7,FALSE),VLOOKUP($AT298&amp;"|"&amp;$CU298,LocTable,6,FALSE)),$BI298-($CU298-IF(N(VLOOKUP($AT298&amp;"|"&amp;$CU298,LocTable,7,FALSE))&gt;0,VLOOKUP($AT298&amp;"|"&amp;$CU298,LocTable,7,FALSE),VLOOKUP($AT298&amp;"|"&amp;$CU298,LocTable,6,FALSE)))),$BI298-10-$CR298))</f>
        <v/>
      </c>
      <c r="CY298" s="85">
        <f>IF($CS298,"",TRIM(IF(ISNUMBER($BU298),"A "&amp;TRIM(TEXT($BU298,"# ?/??"))&amp;CHAR(34)&amp;"  ","")&amp;IF(ISNUMBER($BV298),"B "&amp;TRIM(TEXT($BV298,"# ?/??"))&amp;CHAR(34)&amp;"  ","")&amp;IF(ISNUMBER($BW298),"C "&amp;TRIM(TEXT($BW298,"# ?/??"))&amp;CHAR(34)&amp;"  ","")&amp;IF(ISNUMBER($BX298),"D "&amp;TRIM(TEXT($BX298,"# ?/??"))&amp;CHAR(34)&amp;"  ","")&amp;IF(ISNUMBER($BY298),"F "&amp;TRIM(TEXT($BY298,"# ?/??"))&amp;CHAR(34)&amp;"  ","")&amp;IF(ISNUMBER($BZ298),"E "&amp;TRIM(TEXT($BZ298,"# ?/??"))&amp;CHAR(34)&amp;"  ","")))</f>
        <v/>
      </c>
      <c r="CZ298" s="85">
        <f>IF(OR($CS298,N($BJ298)=0),"",TRIM(IF(ISNUMBER($BU298),"A "&amp;TRIM(TEXT($BU298-HeadClr,"# ?/??"))&amp;CHAR(34)&amp;"  ","")&amp;IF(ISNUMBER($BV298),"B "&amp;TRIM(TEXT($BV298-HeadClr,"# ?/??"))&amp;CHAR(34)&amp;"  ","")&amp;IF(ISNUMBER($BW298),"C "&amp;TRIM(TEXT($BW298-HeadClr,"# ?/??"))&amp;CHAR(34)&amp;"  ","")&amp;IF(ISNUMBER($BX298),"D "&amp;TRIM(TEXT($BX298-HeadClr,"# ?/??"))&amp;CHAR(34)&amp;"  ","")&amp;IF(ISNUMBER($BY298),"F "&amp;TRIM(TEXT($BY298-HeadClr,"# ?/??"))&amp;CHAR(34)&amp;"  ","")&amp;IF(ISNUMBER($BZ298),"E "&amp;TRIM(TEXT($BZ298-HeadClr,"# ?/??"))&amp;CHAR(34)&amp;"  ","")))</f>
        <v/>
      </c>
      <c r="DA298" s="84">
        <f>IF($A298="","",IF($AN298="",IFERROR(VLOOKUP($Z298,CODES,2,FALSE),""),IFERROR(VLOOKUP($AN298,CODES,2,FALSE),"")))</f>
        <v/>
      </c>
      <c r="DB298" s="84">
        <f>IF($A298="","",IF($O298="Y","PR",IF(OR($Z298="L",$Z298="RR",LEFT($Z298,2)="L-",LEFT($Z298,3)="RR-"),"LH","RH")))</f>
        <v/>
      </c>
      <c r="DC298" s="84">
        <f>IF($A298="","","S.HM"&amp;IF(OR($C298="DOOR ONLY",$X298&lt;&gt;"KD"),"MASONRY","DRYWALL")&amp;IF($C298="DOOR ONLY","",$U298)&amp;IF(AND($C298&lt;&gt;"FRAME ONLY",OR(LEFT($AH298,3)="OAK",LEFT($AH298,3)="BIR",LEFT($AH298,3)="MAP",$AH298="PC",$AH298="MC",$AH298="SCLC",$AH298="P-LAM")),"WD","HM")&amp;"1.75")</f>
        <v/>
      </c>
      <c r="DD298" s="84">
        <f>IF($CJ298="","",IF($O298="Y",$CJ298,SUBSTITUTE($CJ298,$BG298&amp;" "&amp;IFERROR(VLOOKUP($Z298,CODES,2,FALSE),"")&amp;" ",$BG298&amp;" ")))</f>
        <v/>
      </c>
      <c r="DE298" s="84">
        <f>IF($CK298="","",IF($O298="Y",$CK298,SUBSTITUTE($CK298,$BG298&amp;" "&amp;IF($AN298="",IFERROR(VLOOKUP($Z298,CODES,2,FALSE),""),IFERROR(VLOOKUP($AN298,CODES,2,FALSE),""))&amp;" ",$BG298&amp;" ")))</f>
        <v/>
      </c>
      <c r="DF298" s="84">
        <f>IF($CJ298="","",$DC298&amp;"|"&amp;$DD298&amp;"|"&amp;$DB298&amp;"|"&amp;$AT298&amp;"|"&amp;$V298&amp;"|"&amp;$Y298&amp;"|"&amp;$AB298)</f>
        <v/>
      </c>
      <c r="DG298" s="84">
        <f>IF(DF298="","",IF(COUNTIF($DF$6:DF298,DF298)=1,MAX($DG$5:DG297)+1,INDEX($DG$5:DG297,MATCH(DF298,$DF$5:DF297,0))))</f>
        <v/>
      </c>
      <c r="DH298" s="84">
        <f>IF($CK298="","",$DC298&amp;"|"&amp;$DE298&amp;"|"&amp;$AI298&amp;"|"&amp;$BK298&amp;"|"&amp;$BL298)</f>
        <v/>
      </c>
      <c r="DI298" s="84">
        <f>IF(DH298="","",IF(COUNTIF($DH$6:DH298,DH298)=1,MAX($DI$5:DI297)+1,INDEX($DI$5:DI297,MATCH(DH298,$DH$5:DH297,0))))</f>
        <v/>
      </c>
      <c r="DJ298" s="84">
        <f>IF($A298="","",IF($B298="","qty, ","")&amp;IF($C298="","scope, ","")&amp;IF(OR($K298="",$M298=""),"size, ","")&amp;IF(AND($A298&lt;&gt;"",$C298&lt;&gt;"DOOR ONLY"),IF($U298="","jamb depth, ","")&amp;IF($X298="","construction, ","")&amp;IF($Y298="","anchor, ","")&amp;IF($S298="","frame type, ",""),"")&amp;IF(AND(N($BJ298)&gt;0,$Z298=""),"hand, ","")&amp;IF(N($BJ298)&gt;0,IF($AH298="","door material, ","")&amp;IF($AL298="","face type, ","")&amp;IF($AP298="","lock prep, ","")&amp;IF(AND($AO298="",$AC298=""),"hinge prep, ",""),"")&amp;IF(AND($CH298&gt;0,$AH298="FRP"),"FRP cannot carry a label, ","")&amp;IF(AND($O298="Y",OR($Z298="L",$Z298="R",$Z298="LR",$Z298="RR")),"pair marked but hand is single, ","")&amp;IF(AND($O298&lt;&gt;"Y",OR($Z298="PR",AND(LEN($Z298)&gt;1,ISNUMBER(SEARCH("-",$Z298))))),"pair hand on a single door, ","")&amp;IF(AND(ISNUMBER($CI298),$CH298&lt;N($CI298)),"wall needs a "&amp;$CI298&amp;" min door, ","")&amp;IF(AND($CH298&gt;=180,AND(OR($CE298="FG",$CE298="HG",$CE298="FNV",$CE298="FV"),N($CF298)*N($CG298)&gt;100)),"180 min lite over 100 sq in, ","")&amp;IF(N($BK298)&gt;48,"leaf wider than 4'-0"&amp;CHAR(34)&amp;", ","")&amp;IF(AND($CT298,COUNT($AW298:$AZ298)=0,$CQ298&gt;0),"CUSTOM LOC with no locations typed, ",""))</f>
        <v/>
      </c>
      <c r="DK298" s="84">
        <f>IF($A298="","",IF(AND($CH298&gt;0,AND($A298&lt;&gt;"",$C298&lt;&gt;"DOOR ONLY"),$X298="KD",$E298="EXTERIOR"),"KD label on an exterior opening, ","")&amp;IF(AND($E298="EXTERIOR",OR(AND(AND($A298&lt;&gt;"",$C298&lt;&gt;"DOOR ONLY"),$W298="CR"),AND(N($BJ298)&gt;0,$AH298="CR"))),"exterior in CR steel (G9?), ","")&amp;IF(AND(ISNUMBER($BQ298),N($BQ298)&lt;32),"clear width ~"&amp;TEXT($BQ298,"0.0")&amp;CHAR(34)&amp;" under 32"&amp;CHAR(34)&amp;" (ADA), ","")&amp;IF(AND($CH298=90,AND(OR($CE298="FG",$CE298="HG",$CE298="FNV",$CE298="FV"),N($CF298)*N($CG298)&gt;100)),"90 min lite over 100 sq in (stair/exit), ","")&amp;IF(AND($CH298&gt;0,AND($A298&lt;&gt;"",$C298&lt;&gt;"DOOR ONLY"),OR($AF298="",$AF298="-")),"rated: closer reinf.?, ","")&amp;IF(OR($I298="CORRIDOR",$I298="SMOKE BARRIER"),"S label + smoke gasketing, ","")&amp;IF($CI298="?","wall type/hr not in IBC table, ","")&amp;IF(AND(N($BJ298)&gt;0,$BB298=""),"no hardware set, ","")&amp;IF(AND($BB298&lt;&gt;"",ISNA(MATCH($BB298&amp;"",HWSets,0))),"set "&amp;$BB298&amp;" not on HW Sets, ","")&amp;IF(N($BL298)&gt;96,"leaf over 8'-0"&amp;CHAR(34)&amp;" - check listing, ","")&amp;IF(AND($CT298,COUNT($AW298:$AZ298)&gt;0,COUNT($AW298:$AZ298)&lt;&gt;$CQ298),COUNT($AW298:$AZ298)&amp;" custom hinges typed, "&amp;$CQ298&amp;" expected, ","")&amp;IF(AND(ISNUMBER($CA298),OR(N($CA298)&lt;34,N($CA298)&gt;48)),"lock "&amp;TEXT($CA298,"0.0")&amp;CHAR(34)&amp;" AFF outside 34-48"&amp;CHAR(34)&amp;" (ADA), ","")&amp;IF(AND(ISNUMBER($AV298),ISNUMBER($BL298),N($AV298)&lt;IF(N($BL298)&lt;=60,2,IF(N($BL298)&lt;=90,3,IF(N($BL298)&lt;=120,4,5)))),"fewer hinges than standard, ",""))</f>
        <v/>
      </c>
    </row>
    <row r="299" ht="15" customHeight="1">
      <c r="A299" s="77" t="n"/>
      <c r="B299" s="78" t="n"/>
      <c r="C299" s="78" t="n"/>
      <c r="D299" s="78" t="n"/>
      <c r="E299" s="78" t="n"/>
      <c r="F299" s="78" t="n"/>
      <c r="G299" s="78" t="n"/>
      <c r="H299" s="78" t="n"/>
      <c r="I299" s="78" t="n"/>
      <c r="J299" s="78" t="n"/>
      <c r="K299" s="78" t="n"/>
      <c r="L299" s="78" t="n"/>
      <c r="M299" s="78" t="n"/>
      <c r="N299" s="78" t="n"/>
      <c r="O299" s="78" t="n"/>
      <c r="P299" s="78" t="n"/>
      <c r="Q299" s="78" t="n"/>
      <c r="R299" s="78" t="n"/>
      <c r="S299" s="79" t="n"/>
      <c r="T299" s="79" t="n"/>
      <c r="U299" s="79" t="n"/>
      <c r="V299" s="79" t="n"/>
      <c r="W299" s="79" t="n"/>
      <c r="X299" s="79" t="n"/>
      <c r="Y299" s="79" t="n"/>
      <c r="Z299" s="79" t="n"/>
      <c r="AA299" s="79" t="n"/>
      <c r="AB299" s="79" t="n"/>
      <c r="AC299" s="79" t="n"/>
      <c r="AD299" s="79" t="n"/>
      <c r="AE299" s="79" t="n"/>
      <c r="AF299" s="79" t="n"/>
      <c r="AG299" s="79" t="n"/>
      <c r="AH299" s="80" t="n"/>
      <c r="AI299" s="80" t="n"/>
      <c r="AJ299" s="80" t="n"/>
      <c r="AK299" s="80" t="n"/>
      <c r="AL299" s="80" t="n"/>
      <c r="AM299" s="80" t="n"/>
      <c r="AN299" s="80" t="n"/>
      <c r="AO299" s="80" t="n"/>
      <c r="AP299" s="80" t="n"/>
      <c r="AQ299" s="80" t="n"/>
      <c r="AR299" s="80" t="n"/>
      <c r="AS299" s="80" t="n"/>
      <c r="AT299" s="81" t="n"/>
      <c r="AU299" s="81" t="n"/>
      <c r="AV299" s="81" t="n"/>
      <c r="AW299" s="82" t="n"/>
      <c r="AX299" s="82" t="n"/>
      <c r="AY299" s="82" t="n"/>
      <c r="AZ299" s="82" t="n"/>
      <c r="BA299" s="82" t="n"/>
      <c r="BB299" s="83" t="n"/>
      <c r="BC299" s="83" t="n"/>
      <c r="BD299" s="84">
        <f>IF($A299="","",IF($DJ299&lt;&gt;"","FIX",IF($DK299&lt;&gt;"","CHECK","OK")))</f>
        <v/>
      </c>
      <c r="BE299" s="85">
        <f>IF($A299="","",IF($DJ299&lt;&gt;"","FIX: "&amp;LEFT($DJ299,LEN($DJ299)-2)&amp;IF($DK299&lt;&gt;"","  ·  ",""),"")&amp;IF($DK299&lt;&gt;"","CHECK: "&amp;LEFT($DK299,LEN($DK299)-2),""))</f>
        <v/>
      </c>
      <c r="BF299" s="84">
        <f>IF(OR($A299="",$K299=""),"",$K299&amp;"'-"&amp;N($L299)&amp;CHAR(34)&amp;" x "&amp;$M299&amp;"'-"&amp;N($N299)&amp;CHAR(34))</f>
        <v/>
      </c>
      <c r="BG299" s="84">
        <f>IF(OR($A299="",$K299=""),"",$K299&amp;N($L299)&amp;$M299&amp;N($N299))</f>
        <v/>
      </c>
      <c r="BH299" s="84">
        <f>IF(OR($A299="",$K299=""),"",$K299*12+N($L299))</f>
        <v/>
      </c>
      <c r="BI299" s="84">
        <f>IF(OR($A299="",$M299=""),"",$M299*12+N($N299))</f>
        <v/>
      </c>
      <c r="BJ299" s="84">
        <f>IF($A299="","",IF(OR($C299="FRAME ONLY",$S299="BL"),0,IF($O299="Y",2,1)))</f>
        <v/>
      </c>
      <c r="BK299" s="86">
        <f>IF(OR(N($BJ299)=0,$BH299=""),"",($BH299-2*EdgeClr-IF($BJ299=2,MeetClr,0))/$BJ299)</f>
        <v/>
      </c>
      <c r="BL299" s="86">
        <f>IF(OR(N($BJ299)=0,$BI299=""),"",$BI299-HeadClr-Undercut)</f>
        <v/>
      </c>
      <c r="BM299" s="86">
        <f>IF($BH299="","",$BH299+2*FaceW+IF(N($Q299)&gt;0,($Q299+FaceW)*IF($R299="LR",2,1),0))</f>
        <v/>
      </c>
      <c r="BN299" s="86">
        <f>IF($BI299="","",$BI299+IF($AB299="Y",4,FaceW)+IF(N($P299)&gt;0,$P299+FaceW,0)+IF(OR($S299="4F",$S299="BL"),FaceW,0))</f>
        <v/>
      </c>
      <c r="BO299" s="86">
        <f>IF($BM299="","",$BM299+2*ROSide)</f>
        <v/>
      </c>
      <c r="BP299" s="86">
        <f>IF($BN299="","",$BN299+ROTop)</f>
        <v/>
      </c>
      <c r="BQ299" s="87">
        <f>IF(OR(N($BJ299)=0,$BH299=""),"",$BH299/$BJ299-ClearDeduct)</f>
        <v/>
      </c>
      <c r="BR299" s="84">
        <f>IF(N($CH299)=0,"",IF($CH299&gt;=180,"A · 3 HR",IF($CH299&gt;=90,"B · 1-1/2 HR",IF($CH299&gt;=60,"B · 1 HR",IF($CH299&gt;=45,"C · 3/4 HR","20 MIN")))))&amp;IF(AND(N($CH299)&gt;0,OR($I299="CORRIDOR",$I299="SMOKE BARRIER"))," · S","")</f>
        <v/>
      </c>
      <c r="BS299" s="84">
        <f>IF($CS299,"",IF($AV299&lt;&gt;"",$AV299,IF(OR($AC299="HGC",$AO299="HGC"),"CONT",IF(($BI299-HeadClr-Undercut)&lt;=60,2,IF(($BI299-HeadClr-Undercut)&lt;=90,3,IF(($BI299-HeadClr-Undercut)&lt;=120,4,5))))))</f>
        <v/>
      </c>
      <c r="BT299" s="84">
        <f>IF($CS299,"",IF($CT299,"CUSTOM (typed)",IF($CV299,$AT299&amp;" "&amp;$CU299&amp;CHAR(34)&amp;IF($CU299&lt;&gt;$BI299,IF(AND($BI299&lt;$CU299,$BI299-IF(N(VLOOKUP($AT299&amp;"|"&amp;$CU299,LocTable,7,FALSE))&gt;0,VLOOKUP($AT299&amp;"|"&amp;$CU299,LocTable,7,FALSE),VLOOKUP($AT299&amp;"|"&amp;$CU299,LocTable,6,FALSE))-$CR299-0.75&gt;=2.125)," cut down"," adj."),""),"ANSI/SDI A250.6")))</f>
        <v/>
      </c>
      <c r="BU299" s="88">
        <f>IF($CS299,"",IF($CT299,IF(N($AW299)&gt;0,N($AW299),""),IF(1&gt;$CQ299,"",IF($CQ299=1,$CW299,$CW299+($CX299-$CW299)*0/($CQ299-1)))))</f>
        <v/>
      </c>
      <c r="BV299" s="88">
        <f>IF($CS299,"",IF($CT299,IF(N($AX299)&gt;0,N($AX299),""),IF(2&gt;$CQ299,"",IF($CQ299=1,$CW299,$CW299+($CX299-$CW299)*1/($CQ299-1)))))</f>
        <v/>
      </c>
      <c r="BW299" s="88">
        <f>IF($CS299,"",IF($CT299,IF(N($AY299)&gt;0,N($AY299),""),IF(3&gt;$CQ299,"",IF($CQ299=1,$CW299,$CW299+($CX299-$CW299)*2/($CQ299-1)))))</f>
        <v/>
      </c>
      <c r="BX299" s="88">
        <f>IF($CS299,"",IF($CT299,IF(N($AZ299)&gt;0,N($AZ299),""),IF(4&gt;$CQ299,"",IF($CQ299=1,$CW299,$CW299+($CX299-$CW299)*3/($CQ299-1)))))</f>
        <v/>
      </c>
      <c r="BY299" s="88">
        <f>IF($CS299,"",IF($CT299,"",IF(5&gt;$CQ299,"",IF($CQ299=1,$CW299,$CW299+($CX299-$CW299)*4/($CQ299-1)))))</f>
        <v/>
      </c>
      <c r="BZ299" s="88">
        <f>IF(OR($CS299,$AP299="-",AND($AP299="",$AD299="")),"",IF(N($BA299)&gt;0,N($BA299),IF($CV299,IF(AND($BI299&lt;$CU299,$BI299-IF(N(VLOOKUP($AT299&amp;"|"&amp;$CU299,LocTable,7,FALSE))&gt;0,VLOOKUP($AT299&amp;"|"&amp;$CU299,LocTable,7,FALSE),VLOOKUP($AT299&amp;"|"&amp;$CU299,LocTable,6,FALSE))-$CR299-0.75&gt;=2.125),VLOOKUP($AT299&amp;"|"&amp;$CU299,LocTable,8,FALSE),VLOOKUP($AT299&amp;"|"&amp;$CU299,LocTable,8,FALSE)+($BI299-$CU299)),$BI299-LockAFF)))</f>
        <v/>
      </c>
      <c r="CA299" s="89">
        <f>IF($BZ299="","",$BI299-$BZ299)</f>
        <v/>
      </c>
      <c r="CB299" s="84">
        <f>IF(OR(NOT(AND($A299&lt;&gt;"",$C299&lt;&gt;"DOOR ONLY")),$BI299=""),"",IF(($BI299+IF(N($P299)&gt;0,$P299+FaceW,0))&lt;=90,3,IF(($BI299+IF(N($P299)&gt;0,$P299+FaceW,0))&lt;=114,4,5)))</f>
        <v/>
      </c>
      <c r="CC299" s="84">
        <f>IF($CB299="","",$CB299*(2+IF(N($Q299)&gt;0,IF($R299="LR",2,1),0)))</f>
        <v/>
      </c>
      <c r="CD299" s="84">
        <f>IF($CB299="","",(2+IF(N($Q299)&gt;0,IF($R299="LR",2,1),0)))</f>
        <v/>
      </c>
      <c r="CE299" s="84">
        <f>IF(N($BJ299)=0,"",IF(OR($AL299="",$AL299="FLUSH"),"FLUSH",IFERROR(LEFT($AL299,FIND("-",$AL299)-1),LEFT($AL299,2))))</f>
        <v/>
      </c>
      <c r="CF299" s="84">
        <f>IF($CE299="","",IFERROR(VALUE(MID($AL299,FIND("-",$AL299)+1,FIND(CHAR(34)&amp;"x",$AL299)-FIND("-",$AL299)-1)),0))</f>
        <v/>
      </c>
      <c r="CG299" s="84">
        <f>IF($CE299="","",IFERROR(VALUE(MID($AL299,FIND(CHAR(34)&amp;"x",$AL299)+2,FIND(CHAR(34),$AL299,FIND(CHAR(34)&amp;"x",$AL299)+2)-FIND(CHAR(34)&amp;"x",$AL299)-2)),0))</f>
        <v/>
      </c>
      <c r="CH299" s="90">
        <f>IF(OR($A299="",$H299="",$H299="NO LAB"),0,IFERROR(VALUE(LEFT($H299,FIND(" ",$H299)-1)),0))</f>
        <v/>
      </c>
      <c r="CI299" s="91">
        <f>IF(OR($A299="",$I299="",$I299="NON-RATED",N($J299)=0),"",IFERROR(VLOOKUP($I299&amp;"|"&amp;$J299,IBC,2,FALSE),"?"))</f>
        <v/>
      </c>
      <c r="CJ299" s="85">
        <f>IF(NOT(AND($A299&lt;&gt;"",$C299&lt;&gt;"DOOR ONLY")),"",TRIM(IFERROR(VLOOKUP($U299,CODES,2,FALSE),"")&amp;" "&amp;$BG299&amp;" "&amp;IFERROR(VLOOKUP($Z299,CODES,2,FALSE),"")&amp;" "&amp;IFERROR(VLOOKUP($X299,CODES,2,FALSE),"")&amp;" "&amp;IFERROR(VLOOKUP($S299,CODES,2,FALSE),"")&amp;IF(N($P299)&gt;0," w/TRANSOM "&amp;$P299&amp;CHAR(34),"")&amp;IF(N($Q299)&gt;0," w/SIDELITE "&amp;$Q299&amp;CHAR(34)&amp;" "&amp;IF($R299="","R",$R299),"")&amp;IF($Y299="","  |  "," | "&amp;IFERROR(VLOOKUP($Y299,CODES,2,FALSE),"")&amp;" | ")&amp;IFERROR(VLOOKUP($AC299,CODES,2,FALSE),"")&amp;" "&amp;IFERROR(VLOOKUP($AD299,CODES,2,FALSE),"")&amp;IF(OR($AE299="",$AE299="-"),""," "&amp;$AE299)&amp;IF(OR($AF299="",$AF299="-"),""," "&amp;$AF299)&amp;IF($AB299="Y"," 4"&amp;CHAR(34)&amp;" HEAD","")&amp;" "&amp;IFERROR(VLOOKUP($H299,CODES,2,FALSE),"")&amp;IF($CT299," | LOC "&amp;$CY299,"")))</f>
        <v/>
      </c>
      <c r="CK299" s="85">
        <f>IF(NOT(AND($A299&lt;&gt;"",N($BJ299)&gt;0)),"",TRIM(IFERROR(VLOOKUP($AH299,CODES,2,FALSE),"")&amp;IF($AI299=""," "," "&amp;$AI299&amp;"GA ")&amp;$BG299&amp;" "&amp;IF($AN299="",IFERROR(VLOOKUP($Z299,CODES,2,FALSE),""),IFERROR(VLOOKUP($AN299,CODES,2,FALSE),""))&amp;IF($BJ299=2," PAIR","")&amp;" DOOR | "&amp;IF($AL299="","?",$AL299)&amp;" | "&amp;IF($AO299="",IFERROR(VLOOKUP($AC299,CODES,2,FALSE),""),IFERROR(VLOOKUP($AO299,CODES,2,FALSE),""))&amp;" "&amp;IFERROR(VLOOKUP($AP299,CODES,2,FALSE),"")&amp;IF(OR($AQ299="",$AQ299="-"),""," SEAM "&amp;$AQ299)&amp;IF($AR299="Y"," ASTRAGAL","")&amp;IF($AJ299=""," "," "&amp;$AJ299)&amp;IF($AK299=""," "," "&amp;$AK299)&amp;IF(OR($AT299="",$AT299="ANSI/SDI",$AT299="CUSTOM LOC"),""," "&amp;$AT299)&amp;IF($AM299=""," "," SERIES "&amp;$AM299)&amp;" "&amp;IFERROR(VLOOKUP($H299,CODES,2,FALSE),"")&amp;IF($CT299," | LOC "&amp;$CZ299,"")))</f>
        <v/>
      </c>
      <c r="CL299" s="84">
        <f>IF(CP299="","",IF(COUNTIF($CP$6:CP299,CP299)=1,MAX($CL$5:CL298)+1,INDEX($CL$5:CL298,MATCH(CP299,$CP$5:CP298,0))))</f>
        <v/>
      </c>
      <c r="CM299" s="84">
        <f>IF(NOT(AND($A299&lt;&gt;"",$C299&lt;&gt;"DOOR ONLY")),"",MAX($CM$5:CM298)+1)</f>
        <v/>
      </c>
      <c r="CN299" s="84">
        <f>IF(NOT(AND($A299&lt;&gt;"",N($BJ299)&gt;0)),"",MAX($CN$5:CN298)+1)</f>
        <v/>
      </c>
      <c r="CO299" s="84">
        <f>IF($A299="","",MAX($CO$5:CO298)+1)</f>
        <v/>
      </c>
      <c r="CP299" s="84">
        <f>IF(OR($A299="",$BH299="",$BI299=""),"",$BG299&amp;"|"&amp;$O299&amp;"|"&amp;$AL299&amp;"|"&amp;$S299&amp;"|"&amp;$P299&amp;"|"&amp;$Q299&amp;$R299&amp;"|"&amp;$C299&amp;"|"&amp;$AB299)</f>
        <v/>
      </c>
      <c r="CQ299" s="84">
        <f>N($BS299)</f>
        <v/>
      </c>
      <c r="CR299" s="84">
        <f>IF(N($AU299)&gt;0,N($AU299),4.5)</f>
        <v/>
      </c>
      <c r="CS299" s="84">
        <f>OR($A299="",$BI299="",$S299="BL",AND($C299="FRAME ONLY",OR($AC299="",$AC299="BLK")))</f>
        <v/>
      </c>
      <c r="CT299" s="84">
        <f>AND(NOT($CS299),OR($AT299="CUSTOM LOC",N($AW299)+N($AX299)+N($AY299)+N($AZ299)+N($BA299)&gt;0))</f>
        <v/>
      </c>
      <c r="CU299" s="84">
        <f>IF($BI299="","",IF($BI299&lt;=80,80,IF($BI299&lt;=84,84,96)))</f>
        <v/>
      </c>
      <c r="CV299" s="84">
        <f>ISNUMBER(MATCH($AT299&amp;"|80",LocKeys,0))</f>
        <v/>
      </c>
      <c r="CW299" s="86">
        <f>IF($CS299,"",IF($CV299,VLOOKUP($AT299&amp;"|"&amp;$CU299,LocTable,4,FALSE),5))</f>
        <v/>
      </c>
      <c r="CX299" s="86">
        <f>IF($CS299,"",IF($CV299,IF(OR($BI299=$CU299,AND($BI299&lt;$CU299,$BI299-IF(N(VLOOKUP($AT299&amp;"|"&amp;$CU299,LocTable,7,FALSE))&gt;0,VLOOKUP($AT299&amp;"|"&amp;$CU299,LocTable,7,FALSE),VLOOKUP($AT299&amp;"|"&amp;$CU299,LocTable,6,FALSE))-$CR299-0.75&gt;=2.125)),IF(N(VLOOKUP($AT299&amp;"|"&amp;$CU299,LocTable,7,FALSE))&gt;0,VLOOKUP($AT299&amp;"|"&amp;$CU299,LocTable,7,FALSE),VLOOKUP($AT299&amp;"|"&amp;$CU299,LocTable,6,FALSE)),$BI299-($CU299-IF(N(VLOOKUP($AT299&amp;"|"&amp;$CU299,LocTable,7,FALSE))&gt;0,VLOOKUP($AT299&amp;"|"&amp;$CU299,LocTable,7,FALSE),VLOOKUP($AT299&amp;"|"&amp;$CU299,LocTable,6,FALSE)))),$BI299-10-$CR299))</f>
        <v/>
      </c>
      <c r="CY299" s="85">
        <f>IF($CS299,"",TRIM(IF(ISNUMBER($BU299),"A "&amp;TRIM(TEXT($BU299,"# ?/??"))&amp;CHAR(34)&amp;"  ","")&amp;IF(ISNUMBER($BV299),"B "&amp;TRIM(TEXT($BV299,"# ?/??"))&amp;CHAR(34)&amp;"  ","")&amp;IF(ISNUMBER($BW299),"C "&amp;TRIM(TEXT($BW299,"# ?/??"))&amp;CHAR(34)&amp;"  ","")&amp;IF(ISNUMBER($BX299),"D "&amp;TRIM(TEXT($BX299,"# ?/??"))&amp;CHAR(34)&amp;"  ","")&amp;IF(ISNUMBER($BY299),"F "&amp;TRIM(TEXT($BY299,"# ?/??"))&amp;CHAR(34)&amp;"  ","")&amp;IF(ISNUMBER($BZ299),"E "&amp;TRIM(TEXT($BZ299,"# ?/??"))&amp;CHAR(34)&amp;"  ","")))</f>
        <v/>
      </c>
      <c r="CZ299" s="85">
        <f>IF(OR($CS299,N($BJ299)=0),"",TRIM(IF(ISNUMBER($BU299),"A "&amp;TRIM(TEXT($BU299-HeadClr,"# ?/??"))&amp;CHAR(34)&amp;"  ","")&amp;IF(ISNUMBER($BV299),"B "&amp;TRIM(TEXT($BV299-HeadClr,"# ?/??"))&amp;CHAR(34)&amp;"  ","")&amp;IF(ISNUMBER($BW299),"C "&amp;TRIM(TEXT($BW299-HeadClr,"# ?/??"))&amp;CHAR(34)&amp;"  ","")&amp;IF(ISNUMBER($BX299),"D "&amp;TRIM(TEXT($BX299-HeadClr,"# ?/??"))&amp;CHAR(34)&amp;"  ","")&amp;IF(ISNUMBER($BY299),"F "&amp;TRIM(TEXT($BY299-HeadClr,"# ?/??"))&amp;CHAR(34)&amp;"  ","")&amp;IF(ISNUMBER($BZ299),"E "&amp;TRIM(TEXT($BZ299-HeadClr,"# ?/??"))&amp;CHAR(34)&amp;"  ","")))</f>
        <v/>
      </c>
      <c r="DA299" s="84">
        <f>IF($A299="","",IF($AN299="",IFERROR(VLOOKUP($Z299,CODES,2,FALSE),""),IFERROR(VLOOKUP($AN299,CODES,2,FALSE),"")))</f>
        <v/>
      </c>
      <c r="DB299" s="84">
        <f>IF($A299="","",IF($O299="Y","PR",IF(OR($Z299="L",$Z299="RR",LEFT($Z299,2)="L-",LEFT($Z299,3)="RR-"),"LH","RH")))</f>
        <v/>
      </c>
      <c r="DC299" s="84">
        <f>IF($A299="","","S.HM"&amp;IF(OR($C299="DOOR ONLY",$X299&lt;&gt;"KD"),"MASONRY","DRYWALL")&amp;IF($C299="DOOR ONLY","",$U299)&amp;IF(AND($C299&lt;&gt;"FRAME ONLY",OR(LEFT($AH299,3)="OAK",LEFT($AH299,3)="BIR",LEFT($AH299,3)="MAP",$AH299="PC",$AH299="MC",$AH299="SCLC",$AH299="P-LAM")),"WD","HM")&amp;"1.75")</f>
        <v/>
      </c>
      <c r="DD299" s="84">
        <f>IF($CJ299="","",IF($O299="Y",$CJ299,SUBSTITUTE($CJ299,$BG299&amp;" "&amp;IFERROR(VLOOKUP($Z299,CODES,2,FALSE),"")&amp;" ",$BG299&amp;" ")))</f>
        <v/>
      </c>
      <c r="DE299" s="84">
        <f>IF($CK299="","",IF($O299="Y",$CK299,SUBSTITUTE($CK299,$BG299&amp;" "&amp;IF($AN299="",IFERROR(VLOOKUP($Z299,CODES,2,FALSE),""),IFERROR(VLOOKUP($AN299,CODES,2,FALSE),""))&amp;" ",$BG299&amp;" ")))</f>
        <v/>
      </c>
      <c r="DF299" s="84">
        <f>IF($CJ299="","",$DC299&amp;"|"&amp;$DD299&amp;"|"&amp;$DB299&amp;"|"&amp;$AT299&amp;"|"&amp;$V299&amp;"|"&amp;$Y299&amp;"|"&amp;$AB299)</f>
        <v/>
      </c>
      <c r="DG299" s="84">
        <f>IF(DF299="","",IF(COUNTIF($DF$6:DF299,DF299)=1,MAX($DG$5:DG298)+1,INDEX($DG$5:DG298,MATCH(DF299,$DF$5:DF298,0))))</f>
        <v/>
      </c>
      <c r="DH299" s="84">
        <f>IF($CK299="","",$DC299&amp;"|"&amp;$DE299&amp;"|"&amp;$AI299&amp;"|"&amp;$BK299&amp;"|"&amp;$BL299)</f>
        <v/>
      </c>
      <c r="DI299" s="84">
        <f>IF(DH299="","",IF(COUNTIF($DH$6:DH299,DH299)=1,MAX($DI$5:DI298)+1,INDEX($DI$5:DI298,MATCH(DH299,$DH$5:DH298,0))))</f>
        <v/>
      </c>
      <c r="DJ299" s="84">
        <f>IF($A299="","",IF($B299="","qty, ","")&amp;IF($C299="","scope, ","")&amp;IF(OR($K299="",$M299=""),"size, ","")&amp;IF(AND($A299&lt;&gt;"",$C299&lt;&gt;"DOOR ONLY"),IF($U299="","jamb depth, ","")&amp;IF($X299="","construction, ","")&amp;IF($Y299="","anchor, ","")&amp;IF($S299="","frame type, ",""),"")&amp;IF(AND(N($BJ299)&gt;0,$Z299=""),"hand, ","")&amp;IF(N($BJ299)&gt;0,IF($AH299="","door material, ","")&amp;IF($AL299="","face type, ","")&amp;IF($AP299="","lock prep, ","")&amp;IF(AND($AO299="",$AC299=""),"hinge prep, ",""),"")&amp;IF(AND($CH299&gt;0,$AH299="FRP"),"FRP cannot carry a label, ","")&amp;IF(AND($O299="Y",OR($Z299="L",$Z299="R",$Z299="LR",$Z299="RR")),"pair marked but hand is single, ","")&amp;IF(AND($O299&lt;&gt;"Y",OR($Z299="PR",AND(LEN($Z299)&gt;1,ISNUMBER(SEARCH("-",$Z299))))),"pair hand on a single door, ","")&amp;IF(AND(ISNUMBER($CI299),$CH299&lt;N($CI299)),"wall needs a "&amp;$CI299&amp;" min door, ","")&amp;IF(AND($CH299&gt;=180,AND(OR($CE299="FG",$CE299="HG",$CE299="FNV",$CE299="FV"),N($CF299)*N($CG299)&gt;100)),"180 min lite over 100 sq in, ","")&amp;IF(N($BK299)&gt;48,"leaf wider than 4'-0"&amp;CHAR(34)&amp;", ","")&amp;IF(AND($CT299,COUNT($AW299:$AZ299)=0,$CQ299&gt;0),"CUSTOM LOC with no locations typed, ",""))</f>
        <v/>
      </c>
      <c r="DK299" s="84">
        <f>IF($A299="","",IF(AND($CH299&gt;0,AND($A299&lt;&gt;"",$C299&lt;&gt;"DOOR ONLY"),$X299="KD",$E299="EXTERIOR"),"KD label on an exterior opening, ","")&amp;IF(AND($E299="EXTERIOR",OR(AND(AND($A299&lt;&gt;"",$C299&lt;&gt;"DOOR ONLY"),$W299="CR"),AND(N($BJ299)&gt;0,$AH299="CR"))),"exterior in CR steel (G9?), ","")&amp;IF(AND(ISNUMBER($BQ299),N($BQ299)&lt;32),"clear width ~"&amp;TEXT($BQ299,"0.0")&amp;CHAR(34)&amp;" under 32"&amp;CHAR(34)&amp;" (ADA), ","")&amp;IF(AND($CH299=90,AND(OR($CE299="FG",$CE299="HG",$CE299="FNV",$CE299="FV"),N($CF299)*N($CG299)&gt;100)),"90 min lite over 100 sq in (stair/exit), ","")&amp;IF(AND($CH299&gt;0,AND($A299&lt;&gt;"",$C299&lt;&gt;"DOOR ONLY"),OR($AF299="",$AF299="-")),"rated: closer reinf.?, ","")&amp;IF(OR($I299="CORRIDOR",$I299="SMOKE BARRIER"),"S label + smoke gasketing, ","")&amp;IF($CI299="?","wall type/hr not in IBC table, ","")&amp;IF(AND(N($BJ299)&gt;0,$BB299=""),"no hardware set, ","")&amp;IF(AND($BB299&lt;&gt;"",ISNA(MATCH($BB299&amp;"",HWSets,0))),"set "&amp;$BB299&amp;" not on HW Sets, ","")&amp;IF(N($BL299)&gt;96,"leaf over 8'-0"&amp;CHAR(34)&amp;" - check listing, ","")&amp;IF(AND($CT299,COUNT($AW299:$AZ299)&gt;0,COUNT($AW299:$AZ299)&lt;&gt;$CQ299),COUNT($AW299:$AZ299)&amp;" custom hinges typed, "&amp;$CQ299&amp;" expected, ","")&amp;IF(AND(ISNUMBER($CA299),OR(N($CA299)&lt;34,N($CA299)&gt;48)),"lock "&amp;TEXT($CA299,"0.0")&amp;CHAR(34)&amp;" AFF outside 34-48"&amp;CHAR(34)&amp;" (ADA), ","")&amp;IF(AND(ISNUMBER($AV299),ISNUMBER($BL299),N($AV299)&lt;IF(N($BL299)&lt;=60,2,IF(N($BL299)&lt;=90,3,IF(N($BL299)&lt;=120,4,5)))),"fewer hinges than standard, ",""))</f>
        <v/>
      </c>
    </row>
    <row r="300" ht="15" customHeight="1">
      <c r="A300" s="92" t="n"/>
      <c r="B300" s="93" t="n"/>
      <c r="C300" s="93" t="n"/>
      <c r="D300" s="93" t="n"/>
      <c r="E300" s="93" t="n"/>
      <c r="F300" s="93" t="n"/>
      <c r="G300" s="93" t="n"/>
      <c r="H300" s="93" t="n"/>
      <c r="I300" s="93" t="n"/>
      <c r="J300" s="93" t="n"/>
      <c r="K300" s="93" t="n"/>
      <c r="L300" s="93" t="n"/>
      <c r="M300" s="93" t="n"/>
      <c r="N300" s="93" t="n"/>
      <c r="O300" s="93" t="n"/>
      <c r="P300" s="93" t="n"/>
      <c r="Q300" s="93" t="n"/>
      <c r="R300" s="93" t="n"/>
      <c r="S300" s="94" t="n"/>
      <c r="T300" s="94" t="n"/>
      <c r="U300" s="94" t="n"/>
      <c r="V300" s="94" t="n"/>
      <c r="W300" s="94" t="n"/>
      <c r="X300" s="94" t="n"/>
      <c r="Y300" s="94" t="n"/>
      <c r="Z300" s="94" t="n"/>
      <c r="AA300" s="94" t="n"/>
      <c r="AB300" s="94" t="n"/>
      <c r="AC300" s="94" t="n"/>
      <c r="AD300" s="94" t="n"/>
      <c r="AE300" s="94" t="n"/>
      <c r="AF300" s="94" t="n"/>
      <c r="AG300" s="94" t="n"/>
      <c r="AH300" s="95" t="n"/>
      <c r="AI300" s="95" t="n"/>
      <c r="AJ300" s="95" t="n"/>
      <c r="AK300" s="95" t="n"/>
      <c r="AL300" s="95" t="n"/>
      <c r="AM300" s="95" t="n"/>
      <c r="AN300" s="95" t="n"/>
      <c r="AO300" s="95" t="n"/>
      <c r="AP300" s="95" t="n"/>
      <c r="AQ300" s="95" t="n"/>
      <c r="AR300" s="95" t="n"/>
      <c r="AS300" s="95" t="n"/>
      <c r="AT300" s="96" t="n"/>
      <c r="AU300" s="96" t="n"/>
      <c r="AV300" s="96" t="n"/>
      <c r="AW300" s="97" t="n"/>
      <c r="AX300" s="97" t="n"/>
      <c r="AY300" s="97" t="n"/>
      <c r="AZ300" s="97" t="n"/>
      <c r="BA300" s="97" t="n"/>
      <c r="BB300" s="98" t="n"/>
      <c r="BC300" s="98" t="n"/>
      <c r="BD300" s="99">
        <f>IF($A300="","",IF($DJ300&lt;&gt;"","FIX",IF($DK300&lt;&gt;"","CHECK","OK")))</f>
        <v/>
      </c>
      <c r="BE300" s="100">
        <f>IF($A300="","",IF($DJ300&lt;&gt;"","FIX: "&amp;LEFT($DJ300,LEN($DJ300)-2)&amp;IF($DK300&lt;&gt;"","  ·  ",""),"")&amp;IF($DK300&lt;&gt;"","CHECK: "&amp;LEFT($DK300,LEN($DK300)-2),""))</f>
        <v/>
      </c>
      <c r="BF300" s="99">
        <f>IF(OR($A300="",$K300=""),"",$K300&amp;"'-"&amp;N($L300)&amp;CHAR(34)&amp;" x "&amp;$M300&amp;"'-"&amp;N($N300)&amp;CHAR(34))</f>
        <v/>
      </c>
      <c r="BG300" s="99">
        <f>IF(OR($A300="",$K300=""),"",$K300&amp;N($L300)&amp;$M300&amp;N($N300))</f>
        <v/>
      </c>
      <c r="BH300" s="99">
        <f>IF(OR($A300="",$K300=""),"",$K300*12+N($L300))</f>
        <v/>
      </c>
      <c r="BI300" s="99">
        <f>IF(OR($A300="",$M300=""),"",$M300*12+N($N300))</f>
        <v/>
      </c>
      <c r="BJ300" s="99">
        <f>IF($A300="","",IF(OR($C300="FRAME ONLY",$S300="BL"),0,IF($O300="Y",2,1)))</f>
        <v/>
      </c>
      <c r="BK300" s="101">
        <f>IF(OR(N($BJ300)=0,$BH300=""),"",($BH300-2*EdgeClr-IF($BJ300=2,MeetClr,0))/$BJ300)</f>
        <v/>
      </c>
      <c r="BL300" s="101">
        <f>IF(OR(N($BJ300)=0,$BI300=""),"",$BI300-HeadClr-Undercut)</f>
        <v/>
      </c>
      <c r="BM300" s="101">
        <f>IF($BH300="","",$BH300+2*FaceW+IF(N($Q300)&gt;0,($Q300+FaceW)*IF($R300="LR",2,1),0))</f>
        <v/>
      </c>
      <c r="BN300" s="101">
        <f>IF($BI300="","",$BI300+IF($AB300="Y",4,FaceW)+IF(N($P300)&gt;0,$P300+FaceW,0)+IF(OR($S300="4F",$S300="BL"),FaceW,0))</f>
        <v/>
      </c>
      <c r="BO300" s="101">
        <f>IF($BM300="","",$BM300+2*ROSide)</f>
        <v/>
      </c>
      <c r="BP300" s="101">
        <f>IF($BN300="","",$BN300+ROTop)</f>
        <v/>
      </c>
      <c r="BQ300" s="102">
        <f>IF(OR(N($BJ300)=0,$BH300=""),"",$BH300/$BJ300-ClearDeduct)</f>
        <v/>
      </c>
      <c r="BR300" s="99">
        <f>IF(N($CH300)=0,"",IF($CH300&gt;=180,"A · 3 HR",IF($CH300&gt;=90,"B · 1-1/2 HR",IF($CH300&gt;=60,"B · 1 HR",IF($CH300&gt;=45,"C · 3/4 HR","20 MIN")))))&amp;IF(AND(N($CH300)&gt;0,OR($I300="CORRIDOR",$I300="SMOKE BARRIER"))," · S","")</f>
        <v/>
      </c>
      <c r="BS300" s="99">
        <f>IF($CS300,"",IF($AV300&lt;&gt;"",$AV300,IF(OR($AC300="HGC",$AO300="HGC"),"CONT",IF(($BI300-HeadClr-Undercut)&lt;=60,2,IF(($BI300-HeadClr-Undercut)&lt;=90,3,IF(($BI300-HeadClr-Undercut)&lt;=120,4,5))))))</f>
        <v/>
      </c>
      <c r="BT300" s="99">
        <f>IF($CS300,"",IF($CT300,"CUSTOM (typed)",IF($CV300,$AT300&amp;" "&amp;$CU300&amp;CHAR(34)&amp;IF($CU300&lt;&gt;$BI300,IF(AND($BI300&lt;$CU300,$BI300-IF(N(VLOOKUP($AT300&amp;"|"&amp;$CU300,LocTable,7,FALSE))&gt;0,VLOOKUP($AT300&amp;"|"&amp;$CU300,LocTable,7,FALSE),VLOOKUP($AT300&amp;"|"&amp;$CU300,LocTable,6,FALSE))-$CR300-0.75&gt;=2.125)," cut down"," adj."),""),"ANSI/SDI A250.6")))</f>
        <v/>
      </c>
      <c r="BU300" s="103">
        <f>IF($CS300,"",IF($CT300,IF(N($AW300)&gt;0,N($AW300),""),IF(1&gt;$CQ300,"",IF($CQ300=1,$CW300,$CW300+($CX300-$CW300)*0/($CQ300-1)))))</f>
        <v/>
      </c>
      <c r="BV300" s="103">
        <f>IF($CS300,"",IF($CT300,IF(N($AX300)&gt;0,N($AX300),""),IF(2&gt;$CQ300,"",IF($CQ300=1,$CW300,$CW300+($CX300-$CW300)*1/($CQ300-1)))))</f>
        <v/>
      </c>
      <c r="BW300" s="103">
        <f>IF($CS300,"",IF($CT300,IF(N($AY300)&gt;0,N($AY300),""),IF(3&gt;$CQ300,"",IF($CQ300=1,$CW300,$CW300+($CX300-$CW300)*2/($CQ300-1)))))</f>
        <v/>
      </c>
      <c r="BX300" s="103">
        <f>IF($CS300,"",IF($CT300,IF(N($AZ300)&gt;0,N($AZ300),""),IF(4&gt;$CQ300,"",IF($CQ300=1,$CW300,$CW300+($CX300-$CW300)*3/($CQ300-1)))))</f>
        <v/>
      </c>
      <c r="BY300" s="103">
        <f>IF($CS300,"",IF($CT300,"",IF(5&gt;$CQ300,"",IF($CQ300=1,$CW300,$CW300+($CX300-$CW300)*4/($CQ300-1)))))</f>
        <v/>
      </c>
      <c r="BZ300" s="103">
        <f>IF(OR($CS300,$AP300="-",AND($AP300="",$AD300="")),"",IF(N($BA300)&gt;0,N($BA300),IF($CV300,IF(AND($BI300&lt;$CU300,$BI300-IF(N(VLOOKUP($AT300&amp;"|"&amp;$CU300,LocTable,7,FALSE))&gt;0,VLOOKUP($AT300&amp;"|"&amp;$CU300,LocTable,7,FALSE),VLOOKUP($AT300&amp;"|"&amp;$CU300,LocTable,6,FALSE))-$CR300-0.75&gt;=2.125),VLOOKUP($AT300&amp;"|"&amp;$CU300,LocTable,8,FALSE),VLOOKUP($AT300&amp;"|"&amp;$CU300,LocTable,8,FALSE)+($BI300-$CU300)),$BI300-LockAFF)))</f>
        <v/>
      </c>
      <c r="CA300" s="104">
        <f>IF($BZ300="","",$BI300-$BZ300)</f>
        <v/>
      </c>
      <c r="CB300" s="99">
        <f>IF(OR(NOT(AND($A300&lt;&gt;"",$C300&lt;&gt;"DOOR ONLY")),$BI300=""),"",IF(($BI300+IF(N($P300)&gt;0,$P300+FaceW,0))&lt;=90,3,IF(($BI300+IF(N($P300)&gt;0,$P300+FaceW,0))&lt;=114,4,5)))</f>
        <v/>
      </c>
      <c r="CC300" s="99">
        <f>IF($CB300="","",$CB300*(2+IF(N($Q300)&gt;0,IF($R300="LR",2,1),0)))</f>
        <v/>
      </c>
      <c r="CD300" s="99">
        <f>IF($CB300="","",(2+IF(N($Q300)&gt;0,IF($R300="LR",2,1),0)))</f>
        <v/>
      </c>
      <c r="CE300" s="99">
        <f>IF(N($BJ300)=0,"",IF(OR($AL300="",$AL300="FLUSH"),"FLUSH",IFERROR(LEFT($AL300,FIND("-",$AL300)-1),LEFT($AL300,2))))</f>
        <v/>
      </c>
      <c r="CF300" s="99">
        <f>IF($CE300="","",IFERROR(VALUE(MID($AL300,FIND("-",$AL300)+1,FIND(CHAR(34)&amp;"x",$AL300)-FIND("-",$AL300)-1)),0))</f>
        <v/>
      </c>
      <c r="CG300" s="99">
        <f>IF($CE300="","",IFERROR(VALUE(MID($AL300,FIND(CHAR(34)&amp;"x",$AL300)+2,FIND(CHAR(34),$AL300,FIND(CHAR(34)&amp;"x",$AL300)+2)-FIND(CHAR(34)&amp;"x",$AL300)-2)),0))</f>
        <v/>
      </c>
      <c r="CH300" s="105">
        <f>IF(OR($A300="",$H300="",$H300="NO LAB"),0,IFERROR(VALUE(LEFT($H300,FIND(" ",$H300)-1)),0))</f>
        <v/>
      </c>
      <c r="CI300" s="106">
        <f>IF(OR($A300="",$I300="",$I300="NON-RATED",N($J300)=0),"",IFERROR(VLOOKUP($I300&amp;"|"&amp;$J300,IBC,2,FALSE),"?"))</f>
        <v/>
      </c>
      <c r="CJ300" s="100">
        <f>IF(NOT(AND($A300&lt;&gt;"",$C300&lt;&gt;"DOOR ONLY")),"",TRIM(IFERROR(VLOOKUP($U300,CODES,2,FALSE),"")&amp;" "&amp;$BG300&amp;" "&amp;IFERROR(VLOOKUP($Z300,CODES,2,FALSE),"")&amp;" "&amp;IFERROR(VLOOKUP($X300,CODES,2,FALSE),"")&amp;" "&amp;IFERROR(VLOOKUP($S300,CODES,2,FALSE),"")&amp;IF(N($P300)&gt;0," w/TRANSOM "&amp;$P300&amp;CHAR(34),"")&amp;IF(N($Q300)&gt;0," w/SIDELITE "&amp;$Q300&amp;CHAR(34)&amp;" "&amp;IF($R300="","R",$R300),"")&amp;IF($Y300="","  |  "," | "&amp;IFERROR(VLOOKUP($Y300,CODES,2,FALSE),"")&amp;" | ")&amp;IFERROR(VLOOKUP($AC300,CODES,2,FALSE),"")&amp;" "&amp;IFERROR(VLOOKUP($AD300,CODES,2,FALSE),"")&amp;IF(OR($AE300="",$AE300="-"),""," "&amp;$AE300)&amp;IF(OR($AF300="",$AF300="-"),""," "&amp;$AF300)&amp;IF($AB300="Y"," 4"&amp;CHAR(34)&amp;" HEAD","")&amp;" "&amp;IFERROR(VLOOKUP($H300,CODES,2,FALSE),"")&amp;IF($CT300," | LOC "&amp;$CY300,"")))</f>
        <v/>
      </c>
      <c r="CK300" s="100">
        <f>IF(NOT(AND($A300&lt;&gt;"",N($BJ300)&gt;0)),"",TRIM(IFERROR(VLOOKUP($AH300,CODES,2,FALSE),"")&amp;IF($AI300=""," "," "&amp;$AI300&amp;"GA ")&amp;$BG300&amp;" "&amp;IF($AN300="",IFERROR(VLOOKUP($Z300,CODES,2,FALSE),""),IFERROR(VLOOKUP($AN300,CODES,2,FALSE),""))&amp;IF($BJ300=2," PAIR","")&amp;" DOOR | "&amp;IF($AL300="","?",$AL300)&amp;" | "&amp;IF($AO300="",IFERROR(VLOOKUP($AC300,CODES,2,FALSE),""),IFERROR(VLOOKUP($AO300,CODES,2,FALSE),""))&amp;" "&amp;IFERROR(VLOOKUP($AP300,CODES,2,FALSE),"")&amp;IF(OR($AQ300="",$AQ300="-"),""," SEAM "&amp;$AQ300)&amp;IF($AR300="Y"," ASTRAGAL","")&amp;IF($AJ300=""," "," "&amp;$AJ300)&amp;IF($AK300=""," "," "&amp;$AK300)&amp;IF(OR($AT300="",$AT300="ANSI/SDI",$AT300="CUSTOM LOC"),""," "&amp;$AT300)&amp;IF($AM300=""," "," SERIES "&amp;$AM300)&amp;" "&amp;IFERROR(VLOOKUP($H300,CODES,2,FALSE),"")&amp;IF($CT300," | LOC "&amp;$CZ300,"")))</f>
        <v/>
      </c>
      <c r="CL300" s="99">
        <f>IF(CP300="","",IF(COUNTIF($CP$6:CP300,CP300)=1,MAX($CL$5:CL299)+1,INDEX($CL$5:CL299,MATCH(CP300,$CP$5:CP299,0))))</f>
        <v/>
      </c>
      <c r="CM300" s="99">
        <f>IF(NOT(AND($A300&lt;&gt;"",$C300&lt;&gt;"DOOR ONLY")),"",MAX($CM$5:CM299)+1)</f>
        <v/>
      </c>
      <c r="CN300" s="99">
        <f>IF(NOT(AND($A300&lt;&gt;"",N($BJ300)&gt;0)),"",MAX($CN$5:CN299)+1)</f>
        <v/>
      </c>
      <c r="CO300" s="99">
        <f>IF($A300="","",MAX($CO$5:CO299)+1)</f>
        <v/>
      </c>
      <c r="CP300" s="99">
        <f>IF(OR($A300="",$BH300="",$BI300=""),"",$BG300&amp;"|"&amp;$O300&amp;"|"&amp;$AL300&amp;"|"&amp;$S300&amp;"|"&amp;$P300&amp;"|"&amp;$Q300&amp;$R300&amp;"|"&amp;$C300&amp;"|"&amp;$AB300)</f>
        <v/>
      </c>
      <c r="CQ300" s="99">
        <f>N($BS300)</f>
        <v/>
      </c>
      <c r="CR300" s="99">
        <f>IF(N($AU300)&gt;0,N($AU300),4.5)</f>
        <v/>
      </c>
      <c r="CS300" s="99">
        <f>OR($A300="",$BI300="",$S300="BL",AND($C300="FRAME ONLY",OR($AC300="",$AC300="BLK")))</f>
        <v/>
      </c>
      <c r="CT300" s="99">
        <f>AND(NOT($CS300),OR($AT300="CUSTOM LOC",N($AW300)+N($AX300)+N($AY300)+N($AZ300)+N($BA300)&gt;0))</f>
        <v/>
      </c>
      <c r="CU300" s="99">
        <f>IF($BI300="","",IF($BI300&lt;=80,80,IF($BI300&lt;=84,84,96)))</f>
        <v/>
      </c>
      <c r="CV300" s="99">
        <f>ISNUMBER(MATCH($AT300&amp;"|80",LocKeys,0))</f>
        <v/>
      </c>
      <c r="CW300" s="101">
        <f>IF($CS300,"",IF($CV300,VLOOKUP($AT300&amp;"|"&amp;$CU300,LocTable,4,FALSE),5))</f>
        <v/>
      </c>
      <c r="CX300" s="101">
        <f>IF($CS300,"",IF($CV300,IF(OR($BI300=$CU300,AND($BI300&lt;$CU300,$BI300-IF(N(VLOOKUP($AT300&amp;"|"&amp;$CU300,LocTable,7,FALSE))&gt;0,VLOOKUP($AT300&amp;"|"&amp;$CU300,LocTable,7,FALSE),VLOOKUP($AT300&amp;"|"&amp;$CU300,LocTable,6,FALSE))-$CR300-0.75&gt;=2.125)),IF(N(VLOOKUP($AT300&amp;"|"&amp;$CU300,LocTable,7,FALSE))&gt;0,VLOOKUP($AT300&amp;"|"&amp;$CU300,LocTable,7,FALSE),VLOOKUP($AT300&amp;"|"&amp;$CU300,LocTable,6,FALSE)),$BI300-($CU300-IF(N(VLOOKUP($AT300&amp;"|"&amp;$CU300,LocTable,7,FALSE))&gt;0,VLOOKUP($AT300&amp;"|"&amp;$CU300,LocTable,7,FALSE),VLOOKUP($AT300&amp;"|"&amp;$CU300,LocTable,6,FALSE)))),$BI300-10-$CR300))</f>
        <v/>
      </c>
      <c r="CY300" s="100">
        <f>IF($CS300,"",TRIM(IF(ISNUMBER($BU300),"A "&amp;TRIM(TEXT($BU300,"# ?/??"))&amp;CHAR(34)&amp;"  ","")&amp;IF(ISNUMBER($BV300),"B "&amp;TRIM(TEXT($BV300,"# ?/??"))&amp;CHAR(34)&amp;"  ","")&amp;IF(ISNUMBER($BW300),"C "&amp;TRIM(TEXT($BW300,"# ?/??"))&amp;CHAR(34)&amp;"  ","")&amp;IF(ISNUMBER($BX300),"D "&amp;TRIM(TEXT($BX300,"# ?/??"))&amp;CHAR(34)&amp;"  ","")&amp;IF(ISNUMBER($BY300),"F "&amp;TRIM(TEXT($BY300,"# ?/??"))&amp;CHAR(34)&amp;"  ","")&amp;IF(ISNUMBER($BZ300),"E "&amp;TRIM(TEXT($BZ300,"# ?/??"))&amp;CHAR(34)&amp;"  ","")))</f>
        <v/>
      </c>
      <c r="CZ300" s="100">
        <f>IF(OR($CS300,N($BJ300)=0),"",TRIM(IF(ISNUMBER($BU300),"A "&amp;TRIM(TEXT($BU300-HeadClr,"# ?/??"))&amp;CHAR(34)&amp;"  ","")&amp;IF(ISNUMBER($BV300),"B "&amp;TRIM(TEXT($BV300-HeadClr,"# ?/??"))&amp;CHAR(34)&amp;"  ","")&amp;IF(ISNUMBER($BW300),"C "&amp;TRIM(TEXT($BW300-HeadClr,"# ?/??"))&amp;CHAR(34)&amp;"  ","")&amp;IF(ISNUMBER($BX300),"D "&amp;TRIM(TEXT($BX300-HeadClr,"# ?/??"))&amp;CHAR(34)&amp;"  ","")&amp;IF(ISNUMBER($BY300),"F "&amp;TRIM(TEXT($BY300-HeadClr,"# ?/??"))&amp;CHAR(34)&amp;"  ","")&amp;IF(ISNUMBER($BZ300),"E "&amp;TRIM(TEXT($BZ300-HeadClr,"# ?/??"))&amp;CHAR(34)&amp;"  ","")))</f>
        <v/>
      </c>
      <c r="DA300" s="99">
        <f>IF($A300="","",IF($AN300="",IFERROR(VLOOKUP($Z300,CODES,2,FALSE),""),IFERROR(VLOOKUP($AN300,CODES,2,FALSE),"")))</f>
        <v/>
      </c>
      <c r="DB300" s="99">
        <f>IF($A300="","",IF($O300="Y","PR",IF(OR($Z300="L",$Z300="RR",LEFT($Z300,2)="L-",LEFT($Z300,3)="RR-"),"LH","RH")))</f>
        <v/>
      </c>
      <c r="DC300" s="99">
        <f>IF($A300="","","S.HM"&amp;IF(OR($C300="DOOR ONLY",$X300&lt;&gt;"KD"),"MASONRY","DRYWALL")&amp;IF($C300="DOOR ONLY","",$U300)&amp;IF(AND($C300&lt;&gt;"FRAME ONLY",OR(LEFT($AH300,3)="OAK",LEFT($AH300,3)="BIR",LEFT($AH300,3)="MAP",$AH300="PC",$AH300="MC",$AH300="SCLC",$AH300="P-LAM")),"WD","HM")&amp;"1.75")</f>
        <v/>
      </c>
      <c r="DD300" s="99">
        <f>IF($CJ300="","",IF($O300="Y",$CJ300,SUBSTITUTE($CJ300,$BG300&amp;" "&amp;IFERROR(VLOOKUP($Z300,CODES,2,FALSE),"")&amp;" ",$BG300&amp;" ")))</f>
        <v/>
      </c>
      <c r="DE300" s="99">
        <f>IF($CK300="","",IF($O300="Y",$CK300,SUBSTITUTE($CK300,$BG300&amp;" "&amp;IF($AN300="",IFERROR(VLOOKUP($Z300,CODES,2,FALSE),""),IFERROR(VLOOKUP($AN300,CODES,2,FALSE),""))&amp;" ",$BG300&amp;" ")))</f>
        <v/>
      </c>
      <c r="DF300" s="99">
        <f>IF($CJ300="","",$DC300&amp;"|"&amp;$DD300&amp;"|"&amp;$DB300&amp;"|"&amp;$AT300&amp;"|"&amp;$V300&amp;"|"&amp;$Y300&amp;"|"&amp;$AB300)</f>
        <v/>
      </c>
      <c r="DG300" s="99">
        <f>IF(DF300="","",IF(COUNTIF($DF$6:DF300,DF300)=1,MAX($DG$5:DG299)+1,INDEX($DG$5:DG299,MATCH(DF300,$DF$5:DF299,0))))</f>
        <v/>
      </c>
      <c r="DH300" s="99">
        <f>IF($CK300="","",$DC300&amp;"|"&amp;$DE300&amp;"|"&amp;$AI300&amp;"|"&amp;$BK300&amp;"|"&amp;$BL300)</f>
        <v/>
      </c>
      <c r="DI300" s="99">
        <f>IF(DH300="","",IF(COUNTIF($DH$6:DH300,DH300)=1,MAX($DI$5:DI299)+1,INDEX($DI$5:DI299,MATCH(DH300,$DH$5:DH299,0))))</f>
        <v/>
      </c>
      <c r="DJ300" s="99">
        <f>IF($A300="","",IF($B300="","qty, ","")&amp;IF($C300="","scope, ","")&amp;IF(OR($K300="",$M300=""),"size, ","")&amp;IF(AND($A300&lt;&gt;"",$C300&lt;&gt;"DOOR ONLY"),IF($U300="","jamb depth, ","")&amp;IF($X300="","construction, ","")&amp;IF($Y300="","anchor, ","")&amp;IF($S300="","frame type, ",""),"")&amp;IF(AND(N($BJ300)&gt;0,$Z300=""),"hand, ","")&amp;IF(N($BJ300)&gt;0,IF($AH300="","door material, ","")&amp;IF($AL300="","face type, ","")&amp;IF($AP300="","lock prep, ","")&amp;IF(AND($AO300="",$AC300=""),"hinge prep, ",""),"")&amp;IF(AND($CH300&gt;0,$AH300="FRP"),"FRP cannot carry a label, ","")&amp;IF(AND($O300="Y",OR($Z300="L",$Z300="R",$Z300="LR",$Z300="RR")),"pair marked but hand is single, ","")&amp;IF(AND($O300&lt;&gt;"Y",OR($Z300="PR",AND(LEN($Z300)&gt;1,ISNUMBER(SEARCH("-",$Z300))))),"pair hand on a single door, ","")&amp;IF(AND(ISNUMBER($CI300),$CH300&lt;N($CI300)),"wall needs a "&amp;$CI300&amp;" min door, ","")&amp;IF(AND($CH300&gt;=180,AND(OR($CE300="FG",$CE300="HG",$CE300="FNV",$CE300="FV"),N($CF300)*N($CG300)&gt;100)),"180 min lite over 100 sq in, ","")&amp;IF(N($BK300)&gt;48,"leaf wider than 4'-0"&amp;CHAR(34)&amp;", ","")&amp;IF(AND($CT300,COUNT($AW300:$AZ300)=0,$CQ300&gt;0),"CUSTOM LOC with no locations typed, ",""))</f>
        <v/>
      </c>
      <c r="DK300" s="99">
        <f>IF($A300="","",IF(AND($CH300&gt;0,AND($A300&lt;&gt;"",$C300&lt;&gt;"DOOR ONLY"),$X300="KD",$E300="EXTERIOR"),"KD label on an exterior opening, ","")&amp;IF(AND($E300="EXTERIOR",OR(AND(AND($A300&lt;&gt;"",$C300&lt;&gt;"DOOR ONLY"),$W300="CR"),AND(N($BJ300)&gt;0,$AH300="CR"))),"exterior in CR steel (G9?), ","")&amp;IF(AND(ISNUMBER($BQ300),N($BQ300)&lt;32),"clear width ~"&amp;TEXT($BQ300,"0.0")&amp;CHAR(34)&amp;" under 32"&amp;CHAR(34)&amp;" (ADA), ","")&amp;IF(AND($CH300=90,AND(OR($CE300="FG",$CE300="HG",$CE300="FNV",$CE300="FV"),N($CF300)*N($CG300)&gt;100)),"90 min lite over 100 sq in (stair/exit), ","")&amp;IF(AND($CH300&gt;0,AND($A300&lt;&gt;"",$C300&lt;&gt;"DOOR ONLY"),OR($AF300="",$AF300="-")),"rated: closer reinf.?, ","")&amp;IF(OR($I300="CORRIDOR",$I300="SMOKE BARRIER"),"S label + smoke gasketing, ","")&amp;IF($CI300="?","wall type/hr not in IBC table, ","")&amp;IF(AND(N($BJ300)&gt;0,$BB300=""),"no hardware set, ","")&amp;IF(AND($BB300&lt;&gt;"",ISNA(MATCH($BB300&amp;"",HWSets,0))),"set "&amp;$BB300&amp;" not on HW Sets, ","")&amp;IF(N($BL300)&gt;96,"leaf over 8'-0"&amp;CHAR(34)&amp;" - check listing, ","")&amp;IF(AND($CT300,COUNT($AW300:$AZ300)&gt;0,COUNT($AW300:$AZ300)&lt;&gt;$CQ300),COUNT($AW300:$AZ300)&amp;" custom hinges typed, "&amp;$CQ300&amp;" expected, ","")&amp;IF(AND(ISNUMBER($CA300),OR(N($CA300)&lt;34,N($CA300)&gt;48)),"lock "&amp;TEXT($CA300,"0.0")&amp;CHAR(34)&amp;" AFF outside 34-48"&amp;CHAR(34)&amp;" (ADA), ","")&amp;IF(AND(ISNUMBER($AV300),ISNUMBER($BL300),N($AV300)&lt;IF(N($BL300)&lt;=60,2,IF(N($BL300)&lt;=90,3,IF(N($BL300)&lt;=120,4,5)))),"fewer hinges than standard, ",""))</f>
        <v/>
      </c>
    </row>
    <row r="301" ht="15" customHeight="1">
      <c r="A301" s="77" t="n"/>
      <c r="B301" s="78" t="n"/>
      <c r="C301" s="78" t="n"/>
      <c r="D301" s="78" t="n"/>
      <c r="E301" s="78" t="n"/>
      <c r="F301" s="78" t="n"/>
      <c r="G301" s="78" t="n"/>
      <c r="H301" s="78" t="n"/>
      <c r="I301" s="78" t="n"/>
      <c r="J301" s="78" t="n"/>
      <c r="K301" s="78" t="n"/>
      <c r="L301" s="78" t="n"/>
      <c r="M301" s="78" t="n"/>
      <c r="N301" s="78" t="n"/>
      <c r="O301" s="78" t="n"/>
      <c r="P301" s="78" t="n"/>
      <c r="Q301" s="78" t="n"/>
      <c r="R301" s="78" t="n"/>
      <c r="S301" s="79" t="n"/>
      <c r="T301" s="79" t="n"/>
      <c r="U301" s="79" t="n"/>
      <c r="V301" s="79" t="n"/>
      <c r="W301" s="79" t="n"/>
      <c r="X301" s="79" t="n"/>
      <c r="Y301" s="79" t="n"/>
      <c r="Z301" s="79" t="n"/>
      <c r="AA301" s="79" t="n"/>
      <c r="AB301" s="79" t="n"/>
      <c r="AC301" s="79" t="n"/>
      <c r="AD301" s="79" t="n"/>
      <c r="AE301" s="79" t="n"/>
      <c r="AF301" s="79" t="n"/>
      <c r="AG301" s="79" t="n"/>
      <c r="AH301" s="80" t="n"/>
      <c r="AI301" s="80" t="n"/>
      <c r="AJ301" s="80" t="n"/>
      <c r="AK301" s="80" t="n"/>
      <c r="AL301" s="80" t="n"/>
      <c r="AM301" s="80" t="n"/>
      <c r="AN301" s="80" t="n"/>
      <c r="AO301" s="80" t="n"/>
      <c r="AP301" s="80" t="n"/>
      <c r="AQ301" s="80" t="n"/>
      <c r="AR301" s="80" t="n"/>
      <c r="AS301" s="80" t="n"/>
      <c r="AT301" s="81" t="n"/>
      <c r="AU301" s="81" t="n"/>
      <c r="AV301" s="81" t="n"/>
      <c r="AW301" s="82" t="n"/>
      <c r="AX301" s="82" t="n"/>
      <c r="AY301" s="82" t="n"/>
      <c r="AZ301" s="82" t="n"/>
      <c r="BA301" s="82" t="n"/>
      <c r="BB301" s="83" t="n"/>
      <c r="BC301" s="83" t="n"/>
      <c r="BD301" s="84">
        <f>IF($A301="","",IF($DJ301&lt;&gt;"","FIX",IF($DK301&lt;&gt;"","CHECK","OK")))</f>
        <v/>
      </c>
      <c r="BE301" s="85">
        <f>IF($A301="","",IF($DJ301&lt;&gt;"","FIX: "&amp;LEFT($DJ301,LEN($DJ301)-2)&amp;IF($DK301&lt;&gt;"","  ·  ",""),"")&amp;IF($DK301&lt;&gt;"","CHECK: "&amp;LEFT($DK301,LEN($DK301)-2),""))</f>
        <v/>
      </c>
      <c r="BF301" s="84">
        <f>IF(OR($A301="",$K301=""),"",$K301&amp;"'-"&amp;N($L301)&amp;CHAR(34)&amp;" x "&amp;$M301&amp;"'-"&amp;N($N301)&amp;CHAR(34))</f>
        <v/>
      </c>
      <c r="BG301" s="84">
        <f>IF(OR($A301="",$K301=""),"",$K301&amp;N($L301)&amp;$M301&amp;N($N301))</f>
        <v/>
      </c>
      <c r="BH301" s="84">
        <f>IF(OR($A301="",$K301=""),"",$K301*12+N($L301))</f>
        <v/>
      </c>
      <c r="BI301" s="84">
        <f>IF(OR($A301="",$M301=""),"",$M301*12+N($N301))</f>
        <v/>
      </c>
      <c r="BJ301" s="84">
        <f>IF($A301="","",IF(OR($C301="FRAME ONLY",$S301="BL"),0,IF($O301="Y",2,1)))</f>
        <v/>
      </c>
      <c r="BK301" s="86">
        <f>IF(OR(N($BJ301)=0,$BH301=""),"",($BH301-2*EdgeClr-IF($BJ301=2,MeetClr,0))/$BJ301)</f>
        <v/>
      </c>
      <c r="BL301" s="86">
        <f>IF(OR(N($BJ301)=0,$BI301=""),"",$BI301-HeadClr-Undercut)</f>
        <v/>
      </c>
      <c r="BM301" s="86">
        <f>IF($BH301="","",$BH301+2*FaceW+IF(N($Q301)&gt;0,($Q301+FaceW)*IF($R301="LR",2,1),0))</f>
        <v/>
      </c>
      <c r="BN301" s="86">
        <f>IF($BI301="","",$BI301+IF($AB301="Y",4,FaceW)+IF(N($P301)&gt;0,$P301+FaceW,0)+IF(OR($S301="4F",$S301="BL"),FaceW,0))</f>
        <v/>
      </c>
      <c r="BO301" s="86">
        <f>IF($BM301="","",$BM301+2*ROSide)</f>
        <v/>
      </c>
      <c r="BP301" s="86">
        <f>IF($BN301="","",$BN301+ROTop)</f>
        <v/>
      </c>
      <c r="BQ301" s="87">
        <f>IF(OR(N($BJ301)=0,$BH301=""),"",$BH301/$BJ301-ClearDeduct)</f>
        <v/>
      </c>
      <c r="BR301" s="84">
        <f>IF(N($CH301)=0,"",IF($CH301&gt;=180,"A · 3 HR",IF($CH301&gt;=90,"B · 1-1/2 HR",IF($CH301&gt;=60,"B · 1 HR",IF($CH301&gt;=45,"C · 3/4 HR","20 MIN")))))&amp;IF(AND(N($CH301)&gt;0,OR($I301="CORRIDOR",$I301="SMOKE BARRIER"))," · S","")</f>
        <v/>
      </c>
      <c r="BS301" s="84">
        <f>IF($CS301,"",IF($AV301&lt;&gt;"",$AV301,IF(OR($AC301="HGC",$AO301="HGC"),"CONT",IF(($BI301-HeadClr-Undercut)&lt;=60,2,IF(($BI301-HeadClr-Undercut)&lt;=90,3,IF(($BI301-HeadClr-Undercut)&lt;=120,4,5))))))</f>
        <v/>
      </c>
      <c r="BT301" s="84">
        <f>IF($CS301,"",IF($CT301,"CUSTOM (typed)",IF($CV301,$AT301&amp;" "&amp;$CU301&amp;CHAR(34)&amp;IF($CU301&lt;&gt;$BI301,IF(AND($BI301&lt;$CU301,$BI301-IF(N(VLOOKUP($AT301&amp;"|"&amp;$CU301,LocTable,7,FALSE))&gt;0,VLOOKUP($AT301&amp;"|"&amp;$CU301,LocTable,7,FALSE),VLOOKUP($AT301&amp;"|"&amp;$CU301,LocTable,6,FALSE))-$CR301-0.75&gt;=2.125)," cut down"," adj."),""),"ANSI/SDI A250.6")))</f>
        <v/>
      </c>
      <c r="BU301" s="88">
        <f>IF($CS301,"",IF($CT301,IF(N($AW301)&gt;0,N($AW301),""),IF(1&gt;$CQ301,"",IF($CQ301=1,$CW301,$CW301+($CX301-$CW301)*0/($CQ301-1)))))</f>
        <v/>
      </c>
      <c r="BV301" s="88">
        <f>IF($CS301,"",IF($CT301,IF(N($AX301)&gt;0,N($AX301),""),IF(2&gt;$CQ301,"",IF($CQ301=1,$CW301,$CW301+($CX301-$CW301)*1/($CQ301-1)))))</f>
        <v/>
      </c>
      <c r="BW301" s="88">
        <f>IF($CS301,"",IF($CT301,IF(N($AY301)&gt;0,N($AY301),""),IF(3&gt;$CQ301,"",IF($CQ301=1,$CW301,$CW301+($CX301-$CW301)*2/($CQ301-1)))))</f>
        <v/>
      </c>
      <c r="BX301" s="88">
        <f>IF($CS301,"",IF($CT301,IF(N($AZ301)&gt;0,N($AZ301),""),IF(4&gt;$CQ301,"",IF($CQ301=1,$CW301,$CW301+($CX301-$CW301)*3/($CQ301-1)))))</f>
        <v/>
      </c>
      <c r="BY301" s="88">
        <f>IF($CS301,"",IF($CT301,"",IF(5&gt;$CQ301,"",IF($CQ301=1,$CW301,$CW301+($CX301-$CW301)*4/($CQ301-1)))))</f>
        <v/>
      </c>
      <c r="BZ301" s="88">
        <f>IF(OR($CS301,$AP301="-",AND($AP301="",$AD301="")),"",IF(N($BA301)&gt;0,N($BA301),IF($CV301,IF(AND($BI301&lt;$CU301,$BI301-IF(N(VLOOKUP($AT301&amp;"|"&amp;$CU301,LocTable,7,FALSE))&gt;0,VLOOKUP($AT301&amp;"|"&amp;$CU301,LocTable,7,FALSE),VLOOKUP($AT301&amp;"|"&amp;$CU301,LocTable,6,FALSE))-$CR301-0.75&gt;=2.125),VLOOKUP($AT301&amp;"|"&amp;$CU301,LocTable,8,FALSE),VLOOKUP($AT301&amp;"|"&amp;$CU301,LocTable,8,FALSE)+($BI301-$CU301)),$BI301-LockAFF)))</f>
        <v/>
      </c>
      <c r="CA301" s="89">
        <f>IF($BZ301="","",$BI301-$BZ301)</f>
        <v/>
      </c>
      <c r="CB301" s="84">
        <f>IF(OR(NOT(AND($A301&lt;&gt;"",$C301&lt;&gt;"DOOR ONLY")),$BI301=""),"",IF(($BI301+IF(N($P301)&gt;0,$P301+FaceW,0))&lt;=90,3,IF(($BI301+IF(N($P301)&gt;0,$P301+FaceW,0))&lt;=114,4,5)))</f>
        <v/>
      </c>
      <c r="CC301" s="84">
        <f>IF($CB301="","",$CB301*(2+IF(N($Q301)&gt;0,IF($R301="LR",2,1),0)))</f>
        <v/>
      </c>
      <c r="CD301" s="84">
        <f>IF($CB301="","",(2+IF(N($Q301)&gt;0,IF($R301="LR",2,1),0)))</f>
        <v/>
      </c>
      <c r="CE301" s="84">
        <f>IF(N($BJ301)=0,"",IF(OR($AL301="",$AL301="FLUSH"),"FLUSH",IFERROR(LEFT($AL301,FIND("-",$AL301)-1),LEFT($AL301,2))))</f>
        <v/>
      </c>
      <c r="CF301" s="84">
        <f>IF($CE301="","",IFERROR(VALUE(MID($AL301,FIND("-",$AL301)+1,FIND(CHAR(34)&amp;"x",$AL301)-FIND("-",$AL301)-1)),0))</f>
        <v/>
      </c>
      <c r="CG301" s="84">
        <f>IF($CE301="","",IFERROR(VALUE(MID($AL301,FIND(CHAR(34)&amp;"x",$AL301)+2,FIND(CHAR(34),$AL301,FIND(CHAR(34)&amp;"x",$AL301)+2)-FIND(CHAR(34)&amp;"x",$AL301)-2)),0))</f>
        <v/>
      </c>
      <c r="CH301" s="90">
        <f>IF(OR($A301="",$H301="",$H301="NO LAB"),0,IFERROR(VALUE(LEFT($H301,FIND(" ",$H301)-1)),0))</f>
        <v/>
      </c>
      <c r="CI301" s="91">
        <f>IF(OR($A301="",$I301="",$I301="NON-RATED",N($J301)=0),"",IFERROR(VLOOKUP($I301&amp;"|"&amp;$J301,IBC,2,FALSE),"?"))</f>
        <v/>
      </c>
      <c r="CJ301" s="85">
        <f>IF(NOT(AND($A301&lt;&gt;"",$C301&lt;&gt;"DOOR ONLY")),"",TRIM(IFERROR(VLOOKUP($U301,CODES,2,FALSE),"")&amp;" "&amp;$BG301&amp;" "&amp;IFERROR(VLOOKUP($Z301,CODES,2,FALSE),"")&amp;" "&amp;IFERROR(VLOOKUP($X301,CODES,2,FALSE),"")&amp;" "&amp;IFERROR(VLOOKUP($S301,CODES,2,FALSE),"")&amp;IF(N($P301)&gt;0," w/TRANSOM "&amp;$P301&amp;CHAR(34),"")&amp;IF(N($Q301)&gt;0," w/SIDELITE "&amp;$Q301&amp;CHAR(34)&amp;" "&amp;IF($R301="","R",$R301),"")&amp;IF($Y301="","  |  "," | "&amp;IFERROR(VLOOKUP($Y301,CODES,2,FALSE),"")&amp;" | ")&amp;IFERROR(VLOOKUP($AC301,CODES,2,FALSE),"")&amp;" "&amp;IFERROR(VLOOKUP($AD301,CODES,2,FALSE),"")&amp;IF(OR($AE301="",$AE301="-"),""," "&amp;$AE301)&amp;IF(OR($AF301="",$AF301="-"),""," "&amp;$AF301)&amp;IF($AB301="Y"," 4"&amp;CHAR(34)&amp;" HEAD","")&amp;" "&amp;IFERROR(VLOOKUP($H301,CODES,2,FALSE),"")&amp;IF($CT301," | LOC "&amp;$CY301,"")))</f>
        <v/>
      </c>
      <c r="CK301" s="85">
        <f>IF(NOT(AND($A301&lt;&gt;"",N($BJ301)&gt;0)),"",TRIM(IFERROR(VLOOKUP($AH301,CODES,2,FALSE),"")&amp;IF($AI301=""," "," "&amp;$AI301&amp;"GA ")&amp;$BG301&amp;" "&amp;IF($AN301="",IFERROR(VLOOKUP($Z301,CODES,2,FALSE),""),IFERROR(VLOOKUP($AN301,CODES,2,FALSE),""))&amp;IF($BJ301=2," PAIR","")&amp;" DOOR | "&amp;IF($AL301="","?",$AL301)&amp;" | "&amp;IF($AO301="",IFERROR(VLOOKUP($AC301,CODES,2,FALSE),""),IFERROR(VLOOKUP($AO301,CODES,2,FALSE),""))&amp;" "&amp;IFERROR(VLOOKUP($AP301,CODES,2,FALSE),"")&amp;IF(OR($AQ301="",$AQ301="-"),""," SEAM "&amp;$AQ301)&amp;IF($AR301="Y"," ASTRAGAL","")&amp;IF($AJ301=""," "," "&amp;$AJ301)&amp;IF($AK301=""," "," "&amp;$AK301)&amp;IF(OR($AT301="",$AT301="ANSI/SDI",$AT301="CUSTOM LOC"),""," "&amp;$AT301)&amp;IF($AM301=""," "," SERIES "&amp;$AM301)&amp;" "&amp;IFERROR(VLOOKUP($H301,CODES,2,FALSE),"")&amp;IF($CT301," | LOC "&amp;$CZ301,"")))</f>
        <v/>
      </c>
      <c r="CL301" s="84">
        <f>IF(CP301="","",IF(COUNTIF($CP$6:CP301,CP301)=1,MAX($CL$5:CL300)+1,INDEX($CL$5:CL300,MATCH(CP301,$CP$5:CP300,0))))</f>
        <v/>
      </c>
      <c r="CM301" s="84">
        <f>IF(NOT(AND($A301&lt;&gt;"",$C301&lt;&gt;"DOOR ONLY")),"",MAX($CM$5:CM300)+1)</f>
        <v/>
      </c>
      <c r="CN301" s="84">
        <f>IF(NOT(AND($A301&lt;&gt;"",N($BJ301)&gt;0)),"",MAX($CN$5:CN300)+1)</f>
        <v/>
      </c>
      <c r="CO301" s="84">
        <f>IF($A301="","",MAX($CO$5:CO300)+1)</f>
        <v/>
      </c>
      <c r="CP301" s="84">
        <f>IF(OR($A301="",$BH301="",$BI301=""),"",$BG301&amp;"|"&amp;$O301&amp;"|"&amp;$AL301&amp;"|"&amp;$S301&amp;"|"&amp;$P301&amp;"|"&amp;$Q301&amp;$R301&amp;"|"&amp;$C301&amp;"|"&amp;$AB301)</f>
        <v/>
      </c>
      <c r="CQ301" s="84">
        <f>N($BS301)</f>
        <v/>
      </c>
      <c r="CR301" s="84">
        <f>IF(N($AU301)&gt;0,N($AU301),4.5)</f>
        <v/>
      </c>
      <c r="CS301" s="84">
        <f>OR($A301="",$BI301="",$S301="BL",AND($C301="FRAME ONLY",OR($AC301="",$AC301="BLK")))</f>
        <v/>
      </c>
      <c r="CT301" s="84">
        <f>AND(NOT($CS301),OR($AT301="CUSTOM LOC",N($AW301)+N($AX301)+N($AY301)+N($AZ301)+N($BA301)&gt;0))</f>
        <v/>
      </c>
      <c r="CU301" s="84">
        <f>IF($BI301="","",IF($BI301&lt;=80,80,IF($BI301&lt;=84,84,96)))</f>
        <v/>
      </c>
      <c r="CV301" s="84">
        <f>ISNUMBER(MATCH($AT301&amp;"|80",LocKeys,0))</f>
        <v/>
      </c>
      <c r="CW301" s="86">
        <f>IF($CS301,"",IF($CV301,VLOOKUP($AT301&amp;"|"&amp;$CU301,LocTable,4,FALSE),5))</f>
        <v/>
      </c>
      <c r="CX301" s="86">
        <f>IF($CS301,"",IF($CV301,IF(OR($BI301=$CU301,AND($BI301&lt;$CU301,$BI301-IF(N(VLOOKUP($AT301&amp;"|"&amp;$CU301,LocTable,7,FALSE))&gt;0,VLOOKUP($AT301&amp;"|"&amp;$CU301,LocTable,7,FALSE),VLOOKUP($AT301&amp;"|"&amp;$CU301,LocTable,6,FALSE))-$CR301-0.75&gt;=2.125)),IF(N(VLOOKUP($AT301&amp;"|"&amp;$CU301,LocTable,7,FALSE))&gt;0,VLOOKUP($AT301&amp;"|"&amp;$CU301,LocTable,7,FALSE),VLOOKUP($AT301&amp;"|"&amp;$CU301,LocTable,6,FALSE)),$BI301-($CU301-IF(N(VLOOKUP($AT301&amp;"|"&amp;$CU301,LocTable,7,FALSE))&gt;0,VLOOKUP($AT301&amp;"|"&amp;$CU301,LocTable,7,FALSE),VLOOKUP($AT301&amp;"|"&amp;$CU301,LocTable,6,FALSE)))),$BI301-10-$CR301))</f>
        <v/>
      </c>
      <c r="CY301" s="85">
        <f>IF($CS301,"",TRIM(IF(ISNUMBER($BU301),"A "&amp;TRIM(TEXT($BU301,"# ?/??"))&amp;CHAR(34)&amp;"  ","")&amp;IF(ISNUMBER($BV301),"B "&amp;TRIM(TEXT($BV301,"# ?/??"))&amp;CHAR(34)&amp;"  ","")&amp;IF(ISNUMBER($BW301),"C "&amp;TRIM(TEXT($BW301,"# ?/??"))&amp;CHAR(34)&amp;"  ","")&amp;IF(ISNUMBER($BX301),"D "&amp;TRIM(TEXT($BX301,"# ?/??"))&amp;CHAR(34)&amp;"  ","")&amp;IF(ISNUMBER($BY301),"F "&amp;TRIM(TEXT($BY301,"# ?/??"))&amp;CHAR(34)&amp;"  ","")&amp;IF(ISNUMBER($BZ301),"E "&amp;TRIM(TEXT($BZ301,"# ?/??"))&amp;CHAR(34)&amp;"  ","")))</f>
        <v/>
      </c>
      <c r="CZ301" s="85">
        <f>IF(OR($CS301,N($BJ301)=0),"",TRIM(IF(ISNUMBER($BU301),"A "&amp;TRIM(TEXT($BU301-HeadClr,"# ?/??"))&amp;CHAR(34)&amp;"  ","")&amp;IF(ISNUMBER($BV301),"B "&amp;TRIM(TEXT($BV301-HeadClr,"# ?/??"))&amp;CHAR(34)&amp;"  ","")&amp;IF(ISNUMBER($BW301),"C "&amp;TRIM(TEXT($BW301-HeadClr,"# ?/??"))&amp;CHAR(34)&amp;"  ","")&amp;IF(ISNUMBER($BX301),"D "&amp;TRIM(TEXT($BX301-HeadClr,"# ?/??"))&amp;CHAR(34)&amp;"  ","")&amp;IF(ISNUMBER($BY301),"F "&amp;TRIM(TEXT($BY301-HeadClr,"# ?/??"))&amp;CHAR(34)&amp;"  ","")&amp;IF(ISNUMBER($BZ301),"E "&amp;TRIM(TEXT($BZ301-HeadClr,"# ?/??"))&amp;CHAR(34)&amp;"  ","")))</f>
        <v/>
      </c>
      <c r="DA301" s="84">
        <f>IF($A301="","",IF($AN301="",IFERROR(VLOOKUP($Z301,CODES,2,FALSE),""),IFERROR(VLOOKUP($AN301,CODES,2,FALSE),"")))</f>
        <v/>
      </c>
      <c r="DB301" s="84">
        <f>IF($A301="","",IF($O301="Y","PR",IF(OR($Z301="L",$Z301="RR",LEFT($Z301,2)="L-",LEFT($Z301,3)="RR-"),"LH","RH")))</f>
        <v/>
      </c>
      <c r="DC301" s="84">
        <f>IF($A301="","","S.HM"&amp;IF(OR($C301="DOOR ONLY",$X301&lt;&gt;"KD"),"MASONRY","DRYWALL")&amp;IF($C301="DOOR ONLY","",$U301)&amp;IF(AND($C301&lt;&gt;"FRAME ONLY",OR(LEFT($AH301,3)="OAK",LEFT($AH301,3)="BIR",LEFT($AH301,3)="MAP",$AH301="PC",$AH301="MC",$AH301="SCLC",$AH301="P-LAM")),"WD","HM")&amp;"1.75")</f>
        <v/>
      </c>
      <c r="DD301" s="84">
        <f>IF($CJ301="","",IF($O301="Y",$CJ301,SUBSTITUTE($CJ301,$BG301&amp;" "&amp;IFERROR(VLOOKUP($Z301,CODES,2,FALSE),"")&amp;" ",$BG301&amp;" ")))</f>
        <v/>
      </c>
      <c r="DE301" s="84">
        <f>IF($CK301="","",IF($O301="Y",$CK301,SUBSTITUTE($CK301,$BG301&amp;" "&amp;IF($AN301="",IFERROR(VLOOKUP($Z301,CODES,2,FALSE),""),IFERROR(VLOOKUP($AN301,CODES,2,FALSE),""))&amp;" ",$BG301&amp;" ")))</f>
        <v/>
      </c>
      <c r="DF301" s="84">
        <f>IF($CJ301="","",$DC301&amp;"|"&amp;$DD301&amp;"|"&amp;$DB301&amp;"|"&amp;$AT301&amp;"|"&amp;$V301&amp;"|"&amp;$Y301&amp;"|"&amp;$AB301)</f>
        <v/>
      </c>
      <c r="DG301" s="84">
        <f>IF(DF301="","",IF(COUNTIF($DF$6:DF301,DF301)=1,MAX($DG$5:DG300)+1,INDEX($DG$5:DG300,MATCH(DF301,$DF$5:DF300,0))))</f>
        <v/>
      </c>
      <c r="DH301" s="84">
        <f>IF($CK301="","",$DC301&amp;"|"&amp;$DE301&amp;"|"&amp;$AI301&amp;"|"&amp;$BK301&amp;"|"&amp;$BL301)</f>
        <v/>
      </c>
      <c r="DI301" s="84">
        <f>IF(DH301="","",IF(COUNTIF($DH$6:DH301,DH301)=1,MAX($DI$5:DI300)+1,INDEX($DI$5:DI300,MATCH(DH301,$DH$5:DH300,0))))</f>
        <v/>
      </c>
      <c r="DJ301" s="84">
        <f>IF($A301="","",IF($B301="","qty, ","")&amp;IF($C301="","scope, ","")&amp;IF(OR($K301="",$M301=""),"size, ","")&amp;IF(AND($A301&lt;&gt;"",$C301&lt;&gt;"DOOR ONLY"),IF($U301="","jamb depth, ","")&amp;IF($X301="","construction, ","")&amp;IF($Y301="","anchor, ","")&amp;IF($S301="","frame type, ",""),"")&amp;IF(AND(N($BJ301)&gt;0,$Z301=""),"hand, ","")&amp;IF(N($BJ301)&gt;0,IF($AH301="","door material, ","")&amp;IF($AL301="","face type, ","")&amp;IF($AP301="","lock prep, ","")&amp;IF(AND($AO301="",$AC301=""),"hinge prep, ",""),"")&amp;IF(AND($CH301&gt;0,$AH301="FRP"),"FRP cannot carry a label, ","")&amp;IF(AND($O301="Y",OR($Z301="L",$Z301="R",$Z301="LR",$Z301="RR")),"pair marked but hand is single, ","")&amp;IF(AND($O301&lt;&gt;"Y",OR($Z301="PR",AND(LEN($Z301)&gt;1,ISNUMBER(SEARCH("-",$Z301))))),"pair hand on a single door, ","")&amp;IF(AND(ISNUMBER($CI301),$CH301&lt;N($CI301)),"wall needs a "&amp;$CI301&amp;" min door, ","")&amp;IF(AND($CH301&gt;=180,AND(OR($CE301="FG",$CE301="HG",$CE301="FNV",$CE301="FV"),N($CF301)*N($CG301)&gt;100)),"180 min lite over 100 sq in, ","")&amp;IF(N($BK301)&gt;48,"leaf wider than 4'-0"&amp;CHAR(34)&amp;", ","")&amp;IF(AND($CT301,COUNT($AW301:$AZ301)=0,$CQ301&gt;0),"CUSTOM LOC with no locations typed, ",""))</f>
        <v/>
      </c>
      <c r="DK301" s="84">
        <f>IF($A301="","",IF(AND($CH301&gt;0,AND($A301&lt;&gt;"",$C301&lt;&gt;"DOOR ONLY"),$X301="KD",$E301="EXTERIOR"),"KD label on an exterior opening, ","")&amp;IF(AND($E301="EXTERIOR",OR(AND(AND($A301&lt;&gt;"",$C301&lt;&gt;"DOOR ONLY"),$W301="CR"),AND(N($BJ301)&gt;0,$AH301="CR"))),"exterior in CR steel (G9?), ","")&amp;IF(AND(ISNUMBER($BQ301),N($BQ301)&lt;32),"clear width ~"&amp;TEXT($BQ301,"0.0")&amp;CHAR(34)&amp;" under 32"&amp;CHAR(34)&amp;" (ADA), ","")&amp;IF(AND($CH301=90,AND(OR($CE301="FG",$CE301="HG",$CE301="FNV",$CE301="FV"),N($CF301)*N($CG301)&gt;100)),"90 min lite over 100 sq in (stair/exit), ","")&amp;IF(AND($CH301&gt;0,AND($A301&lt;&gt;"",$C301&lt;&gt;"DOOR ONLY"),OR($AF301="",$AF301="-")),"rated: closer reinf.?, ","")&amp;IF(OR($I301="CORRIDOR",$I301="SMOKE BARRIER"),"S label + smoke gasketing, ","")&amp;IF($CI301="?","wall type/hr not in IBC table, ","")&amp;IF(AND(N($BJ301)&gt;0,$BB301=""),"no hardware set, ","")&amp;IF(AND($BB301&lt;&gt;"",ISNA(MATCH($BB301&amp;"",HWSets,0))),"set "&amp;$BB301&amp;" not on HW Sets, ","")&amp;IF(N($BL301)&gt;96,"leaf over 8'-0"&amp;CHAR(34)&amp;" - check listing, ","")&amp;IF(AND($CT301,COUNT($AW301:$AZ301)&gt;0,COUNT($AW301:$AZ301)&lt;&gt;$CQ301),COUNT($AW301:$AZ301)&amp;" custom hinges typed, "&amp;$CQ301&amp;" expected, ","")&amp;IF(AND(ISNUMBER($CA301),OR(N($CA301)&lt;34,N($CA301)&gt;48)),"lock "&amp;TEXT($CA301,"0.0")&amp;CHAR(34)&amp;" AFF outside 34-48"&amp;CHAR(34)&amp;" (ADA), ","")&amp;IF(AND(ISNUMBER($AV301),ISNUMBER($BL301),N($AV301)&lt;IF(N($BL301)&lt;=60,2,IF(N($BL301)&lt;=90,3,IF(N($BL301)&lt;=120,4,5)))),"fewer hinges than standard, ",""))</f>
        <v/>
      </c>
    </row>
    <row r="302" ht="15" customHeight="1">
      <c r="A302" s="77" t="n"/>
      <c r="B302" s="78" t="n"/>
      <c r="C302" s="78" t="n"/>
      <c r="D302" s="78" t="n"/>
      <c r="E302" s="78" t="n"/>
      <c r="F302" s="78" t="n"/>
      <c r="G302" s="78" t="n"/>
      <c r="H302" s="78" t="n"/>
      <c r="I302" s="78" t="n"/>
      <c r="J302" s="78" t="n"/>
      <c r="K302" s="78" t="n"/>
      <c r="L302" s="78" t="n"/>
      <c r="M302" s="78" t="n"/>
      <c r="N302" s="78" t="n"/>
      <c r="O302" s="78" t="n"/>
      <c r="P302" s="78" t="n"/>
      <c r="Q302" s="78" t="n"/>
      <c r="R302" s="78" t="n"/>
      <c r="S302" s="79" t="n"/>
      <c r="T302" s="79" t="n"/>
      <c r="U302" s="79" t="n"/>
      <c r="V302" s="79" t="n"/>
      <c r="W302" s="79" t="n"/>
      <c r="X302" s="79" t="n"/>
      <c r="Y302" s="79" t="n"/>
      <c r="Z302" s="79" t="n"/>
      <c r="AA302" s="79" t="n"/>
      <c r="AB302" s="79" t="n"/>
      <c r="AC302" s="79" t="n"/>
      <c r="AD302" s="79" t="n"/>
      <c r="AE302" s="79" t="n"/>
      <c r="AF302" s="79" t="n"/>
      <c r="AG302" s="79" t="n"/>
      <c r="AH302" s="80" t="n"/>
      <c r="AI302" s="80" t="n"/>
      <c r="AJ302" s="80" t="n"/>
      <c r="AK302" s="80" t="n"/>
      <c r="AL302" s="80" t="n"/>
      <c r="AM302" s="80" t="n"/>
      <c r="AN302" s="80" t="n"/>
      <c r="AO302" s="80" t="n"/>
      <c r="AP302" s="80" t="n"/>
      <c r="AQ302" s="80" t="n"/>
      <c r="AR302" s="80" t="n"/>
      <c r="AS302" s="80" t="n"/>
      <c r="AT302" s="81" t="n"/>
      <c r="AU302" s="81" t="n"/>
      <c r="AV302" s="81" t="n"/>
      <c r="AW302" s="82" t="n"/>
      <c r="AX302" s="82" t="n"/>
      <c r="AY302" s="82" t="n"/>
      <c r="AZ302" s="82" t="n"/>
      <c r="BA302" s="82" t="n"/>
      <c r="BB302" s="83" t="n"/>
      <c r="BC302" s="83" t="n"/>
      <c r="BD302" s="84">
        <f>IF($A302="","",IF($DJ302&lt;&gt;"","FIX",IF($DK302&lt;&gt;"","CHECK","OK")))</f>
        <v/>
      </c>
      <c r="BE302" s="85">
        <f>IF($A302="","",IF($DJ302&lt;&gt;"","FIX: "&amp;LEFT($DJ302,LEN($DJ302)-2)&amp;IF($DK302&lt;&gt;"","  ·  ",""),"")&amp;IF($DK302&lt;&gt;"","CHECK: "&amp;LEFT($DK302,LEN($DK302)-2),""))</f>
        <v/>
      </c>
      <c r="BF302" s="84">
        <f>IF(OR($A302="",$K302=""),"",$K302&amp;"'-"&amp;N($L302)&amp;CHAR(34)&amp;" x "&amp;$M302&amp;"'-"&amp;N($N302)&amp;CHAR(34))</f>
        <v/>
      </c>
      <c r="BG302" s="84">
        <f>IF(OR($A302="",$K302=""),"",$K302&amp;N($L302)&amp;$M302&amp;N($N302))</f>
        <v/>
      </c>
      <c r="BH302" s="84">
        <f>IF(OR($A302="",$K302=""),"",$K302*12+N($L302))</f>
        <v/>
      </c>
      <c r="BI302" s="84">
        <f>IF(OR($A302="",$M302=""),"",$M302*12+N($N302))</f>
        <v/>
      </c>
      <c r="BJ302" s="84">
        <f>IF($A302="","",IF(OR($C302="FRAME ONLY",$S302="BL"),0,IF($O302="Y",2,1)))</f>
        <v/>
      </c>
      <c r="BK302" s="86">
        <f>IF(OR(N($BJ302)=0,$BH302=""),"",($BH302-2*EdgeClr-IF($BJ302=2,MeetClr,0))/$BJ302)</f>
        <v/>
      </c>
      <c r="BL302" s="86">
        <f>IF(OR(N($BJ302)=0,$BI302=""),"",$BI302-HeadClr-Undercut)</f>
        <v/>
      </c>
      <c r="BM302" s="86">
        <f>IF($BH302="","",$BH302+2*FaceW+IF(N($Q302)&gt;0,($Q302+FaceW)*IF($R302="LR",2,1),0))</f>
        <v/>
      </c>
      <c r="BN302" s="86">
        <f>IF($BI302="","",$BI302+IF($AB302="Y",4,FaceW)+IF(N($P302)&gt;0,$P302+FaceW,0)+IF(OR($S302="4F",$S302="BL"),FaceW,0))</f>
        <v/>
      </c>
      <c r="BO302" s="86">
        <f>IF($BM302="","",$BM302+2*ROSide)</f>
        <v/>
      </c>
      <c r="BP302" s="86">
        <f>IF($BN302="","",$BN302+ROTop)</f>
        <v/>
      </c>
      <c r="BQ302" s="87">
        <f>IF(OR(N($BJ302)=0,$BH302=""),"",$BH302/$BJ302-ClearDeduct)</f>
        <v/>
      </c>
      <c r="BR302" s="84">
        <f>IF(N($CH302)=0,"",IF($CH302&gt;=180,"A · 3 HR",IF($CH302&gt;=90,"B · 1-1/2 HR",IF($CH302&gt;=60,"B · 1 HR",IF($CH302&gt;=45,"C · 3/4 HR","20 MIN")))))&amp;IF(AND(N($CH302)&gt;0,OR($I302="CORRIDOR",$I302="SMOKE BARRIER"))," · S","")</f>
        <v/>
      </c>
      <c r="BS302" s="84">
        <f>IF($CS302,"",IF($AV302&lt;&gt;"",$AV302,IF(OR($AC302="HGC",$AO302="HGC"),"CONT",IF(($BI302-HeadClr-Undercut)&lt;=60,2,IF(($BI302-HeadClr-Undercut)&lt;=90,3,IF(($BI302-HeadClr-Undercut)&lt;=120,4,5))))))</f>
        <v/>
      </c>
      <c r="BT302" s="84">
        <f>IF($CS302,"",IF($CT302,"CUSTOM (typed)",IF($CV302,$AT302&amp;" "&amp;$CU302&amp;CHAR(34)&amp;IF($CU302&lt;&gt;$BI302,IF(AND($BI302&lt;$CU302,$BI302-IF(N(VLOOKUP($AT302&amp;"|"&amp;$CU302,LocTable,7,FALSE))&gt;0,VLOOKUP($AT302&amp;"|"&amp;$CU302,LocTable,7,FALSE),VLOOKUP($AT302&amp;"|"&amp;$CU302,LocTable,6,FALSE))-$CR302-0.75&gt;=2.125)," cut down"," adj."),""),"ANSI/SDI A250.6")))</f>
        <v/>
      </c>
      <c r="BU302" s="88">
        <f>IF($CS302,"",IF($CT302,IF(N($AW302)&gt;0,N($AW302),""),IF(1&gt;$CQ302,"",IF($CQ302=1,$CW302,$CW302+($CX302-$CW302)*0/($CQ302-1)))))</f>
        <v/>
      </c>
      <c r="BV302" s="88">
        <f>IF($CS302,"",IF($CT302,IF(N($AX302)&gt;0,N($AX302),""),IF(2&gt;$CQ302,"",IF($CQ302=1,$CW302,$CW302+($CX302-$CW302)*1/($CQ302-1)))))</f>
        <v/>
      </c>
      <c r="BW302" s="88">
        <f>IF($CS302,"",IF($CT302,IF(N($AY302)&gt;0,N($AY302),""),IF(3&gt;$CQ302,"",IF($CQ302=1,$CW302,$CW302+($CX302-$CW302)*2/($CQ302-1)))))</f>
        <v/>
      </c>
      <c r="BX302" s="88">
        <f>IF($CS302,"",IF($CT302,IF(N($AZ302)&gt;0,N($AZ302),""),IF(4&gt;$CQ302,"",IF($CQ302=1,$CW302,$CW302+($CX302-$CW302)*3/($CQ302-1)))))</f>
        <v/>
      </c>
      <c r="BY302" s="88">
        <f>IF($CS302,"",IF($CT302,"",IF(5&gt;$CQ302,"",IF($CQ302=1,$CW302,$CW302+($CX302-$CW302)*4/($CQ302-1)))))</f>
        <v/>
      </c>
      <c r="BZ302" s="88">
        <f>IF(OR($CS302,$AP302="-",AND($AP302="",$AD302="")),"",IF(N($BA302)&gt;0,N($BA302),IF($CV302,IF(AND($BI302&lt;$CU302,$BI302-IF(N(VLOOKUP($AT302&amp;"|"&amp;$CU302,LocTable,7,FALSE))&gt;0,VLOOKUP($AT302&amp;"|"&amp;$CU302,LocTable,7,FALSE),VLOOKUP($AT302&amp;"|"&amp;$CU302,LocTable,6,FALSE))-$CR302-0.75&gt;=2.125),VLOOKUP($AT302&amp;"|"&amp;$CU302,LocTable,8,FALSE),VLOOKUP($AT302&amp;"|"&amp;$CU302,LocTable,8,FALSE)+($BI302-$CU302)),$BI302-LockAFF)))</f>
        <v/>
      </c>
      <c r="CA302" s="89">
        <f>IF($BZ302="","",$BI302-$BZ302)</f>
        <v/>
      </c>
      <c r="CB302" s="84">
        <f>IF(OR(NOT(AND($A302&lt;&gt;"",$C302&lt;&gt;"DOOR ONLY")),$BI302=""),"",IF(($BI302+IF(N($P302)&gt;0,$P302+FaceW,0))&lt;=90,3,IF(($BI302+IF(N($P302)&gt;0,$P302+FaceW,0))&lt;=114,4,5)))</f>
        <v/>
      </c>
      <c r="CC302" s="84">
        <f>IF($CB302="","",$CB302*(2+IF(N($Q302)&gt;0,IF($R302="LR",2,1),0)))</f>
        <v/>
      </c>
      <c r="CD302" s="84">
        <f>IF($CB302="","",(2+IF(N($Q302)&gt;0,IF($R302="LR",2,1),0)))</f>
        <v/>
      </c>
      <c r="CE302" s="84">
        <f>IF(N($BJ302)=0,"",IF(OR($AL302="",$AL302="FLUSH"),"FLUSH",IFERROR(LEFT($AL302,FIND("-",$AL302)-1),LEFT($AL302,2))))</f>
        <v/>
      </c>
      <c r="CF302" s="84">
        <f>IF($CE302="","",IFERROR(VALUE(MID($AL302,FIND("-",$AL302)+1,FIND(CHAR(34)&amp;"x",$AL302)-FIND("-",$AL302)-1)),0))</f>
        <v/>
      </c>
      <c r="CG302" s="84">
        <f>IF($CE302="","",IFERROR(VALUE(MID($AL302,FIND(CHAR(34)&amp;"x",$AL302)+2,FIND(CHAR(34),$AL302,FIND(CHAR(34)&amp;"x",$AL302)+2)-FIND(CHAR(34)&amp;"x",$AL302)-2)),0))</f>
        <v/>
      </c>
      <c r="CH302" s="90">
        <f>IF(OR($A302="",$H302="",$H302="NO LAB"),0,IFERROR(VALUE(LEFT($H302,FIND(" ",$H302)-1)),0))</f>
        <v/>
      </c>
      <c r="CI302" s="91">
        <f>IF(OR($A302="",$I302="",$I302="NON-RATED",N($J302)=0),"",IFERROR(VLOOKUP($I302&amp;"|"&amp;$J302,IBC,2,FALSE),"?"))</f>
        <v/>
      </c>
      <c r="CJ302" s="85">
        <f>IF(NOT(AND($A302&lt;&gt;"",$C302&lt;&gt;"DOOR ONLY")),"",TRIM(IFERROR(VLOOKUP($U302,CODES,2,FALSE),"")&amp;" "&amp;$BG302&amp;" "&amp;IFERROR(VLOOKUP($Z302,CODES,2,FALSE),"")&amp;" "&amp;IFERROR(VLOOKUP($X302,CODES,2,FALSE),"")&amp;" "&amp;IFERROR(VLOOKUP($S302,CODES,2,FALSE),"")&amp;IF(N($P302)&gt;0," w/TRANSOM "&amp;$P302&amp;CHAR(34),"")&amp;IF(N($Q302)&gt;0," w/SIDELITE "&amp;$Q302&amp;CHAR(34)&amp;" "&amp;IF($R302="","R",$R302),"")&amp;IF($Y302="","  |  "," | "&amp;IFERROR(VLOOKUP($Y302,CODES,2,FALSE),"")&amp;" | ")&amp;IFERROR(VLOOKUP($AC302,CODES,2,FALSE),"")&amp;" "&amp;IFERROR(VLOOKUP($AD302,CODES,2,FALSE),"")&amp;IF(OR($AE302="",$AE302="-"),""," "&amp;$AE302)&amp;IF(OR($AF302="",$AF302="-"),""," "&amp;$AF302)&amp;IF($AB302="Y"," 4"&amp;CHAR(34)&amp;" HEAD","")&amp;" "&amp;IFERROR(VLOOKUP($H302,CODES,2,FALSE),"")&amp;IF($CT302," | LOC "&amp;$CY302,"")))</f>
        <v/>
      </c>
      <c r="CK302" s="85">
        <f>IF(NOT(AND($A302&lt;&gt;"",N($BJ302)&gt;0)),"",TRIM(IFERROR(VLOOKUP($AH302,CODES,2,FALSE),"")&amp;IF($AI302=""," "," "&amp;$AI302&amp;"GA ")&amp;$BG302&amp;" "&amp;IF($AN302="",IFERROR(VLOOKUP($Z302,CODES,2,FALSE),""),IFERROR(VLOOKUP($AN302,CODES,2,FALSE),""))&amp;IF($BJ302=2," PAIR","")&amp;" DOOR | "&amp;IF($AL302="","?",$AL302)&amp;" | "&amp;IF($AO302="",IFERROR(VLOOKUP($AC302,CODES,2,FALSE),""),IFERROR(VLOOKUP($AO302,CODES,2,FALSE),""))&amp;" "&amp;IFERROR(VLOOKUP($AP302,CODES,2,FALSE),"")&amp;IF(OR($AQ302="",$AQ302="-"),""," SEAM "&amp;$AQ302)&amp;IF($AR302="Y"," ASTRAGAL","")&amp;IF($AJ302=""," "," "&amp;$AJ302)&amp;IF($AK302=""," "," "&amp;$AK302)&amp;IF(OR($AT302="",$AT302="ANSI/SDI",$AT302="CUSTOM LOC"),""," "&amp;$AT302)&amp;IF($AM302=""," "," SERIES "&amp;$AM302)&amp;" "&amp;IFERROR(VLOOKUP($H302,CODES,2,FALSE),"")&amp;IF($CT302," | LOC "&amp;$CZ302,"")))</f>
        <v/>
      </c>
      <c r="CL302" s="84">
        <f>IF(CP302="","",IF(COUNTIF($CP$6:CP302,CP302)=1,MAX($CL$5:CL301)+1,INDEX($CL$5:CL301,MATCH(CP302,$CP$5:CP301,0))))</f>
        <v/>
      </c>
      <c r="CM302" s="84">
        <f>IF(NOT(AND($A302&lt;&gt;"",$C302&lt;&gt;"DOOR ONLY")),"",MAX($CM$5:CM301)+1)</f>
        <v/>
      </c>
      <c r="CN302" s="84">
        <f>IF(NOT(AND($A302&lt;&gt;"",N($BJ302)&gt;0)),"",MAX($CN$5:CN301)+1)</f>
        <v/>
      </c>
      <c r="CO302" s="84">
        <f>IF($A302="","",MAX($CO$5:CO301)+1)</f>
        <v/>
      </c>
      <c r="CP302" s="84">
        <f>IF(OR($A302="",$BH302="",$BI302=""),"",$BG302&amp;"|"&amp;$O302&amp;"|"&amp;$AL302&amp;"|"&amp;$S302&amp;"|"&amp;$P302&amp;"|"&amp;$Q302&amp;$R302&amp;"|"&amp;$C302&amp;"|"&amp;$AB302)</f>
        <v/>
      </c>
      <c r="CQ302" s="84">
        <f>N($BS302)</f>
        <v/>
      </c>
      <c r="CR302" s="84">
        <f>IF(N($AU302)&gt;0,N($AU302),4.5)</f>
        <v/>
      </c>
      <c r="CS302" s="84">
        <f>OR($A302="",$BI302="",$S302="BL",AND($C302="FRAME ONLY",OR($AC302="",$AC302="BLK")))</f>
        <v/>
      </c>
      <c r="CT302" s="84">
        <f>AND(NOT($CS302),OR($AT302="CUSTOM LOC",N($AW302)+N($AX302)+N($AY302)+N($AZ302)+N($BA302)&gt;0))</f>
        <v/>
      </c>
      <c r="CU302" s="84">
        <f>IF($BI302="","",IF($BI302&lt;=80,80,IF($BI302&lt;=84,84,96)))</f>
        <v/>
      </c>
      <c r="CV302" s="84">
        <f>ISNUMBER(MATCH($AT302&amp;"|80",LocKeys,0))</f>
        <v/>
      </c>
      <c r="CW302" s="86">
        <f>IF($CS302,"",IF($CV302,VLOOKUP($AT302&amp;"|"&amp;$CU302,LocTable,4,FALSE),5))</f>
        <v/>
      </c>
      <c r="CX302" s="86">
        <f>IF($CS302,"",IF($CV302,IF(OR($BI302=$CU302,AND($BI302&lt;$CU302,$BI302-IF(N(VLOOKUP($AT302&amp;"|"&amp;$CU302,LocTable,7,FALSE))&gt;0,VLOOKUP($AT302&amp;"|"&amp;$CU302,LocTable,7,FALSE),VLOOKUP($AT302&amp;"|"&amp;$CU302,LocTable,6,FALSE))-$CR302-0.75&gt;=2.125)),IF(N(VLOOKUP($AT302&amp;"|"&amp;$CU302,LocTable,7,FALSE))&gt;0,VLOOKUP($AT302&amp;"|"&amp;$CU302,LocTable,7,FALSE),VLOOKUP($AT302&amp;"|"&amp;$CU302,LocTable,6,FALSE)),$BI302-($CU302-IF(N(VLOOKUP($AT302&amp;"|"&amp;$CU302,LocTable,7,FALSE))&gt;0,VLOOKUP($AT302&amp;"|"&amp;$CU302,LocTable,7,FALSE),VLOOKUP($AT302&amp;"|"&amp;$CU302,LocTable,6,FALSE)))),$BI302-10-$CR302))</f>
        <v/>
      </c>
      <c r="CY302" s="85">
        <f>IF($CS302,"",TRIM(IF(ISNUMBER($BU302),"A "&amp;TRIM(TEXT($BU302,"# ?/??"))&amp;CHAR(34)&amp;"  ","")&amp;IF(ISNUMBER($BV302),"B "&amp;TRIM(TEXT($BV302,"# ?/??"))&amp;CHAR(34)&amp;"  ","")&amp;IF(ISNUMBER($BW302),"C "&amp;TRIM(TEXT($BW302,"# ?/??"))&amp;CHAR(34)&amp;"  ","")&amp;IF(ISNUMBER($BX302),"D "&amp;TRIM(TEXT($BX302,"# ?/??"))&amp;CHAR(34)&amp;"  ","")&amp;IF(ISNUMBER($BY302),"F "&amp;TRIM(TEXT($BY302,"# ?/??"))&amp;CHAR(34)&amp;"  ","")&amp;IF(ISNUMBER($BZ302),"E "&amp;TRIM(TEXT($BZ302,"# ?/??"))&amp;CHAR(34)&amp;"  ","")))</f>
        <v/>
      </c>
      <c r="CZ302" s="85">
        <f>IF(OR($CS302,N($BJ302)=0),"",TRIM(IF(ISNUMBER($BU302),"A "&amp;TRIM(TEXT($BU302-HeadClr,"# ?/??"))&amp;CHAR(34)&amp;"  ","")&amp;IF(ISNUMBER($BV302),"B "&amp;TRIM(TEXT($BV302-HeadClr,"# ?/??"))&amp;CHAR(34)&amp;"  ","")&amp;IF(ISNUMBER($BW302),"C "&amp;TRIM(TEXT($BW302-HeadClr,"# ?/??"))&amp;CHAR(34)&amp;"  ","")&amp;IF(ISNUMBER($BX302),"D "&amp;TRIM(TEXT($BX302-HeadClr,"# ?/??"))&amp;CHAR(34)&amp;"  ","")&amp;IF(ISNUMBER($BY302),"F "&amp;TRIM(TEXT($BY302-HeadClr,"# ?/??"))&amp;CHAR(34)&amp;"  ","")&amp;IF(ISNUMBER($BZ302),"E "&amp;TRIM(TEXT($BZ302-HeadClr,"# ?/??"))&amp;CHAR(34)&amp;"  ","")))</f>
        <v/>
      </c>
      <c r="DA302" s="84">
        <f>IF($A302="","",IF($AN302="",IFERROR(VLOOKUP($Z302,CODES,2,FALSE),""),IFERROR(VLOOKUP($AN302,CODES,2,FALSE),"")))</f>
        <v/>
      </c>
      <c r="DB302" s="84">
        <f>IF($A302="","",IF($O302="Y","PR",IF(OR($Z302="L",$Z302="RR",LEFT($Z302,2)="L-",LEFT($Z302,3)="RR-"),"LH","RH")))</f>
        <v/>
      </c>
      <c r="DC302" s="84">
        <f>IF($A302="","","S.HM"&amp;IF(OR($C302="DOOR ONLY",$X302&lt;&gt;"KD"),"MASONRY","DRYWALL")&amp;IF($C302="DOOR ONLY","",$U302)&amp;IF(AND($C302&lt;&gt;"FRAME ONLY",OR(LEFT($AH302,3)="OAK",LEFT($AH302,3)="BIR",LEFT($AH302,3)="MAP",$AH302="PC",$AH302="MC",$AH302="SCLC",$AH302="P-LAM")),"WD","HM")&amp;"1.75")</f>
        <v/>
      </c>
      <c r="DD302" s="84">
        <f>IF($CJ302="","",IF($O302="Y",$CJ302,SUBSTITUTE($CJ302,$BG302&amp;" "&amp;IFERROR(VLOOKUP($Z302,CODES,2,FALSE),"")&amp;" ",$BG302&amp;" ")))</f>
        <v/>
      </c>
      <c r="DE302" s="84">
        <f>IF($CK302="","",IF($O302="Y",$CK302,SUBSTITUTE($CK302,$BG302&amp;" "&amp;IF($AN302="",IFERROR(VLOOKUP($Z302,CODES,2,FALSE),""),IFERROR(VLOOKUP($AN302,CODES,2,FALSE),""))&amp;" ",$BG302&amp;" ")))</f>
        <v/>
      </c>
      <c r="DF302" s="84">
        <f>IF($CJ302="","",$DC302&amp;"|"&amp;$DD302&amp;"|"&amp;$DB302&amp;"|"&amp;$AT302&amp;"|"&amp;$V302&amp;"|"&amp;$Y302&amp;"|"&amp;$AB302)</f>
        <v/>
      </c>
      <c r="DG302" s="84">
        <f>IF(DF302="","",IF(COUNTIF($DF$6:DF302,DF302)=1,MAX($DG$5:DG301)+1,INDEX($DG$5:DG301,MATCH(DF302,$DF$5:DF301,0))))</f>
        <v/>
      </c>
      <c r="DH302" s="84">
        <f>IF($CK302="","",$DC302&amp;"|"&amp;$DE302&amp;"|"&amp;$AI302&amp;"|"&amp;$BK302&amp;"|"&amp;$BL302)</f>
        <v/>
      </c>
      <c r="DI302" s="84">
        <f>IF(DH302="","",IF(COUNTIF($DH$6:DH302,DH302)=1,MAX($DI$5:DI301)+1,INDEX($DI$5:DI301,MATCH(DH302,$DH$5:DH301,0))))</f>
        <v/>
      </c>
      <c r="DJ302" s="84">
        <f>IF($A302="","",IF($B302="","qty, ","")&amp;IF($C302="","scope, ","")&amp;IF(OR($K302="",$M302=""),"size, ","")&amp;IF(AND($A302&lt;&gt;"",$C302&lt;&gt;"DOOR ONLY"),IF($U302="","jamb depth, ","")&amp;IF($X302="","construction, ","")&amp;IF($Y302="","anchor, ","")&amp;IF($S302="","frame type, ",""),"")&amp;IF(AND(N($BJ302)&gt;0,$Z302=""),"hand, ","")&amp;IF(N($BJ302)&gt;0,IF($AH302="","door material, ","")&amp;IF($AL302="","face type, ","")&amp;IF($AP302="","lock prep, ","")&amp;IF(AND($AO302="",$AC302=""),"hinge prep, ",""),"")&amp;IF(AND($CH302&gt;0,$AH302="FRP"),"FRP cannot carry a label, ","")&amp;IF(AND($O302="Y",OR($Z302="L",$Z302="R",$Z302="LR",$Z302="RR")),"pair marked but hand is single, ","")&amp;IF(AND($O302&lt;&gt;"Y",OR($Z302="PR",AND(LEN($Z302)&gt;1,ISNUMBER(SEARCH("-",$Z302))))),"pair hand on a single door, ","")&amp;IF(AND(ISNUMBER($CI302),$CH302&lt;N($CI302)),"wall needs a "&amp;$CI302&amp;" min door, ","")&amp;IF(AND($CH302&gt;=180,AND(OR($CE302="FG",$CE302="HG",$CE302="FNV",$CE302="FV"),N($CF302)*N($CG302)&gt;100)),"180 min lite over 100 sq in, ","")&amp;IF(N($BK302)&gt;48,"leaf wider than 4'-0"&amp;CHAR(34)&amp;", ","")&amp;IF(AND($CT302,COUNT($AW302:$AZ302)=0,$CQ302&gt;0),"CUSTOM LOC with no locations typed, ",""))</f>
        <v/>
      </c>
      <c r="DK302" s="84">
        <f>IF($A302="","",IF(AND($CH302&gt;0,AND($A302&lt;&gt;"",$C302&lt;&gt;"DOOR ONLY"),$X302="KD",$E302="EXTERIOR"),"KD label on an exterior opening, ","")&amp;IF(AND($E302="EXTERIOR",OR(AND(AND($A302&lt;&gt;"",$C302&lt;&gt;"DOOR ONLY"),$W302="CR"),AND(N($BJ302)&gt;0,$AH302="CR"))),"exterior in CR steel (G9?), ","")&amp;IF(AND(ISNUMBER($BQ302),N($BQ302)&lt;32),"clear width ~"&amp;TEXT($BQ302,"0.0")&amp;CHAR(34)&amp;" under 32"&amp;CHAR(34)&amp;" (ADA), ","")&amp;IF(AND($CH302=90,AND(OR($CE302="FG",$CE302="HG",$CE302="FNV",$CE302="FV"),N($CF302)*N($CG302)&gt;100)),"90 min lite over 100 sq in (stair/exit), ","")&amp;IF(AND($CH302&gt;0,AND($A302&lt;&gt;"",$C302&lt;&gt;"DOOR ONLY"),OR($AF302="",$AF302="-")),"rated: closer reinf.?, ","")&amp;IF(OR($I302="CORRIDOR",$I302="SMOKE BARRIER"),"S label + smoke gasketing, ","")&amp;IF($CI302="?","wall type/hr not in IBC table, ","")&amp;IF(AND(N($BJ302)&gt;0,$BB302=""),"no hardware set, ","")&amp;IF(AND($BB302&lt;&gt;"",ISNA(MATCH($BB302&amp;"",HWSets,0))),"set "&amp;$BB302&amp;" not on HW Sets, ","")&amp;IF(N($BL302)&gt;96,"leaf over 8'-0"&amp;CHAR(34)&amp;" - check listing, ","")&amp;IF(AND($CT302,COUNT($AW302:$AZ302)&gt;0,COUNT($AW302:$AZ302)&lt;&gt;$CQ302),COUNT($AW302:$AZ302)&amp;" custom hinges typed, "&amp;$CQ302&amp;" expected, ","")&amp;IF(AND(ISNUMBER($CA302),OR(N($CA302)&lt;34,N($CA302)&gt;48)),"lock "&amp;TEXT($CA302,"0.0")&amp;CHAR(34)&amp;" AFF outside 34-48"&amp;CHAR(34)&amp;" (ADA), ","")&amp;IF(AND(ISNUMBER($AV302),ISNUMBER($BL302),N($AV302)&lt;IF(N($BL302)&lt;=60,2,IF(N($BL302)&lt;=90,3,IF(N($BL302)&lt;=120,4,5)))),"fewer hinges than standard, ",""))</f>
        <v/>
      </c>
    </row>
    <row r="303" ht="15" customHeight="1">
      <c r="A303" s="77" t="n"/>
      <c r="B303" s="78" t="n"/>
      <c r="C303" s="78" t="n"/>
      <c r="D303" s="78" t="n"/>
      <c r="E303" s="78" t="n"/>
      <c r="F303" s="78" t="n"/>
      <c r="G303" s="78" t="n"/>
      <c r="H303" s="78" t="n"/>
      <c r="I303" s="78" t="n"/>
      <c r="J303" s="78" t="n"/>
      <c r="K303" s="78" t="n"/>
      <c r="L303" s="78" t="n"/>
      <c r="M303" s="78" t="n"/>
      <c r="N303" s="78" t="n"/>
      <c r="O303" s="78" t="n"/>
      <c r="P303" s="78" t="n"/>
      <c r="Q303" s="78" t="n"/>
      <c r="R303" s="78" t="n"/>
      <c r="S303" s="79" t="n"/>
      <c r="T303" s="79" t="n"/>
      <c r="U303" s="79" t="n"/>
      <c r="V303" s="79" t="n"/>
      <c r="W303" s="79" t="n"/>
      <c r="X303" s="79" t="n"/>
      <c r="Y303" s="79" t="n"/>
      <c r="Z303" s="79" t="n"/>
      <c r="AA303" s="79" t="n"/>
      <c r="AB303" s="79" t="n"/>
      <c r="AC303" s="79" t="n"/>
      <c r="AD303" s="79" t="n"/>
      <c r="AE303" s="79" t="n"/>
      <c r="AF303" s="79" t="n"/>
      <c r="AG303" s="79" t="n"/>
      <c r="AH303" s="80" t="n"/>
      <c r="AI303" s="80" t="n"/>
      <c r="AJ303" s="80" t="n"/>
      <c r="AK303" s="80" t="n"/>
      <c r="AL303" s="80" t="n"/>
      <c r="AM303" s="80" t="n"/>
      <c r="AN303" s="80" t="n"/>
      <c r="AO303" s="80" t="n"/>
      <c r="AP303" s="80" t="n"/>
      <c r="AQ303" s="80" t="n"/>
      <c r="AR303" s="80" t="n"/>
      <c r="AS303" s="80" t="n"/>
      <c r="AT303" s="81" t="n"/>
      <c r="AU303" s="81" t="n"/>
      <c r="AV303" s="81" t="n"/>
      <c r="AW303" s="82" t="n"/>
      <c r="AX303" s="82" t="n"/>
      <c r="AY303" s="82" t="n"/>
      <c r="AZ303" s="82" t="n"/>
      <c r="BA303" s="82" t="n"/>
      <c r="BB303" s="83" t="n"/>
      <c r="BC303" s="83" t="n"/>
      <c r="BD303" s="84">
        <f>IF($A303="","",IF($DJ303&lt;&gt;"","FIX",IF($DK303&lt;&gt;"","CHECK","OK")))</f>
        <v/>
      </c>
      <c r="BE303" s="85">
        <f>IF($A303="","",IF($DJ303&lt;&gt;"","FIX: "&amp;LEFT($DJ303,LEN($DJ303)-2)&amp;IF($DK303&lt;&gt;"","  ·  ",""),"")&amp;IF($DK303&lt;&gt;"","CHECK: "&amp;LEFT($DK303,LEN($DK303)-2),""))</f>
        <v/>
      </c>
      <c r="BF303" s="84">
        <f>IF(OR($A303="",$K303=""),"",$K303&amp;"'-"&amp;N($L303)&amp;CHAR(34)&amp;" x "&amp;$M303&amp;"'-"&amp;N($N303)&amp;CHAR(34))</f>
        <v/>
      </c>
      <c r="BG303" s="84">
        <f>IF(OR($A303="",$K303=""),"",$K303&amp;N($L303)&amp;$M303&amp;N($N303))</f>
        <v/>
      </c>
      <c r="BH303" s="84">
        <f>IF(OR($A303="",$K303=""),"",$K303*12+N($L303))</f>
        <v/>
      </c>
      <c r="BI303" s="84">
        <f>IF(OR($A303="",$M303=""),"",$M303*12+N($N303))</f>
        <v/>
      </c>
      <c r="BJ303" s="84">
        <f>IF($A303="","",IF(OR($C303="FRAME ONLY",$S303="BL"),0,IF($O303="Y",2,1)))</f>
        <v/>
      </c>
      <c r="BK303" s="86">
        <f>IF(OR(N($BJ303)=0,$BH303=""),"",($BH303-2*EdgeClr-IF($BJ303=2,MeetClr,0))/$BJ303)</f>
        <v/>
      </c>
      <c r="BL303" s="86">
        <f>IF(OR(N($BJ303)=0,$BI303=""),"",$BI303-HeadClr-Undercut)</f>
        <v/>
      </c>
      <c r="BM303" s="86">
        <f>IF($BH303="","",$BH303+2*FaceW+IF(N($Q303)&gt;0,($Q303+FaceW)*IF($R303="LR",2,1),0))</f>
        <v/>
      </c>
      <c r="BN303" s="86">
        <f>IF($BI303="","",$BI303+IF($AB303="Y",4,FaceW)+IF(N($P303)&gt;0,$P303+FaceW,0)+IF(OR($S303="4F",$S303="BL"),FaceW,0))</f>
        <v/>
      </c>
      <c r="BO303" s="86">
        <f>IF($BM303="","",$BM303+2*ROSide)</f>
        <v/>
      </c>
      <c r="BP303" s="86">
        <f>IF($BN303="","",$BN303+ROTop)</f>
        <v/>
      </c>
      <c r="BQ303" s="87">
        <f>IF(OR(N($BJ303)=0,$BH303=""),"",$BH303/$BJ303-ClearDeduct)</f>
        <v/>
      </c>
      <c r="BR303" s="84">
        <f>IF(N($CH303)=0,"",IF($CH303&gt;=180,"A · 3 HR",IF($CH303&gt;=90,"B · 1-1/2 HR",IF($CH303&gt;=60,"B · 1 HR",IF($CH303&gt;=45,"C · 3/4 HR","20 MIN")))))&amp;IF(AND(N($CH303)&gt;0,OR($I303="CORRIDOR",$I303="SMOKE BARRIER"))," · S","")</f>
        <v/>
      </c>
      <c r="BS303" s="84">
        <f>IF($CS303,"",IF($AV303&lt;&gt;"",$AV303,IF(OR($AC303="HGC",$AO303="HGC"),"CONT",IF(($BI303-HeadClr-Undercut)&lt;=60,2,IF(($BI303-HeadClr-Undercut)&lt;=90,3,IF(($BI303-HeadClr-Undercut)&lt;=120,4,5))))))</f>
        <v/>
      </c>
      <c r="BT303" s="84">
        <f>IF($CS303,"",IF($CT303,"CUSTOM (typed)",IF($CV303,$AT303&amp;" "&amp;$CU303&amp;CHAR(34)&amp;IF($CU303&lt;&gt;$BI303,IF(AND($BI303&lt;$CU303,$BI303-IF(N(VLOOKUP($AT303&amp;"|"&amp;$CU303,LocTable,7,FALSE))&gt;0,VLOOKUP($AT303&amp;"|"&amp;$CU303,LocTable,7,FALSE),VLOOKUP($AT303&amp;"|"&amp;$CU303,LocTable,6,FALSE))-$CR303-0.75&gt;=2.125)," cut down"," adj."),""),"ANSI/SDI A250.6")))</f>
        <v/>
      </c>
      <c r="BU303" s="88">
        <f>IF($CS303,"",IF($CT303,IF(N($AW303)&gt;0,N($AW303),""),IF(1&gt;$CQ303,"",IF($CQ303=1,$CW303,$CW303+($CX303-$CW303)*0/($CQ303-1)))))</f>
        <v/>
      </c>
      <c r="BV303" s="88">
        <f>IF($CS303,"",IF($CT303,IF(N($AX303)&gt;0,N($AX303),""),IF(2&gt;$CQ303,"",IF($CQ303=1,$CW303,$CW303+($CX303-$CW303)*1/($CQ303-1)))))</f>
        <v/>
      </c>
      <c r="BW303" s="88">
        <f>IF($CS303,"",IF($CT303,IF(N($AY303)&gt;0,N($AY303),""),IF(3&gt;$CQ303,"",IF($CQ303=1,$CW303,$CW303+($CX303-$CW303)*2/($CQ303-1)))))</f>
        <v/>
      </c>
      <c r="BX303" s="88">
        <f>IF($CS303,"",IF($CT303,IF(N($AZ303)&gt;0,N($AZ303),""),IF(4&gt;$CQ303,"",IF($CQ303=1,$CW303,$CW303+($CX303-$CW303)*3/($CQ303-1)))))</f>
        <v/>
      </c>
      <c r="BY303" s="88">
        <f>IF($CS303,"",IF($CT303,"",IF(5&gt;$CQ303,"",IF($CQ303=1,$CW303,$CW303+($CX303-$CW303)*4/($CQ303-1)))))</f>
        <v/>
      </c>
      <c r="BZ303" s="88">
        <f>IF(OR($CS303,$AP303="-",AND($AP303="",$AD303="")),"",IF(N($BA303)&gt;0,N($BA303),IF($CV303,IF(AND($BI303&lt;$CU303,$BI303-IF(N(VLOOKUP($AT303&amp;"|"&amp;$CU303,LocTable,7,FALSE))&gt;0,VLOOKUP($AT303&amp;"|"&amp;$CU303,LocTable,7,FALSE),VLOOKUP($AT303&amp;"|"&amp;$CU303,LocTable,6,FALSE))-$CR303-0.75&gt;=2.125),VLOOKUP($AT303&amp;"|"&amp;$CU303,LocTable,8,FALSE),VLOOKUP($AT303&amp;"|"&amp;$CU303,LocTable,8,FALSE)+($BI303-$CU303)),$BI303-LockAFF)))</f>
        <v/>
      </c>
      <c r="CA303" s="89">
        <f>IF($BZ303="","",$BI303-$BZ303)</f>
        <v/>
      </c>
      <c r="CB303" s="84">
        <f>IF(OR(NOT(AND($A303&lt;&gt;"",$C303&lt;&gt;"DOOR ONLY")),$BI303=""),"",IF(($BI303+IF(N($P303)&gt;0,$P303+FaceW,0))&lt;=90,3,IF(($BI303+IF(N($P303)&gt;0,$P303+FaceW,0))&lt;=114,4,5)))</f>
        <v/>
      </c>
      <c r="CC303" s="84">
        <f>IF($CB303="","",$CB303*(2+IF(N($Q303)&gt;0,IF($R303="LR",2,1),0)))</f>
        <v/>
      </c>
      <c r="CD303" s="84">
        <f>IF($CB303="","",(2+IF(N($Q303)&gt;0,IF($R303="LR",2,1),0)))</f>
        <v/>
      </c>
      <c r="CE303" s="84">
        <f>IF(N($BJ303)=0,"",IF(OR($AL303="",$AL303="FLUSH"),"FLUSH",IFERROR(LEFT($AL303,FIND("-",$AL303)-1),LEFT($AL303,2))))</f>
        <v/>
      </c>
      <c r="CF303" s="84">
        <f>IF($CE303="","",IFERROR(VALUE(MID($AL303,FIND("-",$AL303)+1,FIND(CHAR(34)&amp;"x",$AL303)-FIND("-",$AL303)-1)),0))</f>
        <v/>
      </c>
      <c r="CG303" s="84">
        <f>IF($CE303="","",IFERROR(VALUE(MID($AL303,FIND(CHAR(34)&amp;"x",$AL303)+2,FIND(CHAR(34),$AL303,FIND(CHAR(34)&amp;"x",$AL303)+2)-FIND(CHAR(34)&amp;"x",$AL303)-2)),0))</f>
        <v/>
      </c>
      <c r="CH303" s="90">
        <f>IF(OR($A303="",$H303="",$H303="NO LAB"),0,IFERROR(VALUE(LEFT($H303,FIND(" ",$H303)-1)),0))</f>
        <v/>
      </c>
      <c r="CI303" s="91">
        <f>IF(OR($A303="",$I303="",$I303="NON-RATED",N($J303)=0),"",IFERROR(VLOOKUP($I303&amp;"|"&amp;$J303,IBC,2,FALSE),"?"))</f>
        <v/>
      </c>
      <c r="CJ303" s="85">
        <f>IF(NOT(AND($A303&lt;&gt;"",$C303&lt;&gt;"DOOR ONLY")),"",TRIM(IFERROR(VLOOKUP($U303,CODES,2,FALSE),"")&amp;" "&amp;$BG303&amp;" "&amp;IFERROR(VLOOKUP($Z303,CODES,2,FALSE),"")&amp;" "&amp;IFERROR(VLOOKUP($X303,CODES,2,FALSE),"")&amp;" "&amp;IFERROR(VLOOKUP($S303,CODES,2,FALSE),"")&amp;IF(N($P303)&gt;0," w/TRANSOM "&amp;$P303&amp;CHAR(34),"")&amp;IF(N($Q303)&gt;0," w/SIDELITE "&amp;$Q303&amp;CHAR(34)&amp;" "&amp;IF($R303="","R",$R303),"")&amp;IF($Y303="","  |  "," | "&amp;IFERROR(VLOOKUP($Y303,CODES,2,FALSE),"")&amp;" | ")&amp;IFERROR(VLOOKUP($AC303,CODES,2,FALSE),"")&amp;" "&amp;IFERROR(VLOOKUP($AD303,CODES,2,FALSE),"")&amp;IF(OR($AE303="",$AE303="-"),""," "&amp;$AE303)&amp;IF(OR($AF303="",$AF303="-"),""," "&amp;$AF303)&amp;IF($AB303="Y"," 4"&amp;CHAR(34)&amp;" HEAD","")&amp;" "&amp;IFERROR(VLOOKUP($H303,CODES,2,FALSE),"")&amp;IF($CT303," | LOC "&amp;$CY303,"")))</f>
        <v/>
      </c>
      <c r="CK303" s="85">
        <f>IF(NOT(AND($A303&lt;&gt;"",N($BJ303)&gt;0)),"",TRIM(IFERROR(VLOOKUP($AH303,CODES,2,FALSE),"")&amp;IF($AI303=""," "," "&amp;$AI303&amp;"GA ")&amp;$BG303&amp;" "&amp;IF($AN303="",IFERROR(VLOOKUP($Z303,CODES,2,FALSE),""),IFERROR(VLOOKUP($AN303,CODES,2,FALSE),""))&amp;IF($BJ303=2," PAIR","")&amp;" DOOR | "&amp;IF($AL303="","?",$AL303)&amp;" | "&amp;IF($AO303="",IFERROR(VLOOKUP($AC303,CODES,2,FALSE),""),IFERROR(VLOOKUP($AO303,CODES,2,FALSE),""))&amp;" "&amp;IFERROR(VLOOKUP($AP303,CODES,2,FALSE),"")&amp;IF(OR($AQ303="",$AQ303="-"),""," SEAM "&amp;$AQ303)&amp;IF($AR303="Y"," ASTRAGAL","")&amp;IF($AJ303=""," "," "&amp;$AJ303)&amp;IF($AK303=""," "," "&amp;$AK303)&amp;IF(OR($AT303="",$AT303="ANSI/SDI",$AT303="CUSTOM LOC"),""," "&amp;$AT303)&amp;IF($AM303=""," "," SERIES "&amp;$AM303)&amp;" "&amp;IFERROR(VLOOKUP($H303,CODES,2,FALSE),"")&amp;IF($CT303," | LOC "&amp;$CZ303,"")))</f>
        <v/>
      </c>
      <c r="CL303" s="84">
        <f>IF(CP303="","",IF(COUNTIF($CP$6:CP303,CP303)=1,MAX($CL$5:CL302)+1,INDEX($CL$5:CL302,MATCH(CP303,$CP$5:CP302,0))))</f>
        <v/>
      </c>
      <c r="CM303" s="84">
        <f>IF(NOT(AND($A303&lt;&gt;"",$C303&lt;&gt;"DOOR ONLY")),"",MAX($CM$5:CM302)+1)</f>
        <v/>
      </c>
      <c r="CN303" s="84">
        <f>IF(NOT(AND($A303&lt;&gt;"",N($BJ303)&gt;0)),"",MAX($CN$5:CN302)+1)</f>
        <v/>
      </c>
      <c r="CO303" s="84">
        <f>IF($A303="","",MAX($CO$5:CO302)+1)</f>
        <v/>
      </c>
      <c r="CP303" s="84">
        <f>IF(OR($A303="",$BH303="",$BI303=""),"",$BG303&amp;"|"&amp;$O303&amp;"|"&amp;$AL303&amp;"|"&amp;$S303&amp;"|"&amp;$P303&amp;"|"&amp;$Q303&amp;$R303&amp;"|"&amp;$C303&amp;"|"&amp;$AB303)</f>
        <v/>
      </c>
      <c r="CQ303" s="84">
        <f>N($BS303)</f>
        <v/>
      </c>
      <c r="CR303" s="84">
        <f>IF(N($AU303)&gt;0,N($AU303),4.5)</f>
        <v/>
      </c>
      <c r="CS303" s="84">
        <f>OR($A303="",$BI303="",$S303="BL",AND($C303="FRAME ONLY",OR($AC303="",$AC303="BLK")))</f>
        <v/>
      </c>
      <c r="CT303" s="84">
        <f>AND(NOT($CS303),OR($AT303="CUSTOM LOC",N($AW303)+N($AX303)+N($AY303)+N($AZ303)+N($BA303)&gt;0))</f>
        <v/>
      </c>
      <c r="CU303" s="84">
        <f>IF($BI303="","",IF($BI303&lt;=80,80,IF($BI303&lt;=84,84,96)))</f>
        <v/>
      </c>
      <c r="CV303" s="84">
        <f>ISNUMBER(MATCH($AT303&amp;"|80",LocKeys,0))</f>
        <v/>
      </c>
      <c r="CW303" s="86">
        <f>IF($CS303,"",IF($CV303,VLOOKUP($AT303&amp;"|"&amp;$CU303,LocTable,4,FALSE),5))</f>
        <v/>
      </c>
      <c r="CX303" s="86">
        <f>IF($CS303,"",IF($CV303,IF(OR($BI303=$CU303,AND($BI303&lt;$CU303,$BI303-IF(N(VLOOKUP($AT303&amp;"|"&amp;$CU303,LocTable,7,FALSE))&gt;0,VLOOKUP($AT303&amp;"|"&amp;$CU303,LocTable,7,FALSE),VLOOKUP($AT303&amp;"|"&amp;$CU303,LocTable,6,FALSE))-$CR303-0.75&gt;=2.125)),IF(N(VLOOKUP($AT303&amp;"|"&amp;$CU303,LocTable,7,FALSE))&gt;0,VLOOKUP($AT303&amp;"|"&amp;$CU303,LocTable,7,FALSE),VLOOKUP($AT303&amp;"|"&amp;$CU303,LocTable,6,FALSE)),$BI303-($CU303-IF(N(VLOOKUP($AT303&amp;"|"&amp;$CU303,LocTable,7,FALSE))&gt;0,VLOOKUP($AT303&amp;"|"&amp;$CU303,LocTable,7,FALSE),VLOOKUP($AT303&amp;"|"&amp;$CU303,LocTable,6,FALSE)))),$BI303-10-$CR303))</f>
        <v/>
      </c>
      <c r="CY303" s="85">
        <f>IF($CS303,"",TRIM(IF(ISNUMBER($BU303),"A "&amp;TRIM(TEXT($BU303,"# ?/??"))&amp;CHAR(34)&amp;"  ","")&amp;IF(ISNUMBER($BV303),"B "&amp;TRIM(TEXT($BV303,"# ?/??"))&amp;CHAR(34)&amp;"  ","")&amp;IF(ISNUMBER($BW303),"C "&amp;TRIM(TEXT($BW303,"# ?/??"))&amp;CHAR(34)&amp;"  ","")&amp;IF(ISNUMBER($BX303),"D "&amp;TRIM(TEXT($BX303,"# ?/??"))&amp;CHAR(34)&amp;"  ","")&amp;IF(ISNUMBER($BY303),"F "&amp;TRIM(TEXT($BY303,"# ?/??"))&amp;CHAR(34)&amp;"  ","")&amp;IF(ISNUMBER($BZ303),"E "&amp;TRIM(TEXT($BZ303,"# ?/??"))&amp;CHAR(34)&amp;"  ","")))</f>
        <v/>
      </c>
      <c r="CZ303" s="85">
        <f>IF(OR($CS303,N($BJ303)=0),"",TRIM(IF(ISNUMBER($BU303),"A "&amp;TRIM(TEXT($BU303-HeadClr,"# ?/??"))&amp;CHAR(34)&amp;"  ","")&amp;IF(ISNUMBER($BV303),"B "&amp;TRIM(TEXT($BV303-HeadClr,"# ?/??"))&amp;CHAR(34)&amp;"  ","")&amp;IF(ISNUMBER($BW303),"C "&amp;TRIM(TEXT($BW303-HeadClr,"# ?/??"))&amp;CHAR(34)&amp;"  ","")&amp;IF(ISNUMBER($BX303),"D "&amp;TRIM(TEXT($BX303-HeadClr,"# ?/??"))&amp;CHAR(34)&amp;"  ","")&amp;IF(ISNUMBER($BY303),"F "&amp;TRIM(TEXT($BY303-HeadClr,"# ?/??"))&amp;CHAR(34)&amp;"  ","")&amp;IF(ISNUMBER($BZ303),"E "&amp;TRIM(TEXT($BZ303-HeadClr,"# ?/??"))&amp;CHAR(34)&amp;"  ","")))</f>
        <v/>
      </c>
      <c r="DA303" s="84">
        <f>IF($A303="","",IF($AN303="",IFERROR(VLOOKUP($Z303,CODES,2,FALSE),""),IFERROR(VLOOKUP($AN303,CODES,2,FALSE),"")))</f>
        <v/>
      </c>
      <c r="DB303" s="84">
        <f>IF($A303="","",IF($O303="Y","PR",IF(OR($Z303="L",$Z303="RR",LEFT($Z303,2)="L-",LEFT($Z303,3)="RR-"),"LH","RH")))</f>
        <v/>
      </c>
      <c r="DC303" s="84">
        <f>IF($A303="","","S.HM"&amp;IF(OR($C303="DOOR ONLY",$X303&lt;&gt;"KD"),"MASONRY","DRYWALL")&amp;IF($C303="DOOR ONLY","",$U303)&amp;IF(AND($C303&lt;&gt;"FRAME ONLY",OR(LEFT($AH303,3)="OAK",LEFT($AH303,3)="BIR",LEFT($AH303,3)="MAP",$AH303="PC",$AH303="MC",$AH303="SCLC",$AH303="P-LAM")),"WD","HM")&amp;"1.75")</f>
        <v/>
      </c>
      <c r="DD303" s="84">
        <f>IF($CJ303="","",IF($O303="Y",$CJ303,SUBSTITUTE($CJ303,$BG303&amp;" "&amp;IFERROR(VLOOKUP($Z303,CODES,2,FALSE),"")&amp;" ",$BG303&amp;" ")))</f>
        <v/>
      </c>
      <c r="DE303" s="84">
        <f>IF($CK303="","",IF($O303="Y",$CK303,SUBSTITUTE($CK303,$BG303&amp;" "&amp;IF($AN303="",IFERROR(VLOOKUP($Z303,CODES,2,FALSE),""),IFERROR(VLOOKUP($AN303,CODES,2,FALSE),""))&amp;" ",$BG303&amp;" ")))</f>
        <v/>
      </c>
      <c r="DF303" s="84">
        <f>IF($CJ303="","",$DC303&amp;"|"&amp;$DD303&amp;"|"&amp;$DB303&amp;"|"&amp;$AT303&amp;"|"&amp;$V303&amp;"|"&amp;$Y303&amp;"|"&amp;$AB303)</f>
        <v/>
      </c>
      <c r="DG303" s="84">
        <f>IF(DF303="","",IF(COUNTIF($DF$6:DF303,DF303)=1,MAX($DG$5:DG302)+1,INDEX($DG$5:DG302,MATCH(DF303,$DF$5:DF302,0))))</f>
        <v/>
      </c>
      <c r="DH303" s="84">
        <f>IF($CK303="","",$DC303&amp;"|"&amp;$DE303&amp;"|"&amp;$AI303&amp;"|"&amp;$BK303&amp;"|"&amp;$BL303)</f>
        <v/>
      </c>
      <c r="DI303" s="84">
        <f>IF(DH303="","",IF(COUNTIF($DH$6:DH303,DH303)=1,MAX($DI$5:DI302)+1,INDEX($DI$5:DI302,MATCH(DH303,$DH$5:DH302,0))))</f>
        <v/>
      </c>
      <c r="DJ303" s="84">
        <f>IF($A303="","",IF($B303="","qty, ","")&amp;IF($C303="","scope, ","")&amp;IF(OR($K303="",$M303=""),"size, ","")&amp;IF(AND($A303&lt;&gt;"",$C303&lt;&gt;"DOOR ONLY"),IF($U303="","jamb depth, ","")&amp;IF($X303="","construction, ","")&amp;IF($Y303="","anchor, ","")&amp;IF($S303="","frame type, ",""),"")&amp;IF(AND(N($BJ303)&gt;0,$Z303=""),"hand, ","")&amp;IF(N($BJ303)&gt;0,IF($AH303="","door material, ","")&amp;IF($AL303="","face type, ","")&amp;IF($AP303="","lock prep, ","")&amp;IF(AND($AO303="",$AC303=""),"hinge prep, ",""),"")&amp;IF(AND($CH303&gt;0,$AH303="FRP"),"FRP cannot carry a label, ","")&amp;IF(AND($O303="Y",OR($Z303="L",$Z303="R",$Z303="LR",$Z303="RR")),"pair marked but hand is single, ","")&amp;IF(AND($O303&lt;&gt;"Y",OR($Z303="PR",AND(LEN($Z303)&gt;1,ISNUMBER(SEARCH("-",$Z303))))),"pair hand on a single door, ","")&amp;IF(AND(ISNUMBER($CI303),$CH303&lt;N($CI303)),"wall needs a "&amp;$CI303&amp;" min door, ","")&amp;IF(AND($CH303&gt;=180,AND(OR($CE303="FG",$CE303="HG",$CE303="FNV",$CE303="FV"),N($CF303)*N($CG303)&gt;100)),"180 min lite over 100 sq in, ","")&amp;IF(N($BK303)&gt;48,"leaf wider than 4'-0"&amp;CHAR(34)&amp;", ","")&amp;IF(AND($CT303,COUNT($AW303:$AZ303)=0,$CQ303&gt;0),"CUSTOM LOC with no locations typed, ",""))</f>
        <v/>
      </c>
      <c r="DK303" s="84">
        <f>IF($A303="","",IF(AND($CH303&gt;0,AND($A303&lt;&gt;"",$C303&lt;&gt;"DOOR ONLY"),$X303="KD",$E303="EXTERIOR"),"KD label on an exterior opening, ","")&amp;IF(AND($E303="EXTERIOR",OR(AND(AND($A303&lt;&gt;"",$C303&lt;&gt;"DOOR ONLY"),$W303="CR"),AND(N($BJ303)&gt;0,$AH303="CR"))),"exterior in CR steel (G9?), ","")&amp;IF(AND(ISNUMBER($BQ303),N($BQ303)&lt;32),"clear width ~"&amp;TEXT($BQ303,"0.0")&amp;CHAR(34)&amp;" under 32"&amp;CHAR(34)&amp;" (ADA), ","")&amp;IF(AND($CH303=90,AND(OR($CE303="FG",$CE303="HG",$CE303="FNV",$CE303="FV"),N($CF303)*N($CG303)&gt;100)),"90 min lite over 100 sq in (stair/exit), ","")&amp;IF(AND($CH303&gt;0,AND($A303&lt;&gt;"",$C303&lt;&gt;"DOOR ONLY"),OR($AF303="",$AF303="-")),"rated: closer reinf.?, ","")&amp;IF(OR($I303="CORRIDOR",$I303="SMOKE BARRIER"),"S label + smoke gasketing, ","")&amp;IF($CI303="?","wall type/hr not in IBC table, ","")&amp;IF(AND(N($BJ303)&gt;0,$BB303=""),"no hardware set, ","")&amp;IF(AND($BB303&lt;&gt;"",ISNA(MATCH($BB303&amp;"",HWSets,0))),"set "&amp;$BB303&amp;" not on HW Sets, ","")&amp;IF(N($BL303)&gt;96,"leaf over 8'-0"&amp;CHAR(34)&amp;" - check listing, ","")&amp;IF(AND($CT303,COUNT($AW303:$AZ303)&gt;0,COUNT($AW303:$AZ303)&lt;&gt;$CQ303),COUNT($AW303:$AZ303)&amp;" custom hinges typed, "&amp;$CQ303&amp;" expected, ","")&amp;IF(AND(ISNUMBER($CA303),OR(N($CA303)&lt;34,N($CA303)&gt;48)),"lock "&amp;TEXT($CA303,"0.0")&amp;CHAR(34)&amp;" AFF outside 34-48"&amp;CHAR(34)&amp;" (ADA), ","")&amp;IF(AND(ISNUMBER($AV303),ISNUMBER($BL303),N($AV303)&lt;IF(N($BL303)&lt;=60,2,IF(N($BL303)&lt;=90,3,IF(N($BL303)&lt;=120,4,5)))),"fewer hinges than standard, ",""))</f>
        <v/>
      </c>
    </row>
    <row r="304" ht="15" customHeight="1">
      <c r="A304" s="77" t="n"/>
      <c r="B304" s="78" t="n"/>
      <c r="C304" s="78" t="n"/>
      <c r="D304" s="78" t="n"/>
      <c r="E304" s="78" t="n"/>
      <c r="F304" s="78" t="n"/>
      <c r="G304" s="78" t="n"/>
      <c r="H304" s="78" t="n"/>
      <c r="I304" s="78" t="n"/>
      <c r="J304" s="78" t="n"/>
      <c r="K304" s="78" t="n"/>
      <c r="L304" s="78" t="n"/>
      <c r="M304" s="78" t="n"/>
      <c r="N304" s="78" t="n"/>
      <c r="O304" s="78" t="n"/>
      <c r="P304" s="78" t="n"/>
      <c r="Q304" s="78" t="n"/>
      <c r="R304" s="78" t="n"/>
      <c r="S304" s="79" t="n"/>
      <c r="T304" s="79" t="n"/>
      <c r="U304" s="79" t="n"/>
      <c r="V304" s="79" t="n"/>
      <c r="W304" s="79" t="n"/>
      <c r="X304" s="79" t="n"/>
      <c r="Y304" s="79" t="n"/>
      <c r="Z304" s="79" t="n"/>
      <c r="AA304" s="79" t="n"/>
      <c r="AB304" s="79" t="n"/>
      <c r="AC304" s="79" t="n"/>
      <c r="AD304" s="79" t="n"/>
      <c r="AE304" s="79" t="n"/>
      <c r="AF304" s="79" t="n"/>
      <c r="AG304" s="79" t="n"/>
      <c r="AH304" s="80" t="n"/>
      <c r="AI304" s="80" t="n"/>
      <c r="AJ304" s="80" t="n"/>
      <c r="AK304" s="80" t="n"/>
      <c r="AL304" s="80" t="n"/>
      <c r="AM304" s="80" t="n"/>
      <c r="AN304" s="80" t="n"/>
      <c r="AO304" s="80" t="n"/>
      <c r="AP304" s="80" t="n"/>
      <c r="AQ304" s="80" t="n"/>
      <c r="AR304" s="80" t="n"/>
      <c r="AS304" s="80" t="n"/>
      <c r="AT304" s="81" t="n"/>
      <c r="AU304" s="81" t="n"/>
      <c r="AV304" s="81" t="n"/>
      <c r="AW304" s="82" t="n"/>
      <c r="AX304" s="82" t="n"/>
      <c r="AY304" s="82" t="n"/>
      <c r="AZ304" s="82" t="n"/>
      <c r="BA304" s="82" t="n"/>
      <c r="BB304" s="83" t="n"/>
      <c r="BC304" s="83" t="n"/>
      <c r="BD304" s="84">
        <f>IF($A304="","",IF($DJ304&lt;&gt;"","FIX",IF($DK304&lt;&gt;"","CHECK","OK")))</f>
        <v/>
      </c>
      <c r="BE304" s="85">
        <f>IF($A304="","",IF($DJ304&lt;&gt;"","FIX: "&amp;LEFT($DJ304,LEN($DJ304)-2)&amp;IF($DK304&lt;&gt;"","  ·  ",""),"")&amp;IF($DK304&lt;&gt;"","CHECK: "&amp;LEFT($DK304,LEN($DK304)-2),""))</f>
        <v/>
      </c>
      <c r="BF304" s="84">
        <f>IF(OR($A304="",$K304=""),"",$K304&amp;"'-"&amp;N($L304)&amp;CHAR(34)&amp;" x "&amp;$M304&amp;"'-"&amp;N($N304)&amp;CHAR(34))</f>
        <v/>
      </c>
      <c r="BG304" s="84">
        <f>IF(OR($A304="",$K304=""),"",$K304&amp;N($L304)&amp;$M304&amp;N($N304))</f>
        <v/>
      </c>
      <c r="BH304" s="84">
        <f>IF(OR($A304="",$K304=""),"",$K304*12+N($L304))</f>
        <v/>
      </c>
      <c r="BI304" s="84">
        <f>IF(OR($A304="",$M304=""),"",$M304*12+N($N304))</f>
        <v/>
      </c>
      <c r="BJ304" s="84">
        <f>IF($A304="","",IF(OR($C304="FRAME ONLY",$S304="BL"),0,IF($O304="Y",2,1)))</f>
        <v/>
      </c>
      <c r="BK304" s="86">
        <f>IF(OR(N($BJ304)=0,$BH304=""),"",($BH304-2*EdgeClr-IF($BJ304=2,MeetClr,0))/$BJ304)</f>
        <v/>
      </c>
      <c r="BL304" s="86">
        <f>IF(OR(N($BJ304)=0,$BI304=""),"",$BI304-HeadClr-Undercut)</f>
        <v/>
      </c>
      <c r="BM304" s="86">
        <f>IF($BH304="","",$BH304+2*FaceW+IF(N($Q304)&gt;0,($Q304+FaceW)*IF($R304="LR",2,1),0))</f>
        <v/>
      </c>
      <c r="BN304" s="86">
        <f>IF($BI304="","",$BI304+IF($AB304="Y",4,FaceW)+IF(N($P304)&gt;0,$P304+FaceW,0)+IF(OR($S304="4F",$S304="BL"),FaceW,0))</f>
        <v/>
      </c>
      <c r="BO304" s="86">
        <f>IF($BM304="","",$BM304+2*ROSide)</f>
        <v/>
      </c>
      <c r="BP304" s="86">
        <f>IF($BN304="","",$BN304+ROTop)</f>
        <v/>
      </c>
      <c r="BQ304" s="87">
        <f>IF(OR(N($BJ304)=0,$BH304=""),"",$BH304/$BJ304-ClearDeduct)</f>
        <v/>
      </c>
      <c r="BR304" s="84">
        <f>IF(N($CH304)=0,"",IF($CH304&gt;=180,"A · 3 HR",IF($CH304&gt;=90,"B · 1-1/2 HR",IF($CH304&gt;=60,"B · 1 HR",IF($CH304&gt;=45,"C · 3/4 HR","20 MIN")))))&amp;IF(AND(N($CH304)&gt;0,OR($I304="CORRIDOR",$I304="SMOKE BARRIER"))," · S","")</f>
        <v/>
      </c>
      <c r="BS304" s="84">
        <f>IF($CS304,"",IF($AV304&lt;&gt;"",$AV304,IF(OR($AC304="HGC",$AO304="HGC"),"CONT",IF(($BI304-HeadClr-Undercut)&lt;=60,2,IF(($BI304-HeadClr-Undercut)&lt;=90,3,IF(($BI304-HeadClr-Undercut)&lt;=120,4,5))))))</f>
        <v/>
      </c>
      <c r="BT304" s="84">
        <f>IF($CS304,"",IF($CT304,"CUSTOM (typed)",IF($CV304,$AT304&amp;" "&amp;$CU304&amp;CHAR(34)&amp;IF($CU304&lt;&gt;$BI304,IF(AND($BI304&lt;$CU304,$BI304-IF(N(VLOOKUP($AT304&amp;"|"&amp;$CU304,LocTable,7,FALSE))&gt;0,VLOOKUP($AT304&amp;"|"&amp;$CU304,LocTable,7,FALSE),VLOOKUP($AT304&amp;"|"&amp;$CU304,LocTable,6,FALSE))-$CR304-0.75&gt;=2.125)," cut down"," adj."),""),"ANSI/SDI A250.6")))</f>
        <v/>
      </c>
      <c r="BU304" s="88">
        <f>IF($CS304,"",IF($CT304,IF(N($AW304)&gt;0,N($AW304),""),IF(1&gt;$CQ304,"",IF($CQ304=1,$CW304,$CW304+($CX304-$CW304)*0/($CQ304-1)))))</f>
        <v/>
      </c>
      <c r="BV304" s="88">
        <f>IF($CS304,"",IF($CT304,IF(N($AX304)&gt;0,N($AX304),""),IF(2&gt;$CQ304,"",IF($CQ304=1,$CW304,$CW304+($CX304-$CW304)*1/($CQ304-1)))))</f>
        <v/>
      </c>
      <c r="BW304" s="88">
        <f>IF($CS304,"",IF($CT304,IF(N($AY304)&gt;0,N($AY304),""),IF(3&gt;$CQ304,"",IF($CQ304=1,$CW304,$CW304+($CX304-$CW304)*2/($CQ304-1)))))</f>
        <v/>
      </c>
      <c r="BX304" s="88">
        <f>IF($CS304,"",IF($CT304,IF(N($AZ304)&gt;0,N($AZ304),""),IF(4&gt;$CQ304,"",IF($CQ304=1,$CW304,$CW304+($CX304-$CW304)*3/($CQ304-1)))))</f>
        <v/>
      </c>
      <c r="BY304" s="88">
        <f>IF($CS304,"",IF($CT304,"",IF(5&gt;$CQ304,"",IF($CQ304=1,$CW304,$CW304+($CX304-$CW304)*4/($CQ304-1)))))</f>
        <v/>
      </c>
      <c r="BZ304" s="88">
        <f>IF(OR($CS304,$AP304="-",AND($AP304="",$AD304="")),"",IF(N($BA304)&gt;0,N($BA304),IF($CV304,IF(AND($BI304&lt;$CU304,$BI304-IF(N(VLOOKUP($AT304&amp;"|"&amp;$CU304,LocTable,7,FALSE))&gt;0,VLOOKUP($AT304&amp;"|"&amp;$CU304,LocTable,7,FALSE),VLOOKUP($AT304&amp;"|"&amp;$CU304,LocTable,6,FALSE))-$CR304-0.75&gt;=2.125),VLOOKUP($AT304&amp;"|"&amp;$CU304,LocTable,8,FALSE),VLOOKUP($AT304&amp;"|"&amp;$CU304,LocTable,8,FALSE)+($BI304-$CU304)),$BI304-LockAFF)))</f>
        <v/>
      </c>
      <c r="CA304" s="89">
        <f>IF($BZ304="","",$BI304-$BZ304)</f>
        <v/>
      </c>
      <c r="CB304" s="84">
        <f>IF(OR(NOT(AND($A304&lt;&gt;"",$C304&lt;&gt;"DOOR ONLY")),$BI304=""),"",IF(($BI304+IF(N($P304)&gt;0,$P304+FaceW,0))&lt;=90,3,IF(($BI304+IF(N($P304)&gt;0,$P304+FaceW,0))&lt;=114,4,5)))</f>
        <v/>
      </c>
      <c r="CC304" s="84">
        <f>IF($CB304="","",$CB304*(2+IF(N($Q304)&gt;0,IF($R304="LR",2,1),0)))</f>
        <v/>
      </c>
      <c r="CD304" s="84">
        <f>IF($CB304="","",(2+IF(N($Q304)&gt;0,IF($R304="LR",2,1),0)))</f>
        <v/>
      </c>
      <c r="CE304" s="84">
        <f>IF(N($BJ304)=0,"",IF(OR($AL304="",$AL304="FLUSH"),"FLUSH",IFERROR(LEFT($AL304,FIND("-",$AL304)-1),LEFT($AL304,2))))</f>
        <v/>
      </c>
      <c r="CF304" s="84">
        <f>IF($CE304="","",IFERROR(VALUE(MID($AL304,FIND("-",$AL304)+1,FIND(CHAR(34)&amp;"x",$AL304)-FIND("-",$AL304)-1)),0))</f>
        <v/>
      </c>
      <c r="CG304" s="84">
        <f>IF($CE304="","",IFERROR(VALUE(MID($AL304,FIND(CHAR(34)&amp;"x",$AL304)+2,FIND(CHAR(34),$AL304,FIND(CHAR(34)&amp;"x",$AL304)+2)-FIND(CHAR(34)&amp;"x",$AL304)-2)),0))</f>
        <v/>
      </c>
      <c r="CH304" s="90">
        <f>IF(OR($A304="",$H304="",$H304="NO LAB"),0,IFERROR(VALUE(LEFT($H304,FIND(" ",$H304)-1)),0))</f>
        <v/>
      </c>
      <c r="CI304" s="91">
        <f>IF(OR($A304="",$I304="",$I304="NON-RATED",N($J304)=0),"",IFERROR(VLOOKUP($I304&amp;"|"&amp;$J304,IBC,2,FALSE),"?"))</f>
        <v/>
      </c>
      <c r="CJ304" s="85">
        <f>IF(NOT(AND($A304&lt;&gt;"",$C304&lt;&gt;"DOOR ONLY")),"",TRIM(IFERROR(VLOOKUP($U304,CODES,2,FALSE),"")&amp;" "&amp;$BG304&amp;" "&amp;IFERROR(VLOOKUP($Z304,CODES,2,FALSE),"")&amp;" "&amp;IFERROR(VLOOKUP($X304,CODES,2,FALSE),"")&amp;" "&amp;IFERROR(VLOOKUP($S304,CODES,2,FALSE),"")&amp;IF(N($P304)&gt;0," w/TRANSOM "&amp;$P304&amp;CHAR(34),"")&amp;IF(N($Q304)&gt;0," w/SIDELITE "&amp;$Q304&amp;CHAR(34)&amp;" "&amp;IF($R304="","R",$R304),"")&amp;IF($Y304="","  |  "," | "&amp;IFERROR(VLOOKUP($Y304,CODES,2,FALSE),"")&amp;" | ")&amp;IFERROR(VLOOKUP($AC304,CODES,2,FALSE),"")&amp;" "&amp;IFERROR(VLOOKUP($AD304,CODES,2,FALSE),"")&amp;IF(OR($AE304="",$AE304="-"),""," "&amp;$AE304)&amp;IF(OR($AF304="",$AF304="-"),""," "&amp;$AF304)&amp;IF($AB304="Y"," 4"&amp;CHAR(34)&amp;" HEAD","")&amp;" "&amp;IFERROR(VLOOKUP($H304,CODES,2,FALSE),"")&amp;IF($CT304," | LOC "&amp;$CY304,"")))</f>
        <v/>
      </c>
      <c r="CK304" s="85">
        <f>IF(NOT(AND($A304&lt;&gt;"",N($BJ304)&gt;0)),"",TRIM(IFERROR(VLOOKUP($AH304,CODES,2,FALSE),"")&amp;IF($AI304=""," "," "&amp;$AI304&amp;"GA ")&amp;$BG304&amp;" "&amp;IF($AN304="",IFERROR(VLOOKUP($Z304,CODES,2,FALSE),""),IFERROR(VLOOKUP($AN304,CODES,2,FALSE),""))&amp;IF($BJ304=2," PAIR","")&amp;" DOOR | "&amp;IF($AL304="","?",$AL304)&amp;" | "&amp;IF($AO304="",IFERROR(VLOOKUP($AC304,CODES,2,FALSE),""),IFERROR(VLOOKUP($AO304,CODES,2,FALSE),""))&amp;" "&amp;IFERROR(VLOOKUP($AP304,CODES,2,FALSE),"")&amp;IF(OR($AQ304="",$AQ304="-"),""," SEAM "&amp;$AQ304)&amp;IF($AR304="Y"," ASTRAGAL","")&amp;IF($AJ304=""," "," "&amp;$AJ304)&amp;IF($AK304=""," "," "&amp;$AK304)&amp;IF(OR($AT304="",$AT304="ANSI/SDI",$AT304="CUSTOM LOC"),""," "&amp;$AT304)&amp;IF($AM304=""," "," SERIES "&amp;$AM304)&amp;" "&amp;IFERROR(VLOOKUP($H304,CODES,2,FALSE),"")&amp;IF($CT304," | LOC "&amp;$CZ304,"")))</f>
        <v/>
      </c>
      <c r="CL304" s="84">
        <f>IF(CP304="","",IF(COUNTIF($CP$6:CP304,CP304)=1,MAX($CL$5:CL303)+1,INDEX($CL$5:CL303,MATCH(CP304,$CP$5:CP303,0))))</f>
        <v/>
      </c>
      <c r="CM304" s="84">
        <f>IF(NOT(AND($A304&lt;&gt;"",$C304&lt;&gt;"DOOR ONLY")),"",MAX($CM$5:CM303)+1)</f>
        <v/>
      </c>
      <c r="CN304" s="84">
        <f>IF(NOT(AND($A304&lt;&gt;"",N($BJ304)&gt;0)),"",MAX($CN$5:CN303)+1)</f>
        <v/>
      </c>
      <c r="CO304" s="84">
        <f>IF($A304="","",MAX($CO$5:CO303)+1)</f>
        <v/>
      </c>
      <c r="CP304" s="84">
        <f>IF(OR($A304="",$BH304="",$BI304=""),"",$BG304&amp;"|"&amp;$O304&amp;"|"&amp;$AL304&amp;"|"&amp;$S304&amp;"|"&amp;$P304&amp;"|"&amp;$Q304&amp;$R304&amp;"|"&amp;$C304&amp;"|"&amp;$AB304)</f>
        <v/>
      </c>
      <c r="CQ304" s="84">
        <f>N($BS304)</f>
        <v/>
      </c>
      <c r="CR304" s="84">
        <f>IF(N($AU304)&gt;0,N($AU304),4.5)</f>
        <v/>
      </c>
      <c r="CS304" s="84">
        <f>OR($A304="",$BI304="",$S304="BL",AND($C304="FRAME ONLY",OR($AC304="",$AC304="BLK")))</f>
        <v/>
      </c>
      <c r="CT304" s="84">
        <f>AND(NOT($CS304),OR($AT304="CUSTOM LOC",N($AW304)+N($AX304)+N($AY304)+N($AZ304)+N($BA304)&gt;0))</f>
        <v/>
      </c>
      <c r="CU304" s="84">
        <f>IF($BI304="","",IF($BI304&lt;=80,80,IF($BI304&lt;=84,84,96)))</f>
        <v/>
      </c>
      <c r="CV304" s="84">
        <f>ISNUMBER(MATCH($AT304&amp;"|80",LocKeys,0))</f>
        <v/>
      </c>
      <c r="CW304" s="86">
        <f>IF($CS304,"",IF($CV304,VLOOKUP($AT304&amp;"|"&amp;$CU304,LocTable,4,FALSE),5))</f>
        <v/>
      </c>
      <c r="CX304" s="86">
        <f>IF($CS304,"",IF($CV304,IF(OR($BI304=$CU304,AND($BI304&lt;$CU304,$BI304-IF(N(VLOOKUP($AT304&amp;"|"&amp;$CU304,LocTable,7,FALSE))&gt;0,VLOOKUP($AT304&amp;"|"&amp;$CU304,LocTable,7,FALSE),VLOOKUP($AT304&amp;"|"&amp;$CU304,LocTable,6,FALSE))-$CR304-0.75&gt;=2.125)),IF(N(VLOOKUP($AT304&amp;"|"&amp;$CU304,LocTable,7,FALSE))&gt;0,VLOOKUP($AT304&amp;"|"&amp;$CU304,LocTable,7,FALSE),VLOOKUP($AT304&amp;"|"&amp;$CU304,LocTable,6,FALSE)),$BI304-($CU304-IF(N(VLOOKUP($AT304&amp;"|"&amp;$CU304,LocTable,7,FALSE))&gt;0,VLOOKUP($AT304&amp;"|"&amp;$CU304,LocTable,7,FALSE),VLOOKUP($AT304&amp;"|"&amp;$CU304,LocTable,6,FALSE)))),$BI304-10-$CR304))</f>
        <v/>
      </c>
      <c r="CY304" s="85">
        <f>IF($CS304,"",TRIM(IF(ISNUMBER($BU304),"A "&amp;TRIM(TEXT($BU304,"# ?/??"))&amp;CHAR(34)&amp;"  ","")&amp;IF(ISNUMBER($BV304),"B "&amp;TRIM(TEXT($BV304,"# ?/??"))&amp;CHAR(34)&amp;"  ","")&amp;IF(ISNUMBER($BW304),"C "&amp;TRIM(TEXT($BW304,"# ?/??"))&amp;CHAR(34)&amp;"  ","")&amp;IF(ISNUMBER($BX304),"D "&amp;TRIM(TEXT($BX304,"# ?/??"))&amp;CHAR(34)&amp;"  ","")&amp;IF(ISNUMBER($BY304),"F "&amp;TRIM(TEXT($BY304,"# ?/??"))&amp;CHAR(34)&amp;"  ","")&amp;IF(ISNUMBER($BZ304),"E "&amp;TRIM(TEXT($BZ304,"# ?/??"))&amp;CHAR(34)&amp;"  ","")))</f>
        <v/>
      </c>
      <c r="CZ304" s="85">
        <f>IF(OR($CS304,N($BJ304)=0),"",TRIM(IF(ISNUMBER($BU304),"A "&amp;TRIM(TEXT($BU304-HeadClr,"# ?/??"))&amp;CHAR(34)&amp;"  ","")&amp;IF(ISNUMBER($BV304),"B "&amp;TRIM(TEXT($BV304-HeadClr,"# ?/??"))&amp;CHAR(34)&amp;"  ","")&amp;IF(ISNUMBER($BW304),"C "&amp;TRIM(TEXT($BW304-HeadClr,"# ?/??"))&amp;CHAR(34)&amp;"  ","")&amp;IF(ISNUMBER($BX304),"D "&amp;TRIM(TEXT($BX304-HeadClr,"# ?/??"))&amp;CHAR(34)&amp;"  ","")&amp;IF(ISNUMBER($BY304),"F "&amp;TRIM(TEXT($BY304-HeadClr,"# ?/??"))&amp;CHAR(34)&amp;"  ","")&amp;IF(ISNUMBER($BZ304),"E "&amp;TRIM(TEXT($BZ304-HeadClr,"# ?/??"))&amp;CHAR(34)&amp;"  ","")))</f>
        <v/>
      </c>
      <c r="DA304" s="84">
        <f>IF($A304="","",IF($AN304="",IFERROR(VLOOKUP($Z304,CODES,2,FALSE),""),IFERROR(VLOOKUP($AN304,CODES,2,FALSE),"")))</f>
        <v/>
      </c>
      <c r="DB304" s="84">
        <f>IF($A304="","",IF($O304="Y","PR",IF(OR($Z304="L",$Z304="RR",LEFT($Z304,2)="L-",LEFT($Z304,3)="RR-"),"LH","RH")))</f>
        <v/>
      </c>
      <c r="DC304" s="84">
        <f>IF($A304="","","S.HM"&amp;IF(OR($C304="DOOR ONLY",$X304&lt;&gt;"KD"),"MASONRY","DRYWALL")&amp;IF($C304="DOOR ONLY","",$U304)&amp;IF(AND($C304&lt;&gt;"FRAME ONLY",OR(LEFT($AH304,3)="OAK",LEFT($AH304,3)="BIR",LEFT($AH304,3)="MAP",$AH304="PC",$AH304="MC",$AH304="SCLC",$AH304="P-LAM")),"WD","HM")&amp;"1.75")</f>
        <v/>
      </c>
      <c r="DD304" s="84">
        <f>IF($CJ304="","",IF($O304="Y",$CJ304,SUBSTITUTE($CJ304,$BG304&amp;" "&amp;IFERROR(VLOOKUP($Z304,CODES,2,FALSE),"")&amp;" ",$BG304&amp;" ")))</f>
        <v/>
      </c>
      <c r="DE304" s="84">
        <f>IF($CK304="","",IF($O304="Y",$CK304,SUBSTITUTE($CK304,$BG304&amp;" "&amp;IF($AN304="",IFERROR(VLOOKUP($Z304,CODES,2,FALSE),""),IFERROR(VLOOKUP($AN304,CODES,2,FALSE),""))&amp;" ",$BG304&amp;" ")))</f>
        <v/>
      </c>
      <c r="DF304" s="84">
        <f>IF($CJ304="","",$DC304&amp;"|"&amp;$DD304&amp;"|"&amp;$DB304&amp;"|"&amp;$AT304&amp;"|"&amp;$V304&amp;"|"&amp;$Y304&amp;"|"&amp;$AB304)</f>
        <v/>
      </c>
      <c r="DG304" s="84">
        <f>IF(DF304="","",IF(COUNTIF($DF$6:DF304,DF304)=1,MAX($DG$5:DG303)+1,INDEX($DG$5:DG303,MATCH(DF304,$DF$5:DF303,0))))</f>
        <v/>
      </c>
      <c r="DH304" s="84">
        <f>IF($CK304="","",$DC304&amp;"|"&amp;$DE304&amp;"|"&amp;$AI304&amp;"|"&amp;$BK304&amp;"|"&amp;$BL304)</f>
        <v/>
      </c>
      <c r="DI304" s="84">
        <f>IF(DH304="","",IF(COUNTIF($DH$6:DH304,DH304)=1,MAX($DI$5:DI303)+1,INDEX($DI$5:DI303,MATCH(DH304,$DH$5:DH303,0))))</f>
        <v/>
      </c>
      <c r="DJ304" s="84">
        <f>IF($A304="","",IF($B304="","qty, ","")&amp;IF($C304="","scope, ","")&amp;IF(OR($K304="",$M304=""),"size, ","")&amp;IF(AND($A304&lt;&gt;"",$C304&lt;&gt;"DOOR ONLY"),IF($U304="","jamb depth, ","")&amp;IF($X304="","construction, ","")&amp;IF($Y304="","anchor, ","")&amp;IF($S304="","frame type, ",""),"")&amp;IF(AND(N($BJ304)&gt;0,$Z304=""),"hand, ","")&amp;IF(N($BJ304)&gt;0,IF($AH304="","door material, ","")&amp;IF($AL304="","face type, ","")&amp;IF($AP304="","lock prep, ","")&amp;IF(AND($AO304="",$AC304=""),"hinge prep, ",""),"")&amp;IF(AND($CH304&gt;0,$AH304="FRP"),"FRP cannot carry a label, ","")&amp;IF(AND($O304="Y",OR($Z304="L",$Z304="R",$Z304="LR",$Z304="RR")),"pair marked but hand is single, ","")&amp;IF(AND($O304&lt;&gt;"Y",OR($Z304="PR",AND(LEN($Z304)&gt;1,ISNUMBER(SEARCH("-",$Z304))))),"pair hand on a single door, ","")&amp;IF(AND(ISNUMBER($CI304),$CH304&lt;N($CI304)),"wall needs a "&amp;$CI304&amp;" min door, ","")&amp;IF(AND($CH304&gt;=180,AND(OR($CE304="FG",$CE304="HG",$CE304="FNV",$CE304="FV"),N($CF304)*N($CG304)&gt;100)),"180 min lite over 100 sq in, ","")&amp;IF(N($BK304)&gt;48,"leaf wider than 4'-0"&amp;CHAR(34)&amp;", ","")&amp;IF(AND($CT304,COUNT($AW304:$AZ304)=0,$CQ304&gt;0),"CUSTOM LOC with no locations typed, ",""))</f>
        <v/>
      </c>
      <c r="DK304" s="84">
        <f>IF($A304="","",IF(AND($CH304&gt;0,AND($A304&lt;&gt;"",$C304&lt;&gt;"DOOR ONLY"),$X304="KD",$E304="EXTERIOR"),"KD label on an exterior opening, ","")&amp;IF(AND($E304="EXTERIOR",OR(AND(AND($A304&lt;&gt;"",$C304&lt;&gt;"DOOR ONLY"),$W304="CR"),AND(N($BJ304)&gt;0,$AH304="CR"))),"exterior in CR steel (G9?), ","")&amp;IF(AND(ISNUMBER($BQ304),N($BQ304)&lt;32),"clear width ~"&amp;TEXT($BQ304,"0.0")&amp;CHAR(34)&amp;" under 32"&amp;CHAR(34)&amp;" (ADA), ","")&amp;IF(AND($CH304=90,AND(OR($CE304="FG",$CE304="HG",$CE304="FNV",$CE304="FV"),N($CF304)*N($CG304)&gt;100)),"90 min lite over 100 sq in (stair/exit), ","")&amp;IF(AND($CH304&gt;0,AND($A304&lt;&gt;"",$C304&lt;&gt;"DOOR ONLY"),OR($AF304="",$AF304="-")),"rated: closer reinf.?, ","")&amp;IF(OR($I304="CORRIDOR",$I304="SMOKE BARRIER"),"S label + smoke gasketing, ","")&amp;IF($CI304="?","wall type/hr not in IBC table, ","")&amp;IF(AND(N($BJ304)&gt;0,$BB304=""),"no hardware set, ","")&amp;IF(AND($BB304&lt;&gt;"",ISNA(MATCH($BB304&amp;"",HWSets,0))),"set "&amp;$BB304&amp;" not on HW Sets, ","")&amp;IF(N($BL304)&gt;96,"leaf over 8'-0"&amp;CHAR(34)&amp;" - check listing, ","")&amp;IF(AND($CT304,COUNT($AW304:$AZ304)&gt;0,COUNT($AW304:$AZ304)&lt;&gt;$CQ304),COUNT($AW304:$AZ304)&amp;" custom hinges typed, "&amp;$CQ304&amp;" expected, ","")&amp;IF(AND(ISNUMBER($CA304),OR(N($CA304)&lt;34,N($CA304)&gt;48)),"lock "&amp;TEXT($CA304,"0.0")&amp;CHAR(34)&amp;" AFF outside 34-48"&amp;CHAR(34)&amp;" (ADA), ","")&amp;IF(AND(ISNUMBER($AV304),ISNUMBER($BL304),N($AV304)&lt;IF(N($BL304)&lt;=60,2,IF(N($BL304)&lt;=90,3,IF(N($BL304)&lt;=120,4,5)))),"fewer hinges than standard, ",""))</f>
        <v/>
      </c>
    </row>
    <row r="305" ht="15" customHeight="1">
      <c r="A305" s="92" t="n"/>
      <c r="B305" s="93" t="n"/>
      <c r="C305" s="93" t="n"/>
      <c r="D305" s="93" t="n"/>
      <c r="E305" s="93" t="n"/>
      <c r="F305" s="93" t="n"/>
      <c r="G305" s="93" t="n"/>
      <c r="H305" s="93" t="n"/>
      <c r="I305" s="93" t="n"/>
      <c r="J305" s="93" t="n"/>
      <c r="K305" s="93" t="n"/>
      <c r="L305" s="93" t="n"/>
      <c r="M305" s="93" t="n"/>
      <c r="N305" s="93" t="n"/>
      <c r="O305" s="93" t="n"/>
      <c r="P305" s="93" t="n"/>
      <c r="Q305" s="93" t="n"/>
      <c r="R305" s="93" t="n"/>
      <c r="S305" s="94" t="n"/>
      <c r="T305" s="94" t="n"/>
      <c r="U305" s="94" t="n"/>
      <c r="V305" s="94" t="n"/>
      <c r="W305" s="94" t="n"/>
      <c r="X305" s="94" t="n"/>
      <c r="Y305" s="94" t="n"/>
      <c r="Z305" s="94" t="n"/>
      <c r="AA305" s="94" t="n"/>
      <c r="AB305" s="94" t="n"/>
      <c r="AC305" s="94" t="n"/>
      <c r="AD305" s="94" t="n"/>
      <c r="AE305" s="94" t="n"/>
      <c r="AF305" s="94" t="n"/>
      <c r="AG305" s="94" t="n"/>
      <c r="AH305" s="95" t="n"/>
      <c r="AI305" s="95" t="n"/>
      <c r="AJ305" s="95" t="n"/>
      <c r="AK305" s="95" t="n"/>
      <c r="AL305" s="95" t="n"/>
      <c r="AM305" s="95" t="n"/>
      <c r="AN305" s="95" t="n"/>
      <c r="AO305" s="95" t="n"/>
      <c r="AP305" s="95" t="n"/>
      <c r="AQ305" s="95" t="n"/>
      <c r="AR305" s="95" t="n"/>
      <c r="AS305" s="95" t="n"/>
      <c r="AT305" s="96" t="n"/>
      <c r="AU305" s="96" t="n"/>
      <c r="AV305" s="96" t="n"/>
      <c r="AW305" s="97" t="n"/>
      <c r="AX305" s="97" t="n"/>
      <c r="AY305" s="97" t="n"/>
      <c r="AZ305" s="97" t="n"/>
      <c r="BA305" s="97" t="n"/>
      <c r="BB305" s="98" t="n"/>
      <c r="BC305" s="98" t="n"/>
      <c r="BD305" s="99">
        <f>IF($A305="","",IF($DJ305&lt;&gt;"","FIX",IF($DK305&lt;&gt;"","CHECK","OK")))</f>
        <v/>
      </c>
      <c r="BE305" s="100">
        <f>IF($A305="","",IF($DJ305&lt;&gt;"","FIX: "&amp;LEFT($DJ305,LEN($DJ305)-2)&amp;IF($DK305&lt;&gt;"","  ·  ",""),"")&amp;IF($DK305&lt;&gt;"","CHECK: "&amp;LEFT($DK305,LEN($DK305)-2),""))</f>
        <v/>
      </c>
      <c r="BF305" s="99">
        <f>IF(OR($A305="",$K305=""),"",$K305&amp;"'-"&amp;N($L305)&amp;CHAR(34)&amp;" x "&amp;$M305&amp;"'-"&amp;N($N305)&amp;CHAR(34))</f>
        <v/>
      </c>
      <c r="BG305" s="99">
        <f>IF(OR($A305="",$K305=""),"",$K305&amp;N($L305)&amp;$M305&amp;N($N305))</f>
        <v/>
      </c>
      <c r="BH305" s="99">
        <f>IF(OR($A305="",$K305=""),"",$K305*12+N($L305))</f>
        <v/>
      </c>
      <c r="BI305" s="99">
        <f>IF(OR($A305="",$M305=""),"",$M305*12+N($N305))</f>
        <v/>
      </c>
      <c r="BJ305" s="99">
        <f>IF($A305="","",IF(OR($C305="FRAME ONLY",$S305="BL"),0,IF($O305="Y",2,1)))</f>
        <v/>
      </c>
      <c r="BK305" s="101">
        <f>IF(OR(N($BJ305)=0,$BH305=""),"",($BH305-2*EdgeClr-IF($BJ305=2,MeetClr,0))/$BJ305)</f>
        <v/>
      </c>
      <c r="BL305" s="101">
        <f>IF(OR(N($BJ305)=0,$BI305=""),"",$BI305-HeadClr-Undercut)</f>
        <v/>
      </c>
      <c r="BM305" s="101">
        <f>IF($BH305="","",$BH305+2*FaceW+IF(N($Q305)&gt;0,($Q305+FaceW)*IF($R305="LR",2,1),0))</f>
        <v/>
      </c>
      <c r="BN305" s="101">
        <f>IF($BI305="","",$BI305+IF($AB305="Y",4,FaceW)+IF(N($P305)&gt;0,$P305+FaceW,0)+IF(OR($S305="4F",$S305="BL"),FaceW,0))</f>
        <v/>
      </c>
      <c r="BO305" s="101">
        <f>IF($BM305="","",$BM305+2*ROSide)</f>
        <v/>
      </c>
      <c r="BP305" s="101">
        <f>IF($BN305="","",$BN305+ROTop)</f>
        <v/>
      </c>
      <c r="BQ305" s="102">
        <f>IF(OR(N($BJ305)=0,$BH305=""),"",$BH305/$BJ305-ClearDeduct)</f>
        <v/>
      </c>
      <c r="BR305" s="99">
        <f>IF(N($CH305)=0,"",IF($CH305&gt;=180,"A · 3 HR",IF($CH305&gt;=90,"B · 1-1/2 HR",IF($CH305&gt;=60,"B · 1 HR",IF($CH305&gt;=45,"C · 3/4 HR","20 MIN")))))&amp;IF(AND(N($CH305)&gt;0,OR($I305="CORRIDOR",$I305="SMOKE BARRIER"))," · S","")</f>
        <v/>
      </c>
      <c r="BS305" s="99">
        <f>IF($CS305,"",IF($AV305&lt;&gt;"",$AV305,IF(OR($AC305="HGC",$AO305="HGC"),"CONT",IF(($BI305-HeadClr-Undercut)&lt;=60,2,IF(($BI305-HeadClr-Undercut)&lt;=90,3,IF(($BI305-HeadClr-Undercut)&lt;=120,4,5))))))</f>
        <v/>
      </c>
      <c r="BT305" s="99">
        <f>IF($CS305,"",IF($CT305,"CUSTOM (typed)",IF($CV305,$AT305&amp;" "&amp;$CU305&amp;CHAR(34)&amp;IF($CU305&lt;&gt;$BI305,IF(AND($BI305&lt;$CU305,$BI305-IF(N(VLOOKUP($AT305&amp;"|"&amp;$CU305,LocTable,7,FALSE))&gt;0,VLOOKUP($AT305&amp;"|"&amp;$CU305,LocTable,7,FALSE),VLOOKUP($AT305&amp;"|"&amp;$CU305,LocTable,6,FALSE))-$CR305-0.75&gt;=2.125)," cut down"," adj."),""),"ANSI/SDI A250.6")))</f>
        <v/>
      </c>
      <c r="BU305" s="103">
        <f>IF($CS305,"",IF($CT305,IF(N($AW305)&gt;0,N($AW305),""),IF(1&gt;$CQ305,"",IF($CQ305=1,$CW305,$CW305+($CX305-$CW305)*0/($CQ305-1)))))</f>
        <v/>
      </c>
      <c r="BV305" s="103">
        <f>IF($CS305,"",IF($CT305,IF(N($AX305)&gt;0,N($AX305),""),IF(2&gt;$CQ305,"",IF($CQ305=1,$CW305,$CW305+($CX305-$CW305)*1/($CQ305-1)))))</f>
        <v/>
      </c>
      <c r="BW305" s="103">
        <f>IF($CS305,"",IF($CT305,IF(N($AY305)&gt;0,N($AY305),""),IF(3&gt;$CQ305,"",IF($CQ305=1,$CW305,$CW305+($CX305-$CW305)*2/($CQ305-1)))))</f>
        <v/>
      </c>
      <c r="BX305" s="103">
        <f>IF($CS305,"",IF($CT305,IF(N($AZ305)&gt;0,N($AZ305),""),IF(4&gt;$CQ305,"",IF($CQ305=1,$CW305,$CW305+($CX305-$CW305)*3/($CQ305-1)))))</f>
        <v/>
      </c>
      <c r="BY305" s="103">
        <f>IF($CS305,"",IF($CT305,"",IF(5&gt;$CQ305,"",IF($CQ305=1,$CW305,$CW305+($CX305-$CW305)*4/($CQ305-1)))))</f>
        <v/>
      </c>
      <c r="BZ305" s="103">
        <f>IF(OR($CS305,$AP305="-",AND($AP305="",$AD305="")),"",IF(N($BA305)&gt;0,N($BA305),IF($CV305,IF(AND($BI305&lt;$CU305,$BI305-IF(N(VLOOKUP($AT305&amp;"|"&amp;$CU305,LocTable,7,FALSE))&gt;0,VLOOKUP($AT305&amp;"|"&amp;$CU305,LocTable,7,FALSE),VLOOKUP($AT305&amp;"|"&amp;$CU305,LocTable,6,FALSE))-$CR305-0.75&gt;=2.125),VLOOKUP($AT305&amp;"|"&amp;$CU305,LocTable,8,FALSE),VLOOKUP($AT305&amp;"|"&amp;$CU305,LocTable,8,FALSE)+($BI305-$CU305)),$BI305-LockAFF)))</f>
        <v/>
      </c>
      <c r="CA305" s="104">
        <f>IF($BZ305="","",$BI305-$BZ305)</f>
        <v/>
      </c>
      <c r="CB305" s="99">
        <f>IF(OR(NOT(AND($A305&lt;&gt;"",$C305&lt;&gt;"DOOR ONLY")),$BI305=""),"",IF(($BI305+IF(N($P305)&gt;0,$P305+FaceW,0))&lt;=90,3,IF(($BI305+IF(N($P305)&gt;0,$P305+FaceW,0))&lt;=114,4,5)))</f>
        <v/>
      </c>
      <c r="CC305" s="99">
        <f>IF($CB305="","",$CB305*(2+IF(N($Q305)&gt;0,IF($R305="LR",2,1),0)))</f>
        <v/>
      </c>
      <c r="CD305" s="99">
        <f>IF($CB305="","",(2+IF(N($Q305)&gt;0,IF($R305="LR",2,1),0)))</f>
        <v/>
      </c>
      <c r="CE305" s="99">
        <f>IF(N($BJ305)=0,"",IF(OR($AL305="",$AL305="FLUSH"),"FLUSH",IFERROR(LEFT($AL305,FIND("-",$AL305)-1),LEFT($AL305,2))))</f>
        <v/>
      </c>
      <c r="CF305" s="99">
        <f>IF($CE305="","",IFERROR(VALUE(MID($AL305,FIND("-",$AL305)+1,FIND(CHAR(34)&amp;"x",$AL305)-FIND("-",$AL305)-1)),0))</f>
        <v/>
      </c>
      <c r="CG305" s="99">
        <f>IF($CE305="","",IFERROR(VALUE(MID($AL305,FIND(CHAR(34)&amp;"x",$AL305)+2,FIND(CHAR(34),$AL305,FIND(CHAR(34)&amp;"x",$AL305)+2)-FIND(CHAR(34)&amp;"x",$AL305)-2)),0))</f>
        <v/>
      </c>
      <c r="CH305" s="105">
        <f>IF(OR($A305="",$H305="",$H305="NO LAB"),0,IFERROR(VALUE(LEFT($H305,FIND(" ",$H305)-1)),0))</f>
        <v/>
      </c>
      <c r="CI305" s="106">
        <f>IF(OR($A305="",$I305="",$I305="NON-RATED",N($J305)=0),"",IFERROR(VLOOKUP($I305&amp;"|"&amp;$J305,IBC,2,FALSE),"?"))</f>
        <v/>
      </c>
      <c r="CJ305" s="100">
        <f>IF(NOT(AND($A305&lt;&gt;"",$C305&lt;&gt;"DOOR ONLY")),"",TRIM(IFERROR(VLOOKUP($U305,CODES,2,FALSE),"")&amp;" "&amp;$BG305&amp;" "&amp;IFERROR(VLOOKUP($Z305,CODES,2,FALSE),"")&amp;" "&amp;IFERROR(VLOOKUP($X305,CODES,2,FALSE),"")&amp;" "&amp;IFERROR(VLOOKUP($S305,CODES,2,FALSE),"")&amp;IF(N($P305)&gt;0," w/TRANSOM "&amp;$P305&amp;CHAR(34),"")&amp;IF(N($Q305)&gt;0," w/SIDELITE "&amp;$Q305&amp;CHAR(34)&amp;" "&amp;IF($R305="","R",$R305),"")&amp;IF($Y305="","  |  "," | "&amp;IFERROR(VLOOKUP($Y305,CODES,2,FALSE),"")&amp;" | ")&amp;IFERROR(VLOOKUP($AC305,CODES,2,FALSE),"")&amp;" "&amp;IFERROR(VLOOKUP($AD305,CODES,2,FALSE),"")&amp;IF(OR($AE305="",$AE305="-"),""," "&amp;$AE305)&amp;IF(OR($AF305="",$AF305="-"),""," "&amp;$AF305)&amp;IF($AB305="Y"," 4"&amp;CHAR(34)&amp;" HEAD","")&amp;" "&amp;IFERROR(VLOOKUP($H305,CODES,2,FALSE),"")&amp;IF($CT305," | LOC "&amp;$CY305,"")))</f>
        <v/>
      </c>
      <c r="CK305" s="100">
        <f>IF(NOT(AND($A305&lt;&gt;"",N($BJ305)&gt;0)),"",TRIM(IFERROR(VLOOKUP($AH305,CODES,2,FALSE),"")&amp;IF($AI305=""," "," "&amp;$AI305&amp;"GA ")&amp;$BG305&amp;" "&amp;IF($AN305="",IFERROR(VLOOKUP($Z305,CODES,2,FALSE),""),IFERROR(VLOOKUP($AN305,CODES,2,FALSE),""))&amp;IF($BJ305=2," PAIR","")&amp;" DOOR | "&amp;IF($AL305="","?",$AL305)&amp;" | "&amp;IF($AO305="",IFERROR(VLOOKUP($AC305,CODES,2,FALSE),""),IFERROR(VLOOKUP($AO305,CODES,2,FALSE),""))&amp;" "&amp;IFERROR(VLOOKUP($AP305,CODES,2,FALSE),"")&amp;IF(OR($AQ305="",$AQ305="-"),""," SEAM "&amp;$AQ305)&amp;IF($AR305="Y"," ASTRAGAL","")&amp;IF($AJ305=""," "," "&amp;$AJ305)&amp;IF($AK305=""," "," "&amp;$AK305)&amp;IF(OR($AT305="",$AT305="ANSI/SDI",$AT305="CUSTOM LOC"),""," "&amp;$AT305)&amp;IF($AM305=""," "," SERIES "&amp;$AM305)&amp;" "&amp;IFERROR(VLOOKUP($H305,CODES,2,FALSE),"")&amp;IF($CT305," | LOC "&amp;$CZ305,"")))</f>
        <v/>
      </c>
      <c r="CL305" s="99">
        <f>IF(CP305="","",IF(COUNTIF($CP$6:CP305,CP305)=1,MAX($CL$5:CL304)+1,INDEX($CL$5:CL304,MATCH(CP305,$CP$5:CP304,0))))</f>
        <v/>
      </c>
      <c r="CM305" s="99">
        <f>IF(NOT(AND($A305&lt;&gt;"",$C305&lt;&gt;"DOOR ONLY")),"",MAX($CM$5:CM304)+1)</f>
        <v/>
      </c>
      <c r="CN305" s="99">
        <f>IF(NOT(AND($A305&lt;&gt;"",N($BJ305)&gt;0)),"",MAX($CN$5:CN304)+1)</f>
        <v/>
      </c>
      <c r="CO305" s="99">
        <f>IF($A305="","",MAX($CO$5:CO304)+1)</f>
        <v/>
      </c>
      <c r="CP305" s="99">
        <f>IF(OR($A305="",$BH305="",$BI305=""),"",$BG305&amp;"|"&amp;$O305&amp;"|"&amp;$AL305&amp;"|"&amp;$S305&amp;"|"&amp;$P305&amp;"|"&amp;$Q305&amp;$R305&amp;"|"&amp;$C305&amp;"|"&amp;$AB305)</f>
        <v/>
      </c>
      <c r="CQ305" s="99">
        <f>N($BS305)</f>
        <v/>
      </c>
      <c r="CR305" s="99">
        <f>IF(N($AU305)&gt;0,N($AU305),4.5)</f>
        <v/>
      </c>
      <c r="CS305" s="99">
        <f>OR($A305="",$BI305="",$S305="BL",AND($C305="FRAME ONLY",OR($AC305="",$AC305="BLK")))</f>
        <v/>
      </c>
      <c r="CT305" s="99">
        <f>AND(NOT($CS305),OR($AT305="CUSTOM LOC",N($AW305)+N($AX305)+N($AY305)+N($AZ305)+N($BA305)&gt;0))</f>
        <v/>
      </c>
      <c r="CU305" s="99">
        <f>IF($BI305="","",IF($BI305&lt;=80,80,IF($BI305&lt;=84,84,96)))</f>
        <v/>
      </c>
      <c r="CV305" s="99">
        <f>ISNUMBER(MATCH($AT305&amp;"|80",LocKeys,0))</f>
        <v/>
      </c>
      <c r="CW305" s="101">
        <f>IF($CS305,"",IF($CV305,VLOOKUP($AT305&amp;"|"&amp;$CU305,LocTable,4,FALSE),5))</f>
        <v/>
      </c>
      <c r="CX305" s="101">
        <f>IF($CS305,"",IF($CV305,IF(OR($BI305=$CU305,AND($BI305&lt;$CU305,$BI305-IF(N(VLOOKUP($AT305&amp;"|"&amp;$CU305,LocTable,7,FALSE))&gt;0,VLOOKUP($AT305&amp;"|"&amp;$CU305,LocTable,7,FALSE),VLOOKUP($AT305&amp;"|"&amp;$CU305,LocTable,6,FALSE))-$CR305-0.75&gt;=2.125)),IF(N(VLOOKUP($AT305&amp;"|"&amp;$CU305,LocTable,7,FALSE))&gt;0,VLOOKUP($AT305&amp;"|"&amp;$CU305,LocTable,7,FALSE),VLOOKUP($AT305&amp;"|"&amp;$CU305,LocTable,6,FALSE)),$BI305-($CU305-IF(N(VLOOKUP($AT305&amp;"|"&amp;$CU305,LocTable,7,FALSE))&gt;0,VLOOKUP($AT305&amp;"|"&amp;$CU305,LocTable,7,FALSE),VLOOKUP($AT305&amp;"|"&amp;$CU305,LocTable,6,FALSE)))),$BI305-10-$CR305))</f>
        <v/>
      </c>
      <c r="CY305" s="100">
        <f>IF($CS305,"",TRIM(IF(ISNUMBER($BU305),"A "&amp;TRIM(TEXT($BU305,"# ?/??"))&amp;CHAR(34)&amp;"  ","")&amp;IF(ISNUMBER($BV305),"B "&amp;TRIM(TEXT($BV305,"# ?/??"))&amp;CHAR(34)&amp;"  ","")&amp;IF(ISNUMBER($BW305),"C "&amp;TRIM(TEXT($BW305,"# ?/??"))&amp;CHAR(34)&amp;"  ","")&amp;IF(ISNUMBER($BX305),"D "&amp;TRIM(TEXT($BX305,"# ?/??"))&amp;CHAR(34)&amp;"  ","")&amp;IF(ISNUMBER($BY305),"F "&amp;TRIM(TEXT($BY305,"# ?/??"))&amp;CHAR(34)&amp;"  ","")&amp;IF(ISNUMBER($BZ305),"E "&amp;TRIM(TEXT($BZ305,"# ?/??"))&amp;CHAR(34)&amp;"  ","")))</f>
        <v/>
      </c>
      <c r="CZ305" s="100">
        <f>IF(OR($CS305,N($BJ305)=0),"",TRIM(IF(ISNUMBER($BU305),"A "&amp;TRIM(TEXT($BU305-HeadClr,"# ?/??"))&amp;CHAR(34)&amp;"  ","")&amp;IF(ISNUMBER($BV305),"B "&amp;TRIM(TEXT($BV305-HeadClr,"# ?/??"))&amp;CHAR(34)&amp;"  ","")&amp;IF(ISNUMBER($BW305),"C "&amp;TRIM(TEXT($BW305-HeadClr,"# ?/??"))&amp;CHAR(34)&amp;"  ","")&amp;IF(ISNUMBER($BX305),"D "&amp;TRIM(TEXT($BX305-HeadClr,"# ?/??"))&amp;CHAR(34)&amp;"  ","")&amp;IF(ISNUMBER($BY305),"F "&amp;TRIM(TEXT($BY305-HeadClr,"# ?/??"))&amp;CHAR(34)&amp;"  ","")&amp;IF(ISNUMBER($BZ305),"E "&amp;TRIM(TEXT($BZ305-HeadClr,"# ?/??"))&amp;CHAR(34)&amp;"  ","")))</f>
        <v/>
      </c>
      <c r="DA305" s="99">
        <f>IF($A305="","",IF($AN305="",IFERROR(VLOOKUP($Z305,CODES,2,FALSE),""),IFERROR(VLOOKUP($AN305,CODES,2,FALSE),"")))</f>
        <v/>
      </c>
      <c r="DB305" s="99">
        <f>IF($A305="","",IF($O305="Y","PR",IF(OR($Z305="L",$Z305="RR",LEFT($Z305,2)="L-",LEFT($Z305,3)="RR-"),"LH","RH")))</f>
        <v/>
      </c>
      <c r="DC305" s="99">
        <f>IF($A305="","","S.HM"&amp;IF(OR($C305="DOOR ONLY",$X305&lt;&gt;"KD"),"MASONRY","DRYWALL")&amp;IF($C305="DOOR ONLY","",$U305)&amp;IF(AND($C305&lt;&gt;"FRAME ONLY",OR(LEFT($AH305,3)="OAK",LEFT($AH305,3)="BIR",LEFT($AH305,3)="MAP",$AH305="PC",$AH305="MC",$AH305="SCLC",$AH305="P-LAM")),"WD","HM")&amp;"1.75")</f>
        <v/>
      </c>
      <c r="DD305" s="99">
        <f>IF($CJ305="","",IF($O305="Y",$CJ305,SUBSTITUTE($CJ305,$BG305&amp;" "&amp;IFERROR(VLOOKUP($Z305,CODES,2,FALSE),"")&amp;" ",$BG305&amp;" ")))</f>
        <v/>
      </c>
      <c r="DE305" s="99">
        <f>IF($CK305="","",IF($O305="Y",$CK305,SUBSTITUTE($CK305,$BG305&amp;" "&amp;IF($AN305="",IFERROR(VLOOKUP($Z305,CODES,2,FALSE),""),IFERROR(VLOOKUP($AN305,CODES,2,FALSE),""))&amp;" ",$BG305&amp;" ")))</f>
        <v/>
      </c>
      <c r="DF305" s="99">
        <f>IF($CJ305="","",$DC305&amp;"|"&amp;$DD305&amp;"|"&amp;$DB305&amp;"|"&amp;$AT305&amp;"|"&amp;$V305&amp;"|"&amp;$Y305&amp;"|"&amp;$AB305)</f>
        <v/>
      </c>
      <c r="DG305" s="99">
        <f>IF(DF305="","",IF(COUNTIF($DF$6:DF305,DF305)=1,MAX($DG$5:DG304)+1,INDEX($DG$5:DG304,MATCH(DF305,$DF$5:DF304,0))))</f>
        <v/>
      </c>
      <c r="DH305" s="99">
        <f>IF($CK305="","",$DC305&amp;"|"&amp;$DE305&amp;"|"&amp;$AI305&amp;"|"&amp;$BK305&amp;"|"&amp;$BL305)</f>
        <v/>
      </c>
      <c r="DI305" s="99">
        <f>IF(DH305="","",IF(COUNTIF($DH$6:DH305,DH305)=1,MAX($DI$5:DI304)+1,INDEX($DI$5:DI304,MATCH(DH305,$DH$5:DH304,0))))</f>
        <v/>
      </c>
      <c r="DJ305" s="99">
        <f>IF($A305="","",IF($B305="","qty, ","")&amp;IF($C305="","scope, ","")&amp;IF(OR($K305="",$M305=""),"size, ","")&amp;IF(AND($A305&lt;&gt;"",$C305&lt;&gt;"DOOR ONLY"),IF($U305="","jamb depth, ","")&amp;IF($X305="","construction, ","")&amp;IF($Y305="","anchor, ","")&amp;IF($S305="","frame type, ",""),"")&amp;IF(AND(N($BJ305)&gt;0,$Z305=""),"hand, ","")&amp;IF(N($BJ305)&gt;0,IF($AH305="","door material, ","")&amp;IF($AL305="","face type, ","")&amp;IF($AP305="","lock prep, ","")&amp;IF(AND($AO305="",$AC305=""),"hinge prep, ",""),"")&amp;IF(AND($CH305&gt;0,$AH305="FRP"),"FRP cannot carry a label, ","")&amp;IF(AND($O305="Y",OR($Z305="L",$Z305="R",$Z305="LR",$Z305="RR")),"pair marked but hand is single, ","")&amp;IF(AND($O305&lt;&gt;"Y",OR($Z305="PR",AND(LEN($Z305)&gt;1,ISNUMBER(SEARCH("-",$Z305))))),"pair hand on a single door, ","")&amp;IF(AND(ISNUMBER($CI305),$CH305&lt;N($CI305)),"wall needs a "&amp;$CI305&amp;" min door, ","")&amp;IF(AND($CH305&gt;=180,AND(OR($CE305="FG",$CE305="HG",$CE305="FNV",$CE305="FV"),N($CF305)*N($CG305)&gt;100)),"180 min lite over 100 sq in, ","")&amp;IF(N($BK305)&gt;48,"leaf wider than 4'-0"&amp;CHAR(34)&amp;", ","")&amp;IF(AND($CT305,COUNT($AW305:$AZ305)=0,$CQ305&gt;0),"CUSTOM LOC with no locations typed, ",""))</f>
        <v/>
      </c>
      <c r="DK305" s="99">
        <f>IF($A305="","",IF(AND($CH305&gt;0,AND($A305&lt;&gt;"",$C305&lt;&gt;"DOOR ONLY"),$X305="KD",$E305="EXTERIOR"),"KD label on an exterior opening, ","")&amp;IF(AND($E305="EXTERIOR",OR(AND(AND($A305&lt;&gt;"",$C305&lt;&gt;"DOOR ONLY"),$W305="CR"),AND(N($BJ305)&gt;0,$AH305="CR"))),"exterior in CR steel (G9?), ","")&amp;IF(AND(ISNUMBER($BQ305),N($BQ305)&lt;32),"clear width ~"&amp;TEXT($BQ305,"0.0")&amp;CHAR(34)&amp;" under 32"&amp;CHAR(34)&amp;" (ADA), ","")&amp;IF(AND($CH305=90,AND(OR($CE305="FG",$CE305="HG",$CE305="FNV",$CE305="FV"),N($CF305)*N($CG305)&gt;100)),"90 min lite over 100 sq in (stair/exit), ","")&amp;IF(AND($CH305&gt;0,AND($A305&lt;&gt;"",$C305&lt;&gt;"DOOR ONLY"),OR($AF305="",$AF305="-")),"rated: closer reinf.?, ","")&amp;IF(OR($I305="CORRIDOR",$I305="SMOKE BARRIER"),"S label + smoke gasketing, ","")&amp;IF($CI305="?","wall type/hr not in IBC table, ","")&amp;IF(AND(N($BJ305)&gt;0,$BB305=""),"no hardware set, ","")&amp;IF(AND($BB305&lt;&gt;"",ISNA(MATCH($BB305&amp;"",HWSets,0))),"set "&amp;$BB305&amp;" not on HW Sets, ","")&amp;IF(N($BL305)&gt;96,"leaf over 8'-0"&amp;CHAR(34)&amp;" - check listing, ","")&amp;IF(AND($CT305,COUNT($AW305:$AZ305)&gt;0,COUNT($AW305:$AZ305)&lt;&gt;$CQ305),COUNT($AW305:$AZ305)&amp;" custom hinges typed, "&amp;$CQ305&amp;" expected, ","")&amp;IF(AND(ISNUMBER($CA305),OR(N($CA305)&lt;34,N($CA305)&gt;48)),"lock "&amp;TEXT($CA305,"0.0")&amp;CHAR(34)&amp;" AFF outside 34-48"&amp;CHAR(34)&amp;" (ADA), ","")&amp;IF(AND(ISNUMBER($AV305),ISNUMBER($BL305),N($AV305)&lt;IF(N($BL305)&lt;=60,2,IF(N($BL305)&lt;=90,3,IF(N($BL305)&lt;=120,4,5)))),"fewer hinges than standard, ",""))</f>
        <v/>
      </c>
    </row>
    <row r="306" ht="15" customHeight="1">
      <c r="A306" s="77" t="n"/>
      <c r="B306" s="78" t="n"/>
      <c r="C306" s="78" t="n"/>
      <c r="D306" s="78" t="n"/>
      <c r="E306" s="78" t="n"/>
      <c r="F306" s="78" t="n"/>
      <c r="G306" s="78" t="n"/>
      <c r="H306" s="78" t="n"/>
      <c r="I306" s="78" t="n"/>
      <c r="J306" s="78" t="n"/>
      <c r="K306" s="78" t="n"/>
      <c r="L306" s="78" t="n"/>
      <c r="M306" s="78" t="n"/>
      <c r="N306" s="78" t="n"/>
      <c r="O306" s="78" t="n"/>
      <c r="P306" s="78" t="n"/>
      <c r="Q306" s="78" t="n"/>
      <c r="R306" s="78" t="n"/>
      <c r="S306" s="79" t="n"/>
      <c r="T306" s="79" t="n"/>
      <c r="U306" s="79" t="n"/>
      <c r="V306" s="79" t="n"/>
      <c r="W306" s="79" t="n"/>
      <c r="X306" s="79" t="n"/>
      <c r="Y306" s="79" t="n"/>
      <c r="Z306" s="79" t="n"/>
      <c r="AA306" s="79" t="n"/>
      <c r="AB306" s="79" t="n"/>
      <c r="AC306" s="79" t="n"/>
      <c r="AD306" s="79" t="n"/>
      <c r="AE306" s="79" t="n"/>
      <c r="AF306" s="79" t="n"/>
      <c r="AG306" s="79" t="n"/>
      <c r="AH306" s="80" t="n"/>
      <c r="AI306" s="80" t="n"/>
      <c r="AJ306" s="80" t="n"/>
      <c r="AK306" s="80" t="n"/>
      <c r="AL306" s="80" t="n"/>
      <c r="AM306" s="80" t="n"/>
      <c r="AN306" s="80" t="n"/>
      <c r="AO306" s="80" t="n"/>
      <c r="AP306" s="80" t="n"/>
      <c r="AQ306" s="80" t="n"/>
      <c r="AR306" s="80" t="n"/>
      <c r="AS306" s="80" t="n"/>
      <c r="AT306" s="81" t="n"/>
      <c r="AU306" s="81" t="n"/>
      <c r="AV306" s="81" t="n"/>
      <c r="AW306" s="82" t="n"/>
      <c r="AX306" s="82" t="n"/>
      <c r="AY306" s="82" t="n"/>
      <c r="AZ306" s="82" t="n"/>
      <c r="BA306" s="82" t="n"/>
      <c r="BB306" s="83" t="n"/>
      <c r="BC306" s="83" t="n"/>
      <c r="BD306" s="84">
        <f>IF($A306="","",IF($DJ306&lt;&gt;"","FIX",IF($DK306&lt;&gt;"","CHECK","OK")))</f>
        <v/>
      </c>
      <c r="BE306" s="85">
        <f>IF($A306="","",IF($DJ306&lt;&gt;"","FIX: "&amp;LEFT($DJ306,LEN($DJ306)-2)&amp;IF($DK306&lt;&gt;"","  ·  ",""),"")&amp;IF($DK306&lt;&gt;"","CHECK: "&amp;LEFT($DK306,LEN($DK306)-2),""))</f>
        <v/>
      </c>
      <c r="BF306" s="84">
        <f>IF(OR($A306="",$K306=""),"",$K306&amp;"'-"&amp;N($L306)&amp;CHAR(34)&amp;" x "&amp;$M306&amp;"'-"&amp;N($N306)&amp;CHAR(34))</f>
        <v/>
      </c>
      <c r="BG306" s="84">
        <f>IF(OR($A306="",$K306=""),"",$K306&amp;N($L306)&amp;$M306&amp;N($N306))</f>
        <v/>
      </c>
      <c r="BH306" s="84">
        <f>IF(OR($A306="",$K306=""),"",$K306*12+N($L306))</f>
        <v/>
      </c>
      <c r="BI306" s="84">
        <f>IF(OR($A306="",$M306=""),"",$M306*12+N($N306))</f>
        <v/>
      </c>
      <c r="BJ306" s="84">
        <f>IF($A306="","",IF(OR($C306="FRAME ONLY",$S306="BL"),0,IF($O306="Y",2,1)))</f>
        <v/>
      </c>
      <c r="BK306" s="86">
        <f>IF(OR(N($BJ306)=0,$BH306=""),"",($BH306-2*EdgeClr-IF($BJ306=2,MeetClr,0))/$BJ306)</f>
        <v/>
      </c>
      <c r="BL306" s="86">
        <f>IF(OR(N($BJ306)=0,$BI306=""),"",$BI306-HeadClr-Undercut)</f>
        <v/>
      </c>
      <c r="BM306" s="86">
        <f>IF($BH306="","",$BH306+2*FaceW+IF(N($Q306)&gt;0,($Q306+FaceW)*IF($R306="LR",2,1),0))</f>
        <v/>
      </c>
      <c r="BN306" s="86">
        <f>IF($BI306="","",$BI306+IF($AB306="Y",4,FaceW)+IF(N($P306)&gt;0,$P306+FaceW,0)+IF(OR($S306="4F",$S306="BL"),FaceW,0))</f>
        <v/>
      </c>
      <c r="BO306" s="86">
        <f>IF($BM306="","",$BM306+2*ROSide)</f>
        <v/>
      </c>
      <c r="BP306" s="86">
        <f>IF($BN306="","",$BN306+ROTop)</f>
        <v/>
      </c>
      <c r="BQ306" s="87">
        <f>IF(OR(N($BJ306)=0,$BH306=""),"",$BH306/$BJ306-ClearDeduct)</f>
        <v/>
      </c>
      <c r="BR306" s="84">
        <f>IF(N($CH306)=0,"",IF($CH306&gt;=180,"A · 3 HR",IF($CH306&gt;=90,"B · 1-1/2 HR",IF($CH306&gt;=60,"B · 1 HR",IF($CH306&gt;=45,"C · 3/4 HR","20 MIN")))))&amp;IF(AND(N($CH306)&gt;0,OR($I306="CORRIDOR",$I306="SMOKE BARRIER"))," · S","")</f>
        <v/>
      </c>
      <c r="BS306" s="84">
        <f>IF($CS306,"",IF($AV306&lt;&gt;"",$AV306,IF(OR($AC306="HGC",$AO306="HGC"),"CONT",IF(($BI306-HeadClr-Undercut)&lt;=60,2,IF(($BI306-HeadClr-Undercut)&lt;=90,3,IF(($BI306-HeadClr-Undercut)&lt;=120,4,5))))))</f>
        <v/>
      </c>
      <c r="BT306" s="84">
        <f>IF($CS306,"",IF($CT306,"CUSTOM (typed)",IF($CV306,$AT306&amp;" "&amp;$CU306&amp;CHAR(34)&amp;IF($CU306&lt;&gt;$BI306,IF(AND($BI306&lt;$CU306,$BI306-IF(N(VLOOKUP($AT306&amp;"|"&amp;$CU306,LocTable,7,FALSE))&gt;0,VLOOKUP($AT306&amp;"|"&amp;$CU306,LocTable,7,FALSE),VLOOKUP($AT306&amp;"|"&amp;$CU306,LocTable,6,FALSE))-$CR306-0.75&gt;=2.125)," cut down"," adj."),""),"ANSI/SDI A250.6")))</f>
        <v/>
      </c>
      <c r="BU306" s="88">
        <f>IF($CS306,"",IF($CT306,IF(N($AW306)&gt;0,N($AW306),""),IF(1&gt;$CQ306,"",IF($CQ306=1,$CW306,$CW306+($CX306-$CW306)*0/($CQ306-1)))))</f>
        <v/>
      </c>
      <c r="BV306" s="88">
        <f>IF($CS306,"",IF($CT306,IF(N($AX306)&gt;0,N($AX306),""),IF(2&gt;$CQ306,"",IF($CQ306=1,$CW306,$CW306+($CX306-$CW306)*1/($CQ306-1)))))</f>
        <v/>
      </c>
      <c r="BW306" s="88">
        <f>IF($CS306,"",IF($CT306,IF(N($AY306)&gt;0,N($AY306),""),IF(3&gt;$CQ306,"",IF($CQ306=1,$CW306,$CW306+($CX306-$CW306)*2/($CQ306-1)))))</f>
        <v/>
      </c>
      <c r="BX306" s="88">
        <f>IF($CS306,"",IF($CT306,IF(N($AZ306)&gt;0,N($AZ306),""),IF(4&gt;$CQ306,"",IF($CQ306=1,$CW306,$CW306+($CX306-$CW306)*3/($CQ306-1)))))</f>
        <v/>
      </c>
      <c r="BY306" s="88">
        <f>IF($CS306,"",IF($CT306,"",IF(5&gt;$CQ306,"",IF($CQ306=1,$CW306,$CW306+($CX306-$CW306)*4/($CQ306-1)))))</f>
        <v/>
      </c>
      <c r="BZ306" s="88">
        <f>IF(OR($CS306,$AP306="-",AND($AP306="",$AD306="")),"",IF(N($BA306)&gt;0,N($BA306),IF($CV306,IF(AND($BI306&lt;$CU306,$BI306-IF(N(VLOOKUP($AT306&amp;"|"&amp;$CU306,LocTable,7,FALSE))&gt;0,VLOOKUP($AT306&amp;"|"&amp;$CU306,LocTable,7,FALSE),VLOOKUP($AT306&amp;"|"&amp;$CU306,LocTable,6,FALSE))-$CR306-0.75&gt;=2.125),VLOOKUP($AT306&amp;"|"&amp;$CU306,LocTable,8,FALSE),VLOOKUP($AT306&amp;"|"&amp;$CU306,LocTable,8,FALSE)+($BI306-$CU306)),$BI306-LockAFF)))</f>
        <v/>
      </c>
      <c r="CA306" s="89">
        <f>IF($BZ306="","",$BI306-$BZ306)</f>
        <v/>
      </c>
      <c r="CB306" s="84">
        <f>IF(OR(NOT(AND($A306&lt;&gt;"",$C306&lt;&gt;"DOOR ONLY")),$BI306=""),"",IF(($BI306+IF(N($P306)&gt;0,$P306+FaceW,0))&lt;=90,3,IF(($BI306+IF(N($P306)&gt;0,$P306+FaceW,0))&lt;=114,4,5)))</f>
        <v/>
      </c>
      <c r="CC306" s="84">
        <f>IF($CB306="","",$CB306*(2+IF(N($Q306)&gt;0,IF($R306="LR",2,1),0)))</f>
        <v/>
      </c>
      <c r="CD306" s="84">
        <f>IF($CB306="","",(2+IF(N($Q306)&gt;0,IF($R306="LR",2,1),0)))</f>
        <v/>
      </c>
      <c r="CE306" s="84">
        <f>IF(N($BJ306)=0,"",IF(OR($AL306="",$AL306="FLUSH"),"FLUSH",IFERROR(LEFT($AL306,FIND("-",$AL306)-1),LEFT($AL306,2))))</f>
        <v/>
      </c>
      <c r="CF306" s="84">
        <f>IF($CE306="","",IFERROR(VALUE(MID($AL306,FIND("-",$AL306)+1,FIND(CHAR(34)&amp;"x",$AL306)-FIND("-",$AL306)-1)),0))</f>
        <v/>
      </c>
      <c r="CG306" s="84">
        <f>IF($CE306="","",IFERROR(VALUE(MID($AL306,FIND(CHAR(34)&amp;"x",$AL306)+2,FIND(CHAR(34),$AL306,FIND(CHAR(34)&amp;"x",$AL306)+2)-FIND(CHAR(34)&amp;"x",$AL306)-2)),0))</f>
        <v/>
      </c>
      <c r="CH306" s="90">
        <f>IF(OR($A306="",$H306="",$H306="NO LAB"),0,IFERROR(VALUE(LEFT($H306,FIND(" ",$H306)-1)),0))</f>
        <v/>
      </c>
      <c r="CI306" s="91">
        <f>IF(OR($A306="",$I306="",$I306="NON-RATED",N($J306)=0),"",IFERROR(VLOOKUP($I306&amp;"|"&amp;$J306,IBC,2,FALSE),"?"))</f>
        <v/>
      </c>
      <c r="CJ306" s="85">
        <f>IF(NOT(AND($A306&lt;&gt;"",$C306&lt;&gt;"DOOR ONLY")),"",TRIM(IFERROR(VLOOKUP($U306,CODES,2,FALSE),"")&amp;" "&amp;$BG306&amp;" "&amp;IFERROR(VLOOKUP($Z306,CODES,2,FALSE),"")&amp;" "&amp;IFERROR(VLOOKUP($X306,CODES,2,FALSE),"")&amp;" "&amp;IFERROR(VLOOKUP($S306,CODES,2,FALSE),"")&amp;IF(N($P306)&gt;0," w/TRANSOM "&amp;$P306&amp;CHAR(34),"")&amp;IF(N($Q306)&gt;0," w/SIDELITE "&amp;$Q306&amp;CHAR(34)&amp;" "&amp;IF($R306="","R",$R306),"")&amp;IF($Y306="","  |  "," | "&amp;IFERROR(VLOOKUP($Y306,CODES,2,FALSE),"")&amp;" | ")&amp;IFERROR(VLOOKUP($AC306,CODES,2,FALSE),"")&amp;" "&amp;IFERROR(VLOOKUP($AD306,CODES,2,FALSE),"")&amp;IF(OR($AE306="",$AE306="-"),""," "&amp;$AE306)&amp;IF(OR($AF306="",$AF306="-"),""," "&amp;$AF306)&amp;IF($AB306="Y"," 4"&amp;CHAR(34)&amp;" HEAD","")&amp;" "&amp;IFERROR(VLOOKUP($H306,CODES,2,FALSE),"")&amp;IF($CT306," | LOC "&amp;$CY306,"")))</f>
        <v/>
      </c>
      <c r="CK306" s="85">
        <f>IF(NOT(AND($A306&lt;&gt;"",N($BJ306)&gt;0)),"",TRIM(IFERROR(VLOOKUP($AH306,CODES,2,FALSE),"")&amp;IF($AI306=""," "," "&amp;$AI306&amp;"GA ")&amp;$BG306&amp;" "&amp;IF($AN306="",IFERROR(VLOOKUP($Z306,CODES,2,FALSE),""),IFERROR(VLOOKUP($AN306,CODES,2,FALSE),""))&amp;IF($BJ306=2," PAIR","")&amp;" DOOR | "&amp;IF($AL306="","?",$AL306)&amp;" | "&amp;IF($AO306="",IFERROR(VLOOKUP($AC306,CODES,2,FALSE),""),IFERROR(VLOOKUP($AO306,CODES,2,FALSE),""))&amp;" "&amp;IFERROR(VLOOKUP($AP306,CODES,2,FALSE),"")&amp;IF(OR($AQ306="",$AQ306="-"),""," SEAM "&amp;$AQ306)&amp;IF($AR306="Y"," ASTRAGAL","")&amp;IF($AJ306=""," "," "&amp;$AJ306)&amp;IF($AK306=""," "," "&amp;$AK306)&amp;IF(OR($AT306="",$AT306="ANSI/SDI",$AT306="CUSTOM LOC"),""," "&amp;$AT306)&amp;IF($AM306=""," "," SERIES "&amp;$AM306)&amp;" "&amp;IFERROR(VLOOKUP($H306,CODES,2,FALSE),"")&amp;IF($CT306," | LOC "&amp;$CZ306,"")))</f>
        <v/>
      </c>
      <c r="CL306" s="84">
        <f>IF(CP306="","",IF(COUNTIF($CP$6:CP306,CP306)=1,MAX($CL$5:CL305)+1,INDEX($CL$5:CL305,MATCH(CP306,$CP$5:CP305,0))))</f>
        <v/>
      </c>
      <c r="CM306" s="84">
        <f>IF(NOT(AND($A306&lt;&gt;"",$C306&lt;&gt;"DOOR ONLY")),"",MAX($CM$5:CM305)+1)</f>
        <v/>
      </c>
      <c r="CN306" s="84">
        <f>IF(NOT(AND($A306&lt;&gt;"",N($BJ306)&gt;0)),"",MAX($CN$5:CN305)+1)</f>
        <v/>
      </c>
      <c r="CO306" s="84">
        <f>IF($A306="","",MAX($CO$5:CO305)+1)</f>
        <v/>
      </c>
      <c r="CP306" s="84">
        <f>IF(OR($A306="",$BH306="",$BI306=""),"",$BG306&amp;"|"&amp;$O306&amp;"|"&amp;$AL306&amp;"|"&amp;$S306&amp;"|"&amp;$P306&amp;"|"&amp;$Q306&amp;$R306&amp;"|"&amp;$C306&amp;"|"&amp;$AB306)</f>
        <v/>
      </c>
      <c r="CQ306" s="84">
        <f>N($BS306)</f>
        <v/>
      </c>
      <c r="CR306" s="84">
        <f>IF(N($AU306)&gt;0,N($AU306),4.5)</f>
        <v/>
      </c>
      <c r="CS306" s="84">
        <f>OR($A306="",$BI306="",$S306="BL",AND($C306="FRAME ONLY",OR($AC306="",$AC306="BLK")))</f>
        <v/>
      </c>
      <c r="CT306" s="84">
        <f>AND(NOT($CS306),OR($AT306="CUSTOM LOC",N($AW306)+N($AX306)+N($AY306)+N($AZ306)+N($BA306)&gt;0))</f>
        <v/>
      </c>
      <c r="CU306" s="84">
        <f>IF($BI306="","",IF($BI306&lt;=80,80,IF($BI306&lt;=84,84,96)))</f>
        <v/>
      </c>
      <c r="CV306" s="84">
        <f>ISNUMBER(MATCH($AT306&amp;"|80",LocKeys,0))</f>
        <v/>
      </c>
      <c r="CW306" s="86">
        <f>IF($CS306,"",IF($CV306,VLOOKUP($AT306&amp;"|"&amp;$CU306,LocTable,4,FALSE),5))</f>
        <v/>
      </c>
      <c r="CX306" s="86">
        <f>IF($CS306,"",IF($CV306,IF(OR($BI306=$CU306,AND($BI306&lt;$CU306,$BI306-IF(N(VLOOKUP($AT306&amp;"|"&amp;$CU306,LocTable,7,FALSE))&gt;0,VLOOKUP($AT306&amp;"|"&amp;$CU306,LocTable,7,FALSE),VLOOKUP($AT306&amp;"|"&amp;$CU306,LocTable,6,FALSE))-$CR306-0.75&gt;=2.125)),IF(N(VLOOKUP($AT306&amp;"|"&amp;$CU306,LocTable,7,FALSE))&gt;0,VLOOKUP($AT306&amp;"|"&amp;$CU306,LocTable,7,FALSE),VLOOKUP($AT306&amp;"|"&amp;$CU306,LocTable,6,FALSE)),$BI306-($CU306-IF(N(VLOOKUP($AT306&amp;"|"&amp;$CU306,LocTable,7,FALSE))&gt;0,VLOOKUP($AT306&amp;"|"&amp;$CU306,LocTable,7,FALSE),VLOOKUP($AT306&amp;"|"&amp;$CU306,LocTable,6,FALSE)))),$BI306-10-$CR306))</f>
        <v/>
      </c>
      <c r="CY306" s="85">
        <f>IF($CS306,"",TRIM(IF(ISNUMBER($BU306),"A "&amp;TRIM(TEXT($BU306,"# ?/??"))&amp;CHAR(34)&amp;"  ","")&amp;IF(ISNUMBER($BV306),"B "&amp;TRIM(TEXT($BV306,"# ?/??"))&amp;CHAR(34)&amp;"  ","")&amp;IF(ISNUMBER($BW306),"C "&amp;TRIM(TEXT($BW306,"# ?/??"))&amp;CHAR(34)&amp;"  ","")&amp;IF(ISNUMBER($BX306),"D "&amp;TRIM(TEXT($BX306,"# ?/??"))&amp;CHAR(34)&amp;"  ","")&amp;IF(ISNUMBER($BY306),"F "&amp;TRIM(TEXT($BY306,"# ?/??"))&amp;CHAR(34)&amp;"  ","")&amp;IF(ISNUMBER($BZ306),"E "&amp;TRIM(TEXT($BZ306,"# ?/??"))&amp;CHAR(34)&amp;"  ","")))</f>
        <v/>
      </c>
      <c r="CZ306" s="85">
        <f>IF(OR($CS306,N($BJ306)=0),"",TRIM(IF(ISNUMBER($BU306),"A "&amp;TRIM(TEXT($BU306-HeadClr,"# ?/??"))&amp;CHAR(34)&amp;"  ","")&amp;IF(ISNUMBER($BV306),"B "&amp;TRIM(TEXT($BV306-HeadClr,"# ?/??"))&amp;CHAR(34)&amp;"  ","")&amp;IF(ISNUMBER($BW306),"C "&amp;TRIM(TEXT($BW306-HeadClr,"# ?/??"))&amp;CHAR(34)&amp;"  ","")&amp;IF(ISNUMBER($BX306),"D "&amp;TRIM(TEXT($BX306-HeadClr,"# ?/??"))&amp;CHAR(34)&amp;"  ","")&amp;IF(ISNUMBER($BY306),"F "&amp;TRIM(TEXT($BY306-HeadClr,"# ?/??"))&amp;CHAR(34)&amp;"  ","")&amp;IF(ISNUMBER($BZ306),"E "&amp;TRIM(TEXT($BZ306-HeadClr,"# ?/??"))&amp;CHAR(34)&amp;"  ","")))</f>
        <v/>
      </c>
      <c r="DA306" s="84">
        <f>IF($A306="","",IF($AN306="",IFERROR(VLOOKUP($Z306,CODES,2,FALSE),""),IFERROR(VLOOKUP($AN306,CODES,2,FALSE),"")))</f>
        <v/>
      </c>
      <c r="DB306" s="84">
        <f>IF($A306="","",IF($O306="Y","PR",IF(OR($Z306="L",$Z306="RR",LEFT($Z306,2)="L-",LEFT($Z306,3)="RR-"),"LH","RH")))</f>
        <v/>
      </c>
      <c r="DC306" s="84">
        <f>IF($A306="","","S.HM"&amp;IF(OR($C306="DOOR ONLY",$X306&lt;&gt;"KD"),"MASONRY","DRYWALL")&amp;IF($C306="DOOR ONLY","",$U306)&amp;IF(AND($C306&lt;&gt;"FRAME ONLY",OR(LEFT($AH306,3)="OAK",LEFT($AH306,3)="BIR",LEFT($AH306,3)="MAP",$AH306="PC",$AH306="MC",$AH306="SCLC",$AH306="P-LAM")),"WD","HM")&amp;"1.75")</f>
        <v/>
      </c>
      <c r="DD306" s="84">
        <f>IF($CJ306="","",IF($O306="Y",$CJ306,SUBSTITUTE($CJ306,$BG306&amp;" "&amp;IFERROR(VLOOKUP($Z306,CODES,2,FALSE),"")&amp;" ",$BG306&amp;" ")))</f>
        <v/>
      </c>
      <c r="DE306" s="84">
        <f>IF($CK306="","",IF($O306="Y",$CK306,SUBSTITUTE($CK306,$BG306&amp;" "&amp;IF($AN306="",IFERROR(VLOOKUP($Z306,CODES,2,FALSE),""),IFERROR(VLOOKUP($AN306,CODES,2,FALSE),""))&amp;" ",$BG306&amp;" ")))</f>
        <v/>
      </c>
      <c r="DF306" s="84">
        <f>IF($CJ306="","",$DC306&amp;"|"&amp;$DD306&amp;"|"&amp;$DB306&amp;"|"&amp;$AT306&amp;"|"&amp;$V306&amp;"|"&amp;$Y306&amp;"|"&amp;$AB306)</f>
        <v/>
      </c>
      <c r="DG306" s="84">
        <f>IF(DF306="","",IF(COUNTIF($DF$6:DF306,DF306)=1,MAX($DG$5:DG305)+1,INDEX($DG$5:DG305,MATCH(DF306,$DF$5:DF305,0))))</f>
        <v/>
      </c>
      <c r="DH306" s="84">
        <f>IF($CK306="","",$DC306&amp;"|"&amp;$DE306&amp;"|"&amp;$AI306&amp;"|"&amp;$BK306&amp;"|"&amp;$BL306)</f>
        <v/>
      </c>
      <c r="DI306" s="84">
        <f>IF(DH306="","",IF(COUNTIF($DH$6:DH306,DH306)=1,MAX($DI$5:DI305)+1,INDEX($DI$5:DI305,MATCH(DH306,$DH$5:DH305,0))))</f>
        <v/>
      </c>
      <c r="DJ306" s="84">
        <f>IF($A306="","",IF($B306="","qty, ","")&amp;IF($C306="","scope, ","")&amp;IF(OR($K306="",$M306=""),"size, ","")&amp;IF(AND($A306&lt;&gt;"",$C306&lt;&gt;"DOOR ONLY"),IF($U306="","jamb depth, ","")&amp;IF($X306="","construction, ","")&amp;IF($Y306="","anchor, ","")&amp;IF($S306="","frame type, ",""),"")&amp;IF(AND(N($BJ306)&gt;0,$Z306=""),"hand, ","")&amp;IF(N($BJ306)&gt;0,IF($AH306="","door material, ","")&amp;IF($AL306="","face type, ","")&amp;IF($AP306="","lock prep, ","")&amp;IF(AND($AO306="",$AC306=""),"hinge prep, ",""),"")&amp;IF(AND($CH306&gt;0,$AH306="FRP"),"FRP cannot carry a label, ","")&amp;IF(AND($O306="Y",OR($Z306="L",$Z306="R",$Z306="LR",$Z306="RR")),"pair marked but hand is single, ","")&amp;IF(AND($O306&lt;&gt;"Y",OR($Z306="PR",AND(LEN($Z306)&gt;1,ISNUMBER(SEARCH("-",$Z306))))),"pair hand on a single door, ","")&amp;IF(AND(ISNUMBER($CI306),$CH306&lt;N($CI306)),"wall needs a "&amp;$CI306&amp;" min door, ","")&amp;IF(AND($CH306&gt;=180,AND(OR($CE306="FG",$CE306="HG",$CE306="FNV",$CE306="FV"),N($CF306)*N($CG306)&gt;100)),"180 min lite over 100 sq in, ","")&amp;IF(N($BK306)&gt;48,"leaf wider than 4'-0"&amp;CHAR(34)&amp;", ","")&amp;IF(AND($CT306,COUNT($AW306:$AZ306)=0,$CQ306&gt;0),"CUSTOM LOC with no locations typed, ",""))</f>
        <v/>
      </c>
      <c r="DK306" s="84">
        <f>IF($A306="","",IF(AND($CH306&gt;0,AND($A306&lt;&gt;"",$C306&lt;&gt;"DOOR ONLY"),$X306="KD",$E306="EXTERIOR"),"KD label on an exterior opening, ","")&amp;IF(AND($E306="EXTERIOR",OR(AND(AND($A306&lt;&gt;"",$C306&lt;&gt;"DOOR ONLY"),$W306="CR"),AND(N($BJ306)&gt;0,$AH306="CR"))),"exterior in CR steel (G9?), ","")&amp;IF(AND(ISNUMBER($BQ306),N($BQ306)&lt;32),"clear width ~"&amp;TEXT($BQ306,"0.0")&amp;CHAR(34)&amp;" under 32"&amp;CHAR(34)&amp;" (ADA), ","")&amp;IF(AND($CH306=90,AND(OR($CE306="FG",$CE306="HG",$CE306="FNV",$CE306="FV"),N($CF306)*N($CG306)&gt;100)),"90 min lite over 100 sq in (stair/exit), ","")&amp;IF(AND($CH306&gt;0,AND($A306&lt;&gt;"",$C306&lt;&gt;"DOOR ONLY"),OR($AF306="",$AF306="-")),"rated: closer reinf.?, ","")&amp;IF(OR($I306="CORRIDOR",$I306="SMOKE BARRIER"),"S label + smoke gasketing, ","")&amp;IF($CI306="?","wall type/hr not in IBC table, ","")&amp;IF(AND(N($BJ306)&gt;0,$BB306=""),"no hardware set, ","")&amp;IF(AND($BB306&lt;&gt;"",ISNA(MATCH($BB306&amp;"",HWSets,0))),"set "&amp;$BB306&amp;" not on HW Sets, ","")&amp;IF(N($BL306)&gt;96,"leaf over 8'-0"&amp;CHAR(34)&amp;" - check listing, ","")&amp;IF(AND($CT306,COUNT($AW306:$AZ306)&gt;0,COUNT($AW306:$AZ306)&lt;&gt;$CQ306),COUNT($AW306:$AZ306)&amp;" custom hinges typed, "&amp;$CQ306&amp;" expected, ","")&amp;IF(AND(ISNUMBER($CA306),OR(N($CA306)&lt;34,N($CA306)&gt;48)),"lock "&amp;TEXT($CA306,"0.0")&amp;CHAR(34)&amp;" AFF outside 34-48"&amp;CHAR(34)&amp;" (ADA), ","")&amp;IF(AND(ISNUMBER($AV306),ISNUMBER($BL306),N($AV306)&lt;IF(N($BL306)&lt;=60,2,IF(N($BL306)&lt;=90,3,IF(N($BL306)&lt;=120,4,5)))),"fewer hinges than standard, ",""))</f>
        <v/>
      </c>
    </row>
    <row r="307" ht="15" customHeight="1">
      <c r="A307" s="77" t="n"/>
      <c r="B307" s="78" t="n"/>
      <c r="C307" s="78" t="n"/>
      <c r="D307" s="78" t="n"/>
      <c r="E307" s="78" t="n"/>
      <c r="F307" s="78" t="n"/>
      <c r="G307" s="78" t="n"/>
      <c r="H307" s="78" t="n"/>
      <c r="I307" s="78" t="n"/>
      <c r="J307" s="78" t="n"/>
      <c r="K307" s="78" t="n"/>
      <c r="L307" s="78" t="n"/>
      <c r="M307" s="78" t="n"/>
      <c r="N307" s="78" t="n"/>
      <c r="O307" s="78" t="n"/>
      <c r="P307" s="78" t="n"/>
      <c r="Q307" s="78" t="n"/>
      <c r="R307" s="78" t="n"/>
      <c r="S307" s="79" t="n"/>
      <c r="T307" s="79" t="n"/>
      <c r="U307" s="79" t="n"/>
      <c r="V307" s="79" t="n"/>
      <c r="W307" s="79" t="n"/>
      <c r="X307" s="79" t="n"/>
      <c r="Y307" s="79" t="n"/>
      <c r="Z307" s="79" t="n"/>
      <c r="AA307" s="79" t="n"/>
      <c r="AB307" s="79" t="n"/>
      <c r="AC307" s="79" t="n"/>
      <c r="AD307" s="79" t="n"/>
      <c r="AE307" s="79" t="n"/>
      <c r="AF307" s="79" t="n"/>
      <c r="AG307" s="79" t="n"/>
      <c r="AH307" s="80" t="n"/>
      <c r="AI307" s="80" t="n"/>
      <c r="AJ307" s="80" t="n"/>
      <c r="AK307" s="80" t="n"/>
      <c r="AL307" s="80" t="n"/>
      <c r="AM307" s="80" t="n"/>
      <c r="AN307" s="80" t="n"/>
      <c r="AO307" s="80" t="n"/>
      <c r="AP307" s="80" t="n"/>
      <c r="AQ307" s="80" t="n"/>
      <c r="AR307" s="80" t="n"/>
      <c r="AS307" s="80" t="n"/>
      <c r="AT307" s="81" t="n"/>
      <c r="AU307" s="81" t="n"/>
      <c r="AV307" s="81" t="n"/>
      <c r="AW307" s="82" t="n"/>
      <c r="AX307" s="82" t="n"/>
      <c r="AY307" s="82" t="n"/>
      <c r="AZ307" s="82" t="n"/>
      <c r="BA307" s="82" t="n"/>
      <c r="BB307" s="83" t="n"/>
      <c r="BC307" s="83" t="n"/>
      <c r="BD307" s="84">
        <f>IF($A307="","",IF($DJ307&lt;&gt;"","FIX",IF($DK307&lt;&gt;"","CHECK","OK")))</f>
        <v/>
      </c>
      <c r="BE307" s="85">
        <f>IF($A307="","",IF($DJ307&lt;&gt;"","FIX: "&amp;LEFT($DJ307,LEN($DJ307)-2)&amp;IF($DK307&lt;&gt;"","  ·  ",""),"")&amp;IF($DK307&lt;&gt;"","CHECK: "&amp;LEFT($DK307,LEN($DK307)-2),""))</f>
        <v/>
      </c>
      <c r="BF307" s="84">
        <f>IF(OR($A307="",$K307=""),"",$K307&amp;"'-"&amp;N($L307)&amp;CHAR(34)&amp;" x "&amp;$M307&amp;"'-"&amp;N($N307)&amp;CHAR(34))</f>
        <v/>
      </c>
      <c r="BG307" s="84">
        <f>IF(OR($A307="",$K307=""),"",$K307&amp;N($L307)&amp;$M307&amp;N($N307))</f>
        <v/>
      </c>
      <c r="BH307" s="84">
        <f>IF(OR($A307="",$K307=""),"",$K307*12+N($L307))</f>
        <v/>
      </c>
      <c r="BI307" s="84">
        <f>IF(OR($A307="",$M307=""),"",$M307*12+N($N307))</f>
        <v/>
      </c>
      <c r="BJ307" s="84">
        <f>IF($A307="","",IF(OR($C307="FRAME ONLY",$S307="BL"),0,IF($O307="Y",2,1)))</f>
        <v/>
      </c>
      <c r="BK307" s="86">
        <f>IF(OR(N($BJ307)=0,$BH307=""),"",($BH307-2*EdgeClr-IF($BJ307=2,MeetClr,0))/$BJ307)</f>
        <v/>
      </c>
      <c r="BL307" s="86">
        <f>IF(OR(N($BJ307)=0,$BI307=""),"",$BI307-HeadClr-Undercut)</f>
        <v/>
      </c>
      <c r="BM307" s="86">
        <f>IF($BH307="","",$BH307+2*FaceW+IF(N($Q307)&gt;0,($Q307+FaceW)*IF($R307="LR",2,1),0))</f>
        <v/>
      </c>
      <c r="BN307" s="86">
        <f>IF($BI307="","",$BI307+IF($AB307="Y",4,FaceW)+IF(N($P307)&gt;0,$P307+FaceW,0)+IF(OR($S307="4F",$S307="BL"),FaceW,0))</f>
        <v/>
      </c>
      <c r="BO307" s="86">
        <f>IF($BM307="","",$BM307+2*ROSide)</f>
        <v/>
      </c>
      <c r="BP307" s="86">
        <f>IF($BN307="","",$BN307+ROTop)</f>
        <v/>
      </c>
      <c r="BQ307" s="87">
        <f>IF(OR(N($BJ307)=0,$BH307=""),"",$BH307/$BJ307-ClearDeduct)</f>
        <v/>
      </c>
      <c r="BR307" s="84">
        <f>IF(N($CH307)=0,"",IF($CH307&gt;=180,"A · 3 HR",IF($CH307&gt;=90,"B · 1-1/2 HR",IF($CH307&gt;=60,"B · 1 HR",IF($CH307&gt;=45,"C · 3/4 HR","20 MIN")))))&amp;IF(AND(N($CH307)&gt;0,OR($I307="CORRIDOR",$I307="SMOKE BARRIER"))," · S","")</f>
        <v/>
      </c>
      <c r="BS307" s="84">
        <f>IF($CS307,"",IF($AV307&lt;&gt;"",$AV307,IF(OR($AC307="HGC",$AO307="HGC"),"CONT",IF(($BI307-HeadClr-Undercut)&lt;=60,2,IF(($BI307-HeadClr-Undercut)&lt;=90,3,IF(($BI307-HeadClr-Undercut)&lt;=120,4,5))))))</f>
        <v/>
      </c>
      <c r="BT307" s="84">
        <f>IF($CS307,"",IF($CT307,"CUSTOM (typed)",IF($CV307,$AT307&amp;" "&amp;$CU307&amp;CHAR(34)&amp;IF($CU307&lt;&gt;$BI307,IF(AND($BI307&lt;$CU307,$BI307-IF(N(VLOOKUP($AT307&amp;"|"&amp;$CU307,LocTable,7,FALSE))&gt;0,VLOOKUP($AT307&amp;"|"&amp;$CU307,LocTable,7,FALSE),VLOOKUP($AT307&amp;"|"&amp;$CU307,LocTable,6,FALSE))-$CR307-0.75&gt;=2.125)," cut down"," adj."),""),"ANSI/SDI A250.6")))</f>
        <v/>
      </c>
      <c r="BU307" s="88">
        <f>IF($CS307,"",IF($CT307,IF(N($AW307)&gt;0,N($AW307),""),IF(1&gt;$CQ307,"",IF($CQ307=1,$CW307,$CW307+($CX307-$CW307)*0/($CQ307-1)))))</f>
        <v/>
      </c>
      <c r="BV307" s="88">
        <f>IF($CS307,"",IF($CT307,IF(N($AX307)&gt;0,N($AX307),""),IF(2&gt;$CQ307,"",IF($CQ307=1,$CW307,$CW307+($CX307-$CW307)*1/($CQ307-1)))))</f>
        <v/>
      </c>
      <c r="BW307" s="88">
        <f>IF($CS307,"",IF($CT307,IF(N($AY307)&gt;0,N($AY307),""),IF(3&gt;$CQ307,"",IF($CQ307=1,$CW307,$CW307+($CX307-$CW307)*2/($CQ307-1)))))</f>
        <v/>
      </c>
      <c r="BX307" s="88">
        <f>IF($CS307,"",IF($CT307,IF(N($AZ307)&gt;0,N($AZ307),""),IF(4&gt;$CQ307,"",IF($CQ307=1,$CW307,$CW307+($CX307-$CW307)*3/($CQ307-1)))))</f>
        <v/>
      </c>
      <c r="BY307" s="88">
        <f>IF($CS307,"",IF($CT307,"",IF(5&gt;$CQ307,"",IF($CQ307=1,$CW307,$CW307+($CX307-$CW307)*4/($CQ307-1)))))</f>
        <v/>
      </c>
      <c r="BZ307" s="88">
        <f>IF(OR($CS307,$AP307="-",AND($AP307="",$AD307="")),"",IF(N($BA307)&gt;0,N($BA307),IF($CV307,IF(AND($BI307&lt;$CU307,$BI307-IF(N(VLOOKUP($AT307&amp;"|"&amp;$CU307,LocTable,7,FALSE))&gt;0,VLOOKUP($AT307&amp;"|"&amp;$CU307,LocTable,7,FALSE),VLOOKUP($AT307&amp;"|"&amp;$CU307,LocTable,6,FALSE))-$CR307-0.75&gt;=2.125),VLOOKUP($AT307&amp;"|"&amp;$CU307,LocTable,8,FALSE),VLOOKUP($AT307&amp;"|"&amp;$CU307,LocTable,8,FALSE)+($BI307-$CU307)),$BI307-LockAFF)))</f>
        <v/>
      </c>
      <c r="CA307" s="89">
        <f>IF($BZ307="","",$BI307-$BZ307)</f>
        <v/>
      </c>
      <c r="CB307" s="84">
        <f>IF(OR(NOT(AND($A307&lt;&gt;"",$C307&lt;&gt;"DOOR ONLY")),$BI307=""),"",IF(($BI307+IF(N($P307)&gt;0,$P307+FaceW,0))&lt;=90,3,IF(($BI307+IF(N($P307)&gt;0,$P307+FaceW,0))&lt;=114,4,5)))</f>
        <v/>
      </c>
      <c r="CC307" s="84">
        <f>IF($CB307="","",$CB307*(2+IF(N($Q307)&gt;0,IF($R307="LR",2,1),0)))</f>
        <v/>
      </c>
      <c r="CD307" s="84">
        <f>IF($CB307="","",(2+IF(N($Q307)&gt;0,IF($R307="LR",2,1),0)))</f>
        <v/>
      </c>
      <c r="CE307" s="84">
        <f>IF(N($BJ307)=0,"",IF(OR($AL307="",$AL307="FLUSH"),"FLUSH",IFERROR(LEFT($AL307,FIND("-",$AL307)-1),LEFT($AL307,2))))</f>
        <v/>
      </c>
      <c r="CF307" s="84">
        <f>IF($CE307="","",IFERROR(VALUE(MID($AL307,FIND("-",$AL307)+1,FIND(CHAR(34)&amp;"x",$AL307)-FIND("-",$AL307)-1)),0))</f>
        <v/>
      </c>
      <c r="CG307" s="84">
        <f>IF($CE307="","",IFERROR(VALUE(MID($AL307,FIND(CHAR(34)&amp;"x",$AL307)+2,FIND(CHAR(34),$AL307,FIND(CHAR(34)&amp;"x",$AL307)+2)-FIND(CHAR(34)&amp;"x",$AL307)-2)),0))</f>
        <v/>
      </c>
      <c r="CH307" s="90">
        <f>IF(OR($A307="",$H307="",$H307="NO LAB"),0,IFERROR(VALUE(LEFT($H307,FIND(" ",$H307)-1)),0))</f>
        <v/>
      </c>
      <c r="CI307" s="91">
        <f>IF(OR($A307="",$I307="",$I307="NON-RATED",N($J307)=0),"",IFERROR(VLOOKUP($I307&amp;"|"&amp;$J307,IBC,2,FALSE),"?"))</f>
        <v/>
      </c>
      <c r="CJ307" s="85">
        <f>IF(NOT(AND($A307&lt;&gt;"",$C307&lt;&gt;"DOOR ONLY")),"",TRIM(IFERROR(VLOOKUP($U307,CODES,2,FALSE),"")&amp;" "&amp;$BG307&amp;" "&amp;IFERROR(VLOOKUP($Z307,CODES,2,FALSE),"")&amp;" "&amp;IFERROR(VLOOKUP($X307,CODES,2,FALSE),"")&amp;" "&amp;IFERROR(VLOOKUP($S307,CODES,2,FALSE),"")&amp;IF(N($P307)&gt;0," w/TRANSOM "&amp;$P307&amp;CHAR(34),"")&amp;IF(N($Q307)&gt;0," w/SIDELITE "&amp;$Q307&amp;CHAR(34)&amp;" "&amp;IF($R307="","R",$R307),"")&amp;IF($Y307="","  |  "," | "&amp;IFERROR(VLOOKUP($Y307,CODES,2,FALSE),"")&amp;" | ")&amp;IFERROR(VLOOKUP($AC307,CODES,2,FALSE),"")&amp;" "&amp;IFERROR(VLOOKUP($AD307,CODES,2,FALSE),"")&amp;IF(OR($AE307="",$AE307="-"),""," "&amp;$AE307)&amp;IF(OR($AF307="",$AF307="-"),""," "&amp;$AF307)&amp;IF($AB307="Y"," 4"&amp;CHAR(34)&amp;" HEAD","")&amp;" "&amp;IFERROR(VLOOKUP($H307,CODES,2,FALSE),"")&amp;IF($CT307," | LOC "&amp;$CY307,"")))</f>
        <v/>
      </c>
      <c r="CK307" s="85">
        <f>IF(NOT(AND($A307&lt;&gt;"",N($BJ307)&gt;0)),"",TRIM(IFERROR(VLOOKUP($AH307,CODES,2,FALSE),"")&amp;IF($AI307=""," "," "&amp;$AI307&amp;"GA ")&amp;$BG307&amp;" "&amp;IF($AN307="",IFERROR(VLOOKUP($Z307,CODES,2,FALSE),""),IFERROR(VLOOKUP($AN307,CODES,2,FALSE),""))&amp;IF($BJ307=2," PAIR","")&amp;" DOOR | "&amp;IF($AL307="","?",$AL307)&amp;" | "&amp;IF($AO307="",IFERROR(VLOOKUP($AC307,CODES,2,FALSE),""),IFERROR(VLOOKUP($AO307,CODES,2,FALSE),""))&amp;" "&amp;IFERROR(VLOOKUP($AP307,CODES,2,FALSE),"")&amp;IF(OR($AQ307="",$AQ307="-"),""," SEAM "&amp;$AQ307)&amp;IF($AR307="Y"," ASTRAGAL","")&amp;IF($AJ307=""," "," "&amp;$AJ307)&amp;IF($AK307=""," "," "&amp;$AK307)&amp;IF(OR($AT307="",$AT307="ANSI/SDI",$AT307="CUSTOM LOC"),""," "&amp;$AT307)&amp;IF($AM307=""," "," SERIES "&amp;$AM307)&amp;" "&amp;IFERROR(VLOOKUP($H307,CODES,2,FALSE),"")&amp;IF($CT307," | LOC "&amp;$CZ307,"")))</f>
        <v/>
      </c>
      <c r="CL307" s="84">
        <f>IF(CP307="","",IF(COUNTIF($CP$6:CP307,CP307)=1,MAX($CL$5:CL306)+1,INDEX($CL$5:CL306,MATCH(CP307,$CP$5:CP306,0))))</f>
        <v/>
      </c>
      <c r="CM307" s="84">
        <f>IF(NOT(AND($A307&lt;&gt;"",$C307&lt;&gt;"DOOR ONLY")),"",MAX($CM$5:CM306)+1)</f>
        <v/>
      </c>
      <c r="CN307" s="84">
        <f>IF(NOT(AND($A307&lt;&gt;"",N($BJ307)&gt;0)),"",MAX($CN$5:CN306)+1)</f>
        <v/>
      </c>
      <c r="CO307" s="84">
        <f>IF($A307="","",MAX($CO$5:CO306)+1)</f>
        <v/>
      </c>
      <c r="CP307" s="84">
        <f>IF(OR($A307="",$BH307="",$BI307=""),"",$BG307&amp;"|"&amp;$O307&amp;"|"&amp;$AL307&amp;"|"&amp;$S307&amp;"|"&amp;$P307&amp;"|"&amp;$Q307&amp;$R307&amp;"|"&amp;$C307&amp;"|"&amp;$AB307)</f>
        <v/>
      </c>
      <c r="CQ307" s="84">
        <f>N($BS307)</f>
        <v/>
      </c>
      <c r="CR307" s="84">
        <f>IF(N($AU307)&gt;0,N($AU307),4.5)</f>
        <v/>
      </c>
      <c r="CS307" s="84">
        <f>OR($A307="",$BI307="",$S307="BL",AND($C307="FRAME ONLY",OR($AC307="",$AC307="BLK")))</f>
        <v/>
      </c>
      <c r="CT307" s="84">
        <f>AND(NOT($CS307),OR($AT307="CUSTOM LOC",N($AW307)+N($AX307)+N($AY307)+N($AZ307)+N($BA307)&gt;0))</f>
        <v/>
      </c>
      <c r="CU307" s="84">
        <f>IF($BI307="","",IF($BI307&lt;=80,80,IF($BI307&lt;=84,84,96)))</f>
        <v/>
      </c>
      <c r="CV307" s="84">
        <f>ISNUMBER(MATCH($AT307&amp;"|80",LocKeys,0))</f>
        <v/>
      </c>
      <c r="CW307" s="86">
        <f>IF($CS307,"",IF($CV307,VLOOKUP($AT307&amp;"|"&amp;$CU307,LocTable,4,FALSE),5))</f>
        <v/>
      </c>
      <c r="CX307" s="86">
        <f>IF($CS307,"",IF($CV307,IF(OR($BI307=$CU307,AND($BI307&lt;$CU307,$BI307-IF(N(VLOOKUP($AT307&amp;"|"&amp;$CU307,LocTable,7,FALSE))&gt;0,VLOOKUP($AT307&amp;"|"&amp;$CU307,LocTable,7,FALSE),VLOOKUP($AT307&amp;"|"&amp;$CU307,LocTable,6,FALSE))-$CR307-0.75&gt;=2.125)),IF(N(VLOOKUP($AT307&amp;"|"&amp;$CU307,LocTable,7,FALSE))&gt;0,VLOOKUP($AT307&amp;"|"&amp;$CU307,LocTable,7,FALSE),VLOOKUP($AT307&amp;"|"&amp;$CU307,LocTable,6,FALSE)),$BI307-($CU307-IF(N(VLOOKUP($AT307&amp;"|"&amp;$CU307,LocTable,7,FALSE))&gt;0,VLOOKUP($AT307&amp;"|"&amp;$CU307,LocTable,7,FALSE),VLOOKUP($AT307&amp;"|"&amp;$CU307,LocTable,6,FALSE)))),$BI307-10-$CR307))</f>
        <v/>
      </c>
      <c r="CY307" s="85">
        <f>IF($CS307,"",TRIM(IF(ISNUMBER($BU307),"A "&amp;TRIM(TEXT($BU307,"# ?/??"))&amp;CHAR(34)&amp;"  ","")&amp;IF(ISNUMBER($BV307),"B "&amp;TRIM(TEXT($BV307,"# ?/??"))&amp;CHAR(34)&amp;"  ","")&amp;IF(ISNUMBER($BW307),"C "&amp;TRIM(TEXT($BW307,"# ?/??"))&amp;CHAR(34)&amp;"  ","")&amp;IF(ISNUMBER($BX307),"D "&amp;TRIM(TEXT($BX307,"# ?/??"))&amp;CHAR(34)&amp;"  ","")&amp;IF(ISNUMBER($BY307),"F "&amp;TRIM(TEXT($BY307,"# ?/??"))&amp;CHAR(34)&amp;"  ","")&amp;IF(ISNUMBER($BZ307),"E "&amp;TRIM(TEXT($BZ307,"# ?/??"))&amp;CHAR(34)&amp;"  ","")))</f>
        <v/>
      </c>
      <c r="CZ307" s="85">
        <f>IF(OR($CS307,N($BJ307)=0),"",TRIM(IF(ISNUMBER($BU307),"A "&amp;TRIM(TEXT($BU307-HeadClr,"# ?/??"))&amp;CHAR(34)&amp;"  ","")&amp;IF(ISNUMBER($BV307),"B "&amp;TRIM(TEXT($BV307-HeadClr,"# ?/??"))&amp;CHAR(34)&amp;"  ","")&amp;IF(ISNUMBER($BW307),"C "&amp;TRIM(TEXT($BW307-HeadClr,"# ?/??"))&amp;CHAR(34)&amp;"  ","")&amp;IF(ISNUMBER($BX307),"D "&amp;TRIM(TEXT($BX307-HeadClr,"# ?/??"))&amp;CHAR(34)&amp;"  ","")&amp;IF(ISNUMBER($BY307),"F "&amp;TRIM(TEXT($BY307-HeadClr,"# ?/??"))&amp;CHAR(34)&amp;"  ","")&amp;IF(ISNUMBER($BZ307),"E "&amp;TRIM(TEXT($BZ307-HeadClr,"# ?/??"))&amp;CHAR(34)&amp;"  ","")))</f>
        <v/>
      </c>
      <c r="DA307" s="84">
        <f>IF($A307="","",IF($AN307="",IFERROR(VLOOKUP($Z307,CODES,2,FALSE),""),IFERROR(VLOOKUP($AN307,CODES,2,FALSE),"")))</f>
        <v/>
      </c>
      <c r="DB307" s="84">
        <f>IF($A307="","",IF($O307="Y","PR",IF(OR($Z307="L",$Z307="RR",LEFT($Z307,2)="L-",LEFT($Z307,3)="RR-"),"LH","RH")))</f>
        <v/>
      </c>
      <c r="DC307" s="84">
        <f>IF($A307="","","S.HM"&amp;IF(OR($C307="DOOR ONLY",$X307&lt;&gt;"KD"),"MASONRY","DRYWALL")&amp;IF($C307="DOOR ONLY","",$U307)&amp;IF(AND($C307&lt;&gt;"FRAME ONLY",OR(LEFT($AH307,3)="OAK",LEFT($AH307,3)="BIR",LEFT($AH307,3)="MAP",$AH307="PC",$AH307="MC",$AH307="SCLC",$AH307="P-LAM")),"WD","HM")&amp;"1.75")</f>
        <v/>
      </c>
      <c r="DD307" s="84">
        <f>IF($CJ307="","",IF($O307="Y",$CJ307,SUBSTITUTE($CJ307,$BG307&amp;" "&amp;IFERROR(VLOOKUP($Z307,CODES,2,FALSE),"")&amp;" ",$BG307&amp;" ")))</f>
        <v/>
      </c>
      <c r="DE307" s="84">
        <f>IF($CK307="","",IF($O307="Y",$CK307,SUBSTITUTE($CK307,$BG307&amp;" "&amp;IF($AN307="",IFERROR(VLOOKUP($Z307,CODES,2,FALSE),""),IFERROR(VLOOKUP($AN307,CODES,2,FALSE),""))&amp;" ",$BG307&amp;" ")))</f>
        <v/>
      </c>
      <c r="DF307" s="84">
        <f>IF($CJ307="","",$DC307&amp;"|"&amp;$DD307&amp;"|"&amp;$DB307&amp;"|"&amp;$AT307&amp;"|"&amp;$V307&amp;"|"&amp;$Y307&amp;"|"&amp;$AB307)</f>
        <v/>
      </c>
      <c r="DG307" s="84">
        <f>IF(DF307="","",IF(COUNTIF($DF$6:DF307,DF307)=1,MAX($DG$5:DG306)+1,INDEX($DG$5:DG306,MATCH(DF307,$DF$5:DF306,0))))</f>
        <v/>
      </c>
      <c r="DH307" s="84">
        <f>IF($CK307="","",$DC307&amp;"|"&amp;$DE307&amp;"|"&amp;$AI307&amp;"|"&amp;$BK307&amp;"|"&amp;$BL307)</f>
        <v/>
      </c>
      <c r="DI307" s="84">
        <f>IF(DH307="","",IF(COUNTIF($DH$6:DH307,DH307)=1,MAX($DI$5:DI306)+1,INDEX($DI$5:DI306,MATCH(DH307,$DH$5:DH306,0))))</f>
        <v/>
      </c>
      <c r="DJ307" s="84">
        <f>IF($A307="","",IF($B307="","qty, ","")&amp;IF($C307="","scope, ","")&amp;IF(OR($K307="",$M307=""),"size, ","")&amp;IF(AND($A307&lt;&gt;"",$C307&lt;&gt;"DOOR ONLY"),IF($U307="","jamb depth, ","")&amp;IF($X307="","construction, ","")&amp;IF($Y307="","anchor, ","")&amp;IF($S307="","frame type, ",""),"")&amp;IF(AND(N($BJ307)&gt;0,$Z307=""),"hand, ","")&amp;IF(N($BJ307)&gt;0,IF($AH307="","door material, ","")&amp;IF($AL307="","face type, ","")&amp;IF($AP307="","lock prep, ","")&amp;IF(AND($AO307="",$AC307=""),"hinge prep, ",""),"")&amp;IF(AND($CH307&gt;0,$AH307="FRP"),"FRP cannot carry a label, ","")&amp;IF(AND($O307="Y",OR($Z307="L",$Z307="R",$Z307="LR",$Z307="RR")),"pair marked but hand is single, ","")&amp;IF(AND($O307&lt;&gt;"Y",OR($Z307="PR",AND(LEN($Z307)&gt;1,ISNUMBER(SEARCH("-",$Z307))))),"pair hand on a single door, ","")&amp;IF(AND(ISNUMBER($CI307),$CH307&lt;N($CI307)),"wall needs a "&amp;$CI307&amp;" min door, ","")&amp;IF(AND($CH307&gt;=180,AND(OR($CE307="FG",$CE307="HG",$CE307="FNV",$CE307="FV"),N($CF307)*N($CG307)&gt;100)),"180 min lite over 100 sq in, ","")&amp;IF(N($BK307)&gt;48,"leaf wider than 4'-0"&amp;CHAR(34)&amp;", ","")&amp;IF(AND($CT307,COUNT($AW307:$AZ307)=0,$CQ307&gt;0),"CUSTOM LOC with no locations typed, ",""))</f>
        <v/>
      </c>
      <c r="DK307" s="84">
        <f>IF($A307="","",IF(AND($CH307&gt;0,AND($A307&lt;&gt;"",$C307&lt;&gt;"DOOR ONLY"),$X307="KD",$E307="EXTERIOR"),"KD label on an exterior opening, ","")&amp;IF(AND($E307="EXTERIOR",OR(AND(AND($A307&lt;&gt;"",$C307&lt;&gt;"DOOR ONLY"),$W307="CR"),AND(N($BJ307)&gt;0,$AH307="CR"))),"exterior in CR steel (G9?), ","")&amp;IF(AND(ISNUMBER($BQ307),N($BQ307)&lt;32),"clear width ~"&amp;TEXT($BQ307,"0.0")&amp;CHAR(34)&amp;" under 32"&amp;CHAR(34)&amp;" (ADA), ","")&amp;IF(AND($CH307=90,AND(OR($CE307="FG",$CE307="HG",$CE307="FNV",$CE307="FV"),N($CF307)*N($CG307)&gt;100)),"90 min lite over 100 sq in (stair/exit), ","")&amp;IF(AND($CH307&gt;0,AND($A307&lt;&gt;"",$C307&lt;&gt;"DOOR ONLY"),OR($AF307="",$AF307="-")),"rated: closer reinf.?, ","")&amp;IF(OR($I307="CORRIDOR",$I307="SMOKE BARRIER"),"S label + smoke gasketing, ","")&amp;IF($CI307="?","wall type/hr not in IBC table, ","")&amp;IF(AND(N($BJ307)&gt;0,$BB307=""),"no hardware set, ","")&amp;IF(AND($BB307&lt;&gt;"",ISNA(MATCH($BB307&amp;"",HWSets,0))),"set "&amp;$BB307&amp;" not on HW Sets, ","")&amp;IF(N($BL307)&gt;96,"leaf over 8'-0"&amp;CHAR(34)&amp;" - check listing, ","")&amp;IF(AND($CT307,COUNT($AW307:$AZ307)&gt;0,COUNT($AW307:$AZ307)&lt;&gt;$CQ307),COUNT($AW307:$AZ307)&amp;" custom hinges typed, "&amp;$CQ307&amp;" expected, ","")&amp;IF(AND(ISNUMBER($CA307),OR(N($CA307)&lt;34,N($CA307)&gt;48)),"lock "&amp;TEXT($CA307,"0.0")&amp;CHAR(34)&amp;" AFF outside 34-48"&amp;CHAR(34)&amp;" (ADA), ","")&amp;IF(AND(ISNUMBER($AV307),ISNUMBER($BL307),N($AV307)&lt;IF(N($BL307)&lt;=60,2,IF(N($BL307)&lt;=90,3,IF(N($BL307)&lt;=120,4,5)))),"fewer hinges than standard, ",""))</f>
        <v/>
      </c>
    </row>
    <row r="308" ht="15" customHeight="1">
      <c r="A308" s="77" t="n"/>
      <c r="B308" s="78" t="n"/>
      <c r="C308" s="78" t="n"/>
      <c r="D308" s="78" t="n"/>
      <c r="E308" s="78" t="n"/>
      <c r="F308" s="78" t="n"/>
      <c r="G308" s="78" t="n"/>
      <c r="H308" s="78" t="n"/>
      <c r="I308" s="78" t="n"/>
      <c r="J308" s="78" t="n"/>
      <c r="K308" s="78" t="n"/>
      <c r="L308" s="78" t="n"/>
      <c r="M308" s="78" t="n"/>
      <c r="N308" s="78" t="n"/>
      <c r="O308" s="78" t="n"/>
      <c r="P308" s="78" t="n"/>
      <c r="Q308" s="78" t="n"/>
      <c r="R308" s="78" t="n"/>
      <c r="S308" s="79" t="n"/>
      <c r="T308" s="79" t="n"/>
      <c r="U308" s="79" t="n"/>
      <c r="V308" s="79" t="n"/>
      <c r="W308" s="79" t="n"/>
      <c r="X308" s="79" t="n"/>
      <c r="Y308" s="79" t="n"/>
      <c r="Z308" s="79" t="n"/>
      <c r="AA308" s="79" t="n"/>
      <c r="AB308" s="79" t="n"/>
      <c r="AC308" s="79" t="n"/>
      <c r="AD308" s="79" t="n"/>
      <c r="AE308" s="79" t="n"/>
      <c r="AF308" s="79" t="n"/>
      <c r="AG308" s="79" t="n"/>
      <c r="AH308" s="80" t="n"/>
      <c r="AI308" s="80" t="n"/>
      <c r="AJ308" s="80" t="n"/>
      <c r="AK308" s="80" t="n"/>
      <c r="AL308" s="80" t="n"/>
      <c r="AM308" s="80" t="n"/>
      <c r="AN308" s="80" t="n"/>
      <c r="AO308" s="80" t="n"/>
      <c r="AP308" s="80" t="n"/>
      <c r="AQ308" s="80" t="n"/>
      <c r="AR308" s="80" t="n"/>
      <c r="AS308" s="80" t="n"/>
      <c r="AT308" s="81" t="n"/>
      <c r="AU308" s="81" t="n"/>
      <c r="AV308" s="81" t="n"/>
      <c r="AW308" s="82" t="n"/>
      <c r="AX308" s="82" t="n"/>
      <c r="AY308" s="82" t="n"/>
      <c r="AZ308" s="82" t="n"/>
      <c r="BA308" s="82" t="n"/>
      <c r="BB308" s="83" t="n"/>
      <c r="BC308" s="83" t="n"/>
      <c r="BD308" s="84">
        <f>IF($A308="","",IF($DJ308&lt;&gt;"","FIX",IF($DK308&lt;&gt;"","CHECK","OK")))</f>
        <v/>
      </c>
      <c r="BE308" s="85">
        <f>IF($A308="","",IF($DJ308&lt;&gt;"","FIX: "&amp;LEFT($DJ308,LEN($DJ308)-2)&amp;IF($DK308&lt;&gt;"","  ·  ",""),"")&amp;IF($DK308&lt;&gt;"","CHECK: "&amp;LEFT($DK308,LEN($DK308)-2),""))</f>
        <v/>
      </c>
      <c r="BF308" s="84">
        <f>IF(OR($A308="",$K308=""),"",$K308&amp;"'-"&amp;N($L308)&amp;CHAR(34)&amp;" x "&amp;$M308&amp;"'-"&amp;N($N308)&amp;CHAR(34))</f>
        <v/>
      </c>
      <c r="BG308" s="84">
        <f>IF(OR($A308="",$K308=""),"",$K308&amp;N($L308)&amp;$M308&amp;N($N308))</f>
        <v/>
      </c>
      <c r="BH308" s="84">
        <f>IF(OR($A308="",$K308=""),"",$K308*12+N($L308))</f>
        <v/>
      </c>
      <c r="BI308" s="84">
        <f>IF(OR($A308="",$M308=""),"",$M308*12+N($N308))</f>
        <v/>
      </c>
      <c r="BJ308" s="84">
        <f>IF($A308="","",IF(OR($C308="FRAME ONLY",$S308="BL"),0,IF($O308="Y",2,1)))</f>
        <v/>
      </c>
      <c r="BK308" s="86">
        <f>IF(OR(N($BJ308)=0,$BH308=""),"",($BH308-2*EdgeClr-IF($BJ308=2,MeetClr,0))/$BJ308)</f>
        <v/>
      </c>
      <c r="BL308" s="86">
        <f>IF(OR(N($BJ308)=0,$BI308=""),"",$BI308-HeadClr-Undercut)</f>
        <v/>
      </c>
      <c r="BM308" s="86">
        <f>IF($BH308="","",$BH308+2*FaceW+IF(N($Q308)&gt;0,($Q308+FaceW)*IF($R308="LR",2,1),0))</f>
        <v/>
      </c>
      <c r="BN308" s="86">
        <f>IF($BI308="","",$BI308+IF($AB308="Y",4,FaceW)+IF(N($P308)&gt;0,$P308+FaceW,0)+IF(OR($S308="4F",$S308="BL"),FaceW,0))</f>
        <v/>
      </c>
      <c r="BO308" s="86">
        <f>IF($BM308="","",$BM308+2*ROSide)</f>
        <v/>
      </c>
      <c r="BP308" s="86">
        <f>IF($BN308="","",$BN308+ROTop)</f>
        <v/>
      </c>
      <c r="BQ308" s="87">
        <f>IF(OR(N($BJ308)=0,$BH308=""),"",$BH308/$BJ308-ClearDeduct)</f>
        <v/>
      </c>
      <c r="BR308" s="84">
        <f>IF(N($CH308)=0,"",IF($CH308&gt;=180,"A · 3 HR",IF($CH308&gt;=90,"B · 1-1/2 HR",IF($CH308&gt;=60,"B · 1 HR",IF($CH308&gt;=45,"C · 3/4 HR","20 MIN")))))&amp;IF(AND(N($CH308)&gt;0,OR($I308="CORRIDOR",$I308="SMOKE BARRIER"))," · S","")</f>
        <v/>
      </c>
      <c r="BS308" s="84">
        <f>IF($CS308,"",IF($AV308&lt;&gt;"",$AV308,IF(OR($AC308="HGC",$AO308="HGC"),"CONT",IF(($BI308-HeadClr-Undercut)&lt;=60,2,IF(($BI308-HeadClr-Undercut)&lt;=90,3,IF(($BI308-HeadClr-Undercut)&lt;=120,4,5))))))</f>
        <v/>
      </c>
      <c r="BT308" s="84">
        <f>IF($CS308,"",IF($CT308,"CUSTOM (typed)",IF($CV308,$AT308&amp;" "&amp;$CU308&amp;CHAR(34)&amp;IF($CU308&lt;&gt;$BI308,IF(AND($BI308&lt;$CU308,$BI308-IF(N(VLOOKUP($AT308&amp;"|"&amp;$CU308,LocTable,7,FALSE))&gt;0,VLOOKUP($AT308&amp;"|"&amp;$CU308,LocTable,7,FALSE),VLOOKUP($AT308&amp;"|"&amp;$CU308,LocTable,6,FALSE))-$CR308-0.75&gt;=2.125)," cut down"," adj."),""),"ANSI/SDI A250.6")))</f>
        <v/>
      </c>
      <c r="BU308" s="88">
        <f>IF($CS308,"",IF($CT308,IF(N($AW308)&gt;0,N($AW308),""),IF(1&gt;$CQ308,"",IF($CQ308=1,$CW308,$CW308+($CX308-$CW308)*0/($CQ308-1)))))</f>
        <v/>
      </c>
      <c r="BV308" s="88">
        <f>IF($CS308,"",IF($CT308,IF(N($AX308)&gt;0,N($AX308),""),IF(2&gt;$CQ308,"",IF($CQ308=1,$CW308,$CW308+($CX308-$CW308)*1/($CQ308-1)))))</f>
        <v/>
      </c>
      <c r="BW308" s="88">
        <f>IF($CS308,"",IF($CT308,IF(N($AY308)&gt;0,N($AY308),""),IF(3&gt;$CQ308,"",IF($CQ308=1,$CW308,$CW308+($CX308-$CW308)*2/($CQ308-1)))))</f>
        <v/>
      </c>
      <c r="BX308" s="88">
        <f>IF($CS308,"",IF($CT308,IF(N($AZ308)&gt;0,N($AZ308),""),IF(4&gt;$CQ308,"",IF($CQ308=1,$CW308,$CW308+($CX308-$CW308)*3/($CQ308-1)))))</f>
        <v/>
      </c>
      <c r="BY308" s="88">
        <f>IF($CS308,"",IF($CT308,"",IF(5&gt;$CQ308,"",IF($CQ308=1,$CW308,$CW308+($CX308-$CW308)*4/($CQ308-1)))))</f>
        <v/>
      </c>
      <c r="BZ308" s="88">
        <f>IF(OR($CS308,$AP308="-",AND($AP308="",$AD308="")),"",IF(N($BA308)&gt;0,N($BA308),IF($CV308,IF(AND($BI308&lt;$CU308,$BI308-IF(N(VLOOKUP($AT308&amp;"|"&amp;$CU308,LocTable,7,FALSE))&gt;0,VLOOKUP($AT308&amp;"|"&amp;$CU308,LocTable,7,FALSE),VLOOKUP($AT308&amp;"|"&amp;$CU308,LocTable,6,FALSE))-$CR308-0.75&gt;=2.125),VLOOKUP($AT308&amp;"|"&amp;$CU308,LocTable,8,FALSE),VLOOKUP($AT308&amp;"|"&amp;$CU308,LocTable,8,FALSE)+($BI308-$CU308)),$BI308-LockAFF)))</f>
        <v/>
      </c>
      <c r="CA308" s="89">
        <f>IF($BZ308="","",$BI308-$BZ308)</f>
        <v/>
      </c>
      <c r="CB308" s="84">
        <f>IF(OR(NOT(AND($A308&lt;&gt;"",$C308&lt;&gt;"DOOR ONLY")),$BI308=""),"",IF(($BI308+IF(N($P308)&gt;0,$P308+FaceW,0))&lt;=90,3,IF(($BI308+IF(N($P308)&gt;0,$P308+FaceW,0))&lt;=114,4,5)))</f>
        <v/>
      </c>
      <c r="CC308" s="84">
        <f>IF($CB308="","",$CB308*(2+IF(N($Q308)&gt;0,IF($R308="LR",2,1),0)))</f>
        <v/>
      </c>
      <c r="CD308" s="84">
        <f>IF($CB308="","",(2+IF(N($Q308)&gt;0,IF($R308="LR",2,1),0)))</f>
        <v/>
      </c>
      <c r="CE308" s="84">
        <f>IF(N($BJ308)=0,"",IF(OR($AL308="",$AL308="FLUSH"),"FLUSH",IFERROR(LEFT($AL308,FIND("-",$AL308)-1),LEFT($AL308,2))))</f>
        <v/>
      </c>
      <c r="CF308" s="84">
        <f>IF($CE308="","",IFERROR(VALUE(MID($AL308,FIND("-",$AL308)+1,FIND(CHAR(34)&amp;"x",$AL308)-FIND("-",$AL308)-1)),0))</f>
        <v/>
      </c>
      <c r="CG308" s="84">
        <f>IF($CE308="","",IFERROR(VALUE(MID($AL308,FIND(CHAR(34)&amp;"x",$AL308)+2,FIND(CHAR(34),$AL308,FIND(CHAR(34)&amp;"x",$AL308)+2)-FIND(CHAR(34)&amp;"x",$AL308)-2)),0))</f>
        <v/>
      </c>
      <c r="CH308" s="90">
        <f>IF(OR($A308="",$H308="",$H308="NO LAB"),0,IFERROR(VALUE(LEFT($H308,FIND(" ",$H308)-1)),0))</f>
        <v/>
      </c>
      <c r="CI308" s="91">
        <f>IF(OR($A308="",$I308="",$I308="NON-RATED",N($J308)=0),"",IFERROR(VLOOKUP($I308&amp;"|"&amp;$J308,IBC,2,FALSE),"?"))</f>
        <v/>
      </c>
      <c r="CJ308" s="85">
        <f>IF(NOT(AND($A308&lt;&gt;"",$C308&lt;&gt;"DOOR ONLY")),"",TRIM(IFERROR(VLOOKUP($U308,CODES,2,FALSE),"")&amp;" "&amp;$BG308&amp;" "&amp;IFERROR(VLOOKUP($Z308,CODES,2,FALSE),"")&amp;" "&amp;IFERROR(VLOOKUP($X308,CODES,2,FALSE),"")&amp;" "&amp;IFERROR(VLOOKUP($S308,CODES,2,FALSE),"")&amp;IF(N($P308)&gt;0," w/TRANSOM "&amp;$P308&amp;CHAR(34),"")&amp;IF(N($Q308)&gt;0," w/SIDELITE "&amp;$Q308&amp;CHAR(34)&amp;" "&amp;IF($R308="","R",$R308),"")&amp;IF($Y308="","  |  "," | "&amp;IFERROR(VLOOKUP($Y308,CODES,2,FALSE),"")&amp;" | ")&amp;IFERROR(VLOOKUP($AC308,CODES,2,FALSE),"")&amp;" "&amp;IFERROR(VLOOKUP($AD308,CODES,2,FALSE),"")&amp;IF(OR($AE308="",$AE308="-"),""," "&amp;$AE308)&amp;IF(OR($AF308="",$AF308="-"),""," "&amp;$AF308)&amp;IF($AB308="Y"," 4"&amp;CHAR(34)&amp;" HEAD","")&amp;" "&amp;IFERROR(VLOOKUP($H308,CODES,2,FALSE),"")&amp;IF($CT308," | LOC "&amp;$CY308,"")))</f>
        <v/>
      </c>
      <c r="CK308" s="85">
        <f>IF(NOT(AND($A308&lt;&gt;"",N($BJ308)&gt;0)),"",TRIM(IFERROR(VLOOKUP($AH308,CODES,2,FALSE),"")&amp;IF($AI308=""," "," "&amp;$AI308&amp;"GA ")&amp;$BG308&amp;" "&amp;IF($AN308="",IFERROR(VLOOKUP($Z308,CODES,2,FALSE),""),IFERROR(VLOOKUP($AN308,CODES,2,FALSE),""))&amp;IF($BJ308=2," PAIR","")&amp;" DOOR | "&amp;IF($AL308="","?",$AL308)&amp;" | "&amp;IF($AO308="",IFERROR(VLOOKUP($AC308,CODES,2,FALSE),""),IFERROR(VLOOKUP($AO308,CODES,2,FALSE),""))&amp;" "&amp;IFERROR(VLOOKUP($AP308,CODES,2,FALSE),"")&amp;IF(OR($AQ308="",$AQ308="-"),""," SEAM "&amp;$AQ308)&amp;IF($AR308="Y"," ASTRAGAL","")&amp;IF($AJ308=""," "," "&amp;$AJ308)&amp;IF($AK308=""," "," "&amp;$AK308)&amp;IF(OR($AT308="",$AT308="ANSI/SDI",$AT308="CUSTOM LOC"),""," "&amp;$AT308)&amp;IF($AM308=""," "," SERIES "&amp;$AM308)&amp;" "&amp;IFERROR(VLOOKUP($H308,CODES,2,FALSE),"")&amp;IF($CT308," | LOC "&amp;$CZ308,"")))</f>
        <v/>
      </c>
      <c r="CL308" s="84">
        <f>IF(CP308="","",IF(COUNTIF($CP$6:CP308,CP308)=1,MAX($CL$5:CL307)+1,INDEX($CL$5:CL307,MATCH(CP308,$CP$5:CP307,0))))</f>
        <v/>
      </c>
      <c r="CM308" s="84">
        <f>IF(NOT(AND($A308&lt;&gt;"",$C308&lt;&gt;"DOOR ONLY")),"",MAX($CM$5:CM307)+1)</f>
        <v/>
      </c>
      <c r="CN308" s="84">
        <f>IF(NOT(AND($A308&lt;&gt;"",N($BJ308)&gt;0)),"",MAX($CN$5:CN307)+1)</f>
        <v/>
      </c>
      <c r="CO308" s="84">
        <f>IF($A308="","",MAX($CO$5:CO307)+1)</f>
        <v/>
      </c>
      <c r="CP308" s="84">
        <f>IF(OR($A308="",$BH308="",$BI308=""),"",$BG308&amp;"|"&amp;$O308&amp;"|"&amp;$AL308&amp;"|"&amp;$S308&amp;"|"&amp;$P308&amp;"|"&amp;$Q308&amp;$R308&amp;"|"&amp;$C308&amp;"|"&amp;$AB308)</f>
        <v/>
      </c>
      <c r="CQ308" s="84">
        <f>N($BS308)</f>
        <v/>
      </c>
      <c r="CR308" s="84">
        <f>IF(N($AU308)&gt;0,N($AU308),4.5)</f>
        <v/>
      </c>
      <c r="CS308" s="84">
        <f>OR($A308="",$BI308="",$S308="BL",AND($C308="FRAME ONLY",OR($AC308="",$AC308="BLK")))</f>
        <v/>
      </c>
      <c r="CT308" s="84">
        <f>AND(NOT($CS308),OR($AT308="CUSTOM LOC",N($AW308)+N($AX308)+N($AY308)+N($AZ308)+N($BA308)&gt;0))</f>
        <v/>
      </c>
      <c r="CU308" s="84">
        <f>IF($BI308="","",IF($BI308&lt;=80,80,IF($BI308&lt;=84,84,96)))</f>
        <v/>
      </c>
      <c r="CV308" s="84">
        <f>ISNUMBER(MATCH($AT308&amp;"|80",LocKeys,0))</f>
        <v/>
      </c>
      <c r="CW308" s="86">
        <f>IF($CS308,"",IF($CV308,VLOOKUP($AT308&amp;"|"&amp;$CU308,LocTable,4,FALSE),5))</f>
        <v/>
      </c>
      <c r="CX308" s="86">
        <f>IF($CS308,"",IF($CV308,IF(OR($BI308=$CU308,AND($BI308&lt;$CU308,$BI308-IF(N(VLOOKUP($AT308&amp;"|"&amp;$CU308,LocTable,7,FALSE))&gt;0,VLOOKUP($AT308&amp;"|"&amp;$CU308,LocTable,7,FALSE),VLOOKUP($AT308&amp;"|"&amp;$CU308,LocTable,6,FALSE))-$CR308-0.75&gt;=2.125)),IF(N(VLOOKUP($AT308&amp;"|"&amp;$CU308,LocTable,7,FALSE))&gt;0,VLOOKUP($AT308&amp;"|"&amp;$CU308,LocTable,7,FALSE),VLOOKUP($AT308&amp;"|"&amp;$CU308,LocTable,6,FALSE)),$BI308-($CU308-IF(N(VLOOKUP($AT308&amp;"|"&amp;$CU308,LocTable,7,FALSE))&gt;0,VLOOKUP($AT308&amp;"|"&amp;$CU308,LocTable,7,FALSE),VLOOKUP($AT308&amp;"|"&amp;$CU308,LocTable,6,FALSE)))),$BI308-10-$CR308))</f>
        <v/>
      </c>
      <c r="CY308" s="85">
        <f>IF($CS308,"",TRIM(IF(ISNUMBER($BU308),"A "&amp;TRIM(TEXT($BU308,"# ?/??"))&amp;CHAR(34)&amp;"  ","")&amp;IF(ISNUMBER($BV308),"B "&amp;TRIM(TEXT($BV308,"# ?/??"))&amp;CHAR(34)&amp;"  ","")&amp;IF(ISNUMBER($BW308),"C "&amp;TRIM(TEXT($BW308,"# ?/??"))&amp;CHAR(34)&amp;"  ","")&amp;IF(ISNUMBER($BX308),"D "&amp;TRIM(TEXT($BX308,"# ?/??"))&amp;CHAR(34)&amp;"  ","")&amp;IF(ISNUMBER($BY308),"F "&amp;TRIM(TEXT($BY308,"# ?/??"))&amp;CHAR(34)&amp;"  ","")&amp;IF(ISNUMBER($BZ308),"E "&amp;TRIM(TEXT($BZ308,"# ?/??"))&amp;CHAR(34)&amp;"  ","")))</f>
        <v/>
      </c>
      <c r="CZ308" s="85">
        <f>IF(OR($CS308,N($BJ308)=0),"",TRIM(IF(ISNUMBER($BU308),"A "&amp;TRIM(TEXT($BU308-HeadClr,"# ?/??"))&amp;CHAR(34)&amp;"  ","")&amp;IF(ISNUMBER($BV308),"B "&amp;TRIM(TEXT($BV308-HeadClr,"# ?/??"))&amp;CHAR(34)&amp;"  ","")&amp;IF(ISNUMBER($BW308),"C "&amp;TRIM(TEXT($BW308-HeadClr,"# ?/??"))&amp;CHAR(34)&amp;"  ","")&amp;IF(ISNUMBER($BX308),"D "&amp;TRIM(TEXT($BX308-HeadClr,"# ?/??"))&amp;CHAR(34)&amp;"  ","")&amp;IF(ISNUMBER($BY308),"F "&amp;TRIM(TEXT($BY308-HeadClr,"# ?/??"))&amp;CHAR(34)&amp;"  ","")&amp;IF(ISNUMBER($BZ308),"E "&amp;TRIM(TEXT($BZ308-HeadClr,"# ?/??"))&amp;CHAR(34)&amp;"  ","")))</f>
        <v/>
      </c>
      <c r="DA308" s="84">
        <f>IF($A308="","",IF($AN308="",IFERROR(VLOOKUP($Z308,CODES,2,FALSE),""),IFERROR(VLOOKUP($AN308,CODES,2,FALSE),"")))</f>
        <v/>
      </c>
      <c r="DB308" s="84">
        <f>IF($A308="","",IF($O308="Y","PR",IF(OR($Z308="L",$Z308="RR",LEFT($Z308,2)="L-",LEFT($Z308,3)="RR-"),"LH","RH")))</f>
        <v/>
      </c>
      <c r="DC308" s="84">
        <f>IF($A308="","","S.HM"&amp;IF(OR($C308="DOOR ONLY",$X308&lt;&gt;"KD"),"MASONRY","DRYWALL")&amp;IF($C308="DOOR ONLY","",$U308)&amp;IF(AND($C308&lt;&gt;"FRAME ONLY",OR(LEFT($AH308,3)="OAK",LEFT($AH308,3)="BIR",LEFT($AH308,3)="MAP",$AH308="PC",$AH308="MC",$AH308="SCLC",$AH308="P-LAM")),"WD","HM")&amp;"1.75")</f>
        <v/>
      </c>
      <c r="DD308" s="84">
        <f>IF($CJ308="","",IF($O308="Y",$CJ308,SUBSTITUTE($CJ308,$BG308&amp;" "&amp;IFERROR(VLOOKUP($Z308,CODES,2,FALSE),"")&amp;" ",$BG308&amp;" ")))</f>
        <v/>
      </c>
      <c r="DE308" s="84">
        <f>IF($CK308="","",IF($O308="Y",$CK308,SUBSTITUTE($CK308,$BG308&amp;" "&amp;IF($AN308="",IFERROR(VLOOKUP($Z308,CODES,2,FALSE),""),IFERROR(VLOOKUP($AN308,CODES,2,FALSE),""))&amp;" ",$BG308&amp;" ")))</f>
        <v/>
      </c>
      <c r="DF308" s="84">
        <f>IF($CJ308="","",$DC308&amp;"|"&amp;$DD308&amp;"|"&amp;$DB308&amp;"|"&amp;$AT308&amp;"|"&amp;$V308&amp;"|"&amp;$Y308&amp;"|"&amp;$AB308)</f>
        <v/>
      </c>
      <c r="DG308" s="84">
        <f>IF(DF308="","",IF(COUNTIF($DF$6:DF308,DF308)=1,MAX($DG$5:DG307)+1,INDEX($DG$5:DG307,MATCH(DF308,$DF$5:DF307,0))))</f>
        <v/>
      </c>
      <c r="DH308" s="84">
        <f>IF($CK308="","",$DC308&amp;"|"&amp;$DE308&amp;"|"&amp;$AI308&amp;"|"&amp;$BK308&amp;"|"&amp;$BL308)</f>
        <v/>
      </c>
      <c r="DI308" s="84">
        <f>IF(DH308="","",IF(COUNTIF($DH$6:DH308,DH308)=1,MAX($DI$5:DI307)+1,INDEX($DI$5:DI307,MATCH(DH308,$DH$5:DH307,0))))</f>
        <v/>
      </c>
      <c r="DJ308" s="84">
        <f>IF($A308="","",IF($B308="","qty, ","")&amp;IF($C308="","scope, ","")&amp;IF(OR($K308="",$M308=""),"size, ","")&amp;IF(AND($A308&lt;&gt;"",$C308&lt;&gt;"DOOR ONLY"),IF($U308="","jamb depth, ","")&amp;IF($X308="","construction, ","")&amp;IF($Y308="","anchor, ","")&amp;IF($S308="","frame type, ",""),"")&amp;IF(AND(N($BJ308)&gt;0,$Z308=""),"hand, ","")&amp;IF(N($BJ308)&gt;0,IF($AH308="","door material, ","")&amp;IF($AL308="","face type, ","")&amp;IF($AP308="","lock prep, ","")&amp;IF(AND($AO308="",$AC308=""),"hinge prep, ",""),"")&amp;IF(AND($CH308&gt;0,$AH308="FRP"),"FRP cannot carry a label, ","")&amp;IF(AND($O308="Y",OR($Z308="L",$Z308="R",$Z308="LR",$Z308="RR")),"pair marked but hand is single, ","")&amp;IF(AND($O308&lt;&gt;"Y",OR($Z308="PR",AND(LEN($Z308)&gt;1,ISNUMBER(SEARCH("-",$Z308))))),"pair hand on a single door, ","")&amp;IF(AND(ISNUMBER($CI308),$CH308&lt;N($CI308)),"wall needs a "&amp;$CI308&amp;" min door, ","")&amp;IF(AND($CH308&gt;=180,AND(OR($CE308="FG",$CE308="HG",$CE308="FNV",$CE308="FV"),N($CF308)*N($CG308)&gt;100)),"180 min lite over 100 sq in, ","")&amp;IF(N($BK308)&gt;48,"leaf wider than 4'-0"&amp;CHAR(34)&amp;", ","")&amp;IF(AND($CT308,COUNT($AW308:$AZ308)=0,$CQ308&gt;0),"CUSTOM LOC with no locations typed, ",""))</f>
        <v/>
      </c>
      <c r="DK308" s="84">
        <f>IF($A308="","",IF(AND($CH308&gt;0,AND($A308&lt;&gt;"",$C308&lt;&gt;"DOOR ONLY"),$X308="KD",$E308="EXTERIOR"),"KD label on an exterior opening, ","")&amp;IF(AND($E308="EXTERIOR",OR(AND(AND($A308&lt;&gt;"",$C308&lt;&gt;"DOOR ONLY"),$W308="CR"),AND(N($BJ308)&gt;0,$AH308="CR"))),"exterior in CR steel (G9?), ","")&amp;IF(AND(ISNUMBER($BQ308),N($BQ308)&lt;32),"clear width ~"&amp;TEXT($BQ308,"0.0")&amp;CHAR(34)&amp;" under 32"&amp;CHAR(34)&amp;" (ADA), ","")&amp;IF(AND($CH308=90,AND(OR($CE308="FG",$CE308="HG",$CE308="FNV",$CE308="FV"),N($CF308)*N($CG308)&gt;100)),"90 min lite over 100 sq in (stair/exit), ","")&amp;IF(AND($CH308&gt;0,AND($A308&lt;&gt;"",$C308&lt;&gt;"DOOR ONLY"),OR($AF308="",$AF308="-")),"rated: closer reinf.?, ","")&amp;IF(OR($I308="CORRIDOR",$I308="SMOKE BARRIER"),"S label + smoke gasketing, ","")&amp;IF($CI308="?","wall type/hr not in IBC table, ","")&amp;IF(AND(N($BJ308)&gt;0,$BB308=""),"no hardware set, ","")&amp;IF(AND($BB308&lt;&gt;"",ISNA(MATCH($BB308&amp;"",HWSets,0))),"set "&amp;$BB308&amp;" not on HW Sets, ","")&amp;IF(N($BL308)&gt;96,"leaf over 8'-0"&amp;CHAR(34)&amp;" - check listing, ","")&amp;IF(AND($CT308,COUNT($AW308:$AZ308)&gt;0,COUNT($AW308:$AZ308)&lt;&gt;$CQ308),COUNT($AW308:$AZ308)&amp;" custom hinges typed, "&amp;$CQ308&amp;" expected, ","")&amp;IF(AND(ISNUMBER($CA308),OR(N($CA308)&lt;34,N($CA308)&gt;48)),"lock "&amp;TEXT($CA308,"0.0")&amp;CHAR(34)&amp;" AFF outside 34-48"&amp;CHAR(34)&amp;" (ADA), ","")&amp;IF(AND(ISNUMBER($AV308),ISNUMBER($BL308),N($AV308)&lt;IF(N($BL308)&lt;=60,2,IF(N($BL308)&lt;=90,3,IF(N($BL308)&lt;=120,4,5)))),"fewer hinges than standard, ",""))</f>
        <v/>
      </c>
    </row>
    <row r="309" ht="15" customHeight="1">
      <c r="A309" s="77" t="n"/>
      <c r="B309" s="78" t="n"/>
      <c r="C309" s="78" t="n"/>
      <c r="D309" s="78" t="n"/>
      <c r="E309" s="78" t="n"/>
      <c r="F309" s="78" t="n"/>
      <c r="G309" s="78" t="n"/>
      <c r="H309" s="78" t="n"/>
      <c r="I309" s="78" t="n"/>
      <c r="J309" s="78" t="n"/>
      <c r="K309" s="78" t="n"/>
      <c r="L309" s="78" t="n"/>
      <c r="M309" s="78" t="n"/>
      <c r="N309" s="78" t="n"/>
      <c r="O309" s="78" t="n"/>
      <c r="P309" s="78" t="n"/>
      <c r="Q309" s="78" t="n"/>
      <c r="R309" s="78" t="n"/>
      <c r="S309" s="79" t="n"/>
      <c r="T309" s="79" t="n"/>
      <c r="U309" s="79" t="n"/>
      <c r="V309" s="79" t="n"/>
      <c r="W309" s="79" t="n"/>
      <c r="X309" s="79" t="n"/>
      <c r="Y309" s="79" t="n"/>
      <c r="Z309" s="79" t="n"/>
      <c r="AA309" s="79" t="n"/>
      <c r="AB309" s="79" t="n"/>
      <c r="AC309" s="79" t="n"/>
      <c r="AD309" s="79" t="n"/>
      <c r="AE309" s="79" t="n"/>
      <c r="AF309" s="79" t="n"/>
      <c r="AG309" s="79" t="n"/>
      <c r="AH309" s="80" t="n"/>
      <c r="AI309" s="80" t="n"/>
      <c r="AJ309" s="80" t="n"/>
      <c r="AK309" s="80" t="n"/>
      <c r="AL309" s="80" t="n"/>
      <c r="AM309" s="80" t="n"/>
      <c r="AN309" s="80" t="n"/>
      <c r="AO309" s="80" t="n"/>
      <c r="AP309" s="80" t="n"/>
      <c r="AQ309" s="80" t="n"/>
      <c r="AR309" s="80" t="n"/>
      <c r="AS309" s="80" t="n"/>
      <c r="AT309" s="81" t="n"/>
      <c r="AU309" s="81" t="n"/>
      <c r="AV309" s="81" t="n"/>
      <c r="AW309" s="82" t="n"/>
      <c r="AX309" s="82" t="n"/>
      <c r="AY309" s="82" t="n"/>
      <c r="AZ309" s="82" t="n"/>
      <c r="BA309" s="82" t="n"/>
      <c r="BB309" s="83" t="n"/>
      <c r="BC309" s="83" t="n"/>
      <c r="BD309" s="84">
        <f>IF($A309="","",IF($DJ309&lt;&gt;"","FIX",IF($DK309&lt;&gt;"","CHECK","OK")))</f>
        <v/>
      </c>
      <c r="BE309" s="85">
        <f>IF($A309="","",IF($DJ309&lt;&gt;"","FIX: "&amp;LEFT($DJ309,LEN($DJ309)-2)&amp;IF($DK309&lt;&gt;"","  ·  ",""),"")&amp;IF($DK309&lt;&gt;"","CHECK: "&amp;LEFT($DK309,LEN($DK309)-2),""))</f>
        <v/>
      </c>
      <c r="BF309" s="84">
        <f>IF(OR($A309="",$K309=""),"",$K309&amp;"'-"&amp;N($L309)&amp;CHAR(34)&amp;" x "&amp;$M309&amp;"'-"&amp;N($N309)&amp;CHAR(34))</f>
        <v/>
      </c>
      <c r="BG309" s="84">
        <f>IF(OR($A309="",$K309=""),"",$K309&amp;N($L309)&amp;$M309&amp;N($N309))</f>
        <v/>
      </c>
      <c r="BH309" s="84">
        <f>IF(OR($A309="",$K309=""),"",$K309*12+N($L309))</f>
        <v/>
      </c>
      <c r="BI309" s="84">
        <f>IF(OR($A309="",$M309=""),"",$M309*12+N($N309))</f>
        <v/>
      </c>
      <c r="BJ309" s="84">
        <f>IF($A309="","",IF(OR($C309="FRAME ONLY",$S309="BL"),0,IF($O309="Y",2,1)))</f>
        <v/>
      </c>
      <c r="BK309" s="86">
        <f>IF(OR(N($BJ309)=0,$BH309=""),"",($BH309-2*EdgeClr-IF($BJ309=2,MeetClr,0))/$BJ309)</f>
        <v/>
      </c>
      <c r="BL309" s="86">
        <f>IF(OR(N($BJ309)=0,$BI309=""),"",$BI309-HeadClr-Undercut)</f>
        <v/>
      </c>
      <c r="BM309" s="86">
        <f>IF($BH309="","",$BH309+2*FaceW+IF(N($Q309)&gt;0,($Q309+FaceW)*IF($R309="LR",2,1),0))</f>
        <v/>
      </c>
      <c r="BN309" s="86">
        <f>IF($BI309="","",$BI309+IF($AB309="Y",4,FaceW)+IF(N($P309)&gt;0,$P309+FaceW,0)+IF(OR($S309="4F",$S309="BL"),FaceW,0))</f>
        <v/>
      </c>
      <c r="BO309" s="86">
        <f>IF($BM309="","",$BM309+2*ROSide)</f>
        <v/>
      </c>
      <c r="BP309" s="86">
        <f>IF($BN309="","",$BN309+ROTop)</f>
        <v/>
      </c>
      <c r="BQ309" s="87">
        <f>IF(OR(N($BJ309)=0,$BH309=""),"",$BH309/$BJ309-ClearDeduct)</f>
        <v/>
      </c>
      <c r="BR309" s="84">
        <f>IF(N($CH309)=0,"",IF($CH309&gt;=180,"A · 3 HR",IF($CH309&gt;=90,"B · 1-1/2 HR",IF($CH309&gt;=60,"B · 1 HR",IF($CH309&gt;=45,"C · 3/4 HR","20 MIN")))))&amp;IF(AND(N($CH309)&gt;0,OR($I309="CORRIDOR",$I309="SMOKE BARRIER"))," · S","")</f>
        <v/>
      </c>
      <c r="BS309" s="84">
        <f>IF($CS309,"",IF($AV309&lt;&gt;"",$AV309,IF(OR($AC309="HGC",$AO309="HGC"),"CONT",IF(($BI309-HeadClr-Undercut)&lt;=60,2,IF(($BI309-HeadClr-Undercut)&lt;=90,3,IF(($BI309-HeadClr-Undercut)&lt;=120,4,5))))))</f>
        <v/>
      </c>
      <c r="BT309" s="84">
        <f>IF($CS309,"",IF($CT309,"CUSTOM (typed)",IF($CV309,$AT309&amp;" "&amp;$CU309&amp;CHAR(34)&amp;IF($CU309&lt;&gt;$BI309,IF(AND($BI309&lt;$CU309,$BI309-IF(N(VLOOKUP($AT309&amp;"|"&amp;$CU309,LocTable,7,FALSE))&gt;0,VLOOKUP($AT309&amp;"|"&amp;$CU309,LocTable,7,FALSE),VLOOKUP($AT309&amp;"|"&amp;$CU309,LocTable,6,FALSE))-$CR309-0.75&gt;=2.125)," cut down"," adj."),""),"ANSI/SDI A250.6")))</f>
        <v/>
      </c>
      <c r="BU309" s="88">
        <f>IF($CS309,"",IF($CT309,IF(N($AW309)&gt;0,N($AW309),""),IF(1&gt;$CQ309,"",IF($CQ309=1,$CW309,$CW309+($CX309-$CW309)*0/($CQ309-1)))))</f>
        <v/>
      </c>
      <c r="BV309" s="88">
        <f>IF($CS309,"",IF($CT309,IF(N($AX309)&gt;0,N($AX309),""),IF(2&gt;$CQ309,"",IF($CQ309=1,$CW309,$CW309+($CX309-$CW309)*1/($CQ309-1)))))</f>
        <v/>
      </c>
      <c r="BW309" s="88">
        <f>IF($CS309,"",IF($CT309,IF(N($AY309)&gt;0,N($AY309),""),IF(3&gt;$CQ309,"",IF($CQ309=1,$CW309,$CW309+($CX309-$CW309)*2/($CQ309-1)))))</f>
        <v/>
      </c>
      <c r="BX309" s="88">
        <f>IF($CS309,"",IF($CT309,IF(N($AZ309)&gt;0,N($AZ309),""),IF(4&gt;$CQ309,"",IF($CQ309=1,$CW309,$CW309+($CX309-$CW309)*3/($CQ309-1)))))</f>
        <v/>
      </c>
      <c r="BY309" s="88">
        <f>IF($CS309,"",IF($CT309,"",IF(5&gt;$CQ309,"",IF($CQ309=1,$CW309,$CW309+($CX309-$CW309)*4/($CQ309-1)))))</f>
        <v/>
      </c>
      <c r="BZ309" s="88">
        <f>IF(OR($CS309,$AP309="-",AND($AP309="",$AD309="")),"",IF(N($BA309)&gt;0,N($BA309),IF($CV309,IF(AND($BI309&lt;$CU309,$BI309-IF(N(VLOOKUP($AT309&amp;"|"&amp;$CU309,LocTable,7,FALSE))&gt;0,VLOOKUP($AT309&amp;"|"&amp;$CU309,LocTable,7,FALSE),VLOOKUP($AT309&amp;"|"&amp;$CU309,LocTable,6,FALSE))-$CR309-0.75&gt;=2.125),VLOOKUP($AT309&amp;"|"&amp;$CU309,LocTable,8,FALSE),VLOOKUP($AT309&amp;"|"&amp;$CU309,LocTable,8,FALSE)+($BI309-$CU309)),$BI309-LockAFF)))</f>
        <v/>
      </c>
      <c r="CA309" s="89">
        <f>IF($BZ309="","",$BI309-$BZ309)</f>
        <v/>
      </c>
      <c r="CB309" s="84">
        <f>IF(OR(NOT(AND($A309&lt;&gt;"",$C309&lt;&gt;"DOOR ONLY")),$BI309=""),"",IF(($BI309+IF(N($P309)&gt;0,$P309+FaceW,0))&lt;=90,3,IF(($BI309+IF(N($P309)&gt;0,$P309+FaceW,0))&lt;=114,4,5)))</f>
        <v/>
      </c>
      <c r="CC309" s="84">
        <f>IF($CB309="","",$CB309*(2+IF(N($Q309)&gt;0,IF($R309="LR",2,1),0)))</f>
        <v/>
      </c>
      <c r="CD309" s="84">
        <f>IF($CB309="","",(2+IF(N($Q309)&gt;0,IF($R309="LR",2,1),0)))</f>
        <v/>
      </c>
      <c r="CE309" s="84">
        <f>IF(N($BJ309)=0,"",IF(OR($AL309="",$AL309="FLUSH"),"FLUSH",IFERROR(LEFT($AL309,FIND("-",$AL309)-1),LEFT($AL309,2))))</f>
        <v/>
      </c>
      <c r="CF309" s="84">
        <f>IF($CE309="","",IFERROR(VALUE(MID($AL309,FIND("-",$AL309)+1,FIND(CHAR(34)&amp;"x",$AL309)-FIND("-",$AL309)-1)),0))</f>
        <v/>
      </c>
      <c r="CG309" s="84">
        <f>IF($CE309="","",IFERROR(VALUE(MID($AL309,FIND(CHAR(34)&amp;"x",$AL309)+2,FIND(CHAR(34),$AL309,FIND(CHAR(34)&amp;"x",$AL309)+2)-FIND(CHAR(34)&amp;"x",$AL309)-2)),0))</f>
        <v/>
      </c>
      <c r="CH309" s="90">
        <f>IF(OR($A309="",$H309="",$H309="NO LAB"),0,IFERROR(VALUE(LEFT($H309,FIND(" ",$H309)-1)),0))</f>
        <v/>
      </c>
      <c r="CI309" s="91">
        <f>IF(OR($A309="",$I309="",$I309="NON-RATED",N($J309)=0),"",IFERROR(VLOOKUP($I309&amp;"|"&amp;$J309,IBC,2,FALSE),"?"))</f>
        <v/>
      </c>
      <c r="CJ309" s="85">
        <f>IF(NOT(AND($A309&lt;&gt;"",$C309&lt;&gt;"DOOR ONLY")),"",TRIM(IFERROR(VLOOKUP($U309,CODES,2,FALSE),"")&amp;" "&amp;$BG309&amp;" "&amp;IFERROR(VLOOKUP($Z309,CODES,2,FALSE),"")&amp;" "&amp;IFERROR(VLOOKUP($X309,CODES,2,FALSE),"")&amp;" "&amp;IFERROR(VLOOKUP($S309,CODES,2,FALSE),"")&amp;IF(N($P309)&gt;0," w/TRANSOM "&amp;$P309&amp;CHAR(34),"")&amp;IF(N($Q309)&gt;0," w/SIDELITE "&amp;$Q309&amp;CHAR(34)&amp;" "&amp;IF($R309="","R",$R309),"")&amp;IF($Y309="","  |  "," | "&amp;IFERROR(VLOOKUP($Y309,CODES,2,FALSE),"")&amp;" | ")&amp;IFERROR(VLOOKUP($AC309,CODES,2,FALSE),"")&amp;" "&amp;IFERROR(VLOOKUP($AD309,CODES,2,FALSE),"")&amp;IF(OR($AE309="",$AE309="-"),""," "&amp;$AE309)&amp;IF(OR($AF309="",$AF309="-"),""," "&amp;$AF309)&amp;IF($AB309="Y"," 4"&amp;CHAR(34)&amp;" HEAD","")&amp;" "&amp;IFERROR(VLOOKUP($H309,CODES,2,FALSE),"")&amp;IF($CT309," | LOC "&amp;$CY309,"")))</f>
        <v/>
      </c>
      <c r="CK309" s="85">
        <f>IF(NOT(AND($A309&lt;&gt;"",N($BJ309)&gt;0)),"",TRIM(IFERROR(VLOOKUP($AH309,CODES,2,FALSE),"")&amp;IF($AI309=""," "," "&amp;$AI309&amp;"GA ")&amp;$BG309&amp;" "&amp;IF($AN309="",IFERROR(VLOOKUP($Z309,CODES,2,FALSE),""),IFERROR(VLOOKUP($AN309,CODES,2,FALSE),""))&amp;IF($BJ309=2," PAIR","")&amp;" DOOR | "&amp;IF($AL309="","?",$AL309)&amp;" | "&amp;IF($AO309="",IFERROR(VLOOKUP($AC309,CODES,2,FALSE),""),IFERROR(VLOOKUP($AO309,CODES,2,FALSE),""))&amp;" "&amp;IFERROR(VLOOKUP($AP309,CODES,2,FALSE),"")&amp;IF(OR($AQ309="",$AQ309="-"),""," SEAM "&amp;$AQ309)&amp;IF($AR309="Y"," ASTRAGAL","")&amp;IF($AJ309=""," "," "&amp;$AJ309)&amp;IF($AK309=""," "," "&amp;$AK309)&amp;IF(OR($AT309="",$AT309="ANSI/SDI",$AT309="CUSTOM LOC"),""," "&amp;$AT309)&amp;IF($AM309=""," "," SERIES "&amp;$AM309)&amp;" "&amp;IFERROR(VLOOKUP($H309,CODES,2,FALSE),"")&amp;IF($CT309," | LOC "&amp;$CZ309,"")))</f>
        <v/>
      </c>
      <c r="CL309" s="84">
        <f>IF(CP309="","",IF(COUNTIF($CP$6:CP309,CP309)=1,MAX($CL$5:CL308)+1,INDEX($CL$5:CL308,MATCH(CP309,$CP$5:CP308,0))))</f>
        <v/>
      </c>
      <c r="CM309" s="84">
        <f>IF(NOT(AND($A309&lt;&gt;"",$C309&lt;&gt;"DOOR ONLY")),"",MAX($CM$5:CM308)+1)</f>
        <v/>
      </c>
      <c r="CN309" s="84">
        <f>IF(NOT(AND($A309&lt;&gt;"",N($BJ309)&gt;0)),"",MAX($CN$5:CN308)+1)</f>
        <v/>
      </c>
      <c r="CO309" s="84">
        <f>IF($A309="","",MAX($CO$5:CO308)+1)</f>
        <v/>
      </c>
      <c r="CP309" s="84">
        <f>IF(OR($A309="",$BH309="",$BI309=""),"",$BG309&amp;"|"&amp;$O309&amp;"|"&amp;$AL309&amp;"|"&amp;$S309&amp;"|"&amp;$P309&amp;"|"&amp;$Q309&amp;$R309&amp;"|"&amp;$C309&amp;"|"&amp;$AB309)</f>
        <v/>
      </c>
      <c r="CQ309" s="84">
        <f>N($BS309)</f>
        <v/>
      </c>
      <c r="CR309" s="84">
        <f>IF(N($AU309)&gt;0,N($AU309),4.5)</f>
        <v/>
      </c>
      <c r="CS309" s="84">
        <f>OR($A309="",$BI309="",$S309="BL",AND($C309="FRAME ONLY",OR($AC309="",$AC309="BLK")))</f>
        <v/>
      </c>
      <c r="CT309" s="84">
        <f>AND(NOT($CS309),OR($AT309="CUSTOM LOC",N($AW309)+N($AX309)+N($AY309)+N($AZ309)+N($BA309)&gt;0))</f>
        <v/>
      </c>
      <c r="CU309" s="84">
        <f>IF($BI309="","",IF($BI309&lt;=80,80,IF($BI309&lt;=84,84,96)))</f>
        <v/>
      </c>
      <c r="CV309" s="84">
        <f>ISNUMBER(MATCH($AT309&amp;"|80",LocKeys,0))</f>
        <v/>
      </c>
      <c r="CW309" s="86">
        <f>IF($CS309,"",IF($CV309,VLOOKUP($AT309&amp;"|"&amp;$CU309,LocTable,4,FALSE),5))</f>
        <v/>
      </c>
      <c r="CX309" s="86">
        <f>IF($CS309,"",IF($CV309,IF(OR($BI309=$CU309,AND($BI309&lt;$CU309,$BI309-IF(N(VLOOKUP($AT309&amp;"|"&amp;$CU309,LocTable,7,FALSE))&gt;0,VLOOKUP($AT309&amp;"|"&amp;$CU309,LocTable,7,FALSE),VLOOKUP($AT309&amp;"|"&amp;$CU309,LocTable,6,FALSE))-$CR309-0.75&gt;=2.125)),IF(N(VLOOKUP($AT309&amp;"|"&amp;$CU309,LocTable,7,FALSE))&gt;0,VLOOKUP($AT309&amp;"|"&amp;$CU309,LocTable,7,FALSE),VLOOKUP($AT309&amp;"|"&amp;$CU309,LocTable,6,FALSE)),$BI309-($CU309-IF(N(VLOOKUP($AT309&amp;"|"&amp;$CU309,LocTable,7,FALSE))&gt;0,VLOOKUP($AT309&amp;"|"&amp;$CU309,LocTable,7,FALSE),VLOOKUP($AT309&amp;"|"&amp;$CU309,LocTable,6,FALSE)))),$BI309-10-$CR309))</f>
        <v/>
      </c>
      <c r="CY309" s="85">
        <f>IF($CS309,"",TRIM(IF(ISNUMBER($BU309),"A "&amp;TRIM(TEXT($BU309,"# ?/??"))&amp;CHAR(34)&amp;"  ","")&amp;IF(ISNUMBER($BV309),"B "&amp;TRIM(TEXT($BV309,"# ?/??"))&amp;CHAR(34)&amp;"  ","")&amp;IF(ISNUMBER($BW309),"C "&amp;TRIM(TEXT($BW309,"# ?/??"))&amp;CHAR(34)&amp;"  ","")&amp;IF(ISNUMBER($BX309),"D "&amp;TRIM(TEXT($BX309,"# ?/??"))&amp;CHAR(34)&amp;"  ","")&amp;IF(ISNUMBER($BY309),"F "&amp;TRIM(TEXT($BY309,"# ?/??"))&amp;CHAR(34)&amp;"  ","")&amp;IF(ISNUMBER($BZ309),"E "&amp;TRIM(TEXT($BZ309,"# ?/??"))&amp;CHAR(34)&amp;"  ","")))</f>
        <v/>
      </c>
      <c r="CZ309" s="85">
        <f>IF(OR($CS309,N($BJ309)=0),"",TRIM(IF(ISNUMBER($BU309),"A "&amp;TRIM(TEXT($BU309-HeadClr,"# ?/??"))&amp;CHAR(34)&amp;"  ","")&amp;IF(ISNUMBER($BV309),"B "&amp;TRIM(TEXT($BV309-HeadClr,"# ?/??"))&amp;CHAR(34)&amp;"  ","")&amp;IF(ISNUMBER($BW309),"C "&amp;TRIM(TEXT($BW309-HeadClr,"# ?/??"))&amp;CHAR(34)&amp;"  ","")&amp;IF(ISNUMBER($BX309),"D "&amp;TRIM(TEXT($BX309-HeadClr,"# ?/??"))&amp;CHAR(34)&amp;"  ","")&amp;IF(ISNUMBER($BY309),"F "&amp;TRIM(TEXT($BY309-HeadClr,"# ?/??"))&amp;CHAR(34)&amp;"  ","")&amp;IF(ISNUMBER($BZ309),"E "&amp;TRIM(TEXT($BZ309-HeadClr,"# ?/??"))&amp;CHAR(34)&amp;"  ","")))</f>
        <v/>
      </c>
      <c r="DA309" s="84">
        <f>IF($A309="","",IF($AN309="",IFERROR(VLOOKUP($Z309,CODES,2,FALSE),""),IFERROR(VLOOKUP($AN309,CODES,2,FALSE),"")))</f>
        <v/>
      </c>
      <c r="DB309" s="84">
        <f>IF($A309="","",IF($O309="Y","PR",IF(OR($Z309="L",$Z309="RR",LEFT($Z309,2)="L-",LEFT($Z309,3)="RR-"),"LH","RH")))</f>
        <v/>
      </c>
      <c r="DC309" s="84">
        <f>IF($A309="","","S.HM"&amp;IF(OR($C309="DOOR ONLY",$X309&lt;&gt;"KD"),"MASONRY","DRYWALL")&amp;IF($C309="DOOR ONLY","",$U309)&amp;IF(AND($C309&lt;&gt;"FRAME ONLY",OR(LEFT($AH309,3)="OAK",LEFT($AH309,3)="BIR",LEFT($AH309,3)="MAP",$AH309="PC",$AH309="MC",$AH309="SCLC",$AH309="P-LAM")),"WD","HM")&amp;"1.75")</f>
        <v/>
      </c>
      <c r="DD309" s="84">
        <f>IF($CJ309="","",IF($O309="Y",$CJ309,SUBSTITUTE($CJ309,$BG309&amp;" "&amp;IFERROR(VLOOKUP($Z309,CODES,2,FALSE),"")&amp;" ",$BG309&amp;" ")))</f>
        <v/>
      </c>
      <c r="DE309" s="84">
        <f>IF($CK309="","",IF($O309="Y",$CK309,SUBSTITUTE($CK309,$BG309&amp;" "&amp;IF($AN309="",IFERROR(VLOOKUP($Z309,CODES,2,FALSE),""),IFERROR(VLOOKUP($AN309,CODES,2,FALSE),""))&amp;" ",$BG309&amp;" ")))</f>
        <v/>
      </c>
      <c r="DF309" s="84">
        <f>IF($CJ309="","",$DC309&amp;"|"&amp;$DD309&amp;"|"&amp;$DB309&amp;"|"&amp;$AT309&amp;"|"&amp;$V309&amp;"|"&amp;$Y309&amp;"|"&amp;$AB309)</f>
        <v/>
      </c>
      <c r="DG309" s="84">
        <f>IF(DF309="","",IF(COUNTIF($DF$6:DF309,DF309)=1,MAX($DG$5:DG308)+1,INDEX($DG$5:DG308,MATCH(DF309,$DF$5:DF308,0))))</f>
        <v/>
      </c>
      <c r="DH309" s="84">
        <f>IF($CK309="","",$DC309&amp;"|"&amp;$DE309&amp;"|"&amp;$AI309&amp;"|"&amp;$BK309&amp;"|"&amp;$BL309)</f>
        <v/>
      </c>
      <c r="DI309" s="84">
        <f>IF(DH309="","",IF(COUNTIF($DH$6:DH309,DH309)=1,MAX($DI$5:DI308)+1,INDEX($DI$5:DI308,MATCH(DH309,$DH$5:DH308,0))))</f>
        <v/>
      </c>
      <c r="DJ309" s="84">
        <f>IF($A309="","",IF($B309="","qty, ","")&amp;IF($C309="","scope, ","")&amp;IF(OR($K309="",$M309=""),"size, ","")&amp;IF(AND($A309&lt;&gt;"",$C309&lt;&gt;"DOOR ONLY"),IF($U309="","jamb depth, ","")&amp;IF($X309="","construction, ","")&amp;IF($Y309="","anchor, ","")&amp;IF($S309="","frame type, ",""),"")&amp;IF(AND(N($BJ309)&gt;0,$Z309=""),"hand, ","")&amp;IF(N($BJ309)&gt;0,IF($AH309="","door material, ","")&amp;IF($AL309="","face type, ","")&amp;IF($AP309="","lock prep, ","")&amp;IF(AND($AO309="",$AC309=""),"hinge prep, ",""),"")&amp;IF(AND($CH309&gt;0,$AH309="FRP"),"FRP cannot carry a label, ","")&amp;IF(AND($O309="Y",OR($Z309="L",$Z309="R",$Z309="LR",$Z309="RR")),"pair marked but hand is single, ","")&amp;IF(AND($O309&lt;&gt;"Y",OR($Z309="PR",AND(LEN($Z309)&gt;1,ISNUMBER(SEARCH("-",$Z309))))),"pair hand on a single door, ","")&amp;IF(AND(ISNUMBER($CI309),$CH309&lt;N($CI309)),"wall needs a "&amp;$CI309&amp;" min door, ","")&amp;IF(AND($CH309&gt;=180,AND(OR($CE309="FG",$CE309="HG",$CE309="FNV",$CE309="FV"),N($CF309)*N($CG309)&gt;100)),"180 min lite over 100 sq in, ","")&amp;IF(N($BK309)&gt;48,"leaf wider than 4'-0"&amp;CHAR(34)&amp;", ","")&amp;IF(AND($CT309,COUNT($AW309:$AZ309)=0,$CQ309&gt;0),"CUSTOM LOC with no locations typed, ",""))</f>
        <v/>
      </c>
      <c r="DK309" s="84">
        <f>IF($A309="","",IF(AND($CH309&gt;0,AND($A309&lt;&gt;"",$C309&lt;&gt;"DOOR ONLY"),$X309="KD",$E309="EXTERIOR"),"KD label on an exterior opening, ","")&amp;IF(AND($E309="EXTERIOR",OR(AND(AND($A309&lt;&gt;"",$C309&lt;&gt;"DOOR ONLY"),$W309="CR"),AND(N($BJ309)&gt;0,$AH309="CR"))),"exterior in CR steel (G9?), ","")&amp;IF(AND(ISNUMBER($BQ309),N($BQ309)&lt;32),"clear width ~"&amp;TEXT($BQ309,"0.0")&amp;CHAR(34)&amp;" under 32"&amp;CHAR(34)&amp;" (ADA), ","")&amp;IF(AND($CH309=90,AND(OR($CE309="FG",$CE309="HG",$CE309="FNV",$CE309="FV"),N($CF309)*N($CG309)&gt;100)),"90 min lite over 100 sq in (stair/exit), ","")&amp;IF(AND($CH309&gt;0,AND($A309&lt;&gt;"",$C309&lt;&gt;"DOOR ONLY"),OR($AF309="",$AF309="-")),"rated: closer reinf.?, ","")&amp;IF(OR($I309="CORRIDOR",$I309="SMOKE BARRIER"),"S label + smoke gasketing, ","")&amp;IF($CI309="?","wall type/hr not in IBC table, ","")&amp;IF(AND(N($BJ309)&gt;0,$BB309=""),"no hardware set, ","")&amp;IF(AND($BB309&lt;&gt;"",ISNA(MATCH($BB309&amp;"",HWSets,0))),"set "&amp;$BB309&amp;" not on HW Sets, ","")&amp;IF(N($BL309)&gt;96,"leaf over 8'-0"&amp;CHAR(34)&amp;" - check listing, ","")&amp;IF(AND($CT309,COUNT($AW309:$AZ309)&gt;0,COUNT($AW309:$AZ309)&lt;&gt;$CQ309),COUNT($AW309:$AZ309)&amp;" custom hinges typed, "&amp;$CQ309&amp;" expected, ","")&amp;IF(AND(ISNUMBER($CA309),OR(N($CA309)&lt;34,N($CA309)&gt;48)),"lock "&amp;TEXT($CA309,"0.0")&amp;CHAR(34)&amp;" AFF outside 34-48"&amp;CHAR(34)&amp;" (ADA), ","")&amp;IF(AND(ISNUMBER($AV309),ISNUMBER($BL309),N($AV309)&lt;IF(N($BL309)&lt;=60,2,IF(N($BL309)&lt;=90,3,IF(N($BL309)&lt;=120,4,5)))),"fewer hinges than standard, ",""))</f>
        <v/>
      </c>
    </row>
    <row r="310" ht="15" customHeight="1">
      <c r="A310" s="92" t="n"/>
      <c r="B310" s="93" t="n"/>
      <c r="C310" s="93" t="n"/>
      <c r="D310" s="93" t="n"/>
      <c r="E310" s="93" t="n"/>
      <c r="F310" s="93" t="n"/>
      <c r="G310" s="93" t="n"/>
      <c r="H310" s="93" t="n"/>
      <c r="I310" s="93" t="n"/>
      <c r="J310" s="93" t="n"/>
      <c r="K310" s="93" t="n"/>
      <c r="L310" s="93" t="n"/>
      <c r="M310" s="93" t="n"/>
      <c r="N310" s="93" t="n"/>
      <c r="O310" s="93" t="n"/>
      <c r="P310" s="93" t="n"/>
      <c r="Q310" s="93" t="n"/>
      <c r="R310" s="93" t="n"/>
      <c r="S310" s="94" t="n"/>
      <c r="T310" s="94" t="n"/>
      <c r="U310" s="94" t="n"/>
      <c r="V310" s="94" t="n"/>
      <c r="W310" s="94" t="n"/>
      <c r="X310" s="94" t="n"/>
      <c r="Y310" s="94" t="n"/>
      <c r="Z310" s="94" t="n"/>
      <c r="AA310" s="94" t="n"/>
      <c r="AB310" s="94" t="n"/>
      <c r="AC310" s="94" t="n"/>
      <c r="AD310" s="94" t="n"/>
      <c r="AE310" s="94" t="n"/>
      <c r="AF310" s="94" t="n"/>
      <c r="AG310" s="94" t="n"/>
      <c r="AH310" s="95" t="n"/>
      <c r="AI310" s="95" t="n"/>
      <c r="AJ310" s="95" t="n"/>
      <c r="AK310" s="95" t="n"/>
      <c r="AL310" s="95" t="n"/>
      <c r="AM310" s="95" t="n"/>
      <c r="AN310" s="95" t="n"/>
      <c r="AO310" s="95" t="n"/>
      <c r="AP310" s="95" t="n"/>
      <c r="AQ310" s="95" t="n"/>
      <c r="AR310" s="95" t="n"/>
      <c r="AS310" s="95" t="n"/>
      <c r="AT310" s="96" t="n"/>
      <c r="AU310" s="96" t="n"/>
      <c r="AV310" s="96" t="n"/>
      <c r="AW310" s="97" t="n"/>
      <c r="AX310" s="97" t="n"/>
      <c r="AY310" s="97" t="n"/>
      <c r="AZ310" s="97" t="n"/>
      <c r="BA310" s="97" t="n"/>
      <c r="BB310" s="98" t="n"/>
      <c r="BC310" s="98" t="n"/>
      <c r="BD310" s="99">
        <f>IF($A310="","",IF($DJ310&lt;&gt;"","FIX",IF($DK310&lt;&gt;"","CHECK","OK")))</f>
        <v/>
      </c>
      <c r="BE310" s="100">
        <f>IF($A310="","",IF($DJ310&lt;&gt;"","FIX: "&amp;LEFT($DJ310,LEN($DJ310)-2)&amp;IF($DK310&lt;&gt;"","  ·  ",""),"")&amp;IF($DK310&lt;&gt;"","CHECK: "&amp;LEFT($DK310,LEN($DK310)-2),""))</f>
        <v/>
      </c>
      <c r="BF310" s="99">
        <f>IF(OR($A310="",$K310=""),"",$K310&amp;"'-"&amp;N($L310)&amp;CHAR(34)&amp;" x "&amp;$M310&amp;"'-"&amp;N($N310)&amp;CHAR(34))</f>
        <v/>
      </c>
      <c r="BG310" s="99">
        <f>IF(OR($A310="",$K310=""),"",$K310&amp;N($L310)&amp;$M310&amp;N($N310))</f>
        <v/>
      </c>
      <c r="BH310" s="99">
        <f>IF(OR($A310="",$K310=""),"",$K310*12+N($L310))</f>
        <v/>
      </c>
      <c r="BI310" s="99">
        <f>IF(OR($A310="",$M310=""),"",$M310*12+N($N310))</f>
        <v/>
      </c>
      <c r="BJ310" s="99">
        <f>IF($A310="","",IF(OR($C310="FRAME ONLY",$S310="BL"),0,IF($O310="Y",2,1)))</f>
        <v/>
      </c>
      <c r="BK310" s="101">
        <f>IF(OR(N($BJ310)=0,$BH310=""),"",($BH310-2*EdgeClr-IF($BJ310=2,MeetClr,0))/$BJ310)</f>
        <v/>
      </c>
      <c r="BL310" s="101">
        <f>IF(OR(N($BJ310)=0,$BI310=""),"",$BI310-HeadClr-Undercut)</f>
        <v/>
      </c>
      <c r="BM310" s="101">
        <f>IF($BH310="","",$BH310+2*FaceW+IF(N($Q310)&gt;0,($Q310+FaceW)*IF($R310="LR",2,1),0))</f>
        <v/>
      </c>
      <c r="BN310" s="101">
        <f>IF($BI310="","",$BI310+IF($AB310="Y",4,FaceW)+IF(N($P310)&gt;0,$P310+FaceW,0)+IF(OR($S310="4F",$S310="BL"),FaceW,0))</f>
        <v/>
      </c>
      <c r="BO310" s="101">
        <f>IF($BM310="","",$BM310+2*ROSide)</f>
        <v/>
      </c>
      <c r="BP310" s="101">
        <f>IF($BN310="","",$BN310+ROTop)</f>
        <v/>
      </c>
      <c r="BQ310" s="102">
        <f>IF(OR(N($BJ310)=0,$BH310=""),"",$BH310/$BJ310-ClearDeduct)</f>
        <v/>
      </c>
      <c r="BR310" s="99">
        <f>IF(N($CH310)=0,"",IF($CH310&gt;=180,"A · 3 HR",IF($CH310&gt;=90,"B · 1-1/2 HR",IF($CH310&gt;=60,"B · 1 HR",IF($CH310&gt;=45,"C · 3/4 HR","20 MIN")))))&amp;IF(AND(N($CH310)&gt;0,OR($I310="CORRIDOR",$I310="SMOKE BARRIER"))," · S","")</f>
        <v/>
      </c>
      <c r="BS310" s="99">
        <f>IF($CS310,"",IF($AV310&lt;&gt;"",$AV310,IF(OR($AC310="HGC",$AO310="HGC"),"CONT",IF(($BI310-HeadClr-Undercut)&lt;=60,2,IF(($BI310-HeadClr-Undercut)&lt;=90,3,IF(($BI310-HeadClr-Undercut)&lt;=120,4,5))))))</f>
        <v/>
      </c>
      <c r="BT310" s="99">
        <f>IF($CS310,"",IF($CT310,"CUSTOM (typed)",IF($CV310,$AT310&amp;" "&amp;$CU310&amp;CHAR(34)&amp;IF($CU310&lt;&gt;$BI310,IF(AND($BI310&lt;$CU310,$BI310-IF(N(VLOOKUP($AT310&amp;"|"&amp;$CU310,LocTable,7,FALSE))&gt;0,VLOOKUP($AT310&amp;"|"&amp;$CU310,LocTable,7,FALSE),VLOOKUP($AT310&amp;"|"&amp;$CU310,LocTable,6,FALSE))-$CR310-0.75&gt;=2.125)," cut down"," adj."),""),"ANSI/SDI A250.6")))</f>
        <v/>
      </c>
      <c r="BU310" s="103">
        <f>IF($CS310,"",IF($CT310,IF(N($AW310)&gt;0,N($AW310),""),IF(1&gt;$CQ310,"",IF($CQ310=1,$CW310,$CW310+($CX310-$CW310)*0/($CQ310-1)))))</f>
        <v/>
      </c>
      <c r="BV310" s="103">
        <f>IF($CS310,"",IF($CT310,IF(N($AX310)&gt;0,N($AX310),""),IF(2&gt;$CQ310,"",IF($CQ310=1,$CW310,$CW310+($CX310-$CW310)*1/($CQ310-1)))))</f>
        <v/>
      </c>
      <c r="BW310" s="103">
        <f>IF($CS310,"",IF($CT310,IF(N($AY310)&gt;0,N($AY310),""),IF(3&gt;$CQ310,"",IF($CQ310=1,$CW310,$CW310+($CX310-$CW310)*2/($CQ310-1)))))</f>
        <v/>
      </c>
      <c r="BX310" s="103">
        <f>IF($CS310,"",IF($CT310,IF(N($AZ310)&gt;0,N($AZ310),""),IF(4&gt;$CQ310,"",IF($CQ310=1,$CW310,$CW310+($CX310-$CW310)*3/($CQ310-1)))))</f>
        <v/>
      </c>
      <c r="BY310" s="103">
        <f>IF($CS310,"",IF($CT310,"",IF(5&gt;$CQ310,"",IF($CQ310=1,$CW310,$CW310+($CX310-$CW310)*4/($CQ310-1)))))</f>
        <v/>
      </c>
      <c r="BZ310" s="103">
        <f>IF(OR($CS310,$AP310="-",AND($AP310="",$AD310="")),"",IF(N($BA310)&gt;0,N($BA310),IF($CV310,IF(AND($BI310&lt;$CU310,$BI310-IF(N(VLOOKUP($AT310&amp;"|"&amp;$CU310,LocTable,7,FALSE))&gt;0,VLOOKUP($AT310&amp;"|"&amp;$CU310,LocTable,7,FALSE),VLOOKUP($AT310&amp;"|"&amp;$CU310,LocTable,6,FALSE))-$CR310-0.75&gt;=2.125),VLOOKUP($AT310&amp;"|"&amp;$CU310,LocTable,8,FALSE),VLOOKUP($AT310&amp;"|"&amp;$CU310,LocTable,8,FALSE)+($BI310-$CU310)),$BI310-LockAFF)))</f>
        <v/>
      </c>
      <c r="CA310" s="104">
        <f>IF($BZ310="","",$BI310-$BZ310)</f>
        <v/>
      </c>
      <c r="CB310" s="99">
        <f>IF(OR(NOT(AND($A310&lt;&gt;"",$C310&lt;&gt;"DOOR ONLY")),$BI310=""),"",IF(($BI310+IF(N($P310)&gt;0,$P310+FaceW,0))&lt;=90,3,IF(($BI310+IF(N($P310)&gt;0,$P310+FaceW,0))&lt;=114,4,5)))</f>
        <v/>
      </c>
      <c r="CC310" s="99">
        <f>IF($CB310="","",$CB310*(2+IF(N($Q310)&gt;0,IF($R310="LR",2,1),0)))</f>
        <v/>
      </c>
      <c r="CD310" s="99">
        <f>IF($CB310="","",(2+IF(N($Q310)&gt;0,IF($R310="LR",2,1),0)))</f>
        <v/>
      </c>
      <c r="CE310" s="99">
        <f>IF(N($BJ310)=0,"",IF(OR($AL310="",$AL310="FLUSH"),"FLUSH",IFERROR(LEFT($AL310,FIND("-",$AL310)-1),LEFT($AL310,2))))</f>
        <v/>
      </c>
      <c r="CF310" s="99">
        <f>IF($CE310="","",IFERROR(VALUE(MID($AL310,FIND("-",$AL310)+1,FIND(CHAR(34)&amp;"x",$AL310)-FIND("-",$AL310)-1)),0))</f>
        <v/>
      </c>
      <c r="CG310" s="99">
        <f>IF($CE310="","",IFERROR(VALUE(MID($AL310,FIND(CHAR(34)&amp;"x",$AL310)+2,FIND(CHAR(34),$AL310,FIND(CHAR(34)&amp;"x",$AL310)+2)-FIND(CHAR(34)&amp;"x",$AL310)-2)),0))</f>
        <v/>
      </c>
      <c r="CH310" s="105">
        <f>IF(OR($A310="",$H310="",$H310="NO LAB"),0,IFERROR(VALUE(LEFT($H310,FIND(" ",$H310)-1)),0))</f>
        <v/>
      </c>
      <c r="CI310" s="106">
        <f>IF(OR($A310="",$I310="",$I310="NON-RATED",N($J310)=0),"",IFERROR(VLOOKUP($I310&amp;"|"&amp;$J310,IBC,2,FALSE),"?"))</f>
        <v/>
      </c>
      <c r="CJ310" s="100">
        <f>IF(NOT(AND($A310&lt;&gt;"",$C310&lt;&gt;"DOOR ONLY")),"",TRIM(IFERROR(VLOOKUP($U310,CODES,2,FALSE),"")&amp;" "&amp;$BG310&amp;" "&amp;IFERROR(VLOOKUP($Z310,CODES,2,FALSE),"")&amp;" "&amp;IFERROR(VLOOKUP($X310,CODES,2,FALSE),"")&amp;" "&amp;IFERROR(VLOOKUP($S310,CODES,2,FALSE),"")&amp;IF(N($P310)&gt;0," w/TRANSOM "&amp;$P310&amp;CHAR(34),"")&amp;IF(N($Q310)&gt;0," w/SIDELITE "&amp;$Q310&amp;CHAR(34)&amp;" "&amp;IF($R310="","R",$R310),"")&amp;IF($Y310="","  |  "," | "&amp;IFERROR(VLOOKUP($Y310,CODES,2,FALSE),"")&amp;" | ")&amp;IFERROR(VLOOKUP($AC310,CODES,2,FALSE),"")&amp;" "&amp;IFERROR(VLOOKUP($AD310,CODES,2,FALSE),"")&amp;IF(OR($AE310="",$AE310="-"),""," "&amp;$AE310)&amp;IF(OR($AF310="",$AF310="-"),""," "&amp;$AF310)&amp;IF($AB310="Y"," 4"&amp;CHAR(34)&amp;" HEAD","")&amp;" "&amp;IFERROR(VLOOKUP($H310,CODES,2,FALSE),"")&amp;IF($CT310," | LOC "&amp;$CY310,"")))</f>
        <v/>
      </c>
      <c r="CK310" s="100">
        <f>IF(NOT(AND($A310&lt;&gt;"",N($BJ310)&gt;0)),"",TRIM(IFERROR(VLOOKUP($AH310,CODES,2,FALSE),"")&amp;IF($AI310=""," "," "&amp;$AI310&amp;"GA ")&amp;$BG310&amp;" "&amp;IF($AN310="",IFERROR(VLOOKUP($Z310,CODES,2,FALSE),""),IFERROR(VLOOKUP($AN310,CODES,2,FALSE),""))&amp;IF($BJ310=2," PAIR","")&amp;" DOOR | "&amp;IF($AL310="","?",$AL310)&amp;" | "&amp;IF($AO310="",IFERROR(VLOOKUP($AC310,CODES,2,FALSE),""),IFERROR(VLOOKUP($AO310,CODES,2,FALSE),""))&amp;" "&amp;IFERROR(VLOOKUP($AP310,CODES,2,FALSE),"")&amp;IF(OR($AQ310="",$AQ310="-"),""," SEAM "&amp;$AQ310)&amp;IF($AR310="Y"," ASTRAGAL","")&amp;IF($AJ310=""," "," "&amp;$AJ310)&amp;IF($AK310=""," "," "&amp;$AK310)&amp;IF(OR($AT310="",$AT310="ANSI/SDI",$AT310="CUSTOM LOC"),""," "&amp;$AT310)&amp;IF($AM310=""," "," SERIES "&amp;$AM310)&amp;" "&amp;IFERROR(VLOOKUP($H310,CODES,2,FALSE),"")&amp;IF($CT310," | LOC "&amp;$CZ310,"")))</f>
        <v/>
      </c>
      <c r="CL310" s="99">
        <f>IF(CP310="","",IF(COUNTIF($CP$6:CP310,CP310)=1,MAX($CL$5:CL309)+1,INDEX($CL$5:CL309,MATCH(CP310,$CP$5:CP309,0))))</f>
        <v/>
      </c>
      <c r="CM310" s="99">
        <f>IF(NOT(AND($A310&lt;&gt;"",$C310&lt;&gt;"DOOR ONLY")),"",MAX($CM$5:CM309)+1)</f>
        <v/>
      </c>
      <c r="CN310" s="99">
        <f>IF(NOT(AND($A310&lt;&gt;"",N($BJ310)&gt;0)),"",MAX($CN$5:CN309)+1)</f>
        <v/>
      </c>
      <c r="CO310" s="99">
        <f>IF($A310="","",MAX($CO$5:CO309)+1)</f>
        <v/>
      </c>
      <c r="CP310" s="99">
        <f>IF(OR($A310="",$BH310="",$BI310=""),"",$BG310&amp;"|"&amp;$O310&amp;"|"&amp;$AL310&amp;"|"&amp;$S310&amp;"|"&amp;$P310&amp;"|"&amp;$Q310&amp;$R310&amp;"|"&amp;$C310&amp;"|"&amp;$AB310)</f>
        <v/>
      </c>
      <c r="CQ310" s="99">
        <f>N($BS310)</f>
        <v/>
      </c>
      <c r="CR310" s="99">
        <f>IF(N($AU310)&gt;0,N($AU310),4.5)</f>
        <v/>
      </c>
      <c r="CS310" s="99">
        <f>OR($A310="",$BI310="",$S310="BL",AND($C310="FRAME ONLY",OR($AC310="",$AC310="BLK")))</f>
        <v/>
      </c>
      <c r="CT310" s="99">
        <f>AND(NOT($CS310),OR($AT310="CUSTOM LOC",N($AW310)+N($AX310)+N($AY310)+N($AZ310)+N($BA310)&gt;0))</f>
        <v/>
      </c>
      <c r="CU310" s="99">
        <f>IF($BI310="","",IF($BI310&lt;=80,80,IF($BI310&lt;=84,84,96)))</f>
        <v/>
      </c>
      <c r="CV310" s="99">
        <f>ISNUMBER(MATCH($AT310&amp;"|80",LocKeys,0))</f>
        <v/>
      </c>
      <c r="CW310" s="101">
        <f>IF($CS310,"",IF($CV310,VLOOKUP($AT310&amp;"|"&amp;$CU310,LocTable,4,FALSE),5))</f>
        <v/>
      </c>
      <c r="CX310" s="101">
        <f>IF($CS310,"",IF($CV310,IF(OR($BI310=$CU310,AND($BI310&lt;$CU310,$BI310-IF(N(VLOOKUP($AT310&amp;"|"&amp;$CU310,LocTable,7,FALSE))&gt;0,VLOOKUP($AT310&amp;"|"&amp;$CU310,LocTable,7,FALSE),VLOOKUP($AT310&amp;"|"&amp;$CU310,LocTable,6,FALSE))-$CR310-0.75&gt;=2.125)),IF(N(VLOOKUP($AT310&amp;"|"&amp;$CU310,LocTable,7,FALSE))&gt;0,VLOOKUP($AT310&amp;"|"&amp;$CU310,LocTable,7,FALSE),VLOOKUP($AT310&amp;"|"&amp;$CU310,LocTable,6,FALSE)),$BI310-($CU310-IF(N(VLOOKUP($AT310&amp;"|"&amp;$CU310,LocTable,7,FALSE))&gt;0,VLOOKUP($AT310&amp;"|"&amp;$CU310,LocTable,7,FALSE),VLOOKUP($AT310&amp;"|"&amp;$CU310,LocTable,6,FALSE)))),$BI310-10-$CR310))</f>
        <v/>
      </c>
      <c r="CY310" s="100">
        <f>IF($CS310,"",TRIM(IF(ISNUMBER($BU310),"A "&amp;TRIM(TEXT($BU310,"# ?/??"))&amp;CHAR(34)&amp;"  ","")&amp;IF(ISNUMBER($BV310),"B "&amp;TRIM(TEXT($BV310,"# ?/??"))&amp;CHAR(34)&amp;"  ","")&amp;IF(ISNUMBER($BW310),"C "&amp;TRIM(TEXT($BW310,"# ?/??"))&amp;CHAR(34)&amp;"  ","")&amp;IF(ISNUMBER($BX310),"D "&amp;TRIM(TEXT($BX310,"# ?/??"))&amp;CHAR(34)&amp;"  ","")&amp;IF(ISNUMBER($BY310),"F "&amp;TRIM(TEXT($BY310,"# ?/??"))&amp;CHAR(34)&amp;"  ","")&amp;IF(ISNUMBER($BZ310),"E "&amp;TRIM(TEXT($BZ310,"# ?/??"))&amp;CHAR(34)&amp;"  ","")))</f>
        <v/>
      </c>
      <c r="CZ310" s="100">
        <f>IF(OR($CS310,N($BJ310)=0),"",TRIM(IF(ISNUMBER($BU310),"A "&amp;TRIM(TEXT($BU310-HeadClr,"# ?/??"))&amp;CHAR(34)&amp;"  ","")&amp;IF(ISNUMBER($BV310),"B "&amp;TRIM(TEXT($BV310-HeadClr,"# ?/??"))&amp;CHAR(34)&amp;"  ","")&amp;IF(ISNUMBER($BW310),"C "&amp;TRIM(TEXT($BW310-HeadClr,"# ?/??"))&amp;CHAR(34)&amp;"  ","")&amp;IF(ISNUMBER($BX310),"D "&amp;TRIM(TEXT($BX310-HeadClr,"# ?/??"))&amp;CHAR(34)&amp;"  ","")&amp;IF(ISNUMBER($BY310),"F "&amp;TRIM(TEXT($BY310-HeadClr,"# ?/??"))&amp;CHAR(34)&amp;"  ","")&amp;IF(ISNUMBER($BZ310),"E "&amp;TRIM(TEXT($BZ310-HeadClr,"# ?/??"))&amp;CHAR(34)&amp;"  ","")))</f>
        <v/>
      </c>
      <c r="DA310" s="99">
        <f>IF($A310="","",IF($AN310="",IFERROR(VLOOKUP($Z310,CODES,2,FALSE),""),IFERROR(VLOOKUP($AN310,CODES,2,FALSE),"")))</f>
        <v/>
      </c>
      <c r="DB310" s="99">
        <f>IF($A310="","",IF($O310="Y","PR",IF(OR($Z310="L",$Z310="RR",LEFT($Z310,2)="L-",LEFT($Z310,3)="RR-"),"LH","RH")))</f>
        <v/>
      </c>
      <c r="DC310" s="99">
        <f>IF($A310="","","S.HM"&amp;IF(OR($C310="DOOR ONLY",$X310&lt;&gt;"KD"),"MASONRY","DRYWALL")&amp;IF($C310="DOOR ONLY","",$U310)&amp;IF(AND($C310&lt;&gt;"FRAME ONLY",OR(LEFT($AH310,3)="OAK",LEFT($AH310,3)="BIR",LEFT($AH310,3)="MAP",$AH310="PC",$AH310="MC",$AH310="SCLC",$AH310="P-LAM")),"WD","HM")&amp;"1.75")</f>
        <v/>
      </c>
      <c r="DD310" s="99">
        <f>IF($CJ310="","",IF($O310="Y",$CJ310,SUBSTITUTE($CJ310,$BG310&amp;" "&amp;IFERROR(VLOOKUP($Z310,CODES,2,FALSE),"")&amp;" ",$BG310&amp;" ")))</f>
        <v/>
      </c>
      <c r="DE310" s="99">
        <f>IF($CK310="","",IF($O310="Y",$CK310,SUBSTITUTE($CK310,$BG310&amp;" "&amp;IF($AN310="",IFERROR(VLOOKUP($Z310,CODES,2,FALSE),""),IFERROR(VLOOKUP($AN310,CODES,2,FALSE),""))&amp;" ",$BG310&amp;" ")))</f>
        <v/>
      </c>
      <c r="DF310" s="99">
        <f>IF($CJ310="","",$DC310&amp;"|"&amp;$DD310&amp;"|"&amp;$DB310&amp;"|"&amp;$AT310&amp;"|"&amp;$V310&amp;"|"&amp;$Y310&amp;"|"&amp;$AB310)</f>
        <v/>
      </c>
      <c r="DG310" s="99">
        <f>IF(DF310="","",IF(COUNTIF($DF$6:DF310,DF310)=1,MAX($DG$5:DG309)+1,INDEX($DG$5:DG309,MATCH(DF310,$DF$5:DF309,0))))</f>
        <v/>
      </c>
      <c r="DH310" s="99">
        <f>IF($CK310="","",$DC310&amp;"|"&amp;$DE310&amp;"|"&amp;$AI310&amp;"|"&amp;$BK310&amp;"|"&amp;$BL310)</f>
        <v/>
      </c>
      <c r="DI310" s="99">
        <f>IF(DH310="","",IF(COUNTIF($DH$6:DH310,DH310)=1,MAX($DI$5:DI309)+1,INDEX($DI$5:DI309,MATCH(DH310,$DH$5:DH309,0))))</f>
        <v/>
      </c>
      <c r="DJ310" s="99">
        <f>IF($A310="","",IF($B310="","qty, ","")&amp;IF($C310="","scope, ","")&amp;IF(OR($K310="",$M310=""),"size, ","")&amp;IF(AND($A310&lt;&gt;"",$C310&lt;&gt;"DOOR ONLY"),IF($U310="","jamb depth, ","")&amp;IF($X310="","construction, ","")&amp;IF($Y310="","anchor, ","")&amp;IF($S310="","frame type, ",""),"")&amp;IF(AND(N($BJ310)&gt;0,$Z310=""),"hand, ","")&amp;IF(N($BJ310)&gt;0,IF($AH310="","door material, ","")&amp;IF($AL310="","face type, ","")&amp;IF($AP310="","lock prep, ","")&amp;IF(AND($AO310="",$AC310=""),"hinge prep, ",""),"")&amp;IF(AND($CH310&gt;0,$AH310="FRP"),"FRP cannot carry a label, ","")&amp;IF(AND($O310="Y",OR($Z310="L",$Z310="R",$Z310="LR",$Z310="RR")),"pair marked but hand is single, ","")&amp;IF(AND($O310&lt;&gt;"Y",OR($Z310="PR",AND(LEN($Z310)&gt;1,ISNUMBER(SEARCH("-",$Z310))))),"pair hand on a single door, ","")&amp;IF(AND(ISNUMBER($CI310),$CH310&lt;N($CI310)),"wall needs a "&amp;$CI310&amp;" min door, ","")&amp;IF(AND($CH310&gt;=180,AND(OR($CE310="FG",$CE310="HG",$CE310="FNV",$CE310="FV"),N($CF310)*N($CG310)&gt;100)),"180 min lite over 100 sq in, ","")&amp;IF(N($BK310)&gt;48,"leaf wider than 4'-0"&amp;CHAR(34)&amp;", ","")&amp;IF(AND($CT310,COUNT($AW310:$AZ310)=0,$CQ310&gt;0),"CUSTOM LOC with no locations typed, ",""))</f>
        <v/>
      </c>
      <c r="DK310" s="99">
        <f>IF($A310="","",IF(AND($CH310&gt;0,AND($A310&lt;&gt;"",$C310&lt;&gt;"DOOR ONLY"),$X310="KD",$E310="EXTERIOR"),"KD label on an exterior opening, ","")&amp;IF(AND($E310="EXTERIOR",OR(AND(AND($A310&lt;&gt;"",$C310&lt;&gt;"DOOR ONLY"),$W310="CR"),AND(N($BJ310)&gt;0,$AH310="CR"))),"exterior in CR steel (G9?), ","")&amp;IF(AND(ISNUMBER($BQ310),N($BQ310)&lt;32),"clear width ~"&amp;TEXT($BQ310,"0.0")&amp;CHAR(34)&amp;" under 32"&amp;CHAR(34)&amp;" (ADA), ","")&amp;IF(AND($CH310=90,AND(OR($CE310="FG",$CE310="HG",$CE310="FNV",$CE310="FV"),N($CF310)*N($CG310)&gt;100)),"90 min lite over 100 sq in (stair/exit), ","")&amp;IF(AND($CH310&gt;0,AND($A310&lt;&gt;"",$C310&lt;&gt;"DOOR ONLY"),OR($AF310="",$AF310="-")),"rated: closer reinf.?, ","")&amp;IF(OR($I310="CORRIDOR",$I310="SMOKE BARRIER"),"S label + smoke gasketing, ","")&amp;IF($CI310="?","wall type/hr not in IBC table, ","")&amp;IF(AND(N($BJ310)&gt;0,$BB310=""),"no hardware set, ","")&amp;IF(AND($BB310&lt;&gt;"",ISNA(MATCH($BB310&amp;"",HWSets,0))),"set "&amp;$BB310&amp;" not on HW Sets, ","")&amp;IF(N($BL310)&gt;96,"leaf over 8'-0"&amp;CHAR(34)&amp;" - check listing, ","")&amp;IF(AND($CT310,COUNT($AW310:$AZ310)&gt;0,COUNT($AW310:$AZ310)&lt;&gt;$CQ310),COUNT($AW310:$AZ310)&amp;" custom hinges typed, "&amp;$CQ310&amp;" expected, ","")&amp;IF(AND(ISNUMBER($CA310),OR(N($CA310)&lt;34,N($CA310)&gt;48)),"lock "&amp;TEXT($CA310,"0.0")&amp;CHAR(34)&amp;" AFF outside 34-48"&amp;CHAR(34)&amp;" (ADA), ","")&amp;IF(AND(ISNUMBER($AV310),ISNUMBER($BL310),N($AV310)&lt;IF(N($BL310)&lt;=60,2,IF(N($BL310)&lt;=90,3,IF(N($BL310)&lt;=120,4,5)))),"fewer hinges than standard, ",""))</f>
        <v/>
      </c>
    </row>
    <row r="311" ht="15" customHeight="1">
      <c r="A311" s="77" t="n"/>
      <c r="B311" s="78" t="n"/>
      <c r="C311" s="78" t="n"/>
      <c r="D311" s="78" t="n"/>
      <c r="E311" s="78" t="n"/>
      <c r="F311" s="78" t="n"/>
      <c r="G311" s="78" t="n"/>
      <c r="H311" s="78" t="n"/>
      <c r="I311" s="78" t="n"/>
      <c r="J311" s="78" t="n"/>
      <c r="K311" s="78" t="n"/>
      <c r="L311" s="78" t="n"/>
      <c r="M311" s="78" t="n"/>
      <c r="N311" s="78" t="n"/>
      <c r="O311" s="78" t="n"/>
      <c r="P311" s="78" t="n"/>
      <c r="Q311" s="78" t="n"/>
      <c r="R311" s="78" t="n"/>
      <c r="S311" s="79" t="n"/>
      <c r="T311" s="79" t="n"/>
      <c r="U311" s="79" t="n"/>
      <c r="V311" s="79" t="n"/>
      <c r="W311" s="79" t="n"/>
      <c r="X311" s="79" t="n"/>
      <c r="Y311" s="79" t="n"/>
      <c r="Z311" s="79" t="n"/>
      <c r="AA311" s="79" t="n"/>
      <c r="AB311" s="79" t="n"/>
      <c r="AC311" s="79" t="n"/>
      <c r="AD311" s="79" t="n"/>
      <c r="AE311" s="79" t="n"/>
      <c r="AF311" s="79" t="n"/>
      <c r="AG311" s="79" t="n"/>
      <c r="AH311" s="80" t="n"/>
      <c r="AI311" s="80" t="n"/>
      <c r="AJ311" s="80" t="n"/>
      <c r="AK311" s="80" t="n"/>
      <c r="AL311" s="80" t="n"/>
      <c r="AM311" s="80" t="n"/>
      <c r="AN311" s="80" t="n"/>
      <c r="AO311" s="80" t="n"/>
      <c r="AP311" s="80" t="n"/>
      <c r="AQ311" s="80" t="n"/>
      <c r="AR311" s="80" t="n"/>
      <c r="AS311" s="80" t="n"/>
      <c r="AT311" s="81" t="n"/>
      <c r="AU311" s="81" t="n"/>
      <c r="AV311" s="81" t="n"/>
      <c r="AW311" s="82" t="n"/>
      <c r="AX311" s="82" t="n"/>
      <c r="AY311" s="82" t="n"/>
      <c r="AZ311" s="82" t="n"/>
      <c r="BA311" s="82" t="n"/>
      <c r="BB311" s="83" t="n"/>
      <c r="BC311" s="83" t="n"/>
      <c r="BD311" s="84">
        <f>IF($A311="","",IF($DJ311&lt;&gt;"","FIX",IF($DK311&lt;&gt;"","CHECK","OK")))</f>
        <v/>
      </c>
      <c r="BE311" s="85">
        <f>IF($A311="","",IF($DJ311&lt;&gt;"","FIX: "&amp;LEFT($DJ311,LEN($DJ311)-2)&amp;IF($DK311&lt;&gt;"","  ·  ",""),"")&amp;IF($DK311&lt;&gt;"","CHECK: "&amp;LEFT($DK311,LEN($DK311)-2),""))</f>
        <v/>
      </c>
      <c r="BF311" s="84">
        <f>IF(OR($A311="",$K311=""),"",$K311&amp;"'-"&amp;N($L311)&amp;CHAR(34)&amp;" x "&amp;$M311&amp;"'-"&amp;N($N311)&amp;CHAR(34))</f>
        <v/>
      </c>
      <c r="BG311" s="84">
        <f>IF(OR($A311="",$K311=""),"",$K311&amp;N($L311)&amp;$M311&amp;N($N311))</f>
        <v/>
      </c>
      <c r="BH311" s="84">
        <f>IF(OR($A311="",$K311=""),"",$K311*12+N($L311))</f>
        <v/>
      </c>
      <c r="BI311" s="84">
        <f>IF(OR($A311="",$M311=""),"",$M311*12+N($N311))</f>
        <v/>
      </c>
      <c r="BJ311" s="84">
        <f>IF($A311="","",IF(OR($C311="FRAME ONLY",$S311="BL"),0,IF($O311="Y",2,1)))</f>
        <v/>
      </c>
      <c r="BK311" s="86">
        <f>IF(OR(N($BJ311)=0,$BH311=""),"",($BH311-2*EdgeClr-IF($BJ311=2,MeetClr,0))/$BJ311)</f>
        <v/>
      </c>
      <c r="BL311" s="86">
        <f>IF(OR(N($BJ311)=0,$BI311=""),"",$BI311-HeadClr-Undercut)</f>
        <v/>
      </c>
      <c r="BM311" s="86">
        <f>IF($BH311="","",$BH311+2*FaceW+IF(N($Q311)&gt;0,($Q311+FaceW)*IF($R311="LR",2,1),0))</f>
        <v/>
      </c>
      <c r="BN311" s="86">
        <f>IF($BI311="","",$BI311+IF($AB311="Y",4,FaceW)+IF(N($P311)&gt;0,$P311+FaceW,0)+IF(OR($S311="4F",$S311="BL"),FaceW,0))</f>
        <v/>
      </c>
      <c r="BO311" s="86">
        <f>IF($BM311="","",$BM311+2*ROSide)</f>
        <v/>
      </c>
      <c r="BP311" s="86">
        <f>IF($BN311="","",$BN311+ROTop)</f>
        <v/>
      </c>
      <c r="BQ311" s="87">
        <f>IF(OR(N($BJ311)=0,$BH311=""),"",$BH311/$BJ311-ClearDeduct)</f>
        <v/>
      </c>
      <c r="BR311" s="84">
        <f>IF(N($CH311)=0,"",IF($CH311&gt;=180,"A · 3 HR",IF($CH311&gt;=90,"B · 1-1/2 HR",IF($CH311&gt;=60,"B · 1 HR",IF($CH311&gt;=45,"C · 3/4 HR","20 MIN")))))&amp;IF(AND(N($CH311)&gt;0,OR($I311="CORRIDOR",$I311="SMOKE BARRIER"))," · S","")</f>
        <v/>
      </c>
      <c r="BS311" s="84">
        <f>IF($CS311,"",IF($AV311&lt;&gt;"",$AV311,IF(OR($AC311="HGC",$AO311="HGC"),"CONT",IF(($BI311-HeadClr-Undercut)&lt;=60,2,IF(($BI311-HeadClr-Undercut)&lt;=90,3,IF(($BI311-HeadClr-Undercut)&lt;=120,4,5))))))</f>
        <v/>
      </c>
      <c r="BT311" s="84">
        <f>IF($CS311,"",IF($CT311,"CUSTOM (typed)",IF($CV311,$AT311&amp;" "&amp;$CU311&amp;CHAR(34)&amp;IF($CU311&lt;&gt;$BI311,IF(AND($BI311&lt;$CU311,$BI311-IF(N(VLOOKUP($AT311&amp;"|"&amp;$CU311,LocTable,7,FALSE))&gt;0,VLOOKUP($AT311&amp;"|"&amp;$CU311,LocTable,7,FALSE),VLOOKUP($AT311&amp;"|"&amp;$CU311,LocTable,6,FALSE))-$CR311-0.75&gt;=2.125)," cut down"," adj."),""),"ANSI/SDI A250.6")))</f>
        <v/>
      </c>
      <c r="BU311" s="88">
        <f>IF($CS311,"",IF($CT311,IF(N($AW311)&gt;0,N($AW311),""),IF(1&gt;$CQ311,"",IF($CQ311=1,$CW311,$CW311+($CX311-$CW311)*0/($CQ311-1)))))</f>
        <v/>
      </c>
      <c r="BV311" s="88">
        <f>IF($CS311,"",IF($CT311,IF(N($AX311)&gt;0,N($AX311),""),IF(2&gt;$CQ311,"",IF($CQ311=1,$CW311,$CW311+($CX311-$CW311)*1/($CQ311-1)))))</f>
        <v/>
      </c>
      <c r="BW311" s="88">
        <f>IF($CS311,"",IF($CT311,IF(N($AY311)&gt;0,N($AY311),""),IF(3&gt;$CQ311,"",IF($CQ311=1,$CW311,$CW311+($CX311-$CW311)*2/($CQ311-1)))))</f>
        <v/>
      </c>
      <c r="BX311" s="88">
        <f>IF($CS311,"",IF($CT311,IF(N($AZ311)&gt;0,N($AZ311),""),IF(4&gt;$CQ311,"",IF($CQ311=1,$CW311,$CW311+($CX311-$CW311)*3/($CQ311-1)))))</f>
        <v/>
      </c>
      <c r="BY311" s="88">
        <f>IF($CS311,"",IF($CT311,"",IF(5&gt;$CQ311,"",IF($CQ311=1,$CW311,$CW311+($CX311-$CW311)*4/($CQ311-1)))))</f>
        <v/>
      </c>
      <c r="BZ311" s="88">
        <f>IF(OR($CS311,$AP311="-",AND($AP311="",$AD311="")),"",IF(N($BA311)&gt;0,N($BA311),IF($CV311,IF(AND($BI311&lt;$CU311,$BI311-IF(N(VLOOKUP($AT311&amp;"|"&amp;$CU311,LocTable,7,FALSE))&gt;0,VLOOKUP($AT311&amp;"|"&amp;$CU311,LocTable,7,FALSE),VLOOKUP($AT311&amp;"|"&amp;$CU311,LocTable,6,FALSE))-$CR311-0.75&gt;=2.125),VLOOKUP($AT311&amp;"|"&amp;$CU311,LocTable,8,FALSE),VLOOKUP($AT311&amp;"|"&amp;$CU311,LocTable,8,FALSE)+($BI311-$CU311)),$BI311-LockAFF)))</f>
        <v/>
      </c>
      <c r="CA311" s="89">
        <f>IF($BZ311="","",$BI311-$BZ311)</f>
        <v/>
      </c>
      <c r="CB311" s="84">
        <f>IF(OR(NOT(AND($A311&lt;&gt;"",$C311&lt;&gt;"DOOR ONLY")),$BI311=""),"",IF(($BI311+IF(N($P311)&gt;0,$P311+FaceW,0))&lt;=90,3,IF(($BI311+IF(N($P311)&gt;0,$P311+FaceW,0))&lt;=114,4,5)))</f>
        <v/>
      </c>
      <c r="CC311" s="84">
        <f>IF($CB311="","",$CB311*(2+IF(N($Q311)&gt;0,IF($R311="LR",2,1),0)))</f>
        <v/>
      </c>
      <c r="CD311" s="84">
        <f>IF($CB311="","",(2+IF(N($Q311)&gt;0,IF($R311="LR",2,1),0)))</f>
        <v/>
      </c>
      <c r="CE311" s="84">
        <f>IF(N($BJ311)=0,"",IF(OR($AL311="",$AL311="FLUSH"),"FLUSH",IFERROR(LEFT($AL311,FIND("-",$AL311)-1),LEFT($AL311,2))))</f>
        <v/>
      </c>
      <c r="CF311" s="84">
        <f>IF($CE311="","",IFERROR(VALUE(MID($AL311,FIND("-",$AL311)+1,FIND(CHAR(34)&amp;"x",$AL311)-FIND("-",$AL311)-1)),0))</f>
        <v/>
      </c>
      <c r="CG311" s="84">
        <f>IF($CE311="","",IFERROR(VALUE(MID($AL311,FIND(CHAR(34)&amp;"x",$AL311)+2,FIND(CHAR(34),$AL311,FIND(CHAR(34)&amp;"x",$AL311)+2)-FIND(CHAR(34)&amp;"x",$AL311)-2)),0))</f>
        <v/>
      </c>
      <c r="CH311" s="90">
        <f>IF(OR($A311="",$H311="",$H311="NO LAB"),0,IFERROR(VALUE(LEFT($H311,FIND(" ",$H311)-1)),0))</f>
        <v/>
      </c>
      <c r="CI311" s="91">
        <f>IF(OR($A311="",$I311="",$I311="NON-RATED",N($J311)=0),"",IFERROR(VLOOKUP($I311&amp;"|"&amp;$J311,IBC,2,FALSE),"?"))</f>
        <v/>
      </c>
      <c r="CJ311" s="85">
        <f>IF(NOT(AND($A311&lt;&gt;"",$C311&lt;&gt;"DOOR ONLY")),"",TRIM(IFERROR(VLOOKUP($U311,CODES,2,FALSE),"")&amp;" "&amp;$BG311&amp;" "&amp;IFERROR(VLOOKUP($Z311,CODES,2,FALSE),"")&amp;" "&amp;IFERROR(VLOOKUP($X311,CODES,2,FALSE),"")&amp;" "&amp;IFERROR(VLOOKUP($S311,CODES,2,FALSE),"")&amp;IF(N($P311)&gt;0," w/TRANSOM "&amp;$P311&amp;CHAR(34),"")&amp;IF(N($Q311)&gt;0," w/SIDELITE "&amp;$Q311&amp;CHAR(34)&amp;" "&amp;IF($R311="","R",$R311),"")&amp;IF($Y311="","  |  "," | "&amp;IFERROR(VLOOKUP($Y311,CODES,2,FALSE),"")&amp;" | ")&amp;IFERROR(VLOOKUP($AC311,CODES,2,FALSE),"")&amp;" "&amp;IFERROR(VLOOKUP($AD311,CODES,2,FALSE),"")&amp;IF(OR($AE311="",$AE311="-"),""," "&amp;$AE311)&amp;IF(OR($AF311="",$AF311="-"),""," "&amp;$AF311)&amp;IF($AB311="Y"," 4"&amp;CHAR(34)&amp;" HEAD","")&amp;" "&amp;IFERROR(VLOOKUP($H311,CODES,2,FALSE),"")&amp;IF($CT311," | LOC "&amp;$CY311,"")))</f>
        <v/>
      </c>
      <c r="CK311" s="85">
        <f>IF(NOT(AND($A311&lt;&gt;"",N($BJ311)&gt;0)),"",TRIM(IFERROR(VLOOKUP($AH311,CODES,2,FALSE),"")&amp;IF($AI311=""," "," "&amp;$AI311&amp;"GA ")&amp;$BG311&amp;" "&amp;IF($AN311="",IFERROR(VLOOKUP($Z311,CODES,2,FALSE),""),IFERROR(VLOOKUP($AN311,CODES,2,FALSE),""))&amp;IF($BJ311=2," PAIR","")&amp;" DOOR | "&amp;IF($AL311="","?",$AL311)&amp;" | "&amp;IF($AO311="",IFERROR(VLOOKUP($AC311,CODES,2,FALSE),""),IFERROR(VLOOKUP($AO311,CODES,2,FALSE),""))&amp;" "&amp;IFERROR(VLOOKUP($AP311,CODES,2,FALSE),"")&amp;IF(OR($AQ311="",$AQ311="-"),""," SEAM "&amp;$AQ311)&amp;IF($AR311="Y"," ASTRAGAL","")&amp;IF($AJ311=""," "," "&amp;$AJ311)&amp;IF($AK311=""," "," "&amp;$AK311)&amp;IF(OR($AT311="",$AT311="ANSI/SDI",$AT311="CUSTOM LOC"),""," "&amp;$AT311)&amp;IF($AM311=""," "," SERIES "&amp;$AM311)&amp;" "&amp;IFERROR(VLOOKUP($H311,CODES,2,FALSE),"")&amp;IF($CT311," | LOC "&amp;$CZ311,"")))</f>
        <v/>
      </c>
      <c r="CL311" s="84">
        <f>IF(CP311="","",IF(COUNTIF($CP$6:CP311,CP311)=1,MAX($CL$5:CL310)+1,INDEX($CL$5:CL310,MATCH(CP311,$CP$5:CP310,0))))</f>
        <v/>
      </c>
      <c r="CM311" s="84">
        <f>IF(NOT(AND($A311&lt;&gt;"",$C311&lt;&gt;"DOOR ONLY")),"",MAX($CM$5:CM310)+1)</f>
        <v/>
      </c>
      <c r="CN311" s="84">
        <f>IF(NOT(AND($A311&lt;&gt;"",N($BJ311)&gt;0)),"",MAX($CN$5:CN310)+1)</f>
        <v/>
      </c>
      <c r="CO311" s="84">
        <f>IF($A311="","",MAX($CO$5:CO310)+1)</f>
        <v/>
      </c>
      <c r="CP311" s="84">
        <f>IF(OR($A311="",$BH311="",$BI311=""),"",$BG311&amp;"|"&amp;$O311&amp;"|"&amp;$AL311&amp;"|"&amp;$S311&amp;"|"&amp;$P311&amp;"|"&amp;$Q311&amp;$R311&amp;"|"&amp;$C311&amp;"|"&amp;$AB311)</f>
        <v/>
      </c>
      <c r="CQ311" s="84">
        <f>N($BS311)</f>
        <v/>
      </c>
      <c r="CR311" s="84">
        <f>IF(N($AU311)&gt;0,N($AU311),4.5)</f>
        <v/>
      </c>
      <c r="CS311" s="84">
        <f>OR($A311="",$BI311="",$S311="BL",AND($C311="FRAME ONLY",OR($AC311="",$AC311="BLK")))</f>
        <v/>
      </c>
      <c r="CT311" s="84">
        <f>AND(NOT($CS311),OR($AT311="CUSTOM LOC",N($AW311)+N($AX311)+N($AY311)+N($AZ311)+N($BA311)&gt;0))</f>
        <v/>
      </c>
      <c r="CU311" s="84">
        <f>IF($BI311="","",IF($BI311&lt;=80,80,IF($BI311&lt;=84,84,96)))</f>
        <v/>
      </c>
      <c r="CV311" s="84">
        <f>ISNUMBER(MATCH($AT311&amp;"|80",LocKeys,0))</f>
        <v/>
      </c>
      <c r="CW311" s="86">
        <f>IF($CS311,"",IF($CV311,VLOOKUP($AT311&amp;"|"&amp;$CU311,LocTable,4,FALSE),5))</f>
        <v/>
      </c>
      <c r="CX311" s="86">
        <f>IF($CS311,"",IF($CV311,IF(OR($BI311=$CU311,AND($BI311&lt;$CU311,$BI311-IF(N(VLOOKUP($AT311&amp;"|"&amp;$CU311,LocTable,7,FALSE))&gt;0,VLOOKUP($AT311&amp;"|"&amp;$CU311,LocTable,7,FALSE),VLOOKUP($AT311&amp;"|"&amp;$CU311,LocTable,6,FALSE))-$CR311-0.75&gt;=2.125)),IF(N(VLOOKUP($AT311&amp;"|"&amp;$CU311,LocTable,7,FALSE))&gt;0,VLOOKUP($AT311&amp;"|"&amp;$CU311,LocTable,7,FALSE),VLOOKUP($AT311&amp;"|"&amp;$CU311,LocTable,6,FALSE)),$BI311-($CU311-IF(N(VLOOKUP($AT311&amp;"|"&amp;$CU311,LocTable,7,FALSE))&gt;0,VLOOKUP($AT311&amp;"|"&amp;$CU311,LocTable,7,FALSE),VLOOKUP($AT311&amp;"|"&amp;$CU311,LocTable,6,FALSE)))),$BI311-10-$CR311))</f>
        <v/>
      </c>
      <c r="CY311" s="85">
        <f>IF($CS311,"",TRIM(IF(ISNUMBER($BU311),"A "&amp;TRIM(TEXT($BU311,"# ?/??"))&amp;CHAR(34)&amp;"  ","")&amp;IF(ISNUMBER($BV311),"B "&amp;TRIM(TEXT($BV311,"# ?/??"))&amp;CHAR(34)&amp;"  ","")&amp;IF(ISNUMBER($BW311),"C "&amp;TRIM(TEXT($BW311,"# ?/??"))&amp;CHAR(34)&amp;"  ","")&amp;IF(ISNUMBER($BX311),"D "&amp;TRIM(TEXT($BX311,"# ?/??"))&amp;CHAR(34)&amp;"  ","")&amp;IF(ISNUMBER($BY311),"F "&amp;TRIM(TEXT($BY311,"# ?/??"))&amp;CHAR(34)&amp;"  ","")&amp;IF(ISNUMBER($BZ311),"E "&amp;TRIM(TEXT($BZ311,"# ?/??"))&amp;CHAR(34)&amp;"  ","")))</f>
        <v/>
      </c>
      <c r="CZ311" s="85">
        <f>IF(OR($CS311,N($BJ311)=0),"",TRIM(IF(ISNUMBER($BU311),"A "&amp;TRIM(TEXT($BU311-HeadClr,"# ?/??"))&amp;CHAR(34)&amp;"  ","")&amp;IF(ISNUMBER($BV311),"B "&amp;TRIM(TEXT($BV311-HeadClr,"# ?/??"))&amp;CHAR(34)&amp;"  ","")&amp;IF(ISNUMBER($BW311),"C "&amp;TRIM(TEXT($BW311-HeadClr,"# ?/??"))&amp;CHAR(34)&amp;"  ","")&amp;IF(ISNUMBER($BX311),"D "&amp;TRIM(TEXT($BX311-HeadClr,"# ?/??"))&amp;CHAR(34)&amp;"  ","")&amp;IF(ISNUMBER($BY311),"F "&amp;TRIM(TEXT($BY311-HeadClr,"# ?/??"))&amp;CHAR(34)&amp;"  ","")&amp;IF(ISNUMBER($BZ311),"E "&amp;TRIM(TEXT($BZ311-HeadClr,"# ?/??"))&amp;CHAR(34)&amp;"  ","")))</f>
        <v/>
      </c>
      <c r="DA311" s="84">
        <f>IF($A311="","",IF($AN311="",IFERROR(VLOOKUP($Z311,CODES,2,FALSE),""),IFERROR(VLOOKUP($AN311,CODES,2,FALSE),"")))</f>
        <v/>
      </c>
      <c r="DB311" s="84">
        <f>IF($A311="","",IF($O311="Y","PR",IF(OR($Z311="L",$Z311="RR",LEFT($Z311,2)="L-",LEFT($Z311,3)="RR-"),"LH","RH")))</f>
        <v/>
      </c>
      <c r="DC311" s="84">
        <f>IF($A311="","","S.HM"&amp;IF(OR($C311="DOOR ONLY",$X311&lt;&gt;"KD"),"MASONRY","DRYWALL")&amp;IF($C311="DOOR ONLY","",$U311)&amp;IF(AND($C311&lt;&gt;"FRAME ONLY",OR(LEFT($AH311,3)="OAK",LEFT($AH311,3)="BIR",LEFT($AH311,3)="MAP",$AH311="PC",$AH311="MC",$AH311="SCLC",$AH311="P-LAM")),"WD","HM")&amp;"1.75")</f>
        <v/>
      </c>
      <c r="DD311" s="84">
        <f>IF($CJ311="","",IF($O311="Y",$CJ311,SUBSTITUTE($CJ311,$BG311&amp;" "&amp;IFERROR(VLOOKUP($Z311,CODES,2,FALSE),"")&amp;" ",$BG311&amp;" ")))</f>
        <v/>
      </c>
      <c r="DE311" s="84">
        <f>IF($CK311="","",IF($O311="Y",$CK311,SUBSTITUTE($CK311,$BG311&amp;" "&amp;IF($AN311="",IFERROR(VLOOKUP($Z311,CODES,2,FALSE),""),IFERROR(VLOOKUP($AN311,CODES,2,FALSE),""))&amp;" ",$BG311&amp;" ")))</f>
        <v/>
      </c>
      <c r="DF311" s="84">
        <f>IF($CJ311="","",$DC311&amp;"|"&amp;$DD311&amp;"|"&amp;$DB311&amp;"|"&amp;$AT311&amp;"|"&amp;$V311&amp;"|"&amp;$Y311&amp;"|"&amp;$AB311)</f>
        <v/>
      </c>
      <c r="DG311" s="84">
        <f>IF(DF311="","",IF(COUNTIF($DF$6:DF311,DF311)=1,MAX($DG$5:DG310)+1,INDEX($DG$5:DG310,MATCH(DF311,$DF$5:DF310,0))))</f>
        <v/>
      </c>
      <c r="DH311" s="84">
        <f>IF($CK311="","",$DC311&amp;"|"&amp;$DE311&amp;"|"&amp;$AI311&amp;"|"&amp;$BK311&amp;"|"&amp;$BL311)</f>
        <v/>
      </c>
      <c r="DI311" s="84">
        <f>IF(DH311="","",IF(COUNTIF($DH$6:DH311,DH311)=1,MAX($DI$5:DI310)+1,INDEX($DI$5:DI310,MATCH(DH311,$DH$5:DH310,0))))</f>
        <v/>
      </c>
      <c r="DJ311" s="84">
        <f>IF($A311="","",IF($B311="","qty, ","")&amp;IF($C311="","scope, ","")&amp;IF(OR($K311="",$M311=""),"size, ","")&amp;IF(AND($A311&lt;&gt;"",$C311&lt;&gt;"DOOR ONLY"),IF($U311="","jamb depth, ","")&amp;IF($X311="","construction, ","")&amp;IF($Y311="","anchor, ","")&amp;IF($S311="","frame type, ",""),"")&amp;IF(AND(N($BJ311)&gt;0,$Z311=""),"hand, ","")&amp;IF(N($BJ311)&gt;0,IF($AH311="","door material, ","")&amp;IF($AL311="","face type, ","")&amp;IF($AP311="","lock prep, ","")&amp;IF(AND($AO311="",$AC311=""),"hinge prep, ",""),"")&amp;IF(AND($CH311&gt;0,$AH311="FRP"),"FRP cannot carry a label, ","")&amp;IF(AND($O311="Y",OR($Z311="L",$Z311="R",$Z311="LR",$Z311="RR")),"pair marked but hand is single, ","")&amp;IF(AND($O311&lt;&gt;"Y",OR($Z311="PR",AND(LEN($Z311)&gt;1,ISNUMBER(SEARCH("-",$Z311))))),"pair hand on a single door, ","")&amp;IF(AND(ISNUMBER($CI311),$CH311&lt;N($CI311)),"wall needs a "&amp;$CI311&amp;" min door, ","")&amp;IF(AND($CH311&gt;=180,AND(OR($CE311="FG",$CE311="HG",$CE311="FNV",$CE311="FV"),N($CF311)*N($CG311)&gt;100)),"180 min lite over 100 sq in, ","")&amp;IF(N($BK311)&gt;48,"leaf wider than 4'-0"&amp;CHAR(34)&amp;", ","")&amp;IF(AND($CT311,COUNT($AW311:$AZ311)=0,$CQ311&gt;0),"CUSTOM LOC with no locations typed, ",""))</f>
        <v/>
      </c>
      <c r="DK311" s="84">
        <f>IF($A311="","",IF(AND($CH311&gt;0,AND($A311&lt;&gt;"",$C311&lt;&gt;"DOOR ONLY"),$X311="KD",$E311="EXTERIOR"),"KD label on an exterior opening, ","")&amp;IF(AND($E311="EXTERIOR",OR(AND(AND($A311&lt;&gt;"",$C311&lt;&gt;"DOOR ONLY"),$W311="CR"),AND(N($BJ311)&gt;0,$AH311="CR"))),"exterior in CR steel (G9?), ","")&amp;IF(AND(ISNUMBER($BQ311),N($BQ311)&lt;32),"clear width ~"&amp;TEXT($BQ311,"0.0")&amp;CHAR(34)&amp;" under 32"&amp;CHAR(34)&amp;" (ADA), ","")&amp;IF(AND($CH311=90,AND(OR($CE311="FG",$CE311="HG",$CE311="FNV",$CE311="FV"),N($CF311)*N($CG311)&gt;100)),"90 min lite over 100 sq in (stair/exit), ","")&amp;IF(AND($CH311&gt;0,AND($A311&lt;&gt;"",$C311&lt;&gt;"DOOR ONLY"),OR($AF311="",$AF311="-")),"rated: closer reinf.?, ","")&amp;IF(OR($I311="CORRIDOR",$I311="SMOKE BARRIER"),"S label + smoke gasketing, ","")&amp;IF($CI311="?","wall type/hr not in IBC table, ","")&amp;IF(AND(N($BJ311)&gt;0,$BB311=""),"no hardware set, ","")&amp;IF(AND($BB311&lt;&gt;"",ISNA(MATCH($BB311&amp;"",HWSets,0))),"set "&amp;$BB311&amp;" not on HW Sets, ","")&amp;IF(N($BL311)&gt;96,"leaf over 8'-0"&amp;CHAR(34)&amp;" - check listing, ","")&amp;IF(AND($CT311,COUNT($AW311:$AZ311)&gt;0,COUNT($AW311:$AZ311)&lt;&gt;$CQ311),COUNT($AW311:$AZ311)&amp;" custom hinges typed, "&amp;$CQ311&amp;" expected, ","")&amp;IF(AND(ISNUMBER($CA311),OR(N($CA311)&lt;34,N($CA311)&gt;48)),"lock "&amp;TEXT($CA311,"0.0")&amp;CHAR(34)&amp;" AFF outside 34-48"&amp;CHAR(34)&amp;" (ADA), ","")&amp;IF(AND(ISNUMBER($AV311),ISNUMBER($BL311),N($AV311)&lt;IF(N($BL311)&lt;=60,2,IF(N($BL311)&lt;=90,3,IF(N($BL311)&lt;=120,4,5)))),"fewer hinges than standard, ",""))</f>
        <v/>
      </c>
    </row>
    <row r="312" ht="15" customHeight="1">
      <c r="A312" s="77" t="n"/>
      <c r="B312" s="78" t="n"/>
      <c r="C312" s="78" t="n"/>
      <c r="D312" s="78" t="n"/>
      <c r="E312" s="78" t="n"/>
      <c r="F312" s="78" t="n"/>
      <c r="G312" s="78" t="n"/>
      <c r="H312" s="78" t="n"/>
      <c r="I312" s="78" t="n"/>
      <c r="J312" s="78" t="n"/>
      <c r="K312" s="78" t="n"/>
      <c r="L312" s="78" t="n"/>
      <c r="M312" s="78" t="n"/>
      <c r="N312" s="78" t="n"/>
      <c r="O312" s="78" t="n"/>
      <c r="P312" s="78" t="n"/>
      <c r="Q312" s="78" t="n"/>
      <c r="R312" s="78" t="n"/>
      <c r="S312" s="79" t="n"/>
      <c r="T312" s="79" t="n"/>
      <c r="U312" s="79" t="n"/>
      <c r="V312" s="79" t="n"/>
      <c r="W312" s="79" t="n"/>
      <c r="X312" s="79" t="n"/>
      <c r="Y312" s="79" t="n"/>
      <c r="Z312" s="79" t="n"/>
      <c r="AA312" s="79" t="n"/>
      <c r="AB312" s="79" t="n"/>
      <c r="AC312" s="79" t="n"/>
      <c r="AD312" s="79" t="n"/>
      <c r="AE312" s="79" t="n"/>
      <c r="AF312" s="79" t="n"/>
      <c r="AG312" s="79" t="n"/>
      <c r="AH312" s="80" t="n"/>
      <c r="AI312" s="80" t="n"/>
      <c r="AJ312" s="80" t="n"/>
      <c r="AK312" s="80" t="n"/>
      <c r="AL312" s="80" t="n"/>
      <c r="AM312" s="80" t="n"/>
      <c r="AN312" s="80" t="n"/>
      <c r="AO312" s="80" t="n"/>
      <c r="AP312" s="80" t="n"/>
      <c r="AQ312" s="80" t="n"/>
      <c r="AR312" s="80" t="n"/>
      <c r="AS312" s="80" t="n"/>
      <c r="AT312" s="81" t="n"/>
      <c r="AU312" s="81" t="n"/>
      <c r="AV312" s="81" t="n"/>
      <c r="AW312" s="82" t="n"/>
      <c r="AX312" s="82" t="n"/>
      <c r="AY312" s="82" t="n"/>
      <c r="AZ312" s="82" t="n"/>
      <c r="BA312" s="82" t="n"/>
      <c r="BB312" s="83" t="n"/>
      <c r="BC312" s="83" t="n"/>
      <c r="BD312" s="84">
        <f>IF($A312="","",IF($DJ312&lt;&gt;"","FIX",IF($DK312&lt;&gt;"","CHECK","OK")))</f>
        <v/>
      </c>
      <c r="BE312" s="85">
        <f>IF($A312="","",IF($DJ312&lt;&gt;"","FIX: "&amp;LEFT($DJ312,LEN($DJ312)-2)&amp;IF($DK312&lt;&gt;"","  ·  ",""),"")&amp;IF($DK312&lt;&gt;"","CHECK: "&amp;LEFT($DK312,LEN($DK312)-2),""))</f>
        <v/>
      </c>
      <c r="BF312" s="84">
        <f>IF(OR($A312="",$K312=""),"",$K312&amp;"'-"&amp;N($L312)&amp;CHAR(34)&amp;" x "&amp;$M312&amp;"'-"&amp;N($N312)&amp;CHAR(34))</f>
        <v/>
      </c>
      <c r="BG312" s="84">
        <f>IF(OR($A312="",$K312=""),"",$K312&amp;N($L312)&amp;$M312&amp;N($N312))</f>
        <v/>
      </c>
      <c r="BH312" s="84">
        <f>IF(OR($A312="",$K312=""),"",$K312*12+N($L312))</f>
        <v/>
      </c>
      <c r="BI312" s="84">
        <f>IF(OR($A312="",$M312=""),"",$M312*12+N($N312))</f>
        <v/>
      </c>
      <c r="BJ312" s="84">
        <f>IF($A312="","",IF(OR($C312="FRAME ONLY",$S312="BL"),0,IF($O312="Y",2,1)))</f>
        <v/>
      </c>
      <c r="BK312" s="86">
        <f>IF(OR(N($BJ312)=0,$BH312=""),"",($BH312-2*EdgeClr-IF($BJ312=2,MeetClr,0))/$BJ312)</f>
        <v/>
      </c>
      <c r="BL312" s="86">
        <f>IF(OR(N($BJ312)=0,$BI312=""),"",$BI312-HeadClr-Undercut)</f>
        <v/>
      </c>
      <c r="BM312" s="86">
        <f>IF($BH312="","",$BH312+2*FaceW+IF(N($Q312)&gt;0,($Q312+FaceW)*IF($R312="LR",2,1),0))</f>
        <v/>
      </c>
      <c r="BN312" s="86">
        <f>IF($BI312="","",$BI312+IF($AB312="Y",4,FaceW)+IF(N($P312)&gt;0,$P312+FaceW,0)+IF(OR($S312="4F",$S312="BL"),FaceW,0))</f>
        <v/>
      </c>
      <c r="BO312" s="86">
        <f>IF($BM312="","",$BM312+2*ROSide)</f>
        <v/>
      </c>
      <c r="BP312" s="86">
        <f>IF($BN312="","",$BN312+ROTop)</f>
        <v/>
      </c>
      <c r="BQ312" s="87">
        <f>IF(OR(N($BJ312)=0,$BH312=""),"",$BH312/$BJ312-ClearDeduct)</f>
        <v/>
      </c>
      <c r="BR312" s="84">
        <f>IF(N($CH312)=0,"",IF($CH312&gt;=180,"A · 3 HR",IF($CH312&gt;=90,"B · 1-1/2 HR",IF($CH312&gt;=60,"B · 1 HR",IF($CH312&gt;=45,"C · 3/4 HR","20 MIN")))))&amp;IF(AND(N($CH312)&gt;0,OR($I312="CORRIDOR",$I312="SMOKE BARRIER"))," · S","")</f>
        <v/>
      </c>
      <c r="BS312" s="84">
        <f>IF($CS312,"",IF($AV312&lt;&gt;"",$AV312,IF(OR($AC312="HGC",$AO312="HGC"),"CONT",IF(($BI312-HeadClr-Undercut)&lt;=60,2,IF(($BI312-HeadClr-Undercut)&lt;=90,3,IF(($BI312-HeadClr-Undercut)&lt;=120,4,5))))))</f>
        <v/>
      </c>
      <c r="BT312" s="84">
        <f>IF($CS312,"",IF($CT312,"CUSTOM (typed)",IF($CV312,$AT312&amp;" "&amp;$CU312&amp;CHAR(34)&amp;IF($CU312&lt;&gt;$BI312,IF(AND($BI312&lt;$CU312,$BI312-IF(N(VLOOKUP($AT312&amp;"|"&amp;$CU312,LocTable,7,FALSE))&gt;0,VLOOKUP($AT312&amp;"|"&amp;$CU312,LocTable,7,FALSE),VLOOKUP($AT312&amp;"|"&amp;$CU312,LocTable,6,FALSE))-$CR312-0.75&gt;=2.125)," cut down"," adj."),""),"ANSI/SDI A250.6")))</f>
        <v/>
      </c>
      <c r="BU312" s="88">
        <f>IF($CS312,"",IF($CT312,IF(N($AW312)&gt;0,N($AW312),""),IF(1&gt;$CQ312,"",IF($CQ312=1,$CW312,$CW312+($CX312-$CW312)*0/($CQ312-1)))))</f>
        <v/>
      </c>
      <c r="BV312" s="88">
        <f>IF($CS312,"",IF($CT312,IF(N($AX312)&gt;0,N($AX312),""),IF(2&gt;$CQ312,"",IF($CQ312=1,$CW312,$CW312+($CX312-$CW312)*1/($CQ312-1)))))</f>
        <v/>
      </c>
      <c r="BW312" s="88">
        <f>IF($CS312,"",IF($CT312,IF(N($AY312)&gt;0,N($AY312),""),IF(3&gt;$CQ312,"",IF($CQ312=1,$CW312,$CW312+($CX312-$CW312)*2/($CQ312-1)))))</f>
        <v/>
      </c>
      <c r="BX312" s="88">
        <f>IF($CS312,"",IF($CT312,IF(N($AZ312)&gt;0,N($AZ312),""),IF(4&gt;$CQ312,"",IF($CQ312=1,$CW312,$CW312+($CX312-$CW312)*3/($CQ312-1)))))</f>
        <v/>
      </c>
      <c r="BY312" s="88">
        <f>IF($CS312,"",IF($CT312,"",IF(5&gt;$CQ312,"",IF($CQ312=1,$CW312,$CW312+($CX312-$CW312)*4/($CQ312-1)))))</f>
        <v/>
      </c>
      <c r="BZ312" s="88">
        <f>IF(OR($CS312,$AP312="-",AND($AP312="",$AD312="")),"",IF(N($BA312)&gt;0,N($BA312),IF($CV312,IF(AND($BI312&lt;$CU312,$BI312-IF(N(VLOOKUP($AT312&amp;"|"&amp;$CU312,LocTable,7,FALSE))&gt;0,VLOOKUP($AT312&amp;"|"&amp;$CU312,LocTable,7,FALSE),VLOOKUP($AT312&amp;"|"&amp;$CU312,LocTable,6,FALSE))-$CR312-0.75&gt;=2.125),VLOOKUP($AT312&amp;"|"&amp;$CU312,LocTable,8,FALSE),VLOOKUP($AT312&amp;"|"&amp;$CU312,LocTable,8,FALSE)+($BI312-$CU312)),$BI312-LockAFF)))</f>
        <v/>
      </c>
      <c r="CA312" s="89">
        <f>IF($BZ312="","",$BI312-$BZ312)</f>
        <v/>
      </c>
      <c r="CB312" s="84">
        <f>IF(OR(NOT(AND($A312&lt;&gt;"",$C312&lt;&gt;"DOOR ONLY")),$BI312=""),"",IF(($BI312+IF(N($P312)&gt;0,$P312+FaceW,0))&lt;=90,3,IF(($BI312+IF(N($P312)&gt;0,$P312+FaceW,0))&lt;=114,4,5)))</f>
        <v/>
      </c>
      <c r="CC312" s="84">
        <f>IF($CB312="","",$CB312*(2+IF(N($Q312)&gt;0,IF($R312="LR",2,1),0)))</f>
        <v/>
      </c>
      <c r="CD312" s="84">
        <f>IF($CB312="","",(2+IF(N($Q312)&gt;0,IF($R312="LR",2,1),0)))</f>
        <v/>
      </c>
      <c r="CE312" s="84">
        <f>IF(N($BJ312)=0,"",IF(OR($AL312="",$AL312="FLUSH"),"FLUSH",IFERROR(LEFT($AL312,FIND("-",$AL312)-1),LEFT($AL312,2))))</f>
        <v/>
      </c>
      <c r="CF312" s="84">
        <f>IF($CE312="","",IFERROR(VALUE(MID($AL312,FIND("-",$AL312)+1,FIND(CHAR(34)&amp;"x",$AL312)-FIND("-",$AL312)-1)),0))</f>
        <v/>
      </c>
      <c r="CG312" s="84">
        <f>IF($CE312="","",IFERROR(VALUE(MID($AL312,FIND(CHAR(34)&amp;"x",$AL312)+2,FIND(CHAR(34),$AL312,FIND(CHAR(34)&amp;"x",$AL312)+2)-FIND(CHAR(34)&amp;"x",$AL312)-2)),0))</f>
        <v/>
      </c>
      <c r="CH312" s="90">
        <f>IF(OR($A312="",$H312="",$H312="NO LAB"),0,IFERROR(VALUE(LEFT($H312,FIND(" ",$H312)-1)),0))</f>
        <v/>
      </c>
      <c r="CI312" s="91">
        <f>IF(OR($A312="",$I312="",$I312="NON-RATED",N($J312)=0),"",IFERROR(VLOOKUP($I312&amp;"|"&amp;$J312,IBC,2,FALSE),"?"))</f>
        <v/>
      </c>
      <c r="CJ312" s="85">
        <f>IF(NOT(AND($A312&lt;&gt;"",$C312&lt;&gt;"DOOR ONLY")),"",TRIM(IFERROR(VLOOKUP($U312,CODES,2,FALSE),"")&amp;" "&amp;$BG312&amp;" "&amp;IFERROR(VLOOKUP($Z312,CODES,2,FALSE),"")&amp;" "&amp;IFERROR(VLOOKUP($X312,CODES,2,FALSE),"")&amp;" "&amp;IFERROR(VLOOKUP($S312,CODES,2,FALSE),"")&amp;IF(N($P312)&gt;0," w/TRANSOM "&amp;$P312&amp;CHAR(34),"")&amp;IF(N($Q312)&gt;0," w/SIDELITE "&amp;$Q312&amp;CHAR(34)&amp;" "&amp;IF($R312="","R",$R312),"")&amp;IF($Y312="","  |  "," | "&amp;IFERROR(VLOOKUP($Y312,CODES,2,FALSE),"")&amp;" | ")&amp;IFERROR(VLOOKUP($AC312,CODES,2,FALSE),"")&amp;" "&amp;IFERROR(VLOOKUP($AD312,CODES,2,FALSE),"")&amp;IF(OR($AE312="",$AE312="-"),""," "&amp;$AE312)&amp;IF(OR($AF312="",$AF312="-"),""," "&amp;$AF312)&amp;IF($AB312="Y"," 4"&amp;CHAR(34)&amp;" HEAD","")&amp;" "&amp;IFERROR(VLOOKUP($H312,CODES,2,FALSE),"")&amp;IF($CT312," | LOC "&amp;$CY312,"")))</f>
        <v/>
      </c>
      <c r="CK312" s="85">
        <f>IF(NOT(AND($A312&lt;&gt;"",N($BJ312)&gt;0)),"",TRIM(IFERROR(VLOOKUP($AH312,CODES,2,FALSE),"")&amp;IF($AI312=""," "," "&amp;$AI312&amp;"GA ")&amp;$BG312&amp;" "&amp;IF($AN312="",IFERROR(VLOOKUP($Z312,CODES,2,FALSE),""),IFERROR(VLOOKUP($AN312,CODES,2,FALSE),""))&amp;IF($BJ312=2," PAIR","")&amp;" DOOR | "&amp;IF($AL312="","?",$AL312)&amp;" | "&amp;IF($AO312="",IFERROR(VLOOKUP($AC312,CODES,2,FALSE),""),IFERROR(VLOOKUP($AO312,CODES,2,FALSE),""))&amp;" "&amp;IFERROR(VLOOKUP($AP312,CODES,2,FALSE),"")&amp;IF(OR($AQ312="",$AQ312="-"),""," SEAM "&amp;$AQ312)&amp;IF($AR312="Y"," ASTRAGAL","")&amp;IF($AJ312=""," "," "&amp;$AJ312)&amp;IF($AK312=""," "," "&amp;$AK312)&amp;IF(OR($AT312="",$AT312="ANSI/SDI",$AT312="CUSTOM LOC"),""," "&amp;$AT312)&amp;IF($AM312=""," "," SERIES "&amp;$AM312)&amp;" "&amp;IFERROR(VLOOKUP($H312,CODES,2,FALSE),"")&amp;IF($CT312," | LOC "&amp;$CZ312,"")))</f>
        <v/>
      </c>
      <c r="CL312" s="84">
        <f>IF(CP312="","",IF(COUNTIF($CP$6:CP312,CP312)=1,MAX($CL$5:CL311)+1,INDEX($CL$5:CL311,MATCH(CP312,$CP$5:CP311,0))))</f>
        <v/>
      </c>
      <c r="CM312" s="84">
        <f>IF(NOT(AND($A312&lt;&gt;"",$C312&lt;&gt;"DOOR ONLY")),"",MAX($CM$5:CM311)+1)</f>
        <v/>
      </c>
      <c r="CN312" s="84">
        <f>IF(NOT(AND($A312&lt;&gt;"",N($BJ312)&gt;0)),"",MAX($CN$5:CN311)+1)</f>
        <v/>
      </c>
      <c r="CO312" s="84">
        <f>IF($A312="","",MAX($CO$5:CO311)+1)</f>
        <v/>
      </c>
      <c r="CP312" s="84">
        <f>IF(OR($A312="",$BH312="",$BI312=""),"",$BG312&amp;"|"&amp;$O312&amp;"|"&amp;$AL312&amp;"|"&amp;$S312&amp;"|"&amp;$P312&amp;"|"&amp;$Q312&amp;$R312&amp;"|"&amp;$C312&amp;"|"&amp;$AB312)</f>
        <v/>
      </c>
      <c r="CQ312" s="84">
        <f>N($BS312)</f>
        <v/>
      </c>
      <c r="CR312" s="84">
        <f>IF(N($AU312)&gt;0,N($AU312),4.5)</f>
        <v/>
      </c>
      <c r="CS312" s="84">
        <f>OR($A312="",$BI312="",$S312="BL",AND($C312="FRAME ONLY",OR($AC312="",$AC312="BLK")))</f>
        <v/>
      </c>
      <c r="CT312" s="84">
        <f>AND(NOT($CS312),OR($AT312="CUSTOM LOC",N($AW312)+N($AX312)+N($AY312)+N($AZ312)+N($BA312)&gt;0))</f>
        <v/>
      </c>
      <c r="CU312" s="84">
        <f>IF($BI312="","",IF($BI312&lt;=80,80,IF($BI312&lt;=84,84,96)))</f>
        <v/>
      </c>
      <c r="CV312" s="84">
        <f>ISNUMBER(MATCH($AT312&amp;"|80",LocKeys,0))</f>
        <v/>
      </c>
      <c r="CW312" s="86">
        <f>IF($CS312,"",IF($CV312,VLOOKUP($AT312&amp;"|"&amp;$CU312,LocTable,4,FALSE),5))</f>
        <v/>
      </c>
      <c r="CX312" s="86">
        <f>IF($CS312,"",IF($CV312,IF(OR($BI312=$CU312,AND($BI312&lt;$CU312,$BI312-IF(N(VLOOKUP($AT312&amp;"|"&amp;$CU312,LocTable,7,FALSE))&gt;0,VLOOKUP($AT312&amp;"|"&amp;$CU312,LocTable,7,FALSE),VLOOKUP($AT312&amp;"|"&amp;$CU312,LocTable,6,FALSE))-$CR312-0.75&gt;=2.125)),IF(N(VLOOKUP($AT312&amp;"|"&amp;$CU312,LocTable,7,FALSE))&gt;0,VLOOKUP($AT312&amp;"|"&amp;$CU312,LocTable,7,FALSE),VLOOKUP($AT312&amp;"|"&amp;$CU312,LocTable,6,FALSE)),$BI312-($CU312-IF(N(VLOOKUP($AT312&amp;"|"&amp;$CU312,LocTable,7,FALSE))&gt;0,VLOOKUP($AT312&amp;"|"&amp;$CU312,LocTable,7,FALSE),VLOOKUP($AT312&amp;"|"&amp;$CU312,LocTable,6,FALSE)))),$BI312-10-$CR312))</f>
        <v/>
      </c>
      <c r="CY312" s="85">
        <f>IF($CS312,"",TRIM(IF(ISNUMBER($BU312),"A "&amp;TRIM(TEXT($BU312,"# ?/??"))&amp;CHAR(34)&amp;"  ","")&amp;IF(ISNUMBER($BV312),"B "&amp;TRIM(TEXT($BV312,"# ?/??"))&amp;CHAR(34)&amp;"  ","")&amp;IF(ISNUMBER($BW312),"C "&amp;TRIM(TEXT($BW312,"# ?/??"))&amp;CHAR(34)&amp;"  ","")&amp;IF(ISNUMBER($BX312),"D "&amp;TRIM(TEXT($BX312,"# ?/??"))&amp;CHAR(34)&amp;"  ","")&amp;IF(ISNUMBER($BY312),"F "&amp;TRIM(TEXT($BY312,"# ?/??"))&amp;CHAR(34)&amp;"  ","")&amp;IF(ISNUMBER($BZ312),"E "&amp;TRIM(TEXT($BZ312,"# ?/??"))&amp;CHAR(34)&amp;"  ","")))</f>
        <v/>
      </c>
      <c r="CZ312" s="85">
        <f>IF(OR($CS312,N($BJ312)=0),"",TRIM(IF(ISNUMBER($BU312),"A "&amp;TRIM(TEXT($BU312-HeadClr,"# ?/??"))&amp;CHAR(34)&amp;"  ","")&amp;IF(ISNUMBER($BV312),"B "&amp;TRIM(TEXT($BV312-HeadClr,"# ?/??"))&amp;CHAR(34)&amp;"  ","")&amp;IF(ISNUMBER($BW312),"C "&amp;TRIM(TEXT($BW312-HeadClr,"# ?/??"))&amp;CHAR(34)&amp;"  ","")&amp;IF(ISNUMBER($BX312),"D "&amp;TRIM(TEXT($BX312-HeadClr,"# ?/??"))&amp;CHAR(34)&amp;"  ","")&amp;IF(ISNUMBER($BY312),"F "&amp;TRIM(TEXT($BY312-HeadClr,"# ?/??"))&amp;CHAR(34)&amp;"  ","")&amp;IF(ISNUMBER($BZ312),"E "&amp;TRIM(TEXT($BZ312-HeadClr,"# ?/??"))&amp;CHAR(34)&amp;"  ","")))</f>
        <v/>
      </c>
      <c r="DA312" s="84">
        <f>IF($A312="","",IF($AN312="",IFERROR(VLOOKUP($Z312,CODES,2,FALSE),""),IFERROR(VLOOKUP($AN312,CODES,2,FALSE),"")))</f>
        <v/>
      </c>
      <c r="DB312" s="84">
        <f>IF($A312="","",IF($O312="Y","PR",IF(OR($Z312="L",$Z312="RR",LEFT($Z312,2)="L-",LEFT($Z312,3)="RR-"),"LH","RH")))</f>
        <v/>
      </c>
      <c r="DC312" s="84">
        <f>IF($A312="","","S.HM"&amp;IF(OR($C312="DOOR ONLY",$X312&lt;&gt;"KD"),"MASONRY","DRYWALL")&amp;IF($C312="DOOR ONLY","",$U312)&amp;IF(AND($C312&lt;&gt;"FRAME ONLY",OR(LEFT($AH312,3)="OAK",LEFT($AH312,3)="BIR",LEFT($AH312,3)="MAP",$AH312="PC",$AH312="MC",$AH312="SCLC",$AH312="P-LAM")),"WD","HM")&amp;"1.75")</f>
        <v/>
      </c>
      <c r="DD312" s="84">
        <f>IF($CJ312="","",IF($O312="Y",$CJ312,SUBSTITUTE($CJ312,$BG312&amp;" "&amp;IFERROR(VLOOKUP($Z312,CODES,2,FALSE),"")&amp;" ",$BG312&amp;" ")))</f>
        <v/>
      </c>
      <c r="DE312" s="84">
        <f>IF($CK312="","",IF($O312="Y",$CK312,SUBSTITUTE($CK312,$BG312&amp;" "&amp;IF($AN312="",IFERROR(VLOOKUP($Z312,CODES,2,FALSE),""),IFERROR(VLOOKUP($AN312,CODES,2,FALSE),""))&amp;" ",$BG312&amp;" ")))</f>
        <v/>
      </c>
      <c r="DF312" s="84">
        <f>IF($CJ312="","",$DC312&amp;"|"&amp;$DD312&amp;"|"&amp;$DB312&amp;"|"&amp;$AT312&amp;"|"&amp;$V312&amp;"|"&amp;$Y312&amp;"|"&amp;$AB312)</f>
        <v/>
      </c>
      <c r="DG312" s="84">
        <f>IF(DF312="","",IF(COUNTIF($DF$6:DF312,DF312)=1,MAX($DG$5:DG311)+1,INDEX($DG$5:DG311,MATCH(DF312,$DF$5:DF311,0))))</f>
        <v/>
      </c>
      <c r="DH312" s="84">
        <f>IF($CK312="","",$DC312&amp;"|"&amp;$DE312&amp;"|"&amp;$AI312&amp;"|"&amp;$BK312&amp;"|"&amp;$BL312)</f>
        <v/>
      </c>
      <c r="DI312" s="84">
        <f>IF(DH312="","",IF(COUNTIF($DH$6:DH312,DH312)=1,MAX($DI$5:DI311)+1,INDEX($DI$5:DI311,MATCH(DH312,$DH$5:DH311,0))))</f>
        <v/>
      </c>
      <c r="DJ312" s="84">
        <f>IF($A312="","",IF($B312="","qty, ","")&amp;IF($C312="","scope, ","")&amp;IF(OR($K312="",$M312=""),"size, ","")&amp;IF(AND($A312&lt;&gt;"",$C312&lt;&gt;"DOOR ONLY"),IF($U312="","jamb depth, ","")&amp;IF($X312="","construction, ","")&amp;IF($Y312="","anchor, ","")&amp;IF($S312="","frame type, ",""),"")&amp;IF(AND(N($BJ312)&gt;0,$Z312=""),"hand, ","")&amp;IF(N($BJ312)&gt;0,IF($AH312="","door material, ","")&amp;IF($AL312="","face type, ","")&amp;IF($AP312="","lock prep, ","")&amp;IF(AND($AO312="",$AC312=""),"hinge prep, ",""),"")&amp;IF(AND($CH312&gt;0,$AH312="FRP"),"FRP cannot carry a label, ","")&amp;IF(AND($O312="Y",OR($Z312="L",$Z312="R",$Z312="LR",$Z312="RR")),"pair marked but hand is single, ","")&amp;IF(AND($O312&lt;&gt;"Y",OR($Z312="PR",AND(LEN($Z312)&gt;1,ISNUMBER(SEARCH("-",$Z312))))),"pair hand on a single door, ","")&amp;IF(AND(ISNUMBER($CI312),$CH312&lt;N($CI312)),"wall needs a "&amp;$CI312&amp;" min door, ","")&amp;IF(AND($CH312&gt;=180,AND(OR($CE312="FG",$CE312="HG",$CE312="FNV",$CE312="FV"),N($CF312)*N($CG312)&gt;100)),"180 min lite over 100 sq in, ","")&amp;IF(N($BK312)&gt;48,"leaf wider than 4'-0"&amp;CHAR(34)&amp;", ","")&amp;IF(AND($CT312,COUNT($AW312:$AZ312)=0,$CQ312&gt;0),"CUSTOM LOC with no locations typed, ",""))</f>
        <v/>
      </c>
      <c r="DK312" s="84">
        <f>IF($A312="","",IF(AND($CH312&gt;0,AND($A312&lt;&gt;"",$C312&lt;&gt;"DOOR ONLY"),$X312="KD",$E312="EXTERIOR"),"KD label on an exterior opening, ","")&amp;IF(AND($E312="EXTERIOR",OR(AND(AND($A312&lt;&gt;"",$C312&lt;&gt;"DOOR ONLY"),$W312="CR"),AND(N($BJ312)&gt;0,$AH312="CR"))),"exterior in CR steel (G9?), ","")&amp;IF(AND(ISNUMBER($BQ312),N($BQ312)&lt;32),"clear width ~"&amp;TEXT($BQ312,"0.0")&amp;CHAR(34)&amp;" under 32"&amp;CHAR(34)&amp;" (ADA), ","")&amp;IF(AND($CH312=90,AND(OR($CE312="FG",$CE312="HG",$CE312="FNV",$CE312="FV"),N($CF312)*N($CG312)&gt;100)),"90 min lite over 100 sq in (stair/exit), ","")&amp;IF(AND($CH312&gt;0,AND($A312&lt;&gt;"",$C312&lt;&gt;"DOOR ONLY"),OR($AF312="",$AF312="-")),"rated: closer reinf.?, ","")&amp;IF(OR($I312="CORRIDOR",$I312="SMOKE BARRIER"),"S label + smoke gasketing, ","")&amp;IF($CI312="?","wall type/hr not in IBC table, ","")&amp;IF(AND(N($BJ312)&gt;0,$BB312=""),"no hardware set, ","")&amp;IF(AND($BB312&lt;&gt;"",ISNA(MATCH($BB312&amp;"",HWSets,0))),"set "&amp;$BB312&amp;" not on HW Sets, ","")&amp;IF(N($BL312)&gt;96,"leaf over 8'-0"&amp;CHAR(34)&amp;" - check listing, ","")&amp;IF(AND($CT312,COUNT($AW312:$AZ312)&gt;0,COUNT($AW312:$AZ312)&lt;&gt;$CQ312),COUNT($AW312:$AZ312)&amp;" custom hinges typed, "&amp;$CQ312&amp;" expected, ","")&amp;IF(AND(ISNUMBER($CA312),OR(N($CA312)&lt;34,N($CA312)&gt;48)),"lock "&amp;TEXT($CA312,"0.0")&amp;CHAR(34)&amp;" AFF outside 34-48"&amp;CHAR(34)&amp;" (ADA), ","")&amp;IF(AND(ISNUMBER($AV312),ISNUMBER($BL312),N($AV312)&lt;IF(N($BL312)&lt;=60,2,IF(N($BL312)&lt;=90,3,IF(N($BL312)&lt;=120,4,5)))),"fewer hinges than standard, ",""))</f>
        <v/>
      </c>
    </row>
    <row r="313" ht="15" customHeight="1">
      <c r="A313" s="77" t="n"/>
      <c r="B313" s="78" t="n"/>
      <c r="C313" s="78" t="n"/>
      <c r="D313" s="78" t="n"/>
      <c r="E313" s="78" t="n"/>
      <c r="F313" s="78" t="n"/>
      <c r="G313" s="78" t="n"/>
      <c r="H313" s="78" t="n"/>
      <c r="I313" s="78" t="n"/>
      <c r="J313" s="78" t="n"/>
      <c r="K313" s="78" t="n"/>
      <c r="L313" s="78" t="n"/>
      <c r="M313" s="78" t="n"/>
      <c r="N313" s="78" t="n"/>
      <c r="O313" s="78" t="n"/>
      <c r="P313" s="78" t="n"/>
      <c r="Q313" s="78" t="n"/>
      <c r="R313" s="78" t="n"/>
      <c r="S313" s="79" t="n"/>
      <c r="T313" s="79" t="n"/>
      <c r="U313" s="79" t="n"/>
      <c r="V313" s="79" t="n"/>
      <c r="W313" s="79" t="n"/>
      <c r="X313" s="79" t="n"/>
      <c r="Y313" s="79" t="n"/>
      <c r="Z313" s="79" t="n"/>
      <c r="AA313" s="79" t="n"/>
      <c r="AB313" s="79" t="n"/>
      <c r="AC313" s="79" t="n"/>
      <c r="AD313" s="79" t="n"/>
      <c r="AE313" s="79" t="n"/>
      <c r="AF313" s="79" t="n"/>
      <c r="AG313" s="79" t="n"/>
      <c r="AH313" s="80" t="n"/>
      <c r="AI313" s="80" t="n"/>
      <c r="AJ313" s="80" t="n"/>
      <c r="AK313" s="80" t="n"/>
      <c r="AL313" s="80" t="n"/>
      <c r="AM313" s="80" t="n"/>
      <c r="AN313" s="80" t="n"/>
      <c r="AO313" s="80" t="n"/>
      <c r="AP313" s="80" t="n"/>
      <c r="AQ313" s="80" t="n"/>
      <c r="AR313" s="80" t="n"/>
      <c r="AS313" s="80" t="n"/>
      <c r="AT313" s="81" t="n"/>
      <c r="AU313" s="81" t="n"/>
      <c r="AV313" s="81" t="n"/>
      <c r="AW313" s="82" t="n"/>
      <c r="AX313" s="82" t="n"/>
      <c r="AY313" s="82" t="n"/>
      <c r="AZ313" s="82" t="n"/>
      <c r="BA313" s="82" t="n"/>
      <c r="BB313" s="83" t="n"/>
      <c r="BC313" s="83" t="n"/>
      <c r="BD313" s="84">
        <f>IF($A313="","",IF($DJ313&lt;&gt;"","FIX",IF($DK313&lt;&gt;"","CHECK","OK")))</f>
        <v/>
      </c>
      <c r="BE313" s="85">
        <f>IF($A313="","",IF($DJ313&lt;&gt;"","FIX: "&amp;LEFT($DJ313,LEN($DJ313)-2)&amp;IF($DK313&lt;&gt;"","  ·  ",""),"")&amp;IF($DK313&lt;&gt;"","CHECK: "&amp;LEFT($DK313,LEN($DK313)-2),""))</f>
        <v/>
      </c>
      <c r="BF313" s="84">
        <f>IF(OR($A313="",$K313=""),"",$K313&amp;"'-"&amp;N($L313)&amp;CHAR(34)&amp;" x "&amp;$M313&amp;"'-"&amp;N($N313)&amp;CHAR(34))</f>
        <v/>
      </c>
      <c r="BG313" s="84">
        <f>IF(OR($A313="",$K313=""),"",$K313&amp;N($L313)&amp;$M313&amp;N($N313))</f>
        <v/>
      </c>
      <c r="BH313" s="84">
        <f>IF(OR($A313="",$K313=""),"",$K313*12+N($L313))</f>
        <v/>
      </c>
      <c r="BI313" s="84">
        <f>IF(OR($A313="",$M313=""),"",$M313*12+N($N313))</f>
        <v/>
      </c>
      <c r="BJ313" s="84">
        <f>IF($A313="","",IF(OR($C313="FRAME ONLY",$S313="BL"),0,IF($O313="Y",2,1)))</f>
        <v/>
      </c>
      <c r="BK313" s="86">
        <f>IF(OR(N($BJ313)=0,$BH313=""),"",($BH313-2*EdgeClr-IF($BJ313=2,MeetClr,0))/$BJ313)</f>
        <v/>
      </c>
      <c r="BL313" s="86">
        <f>IF(OR(N($BJ313)=0,$BI313=""),"",$BI313-HeadClr-Undercut)</f>
        <v/>
      </c>
      <c r="BM313" s="86">
        <f>IF($BH313="","",$BH313+2*FaceW+IF(N($Q313)&gt;0,($Q313+FaceW)*IF($R313="LR",2,1),0))</f>
        <v/>
      </c>
      <c r="BN313" s="86">
        <f>IF($BI313="","",$BI313+IF($AB313="Y",4,FaceW)+IF(N($P313)&gt;0,$P313+FaceW,0)+IF(OR($S313="4F",$S313="BL"),FaceW,0))</f>
        <v/>
      </c>
      <c r="BO313" s="86">
        <f>IF($BM313="","",$BM313+2*ROSide)</f>
        <v/>
      </c>
      <c r="BP313" s="86">
        <f>IF($BN313="","",$BN313+ROTop)</f>
        <v/>
      </c>
      <c r="BQ313" s="87">
        <f>IF(OR(N($BJ313)=0,$BH313=""),"",$BH313/$BJ313-ClearDeduct)</f>
        <v/>
      </c>
      <c r="BR313" s="84">
        <f>IF(N($CH313)=0,"",IF($CH313&gt;=180,"A · 3 HR",IF($CH313&gt;=90,"B · 1-1/2 HR",IF($CH313&gt;=60,"B · 1 HR",IF($CH313&gt;=45,"C · 3/4 HR","20 MIN")))))&amp;IF(AND(N($CH313)&gt;0,OR($I313="CORRIDOR",$I313="SMOKE BARRIER"))," · S","")</f>
        <v/>
      </c>
      <c r="BS313" s="84">
        <f>IF($CS313,"",IF($AV313&lt;&gt;"",$AV313,IF(OR($AC313="HGC",$AO313="HGC"),"CONT",IF(($BI313-HeadClr-Undercut)&lt;=60,2,IF(($BI313-HeadClr-Undercut)&lt;=90,3,IF(($BI313-HeadClr-Undercut)&lt;=120,4,5))))))</f>
        <v/>
      </c>
      <c r="BT313" s="84">
        <f>IF($CS313,"",IF($CT313,"CUSTOM (typed)",IF($CV313,$AT313&amp;" "&amp;$CU313&amp;CHAR(34)&amp;IF($CU313&lt;&gt;$BI313,IF(AND($BI313&lt;$CU313,$BI313-IF(N(VLOOKUP($AT313&amp;"|"&amp;$CU313,LocTable,7,FALSE))&gt;0,VLOOKUP($AT313&amp;"|"&amp;$CU313,LocTable,7,FALSE),VLOOKUP($AT313&amp;"|"&amp;$CU313,LocTable,6,FALSE))-$CR313-0.75&gt;=2.125)," cut down"," adj."),""),"ANSI/SDI A250.6")))</f>
        <v/>
      </c>
      <c r="BU313" s="88">
        <f>IF($CS313,"",IF($CT313,IF(N($AW313)&gt;0,N($AW313),""),IF(1&gt;$CQ313,"",IF($CQ313=1,$CW313,$CW313+($CX313-$CW313)*0/($CQ313-1)))))</f>
        <v/>
      </c>
      <c r="BV313" s="88">
        <f>IF($CS313,"",IF($CT313,IF(N($AX313)&gt;0,N($AX313),""),IF(2&gt;$CQ313,"",IF($CQ313=1,$CW313,$CW313+($CX313-$CW313)*1/($CQ313-1)))))</f>
        <v/>
      </c>
      <c r="BW313" s="88">
        <f>IF($CS313,"",IF($CT313,IF(N($AY313)&gt;0,N($AY313),""),IF(3&gt;$CQ313,"",IF($CQ313=1,$CW313,$CW313+($CX313-$CW313)*2/($CQ313-1)))))</f>
        <v/>
      </c>
      <c r="BX313" s="88">
        <f>IF($CS313,"",IF($CT313,IF(N($AZ313)&gt;0,N($AZ313),""),IF(4&gt;$CQ313,"",IF($CQ313=1,$CW313,$CW313+($CX313-$CW313)*3/($CQ313-1)))))</f>
        <v/>
      </c>
      <c r="BY313" s="88">
        <f>IF($CS313,"",IF($CT313,"",IF(5&gt;$CQ313,"",IF($CQ313=1,$CW313,$CW313+($CX313-$CW313)*4/($CQ313-1)))))</f>
        <v/>
      </c>
      <c r="BZ313" s="88">
        <f>IF(OR($CS313,$AP313="-",AND($AP313="",$AD313="")),"",IF(N($BA313)&gt;0,N($BA313),IF($CV313,IF(AND($BI313&lt;$CU313,$BI313-IF(N(VLOOKUP($AT313&amp;"|"&amp;$CU313,LocTable,7,FALSE))&gt;0,VLOOKUP($AT313&amp;"|"&amp;$CU313,LocTable,7,FALSE),VLOOKUP($AT313&amp;"|"&amp;$CU313,LocTable,6,FALSE))-$CR313-0.75&gt;=2.125),VLOOKUP($AT313&amp;"|"&amp;$CU313,LocTable,8,FALSE),VLOOKUP($AT313&amp;"|"&amp;$CU313,LocTable,8,FALSE)+($BI313-$CU313)),$BI313-LockAFF)))</f>
        <v/>
      </c>
      <c r="CA313" s="89">
        <f>IF($BZ313="","",$BI313-$BZ313)</f>
        <v/>
      </c>
      <c r="CB313" s="84">
        <f>IF(OR(NOT(AND($A313&lt;&gt;"",$C313&lt;&gt;"DOOR ONLY")),$BI313=""),"",IF(($BI313+IF(N($P313)&gt;0,$P313+FaceW,0))&lt;=90,3,IF(($BI313+IF(N($P313)&gt;0,$P313+FaceW,0))&lt;=114,4,5)))</f>
        <v/>
      </c>
      <c r="CC313" s="84">
        <f>IF($CB313="","",$CB313*(2+IF(N($Q313)&gt;0,IF($R313="LR",2,1),0)))</f>
        <v/>
      </c>
      <c r="CD313" s="84">
        <f>IF($CB313="","",(2+IF(N($Q313)&gt;0,IF($R313="LR",2,1),0)))</f>
        <v/>
      </c>
      <c r="CE313" s="84">
        <f>IF(N($BJ313)=0,"",IF(OR($AL313="",$AL313="FLUSH"),"FLUSH",IFERROR(LEFT($AL313,FIND("-",$AL313)-1),LEFT($AL313,2))))</f>
        <v/>
      </c>
      <c r="CF313" s="84">
        <f>IF($CE313="","",IFERROR(VALUE(MID($AL313,FIND("-",$AL313)+1,FIND(CHAR(34)&amp;"x",$AL313)-FIND("-",$AL313)-1)),0))</f>
        <v/>
      </c>
      <c r="CG313" s="84">
        <f>IF($CE313="","",IFERROR(VALUE(MID($AL313,FIND(CHAR(34)&amp;"x",$AL313)+2,FIND(CHAR(34),$AL313,FIND(CHAR(34)&amp;"x",$AL313)+2)-FIND(CHAR(34)&amp;"x",$AL313)-2)),0))</f>
        <v/>
      </c>
      <c r="CH313" s="90">
        <f>IF(OR($A313="",$H313="",$H313="NO LAB"),0,IFERROR(VALUE(LEFT($H313,FIND(" ",$H313)-1)),0))</f>
        <v/>
      </c>
      <c r="CI313" s="91">
        <f>IF(OR($A313="",$I313="",$I313="NON-RATED",N($J313)=0),"",IFERROR(VLOOKUP($I313&amp;"|"&amp;$J313,IBC,2,FALSE),"?"))</f>
        <v/>
      </c>
      <c r="CJ313" s="85">
        <f>IF(NOT(AND($A313&lt;&gt;"",$C313&lt;&gt;"DOOR ONLY")),"",TRIM(IFERROR(VLOOKUP($U313,CODES,2,FALSE),"")&amp;" "&amp;$BG313&amp;" "&amp;IFERROR(VLOOKUP($Z313,CODES,2,FALSE),"")&amp;" "&amp;IFERROR(VLOOKUP($X313,CODES,2,FALSE),"")&amp;" "&amp;IFERROR(VLOOKUP($S313,CODES,2,FALSE),"")&amp;IF(N($P313)&gt;0," w/TRANSOM "&amp;$P313&amp;CHAR(34),"")&amp;IF(N($Q313)&gt;0," w/SIDELITE "&amp;$Q313&amp;CHAR(34)&amp;" "&amp;IF($R313="","R",$R313),"")&amp;IF($Y313="","  |  "," | "&amp;IFERROR(VLOOKUP($Y313,CODES,2,FALSE),"")&amp;" | ")&amp;IFERROR(VLOOKUP($AC313,CODES,2,FALSE),"")&amp;" "&amp;IFERROR(VLOOKUP($AD313,CODES,2,FALSE),"")&amp;IF(OR($AE313="",$AE313="-"),""," "&amp;$AE313)&amp;IF(OR($AF313="",$AF313="-"),""," "&amp;$AF313)&amp;IF($AB313="Y"," 4"&amp;CHAR(34)&amp;" HEAD","")&amp;" "&amp;IFERROR(VLOOKUP($H313,CODES,2,FALSE),"")&amp;IF($CT313," | LOC "&amp;$CY313,"")))</f>
        <v/>
      </c>
      <c r="CK313" s="85">
        <f>IF(NOT(AND($A313&lt;&gt;"",N($BJ313)&gt;0)),"",TRIM(IFERROR(VLOOKUP($AH313,CODES,2,FALSE),"")&amp;IF($AI313=""," "," "&amp;$AI313&amp;"GA ")&amp;$BG313&amp;" "&amp;IF($AN313="",IFERROR(VLOOKUP($Z313,CODES,2,FALSE),""),IFERROR(VLOOKUP($AN313,CODES,2,FALSE),""))&amp;IF($BJ313=2," PAIR","")&amp;" DOOR | "&amp;IF($AL313="","?",$AL313)&amp;" | "&amp;IF($AO313="",IFERROR(VLOOKUP($AC313,CODES,2,FALSE),""),IFERROR(VLOOKUP($AO313,CODES,2,FALSE),""))&amp;" "&amp;IFERROR(VLOOKUP($AP313,CODES,2,FALSE),"")&amp;IF(OR($AQ313="",$AQ313="-"),""," SEAM "&amp;$AQ313)&amp;IF($AR313="Y"," ASTRAGAL","")&amp;IF($AJ313=""," "," "&amp;$AJ313)&amp;IF($AK313=""," "," "&amp;$AK313)&amp;IF(OR($AT313="",$AT313="ANSI/SDI",$AT313="CUSTOM LOC"),""," "&amp;$AT313)&amp;IF($AM313=""," "," SERIES "&amp;$AM313)&amp;" "&amp;IFERROR(VLOOKUP($H313,CODES,2,FALSE),"")&amp;IF($CT313," | LOC "&amp;$CZ313,"")))</f>
        <v/>
      </c>
      <c r="CL313" s="84">
        <f>IF(CP313="","",IF(COUNTIF($CP$6:CP313,CP313)=1,MAX($CL$5:CL312)+1,INDEX($CL$5:CL312,MATCH(CP313,$CP$5:CP312,0))))</f>
        <v/>
      </c>
      <c r="CM313" s="84">
        <f>IF(NOT(AND($A313&lt;&gt;"",$C313&lt;&gt;"DOOR ONLY")),"",MAX($CM$5:CM312)+1)</f>
        <v/>
      </c>
      <c r="CN313" s="84">
        <f>IF(NOT(AND($A313&lt;&gt;"",N($BJ313)&gt;0)),"",MAX($CN$5:CN312)+1)</f>
        <v/>
      </c>
      <c r="CO313" s="84">
        <f>IF($A313="","",MAX($CO$5:CO312)+1)</f>
        <v/>
      </c>
      <c r="CP313" s="84">
        <f>IF(OR($A313="",$BH313="",$BI313=""),"",$BG313&amp;"|"&amp;$O313&amp;"|"&amp;$AL313&amp;"|"&amp;$S313&amp;"|"&amp;$P313&amp;"|"&amp;$Q313&amp;$R313&amp;"|"&amp;$C313&amp;"|"&amp;$AB313)</f>
        <v/>
      </c>
      <c r="CQ313" s="84">
        <f>N($BS313)</f>
        <v/>
      </c>
      <c r="CR313" s="84">
        <f>IF(N($AU313)&gt;0,N($AU313),4.5)</f>
        <v/>
      </c>
      <c r="CS313" s="84">
        <f>OR($A313="",$BI313="",$S313="BL",AND($C313="FRAME ONLY",OR($AC313="",$AC313="BLK")))</f>
        <v/>
      </c>
      <c r="CT313" s="84">
        <f>AND(NOT($CS313),OR($AT313="CUSTOM LOC",N($AW313)+N($AX313)+N($AY313)+N($AZ313)+N($BA313)&gt;0))</f>
        <v/>
      </c>
      <c r="CU313" s="84">
        <f>IF($BI313="","",IF($BI313&lt;=80,80,IF($BI313&lt;=84,84,96)))</f>
        <v/>
      </c>
      <c r="CV313" s="84">
        <f>ISNUMBER(MATCH($AT313&amp;"|80",LocKeys,0))</f>
        <v/>
      </c>
      <c r="CW313" s="86">
        <f>IF($CS313,"",IF($CV313,VLOOKUP($AT313&amp;"|"&amp;$CU313,LocTable,4,FALSE),5))</f>
        <v/>
      </c>
      <c r="CX313" s="86">
        <f>IF($CS313,"",IF($CV313,IF(OR($BI313=$CU313,AND($BI313&lt;$CU313,$BI313-IF(N(VLOOKUP($AT313&amp;"|"&amp;$CU313,LocTable,7,FALSE))&gt;0,VLOOKUP($AT313&amp;"|"&amp;$CU313,LocTable,7,FALSE),VLOOKUP($AT313&amp;"|"&amp;$CU313,LocTable,6,FALSE))-$CR313-0.75&gt;=2.125)),IF(N(VLOOKUP($AT313&amp;"|"&amp;$CU313,LocTable,7,FALSE))&gt;0,VLOOKUP($AT313&amp;"|"&amp;$CU313,LocTable,7,FALSE),VLOOKUP($AT313&amp;"|"&amp;$CU313,LocTable,6,FALSE)),$BI313-($CU313-IF(N(VLOOKUP($AT313&amp;"|"&amp;$CU313,LocTable,7,FALSE))&gt;0,VLOOKUP($AT313&amp;"|"&amp;$CU313,LocTable,7,FALSE),VLOOKUP($AT313&amp;"|"&amp;$CU313,LocTable,6,FALSE)))),$BI313-10-$CR313))</f>
        <v/>
      </c>
      <c r="CY313" s="85">
        <f>IF($CS313,"",TRIM(IF(ISNUMBER($BU313),"A "&amp;TRIM(TEXT($BU313,"# ?/??"))&amp;CHAR(34)&amp;"  ","")&amp;IF(ISNUMBER($BV313),"B "&amp;TRIM(TEXT($BV313,"# ?/??"))&amp;CHAR(34)&amp;"  ","")&amp;IF(ISNUMBER($BW313),"C "&amp;TRIM(TEXT($BW313,"# ?/??"))&amp;CHAR(34)&amp;"  ","")&amp;IF(ISNUMBER($BX313),"D "&amp;TRIM(TEXT($BX313,"# ?/??"))&amp;CHAR(34)&amp;"  ","")&amp;IF(ISNUMBER($BY313),"F "&amp;TRIM(TEXT($BY313,"# ?/??"))&amp;CHAR(34)&amp;"  ","")&amp;IF(ISNUMBER($BZ313),"E "&amp;TRIM(TEXT($BZ313,"# ?/??"))&amp;CHAR(34)&amp;"  ","")))</f>
        <v/>
      </c>
      <c r="CZ313" s="85">
        <f>IF(OR($CS313,N($BJ313)=0),"",TRIM(IF(ISNUMBER($BU313),"A "&amp;TRIM(TEXT($BU313-HeadClr,"# ?/??"))&amp;CHAR(34)&amp;"  ","")&amp;IF(ISNUMBER($BV313),"B "&amp;TRIM(TEXT($BV313-HeadClr,"# ?/??"))&amp;CHAR(34)&amp;"  ","")&amp;IF(ISNUMBER($BW313),"C "&amp;TRIM(TEXT($BW313-HeadClr,"# ?/??"))&amp;CHAR(34)&amp;"  ","")&amp;IF(ISNUMBER($BX313),"D "&amp;TRIM(TEXT($BX313-HeadClr,"# ?/??"))&amp;CHAR(34)&amp;"  ","")&amp;IF(ISNUMBER($BY313),"F "&amp;TRIM(TEXT($BY313-HeadClr,"# ?/??"))&amp;CHAR(34)&amp;"  ","")&amp;IF(ISNUMBER($BZ313),"E "&amp;TRIM(TEXT($BZ313-HeadClr,"# ?/??"))&amp;CHAR(34)&amp;"  ","")))</f>
        <v/>
      </c>
      <c r="DA313" s="84">
        <f>IF($A313="","",IF($AN313="",IFERROR(VLOOKUP($Z313,CODES,2,FALSE),""),IFERROR(VLOOKUP($AN313,CODES,2,FALSE),"")))</f>
        <v/>
      </c>
      <c r="DB313" s="84">
        <f>IF($A313="","",IF($O313="Y","PR",IF(OR($Z313="L",$Z313="RR",LEFT($Z313,2)="L-",LEFT($Z313,3)="RR-"),"LH","RH")))</f>
        <v/>
      </c>
      <c r="DC313" s="84">
        <f>IF($A313="","","S.HM"&amp;IF(OR($C313="DOOR ONLY",$X313&lt;&gt;"KD"),"MASONRY","DRYWALL")&amp;IF($C313="DOOR ONLY","",$U313)&amp;IF(AND($C313&lt;&gt;"FRAME ONLY",OR(LEFT($AH313,3)="OAK",LEFT($AH313,3)="BIR",LEFT($AH313,3)="MAP",$AH313="PC",$AH313="MC",$AH313="SCLC",$AH313="P-LAM")),"WD","HM")&amp;"1.75")</f>
        <v/>
      </c>
      <c r="DD313" s="84">
        <f>IF($CJ313="","",IF($O313="Y",$CJ313,SUBSTITUTE($CJ313,$BG313&amp;" "&amp;IFERROR(VLOOKUP($Z313,CODES,2,FALSE),"")&amp;" ",$BG313&amp;" ")))</f>
        <v/>
      </c>
      <c r="DE313" s="84">
        <f>IF($CK313="","",IF($O313="Y",$CK313,SUBSTITUTE($CK313,$BG313&amp;" "&amp;IF($AN313="",IFERROR(VLOOKUP($Z313,CODES,2,FALSE),""),IFERROR(VLOOKUP($AN313,CODES,2,FALSE),""))&amp;" ",$BG313&amp;" ")))</f>
        <v/>
      </c>
      <c r="DF313" s="84">
        <f>IF($CJ313="","",$DC313&amp;"|"&amp;$DD313&amp;"|"&amp;$DB313&amp;"|"&amp;$AT313&amp;"|"&amp;$V313&amp;"|"&amp;$Y313&amp;"|"&amp;$AB313)</f>
        <v/>
      </c>
      <c r="DG313" s="84">
        <f>IF(DF313="","",IF(COUNTIF($DF$6:DF313,DF313)=1,MAX($DG$5:DG312)+1,INDEX($DG$5:DG312,MATCH(DF313,$DF$5:DF312,0))))</f>
        <v/>
      </c>
      <c r="DH313" s="84">
        <f>IF($CK313="","",$DC313&amp;"|"&amp;$DE313&amp;"|"&amp;$AI313&amp;"|"&amp;$BK313&amp;"|"&amp;$BL313)</f>
        <v/>
      </c>
      <c r="DI313" s="84">
        <f>IF(DH313="","",IF(COUNTIF($DH$6:DH313,DH313)=1,MAX($DI$5:DI312)+1,INDEX($DI$5:DI312,MATCH(DH313,$DH$5:DH312,0))))</f>
        <v/>
      </c>
      <c r="DJ313" s="84">
        <f>IF($A313="","",IF($B313="","qty, ","")&amp;IF($C313="","scope, ","")&amp;IF(OR($K313="",$M313=""),"size, ","")&amp;IF(AND($A313&lt;&gt;"",$C313&lt;&gt;"DOOR ONLY"),IF($U313="","jamb depth, ","")&amp;IF($X313="","construction, ","")&amp;IF($Y313="","anchor, ","")&amp;IF($S313="","frame type, ",""),"")&amp;IF(AND(N($BJ313)&gt;0,$Z313=""),"hand, ","")&amp;IF(N($BJ313)&gt;0,IF($AH313="","door material, ","")&amp;IF($AL313="","face type, ","")&amp;IF($AP313="","lock prep, ","")&amp;IF(AND($AO313="",$AC313=""),"hinge prep, ",""),"")&amp;IF(AND($CH313&gt;0,$AH313="FRP"),"FRP cannot carry a label, ","")&amp;IF(AND($O313="Y",OR($Z313="L",$Z313="R",$Z313="LR",$Z313="RR")),"pair marked but hand is single, ","")&amp;IF(AND($O313&lt;&gt;"Y",OR($Z313="PR",AND(LEN($Z313)&gt;1,ISNUMBER(SEARCH("-",$Z313))))),"pair hand on a single door, ","")&amp;IF(AND(ISNUMBER($CI313),$CH313&lt;N($CI313)),"wall needs a "&amp;$CI313&amp;" min door, ","")&amp;IF(AND($CH313&gt;=180,AND(OR($CE313="FG",$CE313="HG",$CE313="FNV",$CE313="FV"),N($CF313)*N($CG313)&gt;100)),"180 min lite over 100 sq in, ","")&amp;IF(N($BK313)&gt;48,"leaf wider than 4'-0"&amp;CHAR(34)&amp;", ","")&amp;IF(AND($CT313,COUNT($AW313:$AZ313)=0,$CQ313&gt;0),"CUSTOM LOC with no locations typed, ",""))</f>
        <v/>
      </c>
      <c r="DK313" s="84">
        <f>IF($A313="","",IF(AND($CH313&gt;0,AND($A313&lt;&gt;"",$C313&lt;&gt;"DOOR ONLY"),$X313="KD",$E313="EXTERIOR"),"KD label on an exterior opening, ","")&amp;IF(AND($E313="EXTERIOR",OR(AND(AND($A313&lt;&gt;"",$C313&lt;&gt;"DOOR ONLY"),$W313="CR"),AND(N($BJ313)&gt;0,$AH313="CR"))),"exterior in CR steel (G9?), ","")&amp;IF(AND(ISNUMBER($BQ313),N($BQ313)&lt;32),"clear width ~"&amp;TEXT($BQ313,"0.0")&amp;CHAR(34)&amp;" under 32"&amp;CHAR(34)&amp;" (ADA), ","")&amp;IF(AND($CH313=90,AND(OR($CE313="FG",$CE313="HG",$CE313="FNV",$CE313="FV"),N($CF313)*N($CG313)&gt;100)),"90 min lite over 100 sq in (stair/exit), ","")&amp;IF(AND($CH313&gt;0,AND($A313&lt;&gt;"",$C313&lt;&gt;"DOOR ONLY"),OR($AF313="",$AF313="-")),"rated: closer reinf.?, ","")&amp;IF(OR($I313="CORRIDOR",$I313="SMOKE BARRIER"),"S label + smoke gasketing, ","")&amp;IF($CI313="?","wall type/hr not in IBC table, ","")&amp;IF(AND(N($BJ313)&gt;0,$BB313=""),"no hardware set, ","")&amp;IF(AND($BB313&lt;&gt;"",ISNA(MATCH($BB313&amp;"",HWSets,0))),"set "&amp;$BB313&amp;" not on HW Sets, ","")&amp;IF(N($BL313)&gt;96,"leaf over 8'-0"&amp;CHAR(34)&amp;" - check listing, ","")&amp;IF(AND($CT313,COUNT($AW313:$AZ313)&gt;0,COUNT($AW313:$AZ313)&lt;&gt;$CQ313),COUNT($AW313:$AZ313)&amp;" custom hinges typed, "&amp;$CQ313&amp;" expected, ","")&amp;IF(AND(ISNUMBER($CA313),OR(N($CA313)&lt;34,N($CA313)&gt;48)),"lock "&amp;TEXT($CA313,"0.0")&amp;CHAR(34)&amp;" AFF outside 34-48"&amp;CHAR(34)&amp;" (ADA), ","")&amp;IF(AND(ISNUMBER($AV313),ISNUMBER($BL313),N($AV313)&lt;IF(N($BL313)&lt;=60,2,IF(N($BL313)&lt;=90,3,IF(N($BL313)&lt;=120,4,5)))),"fewer hinges than standard, ",""))</f>
        <v/>
      </c>
    </row>
    <row r="314" ht="15" customHeight="1">
      <c r="A314" s="77" t="n"/>
      <c r="B314" s="78" t="n"/>
      <c r="C314" s="78" t="n"/>
      <c r="D314" s="78" t="n"/>
      <c r="E314" s="78" t="n"/>
      <c r="F314" s="78" t="n"/>
      <c r="G314" s="78" t="n"/>
      <c r="H314" s="78" t="n"/>
      <c r="I314" s="78" t="n"/>
      <c r="J314" s="78" t="n"/>
      <c r="K314" s="78" t="n"/>
      <c r="L314" s="78" t="n"/>
      <c r="M314" s="78" t="n"/>
      <c r="N314" s="78" t="n"/>
      <c r="O314" s="78" t="n"/>
      <c r="P314" s="78" t="n"/>
      <c r="Q314" s="78" t="n"/>
      <c r="R314" s="78" t="n"/>
      <c r="S314" s="79" t="n"/>
      <c r="T314" s="79" t="n"/>
      <c r="U314" s="79" t="n"/>
      <c r="V314" s="79" t="n"/>
      <c r="W314" s="79" t="n"/>
      <c r="X314" s="79" t="n"/>
      <c r="Y314" s="79" t="n"/>
      <c r="Z314" s="79" t="n"/>
      <c r="AA314" s="79" t="n"/>
      <c r="AB314" s="79" t="n"/>
      <c r="AC314" s="79" t="n"/>
      <c r="AD314" s="79" t="n"/>
      <c r="AE314" s="79" t="n"/>
      <c r="AF314" s="79" t="n"/>
      <c r="AG314" s="79" t="n"/>
      <c r="AH314" s="80" t="n"/>
      <c r="AI314" s="80" t="n"/>
      <c r="AJ314" s="80" t="n"/>
      <c r="AK314" s="80" t="n"/>
      <c r="AL314" s="80" t="n"/>
      <c r="AM314" s="80" t="n"/>
      <c r="AN314" s="80" t="n"/>
      <c r="AO314" s="80" t="n"/>
      <c r="AP314" s="80" t="n"/>
      <c r="AQ314" s="80" t="n"/>
      <c r="AR314" s="80" t="n"/>
      <c r="AS314" s="80" t="n"/>
      <c r="AT314" s="81" t="n"/>
      <c r="AU314" s="81" t="n"/>
      <c r="AV314" s="81" t="n"/>
      <c r="AW314" s="82" t="n"/>
      <c r="AX314" s="82" t="n"/>
      <c r="AY314" s="82" t="n"/>
      <c r="AZ314" s="82" t="n"/>
      <c r="BA314" s="82" t="n"/>
      <c r="BB314" s="83" t="n"/>
      <c r="BC314" s="83" t="n"/>
      <c r="BD314" s="84">
        <f>IF($A314="","",IF($DJ314&lt;&gt;"","FIX",IF($DK314&lt;&gt;"","CHECK","OK")))</f>
        <v/>
      </c>
      <c r="BE314" s="85">
        <f>IF($A314="","",IF($DJ314&lt;&gt;"","FIX: "&amp;LEFT($DJ314,LEN($DJ314)-2)&amp;IF($DK314&lt;&gt;"","  ·  ",""),"")&amp;IF($DK314&lt;&gt;"","CHECK: "&amp;LEFT($DK314,LEN($DK314)-2),""))</f>
        <v/>
      </c>
      <c r="BF314" s="84">
        <f>IF(OR($A314="",$K314=""),"",$K314&amp;"'-"&amp;N($L314)&amp;CHAR(34)&amp;" x "&amp;$M314&amp;"'-"&amp;N($N314)&amp;CHAR(34))</f>
        <v/>
      </c>
      <c r="BG314" s="84">
        <f>IF(OR($A314="",$K314=""),"",$K314&amp;N($L314)&amp;$M314&amp;N($N314))</f>
        <v/>
      </c>
      <c r="BH314" s="84">
        <f>IF(OR($A314="",$K314=""),"",$K314*12+N($L314))</f>
        <v/>
      </c>
      <c r="BI314" s="84">
        <f>IF(OR($A314="",$M314=""),"",$M314*12+N($N314))</f>
        <v/>
      </c>
      <c r="BJ314" s="84">
        <f>IF($A314="","",IF(OR($C314="FRAME ONLY",$S314="BL"),0,IF($O314="Y",2,1)))</f>
        <v/>
      </c>
      <c r="BK314" s="86">
        <f>IF(OR(N($BJ314)=0,$BH314=""),"",($BH314-2*EdgeClr-IF($BJ314=2,MeetClr,0))/$BJ314)</f>
        <v/>
      </c>
      <c r="BL314" s="86">
        <f>IF(OR(N($BJ314)=0,$BI314=""),"",$BI314-HeadClr-Undercut)</f>
        <v/>
      </c>
      <c r="BM314" s="86">
        <f>IF($BH314="","",$BH314+2*FaceW+IF(N($Q314)&gt;0,($Q314+FaceW)*IF($R314="LR",2,1),0))</f>
        <v/>
      </c>
      <c r="BN314" s="86">
        <f>IF($BI314="","",$BI314+IF($AB314="Y",4,FaceW)+IF(N($P314)&gt;0,$P314+FaceW,0)+IF(OR($S314="4F",$S314="BL"),FaceW,0))</f>
        <v/>
      </c>
      <c r="BO314" s="86">
        <f>IF($BM314="","",$BM314+2*ROSide)</f>
        <v/>
      </c>
      <c r="BP314" s="86">
        <f>IF($BN314="","",$BN314+ROTop)</f>
        <v/>
      </c>
      <c r="BQ314" s="87">
        <f>IF(OR(N($BJ314)=0,$BH314=""),"",$BH314/$BJ314-ClearDeduct)</f>
        <v/>
      </c>
      <c r="BR314" s="84">
        <f>IF(N($CH314)=0,"",IF($CH314&gt;=180,"A · 3 HR",IF($CH314&gt;=90,"B · 1-1/2 HR",IF($CH314&gt;=60,"B · 1 HR",IF($CH314&gt;=45,"C · 3/4 HR","20 MIN")))))&amp;IF(AND(N($CH314)&gt;0,OR($I314="CORRIDOR",$I314="SMOKE BARRIER"))," · S","")</f>
        <v/>
      </c>
      <c r="BS314" s="84">
        <f>IF($CS314,"",IF($AV314&lt;&gt;"",$AV314,IF(OR($AC314="HGC",$AO314="HGC"),"CONT",IF(($BI314-HeadClr-Undercut)&lt;=60,2,IF(($BI314-HeadClr-Undercut)&lt;=90,3,IF(($BI314-HeadClr-Undercut)&lt;=120,4,5))))))</f>
        <v/>
      </c>
      <c r="BT314" s="84">
        <f>IF($CS314,"",IF($CT314,"CUSTOM (typed)",IF($CV314,$AT314&amp;" "&amp;$CU314&amp;CHAR(34)&amp;IF($CU314&lt;&gt;$BI314,IF(AND($BI314&lt;$CU314,$BI314-IF(N(VLOOKUP($AT314&amp;"|"&amp;$CU314,LocTable,7,FALSE))&gt;0,VLOOKUP($AT314&amp;"|"&amp;$CU314,LocTable,7,FALSE),VLOOKUP($AT314&amp;"|"&amp;$CU314,LocTable,6,FALSE))-$CR314-0.75&gt;=2.125)," cut down"," adj."),""),"ANSI/SDI A250.6")))</f>
        <v/>
      </c>
      <c r="BU314" s="88">
        <f>IF($CS314,"",IF($CT314,IF(N($AW314)&gt;0,N($AW314),""),IF(1&gt;$CQ314,"",IF($CQ314=1,$CW314,$CW314+($CX314-$CW314)*0/($CQ314-1)))))</f>
        <v/>
      </c>
      <c r="BV314" s="88">
        <f>IF($CS314,"",IF($CT314,IF(N($AX314)&gt;0,N($AX314),""),IF(2&gt;$CQ314,"",IF($CQ314=1,$CW314,$CW314+($CX314-$CW314)*1/($CQ314-1)))))</f>
        <v/>
      </c>
      <c r="BW314" s="88">
        <f>IF($CS314,"",IF($CT314,IF(N($AY314)&gt;0,N($AY314),""),IF(3&gt;$CQ314,"",IF($CQ314=1,$CW314,$CW314+($CX314-$CW314)*2/($CQ314-1)))))</f>
        <v/>
      </c>
      <c r="BX314" s="88">
        <f>IF($CS314,"",IF($CT314,IF(N($AZ314)&gt;0,N($AZ314),""),IF(4&gt;$CQ314,"",IF($CQ314=1,$CW314,$CW314+($CX314-$CW314)*3/($CQ314-1)))))</f>
        <v/>
      </c>
      <c r="BY314" s="88">
        <f>IF($CS314,"",IF($CT314,"",IF(5&gt;$CQ314,"",IF($CQ314=1,$CW314,$CW314+($CX314-$CW314)*4/($CQ314-1)))))</f>
        <v/>
      </c>
      <c r="BZ314" s="88">
        <f>IF(OR($CS314,$AP314="-",AND($AP314="",$AD314="")),"",IF(N($BA314)&gt;0,N($BA314),IF($CV314,IF(AND($BI314&lt;$CU314,$BI314-IF(N(VLOOKUP($AT314&amp;"|"&amp;$CU314,LocTable,7,FALSE))&gt;0,VLOOKUP($AT314&amp;"|"&amp;$CU314,LocTable,7,FALSE),VLOOKUP($AT314&amp;"|"&amp;$CU314,LocTable,6,FALSE))-$CR314-0.75&gt;=2.125),VLOOKUP($AT314&amp;"|"&amp;$CU314,LocTable,8,FALSE),VLOOKUP($AT314&amp;"|"&amp;$CU314,LocTable,8,FALSE)+($BI314-$CU314)),$BI314-LockAFF)))</f>
        <v/>
      </c>
      <c r="CA314" s="89">
        <f>IF($BZ314="","",$BI314-$BZ314)</f>
        <v/>
      </c>
      <c r="CB314" s="84">
        <f>IF(OR(NOT(AND($A314&lt;&gt;"",$C314&lt;&gt;"DOOR ONLY")),$BI314=""),"",IF(($BI314+IF(N($P314)&gt;0,$P314+FaceW,0))&lt;=90,3,IF(($BI314+IF(N($P314)&gt;0,$P314+FaceW,0))&lt;=114,4,5)))</f>
        <v/>
      </c>
      <c r="CC314" s="84">
        <f>IF($CB314="","",$CB314*(2+IF(N($Q314)&gt;0,IF($R314="LR",2,1),0)))</f>
        <v/>
      </c>
      <c r="CD314" s="84">
        <f>IF($CB314="","",(2+IF(N($Q314)&gt;0,IF($R314="LR",2,1),0)))</f>
        <v/>
      </c>
      <c r="CE314" s="84">
        <f>IF(N($BJ314)=0,"",IF(OR($AL314="",$AL314="FLUSH"),"FLUSH",IFERROR(LEFT($AL314,FIND("-",$AL314)-1),LEFT($AL314,2))))</f>
        <v/>
      </c>
      <c r="CF314" s="84">
        <f>IF($CE314="","",IFERROR(VALUE(MID($AL314,FIND("-",$AL314)+1,FIND(CHAR(34)&amp;"x",$AL314)-FIND("-",$AL314)-1)),0))</f>
        <v/>
      </c>
      <c r="CG314" s="84">
        <f>IF($CE314="","",IFERROR(VALUE(MID($AL314,FIND(CHAR(34)&amp;"x",$AL314)+2,FIND(CHAR(34),$AL314,FIND(CHAR(34)&amp;"x",$AL314)+2)-FIND(CHAR(34)&amp;"x",$AL314)-2)),0))</f>
        <v/>
      </c>
      <c r="CH314" s="90">
        <f>IF(OR($A314="",$H314="",$H314="NO LAB"),0,IFERROR(VALUE(LEFT($H314,FIND(" ",$H314)-1)),0))</f>
        <v/>
      </c>
      <c r="CI314" s="91">
        <f>IF(OR($A314="",$I314="",$I314="NON-RATED",N($J314)=0),"",IFERROR(VLOOKUP($I314&amp;"|"&amp;$J314,IBC,2,FALSE),"?"))</f>
        <v/>
      </c>
      <c r="CJ314" s="85">
        <f>IF(NOT(AND($A314&lt;&gt;"",$C314&lt;&gt;"DOOR ONLY")),"",TRIM(IFERROR(VLOOKUP($U314,CODES,2,FALSE),"")&amp;" "&amp;$BG314&amp;" "&amp;IFERROR(VLOOKUP($Z314,CODES,2,FALSE),"")&amp;" "&amp;IFERROR(VLOOKUP($X314,CODES,2,FALSE),"")&amp;" "&amp;IFERROR(VLOOKUP($S314,CODES,2,FALSE),"")&amp;IF(N($P314)&gt;0," w/TRANSOM "&amp;$P314&amp;CHAR(34),"")&amp;IF(N($Q314)&gt;0," w/SIDELITE "&amp;$Q314&amp;CHAR(34)&amp;" "&amp;IF($R314="","R",$R314),"")&amp;IF($Y314="","  |  "," | "&amp;IFERROR(VLOOKUP($Y314,CODES,2,FALSE),"")&amp;" | ")&amp;IFERROR(VLOOKUP($AC314,CODES,2,FALSE),"")&amp;" "&amp;IFERROR(VLOOKUP($AD314,CODES,2,FALSE),"")&amp;IF(OR($AE314="",$AE314="-"),""," "&amp;$AE314)&amp;IF(OR($AF314="",$AF314="-"),""," "&amp;$AF314)&amp;IF($AB314="Y"," 4"&amp;CHAR(34)&amp;" HEAD","")&amp;" "&amp;IFERROR(VLOOKUP($H314,CODES,2,FALSE),"")&amp;IF($CT314," | LOC "&amp;$CY314,"")))</f>
        <v/>
      </c>
      <c r="CK314" s="85">
        <f>IF(NOT(AND($A314&lt;&gt;"",N($BJ314)&gt;0)),"",TRIM(IFERROR(VLOOKUP($AH314,CODES,2,FALSE),"")&amp;IF($AI314=""," "," "&amp;$AI314&amp;"GA ")&amp;$BG314&amp;" "&amp;IF($AN314="",IFERROR(VLOOKUP($Z314,CODES,2,FALSE),""),IFERROR(VLOOKUP($AN314,CODES,2,FALSE),""))&amp;IF($BJ314=2," PAIR","")&amp;" DOOR | "&amp;IF($AL314="","?",$AL314)&amp;" | "&amp;IF($AO314="",IFERROR(VLOOKUP($AC314,CODES,2,FALSE),""),IFERROR(VLOOKUP($AO314,CODES,2,FALSE),""))&amp;" "&amp;IFERROR(VLOOKUP($AP314,CODES,2,FALSE),"")&amp;IF(OR($AQ314="",$AQ314="-"),""," SEAM "&amp;$AQ314)&amp;IF($AR314="Y"," ASTRAGAL","")&amp;IF($AJ314=""," "," "&amp;$AJ314)&amp;IF($AK314=""," "," "&amp;$AK314)&amp;IF(OR($AT314="",$AT314="ANSI/SDI",$AT314="CUSTOM LOC"),""," "&amp;$AT314)&amp;IF($AM314=""," "," SERIES "&amp;$AM314)&amp;" "&amp;IFERROR(VLOOKUP($H314,CODES,2,FALSE),"")&amp;IF($CT314," | LOC "&amp;$CZ314,"")))</f>
        <v/>
      </c>
      <c r="CL314" s="84">
        <f>IF(CP314="","",IF(COUNTIF($CP$6:CP314,CP314)=1,MAX($CL$5:CL313)+1,INDEX($CL$5:CL313,MATCH(CP314,$CP$5:CP313,0))))</f>
        <v/>
      </c>
      <c r="CM314" s="84">
        <f>IF(NOT(AND($A314&lt;&gt;"",$C314&lt;&gt;"DOOR ONLY")),"",MAX($CM$5:CM313)+1)</f>
        <v/>
      </c>
      <c r="CN314" s="84">
        <f>IF(NOT(AND($A314&lt;&gt;"",N($BJ314)&gt;0)),"",MAX($CN$5:CN313)+1)</f>
        <v/>
      </c>
      <c r="CO314" s="84">
        <f>IF($A314="","",MAX($CO$5:CO313)+1)</f>
        <v/>
      </c>
      <c r="CP314" s="84">
        <f>IF(OR($A314="",$BH314="",$BI314=""),"",$BG314&amp;"|"&amp;$O314&amp;"|"&amp;$AL314&amp;"|"&amp;$S314&amp;"|"&amp;$P314&amp;"|"&amp;$Q314&amp;$R314&amp;"|"&amp;$C314&amp;"|"&amp;$AB314)</f>
        <v/>
      </c>
      <c r="CQ314" s="84">
        <f>N($BS314)</f>
        <v/>
      </c>
      <c r="CR314" s="84">
        <f>IF(N($AU314)&gt;0,N($AU314),4.5)</f>
        <v/>
      </c>
      <c r="CS314" s="84">
        <f>OR($A314="",$BI314="",$S314="BL",AND($C314="FRAME ONLY",OR($AC314="",$AC314="BLK")))</f>
        <v/>
      </c>
      <c r="CT314" s="84">
        <f>AND(NOT($CS314),OR($AT314="CUSTOM LOC",N($AW314)+N($AX314)+N($AY314)+N($AZ314)+N($BA314)&gt;0))</f>
        <v/>
      </c>
      <c r="CU314" s="84">
        <f>IF($BI314="","",IF($BI314&lt;=80,80,IF($BI314&lt;=84,84,96)))</f>
        <v/>
      </c>
      <c r="CV314" s="84">
        <f>ISNUMBER(MATCH($AT314&amp;"|80",LocKeys,0))</f>
        <v/>
      </c>
      <c r="CW314" s="86">
        <f>IF($CS314,"",IF($CV314,VLOOKUP($AT314&amp;"|"&amp;$CU314,LocTable,4,FALSE),5))</f>
        <v/>
      </c>
      <c r="CX314" s="86">
        <f>IF($CS314,"",IF($CV314,IF(OR($BI314=$CU314,AND($BI314&lt;$CU314,$BI314-IF(N(VLOOKUP($AT314&amp;"|"&amp;$CU314,LocTable,7,FALSE))&gt;0,VLOOKUP($AT314&amp;"|"&amp;$CU314,LocTable,7,FALSE),VLOOKUP($AT314&amp;"|"&amp;$CU314,LocTable,6,FALSE))-$CR314-0.75&gt;=2.125)),IF(N(VLOOKUP($AT314&amp;"|"&amp;$CU314,LocTable,7,FALSE))&gt;0,VLOOKUP($AT314&amp;"|"&amp;$CU314,LocTable,7,FALSE),VLOOKUP($AT314&amp;"|"&amp;$CU314,LocTable,6,FALSE)),$BI314-($CU314-IF(N(VLOOKUP($AT314&amp;"|"&amp;$CU314,LocTable,7,FALSE))&gt;0,VLOOKUP($AT314&amp;"|"&amp;$CU314,LocTable,7,FALSE),VLOOKUP($AT314&amp;"|"&amp;$CU314,LocTable,6,FALSE)))),$BI314-10-$CR314))</f>
        <v/>
      </c>
      <c r="CY314" s="85">
        <f>IF($CS314,"",TRIM(IF(ISNUMBER($BU314),"A "&amp;TRIM(TEXT($BU314,"# ?/??"))&amp;CHAR(34)&amp;"  ","")&amp;IF(ISNUMBER($BV314),"B "&amp;TRIM(TEXT($BV314,"# ?/??"))&amp;CHAR(34)&amp;"  ","")&amp;IF(ISNUMBER($BW314),"C "&amp;TRIM(TEXT($BW314,"# ?/??"))&amp;CHAR(34)&amp;"  ","")&amp;IF(ISNUMBER($BX314),"D "&amp;TRIM(TEXT($BX314,"# ?/??"))&amp;CHAR(34)&amp;"  ","")&amp;IF(ISNUMBER($BY314),"F "&amp;TRIM(TEXT($BY314,"# ?/??"))&amp;CHAR(34)&amp;"  ","")&amp;IF(ISNUMBER($BZ314),"E "&amp;TRIM(TEXT($BZ314,"# ?/??"))&amp;CHAR(34)&amp;"  ","")))</f>
        <v/>
      </c>
      <c r="CZ314" s="85">
        <f>IF(OR($CS314,N($BJ314)=0),"",TRIM(IF(ISNUMBER($BU314),"A "&amp;TRIM(TEXT($BU314-HeadClr,"# ?/??"))&amp;CHAR(34)&amp;"  ","")&amp;IF(ISNUMBER($BV314),"B "&amp;TRIM(TEXT($BV314-HeadClr,"# ?/??"))&amp;CHAR(34)&amp;"  ","")&amp;IF(ISNUMBER($BW314),"C "&amp;TRIM(TEXT($BW314-HeadClr,"# ?/??"))&amp;CHAR(34)&amp;"  ","")&amp;IF(ISNUMBER($BX314),"D "&amp;TRIM(TEXT($BX314-HeadClr,"# ?/??"))&amp;CHAR(34)&amp;"  ","")&amp;IF(ISNUMBER($BY314),"F "&amp;TRIM(TEXT($BY314-HeadClr,"# ?/??"))&amp;CHAR(34)&amp;"  ","")&amp;IF(ISNUMBER($BZ314),"E "&amp;TRIM(TEXT($BZ314-HeadClr,"# ?/??"))&amp;CHAR(34)&amp;"  ","")))</f>
        <v/>
      </c>
      <c r="DA314" s="84">
        <f>IF($A314="","",IF($AN314="",IFERROR(VLOOKUP($Z314,CODES,2,FALSE),""),IFERROR(VLOOKUP($AN314,CODES,2,FALSE),"")))</f>
        <v/>
      </c>
      <c r="DB314" s="84">
        <f>IF($A314="","",IF($O314="Y","PR",IF(OR($Z314="L",$Z314="RR",LEFT($Z314,2)="L-",LEFT($Z314,3)="RR-"),"LH","RH")))</f>
        <v/>
      </c>
      <c r="DC314" s="84">
        <f>IF($A314="","","S.HM"&amp;IF(OR($C314="DOOR ONLY",$X314&lt;&gt;"KD"),"MASONRY","DRYWALL")&amp;IF($C314="DOOR ONLY","",$U314)&amp;IF(AND($C314&lt;&gt;"FRAME ONLY",OR(LEFT($AH314,3)="OAK",LEFT($AH314,3)="BIR",LEFT($AH314,3)="MAP",$AH314="PC",$AH314="MC",$AH314="SCLC",$AH314="P-LAM")),"WD","HM")&amp;"1.75")</f>
        <v/>
      </c>
      <c r="DD314" s="84">
        <f>IF($CJ314="","",IF($O314="Y",$CJ314,SUBSTITUTE($CJ314,$BG314&amp;" "&amp;IFERROR(VLOOKUP($Z314,CODES,2,FALSE),"")&amp;" ",$BG314&amp;" ")))</f>
        <v/>
      </c>
      <c r="DE314" s="84">
        <f>IF($CK314="","",IF($O314="Y",$CK314,SUBSTITUTE($CK314,$BG314&amp;" "&amp;IF($AN314="",IFERROR(VLOOKUP($Z314,CODES,2,FALSE),""),IFERROR(VLOOKUP($AN314,CODES,2,FALSE),""))&amp;" ",$BG314&amp;" ")))</f>
        <v/>
      </c>
      <c r="DF314" s="84">
        <f>IF($CJ314="","",$DC314&amp;"|"&amp;$DD314&amp;"|"&amp;$DB314&amp;"|"&amp;$AT314&amp;"|"&amp;$V314&amp;"|"&amp;$Y314&amp;"|"&amp;$AB314)</f>
        <v/>
      </c>
      <c r="DG314" s="84">
        <f>IF(DF314="","",IF(COUNTIF($DF$6:DF314,DF314)=1,MAX($DG$5:DG313)+1,INDEX($DG$5:DG313,MATCH(DF314,$DF$5:DF313,0))))</f>
        <v/>
      </c>
      <c r="DH314" s="84">
        <f>IF($CK314="","",$DC314&amp;"|"&amp;$DE314&amp;"|"&amp;$AI314&amp;"|"&amp;$BK314&amp;"|"&amp;$BL314)</f>
        <v/>
      </c>
      <c r="DI314" s="84">
        <f>IF(DH314="","",IF(COUNTIF($DH$6:DH314,DH314)=1,MAX($DI$5:DI313)+1,INDEX($DI$5:DI313,MATCH(DH314,$DH$5:DH313,0))))</f>
        <v/>
      </c>
      <c r="DJ314" s="84">
        <f>IF($A314="","",IF($B314="","qty, ","")&amp;IF($C314="","scope, ","")&amp;IF(OR($K314="",$M314=""),"size, ","")&amp;IF(AND($A314&lt;&gt;"",$C314&lt;&gt;"DOOR ONLY"),IF($U314="","jamb depth, ","")&amp;IF($X314="","construction, ","")&amp;IF($Y314="","anchor, ","")&amp;IF($S314="","frame type, ",""),"")&amp;IF(AND(N($BJ314)&gt;0,$Z314=""),"hand, ","")&amp;IF(N($BJ314)&gt;0,IF($AH314="","door material, ","")&amp;IF($AL314="","face type, ","")&amp;IF($AP314="","lock prep, ","")&amp;IF(AND($AO314="",$AC314=""),"hinge prep, ",""),"")&amp;IF(AND($CH314&gt;0,$AH314="FRP"),"FRP cannot carry a label, ","")&amp;IF(AND($O314="Y",OR($Z314="L",$Z314="R",$Z314="LR",$Z314="RR")),"pair marked but hand is single, ","")&amp;IF(AND($O314&lt;&gt;"Y",OR($Z314="PR",AND(LEN($Z314)&gt;1,ISNUMBER(SEARCH("-",$Z314))))),"pair hand on a single door, ","")&amp;IF(AND(ISNUMBER($CI314),$CH314&lt;N($CI314)),"wall needs a "&amp;$CI314&amp;" min door, ","")&amp;IF(AND($CH314&gt;=180,AND(OR($CE314="FG",$CE314="HG",$CE314="FNV",$CE314="FV"),N($CF314)*N($CG314)&gt;100)),"180 min lite over 100 sq in, ","")&amp;IF(N($BK314)&gt;48,"leaf wider than 4'-0"&amp;CHAR(34)&amp;", ","")&amp;IF(AND($CT314,COUNT($AW314:$AZ314)=0,$CQ314&gt;0),"CUSTOM LOC with no locations typed, ",""))</f>
        <v/>
      </c>
      <c r="DK314" s="84">
        <f>IF($A314="","",IF(AND($CH314&gt;0,AND($A314&lt;&gt;"",$C314&lt;&gt;"DOOR ONLY"),$X314="KD",$E314="EXTERIOR"),"KD label on an exterior opening, ","")&amp;IF(AND($E314="EXTERIOR",OR(AND(AND($A314&lt;&gt;"",$C314&lt;&gt;"DOOR ONLY"),$W314="CR"),AND(N($BJ314)&gt;0,$AH314="CR"))),"exterior in CR steel (G9?), ","")&amp;IF(AND(ISNUMBER($BQ314),N($BQ314)&lt;32),"clear width ~"&amp;TEXT($BQ314,"0.0")&amp;CHAR(34)&amp;" under 32"&amp;CHAR(34)&amp;" (ADA), ","")&amp;IF(AND($CH314=90,AND(OR($CE314="FG",$CE314="HG",$CE314="FNV",$CE314="FV"),N($CF314)*N($CG314)&gt;100)),"90 min lite over 100 sq in (stair/exit), ","")&amp;IF(AND($CH314&gt;0,AND($A314&lt;&gt;"",$C314&lt;&gt;"DOOR ONLY"),OR($AF314="",$AF314="-")),"rated: closer reinf.?, ","")&amp;IF(OR($I314="CORRIDOR",$I314="SMOKE BARRIER"),"S label + smoke gasketing, ","")&amp;IF($CI314="?","wall type/hr not in IBC table, ","")&amp;IF(AND(N($BJ314)&gt;0,$BB314=""),"no hardware set, ","")&amp;IF(AND($BB314&lt;&gt;"",ISNA(MATCH($BB314&amp;"",HWSets,0))),"set "&amp;$BB314&amp;" not on HW Sets, ","")&amp;IF(N($BL314)&gt;96,"leaf over 8'-0"&amp;CHAR(34)&amp;" - check listing, ","")&amp;IF(AND($CT314,COUNT($AW314:$AZ314)&gt;0,COUNT($AW314:$AZ314)&lt;&gt;$CQ314),COUNT($AW314:$AZ314)&amp;" custom hinges typed, "&amp;$CQ314&amp;" expected, ","")&amp;IF(AND(ISNUMBER($CA314),OR(N($CA314)&lt;34,N($CA314)&gt;48)),"lock "&amp;TEXT($CA314,"0.0")&amp;CHAR(34)&amp;" AFF outside 34-48"&amp;CHAR(34)&amp;" (ADA), ","")&amp;IF(AND(ISNUMBER($AV314),ISNUMBER($BL314),N($AV314)&lt;IF(N($BL314)&lt;=60,2,IF(N($BL314)&lt;=90,3,IF(N($BL314)&lt;=120,4,5)))),"fewer hinges than standard, ",""))</f>
        <v/>
      </c>
    </row>
    <row r="315" ht="15" customHeight="1">
      <c r="A315" s="92" t="n"/>
      <c r="B315" s="93" t="n"/>
      <c r="C315" s="93" t="n"/>
      <c r="D315" s="93" t="n"/>
      <c r="E315" s="93" t="n"/>
      <c r="F315" s="93" t="n"/>
      <c r="G315" s="93" t="n"/>
      <c r="H315" s="93" t="n"/>
      <c r="I315" s="93" t="n"/>
      <c r="J315" s="93" t="n"/>
      <c r="K315" s="93" t="n"/>
      <c r="L315" s="93" t="n"/>
      <c r="M315" s="93" t="n"/>
      <c r="N315" s="93" t="n"/>
      <c r="O315" s="93" t="n"/>
      <c r="P315" s="93" t="n"/>
      <c r="Q315" s="93" t="n"/>
      <c r="R315" s="93" t="n"/>
      <c r="S315" s="94" t="n"/>
      <c r="T315" s="94" t="n"/>
      <c r="U315" s="94" t="n"/>
      <c r="V315" s="94" t="n"/>
      <c r="W315" s="94" t="n"/>
      <c r="X315" s="94" t="n"/>
      <c r="Y315" s="94" t="n"/>
      <c r="Z315" s="94" t="n"/>
      <c r="AA315" s="94" t="n"/>
      <c r="AB315" s="94" t="n"/>
      <c r="AC315" s="94" t="n"/>
      <c r="AD315" s="94" t="n"/>
      <c r="AE315" s="94" t="n"/>
      <c r="AF315" s="94" t="n"/>
      <c r="AG315" s="94" t="n"/>
      <c r="AH315" s="95" t="n"/>
      <c r="AI315" s="95" t="n"/>
      <c r="AJ315" s="95" t="n"/>
      <c r="AK315" s="95" t="n"/>
      <c r="AL315" s="95" t="n"/>
      <c r="AM315" s="95" t="n"/>
      <c r="AN315" s="95" t="n"/>
      <c r="AO315" s="95" t="n"/>
      <c r="AP315" s="95" t="n"/>
      <c r="AQ315" s="95" t="n"/>
      <c r="AR315" s="95" t="n"/>
      <c r="AS315" s="95" t="n"/>
      <c r="AT315" s="96" t="n"/>
      <c r="AU315" s="96" t="n"/>
      <c r="AV315" s="96" t="n"/>
      <c r="AW315" s="97" t="n"/>
      <c r="AX315" s="97" t="n"/>
      <c r="AY315" s="97" t="n"/>
      <c r="AZ315" s="97" t="n"/>
      <c r="BA315" s="97" t="n"/>
      <c r="BB315" s="98" t="n"/>
      <c r="BC315" s="98" t="n"/>
      <c r="BD315" s="99">
        <f>IF($A315="","",IF($DJ315&lt;&gt;"","FIX",IF($DK315&lt;&gt;"","CHECK","OK")))</f>
        <v/>
      </c>
      <c r="BE315" s="100">
        <f>IF($A315="","",IF($DJ315&lt;&gt;"","FIX: "&amp;LEFT($DJ315,LEN($DJ315)-2)&amp;IF($DK315&lt;&gt;"","  ·  ",""),"")&amp;IF($DK315&lt;&gt;"","CHECK: "&amp;LEFT($DK315,LEN($DK315)-2),""))</f>
        <v/>
      </c>
      <c r="BF315" s="99">
        <f>IF(OR($A315="",$K315=""),"",$K315&amp;"'-"&amp;N($L315)&amp;CHAR(34)&amp;" x "&amp;$M315&amp;"'-"&amp;N($N315)&amp;CHAR(34))</f>
        <v/>
      </c>
      <c r="BG315" s="99">
        <f>IF(OR($A315="",$K315=""),"",$K315&amp;N($L315)&amp;$M315&amp;N($N315))</f>
        <v/>
      </c>
      <c r="BH315" s="99">
        <f>IF(OR($A315="",$K315=""),"",$K315*12+N($L315))</f>
        <v/>
      </c>
      <c r="BI315" s="99">
        <f>IF(OR($A315="",$M315=""),"",$M315*12+N($N315))</f>
        <v/>
      </c>
      <c r="BJ315" s="99">
        <f>IF($A315="","",IF(OR($C315="FRAME ONLY",$S315="BL"),0,IF($O315="Y",2,1)))</f>
        <v/>
      </c>
      <c r="BK315" s="101">
        <f>IF(OR(N($BJ315)=0,$BH315=""),"",($BH315-2*EdgeClr-IF($BJ315=2,MeetClr,0))/$BJ315)</f>
        <v/>
      </c>
      <c r="BL315" s="101">
        <f>IF(OR(N($BJ315)=0,$BI315=""),"",$BI315-HeadClr-Undercut)</f>
        <v/>
      </c>
      <c r="BM315" s="101">
        <f>IF($BH315="","",$BH315+2*FaceW+IF(N($Q315)&gt;0,($Q315+FaceW)*IF($R315="LR",2,1),0))</f>
        <v/>
      </c>
      <c r="BN315" s="101">
        <f>IF($BI315="","",$BI315+IF($AB315="Y",4,FaceW)+IF(N($P315)&gt;0,$P315+FaceW,0)+IF(OR($S315="4F",$S315="BL"),FaceW,0))</f>
        <v/>
      </c>
      <c r="BO315" s="101">
        <f>IF($BM315="","",$BM315+2*ROSide)</f>
        <v/>
      </c>
      <c r="BP315" s="101">
        <f>IF($BN315="","",$BN315+ROTop)</f>
        <v/>
      </c>
      <c r="BQ315" s="102">
        <f>IF(OR(N($BJ315)=0,$BH315=""),"",$BH315/$BJ315-ClearDeduct)</f>
        <v/>
      </c>
      <c r="BR315" s="99">
        <f>IF(N($CH315)=0,"",IF($CH315&gt;=180,"A · 3 HR",IF($CH315&gt;=90,"B · 1-1/2 HR",IF($CH315&gt;=60,"B · 1 HR",IF($CH315&gt;=45,"C · 3/4 HR","20 MIN")))))&amp;IF(AND(N($CH315)&gt;0,OR($I315="CORRIDOR",$I315="SMOKE BARRIER"))," · S","")</f>
        <v/>
      </c>
      <c r="BS315" s="99">
        <f>IF($CS315,"",IF($AV315&lt;&gt;"",$AV315,IF(OR($AC315="HGC",$AO315="HGC"),"CONT",IF(($BI315-HeadClr-Undercut)&lt;=60,2,IF(($BI315-HeadClr-Undercut)&lt;=90,3,IF(($BI315-HeadClr-Undercut)&lt;=120,4,5))))))</f>
        <v/>
      </c>
      <c r="BT315" s="99">
        <f>IF($CS315,"",IF($CT315,"CUSTOM (typed)",IF($CV315,$AT315&amp;" "&amp;$CU315&amp;CHAR(34)&amp;IF($CU315&lt;&gt;$BI315,IF(AND($BI315&lt;$CU315,$BI315-IF(N(VLOOKUP($AT315&amp;"|"&amp;$CU315,LocTable,7,FALSE))&gt;0,VLOOKUP($AT315&amp;"|"&amp;$CU315,LocTable,7,FALSE),VLOOKUP($AT315&amp;"|"&amp;$CU315,LocTable,6,FALSE))-$CR315-0.75&gt;=2.125)," cut down"," adj."),""),"ANSI/SDI A250.6")))</f>
        <v/>
      </c>
      <c r="BU315" s="103">
        <f>IF($CS315,"",IF($CT315,IF(N($AW315)&gt;0,N($AW315),""),IF(1&gt;$CQ315,"",IF($CQ315=1,$CW315,$CW315+($CX315-$CW315)*0/($CQ315-1)))))</f>
        <v/>
      </c>
      <c r="BV315" s="103">
        <f>IF($CS315,"",IF($CT315,IF(N($AX315)&gt;0,N($AX315),""),IF(2&gt;$CQ315,"",IF($CQ315=1,$CW315,$CW315+($CX315-$CW315)*1/($CQ315-1)))))</f>
        <v/>
      </c>
      <c r="BW315" s="103">
        <f>IF($CS315,"",IF($CT315,IF(N($AY315)&gt;0,N($AY315),""),IF(3&gt;$CQ315,"",IF($CQ315=1,$CW315,$CW315+($CX315-$CW315)*2/($CQ315-1)))))</f>
        <v/>
      </c>
      <c r="BX315" s="103">
        <f>IF($CS315,"",IF($CT315,IF(N($AZ315)&gt;0,N($AZ315),""),IF(4&gt;$CQ315,"",IF($CQ315=1,$CW315,$CW315+($CX315-$CW315)*3/($CQ315-1)))))</f>
        <v/>
      </c>
      <c r="BY315" s="103">
        <f>IF($CS315,"",IF($CT315,"",IF(5&gt;$CQ315,"",IF($CQ315=1,$CW315,$CW315+($CX315-$CW315)*4/($CQ315-1)))))</f>
        <v/>
      </c>
      <c r="BZ315" s="103">
        <f>IF(OR($CS315,$AP315="-",AND($AP315="",$AD315="")),"",IF(N($BA315)&gt;0,N($BA315),IF($CV315,IF(AND($BI315&lt;$CU315,$BI315-IF(N(VLOOKUP($AT315&amp;"|"&amp;$CU315,LocTable,7,FALSE))&gt;0,VLOOKUP($AT315&amp;"|"&amp;$CU315,LocTable,7,FALSE),VLOOKUP($AT315&amp;"|"&amp;$CU315,LocTable,6,FALSE))-$CR315-0.75&gt;=2.125),VLOOKUP($AT315&amp;"|"&amp;$CU315,LocTable,8,FALSE),VLOOKUP($AT315&amp;"|"&amp;$CU315,LocTable,8,FALSE)+($BI315-$CU315)),$BI315-LockAFF)))</f>
        <v/>
      </c>
      <c r="CA315" s="104">
        <f>IF($BZ315="","",$BI315-$BZ315)</f>
        <v/>
      </c>
      <c r="CB315" s="99">
        <f>IF(OR(NOT(AND($A315&lt;&gt;"",$C315&lt;&gt;"DOOR ONLY")),$BI315=""),"",IF(($BI315+IF(N($P315)&gt;0,$P315+FaceW,0))&lt;=90,3,IF(($BI315+IF(N($P315)&gt;0,$P315+FaceW,0))&lt;=114,4,5)))</f>
        <v/>
      </c>
      <c r="CC315" s="99">
        <f>IF($CB315="","",$CB315*(2+IF(N($Q315)&gt;0,IF($R315="LR",2,1),0)))</f>
        <v/>
      </c>
      <c r="CD315" s="99">
        <f>IF($CB315="","",(2+IF(N($Q315)&gt;0,IF($R315="LR",2,1),0)))</f>
        <v/>
      </c>
      <c r="CE315" s="99">
        <f>IF(N($BJ315)=0,"",IF(OR($AL315="",$AL315="FLUSH"),"FLUSH",IFERROR(LEFT($AL315,FIND("-",$AL315)-1),LEFT($AL315,2))))</f>
        <v/>
      </c>
      <c r="CF315" s="99">
        <f>IF($CE315="","",IFERROR(VALUE(MID($AL315,FIND("-",$AL315)+1,FIND(CHAR(34)&amp;"x",$AL315)-FIND("-",$AL315)-1)),0))</f>
        <v/>
      </c>
      <c r="CG315" s="99">
        <f>IF($CE315="","",IFERROR(VALUE(MID($AL315,FIND(CHAR(34)&amp;"x",$AL315)+2,FIND(CHAR(34),$AL315,FIND(CHAR(34)&amp;"x",$AL315)+2)-FIND(CHAR(34)&amp;"x",$AL315)-2)),0))</f>
        <v/>
      </c>
      <c r="CH315" s="105">
        <f>IF(OR($A315="",$H315="",$H315="NO LAB"),0,IFERROR(VALUE(LEFT($H315,FIND(" ",$H315)-1)),0))</f>
        <v/>
      </c>
      <c r="CI315" s="106">
        <f>IF(OR($A315="",$I315="",$I315="NON-RATED",N($J315)=0),"",IFERROR(VLOOKUP($I315&amp;"|"&amp;$J315,IBC,2,FALSE),"?"))</f>
        <v/>
      </c>
      <c r="CJ315" s="100">
        <f>IF(NOT(AND($A315&lt;&gt;"",$C315&lt;&gt;"DOOR ONLY")),"",TRIM(IFERROR(VLOOKUP($U315,CODES,2,FALSE),"")&amp;" "&amp;$BG315&amp;" "&amp;IFERROR(VLOOKUP($Z315,CODES,2,FALSE),"")&amp;" "&amp;IFERROR(VLOOKUP($X315,CODES,2,FALSE),"")&amp;" "&amp;IFERROR(VLOOKUP($S315,CODES,2,FALSE),"")&amp;IF(N($P315)&gt;0," w/TRANSOM "&amp;$P315&amp;CHAR(34),"")&amp;IF(N($Q315)&gt;0," w/SIDELITE "&amp;$Q315&amp;CHAR(34)&amp;" "&amp;IF($R315="","R",$R315),"")&amp;IF($Y315="","  |  "," | "&amp;IFERROR(VLOOKUP($Y315,CODES,2,FALSE),"")&amp;" | ")&amp;IFERROR(VLOOKUP($AC315,CODES,2,FALSE),"")&amp;" "&amp;IFERROR(VLOOKUP($AD315,CODES,2,FALSE),"")&amp;IF(OR($AE315="",$AE315="-"),""," "&amp;$AE315)&amp;IF(OR($AF315="",$AF315="-"),""," "&amp;$AF315)&amp;IF($AB315="Y"," 4"&amp;CHAR(34)&amp;" HEAD","")&amp;" "&amp;IFERROR(VLOOKUP($H315,CODES,2,FALSE),"")&amp;IF($CT315," | LOC "&amp;$CY315,"")))</f>
        <v/>
      </c>
      <c r="CK315" s="100">
        <f>IF(NOT(AND($A315&lt;&gt;"",N($BJ315)&gt;0)),"",TRIM(IFERROR(VLOOKUP($AH315,CODES,2,FALSE),"")&amp;IF($AI315=""," "," "&amp;$AI315&amp;"GA ")&amp;$BG315&amp;" "&amp;IF($AN315="",IFERROR(VLOOKUP($Z315,CODES,2,FALSE),""),IFERROR(VLOOKUP($AN315,CODES,2,FALSE),""))&amp;IF($BJ315=2," PAIR","")&amp;" DOOR | "&amp;IF($AL315="","?",$AL315)&amp;" | "&amp;IF($AO315="",IFERROR(VLOOKUP($AC315,CODES,2,FALSE),""),IFERROR(VLOOKUP($AO315,CODES,2,FALSE),""))&amp;" "&amp;IFERROR(VLOOKUP($AP315,CODES,2,FALSE),"")&amp;IF(OR($AQ315="",$AQ315="-"),""," SEAM "&amp;$AQ315)&amp;IF($AR315="Y"," ASTRAGAL","")&amp;IF($AJ315=""," "," "&amp;$AJ315)&amp;IF($AK315=""," "," "&amp;$AK315)&amp;IF(OR($AT315="",$AT315="ANSI/SDI",$AT315="CUSTOM LOC"),""," "&amp;$AT315)&amp;IF($AM315=""," "," SERIES "&amp;$AM315)&amp;" "&amp;IFERROR(VLOOKUP($H315,CODES,2,FALSE),"")&amp;IF($CT315," | LOC "&amp;$CZ315,"")))</f>
        <v/>
      </c>
      <c r="CL315" s="99">
        <f>IF(CP315="","",IF(COUNTIF($CP$6:CP315,CP315)=1,MAX($CL$5:CL314)+1,INDEX($CL$5:CL314,MATCH(CP315,$CP$5:CP314,0))))</f>
        <v/>
      </c>
      <c r="CM315" s="99">
        <f>IF(NOT(AND($A315&lt;&gt;"",$C315&lt;&gt;"DOOR ONLY")),"",MAX($CM$5:CM314)+1)</f>
        <v/>
      </c>
      <c r="CN315" s="99">
        <f>IF(NOT(AND($A315&lt;&gt;"",N($BJ315)&gt;0)),"",MAX($CN$5:CN314)+1)</f>
        <v/>
      </c>
      <c r="CO315" s="99">
        <f>IF($A315="","",MAX($CO$5:CO314)+1)</f>
        <v/>
      </c>
      <c r="CP315" s="99">
        <f>IF(OR($A315="",$BH315="",$BI315=""),"",$BG315&amp;"|"&amp;$O315&amp;"|"&amp;$AL315&amp;"|"&amp;$S315&amp;"|"&amp;$P315&amp;"|"&amp;$Q315&amp;$R315&amp;"|"&amp;$C315&amp;"|"&amp;$AB315)</f>
        <v/>
      </c>
      <c r="CQ315" s="99">
        <f>N($BS315)</f>
        <v/>
      </c>
      <c r="CR315" s="99">
        <f>IF(N($AU315)&gt;0,N($AU315),4.5)</f>
        <v/>
      </c>
      <c r="CS315" s="99">
        <f>OR($A315="",$BI315="",$S315="BL",AND($C315="FRAME ONLY",OR($AC315="",$AC315="BLK")))</f>
        <v/>
      </c>
      <c r="CT315" s="99">
        <f>AND(NOT($CS315),OR($AT315="CUSTOM LOC",N($AW315)+N($AX315)+N($AY315)+N($AZ315)+N($BA315)&gt;0))</f>
        <v/>
      </c>
      <c r="CU315" s="99">
        <f>IF($BI315="","",IF($BI315&lt;=80,80,IF($BI315&lt;=84,84,96)))</f>
        <v/>
      </c>
      <c r="CV315" s="99">
        <f>ISNUMBER(MATCH($AT315&amp;"|80",LocKeys,0))</f>
        <v/>
      </c>
      <c r="CW315" s="101">
        <f>IF($CS315,"",IF($CV315,VLOOKUP($AT315&amp;"|"&amp;$CU315,LocTable,4,FALSE),5))</f>
        <v/>
      </c>
      <c r="CX315" s="101">
        <f>IF($CS315,"",IF($CV315,IF(OR($BI315=$CU315,AND($BI315&lt;$CU315,$BI315-IF(N(VLOOKUP($AT315&amp;"|"&amp;$CU315,LocTable,7,FALSE))&gt;0,VLOOKUP($AT315&amp;"|"&amp;$CU315,LocTable,7,FALSE),VLOOKUP($AT315&amp;"|"&amp;$CU315,LocTable,6,FALSE))-$CR315-0.75&gt;=2.125)),IF(N(VLOOKUP($AT315&amp;"|"&amp;$CU315,LocTable,7,FALSE))&gt;0,VLOOKUP($AT315&amp;"|"&amp;$CU315,LocTable,7,FALSE),VLOOKUP($AT315&amp;"|"&amp;$CU315,LocTable,6,FALSE)),$BI315-($CU315-IF(N(VLOOKUP($AT315&amp;"|"&amp;$CU315,LocTable,7,FALSE))&gt;0,VLOOKUP($AT315&amp;"|"&amp;$CU315,LocTable,7,FALSE),VLOOKUP($AT315&amp;"|"&amp;$CU315,LocTable,6,FALSE)))),$BI315-10-$CR315))</f>
        <v/>
      </c>
      <c r="CY315" s="100">
        <f>IF($CS315,"",TRIM(IF(ISNUMBER($BU315),"A "&amp;TRIM(TEXT($BU315,"# ?/??"))&amp;CHAR(34)&amp;"  ","")&amp;IF(ISNUMBER($BV315),"B "&amp;TRIM(TEXT($BV315,"# ?/??"))&amp;CHAR(34)&amp;"  ","")&amp;IF(ISNUMBER($BW315),"C "&amp;TRIM(TEXT($BW315,"# ?/??"))&amp;CHAR(34)&amp;"  ","")&amp;IF(ISNUMBER($BX315),"D "&amp;TRIM(TEXT($BX315,"# ?/??"))&amp;CHAR(34)&amp;"  ","")&amp;IF(ISNUMBER($BY315),"F "&amp;TRIM(TEXT($BY315,"# ?/??"))&amp;CHAR(34)&amp;"  ","")&amp;IF(ISNUMBER($BZ315),"E "&amp;TRIM(TEXT($BZ315,"# ?/??"))&amp;CHAR(34)&amp;"  ","")))</f>
        <v/>
      </c>
      <c r="CZ315" s="100">
        <f>IF(OR($CS315,N($BJ315)=0),"",TRIM(IF(ISNUMBER($BU315),"A "&amp;TRIM(TEXT($BU315-HeadClr,"# ?/??"))&amp;CHAR(34)&amp;"  ","")&amp;IF(ISNUMBER($BV315),"B "&amp;TRIM(TEXT($BV315-HeadClr,"# ?/??"))&amp;CHAR(34)&amp;"  ","")&amp;IF(ISNUMBER($BW315),"C "&amp;TRIM(TEXT($BW315-HeadClr,"# ?/??"))&amp;CHAR(34)&amp;"  ","")&amp;IF(ISNUMBER($BX315),"D "&amp;TRIM(TEXT($BX315-HeadClr,"# ?/??"))&amp;CHAR(34)&amp;"  ","")&amp;IF(ISNUMBER($BY315),"F "&amp;TRIM(TEXT($BY315-HeadClr,"# ?/??"))&amp;CHAR(34)&amp;"  ","")&amp;IF(ISNUMBER($BZ315),"E "&amp;TRIM(TEXT($BZ315-HeadClr,"# ?/??"))&amp;CHAR(34)&amp;"  ","")))</f>
        <v/>
      </c>
      <c r="DA315" s="99">
        <f>IF($A315="","",IF($AN315="",IFERROR(VLOOKUP($Z315,CODES,2,FALSE),""),IFERROR(VLOOKUP($AN315,CODES,2,FALSE),"")))</f>
        <v/>
      </c>
      <c r="DB315" s="99">
        <f>IF($A315="","",IF($O315="Y","PR",IF(OR($Z315="L",$Z315="RR",LEFT($Z315,2)="L-",LEFT($Z315,3)="RR-"),"LH","RH")))</f>
        <v/>
      </c>
      <c r="DC315" s="99">
        <f>IF($A315="","","S.HM"&amp;IF(OR($C315="DOOR ONLY",$X315&lt;&gt;"KD"),"MASONRY","DRYWALL")&amp;IF($C315="DOOR ONLY","",$U315)&amp;IF(AND($C315&lt;&gt;"FRAME ONLY",OR(LEFT($AH315,3)="OAK",LEFT($AH315,3)="BIR",LEFT($AH315,3)="MAP",$AH315="PC",$AH315="MC",$AH315="SCLC",$AH315="P-LAM")),"WD","HM")&amp;"1.75")</f>
        <v/>
      </c>
      <c r="DD315" s="99">
        <f>IF($CJ315="","",IF($O315="Y",$CJ315,SUBSTITUTE($CJ315,$BG315&amp;" "&amp;IFERROR(VLOOKUP($Z315,CODES,2,FALSE),"")&amp;" ",$BG315&amp;" ")))</f>
        <v/>
      </c>
      <c r="DE315" s="99">
        <f>IF($CK315="","",IF($O315="Y",$CK315,SUBSTITUTE($CK315,$BG315&amp;" "&amp;IF($AN315="",IFERROR(VLOOKUP($Z315,CODES,2,FALSE),""),IFERROR(VLOOKUP($AN315,CODES,2,FALSE),""))&amp;" ",$BG315&amp;" ")))</f>
        <v/>
      </c>
      <c r="DF315" s="99">
        <f>IF($CJ315="","",$DC315&amp;"|"&amp;$DD315&amp;"|"&amp;$DB315&amp;"|"&amp;$AT315&amp;"|"&amp;$V315&amp;"|"&amp;$Y315&amp;"|"&amp;$AB315)</f>
        <v/>
      </c>
      <c r="DG315" s="99">
        <f>IF(DF315="","",IF(COUNTIF($DF$6:DF315,DF315)=1,MAX($DG$5:DG314)+1,INDEX($DG$5:DG314,MATCH(DF315,$DF$5:DF314,0))))</f>
        <v/>
      </c>
      <c r="DH315" s="99">
        <f>IF($CK315="","",$DC315&amp;"|"&amp;$DE315&amp;"|"&amp;$AI315&amp;"|"&amp;$BK315&amp;"|"&amp;$BL315)</f>
        <v/>
      </c>
      <c r="DI315" s="99">
        <f>IF(DH315="","",IF(COUNTIF($DH$6:DH315,DH315)=1,MAX($DI$5:DI314)+1,INDEX($DI$5:DI314,MATCH(DH315,$DH$5:DH314,0))))</f>
        <v/>
      </c>
      <c r="DJ315" s="99">
        <f>IF($A315="","",IF($B315="","qty, ","")&amp;IF($C315="","scope, ","")&amp;IF(OR($K315="",$M315=""),"size, ","")&amp;IF(AND($A315&lt;&gt;"",$C315&lt;&gt;"DOOR ONLY"),IF($U315="","jamb depth, ","")&amp;IF($X315="","construction, ","")&amp;IF($Y315="","anchor, ","")&amp;IF($S315="","frame type, ",""),"")&amp;IF(AND(N($BJ315)&gt;0,$Z315=""),"hand, ","")&amp;IF(N($BJ315)&gt;0,IF($AH315="","door material, ","")&amp;IF($AL315="","face type, ","")&amp;IF($AP315="","lock prep, ","")&amp;IF(AND($AO315="",$AC315=""),"hinge prep, ",""),"")&amp;IF(AND($CH315&gt;0,$AH315="FRP"),"FRP cannot carry a label, ","")&amp;IF(AND($O315="Y",OR($Z315="L",$Z315="R",$Z315="LR",$Z315="RR")),"pair marked but hand is single, ","")&amp;IF(AND($O315&lt;&gt;"Y",OR($Z315="PR",AND(LEN($Z315)&gt;1,ISNUMBER(SEARCH("-",$Z315))))),"pair hand on a single door, ","")&amp;IF(AND(ISNUMBER($CI315),$CH315&lt;N($CI315)),"wall needs a "&amp;$CI315&amp;" min door, ","")&amp;IF(AND($CH315&gt;=180,AND(OR($CE315="FG",$CE315="HG",$CE315="FNV",$CE315="FV"),N($CF315)*N($CG315)&gt;100)),"180 min lite over 100 sq in, ","")&amp;IF(N($BK315)&gt;48,"leaf wider than 4'-0"&amp;CHAR(34)&amp;", ","")&amp;IF(AND($CT315,COUNT($AW315:$AZ315)=0,$CQ315&gt;0),"CUSTOM LOC with no locations typed, ",""))</f>
        <v/>
      </c>
      <c r="DK315" s="99">
        <f>IF($A315="","",IF(AND($CH315&gt;0,AND($A315&lt;&gt;"",$C315&lt;&gt;"DOOR ONLY"),$X315="KD",$E315="EXTERIOR"),"KD label on an exterior opening, ","")&amp;IF(AND($E315="EXTERIOR",OR(AND(AND($A315&lt;&gt;"",$C315&lt;&gt;"DOOR ONLY"),$W315="CR"),AND(N($BJ315)&gt;0,$AH315="CR"))),"exterior in CR steel (G9?), ","")&amp;IF(AND(ISNUMBER($BQ315),N($BQ315)&lt;32),"clear width ~"&amp;TEXT($BQ315,"0.0")&amp;CHAR(34)&amp;" under 32"&amp;CHAR(34)&amp;" (ADA), ","")&amp;IF(AND($CH315=90,AND(OR($CE315="FG",$CE315="HG",$CE315="FNV",$CE315="FV"),N($CF315)*N($CG315)&gt;100)),"90 min lite over 100 sq in (stair/exit), ","")&amp;IF(AND($CH315&gt;0,AND($A315&lt;&gt;"",$C315&lt;&gt;"DOOR ONLY"),OR($AF315="",$AF315="-")),"rated: closer reinf.?, ","")&amp;IF(OR($I315="CORRIDOR",$I315="SMOKE BARRIER"),"S label + smoke gasketing, ","")&amp;IF($CI315="?","wall type/hr not in IBC table, ","")&amp;IF(AND(N($BJ315)&gt;0,$BB315=""),"no hardware set, ","")&amp;IF(AND($BB315&lt;&gt;"",ISNA(MATCH($BB315&amp;"",HWSets,0))),"set "&amp;$BB315&amp;" not on HW Sets, ","")&amp;IF(N($BL315)&gt;96,"leaf over 8'-0"&amp;CHAR(34)&amp;" - check listing, ","")&amp;IF(AND($CT315,COUNT($AW315:$AZ315)&gt;0,COUNT($AW315:$AZ315)&lt;&gt;$CQ315),COUNT($AW315:$AZ315)&amp;" custom hinges typed, "&amp;$CQ315&amp;" expected, ","")&amp;IF(AND(ISNUMBER($CA315),OR(N($CA315)&lt;34,N($CA315)&gt;48)),"lock "&amp;TEXT($CA315,"0.0")&amp;CHAR(34)&amp;" AFF outside 34-48"&amp;CHAR(34)&amp;" (ADA), ","")&amp;IF(AND(ISNUMBER($AV315),ISNUMBER($BL315),N($AV315)&lt;IF(N($BL315)&lt;=60,2,IF(N($BL315)&lt;=90,3,IF(N($BL315)&lt;=120,4,5)))),"fewer hinges than standard, ",""))</f>
        <v/>
      </c>
    </row>
    <row r="316" ht="15" customHeight="1">
      <c r="A316" s="77" t="n"/>
      <c r="B316" s="78" t="n"/>
      <c r="C316" s="78" t="n"/>
      <c r="D316" s="78" t="n"/>
      <c r="E316" s="78" t="n"/>
      <c r="F316" s="78" t="n"/>
      <c r="G316" s="78" t="n"/>
      <c r="H316" s="78" t="n"/>
      <c r="I316" s="78" t="n"/>
      <c r="J316" s="78" t="n"/>
      <c r="K316" s="78" t="n"/>
      <c r="L316" s="78" t="n"/>
      <c r="M316" s="78" t="n"/>
      <c r="N316" s="78" t="n"/>
      <c r="O316" s="78" t="n"/>
      <c r="P316" s="78" t="n"/>
      <c r="Q316" s="78" t="n"/>
      <c r="R316" s="78" t="n"/>
      <c r="S316" s="79" t="n"/>
      <c r="T316" s="79" t="n"/>
      <c r="U316" s="79" t="n"/>
      <c r="V316" s="79" t="n"/>
      <c r="W316" s="79" t="n"/>
      <c r="X316" s="79" t="n"/>
      <c r="Y316" s="79" t="n"/>
      <c r="Z316" s="79" t="n"/>
      <c r="AA316" s="79" t="n"/>
      <c r="AB316" s="79" t="n"/>
      <c r="AC316" s="79" t="n"/>
      <c r="AD316" s="79" t="n"/>
      <c r="AE316" s="79" t="n"/>
      <c r="AF316" s="79" t="n"/>
      <c r="AG316" s="79" t="n"/>
      <c r="AH316" s="80" t="n"/>
      <c r="AI316" s="80" t="n"/>
      <c r="AJ316" s="80" t="n"/>
      <c r="AK316" s="80" t="n"/>
      <c r="AL316" s="80" t="n"/>
      <c r="AM316" s="80" t="n"/>
      <c r="AN316" s="80" t="n"/>
      <c r="AO316" s="80" t="n"/>
      <c r="AP316" s="80" t="n"/>
      <c r="AQ316" s="80" t="n"/>
      <c r="AR316" s="80" t="n"/>
      <c r="AS316" s="80" t="n"/>
      <c r="AT316" s="81" t="n"/>
      <c r="AU316" s="81" t="n"/>
      <c r="AV316" s="81" t="n"/>
      <c r="AW316" s="82" t="n"/>
      <c r="AX316" s="82" t="n"/>
      <c r="AY316" s="82" t="n"/>
      <c r="AZ316" s="82" t="n"/>
      <c r="BA316" s="82" t="n"/>
      <c r="BB316" s="83" t="n"/>
      <c r="BC316" s="83" t="n"/>
      <c r="BD316" s="84">
        <f>IF($A316="","",IF($DJ316&lt;&gt;"","FIX",IF($DK316&lt;&gt;"","CHECK","OK")))</f>
        <v/>
      </c>
      <c r="BE316" s="85">
        <f>IF($A316="","",IF($DJ316&lt;&gt;"","FIX: "&amp;LEFT($DJ316,LEN($DJ316)-2)&amp;IF($DK316&lt;&gt;"","  ·  ",""),"")&amp;IF($DK316&lt;&gt;"","CHECK: "&amp;LEFT($DK316,LEN($DK316)-2),""))</f>
        <v/>
      </c>
      <c r="BF316" s="84">
        <f>IF(OR($A316="",$K316=""),"",$K316&amp;"'-"&amp;N($L316)&amp;CHAR(34)&amp;" x "&amp;$M316&amp;"'-"&amp;N($N316)&amp;CHAR(34))</f>
        <v/>
      </c>
      <c r="BG316" s="84">
        <f>IF(OR($A316="",$K316=""),"",$K316&amp;N($L316)&amp;$M316&amp;N($N316))</f>
        <v/>
      </c>
      <c r="BH316" s="84">
        <f>IF(OR($A316="",$K316=""),"",$K316*12+N($L316))</f>
        <v/>
      </c>
      <c r="BI316" s="84">
        <f>IF(OR($A316="",$M316=""),"",$M316*12+N($N316))</f>
        <v/>
      </c>
      <c r="BJ316" s="84">
        <f>IF($A316="","",IF(OR($C316="FRAME ONLY",$S316="BL"),0,IF($O316="Y",2,1)))</f>
        <v/>
      </c>
      <c r="BK316" s="86">
        <f>IF(OR(N($BJ316)=0,$BH316=""),"",($BH316-2*EdgeClr-IF($BJ316=2,MeetClr,0))/$BJ316)</f>
        <v/>
      </c>
      <c r="BL316" s="86">
        <f>IF(OR(N($BJ316)=0,$BI316=""),"",$BI316-HeadClr-Undercut)</f>
        <v/>
      </c>
      <c r="BM316" s="86">
        <f>IF($BH316="","",$BH316+2*FaceW+IF(N($Q316)&gt;0,($Q316+FaceW)*IF($R316="LR",2,1),0))</f>
        <v/>
      </c>
      <c r="BN316" s="86">
        <f>IF($BI316="","",$BI316+IF($AB316="Y",4,FaceW)+IF(N($P316)&gt;0,$P316+FaceW,0)+IF(OR($S316="4F",$S316="BL"),FaceW,0))</f>
        <v/>
      </c>
      <c r="BO316" s="86">
        <f>IF($BM316="","",$BM316+2*ROSide)</f>
        <v/>
      </c>
      <c r="BP316" s="86">
        <f>IF($BN316="","",$BN316+ROTop)</f>
        <v/>
      </c>
      <c r="BQ316" s="87">
        <f>IF(OR(N($BJ316)=0,$BH316=""),"",$BH316/$BJ316-ClearDeduct)</f>
        <v/>
      </c>
      <c r="BR316" s="84">
        <f>IF(N($CH316)=0,"",IF($CH316&gt;=180,"A · 3 HR",IF($CH316&gt;=90,"B · 1-1/2 HR",IF($CH316&gt;=60,"B · 1 HR",IF($CH316&gt;=45,"C · 3/4 HR","20 MIN")))))&amp;IF(AND(N($CH316)&gt;0,OR($I316="CORRIDOR",$I316="SMOKE BARRIER"))," · S","")</f>
        <v/>
      </c>
      <c r="BS316" s="84">
        <f>IF($CS316,"",IF($AV316&lt;&gt;"",$AV316,IF(OR($AC316="HGC",$AO316="HGC"),"CONT",IF(($BI316-HeadClr-Undercut)&lt;=60,2,IF(($BI316-HeadClr-Undercut)&lt;=90,3,IF(($BI316-HeadClr-Undercut)&lt;=120,4,5))))))</f>
        <v/>
      </c>
      <c r="BT316" s="84">
        <f>IF($CS316,"",IF($CT316,"CUSTOM (typed)",IF($CV316,$AT316&amp;" "&amp;$CU316&amp;CHAR(34)&amp;IF($CU316&lt;&gt;$BI316,IF(AND($BI316&lt;$CU316,$BI316-IF(N(VLOOKUP($AT316&amp;"|"&amp;$CU316,LocTable,7,FALSE))&gt;0,VLOOKUP($AT316&amp;"|"&amp;$CU316,LocTable,7,FALSE),VLOOKUP($AT316&amp;"|"&amp;$CU316,LocTable,6,FALSE))-$CR316-0.75&gt;=2.125)," cut down"," adj."),""),"ANSI/SDI A250.6")))</f>
        <v/>
      </c>
      <c r="BU316" s="88">
        <f>IF($CS316,"",IF($CT316,IF(N($AW316)&gt;0,N($AW316),""),IF(1&gt;$CQ316,"",IF($CQ316=1,$CW316,$CW316+($CX316-$CW316)*0/($CQ316-1)))))</f>
        <v/>
      </c>
      <c r="BV316" s="88">
        <f>IF($CS316,"",IF($CT316,IF(N($AX316)&gt;0,N($AX316),""),IF(2&gt;$CQ316,"",IF($CQ316=1,$CW316,$CW316+($CX316-$CW316)*1/($CQ316-1)))))</f>
        <v/>
      </c>
      <c r="BW316" s="88">
        <f>IF($CS316,"",IF($CT316,IF(N($AY316)&gt;0,N($AY316),""),IF(3&gt;$CQ316,"",IF($CQ316=1,$CW316,$CW316+($CX316-$CW316)*2/($CQ316-1)))))</f>
        <v/>
      </c>
      <c r="BX316" s="88">
        <f>IF($CS316,"",IF($CT316,IF(N($AZ316)&gt;0,N($AZ316),""),IF(4&gt;$CQ316,"",IF($CQ316=1,$CW316,$CW316+($CX316-$CW316)*3/($CQ316-1)))))</f>
        <v/>
      </c>
      <c r="BY316" s="88">
        <f>IF($CS316,"",IF($CT316,"",IF(5&gt;$CQ316,"",IF($CQ316=1,$CW316,$CW316+($CX316-$CW316)*4/($CQ316-1)))))</f>
        <v/>
      </c>
      <c r="BZ316" s="88">
        <f>IF(OR($CS316,$AP316="-",AND($AP316="",$AD316="")),"",IF(N($BA316)&gt;0,N($BA316),IF($CV316,IF(AND($BI316&lt;$CU316,$BI316-IF(N(VLOOKUP($AT316&amp;"|"&amp;$CU316,LocTable,7,FALSE))&gt;0,VLOOKUP($AT316&amp;"|"&amp;$CU316,LocTable,7,FALSE),VLOOKUP($AT316&amp;"|"&amp;$CU316,LocTable,6,FALSE))-$CR316-0.75&gt;=2.125),VLOOKUP($AT316&amp;"|"&amp;$CU316,LocTable,8,FALSE),VLOOKUP($AT316&amp;"|"&amp;$CU316,LocTable,8,FALSE)+($BI316-$CU316)),$BI316-LockAFF)))</f>
        <v/>
      </c>
      <c r="CA316" s="89">
        <f>IF($BZ316="","",$BI316-$BZ316)</f>
        <v/>
      </c>
      <c r="CB316" s="84">
        <f>IF(OR(NOT(AND($A316&lt;&gt;"",$C316&lt;&gt;"DOOR ONLY")),$BI316=""),"",IF(($BI316+IF(N($P316)&gt;0,$P316+FaceW,0))&lt;=90,3,IF(($BI316+IF(N($P316)&gt;0,$P316+FaceW,0))&lt;=114,4,5)))</f>
        <v/>
      </c>
      <c r="CC316" s="84">
        <f>IF($CB316="","",$CB316*(2+IF(N($Q316)&gt;0,IF($R316="LR",2,1),0)))</f>
        <v/>
      </c>
      <c r="CD316" s="84">
        <f>IF($CB316="","",(2+IF(N($Q316)&gt;0,IF($R316="LR",2,1),0)))</f>
        <v/>
      </c>
      <c r="CE316" s="84">
        <f>IF(N($BJ316)=0,"",IF(OR($AL316="",$AL316="FLUSH"),"FLUSH",IFERROR(LEFT($AL316,FIND("-",$AL316)-1),LEFT($AL316,2))))</f>
        <v/>
      </c>
      <c r="CF316" s="84">
        <f>IF($CE316="","",IFERROR(VALUE(MID($AL316,FIND("-",$AL316)+1,FIND(CHAR(34)&amp;"x",$AL316)-FIND("-",$AL316)-1)),0))</f>
        <v/>
      </c>
      <c r="CG316" s="84">
        <f>IF($CE316="","",IFERROR(VALUE(MID($AL316,FIND(CHAR(34)&amp;"x",$AL316)+2,FIND(CHAR(34),$AL316,FIND(CHAR(34)&amp;"x",$AL316)+2)-FIND(CHAR(34)&amp;"x",$AL316)-2)),0))</f>
        <v/>
      </c>
      <c r="CH316" s="90">
        <f>IF(OR($A316="",$H316="",$H316="NO LAB"),0,IFERROR(VALUE(LEFT($H316,FIND(" ",$H316)-1)),0))</f>
        <v/>
      </c>
      <c r="CI316" s="91">
        <f>IF(OR($A316="",$I316="",$I316="NON-RATED",N($J316)=0),"",IFERROR(VLOOKUP($I316&amp;"|"&amp;$J316,IBC,2,FALSE),"?"))</f>
        <v/>
      </c>
      <c r="CJ316" s="85">
        <f>IF(NOT(AND($A316&lt;&gt;"",$C316&lt;&gt;"DOOR ONLY")),"",TRIM(IFERROR(VLOOKUP($U316,CODES,2,FALSE),"")&amp;" "&amp;$BG316&amp;" "&amp;IFERROR(VLOOKUP($Z316,CODES,2,FALSE),"")&amp;" "&amp;IFERROR(VLOOKUP($X316,CODES,2,FALSE),"")&amp;" "&amp;IFERROR(VLOOKUP($S316,CODES,2,FALSE),"")&amp;IF(N($P316)&gt;0," w/TRANSOM "&amp;$P316&amp;CHAR(34),"")&amp;IF(N($Q316)&gt;0," w/SIDELITE "&amp;$Q316&amp;CHAR(34)&amp;" "&amp;IF($R316="","R",$R316),"")&amp;IF($Y316="","  |  "," | "&amp;IFERROR(VLOOKUP($Y316,CODES,2,FALSE),"")&amp;" | ")&amp;IFERROR(VLOOKUP($AC316,CODES,2,FALSE),"")&amp;" "&amp;IFERROR(VLOOKUP($AD316,CODES,2,FALSE),"")&amp;IF(OR($AE316="",$AE316="-"),""," "&amp;$AE316)&amp;IF(OR($AF316="",$AF316="-"),""," "&amp;$AF316)&amp;IF($AB316="Y"," 4"&amp;CHAR(34)&amp;" HEAD","")&amp;" "&amp;IFERROR(VLOOKUP($H316,CODES,2,FALSE),"")&amp;IF($CT316," | LOC "&amp;$CY316,"")))</f>
        <v/>
      </c>
      <c r="CK316" s="85">
        <f>IF(NOT(AND($A316&lt;&gt;"",N($BJ316)&gt;0)),"",TRIM(IFERROR(VLOOKUP($AH316,CODES,2,FALSE),"")&amp;IF($AI316=""," "," "&amp;$AI316&amp;"GA ")&amp;$BG316&amp;" "&amp;IF($AN316="",IFERROR(VLOOKUP($Z316,CODES,2,FALSE),""),IFERROR(VLOOKUP($AN316,CODES,2,FALSE),""))&amp;IF($BJ316=2," PAIR","")&amp;" DOOR | "&amp;IF($AL316="","?",$AL316)&amp;" | "&amp;IF($AO316="",IFERROR(VLOOKUP($AC316,CODES,2,FALSE),""),IFERROR(VLOOKUP($AO316,CODES,2,FALSE),""))&amp;" "&amp;IFERROR(VLOOKUP($AP316,CODES,2,FALSE),"")&amp;IF(OR($AQ316="",$AQ316="-"),""," SEAM "&amp;$AQ316)&amp;IF($AR316="Y"," ASTRAGAL","")&amp;IF($AJ316=""," "," "&amp;$AJ316)&amp;IF($AK316=""," "," "&amp;$AK316)&amp;IF(OR($AT316="",$AT316="ANSI/SDI",$AT316="CUSTOM LOC"),""," "&amp;$AT316)&amp;IF($AM316=""," "," SERIES "&amp;$AM316)&amp;" "&amp;IFERROR(VLOOKUP($H316,CODES,2,FALSE),"")&amp;IF($CT316," | LOC "&amp;$CZ316,"")))</f>
        <v/>
      </c>
      <c r="CL316" s="84">
        <f>IF(CP316="","",IF(COUNTIF($CP$6:CP316,CP316)=1,MAX($CL$5:CL315)+1,INDEX($CL$5:CL315,MATCH(CP316,$CP$5:CP315,0))))</f>
        <v/>
      </c>
      <c r="CM316" s="84">
        <f>IF(NOT(AND($A316&lt;&gt;"",$C316&lt;&gt;"DOOR ONLY")),"",MAX($CM$5:CM315)+1)</f>
        <v/>
      </c>
      <c r="CN316" s="84">
        <f>IF(NOT(AND($A316&lt;&gt;"",N($BJ316)&gt;0)),"",MAX($CN$5:CN315)+1)</f>
        <v/>
      </c>
      <c r="CO316" s="84">
        <f>IF($A316="","",MAX($CO$5:CO315)+1)</f>
        <v/>
      </c>
      <c r="CP316" s="84">
        <f>IF(OR($A316="",$BH316="",$BI316=""),"",$BG316&amp;"|"&amp;$O316&amp;"|"&amp;$AL316&amp;"|"&amp;$S316&amp;"|"&amp;$P316&amp;"|"&amp;$Q316&amp;$R316&amp;"|"&amp;$C316&amp;"|"&amp;$AB316)</f>
        <v/>
      </c>
      <c r="CQ316" s="84">
        <f>N($BS316)</f>
        <v/>
      </c>
      <c r="CR316" s="84">
        <f>IF(N($AU316)&gt;0,N($AU316),4.5)</f>
        <v/>
      </c>
      <c r="CS316" s="84">
        <f>OR($A316="",$BI316="",$S316="BL",AND($C316="FRAME ONLY",OR($AC316="",$AC316="BLK")))</f>
        <v/>
      </c>
      <c r="CT316" s="84">
        <f>AND(NOT($CS316),OR($AT316="CUSTOM LOC",N($AW316)+N($AX316)+N($AY316)+N($AZ316)+N($BA316)&gt;0))</f>
        <v/>
      </c>
      <c r="CU316" s="84">
        <f>IF($BI316="","",IF($BI316&lt;=80,80,IF($BI316&lt;=84,84,96)))</f>
        <v/>
      </c>
      <c r="CV316" s="84">
        <f>ISNUMBER(MATCH($AT316&amp;"|80",LocKeys,0))</f>
        <v/>
      </c>
      <c r="CW316" s="86">
        <f>IF($CS316,"",IF($CV316,VLOOKUP($AT316&amp;"|"&amp;$CU316,LocTable,4,FALSE),5))</f>
        <v/>
      </c>
      <c r="CX316" s="86">
        <f>IF($CS316,"",IF($CV316,IF(OR($BI316=$CU316,AND($BI316&lt;$CU316,$BI316-IF(N(VLOOKUP($AT316&amp;"|"&amp;$CU316,LocTable,7,FALSE))&gt;0,VLOOKUP($AT316&amp;"|"&amp;$CU316,LocTable,7,FALSE),VLOOKUP($AT316&amp;"|"&amp;$CU316,LocTable,6,FALSE))-$CR316-0.75&gt;=2.125)),IF(N(VLOOKUP($AT316&amp;"|"&amp;$CU316,LocTable,7,FALSE))&gt;0,VLOOKUP($AT316&amp;"|"&amp;$CU316,LocTable,7,FALSE),VLOOKUP($AT316&amp;"|"&amp;$CU316,LocTable,6,FALSE)),$BI316-($CU316-IF(N(VLOOKUP($AT316&amp;"|"&amp;$CU316,LocTable,7,FALSE))&gt;0,VLOOKUP($AT316&amp;"|"&amp;$CU316,LocTable,7,FALSE),VLOOKUP($AT316&amp;"|"&amp;$CU316,LocTable,6,FALSE)))),$BI316-10-$CR316))</f>
        <v/>
      </c>
      <c r="CY316" s="85">
        <f>IF($CS316,"",TRIM(IF(ISNUMBER($BU316),"A "&amp;TRIM(TEXT($BU316,"# ?/??"))&amp;CHAR(34)&amp;"  ","")&amp;IF(ISNUMBER($BV316),"B "&amp;TRIM(TEXT($BV316,"# ?/??"))&amp;CHAR(34)&amp;"  ","")&amp;IF(ISNUMBER($BW316),"C "&amp;TRIM(TEXT($BW316,"# ?/??"))&amp;CHAR(34)&amp;"  ","")&amp;IF(ISNUMBER($BX316),"D "&amp;TRIM(TEXT($BX316,"# ?/??"))&amp;CHAR(34)&amp;"  ","")&amp;IF(ISNUMBER($BY316),"F "&amp;TRIM(TEXT($BY316,"# ?/??"))&amp;CHAR(34)&amp;"  ","")&amp;IF(ISNUMBER($BZ316),"E "&amp;TRIM(TEXT($BZ316,"# ?/??"))&amp;CHAR(34)&amp;"  ","")))</f>
        <v/>
      </c>
      <c r="CZ316" s="85">
        <f>IF(OR($CS316,N($BJ316)=0),"",TRIM(IF(ISNUMBER($BU316),"A "&amp;TRIM(TEXT($BU316-HeadClr,"# ?/??"))&amp;CHAR(34)&amp;"  ","")&amp;IF(ISNUMBER($BV316),"B "&amp;TRIM(TEXT($BV316-HeadClr,"# ?/??"))&amp;CHAR(34)&amp;"  ","")&amp;IF(ISNUMBER($BW316),"C "&amp;TRIM(TEXT($BW316-HeadClr,"# ?/??"))&amp;CHAR(34)&amp;"  ","")&amp;IF(ISNUMBER($BX316),"D "&amp;TRIM(TEXT($BX316-HeadClr,"# ?/??"))&amp;CHAR(34)&amp;"  ","")&amp;IF(ISNUMBER($BY316),"F "&amp;TRIM(TEXT($BY316-HeadClr,"# ?/??"))&amp;CHAR(34)&amp;"  ","")&amp;IF(ISNUMBER($BZ316),"E "&amp;TRIM(TEXT($BZ316-HeadClr,"# ?/??"))&amp;CHAR(34)&amp;"  ","")))</f>
        <v/>
      </c>
      <c r="DA316" s="84">
        <f>IF($A316="","",IF($AN316="",IFERROR(VLOOKUP($Z316,CODES,2,FALSE),""),IFERROR(VLOOKUP($AN316,CODES,2,FALSE),"")))</f>
        <v/>
      </c>
      <c r="DB316" s="84">
        <f>IF($A316="","",IF($O316="Y","PR",IF(OR($Z316="L",$Z316="RR",LEFT($Z316,2)="L-",LEFT($Z316,3)="RR-"),"LH","RH")))</f>
        <v/>
      </c>
      <c r="DC316" s="84">
        <f>IF($A316="","","S.HM"&amp;IF(OR($C316="DOOR ONLY",$X316&lt;&gt;"KD"),"MASONRY","DRYWALL")&amp;IF($C316="DOOR ONLY","",$U316)&amp;IF(AND($C316&lt;&gt;"FRAME ONLY",OR(LEFT($AH316,3)="OAK",LEFT($AH316,3)="BIR",LEFT($AH316,3)="MAP",$AH316="PC",$AH316="MC",$AH316="SCLC",$AH316="P-LAM")),"WD","HM")&amp;"1.75")</f>
        <v/>
      </c>
      <c r="DD316" s="84">
        <f>IF($CJ316="","",IF($O316="Y",$CJ316,SUBSTITUTE($CJ316,$BG316&amp;" "&amp;IFERROR(VLOOKUP($Z316,CODES,2,FALSE),"")&amp;" ",$BG316&amp;" ")))</f>
        <v/>
      </c>
      <c r="DE316" s="84">
        <f>IF($CK316="","",IF($O316="Y",$CK316,SUBSTITUTE($CK316,$BG316&amp;" "&amp;IF($AN316="",IFERROR(VLOOKUP($Z316,CODES,2,FALSE),""),IFERROR(VLOOKUP($AN316,CODES,2,FALSE),""))&amp;" ",$BG316&amp;" ")))</f>
        <v/>
      </c>
      <c r="DF316" s="84">
        <f>IF($CJ316="","",$DC316&amp;"|"&amp;$DD316&amp;"|"&amp;$DB316&amp;"|"&amp;$AT316&amp;"|"&amp;$V316&amp;"|"&amp;$Y316&amp;"|"&amp;$AB316)</f>
        <v/>
      </c>
      <c r="DG316" s="84">
        <f>IF(DF316="","",IF(COUNTIF($DF$6:DF316,DF316)=1,MAX($DG$5:DG315)+1,INDEX($DG$5:DG315,MATCH(DF316,$DF$5:DF315,0))))</f>
        <v/>
      </c>
      <c r="DH316" s="84">
        <f>IF($CK316="","",$DC316&amp;"|"&amp;$DE316&amp;"|"&amp;$AI316&amp;"|"&amp;$BK316&amp;"|"&amp;$BL316)</f>
        <v/>
      </c>
      <c r="DI316" s="84">
        <f>IF(DH316="","",IF(COUNTIF($DH$6:DH316,DH316)=1,MAX($DI$5:DI315)+1,INDEX($DI$5:DI315,MATCH(DH316,$DH$5:DH315,0))))</f>
        <v/>
      </c>
      <c r="DJ316" s="84">
        <f>IF($A316="","",IF($B316="","qty, ","")&amp;IF($C316="","scope, ","")&amp;IF(OR($K316="",$M316=""),"size, ","")&amp;IF(AND($A316&lt;&gt;"",$C316&lt;&gt;"DOOR ONLY"),IF($U316="","jamb depth, ","")&amp;IF($X316="","construction, ","")&amp;IF($Y316="","anchor, ","")&amp;IF($S316="","frame type, ",""),"")&amp;IF(AND(N($BJ316)&gt;0,$Z316=""),"hand, ","")&amp;IF(N($BJ316)&gt;0,IF($AH316="","door material, ","")&amp;IF($AL316="","face type, ","")&amp;IF($AP316="","lock prep, ","")&amp;IF(AND($AO316="",$AC316=""),"hinge prep, ",""),"")&amp;IF(AND($CH316&gt;0,$AH316="FRP"),"FRP cannot carry a label, ","")&amp;IF(AND($O316="Y",OR($Z316="L",$Z316="R",$Z316="LR",$Z316="RR")),"pair marked but hand is single, ","")&amp;IF(AND($O316&lt;&gt;"Y",OR($Z316="PR",AND(LEN($Z316)&gt;1,ISNUMBER(SEARCH("-",$Z316))))),"pair hand on a single door, ","")&amp;IF(AND(ISNUMBER($CI316),$CH316&lt;N($CI316)),"wall needs a "&amp;$CI316&amp;" min door, ","")&amp;IF(AND($CH316&gt;=180,AND(OR($CE316="FG",$CE316="HG",$CE316="FNV",$CE316="FV"),N($CF316)*N($CG316)&gt;100)),"180 min lite over 100 sq in, ","")&amp;IF(N($BK316)&gt;48,"leaf wider than 4'-0"&amp;CHAR(34)&amp;", ","")&amp;IF(AND($CT316,COUNT($AW316:$AZ316)=0,$CQ316&gt;0),"CUSTOM LOC with no locations typed, ",""))</f>
        <v/>
      </c>
      <c r="DK316" s="84">
        <f>IF($A316="","",IF(AND($CH316&gt;0,AND($A316&lt;&gt;"",$C316&lt;&gt;"DOOR ONLY"),$X316="KD",$E316="EXTERIOR"),"KD label on an exterior opening, ","")&amp;IF(AND($E316="EXTERIOR",OR(AND(AND($A316&lt;&gt;"",$C316&lt;&gt;"DOOR ONLY"),$W316="CR"),AND(N($BJ316)&gt;0,$AH316="CR"))),"exterior in CR steel (G9?), ","")&amp;IF(AND(ISNUMBER($BQ316),N($BQ316)&lt;32),"clear width ~"&amp;TEXT($BQ316,"0.0")&amp;CHAR(34)&amp;" under 32"&amp;CHAR(34)&amp;" (ADA), ","")&amp;IF(AND($CH316=90,AND(OR($CE316="FG",$CE316="HG",$CE316="FNV",$CE316="FV"),N($CF316)*N($CG316)&gt;100)),"90 min lite over 100 sq in (stair/exit), ","")&amp;IF(AND($CH316&gt;0,AND($A316&lt;&gt;"",$C316&lt;&gt;"DOOR ONLY"),OR($AF316="",$AF316="-")),"rated: closer reinf.?, ","")&amp;IF(OR($I316="CORRIDOR",$I316="SMOKE BARRIER"),"S label + smoke gasketing, ","")&amp;IF($CI316="?","wall type/hr not in IBC table, ","")&amp;IF(AND(N($BJ316)&gt;0,$BB316=""),"no hardware set, ","")&amp;IF(AND($BB316&lt;&gt;"",ISNA(MATCH($BB316&amp;"",HWSets,0))),"set "&amp;$BB316&amp;" not on HW Sets, ","")&amp;IF(N($BL316)&gt;96,"leaf over 8'-0"&amp;CHAR(34)&amp;" - check listing, ","")&amp;IF(AND($CT316,COUNT($AW316:$AZ316)&gt;0,COUNT($AW316:$AZ316)&lt;&gt;$CQ316),COUNT($AW316:$AZ316)&amp;" custom hinges typed, "&amp;$CQ316&amp;" expected, ","")&amp;IF(AND(ISNUMBER($CA316),OR(N($CA316)&lt;34,N($CA316)&gt;48)),"lock "&amp;TEXT($CA316,"0.0")&amp;CHAR(34)&amp;" AFF outside 34-48"&amp;CHAR(34)&amp;" (ADA), ","")&amp;IF(AND(ISNUMBER($AV316),ISNUMBER($BL316),N($AV316)&lt;IF(N($BL316)&lt;=60,2,IF(N($BL316)&lt;=90,3,IF(N($BL316)&lt;=120,4,5)))),"fewer hinges than standard, ",""))</f>
        <v/>
      </c>
    </row>
    <row r="317" ht="15" customHeight="1">
      <c r="A317" s="77" t="n"/>
      <c r="B317" s="78" t="n"/>
      <c r="C317" s="78" t="n"/>
      <c r="D317" s="78" t="n"/>
      <c r="E317" s="78" t="n"/>
      <c r="F317" s="78" t="n"/>
      <c r="G317" s="78" t="n"/>
      <c r="H317" s="78" t="n"/>
      <c r="I317" s="78" t="n"/>
      <c r="J317" s="78" t="n"/>
      <c r="K317" s="78" t="n"/>
      <c r="L317" s="78" t="n"/>
      <c r="M317" s="78" t="n"/>
      <c r="N317" s="78" t="n"/>
      <c r="O317" s="78" t="n"/>
      <c r="P317" s="78" t="n"/>
      <c r="Q317" s="78" t="n"/>
      <c r="R317" s="78" t="n"/>
      <c r="S317" s="79" t="n"/>
      <c r="T317" s="79" t="n"/>
      <c r="U317" s="79" t="n"/>
      <c r="V317" s="79" t="n"/>
      <c r="W317" s="79" t="n"/>
      <c r="X317" s="79" t="n"/>
      <c r="Y317" s="79" t="n"/>
      <c r="Z317" s="79" t="n"/>
      <c r="AA317" s="79" t="n"/>
      <c r="AB317" s="79" t="n"/>
      <c r="AC317" s="79" t="n"/>
      <c r="AD317" s="79" t="n"/>
      <c r="AE317" s="79" t="n"/>
      <c r="AF317" s="79" t="n"/>
      <c r="AG317" s="79" t="n"/>
      <c r="AH317" s="80" t="n"/>
      <c r="AI317" s="80" t="n"/>
      <c r="AJ317" s="80" t="n"/>
      <c r="AK317" s="80" t="n"/>
      <c r="AL317" s="80" t="n"/>
      <c r="AM317" s="80" t="n"/>
      <c r="AN317" s="80" t="n"/>
      <c r="AO317" s="80" t="n"/>
      <c r="AP317" s="80" t="n"/>
      <c r="AQ317" s="80" t="n"/>
      <c r="AR317" s="80" t="n"/>
      <c r="AS317" s="80" t="n"/>
      <c r="AT317" s="81" t="n"/>
      <c r="AU317" s="81" t="n"/>
      <c r="AV317" s="81" t="n"/>
      <c r="AW317" s="82" t="n"/>
      <c r="AX317" s="82" t="n"/>
      <c r="AY317" s="82" t="n"/>
      <c r="AZ317" s="82" t="n"/>
      <c r="BA317" s="82" t="n"/>
      <c r="BB317" s="83" t="n"/>
      <c r="BC317" s="83" t="n"/>
      <c r="BD317" s="84">
        <f>IF($A317="","",IF($DJ317&lt;&gt;"","FIX",IF($DK317&lt;&gt;"","CHECK","OK")))</f>
        <v/>
      </c>
      <c r="BE317" s="85">
        <f>IF($A317="","",IF($DJ317&lt;&gt;"","FIX: "&amp;LEFT($DJ317,LEN($DJ317)-2)&amp;IF($DK317&lt;&gt;"","  ·  ",""),"")&amp;IF($DK317&lt;&gt;"","CHECK: "&amp;LEFT($DK317,LEN($DK317)-2),""))</f>
        <v/>
      </c>
      <c r="BF317" s="84">
        <f>IF(OR($A317="",$K317=""),"",$K317&amp;"'-"&amp;N($L317)&amp;CHAR(34)&amp;" x "&amp;$M317&amp;"'-"&amp;N($N317)&amp;CHAR(34))</f>
        <v/>
      </c>
      <c r="BG317" s="84">
        <f>IF(OR($A317="",$K317=""),"",$K317&amp;N($L317)&amp;$M317&amp;N($N317))</f>
        <v/>
      </c>
      <c r="BH317" s="84">
        <f>IF(OR($A317="",$K317=""),"",$K317*12+N($L317))</f>
        <v/>
      </c>
      <c r="BI317" s="84">
        <f>IF(OR($A317="",$M317=""),"",$M317*12+N($N317))</f>
        <v/>
      </c>
      <c r="BJ317" s="84">
        <f>IF($A317="","",IF(OR($C317="FRAME ONLY",$S317="BL"),0,IF($O317="Y",2,1)))</f>
        <v/>
      </c>
      <c r="BK317" s="86">
        <f>IF(OR(N($BJ317)=0,$BH317=""),"",($BH317-2*EdgeClr-IF($BJ317=2,MeetClr,0))/$BJ317)</f>
        <v/>
      </c>
      <c r="BL317" s="86">
        <f>IF(OR(N($BJ317)=0,$BI317=""),"",$BI317-HeadClr-Undercut)</f>
        <v/>
      </c>
      <c r="BM317" s="86">
        <f>IF($BH317="","",$BH317+2*FaceW+IF(N($Q317)&gt;0,($Q317+FaceW)*IF($R317="LR",2,1),0))</f>
        <v/>
      </c>
      <c r="BN317" s="86">
        <f>IF($BI317="","",$BI317+IF($AB317="Y",4,FaceW)+IF(N($P317)&gt;0,$P317+FaceW,0)+IF(OR($S317="4F",$S317="BL"),FaceW,0))</f>
        <v/>
      </c>
      <c r="BO317" s="86">
        <f>IF($BM317="","",$BM317+2*ROSide)</f>
        <v/>
      </c>
      <c r="BP317" s="86">
        <f>IF($BN317="","",$BN317+ROTop)</f>
        <v/>
      </c>
      <c r="BQ317" s="87">
        <f>IF(OR(N($BJ317)=0,$BH317=""),"",$BH317/$BJ317-ClearDeduct)</f>
        <v/>
      </c>
      <c r="BR317" s="84">
        <f>IF(N($CH317)=0,"",IF($CH317&gt;=180,"A · 3 HR",IF($CH317&gt;=90,"B · 1-1/2 HR",IF($CH317&gt;=60,"B · 1 HR",IF($CH317&gt;=45,"C · 3/4 HR","20 MIN")))))&amp;IF(AND(N($CH317)&gt;0,OR($I317="CORRIDOR",$I317="SMOKE BARRIER"))," · S","")</f>
        <v/>
      </c>
      <c r="BS317" s="84">
        <f>IF($CS317,"",IF($AV317&lt;&gt;"",$AV317,IF(OR($AC317="HGC",$AO317="HGC"),"CONT",IF(($BI317-HeadClr-Undercut)&lt;=60,2,IF(($BI317-HeadClr-Undercut)&lt;=90,3,IF(($BI317-HeadClr-Undercut)&lt;=120,4,5))))))</f>
        <v/>
      </c>
      <c r="BT317" s="84">
        <f>IF($CS317,"",IF($CT317,"CUSTOM (typed)",IF($CV317,$AT317&amp;" "&amp;$CU317&amp;CHAR(34)&amp;IF($CU317&lt;&gt;$BI317,IF(AND($BI317&lt;$CU317,$BI317-IF(N(VLOOKUP($AT317&amp;"|"&amp;$CU317,LocTable,7,FALSE))&gt;0,VLOOKUP($AT317&amp;"|"&amp;$CU317,LocTable,7,FALSE),VLOOKUP($AT317&amp;"|"&amp;$CU317,LocTable,6,FALSE))-$CR317-0.75&gt;=2.125)," cut down"," adj."),""),"ANSI/SDI A250.6")))</f>
        <v/>
      </c>
      <c r="BU317" s="88">
        <f>IF($CS317,"",IF($CT317,IF(N($AW317)&gt;0,N($AW317),""),IF(1&gt;$CQ317,"",IF($CQ317=1,$CW317,$CW317+($CX317-$CW317)*0/($CQ317-1)))))</f>
        <v/>
      </c>
      <c r="BV317" s="88">
        <f>IF($CS317,"",IF($CT317,IF(N($AX317)&gt;0,N($AX317),""),IF(2&gt;$CQ317,"",IF($CQ317=1,$CW317,$CW317+($CX317-$CW317)*1/($CQ317-1)))))</f>
        <v/>
      </c>
      <c r="BW317" s="88">
        <f>IF($CS317,"",IF($CT317,IF(N($AY317)&gt;0,N($AY317),""),IF(3&gt;$CQ317,"",IF($CQ317=1,$CW317,$CW317+($CX317-$CW317)*2/($CQ317-1)))))</f>
        <v/>
      </c>
      <c r="BX317" s="88">
        <f>IF($CS317,"",IF($CT317,IF(N($AZ317)&gt;0,N($AZ317),""),IF(4&gt;$CQ317,"",IF($CQ317=1,$CW317,$CW317+($CX317-$CW317)*3/($CQ317-1)))))</f>
        <v/>
      </c>
      <c r="BY317" s="88">
        <f>IF($CS317,"",IF($CT317,"",IF(5&gt;$CQ317,"",IF($CQ317=1,$CW317,$CW317+($CX317-$CW317)*4/($CQ317-1)))))</f>
        <v/>
      </c>
      <c r="BZ317" s="88">
        <f>IF(OR($CS317,$AP317="-",AND($AP317="",$AD317="")),"",IF(N($BA317)&gt;0,N($BA317),IF($CV317,IF(AND($BI317&lt;$CU317,$BI317-IF(N(VLOOKUP($AT317&amp;"|"&amp;$CU317,LocTable,7,FALSE))&gt;0,VLOOKUP($AT317&amp;"|"&amp;$CU317,LocTable,7,FALSE),VLOOKUP($AT317&amp;"|"&amp;$CU317,LocTable,6,FALSE))-$CR317-0.75&gt;=2.125),VLOOKUP($AT317&amp;"|"&amp;$CU317,LocTable,8,FALSE),VLOOKUP($AT317&amp;"|"&amp;$CU317,LocTable,8,FALSE)+($BI317-$CU317)),$BI317-LockAFF)))</f>
        <v/>
      </c>
      <c r="CA317" s="89">
        <f>IF($BZ317="","",$BI317-$BZ317)</f>
        <v/>
      </c>
      <c r="CB317" s="84">
        <f>IF(OR(NOT(AND($A317&lt;&gt;"",$C317&lt;&gt;"DOOR ONLY")),$BI317=""),"",IF(($BI317+IF(N($P317)&gt;0,$P317+FaceW,0))&lt;=90,3,IF(($BI317+IF(N($P317)&gt;0,$P317+FaceW,0))&lt;=114,4,5)))</f>
        <v/>
      </c>
      <c r="CC317" s="84">
        <f>IF($CB317="","",$CB317*(2+IF(N($Q317)&gt;0,IF($R317="LR",2,1),0)))</f>
        <v/>
      </c>
      <c r="CD317" s="84">
        <f>IF($CB317="","",(2+IF(N($Q317)&gt;0,IF($R317="LR",2,1),0)))</f>
        <v/>
      </c>
      <c r="CE317" s="84">
        <f>IF(N($BJ317)=0,"",IF(OR($AL317="",$AL317="FLUSH"),"FLUSH",IFERROR(LEFT($AL317,FIND("-",$AL317)-1),LEFT($AL317,2))))</f>
        <v/>
      </c>
      <c r="CF317" s="84">
        <f>IF($CE317="","",IFERROR(VALUE(MID($AL317,FIND("-",$AL317)+1,FIND(CHAR(34)&amp;"x",$AL317)-FIND("-",$AL317)-1)),0))</f>
        <v/>
      </c>
      <c r="CG317" s="84">
        <f>IF($CE317="","",IFERROR(VALUE(MID($AL317,FIND(CHAR(34)&amp;"x",$AL317)+2,FIND(CHAR(34),$AL317,FIND(CHAR(34)&amp;"x",$AL317)+2)-FIND(CHAR(34)&amp;"x",$AL317)-2)),0))</f>
        <v/>
      </c>
      <c r="CH317" s="90">
        <f>IF(OR($A317="",$H317="",$H317="NO LAB"),0,IFERROR(VALUE(LEFT($H317,FIND(" ",$H317)-1)),0))</f>
        <v/>
      </c>
      <c r="CI317" s="91">
        <f>IF(OR($A317="",$I317="",$I317="NON-RATED",N($J317)=0),"",IFERROR(VLOOKUP($I317&amp;"|"&amp;$J317,IBC,2,FALSE),"?"))</f>
        <v/>
      </c>
      <c r="CJ317" s="85">
        <f>IF(NOT(AND($A317&lt;&gt;"",$C317&lt;&gt;"DOOR ONLY")),"",TRIM(IFERROR(VLOOKUP($U317,CODES,2,FALSE),"")&amp;" "&amp;$BG317&amp;" "&amp;IFERROR(VLOOKUP($Z317,CODES,2,FALSE),"")&amp;" "&amp;IFERROR(VLOOKUP($X317,CODES,2,FALSE),"")&amp;" "&amp;IFERROR(VLOOKUP($S317,CODES,2,FALSE),"")&amp;IF(N($P317)&gt;0," w/TRANSOM "&amp;$P317&amp;CHAR(34),"")&amp;IF(N($Q317)&gt;0," w/SIDELITE "&amp;$Q317&amp;CHAR(34)&amp;" "&amp;IF($R317="","R",$R317),"")&amp;IF($Y317="","  |  "," | "&amp;IFERROR(VLOOKUP($Y317,CODES,2,FALSE),"")&amp;" | ")&amp;IFERROR(VLOOKUP($AC317,CODES,2,FALSE),"")&amp;" "&amp;IFERROR(VLOOKUP($AD317,CODES,2,FALSE),"")&amp;IF(OR($AE317="",$AE317="-"),""," "&amp;$AE317)&amp;IF(OR($AF317="",$AF317="-"),""," "&amp;$AF317)&amp;IF($AB317="Y"," 4"&amp;CHAR(34)&amp;" HEAD","")&amp;" "&amp;IFERROR(VLOOKUP($H317,CODES,2,FALSE),"")&amp;IF($CT317," | LOC "&amp;$CY317,"")))</f>
        <v/>
      </c>
      <c r="CK317" s="85">
        <f>IF(NOT(AND($A317&lt;&gt;"",N($BJ317)&gt;0)),"",TRIM(IFERROR(VLOOKUP($AH317,CODES,2,FALSE),"")&amp;IF($AI317=""," "," "&amp;$AI317&amp;"GA ")&amp;$BG317&amp;" "&amp;IF($AN317="",IFERROR(VLOOKUP($Z317,CODES,2,FALSE),""),IFERROR(VLOOKUP($AN317,CODES,2,FALSE),""))&amp;IF($BJ317=2," PAIR","")&amp;" DOOR | "&amp;IF($AL317="","?",$AL317)&amp;" | "&amp;IF($AO317="",IFERROR(VLOOKUP($AC317,CODES,2,FALSE),""),IFERROR(VLOOKUP($AO317,CODES,2,FALSE),""))&amp;" "&amp;IFERROR(VLOOKUP($AP317,CODES,2,FALSE),"")&amp;IF(OR($AQ317="",$AQ317="-"),""," SEAM "&amp;$AQ317)&amp;IF($AR317="Y"," ASTRAGAL","")&amp;IF($AJ317=""," "," "&amp;$AJ317)&amp;IF($AK317=""," "," "&amp;$AK317)&amp;IF(OR($AT317="",$AT317="ANSI/SDI",$AT317="CUSTOM LOC"),""," "&amp;$AT317)&amp;IF($AM317=""," "," SERIES "&amp;$AM317)&amp;" "&amp;IFERROR(VLOOKUP($H317,CODES,2,FALSE),"")&amp;IF($CT317," | LOC "&amp;$CZ317,"")))</f>
        <v/>
      </c>
      <c r="CL317" s="84">
        <f>IF(CP317="","",IF(COUNTIF($CP$6:CP317,CP317)=1,MAX($CL$5:CL316)+1,INDEX($CL$5:CL316,MATCH(CP317,$CP$5:CP316,0))))</f>
        <v/>
      </c>
      <c r="CM317" s="84">
        <f>IF(NOT(AND($A317&lt;&gt;"",$C317&lt;&gt;"DOOR ONLY")),"",MAX($CM$5:CM316)+1)</f>
        <v/>
      </c>
      <c r="CN317" s="84">
        <f>IF(NOT(AND($A317&lt;&gt;"",N($BJ317)&gt;0)),"",MAX($CN$5:CN316)+1)</f>
        <v/>
      </c>
      <c r="CO317" s="84">
        <f>IF($A317="","",MAX($CO$5:CO316)+1)</f>
        <v/>
      </c>
      <c r="CP317" s="84">
        <f>IF(OR($A317="",$BH317="",$BI317=""),"",$BG317&amp;"|"&amp;$O317&amp;"|"&amp;$AL317&amp;"|"&amp;$S317&amp;"|"&amp;$P317&amp;"|"&amp;$Q317&amp;$R317&amp;"|"&amp;$C317&amp;"|"&amp;$AB317)</f>
        <v/>
      </c>
      <c r="CQ317" s="84">
        <f>N($BS317)</f>
        <v/>
      </c>
      <c r="CR317" s="84">
        <f>IF(N($AU317)&gt;0,N($AU317),4.5)</f>
        <v/>
      </c>
      <c r="CS317" s="84">
        <f>OR($A317="",$BI317="",$S317="BL",AND($C317="FRAME ONLY",OR($AC317="",$AC317="BLK")))</f>
        <v/>
      </c>
      <c r="CT317" s="84">
        <f>AND(NOT($CS317),OR($AT317="CUSTOM LOC",N($AW317)+N($AX317)+N($AY317)+N($AZ317)+N($BA317)&gt;0))</f>
        <v/>
      </c>
      <c r="CU317" s="84">
        <f>IF($BI317="","",IF($BI317&lt;=80,80,IF($BI317&lt;=84,84,96)))</f>
        <v/>
      </c>
      <c r="CV317" s="84">
        <f>ISNUMBER(MATCH($AT317&amp;"|80",LocKeys,0))</f>
        <v/>
      </c>
      <c r="CW317" s="86">
        <f>IF($CS317,"",IF($CV317,VLOOKUP($AT317&amp;"|"&amp;$CU317,LocTable,4,FALSE),5))</f>
        <v/>
      </c>
      <c r="CX317" s="86">
        <f>IF($CS317,"",IF($CV317,IF(OR($BI317=$CU317,AND($BI317&lt;$CU317,$BI317-IF(N(VLOOKUP($AT317&amp;"|"&amp;$CU317,LocTable,7,FALSE))&gt;0,VLOOKUP($AT317&amp;"|"&amp;$CU317,LocTable,7,FALSE),VLOOKUP($AT317&amp;"|"&amp;$CU317,LocTable,6,FALSE))-$CR317-0.75&gt;=2.125)),IF(N(VLOOKUP($AT317&amp;"|"&amp;$CU317,LocTable,7,FALSE))&gt;0,VLOOKUP($AT317&amp;"|"&amp;$CU317,LocTable,7,FALSE),VLOOKUP($AT317&amp;"|"&amp;$CU317,LocTable,6,FALSE)),$BI317-($CU317-IF(N(VLOOKUP($AT317&amp;"|"&amp;$CU317,LocTable,7,FALSE))&gt;0,VLOOKUP($AT317&amp;"|"&amp;$CU317,LocTable,7,FALSE),VLOOKUP($AT317&amp;"|"&amp;$CU317,LocTable,6,FALSE)))),$BI317-10-$CR317))</f>
        <v/>
      </c>
      <c r="CY317" s="85">
        <f>IF($CS317,"",TRIM(IF(ISNUMBER($BU317),"A "&amp;TRIM(TEXT($BU317,"# ?/??"))&amp;CHAR(34)&amp;"  ","")&amp;IF(ISNUMBER($BV317),"B "&amp;TRIM(TEXT($BV317,"# ?/??"))&amp;CHAR(34)&amp;"  ","")&amp;IF(ISNUMBER($BW317),"C "&amp;TRIM(TEXT($BW317,"# ?/??"))&amp;CHAR(34)&amp;"  ","")&amp;IF(ISNUMBER($BX317),"D "&amp;TRIM(TEXT($BX317,"# ?/??"))&amp;CHAR(34)&amp;"  ","")&amp;IF(ISNUMBER($BY317),"F "&amp;TRIM(TEXT($BY317,"# ?/??"))&amp;CHAR(34)&amp;"  ","")&amp;IF(ISNUMBER($BZ317),"E "&amp;TRIM(TEXT($BZ317,"# ?/??"))&amp;CHAR(34)&amp;"  ","")))</f>
        <v/>
      </c>
      <c r="CZ317" s="85">
        <f>IF(OR($CS317,N($BJ317)=0),"",TRIM(IF(ISNUMBER($BU317),"A "&amp;TRIM(TEXT($BU317-HeadClr,"# ?/??"))&amp;CHAR(34)&amp;"  ","")&amp;IF(ISNUMBER($BV317),"B "&amp;TRIM(TEXT($BV317-HeadClr,"# ?/??"))&amp;CHAR(34)&amp;"  ","")&amp;IF(ISNUMBER($BW317),"C "&amp;TRIM(TEXT($BW317-HeadClr,"# ?/??"))&amp;CHAR(34)&amp;"  ","")&amp;IF(ISNUMBER($BX317),"D "&amp;TRIM(TEXT($BX317-HeadClr,"# ?/??"))&amp;CHAR(34)&amp;"  ","")&amp;IF(ISNUMBER($BY317),"F "&amp;TRIM(TEXT($BY317-HeadClr,"# ?/??"))&amp;CHAR(34)&amp;"  ","")&amp;IF(ISNUMBER($BZ317),"E "&amp;TRIM(TEXT($BZ317-HeadClr,"# ?/??"))&amp;CHAR(34)&amp;"  ","")))</f>
        <v/>
      </c>
      <c r="DA317" s="84">
        <f>IF($A317="","",IF($AN317="",IFERROR(VLOOKUP($Z317,CODES,2,FALSE),""),IFERROR(VLOOKUP($AN317,CODES,2,FALSE),"")))</f>
        <v/>
      </c>
      <c r="DB317" s="84">
        <f>IF($A317="","",IF($O317="Y","PR",IF(OR($Z317="L",$Z317="RR",LEFT($Z317,2)="L-",LEFT($Z317,3)="RR-"),"LH","RH")))</f>
        <v/>
      </c>
      <c r="DC317" s="84">
        <f>IF($A317="","","S.HM"&amp;IF(OR($C317="DOOR ONLY",$X317&lt;&gt;"KD"),"MASONRY","DRYWALL")&amp;IF($C317="DOOR ONLY","",$U317)&amp;IF(AND($C317&lt;&gt;"FRAME ONLY",OR(LEFT($AH317,3)="OAK",LEFT($AH317,3)="BIR",LEFT($AH317,3)="MAP",$AH317="PC",$AH317="MC",$AH317="SCLC",$AH317="P-LAM")),"WD","HM")&amp;"1.75")</f>
        <v/>
      </c>
      <c r="DD317" s="84">
        <f>IF($CJ317="","",IF($O317="Y",$CJ317,SUBSTITUTE($CJ317,$BG317&amp;" "&amp;IFERROR(VLOOKUP($Z317,CODES,2,FALSE),"")&amp;" ",$BG317&amp;" ")))</f>
        <v/>
      </c>
      <c r="DE317" s="84">
        <f>IF($CK317="","",IF($O317="Y",$CK317,SUBSTITUTE($CK317,$BG317&amp;" "&amp;IF($AN317="",IFERROR(VLOOKUP($Z317,CODES,2,FALSE),""),IFERROR(VLOOKUP($AN317,CODES,2,FALSE),""))&amp;" ",$BG317&amp;" ")))</f>
        <v/>
      </c>
      <c r="DF317" s="84">
        <f>IF($CJ317="","",$DC317&amp;"|"&amp;$DD317&amp;"|"&amp;$DB317&amp;"|"&amp;$AT317&amp;"|"&amp;$V317&amp;"|"&amp;$Y317&amp;"|"&amp;$AB317)</f>
        <v/>
      </c>
      <c r="DG317" s="84">
        <f>IF(DF317="","",IF(COUNTIF($DF$6:DF317,DF317)=1,MAX($DG$5:DG316)+1,INDEX($DG$5:DG316,MATCH(DF317,$DF$5:DF316,0))))</f>
        <v/>
      </c>
      <c r="DH317" s="84">
        <f>IF($CK317="","",$DC317&amp;"|"&amp;$DE317&amp;"|"&amp;$AI317&amp;"|"&amp;$BK317&amp;"|"&amp;$BL317)</f>
        <v/>
      </c>
      <c r="DI317" s="84">
        <f>IF(DH317="","",IF(COUNTIF($DH$6:DH317,DH317)=1,MAX($DI$5:DI316)+1,INDEX($DI$5:DI316,MATCH(DH317,$DH$5:DH316,0))))</f>
        <v/>
      </c>
      <c r="DJ317" s="84">
        <f>IF($A317="","",IF($B317="","qty, ","")&amp;IF($C317="","scope, ","")&amp;IF(OR($K317="",$M317=""),"size, ","")&amp;IF(AND($A317&lt;&gt;"",$C317&lt;&gt;"DOOR ONLY"),IF($U317="","jamb depth, ","")&amp;IF($X317="","construction, ","")&amp;IF($Y317="","anchor, ","")&amp;IF($S317="","frame type, ",""),"")&amp;IF(AND(N($BJ317)&gt;0,$Z317=""),"hand, ","")&amp;IF(N($BJ317)&gt;0,IF($AH317="","door material, ","")&amp;IF($AL317="","face type, ","")&amp;IF($AP317="","lock prep, ","")&amp;IF(AND($AO317="",$AC317=""),"hinge prep, ",""),"")&amp;IF(AND($CH317&gt;0,$AH317="FRP"),"FRP cannot carry a label, ","")&amp;IF(AND($O317="Y",OR($Z317="L",$Z317="R",$Z317="LR",$Z317="RR")),"pair marked but hand is single, ","")&amp;IF(AND($O317&lt;&gt;"Y",OR($Z317="PR",AND(LEN($Z317)&gt;1,ISNUMBER(SEARCH("-",$Z317))))),"pair hand on a single door, ","")&amp;IF(AND(ISNUMBER($CI317),$CH317&lt;N($CI317)),"wall needs a "&amp;$CI317&amp;" min door, ","")&amp;IF(AND($CH317&gt;=180,AND(OR($CE317="FG",$CE317="HG",$CE317="FNV",$CE317="FV"),N($CF317)*N($CG317)&gt;100)),"180 min lite over 100 sq in, ","")&amp;IF(N($BK317)&gt;48,"leaf wider than 4'-0"&amp;CHAR(34)&amp;", ","")&amp;IF(AND($CT317,COUNT($AW317:$AZ317)=0,$CQ317&gt;0),"CUSTOM LOC with no locations typed, ",""))</f>
        <v/>
      </c>
      <c r="DK317" s="84">
        <f>IF($A317="","",IF(AND($CH317&gt;0,AND($A317&lt;&gt;"",$C317&lt;&gt;"DOOR ONLY"),$X317="KD",$E317="EXTERIOR"),"KD label on an exterior opening, ","")&amp;IF(AND($E317="EXTERIOR",OR(AND(AND($A317&lt;&gt;"",$C317&lt;&gt;"DOOR ONLY"),$W317="CR"),AND(N($BJ317)&gt;0,$AH317="CR"))),"exterior in CR steel (G9?), ","")&amp;IF(AND(ISNUMBER($BQ317),N($BQ317)&lt;32),"clear width ~"&amp;TEXT($BQ317,"0.0")&amp;CHAR(34)&amp;" under 32"&amp;CHAR(34)&amp;" (ADA), ","")&amp;IF(AND($CH317=90,AND(OR($CE317="FG",$CE317="HG",$CE317="FNV",$CE317="FV"),N($CF317)*N($CG317)&gt;100)),"90 min lite over 100 sq in (stair/exit), ","")&amp;IF(AND($CH317&gt;0,AND($A317&lt;&gt;"",$C317&lt;&gt;"DOOR ONLY"),OR($AF317="",$AF317="-")),"rated: closer reinf.?, ","")&amp;IF(OR($I317="CORRIDOR",$I317="SMOKE BARRIER"),"S label + smoke gasketing, ","")&amp;IF($CI317="?","wall type/hr not in IBC table, ","")&amp;IF(AND(N($BJ317)&gt;0,$BB317=""),"no hardware set, ","")&amp;IF(AND($BB317&lt;&gt;"",ISNA(MATCH($BB317&amp;"",HWSets,0))),"set "&amp;$BB317&amp;" not on HW Sets, ","")&amp;IF(N($BL317)&gt;96,"leaf over 8'-0"&amp;CHAR(34)&amp;" - check listing, ","")&amp;IF(AND($CT317,COUNT($AW317:$AZ317)&gt;0,COUNT($AW317:$AZ317)&lt;&gt;$CQ317),COUNT($AW317:$AZ317)&amp;" custom hinges typed, "&amp;$CQ317&amp;" expected, ","")&amp;IF(AND(ISNUMBER($CA317),OR(N($CA317)&lt;34,N($CA317)&gt;48)),"lock "&amp;TEXT($CA317,"0.0")&amp;CHAR(34)&amp;" AFF outside 34-48"&amp;CHAR(34)&amp;" (ADA), ","")&amp;IF(AND(ISNUMBER($AV317),ISNUMBER($BL317),N($AV317)&lt;IF(N($BL317)&lt;=60,2,IF(N($BL317)&lt;=90,3,IF(N($BL317)&lt;=120,4,5)))),"fewer hinges than standard, ",""))</f>
        <v/>
      </c>
    </row>
    <row r="318" ht="15" customHeight="1">
      <c r="A318" s="77" t="n"/>
      <c r="B318" s="78" t="n"/>
      <c r="C318" s="78" t="n"/>
      <c r="D318" s="78" t="n"/>
      <c r="E318" s="78" t="n"/>
      <c r="F318" s="78" t="n"/>
      <c r="G318" s="78" t="n"/>
      <c r="H318" s="78" t="n"/>
      <c r="I318" s="78" t="n"/>
      <c r="J318" s="78" t="n"/>
      <c r="K318" s="78" t="n"/>
      <c r="L318" s="78" t="n"/>
      <c r="M318" s="78" t="n"/>
      <c r="N318" s="78" t="n"/>
      <c r="O318" s="78" t="n"/>
      <c r="P318" s="78" t="n"/>
      <c r="Q318" s="78" t="n"/>
      <c r="R318" s="78" t="n"/>
      <c r="S318" s="79" t="n"/>
      <c r="T318" s="79" t="n"/>
      <c r="U318" s="79" t="n"/>
      <c r="V318" s="79" t="n"/>
      <c r="W318" s="79" t="n"/>
      <c r="X318" s="79" t="n"/>
      <c r="Y318" s="79" t="n"/>
      <c r="Z318" s="79" t="n"/>
      <c r="AA318" s="79" t="n"/>
      <c r="AB318" s="79" t="n"/>
      <c r="AC318" s="79" t="n"/>
      <c r="AD318" s="79" t="n"/>
      <c r="AE318" s="79" t="n"/>
      <c r="AF318" s="79" t="n"/>
      <c r="AG318" s="79" t="n"/>
      <c r="AH318" s="80" t="n"/>
      <c r="AI318" s="80" t="n"/>
      <c r="AJ318" s="80" t="n"/>
      <c r="AK318" s="80" t="n"/>
      <c r="AL318" s="80" t="n"/>
      <c r="AM318" s="80" t="n"/>
      <c r="AN318" s="80" t="n"/>
      <c r="AO318" s="80" t="n"/>
      <c r="AP318" s="80" t="n"/>
      <c r="AQ318" s="80" t="n"/>
      <c r="AR318" s="80" t="n"/>
      <c r="AS318" s="80" t="n"/>
      <c r="AT318" s="81" t="n"/>
      <c r="AU318" s="81" t="n"/>
      <c r="AV318" s="81" t="n"/>
      <c r="AW318" s="82" t="n"/>
      <c r="AX318" s="82" t="n"/>
      <c r="AY318" s="82" t="n"/>
      <c r="AZ318" s="82" t="n"/>
      <c r="BA318" s="82" t="n"/>
      <c r="BB318" s="83" t="n"/>
      <c r="BC318" s="83" t="n"/>
      <c r="BD318" s="84">
        <f>IF($A318="","",IF($DJ318&lt;&gt;"","FIX",IF($DK318&lt;&gt;"","CHECK","OK")))</f>
        <v/>
      </c>
      <c r="BE318" s="85">
        <f>IF($A318="","",IF($DJ318&lt;&gt;"","FIX: "&amp;LEFT($DJ318,LEN($DJ318)-2)&amp;IF($DK318&lt;&gt;"","  ·  ",""),"")&amp;IF($DK318&lt;&gt;"","CHECK: "&amp;LEFT($DK318,LEN($DK318)-2),""))</f>
        <v/>
      </c>
      <c r="BF318" s="84">
        <f>IF(OR($A318="",$K318=""),"",$K318&amp;"'-"&amp;N($L318)&amp;CHAR(34)&amp;" x "&amp;$M318&amp;"'-"&amp;N($N318)&amp;CHAR(34))</f>
        <v/>
      </c>
      <c r="BG318" s="84">
        <f>IF(OR($A318="",$K318=""),"",$K318&amp;N($L318)&amp;$M318&amp;N($N318))</f>
        <v/>
      </c>
      <c r="BH318" s="84">
        <f>IF(OR($A318="",$K318=""),"",$K318*12+N($L318))</f>
        <v/>
      </c>
      <c r="BI318" s="84">
        <f>IF(OR($A318="",$M318=""),"",$M318*12+N($N318))</f>
        <v/>
      </c>
      <c r="BJ318" s="84">
        <f>IF($A318="","",IF(OR($C318="FRAME ONLY",$S318="BL"),0,IF($O318="Y",2,1)))</f>
        <v/>
      </c>
      <c r="BK318" s="86">
        <f>IF(OR(N($BJ318)=0,$BH318=""),"",($BH318-2*EdgeClr-IF($BJ318=2,MeetClr,0))/$BJ318)</f>
        <v/>
      </c>
      <c r="BL318" s="86">
        <f>IF(OR(N($BJ318)=0,$BI318=""),"",$BI318-HeadClr-Undercut)</f>
        <v/>
      </c>
      <c r="BM318" s="86">
        <f>IF($BH318="","",$BH318+2*FaceW+IF(N($Q318)&gt;0,($Q318+FaceW)*IF($R318="LR",2,1),0))</f>
        <v/>
      </c>
      <c r="BN318" s="86">
        <f>IF($BI318="","",$BI318+IF($AB318="Y",4,FaceW)+IF(N($P318)&gt;0,$P318+FaceW,0)+IF(OR($S318="4F",$S318="BL"),FaceW,0))</f>
        <v/>
      </c>
      <c r="BO318" s="86">
        <f>IF($BM318="","",$BM318+2*ROSide)</f>
        <v/>
      </c>
      <c r="BP318" s="86">
        <f>IF($BN318="","",$BN318+ROTop)</f>
        <v/>
      </c>
      <c r="BQ318" s="87">
        <f>IF(OR(N($BJ318)=0,$BH318=""),"",$BH318/$BJ318-ClearDeduct)</f>
        <v/>
      </c>
      <c r="BR318" s="84">
        <f>IF(N($CH318)=0,"",IF($CH318&gt;=180,"A · 3 HR",IF($CH318&gt;=90,"B · 1-1/2 HR",IF($CH318&gt;=60,"B · 1 HR",IF($CH318&gt;=45,"C · 3/4 HR","20 MIN")))))&amp;IF(AND(N($CH318)&gt;0,OR($I318="CORRIDOR",$I318="SMOKE BARRIER"))," · S","")</f>
        <v/>
      </c>
      <c r="BS318" s="84">
        <f>IF($CS318,"",IF($AV318&lt;&gt;"",$AV318,IF(OR($AC318="HGC",$AO318="HGC"),"CONT",IF(($BI318-HeadClr-Undercut)&lt;=60,2,IF(($BI318-HeadClr-Undercut)&lt;=90,3,IF(($BI318-HeadClr-Undercut)&lt;=120,4,5))))))</f>
        <v/>
      </c>
      <c r="BT318" s="84">
        <f>IF($CS318,"",IF($CT318,"CUSTOM (typed)",IF($CV318,$AT318&amp;" "&amp;$CU318&amp;CHAR(34)&amp;IF($CU318&lt;&gt;$BI318,IF(AND($BI318&lt;$CU318,$BI318-IF(N(VLOOKUP($AT318&amp;"|"&amp;$CU318,LocTable,7,FALSE))&gt;0,VLOOKUP($AT318&amp;"|"&amp;$CU318,LocTable,7,FALSE),VLOOKUP($AT318&amp;"|"&amp;$CU318,LocTable,6,FALSE))-$CR318-0.75&gt;=2.125)," cut down"," adj."),""),"ANSI/SDI A250.6")))</f>
        <v/>
      </c>
      <c r="BU318" s="88">
        <f>IF($CS318,"",IF($CT318,IF(N($AW318)&gt;0,N($AW318),""),IF(1&gt;$CQ318,"",IF($CQ318=1,$CW318,$CW318+($CX318-$CW318)*0/($CQ318-1)))))</f>
        <v/>
      </c>
      <c r="BV318" s="88">
        <f>IF($CS318,"",IF($CT318,IF(N($AX318)&gt;0,N($AX318),""),IF(2&gt;$CQ318,"",IF($CQ318=1,$CW318,$CW318+($CX318-$CW318)*1/($CQ318-1)))))</f>
        <v/>
      </c>
      <c r="BW318" s="88">
        <f>IF($CS318,"",IF($CT318,IF(N($AY318)&gt;0,N($AY318),""),IF(3&gt;$CQ318,"",IF($CQ318=1,$CW318,$CW318+($CX318-$CW318)*2/($CQ318-1)))))</f>
        <v/>
      </c>
      <c r="BX318" s="88">
        <f>IF($CS318,"",IF($CT318,IF(N($AZ318)&gt;0,N($AZ318),""),IF(4&gt;$CQ318,"",IF($CQ318=1,$CW318,$CW318+($CX318-$CW318)*3/($CQ318-1)))))</f>
        <v/>
      </c>
      <c r="BY318" s="88">
        <f>IF($CS318,"",IF($CT318,"",IF(5&gt;$CQ318,"",IF($CQ318=1,$CW318,$CW318+($CX318-$CW318)*4/($CQ318-1)))))</f>
        <v/>
      </c>
      <c r="BZ318" s="88">
        <f>IF(OR($CS318,$AP318="-",AND($AP318="",$AD318="")),"",IF(N($BA318)&gt;0,N($BA318),IF($CV318,IF(AND($BI318&lt;$CU318,$BI318-IF(N(VLOOKUP($AT318&amp;"|"&amp;$CU318,LocTable,7,FALSE))&gt;0,VLOOKUP($AT318&amp;"|"&amp;$CU318,LocTable,7,FALSE),VLOOKUP($AT318&amp;"|"&amp;$CU318,LocTable,6,FALSE))-$CR318-0.75&gt;=2.125),VLOOKUP($AT318&amp;"|"&amp;$CU318,LocTable,8,FALSE),VLOOKUP($AT318&amp;"|"&amp;$CU318,LocTable,8,FALSE)+($BI318-$CU318)),$BI318-LockAFF)))</f>
        <v/>
      </c>
      <c r="CA318" s="89">
        <f>IF($BZ318="","",$BI318-$BZ318)</f>
        <v/>
      </c>
      <c r="CB318" s="84">
        <f>IF(OR(NOT(AND($A318&lt;&gt;"",$C318&lt;&gt;"DOOR ONLY")),$BI318=""),"",IF(($BI318+IF(N($P318)&gt;0,$P318+FaceW,0))&lt;=90,3,IF(($BI318+IF(N($P318)&gt;0,$P318+FaceW,0))&lt;=114,4,5)))</f>
        <v/>
      </c>
      <c r="CC318" s="84">
        <f>IF($CB318="","",$CB318*(2+IF(N($Q318)&gt;0,IF($R318="LR",2,1),0)))</f>
        <v/>
      </c>
      <c r="CD318" s="84">
        <f>IF($CB318="","",(2+IF(N($Q318)&gt;0,IF($R318="LR",2,1),0)))</f>
        <v/>
      </c>
      <c r="CE318" s="84">
        <f>IF(N($BJ318)=0,"",IF(OR($AL318="",$AL318="FLUSH"),"FLUSH",IFERROR(LEFT($AL318,FIND("-",$AL318)-1),LEFT($AL318,2))))</f>
        <v/>
      </c>
      <c r="CF318" s="84">
        <f>IF($CE318="","",IFERROR(VALUE(MID($AL318,FIND("-",$AL318)+1,FIND(CHAR(34)&amp;"x",$AL318)-FIND("-",$AL318)-1)),0))</f>
        <v/>
      </c>
      <c r="CG318" s="84">
        <f>IF($CE318="","",IFERROR(VALUE(MID($AL318,FIND(CHAR(34)&amp;"x",$AL318)+2,FIND(CHAR(34),$AL318,FIND(CHAR(34)&amp;"x",$AL318)+2)-FIND(CHAR(34)&amp;"x",$AL318)-2)),0))</f>
        <v/>
      </c>
      <c r="CH318" s="90">
        <f>IF(OR($A318="",$H318="",$H318="NO LAB"),0,IFERROR(VALUE(LEFT($H318,FIND(" ",$H318)-1)),0))</f>
        <v/>
      </c>
      <c r="CI318" s="91">
        <f>IF(OR($A318="",$I318="",$I318="NON-RATED",N($J318)=0),"",IFERROR(VLOOKUP($I318&amp;"|"&amp;$J318,IBC,2,FALSE),"?"))</f>
        <v/>
      </c>
      <c r="CJ318" s="85">
        <f>IF(NOT(AND($A318&lt;&gt;"",$C318&lt;&gt;"DOOR ONLY")),"",TRIM(IFERROR(VLOOKUP($U318,CODES,2,FALSE),"")&amp;" "&amp;$BG318&amp;" "&amp;IFERROR(VLOOKUP($Z318,CODES,2,FALSE),"")&amp;" "&amp;IFERROR(VLOOKUP($X318,CODES,2,FALSE),"")&amp;" "&amp;IFERROR(VLOOKUP($S318,CODES,2,FALSE),"")&amp;IF(N($P318)&gt;0," w/TRANSOM "&amp;$P318&amp;CHAR(34),"")&amp;IF(N($Q318)&gt;0," w/SIDELITE "&amp;$Q318&amp;CHAR(34)&amp;" "&amp;IF($R318="","R",$R318),"")&amp;IF($Y318="","  |  "," | "&amp;IFERROR(VLOOKUP($Y318,CODES,2,FALSE),"")&amp;" | ")&amp;IFERROR(VLOOKUP($AC318,CODES,2,FALSE),"")&amp;" "&amp;IFERROR(VLOOKUP($AD318,CODES,2,FALSE),"")&amp;IF(OR($AE318="",$AE318="-"),""," "&amp;$AE318)&amp;IF(OR($AF318="",$AF318="-"),""," "&amp;$AF318)&amp;IF($AB318="Y"," 4"&amp;CHAR(34)&amp;" HEAD","")&amp;" "&amp;IFERROR(VLOOKUP($H318,CODES,2,FALSE),"")&amp;IF($CT318," | LOC "&amp;$CY318,"")))</f>
        <v/>
      </c>
      <c r="CK318" s="85">
        <f>IF(NOT(AND($A318&lt;&gt;"",N($BJ318)&gt;0)),"",TRIM(IFERROR(VLOOKUP($AH318,CODES,2,FALSE),"")&amp;IF($AI318=""," "," "&amp;$AI318&amp;"GA ")&amp;$BG318&amp;" "&amp;IF($AN318="",IFERROR(VLOOKUP($Z318,CODES,2,FALSE),""),IFERROR(VLOOKUP($AN318,CODES,2,FALSE),""))&amp;IF($BJ318=2," PAIR","")&amp;" DOOR | "&amp;IF($AL318="","?",$AL318)&amp;" | "&amp;IF($AO318="",IFERROR(VLOOKUP($AC318,CODES,2,FALSE),""),IFERROR(VLOOKUP($AO318,CODES,2,FALSE),""))&amp;" "&amp;IFERROR(VLOOKUP($AP318,CODES,2,FALSE),"")&amp;IF(OR($AQ318="",$AQ318="-"),""," SEAM "&amp;$AQ318)&amp;IF($AR318="Y"," ASTRAGAL","")&amp;IF($AJ318=""," "," "&amp;$AJ318)&amp;IF($AK318=""," "," "&amp;$AK318)&amp;IF(OR($AT318="",$AT318="ANSI/SDI",$AT318="CUSTOM LOC"),""," "&amp;$AT318)&amp;IF($AM318=""," "," SERIES "&amp;$AM318)&amp;" "&amp;IFERROR(VLOOKUP($H318,CODES,2,FALSE),"")&amp;IF($CT318," | LOC "&amp;$CZ318,"")))</f>
        <v/>
      </c>
      <c r="CL318" s="84">
        <f>IF(CP318="","",IF(COUNTIF($CP$6:CP318,CP318)=1,MAX($CL$5:CL317)+1,INDEX($CL$5:CL317,MATCH(CP318,$CP$5:CP317,0))))</f>
        <v/>
      </c>
      <c r="CM318" s="84">
        <f>IF(NOT(AND($A318&lt;&gt;"",$C318&lt;&gt;"DOOR ONLY")),"",MAX($CM$5:CM317)+1)</f>
        <v/>
      </c>
      <c r="CN318" s="84">
        <f>IF(NOT(AND($A318&lt;&gt;"",N($BJ318)&gt;0)),"",MAX($CN$5:CN317)+1)</f>
        <v/>
      </c>
      <c r="CO318" s="84">
        <f>IF($A318="","",MAX($CO$5:CO317)+1)</f>
        <v/>
      </c>
      <c r="CP318" s="84">
        <f>IF(OR($A318="",$BH318="",$BI318=""),"",$BG318&amp;"|"&amp;$O318&amp;"|"&amp;$AL318&amp;"|"&amp;$S318&amp;"|"&amp;$P318&amp;"|"&amp;$Q318&amp;$R318&amp;"|"&amp;$C318&amp;"|"&amp;$AB318)</f>
        <v/>
      </c>
      <c r="CQ318" s="84">
        <f>N($BS318)</f>
        <v/>
      </c>
      <c r="CR318" s="84">
        <f>IF(N($AU318)&gt;0,N($AU318),4.5)</f>
        <v/>
      </c>
      <c r="CS318" s="84">
        <f>OR($A318="",$BI318="",$S318="BL",AND($C318="FRAME ONLY",OR($AC318="",$AC318="BLK")))</f>
        <v/>
      </c>
      <c r="CT318" s="84">
        <f>AND(NOT($CS318),OR($AT318="CUSTOM LOC",N($AW318)+N($AX318)+N($AY318)+N($AZ318)+N($BA318)&gt;0))</f>
        <v/>
      </c>
      <c r="CU318" s="84">
        <f>IF($BI318="","",IF($BI318&lt;=80,80,IF($BI318&lt;=84,84,96)))</f>
        <v/>
      </c>
      <c r="CV318" s="84">
        <f>ISNUMBER(MATCH($AT318&amp;"|80",LocKeys,0))</f>
        <v/>
      </c>
      <c r="CW318" s="86">
        <f>IF($CS318,"",IF($CV318,VLOOKUP($AT318&amp;"|"&amp;$CU318,LocTable,4,FALSE),5))</f>
        <v/>
      </c>
      <c r="CX318" s="86">
        <f>IF($CS318,"",IF($CV318,IF(OR($BI318=$CU318,AND($BI318&lt;$CU318,$BI318-IF(N(VLOOKUP($AT318&amp;"|"&amp;$CU318,LocTable,7,FALSE))&gt;0,VLOOKUP($AT318&amp;"|"&amp;$CU318,LocTable,7,FALSE),VLOOKUP($AT318&amp;"|"&amp;$CU318,LocTable,6,FALSE))-$CR318-0.75&gt;=2.125)),IF(N(VLOOKUP($AT318&amp;"|"&amp;$CU318,LocTable,7,FALSE))&gt;0,VLOOKUP($AT318&amp;"|"&amp;$CU318,LocTable,7,FALSE),VLOOKUP($AT318&amp;"|"&amp;$CU318,LocTable,6,FALSE)),$BI318-($CU318-IF(N(VLOOKUP($AT318&amp;"|"&amp;$CU318,LocTable,7,FALSE))&gt;0,VLOOKUP($AT318&amp;"|"&amp;$CU318,LocTable,7,FALSE),VLOOKUP($AT318&amp;"|"&amp;$CU318,LocTable,6,FALSE)))),$BI318-10-$CR318))</f>
        <v/>
      </c>
      <c r="CY318" s="85">
        <f>IF($CS318,"",TRIM(IF(ISNUMBER($BU318),"A "&amp;TRIM(TEXT($BU318,"# ?/??"))&amp;CHAR(34)&amp;"  ","")&amp;IF(ISNUMBER($BV318),"B "&amp;TRIM(TEXT($BV318,"# ?/??"))&amp;CHAR(34)&amp;"  ","")&amp;IF(ISNUMBER($BW318),"C "&amp;TRIM(TEXT($BW318,"# ?/??"))&amp;CHAR(34)&amp;"  ","")&amp;IF(ISNUMBER($BX318),"D "&amp;TRIM(TEXT($BX318,"# ?/??"))&amp;CHAR(34)&amp;"  ","")&amp;IF(ISNUMBER($BY318),"F "&amp;TRIM(TEXT($BY318,"# ?/??"))&amp;CHAR(34)&amp;"  ","")&amp;IF(ISNUMBER($BZ318),"E "&amp;TRIM(TEXT($BZ318,"# ?/??"))&amp;CHAR(34)&amp;"  ","")))</f>
        <v/>
      </c>
      <c r="CZ318" s="85">
        <f>IF(OR($CS318,N($BJ318)=0),"",TRIM(IF(ISNUMBER($BU318),"A "&amp;TRIM(TEXT($BU318-HeadClr,"# ?/??"))&amp;CHAR(34)&amp;"  ","")&amp;IF(ISNUMBER($BV318),"B "&amp;TRIM(TEXT($BV318-HeadClr,"# ?/??"))&amp;CHAR(34)&amp;"  ","")&amp;IF(ISNUMBER($BW318),"C "&amp;TRIM(TEXT($BW318-HeadClr,"# ?/??"))&amp;CHAR(34)&amp;"  ","")&amp;IF(ISNUMBER($BX318),"D "&amp;TRIM(TEXT($BX318-HeadClr,"# ?/??"))&amp;CHAR(34)&amp;"  ","")&amp;IF(ISNUMBER($BY318),"F "&amp;TRIM(TEXT($BY318-HeadClr,"# ?/??"))&amp;CHAR(34)&amp;"  ","")&amp;IF(ISNUMBER($BZ318),"E "&amp;TRIM(TEXT($BZ318-HeadClr,"# ?/??"))&amp;CHAR(34)&amp;"  ","")))</f>
        <v/>
      </c>
      <c r="DA318" s="84">
        <f>IF($A318="","",IF($AN318="",IFERROR(VLOOKUP($Z318,CODES,2,FALSE),""),IFERROR(VLOOKUP($AN318,CODES,2,FALSE),"")))</f>
        <v/>
      </c>
      <c r="DB318" s="84">
        <f>IF($A318="","",IF($O318="Y","PR",IF(OR($Z318="L",$Z318="RR",LEFT($Z318,2)="L-",LEFT($Z318,3)="RR-"),"LH","RH")))</f>
        <v/>
      </c>
      <c r="DC318" s="84">
        <f>IF($A318="","","S.HM"&amp;IF(OR($C318="DOOR ONLY",$X318&lt;&gt;"KD"),"MASONRY","DRYWALL")&amp;IF($C318="DOOR ONLY","",$U318)&amp;IF(AND($C318&lt;&gt;"FRAME ONLY",OR(LEFT($AH318,3)="OAK",LEFT($AH318,3)="BIR",LEFT($AH318,3)="MAP",$AH318="PC",$AH318="MC",$AH318="SCLC",$AH318="P-LAM")),"WD","HM")&amp;"1.75")</f>
        <v/>
      </c>
      <c r="DD318" s="84">
        <f>IF($CJ318="","",IF($O318="Y",$CJ318,SUBSTITUTE($CJ318,$BG318&amp;" "&amp;IFERROR(VLOOKUP($Z318,CODES,2,FALSE),"")&amp;" ",$BG318&amp;" ")))</f>
        <v/>
      </c>
      <c r="DE318" s="84">
        <f>IF($CK318="","",IF($O318="Y",$CK318,SUBSTITUTE($CK318,$BG318&amp;" "&amp;IF($AN318="",IFERROR(VLOOKUP($Z318,CODES,2,FALSE),""),IFERROR(VLOOKUP($AN318,CODES,2,FALSE),""))&amp;" ",$BG318&amp;" ")))</f>
        <v/>
      </c>
      <c r="DF318" s="84">
        <f>IF($CJ318="","",$DC318&amp;"|"&amp;$DD318&amp;"|"&amp;$DB318&amp;"|"&amp;$AT318&amp;"|"&amp;$V318&amp;"|"&amp;$Y318&amp;"|"&amp;$AB318)</f>
        <v/>
      </c>
      <c r="DG318" s="84">
        <f>IF(DF318="","",IF(COUNTIF($DF$6:DF318,DF318)=1,MAX($DG$5:DG317)+1,INDEX($DG$5:DG317,MATCH(DF318,$DF$5:DF317,0))))</f>
        <v/>
      </c>
      <c r="DH318" s="84">
        <f>IF($CK318="","",$DC318&amp;"|"&amp;$DE318&amp;"|"&amp;$AI318&amp;"|"&amp;$BK318&amp;"|"&amp;$BL318)</f>
        <v/>
      </c>
      <c r="DI318" s="84">
        <f>IF(DH318="","",IF(COUNTIF($DH$6:DH318,DH318)=1,MAX($DI$5:DI317)+1,INDEX($DI$5:DI317,MATCH(DH318,$DH$5:DH317,0))))</f>
        <v/>
      </c>
      <c r="DJ318" s="84">
        <f>IF($A318="","",IF($B318="","qty, ","")&amp;IF($C318="","scope, ","")&amp;IF(OR($K318="",$M318=""),"size, ","")&amp;IF(AND($A318&lt;&gt;"",$C318&lt;&gt;"DOOR ONLY"),IF($U318="","jamb depth, ","")&amp;IF($X318="","construction, ","")&amp;IF($Y318="","anchor, ","")&amp;IF($S318="","frame type, ",""),"")&amp;IF(AND(N($BJ318)&gt;0,$Z318=""),"hand, ","")&amp;IF(N($BJ318)&gt;0,IF($AH318="","door material, ","")&amp;IF($AL318="","face type, ","")&amp;IF($AP318="","lock prep, ","")&amp;IF(AND($AO318="",$AC318=""),"hinge prep, ",""),"")&amp;IF(AND($CH318&gt;0,$AH318="FRP"),"FRP cannot carry a label, ","")&amp;IF(AND($O318="Y",OR($Z318="L",$Z318="R",$Z318="LR",$Z318="RR")),"pair marked but hand is single, ","")&amp;IF(AND($O318&lt;&gt;"Y",OR($Z318="PR",AND(LEN($Z318)&gt;1,ISNUMBER(SEARCH("-",$Z318))))),"pair hand on a single door, ","")&amp;IF(AND(ISNUMBER($CI318),$CH318&lt;N($CI318)),"wall needs a "&amp;$CI318&amp;" min door, ","")&amp;IF(AND($CH318&gt;=180,AND(OR($CE318="FG",$CE318="HG",$CE318="FNV",$CE318="FV"),N($CF318)*N($CG318)&gt;100)),"180 min lite over 100 sq in, ","")&amp;IF(N($BK318)&gt;48,"leaf wider than 4'-0"&amp;CHAR(34)&amp;", ","")&amp;IF(AND($CT318,COUNT($AW318:$AZ318)=0,$CQ318&gt;0),"CUSTOM LOC with no locations typed, ",""))</f>
        <v/>
      </c>
      <c r="DK318" s="84">
        <f>IF($A318="","",IF(AND($CH318&gt;0,AND($A318&lt;&gt;"",$C318&lt;&gt;"DOOR ONLY"),$X318="KD",$E318="EXTERIOR"),"KD label on an exterior opening, ","")&amp;IF(AND($E318="EXTERIOR",OR(AND(AND($A318&lt;&gt;"",$C318&lt;&gt;"DOOR ONLY"),$W318="CR"),AND(N($BJ318)&gt;0,$AH318="CR"))),"exterior in CR steel (G9?), ","")&amp;IF(AND(ISNUMBER($BQ318),N($BQ318)&lt;32),"clear width ~"&amp;TEXT($BQ318,"0.0")&amp;CHAR(34)&amp;" under 32"&amp;CHAR(34)&amp;" (ADA), ","")&amp;IF(AND($CH318=90,AND(OR($CE318="FG",$CE318="HG",$CE318="FNV",$CE318="FV"),N($CF318)*N($CG318)&gt;100)),"90 min lite over 100 sq in (stair/exit), ","")&amp;IF(AND($CH318&gt;0,AND($A318&lt;&gt;"",$C318&lt;&gt;"DOOR ONLY"),OR($AF318="",$AF318="-")),"rated: closer reinf.?, ","")&amp;IF(OR($I318="CORRIDOR",$I318="SMOKE BARRIER"),"S label + smoke gasketing, ","")&amp;IF($CI318="?","wall type/hr not in IBC table, ","")&amp;IF(AND(N($BJ318)&gt;0,$BB318=""),"no hardware set, ","")&amp;IF(AND($BB318&lt;&gt;"",ISNA(MATCH($BB318&amp;"",HWSets,0))),"set "&amp;$BB318&amp;" not on HW Sets, ","")&amp;IF(N($BL318)&gt;96,"leaf over 8'-0"&amp;CHAR(34)&amp;" - check listing, ","")&amp;IF(AND($CT318,COUNT($AW318:$AZ318)&gt;0,COUNT($AW318:$AZ318)&lt;&gt;$CQ318),COUNT($AW318:$AZ318)&amp;" custom hinges typed, "&amp;$CQ318&amp;" expected, ","")&amp;IF(AND(ISNUMBER($CA318),OR(N($CA318)&lt;34,N($CA318)&gt;48)),"lock "&amp;TEXT($CA318,"0.0")&amp;CHAR(34)&amp;" AFF outside 34-48"&amp;CHAR(34)&amp;" (ADA), ","")&amp;IF(AND(ISNUMBER($AV318),ISNUMBER($BL318),N($AV318)&lt;IF(N($BL318)&lt;=60,2,IF(N($BL318)&lt;=90,3,IF(N($BL318)&lt;=120,4,5)))),"fewer hinges than standard, ",""))</f>
        <v/>
      </c>
    </row>
    <row r="319" ht="15" customHeight="1">
      <c r="A319" s="77" t="n"/>
      <c r="B319" s="78" t="n"/>
      <c r="C319" s="78" t="n"/>
      <c r="D319" s="78" t="n"/>
      <c r="E319" s="78" t="n"/>
      <c r="F319" s="78" t="n"/>
      <c r="G319" s="78" t="n"/>
      <c r="H319" s="78" t="n"/>
      <c r="I319" s="78" t="n"/>
      <c r="J319" s="78" t="n"/>
      <c r="K319" s="78" t="n"/>
      <c r="L319" s="78" t="n"/>
      <c r="M319" s="78" t="n"/>
      <c r="N319" s="78" t="n"/>
      <c r="O319" s="78" t="n"/>
      <c r="P319" s="78" t="n"/>
      <c r="Q319" s="78" t="n"/>
      <c r="R319" s="78" t="n"/>
      <c r="S319" s="79" t="n"/>
      <c r="T319" s="79" t="n"/>
      <c r="U319" s="79" t="n"/>
      <c r="V319" s="79" t="n"/>
      <c r="W319" s="79" t="n"/>
      <c r="X319" s="79" t="n"/>
      <c r="Y319" s="79" t="n"/>
      <c r="Z319" s="79" t="n"/>
      <c r="AA319" s="79" t="n"/>
      <c r="AB319" s="79" t="n"/>
      <c r="AC319" s="79" t="n"/>
      <c r="AD319" s="79" t="n"/>
      <c r="AE319" s="79" t="n"/>
      <c r="AF319" s="79" t="n"/>
      <c r="AG319" s="79" t="n"/>
      <c r="AH319" s="80" t="n"/>
      <c r="AI319" s="80" t="n"/>
      <c r="AJ319" s="80" t="n"/>
      <c r="AK319" s="80" t="n"/>
      <c r="AL319" s="80" t="n"/>
      <c r="AM319" s="80" t="n"/>
      <c r="AN319" s="80" t="n"/>
      <c r="AO319" s="80" t="n"/>
      <c r="AP319" s="80" t="n"/>
      <c r="AQ319" s="80" t="n"/>
      <c r="AR319" s="80" t="n"/>
      <c r="AS319" s="80" t="n"/>
      <c r="AT319" s="81" t="n"/>
      <c r="AU319" s="81" t="n"/>
      <c r="AV319" s="81" t="n"/>
      <c r="AW319" s="82" t="n"/>
      <c r="AX319" s="82" t="n"/>
      <c r="AY319" s="82" t="n"/>
      <c r="AZ319" s="82" t="n"/>
      <c r="BA319" s="82" t="n"/>
      <c r="BB319" s="83" t="n"/>
      <c r="BC319" s="83" t="n"/>
      <c r="BD319" s="84">
        <f>IF($A319="","",IF($DJ319&lt;&gt;"","FIX",IF($DK319&lt;&gt;"","CHECK","OK")))</f>
        <v/>
      </c>
      <c r="BE319" s="85">
        <f>IF($A319="","",IF($DJ319&lt;&gt;"","FIX: "&amp;LEFT($DJ319,LEN($DJ319)-2)&amp;IF($DK319&lt;&gt;"","  ·  ",""),"")&amp;IF($DK319&lt;&gt;"","CHECK: "&amp;LEFT($DK319,LEN($DK319)-2),""))</f>
        <v/>
      </c>
      <c r="BF319" s="84">
        <f>IF(OR($A319="",$K319=""),"",$K319&amp;"'-"&amp;N($L319)&amp;CHAR(34)&amp;" x "&amp;$M319&amp;"'-"&amp;N($N319)&amp;CHAR(34))</f>
        <v/>
      </c>
      <c r="BG319" s="84">
        <f>IF(OR($A319="",$K319=""),"",$K319&amp;N($L319)&amp;$M319&amp;N($N319))</f>
        <v/>
      </c>
      <c r="BH319" s="84">
        <f>IF(OR($A319="",$K319=""),"",$K319*12+N($L319))</f>
        <v/>
      </c>
      <c r="BI319" s="84">
        <f>IF(OR($A319="",$M319=""),"",$M319*12+N($N319))</f>
        <v/>
      </c>
      <c r="BJ319" s="84">
        <f>IF($A319="","",IF(OR($C319="FRAME ONLY",$S319="BL"),0,IF($O319="Y",2,1)))</f>
        <v/>
      </c>
      <c r="BK319" s="86">
        <f>IF(OR(N($BJ319)=0,$BH319=""),"",($BH319-2*EdgeClr-IF($BJ319=2,MeetClr,0))/$BJ319)</f>
        <v/>
      </c>
      <c r="BL319" s="86">
        <f>IF(OR(N($BJ319)=0,$BI319=""),"",$BI319-HeadClr-Undercut)</f>
        <v/>
      </c>
      <c r="BM319" s="86">
        <f>IF($BH319="","",$BH319+2*FaceW+IF(N($Q319)&gt;0,($Q319+FaceW)*IF($R319="LR",2,1),0))</f>
        <v/>
      </c>
      <c r="BN319" s="86">
        <f>IF($BI319="","",$BI319+IF($AB319="Y",4,FaceW)+IF(N($P319)&gt;0,$P319+FaceW,0)+IF(OR($S319="4F",$S319="BL"),FaceW,0))</f>
        <v/>
      </c>
      <c r="BO319" s="86">
        <f>IF($BM319="","",$BM319+2*ROSide)</f>
        <v/>
      </c>
      <c r="BP319" s="86">
        <f>IF($BN319="","",$BN319+ROTop)</f>
        <v/>
      </c>
      <c r="BQ319" s="87">
        <f>IF(OR(N($BJ319)=0,$BH319=""),"",$BH319/$BJ319-ClearDeduct)</f>
        <v/>
      </c>
      <c r="BR319" s="84">
        <f>IF(N($CH319)=0,"",IF($CH319&gt;=180,"A · 3 HR",IF($CH319&gt;=90,"B · 1-1/2 HR",IF($CH319&gt;=60,"B · 1 HR",IF($CH319&gt;=45,"C · 3/4 HR","20 MIN")))))&amp;IF(AND(N($CH319)&gt;0,OR($I319="CORRIDOR",$I319="SMOKE BARRIER"))," · S","")</f>
        <v/>
      </c>
      <c r="BS319" s="84">
        <f>IF($CS319,"",IF($AV319&lt;&gt;"",$AV319,IF(OR($AC319="HGC",$AO319="HGC"),"CONT",IF(($BI319-HeadClr-Undercut)&lt;=60,2,IF(($BI319-HeadClr-Undercut)&lt;=90,3,IF(($BI319-HeadClr-Undercut)&lt;=120,4,5))))))</f>
        <v/>
      </c>
      <c r="BT319" s="84">
        <f>IF($CS319,"",IF($CT319,"CUSTOM (typed)",IF($CV319,$AT319&amp;" "&amp;$CU319&amp;CHAR(34)&amp;IF($CU319&lt;&gt;$BI319,IF(AND($BI319&lt;$CU319,$BI319-IF(N(VLOOKUP($AT319&amp;"|"&amp;$CU319,LocTable,7,FALSE))&gt;0,VLOOKUP($AT319&amp;"|"&amp;$CU319,LocTable,7,FALSE),VLOOKUP($AT319&amp;"|"&amp;$CU319,LocTable,6,FALSE))-$CR319-0.75&gt;=2.125)," cut down"," adj."),""),"ANSI/SDI A250.6")))</f>
        <v/>
      </c>
      <c r="BU319" s="88">
        <f>IF($CS319,"",IF($CT319,IF(N($AW319)&gt;0,N($AW319),""),IF(1&gt;$CQ319,"",IF($CQ319=1,$CW319,$CW319+($CX319-$CW319)*0/($CQ319-1)))))</f>
        <v/>
      </c>
      <c r="BV319" s="88">
        <f>IF($CS319,"",IF($CT319,IF(N($AX319)&gt;0,N($AX319),""),IF(2&gt;$CQ319,"",IF($CQ319=1,$CW319,$CW319+($CX319-$CW319)*1/($CQ319-1)))))</f>
        <v/>
      </c>
      <c r="BW319" s="88">
        <f>IF($CS319,"",IF($CT319,IF(N($AY319)&gt;0,N($AY319),""),IF(3&gt;$CQ319,"",IF($CQ319=1,$CW319,$CW319+($CX319-$CW319)*2/($CQ319-1)))))</f>
        <v/>
      </c>
      <c r="BX319" s="88">
        <f>IF($CS319,"",IF($CT319,IF(N($AZ319)&gt;0,N($AZ319),""),IF(4&gt;$CQ319,"",IF($CQ319=1,$CW319,$CW319+($CX319-$CW319)*3/($CQ319-1)))))</f>
        <v/>
      </c>
      <c r="BY319" s="88">
        <f>IF($CS319,"",IF($CT319,"",IF(5&gt;$CQ319,"",IF($CQ319=1,$CW319,$CW319+($CX319-$CW319)*4/($CQ319-1)))))</f>
        <v/>
      </c>
      <c r="BZ319" s="88">
        <f>IF(OR($CS319,$AP319="-",AND($AP319="",$AD319="")),"",IF(N($BA319)&gt;0,N($BA319),IF($CV319,IF(AND($BI319&lt;$CU319,$BI319-IF(N(VLOOKUP($AT319&amp;"|"&amp;$CU319,LocTable,7,FALSE))&gt;0,VLOOKUP($AT319&amp;"|"&amp;$CU319,LocTable,7,FALSE),VLOOKUP($AT319&amp;"|"&amp;$CU319,LocTable,6,FALSE))-$CR319-0.75&gt;=2.125),VLOOKUP($AT319&amp;"|"&amp;$CU319,LocTable,8,FALSE),VLOOKUP($AT319&amp;"|"&amp;$CU319,LocTable,8,FALSE)+($BI319-$CU319)),$BI319-LockAFF)))</f>
        <v/>
      </c>
      <c r="CA319" s="89">
        <f>IF($BZ319="","",$BI319-$BZ319)</f>
        <v/>
      </c>
      <c r="CB319" s="84">
        <f>IF(OR(NOT(AND($A319&lt;&gt;"",$C319&lt;&gt;"DOOR ONLY")),$BI319=""),"",IF(($BI319+IF(N($P319)&gt;0,$P319+FaceW,0))&lt;=90,3,IF(($BI319+IF(N($P319)&gt;0,$P319+FaceW,0))&lt;=114,4,5)))</f>
        <v/>
      </c>
      <c r="CC319" s="84">
        <f>IF($CB319="","",$CB319*(2+IF(N($Q319)&gt;0,IF($R319="LR",2,1),0)))</f>
        <v/>
      </c>
      <c r="CD319" s="84">
        <f>IF($CB319="","",(2+IF(N($Q319)&gt;0,IF($R319="LR",2,1),0)))</f>
        <v/>
      </c>
      <c r="CE319" s="84">
        <f>IF(N($BJ319)=0,"",IF(OR($AL319="",$AL319="FLUSH"),"FLUSH",IFERROR(LEFT($AL319,FIND("-",$AL319)-1),LEFT($AL319,2))))</f>
        <v/>
      </c>
      <c r="CF319" s="84">
        <f>IF($CE319="","",IFERROR(VALUE(MID($AL319,FIND("-",$AL319)+1,FIND(CHAR(34)&amp;"x",$AL319)-FIND("-",$AL319)-1)),0))</f>
        <v/>
      </c>
      <c r="CG319" s="84">
        <f>IF($CE319="","",IFERROR(VALUE(MID($AL319,FIND(CHAR(34)&amp;"x",$AL319)+2,FIND(CHAR(34),$AL319,FIND(CHAR(34)&amp;"x",$AL319)+2)-FIND(CHAR(34)&amp;"x",$AL319)-2)),0))</f>
        <v/>
      </c>
      <c r="CH319" s="90">
        <f>IF(OR($A319="",$H319="",$H319="NO LAB"),0,IFERROR(VALUE(LEFT($H319,FIND(" ",$H319)-1)),0))</f>
        <v/>
      </c>
      <c r="CI319" s="91">
        <f>IF(OR($A319="",$I319="",$I319="NON-RATED",N($J319)=0),"",IFERROR(VLOOKUP($I319&amp;"|"&amp;$J319,IBC,2,FALSE),"?"))</f>
        <v/>
      </c>
      <c r="CJ319" s="85">
        <f>IF(NOT(AND($A319&lt;&gt;"",$C319&lt;&gt;"DOOR ONLY")),"",TRIM(IFERROR(VLOOKUP($U319,CODES,2,FALSE),"")&amp;" "&amp;$BG319&amp;" "&amp;IFERROR(VLOOKUP($Z319,CODES,2,FALSE),"")&amp;" "&amp;IFERROR(VLOOKUP($X319,CODES,2,FALSE),"")&amp;" "&amp;IFERROR(VLOOKUP($S319,CODES,2,FALSE),"")&amp;IF(N($P319)&gt;0," w/TRANSOM "&amp;$P319&amp;CHAR(34),"")&amp;IF(N($Q319)&gt;0," w/SIDELITE "&amp;$Q319&amp;CHAR(34)&amp;" "&amp;IF($R319="","R",$R319),"")&amp;IF($Y319="","  |  "," | "&amp;IFERROR(VLOOKUP($Y319,CODES,2,FALSE),"")&amp;" | ")&amp;IFERROR(VLOOKUP($AC319,CODES,2,FALSE),"")&amp;" "&amp;IFERROR(VLOOKUP($AD319,CODES,2,FALSE),"")&amp;IF(OR($AE319="",$AE319="-"),""," "&amp;$AE319)&amp;IF(OR($AF319="",$AF319="-"),""," "&amp;$AF319)&amp;IF($AB319="Y"," 4"&amp;CHAR(34)&amp;" HEAD","")&amp;" "&amp;IFERROR(VLOOKUP($H319,CODES,2,FALSE),"")&amp;IF($CT319," | LOC "&amp;$CY319,"")))</f>
        <v/>
      </c>
      <c r="CK319" s="85">
        <f>IF(NOT(AND($A319&lt;&gt;"",N($BJ319)&gt;0)),"",TRIM(IFERROR(VLOOKUP($AH319,CODES,2,FALSE),"")&amp;IF($AI319=""," "," "&amp;$AI319&amp;"GA ")&amp;$BG319&amp;" "&amp;IF($AN319="",IFERROR(VLOOKUP($Z319,CODES,2,FALSE),""),IFERROR(VLOOKUP($AN319,CODES,2,FALSE),""))&amp;IF($BJ319=2," PAIR","")&amp;" DOOR | "&amp;IF($AL319="","?",$AL319)&amp;" | "&amp;IF($AO319="",IFERROR(VLOOKUP($AC319,CODES,2,FALSE),""),IFERROR(VLOOKUP($AO319,CODES,2,FALSE),""))&amp;" "&amp;IFERROR(VLOOKUP($AP319,CODES,2,FALSE),"")&amp;IF(OR($AQ319="",$AQ319="-"),""," SEAM "&amp;$AQ319)&amp;IF($AR319="Y"," ASTRAGAL","")&amp;IF($AJ319=""," "," "&amp;$AJ319)&amp;IF($AK319=""," "," "&amp;$AK319)&amp;IF(OR($AT319="",$AT319="ANSI/SDI",$AT319="CUSTOM LOC"),""," "&amp;$AT319)&amp;IF($AM319=""," "," SERIES "&amp;$AM319)&amp;" "&amp;IFERROR(VLOOKUP($H319,CODES,2,FALSE),"")&amp;IF($CT319," | LOC "&amp;$CZ319,"")))</f>
        <v/>
      </c>
      <c r="CL319" s="84">
        <f>IF(CP319="","",IF(COUNTIF($CP$6:CP319,CP319)=1,MAX($CL$5:CL318)+1,INDEX($CL$5:CL318,MATCH(CP319,$CP$5:CP318,0))))</f>
        <v/>
      </c>
      <c r="CM319" s="84">
        <f>IF(NOT(AND($A319&lt;&gt;"",$C319&lt;&gt;"DOOR ONLY")),"",MAX($CM$5:CM318)+1)</f>
        <v/>
      </c>
      <c r="CN319" s="84">
        <f>IF(NOT(AND($A319&lt;&gt;"",N($BJ319)&gt;0)),"",MAX($CN$5:CN318)+1)</f>
        <v/>
      </c>
      <c r="CO319" s="84">
        <f>IF($A319="","",MAX($CO$5:CO318)+1)</f>
        <v/>
      </c>
      <c r="CP319" s="84">
        <f>IF(OR($A319="",$BH319="",$BI319=""),"",$BG319&amp;"|"&amp;$O319&amp;"|"&amp;$AL319&amp;"|"&amp;$S319&amp;"|"&amp;$P319&amp;"|"&amp;$Q319&amp;$R319&amp;"|"&amp;$C319&amp;"|"&amp;$AB319)</f>
        <v/>
      </c>
      <c r="CQ319" s="84">
        <f>N($BS319)</f>
        <v/>
      </c>
      <c r="CR319" s="84">
        <f>IF(N($AU319)&gt;0,N($AU319),4.5)</f>
        <v/>
      </c>
      <c r="CS319" s="84">
        <f>OR($A319="",$BI319="",$S319="BL",AND($C319="FRAME ONLY",OR($AC319="",$AC319="BLK")))</f>
        <v/>
      </c>
      <c r="CT319" s="84">
        <f>AND(NOT($CS319),OR($AT319="CUSTOM LOC",N($AW319)+N($AX319)+N($AY319)+N($AZ319)+N($BA319)&gt;0))</f>
        <v/>
      </c>
      <c r="CU319" s="84">
        <f>IF($BI319="","",IF($BI319&lt;=80,80,IF($BI319&lt;=84,84,96)))</f>
        <v/>
      </c>
      <c r="CV319" s="84">
        <f>ISNUMBER(MATCH($AT319&amp;"|80",LocKeys,0))</f>
        <v/>
      </c>
      <c r="CW319" s="86">
        <f>IF($CS319,"",IF($CV319,VLOOKUP($AT319&amp;"|"&amp;$CU319,LocTable,4,FALSE),5))</f>
        <v/>
      </c>
      <c r="CX319" s="86">
        <f>IF($CS319,"",IF($CV319,IF(OR($BI319=$CU319,AND($BI319&lt;$CU319,$BI319-IF(N(VLOOKUP($AT319&amp;"|"&amp;$CU319,LocTable,7,FALSE))&gt;0,VLOOKUP($AT319&amp;"|"&amp;$CU319,LocTable,7,FALSE),VLOOKUP($AT319&amp;"|"&amp;$CU319,LocTable,6,FALSE))-$CR319-0.75&gt;=2.125)),IF(N(VLOOKUP($AT319&amp;"|"&amp;$CU319,LocTable,7,FALSE))&gt;0,VLOOKUP($AT319&amp;"|"&amp;$CU319,LocTable,7,FALSE),VLOOKUP($AT319&amp;"|"&amp;$CU319,LocTable,6,FALSE)),$BI319-($CU319-IF(N(VLOOKUP($AT319&amp;"|"&amp;$CU319,LocTable,7,FALSE))&gt;0,VLOOKUP($AT319&amp;"|"&amp;$CU319,LocTable,7,FALSE),VLOOKUP($AT319&amp;"|"&amp;$CU319,LocTable,6,FALSE)))),$BI319-10-$CR319))</f>
        <v/>
      </c>
      <c r="CY319" s="85">
        <f>IF($CS319,"",TRIM(IF(ISNUMBER($BU319),"A "&amp;TRIM(TEXT($BU319,"# ?/??"))&amp;CHAR(34)&amp;"  ","")&amp;IF(ISNUMBER($BV319),"B "&amp;TRIM(TEXT($BV319,"# ?/??"))&amp;CHAR(34)&amp;"  ","")&amp;IF(ISNUMBER($BW319),"C "&amp;TRIM(TEXT($BW319,"# ?/??"))&amp;CHAR(34)&amp;"  ","")&amp;IF(ISNUMBER($BX319),"D "&amp;TRIM(TEXT($BX319,"# ?/??"))&amp;CHAR(34)&amp;"  ","")&amp;IF(ISNUMBER($BY319),"F "&amp;TRIM(TEXT($BY319,"# ?/??"))&amp;CHAR(34)&amp;"  ","")&amp;IF(ISNUMBER($BZ319),"E "&amp;TRIM(TEXT($BZ319,"# ?/??"))&amp;CHAR(34)&amp;"  ","")))</f>
        <v/>
      </c>
      <c r="CZ319" s="85">
        <f>IF(OR($CS319,N($BJ319)=0),"",TRIM(IF(ISNUMBER($BU319),"A "&amp;TRIM(TEXT($BU319-HeadClr,"# ?/??"))&amp;CHAR(34)&amp;"  ","")&amp;IF(ISNUMBER($BV319),"B "&amp;TRIM(TEXT($BV319-HeadClr,"# ?/??"))&amp;CHAR(34)&amp;"  ","")&amp;IF(ISNUMBER($BW319),"C "&amp;TRIM(TEXT($BW319-HeadClr,"# ?/??"))&amp;CHAR(34)&amp;"  ","")&amp;IF(ISNUMBER($BX319),"D "&amp;TRIM(TEXT($BX319-HeadClr,"# ?/??"))&amp;CHAR(34)&amp;"  ","")&amp;IF(ISNUMBER($BY319),"F "&amp;TRIM(TEXT($BY319-HeadClr,"# ?/??"))&amp;CHAR(34)&amp;"  ","")&amp;IF(ISNUMBER($BZ319),"E "&amp;TRIM(TEXT($BZ319-HeadClr,"# ?/??"))&amp;CHAR(34)&amp;"  ","")))</f>
        <v/>
      </c>
      <c r="DA319" s="84">
        <f>IF($A319="","",IF($AN319="",IFERROR(VLOOKUP($Z319,CODES,2,FALSE),""),IFERROR(VLOOKUP($AN319,CODES,2,FALSE),"")))</f>
        <v/>
      </c>
      <c r="DB319" s="84">
        <f>IF($A319="","",IF($O319="Y","PR",IF(OR($Z319="L",$Z319="RR",LEFT($Z319,2)="L-",LEFT($Z319,3)="RR-"),"LH","RH")))</f>
        <v/>
      </c>
      <c r="DC319" s="84">
        <f>IF($A319="","","S.HM"&amp;IF(OR($C319="DOOR ONLY",$X319&lt;&gt;"KD"),"MASONRY","DRYWALL")&amp;IF($C319="DOOR ONLY","",$U319)&amp;IF(AND($C319&lt;&gt;"FRAME ONLY",OR(LEFT($AH319,3)="OAK",LEFT($AH319,3)="BIR",LEFT($AH319,3)="MAP",$AH319="PC",$AH319="MC",$AH319="SCLC",$AH319="P-LAM")),"WD","HM")&amp;"1.75")</f>
        <v/>
      </c>
      <c r="DD319" s="84">
        <f>IF($CJ319="","",IF($O319="Y",$CJ319,SUBSTITUTE($CJ319,$BG319&amp;" "&amp;IFERROR(VLOOKUP($Z319,CODES,2,FALSE),"")&amp;" ",$BG319&amp;" ")))</f>
        <v/>
      </c>
      <c r="DE319" s="84">
        <f>IF($CK319="","",IF($O319="Y",$CK319,SUBSTITUTE($CK319,$BG319&amp;" "&amp;IF($AN319="",IFERROR(VLOOKUP($Z319,CODES,2,FALSE),""),IFERROR(VLOOKUP($AN319,CODES,2,FALSE),""))&amp;" ",$BG319&amp;" ")))</f>
        <v/>
      </c>
      <c r="DF319" s="84">
        <f>IF($CJ319="","",$DC319&amp;"|"&amp;$DD319&amp;"|"&amp;$DB319&amp;"|"&amp;$AT319&amp;"|"&amp;$V319&amp;"|"&amp;$Y319&amp;"|"&amp;$AB319)</f>
        <v/>
      </c>
      <c r="DG319" s="84">
        <f>IF(DF319="","",IF(COUNTIF($DF$6:DF319,DF319)=1,MAX($DG$5:DG318)+1,INDEX($DG$5:DG318,MATCH(DF319,$DF$5:DF318,0))))</f>
        <v/>
      </c>
      <c r="DH319" s="84">
        <f>IF($CK319="","",$DC319&amp;"|"&amp;$DE319&amp;"|"&amp;$AI319&amp;"|"&amp;$BK319&amp;"|"&amp;$BL319)</f>
        <v/>
      </c>
      <c r="DI319" s="84">
        <f>IF(DH319="","",IF(COUNTIF($DH$6:DH319,DH319)=1,MAX($DI$5:DI318)+1,INDEX($DI$5:DI318,MATCH(DH319,$DH$5:DH318,0))))</f>
        <v/>
      </c>
      <c r="DJ319" s="84">
        <f>IF($A319="","",IF($B319="","qty, ","")&amp;IF($C319="","scope, ","")&amp;IF(OR($K319="",$M319=""),"size, ","")&amp;IF(AND($A319&lt;&gt;"",$C319&lt;&gt;"DOOR ONLY"),IF($U319="","jamb depth, ","")&amp;IF($X319="","construction, ","")&amp;IF($Y319="","anchor, ","")&amp;IF($S319="","frame type, ",""),"")&amp;IF(AND(N($BJ319)&gt;0,$Z319=""),"hand, ","")&amp;IF(N($BJ319)&gt;0,IF($AH319="","door material, ","")&amp;IF($AL319="","face type, ","")&amp;IF($AP319="","lock prep, ","")&amp;IF(AND($AO319="",$AC319=""),"hinge prep, ",""),"")&amp;IF(AND($CH319&gt;0,$AH319="FRP"),"FRP cannot carry a label, ","")&amp;IF(AND($O319="Y",OR($Z319="L",$Z319="R",$Z319="LR",$Z319="RR")),"pair marked but hand is single, ","")&amp;IF(AND($O319&lt;&gt;"Y",OR($Z319="PR",AND(LEN($Z319)&gt;1,ISNUMBER(SEARCH("-",$Z319))))),"pair hand on a single door, ","")&amp;IF(AND(ISNUMBER($CI319),$CH319&lt;N($CI319)),"wall needs a "&amp;$CI319&amp;" min door, ","")&amp;IF(AND($CH319&gt;=180,AND(OR($CE319="FG",$CE319="HG",$CE319="FNV",$CE319="FV"),N($CF319)*N($CG319)&gt;100)),"180 min lite over 100 sq in, ","")&amp;IF(N($BK319)&gt;48,"leaf wider than 4'-0"&amp;CHAR(34)&amp;", ","")&amp;IF(AND($CT319,COUNT($AW319:$AZ319)=0,$CQ319&gt;0),"CUSTOM LOC with no locations typed, ",""))</f>
        <v/>
      </c>
      <c r="DK319" s="84">
        <f>IF($A319="","",IF(AND($CH319&gt;0,AND($A319&lt;&gt;"",$C319&lt;&gt;"DOOR ONLY"),$X319="KD",$E319="EXTERIOR"),"KD label on an exterior opening, ","")&amp;IF(AND($E319="EXTERIOR",OR(AND(AND($A319&lt;&gt;"",$C319&lt;&gt;"DOOR ONLY"),$W319="CR"),AND(N($BJ319)&gt;0,$AH319="CR"))),"exterior in CR steel (G9?), ","")&amp;IF(AND(ISNUMBER($BQ319),N($BQ319)&lt;32),"clear width ~"&amp;TEXT($BQ319,"0.0")&amp;CHAR(34)&amp;" under 32"&amp;CHAR(34)&amp;" (ADA), ","")&amp;IF(AND($CH319=90,AND(OR($CE319="FG",$CE319="HG",$CE319="FNV",$CE319="FV"),N($CF319)*N($CG319)&gt;100)),"90 min lite over 100 sq in (stair/exit), ","")&amp;IF(AND($CH319&gt;0,AND($A319&lt;&gt;"",$C319&lt;&gt;"DOOR ONLY"),OR($AF319="",$AF319="-")),"rated: closer reinf.?, ","")&amp;IF(OR($I319="CORRIDOR",$I319="SMOKE BARRIER"),"S label + smoke gasketing, ","")&amp;IF($CI319="?","wall type/hr not in IBC table, ","")&amp;IF(AND(N($BJ319)&gt;0,$BB319=""),"no hardware set, ","")&amp;IF(AND($BB319&lt;&gt;"",ISNA(MATCH($BB319&amp;"",HWSets,0))),"set "&amp;$BB319&amp;" not on HW Sets, ","")&amp;IF(N($BL319)&gt;96,"leaf over 8'-0"&amp;CHAR(34)&amp;" - check listing, ","")&amp;IF(AND($CT319,COUNT($AW319:$AZ319)&gt;0,COUNT($AW319:$AZ319)&lt;&gt;$CQ319),COUNT($AW319:$AZ319)&amp;" custom hinges typed, "&amp;$CQ319&amp;" expected, ","")&amp;IF(AND(ISNUMBER($CA319),OR(N($CA319)&lt;34,N($CA319)&gt;48)),"lock "&amp;TEXT($CA319,"0.0")&amp;CHAR(34)&amp;" AFF outside 34-48"&amp;CHAR(34)&amp;" (ADA), ","")&amp;IF(AND(ISNUMBER($AV319),ISNUMBER($BL319),N($AV319)&lt;IF(N($BL319)&lt;=60,2,IF(N($BL319)&lt;=90,3,IF(N($BL319)&lt;=120,4,5)))),"fewer hinges than standard, ",""))</f>
        <v/>
      </c>
    </row>
    <row r="320" ht="15" customHeight="1">
      <c r="A320" s="92" t="n"/>
      <c r="B320" s="93" t="n"/>
      <c r="C320" s="93" t="n"/>
      <c r="D320" s="93" t="n"/>
      <c r="E320" s="93" t="n"/>
      <c r="F320" s="93" t="n"/>
      <c r="G320" s="93" t="n"/>
      <c r="H320" s="93" t="n"/>
      <c r="I320" s="93" t="n"/>
      <c r="J320" s="93" t="n"/>
      <c r="K320" s="93" t="n"/>
      <c r="L320" s="93" t="n"/>
      <c r="M320" s="93" t="n"/>
      <c r="N320" s="93" t="n"/>
      <c r="O320" s="93" t="n"/>
      <c r="P320" s="93" t="n"/>
      <c r="Q320" s="93" t="n"/>
      <c r="R320" s="93" t="n"/>
      <c r="S320" s="94" t="n"/>
      <c r="T320" s="94" t="n"/>
      <c r="U320" s="94" t="n"/>
      <c r="V320" s="94" t="n"/>
      <c r="W320" s="94" t="n"/>
      <c r="X320" s="94" t="n"/>
      <c r="Y320" s="94" t="n"/>
      <c r="Z320" s="94" t="n"/>
      <c r="AA320" s="94" t="n"/>
      <c r="AB320" s="94" t="n"/>
      <c r="AC320" s="94" t="n"/>
      <c r="AD320" s="94" t="n"/>
      <c r="AE320" s="94" t="n"/>
      <c r="AF320" s="94" t="n"/>
      <c r="AG320" s="94" t="n"/>
      <c r="AH320" s="95" t="n"/>
      <c r="AI320" s="95" t="n"/>
      <c r="AJ320" s="95" t="n"/>
      <c r="AK320" s="95" t="n"/>
      <c r="AL320" s="95" t="n"/>
      <c r="AM320" s="95" t="n"/>
      <c r="AN320" s="95" t="n"/>
      <c r="AO320" s="95" t="n"/>
      <c r="AP320" s="95" t="n"/>
      <c r="AQ320" s="95" t="n"/>
      <c r="AR320" s="95" t="n"/>
      <c r="AS320" s="95" t="n"/>
      <c r="AT320" s="96" t="n"/>
      <c r="AU320" s="96" t="n"/>
      <c r="AV320" s="96" t="n"/>
      <c r="AW320" s="97" t="n"/>
      <c r="AX320" s="97" t="n"/>
      <c r="AY320" s="97" t="n"/>
      <c r="AZ320" s="97" t="n"/>
      <c r="BA320" s="97" t="n"/>
      <c r="BB320" s="98" t="n"/>
      <c r="BC320" s="98" t="n"/>
      <c r="BD320" s="99">
        <f>IF($A320="","",IF($DJ320&lt;&gt;"","FIX",IF($DK320&lt;&gt;"","CHECK","OK")))</f>
        <v/>
      </c>
      <c r="BE320" s="100">
        <f>IF($A320="","",IF($DJ320&lt;&gt;"","FIX: "&amp;LEFT($DJ320,LEN($DJ320)-2)&amp;IF($DK320&lt;&gt;"","  ·  ",""),"")&amp;IF($DK320&lt;&gt;"","CHECK: "&amp;LEFT($DK320,LEN($DK320)-2),""))</f>
        <v/>
      </c>
      <c r="BF320" s="99">
        <f>IF(OR($A320="",$K320=""),"",$K320&amp;"'-"&amp;N($L320)&amp;CHAR(34)&amp;" x "&amp;$M320&amp;"'-"&amp;N($N320)&amp;CHAR(34))</f>
        <v/>
      </c>
      <c r="BG320" s="99">
        <f>IF(OR($A320="",$K320=""),"",$K320&amp;N($L320)&amp;$M320&amp;N($N320))</f>
        <v/>
      </c>
      <c r="BH320" s="99">
        <f>IF(OR($A320="",$K320=""),"",$K320*12+N($L320))</f>
        <v/>
      </c>
      <c r="BI320" s="99">
        <f>IF(OR($A320="",$M320=""),"",$M320*12+N($N320))</f>
        <v/>
      </c>
      <c r="BJ320" s="99">
        <f>IF($A320="","",IF(OR($C320="FRAME ONLY",$S320="BL"),0,IF($O320="Y",2,1)))</f>
        <v/>
      </c>
      <c r="BK320" s="101">
        <f>IF(OR(N($BJ320)=0,$BH320=""),"",($BH320-2*EdgeClr-IF($BJ320=2,MeetClr,0))/$BJ320)</f>
        <v/>
      </c>
      <c r="BL320" s="101">
        <f>IF(OR(N($BJ320)=0,$BI320=""),"",$BI320-HeadClr-Undercut)</f>
        <v/>
      </c>
      <c r="BM320" s="101">
        <f>IF($BH320="","",$BH320+2*FaceW+IF(N($Q320)&gt;0,($Q320+FaceW)*IF($R320="LR",2,1),0))</f>
        <v/>
      </c>
      <c r="BN320" s="101">
        <f>IF($BI320="","",$BI320+IF($AB320="Y",4,FaceW)+IF(N($P320)&gt;0,$P320+FaceW,0)+IF(OR($S320="4F",$S320="BL"),FaceW,0))</f>
        <v/>
      </c>
      <c r="BO320" s="101">
        <f>IF($BM320="","",$BM320+2*ROSide)</f>
        <v/>
      </c>
      <c r="BP320" s="101">
        <f>IF($BN320="","",$BN320+ROTop)</f>
        <v/>
      </c>
      <c r="BQ320" s="102">
        <f>IF(OR(N($BJ320)=0,$BH320=""),"",$BH320/$BJ320-ClearDeduct)</f>
        <v/>
      </c>
      <c r="BR320" s="99">
        <f>IF(N($CH320)=0,"",IF($CH320&gt;=180,"A · 3 HR",IF($CH320&gt;=90,"B · 1-1/2 HR",IF($CH320&gt;=60,"B · 1 HR",IF($CH320&gt;=45,"C · 3/4 HR","20 MIN")))))&amp;IF(AND(N($CH320)&gt;0,OR($I320="CORRIDOR",$I320="SMOKE BARRIER"))," · S","")</f>
        <v/>
      </c>
      <c r="BS320" s="99">
        <f>IF($CS320,"",IF($AV320&lt;&gt;"",$AV320,IF(OR($AC320="HGC",$AO320="HGC"),"CONT",IF(($BI320-HeadClr-Undercut)&lt;=60,2,IF(($BI320-HeadClr-Undercut)&lt;=90,3,IF(($BI320-HeadClr-Undercut)&lt;=120,4,5))))))</f>
        <v/>
      </c>
      <c r="BT320" s="99">
        <f>IF($CS320,"",IF($CT320,"CUSTOM (typed)",IF($CV320,$AT320&amp;" "&amp;$CU320&amp;CHAR(34)&amp;IF($CU320&lt;&gt;$BI320,IF(AND($BI320&lt;$CU320,$BI320-IF(N(VLOOKUP($AT320&amp;"|"&amp;$CU320,LocTable,7,FALSE))&gt;0,VLOOKUP($AT320&amp;"|"&amp;$CU320,LocTable,7,FALSE),VLOOKUP($AT320&amp;"|"&amp;$CU320,LocTable,6,FALSE))-$CR320-0.75&gt;=2.125)," cut down"," adj."),""),"ANSI/SDI A250.6")))</f>
        <v/>
      </c>
      <c r="BU320" s="103">
        <f>IF($CS320,"",IF($CT320,IF(N($AW320)&gt;0,N($AW320),""),IF(1&gt;$CQ320,"",IF($CQ320=1,$CW320,$CW320+($CX320-$CW320)*0/($CQ320-1)))))</f>
        <v/>
      </c>
      <c r="BV320" s="103">
        <f>IF($CS320,"",IF($CT320,IF(N($AX320)&gt;0,N($AX320),""),IF(2&gt;$CQ320,"",IF($CQ320=1,$CW320,$CW320+($CX320-$CW320)*1/($CQ320-1)))))</f>
        <v/>
      </c>
      <c r="BW320" s="103">
        <f>IF($CS320,"",IF($CT320,IF(N($AY320)&gt;0,N($AY320),""),IF(3&gt;$CQ320,"",IF($CQ320=1,$CW320,$CW320+($CX320-$CW320)*2/($CQ320-1)))))</f>
        <v/>
      </c>
      <c r="BX320" s="103">
        <f>IF($CS320,"",IF($CT320,IF(N($AZ320)&gt;0,N($AZ320),""),IF(4&gt;$CQ320,"",IF($CQ320=1,$CW320,$CW320+($CX320-$CW320)*3/($CQ320-1)))))</f>
        <v/>
      </c>
      <c r="BY320" s="103">
        <f>IF($CS320,"",IF($CT320,"",IF(5&gt;$CQ320,"",IF($CQ320=1,$CW320,$CW320+($CX320-$CW320)*4/($CQ320-1)))))</f>
        <v/>
      </c>
      <c r="BZ320" s="103">
        <f>IF(OR($CS320,$AP320="-",AND($AP320="",$AD320="")),"",IF(N($BA320)&gt;0,N($BA320),IF($CV320,IF(AND($BI320&lt;$CU320,$BI320-IF(N(VLOOKUP($AT320&amp;"|"&amp;$CU320,LocTable,7,FALSE))&gt;0,VLOOKUP($AT320&amp;"|"&amp;$CU320,LocTable,7,FALSE),VLOOKUP($AT320&amp;"|"&amp;$CU320,LocTable,6,FALSE))-$CR320-0.75&gt;=2.125),VLOOKUP($AT320&amp;"|"&amp;$CU320,LocTable,8,FALSE),VLOOKUP($AT320&amp;"|"&amp;$CU320,LocTable,8,FALSE)+($BI320-$CU320)),$BI320-LockAFF)))</f>
        <v/>
      </c>
      <c r="CA320" s="104">
        <f>IF($BZ320="","",$BI320-$BZ320)</f>
        <v/>
      </c>
      <c r="CB320" s="99">
        <f>IF(OR(NOT(AND($A320&lt;&gt;"",$C320&lt;&gt;"DOOR ONLY")),$BI320=""),"",IF(($BI320+IF(N($P320)&gt;0,$P320+FaceW,0))&lt;=90,3,IF(($BI320+IF(N($P320)&gt;0,$P320+FaceW,0))&lt;=114,4,5)))</f>
        <v/>
      </c>
      <c r="CC320" s="99">
        <f>IF($CB320="","",$CB320*(2+IF(N($Q320)&gt;0,IF($R320="LR",2,1),0)))</f>
        <v/>
      </c>
      <c r="CD320" s="99">
        <f>IF($CB320="","",(2+IF(N($Q320)&gt;0,IF($R320="LR",2,1),0)))</f>
        <v/>
      </c>
      <c r="CE320" s="99">
        <f>IF(N($BJ320)=0,"",IF(OR($AL320="",$AL320="FLUSH"),"FLUSH",IFERROR(LEFT($AL320,FIND("-",$AL320)-1),LEFT($AL320,2))))</f>
        <v/>
      </c>
      <c r="CF320" s="99">
        <f>IF($CE320="","",IFERROR(VALUE(MID($AL320,FIND("-",$AL320)+1,FIND(CHAR(34)&amp;"x",$AL320)-FIND("-",$AL320)-1)),0))</f>
        <v/>
      </c>
      <c r="CG320" s="99">
        <f>IF($CE320="","",IFERROR(VALUE(MID($AL320,FIND(CHAR(34)&amp;"x",$AL320)+2,FIND(CHAR(34),$AL320,FIND(CHAR(34)&amp;"x",$AL320)+2)-FIND(CHAR(34)&amp;"x",$AL320)-2)),0))</f>
        <v/>
      </c>
      <c r="CH320" s="105">
        <f>IF(OR($A320="",$H320="",$H320="NO LAB"),0,IFERROR(VALUE(LEFT($H320,FIND(" ",$H320)-1)),0))</f>
        <v/>
      </c>
      <c r="CI320" s="106">
        <f>IF(OR($A320="",$I320="",$I320="NON-RATED",N($J320)=0),"",IFERROR(VLOOKUP($I320&amp;"|"&amp;$J320,IBC,2,FALSE),"?"))</f>
        <v/>
      </c>
      <c r="CJ320" s="100">
        <f>IF(NOT(AND($A320&lt;&gt;"",$C320&lt;&gt;"DOOR ONLY")),"",TRIM(IFERROR(VLOOKUP($U320,CODES,2,FALSE),"")&amp;" "&amp;$BG320&amp;" "&amp;IFERROR(VLOOKUP($Z320,CODES,2,FALSE),"")&amp;" "&amp;IFERROR(VLOOKUP($X320,CODES,2,FALSE),"")&amp;" "&amp;IFERROR(VLOOKUP($S320,CODES,2,FALSE),"")&amp;IF(N($P320)&gt;0," w/TRANSOM "&amp;$P320&amp;CHAR(34),"")&amp;IF(N($Q320)&gt;0," w/SIDELITE "&amp;$Q320&amp;CHAR(34)&amp;" "&amp;IF($R320="","R",$R320),"")&amp;IF($Y320="","  |  "," | "&amp;IFERROR(VLOOKUP($Y320,CODES,2,FALSE),"")&amp;" | ")&amp;IFERROR(VLOOKUP($AC320,CODES,2,FALSE),"")&amp;" "&amp;IFERROR(VLOOKUP($AD320,CODES,2,FALSE),"")&amp;IF(OR($AE320="",$AE320="-"),""," "&amp;$AE320)&amp;IF(OR($AF320="",$AF320="-"),""," "&amp;$AF320)&amp;IF($AB320="Y"," 4"&amp;CHAR(34)&amp;" HEAD","")&amp;" "&amp;IFERROR(VLOOKUP($H320,CODES,2,FALSE),"")&amp;IF($CT320," | LOC "&amp;$CY320,"")))</f>
        <v/>
      </c>
      <c r="CK320" s="100">
        <f>IF(NOT(AND($A320&lt;&gt;"",N($BJ320)&gt;0)),"",TRIM(IFERROR(VLOOKUP($AH320,CODES,2,FALSE),"")&amp;IF($AI320=""," "," "&amp;$AI320&amp;"GA ")&amp;$BG320&amp;" "&amp;IF($AN320="",IFERROR(VLOOKUP($Z320,CODES,2,FALSE),""),IFERROR(VLOOKUP($AN320,CODES,2,FALSE),""))&amp;IF($BJ320=2," PAIR","")&amp;" DOOR | "&amp;IF($AL320="","?",$AL320)&amp;" | "&amp;IF($AO320="",IFERROR(VLOOKUP($AC320,CODES,2,FALSE),""),IFERROR(VLOOKUP($AO320,CODES,2,FALSE),""))&amp;" "&amp;IFERROR(VLOOKUP($AP320,CODES,2,FALSE),"")&amp;IF(OR($AQ320="",$AQ320="-"),""," SEAM "&amp;$AQ320)&amp;IF($AR320="Y"," ASTRAGAL","")&amp;IF($AJ320=""," "," "&amp;$AJ320)&amp;IF($AK320=""," "," "&amp;$AK320)&amp;IF(OR($AT320="",$AT320="ANSI/SDI",$AT320="CUSTOM LOC"),""," "&amp;$AT320)&amp;IF($AM320=""," "," SERIES "&amp;$AM320)&amp;" "&amp;IFERROR(VLOOKUP($H320,CODES,2,FALSE),"")&amp;IF($CT320," | LOC "&amp;$CZ320,"")))</f>
        <v/>
      </c>
      <c r="CL320" s="99">
        <f>IF(CP320="","",IF(COUNTIF($CP$6:CP320,CP320)=1,MAX($CL$5:CL319)+1,INDEX($CL$5:CL319,MATCH(CP320,$CP$5:CP319,0))))</f>
        <v/>
      </c>
      <c r="CM320" s="99">
        <f>IF(NOT(AND($A320&lt;&gt;"",$C320&lt;&gt;"DOOR ONLY")),"",MAX($CM$5:CM319)+1)</f>
        <v/>
      </c>
      <c r="CN320" s="99">
        <f>IF(NOT(AND($A320&lt;&gt;"",N($BJ320)&gt;0)),"",MAX($CN$5:CN319)+1)</f>
        <v/>
      </c>
      <c r="CO320" s="99">
        <f>IF($A320="","",MAX($CO$5:CO319)+1)</f>
        <v/>
      </c>
      <c r="CP320" s="99">
        <f>IF(OR($A320="",$BH320="",$BI320=""),"",$BG320&amp;"|"&amp;$O320&amp;"|"&amp;$AL320&amp;"|"&amp;$S320&amp;"|"&amp;$P320&amp;"|"&amp;$Q320&amp;$R320&amp;"|"&amp;$C320&amp;"|"&amp;$AB320)</f>
        <v/>
      </c>
      <c r="CQ320" s="99">
        <f>N($BS320)</f>
        <v/>
      </c>
      <c r="CR320" s="99">
        <f>IF(N($AU320)&gt;0,N($AU320),4.5)</f>
        <v/>
      </c>
      <c r="CS320" s="99">
        <f>OR($A320="",$BI320="",$S320="BL",AND($C320="FRAME ONLY",OR($AC320="",$AC320="BLK")))</f>
        <v/>
      </c>
      <c r="CT320" s="99">
        <f>AND(NOT($CS320),OR($AT320="CUSTOM LOC",N($AW320)+N($AX320)+N($AY320)+N($AZ320)+N($BA320)&gt;0))</f>
        <v/>
      </c>
      <c r="CU320" s="99">
        <f>IF($BI320="","",IF($BI320&lt;=80,80,IF($BI320&lt;=84,84,96)))</f>
        <v/>
      </c>
      <c r="CV320" s="99">
        <f>ISNUMBER(MATCH($AT320&amp;"|80",LocKeys,0))</f>
        <v/>
      </c>
      <c r="CW320" s="101">
        <f>IF($CS320,"",IF($CV320,VLOOKUP($AT320&amp;"|"&amp;$CU320,LocTable,4,FALSE),5))</f>
        <v/>
      </c>
      <c r="CX320" s="101">
        <f>IF($CS320,"",IF($CV320,IF(OR($BI320=$CU320,AND($BI320&lt;$CU320,$BI320-IF(N(VLOOKUP($AT320&amp;"|"&amp;$CU320,LocTable,7,FALSE))&gt;0,VLOOKUP($AT320&amp;"|"&amp;$CU320,LocTable,7,FALSE),VLOOKUP($AT320&amp;"|"&amp;$CU320,LocTable,6,FALSE))-$CR320-0.75&gt;=2.125)),IF(N(VLOOKUP($AT320&amp;"|"&amp;$CU320,LocTable,7,FALSE))&gt;0,VLOOKUP($AT320&amp;"|"&amp;$CU320,LocTable,7,FALSE),VLOOKUP($AT320&amp;"|"&amp;$CU320,LocTable,6,FALSE)),$BI320-($CU320-IF(N(VLOOKUP($AT320&amp;"|"&amp;$CU320,LocTable,7,FALSE))&gt;0,VLOOKUP($AT320&amp;"|"&amp;$CU320,LocTable,7,FALSE),VLOOKUP($AT320&amp;"|"&amp;$CU320,LocTable,6,FALSE)))),$BI320-10-$CR320))</f>
        <v/>
      </c>
      <c r="CY320" s="100">
        <f>IF($CS320,"",TRIM(IF(ISNUMBER($BU320),"A "&amp;TRIM(TEXT($BU320,"# ?/??"))&amp;CHAR(34)&amp;"  ","")&amp;IF(ISNUMBER($BV320),"B "&amp;TRIM(TEXT($BV320,"# ?/??"))&amp;CHAR(34)&amp;"  ","")&amp;IF(ISNUMBER($BW320),"C "&amp;TRIM(TEXT($BW320,"# ?/??"))&amp;CHAR(34)&amp;"  ","")&amp;IF(ISNUMBER($BX320),"D "&amp;TRIM(TEXT($BX320,"# ?/??"))&amp;CHAR(34)&amp;"  ","")&amp;IF(ISNUMBER($BY320),"F "&amp;TRIM(TEXT($BY320,"# ?/??"))&amp;CHAR(34)&amp;"  ","")&amp;IF(ISNUMBER($BZ320),"E "&amp;TRIM(TEXT($BZ320,"# ?/??"))&amp;CHAR(34)&amp;"  ","")))</f>
        <v/>
      </c>
      <c r="CZ320" s="100">
        <f>IF(OR($CS320,N($BJ320)=0),"",TRIM(IF(ISNUMBER($BU320),"A "&amp;TRIM(TEXT($BU320-HeadClr,"# ?/??"))&amp;CHAR(34)&amp;"  ","")&amp;IF(ISNUMBER($BV320),"B "&amp;TRIM(TEXT($BV320-HeadClr,"# ?/??"))&amp;CHAR(34)&amp;"  ","")&amp;IF(ISNUMBER($BW320),"C "&amp;TRIM(TEXT($BW320-HeadClr,"# ?/??"))&amp;CHAR(34)&amp;"  ","")&amp;IF(ISNUMBER($BX320),"D "&amp;TRIM(TEXT($BX320-HeadClr,"# ?/??"))&amp;CHAR(34)&amp;"  ","")&amp;IF(ISNUMBER($BY320),"F "&amp;TRIM(TEXT($BY320-HeadClr,"# ?/??"))&amp;CHAR(34)&amp;"  ","")&amp;IF(ISNUMBER($BZ320),"E "&amp;TRIM(TEXT($BZ320-HeadClr,"# ?/??"))&amp;CHAR(34)&amp;"  ","")))</f>
        <v/>
      </c>
      <c r="DA320" s="99">
        <f>IF($A320="","",IF($AN320="",IFERROR(VLOOKUP($Z320,CODES,2,FALSE),""),IFERROR(VLOOKUP($AN320,CODES,2,FALSE),"")))</f>
        <v/>
      </c>
      <c r="DB320" s="99">
        <f>IF($A320="","",IF($O320="Y","PR",IF(OR($Z320="L",$Z320="RR",LEFT($Z320,2)="L-",LEFT($Z320,3)="RR-"),"LH","RH")))</f>
        <v/>
      </c>
      <c r="DC320" s="99">
        <f>IF($A320="","","S.HM"&amp;IF(OR($C320="DOOR ONLY",$X320&lt;&gt;"KD"),"MASONRY","DRYWALL")&amp;IF($C320="DOOR ONLY","",$U320)&amp;IF(AND($C320&lt;&gt;"FRAME ONLY",OR(LEFT($AH320,3)="OAK",LEFT($AH320,3)="BIR",LEFT($AH320,3)="MAP",$AH320="PC",$AH320="MC",$AH320="SCLC",$AH320="P-LAM")),"WD","HM")&amp;"1.75")</f>
        <v/>
      </c>
      <c r="DD320" s="99">
        <f>IF($CJ320="","",IF($O320="Y",$CJ320,SUBSTITUTE($CJ320,$BG320&amp;" "&amp;IFERROR(VLOOKUP($Z320,CODES,2,FALSE),"")&amp;" ",$BG320&amp;" ")))</f>
        <v/>
      </c>
      <c r="DE320" s="99">
        <f>IF($CK320="","",IF($O320="Y",$CK320,SUBSTITUTE($CK320,$BG320&amp;" "&amp;IF($AN320="",IFERROR(VLOOKUP($Z320,CODES,2,FALSE),""),IFERROR(VLOOKUP($AN320,CODES,2,FALSE),""))&amp;" ",$BG320&amp;" ")))</f>
        <v/>
      </c>
      <c r="DF320" s="99">
        <f>IF($CJ320="","",$DC320&amp;"|"&amp;$DD320&amp;"|"&amp;$DB320&amp;"|"&amp;$AT320&amp;"|"&amp;$V320&amp;"|"&amp;$Y320&amp;"|"&amp;$AB320)</f>
        <v/>
      </c>
      <c r="DG320" s="99">
        <f>IF(DF320="","",IF(COUNTIF($DF$6:DF320,DF320)=1,MAX($DG$5:DG319)+1,INDEX($DG$5:DG319,MATCH(DF320,$DF$5:DF319,0))))</f>
        <v/>
      </c>
      <c r="DH320" s="99">
        <f>IF($CK320="","",$DC320&amp;"|"&amp;$DE320&amp;"|"&amp;$AI320&amp;"|"&amp;$BK320&amp;"|"&amp;$BL320)</f>
        <v/>
      </c>
      <c r="DI320" s="99">
        <f>IF(DH320="","",IF(COUNTIF($DH$6:DH320,DH320)=1,MAX($DI$5:DI319)+1,INDEX($DI$5:DI319,MATCH(DH320,$DH$5:DH319,0))))</f>
        <v/>
      </c>
      <c r="DJ320" s="99">
        <f>IF($A320="","",IF($B320="","qty, ","")&amp;IF($C320="","scope, ","")&amp;IF(OR($K320="",$M320=""),"size, ","")&amp;IF(AND($A320&lt;&gt;"",$C320&lt;&gt;"DOOR ONLY"),IF($U320="","jamb depth, ","")&amp;IF($X320="","construction, ","")&amp;IF($Y320="","anchor, ","")&amp;IF($S320="","frame type, ",""),"")&amp;IF(AND(N($BJ320)&gt;0,$Z320=""),"hand, ","")&amp;IF(N($BJ320)&gt;0,IF($AH320="","door material, ","")&amp;IF($AL320="","face type, ","")&amp;IF($AP320="","lock prep, ","")&amp;IF(AND($AO320="",$AC320=""),"hinge prep, ",""),"")&amp;IF(AND($CH320&gt;0,$AH320="FRP"),"FRP cannot carry a label, ","")&amp;IF(AND($O320="Y",OR($Z320="L",$Z320="R",$Z320="LR",$Z320="RR")),"pair marked but hand is single, ","")&amp;IF(AND($O320&lt;&gt;"Y",OR($Z320="PR",AND(LEN($Z320)&gt;1,ISNUMBER(SEARCH("-",$Z320))))),"pair hand on a single door, ","")&amp;IF(AND(ISNUMBER($CI320),$CH320&lt;N($CI320)),"wall needs a "&amp;$CI320&amp;" min door, ","")&amp;IF(AND($CH320&gt;=180,AND(OR($CE320="FG",$CE320="HG",$CE320="FNV",$CE320="FV"),N($CF320)*N($CG320)&gt;100)),"180 min lite over 100 sq in, ","")&amp;IF(N($BK320)&gt;48,"leaf wider than 4'-0"&amp;CHAR(34)&amp;", ","")&amp;IF(AND($CT320,COUNT($AW320:$AZ320)=0,$CQ320&gt;0),"CUSTOM LOC with no locations typed, ",""))</f>
        <v/>
      </c>
      <c r="DK320" s="99">
        <f>IF($A320="","",IF(AND($CH320&gt;0,AND($A320&lt;&gt;"",$C320&lt;&gt;"DOOR ONLY"),$X320="KD",$E320="EXTERIOR"),"KD label on an exterior opening, ","")&amp;IF(AND($E320="EXTERIOR",OR(AND(AND($A320&lt;&gt;"",$C320&lt;&gt;"DOOR ONLY"),$W320="CR"),AND(N($BJ320)&gt;0,$AH320="CR"))),"exterior in CR steel (G9?), ","")&amp;IF(AND(ISNUMBER($BQ320),N($BQ320)&lt;32),"clear width ~"&amp;TEXT($BQ320,"0.0")&amp;CHAR(34)&amp;" under 32"&amp;CHAR(34)&amp;" (ADA), ","")&amp;IF(AND($CH320=90,AND(OR($CE320="FG",$CE320="HG",$CE320="FNV",$CE320="FV"),N($CF320)*N($CG320)&gt;100)),"90 min lite over 100 sq in (stair/exit), ","")&amp;IF(AND($CH320&gt;0,AND($A320&lt;&gt;"",$C320&lt;&gt;"DOOR ONLY"),OR($AF320="",$AF320="-")),"rated: closer reinf.?, ","")&amp;IF(OR($I320="CORRIDOR",$I320="SMOKE BARRIER"),"S label + smoke gasketing, ","")&amp;IF($CI320="?","wall type/hr not in IBC table, ","")&amp;IF(AND(N($BJ320)&gt;0,$BB320=""),"no hardware set, ","")&amp;IF(AND($BB320&lt;&gt;"",ISNA(MATCH($BB320&amp;"",HWSets,0))),"set "&amp;$BB320&amp;" not on HW Sets, ","")&amp;IF(N($BL320)&gt;96,"leaf over 8'-0"&amp;CHAR(34)&amp;" - check listing, ","")&amp;IF(AND($CT320,COUNT($AW320:$AZ320)&gt;0,COUNT($AW320:$AZ320)&lt;&gt;$CQ320),COUNT($AW320:$AZ320)&amp;" custom hinges typed, "&amp;$CQ320&amp;" expected, ","")&amp;IF(AND(ISNUMBER($CA320),OR(N($CA320)&lt;34,N($CA320)&gt;48)),"lock "&amp;TEXT($CA320,"0.0")&amp;CHAR(34)&amp;" AFF outside 34-48"&amp;CHAR(34)&amp;" (ADA), ","")&amp;IF(AND(ISNUMBER($AV320),ISNUMBER($BL320),N($AV320)&lt;IF(N($BL320)&lt;=60,2,IF(N($BL320)&lt;=90,3,IF(N($BL320)&lt;=120,4,5)))),"fewer hinges than standard, ",""))</f>
        <v/>
      </c>
    </row>
    <row r="321" ht="15" customHeight="1">
      <c r="A321" s="77" t="n"/>
      <c r="B321" s="78" t="n"/>
      <c r="C321" s="78" t="n"/>
      <c r="D321" s="78" t="n"/>
      <c r="E321" s="78" t="n"/>
      <c r="F321" s="78" t="n"/>
      <c r="G321" s="78" t="n"/>
      <c r="H321" s="78" t="n"/>
      <c r="I321" s="78" t="n"/>
      <c r="J321" s="78" t="n"/>
      <c r="K321" s="78" t="n"/>
      <c r="L321" s="78" t="n"/>
      <c r="M321" s="78" t="n"/>
      <c r="N321" s="78" t="n"/>
      <c r="O321" s="78" t="n"/>
      <c r="P321" s="78" t="n"/>
      <c r="Q321" s="78" t="n"/>
      <c r="R321" s="78" t="n"/>
      <c r="S321" s="79" t="n"/>
      <c r="T321" s="79" t="n"/>
      <c r="U321" s="79" t="n"/>
      <c r="V321" s="79" t="n"/>
      <c r="W321" s="79" t="n"/>
      <c r="X321" s="79" t="n"/>
      <c r="Y321" s="79" t="n"/>
      <c r="Z321" s="79" t="n"/>
      <c r="AA321" s="79" t="n"/>
      <c r="AB321" s="79" t="n"/>
      <c r="AC321" s="79" t="n"/>
      <c r="AD321" s="79" t="n"/>
      <c r="AE321" s="79" t="n"/>
      <c r="AF321" s="79" t="n"/>
      <c r="AG321" s="79" t="n"/>
      <c r="AH321" s="80" t="n"/>
      <c r="AI321" s="80" t="n"/>
      <c r="AJ321" s="80" t="n"/>
      <c r="AK321" s="80" t="n"/>
      <c r="AL321" s="80" t="n"/>
      <c r="AM321" s="80" t="n"/>
      <c r="AN321" s="80" t="n"/>
      <c r="AO321" s="80" t="n"/>
      <c r="AP321" s="80" t="n"/>
      <c r="AQ321" s="80" t="n"/>
      <c r="AR321" s="80" t="n"/>
      <c r="AS321" s="80" t="n"/>
      <c r="AT321" s="81" t="n"/>
      <c r="AU321" s="81" t="n"/>
      <c r="AV321" s="81" t="n"/>
      <c r="AW321" s="82" t="n"/>
      <c r="AX321" s="82" t="n"/>
      <c r="AY321" s="82" t="n"/>
      <c r="AZ321" s="82" t="n"/>
      <c r="BA321" s="82" t="n"/>
      <c r="BB321" s="83" t="n"/>
      <c r="BC321" s="83" t="n"/>
      <c r="BD321" s="84">
        <f>IF($A321="","",IF($DJ321&lt;&gt;"","FIX",IF($DK321&lt;&gt;"","CHECK","OK")))</f>
        <v/>
      </c>
      <c r="BE321" s="85">
        <f>IF($A321="","",IF($DJ321&lt;&gt;"","FIX: "&amp;LEFT($DJ321,LEN($DJ321)-2)&amp;IF($DK321&lt;&gt;"","  ·  ",""),"")&amp;IF($DK321&lt;&gt;"","CHECK: "&amp;LEFT($DK321,LEN($DK321)-2),""))</f>
        <v/>
      </c>
      <c r="BF321" s="84">
        <f>IF(OR($A321="",$K321=""),"",$K321&amp;"'-"&amp;N($L321)&amp;CHAR(34)&amp;" x "&amp;$M321&amp;"'-"&amp;N($N321)&amp;CHAR(34))</f>
        <v/>
      </c>
      <c r="BG321" s="84">
        <f>IF(OR($A321="",$K321=""),"",$K321&amp;N($L321)&amp;$M321&amp;N($N321))</f>
        <v/>
      </c>
      <c r="BH321" s="84">
        <f>IF(OR($A321="",$K321=""),"",$K321*12+N($L321))</f>
        <v/>
      </c>
      <c r="BI321" s="84">
        <f>IF(OR($A321="",$M321=""),"",$M321*12+N($N321))</f>
        <v/>
      </c>
      <c r="BJ321" s="84">
        <f>IF($A321="","",IF(OR($C321="FRAME ONLY",$S321="BL"),0,IF($O321="Y",2,1)))</f>
        <v/>
      </c>
      <c r="BK321" s="86">
        <f>IF(OR(N($BJ321)=0,$BH321=""),"",($BH321-2*EdgeClr-IF($BJ321=2,MeetClr,0))/$BJ321)</f>
        <v/>
      </c>
      <c r="BL321" s="86">
        <f>IF(OR(N($BJ321)=0,$BI321=""),"",$BI321-HeadClr-Undercut)</f>
        <v/>
      </c>
      <c r="BM321" s="86">
        <f>IF($BH321="","",$BH321+2*FaceW+IF(N($Q321)&gt;0,($Q321+FaceW)*IF($R321="LR",2,1),0))</f>
        <v/>
      </c>
      <c r="BN321" s="86">
        <f>IF($BI321="","",$BI321+IF($AB321="Y",4,FaceW)+IF(N($P321)&gt;0,$P321+FaceW,0)+IF(OR($S321="4F",$S321="BL"),FaceW,0))</f>
        <v/>
      </c>
      <c r="BO321" s="86">
        <f>IF($BM321="","",$BM321+2*ROSide)</f>
        <v/>
      </c>
      <c r="BP321" s="86">
        <f>IF($BN321="","",$BN321+ROTop)</f>
        <v/>
      </c>
      <c r="BQ321" s="87">
        <f>IF(OR(N($BJ321)=0,$BH321=""),"",$BH321/$BJ321-ClearDeduct)</f>
        <v/>
      </c>
      <c r="BR321" s="84">
        <f>IF(N($CH321)=0,"",IF($CH321&gt;=180,"A · 3 HR",IF($CH321&gt;=90,"B · 1-1/2 HR",IF($CH321&gt;=60,"B · 1 HR",IF($CH321&gt;=45,"C · 3/4 HR","20 MIN")))))&amp;IF(AND(N($CH321)&gt;0,OR($I321="CORRIDOR",$I321="SMOKE BARRIER"))," · S","")</f>
        <v/>
      </c>
      <c r="BS321" s="84">
        <f>IF($CS321,"",IF($AV321&lt;&gt;"",$AV321,IF(OR($AC321="HGC",$AO321="HGC"),"CONT",IF(($BI321-HeadClr-Undercut)&lt;=60,2,IF(($BI321-HeadClr-Undercut)&lt;=90,3,IF(($BI321-HeadClr-Undercut)&lt;=120,4,5))))))</f>
        <v/>
      </c>
      <c r="BT321" s="84">
        <f>IF($CS321,"",IF($CT321,"CUSTOM (typed)",IF($CV321,$AT321&amp;" "&amp;$CU321&amp;CHAR(34)&amp;IF($CU321&lt;&gt;$BI321,IF(AND($BI321&lt;$CU321,$BI321-IF(N(VLOOKUP($AT321&amp;"|"&amp;$CU321,LocTable,7,FALSE))&gt;0,VLOOKUP($AT321&amp;"|"&amp;$CU321,LocTable,7,FALSE),VLOOKUP($AT321&amp;"|"&amp;$CU321,LocTable,6,FALSE))-$CR321-0.75&gt;=2.125)," cut down"," adj."),""),"ANSI/SDI A250.6")))</f>
        <v/>
      </c>
      <c r="BU321" s="88">
        <f>IF($CS321,"",IF($CT321,IF(N($AW321)&gt;0,N($AW321),""),IF(1&gt;$CQ321,"",IF($CQ321=1,$CW321,$CW321+($CX321-$CW321)*0/($CQ321-1)))))</f>
        <v/>
      </c>
      <c r="BV321" s="88">
        <f>IF($CS321,"",IF($CT321,IF(N($AX321)&gt;0,N($AX321),""),IF(2&gt;$CQ321,"",IF($CQ321=1,$CW321,$CW321+($CX321-$CW321)*1/($CQ321-1)))))</f>
        <v/>
      </c>
      <c r="BW321" s="88">
        <f>IF($CS321,"",IF($CT321,IF(N($AY321)&gt;0,N($AY321),""),IF(3&gt;$CQ321,"",IF($CQ321=1,$CW321,$CW321+($CX321-$CW321)*2/($CQ321-1)))))</f>
        <v/>
      </c>
      <c r="BX321" s="88">
        <f>IF($CS321,"",IF($CT321,IF(N($AZ321)&gt;0,N($AZ321),""),IF(4&gt;$CQ321,"",IF($CQ321=1,$CW321,$CW321+($CX321-$CW321)*3/($CQ321-1)))))</f>
        <v/>
      </c>
      <c r="BY321" s="88">
        <f>IF($CS321,"",IF($CT321,"",IF(5&gt;$CQ321,"",IF($CQ321=1,$CW321,$CW321+($CX321-$CW321)*4/($CQ321-1)))))</f>
        <v/>
      </c>
      <c r="BZ321" s="88">
        <f>IF(OR($CS321,$AP321="-",AND($AP321="",$AD321="")),"",IF(N($BA321)&gt;0,N($BA321),IF($CV321,IF(AND($BI321&lt;$CU321,$BI321-IF(N(VLOOKUP($AT321&amp;"|"&amp;$CU321,LocTable,7,FALSE))&gt;0,VLOOKUP($AT321&amp;"|"&amp;$CU321,LocTable,7,FALSE),VLOOKUP($AT321&amp;"|"&amp;$CU321,LocTable,6,FALSE))-$CR321-0.75&gt;=2.125),VLOOKUP($AT321&amp;"|"&amp;$CU321,LocTable,8,FALSE),VLOOKUP($AT321&amp;"|"&amp;$CU321,LocTable,8,FALSE)+($BI321-$CU321)),$BI321-LockAFF)))</f>
        <v/>
      </c>
      <c r="CA321" s="89">
        <f>IF($BZ321="","",$BI321-$BZ321)</f>
        <v/>
      </c>
      <c r="CB321" s="84">
        <f>IF(OR(NOT(AND($A321&lt;&gt;"",$C321&lt;&gt;"DOOR ONLY")),$BI321=""),"",IF(($BI321+IF(N($P321)&gt;0,$P321+FaceW,0))&lt;=90,3,IF(($BI321+IF(N($P321)&gt;0,$P321+FaceW,0))&lt;=114,4,5)))</f>
        <v/>
      </c>
      <c r="CC321" s="84">
        <f>IF($CB321="","",$CB321*(2+IF(N($Q321)&gt;0,IF($R321="LR",2,1),0)))</f>
        <v/>
      </c>
      <c r="CD321" s="84">
        <f>IF($CB321="","",(2+IF(N($Q321)&gt;0,IF($R321="LR",2,1),0)))</f>
        <v/>
      </c>
      <c r="CE321" s="84">
        <f>IF(N($BJ321)=0,"",IF(OR($AL321="",$AL321="FLUSH"),"FLUSH",IFERROR(LEFT($AL321,FIND("-",$AL321)-1),LEFT($AL321,2))))</f>
        <v/>
      </c>
      <c r="CF321" s="84">
        <f>IF($CE321="","",IFERROR(VALUE(MID($AL321,FIND("-",$AL321)+1,FIND(CHAR(34)&amp;"x",$AL321)-FIND("-",$AL321)-1)),0))</f>
        <v/>
      </c>
      <c r="CG321" s="84">
        <f>IF($CE321="","",IFERROR(VALUE(MID($AL321,FIND(CHAR(34)&amp;"x",$AL321)+2,FIND(CHAR(34),$AL321,FIND(CHAR(34)&amp;"x",$AL321)+2)-FIND(CHAR(34)&amp;"x",$AL321)-2)),0))</f>
        <v/>
      </c>
      <c r="CH321" s="90">
        <f>IF(OR($A321="",$H321="",$H321="NO LAB"),0,IFERROR(VALUE(LEFT($H321,FIND(" ",$H321)-1)),0))</f>
        <v/>
      </c>
      <c r="CI321" s="91">
        <f>IF(OR($A321="",$I321="",$I321="NON-RATED",N($J321)=0),"",IFERROR(VLOOKUP($I321&amp;"|"&amp;$J321,IBC,2,FALSE),"?"))</f>
        <v/>
      </c>
      <c r="CJ321" s="85">
        <f>IF(NOT(AND($A321&lt;&gt;"",$C321&lt;&gt;"DOOR ONLY")),"",TRIM(IFERROR(VLOOKUP($U321,CODES,2,FALSE),"")&amp;" "&amp;$BG321&amp;" "&amp;IFERROR(VLOOKUP($Z321,CODES,2,FALSE),"")&amp;" "&amp;IFERROR(VLOOKUP($X321,CODES,2,FALSE),"")&amp;" "&amp;IFERROR(VLOOKUP($S321,CODES,2,FALSE),"")&amp;IF(N($P321)&gt;0," w/TRANSOM "&amp;$P321&amp;CHAR(34),"")&amp;IF(N($Q321)&gt;0," w/SIDELITE "&amp;$Q321&amp;CHAR(34)&amp;" "&amp;IF($R321="","R",$R321),"")&amp;IF($Y321="","  |  "," | "&amp;IFERROR(VLOOKUP($Y321,CODES,2,FALSE),"")&amp;" | ")&amp;IFERROR(VLOOKUP($AC321,CODES,2,FALSE),"")&amp;" "&amp;IFERROR(VLOOKUP($AD321,CODES,2,FALSE),"")&amp;IF(OR($AE321="",$AE321="-"),""," "&amp;$AE321)&amp;IF(OR($AF321="",$AF321="-"),""," "&amp;$AF321)&amp;IF($AB321="Y"," 4"&amp;CHAR(34)&amp;" HEAD","")&amp;" "&amp;IFERROR(VLOOKUP($H321,CODES,2,FALSE),"")&amp;IF($CT321," | LOC "&amp;$CY321,"")))</f>
        <v/>
      </c>
      <c r="CK321" s="85">
        <f>IF(NOT(AND($A321&lt;&gt;"",N($BJ321)&gt;0)),"",TRIM(IFERROR(VLOOKUP($AH321,CODES,2,FALSE),"")&amp;IF($AI321=""," "," "&amp;$AI321&amp;"GA ")&amp;$BG321&amp;" "&amp;IF($AN321="",IFERROR(VLOOKUP($Z321,CODES,2,FALSE),""),IFERROR(VLOOKUP($AN321,CODES,2,FALSE),""))&amp;IF($BJ321=2," PAIR","")&amp;" DOOR | "&amp;IF($AL321="","?",$AL321)&amp;" | "&amp;IF($AO321="",IFERROR(VLOOKUP($AC321,CODES,2,FALSE),""),IFERROR(VLOOKUP($AO321,CODES,2,FALSE),""))&amp;" "&amp;IFERROR(VLOOKUP($AP321,CODES,2,FALSE),"")&amp;IF(OR($AQ321="",$AQ321="-"),""," SEAM "&amp;$AQ321)&amp;IF($AR321="Y"," ASTRAGAL","")&amp;IF($AJ321=""," "," "&amp;$AJ321)&amp;IF($AK321=""," "," "&amp;$AK321)&amp;IF(OR($AT321="",$AT321="ANSI/SDI",$AT321="CUSTOM LOC"),""," "&amp;$AT321)&amp;IF($AM321=""," "," SERIES "&amp;$AM321)&amp;" "&amp;IFERROR(VLOOKUP($H321,CODES,2,FALSE),"")&amp;IF($CT321," | LOC "&amp;$CZ321,"")))</f>
        <v/>
      </c>
      <c r="CL321" s="84">
        <f>IF(CP321="","",IF(COUNTIF($CP$6:CP321,CP321)=1,MAX($CL$5:CL320)+1,INDEX($CL$5:CL320,MATCH(CP321,$CP$5:CP320,0))))</f>
        <v/>
      </c>
      <c r="CM321" s="84">
        <f>IF(NOT(AND($A321&lt;&gt;"",$C321&lt;&gt;"DOOR ONLY")),"",MAX($CM$5:CM320)+1)</f>
        <v/>
      </c>
      <c r="CN321" s="84">
        <f>IF(NOT(AND($A321&lt;&gt;"",N($BJ321)&gt;0)),"",MAX($CN$5:CN320)+1)</f>
        <v/>
      </c>
      <c r="CO321" s="84">
        <f>IF($A321="","",MAX($CO$5:CO320)+1)</f>
        <v/>
      </c>
      <c r="CP321" s="84">
        <f>IF(OR($A321="",$BH321="",$BI321=""),"",$BG321&amp;"|"&amp;$O321&amp;"|"&amp;$AL321&amp;"|"&amp;$S321&amp;"|"&amp;$P321&amp;"|"&amp;$Q321&amp;$R321&amp;"|"&amp;$C321&amp;"|"&amp;$AB321)</f>
        <v/>
      </c>
      <c r="CQ321" s="84">
        <f>N($BS321)</f>
        <v/>
      </c>
      <c r="CR321" s="84">
        <f>IF(N($AU321)&gt;0,N($AU321),4.5)</f>
        <v/>
      </c>
      <c r="CS321" s="84">
        <f>OR($A321="",$BI321="",$S321="BL",AND($C321="FRAME ONLY",OR($AC321="",$AC321="BLK")))</f>
        <v/>
      </c>
      <c r="CT321" s="84">
        <f>AND(NOT($CS321),OR($AT321="CUSTOM LOC",N($AW321)+N($AX321)+N($AY321)+N($AZ321)+N($BA321)&gt;0))</f>
        <v/>
      </c>
      <c r="CU321" s="84">
        <f>IF($BI321="","",IF($BI321&lt;=80,80,IF($BI321&lt;=84,84,96)))</f>
        <v/>
      </c>
      <c r="CV321" s="84">
        <f>ISNUMBER(MATCH($AT321&amp;"|80",LocKeys,0))</f>
        <v/>
      </c>
      <c r="CW321" s="86">
        <f>IF($CS321,"",IF($CV321,VLOOKUP($AT321&amp;"|"&amp;$CU321,LocTable,4,FALSE),5))</f>
        <v/>
      </c>
      <c r="CX321" s="86">
        <f>IF($CS321,"",IF($CV321,IF(OR($BI321=$CU321,AND($BI321&lt;$CU321,$BI321-IF(N(VLOOKUP($AT321&amp;"|"&amp;$CU321,LocTable,7,FALSE))&gt;0,VLOOKUP($AT321&amp;"|"&amp;$CU321,LocTable,7,FALSE),VLOOKUP($AT321&amp;"|"&amp;$CU321,LocTable,6,FALSE))-$CR321-0.75&gt;=2.125)),IF(N(VLOOKUP($AT321&amp;"|"&amp;$CU321,LocTable,7,FALSE))&gt;0,VLOOKUP($AT321&amp;"|"&amp;$CU321,LocTable,7,FALSE),VLOOKUP($AT321&amp;"|"&amp;$CU321,LocTable,6,FALSE)),$BI321-($CU321-IF(N(VLOOKUP($AT321&amp;"|"&amp;$CU321,LocTable,7,FALSE))&gt;0,VLOOKUP($AT321&amp;"|"&amp;$CU321,LocTable,7,FALSE),VLOOKUP($AT321&amp;"|"&amp;$CU321,LocTable,6,FALSE)))),$BI321-10-$CR321))</f>
        <v/>
      </c>
      <c r="CY321" s="85">
        <f>IF($CS321,"",TRIM(IF(ISNUMBER($BU321),"A "&amp;TRIM(TEXT($BU321,"# ?/??"))&amp;CHAR(34)&amp;"  ","")&amp;IF(ISNUMBER($BV321),"B "&amp;TRIM(TEXT($BV321,"# ?/??"))&amp;CHAR(34)&amp;"  ","")&amp;IF(ISNUMBER($BW321),"C "&amp;TRIM(TEXT($BW321,"# ?/??"))&amp;CHAR(34)&amp;"  ","")&amp;IF(ISNUMBER($BX321),"D "&amp;TRIM(TEXT($BX321,"# ?/??"))&amp;CHAR(34)&amp;"  ","")&amp;IF(ISNUMBER($BY321),"F "&amp;TRIM(TEXT($BY321,"# ?/??"))&amp;CHAR(34)&amp;"  ","")&amp;IF(ISNUMBER($BZ321),"E "&amp;TRIM(TEXT($BZ321,"# ?/??"))&amp;CHAR(34)&amp;"  ","")))</f>
        <v/>
      </c>
      <c r="CZ321" s="85">
        <f>IF(OR($CS321,N($BJ321)=0),"",TRIM(IF(ISNUMBER($BU321),"A "&amp;TRIM(TEXT($BU321-HeadClr,"# ?/??"))&amp;CHAR(34)&amp;"  ","")&amp;IF(ISNUMBER($BV321),"B "&amp;TRIM(TEXT($BV321-HeadClr,"# ?/??"))&amp;CHAR(34)&amp;"  ","")&amp;IF(ISNUMBER($BW321),"C "&amp;TRIM(TEXT($BW321-HeadClr,"# ?/??"))&amp;CHAR(34)&amp;"  ","")&amp;IF(ISNUMBER($BX321),"D "&amp;TRIM(TEXT($BX321-HeadClr,"# ?/??"))&amp;CHAR(34)&amp;"  ","")&amp;IF(ISNUMBER($BY321),"F "&amp;TRIM(TEXT($BY321-HeadClr,"# ?/??"))&amp;CHAR(34)&amp;"  ","")&amp;IF(ISNUMBER($BZ321),"E "&amp;TRIM(TEXT($BZ321-HeadClr,"# ?/??"))&amp;CHAR(34)&amp;"  ","")))</f>
        <v/>
      </c>
      <c r="DA321" s="84">
        <f>IF($A321="","",IF($AN321="",IFERROR(VLOOKUP($Z321,CODES,2,FALSE),""),IFERROR(VLOOKUP($AN321,CODES,2,FALSE),"")))</f>
        <v/>
      </c>
      <c r="DB321" s="84">
        <f>IF($A321="","",IF($O321="Y","PR",IF(OR($Z321="L",$Z321="RR",LEFT($Z321,2)="L-",LEFT($Z321,3)="RR-"),"LH","RH")))</f>
        <v/>
      </c>
      <c r="DC321" s="84">
        <f>IF($A321="","","S.HM"&amp;IF(OR($C321="DOOR ONLY",$X321&lt;&gt;"KD"),"MASONRY","DRYWALL")&amp;IF($C321="DOOR ONLY","",$U321)&amp;IF(AND($C321&lt;&gt;"FRAME ONLY",OR(LEFT($AH321,3)="OAK",LEFT($AH321,3)="BIR",LEFT($AH321,3)="MAP",$AH321="PC",$AH321="MC",$AH321="SCLC",$AH321="P-LAM")),"WD","HM")&amp;"1.75")</f>
        <v/>
      </c>
      <c r="DD321" s="84">
        <f>IF($CJ321="","",IF($O321="Y",$CJ321,SUBSTITUTE($CJ321,$BG321&amp;" "&amp;IFERROR(VLOOKUP($Z321,CODES,2,FALSE),"")&amp;" ",$BG321&amp;" ")))</f>
        <v/>
      </c>
      <c r="DE321" s="84">
        <f>IF($CK321="","",IF($O321="Y",$CK321,SUBSTITUTE($CK321,$BG321&amp;" "&amp;IF($AN321="",IFERROR(VLOOKUP($Z321,CODES,2,FALSE),""),IFERROR(VLOOKUP($AN321,CODES,2,FALSE),""))&amp;" ",$BG321&amp;" ")))</f>
        <v/>
      </c>
      <c r="DF321" s="84">
        <f>IF($CJ321="","",$DC321&amp;"|"&amp;$DD321&amp;"|"&amp;$DB321&amp;"|"&amp;$AT321&amp;"|"&amp;$V321&amp;"|"&amp;$Y321&amp;"|"&amp;$AB321)</f>
        <v/>
      </c>
      <c r="DG321" s="84">
        <f>IF(DF321="","",IF(COUNTIF($DF$6:DF321,DF321)=1,MAX($DG$5:DG320)+1,INDEX($DG$5:DG320,MATCH(DF321,$DF$5:DF320,0))))</f>
        <v/>
      </c>
      <c r="DH321" s="84">
        <f>IF($CK321="","",$DC321&amp;"|"&amp;$DE321&amp;"|"&amp;$AI321&amp;"|"&amp;$BK321&amp;"|"&amp;$BL321)</f>
        <v/>
      </c>
      <c r="DI321" s="84">
        <f>IF(DH321="","",IF(COUNTIF($DH$6:DH321,DH321)=1,MAX($DI$5:DI320)+1,INDEX($DI$5:DI320,MATCH(DH321,$DH$5:DH320,0))))</f>
        <v/>
      </c>
      <c r="DJ321" s="84">
        <f>IF($A321="","",IF($B321="","qty, ","")&amp;IF($C321="","scope, ","")&amp;IF(OR($K321="",$M321=""),"size, ","")&amp;IF(AND($A321&lt;&gt;"",$C321&lt;&gt;"DOOR ONLY"),IF($U321="","jamb depth, ","")&amp;IF($X321="","construction, ","")&amp;IF($Y321="","anchor, ","")&amp;IF($S321="","frame type, ",""),"")&amp;IF(AND(N($BJ321)&gt;0,$Z321=""),"hand, ","")&amp;IF(N($BJ321)&gt;0,IF($AH321="","door material, ","")&amp;IF($AL321="","face type, ","")&amp;IF($AP321="","lock prep, ","")&amp;IF(AND($AO321="",$AC321=""),"hinge prep, ",""),"")&amp;IF(AND($CH321&gt;0,$AH321="FRP"),"FRP cannot carry a label, ","")&amp;IF(AND($O321="Y",OR($Z321="L",$Z321="R",$Z321="LR",$Z321="RR")),"pair marked but hand is single, ","")&amp;IF(AND($O321&lt;&gt;"Y",OR($Z321="PR",AND(LEN($Z321)&gt;1,ISNUMBER(SEARCH("-",$Z321))))),"pair hand on a single door, ","")&amp;IF(AND(ISNUMBER($CI321),$CH321&lt;N($CI321)),"wall needs a "&amp;$CI321&amp;" min door, ","")&amp;IF(AND($CH321&gt;=180,AND(OR($CE321="FG",$CE321="HG",$CE321="FNV",$CE321="FV"),N($CF321)*N($CG321)&gt;100)),"180 min lite over 100 sq in, ","")&amp;IF(N($BK321)&gt;48,"leaf wider than 4'-0"&amp;CHAR(34)&amp;", ","")&amp;IF(AND($CT321,COUNT($AW321:$AZ321)=0,$CQ321&gt;0),"CUSTOM LOC with no locations typed, ",""))</f>
        <v/>
      </c>
      <c r="DK321" s="84">
        <f>IF($A321="","",IF(AND($CH321&gt;0,AND($A321&lt;&gt;"",$C321&lt;&gt;"DOOR ONLY"),$X321="KD",$E321="EXTERIOR"),"KD label on an exterior opening, ","")&amp;IF(AND($E321="EXTERIOR",OR(AND(AND($A321&lt;&gt;"",$C321&lt;&gt;"DOOR ONLY"),$W321="CR"),AND(N($BJ321)&gt;0,$AH321="CR"))),"exterior in CR steel (G9?), ","")&amp;IF(AND(ISNUMBER($BQ321),N($BQ321)&lt;32),"clear width ~"&amp;TEXT($BQ321,"0.0")&amp;CHAR(34)&amp;" under 32"&amp;CHAR(34)&amp;" (ADA), ","")&amp;IF(AND($CH321=90,AND(OR($CE321="FG",$CE321="HG",$CE321="FNV",$CE321="FV"),N($CF321)*N($CG321)&gt;100)),"90 min lite over 100 sq in (stair/exit), ","")&amp;IF(AND($CH321&gt;0,AND($A321&lt;&gt;"",$C321&lt;&gt;"DOOR ONLY"),OR($AF321="",$AF321="-")),"rated: closer reinf.?, ","")&amp;IF(OR($I321="CORRIDOR",$I321="SMOKE BARRIER"),"S label + smoke gasketing, ","")&amp;IF($CI321="?","wall type/hr not in IBC table, ","")&amp;IF(AND(N($BJ321)&gt;0,$BB321=""),"no hardware set, ","")&amp;IF(AND($BB321&lt;&gt;"",ISNA(MATCH($BB321&amp;"",HWSets,0))),"set "&amp;$BB321&amp;" not on HW Sets, ","")&amp;IF(N($BL321)&gt;96,"leaf over 8'-0"&amp;CHAR(34)&amp;" - check listing, ","")&amp;IF(AND($CT321,COUNT($AW321:$AZ321)&gt;0,COUNT($AW321:$AZ321)&lt;&gt;$CQ321),COUNT($AW321:$AZ321)&amp;" custom hinges typed, "&amp;$CQ321&amp;" expected, ","")&amp;IF(AND(ISNUMBER($CA321),OR(N($CA321)&lt;34,N($CA321)&gt;48)),"lock "&amp;TEXT($CA321,"0.0")&amp;CHAR(34)&amp;" AFF outside 34-48"&amp;CHAR(34)&amp;" (ADA), ","")&amp;IF(AND(ISNUMBER($AV321),ISNUMBER($BL321),N($AV321)&lt;IF(N($BL321)&lt;=60,2,IF(N($BL321)&lt;=90,3,IF(N($BL321)&lt;=120,4,5)))),"fewer hinges than standard, ",""))</f>
        <v/>
      </c>
    </row>
    <row r="322" ht="15" customHeight="1">
      <c r="A322" s="77" t="n"/>
      <c r="B322" s="78" t="n"/>
      <c r="C322" s="78" t="n"/>
      <c r="D322" s="78" t="n"/>
      <c r="E322" s="78" t="n"/>
      <c r="F322" s="78" t="n"/>
      <c r="G322" s="78" t="n"/>
      <c r="H322" s="78" t="n"/>
      <c r="I322" s="78" t="n"/>
      <c r="J322" s="78" t="n"/>
      <c r="K322" s="78" t="n"/>
      <c r="L322" s="78" t="n"/>
      <c r="M322" s="78" t="n"/>
      <c r="N322" s="78" t="n"/>
      <c r="O322" s="78" t="n"/>
      <c r="P322" s="78" t="n"/>
      <c r="Q322" s="78" t="n"/>
      <c r="R322" s="78" t="n"/>
      <c r="S322" s="79" t="n"/>
      <c r="T322" s="79" t="n"/>
      <c r="U322" s="79" t="n"/>
      <c r="V322" s="79" t="n"/>
      <c r="W322" s="79" t="n"/>
      <c r="X322" s="79" t="n"/>
      <c r="Y322" s="79" t="n"/>
      <c r="Z322" s="79" t="n"/>
      <c r="AA322" s="79" t="n"/>
      <c r="AB322" s="79" t="n"/>
      <c r="AC322" s="79" t="n"/>
      <c r="AD322" s="79" t="n"/>
      <c r="AE322" s="79" t="n"/>
      <c r="AF322" s="79" t="n"/>
      <c r="AG322" s="79" t="n"/>
      <c r="AH322" s="80" t="n"/>
      <c r="AI322" s="80" t="n"/>
      <c r="AJ322" s="80" t="n"/>
      <c r="AK322" s="80" t="n"/>
      <c r="AL322" s="80" t="n"/>
      <c r="AM322" s="80" t="n"/>
      <c r="AN322" s="80" t="n"/>
      <c r="AO322" s="80" t="n"/>
      <c r="AP322" s="80" t="n"/>
      <c r="AQ322" s="80" t="n"/>
      <c r="AR322" s="80" t="n"/>
      <c r="AS322" s="80" t="n"/>
      <c r="AT322" s="81" t="n"/>
      <c r="AU322" s="81" t="n"/>
      <c r="AV322" s="81" t="n"/>
      <c r="AW322" s="82" t="n"/>
      <c r="AX322" s="82" t="n"/>
      <c r="AY322" s="82" t="n"/>
      <c r="AZ322" s="82" t="n"/>
      <c r="BA322" s="82" t="n"/>
      <c r="BB322" s="83" t="n"/>
      <c r="BC322" s="83" t="n"/>
      <c r="BD322" s="84">
        <f>IF($A322="","",IF($DJ322&lt;&gt;"","FIX",IF($DK322&lt;&gt;"","CHECK","OK")))</f>
        <v/>
      </c>
      <c r="BE322" s="85">
        <f>IF($A322="","",IF($DJ322&lt;&gt;"","FIX: "&amp;LEFT($DJ322,LEN($DJ322)-2)&amp;IF($DK322&lt;&gt;"","  ·  ",""),"")&amp;IF($DK322&lt;&gt;"","CHECK: "&amp;LEFT($DK322,LEN($DK322)-2),""))</f>
        <v/>
      </c>
      <c r="BF322" s="84">
        <f>IF(OR($A322="",$K322=""),"",$K322&amp;"'-"&amp;N($L322)&amp;CHAR(34)&amp;" x "&amp;$M322&amp;"'-"&amp;N($N322)&amp;CHAR(34))</f>
        <v/>
      </c>
      <c r="BG322" s="84">
        <f>IF(OR($A322="",$K322=""),"",$K322&amp;N($L322)&amp;$M322&amp;N($N322))</f>
        <v/>
      </c>
      <c r="BH322" s="84">
        <f>IF(OR($A322="",$K322=""),"",$K322*12+N($L322))</f>
        <v/>
      </c>
      <c r="BI322" s="84">
        <f>IF(OR($A322="",$M322=""),"",$M322*12+N($N322))</f>
        <v/>
      </c>
      <c r="BJ322" s="84">
        <f>IF($A322="","",IF(OR($C322="FRAME ONLY",$S322="BL"),0,IF($O322="Y",2,1)))</f>
        <v/>
      </c>
      <c r="BK322" s="86">
        <f>IF(OR(N($BJ322)=0,$BH322=""),"",($BH322-2*EdgeClr-IF($BJ322=2,MeetClr,0))/$BJ322)</f>
        <v/>
      </c>
      <c r="BL322" s="86">
        <f>IF(OR(N($BJ322)=0,$BI322=""),"",$BI322-HeadClr-Undercut)</f>
        <v/>
      </c>
      <c r="BM322" s="86">
        <f>IF($BH322="","",$BH322+2*FaceW+IF(N($Q322)&gt;0,($Q322+FaceW)*IF($R322="LR",2,1),0))</f>
        <v/>
      </c>
      <c r="BN322" s="86">
        <f>IF($BI322="","",$BI322+IF($AB322="Y",4,FaceW)+IF(N($P322)&gt;0,$P322+FaceW,0)+IF(OR($S322="4F",$S322="BL"),FaceW,0))</f>
        <v/>
      </c>
      <c r="BO322" s="86">
        <f>IF($BM322="","",$BM322+2*ROSide)</f>
        <v/>
      </c>
      <c r="BP322" s="86">
        <f>IF($BN322="","",$BN322+ROTop)</f>
        <v/>
      </c>
      <c r="BQ322" s="87">
        <f>IF(OR(N($BJ322)=0,$BH322=""),"",$BH322/$BJ322-ClearDeduct)</f>
        <v/>
      </c>
      <c r="BR322" s="84">
        <f>IF(N($CH322)=0,"",IF($CH322&gt;=180,"A · 3 HR",IF($CH322&gt;=90,"B · 1-1/2 HR",IF($CH322&gt;=60,"B · 1 HR",IF($CH322&gt;=45,"C · 3/4 HR","20 MIN")))))&amp;IF(AND(N($CH322)&gt;0,OR($I322="CORRIDOR",$I322="SMOKE BARRIER"))," · S","")</f>
        <v/>
      </c>
      <c r="BS322" s="84">
        <f>IF($CS322,"",IF($AV322&lt;&gt;"",$AV322,IF(OR($AC322="HGC",$AO322="HGC"),"CONT",IF(($BI322-HeadClr-Undercut)&lt;=60,2,IF(($BI322-HeadClr-Undercut)&lt;=90,3,IF(($BI322-HeadClr-Undercut)&lt;=120,4,5))))))</f>
        <v/>
      </c>
      <c r="BT322" s="84">
        <f>IF($CS322,"",IF($CT322,"CUSTOM (typed)",IF($CV322,$AT322&amp;" "&amp;$CU322&amp;CHAR(34)&amp;IF($CU322&lt;&gt;$BI322,IF(AND($BI322&lt;$CU322,$BI322-IF(N(VLOOKUP($AT322&amp;"|"&amp;$CU322,LocTable,7,FALSE))&gt;0,VLOOKUP($AT322&amp;"|"&amp;$CU322,LocTable,7,FALSE),VLOOKUP($AT322&amp;"|"&amp;$CU322,LocTable,6,FALSE))-$CR322-0.75&gt;=2.125)," cut down"," adj."),""),"ANSI/SDI A250.6")))</f>
        <v/>
      </c>
      <c r="BU322" s="88">
        <f>IF($CS322,"",IF($CT322,IF(N($AW322)&gt;0,N($AW322),""),IF(1&gt;$CQ322,"",IF($CQ322=1,$CW322,$CW322+($CX322-$CW322)*0/($CQ322-1)))))</f>
        <v/>
      </c>
      <c r="BV322" s="88">
        <f>IF($CS322,"",IF($CT322,IF(N($AX322)&gt;0,N($AX322),""),IF(2&gt;$CQ322,"",IF($CQ322=1,$CW322,$CW322+($CX322-$CW322)*1/($CQ322-1)))))</f>
        <v/>
      </c>
      <c r="BW322" s="88">
        <f>IF($CS322,"",IF($CT322,IF(N($AY322)&gt;0,N($AY322),""),IF(3&gt;$CQ322,"",IF($CQ322=1,$CW322,$CW322+($CX322-$CW322)*2/($CQ322-1)))))</f>
        <v/>
      </c>
      <c r="BX322" s="88">
        <f>IF($CS322,"",IF($CT322,IF(N($AZ322)&gt;0,N($AZ322),""),IF(4&gt;$CQ322,"",IF($CQ322=1,$CW322,$CW322+($CX322-$CW322)*3/($CQ322-1)))))</f>
        <v/>
      </c>
      <c r="BY322" s="88">
        <f>IF($CS322,"",IF($CT322,"",IF(5&gt;$CQ322,"",IF($CQ322=1,$CW322,$CW322+($CX322-$CW322)*4/($CQ322-1)))))</f>
        <v/>
      </c>
      <c r="BZ322" s="88">
        <f>IF(OR($CS322,$AP322="-",AND($AP322="",$AD322="")),"",IF(N($BA322)&gt;0,N($BA322),IF($CV322,IF(AND($BI322&lt;$CU322,$BI322-IF(N(VLOOKUP($AT322&amp;"|"&amp;$CU322,LocTable,7,FALSE))&gt;0,VLOOKUP($AT322&amp;"|"&amp;$CU322,LocTable,7,FALSE),VLOOKUP($AT322&amp;"|"&amp;$CU322,LocTable,6,FALSE))-$CR322-0.75&gt;=2.125),VLOOKUP($AT322&amp;"|"&amp;$CU322,LocTable,8,FALSE),VLOOKUP($AT322&amp;"|"&amp;$CU322,LocTable,8,FALSE)+($BI322-$CU322)),$BI322-LockAFF)))</f>
        <v/>
      </c>
      <c r="CA322" s="89">
        <f>IF($BZ322="","",$BI322-$BZ322)</f>
        <v/>
      </c>
      <c r="CB322" s="84">
        <f>IF(OR(NOT(AND($A322&lt;&gt;"",$C322&lt;&gt;"DOOR ONLY")),$BI322=""),"",IF(($BI322+IF(N($P322)&gt;0,$P322+FaceW,0))&lt;=90,3,IF(($BI322+IF(N($P322)&gt;0,$P322+FaceW,0))&lt;=114,4,5)))</f>
        <v/>
      </c>
      <c r="CC322" s="84">
        <f>IF($CB322="","",$CB322*(2+IF(N($Q322)&gt;0,IF($R322="LR",2,1),0)))</f>
        <v/>
      </c>
      <c r="CD322" s="84">
        <f>IF($CB322="","",(2+IF(N($Q322)&gt;0,IF($R322="LR",2,1),0)))</f>
        <v/>
      </c>
      <c r="CE322" s="84">
        <f>IF(N($BJ322)=0,"",IF(OR($AL322="",$AL322="FLUSH"),"FLUSH",IFERROR(LEFT($AL322,FIND("-",$AL322)-1),LEFT($AL322,2))))</f>
        <v/>
      </c>
      <c r="CF322" s="84">
        <f>IF($CE322="","",IFERROR(VALUE(MID($AL322,FIND("-",$AL322)+1,FIND(CHAR(34)&amp;"x",$AL322)-FIND("-",$AL322)-1)),0))</f>
        <v/>
      </c>
      <c r="CG322" s="84">
        <f>IF($CE322="","",IFERROR(VALUE(MID($AL322,FIND(CHAR(34)&amp;"x",$AL322)+2,FIND(CHAR(34),$AL322,FIND(CHAR(34)&amp;"x",$AL322)+2)-FIND(CHAR(34)&amp;"x",$AL322)-2)),0))</f>
        <v/>
      </c>
      <c r="CH322" s="90">
        <f>IF(OR($A322="",$H322="",$H322="NO LAB"),0,IFERROR(VALUE(LEFT($H322,FIND(" ",$H322)-1)),0))</f>
        <v/>
      </c>
      <c r="CI322" s="91">
        <f>IF(OR($A322="",$I322="",$I322="NON-RATED",N($J322)=0),"",IFERROR(VLOOKUP($I322&amp;"|"&amp;$J322,IBC,2,FALSE),"?"))</f>
        <v/>
      </c>
      <c r="CJ322" s="85">
        <f>IF(NOT(AND($A322&lt;&gt;"",$C322&lt;&gt;"DOOR ONLY")),"",TRIM(IFERROR(VLOOKUP($U322,CODES,2,FALSE),"")&amp;" "&amp;$BG322&amp;" "&amp;IFERROR(VLOOKUP($Z322,CODES,2,FALSE),"")&amp;" "&amp;IFERROR(VLOOKUP($X322,CODES,2,FALSE),"")&amp;" "&amp;IFERROR(VLOOKUP($S322,CODES,2,FALSE),"")&amp;IF(N($P322)&gt;0," w/TRANSOM "&amp;$P322&amp;CHAR(34),"")&amp;IF(N($Q322)&gt;0," w/SIDELITE "&amp;$Q322&amp;CHAR(34)&amp;" "&amp;IF($R322="","R",$R322),"")&amp;IF($Y322="","  |  "," | "&amp;IFERROR(VLOOKUP($Y322,CODES,2,FALSE),"")&amp;" | ")&amp;IFERROR(VLOOKUP($AC322,CODES,2,FALSE),"")&amp;" "&amp;IFERROR(VLOOKUP($AD322,CODES,2,FALSE),"")&amp;IF(OR($AE322="",$AE322="-"),""," "&amp;$AE322)&amp;IF(OR($AF322="",$AF322="-"),""," "&amp;$AF322)&amp;IF($AB322="Y"," 4"&amp;CHAR(34)&amp;" HEAD","")&amp;" "&amp;IFERROR(VLOOKUP($H322,CODES,2,FALSE),"")&amp;IF($CT322," | LOC "&amp;$CY322,"")))</f>
        <v/>
      </c>
      <c r="CK322" s="85">
        <f>IF(NOT(AND($A322&lt;&gt;"",N($BJ322)&gt;0)),"",TRIM(IFERROR(VLOOKUP($AH322,CODES,2,FALSE),"")&amp;IF($AI322=""," "," "&amp;$AI322&amp;"GA ")&amp;$BG322&amp;" "&amp;IF($AN322="",IFERROR(VLOOKUP($Z322,CODES,2,FALSE),""),IFERROR(VLOOKUP($AN322,CODES,2,FALSE),""))&amp;IF($BJ322=2," PAIR","")&amp;" DOOR | "&amp;IF($AL322="","?",$AL322)&amp;" | "&amp;IF($AO322="",IFERROR(VLOOKUP($AC322,CODES,2,FALSE),""),IFERROR(VLOOKUP($AO322,CODES,2,FALSE),""))&amp;" "&amp;IFERROR(VLOOKUP($AP322,CODES,2,FALSE),"")&amp;IF(OR($AQ322="",$AQ322="-"),""," SEAM "&amp;$AQ322)&amp;IF($AR322="Y"," ASTRAGAL","")&amp;IF($AJ322=""," "," "&amp;$AJ322)&amp;IF($AK322=""," "," "&amp;$AK322)&amp;IF(OR($AT322="",$AT322="ANSI/SDI",$AT322="CUSTOM LOC"),""," "&amp;$AT322)&amp;IF($AM322=""," "," SERIES "&amp;$AM322)&amp;" "&amp;IFERROR(VLOOKUP($H322,CODES,2,FALSE),"")&amp;IF($CT322," | LOC "&amp;$CZ322,"")))</f>
        <v/>
      </c>
      <c r="CL322" s="84">
        <f>IF(CP322="","",IF(COUNTIF($CP$6:CP322,CP322)=1,MAX($CL$5:CL321)+1,INDEX($CL$5:CL321,MATCH(CP322,$CP$5:CP321,0))))</f>
        <v/>
      </c>
      <c r="CM322" s="84">
        <f>IF(NOT(AND($A322&lt;&gt;"",$C322&lt;&gt;"DOOR ONLY")),"",MAX($CM$5:CM321)+1)</f>
        <v/>
      </c>
      <c r="CN322" s="84">
        <f>IF(NOT(AND($A322&lt;&gt;"",N($BJ322)&gt;0)),"",MAX($CN$5:CN321)+1)</f>
        <v/>
      </c>
      <c r="CO322" s="84">
        <f>IF($A322="","",MAX($CO$5:CO321)+1)</f>
        <v/>
      </c>
      <c r="CP322" s="84">
        <f>IF(OR($A322="",$BH322="",$BI322=""),"",$BG322&amp;"|"&amp;$O322&amp;"|"&amp;$AL322&amp;"|"&amp;$S322&amp;"|"&amp;$P322&amp;"|"&amp;$Q322&amp;$R322&amp;"|"&amp;$C322&amp;"|"&amp;$AB322)</f>
        <v/>
      </c>
      <c r="CQ322" s="84">
        <f>N($BS322)</f>
        <v/>
      </c>
      <c r="CR322" s="84">
        <f>IF(N($AU322)&gt;0,N($AU322),4.5)</f>
        <v/>
      </c>
      <c r="CS322" s="84">
        <f>OR($A322="",$BI322="",$S322="BL",AND($C322="FRAME ONLY",OR($AC322="",$AC322="BLK")))</f>
        <v/>
      </c>
      <c r="CT322" s="84">
        <f>AND(NOT($CS322),OR($AT322="CUSTOM LOC",N($AW322)+N($AX322)+N($AY322)+N($AZ322)+N($BA322)&gt;0))</f>
        <v/>
      </c>
      <c r="CU322" s="84">
        <f>IF($BI322="","",IF($BI322&lt;=80,80,IF($BI322&lt;=84,84,96)))</f>
        <v/>
      </c>
      <c r="CV322" s="84">
        <f>ISNUMBER(MATCH($AT322&amp;"|80",LocKeys,0))</f>
        <v/>
      </c>
      <c r="CW322" s="86">
        <f>IF($CS322,"",IF($CV322,VLOOKUP($AT322&amp;"|"&amp;$CU322,LocTable,4,FALSE),5))</f>
        <v/>
      </c>
      <c r="CX322" s="86">
        <f>IF($CS322,"",IF($CV322,IF(OR($BI322=$CU322,AND($BI322&lt;$CU322,$BI322-IF(N(VLOOKUP($AT322&amp;"|"&amp;$CU322,LocTable,7,FALSE))&gt;0,VLOOKUP($AT322&amp;"|"&amp;$CU322,LocTable,7,FALSE),VLOOKUP($AT322&amp;"|"&amp;$CU322,LocTable,6,FALSE))-$CR322-0.75&gt;=2.125)),IF(N(VLOOKUP($AT322&amp;"|"&amp;$CU322,LocTable,7,FALSE))&gt;0,VLOOKUP($AT322&amp;"|"&amp;$CU322,LocTable,7,FALSE),VLOOKUP($AT322&amp;"|"&amp;$CU322,LocTable,6,FALSE)),$BI322-($CU322-IF(N(VLOOKUP($AT322&amp;"|"&amp;$CU322,LocTable,7,FALSE))&gt;0,VLOOKUP($AT322&amp;"|"&amp;$CU322,LocTable,7,FALSE),VLOOKUP($AT322&amp;"|"&amp;$CU322,LocTable,6,FALSE)))),$BI322-10-$CR322))</f>
        <v/>
      </c>
      <c r="CY322" s="85">
        <f>IF($CS322,"",TRIM(IF(ISNUMBER($BU322),"A "&amp;TRIM(TEXT($BU322,"# ?/??"))&amp;CHAR(34)&amp;"  ","")&amp;IF(ISNUMBER($BV322),"B "&amp;TRIM(TEXT($BV322,"# ?/??"))&amp;CHAR(34)&amp;"  ","")&amp;IF(ISNUMBER($BW322),"C "&amp;TRIM(TEXT($BW322,"# ?/??"))&amp;CHAR(34)&amp;"  ","")&amp;IF(ISNUMBER($BX322),"D "&amp;TRIM(TEXT($BX322,"# ?/??"))&amp;CHAR(34)&amp;"  ","")&amp;IF(ISNUMBER($BY322),"F "&amp;TRIM(TEXT($BY322,"# ?/??"))&amp;CHAR(34)&amp;"  ","")&amp;IF(ISNUMBER($BZ322),"E "&amp;TRIM(TEXT($BZ322,"# ?/??"))&amp;CHAR(34)&amp;"  ","")))</f>
        <v/>
      </c>
      <c r="CZ322" s="85">
        <f>IF(OR($CS322,N($BJ322)=0),"",TRIM(IF(ISNUMBER($BU322),"A "&amp;TRIM(TEXT($BU322-HeadClr,"# ?/??"))&amp;CHAR(34)&amp;"  ","")&amp;IF(ISNUMBER($BV322),"B "&amp;TRIM(TEXT($BV322-HeadClr,"# ?/??"))&amp;CHAR(34)&amp;"  ","")&amp;IF(ISNUMBER($BW322),"C "&amp;TRIM(TEXT($BW322-HeadClr,"# ?/??"))&amp;CHAR(34)&amp;"  ","")&amp;IF(ISNUMBER($BX322),"D "&amp;TRIM(TEXT($BX322-HeadClr,"# ?/??"))&amp;CHAR(34)&amp;"  ","")&amp;IF(ISNUMBER($BY322),"F "&amp;TRIM(TEXT($BY322-HeadClr,"# ?/??"))&amp;CHAR(34)&amp;"  ","")&amp;IF(ISNUMBER($BZ322),"E "&amp;TRIM(TEXT($BZ322-HeadClr,"# ?/??"))&amp;CHAR(34)&amp;"  ","")))</f>
        <v/>
      </c>
      <c r="DA322" s="84">
        <f>IF($A322="","",IF($AN322="",IFERROR(VLOOKUP($Z322,CODES,2,FALSE),""),IFERROR(VLOOKUP($AN322,CODES,2,FALSE),"")))</f>
        <v/>
      </c>
      <c r="DB322" s="84">
        <f>IF($A322="","",IF($O322="Y","PR",IF(OR($Z322="L",$Z322="RR",LEFT($Z322,2)="L-",LEFT($Z322,3)="RR-"),"LH","RH")))</f>
        <v/>
      </c>
      <c r="DC322" s="84">
        <f>IF($A322="","","S.HM"&amp;IF(OR($C322="DOOR ONLY",$X322&lt;&gt;"KD"),"MASONRY","DRYWALL")&amp;IF($C322="DOOR ONLY","",$U322)&amp;IF(AND($C322&lt;&gt;"FRAME ONLY",OR(LEFT($AH322,3)="OAK",LEFT($AH322,3)="BIR",LEFT($AH322,3)="MAP",$AH322="PC",$AH322="MC",$AH322="SCLC",$AH322="P-LAM")),"WD","HM")&amp;"1.75")</f>
        <v/>
      </c>
      <c r="DD322" s="84">
        <f>IF($CJ322="","",IF($O322="Y",$CJ322,SUBSTITUTE($CJ322,$BG322&amp;" "&amp;IFERROR(VLOOKUP($Z322,CODES,2,FALSE),"")&amp;" ",$BG322&amp;" ")))</f>
        <v/>
      </c>
      <c r="DE322" s="84">
        <f>IF($CK322="","",IF($O322="Y",$CK322,SUBSTITUTE($CK322,$BG322&amp;" "&amp;IF($AN322="",IFERROR(VLOOKUP($Z322,CODES,2,FALSE),""),IFERROR(VLOOKUP($AN322,CODES,2,FALSE),""))&amp;" ",$BG322&amp;" ")))</f>
        <v/>
      </c>
      <c r="DF322" s="84">
        <f>IF($CJ322="","",$DC322&amp;"|"&amp;$DD322&amp;"|"&amp;$DB322&amp;"|"&amp;$AT322&amp;"|"&amp;$V322&amp;"|"&amp;$Y322&amp;"|"&amp;$AB322)</f>
        <v/>
      </c>
      <c r="DG322" s="84">
        <f>IF(DF322="","",IF(COUNTIF($DF$6:DF322,DF322)=1,MAX($DG$5:DG321)+1,INDEX($DG$5:DG321,MATCH(DF322,$DF$5:DF321,0))))</f>
        <v/>
      </c>
      <c r="DH322" s="84">
        <f>IF($CK322="","",$DC322&amp;"|"&amp;$DE322&amp;"|"&amp;$AI322&amp;"|"&amp;$BK322&amp;"|"&amp;$BL322)</f>
        <v/>
      </c>
      <c r="DI322" s="84">
        <f>IF(DH322="","",IF(COUNTIF($DH$6:DH322,DH322)=1,MAX($DI$5:DI321)+1,INDEX($DI$5:DI321,MATCH(DH322,$DH$5:DH321,0))))</f>
        <v/>
      </c>
      <c r="DJ322" s="84">
        <f>IF($A322="","",IF($B322="","qty, ","")&amp;IF($C322="","scope, ","")&amp;IF(OR($K322="",$M322=""),"size, ","")&amp;IF(AND($A322&lt;&gt;"",$C322&lt;&gt;"DOOR ONLY"),IF($U322="","jamb depth, ","")&amp;IF($X322="","construction, ","")&amp;IF($Y322="","anchor, ","")&amp;IF($S322="","frame type, ",""),"")&amp;IF(AND(N($BJ322)&gt;0,$Z322=""),"hand, ","")&amp;IF(N($BJ322)&gt;0,IF($AH322="","door material, ","")&amp;IF($AL322="","face type, ","")&amp;IF($AP322="","lock prep, ","")&amp;IF(AND($AO322="",$AC322=""),"hinge prep, ",""),"")&amp;IF(AND($CH322&gt;0,$AH322="FRP"),"FRP cannot carry a label, ","")&amp;IF(AND($O322="Y",OR($Z322="L",$Z322="R",$Z322="LR",$Z322="RR")),"pair marked but hand is single, ","")&amp;IF(AND($O322&lt;&gt;"Y",OR($Z322="PR",AND(LEN($Z322)&gt;1,ISNUMBER(SEARCH("-",$Z322))))),"pair hand on a single door, ","")&amp;IF(AND(ISNUMBER($CI322),$CH322&lt;N($CI322)),"wall needs a "&amp;$CI322&amp;" min door, ","")&amp;IF(AND($CH322&gt;=180,AND(OR($CE322="FG",$CE322="HG",$CE322="FNV",$CE322="FV"),N($CF322)*N($CG322)&gt;100)),"180 min lite over 100 sq in, ","")&amp;IF(N($BK322)&gt;48,"leaf wider than 4'-0"&amp;CHAR(34)&amp;", ","")&amp;IF(AND($CT322,COUNT($AW322:$AZ322)=0,$CQ322&gt;0),"CUSTOM LOC with no locations typed, ",""))</f>
        <v/>
      </c>
      <c r="DK322" s="84">
        <f>IF($A322="","",IF(AND($CH322&gt;0,AND($A322&lt;&gt;"",$C322&lt;&gt;"DOOR ONLY"),$X322="KD",$E322="EXTERIOR"),"KD label on an exterior opening, ","")&amp;IF(AND($E322="EXTERIOR",OR(AND(AND($A322&lt;&gt;"",$C322&lt;&gt;"DOOR ONLY"),$W322="CR"),AND(N($BJ322)&gt;0,$AH322="CR"))),"exterior in CR steel (G9?), ","")&amp;IF(AND(ISNUMBER($BQ322),N($BQ322)&lt;32),"clear width ~"&amp;TEXT($BQ322,"0.0")&amp;CHAR(34)&amp;" under 32"&amp;CHAR(34)&amp;" (ADA), ","")&amp;IF(AND($CH322=90,AND(OR($CE322="FG",$CE322="HG",$CE322="FNV",$CE322="FV"),N($CF322)*N($CG322)&gt;100)),"90 min lite over 100 sq in (stair/exit), ","")&amp;IF(AND($CH322&gt;0,AND($A322&lt;&gt;"",$C322&lt;&gt;"DOOR ONLY"),OR($AF322="",$AF322="-")),"rated: closer reinf.?, ","")&amp;IF(OR($I322="CORRIDOR",$I322="SMOKE BARRIER"),"S label + smoke gasketing, ","")&amp;IF($CI322="?","wall type/hr not in IBC table, ","")&amp;IF(AND(N($BJ322)&gt;0,$BB322=""),"no hardware set, ","")&amp;IF(AND($BB322&lt;&gt;"",ISNA(MATCH($BB322&amp;"",HWSets,0))),"set "&amp;$BB322&amp;" not on HW Sets, ","")&amp;IF(N($BL322)&gt;96,"leaf over 8'-0"&amp;CHAR(34)&amp;" - check listing, ","")&amp;IF(AND($CT322,COUNT($AW322:$AZ322)&gt;0,COUNT($AW322:$AZ322)&lt;&gt;$CQ322),COUNT($AW322:$AZ322)&amp;" custom hinges typed, "&amp;$CQ322&amp;" expected, ","")&amp;IF(AND(ISNUMBER($CA322),OR(N($CA322)&lt;34,N($CA322)&gt;48)),"lock "&amp;TEXT($CA322,"0.0")&amp;CHAR(34)&amp;" AFF outside 34-48"&amp;CHAR(34)&amp;" (ADA), ","")&amp;IF(AND(ISNUMBER($AV322),ISNUMBER($BL322),N($AV322)&lt;IF(N($BL322)&lt;=60,2,IF(N($BL322)&lt;=90,3,IF(N($BL322)&lt;=120,4,5)))),"fewer hinges than standard, ",""))</f>
        <v/>
      </c>
    </row>
    <row r="323" ht="15" customHeight="1">
      <c r="A323" s="77" t="n"/>
      <c r="B323" s="78" t="n"/>
      <c r="C323" s="78" t="n"/>
      <c r="D323" s="78" t="n"/>
      <c r="E323" s="78" t="n"/>
      <c r="F323" s="78" t="n"/>
      <c r="G323" s="78" t="n"/>
      <c r="H323" s="78" t="n"/>
      <c r="I323" s="78" t="n"/>
      <c r="J323" s="78" t="n"/>
      <c r="K323" s="78" t="n"/>
      <c r="L323" s="78" t="n"/>
      <c r="M323" s="78" t="n"/>
      <c r="N323" s="78" t="n"/>
      <c r="O323" s="78" t="n"/>
      <c r="P323" s="78" t="n"/>
      <c r="Q323" s="78" t="n"/>
      <c r="R323" s="78" t="n"/>
      <c r="S323" s="79" t="n"/>
      <c r="T323" s="79" t="n"/>
      <c r="U323" s="79" t="n"/>
      <c r="V323" s="79" t="n"/>
      <c r="W323" s="79" t="n"/>
      <c r="X323" s="79" t="n"/>
      <c r="Y323" s="79" t="n"/>
      <c r="Z323" s="79" t="n"/>
      <c r="AA323" s="79" t="n"/>
      <c r="AB323" s="79" t="n"/>
      <c r="AC323" s="79" t="n"/>
      <c r="AD323" s="79" t="n"/>
      <c r="AE323" s="79" t="n"/>
      <c r="AF323" s="79" t="n"/>
      <c r="AG323" s="79" t="n"/>
      <c r="AH323" s="80" t="n"/>
      <c r="AI323" s="80" t="n"/>
      <c r="AJ323" s="80" t="n"/>
      <c r="AK323" s="80" t="n"/>
      <c r="AL323" s="80" t="n"/>
      <c r="AM323" s="80" t="n"/>
      <c r="AN323" s="80" t="n"/>
      <c r="AO323" s="80" t="n"/>
      <c r="AP323" s="80" t="n"/>
      <c r="AQ323" s="80" t="n"/>
      <c r="AR323" s="80" t="n"/>
      <c r="AS323" s="80" t="n"/>
      <c r="AT323" s="81" t="n"/>
      <c r="AU323" s="81" t="n"/>
      <c r="AV323" s="81" t="n"/>
      <c r="AW323" s="82" t="n"/>
      <c r="AX323" s="82" t="n"/>
      <c r="AY323" s="82" t="n"/>
      <c r="AZ323" s="82" t="n"/>
      <c r="BA323" s="82" t="n"/>
      <c r="BB323" s="83" t="n"/>
      <c r="BC323" s="83" t="n"/>
      <c r="BD323" s="84">
        <f>IF($A323="","",IF($DJ323&lt;&gt;"","FIX",IF($DK323&lt;&gt;"","CHECK","OK")))</f>
        <v/>
      </c>
      <c r="BE323" s="85">
        <f>IF($A323="","",IF($DJ323&lt;&gt;"","FIX: "&amp;LEFT($DJ323,LEN($DJ323)-2)&amp;IF($DK323&lt;&gt;"","  ·  ",""),"")&amp;IF($DK323&lt;&gt;"","CHECK: "&amp;LEFT($DK323,LEN($DK323)-2),""))</f>
        <v/>
      </c>
      <c r="BF323" s="84">
        <f>IF(OR($A323="",$K323=""),"",$K323&amp;"'-"&amp;N($L323)&amp;CHAR(34)&amp;" x "&amp;$M323&amp;"'-"&amp;N($N323)&amp;CHAR(34))</f>
        <v/>
      </c>
      <c r="BG323" s="84">
        <f>IF(OR($A323="",$K323=""),"",$K323&amp;N($L323)&amp;$M323&amp;N($N323))</f>
        <v/>
      </c>
      <c r="BH323" s="84">
        <f>IF(OR($A323="",$K323=""),"",$K323*12+N($L323))</f>
        <v/>
      </c>
      <c r="BI323" s="84">
        <f>IF(OR($A323="",$M323=""),"",$M323*12+N($N323))</f>
        <v/>
      </c>
      <c r="BJ323" s="84">
        <f>IF($A323="","",IF(OR($C323="FRAME ONLY",$S323="BL"),0,IF($O323="Y",2,1)))</f>
        <v/>
      </c>
      <c r="BK323" s="86">
        <f>IF(OR(N($BJ323)=0,$BH323=""),"",($BH323-2*EdgeClr-IF($BJ323=2,MeetClr,0))/$BJ323)</f>
        <v/>
      </c>
      <c r="BL323" s="86">
        <f>IF(OR(N($BJ323)=0,$BI323=""),"",$BI323-HeadClr-Undercut)</f>
        <v/>
      </c>
      <c r="BM323" s="86">
        <f>IF($BH323="","",$BH323+2*FaceW+IF(N($Q323)&gt;0,($Q323+FaceW)*IF($R323="LR",2,1),0))</f>
        <v/>
      </c>
      <c r="BN323" s="86">
        <f>IF($BI323="","",$BI323+IF($AB323="Y",4,FaceW)+IF(N($P323)&gt;0,$P323+FaceW,0)+IF(OR($S323="4F",$S323="BL"),FaceW,0))</f>
        <v/>
      </c>
      <c r="BO323" s="86">
        <f>IF($BM323="","",$BM323+2*ROSide)</f>
        <v/>
      </c>
      <c r="BP323" s="86">
        <f>IF($BN323="","",$BN323+ROTop)</f>
        <v/>
      </c>
      <c r="BQ323" s="87">
        <f>IF(OR(N($BJ323)=0,$BH323=""),"",$BH323/$BJ323-ClearDeduct)</f>
        <v/>
      </c>
      <c r="BR323" s="84">
        <f>IF(N($CH323)=0,"",IF($CH323&gt;=180,"A · 3 HR",IF($CH323&gt;=90,"B · 1-1/2 HR",IF($CH323&gt;=60,"B · 1 HR",IF($CH323&gt;=45,"C · 3/4 HR","20 MIN")))))&amp;IF(AND(N($CH323)&gt;0,OR($I323="CORRIDOR",$I323="SMOKE BARRIER"))," · S","")</f>
        <v/>
      </c>
      <c r="BS323" s="84">
        <f>IF($CS323,"",IF($AV323&lt;&gt;"",$AV323,IF(OR($AC323="HGC",$AO323="HGC"),"CONT",IF(($BI323-HeadClr-Undercut)&lt;=60,2,IF(($BI323-HeadClr-Undercut)&lt;=90,3,IF(($BI323-HeadClr-Undercut)&lt;=120,4,5))))))</f>
        <v/>
      </c>
      <c r="BT323" s="84">
        <f>IF($CS323,"",IF($CT323,"CUSTOM (typed)",IF($CV323,$AT323&amp;" "&amp;$CU323&amp;CHAR(34)&amp;IF($CU323&lt;&gt;$BI323,IF(AND($BI323&lt;$CU323,$BI323-IF(N(VLOOKUP($AT323&amp;"|"&amp;$CU323,LocTable,7,FALSE))&gt;0,VLOOKUP($AT323&amp;"|"&amp;$CU323,LocTable,7,FALSE),VLOOKUP($AT323&amp;"|"&amp;$CU323,LocTable,6,FALSE))-$CR323-0.75&gt;=2.125)," cut down"," adj."),""),"ANSI/SDI A250.6")))</f>
        <v/>
      </c>
      <c r="BU323" s="88">
        <f>IF($CS323,"",IF($CT323,IF(N($AW323)&gt;0,N($AW323),""),IF(1&gt;$CQ323,"",IF($CQ323=1,$CW323,$CW323+($CX323-$CW323)*0/($CQ323-1)))))</f>
        <v/>
      </c>
      <c r="BV323" s="88">
        <f>IF($CS323,"",IF($CT323,IF(N($AX323)&gt;0,N($AX323),""),IF(2&gt;$CQ323,"",IF($CQ323=1,$CW323,$CW323+($CX323-$CW323)*1/($CQ323-1)))))</f>
        <v/>
      </c>
      <c r="BW323" s="88">
        <f>IF($CS323,"",IF($CT323,IF(N($AY323)&gt;0,N($AY323),""),IF(3&gt;$CQ323,"",IF($CQ323=1,$CW323,$CW323+($CX323-$CW323)*2/($CQ323-1)))))</f>
        <v/>
      </c>
      <c r="BX323" s="88">
        <f>IF($CS323,"",IF($CT323,IF(N($AZ323)&gt;0,N($AZ323),""),IF(4&gt;$CQ323,"",IF($CQ323=1,$CW323,$CW323+($CX323-$CW323)*3/($CQ323-1)))))</f>
        <v/>
      </c>
      <c r="BY323" s="88">
        <f>IF($CS323,"",IF($CT323,"",IF(5&gt;$CQ323,"",IF($CQ323=1,$CW323,$CW323+($CX323-$CW323)*4/($CQ323-1)))))</f>
        <v/>
      </c>
      <c r="BZ323" s="88">
        <f>IF(OR($CS323,$AP323="-",AND($AP323="",$AD323="")),"",IF(N($BA323)&gt;0,N($BA323),IF($CV323,IF(AND($BI323&lt;$CU323,$BI323-IF(N(VLOOKUP($AT323&amp;"|"&amp;$CU323,LocTable,7,FALSE))&gt;0,VLOOKUP($AT323&amp;"|"&amp;$CU323,LocTable,7,FALSE),VLOOKUP($AT323&amp;"|"&amp;$CU323,LocTable,6,FALSE))-$CR323-0.75&gt;=2.125),VLOOKUP($AT323&amp;"|"&amp;$CU323,LocTable,8,FALSE),VLOOKUP($AT323&amp;"|"&amp;$CU323,LocTable,8,FALSE)+($BI323-$CU323)),$BI323-LockAFF)))</f>
        <v/>
      </c>
      <c r="CA323" s="89">
        <f>IF($BZ323="","",$BI323-$BZ323)</f>
        <v/>
      </c>
      <c r="CB323" s="84">
        <f>IF(OR(NOT(AND($A323&lt;&gt;"",$C323&lt;&gt;"DOOR ONLY")),$BI323=""),"",IF(($BI323+IF(N($P323)&gt;0,$P323+FaceW,0))&lt;=90,3,IF(($BI323+IF(N($P323)&gt;0,$P323+FaceW,0))&lt;=114,4,5)))</f>
        <v/>
      </c>
      <c r="CC323" s="84">
        <f>IF($CB323="","",$CB323*(2+IF(N($Q323)&gt;0,IF($R323="LR",2,1),0)))</f>
        <v/>
      </c>
      <c r="CD323" s="84">
        <f>IF($CB323="","",(2+IF(N($Q323)&gt;0,IF($R323="LR",2,1),0)))</f>
        <v/>
      </c>
      <c r="CE323" s="84">
        <f>IF(N($BJ323)=0,"",IF(OR($AL323="",$AL323="FLUSH"),"FLUSH",IFERROR(LEFT($AL323,FIND("-",$AL323)-1),LEFT($AL323,2))))</f>
        <v/>
      </c>
      <c r="CF323" s="84">
        <f>IF($CE323="","",IFERROR(VALUE(MID($AL323,FIND("-",$AL323)+1,FIND(CHAR(34)&amp;"x",$AL323)-FIND("-",$AL323)-1)),0))</f>
        <v/>
      </c>
      <c r="CG323" s="84">
        <f>IF($CE323="","",IFERROR(VALUE(MID($AL323,FIND(CHAR(34)&amp;"x",$AL323)+2,FIND(CHAR(34),$AL323,FIND(CHAR(34)&amp;"x",$AL323)+2)-FIND(CHAR(34)&amp;"x",$AL323)-2)),0))</f>
        <v/>
      </c>
      <c r="CH323" s="90">
        <f>IF(OR($A323="",$H323="",$H323="NO LAB"),0,IFERROR(VALUE(LEFT($H323,FIND(" ",$H323)-1)),0))</f>
        <v/>
      </c>
      <c r="CI323" s="91">
        <f>IF(OR($A323="",$I323="",$I323="NON-RATED",N($J323)=0),"",IFERROR(VLOOKUP($I323&amp;"|"&amp;$J323,IBC,2,FALSE),"?"))</f>
        <v/>
      </c>
      <c r="CJ323" s="85">
        <f>IF(NOT(AND($A323&lt;&gt;"",$C323&lt;&gt;"DOOR ONLY")),"",TRIM(IFERROR(VLOOKUP($U323,CODES,2,FALSE),"")&amp;" "&amp;$BG323&amp;" "&amp;IFERROR(VLOOKUP($Z323,CODES,2,FALSE),"")&amp;" "&amp;IFERROR(VLOOKUP($X323,CODES,2,FALSE),"")&amp;" "&amp;IFERROR(VLOOKUP($S323,CODES,2,FALSE),"")&amp;IF(N($P323)&gt;0," w/TRANSOM "&amp;$P323&amp;CHAR(34),"")&amp;IF(N($Q323)&gt;0," w/SIDELITE "&amp;$Q323&amp;CHAR(34)&amp;" "&amp;IF($R323="","R",$R323),"")&amp;IF($Y323="","  |  "," | "&amp;IFERROR(VLOOKUP($Y323,CODES,2,FALSE),"")&amp;" | ")&amp;IFERROR(VLOOKUP($AC323,CODES,2,FALSE),"")&amp;" "&amp;IFERROR(VLOOKUP($AD323,CODES,2,FALSE),"")&amp;IF(OR($AE323="",$AE323="-"),""," "&amp;$AE323)&amp;IF(OR($AF323="",$AF323="-"),""," "&amp;$AF323)&amp;IF($AB323="Y"," 4"&amp;CHAR(34)&amp;" HEAD","")&amp;" "&amp;IFERROR(VLOOKUP($H323,CODES,2,FALSE),"")&amp;IF($CT323," | LOC "&amp;$CY323,"")))</f>
        <v/>
      </c>
      <c r="CK323" s="85">
        <f>IF(NOT(AND($A323&lt;&gt;"",N($BJ323)&gt;0)),"",TRIM(IFERROR(VLOOKUP($AH323,CODES,2,FALSE),"")&amp;IF($AI323=""," "," "&amp;$AI323&amp;"GA ")&amp;$BG323&amp;" "&amp;IF($AN323="",IFERROR(VLOOKUP($Z323,CODES,2,FALSE),""),IFERROR(VLOOKUP($AN323,CODES,2,FALSE),""))&amp;IF($BJ323=2," PAIR","")&amp;" DOOR | "&amp;IF($AL323="","?",$AL323)&amp;" | "&amp;IF($AO323="",IFERROR(VLOOKUP($AC323,CODES,2,FALSE),""),IFERROR(VLOOKUP($AO323,CODES,2,FALSE),""))&amp;" "&amp;IFERROR(VLOOKUP($AP323,CODES,2,FALSE),"")&amp;IF(OR($AQ323="",$AQ323="-"),""," SEAM "&amp;$AQ323)&amp;IF($AR323="Y"," ASTRAGAL","")&amp;IF($AJ323=""," "," "&amp;$AJ323)&amp;IF($AK323=""," "," "&amp;$AK323)&amp;IF(OR($AT323="",$AT323="ANSI/SDI",$AT323="CUSTOM LOC"),""," "&amp;$AT323)&amp;IF($AM323=""," "," SERIES "&amp;$AM323)&amp;" "&amp;IFERROR(VLOOKUP($H323,CODES,2,FALSE),"")&amp;IF($CT323," | LOC "&amp;$CZ323,"")))</f>
        <v/>
      </c>
      <c r="CL323" s="84">
        <f>IF(CP323="","",IF(COUNTIF($CP$6:CP323,CP323)=1,MAX($CL$5:CL322)+1,INDEX($CL$5:CL322,MATCH(CP323,$CP$5:CP322,0))))</f>
        <v/>
      </c>
      <c r="CM323" s="84">
        <f>IF(NOT(AND($A323&lt;&gt;"",$C323&lt;&gt;"DOOR ONLY")),"",MAX($CM$5:CM322)+1)</f>
        <v/>
      </c>
      <c r="CN323" s="84">
        <f>IF(NOT(AND($A323&lt;&gt;"",N($BJ323)&gt;0)),"",MAX($CN$5:CN322)+1)</f>
        <v/>
      </c>
      <c r="CO323" s="84">
        <f>IF($A323="","",MAX($CO$5:CO322)+1)</f>
        <v/>
      </c>
      <c r="CP323" s="84">
        <f>IF(OR($A323="",$BH323="",$BI323=""),"",$BG323&amp;"|"&amp;$O323&amp;"|"&amp;$AL323&amp;"|"&amp;$S323&amp;"|"&amp;$P323&amp;"|"&amp;$Q323&amp;$R323&amp;"|"&amp;$C323&amp;"|"&amp;$AB323)</f>
        <v/>
      </c>
      <c r="CQ323" s="84">
        <f>N($BS323)</f>
        <v/>
      </c>
      <c r="CR323" s="84">
        <f>IF(N($AU323)&gt;0,N($AU323),4.5)</f>
        <v/>
      </c>
      <c r="CS323" s="84">
        <f>OR($A323="",$BI323="",$S323="BL",AND($C323="FRAME ONLY",OR($AC323="",$AC323="BLK")))</f>
        <v/>
      </c>
      <c r="CT323" s="84">
        <f>AND(NOT($CS323),OR($AT323="CUSTOM LOC",N($AW323)+N($AX323)+N($AY323)+N($AZ323)+N($BA323)&gt;0))</f>
        <v/>
      </c>
      <c r="CU323" s="84">
        <f>IF($BI323="","",IF($BI323&lt;=80,80,IF($BI323&lt;=84,84,96)))</f>
        <v/>
      </c>
      <c r="CV323" s="84">
        <f>ISNUMBER(MATCH($AT323&amp;"|80",LocKeys,0))</f>
        <v/>
      </c>
      <c r="CW323" s="86">
        <f>IF($CS323,"",IF($CV323,VLOOKUP($AT323&amp;"|"&amp;$CU323,LocTable,4,FALSE),5))</f>
        <v/>
      </c>
      <c r="CX323" s="86">
        <f>IF($CS323,"",IF($CV323,IF(OR($BI323=$CU323,AND($BI323&lt;$CU323,$BI323-IF(N(VLOOKUP($AT323&amp;"|"&amp;$CU323,LocTable,7,FALSE))&gt;0,VLOOKUP($AT323&amp;"|"&amp;$CU323,LocTable,7,FALSE),VLOOKUP($AT323&amp;"|"&amp;$CU323,LocTable,6,FALSE))-$CR323-0.75&gt;=2.125)),IF(N(VLOOKUP($AT323&amp;"|"&amp;$CU323,LocTable,7,FALSE))&gt;0,VLOOKUP($AT323&amp;"|"&amp;$CU323,LocTable,7,FALSE),VLOOKUP($AT323&amp;"|"&amp;$CU323,LocTable,6,FALSE)),$BI323-($CU323-IF(N(VLOOKUP($AT323&amp;"|"&amp;$CU323,LocTable,7,FALSE))&gt;0,VLOOKUP($AT323&amp;"|"&amp;$CU323,LocTable,7,FALSE),VLOOKUP($AT323&amp;"|"&amp;$CU323,LocTable,6,FALSE)))),$BI323-10-$CR323))</f>
        <v/>
      </c>
      <c r="CY323" s="85">
        <f>IF($CS323,"",TRIM(IF(ISNUMBER($BU323),"A "&amp;TRIM(TEXT($BU323,"# ?/??"))&amp;CHAR(34)&amp;"  ","")&amp;IF(ISNUMBER($BV323),"B "&amp;TRIM(TEXT($BV323,"# ?/??"))&amp;CHAR(34)&amp;"  ","")&amp;IF(ISNUMBER($BW323),"C "&amp;TRIM(TEXT($BW323,"# ?/??"))&amp;CHAR(34)&amp;"  ","")&amp;IF(ISNUMBER($BX323),"D "&amp;TRIM(TEXT($BX323,"# ?/??"))&amp;CHAR(34)&amp;"  ","")&amp;IF(ISNUMBER($BY323),"F "&amp;TRIM(TEXT($BY323,"# ?/??"))&amp;CHAR(34)&amp;"  ","")&amp;IF(ISNUMBER($BZ323),"E "&amp;TRIM(TEXT($BZ323,"# ?/??"))&amp;CHAR(34)&amp;"  ","")))</f>
        <v/>
      </c>
      <c r="CZ323" s="85">
        <f>IF(OR($CS323,N($BJ323)=0),"",TRIM(IF(ISNUMBER($BU323),"A "&amp;TRIM(TEXT($BU323-HeadClr,"# ?/??"))&amp;CHAR(34)&amp;"  ","")&amp;IF(ISNUMBER($BV323),"B "&amp;TRIM(TEXT($BV323-HeadClr,"# ?/??"))&amp;CHAR(34)&amp;"  ","")&amp;IF(ISNUMBER($BW323),"C "&amp;TRIM(TEXT($BW323-HeadClr,"# ?/??"))&amp;CHAR(34)&amp;"  ","")&amp;IF(ISNUMBER($BX323),"D "&amp;TRIM(TEXT($BX323-HeadClr,"# ?/??"))&amp;CHAR(34)&amp;"  ","")&amp;IF(ISNUMBER($BY323),"F "&amp;TRIM(TEXT($BY323-HeadClr,"# ?/??"))&amp;CHAR(34)&amp;"  ","")&amp;IF(ISNUMBER($BZ323),"E "&amp;TRIM(TEXT($BZ323-HeadClr,"# ?/??"))&amp;CHAR(34)&amp;"  ","")))</f>
        <v/>
      </c>
      <c r="DA323" s="84">
        <f>IF($A323="","",IF($AN323="",IFERROR(VLOOKUP($Z323,CODES,2,FALSE),""),IFERROR(VLOOKUP($AN323,CODES,2,FALSE),"")))</f>
        <v/>
      </c>
      <c r="DB323" s="84">
        <f>IF($A323="","",IF($O323="Y","PR",IF(OR($Z323="L",$Z323="RR",LEFT($Z323,2)="L-",LEFT($Z323,3)="RR-"),"LH","RH")))</f>
        <v/>
      </c>
      <c r="DC323" s="84">
        <f>IF($A323="","","S.HM"&amp;IF(OR($C323="DOOR ONLY",$X323&lt;&gt;"KD"),"MASONRY","DRYWALL")&amp;IF($C323="DOOR ONLY","",$U323)&amp;IF(AND($C323&lt;&gt;"FRAME ONLY",OR(LEFT($AH323,3)="OAK",LEFT($AH323,3)="BIR",LEFT($AH323,3)="MAP",$AH323="PC",$AH323="MC",$AH323="SCLC",$AH323="P-LAM")),"WD","HM")&amp;"1.75")</f>
        <v/>
      </c>
      <c r="DD323" s="84">
        <f>IF($CJ323="","",IF($O323="Y",$CJ323,SUBSTITUTE($CJ323,$BG323&amp;" "&amp;IFERROR(VLOOKUP($Z323,CODES,2,FALSE),"")&amp;" ",$BG323&amp;" ")))</f>
        <v/>
      </c>
      <c r="DE323" s="84">
        <f>IF($CK323="","",IF($O323="Y",$CK323,SUBSTITUTE($CK323,$BG323&amp;" "&amp;IF($AN323="",IFERROR(VLOOKUP($Z323,CODES,2,FALSE),""),IFERROR(VLOOKUP($AN323,CODES,2,FALSE),""))&amp;" ",$BG323&amp;" ")))</f>
        <v/>
      </c>
      <c r="DF323" s="84">
        <f>IF($CJ323="","",$DC323&amp;"|"&amp;$DD323&amp;"|"&amp;$DB323&amp;"|"&amp;$AT323&amp;"|"&amp;$V323&amp;"|"&amp;$Y323&amp;"|"&amp;$AB323)</f>
        <v/>
      </c>
      <c r="DG323" s="84">
        <f>IF(DF323="","",IF(COUNTIF($DF$6:DF323,DF323)=1,MAX($DG$5:DG322)+1,INDEX($DG$5:DG322,MATCH(DF323,$DF$5:DF322,0))))</f>
        <v/>
      </c>
      <c r="DH323" s="84">
        <f>IF($CK323="","",$DC323&amp;"|"&amp;$DE323&amp;"|"&amp;$AI323&amp;"|"&amp;$BK323&amp;"|"&amp;$BL323)</f>
        <v/>
      </c>
      <c r="DI323" s="84">
        <f>IF(DH323="","",IF(COUNTIF($DH$6:DH323,DH323)=1,MAX($DI$5:DI322)+1,INDEX($DI$5:DI322,MATCH(DH323,$DH$5:DH322,0))))</f>
        <v/>
      </c>
      <c r="DJ323" s="84">
        <f>IF($A323="","",IF($B323="","qty, ","")&amp;IF($C323="","scope, ","")&amp;IF(OR($K323="",$M323=""),"size, ","")&amp;IF(AND($A323&lt;&gt;"",$C323&lt;&gt;"DOOR ONLY"),IF($U323="","jamb depth, ","")&amp;IF($X323="","construction, ","")&amp;IF($Y323="","anchor, ","")&amp;IF($S323="","frame type, ",""),"")&amp;IF(AND(N($BJ323)&gt;0,$Z323=""),"hand, ","")&amp;IF(N($BJ323)&gt;0,IF($AH323="","door material, ","")&amp;IF($AL323="","face type, ","")&amp;IF($AP323="","lock prep, ","")&amp;IF(AND($AO323="",$AC323=""),"hinge prep, ",""),"")&amp;IF(AND($CH323&gt;0,$AH323="FRP"),"FRP cannot carry a label, ","")&amp;IF(AND($O323="Y",OR($Z323="L",$Z323="R",$Z323="LR",$Z323="RR")),"pair marked but hand is single, ","")&amp;IF(AND($O323&lt;&gt;"Y",OR($Z323="PR",AND(LEN($Z323)&gt;1,ISNUMBER(SEARCH("-",$Z323))))),"pair hand on a single door, ","")&amp;IF(AND(ISNUMBER($CI323),$CH323&lt;N($CI323)),"wall needs a "&amp;$CI323&amp;" min door, ","")&amp;IF(AND($CH323&gt;=180,AND(OR($CE323="FG",$CE323="HG",$CE323="FNV",$CE323="FV"),N($CF323)*N($CG323)&gt;100)),"180 min lite over 100 sq in, ","")&amp;IF(N($BK323)&gt;48,"leaf wider than 4'-0"&amp;CHAR(34)&amp;", ","")&amp;IF(AND($CT323,COUNT($AW323:$AZ323)=0,$CQ323&gt;0),"CUSTOM LOC with no locations typed, ",""))</f>
        <v/>
      </c>
      <c r="DK323" s="84">
        <f>IF($A323="","",IF(AND($CH323&gt;0,AND($A323&lt;&gt;"",$C323&lt;&gt;"DOOR ONLY"),$X323="KD",$E323="EXTERIOR"),"KD label on an exterior opening, ","")&amp;IF(AND($E323="EXTERIOR",OR(AND(AND($A323&lt;&gt;"",$C323&lt;&gt;"DOOR ONLY"),$W323="CR"),AND(N($BJ323)&gt;0,$AH323="CR"))),"exterior in CR steel (G9?), ","")&amp;IF(AND(ISNUMBER($BQ323),N($BQ323)&lt;32),"clear width ~"&amp;TEXT($BQ323,"0.0")&amp;CHAR(34)&amp;" under 32"&amp;CHAR(34)&amp;" (ADA), ","")&amp;IF(AND($CH323=90,AND(OR($CE323="FG",$CE323="HG",$CE323="FNV",$CE323="FV"),N($CF323)*N($CG323)&gt;100)),"90 min lite over 100 sq in (stair/exit), ","")&amp;IF(AND($CH323&gt;0,AND($A323&lt;&gt;"",$C323&lt;&gt;"DOOR ONLY"),OR($AF323="",$AF323="-")),"rated: closer reinf.?, ","")&amp;IF(OR($I323="CORRIDOR",$I323="SMOKE BARRIER"),"S label + smoke gasketing, ","")&amp;IF($CI323="?","wall type/hr not in IBC table, ","")&amp;IF(AND(N($BJ323)&gt;0,$BB323=""),"no hardware set, ","")&amp;IF(AND($BB323&lt;&gt;"",ISNA(MATCH($BB323&amp;"",HWSets,0))),"set "&amp;$BB323&amp;" not on HW Sets, ","")&amp;IF(N($BL323)&gt;96,"leaf over 8'-0"&amp;CHAR(34)&amp;" - check listing, ","")&amp;IF(AND($CT323,COUNT($AW323:$AZ323)&gt;0,COUNT($AW323:$AZ323)&lt;&gt;$CQ323),COUNT($AW323:$AZ323)&amp;" custom hinges typed, "&amp;$CQ323&amp;" expected, ","")&amp;IF(AND(ISNUMBER($CA323),OR(N($CA323)&lt;34,N($CA323)&gt;48)),"lock "&amp;TEXT($CA323,"0.0")&amp;CHAR(34)&amp;" AFF outside 34-48"&amp;CHAR(34)&amp;" (ADA), ","")&amp;IF(AND(ISNUMBER($AV323),ISNUMBER($BL323),N($AV323)&lt;IF(N($BL323)&lt;=60,2,IF(N($BL323)&lt;=90,3,IF(N($BL323)&lt;=120,4,5)))),"fewer hinges than standard, ",""))</f>
        <v/>
      </c>
    </row>
    <row r="324" ht="15" customHeight="1">
      <c r="A324" s="77" t="n"/>
      <c r="B324" s="78" t="n"/>
      <c r="C324" s="78" t="n"/>
      <c r="D324" s="78" t="n"/>
      <c r="E324" s="78" t="n"/>
      <c r="F324" s="78" t="n"/>
      <c r="G324" s="78" t="n"/>
      <c r="H324" s="78" t="n"/>
      <c r="I324" s="78" t="n"/>
      <c r="J324" s="78" t="n"/>
      <c r="K324" s="78" t="n"/>
      <c r="L324" s="78" t="n"/>
      <c r="M324" s="78" t="n"/>
      <c r="N324" s="78" t="n"/>
      <c r="O324" s="78" t="n"/>
      <c r="P324" s="78" t="n"/>
      <c r="Q324" s="78" t="n"/>
      <c r="R324" s="78" t="n"/>
      <c r="S324" s="79" t="n"/>
      <c r="T324" s="79" t="n"/>
      <c r="U324" s="79" t="n"/>
      <c r="V324" s="79" t="n"/>
      <c r="W324" s="79" t="n"/>
      <c r="X324" s="79" t="n"/>
      <c r="Y324" s="79" t="n"/>
      <c r="Z324" s="79" t="n"/>
      <c r="AA324" s="79" t="n"/>
      <c r="AB324" s="79" t="n"/>
      <c r="AC324" s="79" t="n"/>
      <c r="AD324" s="79" t="n"/>
      <c r="AE324" s="79" t="n"/>
      <c r="AF324" s="79" t="n"/>
      <c r="AG324" s="79" t="n"/>
      <c r="AH324" s="80" t="n"/>
      <c r="AI324" s="80" t="n"/>
      <c r="AJ324" s="80" t="n"/>
      <c r="AK324" s="80" t="n"/>
      <c r="AL324" s="80" t="n"/>
      <c r="AM324" s="80" t="n"/>
      <c r="AN324" s="80" t="n"/>
      <c r="AO324" s="80" t="n"/>
      <c r="AP324" s="80" t="n"/>
      <c r="AQ324" s="80" t="n"/>
      <c r="AR324" s="80" t="n"/>
      <c r="AS324" s="80" t="n"/>
      <c r="AT324" s="81" t="n"/>
      <c r="AU324" s="81" t="n"/>
      <c r="AV324" s="81" t="n"/>
      <c r="AW324" s="82" t="n"/>
      <c r="AX324" s="82" t="n"/>
      <c r="AY324" s="82" t="n"/>
      <c r="AZ324" s="82" t="n"/>
      <c r="BA324" s="82" t="n"/>
      <c r="BB324" s="83" t="n"/>
      <c r="BC324" s="83" t="n"/>
      <c r="BD324" s="84">
        <f>IF($A324="","",IF($DJ324&lt;&gt;"","FIX",IF($DK324&lt;&gt;"","CHECK","OK")))</f>
        <v/>
      </c>
      <c r="BE324" s="85">
        <f>IF($A324="","",IF($DJ324&lt;&gt;"","FIX: "&amp;LEFT($DJ324,LEN($DJ324)-2)&amp;IF($DK324&lt;&gt;"","  ·  ",""),"")&amp;IF($DK324&lt;&gt;"","CHECK: "&amp;LEFT($DK324,LEN($DK324)-2),""))</f>
        <v/>
      </c>
      <c r="BF324" s="84">
        <f>IF(OR($A324="",$K324=""),"",$K324&amp;"'-"&amp;N($L324)&amp;CHAR(34)&amp;" x "&amp;$M324&amp;"'-"&amp;N($N324)&amp;CHAR(34))</f>
        <v/>
      </c>
      <c r="BG324" s="84">
        <f>IF(OR($A324="",$K324=""),"",$K324&amp;N($L324)&amp;$M324&amp;N($N324))</f>
        <v/>
      </c>
      <c r="BH324" s="84">
        <f>IF(OR($A324="",$K324=""),"",$K324*12+N($L324))</f>
        <v/>
      </c>
      <c r="BI324" s="84">
        <f>IF(OR($A324="",$M324=""),"",$M324*12+N($N324))</f>
        <v/>
      </c>
      <c r="BJ324" s="84">
        <f>IF($A324="","",IF(OR($C324="FRAME ONLY",$S324="BL"),0,IF($O324="Y",2,1)))</f>
        <v/>
      </c>
      <c r="BK324" s="86">
        <f>IF(OR(N($BJ324)=0,$BH324=""),"",($BH324-2*EdgeClr-IF($BJ324=2,MeetClr,0))/$BJ324)</f>
        <v/>
      </c>
      <c r="BL324" s="86">
        <f>IF(OR(N($BJ324)=0,$BI324=""),"",$BI324-HeadClr-Undercut)</f>
        <v/>
      </c>
      <c r="BM324" s="86">
        <f>IF($BH324="","",$BH324+2*FaceW+IF(N($Q324)&gt;0,($Q324+FaceW)*IF($R324="LR",2,1),0))</f>
        <v/>
      </c>
      <c r="BN324" s="86">
        <f>IF($BI324="","",$BI324+IF($AB324="Y",4,FaceW)+IF(N($P324)&gt;0,$P324+FaceW,0)+IF(OR($S324="4F",$S324="BL"),FaceW,0))</f>
        <v/>
      </c>
      <c r="BO324" s="86">
        <f>IF($BM324="","",$BM324+2*ROSide)</f>
        <v/>
      </c>
      <c r="BP324" s="86">
        <f>IF($BN324="","",$BN324+ROTop)</f>
        <v/>
      </c>
      <c r="BQ324" s="87">
        <f>IF(OR(N($BJ324)=0,$BH324=""),"",$BH324/$BJ324-ClearDeduct)</f>
        <v/>
      </c>
      <c r="BR324" s="84">
        <f>IF(N($CH324)=0,"",IF($CH324&gt;=180,"A · 3 HR",IF($CH324&gt;=90,"B · 1-1/2 HR",IF($CH324&gt;=60,"B · 1 HR",IF($CH324&gt;=45,"C · 3/4 HR","20 MIN")))))&amp;IF(AND(N($CH324)&gt;0,OR($I324="CORRIDOR",$I324="SMOKE BARRIER"))," · S","")</f>
        <v/>
      </c>
      <c r="BS324" s="84">
        <f>IF($CS324,"",IF($AV324&lt;&gt;"",$AV324,IF(OR($AC324="HGC",$AO324="HGC"),"CONT",IF(($BI324-HeadClr-Undercut)&lt;=60,2,IF(($BI324-HeadClr-Undercut)&lt;=90,3,IF(($BI324-HeadClr-Undercut)&lt;=120,4,5))))))</f>
        <v/>
      </c>
      <c r="BT324" s="84">
        <f>IF($CS324,"",IF($CT324,"CUSTOM (typed)",IF($CV324,$AT324&amp;" "&amp;$CU324&amp;CHAR(34)&amp;IF($CU324&lt;&gt;$BI324,IF(AND($BI324&lt;$CU324,$BI324-IF(N(VLOOKUP($AT324&amp;"|"&amp;$CU324,LocTable,7,FALSE))&gt;0,VLOOKUP($AT324&amp;"|"&amp;$CU324,LocTable,7,FALSE),VLOOKUP($AT324&amp;"|"&amp;$CU324,LocTable,6,FALSE))-$CR324-0.75&gt;=2.125)," cut down"," adj."),""),"ANSI/SDI A250.6")))</f>
        <v/>
      </c>
      <c r="BU324" s="88">
        <f>IF($CS324,"",IF($CT324,IF(N($AW324)&gt;0,N($AW324),""),IF(1&gt;$CQ324,"",IF($CQ324=1,$CW324,$CW324+($CX324-$CW324)*0/($CQ324-1)))))</f>
        <v/>
      </c>
      <c r="BV324" s="88">
        <f>IF($CS324,"",IF($CT324,IF(N($AX324)&gt;0,N($AX324),""),IF(2&gt;$CQ324,"",IF($CQ324=1,$CW324,$CW324+($CX324-$CW324)*1/($CQ324-1)))))</f>
        <v/>
      </c>
      <c r="BW324" s="88">
        <f>IF($CS324,"",IF($CT324,IF(N($AY324)&gt;0,N($AY324),""),IF(3&gt;$CQ324,"",IF($CQ324=1,$CW324,$CW324+($CX324-$CW324)*2/($CQ324-1)))))</f>
        <v/>
      </c>
      <c r="BX324" s="88">
        <f>IF($CS324,"",IF($CT324,IF(N($AZ324)&gt;0,N($AZ324),""),IF(4&gt;$CQ324,"",IF($CQ324=1,$CW324,$CW324+($CX324-$CW324)*3/($CQ324-1)))))</f>
        <v/>
      </c>
      <c r="BY324" s="88">
        <f>IF($CS324,"",IF($CT324,"",IF(5&gt;$CQ324,"",IF($CQ324=1,$CW324,$CW324+($CX324-$CW324)*4/($CQ324-1)))))</f>
        <v/>
      </c>
      <c r="BZ324" s="88">
        <f>IF(OR($CS324,$AP324="-",AND($AP324="",$AD324="")),"",IF(N($BA324)&gt;0,N($BA324),IF($CV324,IF(AND($BI324&lt;$CU324,$BI324-IF(N(VLOOKUP($AT324&amp;"|"&amp;$CU324,LocTable,7,FALSE))&gt;0,VLOOKUP($AT324&amp;"|"&amp;$CU324,LocTable,7,FALSE),VLOOKUP($AT324&amp;"|"&amp;$CU324,LocTable,6,FALSE))-$CR324-0.75&gt;=2.125),VLOOKUP($AT324&amp;"|"&amp;$CU324,LocTable,8,FALSE),VLOOKUP($AT324&amp;"|"&amp;$CU324,LocTable,8,FALSE)+($BI324-$CU324)),$BI324-LockAFF)))</f>
        <v/>
      </c>
      <c r="CA324" s="89">
        <f>IF($BZ324="","",$BI324-$BZ324)</f>
        <v/>
      </c>
      <c r="CB324" s="84">
        <f>IF(OR(NOT(AND($A324&lt;&gt;"",$C324&lt;&gt;"DOOR ONLY")),$BI324=""),"",IF(($BI324+IF(N($P324)&gt;0,$P324+FaceW,0))&lt;=90,3,IF(($BI324+IF(N($P324)&gt;0,$P324+FaceW,0))&lt;=114,4,5)))</f>
        <v/>
      </c>
      <c r="CC324" s="84">
        <f>IF($CB324="","",$CB324*(2+IF(N($Q324)&gt;0,IF($R324="LR",2,1),0)))</f>
        <v/>
      </c>
      <c r="CD324" s="84">
        <f>IF($CB324="","",(2+IF(N($Q324)&gt;0,IF($R324="LR",2,1),0)))</f>
        <v/>
      </c>
      <c r="CE324" s="84">
        <f>IF(N($BJ324)=0,"",IF(OR($AL324="",$AL324="FLUSH"),"FLUSH",IFERROR(LEFT($AL324,FIND("-",$AL324)-1),LEFT($AL324,2))))</f>
        <v/>
      </c>
      <c r="CF324" s="84">
        <f>IF($CE324="","",IFERROR(VALUE(MID($AL324,FIND("-",$AL324)+1,FIND(CHAR(34)&amp;"x",$AL324)-FIND("-",$AL324)-1)),0))</f>
        <v/>
      </c>
      <c r="CG324" s="84">
        <f>IF($CE324="","",IFERROR(VALUE(MID($AL324,FIND(CHAR(34)&amp;"x",$AL324)+2,FIND(CHAR(34),$AL324,FIND(CHAR(34)&amp;"x",$AL324)+2)-FIND(CHAR(34)&amp;"x",$AL324)-2)),0))</f>
        <v/>
      </c>
      <c r="CH324" s="90">
        <f>IF(OR($A324="",$H324="",$H324="NO LAB"),0,IFERROR(VALUE(LEFT($H324,FIND(" ",$H324)-1)),0))</f>
        <v/>
      </c>
      <c r="CI324" s="91">
        <f>IF(OR($A324="",$I324="",$I324="NON-RATED",N($J324)=0),"",IFERROR(VLOOKUP($I324&amp;"|"&amp;$J324,IBC,2,FALSE),"?"))</f>
        <v/>
      </c>
      <c r="CJ324" s="85">
        <f>IF(NOT(AND($A324&lt;&gt;"",$C324&lt;&gt;"DOOR ONLY")),"",TRIM(IFERROR(VLOOKUP($U324,CODES,2,FALSE),"")&amp;" "&amp;$BG324&amp;" "&amp;IFERROR(VLOOKUP($Z324,CODES,2,FALSE),"")&amp;" "&amp;IFERROR(VLOOKUP($X324,CODES,2,FALSE),"")&amp;" "&amp;IFERROR(VLOOKUP($S324,CODES,2,FALSE),"")&amp;IF(N($P324)&gt;0," w/TRANSOM "&amp;$P324&amp;CHAR(34),"")&amp;IF(N($Q324)&gt;0," w/SIDELITE "&amp;$Q324&amp;CHAR(34)&amp;" "&amp;IF($R324="","R",$R324),"")&amp;IF($Y324="","  |  "," | "&amp;IFERROR(VLOOKUP($Y324,CODES,2,FALSE),"")&amp;" | ")&amp;IFERROR(VLOOKUP($AC324,CODES,2,FALSE),"")&amp;" "&amp;IFERROR(VLOOKUP($AD324,CODES,2,FALSE),"")&amp;IF(OR($AE324="",$AE324="-"),""," "&amp;$AE324)&amp;IF(OR($AF324="",$AF324="-"),""," "&amp;$AF324)&amp;IF($AB324="Y"," 4"&amp;CHAR(34)&amp;" HEAD","")&amp;" "&amp;IFERROR(VLOOKUP($H324,CODES,2,FALSE),"")&amp;IF($CT324," | LOC "&amp;$CY324,"")))</f>
        <v/>
      </c>
      <c r="CK324" s="85">
        <f>IF(NOT(AND($A324&lt;&gt;"",N($BJ324)&gt;0)),"",TRIM(IFERROR(VLOOKUP($AH324,CODES,2,FALSE),"")&amp;IF($AI324=""," "," "&amp;$AI324&amp;"GA ")&amp;$BG324&amp;" "&amp;IF($AN324="",IFERROR(VLOOKUP($Z324,CODES,2,FALSE),""),IFERROR(VLOOKUP($AN324,CODES,2,FALSE),""))&amp;IF($BJ324=2," PAIR","")&amp;" DOOR | "&amp;IF($AL324="","?",$AL324)&amp;" | "&amp;IF($AO324="",IFERROR(VLOOKUP($AC324,CODES,2,FALSE),""),IFERROR(VLOOKUP($AO324,CODES,2,FALSE),""))&amp;" "&amp;IFERROR(VLOOKUP($AP324,CODES,2,FALSE),"")&amp;IF(OR($AQ324="",$AQ324="-"),""," SEAM "&amp;$AQ324)&amp;IF($AR324="Y"," ASTRAGAL","")&amp;IF($AJ324=""," "," "&amp;$AJ324)&amp;IF($AK324=""," "," "&amp;$AK324)&amp;IF(OR($AT324="",$AT324="ANSI/SDI",$AT324="CUSTOM LOC"),""," "&amp;$AT324)&amp;IF($AM324=""," "," SERIES "&amp;$AM324)&amp;" "&amp;IFERROR(VLOOKUP($H324,CODES,2,FALSE),"")&amp;IF($CT324," | LOC "&amp;$CZ324,"")))</f>
        <v/>
      </c>
      <c r="CL324" s="84">
        <f>IF(CP324="","",IF(COUNTIF($CP$6:CP324,CP324)=1,MAX($CL$5:CL323)+1,INDEX($CL$5:CL323,MATCH(CP324,$CP$5:CP323,0))))</f>
        <v/>
      </c>
      <c r="CM324" s="84">
        <f>IF(NOT(AND($A324&lt;&gt;"",$C324&lt;&gt;"DOOR ONLY")),"",MAX($CM$5:CM323)+1)</f>
        <v/>
      </c>
      <c r="CN324" s="84">
        <f>IF(NOT(AND($A324&lt;&gt;"",N($BJ324)&gt;0)),"",MAX($CN$5:CN323)+1)</f>
        <v/>
      </c>
      <c r="CO324" s="84">
        <f>IF($A324="","",MAX($CO$5:CO323)+1)</f>
        <v/>
      </c>
      <c r="CP324" s="84">
        <f>IF(OR($A324="",$BH324="",$BI324=""),"",$BG324&amp;"|"&amp;$O324&amp;"|"&amp;$AL324&amp;"|"&amp;$S324&amp;"|"&amp;$P324&amp;"|"&amp;$Q324&amp;$R324&amp;"|"&amp;$C324&amp;"|"&amp;$AB324)</f>
        <v/>
      </c>
      <c r="CQ324" s="84">
        <f>N($BS324)</f>
        <v/>
      </c>
      <c r="CR324" s="84">
        <f>IF(N($AU324)&gt;0,N($AU324),4.5)</f>
        <v/>
      </c>
      <c r="CS324" s="84">
        <f>OR($A324="",$BI324="",$S324="BL",AND($C324="FRAME ONLY",OR($AC324="",$AC324="BLK")))</f>
        <v/>
      </c>
      <c r="CT324" s="84">
        <f>AND(NOT($CS324),OR($AT324="CUSTOM LOC",N($AW324)+N($AX324)+N($AY324)+N($AZ324)+N($BA324)&gt;0))</f>
        <v/>
      </c>
      <c r="CU324" s="84">
        <f>IF($BI324="","",IF($BI324&lt;=80,80,IF($BI324&lt;=84,84,96)))</f>
        <v/>
      </c>
      <c r="CV324" s="84">
        <f>ISNUMBER(MATCH($AT324&amp;"|80",LocKeys,0))</f>
        <v/>
      </c>
      <c r="CW324" s="86">
        <f>IF($CS324,"",IF($CV324,VLOOKUP($AT324&amp;"|"&amp;$CU324,LocTable,4,FALSE),5))</f>
        <v/>
      </c>
      <c r="CX324" s="86">
        <f>IF($CS324,"",IF($CV324,IF(OR($BI324=$CU324,AND($BI324&lt;$CU324,$BI324-IF(N(VLOOKUP($AT324&amp;"|"&amp;$CU324,LocTable,7,FALSE))&gt;0,VLOOKUP($AT324&amp;"|"&amp;$CU324,LocTable,7,FALSE),VLOOKUP($AT324&amp;"|"&amp;$CU324,LocTable,6,FALSE))-$CR324-0.75&gt;=2.125)),IF(N(VLOOKUP($AT324&amp;"|"&amp;$CU324,LocTable,7,FALSE))&gt;0,VLOOKUP($AT324&amp;"|"&amp;$CU324,LocTable,7,FALSE),VLOOKUP($AT324&amp;"|"&amp;$CU324,LocTable,6,FALSE)),$BI324-($CU324-IF(N(VLOOKUP($AT324&amp;"|"&amp;$CU324,LocTable,7,FALSE))&gt;0,VLOOKUP($AT324&amp;"|"&amp;$CU324,LocTable,7,FALSE),VLOOKUP($AT324&amp;"|"&amp;$CU324,LocTable,6,FALSE)))),$BI324-10-$CR324))</f>
        <v/>
      </c>
      <c r="CY324" s="85">
        <f>IF($CS324,"",TRIM(IF(ISNUMBER($BU324),"A "&amp;TRIM(TEXT($BU324,"# ?/??"))&amp;CHAR(34)&amp;"  ","")&amp;IF(ISNUMBER($BV324),"B "&amp;TRIM(TEXT($BV324,"# ?/??"))&amp;CHAR(34)&amp;"  ","")&amp;IF(ISNUMBER($BW324),"C "&amp;TRIM(TEXT($BW324,"# ?/??"))&amp;CHAR(34)&amp;"  ","")&amp;IF(ISNUMBER($BX324),"D "&amp;TRIM(TEXT($BX324,"# ?/??"))&amp;CHAR(34)&amp;"  ","")&amp;IF(ISNUMBER($BY324),"F "&amp;TRIM(TEXT($BY324,"# ?/??"))&amp;CHAR(34)&amp;"  ","")&amp;IF(ISNUMBER($BZ324),"E "&amp;TRIM(TEXT($BZ324,"# ?/??"))&amp;CHAR(34)&amp;"  ","")))</f>
        <v/>
      </c>
      <c r="CZ324" s="85">
        <f>IF(OR($CS324,N($BJ324)=0),"",TRIM(IF(ISNUMBER($BU324),"A "&amp;TRIM(TEXT($BU324-HeadClr,"# ?/??"))&amp;CHAR(34)&amp;"  ","")&amp;IF(ISNUMBER($BV324),"B "&amp;TRIM(TEXT($BV324-HeadClr,"# ?/??"))&amp;CHAR(34)&amp;"  ","")&amp;IF(ISNUMBER($BW324),"C "&amp;TRIM(TEXT($BW324-HeadClr,"# ?/??"))&amp;CHAR(34)&amp;"  ","")&amp;IF(ISNUMBER($BX324),"D "&amp;TRIM(TEXT($BX324-HeadClr,"# ?/??"))&amp;CHAR(34)&amp;"  ","")&amp;IF(ISNUMBER($BY324),"F "&amp;TRIM(TEXT($BY324-HeadClr,"# ?/??"))&amp;CHAR(34)&amp;"  ","")&amp;IF(ISNUMBER($BZ324),"E "&amp;TRIM(TEXT($BZ324-HeadClr,"# ?/??"))&amp;CHAR(34)&amp;"  ","")))</f>
        <v/>
      </c>
      <c r="DA324" s="84">
        <f>IF($A324="","",IF($AN324="",IFERROR(VLOOKUP($Z324,CODES,2,FALSE),""),IFERROR(VLOOKUP($AN324,CODES,2,FALSE),"")))</f>
        <v/>
      </c>
      <c r="DB324" s="84">
        <f>IF($A324="","",IF($O324="Y","PR",IF(OR($Z324="L",$Z324="RR",LEFT($Z324,2)="L-",LEFT($Z324,3)="RR-"),"LH","RH")))</f>
        <v/>
      </c>
      <c r="DC324" s="84">
        <f>IF($A324="","","S.HM"&amp;IF(OR($C324="DOOR ONLY",$X324&lt;&gt;"KD"),"MASONRY","DRYWALL")&amp;IF($C324="DOOR ONLY","",$U324)&amp;IF(AND($C324&lt;&gt;"FRAME ONLY",OR(LEFT($AH324,3)="OAK",LEFT($AH324,3)="BIR",LEFT($AH324,3)="MAP",$AH324="PC",$AH324="MC",$AH324="SCLC",$AH324="P-LAM")),"WD","HM")&amp;"1.75")</f>
        <v/>
      </c>
      <c r="DD324" s="84">
        <f>IF($CJ324="","",IF($O324="Y",$CJ324,SUBSTITUTE($CJ324,$BG324&amp;" "&amp;IFERROR(VLOOKUP($Z324,CODES,2,FALSE),"")&amp;" ",$BG324&amp;" ")))</f>
        <v/>
      </c>
      <c r="DE324" s="84">
        <f>IF($CK324="","",IF($O324="Y",$CK324,SUBSTITUTE($CK324,$BG324&amp;" "&amp;IF($AN324="",IFERROR(VLOOKUP($Z324,CODES,2,FALSE),""),IFERROR(VLOOKUP($AN324,CODES,2,FALSE),""))&amp;" ",$BG324&amp;" ")))</f>
        <v/>
      </c>
      <c r="DF324" s="84">
        <f>IF($CJ324="","",$DC324&amp;"|"&amp;$DD324&amp;"|"&amp;$DB324&amp;"|"&amp;$AT324&amp;"|"&amp;$V324&amp;"|"&amp;$Y324&amp;"|"&amp;$AB324)</f>
        <v/>
      </c>
      <c r="DG324" s="84">
        <f>IF(DF324="","",IF(COUNTIF($DF$6:DF324,DF324)=1,MAX($DG$5:DG323)+1,INDEX($DG$5:DG323,MATCH(DF324,$DF$5:DF323,0))))</f>
        <v/>
      </c>
      <c r="DH324" s="84">
        <f>IF($CK324="","",$DC324&amp;"|"&amp;$DE324&amp;"|"&amp;$AI324&amp;"|"&amp;$BK324&amp;"|"&amp;$BL324)</f>
        <v/>
      </c>
      <c r="DI324" s="84">
        <f>IF(DH324="","",IF(COUNTIF($DH$6:DH324,DH324)=1,MAX($DI$5:DI323)+1,INDEX($DI$5:DI323,MATCH(DH324,$DH$5:DH323,0))))</f>
        <v/>
      </c>
      <c r="DJ324" s="84">
        <f>IF($A324="","",IF($B324="","qty, ","")&amp;IF($C324="","scope, ","")&amp;IF(OR($K324="",$M324=""),"size, ","")&amp;IF(AND($A324&lt;&gt;"",$C324&lt;&gt;"DOOR ONLY"),IF($U324="","jamb depth, ","")&amp;IF($X324="","construction, ","")&amp;IF($Y324="","anchor, ","")&amp;IF($S324="","frame type, ",""),"")&amp;IF(AND(N($BJ324)&gt;0,$Z324=""),"hand, ","")&amp;IF(N($BJ324)&gt;0,IF($AH324="","door material, ","")&amp;IF($AL324="","face type, ","")&amp;IF($AP324="","lock prep, ","")&amp;IF(AND($AO324="",$AC324=""),"hinge prep, ",""),"")&amp;IF(AND($CH324&gt;0,$AH324="FRP"),"FRP cannot carry a label, ","")&amp;IF(AND($O324="Y",OR($Z324="L",$Z324="R",$Z324="LR",$Z324="RR")),"pair marked but hand is single, ","")&amp;IF(AND($O324&lt;&gt;"Y",OR($Z324="PR",AND(LEN($Z324)&gt;1,ISNUMBER(SEARCH("-",$Z324))))),"pair hand on a single door, ","")&amp;IF(AND(ISNUMBER($CI324),$CH324&lt;N($CI324)),"wall needs a "&amp;$CI324&amp;" min door, ","")&amp;IF(AND($CH324&gt;=180,AND(OR($CE324="FG",$CE324="HG",$CE324="FNV",$CE324="FV"),N($CF324)*N($CG324)&gt;100)),"180 min lite over 100 sq in, ","")&amp;IF(N($BK324)&gt;48,"leaf wider than 4'-0"&amp;CHAR(34)&amp;", ","")&amp;IF(AND($CT324,COUNT($AW324:$AZ324)=0,$CQ324&gt;0),"CUSTOM LOC with no locations typed, ",""))</f>
        <v/>
      </c>
      <c r="DK324" s="84">
        <f>IF($A324="","",IF(AND($CH324&gt;0,AND($A324&lt;&gt;"",$C324&lt;&gt;"DOOR ONLY"),$X324="KD",$E324="EXTERIOR"),"KD label on an exterior opening, ","")&amp;IF(AND($E324="EXTERIOR",OR(AND(AND($A324&lt;&gt;"",$C324&lt;&gt;"DOOR ONLY"),$W324="CR"),AND(N($BJ324)&gt;0,$AH324="CR"))),"exterior in CR steel (G9?), ","")&amp;IF(AND(ISNUMBER($BQ324),N($BQ324)&lt;32),"clear width ~"&amp;TEXT($BQ324,"0.0")&amp;CHAR(34)&amp;" under 32"&amp;CHAR(34)&amp;" (ADA), ","")&amp;IF(AND($CH324=90,AND(OR($CE324="FG",$CE324="HG",$CE324="FNV",$CE324="FV"),N($CF324)*N($CG324)&gt;100)),"90 min lite over 100 sq in (stair/exit), ","")&amp;IF(AND($CH324&gt;0,AND($A324&lt;&gt;"",$C324&lt;&gt;"DOOR ONLY"),OR($AF324="",$AF324="-")),"rated: closer reinf.?, ","")&amp;IF(OR($I324="CORRIDOR",$I324="SMOKE BARRIER"),"S label + smoke gasketing, ","")&amp;IF($CI324="?","wall type/hr not in IBC table, ","")&amp;IF(AND(N($BJ324)&gt;0,$BB324=""),"no hardware set, ","")&amp;IF(AND($BB324&lt;&gt;"",ISNA(MATCH($BB324&amp;"",HWSets,0))),"set "&amp;$BB324&amp;" not on HW Sets, ","")&amp;IF(N($BL324)&gt;96,"leaf over 8'-0"&amp;CHAR(34)&amp;" - check listing, ","")&amp;IF(AND($CT324,COUNT($AW324:$AZ324)&gt;0,COUNT($AW324:$AZ324)&lt;&gt;$CQ324),COUNT($AW324:$AZ324)&amp;" custom hinges typed, "&amp;$CQ324&amp;" expected, ","")&amp;IF(AND(ISNUMBER($CA324),OR(N($CA324)&lt;34,N($CA324)&gt;48)),"lock "&amp;TEXT($CA324,"0.0")&amp;CHAR(34)&amp;" AFF outside 34-48"&amp;CHAR(34)&amp;" (ADA), ","")&amp;IF(AND(ISNUMBER($AV324),ISNUMBER($BL324),N($AV324)&lt;IF(N($BL324)&lt;=60,2,IF(N($BL324)&lt;=90,3,IF(N($BL324)&lt;=120,4,5)))),"fewer hinges than standard, ",""))</f>
        <v/>
      </c>
    </row>
    <row r="325" ht="15" customHeight="1">
      <c r="A325" s="92" t="n"/>
      <c r="B325" s="93" t="n"/>
      <c r="C325" s="93" t="n"/>
      <c r="D325" s="93" t="n"/>
      <c r="E325" s="93" t="n"/>
      <c r="F325" s="93" t="n"/>
      <c r="G325" s="93" t="n"/>
      <c r="H325" s="93" t="n"/>
      <c r="I325" s="93" t="n"/>
      <c r="J325" s="93" t="n"/>
      <c r="K325" s="93" t="n"/>
      <c r="L325" s="93" t="n"/>
      <c r="M325" s="93" t="n"/>
      <c r="N325" s="93" t="n"/>
      <c r="O325" s="93" t="n"/>
      <c r="P325" s="93" t="n"/>
      <c r="Q325" s="93" t="n"/>
      <c r="R325" s="93" t="n"/>
      <c r="S325" s="94" t="n"/>
      <c r="T325" s="94" t="n"/>
      <c r="U325" s="94" t="n"/>
      <c r="V325" s="94" t="n"/>
      <c r="W325" s="94" t="n"/>
      <c r="X325" s="94" t="n"/>
      <c r="Y325" s="94" t="n"/>
      <c r="Z325" s="94" t="n"/>
      <c r="AA325" s="94" t="n"/>
      <c r="AB325" s="94" t="n"/>
      <c r="AC325" s="94" t="n"/>
      <c r="AD325" s="94" t="n"/>
      <c r="AE325" s="94" t="n"/>
      <c r="AF325" s="94" t="n"/>
      <c r="AG325" s="94" t="n"/>
      <c r="AH325" s="95" t="n"/>
      <c r="AI325" s="95" t="n"/>
      <c r="AJ325" s="95" t="n"/>
      <c r="AK325" s="95" t="n"/>
      <c r="AL325" s="95" t="n"/>
      <c r="AM325" s="95" t="n"/>
      <c r="AN325" s="95" t="n"/>
      <c r="AO325" s="95" t="n"/>
      <c r="AP325" s="95" t="n"/>
      <c r="AQ325" s="95" t="n"/>
      <c r="AR325" s="95" t="n"/>
      <c r="AS325" s="95" t="n"/>
      <c r="AT325" s="96" t="n"/>
      <c r="AU325" s="96" t="n"/>
      <c r="AV325" s="96" t="n"/>
      <c r="AW325" s="97" t="n"/>
      <c r="AX325" s="97" t="n"/>
      <c r="AY325" s="97" t="n"/>
      <c r="AZ325" s="97" t="n"/>
      <c r="BA325" s="97" t="n"/>
      <c r="BB325" s="98" t="n"/>
      <c r="BC325" s="98" t="n"/>
      <c r="BD325" s="99">
        <f>IF($A325="","",IF($DJ325&lt;&gt;"","FIX",IF($DK325&lt;&gt;"","CHECK","OK")))</f>
        <v/>
      </c>
      <c r="BE325" s="100">
        <f>IF($A325="","",IF($DJ325&lt;&gt;"","FIX: "&amp;LEFT($DJ325,LEN($DJ325)-2)&amp;IF($DK325&lt;&gt;"","  ·  ",""),"")&amp;IF($DK325&lt;&gt;"","CHECK: "&amp;LEFT($DK325,LEN($DK325)-2),""))</f>
        <v/>
      </c>
      <c r="BF325" s="99">
        <f>IF(OR($A325="",$K325=""),"",$K325&amp;"'-"&amp;N($L325)&amp;CHAR(34)&amp;" x "&amp;$M325&amp;"'-"&amp;N($N325)&amp;CHAR(34))</f>
        <v/>
      </c>
      <c r="BG325" s="99">
        <f>IF(OR($A325="",$K325=""),"",$K325&amp;N($L325)&amp;$M325&amp;N($N325))</f>
        <v/>
      </c>
      <c r="BH325" s="99">
        <f>IF(OR($A325="",$K325=""),"",$K325*12+N($L325))</f>
        <v/>
      </c>
      <c r="BI325" s="99">
        <f>IF(OR($A325="",$M325=""),"",$M325*12+N($N325))</f>
        <v/>
      </c>
      <c r="BJ325" s="99">
        <f>IF($A325="","",IF(OR($C325="FRAME ONLY",$S325="BL"),0,IF($O325="Y",2,1)))</f>
        <v/>
      </c>
      <c r="BK325" s="101">
        <f>IF(OR(N($BJ325)=0,$BH325=""),"",($BH325-2*EdgeClr-IF($BJ325=2,MeetClr,0))/$BJ325)</f>
        <v/>
      </c>
      <c r="BL325" s="101">
        <f>IF(OR(N($BJ325)=0,$BI325=""),"",$BI325-HeadClr-Undercut)</f>
        <v/>
      </c>
      <c r="BM325" s="101">
        <f>IF($BH325="","",$BH325+2*FaceW+IF(N($Q325)&gt;0,($Q325+FaceW)*IF($R325="LR",2,1),0))</f>
        <v/>
      </c>
      <c r="BN325" s="101">
        <f>IF($BI325="","",$BI325+IF($AB325="Y",4,FaceW)+IF(N($P325)&gt;0,$P325+FaceW,0)+IF(OR($S325="4F",$S325="BL"),FaceW,0))</f>
        <v/>
      </c>
      <c r="BO325" s="101">
        <f>IF($BM325="","",$BM325+2*ROSide)</f>
        <v/>
      </c>
      <c r="BP325" s="101">
        <f>IF($BN325="","",$BN325+ROTop)</f>
        <v/>
      </c>
      <c r="BQ325" s="102">
        <f>IF(OR(N($BJ325)=0,$BH325=""),"",$BH325/$BJ325-ClearDeduct)</f>
        <v/>
      </c>
      <c r="BR325" s="99">
        <f>IF(N($CH325)=0,"",IF($CH325&gt;=180,"A · 3 HR",IF($CH325&gt;=90,"B · 1-1/2 HR",IF($CH325&gt;=60,"B · 1 HR",IF($CH325&gt;=45,"C · 3/4 HR","20 MIN")))))&amp;IF(AND(N($CH325)&gt;0,OR($I325="CORRIDOR",$I325="SMOKE BARRIER"))," · S","")</f>
        <v/>
      </c>
      <c r="BS325" s="99">
        <f>IF($CS325,"",IF($AV325&lt;&gt;"",$AV325,IF(OR($AC325="HGC",$AO325="HGC"),"CONT",IF(($BI325-HeadClr-Undercut)&lt;=60,2,IF(($BI325-HeadClr-Undercut)&lt;=90,3,IF(($BI325-HeadClr-Undercut)&lt;=120,4,5))))))</f>
        <v/>
      </c>
      <c r="BT325" s="99">
        <f>IF($CS325,"",IF($CT325,"CUSTOM (typed)",IF($CV325,$AT325&amp;" "&amp;$CU325&amp;CHAR(34)&amp;IF($CU325&lt;&gt;$BI325,IF(AND($BI325&lt;$CU325,$BI325-IF(N(VLOOKUP($AT325&amp;"|"&amp;$CU325,LocTable,7,FALSE))&gt;0,VLOOKUP($AT325&amp;"|"&amp;$CU325,LocTable,7,FALSE),VLOOKUP($AT325&amp;"|"&amp;$CU325,LocTable,6,FALSE))-$CR325-0.75&gt;=2.125)," cut down"," adj."),""),"ANSI/SDI A250.6")))</f>
        <v/>
      </c>
      <c r="BU325" s="103">
        <f>IF($CS325,"",IF($CT325,IF(N($AW325)&gt;0,N($AW325),""),IF(1&gt;$CQ325,"",IF($CQ325=1,$CW325,$CW325+($CX325-$CW325)*0/($CQ325-1)))))</f>
        <v/>
      </c>
      <c r="BV325" s="103">
        <f>IF($CS325,"",IF($CT325,IF(N($AX325)&gt;0,N($AX325),""),IF(2&gt;$CQ325,"",IF($CQ325=1,$CW325,$CW325+($CX325-$CW325)*1/($CQ325-1)))))</f>
        <v/>
      </c>
      <c r="BW325" s="103">
        <f>IF($CS325,"",IF($CT325,IF(N($AY325)&gt;0,N($AY325),""),IF(3&gt;$CQ325,"",IF($CQ325=1,$CW325,$CW325+($CX325-$CW325)*2/($CQ325-1)))))</f>
        <v/>
      </c>
      <c r="BX325" s="103">
        <f>IF($CS325,"",IF($CT325,IF(N($AZ325)&gt;0,N($AZ325),""),IF(4&gt;$CQ325,"",IF($CQ325=1,$CW325,$CW325+($CX325-$CW325)*3/($CQ325-1)))))</f>
        <v/>
      </c>
      <c r="BY325" s="103">
        <f>IF($CS325,"",IF($CT325,"",IF(5&gt;$CQ325,"",IF($CQ325=1,$CW325,$CW325+($CX325-$CW325)*4/($CQ325-1)))))</f>
        <v/>
      </c>
      <c r="BZ325" s="103">
        <f>IF(OR($CS325,$AP325="-",AND($AP325="",$AD325="")),"",IF(N($BA325)&gt;0,N($BA325),IF($CV325,IF(AND($BI325&lt;$CU325,$BI325-IF(N(VLOOKUP($AT325&amp;"|"&amp;$CU325,LocTable,7,FALSE))&gt;0,VLOOKUP($AT325&amp;"|"&amp;$CU325,LocTable,7,FALSE),VLOOKUP($AT325&amp;"|"&amp;$CU325,LocTable,6,FALSE))-$CR325-0.75&gt;=2.125),VLOOKUP($AT325&amp;"|"&amp;$CU325,LocTable,8,FALSE),VLOOKUP($AT325&amp;"|"&amp;$CU325,LocTable,8,FALSE)+($BI325-$CU325)),$BI325-LockAFF)))</f>
        <v/>
      </c>
      <c r="CA325" s="104">
        <f>IF($BZ325="","",$BI325-$BZ325)</f>
        <v/>
      </c>
      <c r="CB325" s="99">
        <f>IF(OR(NOT(AND($A325&lt;&gt;"",$C325&lt;&gt;"DOOR ONLY")),$BI325=""),"",IF(($BI325+IF(N($P325)&gt;0,$P325+FaceW,0))&lt;=90,3,IF(($BI325+IF(N($P325)&gt;0,$P325+FaceW,0))&lt;=114,4,5)))</f>
        <v/>
      </c>
      <c r="CC325" s="99">
        <f>IF($CB325="","",$CB325*(2+IF(N($Q325)&gt;0,IF($R325="LR",2,1),0)))</f>
        <v/>
      </c>
      <c r="CD325" s="99">
        <f>IF($CB325="","",(2+IF(N($Q325)&gt;0,IF($R325="LR",2,1),0)))</f>
        <v/>
      </c>
      <c r="CE325" s="99">
        <f>IF(N($BJ325)=0,"",IF(OR($AL325="",$AL325="FLUSH"),"FLUSH",IFERROR(LEFT($AL325,FIND("-",$AL325)-1),LEFT($AL325,2))))</f>
        <v/>
      </c>
      <c r="CF325" s="99">
        <f>IF($CE325="","",IFERROR(VALUE(MID($AL325,FIND("-",$AL325)+1,FIND(CHAR(34)&amp;"x",$AL325)-FIND("-",$AL325)-1)),0))</f>
        <v/>
      </c>
      <c r="CG325" s="99">
        <f>IF($CE325="","",IFERROR(VALUE(MID($AL325,FIND(CHAR(34)&amp;"x",$AL325)+2,FIND(CHAR(34),$AL325,FIND(CHAR(34)&amp;"x",$AL325)+2)-FIND(CHAR(34)&amp;"x",$AL325)-2)),0))</f>
        <v/>
      </c>
      <c r="CH325" s="105">
        <f>IF(OR($A325="",$H325="",$H325="NO LAB"),0,IFERROR(VALUE(LEFT($H325,FIND(" ",$H325)-1)),0))</f>
        <v/>
      </c>
      <c r="CI325" s="106">
        <f>IF(OR($A325="",$I325="",$I325="NON-RATED",N($J325)=0),"",IFERROR(VLOOKUP($I325&amp;"|"&amp;$J325,IBC,2,FALSE),"?"))</f>
        <v/>
      </c>
      <c r="CJ325" s="100">
        <f>IF(NOT(AND($A325&lt;&gt;"",$C325&lt;&gt;"DOOR ONLY")),"",TRIM(IFERROR(VLOOKUP($U325,CODES,2,FALSE),"")&amp;" "&amp;$BG325&amp;" "&amp;IFERROR(VLOOKUP($Z325,CODES,2,FALSE),"")&amp;" "&amp;IFERROR(VLOOKUP($X325,CODES,2,FALSE),"")&amp;" "&amp;IFERROR(VLOOKUP($S325,CODES,2,FALSE),"")&amp;IF(N($P325)&gt;0," w/TRANSOM "&amp;$P325&amp;CHAR(34),"")&amp;IF(N($Q325)&gt;0," w/SIDELITE "&amp;$Q325&amp;CHAR(34)&amp;" "&amp;IF($R325="","R",$R325),"")&amp;IF($Y325="","  |  "," | "&amp;IFERROR(VLOOKUP($Y325,CODES,2,FALSE),"")&amp;" | ")&amp;IFERROR(VLOOKUP($AC325,CODES,2,FALSE),"")&amp;" "&amp;IFERROR(VLOOKUP($AD325,CODES,2,FALSE),"")&amp;IF(OR($AE325="",$AE325="-"),""," "&amp;$AE325)&amp;IF(OR($AF325="",$AF325="-"),""," "&amp;$AF325)&amp;IF($AB325="Y"," 4"&amp;CHAR(34)&amp;" HEAD","")&amp;" "&amp;IFERROR(VLOOKUP($H325,CODES,2,FALSE),"")&amp;IF($CT325," | LOC "&amp;$CY325,"")))</f>
        <v/>
      </c>
      <c r="CK325" s="100">
        <f>IF(NOT(AND($A325&lt;&gt;"",N($BJ325)&gt;0)),"",TRIM(IFERROR(VLOOKUP($AH325,CODES,2,FALSE),"")&amp;IF($AI325=""," "," "&amp;$AI325&amp;"GA ")&amp;$BG325&amp;" "&amp;IF($AN325="",IFERROR(VLOOKUP($Z325,CODES,2,FALSE),""),IFERROR(VLOOKUP($AN325,CODES,2,FALSE),""))&amp;IF($BJ325=2," PAIR","")&amp;" DOOR | "&amp;IF($AL325="","?",$AL325)&amp;" | "&amp;IF($AO325="",IFERROR(VLOOKUP($AC325,CODES,2,FALSE),""),IFERROR(VLOOKUP($AO325,CODES,2,FALSE),""))&amp;" "&amp;IFERROR(VLOOKUP($AP325,CODES,2,FALSE),"")&amp;IF(OR($AQ325="",$AQ325="-"),""," SEAM "&amp;$AQ325)&amp;IF($AR325="Y"," ASTRAGAL","")&amp;IF($AJ325=""," "," "&amp;$AJ325)&amp;IF($AK325=""," "," "&amp;$AK325)&amp;IF(OR($AT325="",$AT325="ANSI/SDI",$AT325="CUSTOM LOC"),""," "&amp;$AT325)&amp;IF($AM325=""," "," SERIES "&amp;$AM325)&amp;" "&amp;IFERROR(VLOOKUP($H325,CODES,2,FALSE),"")&amp;IF($CT325," | LOC "&amp;$CZ325,"")))</f>
        <v/>
      </c>
      <c r="CL325" s="99">
        <f>IF(CP325="","",IF(COUNTIF($CP$6:CP325,CP325)=1,MAX($CL$5:CL324)+1,INDEX($CL$5:CL324,MATCH(CP325,$CP$5:CP324,0))))</f>
        <v/>
      </c>
      <c r="CM325" s="99">
        <f>IF(NOT(AND($A325&lt;&gt;"",$C325&lt;&gt;"DOOR ONLY")),"",MAX($CM$5:CM324)+1)</f>
        <v/>
      </c>
      <c r="CN325" s="99">
        <f>IF(NOT(AND($A325&lt;&gt;"",N($BJ325)&gt;0)),"",MAX($CN$5:CN324)+1)</f>
        <v/>
      </c>
      <c r="CO325" s="99">
        <f>IF($A325="","",MAX($CO$5:CO324)+1)</f>
        <v/>
      </c>
      <c r="CP325" s="99">
        <f>IF(OR($A325="",$BH325="",$BI325=""),"",$BG325&amp;"|"&amp;$O325&amp;"|"&amp;$AL325&amp;"|"&amp;$S325&amp;"|"&amp;$P325&amp;"|"&amp;$Q325&amp;$R325&amp;"|"&amp;$C325&amp;"|"&amp;$AB325)</f>
        <v/>
      </c>
      <c r="CQ325" s="99">
        <f>N($BS325)</f>
        <v/>
      </c>
      <c r="CR325" s="99">
        <f>IF(N($AU325)&gt;0,N($AU325),4.5)</f>
        <v/>
      </c>
      <c r="CS325" s="99">
        <f>OR($A325="",$BI325="",$S325="BL",AND($C325="FRAME ONLY",OR($AC325="",$AC325="BLK")))</f>
        <v/>
      </c>
      <c r="CT325" s="99">
        <f>AND(NOT($CS325),OR($AT325="CUSTOM LOC",N($AW325)+N($AX325)+N($AY325)+N($AZ325)+N($BA325)&gt;0))</f>
        <v/>
      </c>
      <c r="CU325" s="99">
        <f>IF($BI325="","",IF($BI325&lt;=80,80,IF($BI325&lt;=84,84,96)))</f>
        <v/>
      </c>
      <c r="CV325" s="99">
        <f>ISNUMBER(MATCH($AT325&amp;"|80",LocKeys,0))</f>
        <v/>
      </c>
      <c r="CW325" s="101">
        <f>IF($CS325,"",IF($CV325,VLOOKUP($AT325&amp;"|"&amp;$CU325,LocTable,4,FALSE),5))</f>
        <v/>
      </c>
      <c r="CX325" s="101">
        <f>IF($CS325,"",IF($CV325,IF(OR($BI325=$CU325,AND($BI325&lt;$CU325,$BI325-IF(N(VLOOKUP($AT325&amp;"|"&amp;$CU325,LocTable,7,FALSE))&gt;0,VLOOKUP($AT325&amp;"|"&amp;$CU325,LocTable,7,FALSE),VLOOKUP($AT325&amp;"|"&amp;$CU325,LocTable,6,FALSE))-$CR325-0.75&gt;=2.125)),IF(N(VLOOKUP($AT325&amp;"|"&amp;$CU325,LocTable,7,FALSE))&gt;0,VLOOKUP($AT325&amp;"|"&amp;$CU325,LocTable,7,FALSE),VLOOKUP($AT325&amp;"|"&amp;$CU325,LocTable,6,FALSE)),$BI325-($CU325-IF(N(VLOOKUP($AT325&amp;"|"&amp;$CU325,LocTable,7,FALSE))&gt;0,VLOOKUP($AT325&amp;"|"&amp;$CU325,LocTable,7,FALSE),VLOOKUP($AT325&amp;"|"&amp;$CU325,LocTable,6,FALSE)))),$BI325-10-$CR325))</f>
        <v/>
      </c>
      <c r="CY325" s="100">
        <f>IF($CS325,"",TRIM(IF(ISNUMBER($BU325),"A "&amp;TRIM(TEXT($BU325,"# ?/??"))&amp;CHAR(34)&amp;"  ","")&amp;IF(ISNUMBER($BV325),"B "&amp;TRIM(TEXT($BV325,"# ?/??"))&amp;CHAR(34)&amp;"  ","")&amp;IF(ISNUMBER($BW325),"C "&amp;TRIM(TEXT($BW325,"# ?/??"))&amp;CHAR(34)&amp;"  ","")&amp;IF(ISNUMBER($BX325),"D "&amp;TRIM(TEXT($BX325,"# ?/??"))&amp;CHAR(34)&amp;"  ","")&amp;IF(ISNUMBER($BY325),"F "&amp;TRIM(TEXT($BY325,"# ?/??"))&amp;CHAR(34)&amp;"  ","")&amp;IF(ISNUMBER($BZ325),"E "&amp;TRIM(TEXT($BZ325,"# ?/??"))&amp;CHAR(34)&amp;"  ","")))</f>
        <v/>
      </c>
      <c r="CZ325" s="100">
        <f>IF(OR($CS325,N($BJ325)=0),"",TRIM(IF(ISNUMBER($BU325),"A "&amp;TRIM(TEXT($BU325-HeadClr,"# ?/??"))&amp;CHAR(34)&amp;"  ","")&amp;IF(ISNUMBER($BV325),"B "&amp;TRIM(TEXT($BV325-HeadClr,"# ?/??"))&amp;CHAR(34)&amp;"  ","")&amp;IF(ISNUMBER($BW325),"C "&amp;TRIM(TEXT($BW325-HeadClr,"# ?/??"))&amp;CHAR(34)&amp;"  ","")&amp;IF(ISNUMBER($BX325),"D "&amp;TRIM(TEXT($BX325-HeadClr,"# ?/??"))&amp;CHAR(34)&amp;"  ","")&amp;IF(ISNUMBER($BY325),"F "&amp;TRIM(TEXT($BY325-HeadClr,"# ?/??"))&amp;CHAR(34)&amp;"  ","")&amp;IF(ISNUMBER($BZ325),"E "&amp;TRIM(TEXT($BZ325-HeadClr,"# ?/??"))&amp;CHAR(34)&amp;"  ","")))</f>
        <v/>
      </c>
      <c r="DA325" s="99">
        <f>IF($A325="","",IF($AN325="",IFERROR(VLOOKUP($Z325,CODES,2,FALSE),""),IFERROR(VLOOKUP($AN325,CODES,2,FALSE),"")))</f>
        <v/>
      </c>
      <c r="DB325" s="99">
        <f>IF($A325="","",IF($O325="Y","PR",IF(OR($Z325="L",$Z325="RR",LEFT($Z325,2)="L-",LEFT($Z325,3)="RR-"),"LH","RH")))</f>
        <v/>
      </c>
      <c r="DC325" s="99">
        <f>IF($A325="","","S.HM"&amp;IF(OR($C325="DOOR ONLY",$X325&lt;&gt;"KD"),"MASONRY","DRYWALL")&amp;IF($C325="DOOR ONLY","",$U325)&amp;IF(AND($C325&lt;&gt;"FRAME ONLY",OR(LEFT($AH325,3)="OAK",LEFT($AH325,3)="BIR",LEFT($AH325,3)="MAP",$AH325="PC",$AH325="MC",$AH325="SCLC",$AH325="P-LAM")),"WD","HM")&amp;"1.75")</f>
        <v/>
      </c>
      <c r="DD325" s="99">
        <f>IF($CJ325="","",IF($O325="Y",$CJ325,SUBSTITUTE($CJ325,$BG325&amp;" "&amp;IFERROR(VLOOKUP($Z325,CODES,2,FALSE),"")&amp;" ",$BG325&amp;" ")))</f>
        <v/>
      </c>
      <c r="DE325" s="99">
        <f>IF($CK325="","",IF($O325="Y",$CK325,SUBSTITUTE($CK325,$BG325&amp;" "&amp;IF($AN325="",IFERROR(VLOOKUP($Z325,CODES,2,FALSE),""),IFERROR(VLOOKUP($AN325,CODES,2,FALSE),""))&amp;" ",$BG325&amp;" ")))</f>
        <v/>
      </c>
      <c r="DF325" s="99">
        <f>IF($CJ325="","",$DC325&amp;"|"&amp;$DD325&amp;"|"&amp;$DB325&amp;"|"&amp;$AT325&amp;"|"&amp;$V325&amp;"|"&amp;$Y325&amp;"|"&amp;$AB325)</f>
        <v/>
      </c>
      <c r="DG325" s="99">
        <f>IF(DF325="","",IF(COUNTIF($DF$6:DF325,DF325)=1,MAX($DG$5:DG324)+1,INDEX($DG$5:DG324,MATCH(DF325,$DF$5:DF324,0))))</f>
        <v/>
      </c>
      <c r="DH325" s="99">
        <f>IF($CK325="","",$DC325&amp;"|"&amp;$DE325&amp;"|"&amp;$AI325&amp;"|"&amp;$BK325&amp;"|"&amp;$BL325)</f>
        <v/>
      </c>
      <c r="DI325" s="99">
        <f>IF(DH325="","",IF(COUNTIF($DH$6:DH325,DH325)=1,MAX($DI$5:DI324)+1,INDEX($DI$5:DI324,MATCH(DH325,$DH$5:DH324,0))))</f>
        <v/>
      </c>
      <c r="DJ325" s="99">
        <f>IF($A325="","",IF($B325="","qty, ","")&amp;IF($C325="","scope, ","")&amp;IF(OR($K325="",$M325=""),"size, ","")&amp;IF(AND($A325&lt;&gt;"",$C325&lt;&gt;"DOOR ONLY"),IF($U325="","jamb depth, ","")&amp;IF($X325="","construction, ","")&amp;IF($Y325="","anchor, ","")&amp;IF($S325="","frame type, ",""),"")&amp;IF(AND(N($BJ325)&gt;0,$Z325=""),"hand, ","")&amp;IF(N($BJ325)&gt;0,IF($AH325="","door material, ","")&amp;IF($AL325="","face type, ","")&amp;IF($AP325="","lock prep, ","")&amp;IF(AND($AO325="",$AC325=""),"hinge prep, ",""),"")&amp;IF(AND($CH325&gt;0,$AH325="FRP"),"FRP cannot carry a label, ","")&amp;IF(AND($O325="Y",OR($Z325="L",$Z325="R",$Z325="LR",$Z325="RR")),"pair marked but hand is single, ","")&amp;IF(AND($O325&lt;&gt;"Y",OR($Z325="PR",AND(LEN($Z325)&gt;1,ISNUMBER(SEARCH("-",$Z325))))),"pair hand on a single door, ","")&amp;IF(AND(ISNUMBER($CI325),$CH325&lt;N($CI325)),"wall needs a "&amp;$CI325&amp;" min door, ","")&amp;IF(AND($CH325&gt;=180,AND(OR($CE325="FG",$CE325="HG",$CE325="FNV",$CE325="FV"),N($CF325)*N($CG325)&gt;100)),"180 min lite over 100 sq in, ","")&amp;IF(N($BK325)&gt;48,"leaf wider than 4'-0"&amp;CHAR(34)&amp;", ","")&amp;IF(AND($CT325,COUNT($AW325:$AZ325)=0,$CQ325&gt;0),"CUSTOM LOC with no locations typed, ",""))</f>
        <v/>
      </c>
      <c r="DK325" s="99">
        <f>IF($A325="","",IF(AND($CH325&gt;0,AND($A325&lt;&gt;"",$C325&lt;&gt;"DOOR ONLY"),$X325="KD",$E325="EXTERIOR"),"KD label on an exterior opening, ","")&amp;IF(AND($E325="EXTERIOR",OR(AND(AND($A325&lt;&gt;"",$C325&lt;&gt;"DOOR ONLY"),$W325="CR"),AND(N($BJ325)&gt;0,$AH325="CR"))),"exterior in CR steel (G9?), ","")&amp;IF(AND(ISNUMBER($BQ325),N($BQ325)&lt;32),"clear width ~"&amp;TEXT($BQ325,"0.0")&amp;CHAR(34)&amp;" under 32"&amp;CHAR(34)&amp;" (ADA), ","")&amp;IF(AND($CH325=90,AND(OR($CE325="FG",$CE325="HG",$CE325="FNV",$CE325="FV"),N($CF325)*N($CG325)&gt;100)),"90 min lite over 100 sq in (stair/exit), ","")&amp;IF(AND($CH325&gt;0,AND($A325&lt;&gt;"",$C325&lt;&gt;"DOOR ONLY"),OR($AF325="",$AF325="-")),"rated: closer reinf.?, ","")&amp;IF(OR($I325="CORRIDOR",$I325="SMOKE BARRIER"),"S label + smoke gasketing, ","")&amp;IF($CI325="?","wall type/hr not in IBC table, ","")&amp;IF(AND(N($BJ325)&gt;0,$BB325=""),"no hardware set, ","")&amp;IF(AND($BB325&lt;&gt;"",ISNA(MATCH($BB325&amp;"",HWSets,0))),"set "&amp;$BB325&amp;" not on HW Sets, ","")&amp;IF(N($BL325)&gt;96,"leaf over 8'-0"&amp;CHAR(34)&amp;" - check listing, ","")&amp;IF(AND($CT325,COUNT($AW325:$AZ325)&gt;0,COUNT($AW325:$AZ325)&lt;&gt;$CQ325),COUNT($AW325:$AZ325)&amp;" custom hinges typed, "&amp;$CQ325&amp;" expected, ","")&amp;IF(AND(ISNUMBER($CA325),OR(N($CA325)&lt;34,N($CA325)&gt;48)),"lock "&amp;TEXT($CA325,"0.0")&amp;CHAR(34)&amp;" AFF outside 34-48"&amp;CHAR(34)&amp;" (ADA), ","")&amp;IF(AND(ISNUMBER($AV325),ISNUMBER($BL325),N($AV325)&lt;IF(N($BL325)&lt;=60,2,IF(N($BL325)&lt;=90,3,IF(N($BL325)&lt;=120,4,5)))),"fewer hinges than standard, ",""))</f>
        <v/>
      </c>
    </row>
    <row r="326" ht="15" customHeight="1">
      <c r="A326" s="77" t="n"/>
      <c r="B326" s="78" t="n"/>
      <c r="C326" s="78" t="n"/>
      <c r="D326" s="78" t="n"/>
      <c r="E326" s="78" t="n"/>
      <c r="F326" s="78" t="n"/>
      <c r="G326" s="78" t="n"/>
      <c r="H326" s="78" t="n"/>
      <c r="I326" s="78" t="n"/>
      <c r="J326" s="78" t="n"/>
      <c r="K326" s="78" t="n"/>
      <c r="L326" s="78" t="n"/>
      <c r="M326" s="78" t="n"/>
      <c r="N326" s="78" t="n"/>
      <c r="O326" s="78" t="n"/>
      <c r="P326" s="78" t="n"/>
      <c r="Q326" s="78" t="n"/>
      <c r="R326" s="78" t="n"/>
      <c r="S326" s="79" t="n"/>
      <c r="T326" s="79" t="n"/>
      <c r="U326" s="79" t="n"/>
      <c r="V326" s="79" t="n"/>
      <c r="W326" s="79" t="n"/>
      <c r="X326" s="79" t="n"/>
      <c r="Y326" s="79" t="n"/>
      <c r="Z326" s="79" t="n"/>
      <c r="AA326" s="79" t="n"/>
      <c r="AB326" s="79" t="n"/>
      <c r="AC326" s="79" t="n"/>
      <c r="AD326" s="79" t="n"/>
      <c r="AE326" s="79" t="n"/>
      <c r="AF326" s="79" t="n"/>
      <c r="AG326" s="79" t="n"/>
      <c r="AH326" s="80" t="n"/>
      <c r="AI326" s="80" t="n"/>
      <c r="AJ326" s="80" t="n"/>
      <c r="AK326" s="80" t="n"/>
      <c r="AL326" s="80" t="n"/>
      <c r="AM326" s="80" t="n"/>
      <c r="AN326" s="80" t="n"/>
      <c r="AO326" s="80" t="n"/>
      <c r="AP326" s="80" t="n"/>
      <c r="AQ326" s="80" t="n"/>
      <c r="AR326" s="80" t="n"/>
      <c r="AS326" s="80" t="n"/>
      <c r="AT326" s="81" t="n"/>
      <c r="AU326" s="81" t="n"/>
      <c r="AV326" s="81" t="n"/>
      <c r="AW326" s="82" t="n"/>
      <c r="AX326" s="82" t="n"/>
      <c r="AY326" s="82" t="n"/>
      <c r="AZ326" s="82" t="n"/>
      <c r="BA326" s="82" t="n"/>
      <c r="BB326" s="83" t="n"/>
      <c r="BC326" s="83" t="n"/>
      <c r="BD326" s="84">
        <f>IF($A326="","",IF($DJ326&lt;&gt;"","FIX",IF($DK326&lt;&gt;"","CHECK","OK")))</f>
        <v/>
      </c>
      <c r="BE326" s="85">
        <f>IF($A326="","",IF($DJ326&lt;&gt;"","FIX: "&amp;LEFT($DJ326,LEN($DJ326)-2)&amp;IF($DK326&lt;&gt;"","  ·  ",""),"")&amp;IF($DK326&lt;&gt;"","CHECK: "&amp;LEFT($DK326,LEN($DK326)-2),""))</f>
        <v/>
      </c>
      <c r="BF326" s="84">
        <f>IF(OR($A326="",$K326=""),"",$K326&amp;"'-"&amp;N($L326)&amp;CHAR(34)&amp;" x "&amp;$M326&amp;"'-"&amp;N($N326)&amp;CHAR(34))</f>
        <v/>
      </c>
      <c r="BG326" s="84">
        <f>IF(OR($A326="",$K326=""),"",$K326&amp;N($L326)&amp;$M326&amp;N($N326))</f>
        <v/>
      </c>
      <c r="BH326" s="84">
        <f>IF(OR($A326="",$K326=""),"",$K326*12+N($L326))</f>
        <v/>
      </c>
      <c r="BI326" s="84">
        <f>IF(OR($A326="",$M326=""),"",$M326*12+N($N326))</f>
        <v/>
      </c>
      <c r="BJ326" s="84">
        <f>IF($A326="","",IF(OR($C326="FRAME ONLY",$S326="BL"),0,IF($O326="Y",2,1)))</f>
        <v/>
      </c>
      <c r="BK326" s="86">
        <f>IF(OR(N($BJ326)=0,$BH326=""),"",($BH326-2*EdgeClr-IF($BJ326=2,MeetClr,0))/$BJ326)</f>
        <v/>
      </c>
      <c r="BL326" s="86">
        <f>IF(OR(N($BJ326)=0,$BI326=""),"",$BI326-HeadClr-Undercut)</f>
        <v/>
      </c>
      <c r="BM326" s="86">
        <f>IF($BH326="","",$BH326+2*FaceW+IF(N($Q326)&gt;0,($Q326+FaceW)*IF($R326="LR",2,1),0))</f>
        <v/>
      </c>
      <c r="BN326" s="86">
        <f>IF($BI326="","",$BI326+IF($AB326="Y",4,FaceW)+IF(N($P326)&gt;0,$P326+FaceW,0)+IF(OR($S326="4F",$S326="BL"),FaceW,0))</f>
        <v/>
      </c>
      <c r="BO326" s="86">
        <f>IF($BM326="","",$BM326+2*ROSide)</f>
        <v/>
      </c>
      <c r="BP326" s="86">
        <f>IF($BN326="","",$BN326+ROTop)</f>
        <v/>
      </c>
      <c r="BQ326" s="87">
        <f>IF(OR(N($BJ326)=0,$BH326=""),"",$BH326/$BJ326-ClearDeduct)</f>
        <v/>
      </c>
      <c r="BR326" s="84">
        <f>IF(N($CH326)=0,"",IF($CH326&gt;=180,"A · 3 HR",IF($CH326&gt;=90,"B · 1-1/2 HR",IF($CH326&gt;=60,"B · 1 HR",IF($CH326&gt;=45,"C · 3/4 HR","20 MIN")))))&amp;IF(AND(N($CH326)&gt;0,OR($I326="CORRIDOR",$I326="SMOKE BARRIER"))," · S","")</f>
        <v/>
      </c>
      <c r="BS326" s="84">
        <f>IF($CS326,"",IF($AV326&lt;&gt;"",$AV326,IF(OR($AC326="HGC",$AO326="HGC"),"CONT",IF(($BI326-HeadClr-Undercut)&lt;=60,2,IF(($BI326-HeadClr-Undercut)&lt;=90,3,IF(($BI326-HeadClr-Undercut)&lt;=120,4,5))))))</f>
        <v/>
      </c>
      <c r="BT326" s="84">
        <f>IF($CS326,"",IF($CT326,"CUSTOM (typed)",IF($CV326,$AT326&amp;" "&amp;$CU326&amp;CHAR(34)&amp;IF($CU326&lt;&gt;$BI326,IF(AND($BI326&lt;$CU326,$BI326-IF(N(VLOOKUP($AT326&amp;"|"&amp;$CU326,LocTable,7,FALSE))&gt;0,VLOOKUP($AT326&amp;"|"&amp;$CU326,LocTable,7,FALSE),VLOOKUP($AT326&amp;"|"&amp;$CU326,LocTable,6,FALSE))-$CR326-0.75&gt;=2.125)," cut down"," adj."),""),"ANSI/SDI A250.6")))</f>
        <v/>
      </c>
      <c r="BU326" s="88">
        <f>IF($CS326,"",IF($CT326,IF(N($AW326)&gt;0,N($AW326),""),IF(1&gt;$CQ326,"",IF($CQ326=1,$CW326,$CW326+($CX326-$CW326)*0/($CQ326-1)))))</f>
        <v/>
      </c>
      <c r="BV326" s="88">
        <f>IF($CS326,"",IF($CT326,IF(N($AX326)&gt;0,N($AX326),""),IF(2&gt;$CQ326,"",IF($CQ326=1,$CW326,$CW326+($CX326-$CW326)*1/($CQ326-1)))))</f>
        <v/>
      </c>
      <c r="BW326" s="88">
        <f>IF($CS326,"",IF($CT326,IF(N($AY326)&gt;0,N($AY326),""),IF(3&gt;$CQ326,"",IF($CQ326=1,$CW326,$CW326+($CX326-$CW326)*2/($CQ326-1)))))</f>
        <v/>
      </c>
      <c r="BX326" s="88">
        <f>IF($CS326,"",IF($CT326,IF(N($AZ326)&gt;0,N($AZ326),""),IF(4&gt;$CQ326,"",IF($CQ326=1,$CW326,$CW326+($CX326-$CW326)*3/($CQ326-1)))))</f>
        <v/>
      </c>
      <c r="BY326" s="88">
        <f>IF($CS326,"",IF($CT326,"",IF(5&gt;$CQ326,"",IF($CQ326=1,$CW326,$CW326+($CX326-$CW326)*4/($CQ326-1)))))</f>
        <v/>
      </c>
      <c r="BZ326" s="88">
        <f>IF(OR($CS326,$AP326="-",AND($AP326="",$AD326="")),"",IF(N($BA326)&gt;0,N($BA326),IF($CV326,IF(AND($BI326&lt;$CU326,$BI326-IF(N(VLOOKUP($AT326&amp;"|"&amp;$CU326,LocTable,7,FALSE))&gt;0,VLOOKUP($AT326&amp;"|"&amp;$CU326,LocTable,7,FALSE),VLOOKUP($AT326&amp;"|"&amp;$CU326,LocTable,6,FALSE))-$CR326-0.75&gt;=2.125),VLOOKUP($AT326&amp;"|"&amp;$CU326,LocTable,8,FALSE),VLOOKUP($AT326&amp;"|"&amp;$CU326,LocTable,8,FALSE)+($BI326-$CU326)),$BI326-LockAFF)))</f>
        <v/>
      </c>
      <c r="CA326" s="89">
        <f>IF($BZ326="","",$BI326-$BZ326)</f>
        <v/>
      </c>
      <c r="CB326" s="84">
        <f>IF(OR(NOT(AND($A326&lt;&gt;"",$C326&lt;&gt;"DOOR ONLY")),$BI326=""),"",IF(($BI326+IF(N($P326)&gt;0,$P326+FaceW,0))&lt;=90,3,IF(($BI326+IF(N($P326)&gt;0,$P326+FaceW,0))&lt;=114,4,5)))</f>
        <v/>
      </c>
      <c r="CC326" s="84">
        <f>IF($CB326="","",$CB326*(2+IF(N($Q326)&gt;0,IF($R326="LR",2,1),0)))</f>
        <v/>
      </c>
      <c r="CD326" s="84">
        <f>IF($CB326="","",(2+IF(N($Q326)&gt;0,IF($R326="LR",2,1),0)))</f>
        <v/>
      </c>
      <c r="CE326" s="84">
        <f>IF(N($BJ326)=0,"",IF(OR($AL326="",$AL326="FLUSH"),"FLUSH",IFERROR(LEFT($AL326,FIND("-",$AL326)-1),LEFT($AL326,2))))</f>
        <v/>
      </c>
      <c r="CF326" s="84">
        <f>IF($CE326="","",IFERROR(VALUE(MID($AL326,FIND("-",$AL326)+1,FIND(CHAR(34)&amp;"x",$AL326)-FIND("-",$AL326)-1)),0))</f>
        <v/>
      </c>
      <c r="CG326" s="84">
        <f>IF($CE326="","",IFERROR(VALUE(MID($AL326,FIND(CHAR(34)&amp;"x",$AL326)+2,FIND(CHAR(34),$AL326,FIND(CHAR(34)&amp;"x",$AL326)+2)-FIND(CHAR(34)&amp;"x",$AL326)-2)),0))</f>
        <v/>
      </c>
      <c r="CH326" s="90">
        <f>IF(OR($A326="",$H326="",$H326="NO LAB"),0,IFERROR(VALUE(LEFT($H326,FIND(" ",$H326)-1)),0))</f>
        <v/>
      </c>
      <c r="CI326" s="91">
        <f>IF(OR($A326="",$I326="",$I326="NON-RATED",N($J326)=0),"",IFERROR(VLOOKUP($I326&amp;"|"&amp;$J326,IBC,2,FALSE),"?"))</f>
        <v/>
      </c>
      <c r="CJ326" s="85">
        <f>IF(NOT(AND($A326&lt;&gt;"",$C326&lt;&gt;"DOOR ONLY")),"",TRIM(IFERROR(VLOOKUP($U326,CODES,2,FALSE),"")&amp;" "&amp;$BG326&amp;" "&amp;IFERROR(VLOOKUP($Z326,CODES,2,FALSE),"")&amp;" "&amp;IFERROR(VLOOKUP($X326,CODES,2,FALSE),"")&amp;" "&amp;IFERROR(VLOOKUP($S326,CODES,2,FALSE),"")&amp;IF(N($P326)&gt;0," w/TRANSOM "&amp;$P326&amp;CHAR(34),"")&amp;IF(N($Q326)&gt;0," w/SIDELITE "&amp;$Q326&amp;CHAR(34)&amp;" "&amp;IF($R326="","R",$R326),"")&amp;IF($Y326="","  |  "," | "&amp;IFERROR(VLOOKUP($Y326,CODES,2,FALSE),"")&amp;" | ")&amp;IFERROR(VLOOKUP($AC326,CODES,2,FALSE),"")&amp;" "&amp;IFERROR(VLOOKUP($AD326,CODES,2,FALSE),"")&amp;IF(OR($AE326="",$AE326="-"),""," "&amp;$AE326)&amp;IF(OR($AF326="",$AF326="-"),""," "&amp;$AF326)&amp;IF($AB326="Y"," 4"&amp;CHAR(34)&amp;" HEAD","")&amp;" "&amp;IFERROR(VLOOKUP($H326,CODES,2,FALSE),"")&amp;IF($CT326," | LOC "&amp;$CY326,"")))</f>
        <v/>
      </c>
      <c r="CK326" s="85">
        <f>IF(NOT(AND($A326&lt;&gt;"",N($BJ326)&gt;0)),"",TRIM(IFERROR(VLOOKUP($AH326,CODES,2,FALSE),"")&amp;IF($AI326=""," "," "&amp;$AI326&amp;"GA ")&amp;$BG326&amp;" "&amp;IF($AN326="",IFERROR(VLOOKUP($Z326,CODES,2,FALSE),""),IFERROR(VLOOKUP($AN326,CODES,2,FALSE),""))&amp;IF($BJ326=2," PAIR","")&amp;" DOOR | "&amp;IF($AL326="","?",$AL326)&amp;" | "&amp;IF($AO326="",IFERROR(VLOOKUP($AC326,CODES,2,FALSE),""),IFERROR(VLOOKUP($AO326,CODES,2,FALSE),""))&amp;" "&amp;IFERROR(VLOOKUP($AP326,CODES,2,FALSE),"")&amp;IF(OR($AQ326="",$AQ326="-"),""," SEAM "&amp;$AQ326)&amp;IF($AR326="Y"," ASTRAGAL","")&amp;IF($AJ326=""," "," "&amp;$AJ326)&amp;IF($AK326=""," "," "&amp;$AK326)&amp;IF(OR($AT326="",$AT326="ANSI/SDI",$AT326="CUSTOM LOC"),""," "&amp;$AT326)&amp;IF($AM326=""," "," SERIES "&amp;$AM326)&amp;" "&amp;IFERROR(VLOOKUP($H326,CODES,2,FALSE),"")&amp;IF($CT326," | LOC "&amp;$CZ326,"")))</f>
        <v/>
      </c>
      <c r="CL326" s="84">
        <f>IF(CP326="","",IF(COUNTIF($CP$6:CP326,CP326)=1,MAX($CL$5:CL325)+1,INDEX($CL$5:CL325,MATCH(CP326,$CP$5:CP325,0))))</f>
        <v/>
      </c>
      <c r="CM326" s="84">
        <f>IF(NOT(AND($A326&lt;&gt;"",$C326&lt;&gt;"DOOR ONLY")),"",MAX($CM$5:CM325)+1)</f>
        <v/>
      </c>
      <c r="CN326" s="84">
        <f>IF(NOT(AND($A326&lt;&gt;"",N($BJ326)&gt;0)),"",MAX($CN$5:CN325)+1)</f>
        <v/>
      </c>
      <c r="CO326" s="84">
        <f>IF($A326="","",MAX($CO$5:CO325)+1)</f>
        <v/>
      </c>
      <c r="CP326" s="84">
        <f>IF(OR($A326="",$BH326="",$BI326=""),"",$BG326&amp;"|"&amp;$O326&amp;"|"&amp;$AL326&amp;"|"&amp;$S326&amp;"|"&amp;$P326&amp;"|"&amp;$Q326&amp;$R326&amp;"|"&amp;$C326&amp;"|"&amp;$AB326)</f>
        <v/>
      </c>
      <c r="CQ326" s="84">
        <f>N($BS326)</f>
        <v/>
      </c>
      <c r="CR326" s="84">
        <f>IF(N($AU326)&gt;0,N($AU326),4.5)</f>
        <v/>
      </c>
      <c r="CS326" s="84">
        <f>OR($A326="",$BI326="",$S326="BL",AND($C326="FRAME ONLY",OR($AC326="",$AC326="BLK")))</f>
        <v/>
      </c>
      <c r="CT326" s="84">
        <f>AND(NOT($CS326),OR($AT326="CUSTOM LOC",N($AW326)+N($AX326)+N($AY326)+N($AZ326)+N($BA326)&gt;0))</f>
        <v/>
      </c>
      <c r="CU326" s="84">
        <f>IF($BI326="","",IF($BI326&lt;=80,80,IF($BI326&lt;=84,84,96)))</f>
        <v/>
      </c>
      <c r="CV326" s="84">
        <f>ISNUMBER(MATCH($AT326&amp;"|80",LocKeys,0))</f>
        <v/>
      </c>
      <c r="CW326" s="86">
        <f>IF($CS326,"",IF($CV326,VLOOKUP($AT326&amp;"|"&amp;$CU326,LocTable,4,FALSE),5))</f>
        <v/>
      </c>
      <c r="CX326" s="86">
        <f>IF($CS326,"",IF($CV326,IF(OR($BI326=$CU326,AND($BI326&lt;$CU326,$BI326-IF(N(VLOOKUP($AT326&amp;"|"&amp;$CU326,LocTable,7,FALSE))&gt;0,VLOOKUP($AT326&amp;"|"&amp;$CU326,LocTable,7,FALSE),VLOOKUP($AT326&amp;"|"&amp;$CU326,LocTable,6,FALSE))-$CR326-0.75&gt;=2.125)),IF(N(VLOOKUP($AT326&amp;"|"&amp;$CU326,LocTable,7,FALSE))&gt;0,VLOOKUP($AT326&amp;"|"&amp;$CU326,LocTable,7,FALSE),VLOOKUP($AT326&amp;"|"&amp;$CU326,LocTable,6,FALSE)),$BI326-($CU326-IF(N(VLOOKUP($AT326&amp;"|"&amp;$CU326,LocTable,7,FALSE))&gt;0,VLOOKUP($AT326&amp;"|"&amp;$CU326,LocTable,7,FALSE),VLOOKUP($AT326&amp;"|"&amp;$CU326,LocTable,6,FALSE)))),$BI326-10-$CR326))</f>
        <v/>
      </c>
      <c r="CY326" s="85">
        <f>IF($CS326,"",TRIM(IF(ISNUMBER($BU326),"A "&amp;TRIM(TEXT($BU326,"# ?/??"))&amp;CHAR(34)&amp;"  ","")&amp;IF(ISNUMBER($BV326),"B "&amp;TRIM(TEXT($BV326,"# ?/??"))&amp;CHAR(34)&amp;"  ","")&amp;IF(ISNUMBER($BW326),"C "&amp;TRIM(TEXT($BW326,"# ?/??"))&amp;CHAR(34)&amp;"  ","")&amp;IF(ISNUMBER($BX326),"D "&amp;TRIM(TEXT($BX326,"# ?/??"))&amp;CHAR(34)&amp;"  ","")&amp;IF(ISNUMBER($BY326),"F "&amp;TRIM(TEXT($BY326,"# ?/??"))&amp;CHAR(34)&amp;"  ","")&amp;IF(ISNUMBER($BZ326),"E "&amp;TRIM(TEXT($BZ326,"# ?/??"))&amp;CHAR(34)&amp;"  ","")))</f>
        <v/>
      </c>
      <c r="CZ326" s="85">
        <f>IF(OR($CS326,N($BJ326)=0),"",TRIM(IF(ISNUMBER($BU326),"A "&amp;TRIM(TEXT($BU326-HeadClr,"# ?/??"))&amp;CHAR(34)&amp;"  ","")&amp;IF(ISNUMBER($BV326),"B "&amp;TRIM(TEXT($BV326-HeadClr,"# ?/??"))&amp;CHAR(34)&amp;"  ","")&amp;IF(ISNUMBER($BW326),"C "&amp;TRIM(TEXT($BW326-HeadClr,"# ?/??"))&amp;CHAR(34)&amp;"  ","")&amp;IF(ISNUMBER($BX326),"D "&amp;TRIM(TEXT($BX326-HeadClr,"# ?/??"))&amp;CHAR(34)&amp;"  ","")&amp;IF(ISNUMBER($BY326),"F "&amp;TRIM(TEXT($BY326-HeadClr,"# ?/??"))&amp;CHAR(34)&amp;"  ","")&amp;IF(ISNUMBER($BZ326),"E "&amp;TRIM(TEXT($BZ326-HeadClr,"# ?/??"))&amp;CHAR(34)&amp;"  ","")))</f>
        <v/>
      </c>
      <c r="DA326" s="84">
        <f>IF($A326="","",IF($AN326="",IFERROR(VLOOKUP($Z326,CODES,2,FALSE),""),IFERROR(VLOOKUP($AN326,CODES,2,FALSE),"")))</f>
        <v/>
      </c>
      <c r="DB326" s="84">
        <f>IF($A326="","",IF($O326="Y","PR",IF(OR($Z326="L",$Z326="RR",LEFT($Z326,2)="L-",LEFT($Z326,3)="RR-"),"LH","RH")))</f>
        <v/>
      </c>
      <c r="DC326" s="84">
        <f>IF($A326="","","S.HM"&amp;IF(OR($C326="DOOR ONLY",$X326&lt;&gt;"KD"),"MASONRY","DRYWALL")&amp;IF($C326="DOOR ONLY","",$U326)&amp;IF(AND($C326&lt;&gt;"FRAME ONLY",OR(LEFT($AH326,3)="OAK",LEFT($AH326,3)="BIR",LEFT($AH326,3)="MAP",$AH326="PC",$AH326="MC",$AH326="SCLC",$AH326="P-LAM")),"WD","HM")&amp;"1.75")</f>
        <v/>
      </c>
      <c r="DD326" s="84">
        <f>IF($CJ326="","",IF($O326="Y",$CJ326,SUBSTITUTE($CJ326,$BG326&amp;" "&amp;IFERROR(VLOOKUP($Z326,CODES,2,FALSE),"")&amp;" ",$BG326&amp;" ")))</f>
        <v/>
      </c>
      <c r="DE326" s="84">
        <f>IF($CK326="","",IF($O326="Y",$CK326,SUBSTITUTE($CK326,$BG326&amp;" "&amp;IF($AN326="",IFERROR(VLOOKUP($Z326,CODES,2,FALSE),""),IFERROR(VLOOKUP($AN326,CODES,2,FALSE),""))&amp;" ",$BG326&amp;" ")))</f>
        <v/>
      </c>
      <c r="DF326" s="84">
        <f>IF($CJ326="","",$DC326&amp;"|"&amp;$DD326&amp;"|"&amp;$DB326&amp;"|"&amp;$AT326&amp;"|"&amp;$V326&amp;"|"&amp;$Y326&amp;"|"&amp;$AB326)</f>
        <v/>
      </c>
      <c r="DG326" s="84">
        <f>IF(DF326="","",IF(COUNTIF($DF$6:DF326,DF326)=1,MAX($DG$5:DG325)+1,INDEX($DG$5:DG325,MATCH(DF326,$DF$5:DF325,0))))</f>
        <v/>
      </c>
      <c r="DH326" s="84">
        <f>IF($CK326="","",$DC326&amp;"|"&amp;$DE326&amp;"|"&amp;$AI326&amp;"|"&amp;$BK326&amp;"|"&amp;$BL326)</f>
        <v/>
      </c>
      <c r="DI326" s="84">
        <f>IF(DH326="","",IF(COUNTIF($DH$6:DH326,DH326)=1,MAX($DI$5:DI325)+1,INDEX($DI$5:DI325,MATCH(DH326,$DH$5:DH325,0))))</f>
        <v/>
      </c>
      <c r="DJ326" s="84">
        <f>IF($A326="","",IF($B326="","qty, ","")&amp;IF($C326="","scope, ","")&amp;IF(OR($K326="",$M326=""),"size, ","")&amp;IF(AND($A326&lt;&gt;"",$C326&lt;&gt;"DOOR ONLY"),IF($U326="","jamb depth, ","")&amp;IF($X326="","construction, ","")&amp;IF($Y326="","anchor, ","")&amp;IF($S326="","frame type, ",""),"")&amp;IF(AND(N($BJ326)&gt;0,$Z326=""),"hand, ","")&amp;IF(N($BJ326)&gt;0,IF($AH326="","door material, ","")&amp;IF($AL326="","face type, ","")&amp;IF($AP326="","lock prep, ","")&amp;IF(AND($AO326="",$AC326=""),"hinge prep, ",""),"")&amp;IF(AND($CH326&gt;0,$AH326="FRP"),"FRP cannot carry a label, ","")&amp;IF(AND($O326="Y",OR($Z326="L",$Z326="R",$Z326="LR",$Z326="RR")),"pair marked but hand is single, ","")&amp;IF(AND($O326&lt;&gt;"Y",OR($Z326="PR",AND(LEN($Z326)&gt;1,ISNUMBER(SEARCH("-",$Z326))))),"pair hand on a single door, ","")&amp;IF(AND(ISNUMBER($CI326),$CH326&lt;N($CI326)),"wall needs a "&amp;$CI326&amp;" min door, ","")&amp;IF(AND($CH326&gt;=180,AND(OR($CE326="FG",$CE326="HG",$CE326="FNV",$CE326="FV"),N($CF326)*N($CG326)&gt;100)),"180 min lite over 100 sq in, ","")&amp;IF(N($BK326)&gt;48,"leaf wider than 4'-0"&amp;CHAR(34)&amp;", ","")&amp;IF(AND($CT326,COUNT($AW326:$AZ326)=0,$CQ326&gt;0),"CUSTOM LOC with no locations typed, ",""))</f>
        <v/>
      </c>
      <c r="DK326" s="84">
        <f>IF($A326="","",IF(AND($CH326&gt;0,AND($A326&lt;&gt;"",$C326&lt;&gt;"DOOR ONLY"),$X326="KD",$E326="EXTERIOR"),"KD label on an exterior opening, ","")&amp;IF(AND($E326="EXTERIOR",OR(AND(AND($A326&lt;&gt;"",$C326&lt;&gt;"DOOR ONLY"),$W326="CR"),AND(N($BJ326)&gt;0,$AH326="CR"))),"exterior in CR steel (G9?), ","")&amp;IF(AND(ISNUMBER($BQ326),N($BQ326)&lt;32),"clear width ~"&amp;TEXT($BQ326,"0.0")&amp;CHAR(34)&amp;" under 32"&amp;CHAR(34)&amp;" (ADA), ","")&amp;IF(AND($CH326=90,AND(OR($CE326="FG",$CE326="HG",$CE326="FNV",$CE326="FV"),N($CF326)*N($CG326)&gt;100)),"90 min lite over 100 sq in (stair/exit), ","")&amp;IF(AND($CH326&gt;0,AND($A326&lt;&gt;"",$C326&lt;&gt;"DOOR ONLY"),OR($AF326="",$AF326="-")),"rated: closer reinf.?, ","")&amp;IF(OR($I326="CORRIDOR",$I326="SMOKE BARRIER"),"S label + smoke gasketing, ","")&amp;IF($CI326="?","wall type/hr not in IBC table, ","")&amp;IF(AND(N($BJ326)&gt;0,$BB326=""),"no hardware set, ","")&amp;IF(AND($BB326&lt;&gt;"",ISNA(MATCH($BB326&amp;"",HWSets,0))),"set "&amp;$BB326&amp;" not on HW Sets, ","")&amp;IF(N($BL326)&gt;96,"leaf over 8'-0"&amp;CHAR(34)&amp;" - check listing, ","")&amp;IF(AND($CT326,COUNT($AW326:$AZ326)&gt;0,COUNT($AW326:$AZ326)&lt;&gt;$CQ326),COUNT($AW326:$AZ326)&amp;" custom hinges typed, "&amp;$CQ326&amp;" expected, ","")&amp;IF(AND(ISNUMBER($CA326),OR(N($CA326)&lt;34,N($CA326)&gt;48)),"lock "&amp;TEXT($CA326,"0.0")&amp;CHAR(34)&amp;" AFF outside 34-48"&amp;CHAR(34)&amp;" (ADA), ","")&amp;IF(AND(ISNUMBER($AV326),ISNUMBER($BL326),N($AV326)&lt;IF(N($BL326)&lt;=60,2,IF(N($BL326)&lt;=90,3,IF(N($BL326)&lt;=120,4,5)))),"fewer hinges than standard, ",""))</f>
        <v/>
      </c>
    </row>
    <row r="327" ht="15" customHeight="1">
      <c r="A327" s="77" t="n"/>
      <c r="B327" s="78" t="n"/>
      <c r="C327" s="78" t="n"/>
      <c r="D327" s="78" t="n"/>
      <c r="E327" s="78" t="n"/>
      <c r="F327" s="78" t="n"/>
      <c r="G327" s="78" t="n"/>
      <c r="H327" s="78" t="n"/>
      <c r="I327" s="78" t="n"/>
      <c r="J327" s="78" t="n"/>
      <c r="K327" s="78" t="n"/>
      <c r="L327" s="78" t="n"/>
      <c r="M327" s="78" t="n"/>
      <c r="N327" s="78" t="n"/>
      <c r="O327" s="78" t="n"/>
      <c r="P327" s="78" t="n"/>
      <c r="Q327" s="78" t="n"/>
      <c r="R327" s="78" t="n"/>
      <c r="S327" s="79" t="n"/>
      <c r="T327" s="79" t="n"/>
      <c r="U327" s="79" t="n"/>
      <c r="V327" s="79" t="n"/>
      <c r="W327" s="79" t="n"/>
      <c r="X327" s="79" t="n"/>
      <c r="Y327" s="79" t="n"/>
      <c r="Z327" s="79" t="n"/>
      <c r="AA327" s="79" t="n"/>
      <c r="AB327" s="79" t="n"/>
      <c r="AC327" s="79" t="n"/>
      <c r="AD327" s="79" t="n"/>
      <c r="AE327" s="79" t="n"/>
      <c r="AF327" s="79" t="n"/>
      <c r="AG327" s="79" t="n"/>
      <c r="AH327" s="80" t="n"/>
      <c r="AI327" s="80" t="n"/>
      <c r="AJ327" s="80" t="n"/>
      <c r="AK327" s="80" t="n"/>
      <c r="AL327" s="80" t="n"/>
      <c r="AM327" s="80" t="n"/>
      <c r="AN327" s="80" t="n"/>
      <c r="AO327" s="80" t="n"/>
      <c r="AP327" s="80" t="n"/>
      <c r="AQ327" s="80" t="n"/>
      <c r="AR327" s="80" t="n"/>
      <c r="AS327" s="80" t="n"/>
      <c r="AT327" s="81" t="n"/>
      <c r="AU327" s="81" t="n"/>
      <c r="AV327" s="81" t="n"/>
      <c r="AW327" s="82" t="n"/>
      <c r="AX327" s="82" t="n"/>
      <c r="AY327" s="82" t="n"/>
      <c r="AZ327" s="82" t="n"/>
      <c r="BA327" s="82" t="n"/>
      <c r="BB327" s="83" t="n"/>
      <c r="BC327" s="83" t="n"/>
      <c r="BD327" s="84">
        <f>IF($A327="","",IF($DJ327&lt;&gt;"","FIX",IF($DK327&lt;&gt;"","CHECK","OK")))</f>
        <v/>
      </c>
      <c r="BE327" s="85">
        <f>IF($A327="","",IF($DJ327&lt;&gt;"","FIX: "&amp;LEFT($DJ327,LEN($DJ327)-2)&amp;IF($DK327&lt;&gt;"","  ·  ",""),"")&amp;IF($DK327&lt;&gt;"","CHECK: "&amp;LEFT($DK327,LEN($DK327)-2),""))</f>
        <v/>
      </c>
      <c r="BF327" s="84">
        <f>IF(OR($A327="",$K327=""),"",$K327&amp;"'-"&amp;N($L327)&amp;CHAR(34)&amp;" x "&amp;$M327&amp;"'-"&amp;N($N327)&amp;CHAR(34))</f>
        <v/>
      </c>
      <c r="BG327" s="84">
        <f>IF(OR($A327="",$K327=""),"",$K327&amp;N($L327)&amp;$M327&amp;N($N327))</f>
        <v/>
      </c>
      <c r="BH327" s="84">
        <f>IF(OR($A327="",$K327=""),"",$K327*12+N($L327))</f>
        <v/>
      </c>
      <c r="BI327" s="84">
        <f>IF(OR($A327="",$M327=""),"",$M327*12+N($N327))</f>
        <v/>
      </c>
      <c r="BJ327" s="84">
        <f>IF($A327="","",IF(OR($C327="FRAME ONLY",$S327="BL"),0,IF($O327="Y",2,1)))</f>
        <v/>
      </c>
      <c r="BK327" s="86">
        <f>IF(OR(N($BJ327)=0,$BH327=""),"",($BH327-2*EdgeClr-IF($BJ327=2,MeetClr,0))/$BJ327)</f>
        <v/>
      </c>
      <c r="BL327" s="86">
        <f>IF(OR(N($BJ327)=0,$BI327=""),"",$BI327-HeadClr-Undercut)</f>
        <v/>
      </c>
      <c r="BM327" s="86">
        <f>IF($BH327="","",$BH327+2*FaceW+IF(N($Q327)&gt;0,($Q327+FaceW)*IF($R327="LR",2,1),0))</f>
        <v/>
      </c>
      <c r="BN327" s="86">
        <f>IF($BI327="","",$BI327+IF($AB327="Y",4,FaceW)+IF(N($P327)&gt;0,$P327+FaceW,0)+IF(OR($S327="4F",$S327="BL"),FaceW,0))</f>
        <v/>
      </c>
      <c r="BO327" s="86">
        <f>IF($BM327="","",$BM327+2*ROSide)</f>
        <v/>
      </c>
      <c r="BP327" s="86">
        <f>IF($BN327="","",$BN327+ROTop)</f>
        <v/>
      </c>
      <c r="BQ327" s="87">
        <f>IF(OR(N($BJ327)=0,$BH327=""),"",$BH327/$BJ327-ClearDeduct)</f>
        <v/>
      </c>
      <c r="BR327" s="84">
        <f>IF(N($CH327)=0,"",IF($CH327&gt;=180,"A · 3 HR",IF($CH327&gt;=90,"B · 1-1/2 HR",IF($CH327&gt;=60,"B · 1 HR",IF($CH327&gt;=45,"C · 3/4 HR","20 MIN")))))&amp;IF(AND(N($CH327)&gt;0,OR($I327="CORRIDOR",$I327="SMOKE BARRIER"))," · S","")</f>
        <v/>
      </c>
      <c r="BS327" s="84">
        <f>IF($CS327,"",IF($AV327&lt;&gt;"",$AV327,IF(OR($AC327="HGC",$AO327="HGC"),"CONT",IF(($BI327-HeadClr-Undercut)&lt;=60,2,IF(($BI327-HeadClr-Undercut)&lt;=90,3,IF(($BI327-HeadClr-Undercut)&lt;=120,4,5))))))</f>
        <v/>
      </c>
      <c r="BT327" s="84">
        <f>IF($CS327,"",IF($CT327,"CUSTOM (typed)",IF($CV327,$AT327&amp;" "&amp;$CU327&amp;CHAR(34)&amp;IF($CU327&lt;&gt;$BI327,IF(AND($BI327&lt;$CU327,$BI327-IF(N(VLOOKUP($AT327&amp;"|"&amp;$CU327,LocTable,7,FALSE))&gt;0,VLOOKUP($AT327&amp;"|"&amp;$CU327,LocTable,7,FALSE),VLOOKUP($AT327&amp;"|"&amp;$CU327,LocTable,6,FALSE))-$CR327-0.75&gt;=2.125)," cut down"," adj."),""),"ANSI/SDI A250.6")))</f>
        <v/>
      </c>
      <c r="BU327" s="88">
        <f>IF($CS327,"",IF($CT327,IF(N($AW327)&gt;0,N($AW327),""),IF(1&gt;$CQ327,"",IF($CQ327=1,$CW327,$CW327+($CX327-$CW327)*0/($CQ327-1)))))</f>
        <v/>
      </c>
      <c r="BV327" s="88">
        <f>IF($CS327,"",IF($CT327,IF(N($AX327)&gt;0,N($AX327),""),IF(2&gt;$CQ327,"",IF($CQ327=1,$CW327,$CW327+($CX327-$CW327)*1/($CQ327-1)))))</f>
        <v/>
      </c>
      <c r="BW327" s="88">
        <f>IF($CS327,"",IF($CT327,IF(N($AY327)&gt;0,N($AY327),""),IF(3&gt;$CQ327,"",IF($CQ327=1,$CW327,$CW327+($CX327-$CW327)*2/($CQ327-1)))))</f>
        <v/>
      </c>
      <c r="BX327" s="88">
        <f>IF($CS327,"",IF($CT327,IF(N($AZ327)&gt;0,N($AZ327),""),IF(4&gt;$CQ327,"",IF($CQ327=1,$CW327,$CW327+($CX327-$CW327)*3/($CQ327-1)))))</f>
        <v/>
      </c>
      <c r="BY327" s="88">
        <f>IF($CS327,"",IF($CT327,"",IF(5&gt;$CQ327,"",IF($CQ327=1,$CW327,$CW327+($CX327-$CW327)*4/($CQ327-1)))))</f>
        <v/>
      </c>
      <c r="BZ327" s="88">
        <f>IF(OR($CS327,$AP327="-",AND($AP327="",$AD327="")),"",IF(N($BA327)&gt;0,N($BA327),IF($CV327,IF(AND($BI327&lt;$CU327,$BI327-IF(N(VLOOKUP($AT327&amp;"|"&amp;$CU327,LocTable,7,FALSE))&gt;0,VLOOKUP($AT327&amp;"|"&amp;$CU327,LocTable,7,FALSE),VLOOKUP($AT327&amp;"|"&amp;$CU327,LocTable,6,FALSE))-$CR327-0.75&gt;=2.125),VLOOKUP($AT327&amp;"|"&amp;$CU327,LocTable,8,FALSE),VLOOKUP($AT327&amp;"|"&amp;$CU327,LocTable,8,FALSE)+($BI327-$CU327)),$BI327-LockAFF)))</f>
        <v/>
      </c>
      <c r="CA327" s="89">
        <f>IF($BZ327="","",$BI327-$BZ327)</f>
        <v/>
      </c>
      <c r="CB327" s="84">
        <f>IF(OR(NOT(AND($A327&lt;&gt;"",$C327&lt;&gt;"DOOR ONLY")),$BI327=""),"",IF(($BI327+IF(N($P327)&gt;0,$P327+FaceW,0))&lt;=90,3,IF(($BI327+IF(N($P327)&gt;0,$P327+FaceW,0))&lt;=114,4,5)))</f>
        <v/>
      </c>
      <c r="CC327" s="84">
        <f>IF($CB327="","",$CB327*(2+IF(N($Q327)&gt;0,IF($R327="LR",2,1),0)))</f>
        <v/>
      </c>
      <c r="CD327" s="84">
        <f>IF($CB327="","",(2+IF(N($Q327)&gt;0,IF($R327="LR",2,1),0)))</f>
        <v/>
      </c>
      <c r="CE327" s="84">
        <f>IF(N($BJ327)=0,"",IF(OR($AL327="",$AL327="FLUSH"),"FLUSH",IFERROR(LEFT($AL327,FIND("-",$AL327)-1),LEFT($AL327,2))))</f>
        <v/>
      </c>
      <c r="CF327" s="84">
        <f>IF($CE327="","",IFERROR(VALUE(MID($AL327,FIND("-",$AL327)+1,FIND(CHAR(34)&amp;"x",$AL327)-FIND("-",$AL327)-1)),0))</f>
        <v/>
      </c>
      <c r="CG327" s="84">
        <f>IF($CE327="","",IFERROR(VALUE(MID($AL327,FIND(CHAR(34)&amp;"x",$AL327)+2,FIND(CHAR(34),$AL327,FIND(CHAR(34)&amp;"x",$AL327)+2)-FIND(CHAR(34)&amp;"x",$AL327)-2)),0))</f>
        <v/>
      </c>
      <c r="CH327" s="90">
        <f>IF(OR($A327="",$H327="",$H327="NO LAB"),0,IFERROR(VALUE(LEFT($H327,FIND(" ",$H327)-1)),0))</f>
        <v/>
      </c>
      <c r="CI327" s="91">
        <f>IF(OR($A327="",$I327="",$I327="NON-RATED",N($J327)=0),"",IFERROR(VLOOKUP($I327&amp;"|"&amp;$J327,IBC,2,FALSE),"?"))</f>
        <v/>
      </c>
      <c r="CJ327" s="85">
        <f>IF(NOT(AND($A327&lt;&gt;"",$C327&lt;&gt;"DOOR ONLY")),"",TRIM(IFERROR(VLOOKUP($U327,CODES,2,FALSE),"")&amp;" "&amp;$BG327&amp;" "&amp;IFERROR(VLOOKUP($Z327,CODES,2,FALSE),"")&amp;" "&amp;IFERROR(VLOOKUP($X327,CODES,2,FALSE),"")&amp;" "&amp;IFERROR(VLOOKUP($S327,CODES,2,FALSE),"")&amp;IF(N($P327)&gt;0," w/TRANSOM "&amp;$P327&amp;CHAR(34),"")&amp;IF(N($Q327)&gt;0," w/SIDELITE "&amp;$Q327&amp;CHAR(34)&amp;" "&amp;IF($R327="","R",$R327),"")&amp;IF($Y327="","  |  "," | "&amp;IFERROR(VLOOKUP($Y327,CODES,2,FALSE),"")&amp;" | ")&amp;IFERROR(VLOOKUP($AC327,CODES,2,FALSE),"")&amp;" "&amp;IFERROR(VLOOKUP($AD327,CODES,2,FALSE),"")&amp;IF(OR($AE327="",$AE327="-"),""," "&amp;$AE327)&amp;IF(OR($AF327="",$AF327="-"),""," "&amp;$AF327)&amp;IF($AB327="Y"," 4"&amp;CHAR(34)&amp;" HEAD","")&amp;" "&amp;IFERROR(VLOOKUP($H327,CODES,2,FALSE),"")&amp;IF($CT327," | LOC "&amp;$CY327,"")))</f>
        <v/>
      </c>
      <c r="CK327" s="85">
        <f>IF(NOT(AND($A327&lt;&gt;"",N($BJ327)&gt;0)),"",TRIM(IFERROR(VLOOKUP($AH327,CODES,2,FALSE),"")&amp;IF($AI327=""," "," "&amp;$AI327&amp;"GA ")&amp;$BG327&amp;" "&amp;IF($AN327="",IFERROR(VLOOKUP($Z327,CODES,2,FALSE),""),IFERROR(VLOOKUP($AN327,CODES,2,FALSE),""))&amp;IF($BJ327=2," PAIR","")&amp;" DOOR | "&amp;IF($AL327="","?",$AL327)&amp;" | "&amp;IF($AO327="",IFERROR(VLOOKUP($AC327,CODES,2,FALSE),""),IFERROR(VLOOKUP($AO327,CODES,2,FALSE),""))&amp;" "&amp;IFERROR(VLOOKUP($AP327,CODES,2,FALSE),"")&amp;IF(OR($AQ327="",$AQ327="-"),""," SEAM "&amp;$AQ327)&amp;IF($AR327="Y"," ASTRAGAL","")&amp;IF($AJ327=""," "," "&amp;$AJ327)&amp;IF($AK327=""," "," "&amp;$AK327)&amp;IF(OR($AT327="",$AT327="ANSI/SDI",$AT327="CUSTOM LOC"),""," "&amp;$AT327)&amp;IF($AM327=""," "," SERIES "&amp;$AM327)&amp;" "&amp;IFERROR(VLOOKUP($H327,CODES,2,FALSE),"")&amp;IF($CT327," | LOC "&amp;$CZ327,"")))</f>
        <v/>
      </c>
      <c r="CL327" s="84">
        <f>IF(CP327="","",IF(COUNTIF($CP$6:CP327,CP327)=1,MAX($CL$5:CL326)+1,INDEX($CL$5:CL326,MATCH(CP327,$CP$5:CP326,0))))</f>
        <v/>
      </c>
      <c r="CM327" s="84">
        <f>IF(NOT(AND($A327&lt;&gt;"",$C327&lt;&gt;"DOOR ONLY")),"",MAX($CM$5:CM326)+1)</f>
        <v/>
      </c>
      <c r="CN327" s="84">
        <f>IF(NOT(AND($A327&lt;&gt;"",N($BJ327)&gt;0)),"",MAX($CN$5:CN326)+1)</f>
        <v/>
      </c>
      <c r="CO327" s="84">
        <f>IF($A327="","",MAX($CO$5:CO326)+1)</f>
        <v/>
      </c>
      <c r="CP327" s="84">
        <f>IF(OR($A327="",$BH327="",$BI327=""),"",$BG327&amp;"|"&amp;$O327&amp;"|"&amp;$AL327&amp;"|"&amp;$S327&amp;"|"&amp;$P327&amp;"|"&amp;$Q327&amp;$R327&amp;"|"&amp;$C327&amp;"|"&amp;$AB327)</f>
        <v/>
      </c>
      <c r="CQ327" s="84">
        <f>N($BS327)</f>
        <v/>
      </c>
      <c r="CR327" s="84">
        <f>IF(N($AU327)&gt;0,N($AU327),4.5)</f>
        <v/>
      </c>
      <c r="CS327" s="84">
        <f>OR($A327="",$BI327="",$S327="BL",AND($C327="FRAME ONLY",OR($AC327="",$AC327="BLK")))</f>
        <v/>
      </c>
      <c r="CT327" s="84">
        <f>AND(NOT($CS327),OR($AT327="CUSTOM LOC",N($AW327)+N($AX327)+N($AY327)+N($AZ327)+N($BA327)&gt;0))</f>
        <v/>
      </c>
      <c r="CU327" s="84">
        <f>IF($BI327="","",IF($BI327&lt;=80,80,IF($BI327&lt;=84,84,96)))</f>
        <v/>
      </c>
      <c r="CV327" s="84">
        <f>ISNUMBER(MATCH($AT327&amp;"|80",LocKeys,0))</f>
        <v/>
      </c>
      <c r="CW327" s="86">
        <f>IF($CS327,"",IF($CV327,VLOOKUP($AT327&amp;"|"&amp;$CU327,LocTable,4,FALSE),5))</f>
        <v/>
      </c>
      <c r="CX327" s="86">
        <f>IF($CS327,"",IF($CV327,IF(OR($BI327=$CU327,AND($BI327&lt;$CU327,$BI327-IF(N(VLOOKUP($AT327&amp;"|"&amp;$CU327,LocTable,7,FALSE))&gt;0,VLOOKUP($AT327&amp;"|"&amp;$CU327,LocTable,7,FALSE),VLOOKUP($AT327&amp;"|"&amp;$CU327,LocTable,6,FALSE))-$CR327-0.75&gt;=2.125)),IF(N(VLOOKUP($AT327&amp;"|"&amp;$CU327,LocTable,7,FALSE))&gt;0,VLOOKUP($AT327&amp;"|"&amp;$CU327,LocTable,7,FALSE),VLOOKUP($AT327&amp;"|"&amp;$CU327,LocTable,6,FALSE)),$BI327-($CU327-IF(N(VLOOKUP($AT327&amp;"|"&amp;$CU327,LocTable,7,FALSE))&gt;0,VLOOKUP($AT327&amp;"|"&amp;$CU327,LocTable,7,FALSE),VLOOKUP($AT327&amp;"|"&amp;$CU327,LocTable,6,FALSE)))),$BI327-10-$CR327))</f>
        <v/>
      </c>
      <c r="CY327" s="85">
        <f>IF($CS327,"",TRIM(IF(ISNUMBER($BU327),"A "&amp;TRIM(TEXT($BU327,"# ?/??"))&amp;CHAR(34)&amp;"  ","")&amp;IF(ISNUMBER($BV327),"B "&amp;TRIM(TEXT($BV327,"# ?/??"))&amp;CHAR(34)&amp;"  ","")&amp;IF(ISNUMBER($BW327),"C "&amp;TRIM(TEXT($BW327,"# ?/??"))&amp;CHAR(34)&amp;"  ","")&amp;IF(ISNUMBER($BX327),"D "&amp;TRIM(TEXT($BX327,"# ?/??"))&amp;CHAR(34)&amp;"  ","")&amp;IF(ISNUMBER($BY327),"F "&amp;TRIM(TEXT($BY327,"# ?/??"))&amp;CHAR(34)&amp;"  ","")&amp;IF(ISNUMBER($BZ327),"E "&amp;TRIM(TEXT($BZ327,"# ?/??"))&amp;CHAR(34)&amp;"  ","")))</f>
        <v/>
      </c>
      <c r="CZ327" s="85">
        <f>IF(OR($CS327,N($BJ327)=0),"",TRIM(IF(ISNUMBER($BU327),"A "&amp;TRIM(TEXT($BU327-HeadClr,"# ?/??"))&amp;CHAR(34)&amp;"  ","")&amp;IF(ISNUMBER($BV327),"B "&amp;TRIM(TEXT($BV327-HeadClr,"# ?/??"))&amp;CHAR(34)&amp;"  ","")&amp;IF(ISNUMBER($BW327),"C "&amp;TRIM(TEXT($BW327-HeadClr,"# ?/??"))&amp;CHAR(34)&amp;"  ","")&amp;IF(ISNUMBER($BX327),"D "&amp;TRIM(TEXT($BX327-HeadClr,"# ?/??"))&amp;CHAR(34)&amp;"  ","")&amp;IF(ISNUMBER($BY327),"F "&amp;TRIM(TEXT($BY327-HeadClr,"# ?/??"))&amp;CHAR(34)&amp;"  ","")&amp;IF(ISNUMBER($BZ327),"E "&amp;TRIM(TEXT($BZ327-HeadClr,"# ?/??"))&amp;CHAR(34)&amp;"  ","")))</f>
        <v/>
      </c>
      <c r="DA327" s="84">
        <f>IF($A327="","",IF($AN327="",IFERROR(VLOOKUP($Z327,CODES,2,FALSE),""),IFERROR(VLOOKUP($AN327,CODES,2,FALSE),"")))</f>
        <v/>
      </c>
      <c r="DB327" s="84">
        <f>IF($A327="","",IF($O327="Y","PR",IF(OR($Z327="L",$Z327="RR",LEFT($Z327,2)="L-",LEFT($Z327,3)="RR-"),"LH","RH")))</f>
        <v/>
      </c>
      <c r="DC327" s="84">
        <f>IF($A327="","","S.HM"&amp;IF(OR($C327="DOOR ONLY",$X327&lt;&gt;"KD"),"MASONRY","DRYWALL")&amp;IF($C327="DOOR ONLY","",$U327)&amp;IF(AND($C327&lt;&gt;"FRAME ONLY",OR(LEFT($AH327,3)="OAK",LEFT($AH327,3)="BIR",LEFT($AH327,3)="MAP",$AH327="PC",$AH327="MC",$AH327="SCLC",$AH327="P-LAM")),"WD","HM")&amp;"1.75")</f>
        <v/>
      </c>
      <c r="DD327" s="84">
        <f>IF($CJ327="","",IF($O327="Y",$CJ327,SUBSTITUTE($CJ327,$BG327&amp;" "&amp;IFERROR(VLOOKUP($Z327,CODES,2,FALSE),"")&amp;" ",$BG327&amp;" ")))</f>
        <v/>
      </c>
      <c r="DE327" s="84">
        <f>IF($CK327="","",IF($O327="Y",$CK327,SUBSTITUTE($CK327,$BG327&amp;" "&amp;IF($AN327="",IFERROR(VLOOKUP($Z327,CODES,2,FALSE),""),IFERROR(VLOOKUP($AN327,CODES,2,FALSE),""))&amp;" ",$BG327&amp;" ")))</f>
        <v/>
      </c>
      <c r="DF327" s="84">
        <f>IF($CJ327="","",$DC327&amp;"|"&amp;$DD327&amp;"|"&amp;$DB327&amp;"|"&amp;$AT327&amp;"|"&amp;$V327&amp;"|"&amp;$Y327&amp;"|"&amp;$AB327)</f>
        <v/>
      </c>
      <c r="DG327" s="84">
        <f>IF(DF327="","",IF(COUNTIF($DF$6:DF327,DF327)=1,MAX($DG$5:DG326)+1,INDEX($DG$5:DG326,MATCH(DF327,$DF$5:DF326,0))))</f>
        <v/>
      </c>
      <c r="DH327" s="84">
        <f>IF($CK327="","",$DC327&amp;"|"&amp;$DE327&amp;"|"&amp;$AI327&amp;"|"&amp;$BK327&amp;"|"&amp;$BL327)</f>
        <v/>
      </c>
      <c r="DI327" s="84">
        <f>IF(DH327="","",IF(COUNTIF($DH$6:DH327,DH327)=1,MAX($DI$5:DI326)+1,INDEX($DI$5:DI326,MATCH(DH327,$DH$5:DH326,0))))</f>
        <v/>
      </c>
      <c r="DJ327" s="84">
        <f>IF($A327="","",IF($B327="","qty, ","")&amp;IF($C327="","scope, ","")&amp;IF(OR($K327="",$M327=""),"size, ","")&amp;IF(AND($A327&lt;&gt;"",$C327&lt;&gt;"DOOR ONLY"),IF($U327="","jamb depth, ","")&amp;IF($X327="","construction, ","")&amp;IF($Y327="","anchor, ","")&amp;IF($S327="","frame type, ",""),"")&amp;IF(AND(N($BJ327)&gt;0,$Z327=""),"hand, ","")&amp;IF(N($BJ327)&gt;0,IF($AH327="","door material, ","")&amp;IF($AL327="","face type, ","")&amp;IF($AP327="","lock prep, ","")&amp;IF(AND($AO327="",$AC327=""),"hinge prep, ",""),"")&amp;IF(AND($CH327&gt;0,$AH327="FRP"),"FRP cannot carry a label, ","")&amp;IF(AND($O327="Y",OR($Z327="L",$Z327="R",$Z327="LR",$Z327="RR")),"pair marked but hand is single, ","")&amp;IF(AND($O327&lt;&gt;"Y",OR($Z327="PR",AND(LEN($Z327)&gt;1,ISNUMBER(SEARCH("-",$Z327))))),"pair hand on a single door, ","")&amp;IF(AND(ISNUMBER($CI327),$CH327&lt;N($CI327)),"wall needs a "&amp;$CI327&amp;" min door, ","")&amp;IF(AND($CH327&gt;=180,AND(OR($CE327="FG",$CE327="HG",$CE327="FNV",$CE327="FV"),N($CF327)*N($CG327)&gt;100)),"180 min lite over 100 sq in, ","")&amp;IF(N($BK327)&gt;48,"leaf wider than 4'-0"&amp;CHAR(34)&amp;", ","")&amp;IF(AND($CT327,COUNT($AW327:$AZ327)=0,$CQ327&gt;0),"CUSTOM LOC with no locations typed, ",""))</f>
        <v/>
      </c>
      <c r="DK327" s="84">
        <f>IF($A327="","",IF(AND($CH327&gt;0,AND($A327&lt;&gt;"",$C327&lt;&gt;"DOOR ONLY"),$X327="KD",$E327="EXTERIOR"),"KD label on an exterior opening, ","")&amp;IF(AND($E327="EXTERIOR",OR(AND(AND($A327&lt;&gt;"",$C327&lt;&gt;"DOOR ONLY"),$W327="CR"),AND(N($BJ327)&gt;0,$AH327="CR"))),"exterior in CR steel (G9?), ","")&amp;IF(AND(ISNUMBER($BQ327),N($BQ327)&lt;32),"clear width ~"&amp;TEXT($BQ327,"0.0")&amp;CHAR(34)&amp;" under 32"&amp;CHAR(34)&amp;" (ADA), ","")&amp;IF(AND($CH327=90,AND(OR($CE327="FG",$CE327="HG",$CE327="FNV",$CE327="FV"),N($CF327)*N($CG327)&gt;100)),"90 min lite over 100 sq in (stair/exit), ","")&amp;IF(AND($CH327&gt;0,AND($A327&lt;&gt;"",$C327&lt;&gt;"DOOR ONLY"),OR($AF327="",$AF327="-")),"rated: closer reinf.?, ","")&amp;IF(OR($I327="CORRIDOR",$I327="SMOKE BARRIER"),"S label + smoke gasketing, ","")&amp;IF($CI327="?","wall type/hr not in IBC table, ","")&amp;IF(AND(N($BJ327)&gt;0,$BB327=""),"no hardware set, ","")&amp;IF(AND($BB327&lt;&gt;"",ISNA(MATCH($BB327&amp;"",HWSets,0))),"set "&amp;$BB327&amp;" not on HW Sets, ","")&amp;IF(N($BL327)&gt;96,"leaf over 8'-0"&amp;CHAR(34)&amp;" - check listing, ","")&amp;IF(AND($CT327,COUNT($AW327:$AZ327)&gt;0,COUNT($AW327:$AZ327)&lt;&gt;$CQ327),COUNT($AW327:$AZ327)&amp;" custom hinges typed, "&amp;$CQ327&amp;" expected, ","")&amp;IF(AND(ISNUMBER($CA327),OR(N($CA327)&lt;34,N($CA327)&gt;48)),"lock "&amp;TEXT($CA327,"0.0")&amp;CHAR(34)&amp;" AFF outside 34-48"&amp;CHAR(34)&amp;" (ADA), ","")&amp;IF(AND(ISNUMBER($AV327),ISNUMBER($BL327),N($AV327)&lt;IF(N($BL327)&lt;=60,2,IF(N($BL327)&lt;=90,3,IF(N($BL327)&lt;=120,4,5)))),"fewer hinges than standard, ",""))</f>
        <v/>
      </c>
    </row>
    <row r="328" ht="15" customHeight="1">
      <c r="A328" s="77" t="n"/>
      <c r="B328" s="78" t="n"/>
      <c r="C328" s="78" t="n"/>
      <c r="D328" s="78" t="n"/>
      <c r="E328" s="78" t="n"/>
      <c r="F328" s="78" t="n"/>
      <c r="G328" s="78" t="n"/>
      <c r="H328" s="78" t="n"/>
      <c r="I328" s="78" t="n"/>
      <c r="J328" s="78" t="n"/>
      <c r="K328" s="78" t="n"/>
      <c r="L328" s="78" t="n"/>
      <c r="M328" s="78" t="n"/>
      <c r="N328" s="78" t="n"/>
      <c r="O328" s="78" t="n"/>
      <c r="P328" s="78" t="n"/>
      <c r="Q328" s="78" t="n"/>
      <c r="R328" s="78" t="n"/>
      <c r="S328" s="79" t="n"/>
      <c r="T328" s="79" t="n"/>
      <c r="U328" s="79" t="n"/>
      <c r="V328" s="79" t="n"/>
      <c r="W328" s="79" t="n"/>
      <c r="X328" s="79" t="n"/>
      <c r="Y328" s="79" t="n"/>
      <c r="Z328" s="79" t="n"/>
      <c r="AA328" s="79" t="n"/>
      <c r="AB328" s="79" t="n"/>
      <c r="AC328" s="79" t="n"/>
      <c r="AD328" s="79" t="n"/>
      <c r="AE328" s="79" t="n"/>
      <c r="AF328" s="79" t="n"/>
      <c r="AG328" s="79" t="n"/>
      <c r="AH328" s="80" t="n"/>
      <c r="AI328" s="80" t="n"/>
      <c r="AJ328" s="80" t="n"/>
      <c r="AK328" s="80" t="n"/>
      <c r="AL328" s="80" t="n"/>
      <c r="AM328" s="80" t="n"/>
      <c r="AN328" s="80" t="n"/>
      <c r="AO328" s="80" t="n"/>
      <c r="AP328" s="80" t="n"/>
      <c r="AQ328" s="80" t="n"/>
      <c r="AR328" s="80" t="n"/>
      <c r="AS328" s="80" t="n"/>
      <c r="AT328" s="81" t="n"/>
      <c r="AU328" s="81" t="n"/>
      <c r="AV328" s="81" t="n"/>
      <c r="AW328" s="82" t="n"/>
      <c r="AX328" s="82" t="n"/>
      <c r="AY328" s="82" t="n"/>
      <c r="AZ328" s="82" t="n"/>
      <c r="BA328" s="82" t="n"/>
      <c r="BB328" s="83" t="n"/>
      <c r="BC328" s="83" t="n"/>
      <c r="BD328" s="84">
        <f>IF($A328="","",IF($DJ328&lt;&gt;"","FIX",IF($DK328&lt;&gt;"","CHECK","OK")))</f>
        <v/>
      </c>
      <c r="BE328" s="85">
        <f>IF($A328="","",IF($DJ328&lt;&gt;"","FIX: "&amp;LEFT($DJ328,LEN($DJ328)-2)&amp;IF($DK328&lt;&gt;"","  ·  ",""),"")&amp;IF($DK328&lt;&gt;"","CHECK: "&amp;LEFT($DK328,LEN($DK328)-2),""))</f>
        <v/>
      </c>
      <c r="BF328" s="84">
        <f>IF(OR($A328="",$K328=""),"",$K328&amp;"'-"&amp;N($L328)&amp;CHAR(34)&amp;" x "&amp;$M328&amp;"'-"&amp;N($N328)&amp;CHAR(34))</f>
        <v/>
      </c>
      <c r="BG328" s="84">
        <f>IF(OR($A328="",$K328=""),"",$K328&amp;N($L328)&amp;$M328&amp;N($N328))</f>
        <v/>
      </c>
      <c r="BH328" s="84">
        <f>IF(OR($A328="",$K328=""),"",$K328*12+N($L328))</f>
        <v/>
      </c>
      <c r="BI328" s="84">
        <f>IF(OR($A328="",$M328=""),"",$M328*12+N($N328))</f>
        <v/>
      </c>
      <c r="BJ328" s="84">
        <f>IF($A328="","",IF(OR($C328="FRAME ONLY",$S328="BL"),0,IF($O328="Y",2,1)))</f>
        <v/>
      </c>
      <c r="BK328" s="86">
        <f>IF(OR(N($BJ328)=0,$BH328=""),"",($BH328-2*EdgeClr-IF($BJ328=2,MeetClr,0))/$BJ328)</f>
        <v/>
      </c>
      <c r="BL328" s="86">
        <f>IF(OR(N($BJ328)=0,$BI328=""),"",$BI328-HeadClr-Undercut)</f>
        <v/>
      </c>
      <c r="BM328" s="86">
        <f>IF($BH328="","",$BH328+2*FaceW+IF(N($Q328)&gt;0,($Q328+FaceW)*IF($R328="LR",2,1),0))</f>
        <v/>
      </c>
      <c r="BN328" s="86">
        <f>IF($BI328="","",$BI328+IF($AB328="Y",4,FaceW)+IF(N($P328)&gt;0,$P328+FaceW,0)+IF(OR($S328="4F",$S328="BL"),FaceW,0))</f>
        <v/>
      </c>
      <c r="BO328" s="86">
        <f>IF($BM328="","",$BM328+2*ROSide)</f>
        <v/>
      </c>
      <c r="BP328" s="86">
        <f>IF($BN328="","",$BN328+ROTop)</f>
        <v/>
      </c>
      <c r="BQ328" s="87">
        <f>IF(OR(N($BJ328)=0,$BH328=""),"",$BH328/$BJ328-ClearDeduct)</f>
        <v/>
      </c>
      <c r="BR328" s="84">
        <f>IF(N($CH328)=0,"",IF($CH328&gt;=180,"A · 3 HR",IF($CH328&gt;=90,"B · 1-1/2 HR",IF($CH328&gt;=60,"B · 1 HR",IF($CH328&gt;=45,"C · 3/4 HR","20 MIN")))))&amp;IF(AND(N($CH328)&gt;0,OR($I328="CORRIDOR",$I328="SMOKE BARRIER"))," · S","")</f>
        <v/>
      </c>
      <c r="BS328" s="84">
        <f>IF($CS328,"",IF($AV328&lt;&gt;"",$AV328,IF(OR($AC328="HGC",$AO328="HGC"),"CONT",IF(($BI328-HeadClr-Undercut)&lt;=60,2,IF(($BI328-HeadClr-Undercut)&lt;=90,3,IF(($BI328-HeadClr-Undercut)&lt;=120,4,5))))))</f>
        <v/>
      </c>
      <c r="BT328" s="84">
        <f>IF($CS328,"",IF($CT328,"CUSTOM (typed)",IF($CV328,$AT328&amp;" "&amp;$CU328&amp;CHAR(34)&amp;IF($CU328&lt;&gt;$BI328,IF(AND($BI328&lt;$CU328,$BI328-IF(N(VLOOKUP($AT328&amp;"|"&amp;$CU328,LocTable,7,FALSE))&gt;0,VLOOKUP($AT328&amp;"|"&amp;$CU328,LocTable,7,FALSE),VLOOKUP($AT328&amp;"|"&amp;$CU328,LocTable,6,FALSE))-$CR328-0.75&gt;=2.125)," cut down"," adj."),""),"ANSI/SDI A250.6")))</f>
        <v/>
      </c>
      <c r="BU328" s="88">
        <f>IF($CS328,"",IF($CT328,IF(N($AW328)&gt;0,N($AW328),""),IF(1&gt;$CQ328,"",IF($CQ328=1,$CW328,$CW328+($CX328-$CW328)*0/($CQ328-1)))))</f>
        <v/>
      </c>
      <c r="BV328" s="88">
        <f>IF($CS328,"",IF($CT328,IF(N($AX328)&gt;0,N($AX328),""),IF(2&gt;$CQ328,"",IF($CQ328=1,$CW328,$CW328+($CX328-$CW328)*1/($CQ328-1)))))</f>
        <v/>
      </c>
      <c r="BW328" s="88">
        <f>IF($CS328,"",IF($CT328,IF(N($AY328)&gt;0,N($AY328),""),IF(3&gt;$CQ328,"",IF($CQ328=1,$CW328,$CW328+($CX328-$CW328)*2/($CQ328-1)))))</f>
        <v/>
      </c>
      <c r="BX328" s="88">
        <f>IF($CS328,"",IF($CT328,IF(N($AZ328)&gt;0,N($AZ328),""),IF(4&gt;$CQ328,"",IF($CQ328=1,$CW328,$CW328+($CX328-$CW328)*3/($CQ328-1)))))</f>
        <v/>
      </c>
      <c r="BY328" s="88">
        <f>IF($CS328,"",IF($CT328,"",IF(5&gt;$CQ328,"",IF($CQ328=1,$CW328,$CW328+($CX328-$CW328)*4/($CQ328-1)))))</f>
        <v/>
      </c>
      <c r="BZ328" s="88">
        <f>IF(OR($CS328,$AP328="-",AND($AP328="",$AD328="")),"",IF(N($BA328)&gt;0,N($BA328),IF($CV328,IF(AND($BI328&lt;$CU328,$BI328-IF(N(VLOOKUP($AT328&amp;"|"&amp;$CU328,LocTable,7,FALSE))&gt;0,VLOOKUP($AT328&amp;"|"&amp;$CU328,LocTable,7,FALSE),VLOOKUP($AT328&amp;"|"&amp;$CU328,LocTable,6,FALSE))-$CR328-0.75&gt;=2.125),VLOOKUP($AT328&amp;"|"&amp;$CU328,LocTable,8,FALSE),VLOOKUP($AT328&amp;"|"&amp;$CU328,LocTable,8,FALSE)+($BI328-$CU328)),$BI328-LockAFF)))</f>
        <v/>
      </c>
      <c r="CA328" s="89">
        <f>IF($BZ328="","",$BI328-$BZ328)</f>
        <v/>
      </c>
      <c r="CB328" s="84">
        <f>IF(OR(NOT(AND($A328&lt;&gt;"",$C328&lt;&gt;"DOOR ONLY")),$BI328=""),"",IF(($BI328+IF(N($P328)&gt;0,$P328+FaceW,0))&lt;=90,3,IF(($BI328+IF(N($P328)&gt;0,$P328+FaceW,0))&lt;=114,4,5)))</f>
        <v/>
      </c>
      <c r="CC328" s="84">
        <f>IF($CB328="","",$CB328*(2+IF(N($Q328)&gt;0,IF($R328="LR",2,1),0)))</f>
        <v/>
      </c>
      <c r="CD328" s="84">
        <f>IF($CB328="","",(2+IF(N($Q328)&gt;0,IF($R328="LR",2,1),0)))</f>
        <v/>
      </c>
      <c r="CE328" s="84">
        <f>IF(N($BJ328)=0,"",IF(OR($AL328="",$AL328="FLUSH"),"FLUSH",IFERROR(LEFT($AL328,FIND("-",$AL328)-1),LEFT($AL328,2))))</f>
        <v/>
      </c>
      <c r="CF328" s="84">
        <f>IF($CE328="","",IFERROR(VALUE(MID($AL328,FIND("-",$AL328)+1,FIND(CHAR(34)&amp;"x",$AL328)-FIND("-",$AL328)-1)),0))</f>
        <v/>
      </c>
      <c r="CG328" s="84">
        <f>IF($CE328="","",IFERROR(VALUE(MID($AL328,FIND(CHAR(34)&amp;"x",$AL328)+2,FIND(CHAR(34),$AL328,FIND(CHAR(34)&amp;"x",$AL328)+2)-FIND(CHAR(34)&amp;"x",$AL328)-2)),0))</f>
        <v/>
      </c>
      <c r="CH328" s="90">
        <f>IF(OR($A328="",$H328="",$H328="NO LAB"),0,IFERROR(VALUE(LEFT($H328,FIND(" ",$H328)-1)),0))</f>
        <v/>
      </c>
      <c r="CI328" s="91">
        <f>IF(OR($A328="",$I328="",$I328="NON-RATED",N($J328)=0),"",IFERROR(VLOOKUP($I328&amp;"|"&amp;$J328,IBC,2,FALSE),"?"))</f>
        <v/>
      </c>
      <c r="CJ328" s="85">
        <f>IF(NOT(AND($A328&lt;&gt;"",$C328&lt;&gt;"DOOR ONLY")),"",TRIM(IFERROR(VLOOKUP($U328,CODES,2,FALSE),"")&amp;" "&amp;$BG328&amp;" "&amp;IFERROR(VLOOKUP($Z328,CODES,2,FALSE),"")&amp;" "&amp;IFERROR(VLOOKUP($X328,CODES,2,FALSE),"")&amp;" "&amp;IFERROR(VLOOKUP($S328,CODES,2,FALSE),"")&amp;IF(N($P328)&gt;0," w/TRANSOM "&amp;$P328&amp;CHAR(34),"")&amp;IF(N($Q328)&gt;0," w/SIDELITE "&amp;$Q328&amp;CHAR(34)&amp;" "&amp;IF($R328="","R",$R328),"")&amp;IF($Y328="","  |  "," | "&amp;IFERROR(VLOOKUP($Y328,CODES,2,FALSE),"")&amp;" | ")&amp;IFERROR(VLOOKUP($AC328,CODES,2,FALSE),"")&amp;" "&amp;IFERROR(VLOOKUP($AD328,CODES,2,FALSE),"")&amp;IF(OR($AE328="",$AE328="-"),""," "&amp;$AE328)&amp;IF(OR($AF328="",$AF328="-"),""," "&amp;$AF328)&amp;IF($AB328="Y"," 4"&amp;CHAR(34)&amp;" HEAD","")&amp;" "&amp;IFERROR(VLOOKUP($H328,CODES,2,FALSE),"")&amp;IF($CT328," | LOC "&amp;$CY328,"")))</f>
        <v/>
      </c>
      <c r="CK328" s="85">
        <f>IF(NOT(AND($A328&lt;&gt;"",N($BJ328)&gt;0)),"",TRIM(IFERROR(VLOOKUP($AH328,CODES,2,FALSE),"")&amp;IF($AI328=""," "," "&amp;$AI328&amp;"GA ")&amp;$BG328&amp;" "&amp;IF($AN328="",IFERROR(VLOOKUP($Z328,CODES,2,FALSE),""),IFERROR(VLOOKUP($AN328,CODES,2,FALSE),""))&amp;IF($BJ328=2," PAIR","")&amp;" DOOR | "&amp;IF($AL328="","?",$AL328)&amp;" | "&amp;IF($AO328="",IFERROR(VLOOKUP($AC328,CODES,2,FALSE),""),IFERROR(VLOOKUP($AO328,CODES,2,FALSE),""))&amp;" "&amp;IFERROR(VLOOKUP($AP328,CODES,2,FALSE),"")&amp;IF(OR($AQ328="",$AQ328="-"),""," SEAM "&amp;$AQ328)&amp;IF($AR328="Y"," ASTRAGAL","")&amp;IF($AJ328=""," "," "&amp;$AJ328)&amp;IF($AK328=""," "," "&amp;$AK328)&amp;IF(OR($AT328="",$AT328="ANSI/SDI",$AT328="CUSTOM LOC"),""," "&amp;$AT328)&amp;IF($AM328=""," "," SERIES "&amp;$AM328)&amp;" "&amp;IFERROR(VLOOKUP($H328,CODES,2,FALSE),"")&amp;IF($CT328," | LOC "&amp;$CZ328,"")))</f>
        <v/>
      </c>
      <c r="CL328" s="84">
        <f>IF(CP328="","",IF(COUNTIF($CP$6:CP328,CP328)=1,MAX($CL$5:CL327)+1,INDEX($CL$5:CL327,MATCH(CP328,$CP$5:CP327,0))))</f>
        <v/>
      </c>
      <c r="CM328" s="84">
        <f>IF(NOT(AND($A328&lt;&gt;"",$C328&lt;&gt;"DOOR ONLY")),"",MAX($CM$5:CM327)+1)</f>
        <v/>
      </c>
      <c r="CN328" s="84">
        <f>IF(NOT(AND($A328&lt;&gt;"",N($BJ328)&gt;0)),"",MAX($CN$5:CN327)+1)</f>
        <v/>
      </c>
      <c r="CO328" s="84">
        <f>IF($A328="","",MAX($CO$5:CO327)+1)</f>
        <v/>
      </c>
      <c r="CP328" s="84">
        <f>IF(OR($A328="",$BH328="",$BI328=""),"",$BG328&amp;"|"&amp;$O328&amp;"|"&amp;$AL328&amp;"|"&amp;$S328&amp;"|"&amp;$P328&amp;"|"&amp;$Q328&amp;$R328&amp;"|"&amp;$C328&amp;"|"&amp;$AB328)</f>
        <v/>
      </c>
      <c r="CQ328" s="84">
        <f>N($BS328)</f>
        <v/>
      </c>
      <c r="CR328" s="84">
        <f>IF(N($AU328)&gt;0,N($AU328),4.5)</f>
        <v/>
      </c>
      <c r="CS328" s="84">
        <f>OR($A328="",$BI328="",$S328="BL",AND($C328="FRAME ONLY",OR($AC328="",$AC328="BLK")))</f>
        <v/>
      </c>
      <c r="CT328" s="84">
        <f>AND(NOT($CS328),OR($AT328="CUSTOM LOC",N($AW328)+N($AX328)+N($AY328)+N($AZ328)+N($BA328)&gt;0))</f>
        <v/>
      </c>
      <c r="CU328" s="84">
        <f>IF($BI328="","",IF($BI328&lt;=80,80,IF($BI328&lt;=84,84,96)))</f>
        <v/>
      </c>
      <c r="CV328" s="84">
        <f>ISNUMBER(MATCH($AT328&amp;"|80",LocKeys,0))</f>
        <v/>
      </c>
      <c r="CW328" s="86">
        <f>IF($CS328,"",IF($CV328,VLOOKUP($AT328&amp;"|"&amp;$CU328,LocTable,4,FALSE),5))</f>
        <v/>
      </c>
      <c r="CX328" s="86">
        <f>IF($CS328,"",IF($CV328,IF(OR($BI328=$CU328,AND($BI328&lt;$CU328,$BI328-IF(N(VLOOKUP($AT328&amp;"|"&amp;$CU328,LocTable,7,FALSE))&gt;0,VLOOKUP($AT328&amp;"|"&amp;$CU328,LocTable,7,FALSE),VLOOKUP($AT328&amp;"|"&amp;$CU328,LocTable,6,FALSE))-$CR328-0.75&gt;=2.125)),IF(N(VLOOKUP($AT328&amp;"|"&amp;$CU328,LocTable,7,FALSE))&gt;0,VLOOKUP($AT328&amp;"|"&amp;$CU328,LocTable,7,FALSE),VLOOKUP($AT328&amp;"|"&amp;$CU328,LocTable,6,FALSE)),$BI328-($CU328-IF(N(VLOOKUP($AT328&amp;"|"&amp;$CU328,LocTable,7,FALSE))&gt;0,VLOOKUP($AT328&amp;"|"&amp;$CU328,LocTable,7,FALSE),VLOOKUP($AT328&amp;"|"&amp;$CU328,LocTable,6,FALSE)))),$BI328-10-$CR328))</f>
        <v/>
      </c>
      <c r="CY328" s="85">
        <f>IF($CS328,"",TRIM(IF(ISNUMBER($BU328),"A "&amp;TRIM(TEXT($BU328,"# ?/??"))&amp;CHAR(34)&amp;"  ","")&amp;IF(ISNUMBER($BV328),"B "&amp;TRIM(TEXT($BV328,"# ?/??"))&amp;CHAR(34)&amp;"  ","")&amp;IF(ISNUMBER($BW328),"C "&amp;TRIM(TEXT($BW328,"# ?/??"))&amp;CHAR(34)&amp;"  ","")&amp;IF(ISNUMBER($BX328),"D "&amp;TRIM(TEXT($BX328,"# ?/??"))&amp;CHAR(34)&amp;"  ","")&amp;IF(ISNUMBER($BY328),"F "&amp;TRIM(TEXT($BY328,"# ?/??"))&amp;CHAR(34)&amp;"  ","")&amp;IF(ISNUMBER($BZ328),"E "&amp;TRIM(TEXT($BZ328,"# ?/??"))&amp;CHAR(34)&amp;"  ","")))</f>
        <v/>
      </c>
      <c r="CZ328" s="85">
        <f>IF(OR($CS328,N($BJ328)=0),"",TRIM(IF(ISNUMBER($BU328),"A "&amp;TRIM(TEXT($BU328-HeadClr,"# ?/??"))&amp;CHAR(34)&amp;"  ","")&amp;IF(ISNUMBER($BV328),"B "&amp;TRIM(TEXT($BV328-HeadClr,"# ?/??"))&amp;CHAR(34)&amp;"  ","")&amp;IF(ISNUMBER($BW328),"C "&amp;TRIM(TEXT($BW328-HeadClr,"# ?/??"))&amp;CHAR(34)&amp;"  ","")&amp;IF(ISNUMBER($BX328),"D "&amp;TRIM(TEXT($BX328-HeadClr,"# ?/??"))&amp;CHAR(34)&amp;"  ","")&amp;IF(ISNUMBER($BY328),"F "&amp;TRIM(TEXT($BY328-HeadClr,"# ?/??"))&amp;CHAR(34)&amp;"  ","")&amp;IF(ISNUMBER($BZ328),"E "&amp;TRIM(TEXT($BZ328-HeadClr,"# ?/??"))&amp;CHAR(34)&amp;"  ","")))</f>
        <v/>
      </c>
      <c r="DA328" s="84">
        <f>IF($A328="","",IF($AN328="",IFERROR(VLOOKUP($Z328,CODES,2,FALSE),""),IFERROR(VLOOKUP($AN328,CODES,2,FALSE),"")))</f>
        <v/>
      </c>
      <c r="DB328" s="84">
        <f>IF($A328="","",IF($O328="Y","PR",IF(OR($Z328="L",$Z328="RR",LEFT($Z328,2)="L-",LEFT($Z328,3)="RR-"),"LH","RH")))</f>
        <v/>
      </c>
      <c r="DC328" s="84">
        <f>IF($A328="","","S.HM"&amp;IF(OR($C328="DOOR ONLY",$X328&lt;&gt;"KD"),"MASONRY","DRYWALL")&amp;IF($C328="DOOR ONLY","",$U328)&amp;IF(AND($C328&lt;&gt;"FRAME ONLY",OR(LEFT($AH328,3)="OAK",LEFT($AH328,3)="BIR",LEFT($AH328,3)="MAP",$AH328="PC",$AH328="MC",$AH328="SCLC",$AH328="P-LAM")),"WD","HM")&amp;"1.75")</f>
        <v/>
      </c>
      <c r="DD328" s="84">
        <f>IF($CJ328="","",IF($O328="Y",$CJ328,SUBSTITUTE($CJ328,$BG328&amp;" "&amp;IFERROR(VLOOKUP($Z328,CODES,2,FALSE),"")&amp;" ",$BG328&amp;" ")))</f>
        <v/>
      </c>
      <c r="DE328" s="84">
        <f>IF($CK328="","",IF($O328="Y",$CK328,SUBSTITUTE($CK328,$BG328&amp;" "&amp;IF($AN328="",IFERROR(VLOOKUP($Z328,CODES,2,FALSE),""),IFERROR(VLOOKUP($AN328,CODES,2,FALSE),""))&amp;" ",$BG328&amp;" ")))</f>
        <v/>
      </c>
      <c r="DF328" s="84">
        <f>IF($CJ328="","",$DC328&amp;"|"&amp;$DD328&amp;"|"&amp;$DB328&amp;"|"&amp;$AT328&amp;"|"&amp;$V328&amp;"|"&amp;$Y328&amp;"|"&amp;$AB328)</f>
        <v/>
      </c>
      <c r="DG328" s="84">
        <f>IF(DF328="","",IF(COUNTIF($DF$6:DF328,DF328)=1,MAX($DG$5:DG327)+1,INDEX($DG$5:DG327,MATCH(DF328,$DF$5:DF327,0))))</f>
        <v/>
      </c>
      <c r="DH328" s="84">
        <f>IF($CK328="","",$DC328&amp;"|"&amp;$DE328&amp;"|"&amp;$AI328&amp;"|"&amp;$BK328&amp;"|"&amp;$BL328)</f>
        <v/>
      </c>
      <c r="DI328" s="84">
        <f>IF(DH328="","",IF(COUNTIF($DH$6:DH328,DH328)=1,MAX($DI$5:DI327)+1,INDEX($DI$5:DI327,MATCH(DH328,$DH$5:DH327,0))))</f>
        <v/>
      </c>
      <c r="DJ328" s="84">
        <f>IF($A328="","",IF($B328="","qty, ","")&amp;IF($C328="","scope, ","")&amp;IF(OR($K328="",$M328=""),"size, ","")&amp;IF(AND($A328&lt;&gt;"",$C328&lt;&gt;"DOOR ONLY"),IF($U328="","jamb depth, ","")&amp;IF($X328="","construction, ","")&amp;IF($Y328="","anchor, ","")&amp;IF($S328="","frame type, ",""),"")&amp;IF(AND(N($BJ328)&gt;0,$Z328=""),"hand, ","")&amp;IF(N($BJ328)&gt;0,IF($AH328="","door material, ","")&amp;IF($AL328="","face type, ","")&amp;IF($AP328="","lock prep, ","")&amp;IF(AND($AO328="",$AC328=""),"hinge prep, ",""),"")&amp;IF(AND($CH328&gt;0,$AH328="FRP"),"FRP cannot carry a label, ","")&amp;IF(AND($O328="Y",OR($Z328="L",$Z328="R",$Z328="LR",$Z328="RR")),"pair marked but hand is single, ","")&amp;IF(AND($O328&lt;&gt;"Y",OR($Z328="PR",AND(LEN($Z328)&gt;1,ISNUMBER(SEARCH("-",$Z328))))),"pair hand on a single door, ","")&amp;IF(AND(ISNUMBER($CI328),$CH328&lt;N($CI328)),"wall needs a "&amp;$CI328&amp;" min door, ","")&amp;IF(AND($CH328&gt;=180,AND(OR($CE328="FG",$CE328="HG",$CE328="FNV",$CE328="FV"),N($CF328)*N($CG328)&gt;100)),"180 min lite over 100 sq in, ","")&amp;IF(N($BK328)&gt;48,"leaf wider than 4'-0"&amp;CHAR(34)&amp;", ","")&amp;IF(AND($CT328,COUNT($AW328:$AZ328)=0,$CQ328&gt;0),"CUSTOM LOC with no locations typed, ",""))</f>
        <v/>
      </c>
      <c r="DK328" s="84">
        <f>IF($A328="","",IF(AND($CH328&gt;0,AND($A328&lt;&gt;"",$C328&lt;&gt;"DOOR ONLY"),$X328="KD",$E328="EXTERIOR"),"KD label on an exterior opening, ","")&amp;IF(AND($E328="EXTERIOR",OR(AND(AND($A328&lt;&gt;"",$C328&lt;&gt;"DOOR ONLY"),$W328="CR"),AND(N($BJ328)&gt;0,$AH328="CR"))),"exterior in CR steel (G9?), ","")&amp;IF(AND(ISNUMBER($BQ328),N($BQ328)&lt;32),"clear width ~"&amp;TEXT($BQ328,"0.0")&amp;CHAR(34)&amp;" under 32"&amp;CHAR(34)&amp;" (ADA), ","")&amp;IF(AND($CH328=90,AND(OR($CE328="FG",$CE328="HG",$CE328="FNV",$CE328="FV"),N($CF328)*N($CG328)&gt;100)),"90 min lite over 100 sq in (stair/exit), ","")&amp;IF(AND($CH328&gt;0,AND($A328&lt;&gt;"",$C328&lt;&gt;"DOOR ONLY"),OR($AF328="",$AF328="-")),"rated: closer reinf.?, ","")&amp;IF(OR($I328="CORRIDOR",$I328="SMOKE BARRIER"),"S label + smoke gasketing, ","")&amp;IF($CI328="?","wall type/hr not in IBC table, ","")&amp;IF(AND(N($BJ328)&gt;0,$BB328=""),"no hardware set, ","")&amp;IF(AND($BB328&lt;&gt;"",ISNA(MATCH($BB328&amp;"",HWSets,0))),"set "&amp;$BB328&amp;" not on HW Sets, ","")&amp;IF(N($BL328)&gt;96,"leaf over 8'-0"&amp;CHAR(34)&amp;" - check listing, ","")&amp;IF(AND($CT328,COUNT($AW328:$AZ328)&gt;0,COUNT($AW328:$AZ328)&lt;&gt;$CQ328),COUNT($AW328:$AZ328)&amp;" custom hinges typed, "&amp;$CQ328&amp;" expected, ","")&amp;IF(AND(ISNUMBER($CA328),OR(N($CA328)&lt;34,N($CA328)&gt;48)),"lock "&amp;TEXT($CA328,"0.0")&amp;CHAR(34)&amp;" AFF outside 34-48"&amp;CHAR(34)&amp;" (ADA), ","")&amp;IF(AND(ISNUMBER($AV328),ISNUMBER($BL328),N($AV328)&lt;IF(N($BL328)&lt;=60,2,IF(N($BL328)&lt;=90,3,IF(N($BL328)&lt;=120,4,5)))),"fewer hinges than standard, ",""))</f>
        <v/>
      </c>
    </row>
    <row r="329" ht="15" customHeight="1">
      <c r="A329" s="77" t="n"/>
      <c r="B329" s="78" t="n"/>
      <c r="C329" s="78" t="n"/>
      <c r="D329" s="78" t="n"/>
      <c r="E329" s="78" t="n"/>
      <c r="F329" s="78" t="n"/>
      <c r="G329" s="78" t="n"/>
      <c r="H329" s="78" t="n"/>
      <c r="I329" s="78" t="n"/>
      <c r="J329" s="78" t="n"/>
      <c r="K329" s="78" t="n"/>
      <c r="L329" s="78" t="n"/>
      <c r="M329" s="78" t="n"/>
      <c r="N329" s="78" t="n"/>
      <c r="O329" s="78" t="n"/>
      <c r="P329" s="78" t="n"/>
      <c r="Q329" s="78" t="n"/>
      <c r="R329" s="78" t="n"/>
      <c r="S329" s="79" t="n"/>
      <c r="T329" s="79" t="n"/>
      <c r="U329" s="79" t="n"/>
      <c r="V329" s="79" t="n"/>
      <c r="W329" s="79" t="n"/>
      <c r="X329" s="79" t="n"/>
      <c r="Y329" s="79" t="n"/>
      <c r="Z329" s="79" t="n"/>
      <c r="AA329" s="79" t="n"/>
      <c r="AB329" s="79" t="n"/>
      <c r="AC329" s="79" t="n"/>
      <c r="AD329" s="79" t="n"/>
      <c r="AE329" s="79" t="n"/>
      <c r="AF329" s="79" t="n"/>
      <c r="AG329" s="79" t="n"/>
      <c r="AH329" s="80" t="n"/>
      <c r="AI329" s="80" t="n"/>
      <c r="AJ329" s="80" t="n"/>
      <c r="AK329" s="80" t="n"/>
      <c r="AL329" s="80" t="n"/>
      <c r="AM329" s="80" t="n"/>
      <c r="AN329" s="80" t="n"/>
      <c r="AO329" s="80" t="n"/>
      <c r="AP329" s="80" t="n"/>
      <c r="AQ329" s="80" t="n"/>
      <c r="AR329" s="80" t="n"/>
      <c r="AS329" s="80" t="n"/>
      <c r="AT329" s="81" t="n"/>
      <c r="AU329" s="81" t="n"/>
      <c r="AV329" s="81" t="n"/>
      <c r="AW329" s="82" t="n"/>
      <c r="AX329" s="82" t="n"/>
      <c r="AY329" s="82" t="n"/>
      <c r="AZ329" s="82" t="n"/>
      <c r="BA329" s="82" t="n"/>
      <c r="BB329" s="83" t="n"/>
      <c r="BC329" s="83" t="n"/>
      <c r="BD329" s="84">
        <f>IF($A329="","",IF($DJ329&lt;&gt;"","FIX",IF($DK329&lt;&gt;"","CHECK","OK")))</f>
        <v/>
      </c>
      <c r="BE329" s="85">
        <f>IF($A329="","",IF($DJ329&lt;&gt;"","FIX: "&amp;LEFT($DJ329,LEN($DJ329)-2)&amp;IF($DK329&lt;&gt;"","  ·  ",""),"")&amp;IF($DK329&lt;&gt;"","CHECK: "&amp;LEFT($DK329,LEN($DK329)-2),""))</f>
        <v/>
      </c>
      <c r="BF329" s="84">
        <f>IF(OR($A329="",$K329=""),"",$K329&amp;"'-"&amp;N($L329)&amp;CHAR(34)&amp;" x "&amp;$M329&amp;"'-"&amp;N($N329)&amp;CHAR(34))</f>
        <v/>
      </c>
      <c r="BG329" s="84">
        <f>IF(OR($A329="",$K329=""),"",$K329&amp;N($L329)&amp;$M329&amp;N($N329))</f>
        <v/>
      </c>
      <c r="BH329" s="84">
        <f>IF(OR($A329="",$K329=""),"",$K329*12+N($L329))</f>
        <v/>
      </c>
      <c r="BI329" s="84">
        <f>IF(OR($A329="",$M329=""),"",$M329*12+N($N329))</f>
        <v/>
      </c>
      <c r="BJ329" s="84">
        <f>IF($A329="","",IF(OR($C329="FRAME ONLY",$S329="BL"),0,IF($O329="Y",2,1)))</f>
        <v/>
      </c>
      <c r="BK329" s="86">
        <f>IF(OR(N($BJ329)=0,$BH329=""),"",($BH329-2*EdgeClr-IF($BJ329=2,MeetClr,0))/$BJ329)</f>
        <v/>
      </c>
      <c r="BL329" s="86">
        <f>IF(OR(N($BJ329)=0,$BI329=""),"",$BI329-HeadClr-Undercut)</f>
        <v/>
      </c>
      <c r="BM329" s="86">
        <f>IF($BH329="","",$BH329+2*FaceW+IF(N($Q329)&gt;0,($Q329+FaceW)*IF($R329="LR",2,1),0))</f>
        <v/>
      </c>
      <c r="BN329" s="86">
        <f>IF($BI329="","",$BI329+IF($AB329="Y",4,FaceW)+IF(N($P329)&gt;0,$P329+FaceW,0)+IF(OR($S329="4F",$S329="BL"),FaceW,0))</f>
        <v/>
      </c>
      <c r="BO329" s="86">
        <f>IF($BM329="","",$BM329+2*ROSide)</f>
        <v/>
      </c>
      <c r="BP329" s="86">
        <f>IF($BN329="","",$BN329+ROTop)</f>
        <v/>
      </c>
      <c r="BQ329" s="87">
        <f>IF(OR(N($BJ329)=0,$BH329=""),"",$BH329/$BJ329-ClearDeduct)</f>
        <v/>
      </c>
      <c r="BR329" s="84">
        <f>IF(N($CH329)=0,"",IF($CH329&gt;=180,"A · 3 HR",IF($CH329&gt;=90,"B · 1-1/2 HR",IF($CH329&gt;=60,"B · 1 HR",IF($CH329&gt;=45,"C · 3/4 HR","20 MIN")))))&amp;IF(AND(N($CH329)&gt;0,OR($I329="CORRIDOR",$I329="SMOKE BARRIER"))," · S","")</f>
        <v/>
      </c>
      <c r="BS329" s="84">
        <f>IF($CS329,"",IF($AV329&lt;&gt;"",$AV329,IF(OR($AC329="HGC",$AO329="HGC"),"CONT",IF(($BI329-HeadClr-Undercut)&lt;=60,2,IF(($BI329-HeadClr-Undercut)&lt;=90,3,IF(($BI329-HeadClr-Undercut)&lt;=120,4,5))))))</f>
        <v/>
      </c>
      <c r="BT329" s="84">
        <f>IF($CS329,"",IF($CT329,"CUSTOM (typed)",IF($CV329,$AT329&amp;" "&amp;$CU329&amp;CHAR(34)&amp;IF($CU329&lt;&gt;$BI329,IF(AND($BI329&lt;$CU329,$BI329-IF(N(VLOOKUP($AT329&amp;"|"&amp;$CU329,LocTable,7,FALSE))&gt;0,VLOOKUP($AT329&amp;"|"&amp;$CU329,LocTable,7,FALSE),VLOOKUP($AT329&amp;"|"&amp;$CU329,LocTable,6,FALSE))-$CR329-0.75&gt;=2.125)," cut down"," adj."),""),"ANSI/SDI A250.6")))</f>
        <v/>
      </c>
      <c r="BU329" s="88">
        <f>IF($CS329,"",IF($CT329,IF(N($AW329)&gt;0,N($AW329),""),IF(1&gt;$CQ329,"",IF($CQ329=1,$CW329,$CW329+($CX329-$CW329)*0/($CQ329-1)))))</f>
        <v/>
      </c>
      <c r="BV329" s="88">
        <f>IF($CS329,"",IF($CT329,IF(N($AX329)&gt;0,N($AX329),""),IF(2&gt;$CQ329,"",IF($CQ329=1,$CW329,$CW329+($CX329-$CW329)*1/($CQ329-1)))))</f>
        <v/>
      </c>
      <c r="BW329" s="88">
        <f>IF($CS329,"",IF($CT329,IF(N($AY329)&gt;0,N($AY329),""),IF(3&gt;$CQ329,"",IF($CQ329=1,$CW329,$CW329+($CX329-$CW329)*2/($CQ329-1)))))</f>
        <v/>
      </c>
      <c r="BX329" s="88">
        <f>IF($CS329,"",IF($CT329,IF(N($AZ329)&gt;0,N($AZ329),""),IF(4&gt;$CQ329,"",IF($CQ329=1,$CW329,$CW329+($CX329-$CW329)*3/($CQ329-1)))))</f>
        <v/>
      </c>
      <c r="BY329" s="88">
        <f>IF($CS329,"",IF($CT329,"",IF(5&gt;$CQ329,"",IF($CQ329=1,$CW329,$CW329+($CX329-$CW329)*4/($CQ329-1)))))</f>
        <v/>
      </c>
      <c r="BZ329" s="88">
        <f>IF(OR($CS329,$AP329="-",AND($AP329="",$AD329="")),"",IF(N($BA329)&gt;0,N($BA329),IF($CV329,IF(AND($BI329&lt;$CU329,$BI329-IF(N(VLOOKUP($AT329&amp;"|"&amp;$CU329,LocTable,7,FALSE))&gt;0,VLOOKUP($AT329&amp;"|"&amp;$CU329,LocTable,7,FALSE),VLOOKUP($AT329&amp;"|"&amp;$CU329,LocTable,6,FALSE))-$CR329-0.75&gt;=2.125),VLOOKUP($AT329&amp;"|"&amp;$CU329,LocTable,8,FALSE),VLOOKUP($AT329&amp;"|"&amp;$CU329,LocTable,8,FALSE)+($BI329-$CU329)),$BI329-LockAFF)))</f>
        <v/>
      </c>
      <c r="CA329" s="89">
        <f>IF($BZ329="","",$BI329-$BZ329)</f>
        <v/>
      </c>
      <c r="CB329" s="84">
        <f>IF(OR(NOT(AND($A329&lt;&gt;"",$C329&lt;&gt;"DOOR ONLY")),$BI329=""),"",IF(($BI329+IF(N($P329)&gt;0,$P329+FaceW,0))&lt;=90,3,IF(($BI329+IF(N($P329)&gt;0,$P329+FaceW,0))&lt;=114,4,5)))</f>
        <v/>
      </c>
      <c r="CC329" s="84">
        <f>IF($CB329="","",$CB329*(2+IF(N($Q329)&gt;0,IF($R329="LR",2,1),0)))</f>
        <v/>
      </c>
      <c r="CD329" s="84">
        <f>IF($CB329="","",(2+IF(N($Q329)&gt;0,IF($R329="LR",2,1),0)))</f>
        <v/>
      </c>
      <c r="CE329" s="84">
        <f>IF(N($BJ329)=0,"",IF(OR($AL329="",$AL329="FLUSH"),"FLUSH",IFERROR(LEFT($AL329,FIND("-",$AL329)-1),LEFT($AL329,2))))</f>
        <v/>
      </c>
      <c r="CF329" s="84">
        <f>IF($CE329="","",IFERROR(VALUE(MID($AL329,FIND("-",$AL329)+1,FIND(CHAR(34)&amp;"x",$AL329)-FIND("-",$AL329)-1)),0))</f>
        <v/>
      </c>
      <c r="CG329" s="84">
        <f>IF($CE329="","",IFERROR(VALUE(MID($AL329,FIND(CHAR(34)&amp;"x",$AL329)+2,FIND(CHAR(34),$AL329,FIND(CHAR(34)&amp;"x",$AL329)+2)-FIND(CHAR(34)&amp;"x",$AL329)-2)),0))</f>
        <v/>
      </c>
      <c r="CH329" s="90">
        <f>IF(OR($A329="",$H329="",$H329="NO LAB"),0,IFERROR(VALUE(LEFT($H329,FIND(" ",$H329)-1)),0))</f>
        <v/>
      </c>
      <c r="CI329" s="91">
        <f>IF(OR($A329="",$I329="",$I329="NON-RATED",N($J329)=0),"",IFERROR(VLOOKUP($I329&amp;"|"&amp;$J329,IBC,2,FALSE),"?"))</f>
        <v/>
      </c>
      <c r="CJ329" s="85">
        <f>IF(NOT(AND($A329&lt;&gt;"",$C329&lt;&gt;"DOOR ONLY")),"",TRIM(IFERROR(VLOOKUP($U329,CODES,2,FALSE),"")&amp;" "&amp;$BG329&amp;" "&amp;IFERROR(VLOOKUP($Z329,CODES,2,FALSE),"")&amp;" "&amp;IFERROR(VLOOKUP($X329,CODES,2,FALSE),"")&amp;" "&amp;IFERROR(VLOOKUP($S329,CODES,2,FALSE),"")&amp;IF(N($P329)&gt;0," w/TRANSOM "&amp;$P329&amp;CHAR(34),"")&amp;IF(N($Q329)&gt;0," w/SIDELITE "&amp;$Q329&amp;CHAR(34)&amp;" "&amp;IF($R329="","R",$R329),"")&amp;IF($Y329="","  |  "," | "&amp;IFERROR(VLOOKUP($Y329,CODES,2,FALSE),"")&amp;" | ")&amp;IFERROR(VLOOKUP($AC329,CODES,2,FALSE),"")&amp;" "&amp;IFERROR(VLOOKUP($AD329,CODES,2,FALSE),"")&amp;IF(OR($AE329="",$AE329="-"),""," "&amp;$AE329)&amp;IF(OR($AF329="",$AF329="-"),""," "&amp;$AF329)&amp;IF($AB329="Y"," 4"&amp;CHAR(34)&amp;" HEAD","")&amp;" "&amp;IFERROR(VLOOKUP($H329,CODES,2,FALSE),"")&amp;IF($CT329," | LOC "&amp;$CY329,"")))</f>
        <v/>
      </c>
      <c r="CK329" s="85">
        <f>IF(NOT(AND($A329&lt;&gt;"",N($BJ329)&gt;0)),"",TRIM(IFERROR(VLOOKUP($AH329,CODES,2,FALSE),"")&amp;IF($AI329=""," "," "&amp;$AI329&amp;"GA ")&amp;$BG329&amp;" "&amp;IF($AN329="",IFERROR(VLOOKUP($Z329,CODES,2,FALSE),""),IFERROR(VLOOKUP($AN329,CODES,2,FALSE),""))&amp;IF($BJ329=2," PAIR","")&amp;" DOOR | "&amp;IF($AL329="","?",$AL329)&amp;" | "&amp;IF($AO329="",IFERROR(VLOOKUP($AC329,CODES,2,FALSE),""),IFERROR(VLOOKUP($AO329,CODES,2,FALSE),""))&amp;" "&amp;IFERROR(VLOOKUP($AP329,CODES,2,FALSE),"")&amp;IF(OR($AQ329="",$AQ329="-"),""," SEAM "&amp;$AQ329)&amp;IF($AR329="Y"," ASTRAGAL","")&amp;IF($AJ329=""," "," "&amp;$AJ329)&amp;IF($AK329=""," "," "&amp;$AK329)&amp;IF(OR($AT329="",$AT329="ANSI/SDI",$AT329="CUSTOM LOC"),""," "&amp;$AT329)&amp;IF($AM329=""," "," SERIES "&amp;$AM329)&amp;" "&amp;IFERROR(VLOOKUP($H329,CODES,2,FALSE),"")&amp;IF($CT329," | LOC "&amp;$CZ329,"")))</f>
        <v/>
      </c>
      <c r="CL329" s="84">
        <f>IF(CP329="","",IF(COUNTIF($CP$6:CP329,CP329)=1,MAX($CL$5:CL328)+1,INDEX($CL$5:CL328,MATCH(CP329,$CP$5:CP328,0))))</f>
        <v/>
      </c>
      <c r="CM329" s="84">
        <f>IF(NOT(AND($A329&lt;&gt;"",$C329&lt;&gt;"DOOR ONLY")),"",MAX($CM$5:CM328)+1)</f>
        <v/>
      </c>
      <c r="CN329" s="84">
        <f>IF(NOT(AND($A329&lt;&gt;"",N($BJ329)&gt;0)),"",MAX($CN$5:CN328)+1)</f>
        <v/>
      </c>
      <c r="CO329" s="84">
        <f>IF($A329="","",MAX($CO$5:CO328)+1)</f>
        <v/>
      </c>
      <c r="CP329" s="84">
        <f>IF(OR($A329="",$BH329="",$BI329=""),"",$BG329&amp;"|"&amp;$O329&amp;"|"&amp;$AL329&amp;"|"&amp;$S329&amp;"|"&amp;$P329&amp;"|"&amp;$Q329&amp;$R329&amp;"|"&amp;$C329&amp;"|"&amp;$AB329)</f>
        <v/>
      </c>
      <c r="CQ329" s="84">
        <f>N($BS329)</f>
        <v/>
      </c>
      <c r="CR329" s="84">
        <f>IF(N($AU329)&gt;0,N($AU329),4.5)</f>
        <v/>
      </c>
      <c r="CS329" s="84">
        <f>OR($A329="",$BI329="",$S329="BL",AND($C329="FRAME ONLY",OR($AC329="",$AC329="BLK")))</f>
        <v/>
      </c>
      <c r="CT329" s="84">
        <f>AND(NOT($CS329),OR($AT329="CUSTOM LOC",N($AW329)+N($AX329)+N($AY329)+N($AZ329)+N($BA329)&gt;0))</f>
        <v/>
      </c>
      <c r="CU329" s="84">
        <f>IF($BI329="","",IF($BI329&lt;=80,80,IF($BI329&lt;=84,84,96)))</f>
        <v/>
      </c>
      <c r="CV329" s="84">
        <f>ISNUMBER(MATCH($AT329&amp;"|80",LocKeys,0))</f>
        <v/>
      </c>
      <c r="CW329" s="86">
        <f>IF($CS329,"",IF($CV329,VLOOKUP($AT329&amp;"|"&amp;$CU329,LocTable,4,FALSE),5))</f>
        <v/>
      </c>
      <c r="CX329" s="86">
        <f>IF($CS329,"",IF($CV329,IF(OR($BI329=$CU329,AND($BI329&lt;$CU329,$BI329-IF(N(VLOOKUP($AT329&amp;"|"&amp;$CU329,LocTable,7,FALSE))&gt;0,VLOOKUP($AT329&amp;"|"&amp;$CU329,LocTable,7,FALSE),VLOOKUP($AT329&amp;"|"&amp;$CU329,LocTable,6,FALSE))-$CR329-0.75&gt;=2.125)),IF(N(VLOOKUP($AT329&amp;"|"&amp;$CU329,LocTable,7,FALSE))&gt;0,VLOOKUP($AT329&amp;"|"&amp;$CU329,LocTable,7,FALSE),VLOOKUP($AT329&amp;"|"&amp;$CU329,LocTable,6,FALSE)),$BI329-($CU329-IF(N(VLOOKUP($AT329&amp;"|"&amp;$CU329,LocTable,7,FALSE))&gt;0,VLOOKUP($AT329&amp;"|"&amp;$CU329,LocTable,7,FALSE),VLOOKUP($AT329&amp;"|"&amp;$CU329,LocTable,6,FALSE)))),$BI329-10-$CR329))</f>
        <v/>
      </c>
      <c r="CY329" s="85">
        <f>IF($CS329,"",TRIM(IF(ISNUMBER($BU329),"A "&amp;TRIM(TEXT($BU329,"# ?/??"))&amp;CHAR(34)&amp;"  ","")&amp;IF(ISNUMBER($BV329),"B "&amp;TRIM(TEXT($BV329,"# ?/??"))&amp;CHAR(34)&amp;"  ","")&amp;IF(ISNUMBER($BW329),"C "&amp;TRIM(TEXT($BW329,"# ?/??"))&amp;CHAR(34)&amp;"  ","")&amp;IF(ISNUMBER($BX329),"D "&amp;TRIM(TEXT($BX329,"# ?/??"))&amp;CHAR(34)&amp;"  ","")&amp;IF(ISNUMBER($BY329),"F "&amp;TRIM(TEXT($BY329,"# ?/??"))&amp;CHAR(34)&amp;"  ","")&amp;IF(ISNUMBER($BZ329),"E "&amp;TRIM(TEXT($BZ329,"# ?/??"))&amp;CHAR(34)&amp;"  ","")))</f>
        <v/>
      </c>
      <c r="CZ329" s="85">
        <f>IF(OR($CS329,N($BJ329)=0),"",TRIM(IF(ISNUMBER($BU329),"A "&amp;TRIM(TEXT($BU329-HeadClr,"# ?/??"))&amp;CHAR(34)&amp;"  ","")&amp;IF(ISNUMBER($BV329),"B "&amp;TRIM(TEXT($BV329-HeadClr,"# ?/??"))&amp;CHAR(34)&amp;"  ","")&amp;IF(ISNUMBER($BW329),"C "&amp;TRIM(TEXT($BW329-HeadClr,"# ?/??"))&amp;CHAR(34)&amp;"  ","")&amp;IF(ISNUMBER($BX329),"D "&amp;TRIM(TEXT($BX329-HeadClr,"# ?/??"))&amp;CHAR(34)&amp;"  ","")&amp;IF(ISNUMBER($BY329),"F "&amp;TRIM(TEXT($BY329-HeadClr,"# ?/??"))&amp;CHAR(34)&amp;"  ","")&amp;IF(ISNUMBER($BZ329),"E "&amp;TRIM(TEXT($BZ329-HeadClr,"# ?/??"))&amp;CHAR(34)&amp;"  ","")))</f>
        <v/>
      </c>
      <c r="DA329" s="84">
        <f>IF($A329="","",IF($AN329="",IFERROR(VLOOKUP($Z329,CODES,2,FALSE),""),IFERROR(VLOOKUP($AN329,CODES,2,FALSE),"")))</f>
        <v/>
      </c>
      <c r="DB329" s="84">
        <f>IF($A329="","",IF($O329="Y","PR",IF(OR($Z329="L",$Z329="RR",LEFT($Z329,2)="L-",LEFT($Z329,3)="RR-"),"LH","RH")))</f>
        <v/>
      </c>
      <c r="DC329" s="84">
        <f>IF($A329="","","S.HM"&amp;IF(OR($C329="DOOR ONLY",$X329&lt;&gt;"KD"),"MASONRY","DRYWALL")&amp;IF($C329="DOOR ONLY","",$U329)&amp;IF(AND($C329&lt;&gt;"FRAME ONLY",OR(LEFT($AH329,3)="OAK",LEFT($AH329,3)="BIR",LEFT($AH329,3)="MAP",$AH329="PC",$AH329="MC",$AH329="SCLC",$AH329="P-LAM")),"WD","HM")&amp;"1.75")</f>
        <v/>
      </c>
      <c r="DD329" s="84">
        <f>IF($CJ329="","",IF($O329="Y",$CJ329,SUBSTITUTE($CJ329,$BG329&amp;" "&amp;IFERROR(VLOOKUP($Z329,CODES,2,FALSE),"")&amp;" ",$BG329&amp;" ")))</f>
        <v/>
      </c>
      <c r="DE329" s="84">
        <f>IF($CK329="","",IF($O329="Y",$CK329,SUBSTITUTE($CK329,$BG329&amp;" "&amp;IF($AN329="",IFERROR(VLOOKUP($Z329,CODES,2,FALSE),""),IFERROR(VLOOKUP($AN329,CODES,2,FALSE),""))&amp;" ",$BG329&amp;" ")))</f>
        <v/>
      </c>
      <c r="DF329" s="84">
        <f>IF($CJ329="","",$DC329&amp;"|"&amp;$DD329&amp;"|"&amp;$DB329&amp;"|"&amp;$AT329&amp;"|"&amp;$V329&amp;"|"&amp;$Y329&amp;"|"&amp;$AB329)</f>
        <v/>
      </c>
      <c r="DG329" s="84">
        <f>IF(DF329="","",IF(COUNTIF($DF$6:DF329,DF329)=1,MAX($DG$5:DG328)+1,INDEX($DG$5:DG328,MATCH(DF329,$DF$5:DF328,0))))</f>
        <v/>
      </c>
      <c r="DH329" s="84">
        <f>IF($CK329="","",$DC329&amp;"|"&amp;$DE329&amp;"|"&amp;$AI329&amp;"|"&amp;$BK329&amp;"|"&amp;$BL329)</f>
        <v/>
      </c>
      <c r="DI329" s="84">
        <f>IF(DH329="","",IF(COUNTIF($DH$6:DH329,DH329)=1,MAX($DI$5:DI328)+1,INDEX($DI$5:DI328,MATCH(DH329,$DH$5:DH328,0))))</f>
        <v/>
      </c>
      <c r="DJ329" s="84">
        <f>IF($A329="","",IF($B329="","qty, ","")&amp;IF($C329="","scope, ","")&amp;IF(OR($K329="",$M329=""),"size, ","")&amp;IF(AND($A329&lt;&gt;"",$C329&lt;&gt;"DOOR ONLY"),IF($U329="","jamb depth, ","")&amp;IF($X329="","construction, ","")&amp;IF($Y329="","anchor, ","")&amp;IF($S329="","frame type, ",""),"")&amp;IF(AND(N($BJ329)&gt;0,$Z329=""),"hand, ","")&amp;IF(N($BJ329)&gt;0,IF($AH329="","door material, ","")&amp;IF($AL329="","face type, ","")&amp;IF($AP329="","lock prep, ","")&amp;IF(AND($AO329="",$AC329=""),"hinge prep, ",""),"")&amp;IF(AND($CH329&gt;0,$AH329="FRP"),"FRP cannot carry a label, ","")&amp;IF(AND($O329="Y",OR($Z329="L",$Z329="R",$Z329="LR",$Z329="RR")),"pair marked but hand is single, ","")&amp;IF(AND($O329&lt;&gt;"Y",OR($Z329="PR",AND(LEN($Z329)&gt;1,ISNUMBER(SEARCH("-",$Z329))))),"pair hand on a single door, ","")&amp;IF(AND(ISNUMBER($CI329),$CH329&lt;N($CI329)),"wall needs a "&amp;$CI329&amp;" min door, ","")&amp;IF(AND($CH329&gt;=180,AND(OR($CE329="FG",$CE329="HG",$CE329="FNV",$CE329="FV"),N($CF329)*N($CG329)&gt;100)),"180 min lite over 100 sq in, ","")&amp;IF(N($BK329)&gt;48,"leaf wider than 4'-0"&amp;CHAR(34)&amp;", ","")&amp;IF(AND($CT329,COUNT($AW329:$AZ329)=0,$CQ329&gt;0),"CUSTOM LOC with no locations typed, ",""))</f>
        <v/>
      </c>
      <c r="DK329" s="84">
        <f>IF($A329="","",IF(AND($CH329&gt;0,AND($A329&lt;&gt;"",$C329&lt;&gt;"DOOR ONLY"),$X329="KD",$E329="EXTERIOR"),"KD label on an exterior opening, ","")&amp;IF(AND($E329="EXTERIOR",OR(AND(AND($A329&lt;&gt;"",$C329&lt;&gt;"DOOR ONLY"),$W329="CR"),AND(N($BJ329)&gt;0,$AH329="CR"))),"exterior in CR steel (G9?), ","")&amp;IF(AND(ISNUMBER($BQ329),N($BQ329)&lt;32),"clear width ~"&amp;TEXT($BQ329,"0.0")&amp;CHAR(34)&amp;" under 32"&amp;CHAR(34)&amp;" (ADA), ","")&amp;IF(AND($CH329=90,AND(OR($CE329="FG",$CE329="HG",$CE329="FNV",$CE329="FV"),N($CF329)*N($CG329)&gt;100)),"90 min lite over 100 sq in (stair/exit), ","")&amp;IF(AND($CH329&gt;0,AND($A329&lt;&gt;"",$C329&lt;&gt;"DOOR ONLY"),OR($AF329="",$AF329="-")),"rated: closer reinf.?, ","")&amp;IF(OR($I329="CORRIDOR",$I329="SMOKE BARRIER"),"S label + smoke gasketing, ","")&amp;IF($CI329="?","wall type/hr not in IBC table, ","")&amp;IF(AND(N($BJ329)&gt;0,$BB329=""),"no hardware set, ","")&amp;IF(AND($BB329&lt;&gt;"",ISNA(MATCH($BB329&amp;"",HWSets,0))),"set "&amp;$BB329&amp;" not on HW Sets, ","")&amp;IF(N($BL329)&gt;96,"leaf over 8'-0"&amp;CHAR(34)&amp;" - check listing, ","")&amp;IF(AND($CT329,COUNT($AW329:$AZ329)&gt;0,COUNT($AW329:$AZ329)&lt;&gt;$CQ329),COUNT($AW329:$AZ329)&amp;" custom hinges typed, "&amp;$CQ329&amp;" expected, ","")&amp;IF(AND(ISNUMBER($CA329),OR(N($CA329)&lt;34,N($CA329)&gt;48)),"lock "&amp;TEXT($CA329,"0.0")&amp;CHAR(34)&amp;" AFF outside 34-48"&amp;CHAR(34)&amp;" (ADA), ","")&amp;IF(AND(ISNUMBER($AV329),ISNUMBER($BL329),N($AV329)&lt;IF(N($BL329)&lt;=60,2,IF(N($BL329)&lt;=90,3,IF(N($BL329)&lt;=120,4,5)))),"fewer hinges than standard, ",""))</f>
        <v/>
      </c>
    </row>
    <row r="330" ht="15" customHeight="1">
      <c r="A330" s="92" t="n"/>
      <c r="B330" s="93" t="n"/>
      <c r="C330" s="93" t="n"/>
      <c r="D330" s="93" t="n"/>
      <c r="E330" s="93" t="n"/>
      <c r="F330" s="93" t="n"/>
      <c r="G330" s="93" t="n"/>
      <c r="H330" s="93" t="n"/>
      <c r="I330" s="93" t="n"/>
      <c r="J330" s="93" t="n"/>
      <c r="K330" s="93" t="n"/>
      <c r="L330" s="93" t="n"/>
      <c r="M330" s="93" t="n"/>
      <c r="N330" s="93" t="n"/>
      <c r="O330" s="93" t="n"/>
      <c r="P330" s="93" t="n"/>
      <c r="Q330" s="93" t="n"/>
      <c r="R330" s="93" t="n"/>
      <c r="S330" s="94" t="n"/>
      <c r="T330" s="94" t="n"/>
      <c r="U330" s="94" t="n"/>
      <c r="V330" s="94" t="n"/>
      <c r="W330" s="94" t="n"/>
      <c r="X330" s="94" t="n"/>
      <c r="Y330" s="94" t="n"/>
      <c r="Z330" s="94" t="n"/>
      <c r="AA330" s="94" t="n"/>
      <c r="AB330" s="94" t="n"/>
      <c r="AC330" s="94" t="n"/>
      <c r="AD330" s="94" t="n"/>
      <c r="AE330" s="94" t="n"/>
      <c r="AF330" s="94" t="n"/>
      <c r="AG330" s="94" t="n"/>
      <c r="AH330" s="95" t="n"/>
      <c r="AI330" s="95" t="n"/>
      <c r="AJ330" s="95" t="n"/>
      <c r="AK330" s="95" t="n"/>
      <c r="AL330" s="95" t="n"/>
      <c r="AM330" s="95" t="n"/>
      <c r="AN330" s="95" t="n"/>
      <c r="AO330" s="95" t="n"/>
      <c r="AP330" s="95" t="n"/>
      <c r="AQ330" s="95" t="n"/>
      <c r="AR330" s="95" t="n"/>
      <c r="AS330" s="95" t="n"/>
      <c r="AT330" s="96" t="n"/>
      <c r="AU330" s="96" t="n"/>
      <c r="AV330" s="96" t="n"/>
      <c r="AW330" s="97" t="n"/>
      <c r="AX330" s="97" t="n"/>
      <c r="AY330" s="97" t="n"/>
      <c r="AZ330" s="97" t="n"/>
      <c r="BA330" s="97" t="n"/>
      <c r="BB330" s="98" t="n"/>
      <c r="BC330" s="98" t="n"/>
      <c r="BD330" s="99">
        <f>IF($A330="","",IF($DJ330&lt;&gt;"","FIX",IF($DK330&lt;&gt;"","CHECK","OK")))</f>
        <v/>
      </c>
      <c r="BE330" s="100">
        <f>IF($A330="","",IF($DJ330&lt;&gt;"","FIX: "&amp;LEFT($DJ330,LEN($DJ330)-2)&amp;IF($DK330&lt;&gt;"","  ·  ",""),"")&amp;IF($DK330&lt;&gt;"","CHECK: "&amp;LEFT($DK330,LEN($DK330)-2),""))</f>
        <v/>
      </c>
      <c r="BF330" s="99">
        <f>IF(OR($A330="",$K330=""),"",$K330&amp;"'-"&amp;N($L330)&amp;CHAR(34)&amp;" x "&amp;$M330&amp;"'-"&amp;N($N330)&amp;CHAR(34))</f>
        <v/>
      </c>
      <c r="BG330" s="99">
        <f>IF(OR($A330="",$K330=""),"",$K330&amp;N($L330)&amp;$M330&amp;N($N330))</f>
        <v/>
      </c>
      <c r="BH330" s="99">
        <f>IF(OR($A330="",$K330=""),"",$K330*12+N($L330))</f>
        <v/>
      </c>
      <c r="BI330" s="99">
        <f>IF(OR($A330="",$M330=""),"",$M330*12+N($N330))</f>
        <v/>
      </c>
      <c r="BJ330" s="99">
        <f>IF($A330="","",IF(OR($C330="FRAME ONLY",$S330="BL"),0,IF($O330="Y",2,1)))</f>
        <v/>
      </c>
      <c r="BK330" s="101">
        <f>IF(OR(N($BJ330)=0,$BH330=""),"",($BH330-2*EdgeClr-IF($BJ330=2,MeetClr,0))/$BJ330)</f>
        <v/>
      </c>
      <c r="BL330" s="101">
        <f>IF(OR(N($BJ330)=0,$BI330=""),"",$BI330-HeadClr-Undercut)</f>
        <v/>
      </c>
      <c r="BM330" s="101">
        <f>IF($BH330="","",$BH330+2*FaceW+IF(N($Q330)&gt;0,($Q330+FaceW)*IF($R330="LR",2,1),0))</f>
        <v/>
      </c>
      <c r="BN330" s="101">
        <f>IF($BI330="","",$BI330+IF($AB330="Y",4,FaceW)+IF(N($P330)&gt;0,$P330+FaceW,0)+IF(OR($S330="4F",$S330="BL"),FaceW,0))</f>
        <v/>
      </c>
      <c r="BO330" s="101">
        <f>IF($BM330="","",$BM330+2*ROSide)</f>
        <v/>
      </c>
      <c r="BP330" s="101">
        <f>IF($BN330="","",$BN330+ROTop)</f>
        <v/>
      </c>
      <c r="BQ330" s="102">
        <f>IF(OR(N($BJ330)=0,$BH330=""),"",$BH330/$BJ330-ClearDeduct)</f>
        <v/>
      </c>
      <c r="BR330" s="99">
        <f>IF(N($CH330)=0,"",IF($CH330&gt;=180,"A · 3 HR",IF($CH330&gt;=90,"B · 1-1/2 HR",IF($CH330&gt;=60,"B · 1 HR",IF($CH330&gt;=45,"C · 3/4 HR","20 MIN")))))&amp;IF(AND(N($CH330)&gt;0,OR($I330="CORRIDOR",$I330="SMOKE BARRIER"))," · S","")</f>
        <v/>
      </c>
      <c r="BS330" s="99">
        <f>IF($CS330,"",IF($AV330&lt;&gt;"",$AV330,IF(OR($AC330="HGC",$AO330="HGC"),"CONT",IF(($BI330-HeadClr-Undercut)&lt;=60,2,IF(($BI330-HeadClr-Undercut)&lt;=90,3,IF(($BI330-HeadClr-Undercut)&lt;=120,4,5))))))</f>
        <v/>
      </c>
      <c r="BT330" s="99">
        <f>IF($CS330,"",IF($CT330,"CUSTOM (typed)",IF($CV330,$AT330&amp;" "&amp;$CU330&amp;CHAR(34)&amp;IF($CU330&lt;&gt;$BI330,IF(AND($BI330&lt;$CU330,$BI330-IF(N(VLOOKUP($AT330&amp;"|"&amp;$CU330,LocTable,7,FALSE))&gt;0,VLOOKUP($AT330&amp;"|"&amp;$CU330,LocTable,7,FALSE),VLOOKUP($AT330&amp;"|"&amp;$CU330,LocTable,6,FALSE))-$CR330-0.75&gt;=2.125)," cut down"," adj."),""),"ANSI/SDI A250.6")))</f>
        <v/>
      </c>
      <c r="BU330" s="103">
        <f>IF($CS330,"",IF($CT330,IF(N($AW330)&gt;0,N($AW330),""),IF(1&gt;$CQ330,"",IF($CQ330=1,$CW330,$CW330+($CX330-$CW330)*0/($CQ330-1)))))</f>
        <v/>
      </c>
      <c r="BV330" s="103">
        <f>IF($CS330,"",IF($CT330,IF(N($AX330)&gt;0,N($AX330),""),IF(2&gt;$CQ330,"",IF($CQ330=1,$CW330,$CW330+($CX330-$CW330)*1/($CQ330-1)))))</f>
        <v/>
      </c>
      <c r="BW330" s="103">
        <f>IF($CS330,"",IF($CT330,IF(N($AY330)&gt;0,N($AY330),""),IF(3&gt;$CQ330,"",IF($CQ330=1,$CW330,$CW330+($CX330-$CW330)*2/($CQ330-1)))))</f>
        <v/>
      </c>
      <c r="BX330" s="103">
        <f>IF($CS330,"",IF($CT330,IF(N($AZ330)&gt;0,N($AZ330),""),IF(4&gt;$CQ330,"",IF($CQ330=1,$CW330,$CW330+($CX330-$CW330)*3/($CQ330-1)))))</f>
        <v/>
      </c>
      <c r="BY330" s="103">
        <f>IF($CS330,"",IF($CT330,"",IF(5&gt;$CQ330,"",IF($CQ330=1,$CW330,$CW330+($CX330-$CW330)*4/($CQ330-1)))))</f>
        <v/>
      </c>
      <c r="BZ330" s="103">
        <f>IF(OR($CS330,$AP330="-",AND($AP330="",$AD330="")),"",IF(N($BA330)&gt;0,N($BA330),IF($CV330,IF(AND($BI330&lt;$CU330,$BI330-IF(N(VLOOKUP($AT330&amp;"|"&amp;$CU330,LocTable,7,FALSE))&gt;0,VLOOKUP($AT330&amp;"|"&amp;$CU330,LocTable,7,FALSE),VLOOKUP($AT330&amp;"|"&amp;$CU330,LocTable,6,FALSE))-$CR330-0.75&gt;=2.125),VLOOKUP($AT330&amp;"|"&amp;$CU330,LocTable,8,FALSE),VLOOKUP($AT330&amp;"|"&amp;$CU330,LocTable,8,FALSE)+($BI330-$CU330)),$BI330-LockAFF)))</f>
        <v/>
      </c>
      <c r="CA330" s="104">
        <f>IF($BZ330="","",$BI330-$BZ330)</f>
        <v/>
      </c>
      <c r="CB330" s="99">
        <f>IF(OR(NOT(AND($A330&lt;&gt;"",$C330&lt;&gt;"DOOR ONLY")),$BI330=""),"",IF(($BI330+IF(N($P330)&gt;0,$P330+FaceW,0))&lt;=90,3,IF(($BI330+IF(N($P330)&gt;0,$P330+FaceW,0))&lt;=114,4,5)))</f>
        <v/>
      </c>
      <c r="CC330" s="99">
        <f>IF($CB330="","",$CB330*(2+IF(N($Q330)&gt;0,IF($R330="LR",2,1),0)))</f>
        <v/>
      </c>
      <c r="CD330" s="99">
        <f>IF($CB330="","",(2+IF(N($Q330)&gt;0,IF($R330="LR",2,1),0)))</f>
        <v/>
      </c>
      <c r="CE330" s="99">
        <f>IF(N($BJ330)=0,"",IF(OR($AL330="",$AL330="FLUSH"),"FLUSH",IFERROR(LEFT($AL330,FIND("-",$AL330)-1),LEFT($AL330,2))))</f>
        <v/>
      </c>
      <c r="CF330" s="99">
        <f>IF($CE330="","",IFERROR(VALUE(MID($AL330,FIND("-",$AL330)+1,FIND(CHAR(34)&amp;"x",$AL330)-FIND("-",$AL330)-1)),0))</f>
        <v/>
      </c>
      <c r="CG330" s="99">
        <f>IF($CE330="","",IFERROR(VALUE(MID($AL330,FIND(CHAR(34)&amp;"x",$AL330)+2,FIND(CHAR(34),$AL330,FIND(CHAR(34)&amp;"x",$AL330)+2)-FIND(CHAR(34)&amp;"x",$AL330)-2)),0))</f>
        <v/>
      </c>
      <c r="CH330" s="105">
        <f>IF(OR($A330="",$H330="",$H330="NO LAB"),0,IFERROR(VALUE(LEFT($H330,FIND(" ",$H330)-1)),0))</f>
        <v/>
      </c>
      <c r="CI330" s="106">
        <f>IF(OR($A330="",$I330="",$I330="NON-RATED",N($J330)=0),"",IFERROR(VLOOKUP($I330&amp;"|"&amp;$J330,IBC,2,FALSE),"?"))</f>
        <v/>
      </c>
      <c r="CJ330" s="100">
        <f>IF(NOT(AND($A330&lt;&gt;"",$C330&lt;&gt;"DOOR ONLY")),"",TRIM(IFERROR(VLOOKUP($U330,CODES,2,FALSE),"")&amp;" "&amp;$BG330&amp;" "&amp;IFERROR(VLOOKUP($Z330,CODES,2,FALSE),"")&amp;" "&amp;IFERROR(VLOOKUP($X330,CODES,2,FALSE),"")&amp;" "&amp;IFERROR(VLOOKUP($S330,CODES,2,FALSE),"")&amp;IF(N($P330)&gt;0," w/TRANSOM "&amp;$P330&amp;CHAR(34),"")&amp;IF(N($Q330)&gt;0," w/SIDELITE "&amp;$Q330&amp;CHAR(34)&amp;" "&amp;IF($R330="","R",$R330),"")&amp;IF($Y330="","  |  "," | "&amp;IFERROR(VLOOKUP($Y330,CODES,2,FALSE),"")&amp;" | ")&amp;IFERROR(VLOOKUP($AC330,CODES,2,FALSE),"")&amp;" "&amp;IFERROR(VLOOKUP($AD330,CODES,2,FALSE),"")&amp;IF(OR($AE330="",$AE330="-"),""," "&amp;$AE330)&amp;IF(OR($AF330="",$AF330="-"),""," "&amp;$AF330)&amp;IF($AB330="Y"," 4"&amp;CHAR(34)&amp;" HEAD","")&amp;" "&amp;IFERROR(VLOOKUP($H330,CODES,2,FALSE),"")&amp;IF($CT330," | LOC "&amp;$CY330,"")))</f>
        <v/>
      </c>
      <c r="CK330" s="100">
        <f>IF(NOT(AND($A330&lt;&gt;"",N($BJ330)&gt;0)),"",TRIM(IFERROR(VLOOKUP($AH330,CODES,2,FALSE),"")&amp;IF($AI330=""," "," "&amp;$AI330&amp;"GA ")&amp;$BG330&amp;" "&amp;IF($AN330="",IFERROR(VLOOKUP($Z330,CODES,2,FALSE),""),IFERROR(VLOOKUP($AN330,CODES,2,FALSE),""))&amp;IF($BJ330=2," PAIR","")&amp;" DOOR | "&amp;IF($AL330="","?",$AL330)&amp;" | "&amp;IF($AO330="",IFERROR(VLOOKUP($AC330,CODES,2,FALSE),""),IFERROR(VLOOKUP($AO330,CODES,2,FALSE),""))&amp;" "&amp;IFERROR(VLOOKUP($AP330,CODES,2,FALSE),"")&amp;IF(OR($AQ330="",$AQ330="-"),""," SEAM "&amp;$AQ330)&amp;IF($AR330="Y"," ASTRAGAL","")&amp;IF($AJ330=""," "," "&amp;$AJ330)&amp;IF($AK330=""," "," "&amp;$AK330)&amp;IF(OR($AT330="",$AT330="ANSI/SDI",$AT330="CUSTOM LOC"),""," "&amp;$AT330)&amp;IF($AM330=""," "," SERIES "&amp;$AM330)&amp;" "&amp;IFERROR(VLOOKUP($H330,CODES,2,FALSE),"")&amp;IF($CT330," | LOC "&amp;$CZ330,"")))</f>
        <v/>
      </c>
      <c r="CL330" s="99">
        <f>IF(CP330="","",IF(COUNTIF($CP$6:CP330,CP330)=1,MAX($CL$5:CL329)+1,INDEX($CL$5:CL329,MATCH(CP330,$CP$5:CP329,0))))</f>
        <v/>
      </c>
      <c r="CM330" s="99">
        <f>IF(NOT(AND($A330&lt;&gt;"",$C330&lt;&gt;"DOOR ONLY")),"",MAX($CM$5:CM329)+1)</f>
        <v/>
      </c>
      <c r="CN330" s="99">
        <f>IF(NOT(AND($A330&lt;&gt;"",N($BJ330)&gt;0)),"",MAX($CN$5:CN329)+1)</f>
        <v/>
      </c>
      <c r="CO330" s="99">
        <f>IF($A330="","",MAX($CO$5:CO329)+1)</f>
        <v/>
      </c>
      <c r="CP330" s="99">
        <f>IF(OR($A330="",$BH330="",$BI330=""),"",$BG330&amp;"|"&amp;$O330&amp;"|"&amp;$AL330&amp;"|"&amp;$S330&amp;"|"&amp;$P330&amp;"|"&amp;$Q330&amp;$R330&amp;"|"&amp;$C330&amp;"|"&amp;$AB330)</f>
        <v/>
      </c>
      <c r="CQ330" s="99">
        <f>N($BS330)</f>
        <v/>
      </c>
      <c r="CR330" s="99">
        <f>IF(N($AU330)&gt;0,N($AU330),4.5)</f>
        <v/>
      </c>
      <c r="CS330" s="99">
        <f>OR($A330="",$BI330="",$S330="BL",AND($C330="FRAME ONLY",OR($AC330="",$AC330="BLK")))</f>
        <v/>
      </c>
      <c r="CT330" s="99">
        <f>AND(NOT($CS330),OR($AT330="CUSTOM LOC",N($AW330)+N($AX330)+N($AY330)+N($AZ330)+N($BA330)&gt;0))</f>
        <v/>
      </c>
      <c r="CU330" s="99">
        <f>IF($BI330="","",IF($BI330&lt;=80,80,IF($BI330&lt;=84,84,96)))</f>
        <v/>
      </c>
      <c r="CV330" s="99">
        <f>ISNUMBER(MATCH($AT330&amp;"|80",LocKeys,0))</f>
        <v/>
      </c>
      <c r="CW330" s="101">
        <f>IF($CS330,"",IF($CV330,VLOOKUP($AT330&amp;"|"&amp;$CU330,LocTable,4,FALSE),5))</f>
        <v/>
      </c>
      <c r="CX330" s="101">
        <f>IF($CS330,"",IF($CV330,IF(OR($BI330=$CU330,AND($BI330&lt;$CU330,$BI330-IF(N(VLOOKUP($AT330&amp;"|"&amp;$CU330,LocTable,7,FALSE))&gt;0,VLOOKUP($AT330&amp;"|"&amp;$CU330,LocTable,7,FALSE),VLOOKUP($AT330&amp;"|"&amp;$CU330,LocTable,6,FALSE))-$CR330-0.75&gt;=2.125)),IF(N(VLOOKUP($AT330&amp;"|"&amp;$CU330,LocTable,7,FALSE))&gt;0,VLOOKUP($AT330&amp;"|"&amp;$CU330,LocTable,7,FALSE),VLOOKUP($AT330&amp;"|"&amp;$CU330,LocTable,6,FALSE)),$BI330-($CU330-IF(N(VLOOKUP($AT330&amp;"|"&amp;$CU330,LocTable,7,FALSE))&gt;0,VLOOKUP($AT330&amp;"|"&amp;$CU330,LocTable,7,FALSE),VLOOKUP($AT330&amp;"|"&amp;$CU330,LocTable,6,FALSE)))),$BI330-10-$CR330))</f>
        <v/>
      </c>
      <c r="CY330" s="100">
        <f>IF($CS330,"",TRIM(IF(ISNUMBER($BU330),"A "&amp;TRIM(TEXT($BU330,"# ?/??"))&amp;CHAR(34)&amp;"  ","")&amp;IF(ISNUMBER($BV330),"B "&amp;TRIM(TEXT($BV330,"# ?/??"))&amp;CHAR(34)&amp;"  ","")&amp;IF(ISNUMBER($BW330),"C "&amp;TRIM(TEXT($BW330,"# ?/??"))&amp;CHAR(34)&amp;"  ","")&amp;IF(ISNUMBER($BX330),"D "&amp;TRIM(TEXT($BX330,"# ?/??"))&amp;CHAR(34)&amp;"  ","")&amp;IF(ISNUMBER($BY330),"F "&amp;TRIM(TEXT($BY330,"# ?/??"))&amp;CHAR(34)&amp;"  ","")&amp;IF(ISNUMBER($BZ330),"E "&amp;TRIM(TEXT($BZ330,"# ?/??"))&amp;CHAR(34)&amp;"  ","")))</f>
        <v/>
      </c>
      <c r="CZ330" s="100">
        <f>IF(OR($CS330,N($BJ330)=0),"",TRIM(IF(ISNUMBER($BU330),"A "&amp;TRIM(TEXT($BU330-HeadClr,"# ?/??"))&amp;CHAR(34)&amp;"  ","")&amp;IF(ISNUMBER($BV330),"B "&amp;TRIM(TEXT($BV330-HeadClr,"# ?/??"))&amp;CHAR(34)&amp;"  ","")&amp;IF(ISNUMBER($BW330),"C "&amp;TRIM(TEXT($BW330-HeadClr,"# ?/??"))&amp;CHAR(34)&amp;"  ","")&amp;IF(ISNUMBER($BX330),"D "&amp;TRIM(TEXT($BX330-HeadClr,"# ?/??"))&amp;CHAR(34)&amp;"  ","")&amp;IF(ISNUMBER($BY330),"F "&amp;TRIM(TEXT($BY330-HeadClr,"# ?/??"))&amp;CHAR(34)&amp;"  ","")&amp;IF(ISNUMBER($BZ330),"E "&amp;TRIM(TEXT($BZ330-HeadClr,"# ?/??"))&amp;CHAR(34)&amp;"  ","")))</f>
        <v/>
      </c>
      <c r="DA330" s="99">
        <f>IF($A330="","",IF($AN330="",IFERROR(VLOOKUP($Z330,CODES,2,FALSE),""),IFERROR(VLOOKUP($AN330,CODES,2,FALSE),"")))</f>
        <v/>
      </c>
      <c r="DB330" s="99">
        <f>IF($A330="","",IF($O330="Y","PR",IF(OR($Z330="L",$Z330="RR",LEFT($Z330,2)="L-",LEFT($Z330,3)="RR-"),"LH","RH")))</f>
        <v/>
      </c>
      <c r="DC330" s="99">
        <f>IF($A330="","","S.HM"&amp;IF(OR($C330="DOOR ONLY",$X330&lt;&gt;"KD"),"MASONRY","DRYWALL")&amp;IF($C330="DOOR ONLY","",$U330)&amp;IF(AND($C330&lt;&gt;"FRAME ONLY",OR(LEFT($AH330,3)="OAK",LEFT($AH330,3)="BIR",LEFT($AH330,3)="MAP",$AH330="PC",$AH330="MC",$AH330="SCLC",$AH330="P-LAM")),"WD","HM")&amp;"1.75")</f>
        <v/>
      </c>
      <c r="DD330" s="99">
        <f>IF($CJ330="","",IF($O330="Y",$CJ330,SUBSTITUTE($CJ330,$BG330&amp;" "&amp;IFERROR(VLOOKUP($Z330,CODES,2,FALSE),"")&amp;" ",$BG330&amp;" ")))</f>
        <v/>
      </c>
      <c r="DE330" s="99">
        <f>IF($CK330="","",IF($O330="Y",$CK330,SUBSTITUTE($CK330,$BG330&amp;" "&amp;IF($AN330="",IFERROR(VLOOKUP($Z330,CODES,2,FALSE),""),IFERROR(VLOOKUP($AN330,CODES,2,FALSE),""))&amp;" ",$BG330&amp;" ")))</f>
        <v/>
      </c>
      <c r="DF330" s="99">
        <f>IF($CJ330="","",$DC330&amp;"|"&amp;$DD330&amp;"|"&amp;$DB330&amp;"|"&amp;$AT330&amp;"|"&amp;$V330&amp;"|"&amp;$Y330&amp;"|"&amp;$AB330)</f>
        <v/>
      </c>
      <c r="DG330" s="99">
        <f>IF(DF330="","",IF(COUNTIF($DF$6:DF330,DF330)=1,MAX($DG$5:DG329)+1,INDEX($DG$5:DG329,MATCH(DF330,$DF$5:DF329,0))))</f>
        <v/>
      </c>
      <c r="DH330" s="99">
        <f>IF($CK330="","",$DC330&amp;"|"&amp;$DE330&amp;"|"&amp;$AI330&amp;"|"&amp;$BK330&amp;"|"&amp;$BL330)</f>
        <v/>
      </c>
      <c r="DI330" s="99">
        <f>IF(DH330="","",IF(COUNTIF($DH$6:DH330,DH330)=1,MAX($DI$5:DI329)+1,INDEX($DI$5:DI329,MATCH(DH330,$DH$5:DH329,0))))</f>
        <v/>
      </c>
      <c r="DJ330" s="99">
        <f>IF($A330="","",IF($B330="","qty, ","")&amp;IF($C330="","scope, ","")&amp;IF(OR($K330="",$M330=""),"size, ","")&amp;IF(AND($A330&lt;&gt;"",$C330&lt;&gt;"DOOR ONLY"),IF($U330="","jamb depth, ","")&amp;IF($X330="","construction, ","")&amp;IF($Y330="","anchor, ","")&amp;IF($S330="","frame type, ",""),"")&amp;IF(AND(N($BJ330)&gt;0,$Z330=""),"hand, ","")&amp;IF(N($BJ330)&gt;0,IF($AH330="","door material, ","")&amp;IF($AL330="","face type, ","")&amp;IF($AP330="","lock prep, ","")&amp;IF(AND($AO330="",$AC330=""),"hinge prep, ",""),"")&amp;IF(AND($CH330&gt;0,$AH330="FRP"),"FRP cannot carry a label, ","")&amp;IF(AND($O330="Y",OR($Z330="L",$Z330="R",$Z330="LR",$Z330="RR")),"pair marked but hand is single, ","")&amp;IF(AND($O330&lt;&gt;"Y",OR($Z330="PR",AND(LEN($Z330)&gt;1,ISNUMBER(SEARCH("-",$Z330))))),"pair hand on a single door, ","")&amp;IF(AND(ISNUMBER($CI330),$CH330&lt;N($CI330)),"wall needs a "&amp;$CI330&amp;" min door, ","")&amp;IF(AND($CH330&gt;=180,AND(OR($CE330="FG",$CE330="HG",$CE330="FNV",$CE330="FV"),N($CF330)*N($CG330)&gt;100)),"180 min lite over 100 sq in, ","")&amp;IF(N($BK330)&gt;48,"leaf wider than 4'-0"&amp;CHAR(34)&amp;", ","")&amp;IF(AND($CT330,COUNT($AW330:$AZ330)=0,$CQ330&gt;0),"CUSTOM LOC with no locations typed, ",""))</f>
        <v/>
      </c>
      <c r="DK330" s="99">
        <f>IF($A330="","",IF(AND($CH330&gt;0,AND($A330&lt;&gt;"",$C330&lt;&gt;"DOOR ONLY"),$X330="KD",$E330="EXTERIOR"),"KD label on an exterior opening, ","")&amp;IF(AND($E330="EXTERIOR",OR(AND(AND($A330&lt;&gt;"",$C330&lt;&gt;"DOOR ONLY"),$W330="CR"),AND(N($BJ330)&gt;0,$AH330="CR"))),"exterior in CR steel (G9?), ","")&amp;IF(AND(ISNUMBER($BQ330),N($BQ330)&lt;32),"clear width ~"&amp;TEXT($BQ330,"0.0")&amp;CHAR(34)&amp;" under 32"&amp;CHAR(34)&amp;" (ADA), ","")&amp;IF(AND($CH330=90,AND(OR($CE330="FG",$CE330="HG",$CE330="FNV",$CE330="FV"),N($CF330)*N($CG330)&gt;100)),"90 min lite over 100 sq in (stair/exit), ","")&amp;IF(AND($CH330&gt;0,AND($A330&lt;&gt;"",$C330&lt;&gt;"DOOR ONLY"),OR($AF330="",$AF330="-")),"rated: closer reinf.?, ","")&amp;IF(OR($I330="CORRIDOR",$I330="SMOKE BARRIER"),"S label + smoke gasketing, ","")&amp;IF($CI330="?","wall type/hr not in IBC table, ","")&amp;IF(AND(N($BJ330)&gt;0,$BB330=""),"no hardware set, ","")&amp;IF(AND($BB330&lt;&gt;"",ISNA(MATCH($BB330&amp;"",HWSets,0))),"set "&amp;$BB330&amp;" not on HW Sets, ","")&amp;IF(N($BL330)&gt;96,"leaf over 8'-0"&amp;CHAR(34)&amp;" - check listing, ","")&amp;IF(AND($CT330,COUNT($AW330:$AZ330)&gt;0,COUNT($AW330:$AZ330)&lt;&gt;$CQ330),COUNT($AW330:$AZ330)&amp;" custom hinges typed, "&amp;$CQ330&amp;" expected, ","")&amp;IF(AND(ISNUMBER($CA330),OR(N($CA330)&lt;34,N($CA330)&gt;48)),"lock "&amp;TEXT($CA330,"0.0")&amp;CHAR(34)&amp;" AFF outside 34-48"&amp;CHAR(34)&amp;" (ADA), ","")&amp;IF(AND(ISNUMBER($AV330),ISNUMBER($BL330),N($AV330)&lt;IF(N($BL330)&lt;=60,2,IF(N($BL330)&lt;=90,3,IF(N($BL330)&lt;=120,4,5)))),"fewer hinges than standard, ",""))</f>
        <v/>
      </c>
    </row>
    <row r="331" ht="15" customHeight="1">
      <c r="A331" s="77" t="n"/>
      <c r="B331" s="78" t="n"/>
      <c r="C331" s="78" t="n"/>
      <c r="D331" s="78" t="n"/>
      <c r="E331" s="78" t="n"/>
      <c r="F331" s="78" t="n"/>
      <c r="G331" s="78" t="n"/>
      <c r="H331" s="78" t="n"/>
      <c r="I331" s="78" t="n"/>
      <c r="J331" s="78" t="n"/>
      <c r="K331" s="78" t="n"/>
      <c r="L331" s="78" t="n"/>
      <c r="M331" s="78" t="n"/>
      <c r="N331" s="78" t="n"/>
      <c r="O331" s="78" t="n"/>
      <c r="P331" s="78" t="n"/>
      <c r="Q331" s="78" t="n"/>
      <c r="R331" s="78" t="n"/>
      <c r="S331" s="79" t="n"/>
      <c r="T331" s="79" t="n"/>
      <c r="U331" s="79" t="n"/>
      <c r="V331" s="79" t="n"/>
      <c r="W331" s="79" t="n"/>
      <c r="X331" s="79" t="n"/>
      <c r="Y331" s="79" t="n"/>
      <c r="Z331" s="79" t="n"/>
      <c r="AA331" s="79" t="n"/>
      <c r="AB331" s="79" t="n"/>
      <c r="AC331" s="79" t="n"/>
      <c r="AD331" s="79" t="n"/>
      <c r="AE331" s="79" t="n"/>
      <c r="AF331" s="79" t="n"/>
      <c r="AG331" s="79" t="n"/>
      <c r="AH331" s="80" t="n"/>
      <c r="AI331" s="80" t="n"/>
      <c r="AJ331" s="80" t="n"/>
      <c r="AK331" s="80" t="n"/>
      <c r="AL331" s="80" t="n"/>
      <c r="AM331" s="80" t="n"/>
      <c r="AN331" s="80" t="n"/>
      <c r="AO331" s="80" t="n"/>
      <c r="AP331" s="80" t="n"/>
      <c r="AQ331" s="80" t="n"/>
      <c r="AR331" s="80" t="n"/>
      <c r="AS331" s="80" t="n"/>
      <c r="AT331" s="81" t="n"/>
      <c r="AU331" s="81" t="n"/>
      <c r="AV331" s="81" t="n"/>
      <c r="AW331" s="82" t="n"/>
      <c r="AX331" s="82" t="n"/>
      <c r="AY331" s="82" t="n"/>
      <c r="AZ331" s="82" t="n"/>
      <c r="BA331" s="82" t="n"/>
      <c r="BB331" s="83" t="n"/>
      <c r="BC331" s="83" t="n"/>
      <c r="BD331" s="84">
        <f>IF($A331="","",IF($DJ331&lt;&gt;"","FIX",IF($DK331&lt;&gt;"","CHECK","OK")))</f>
        <v/>
      </c>
      <c r="BE331" s="85">
        <f>IF($A331="","",IF($DJ331&lt;&gt;"","FIX: "&amp;LEFT($DJ331,LEN($DJ331)-2)&amp;IF($DK331&lt;&gt;"","  ·  ",""),"")&amp;IF($DK331&lt;&gt;"","CHECK: "&amp;LEFT($DK331,LEN($DK331)-2),""))</f>
        <v/>
      </c>
      <c r="BF331" s="84">
        <f>IF(OR($A331="",$K331=""),"",$K331&amp;"'-"&amp;N($L331)&amp;CHAR(34)&amp;" x "&amp;$M331&amp;"'-"&amp;N($N331)&amp;CHAR(34))</f>
        <v/>
      </c>
      <c r="BG331" s="84">
        <f>IF(OR($A331="",$K331=""),"",$K331&amp;N($L331)&amp;$M331&amp;N($N331))</f>
        <v/>
      </c>
      <c r="BH331" s="84">
        <f>IF(OR($A331="",$K331=""),"",$K331*12+N($L331))</f>
        <v/>
      </c>
      <c r="BI331" s="84">
        <f>IF(OR($A331="",$M331=""),"",$M331*12+N($N331))</f>
        <v/>
      </c>
      <c r="BJ331" s="84">
        <f>IF($A331="","",IF(OR($C331="FRAME ONLY",$S331="BL"),0,IF($O331="Y",2,1)))</f>
        <v/>
      </c>
      <c r="BK331" s="86">
        <f>IF(OR(N($BJ331)=0,$BH331=""),"",($BH331-2*EdgeClr-IF($BJ331=2,MeetClr,0))/$BJ331)</f>
        <v/>
      </c>
      <c r="BL331" s="86">
        <f>IF(OR(N($BJ331)=0,$BI331=""),"",$BI331-HeadClr-Undercut)</f>
        <v/>
      </c>
      <c r="BM331" s="86">
        <f>IF($BH331="","",$BH331+2*FaceW+IF(N($Q331)&gt;0,($Q331+FaceW)*IF($R331="LR",2,1),0))</f>
        <v/>
      </c>
      <c r="BN331" s="86">
        <f>IF($BI331="","",$BI331+IF($AB331="Y",4,FaceW)+IF(N($P331)&gt;0,$P331+FaceW,0)+IF(OR($S331="4F",$S331="BL"),FaceW,0))</f>
        <v/>
      </c>
      <c r="BO331" s="86">
        <f>IF($BM331="","",$BM331+2*ROSide)</f>
        <v/>
      </c>
      <c r="BP331" s="86">
        <f>IF($BN331="","",$BN331+ROTop)</f>
        <v/>
      </c>
      <c r="BQ331" s="87">
        <f>IF(OR(N($BJ331)=0,$BH331=""),"",$BH331/$BJ331-ClearDeduct)</f>
        <v/>
      </c>
      <c r="BR331" s="84">
        <f>IF(N($CH331)=0,"",IF($CH331&gt;=180,"A · 3 HR",IF($CH331&gt;=90,"B · 1-1/2 HR",IF($CH331&gt;=60,"B · 1 HR",IF($CH331&gt;=45,"C · 3/4 HR","20 MIN")))))&amp;IF(AND(N($CH331)&gt;0,OR($I331="CORRIDOR",$I331="SMOKE BARRIER"))," · S","")</f>
        <v/>
      </c>
      <c r="BS331" s="84">
        <f>IF($CS331,"",IF($AV331&lt;&gt;"",$AV331,IF(OR($AC331="HGC",$AO331="HGC"),"CONT",IF(($BI331-HeadClr-Undercut)&lt;=60,2,IF(($BI331-HeadClr-Undercut)&lt;=90,3,IF(($BI331-HeadClr-Undercut)&lt;=120,4,5))))))</f>
        <v/>
      </c>
      <c r="BT331" s="84">
        <f>IF($CS331,"",IF($CT331,"CUSTOM (typed)",IF($CV331,$AT331&amp;" "&amp;$CU331&amp;CHAR(34)&amp;IF($CU331&lt;&gt;$BI331,IF(AND($BI331&lt;$CU331,$BI331-IF(N(VLOOKUP($AT331&amp;"|"&amp;$CU331,LocTable,7,FALSE))&gt;0,VLOOKUP($AT331&amp;"|"&amp;$CU331,LocTable,7,FALSE),VLOOKUP($AT331&amp;"|"&amp;$CU331,LocTable,6,FALSE))-$CR331-0.75&gt;=2.125)," cut down"," adj."),""),"ANSI/SDI A250.6")))</f>
        <v/>
      </c>
      <c r="BU331" s="88">
        <f>IF($CS331,"",IF($CT331,IF(N($AW331)&gt;0,N($AW331),""),IF(1&gt;$CQ331,"",IF($CQ331=1,$CW331,$CW331+($CX331-$CW331)*0/($CQ331-1)))))</f>
        <v/>
      </c>
      <c r="BV331" s="88">
        <f>IF($CS331,"",IF($CT331,IF(N($AX331)&gt;0,N($AX331),""),IF(2&gt;$CQ331,"",IF($CQ331=1,$CW331,$CW331+($CX331-$CW331)*1/($CQ331-1)))))</f>
        <v/>
      </c>
      <c r="BW331" s="88">
        <f>IF($CS331,"",IF($CT331,IF(N($AY331)&gt;0,N($AY331),""),IF(3&gt;$CQ331,"",IF($CQ331=1,$CW331,$CW331+($CX331-$CW331)*2/($CQ331-1)))))</f>
        <v/>
      </c>
      <c r="BX331" s="88">
        <f>IF($CS331,"",IF($CT331,IF(N($AZ331)&gt;0,N($AZ331),""),IF(4&gt;$CQ331,"",IF($CQ331=1,$CW331,$CW331+($CX331-$CW331)*3/($CQ331-1)))))</f>
        <v/>
      </c>
      <c r="BY331" s="88">
        <f>IF($CS331,"",IF($CT331,"",IF(5&gt;$CQ331,"",IF($CQ331=1,$CW331,$CW331+($CX331-$CW331)*4/($CQ331-1)))))</f>
        <v/>
      </c>
      <c r="BZ331" s="88">
        <f>IF(OR($CS331,$AP331="-",AND($AP331="",$AD331="")),"",IF(N($BA331)&gt;0,N($BA331),IF($CV331,IF(AND($BI331&lt;$CU331,$BI331-IF(N(VLOOKUP($AT331&amp;"|"&amp;$CU331,LocTable,7,FALSE))&gt;0,VLOOKUP($AT331&amp;"|"&amp;$CU331,LocTable,7,FALSE),VLOOKUP($AT331&amp;"|"&amp;$CU331,LocTable,6,FALSE))-$CR331-0.75&gt;=2.125),VLOOKUP($AT331&amp;"|"&amp;$CU331,LocTable,8,FALSE),VLOOKUP($AT331&amp;"|"&amp;$CU331,LocTable,8,FALSE)+($BI331-$CU331)),$BI331-LockAFF)))</f>
        <v/>
      </c>
      <c r="CA331" s="89">
        <f>IF($BZ331="","",$BI331-$BZ331)</f>
        <v/>
      </c>
      <c r="CB331" s="84">
        <f>IF(OR(NOT(AND($A331&lt;&gt;"",$C331&lt;&gt;"DOOR ONLY")),$BI331=""),"",IF(($BI331+IF(N($P331)&gt;0,$P331+FaceW,0))&lt;=90,3,IF(($BI331+IF(N($P331)&gt;0,$P331+FaceW,0))&lt;=114,4,5)))</f>
        <v/>
      </c>
      <c r="CC331" s="84">
        <f>IF($CB331="","",$CB331*(2+IF(N($Q331)&gt;0,IF($R331="LR",2,1),0)))</f>
        <v/>
      </c>
      <c r="CD331" s="84">
        <f>IF($CB331="","",(2+IF(N($Q331)&gt;0,IF($R331="LR",2,1),0)))</f>
        <v/>
      </c>
      <c r="CE331" s="84">
        <f>IF(N($BJ331)=0,"",IF(OR($AL331="",$AL331="FLUSH"),"FLUSH",IFERROR(LEFT($AL331,FIND("-",$AL331)-1),LEFT($AL331,2))))</f>
        <v/>
      </c>
      <c r="CF331" s="84">
        <f>IF($CE331="","",IFERROR(VALUE(MID($AL331,FIND("-",$AL331)+1,FIND(CHAR(34)&amp;"x",$AL331)-FIND("-",$AL331)-1)),0))</f>
        <v/>
      </c>
      <c r="CG331" s="84">
        <f>IF($CE331="","",IFERROR(VALUE(MID($AL331,FIND(CHAR(34)&amp;"x",$AL331)+2,FIND(CHAR(34),$AL331,FIND(CHAR(34)&amp;"x",$AL331)+2)-FIND(CHAR(34)&amp;"x",$AL331)-2)),0))</f>
        <v/>
      </c>
      <c r="CH331" s="90">
        <f>IF(OR($A331="",$H331="",$H331="NO LAB"),0,IFERROR(VALUE(LEFT($H331,FIND(" ",$H331)-1)),0))</f>
        <v/>
      </c>
      <c r="CI331" s="91">
        <f>IF(OR($A331="",$I331="",$I331="NON-RATED",N($J331)=0),"",IFERROR(VLOOKUP($I331&amp;"|"&amp;$J331,IBC,2,FALSE),"?"))</f>
        <v/>
      </c>
      <c r="CJ331" s="85">
        <f>IF(NOT(AND($A331&lt;&gt;"",$C331&lt;&gt;"DOOR ONLY")),"",TRIM(IFERROR(VLOOKUP($U331,CODES,2,FALSE),"")&amp;" "&amp;$BG331&amp;" "&amp;IFERROR(VLOOKUP($Z331,CODES,2,FALSE),"")&amp;" "&amp;IFERROR(VLOOKUP($X331,CODES,2,FALSE),"")&amp;" "&amp;IFERROR(VLOOKUP($S331,CODES,2,FALSE),"")&amp;IF(N($P331)&gt;0," w/TRANSOM "&amp;$P331&amp;CHAR(34),"")&amp;IF(N($Q331)&gt;0," w/SIDELITE "&amp;$Q331&amp;CHAR(34)&amp;" "&amp;IF($R331="","R",$R331),"")&amp;IF($Y331="","  |  "," | "&amp;IFERROR(VLOOKUP($Y331,CODES,2,FALSE),"")&amp;" | ")&amp;IFERROR(VLOOKUP($AC331,CODES,2,FALSE),"")&amp;" "&amp;IFERROR(VLOOKUP($AD331,CODES,2,FALSE),"")&amp;IF(OR($AE331="",$AE331="-"),""," "&amp;$AE331)&amp;IF(OR($AF331="",$AF331="-"),""," "&amp;$AF331)&amp;IF($AB331="Y"," 4"&amp;CHAR(34)&amp;" HEAD","")&amp;" "&amp;IFERROR(VLOOKUP($H331,CODES,2,FALSE),"")&amp;IF($CT331," | LOC "&amp;$CY331,"")))</f>
        <v/>
      </c>
      <c r="CK331" s="85">
        <f>IF(NOT(AND($A331&lt;&gt;"",N($BJ331)&gt;0)),"",TRIM(IFERROR(VLOOKUP($AH331,CODES,2,FALSE),"")&amp;IF($AI331=""," "," "&amp;$AI331&amp;"GA ")&amp;$BG331&amp;" "&amp;IF($AN331="",IFERROR(VLOOKUP($Z331,CODES,2,FALSE),""),IFERROR(VLOOKUP($AN331,CODES,2,FALSE),""))&amp;IF($BJ331=2," PAIR","")&amp;" DOOR | "&amp;IF($AL331="","?",$AL331)&amp;" | "&amp;IF($AO331="",IFERROR(VLOOKUP($AC331,CODES,2,FALSE),""),IFERROR(VLOOKUP($AO331,CODES,2,FALSE),""))&amp;" "&amp;IFERROR(VLOOKUP($AP331,CODES,2,FALSE),"")&amp;IF(OR($AQ331="",$AQ331="-"),""," SEAM "&amp;$AQ331)&amp;IF($AR331="Y"," ASTRAGAL","")&amp;IF($AJ331=""," "," "&amp;$AJ331)&amp;IF($AK331=""," "," "&amp;$AK331)&amp;IF(OR($AT331="",$AT331="ANSI/SDI",$AT331="CUSTOM LOC"),""," "&amp;$AT331)&amp;IF($AM331=""," "," SERIES "&amp;$AM331)&amp;" "&amp;IFERROR(VLOOKUP($H331,CODES,2,FALSE),"")&amp;IF($CT331," | LOC "&amp;$CZ331,"")))</f>
        <v/>
      </c>
      <c r="CL331" s="84">
        <f>IF(CP331="","",IF(COUNTIF($CP$6:CP331,CP331)=1,MAX($CL$5:CL330)+1,INDEX($CL$5:CL330,MATCH(CP331,$CP$5:CP330,0))))</f>
        <v/>
      </c>
      <c r="CM331" s="84">
        <f>IF(NOT(AND($A331&lt;&gt;"",$C331&lt;&gt;"DOOR ONLY")),"",MAX($CM$5:CM330)+1)</f>
        <v/>
      </c>
      <c r="CN331" s="84">
        <f>IF(NOT(AND($A331&lt;&gt;"",N($BJ331)&gt;0)),"",MAX($CN$5:CN330)+1)</f>
        <v/>
      </c>
      <c r="CO331" s="84">
        <f>IF($A331="","",MAX($CO$5:CO330)+1)</f>
        <v/>
      </c>
      <c r="CP331" s="84">
        <f>IF(OR($A331="",$BH331="",$BI331=""),"",$BG331&amp;"|"&amp;$O331&amp;"|"&amp;$AL331&amp;"|"&amp;$S331&amp;"|"&amp;$P331&amp;"|"&amp;$Q331&amp;$R331&amp;"|"&amp;$C331&amp;"|"&amp;$AB331)</f>
        <v/>
      </c>
      <c r="CQ331" s="84">
        <f>N($BS331)</f>
        <v/>
      </c>
      <c r="CR331" s="84">
        <f>IF(N($AU331)&gt;0,N($AU331),4.5)</f>
        <v/>
      </c>
      <c r="CS331" s="84">
        <f>OR($A331="",$BI331="",$S331="BL",AND($C331="FRAME ONLY",OR($AC331="",$AC331="BLK")))</f>
        <v/>
      </c>
      <c r="CT331" s="84">
        <f>AND(NOT($CS331),OR($AT331="CUSTOM LOC",N($AW331)+N($AX331)+N($AY331)+N($AZ331)+N($BA331)&gt;0))</f>
        <v/>
      </c>
      <c r="CU331" s="84">
        <f>IF($BI331="","",IF($BI331&lt;=80,80,IF($BI331&lt;=84,84,96)))</f>
        <v/>
      </c>
      <c r="CV331" s="84">
        <f>ISNUMBER(MATCH($AT331&amp;"|80",LocKeys,0))</f>
        <v/>
      </c>
      <c r="CW331" s="86">
        <f>IF($CS331,"",IF($CV331,VLOOKUP($AT331&amp;"|"&amp;$CU331,LocTable,4,FALSE),5))</f>
        <v/>
      </c>
      <c r="CX331" s="86">
        <f>IF($CS331,"",IF($CV331,IF(OR($BI331=$CU331,AND($BI331&lt;$CU331,$BI331-IF(N(VLOOKUP($AT331&amp;"|"&amp;$CU331,LocTable,7,FALSE))&gt;0,VLOOKUP($AT331&amp;"|"&amp;$CU331,LocTable,7,FALSE),VLOOKUP($AT331&amp;"|"&amp;$CU331,LocTable,6,FALSE))-$CR331-0.75&gt;=2.125)),IF(N(VLOOKUP($AT331&amp;"|"&amp;$CU331,LocTable,7,FALSE))&gt;0,VLOOKUP($AT331&amp;"|"&amp;$CU331,LocTable,7,FALSE),VLOOKUP($AT331&amp;"|"&amp;$CU331,LocTable,6,FALSE)),$BI331-($CU331-IF(N(VLOOKUP($AT331&amp;"|"&amp;$CU331,LocTable,7,FALSE))&gt;0,VLOOKUP($AT331&amp;"|"&amp;$CU331,LocTable,7,FALSE),VLOOKUP($AT331&amp;"|"&amp;$CU331,LocTable,6,FALSE)))),$BI331-10-$CR331))</f>
        <v/>
      </c>
      <c r="CY331" s="85">
        <f>IF($CS331,"",TRIM(IF(ISNUMBER($BU331),"A "&amp;TRIM(TEXT($BU331,"# ?/??"))&amp;CHAR(34)&amp;"  ","")&amp;IF(ISNUMBER($BV331),"B "&amp;TRIM(TEXT($BV331,"# ?/??"))&amp;CHAR(34)&amp;"  ","")&amp;IF(ISNUMBER($BW331),"C "&amp;TRIM(TEXT($BW331,"# ?/??"))&amp;CHAR(34)&amp;"  ","")&amp;IF(ISNUMBER($BX331),"D "&amp;TRIM(TEXT($BX331,"# ?/??"))&amp;CHAR(34)&amp;"  ","")&amp;IF(ISNUMBER($BY331),"F "&amp;TRIM(TEXT($BY331,"# ?/??"))&amp;CHAR(34)&amp;"  ","")&amp;IF(ISNUMBER($BZ331),"E "&amp;TRIM(TEXT($BZ331,"# ?/??"))&amp;CHAR(34)&amp;"  ","")))</f>
        <v/>
      </c>
      <c r="CZ331" s="85">
        <f>IF(OR($CS331,N($BJ331)=0),"",TRIM(IF(ISNUMBER($BU331),"A "&amp;TRIM(TEXT($BU331-HeadClr,"# ?/??"))&amp;CHAR(34)&amp;"  ","")&amp;IF(ISNUMBER($BV331),"B "&amp;TRIM(TEXT($BV331-HeadClr,"# ?/??"))&amp;CHAR(34)&amp;"  ","")&amp;IF(ISNUMBER($BW331),"C "&amp;TRIM(TEXT($BW331-HeadClr,"# ?/??"))&amp;CHAR(34)&amp;"  ","")&amp;IF(ISNUMBER($BX331),"D "&amp;TRIM(TEXT($BX331-HeadClr,"# ?/??"))&amp;CHAR(34)&amp;"  ","")&amp;IF(ISNUMBER($BY331),"F "&amp;TRIM(TEXT($BY331-HeadClr,"# ?/??"))&amp;CHAR(34)&amp;"  ","")&amp;IF(ISNUMBER($BZ331),"E "&amp;TRIM(TEXT($BZ331-HeadClr,"# ?/??"))&amp;CHAR(34)&amp;"  ","")))</f>
        <v/>
      </c>
      <c r="DA331" s="84">
        <f>IF($A331="","",IF($AN331="",IFERROR(VLOOKUP($Z331,CODES,2,FALSE),""),IFERROR(VLOOKUP($AN331,CODES,2,FALSE),"")))</f>
        <v/>
      </c>
      <c r="DB331" s="84">
        <f>IF($A331="","",IF($O331="Y","PR",IF(OR($Z331="L",$Z331="RR",LEFT($Z331,2)="L-",LEFT($Z331,3)="RR-"),"LH","RH")))</f>
        <v/>
      </c>
      <c r="DC331" s="84">
        <f>IF($A331="","","S.HM"&amp;IF(OR($C331="DOOR ONLY",$X331&lt;&gt;"KD"),"MASONRY","DRYWALL")&amp;IF($C331="DOOR ONLY","",$U331)&amp;IF(AND($C331&lt;&gt;"FRAME ONLY",OR(LEFT($AH331,3)="OAK",LEFT($AH331,3)="BIR",LEFT($AH331,3)="MAP",$AH331="PC",$AH331="MC",$AH331="SCLC",$AH331="P-LAM")),"WD","HM")&amp;"1.75")</f>
        <v/>
      </c>
      <c r="DD331" s="84">
        <f>IF($CJ331="","",IF($O331="Y",$CJ331,SUBSTITUTE($CJ331,$BG331&amp;" "&amp;IFERROR(VLOOKUP($Z331,CODES,2,FALSE),"")&amp;" ",$BG331&amp;" ")))</f>
        <v/>
      </c>
      <c r="DE331" s="84">
        <f>IF($CK331="","",IF($O331="Y",$CK331,SUBSTITUTE($CK331,$BG331&amp;" "&amp;IF($AN331="",IFERROR(VLOOKUP($Z331,CODES,2,FALSE),""),IFERROR(VLOOKUP($AN331,CODES,2,FALSE),""))&amp;" ",$BG331&amp;" ")))</f>
        <v/>
      </c>
      <c r="DF331" s="84">
        <f>IF($CJ331="","",$DC331&amp;"|"&amp;$DD331&amp;"|"&amp;$DB331&amp;"|"&amp;$AT331&amp;"|"&amp;$V331&amp;"|"&amp;$Y331&amp;"|"&amp;$AB331)</f>
        <v/>
      </c>
      <c r="DG331" s="84">
        <f>IF(DF331="","",IF(COUNTIF($DF$6:DF331,DF331)=1,MAX($DG$5:DG330)+1,INDEX($DG$5:DG330,MATCH(DF331,$DF$5:DF330,0))))</f>
        <v/>
      </c>
      <c r="DH331" s="84">
        <f>IF($CK331="","",$DC331&amp;"|"&amp;$DE331&amp;"|"&amp;$AI331&amp;"|"&amp;$BK331&amp;"|"&amp;$BL331)</f>
        <v/>
      </c>
      <c r="DI331" s="84">
        <f>IF(DH331="","",IF(COUNTIF($DH$6:DH331,DH331)=1,MAX($DI$5:DI330)+1,INDEX($DI$5:DI330,MATCH(DH331,$DH$5:DH330,0))))</f>
        <v/>
      </c>
      <c r="DJ331" s="84">
        <f>IF($A331="","",IF($B331="","qty, ","")&amp;IF($C331="","scope, ","")&amp;IF(OR($K331="",$M331=""),"size, ","")&amp;IF(AND($A331&lt;&gt;"",$C331&lt;&gt;"DOOR ONLY"),IF($U331="","jamb depth, ","")&amp;IF($X331="","construction, ","")&amp;IF($Y331="","anchor, ","")&amp;IF($S331="","frame type, ",""),"")&amp;IF(AND(N($BJ331)&gt;0,$Z331=""),"hand, ","")&amp;IF(N($BJ331)&gt;0,IF($AH331="","door material, ","")&amp;IF($AL331="","face type, ","")&amp;IF($AP331="","lock prep, ","")&amp;IF(AND($AO331="",$AC331=""),"hinge prep, ",""),"")&amp;IF(AND($CH331&gt;0,$AH331="FRP"),"FRP cannot carry a label, ","")&amp;IF(AND($O331="Y",OR($Z331="L",$Z331="R",$Z331="LR",$Z331="RR")),"pair marked but hand is single, ","")&amp;IF(AND($O331&lt;&gt;"Y",OR($Z331="PR",AND(LEN($Z331)&gt;1,ISNUMBER(SEARCH("-",$Z331))))),"pair hand on a single door, ","")&amp;IF(AND(ISNUMBER($CI331),$CH331&lt;N($CI331)),"wall needs a "&amp;$CI331&amp;" min door, ","")&amp;IF(AND($CH331&gt;=180,AND(OR($CE331="FG",$CE331="HG",$CE331="FNV",$CE331="FV"),N($CF331)*N($CG331)&gt;100)),"180 min lite over 100 sq in, ","")&amp;IF(N($BK331)&gt;48,"leaf wider than 4'-0"&amp;CHAR(34)&amp;", ","")&amp;IF(AND($CT331,COUNT($AW331:$AZ331)=0,$CQ331&gt;0),"CUSTOM LOC with no locations typed, ",""))</f>
        <v/>
      </c>
      <c r="DK331" s="84">
        <f>IF($A331="","",IF(AND($CH331&gt;0,AND($A331&lt;&gt;"",$C331&lt;&gt;"DOOR ONLY"),$X331="KD",$E331="EXTERIOR"),"KD label on an exterior opening, ","")&amp;IF(AND($E331="EXTERIOR",OR(AND(AND($A331&lt;&gt;"",$C331&lt;&gt;"DOOR ONLY"),$W331="CR"),AND(N($BJ331)&gt;0,$AH331="CR"))),"exterior in CR steel (G9?), ","")&amp;IF(AND(ISNUMBER($BQ331),N($BQ331)&lt;32),"clear width ~"&amp;TEXT($BQ331,"0.0")&amp;CHAR(34)&amp;" under 32"&amp;CHAR(34)&amp;" (ADA), ","")&amp;IF(AND($CH331=90,AND(OR($CE331="FG",$CE331="HG",$CE331="FNV",$CE331="FV"),N($CF331)*N($CG331)&gt;100)),"90 min lite over 100 sq in (stair/exit), ","")&amp;IF(AND($CH331&gt;0,AND($A331&lt;&gt;"",$C331&lt;&gt;"DOOR ONLY"),OR($AF331="",$AF331="-")),"rated: closer reinf.?, ","")&amp;IF(OR($I331="CORRIDOR",$I331="SMOKE BARRIER"),"S label + smoke gasketing, ","")&amp;IF($CI331="?","wall type/hr not in IBC table, ","")&amp;IF(AND(N($BJ331)&gt;0,$BB331=""),"no hardware set, ","")&amp;IF(AND($BB331&lt;&gt;"",ISNA(MATCH($BB331&amp;"",HWSets,0))),"set "&amp;$BB331&amp;" not on HW Sets, ","")&amp;IF(N($BL331)&gt;96,"leaf over 8'-0"&amp;CHAR(34)&amp;" - check listing, ","")&amp;IF(AND($CT331,COUNT($AW331:$AZ331)&gt;0,COUNT($AW331:$AZ331)&lt;&gt;$CQ331),COUNT($AW331:$AZ331)&amp;" custom hinges typed, "&amp;$CQ331&amp;" expected, ","")&amp;IF(AND(ISNUMBER($CA331),OR(N($CA331)&lt;34,N($CA331)&gt;48)),"lock "&amp;TEXT($CA331,"0.0")&amp;CHAR(34)&amp;" AFF outside 34-48"&amp;CHAR(34)&amp;" (ADA), ","")&amp;IF(AND(ISNUMBER($AV331),ISNUMBER($BL331),N($AV331)&lt;IF(N($BL331)&lt;=60,2,IF(N($BL331)&lt;=90,3,IF(N($BL331)&lt;=120,4,5)))),"fewer hinges than standard, ",""))</f>
        <v/>
      </c>
    </row>
    <row r="332" ht="15" customHeight="1">
      <c r="A332" s="77" t="n"/>
      <c r="B332" s="78" t="n"/>
      <c r="C332" s="78" t="n"/>
      <c r="D332" s="78" t="n"/>
      <c r="E332" s="78" t="n"/>
      <c r="F332" s="78" t="n"/>
      <c r="G332" s="78" t="n"/>
      <c r="H332" s="78" t="n"/>
      <c r="I332" s="78" t="n"/>
      <c r="J332" s="78" t="n"/>
      <c r="K332" s="78" t="n"/>
      <c r="L332" s="78" t="n"/>
      <c r="M332" s="78" t="n"/>
      <c r="N332" s="78" t="n"/>
      <c r="O332" s="78" t="n"/>
      <c r="P332" s="78" t="n"/>
      <c r="Q332" s="78" t="n"/>
      <c r="R332" s="78" t="n"/>
      <c r="S332" s="79" t="n"/>
      <c r="T332" s="79" t="n"/>
      <c r="U332" s="79" t="n"/>
      <c r="V332" s="79" t="n"/>
      <c r="W332" s="79" t="n"/>
      <c r="X332" s="79" t="n"/>
      <c r="Y332" s="79" t="n"/>
      <c r="Z332" s="79" t="n"/>
      <c r="AA332" s="79" t="n"/>
      <c r="AB332" s="79" t="n"/>
      <c r="AC332" s="79" t="n"/>
      <c r="AD332" s="79" t="n"/>
      <c r="AE332" s="79" t="n"/>
      <c r="AF332" s="79" t="n"/>
      <c r="AG332" s="79" t="n"/>
      <c r="AH332" s="80" t="n"/>
      <c r="AI332" s="80" t="n"/>
      <c r="AJ332" s="80" t="n"/>
      <c r="AK332" s="80" t="n"/>
      <c r="AL332" s="80" t="n"/>
      <c r="AM332" s="80" t="n"/>
      <c r="AN332" s="80" t="n"/>
      <c r="AO332" s="80" t="n"/>
      <c r="AP332" s="80" t="n"/>
      <c r="AQ332" s="80" t="n"/>
      <c r="AR332" s="80" t="n"/>
      <c r="AS332" s="80" t="n"/>
      <c r="AT332" s="81" t="n"/>
      <c r="AU332" s="81" t="n"/>
      <c r="AV332" s="81" t="n"/>
      <c r="AW332" s="82" t="n"/>
      <c r="AX332" s="82" t="n"/>
      <c r="AY332" s="82" t="n"/>
      <c r="AZ332" s="82" t="n"/>
      <c r="BA332" s="82" t="n"/>
      <c r="BB332" s="83" t="n"/>
      <c r="BC332" s="83" t="n"/>
      <c r="BD332" s="84">
        <f>IF($A332="","",IF($DJ332&lt;&gt;"","FIX",IF($DK332&lt;&gt;"","CHECK","OK")))</f>
        <v/>
      </c>
      <c r="BE332" s="85">
        <f>IF($A332="","",IF($DJ332&lt;&gt;"","FIX: "&amp;LEFT($DJ332,LEN($DJ332)-2)&amp;IF($DK332&lt;&gt;"","  ·  ",""),"")&amp;IF($DK332&lt;&gt;"","CHECK: "&amp;LEFT($DK332,LEN($DK332)-2),""))</f>
        <v/>
      </c>
      <c r="BF332" s="84">
        <f>IF(OR($A332="",$K332=""),"",$K332&amp;"'-"&amp;N($L332)&amp;CHAR(34)&amp;" x "&amp;$M332&amp;"'-"&amp;N($N332)&amp;CHAR(34))</f>
        <v/>
      </c>
      <c r="BG332" s="84">
        <f>IF(OR($A332="",$K332=""),"",$K332&amp;N($L332)&amp;$M332&amp;N($N332))</f>
        <v/>
      </c>
      <c r="BH332" s="84">
        <f>IF(OR($A332="",$K332=""),"",$K332*12+N($L332))</f>
        <v/>
      </c>
      <c r="BI332" s="84">
        <f>IF(OR($A332="",$M332=""),"",$M332*12+N($N332))</f>
        <v/>
      </c>
      <c r="BJ332" s="84">
        <f>IF($A332="","",IF(OR($C332="FRAME ONLY",$S332="BL"),0,IF($O332="Y",2,1)))</f>
        <v/>
      </c>
      <c r="BK332" s="86">
        <f>IF(OR(N($BJ332)=0,$BH332=""),"",($BH332-2*EdgeClr-IF($BJ332=2,MeetClr,0))/$BJ332)</f>
        <v/>
      </c>
      <c r="BL332" s="86">
        <f>IF(OR(N($BJ332)=0,$BI332=""),"",$BI332-HeadClr-Undercut)</f>
        <v/>
      </c>
      <c r="BM332" s="86">
        <f>IF($BH332="","",$BH332+2*FaceW+IF(N($Q332)&gt;0,($Q332+FaceW)*IF($R332="LR",2,1),0))</f>
        <v/>
      </c>
      <c r="BN332" s="86">
        <f>IF($BI332="","",$BI332+IF($AB332="Y",4,FaceW)+IF(N($P332)&gt;0,$P332+FaceW,0)+IF(OR($S332="4F",$S332="BL"),FaceW,0))</f>
        <v/>
      </c>
      <c r="BO332" s="86">
        <f>IF($BM332="","",$BM332+2*ROSide)</f>
        <v/>
      </c>
      <c r="BP332" s="86">
        <f>IF($BN332="","",$BN332+ROTop)</f>
        <v/>
      </c>
      <c r="BQ332" s="87">
        <f>IF(OR(N($BJ332)=0,$BH332=""),"",$BH332/$BJ332-ClearDeduct)</f>
        <v/>
      </c>
      <c r="BR332" s="84">
        <f>IF(N($CH332)=0,"",IF($CH332&gt;=180,"A · 3 HR",IF($CH332&gt;=90,"B · 1-1/2 HR",IF($CH332&gt;=60,"B · 1 HR",IF($CH332&gt;=45,"C · 3/4 HR","20 MIN")))))&amp;IF(AND(N($CH332)&gt;0,OR($I332="CORRIDOR",$I332="SMOKE BARRIER"))," · S","")</f>
        <v/>
      </c>
      <c r="BS332" s="84">
        <f>IF($CS332,"",IF($AV332&lt;&gt;"",$AV332,IF(OR($AC332="HGC",$AO332="HGC"),"CONT",IF(($BI332-HeadClr-Undercut)&lt;=60,2,IF(($BI332-HeadClr-Undercut)&lt;=90,3,IF(($BI332-HeadClr-Undercut)&lt;=120,4,5))))))</f>
        <v/>
      </c>
      <c r="BT332" s="84">
        <f>IF($CS332,"",IF($CT332,"CUSTOM (typed)",IF($CV332,$AT332&amp;" "&amp;$CU332&amp;CHAR(34)&amp;IF($CU332&lt;&gt;$BI332,IF(AND($BI332&lt;$CU332,$BI332-IF(N(VLOOKUP($AT332&amp;"|"&amp;$CU332,LocTable,7,FALSE))&gt;0,VLOOKUP($AT332&amp;"|"&amp;$CU332,LocTable,7,FALSE),VLOOKUP($AT332&amp;"|"&amp;$CU332,LocTable,6,FALSE))-$CR332-0.75&gt;=2.125)," cut down"," adj."),""),"ANSI/SDI A250.6")))</f>
        <v/>
      </c>
      <c r="BU332" s="88">
        <f>IF($CS332,"",IF($CT332,IF(N($AW332)&gt;0,N($AW332),""),IF(1&gt;$CQ332,"",IF($CQ332=1,$CW332,$CW332+($CX332-$CW332)*0/($CQ332-1)))))</f>
        <v/>
      </c>
      <c r="BV332" s="88">
        <f>IF($CS332,"",IF($CT332,IF(N($AX332)&gt;0,N($AX332),""),IF(2&gt;$CQ332,"",IF($CQ332=1,$CW332,$CW332+($CX332-$CW332)*1/($CQ332-1)))))</f>
        <v/>
      </c>
      <c r="BW332" s="88">
        <f>IF($CS332,"",IF($CT332,IF(N($AY332)&gt;0,N($AY332),""),IF(3&gt;$CQ332,"",IF($CQ332=1,$CW332,$CW332+($CX332-$CW332)*2/($CQ332-1)))))</f>
        <v/>
      </c>
      <c r="BX332" s="88">
        <f>IF($CS332,"",IF($CT332,IF(N($AZ332)&gt;0,N($AZ332),""),IF(4&gt;$CQ332,"",IF($CQ332=1,$CW332,$CW332+($CX332-$CW332)*3/($CQ332-1)))))</f>
        <v/>
      </c>
      <c r="BY332" s="88">
        <f>IF($CS332,"",IF($CT332,"",IF(5&gt;$CQ332,"",IF($CQ332=1,$CW332,$CW332+($CX332-$CW332)*4/($CQ332-1)))))</f>
        <v/>
      </c>
      <c r="BZ332" s="88">
        <f>IF(OR($CS332,$AP332="-",AND($AP332="",$AD332="")),"",IF(N($BA332)&gt;0,N($BA332),IF($CV332,IF(AND($BI332&lt;$CU332,$BI332-IF(N(VLOOKUP($AT332&amp;"|"&amp;$CU332,LocTable,7,FALSE))&gt;0,VLOOKUP($AT332&amp;"|"&amp;$CU332,LocTable,7,FALSE),VLOOKUP($AT332&amp;"|"&amp;$CU332,LocTable,6,FALSE))-$CR332-0.75&gt;=2.125),VLOOKUP($AT332&amp;"|"&amp;$CU332,LocTable,8,FALSE),VLOOKUP($AT332&amp;"|"&amp;$CU332,LocTable,8,FALSE)+($BI332-$CU332)),$BI332-LockAFF)))</f>
        <v/>
      </c>
      <c r="CA332" s="89">
        <f>IF($BZ332="","",$BI332-$BZ332)</f>
        <v/>
      </c>
      <c r="CB332" s="84">
        <f>IF(OR(NOT(AND($A332&lt;&gt;"",$C332&lt;&gt;"DOOR ONLY")),$BI332=""),"",IF(($BI332+IF(N($P332)&gt;0,$P332+FaceW,0))&lt;=90,3,IF(($BI332+IF(N($P332)&gt;0,$P332+FaceW,0))&lt;=114,4,5)))</f>
        <v/>
      </c>
      <c r="CC332" s="84">
        <f>IF($CB332="","",$CB332*(2+IF(N($Q332)&gt;0,IF($R332="LR",2,1),0)))</f>
        <v/>
      </c>
      <c r="CD332" s="84">
        <f>IF($CB332="","",(2+IF(N($Q332)&gt;0,IF($R332="LR",2,1),0)))</f>
        <v/>
      </c>
      <c r="CE332" s="84">
        <f>IF(N($BJ332)=0,"",IF(OR($AL332="",$AL332="FLUSH"),"FLUSH",IFERROR(LEFT($AL332,FIND("-",$AL332)-1),LEFT($AL332,2))))</f>
        <v/>
      </c>
      <c r="CF332" s="84">
        <f>IF($CE332="","",IFERROR(VALUE(MID($AL332,FIND("-",$AL332)+1,FIND(CHAR(34)&amp;"x",$AL332)-FIND("-",$AL332)-1)),0))</f>
        <v/>
      </c>
      <c r="CG332" s="84">
        <f>IF($CE332="","",IFERROR(VALUE(MID($AL332,FIND(CHAR(34)&amp;"x",$AL332)+2,FIND(CHAR(34),$AL332,FIND(CHAR(34)&amp;"x",$AL332)+2)-FIND(CHAR(34)&amp;"x",$AL332)-2)),0))</f>
        <v/>
      </c>
      <c r="CH332" s="90">
        <f>IF(OR($A332="",$H332="",$H332="NO LAB"),0,IFERROR(VALUE(LEFT($H332,FIND(" ",$H332)-1)),0))</f>
        <v/>
      </c>
      <c r="CI332" s="91">
        <f>IF(OR($A332="",$I332="",$I332="NON-RATED",N($J332)=0),"",IFERROR(VLOOKUP($I332&amp;"|"&amp;$J332,IBC,2,FALSE),"?"))</f>
        <v/>
      </c>
      <c r="CJ332" s="85">
        <f>IF(NOT(AND($A332&lt;&gt;"",$C332&lt;&gt;"DOOR ONLY")),"",TRIM(IFERROR(VLOOKUP($U332,CODES,2,FALSE),"")&amp;" "&amp;$BG332&amp;" "&amp;IFERROR(VLOOKUP($Z332,CODES,2,FALSE),"")&amp;" "&amp;IFERROR(VLOOKUP($X332,CODES,2,FALSE),"")&amp;" "&amp;IFERROR(VLOOKUP($S332,CODES,2,FALSE),"")&amp;IF(N($P332)&gt;0," w/TRANSOM "&amp;$P332&amp;CHAR(34),"")&amp;IF(N($Q332)&gt;0," w/SIDELITE "&amp;$Q332&amp;CHAR(34)&amp;" "&amp;IF($R332="","R",$R332),"")&amp;IF($Y332="","  |  "," | "&amp;IFERROR(VLOOKUP($Y332,CODES,2,FALSE),"")&amp;" | ")&amp;IFERROR(VLOOKUP($AC332,CODES,2,FALSE),"")&amp;" "&amp;IFERROR(VLOOKUP($AD332,CODES,2,FALSE),"")&amp;IF(OR($AE332="",$AE332="-"),""," "&amp;$AE332)&amp;IF(OR($AF332="",$AF332="-"),""," "&amp;$AF332)&amp;IF($AB332="Y"," 4"&amp;CHAR(34)&amp;" HEAD","")&amp;" "&amp;IFERROR(VLOOKUP($H332,CODES,2,FALSE),"")&amp;IF($CT332," | LOC "&amp;$CY332,"")))</f>
        <v/>
      </c>
      <c r="CK332" s="85">
        <f>IF(NOT(AND($A332&lt;&gt;"",N($BJ332)&gt;0)),"",TRIM(IFERROR(VLOOKUP($AH332,CODES,2,FALSE),"")&amp;IF($AI332=""," "," "&amp;$AI332&amp;"GA ")&amp;$BG332&amp;" "&amp;IF($AN332="",IFERROR(VLOOKUP($Z332,CODES,2,FALSE),""),IFERROR(VLOOKUP($AN332,CODES,2,FALSE),""))&amp;IF($BJ332=2," PAIR","")&amp;" DOOR | "&amp;IF($AL332="","?",$AL332)&amp;" | "&amp;IF($AO332="",IFERROR(VLOOKUP($AC332,CODES,2,FALSE),""),IFERROR(VLOOKUP($AO332,CODES,2,FALSE),""))&amp;" "&amp;IFERROR(VLOOKUP($AP332,CODES,2,FALSE),"")&amp;IF(OR($AQ332="",$AQ332="-"),""," SEAM "&amp;$AQ332)&amp;IF($AR332="Y"," ASTRAGAL","")&amp;IF($AJ332=""," "," "&amp;$AJ332)&amp;IF($AK332=""," "," "&amp;$AK332)&amp;IF(OR($AT332="",$AT332="ANSI/SDI",$AT332="CUSTOM LOC"),""," "&amp;$AT332)&amp;IF($AM332=""," "," SERIES "&amp;$AM332)&amp;" "&amp;IFERROR(VLOOKUP($H332,CODES,2,FALSE),"")&amp;IF($CT332," | LOC "&amp;$CZ332,"")))</f>
        <v/>
      </c>
      <c r="CL332" s="84">
        <f>IF(CP332="","",IF(COUNTIF($CP$6:CP332,CP332)=1,MAX($CL$5:CL331)+1,INDEX($CL$5:CL331,MATCH(CP332,$CP$5:CP331,0))))</f>
        <v/>
      </c>
      <c r="CM332" s="84">
        <f>IF(NOT(AND($A332&lt;&gt;"",$C332&lt;&gt;"DOOR ONLY")),"",MAX($CM$5:CM331)+1)</f>
        <v/>
      </c>
      <c r="CN332" s="84">
        <f>IF(NOT(AND($A332&lt;&gt;"",N($BJ332)&gt;0)),"",MAX($CN$5:CN331)+1)</f>
        <v/>
      </c>
      <c r="CO332" s="84">
        <f>IF($A332="","",MAX($CO$5:CO331)+1)</f>
        <v/>
      </c>
      <c r="CP332" s="84">
        <f>IF(OR($A332="",$BH332="",$BI332=""),"",$BG332&amp;"|"&amp;$O332&amp;"|"&amp;$AL332&amp;"|"&amp;$S332&amp;"|"&amp;$P332&amp;"|"&amp;$Q332&amp;$R332&amp;"|"&amp;$C332&amp;"|"&amp;$AB332)</f>
        <v/>
      </c>
      <c r="CQ332" s="84">
        <f>N($BS332)</f>
        <v/>
      </c>
      <c r="CR332" s="84">
        <f>IF(N($AU332)&gt;0,N($AU332),4.5)</f>
        <v/>
      </c>
      <c r="CS332" s="84">
        <f>OR($A332="",$BI332="",$S332="BL",AND($C332="FRAME ONLY",OR($AC332="",$AC332="BLK")))</f>
        <v/>
      </c>
      <c r="CT332" s="84">
        <f>AND(NOT($CS332),OR($AT332="CUSTOM LOC",N($AW332)+N($AX332)+N($AY332)+N($AZ332)+N($BA332)&gt;0))</f>
        <v/>
      </c>
      <c r="CU332" s="84">
        <f>IF($BI332="","",IF($BI332&lt;=80,80,IF($BI332&lt;=84,84,96)))</f>
        <v/>
      </c>
      <c r="CV332" s="84">
        <f>ISNUMBER(MATCH($AT332&amp;"|80",LocKeys,0))</f>
        <v/>
      </c>
      <c r="CW332" s="86">
        <f>IF($CS332,"",IF($CV332,VLOOKUP($AT332&amp;"|"&amp;$CU332,LocTable,4,FALSE),5))</f>
        <v/>
      </c>
      <c r="CX332" s="86">
        <f>IF($CS332,"",IF($CV332,IF(OR($BI332=$CU332,AND($BI332&lt;$CU332,$BI332-IF(N(VLOOKUP($AT332&amp;"|"&amp;$CU332,LocTable,7,FALSE))&gt;0,VLOOKUP($AT332&amp;"|"&amp;$CU332,LocTable,7,FALSE),VLOOKUP($AT332&amp;"|"&amp;$CU332,LocTable,6,FALSE))-$CR332-0.75&gt;=2.125)),IF(N(VLOOKUP($AT332&amp;"|"&amp;$CU332,LocTable,7,FALSE))&gt;0,VLOOKUP($AT332&amp;"|"&amp;$CU332,LocTable,7,FALSE),VLOOKUP($AT332&amp;"|"&amp;$CU332,LocTable,6,FALSE)),$BI332-($CU332-IF(N(VLOOKUP($AT332&amp;"|"&amp;$CU332,LocTable,7,FALSE))&gt;0,VLOOKUP($AT332&amp;"|"&amp;$CU332,LocTable,7,FALSE),VLOOKUP($AT332&amp;"|"&amp;$CU332,LocTable,6,FALSE)))),$BI332-10-$CR332))</f>
        <v/>
      </c>
      <c r="CY332" s="85">
        <f>IF($CS332,"",TRIM(IF(ISNUMBER($BU332),"A "&amp;TRIM(TEXT($BU332,"# ?/??"))&amp;CHAR(34)&amp;"  ","")&amp;IF(ISNUMBER($BV332),"B "&amp;TRIM(TEXT($BV332,"# ?/??"))&amp;CHAR(34)&amp;"  ","")&amp;IF(ISNUMBER($BW332),"C "&amp;TRIM(TEXT($BW332,"# ?/??"))&amp;CHAR(34)&amp;"  ","")&amp;IF(ISNUMBER($BX332),"D "&amp;TRIM(TEXT($BX332,"# ?/??"))&amp;CHAR(34)&amp;"  ","")&amp;IF(ISNUMBER($BY332),"F "&amp;TRIM(TEXT($BY332,"# ?/??"))&amp;CHAR(34)&amp;"  ","")&amp;IF(ISNUMBER($BZ332),"E "&amp;TRIM(TEXT($BZ332,"# ?/??"))&amp;CHAR(34)&amp;"  ","")))</f>
        <v/>
      </c>
      <c r="CZ332" s="85">
        <f>IF(OR($CS332,N($BJ332)=0),"",TRIM(IF(ISNUMBER($BU332),"A "&amp;TRIM(TEXT($BU332-HeadClr,"# ?/??"))&amp;CHAR(34)&amp;"  ","")&amp;IF(ISNUMBER($BV332),"B "&amp;TRIM(TEXT($BV332-HeadClr,"# ?/??"))&amp;CHAR(34)&amp;"  ","")&amp;IF(ISNUMBER($BW332),"C "&amp;TRIM(TEXT($BW332-HeadClr,"# ?/??"))&amp;CHAR(34)&amp;"  ","")&amp;IF(ISNUMBER($BX332),"D "&amp;TRIM(TEXT($BX332-HeadClr,"# ?/??"))&amp;CHAR(34)&amp;"  ","")&amp;IF(ISNUMBER($BY332),"F "&amp;TRIM(TEXT($BY332-HeadClr,"# ?/??"))&amp;CHAR(34)&amp;"  ","")&amp;IF(ISNUMBER($BZ332),"E "&amp;TRIM(TEXT($BZ332-HeadClr,"# ?/??"))&amp;CHAR(34)&amp;"  ","")))</f>
        <v/>
      </c>
      <c r="DA332" s="84">
        <f>IF($A332="","",IF($AN332="",IFERROR(VLOOKUP($Z332,CODES,2,FALSE),""),IFERROR(VLOOKUP($AN332,CODES,2,FALSE),"")))</f>
        <v/>
      </c>
      <c r="DB332" s="84">
        <f>IF($A332="","",IF($O332="Y","PR",IF(OR($Z332="L",$Z332="RR",LEFT($Z332,2)="L-",LEFT($Z332,3)="RR-"),"LH","RH")))</f>
        <v/>
      </c>
      <c r="DC332" s="84">
        <f>IF($A332="","","S.HM"&amp;IF(OR($C332="DOOR ONLY",$X332&lt;&gt;"KD"),"MASONRY","DRYWALL")&amp;IF($C332="DOOR ONLY","",$U332)&amp;IF(AND($C332&lt;&gt;"FRAME ONLY",OR(LEFT($AH332,3)="OAK",LEFT($AH332,3)="BIR",LEFT($AH332,3)="MAP",$AH332="PC",$AH332="MC",$AH332="SCLC",$AH332="P-LAM")),"WD","HM")&amp;"1.75")</f>
        <v/>
      </c>
      <c r="DD332" s="84">
        <f>IF($CJ332="","",IF($O332="Y",$CJ332,SUBSTITUTE($CJ332,$BG332&amp;" "&amp;IFERROR(VLOOKUP($Z332,CODES,2,FALSE),"")&amp;" ",$BG332&amp;" ")))</f>
        <v/>
      </c>
      <c r="DE332" s="84">
        <f>IF($CK332="","",IF($O332="Y",$CK332,SUBSTITUTE($CK332,$BG332&amp;" "&amp;IF($AN332="",IFERROR(VLOOKUP($Z332,CODES,2,FALSE),""),IFERROR(VLOOKUP($AN332,CODES,2,FALSE),""))&amp;" ",$BG332&amp;" ")))</f>
        <v/>
      </c>
      <c r="DF332" s="84">
        <f>IF($CJ332="","",$DC332&amp;"|"&amp;$DD332&amp;"|"&amp;$DB332&amp;"|"&amp;$AT332&amp;"|"&amp;$V332&amp;"|"&amp;$Y332&amp;"|"&amp;$AB332)</f>
        <v/>
      </c>
      <c r="DG332" s="84">
        <f>IF(DF332="","",IF(COUNTIF($DF$6:DF332,DF332)=1,MAX($DG$5:DG331)+1,INDEX($DG$5:DG331,MATCH(DF332,$DF$5:DF331,0))))</f>
        <v/>
      </c>
      <c r="DH332" s="84">
        <f>IF($CK332="","",$DC332&amp;"|"&amp;$DE332&amp;"|"&amp;$AI332&amp;"|"&amp;$BK332&amp;"|"&amp;$BL332)</f>
        <v/>
      </c>
      <c r="DI332" s="84">
        <f>IF(DH332="","",IF(COUNTIF($DH$6:DH332,DH332)=1,MAX($DI$5:DI331)+1,INDEX($DI$5:DI331,MATCH(DH332,$DH$5:DH331,0))))</f>
        <v/>
      </c>
      <c r="DJ332" s="84">
        <f>IF($A332="","",IF($B332="","qty, ","")&amp;IF($C332="","scope, ","")&amp;IF(OR($K332="",$M332=""),"size, ","")&amp;IF(AND($A332&lt;&gt;"",$C332&lt;&gt;"DOOR ONLY"),IF($U332="","jamb depth, ","")&amp;IF($X332="","construction, ","")&amp;IF($Y332="","anchor, ","")&amp;IF($S332="","frame type, ",""),"")&amp;IF(AND(N($BJ332)&gt;0,$Z332=""),"hand, ","")&amp;IF(N($BJ332)&gt;0,IF($AH332="","door material, ","")&amp;IF($AL332="","face type, ","")&amp;IF($AP332="","lock prep, ","")&amp;IF(AND($AO332="",$AC332=""),"hinge prep, ",""),"")&amp;IF(AND($CH332&gt;0,$AH332="FRP"),"FRP cannot carry a label, ","")&amp;IF(AND($O332="Y",OR($Z332="L",$Z332="R",$Z332="LR",$Z332="RR")),"pair marked but hand is single, ","")&amp;IF(AND($O332&lt;&gt;"Y",OR($Z332="PR",AND(LEN($Z332)&gt;1,ISNUMBER(SEARCH("-",$Z332))))),"pair hand on a single door, ","")&amp;IF(AND(ISNUMBER($CI332),$CH332&lt;N($CI332)),"wall needs a "&amp;$CI332&amp;" min door, ","")&amp;IF(AND($CH332&gt;=180,AND(OR($CE332="FG",$CE332="HG",$CE332="FNV",$CE332="FV"),N($CF332)*N($CG332)&gt;100)),"180 min lite over 100 sq in, ","")&amp;IF(N($BK332)&gt;48,"leaf wider than 4'-0"&amp;CHAR(34)&amp;", ","")&amp;IF(AND($CT332,COUNT($AW332:$AZ332)=0,$CQ332&gt;0),"CUSTOM LOC with no locations typed, ",""))</f>
        <v/>
      </c>
      <c r="DK332" s="84">
        <f>IF($A332="","",IF(AND($CH332&gt;0,AND($A332&lt;&gt;"",$C332&lt;&gt;"DOOR ONLY"),$X332="KD",$E332="EXTERIOR"),"KD label on an exterior opening, ","")&amp;IF(AND($E332="EXTERIOR",OR(AND(AND($A332&lt;&gt;"",$C332&lt;&gt;"DOOR ONLY"),$W332="CR"),AND(N($BJ332)&gt;0,$AH332="CR"))),"exterior in CR steel (G9?), ","")&amp;IF(AND(ISNUMBER($BQ332),N($BQ332)&lt;32),"clear width ~"&amp;TEXT($BQ332,"0.0")&amp;CHAR(34)&amp;" under 32"&amp;CHAR(34)&amp;" (ADA), ","")&amp;IF(AND($CH332=90,AND(OR($CE332="FG",$CE332="HG",$CE332="FNV",$CE332="FV"),N($CF332)*N($CG332)&gt;100)),"90 min lite over 100 sq in (stair/exit), ","")&amp;IF(AND($CH332&gt;0,AND($A332&lt;&gt;"",$C332&lt;&gt;"DOOR ONLY"),OR($AF332="",$AF332="-")),"rated: closer reinf.?, ","")&amp;IF(OR($I332="CORRIDOR",$I332="SMOKE BARRIER"),"S label + smoke gasketing, ","")&amp;IF($CI332="?","wall type/hr not in IBC table, ","")&amp;IF(AND(N($BJ332)&gt;0,$BB332=""),"no hardware set, ","")&amp;IF(AND($BB332&lt;&gt;"",ISNA(MATCH($BB332&amp;"",HWSets,0))),"set "&amp;$BB332&amp;" not on HW Sets, ","")&amp;IF(N($BL332)&gt;96,"leaf over 8'-0"&amp;CHAR(34)&amp;" - check listing, ","")&amp;IF(AND($CT332,COUNT($AW332:$AZ332)&gt;0,COUNT($AW332:$AZ332)&lt;&gt;$CQ332),COUNT($AW332:$AZ332)&amp;" custom hinges typed, "&amp;$CQ332&amp;" expected, ","")&amp;IF(AND(ISNUMBER($CA332),OR(N($CA332)&lt;34,N($CA332)&gt;48)),"lock "&amp;TEXT($CA332,"0.0")&amp;CHAR(34)&amp;" AFF outside 34-48"&amp;CHAR(34)&amp;" (ADA), ","")&amp;IF(AND(ISNUMBER($AV332),ISNUMBER($BL332),N($AV332)&lt;IF(N($BL332)&lt;=60,2,IF(N($BL332)&lt;=90,3,IF(N($BL332)&lt;=120,4,5)))),"fewer hinges than standard, ",""))</f>
        <v/>
      </c>
    </row>
    <row r="333" ht="15" customHeight="1">
      <c r="A333" s="77" t="n"/>
      <c r="B333" s="78" t="n"/>
      <c r="C333" s="78" t="n"/>
      <c r="D333" s="78" t="n"/>
      <c r="E333" s="78" t="n"/>
      <c r="F333" s="78" t="n"/>
      <c r="G333" s="78" t="n"/>
      <c r="H333" s="78" t="n"/>
      <c r="I333" s="78" t="n"/>
      <c r="J333" s="78" t="n"/>
      <c r="K333" s="78" t="n"/>
      <c r="L333" s="78" t="n"/>
      <c r="M333" s="78" t="n"/>
      <c r="N333" s="78" t="n"/>
      <c r="O333" s="78" t="n"/>
      <c r="P333" s="78" t="n"/>
      <c r="Q333" s="78" t="n"/>
      <c r="R333" s="78" t="n"/>
      <c r="S333" s="79" t="n"/>
      <c r="T333" s="79" t="n"/>
      <c r="U333" s="79" t="n"/>
      <c r="V333" s="79" t="n"/>
      <c r="W333" s="79" t="n"/>
      <c r="X333" s="79" t="n"/>
      <c r="Y333" s="79" t="n"/>
      <c r="Z333" s="79" t="n"/>
      <c r="AA333" s="79" t="n"/>
      <c r="AB333" s="79" t="n"/>
      <c r="AC333" s="79" t="n"/>
      <c r="AD333" s="79" t="n"/>
      <c r="AE333" s="79" t="n"/>
      <c r="AF333" s="79" t="n"/>
      <c r="AG333" s="79" t="n"/>
      <c r="AH333" s="80" t="n"/>
      <c r="AI333" s="80" t="n"/>
      <c r="AJ333" s="80" t="n"/>
      <c r="AK333" s="80" t="n"/>
      <c r="AL333" s="80" t="n"/>
      <c r="AM333" s="80" t="n"/>
      <c r="AN333" s="80" t="n"/>
      <c r="AO333" s="80" t="n"/>
      <c r="AP333" s="80" t="n"/>
      <c r="AQ333" s="80" t="n"/>
      <c r="AR333" s="80" t="n"/>
      <c r="AS333" s="80" t="n"/>
      <c r="AT333" s="81" t="n"/>
      <c r="AU333" s="81" t="n"/>
      <c r="AV333" s="81" t="n"/>
      <c r="AW333" s="82" t="n"/>
      <c r="AX333" s="82" t="n"/>
      <c r="AY333" s="82" t="n"/>
      <c r="AZ333" s="82" t="n"/>
      <c r="BA333" s="82" t="n"/>
      <c r="BB333" s="83" t="n"/>
      <c r="BC333" s="83" t="n"/>
      <c r="BD333" s="84">
        <f>IF($A333="","",IF($DJ333&lt;&gt;"","FIX",IF($DK333&lt;&gt;"","CHECK","OK")))</f>
        <v/>
      </c>
      <c r="BE333" s="85">
        <f>IF($A333="","",IF($DJ333&lt;&gt;"","FIX: "&amp;LEFT($DJ333,LEN($DJ333)-2)&amp;IF($DK333&lt;&gt;"","  ·  ",""),"")&amp;IF($DK333&lt;&gt;"","CHECK: "&amp;LEFT($DK333,LEN($DK333)-2),""))</f>
        <v/>
      </c>
      <c r="BF333" s="84">
        <f>IF(OR($A333="",$K333=""),"",$K333&amp;"'-"&amp;N($L333)&amp;CHAR(34)&amp;" x "&amp;$M333&amp;"'-"&amp;N($N333)&amp;CHAR(34))</f>
        <v/>
      </c>
      <c r="BG333" s="84">
        <f>IF(OR($A333="",$K333=""),"",$K333&amp;N($L333)&amp;$M333&amp;N($N333))</f>
        <v/>
      </c>
      <c r="BH333" s="84">
        <f>IF(OR($A333="",$K333=""),"",$K333*12+N($L333))</f>
        <v/>
      </c>
      <c r="BI333" s="84">
        <f>IF(OR($A333="",$M333=""),"",$M333*12+N($N333))</f>
        <v/>
      </c>
      <c r="BJ333" s="84">
        <f>IF($A333="","",IF(OR($C333="FRAME ONLY",$S333="BL"),0,IF($O333="Y",2,1)))</f>
        <v/>
      </c>
      <c r="BK333" s="86">
        <f>IF(OR(N($BJ333)=0,$BH333=""),"",($BH333-2*EdgeClr-IF($BJ333=2,MeetClr,0))/$BJ333)</f>
        <v/>
      </c>
      <c r="BL333" s="86">
        <f>IF(OR(N($BJ333)=0,$BI333=""),"",$BI333-HeadClr-Undercut)</f>
        <v/>
      </c>
      <c r="BM333" s="86">
        <f>IF($BH333="","",$BH333+2*FaceW+IF(N($Q333)&gt;0,($Q333+FaceW)*IF($R333="LR",2,1),0))</f>
        <v/>
      </c>
      <c r="BN333" s="86">
        <f>IF($BI333="","",$BI333+IF($AB333="Y",4,FaceW)+IF(N($P333)&gt;0,$P333+FaceW,0)+IF(OR($S333="4F",$S333="BL"),FaceW,0))</f>
        <v/>
      </c>
      <c r="BO333" s="86">
        <f>IF($BM333="","",$BM333+2*ROSide)</f>
        <v/>
      </c>
      <c r="BP333" s="86">
        <f>IF($BN333="","",$BN333+ROTop)</f>
        <v/>
      </c>
      <c r="BQ333" s="87">
        <f>IF(OR(N($BJ333)=0,$BH333=""),"",$BH333/$BJ333-ClearDeduct)</f>
        <v/>
      </c>
      <c r="BR333" s="84">
        <f>IF(N($CH333)=0,"",IF($CH333&gt;=180,"A · 3 HR",IF($CH333&gt;=90,"B · 1-1/2 HR",IF($CH333&gt;=60,"B · 1 HR",IF($CH333&gt;=45,"C · 3/4 HR","20 MIN")))))&amp;IF(AND(N($CH333)&gt;0,OR($I333="CORRIDOR",$I333="SMOKE BARRIER"))," · S","")</f>
        <v/>
      </c>
      <c r="BS333" s="84">
        <f>IF($CS333,"",IF($AV333&lt;&gt;"",$AV333,IF(OR($AC333="HGC",$AO333="HGC"),"CONT",IF(($BI333-HeadClr-Undercut)&lt;=60,2,IF(($BI333-HeadClr-Undercut)&lt;=90,3,IF(($BI333-HeadClr-Undercut)&lt;=120,4,5))))))</f>
        <v/>
      </c>
      <c r="BT333" s="84">
        <f>IF($CS333,"",IF($CT333,"CUSTOM (typed)",IF($CV333,$AT333&amp;" "&amp;$CU333&amp;CHAR(34)&amp;IF($CU333&lt;&gt;$BI333,IF(AND($BI333&lt;$CU333,$BI333-IF(N(VLOOKUP($AT333&amp;"|"&amp;$CU333,LocTable,7,FALSE))&gt;0,VLOOKUP($AT333&amp;"|"&amp;$CU333,LocTable,7,FALSE),VLOOKUP($AT333&amp;"|"&amp;$CU333,LocTable,6,FALSE))-$CR333-0.75&gt;=2.125)," cut down"," adj."),""),"ANSI/SDI A250.6")))</f>
        <v/>
      </c>
      <c r="BU333" s="88">
        <f>IF($CS333,"",IF($CT333,IF(N($AW333)&gt;0,N($AW333),""),IF(1&gt;$CQ333,"",IF($CQ333=1,$CW333,$CW333+($CX333-$CW333)*0/($CQ333-1)))))</f>
        <v/>
      </c>
      <c r="BV333" s="88">
        <f>IF($CS333,"",IF($CT333,IF(N($AX333)&gt;0,N($AX333),""),IF(2&gt;$CQ333,"",IF($CQ333=1,$CW333,$CW333+($CX333-$CW333)*1/($CQ333-1)))))</f>
        <v/>
      </c>
      <c r="BW333" s="88">
        <f>IF($CS333,"",IF($CT333,IF(N($AY333)&gt;0,N($AY333),""),IF(3&gt;$CQ333,"",IF($CQ333=1,$CW333,$CW333+($CX333-$CW333)*2/($CQ333-1)))))</f>
        <v/>
      </c>
      <c r="BX333" s="88">
        <f>IF($CS333,"",IF($CT333,IF(N($AZ333)&gt;0,N($AZ333),""),IF(4&gt;$CQ333,"",IF($CQ333=1,$CW333,$CW333+($CX333-$CW333)*3/($CQ333-1)))))</f>
        <v/>
      </c>
      <c r="BY333" s="88">
        <f>IF($CS333,"",IF($CT333,"",IF(5&gt;$CQ333,"",IF($CQ333=1,$CW333,$CW333+($CX333-$CW333)*4/($CQ333-1)))))</f>
        <v/>
      </c>
      <c r="BZ333" s="88">
        <f>IF(OR($CS333,$AP333="-",AND($AP333="",$AD333="")),"",IF(N($BA333)&gt;0,N($BA333),IF($CV333,IF(AND($BI333&lt;$CU333,$BI333-IF(N(VLOOKUP($AT333&amp;"|"&amp;$CU333,LocTable,7,FALSE))&gt;0,VLOOKUP($AT333&amp;"|"&amp;$CU333,LocTable,7,FALSE),VLOOKUP($AT333&amp;"|"&amp;$CU333,LocTable,6,FALSE))-$CR333-0.75&gt;=2.125),VLOOKUP($AT333&amp;"|"&amp;$CU333,LocTable,8,FALSE),VLOOKUP($AT333&amp;"|"&amp;$CU333,LocTable,8,FALSE)+($BI333-$CU333)),$BI333-LockAFF)))</f>
        <v/>
      </c>
      <c r="CA333" s="89">
        <f>IF($BZ333="","",$BI333-$BZ333)</f>
        <v/>
      </c>
      <c r="CB333" s="84">
        <f>IF(OR(NOT(AND($A333&lt;&gt;"",$C333&lt;&gt;"DOOR ONLY")),$BI333=""),"",IF(($BI333+IF(N($P333)&gt;0,$P333+FaceW,0))&lt;=90,3,IF(($BI333+IF(N($P333)&gt;0,$P333+FaceW,0))&lt;=114,4,5)))</f>
        <v/>
      </c>
      <c r="CC333" s="84">
        <f>IF($CB333="","",$CB333*(2+IF(N($Q333)&gt;0,IF($R333="LR",2,1),0)))</f>
        <v/>
      </c>
      <c r="CD333" s="84">
        <f>IF($CB333="","",(2+IF(N($Q333)&gt;0,IF($R333="LR",2,1),0)))</f>
        <v/>
      </c>
      <c r="CE333" s="84">
        <f>IF(N($BJ333)=0,"",IF(OR($AL333="",$AL333="FLUSH"),"FLUSH",IFERROR(LEFT($AL333,FIND("-",$AL333)-1),LEFT($AL333,2))))</f>
        <v/>
      </c>
      <c r="CF333" s="84">
        <f>IF($CE333="","",IFERROR(VALUE(MID($AL333,FIND("-",$AL333)+1,FIND(CHAR(34)&amp;"x",$AL333)-FIND("-",$AL333)-1)),0))</f>
        <v/>
      </c>
      <c r="CG333" s="84">
        <f>IF($CE333="","",IFERROR(VALUE(MID($AL333,FIND(CHAR(34)&amp;"x",$AL333)+2,FIND(CHAR(34),$AL333,FIND(CHAR(34)&amp;"x",$AL333)+2)-FIND(CHAR(34)&amp;"x",$AL333)-2)),0))</f>
        <v/>
      </c>
      <c r="CH333" s="90">
        <f>IF(OR($A333="",$H333="",$H333="NO LAB"),0,IFERROR(VALUE(LEFT($H333,FIND(" ",$H333)-1)),0))</f>
        <v/>
      </c>
      <c r="CI333" s="91">
        <f>IF(OR($A333="",$I333="",$I333="NON-RATED",N($J333)=0),"",IFERROR(VLOOKUP($I333&amp;"|"&amp;$J333,IBC,2,FALSE),"?"))</f>
        <v/>
      </c>
      <c r="CJ333" s="85">
        <f>IF(NOT(AND($A333&lt;&gt;"",$C333&lt;&gt;"DOOR ONLY")),"",TRIM(IFERROR(VLOOKUP($U333,CODES,2,FALSE),"")&amp;" "&amp;$BG333&amp;" "&amp;IFERROR(VLOOKUP($Z333,CODES,2,FALSE),"")&amp;" "&amp;IFERROR(VLOOKUP($X333,CODES,2,FALSE),"")&amp;" "&amp;IFERROR(VLOOKUP($S333,CODES,2,FALSE),"")&amp;IF(N($P333)&gt;0," w/TRANSOM "&amp;$P333&amp;CHAR(34),"")&amp;IF(N($Q333)&gt;0," w/SIDELITE "&amp;$Q333&amp;CHAR(34)&amp;" "&amp;IF($R333="","R",$R333),"")&amp;IF($Y333="","  |  "," | "&amp;IFERROR(VLOOKUP($Y333,CODES,2,FALSE),"")&amp;" | ")&amp;IFERROR(VLOOKUP($AC333,CODES,2,FALSE),"")&amp;" "&amp;IFERROR(VLOOKUP($AD333,CODES,2,FALSE),"")&amp;IF(OR($AE333="",$AE333="-"),""," "&amp;$AE333)&amp;IF(OR($AF333="",$AF333="-"),""," "&amp;$AF333)&amp;IF($AB333="Y"," 4"&amp;CHAR(34)&amp;" HEAD","")&amp;" "&amp;IFERROR(VLOOKUP($H333,CODES,2,FALSE),"")&amp;IF($CT333," | LOC "&amp;$CY333,"")))</f>
        <v/>
      </c>
      <c r="CK333" s="85">
        <f>IF(NOT(AND($A333&lt;&gt;"",N($BJ333)&gt;0)),"",TRIM(IFERROR(VLOOKUP($AH333,CODES,2,FALSE),"")&amp;IF($AI333=""," "," "&amp;$AI333&amp;"GA ")&amp;$BG333&amp;" "&amp;IF($AN333="",IFERROR(VLOOKUP($Z333,CODES,2,FALSE),""),IFERROR(VLOOKUP($AN333,CODES,2,FALSE),""))&amp;IF($BJ333=2," PAIR","")&amp;" DOOR | "&amp;IF($AL333="","?",$AL333)&amp;" | "&amp;IF($AO333="",IFERROR(VLOOKUP($AC333,CODES,2,FALSE),""),IFERROR(VLOOKUP($AO333,CODES,2,FALSE),""))&amp;" "&amp;IFERROR(VLOOKUP($AP333,CODES,2,FALSE),"")&amp;IF(OR($AQ333="",$AQ333="-"),""," SEAM "&amp;$AQ333)&amp;IF($AR333="Y"," ASTRAGAL","")&amp;IF($AJ333=""," "," "&amp;$AJ333)&amp;IF($AK333=""," "," "&amp;$AK333)&amp;IF(OR($AT333="",$AT333="ANSI/SDI",$AT333="CUSTOM LOC"),""," "&amp;$AT333)&amp;IF($AM333=""," "," SERIES "&amp;$AM333)&amp;" "&amp;IFERROR(VLOOKUP($H333,CODES,2,FALSE),"")&amp;IF($CT333," | LOC "&amp;$CZ333,"")))</f>
        <v/>
      </c>
      <c r="CL333" s="84">
        <f>IF(CP333="","",IF(COUNTIF($CP$6:CP333,CP333)=1,MAX($CL$5:CL332)+1,INDEX($CL$5:CL332,MATCH(CP333,$CP$5:CP332,0))))</f>
        <v/>
      </c>
      <c r="CM333" s="84">
        <f>IF(NOT(AND($A333&lt;&gt;"",$C333&lt;&gt;"DOOR ONLY")),"",MAX($CM$5:CM332)+1)</f>
        <v/>
      </c>
      <c r="CN333" s="84">
        <f>IF(NOT(AND($A333&lt;&gt;"",N($BJ333)&gt;0)),"",MAX($CN$5:CN332)+1)</f>
        <v/>
      </c>
      <c r="CO333" s="84">
        <f>IF($A333="","",MAX($CO$5:CO332)+1)</f>
        <v/>
      </c>
      <c r="CP333" s="84">
        <f>IF(OR($A333="",$BH333="",$BI333=""),"",$BG333&amp;"|"&amp;$O333&amp;"|"&amp;$AL333&amp;"|"&amp;$S333&amp;"|"&amp;$P333&amp;"|"&amp;$Q333&amp;$R333&amp;"|"&amp;$C333&amp;"|"&amp;$AB333)</f>
        <v/>
      </c>
      <c r="CQ333" s="84">
        <f>N($BS333)</f>
        <v/>
      </c>
      <c r="CR333" s="84">
        <f>IF(N($AU333)&gt;0,N($AU333),4.5)</f>
        <v/>
      </c>
      <c r="CS333" s="84">
        <f>OR($A333="",$BI333="",$S333="BL",AND($C333="FRAME ONLY",OR($AC333="",$AC333="BLK")))</f>
        <v/>
      </c>
      <c r="CT333" s="84">
        <f>AND(NOT($CS333),OR($AT333="CUSTOM LOC",N($AW333)+N($AX333)+N($AY333)+N($AZ333)+N($BA333)&gt;0))</f>
        <v/>
      </c>
      <c r="CU333" s="84">
        <f>IF($BI333="","",IF($BI333&lt;=80,80,IF($BI333&lt;=84,84,96)))</f>
        <v/>
      </c>
      <c r="CV333" s="84">
        <f>ISNUMBER(MATCH($AT333&amp;"|80",LocKeys,0))</f>
        <v/>
      </c>
      <c r="CW333" s="86">
        <f>IF($CS333,"",IF($CV333,VLOOKUP($AT333&amp;"|"&amp;$CU333,LocTable,4,FALSE),5))</f>
        <v/>
      </c>
      <c r="CX333" s="86">
        <f>IF($CS333,"",IF($CV333,IF(OR($BI333=$CU333,AND($BI333&lt;$CU333,$BI333-IF(N(VLOOKUP($AT333&amp;"|"&amp;$CU333,LocTable,7,FALSE))&gt;0,VLOOKUP($AT333&amp;"|"&amp;$CU333,LocTable,7,FALSE),VLOOKUP($AT333&amp;"|"&amp;$CU333,LocTable,6,FALSE))-$CR333-0.75&gt;=2.125)),IF(N(VLOOKUP($AT333&amp;"|"&amp;$CU333,LocTable,7,FALSE))&gt;0,VLOOKUP($AT333&amp;"|"&amp;$CU333,LocTable,7,FALSE),VLOOKUP($AT333&amp;"|"&amp;$CU333,LocTable,6,FALSE)),$BI333-($CU333-IF(N(VLOOKUP($AT333&amp;"|"&amp;$CU333,LocTable,7,FALSE))&gt;0,VLOOKUP($AT333&amp;"|"&amp;$CU333,LocTable,7,FALSE),VLOOKUP($AT333&amp;"|"&amp;$CU333,LocTable,6,FALSE)))),$BI333-10-$CR333))</f>
        <v/>
      </c>
      <c r="CY333" s="85">
        <f>IF($CS333,"",TRIM(IF(ISNUMBER($BU333),"A "&amp;TRIM(TEXT($BU333,"# ?/??"))&amp;CHAR(34)&amp;"  ","")&amp;IF(ISNUMBER($BV333),"B "&amp;TRIM(TEXT($BV333,"# ?/??"))&amp;CHAR(34)&amp;"  ","")&amp;IF(ISNUMBER($BW333),"C "&amp;TRIM(TEXT($BW333,"# ?/??"))&amp;CHAR(34)&amp;"  ","")&amp;IF(ISNUMBER($BX333),"D "&amp;TRIM(TEXT($BX333,"# ?/??"))&amp;CHAR(34)&amp;"  ","")&amp;IF(ISNUMBER($BY333),"F "&amp;TRIM(TEXT($BY333,"# ?/??"))&amp;CHAR(34)&amp;"  ","")&amp;IF(ISNUMBER($BZ333),"E "&amp;TRIM(TEXT($BZ333,"# ?/??"))&amp;CHAR(34)&amp;"  ","")))</f>
        <v/>
      </c>
      <c r="CZ333" s="85">
        <f>IF(OR($CS333,N($BJ333)=0),"",TRIM(IF(ISNUMBER($BU333),"A "&amp;TRIM(TEXT($BU333-HeadClr,"# ?/??"))&amp;CHAR(34)&amp;"  ","")&amp;IF(ISNUMBER($BV333),"B "&amp;TRIM(TEXT($BV333-HeadClr,"# ?/??"))&amp;CHAR(34)&amp;"  ","")&amp;IF(ISNUMBER($BW333),"C "&amp;TRIM(TEXT($BW333-HeadClr,"# ?/??"))&amp;CHAR(34)&amp;"  ","")&amp;IF(ISNUMBER($BX333),"D "&amp;TRIM(TEXT($BX333-HeadClr,"# ?/??"))&amp;CHAR(34)&amp;"  ","")&amp;IF(ISNUMBER($BY333),"F "&amp;TRIM(TEXT($BY333-HeadClr,"# ?/??"))&amp;CHAR(34)&amp;"  ","")&amp;IF(ISNUMBER($BZ333),"E "&amp;TRIM(TEXT($BZ333-HeadClr,"# ?/??"))&amp;CHAR(34)&amp;"  ","")))</f>
        <v/>
      </c>
      <c r="DA333" s="84">
        <f>IF($A333="","",IF($AN333="",IFERROR(VLOOKUP($Z333,CODES,2,FALSE),""),IFERROR(VLOOKUP($AN333,CODES,2,FALSE),"")))</f>
        <v/>
      </c>
      <c r="DB333" s="84">
        <f>IF($A333="","",IF($O333="Y","PR",IF(OR($Z333="L",$Z333="RR",LEFT($Z333,2)="L-",LEFT($Z333,3)="RR-"),"LH","RH")))</f>
        <v/>
      </c>
      <c r="DC333" s="84">
        <f>IF($A333="","","S.HM"&amp;IF(OR($C333="DOOR ONLY",$X333&lt;&gt;"KD"),"MASONRY","DRYWALL")&amp;IF($C333="DOOR ONLY","",$U333)&amp;IF(AND($C333&lt;&gt;"FRAME ONLY",OR(LEFT($AH333,3)="OAK",LEFT($AH333,3)="BIR",LEFT($AH333,3)="MAP",$AH333="PC",$AH333="MC",$AH333="SCLC",$AH333="P-LAM")),"WD","HM")&amp;"1.75")</f>
        <v/>
      </c>
      <c r="DD333" s="84">
        <f>IF($CJ333="","",IF($O333="Y",$CJ333,SUBSTITUTE($CJ333,$BG333&amp;" "&amp;IFERROR(VLOOKUP($Z333,CODES,2,FALSE),"")&amp;" ",$BG333&amp;" ")))</f>
        <v/>
      </c>
      <c r="DE333" s="84">
        <f>IF($CK333="","",IF($O333="Y",$CK333,SUBSTITUTE($CK333,$BG333&amp;" "&amp;IF($AN333="",IFERROR(VLOOKUP($Z333,CODES,2,FALSE),""),IFERROR(VLOOKUP($AN333,CODES,2,FALSE),""))&amp;" ",$BG333&amp;" ")))</f>
        <v/>
      </c>
      <c r="DF333" s="84">
        <f>IF($CJ333="","",$DC333&amp;"|"&amp;$DD333&amp;"|"&amp;$DB333&amp;"|"&amp;$AT333&amp;"|"&amp;$V333&amp;"|"&amp;$Y333&amp;"|"&amp;$AB333)</f>
        <v/>
      </c>
      <c r="DG333" s="84">
        <f>IF(DF333="","",IF(COUNTIF($DF$6:DF333,DF333)=1,MAX($DG$5:DG332)+1,INDEX($DG$5:DG332,MATCH(DF333,$DF$5:DF332,0))))</f>
        <v/>
      </c>
      <c r="DH333" s="84">
        <f>IF($CK333="","",$DC333&amp;"|"&amp;$DE333&amp;"|"&amp;$AI333&amp;"|"&amp;$BK333&amp;"|"&amp;$BL333)</f>
        <v/>
      </c>
      <c r="DI333" s="84">
        <f>IF(DH333="","",IF(COUNTIF($DH$6:DH333,DH333)=1,MAX($DI$5:DI332)+1,INDEX($DI$5:DI332,MATCH(DH333,$DH$5:DH332,0))))</f>
        <v/>
      </c>
      <c r="DJ333" s="84">
        <f>IF($A333="","",IF($B333="","qty, ","")&amp;IF($C333="","scope, ","")&amp;IF(OR($K333="",$M333=""),"size, ","")&amp;IF(AND($A333&lt;&gt;"",$C333&lt;&gt;"DOOR ONLY"),IF($U333="","jamb depth, ","")&amp;IF($X333="","construction, ","")&amp;IF($Y333="","anchor, ","")&amp;IF($S333="","frame type, ",""),"")&amp;IF(AND(N($BJ333)&gt;0,$Z333=""),"hand, ","")&amp;IF(N($BJ333)&gt;0,IF($AH333="","door material, ","")&amp;IF($AL333="","face type, ","")&amp;IF($AP333="","lock prep, ","")&amp;IF(AND($AO333="",$AC333=""),"hinge prep, ",""),"")&amp;IF(AND($CH333&gt;0,$AH333="FRP"),"FRP cannot carry a label, ","")&amp;IF(AND($O333="Y",OR($Z333="L",$Z333="R",$Z333="LR",$Z333="RR")),"pair marked but hand is single, ","")&amp;IF(AND($O333&lt;&gt;"Y",OR($Z333="PR",AND(LEN($Z333)&gt;1,ISNUMBER(SEARCH("-",$Z333))))),"pair hand on a single door, ","")&amp;IF(AND(ISNUMBER($CI333),$CH333&lt;N($CI333)),"wall needs a "&amp;$CI333&amp;" min door, ","")&amp;IF(AND($CH333&gt;=180,AND(OR($CE333="FG",$CE333="HG",$CE333="FNV",$CE333="FV"),N($CF333)*N($CG333)&gt;100)),"180 min lite over 100 sq in, ","")&amp;IF(N($BK333)&gt;48,"leaf wider than 4'-0"&amp;CHAR(34)&amp;", ","")&amp;IF(AND($CT333,COUNT($AW333:$AZ333)=0,$CQ333&gt;0),"CUSTOM LOC with no locations typed, ",""))</f>
        <v/>
      </c>
      <c r="DK333" s="84">
        <f>IF($A333="","",IF(AND($CH333&gt;0,AND($A333&lt;&gt;"",$C333&lt;&gt;"DOOR ONLY"),$X333="KD",$E333="EXTERIOR"),"KD label on an exterior opening, ","")&amp;IF(AND($E333="EXTERIOR",OR(AND(AND($A333&lt;&gt;"",$C333&lt;&gt;"DOOR ONLY"),$W333="CR"),AND(N($BJ333)&gt;0,$AH333="CR"))),"exterior in CR steel (G9?), ","")&amp;IF(AND(ISNUMBER($BQ333),N($BQ333)&lt;32),"clear width ~"&amp;TEXT($BQ333,"0.0")&amp;CHAR(34)&amp;" under 32"&amp;CHAR(34)&amp;" (ADA), ","")&amp;IF(AND($CH333=90,AND(OR($CE333="FG",$CE333="HG",$CE333="FNV",$CE333="FV"),N($CF333)*N($CG333)&gt;100)),"90 min lite over 100 sq in (stair/exit), ","")&amp;IF(AND($CH333&gt;0,AND($A333&lt;&gt;"",$C333&lt;&gt;"DOOR ONLY"),OR($AF333="",$AF333="-")),"rated: closer reinf.?, ","")&amp;IF(OR($I333="CORRIDOR",$I333="SMOKE BARRIER"),"S label + smoke gasketing, ","")&amp;IF($CI333="?","wall type/hr not in IBC table, ","")&amp;IF(AND(N($BJ333)&gt;0,$BB333=""),"no hardware set, ","")&amp;IF(AND($BB333&lt;&gt;"",ISNA(MATCH($BB333&amp;"",HWSets,0))),"set "&amp;$BB333&amp;" not on HW Sets, ","")&amp;IF(N($BL333)&gt;96,"leaf over 8'-0"&amp;CHAR(34)&amp;" - check listing, ","")&amp;IF(AND($CT333,COUNT($AW333:$AZ333)&gt;0,COUNT($AW333:$AZ333)&lt;&gt;$CQ333),COUNT($AW333:$AZ333)&amp;" custom hinges typed, "&amp;$CQ333&amp;" expected, ","")&amp;IF(AND(ISNUMBER($CA333),OR(N($CA333)&lt;34,N($CA333)&gt;48)),"lock "&amp;TEXT($CA333,"0.0")&amp;CHAR(34)&amp;" AFF outside 34-48"&amp;CHAR(34)&amp;" (ADA), ","")&amp;IF(AND(ISNUMBER($AV333),ISNUMBER($BL333),N($AV333)&lt;IF(N($BL333)&lt;=60,2,IF(N($BL333)&lt;=90,3,IF(N($BL333)&lt;=120,4,5)))),"fewer hinges than standard, ",""))</f>
        <v/>
      </c>
    </row>
    <row r="334" ht="15" customHeight="1">
      <c r="A334" s="77" t="n"/>
      <c r="B334" s="78" t="n"/>
      <c r="C334" s="78" t="n"/>
      <c r="D334" s="78" t="n"/>
      <c r="E334" s="78" t="n"/>
      <c r="F334" s="78" t="n"/>
      <c r="G334" s="78" t="n"/>
      <c r="H334" s="78" t="n"/>
      <c r="I334" s="78" t="n"/>
      <c r="J334" s="78" t="n"/>
      <c r="K334" s="78" t="n"/>
      <c r="L334" s="78" t="n"/>
      <c r="M334" s="78" t="n"/>
      <c r="N334" s="78" t="n"/>
      <c r="O334" s="78" t="n"/>
      <c r="P334" s="78" t="n"/>
      <c r="Q334" s="78" t="n"/>
      <c r="R334" s="78" t="n"/>
      <c r="S334" s="79" t="n"/>
      <c r="T334" s="79" t="n"/>
      <c r="U334" s="79" t="n"/>
      <c r="V334" s="79" t="n"/>
      <c r="W334" s="79" t="n"/>
      <c r="X334" s="79" t="n"/>
      <c r="Y334" s="79" t="n"/>
      <c r="Z334" s="79" t="n"/>
      <c r="AA334" s="79" t="n"/>
      <c r="AB334" s="79" t="n"/>
      <c r="AC334" s="79" t="n"/>
      <c r="AD334" s="79" t="n"/>
      <c r="AE334" s="79" t="n"/>
      <c r="AF334" s="79" t="n"/>
      <c r="AG334" s="79" t="n"/>
      <c r="AH334" s="80" t="n"/>
      <c r="AI334" s="80" t="n"/>
      <c r="AJ334" s="80" t="n"/>
      <c r="AK334" s="80" t="n"/>
      <c r="AL334" s="80" t="n"/>
      <c r="AM334" s="80" t="n"/>
      <c r="AN334" s="80" t="n"/>
      <c r="AO334" s="80" t="n"/>
      <c r="AP334" s="80" t="n"/>
      <c r="AQ334" s="80" t="n"/>
      <c r="AR334" s="80" t="n"/>
      <c r="AS334" s="80" t="n"/>
      <c r="AT334" s="81" t="n"/>
      <c r="AU334" s="81" t="n"/>
      <c r="AV334" s="81" t="n"/>
      <c r="AW334" s="82" t="n"/>
      <c r="AX334" s="82" t="n"/>
      <c r="AY334" s="82" t="n"/>
      <c r="AZ334" s="82" t="n"/>
      <c r="BA334" s="82" t="n"/>
      <c r="BB334" s="83" t="n"/>
      <c r="BC334" s="83" t="n"/>
      <c r="BD334" s="84">
        <f>IF($A334="","",IF($DJ334&lt;&gt;"","FIX",IF($DK334&lt;&gt;"","CHECK","OK")))</f>
        <v/>
      </c>
      <c r="BE334" s="85">
        <f>IF($A334="","",IF($DJ334&lt;&gt;"","FIX: "&amp;LEFT($DJ334,LEN($DJ334)-2)&amp;IF($DK334&lt;&gt;"","  ·  ",""),"")&amp;IF($DK334&lt;&gt;"","CHECK: "&amp;LEFT($DK334,LEN($DK334)-2),""))</f>
        <v/>
      </c>
      <c r="BF334" s="84">
        <f>IF(OR($A334="",$K334=""),"",$K334&amp;"'-"&amp;N($L334)&amp;CHAR(34)&amp;" x "&amp;$M334&amp;"'-"&amp;N($N334)&amp;CHAR(34))</f>
        <v/>
      </c>
      <c r="BG334" s="84">
        <f>IF(OR($A334="",$K334=""),"",$K334&amp;N($L334)&amp;$M334&amp;N($N334))</f>
        <v/>
      </c>
      <c r="BH334" s="84">
        <f>IF(OR($A334="",$K334=""),"",$K334*12+N($L334))</f>
        <v/>
      </c>
      <c r="BI334" s="84">
        <f>IF(OR($A334="",$M334=""),"",$M334*12+N($N334))</f>
        <v/>
      </c>
      <c r="BJ334" s="84">
        <f>IF($A334="","",IF(OR($C334="FRAME ONLY",$S334="BL"),0,IF($O334="Y",2,1)))</f>
        <v/>
      </c>
      <c r="BK334" s="86">
        <f>IF(OR(N($BJ334)=0,$BH334=""),"",($BH334-2*EdgeClr-IF($BJ334=2,MeetClr,0))/$BJ334)</f>
        <v/>
      </c>
      <c r="BL334" s="86">
        <f>IF(OR(N($BJ334)=0,$BI334=""),"",$BI334-HeadClr-Undercut)</f>
        <v/>
      </c>
      <c r="BM334" s="86">
        <f>IF($BH334="","",$BH334+2*FaceW+IF(N($Q334)&gt;0,($Q334+FaceW)*IF($R334="LR",2,1),0))</f>
        <v/>
      </c>
      <c r="BN334" s="86">
        <f>IF($BI334="","",$BI334+IF($AB334="Y",4,FaceW)+IF(N($P334)&gt;0,$P334+FaceW,0)+IF(OR($S334="4F",$S334="BL"),FaceW,0))</f>
        <v/>
      </c>
      <c r="BO334" s="86">
        <f>IF($BM334="","",$BM334+2*ROSide)</f>
        <v/>
      </c>
      <c r="BP334" s="86">
        <f>IF($BN334="","",$BN334+ROTop)</f>
        <v/>
      </c>
      <c r="BQ334" s="87">
        <f>IF(OR(N($BJ334)=0,$BH334=""),"",$BH334/$BJ334-ClearDeduct)</f>
        <v/>
      </c>
      <c r="BR334" s="84">
        <f>IF(N($CH334)=0,"",IF($CH334&gt;=180,"A · 3 HR",IF($CH334&gt;=90,"B · 1-1/2 HR",IF($CH334&gt;=60,"B · 1 HR",IF($CH334&gt;=45,"C · 3/4 HR","20 MIN")))))&amp;IF(AND(N($CH334)&gt;0,OR($I334="CORRIDOR",$I334="SMOKE BARRIER"))," · S","")</f>
        <v/>
      </c>
      <c r="BS334" s="84">
        <f>IF($CS334,"",IF($AV334&lt;&gt;"",$AV334,IF(OR($AC334="HGC",$AO334="HGC"),"CONT",IF(($BI334-HeadClr-Undercut)&lt;=60,2,IF(($BI334-HeadClr-Undercut)&lt;=90,3,IF(($BI334-HeadClr-Undercut)&lt;=120,4,5))))))</f>
        <v/>
      </c>
      <c r="BT334" s="84">
        <f>IF($CS334,"",IF($CT334,"CUSTOM (typed)",IF($CV334,$AT334&amp;" "&amp;$CU334&amp;CHAR(34)&amp;IF($CU334&lt;&gt;$BI334,IF(AND($BI334&lt;$CU334,$BI334-IF(N(VLOOKUP($AT334&amp;"|"&amp;$CU334,LocTable,7,FALSE))&gt;0,VLOOKUP($AT334&amp;"|"&amp;$CU334,LocTable,7,FALSE),VLOOKUP($AT334&amp;"|"&amp;$CU334,LocTable,6,FALSE))-$CR334-0.75&gt;=2.125)," cut down"," adj."),""),"ANSI/SDI A250.6")))</f>
        <v/>
      </c>
      <c r="BU334" s="88">
        <f>IF($CS334,"",IF($CT334,IF(N($AW334)&gt;0,N($AW334),""),IF(1&gt;$CQ334,"",IF($CQ334=1,$CW334,$CW334+($CX334-$CW334)*0/($CQ334-1)))))</f>
        <v/>
      </c>
      <c r="BV334" s="88">
        <f>IF($CS334,"",IF($CT334,IF(N($AX334)&gt;0,N($AX334),""),IF(2&gt;$CQ334,"",IF($CQ334=1,$CW334,$CW334+($CX334-$CW334)*1/($CQ334-1)))))</f>
        <v/>
      </c>
      <c r="BW334" s="88">
        <f>IF($CS334,"",IF($CT334,IF(N($AY334)&gt;0,N($AY334),""),IF(3&gt;$CQ334,"",IF($CQ334=1,$CW334,$CW334+($CX334-$CW334)*2/($CQ334-1)))))</f>
        <v/>
      </c>
      <c r="BX334" s="88">
        <f>IF($CS334,"",IF($CT334,IF(N($AZ334)&gt;0,N($AZ334),""),IF(4&gt;$CQ334,"",IF($CQ334=1,$CW334,$CW334+($CX334-$CW334)*3/($CQ334-1)))))</f>
        <v/>
      </c>
      <c r="BY334" s="88">
        <f>IF($CS334,"",IF($CT334,"",IF(5&gt;$CQ334,"",IF($CQ334=1,$CW334,$CW334+($CX334-$CW334)*4/($CQ334-1)))))</f>
        <v/>
      </c>
      <c r="BZ334" s="88">
        <f>IF(OR($CS334,$AP334="-",AND($AP334="",$AD334="")),"",IF(N($BA334)&gt;0,N($BA334),IF($CV334,IF(AND($BI334&lt;$CU334,$BI334-IF(N(VLOOKUP($AT334&amp;"|"&amp;$CU334,LocTable,7,FALSE))&gt;0,VLOOKUP($AT334&amp;"|"&amp;$CU334,LocTable,7,FALSE),VLOOKUP($AT334&amp;"|"&amp;$CU334,LocTable,6,FALSE))-$CR334-0.75&gt;=2.125),VLOOKUP($AT334&amp;"|"&amp;$CU334,LocTable,8,FALSE),VLOOKUP($AT334&amp;"|"&amp;$CU334,LocTable,8,FALSE)+($BI334-$CU334)),$BI334-LockAFF)))</f>
        <v/>
      </c>
      <c r="CA334" s="89">
        <f>IF($BZ334="","",$BI334-$BZ334)</f>
        <v/>
      </c>
      <c r="CB334" s="84">
        <f>IF(OR(NOT(AND($A334&lt;&gt;"",$C334&lt;&gt;"DOOR ONLY")),$BI334=""),"",IF(($BI334+IF(N($P334)&gt;0,$P334+FaceW,0))&lt;=90,3,IF(($BI334+IF(N($P334)&gt;0,$P334+FaceW,0))&lt;=114,4,5)))</f>
        <v/>
      </c>
      <c r="CC334" s="84">
        <f>IF($CB334="","",$CB334*(2+IF(N($Q334)&gt;0,IF($R334="LR",2,1),0)))</f>
        <v/>
      </c>
      <c r="CD334" s="84">
        <f>IF($CB334="","",(2+IF(N($Q334)&gt;0,IF($R334="LR",2,1),0)))</f>
        <v/>
      </c>
      <c r="CE334" s="84">
        <f>IF(N($BJ334)=0,"",IF(OR($AL334="",$AL334="FLUSH"),"FLUSH",IFERROR(LEFT($AL334,FIND("-",$AL334)-1),LEFT($AL334,2))))</f>
        <v/>
      </c>
      <c r="CF334" s="84">
        <f>IF($CE334="","",IFERROR(VALUE(MID($AL334,FIND("-",$AL334)+1,FIND(CHAR(34)&amp;"x",$AL334)-FIND("-",$AL334)-1)),0))</f>
        <v/>
      </c>
      <c r="CG334" s="84">
        <f>IF($CE334="","",IFERROR(VALUE(MID($AL334,FIND(CHAR(34)&amp;"x",$AL334)+2,FIND(CHAR(34),$AL334,FIND(CHAR(34)&amp;"x",$AL334)+2)-FIND(CHAR(34)&amp;"x",$AL334)-2)),0))</f>
        <v/>
      </c>
      <c r="CH334" s="90">
        <f>IF(OR($A334="",$H334="",$H334="NO LAB"),0,IFERROR(VALUE(LEFT($H334,FIND(" ",$H334)-1)),0))</f>
        <v/>
      </c>
      <c r="CI334" s="91">
        <f>IF(OR($A334="",$I334="",$I334="NON-RATED",N($J334)=0),"",IFERROR(VLOOKUP($I334&amp;"|"&amp;$J334,IBC,2,FALSE),"?"))</f>
        <v/>
      </c>
      <c r="CJ334" s="85">
        <f>IF(NOT(AND($A334&lt;&gt;"",$C334&lt;&gt;"DOOR ONLY")),"",TRIM(IFERROR(VLOOKUP($U334,CODES,2,FALSE),"")&amp;" "&amp;$BG334&amp;" "&amp;IFERROR(VLOOKUP($Z334,CODES,2,FALSE),"")&amp;" "&amp;IFERROR(VLOOKUP($X334,CODES,2,FALSE),"")&amp;" "&amp;IFERROR(VLOOKUP($S334,CODES,2,FALSE),"")&amp;IF(N($P334)&gt;0," w/TRANSOM "&amp;$P334&amp;CHAR(34),"")&amp;IF(N($Q334)&gt;0," w/SIDELITE "&amp;$Q334&amp;CHAR(34)&amp;" "&amp;IF($R334="","R",$R334),"")&amp;IF($Y334="","  |  "," | "&amp;IFERROR(VLOOKUP($Y334,CODES,2,FALSE),"")&amp;" | ")&amp;IFERROR(VLOOKUP($AC334,CODES,2,FALSE),"")&amp;" "&amp;IFERROR(VLOOKUP($AD334,CODES,2,FALSE),"")&amp;IF(OR($AE334="",$AE334="-"),""," "&amp;$AE334)&amp;IF(OR($AF334="",$AF334="-"),""," "&amp;$AF334)&amp;IF($AB334="Y"," 4"&amp;CHAR(34)&amp;" HEAD","")&amp;" "&amp;IFERROR(VLOOKUP($H334,CODES,2,FALSE),"")&amp;IF($CT334," | LOC "&amp;$CY334,"")))</f>
        <v/>
      </c>
      <c r="CK334" s="85">
        <f>IF(NOT(AND($A334&lt;&gt;"",N($BJ334)&gt;0)),"",TRIM(IFERROR(VLOOKUP($AH334,CODES,2,FALSE),"")&amp;IF($AI334=""," "," "&amp;$AI334&amp;"GA ")&amp;$BG334&amp;" "&amp;IF($AN334="",IFERROR(VLOOKUP($Z334,CODES,2,FALSE),""),IFERROR(VLOOKUP($AN334,CODES,2,FALSE),""))&amp;IF($BJ334=2," PAIR","")&amp;" DOOR | "&amp;IF($AL334="","?",$AL334)&amp;" | "&amp;IF($AO334="",IFERROR(VLOOKUP($AC334,CODES,2,FALSE),""),IFERROR(VLOOKUP($AO334,CODES,2,FALSE),""))&amp;" "&amp;IFERROR(VLOOKUP($AP334,CODES,2,FALSE),"")&amp;IF(OR($AQ334="",$AQ334="-"),""," SEAM "&amp;$AQ334)&amp;IF($AR334="Y"," ASTRAGAL","")&amp;IF($AJ334=""," "," "&amp;$AJ334)&amp;IF($AK334=""," "," "&amp;$AK334)&amp;IF(OR($AT334="",$AT334="ANSI/SDI",$AT334="CUSTOM LOC"),""," "&amp;$AT334)&amp;IF($AM334=""," "," SERIES "&amp;$AM334)&amp;" "&amp;IFERROR(VLOOKUP($H334,CODES,2,FALSE),"")&amp;IF($CT334," | LOC "&amp;$CZ334,"")))</f>
        <v/>
      </c>
      <c r="CL334" s="84">
        <f>IF(CP334="","",IF(COUNTIF($CP$6:CP334,CP334)=1,MAX($CL$5:CL333)+1,INDEX($CL$5:CL333,MATCH(CP334,$CP$5:CP333,0))))</f>
        <v/>
      </c>
      <c r="CM334" s="84">
        <f>IF(NOT(AND($A334&lt;&gt;"",$C334&lt;&gt;"DOOR ONLY")),"",MAX($CM$5:CM333)+1)</f>
        <v/>
      </c>
      <c r="CN334" s="84">
        <f>IF(NOT(AND($A334&lt;&gt;"",N($BJ334)&gt;0)),"",MAX($CN$5:CN333)+1)</f>
        <v/>
      </c>
      <c r="CO334" s="84">
        <f>IF($A334="","",MAX($CO$5:CO333)+1)</f>
        <v/>
      </c>
      <c r="CP334" s="84">
        <f>IF(OR($A334="",$BH334="",$BI334=""),"",$BG334&amp;"|"&amp;$O334&amp;"|"&amp;$AL334&amp;"|"&amp;$S334&amp;"|"&amp;$P334&amp;"|"&amp;$Q334&amp;$R334&amp;"|"&amp;$C334&amp;"|"&amp;$AB334)</f>
        <v/>
      </c>
      <c r="CQ334" s="84">
        <f>N($BS334)</f>
        <v/>
      </c>
      <c r="CR334" s="84">
        <f>IF(N($AU334)&gt;0,N($AU334),4.5)</f>
        <v/>
      </c>
      <c r="CS334" s="84">
        <f>OR($A334="",$BI334="",$S334="BL",AND($C334="FRAME ONLY",OR($AC334="",$AC334="BLK")))</f>
        <v/>
      </c>
      <c r="CT334" s="84">
        <f>AND(NOT($CS334),OR($AT334="CUSTOM LOC",N($AW334)+N($AX334)+N($AY334)+N($AZ334)+N($BA334)&gt;0))</f>
        <v/>
      </c>
      <c r="CU334" s="84">
        <f>IF($BI334="","",IF($BI334&lt;=80,80,IF($BI334&lt;=84,84,96)))</f>
        <v/>
      </c>
      <c r="CV334" s="84">
        <f>ISNUMBER(MATCH($AT334&amp;"|80",LocKeys,0))</f>
        <v/>
      </c>
      <c r="CW334" s="86">
        <f>IF($CS334,"",IF($CV334,VLOOKUP($AT334&amp;"|"&amp;$CU334,LocTable,4,FALSE),5))</f>
        <v/>
      </c>
      <c r="CX334" s="86">
        <f>IF($CS334,"",IF($CV334,IF(OR($BI334=$CU334,AND($BI334&lt;$CU334,$BI334-IF(N(VLOOKUP($AT334&amp;"|"&amp;$CU334,LocTable,7,FALSE))&gt;0,VLOOKUP($AT334&amp;"|"&amp;$CU334,LocTable,7,FALSE),VLOOKUP($AT334&amp;"|"&amp;$CU334,LocTable,6,FALSE))-$CR334-0.75&gt;=2.125)),IF(N(VLOOKUP($AT334&amp;"|"&amp;$CU334,LocTable,7,FALSE))&gt;0,VLOOKUP($AT334&amp;"|"&amp;$CU334,LocTable,7,FALSE),VLOOKUP($AT334&amp;"|"&amp;$CU334,LocTable,6,FALSE)),$BI334-($CU334-IF(N(VLOOKUP($AT334&amp;"|"&amp;$CU334,LocTable,7,FALSE))&gt;0,VLOOKUP($AT334&amp;"|"&amp;$CU334,LocTable,7,FALSE),VLOOKUP($AT334&amp;"|"&amp;$CU334,LocTable,6,FALSE)))),$BI334-10-$CR334))</f>
        <v/>
      </c>
      <c r="CY334" s="85">
        <f>IF($CS334,"",TRIM(IF(ISNUMBER($BU334),"A "&amp;TRIM(TEXT($BU334,"# ?/??"))&amp;CHAR(34)&amp;"  ","")&amp;IF(ISNUMBER($BV334),"B "&amp;TRIM(TEXT($BV334,"# ?/??"))&amp;CHAR(34)&amp;"  ","")&amp;IF(ISNUMBER($BW334),"C "&amp;TRIM(TEXT($BW334,"# ?/??"))&amp;CHAR(34)&amp;"  ","")&amp;IF(ISNUMBER($BX334),"D "&amp;TRIM(TEXT($BX334,"# ?/??"))&amp;CHAR(34)&amp;"  ","")&amp;IF(ISNUMBER($BY334),"F "&amp;TRIM(TEXT($BY334,"# ?/??"))&amp;CHAR(34)&amp;"  ","")&amp;IF(ISNUMBER($BZ334),"E "&amp;TRIM(TEXT($BZ334,"# ?/??"))&amp;CHAR(34)&amp;"  ","")))</f>
        <v/>
      </c>
      <c r="CZ334" s="85">
        <f>IF(OR($CS334,N($BJ334)=0),"",TRIM(IF(ISNUMBER($BU334),"A "&amp;TRIM(TEXT($BU334-HeadClr,"# ?/??"))&amp;CHAR(34)&amp;"  ","")&amp;IF(ISNUMBER($BV334),"B "&amp;TRIM(TEXT($BV334-HeadClr,"# ?/??"))&amp;CHAR(34)&amp;"  ","")&amp;IF(ISNUMBER($BW334),"C "&amp;TRIM(TEXT($BW334-HeadClr,"# ?/??"))&amp;CHAR(34)&amp;"  ","")&amp;IF(ISNUMBER($BX334),"D "&amp;TRIM(TEXT($BX334-HeadClr,"# ?/??"))&amp;CHAR(34)&amp;"  ","")&amp;IF(ISNUMBER($BY334),"F "&amp;TRIM(TEXT($BY334-HeadClr,"# ?/??"))&amp;CHAR(34)&amp;"  ","")&amp;IF(ISNUMBER($BZ334),"E "&amp;TRIM(TEXT($BZ334-HeadClr,"# ?/??"))&amp;CHAR(34)&amp;"  ","")))</f>
        <v/>
      </c>
      <c r="DA334" s="84">
        <f>IF($A334="","",IF($AN334="",IFERROR(VLOOKUP($Z334,CODES,2,FALSE),""),IFERROR(VLOOKUP($AN334,CODES,2,FALSE),"")))</f>
        <v/>
      </c>
      <c r="DB334" s="84">
        <f>IF($A334="","",IF($O334="Y","PR",IF(OR($Z334="L",$Z334="RR",LEFT($Z334,2)="L-",LEFT($Z334,3)="RR-"),"LH","RH")))</f>
        <v/>
      </c>
      <c r="DC334" s="84">
        <f>IF($A334="","","S.HM"&amp;IF(OR($C334="DOOR ONLY",$X334&lt;&gt;"KD"),"MASONRY","DRYWALL")&amp;IF($C334="DOOR ONLY","",$U334)&amp;IF(AND($C334&lt;&gt;"FRAME ONLY",OR(LEFT($AH334,3)="OAK",LEFT($AH334,3)="BIR",LEFT($AH334,3)="MAP",$AH334="PC",$AH334="MC",$AH334="SCLC",$AH334="P-LAM")),"WD","HM")&amp;"1.75")</f>
        <v/>
      </c>
      <c r="DD334" s="84">
        <f>IF($CJ334="","",IF($O334="Y",$CJ334,SUBSTITUTE($CJ334,$BG334&amp;" "&amp;IFERROR(VLOOKUP($Z334,CODES,2,FALSE),"")&amp;" ",$BG334&amp;" ")))</f>
        <v/>
      </c>
      <c r="DE334" s="84">
        <f>IF($CK334="","",IF($O334="Y",$CK334,SUBSTITUTE($CK334,$BG334&amp;" "&amp;IF($AN334="",IFERROR(VLOOKUP($Z334,CODES,2,FALSE),""),IFERROR(VLOOKUP($AN334,CODES,2,FALSE),""))&amp;" ",$BG334&amp;" ")))</f>
        <v/>
      </c>
      <c r="DF334" s="84">
        <f>IF($CJ334="","",$DC334&amp;"|"&amp;$DD334&amp;"|"&amp;$DB334&amp;"|"&amp;$AT334&amp;"|"&amp;$V334&amp;"|"&amp;$Y334&amp;"|"&amp;$AB334)</f>
        <v/>
      </c>
      <c r="DG334" s="84">
        <f>IF(DF334="","",IF(COUNTIF($DF$6:DF334,DF334)=1,MAX($DG$5:DG333)+1,INDEX($DG$5:DG333,MATCH(DF334,$DF$5:DF333,0))))</f>
        <v/>
      </c>
      <c r="DH334" s="84">
        <f>IF($CK334="","",$DC334&amp;"|"&amp;$DE334&amp;"|"&amp;$AI334&amp;"|"&amp;$BK334&amp;"|"&amp;$BL334)</f>
        <v/>
      </c>
      <c r="DI334" s="84">
        <f>IF(DH334="","",IF(COUNTIF($DH$6:DH334,DH334)=1,MAX($DI$5:DI333)+1,INDEX($DI$5:DI333,MATCH(DH334,$DH$5:DH333,0))))</f>
        <v/>
      </c>
      <c r="DJ334" s="84">
        <f>IF($A334="","",IF($B334="","qty, ","")&amp;IF($C334="","scope, ","")&amp;IF(OR($K334="",$M334=""),"size, ","")&amp;IF(AND($A334&lt;&gt;"",$C334&lt;&gt;"DOOR ONLY"),IF($U334="","jamb depth, ","")&amp;IF($X334="","construction, ","")&amp;IF($Y334="","anchor, ","")&amp;IF($S334="","frame type, ",""),"")&amp;IF(AND(N($BJ334)&gt;0,$Z334=""),"hand, ","")&amp;IF(N($BJ334)&gt;0,IF($AH334="","door material, ","")&amp;IF($AL334="","face type, ","")&amp;IF($AP334="","lock prep, ","")&amp;IF(AND($AO334="",$AC334=""),"hinge prep, ",""),"")&amp;IF(AND($CH334&gt;0,$AH334="FRP"),"FRP cannot carry a label, ","")&amp;IF(AND($O334="Y",OR($Z334="L",$Z334="R",$Z334="LR",$Z334="RR")),"pair marked but hand is single, ","")&amp;IF(AND($O334&lt;&gt;"Y",OR($Z334="PR",AND(LEN($Z334)&gt;1,ISNUMBER(SEARCH("-",$Z334))))),"pair hand on a single door, ","")&amp;IF(AND(ISNUMBER($CI334),$CH334&lt;N($CI334)),"wall needs a "&amp;$CI334&amp;" min door, ","")&amp;IF(AND($CH334&gt;=180,AND(OR($CE334="FG",$CE334="HG",$CE334="FNV",$CE334="FV"),N($CF334)*N($CG334)&gt;100)),"180 min lite over 100 sq in, ","")&amp;IF(N($BK334)&gt;48,"leaf wider than 4'-0"&amp;CHAR(34)&amp;", ","")&amp;IF(AND($CT334,COUNT($AW334:$AZ334)=0,$CQ334&gt;0),"CUSTOM LOC with no locations typed, ",""))</f>
        <v/>
      </c>
      <c r="DK334" s="84">
        <f>IF($A334="","",IF(AND($CH334&gt;0,AND($A334&lt;&gt;"",$C334&lt;&gt;"DOOR ONLY"),$X334="KD",$E334="EXTERIOR"),"KD label on an exterior opening, ","")&amp;IF(AND($E334="EXTERIOR",OR(AND(AND($A334&lt;&gt;"",$C334&lt;&gt;"DOOR ONLY"),$W334="CR"),AND(N($BJ334)&gt;0,$AH334="CR"))),"exterior in CR steel (G9?), ","")&amp;IF(AND(ISNUMBER($BQ334),N($BQ334)&lt;32),"clear width ~"&amp;TEXT($BQ334,"0.0")&amp;CHAR(34)&amp;" under 32"&amp;CHAR(34)&amp;" (ADA), ","")&amp;IF(AND($CH334=90,AND(OR($CE334="FG",$CE334="HG",$CE334="FNV",$CE334="FV"),N($CF334)*N($CG334)&gt;100)),"90 min lite over 100 sq in (stair/exit), ","")&amp;IF(AND($CH334&gt;0,AND($A334&lt;&gt;"",$C334&lt;&gt;"DOOR ONLY"),OR($AF334="",$AF334="-")),"rated: closer reinf.?, ","")&amp;IF(OR($I334="CORRIDOR",$I334="SMOKE BARRIER"),"S label + smoke gasketing, ","")&amp;IF($CI334="?","wall type/hr not in IBC table, ","")&amp;IF(AND(N($BJ334)&gt;0,$BB334=""),"no hardware set, ","")&amp;IF(AND($BB334&lt;&gt;"",ISNA(MATCH($BB334&amp;"",HWSets,0))),"set "&amp;$BB334&amp;" not on HW Sets, ","")&amp;IF(N($BL334)&gt;96,"leaf over 8'-0"&amp;CHAR(34)&amp;" - check listing, ","")&amp;IF(AND($CT334,COUNT($AW334:$AZ334)&gt;0,COUNT($AW334:$AZ334)&lt;&gt;$CQ334),COUNT($AW334:$AZ334)&amp;" custom hinges typed, "&amp;$CQ334&amp;" expected, ","")&amp;IF(AND(ISNUMBER($CA334),OR(N($CA334)&lt;34,N($CA334)&gt;48)),"lock "&amp;TEXT($CA334,"0.0")&amp;CHAR(34)&amp;" AFF outside 34-48"&amp;CHAR(34)&amp;" (ADA), ","")&amp;IF(AND(ISNUMBER($AV334),ISNUMBER($BL334),N($AV334)&lt;IF(N($BL334)&lt;=60,2,IF(N($BL334)&lt;=90,3,IF(N($BL334)&lt;=120,4,5)))),"fewer hinges than standard, ",""))</f>
        <v/>
      </c>
    </row>
    <row r="335" ht="15" customHeight="1">
      <c r="A335" s="92" t="n"/>
      <c r="B335" s="93" t="n"/>
      <c r="C335" s="93" t="n"/>
      <c r="D335" s="93" t="n"/>
      <c r="E335" s="93" t="n"/>
      <c r="F335" s="93" t="n"/>
      <c r="G335" s="93" t="n"/>
      <c r="H335" s="93" t="n"/>
      <c r="I335" s="93" t="n"/>
      <c r="J335" s="93" t="n"/>
      <c r="K335" s="93" t="n"/>
      <c r="L335" s="93" t="n"/>
      <c r="M335" s="93" t="n"/>
      <c r="N335" s="93" t="n"/>
      <c r="O335" s="93" t="n"/>
      <c r="P335" s="93" t="n"/>
      <c r="Q335" s="93" t="n"/>
      <c r="R335" s="93" t="n"/>
      <c r="S335" s="94" t="n"/>
      <c r="T335" s="94" t="n"/>
      <c r="U335" s="94" t="n"/>
      <c r="V335" s="94" t="n"/>
      <c r="W335" s="94" t="n"/>
      <c r="X335" s="94" t="n"/>
      <c r="Y335" s="94" t="n"/>
      <c r="Z335" s="94" t="n"/>
      <c r="AA335" s="94" t="n"/>
      <c r="AB335" s="94" t="n"/>
      <c r="AC335" s="94" t="n"/>
      <c r="AD335" s="94" t="n"/>
      <c r="AE335" s="94" t="n"/>
      <c r="AF335" s="94" t="n"/>
      <c r="AG335" s="94" t="n"/>
      <c r="AH335" s="95" t="n"/>
      <c r="AI335" s="95" t="n"/>
      <c r="AJ335" s="95" t="n"/>
      <c r="AK335" s="95" t="n"/>
      <c r="AL335" s="95" t="n"/>
      <c r="AM335" s="95" t="n"/>
      <c r="AN335" s="95" t="n"/>
      <c r="AO335" s="95" t="n"/>
      <c r="AP335" s="95" t="n"/>
      <c r="AQ335" s="95" t="n"/>
      <c r="AR335" s="95" t="n"/>
      <c r="AS335" s="95" t="n"/>
      <c r="AT335" s="96" t="n"/>
      <c r="AU335" s="96" t="n"/>
      <c r="AV335" s="96" t="n"/>
      <c r="AW335" s="97" t="n"/>
      <c r="AX335" s="97" t="n"/>
      <c r="AY335" s="97" t="n"/>
      <c r="AZ335" s="97" t="n"/>
      <c r="BA335" s="97" t="n"/>
      <c r="BB335" s="98" t="n"/>
      <c r="BC335" s="98" t="n"/>
      <c r="BD335" s="99">
        <f>IF($A335="","",IF($DJ335&lt;&gt;"","FIX",IF($DK335&lt;&gt;"","CHECK","OK")))</f>
        <v/>
      </c>
      <c r="BE335" s="100">
        <f>IF($A335="","",IF($DJ335&lt;&gt;"","FIX: "&amp;LEFT($DJ335,LEN($DJ335)-2)&amp;IF($DK335&lt;&gt;"","  ·  ",""),"")&amp;IF($DK335&lt;&gt;"","CHECK: "&amp;LEFT($DK335,LEN($DK335)-2),""))</f>
        <v/>
      </c>
      <c r="BF335" s="99">
        <f>IF(OR($A335="",$K335=""),"",$K335&amp;"'-"&amp;N($L335)&amp;CHAR(34)&amp;" x "&amp;$M335&amp;"'-"&amp;N($N335)&amp;CHAR(34))</f>
        <v/>
      </c>
      <c r="BG335" s="99">
        <f>IF(OR($A335="",$K335=""),"",$K335&amp;N($L335)&amp;$M335&amp;N($N335))</f>
        <v/>
      </c>
      <c r="BH335" s="99">
        <f>IF(OR($A335="",$K335=""),"",$K335*12+N($L335))</f>
        <v/>
      </c>
      <c r="BI335" s="99">
        <f>IF(OR($A335="",$M335=""),"",$M335*12+N($N335))</f>
        <v/>
      </c>
      <c r="BJ335" s="99">
        <f>IF($A335="","",IF(OR($C335="FRAME ONLY",$S335="BL"),0,IF($O335="Y",2,1)))</f>
        <v/>
      </c>
      <c r="BK335" s="101">
        <f>IF(OR(N($BJ335)=0,$BH335=""),"",($BH335-2*EdgeClr-IF($BJ335=2,MeetClr,0))/$BJ335)</f>
        <v/>
      </c>
      <c r="BL335" s="101">
        <f>IF(OR(N($BJ335)=0,$BI335=""),"",$BI335-HeadClr-Undercut)</f>
        <v/>
      </c>
      <c r="BM335" s="101">
        <f>IF($BH335="","",$BH335+2*FaceW+IF(N($Q335)&gt;0,($Q335+FaceW)*IF($R335="LR",2,1),0))</f>
        <v/>
      </c>
      <c r="BN335" s="101">
        <f>IF($BI335="","",$BI335+IF($AB335="Y",4,FaceW)+IF(N($P335)&gt;0,$P335+FaceW,0)+IF(OR($S335="4F",$S335="BL"),FaceW,0))</f>
        <v/>
      </c>
      <c r="BO335" s="101">
        <f>IF($BM335="","",$BM335+2*ROSide)</f>
        <v/>
      </c>
      <c r="BP335" s="101">
        <f>IF($BN335="","",$BN335+ROTop)</f>
        <v/>
      </c>
      <c r="BQ335" s="102">
        <f>IF(OR(N($BJ335)=0,$BH335=""),"",$BH335/$BJ335-ClearDeduct)</f>
        <v/>
      </c>
      <c r="BR335" s="99">
        <f>IF(N($CH335)=0,"",IF($CH335&gt;=180,"A · 3 HR",IF($CH335&gt;=90,"B · 1-1/2 HR",IF($CH335&gt;=60,"B · 1 HR",IF($CH335&gt;=45,"C · 3/4 HR","20 MIN")))))&amp;IF(AND(N($CH335)&gt;0,OR($I335="CORRIDOR",$I335="SMOKE BARRIER"))," · S","")</f>
        <v/>
      </c>
      <c r="BS335" s="99">
        <f>IF($CS335,"",IF($AV335&lt;&gt;"",$AV335,IF(OR($AC335="HGC",$AO335="HGC"),"CONT",IF(($BI335-HeadClr-Undercut)&lt;=60,2,IF(($BI335-HeadClr-Undercut)&lt;=90,3,IF(($BI335-HeadClr-Undercut)&lt;=120,4,5))))))</f>
        <v/>
      </c>
      <c r="BT335" s="99">
        <f>IF($CS335,"",IF($CT335,"CUSTOM (typed)",IF($CV335,$AT335&amp;" "&amp;$CU335&amp;CHAR(34)&amp;IF($CU335&lt;&gt;$BI335,IF(AND($BI335&lt;$CU335,$BI335-IF(N(VLOOKUP($AT335&amp;"|"&amp;$CU335,LocTable,7,FALSE))&gt;0,VLOOKUP($AT335&amp;"|"&amp;$CU335,LocTable,7,FALSE),VLOOKUP($AT335&amp;"|"&amp;$CU335,LocTable,6,FALSE))-$CR335-0.75&gt;=2.125)," cut down"," adj."),""),"ANSI/SDI A250.6")))</f>
        <v/>
      </c>
      <c r="BU335" s="103">
        <f>IF($CS335,"",IF($CT335,IF(N($AW335)&gt;0,N($AW335),""),IF(1&gt;$CQ335,"",IF($CQ335=1,$CW335,$CW335+($CX335-$CW335)*0/($CQ335-1)))))</f>
        <v/>
      </c>
      <c r="BV335" s="103">
        <f>IF($CS335,"",IF($CT335,IF(N($AX335)&gt;0,N($AX335),""),IF(2&gt;$CQ335,"",IF($CQ335=1,$CW335,$CW335+($CX335-$CW335)*1/($CQ335-1)))))</f>
        <v/>
      </c>
      <c r="BW335" s="103">
        <f>IF($CS335,"",IF($CT335,IF(N($AY335)&gt;0,N($AY335),""),IF(3&gt;$CQ335,"",IF($CQ335=1,$CW335,$CW335+($CX335-$CW335)*2/($CQ335-1)))))</f>
        <v/>
      </c>
      <c r="BX335" s="103">
        <f>IF($CS335,"",IF($CT335,IF(N($AZ335)&gt;0,N($AZ335),""),IF(4&gt;$CQ335,"",IF($CQ335=1,$CW335,$CW335+($CX335-$CW335)*3/($CQ335-1)))))</f>
        <v/>
      </c>
      <c r="BY335" s="103">
        <f>IF($CS335,"",IF($CT335,"",IF(5&gt;$CQ335,"",IF($CQ335=1,$CW335,$CW335+($CX335-$CW335)*4/($CQ335-1)))))</f>
        <v/>
      </c>
      <c r="BZ335" s="103">
        <f>IF(OR($CS335,$AP335="-",AND($AP335="",$AD335="")),"",IF(N($BA335)&gt;0,N($BA335),IF($CV335,IF(AND($BI335&lt;$CU335,$BI335-IF(N(VLOOKUP($AT335&amp;"|"&amp;$CU335,LocTable,7,FALSE))&gt;0,VLOOKUP($AT335&amp;"|"&amp;$CU335,LocTable,7,FALSE),VLOOKUP($AT335&amp;"|"&amp;$CU335,LocTable,6,FALSE))-$CR335-0.75&gt;=2.125),VLOOKUP($AT335&amp;"|"&amp;$CU335,LocTable,8,FALSE),VLOOKUP($AT335&amp;"|"&amp;$CU335,LocTable,8,FALSE)+($BI335-$CU335)),$BI335-LockAFF)))</f>
        <v/>
      </c>
      <c r="CA335" s="104">
        <f>IF($BZ335="","",$BI335-$BZ335)</f>
        <v/>
      </c>
      <c r="CB335" s="99">
        <f>IF(OR(NOT(AND($A335&lt;&gt;"",$C335&lt;&gt;"DOOR ONLY")),$BI335=""),"",IF(($BI335+IF(N($P335)&gt;0,$P335+FaceW,0))&lt;=90,3,IF(($BI335+IF(N($P335)&gt;0,$P335+FaceW,0))&lt;=114,4,5)))</f>
        <v/>
      </c>
      <c r="CC335" s="99">
        <f>IF($CB335="","",$CB335*(2+IF(N($Q335)&gt;0,IF($R335="LR",2,1),0)))</f>
        <v/>
      </c>
      <c r="CD335" s="99">
        <f>IF($CB335="","",(2+IF(N($Q335)&gt;0,IF($R335="LR",2,1),0)))</f>
        <v/>
      </c>
      <c r="CE335" s="99">
        <f>IF(N($BJ335)=0,"",IF(OR($AL335="",$AL335="FLUSH"),"FLUSH",IFERROR(LEFT($AL335,FIND("-",$AL335)-1),LEFT($AL335,2))))</f>
        <v/>
      </c>
      <c r="CF335" s="99">
        <f>IF($CE335="","",IFERROR(VALUE(MID($AL335,FIND("-",$AL335)+1,FIND(CHAR(34)&amp;"x",$AL335)-FIND("-",$AL335)-1)),0))</f>
        <v/>
      </c>
      <c r="CG335" s="99">
        <f>IF($CE335="","",IFERROR(VALUE(MID($AL335,FIND(CHAR(34)&amp;"x",$AL335)+2,FIND(CHAR(34),$AL335,FIND(CHAR(34)&amp;"x",$AL335)+2)-FIND(CHAR(34)&amp;"x",$AL335)-2)),0))</f>
        <v/>
      </c>
      <c r="CH335" s="105">
        <f>IF(OR($A335="",$H335="",$H335="NO LAB"),0,IFERROR(VALUE(LEFT($H335,FIND(" ",$H335)-1)),0))</f>
        <v/>
      </c>
      <c r="CI335" s="106">
        <f>IF(OR($A335="",$I335="",$I335="NON-RATED",N($J335)=0),"",IFERROR(VLOOKUP($I335&amp;"|"&amp;$J335,IBC,2,FALSE),"?"))</f>
        <v/>
      </c>
      <c r="CJ335" s="100">
        <f>IF(NOT(AND($A335&lt;&gt;"",$C335&lt;&gt;"DOOR ONLY")),"",TRIM(IFERROR(VLOOKUP($U335,CODES,2,FALSE),"")&amp;" "&amp;$BG335&amp;" "&amp;IFERROR(VLOOKUP($Z335,CODES,2,FALSE),"")&amp;" "&amp;IFERROR(VLOOKUP($X335,CODES,2,FALSE),"")&amp;" "&amp;IFERROR(VLOOKUP($S335,CODES,2,FALSE),"")&amp;IF(N($P335)&gt;0," w/TRANSOM "&amp;$P335&amp;CHAR(34),"")&amp;IF(N($Q335)&gt;0," w/SIDELITE "&amp;$Q335&amp;CHAR(34)&amp;" "&amp;IF($R335="","R",$R335),"")&amp;IF($Y335="","  |  "," | "&amp;IFERROR(VLOOKUP($Y335,CODES,2,FALSE),"")&amp;" | ")&amp;IFERROR(VLOOKUP($AC335,CODES,2,FALSE),"")&amp;" "&amp;IFERROR(VLOOKUP($AD335,CODES,2,FALSE),"")&amp;IF(OR($AE335="",$AE335="-"),""," "&amp;$AE335)&amp;IF(OR($AF335="",$AF335="-"),""," "&amp;$AF335)&amp;IF($AB335="Y"," 4"&amp;CHAR(34)&amp;" HEAD","")&amp;" "&amp;IFERROR(VLOOKUP($H335,CODES,2,FALSE),"")&amp;IF($CT335," | LOC "&amp;$CY335,"")))</f>
        <v/>
      </c>
      <c r="CK335" s="100">
        <f>IF(NOT(AND($A335&lt;&gt;"",N($BJ335)&gt;0)),"",TRIM(IFERROR(VLOOKUP($AH335,CODES,2,FALSE),"")&amp;IF($AI335=""," "," "&amp;$AI335&amp;"GA ")&amp;$BG335&amp;" "&amp;IF($AN335="",IFERROR(VLOOKUP($Z335,CODES,2,FALSE),""),IFERROR(VLOOKUP($AN335,CODES,2,FALSE),""))&amp;IF($BJ335=2," PAIR","")&amp;" DOOR | "&amp;IF($AL335="","?",$AL335)&amp;" | "&amp;IF($AO335="",IFERROR(VLOOKUP($AC335,CODES,2,FALSE),""),IFERROR(VLOOKUP($AO335,CODES,2,FALSE),""))&amp;" "&amp;IFERROR(VLOOKUP($AP335,CODES,2,FALSE),"")&amp;IF(OR($AQ335="",$AQ335="-"),""," SEAM "&amp;$AQ335)&amp;IF($AR335="Y"," ASTRAGAL","")&amp;IF($AJ335=""," "," "&amp;$AJ335)&amp;IF($AK335=""," "," "&amp;$AK335)&amp;IF(OR($AT335="",$AT335="ANSI/SDI",$AT335="CUSTOM LOC"),""," "&amp;$AT335)&amp;IF($AM335=""," "," SERIES "&amp;$AM335)&amp;" "&amp;IFERROR(VLOOKUP($H335,CODES,2,FALSE),"")&amp;IF($CT335," | LOC "&amp;$CZ335,"")))</f>
        <v/>
      </c>
      <c r="CL335" s="99">
        <f>IF(CP335="","",IF(COUNTIF($CP$6:CP335,CP335)=1,MAX($CL$5:CL334)+1,INDEX($CL$5:CL334,MATCH(CP335,$CP$5:CP334,0))))</f>
        <v/>
      </c>
      <c r="CM335" s="99">
        <f>IF(NOT(AND($A335&lt;&gt;"",$C335&lt;&gt;"DOOR ONLY")),"",MAX($CM$5:CM334)+1)</f>
        <v/>
      </c>
      <c r="CN335" s="99">
        <f>IF(NOT(AND($A335&lt;&gt;"",N($BJ335)&gt;0)),"",MAX($CN$5:CN334)+1)</f>
        <v/>
      </c>
      <c r="CO335" s="99">
        <f>IF($A335="","",MAX($CO$5:CO334)+1)</f>
        <v/>
      </c>
      <c r="CP335" s="99">
        <f>IF(OR($A335="",$BH335="",$BI335=""),"",$BG335&amp;"|"&amp;$O335&amp;"|"&amp;$AL335&amp;"|"&amp;$S335&amp;"|"&amp;$P335&amp;"|"&amp;$Q335&amp;$R335&amp;"|"&amp;$C335&amp;"|"&amp;$AB335)</f>
        <v/>
      </c>
      <c r="CQ335" s="99">
        <f>N($BS335)</f>
        <v/>
      </c>
      <c r="CR335" s="99">
        <f>IF(N($AU335)&gt;0,N($AU335),4.5)</f>
        <v/>
      </c>
      <c r="CS335" s="99">
        <f>OR($A335="",$BI335="",$S335="BL",AND($C335="FRAME ONLY",OR($AC335="",$AC335="BLK")))</f>
        <v/>
      </c>
      <c r="CT335" s="99">
        <f>AND(NOT($CS335),OR($AT335="CUSTOM LOC",N($AW335)+N($AX335)+N($AY335)+N($AZ335)+N($BA335)&gt;0))</f>
        <v/>
      </c>
      <c r="CU335" s="99">
        <f>IF($BI335="","",IF($BI335&lt;=80,80,IF($BI335&lt;=84,84,96)))</f>
        <v/>
      </c>
      <c r="CV335" s="99">
        <f>ISNUMBER(MATCH($AT335&amp;"|80",LocKeys,0))</f>
        <v/>
      </c>
      <c r="CW335" s="101">
        <f>IF($CS335,"",IF($CV335,VLOOKUP($AT335&amp;"|"&amp;$CU335,LocTable,4,FALSE),5))</f>
        <v/>
      </c>
      <c r="CX335" s="101">
        <f>IF($CS335,"",IF($CV335,IF(OR($BI335=$CU335,AND($BI335&lt;$CU335,$BI335-IF(N(VLOOKUP($AT335&amp;"|"&amp;$CU335,LocTable,7,FALSE))&gt;0,VLOOKUP($AT335&amp;"|"&amp;$CU335,LocTable,7,FALSE),VLOOKUP($AT335&amp;"|"&amp;$CU335,LocTable,6,FALSE))-$CR335-0.75&gt;=2.125)),IF(N(VLOOKUP($AT335&amp;"|"&amp;$CU335,LocTable,7,FALSE))&gt;0,VLOOKUP($AT335&amp;"|"&amp;$CU335,LocTable,7,FALSE),VLOOKUP($AT335&amp;"|"&amp;$CU335,LocTable,6,FALSE)),$BI335-($CU335-IF(N(VLOOKUP($AT335&amp;"|"&amp;$CU335,LocTable,7,FALSE))&gt;0,VLOOKUP($AT335&amp;"|"&amp;$CU335,LocTable,7,FALSE),VLOOKUP($AT335&amp;"|"&amp;$CU335,LocTable,6,FALSE)))),$BI335-10-$CR335))</f>
        <v/>
      </c>
      <c r="CY335" s="100">
        <f>IF($CS335,"",TRIM(IF(ISNUMBER($BU335),"A "&amp;TRIM(TEXT($BU335,"# ?/??"))&amp;CHAR(34)&amp;"  ","")&amp;IF(ISNUMBER($BV335),"B "&amp;TRIM(TEXT($BV335,"# ?/??"))&amp;CHAR(34)&amp;"  ","")&amp;IF(ISNUMBER($BW335),"C "&amp;TRIM(TEXT($BW335,"# ?/??"))&amp;CHAR(34)&amp;"  ","")&amp;IF(ISNUMBER($BX335),"D "&amp;TRIM(TEXT($BX335,"# ?/??"))&amp;CHAR(34)&amp;"  ","")&amp;IF(ISNUMBER($BY335),"F "&amp;TRIM(TEXT($BY335,"# ?/??"))&amp;CHAR(34)&amp;"  ","")&amp;IF(ISNUMBER($BZ335),"E "&amp;TRIM(TEXT($BZ335,"# ?/??"))&amp;CHAR(34)&amp;"  ","")))</f>
        <v/>
      </c>
      <c r="CZ335" s="100">
        <f>IF(OR($CS335,N($BJ335)=0),"",TRIM(IF(ISNUMBER($BU335),"A "&amp;TRIM(TEXT($BU335-HeadClr,"# ?/??"))&amp;CHAR(34)&amp;"  ","")&amp;IF(ISNUMBER($BV335),"B "&amp;TRIM(TEXT($BV335-HeadClr,"# ?/??"))&amp;CHAR(34)&amp;"  ","")&amp;IF(ISNUMBER($BW335),"C "&amp;TRIM(TEXT($BW335-HeadClr,"# ?/??"))&amp;CHAR(34)&amp;"  ","")&amp;IF(ISNUMBER($BX335),"D "&amp;TRIM(TEXT($BX335-HeadClr,"# ?/??"))&amp;CHAR(34)&amp;"  ","")&amp;IF(ISNUMBER($BY335),"F "&amp;TRIM(TEXT($BY335-HeadClr,"# ?/??"))&amp;CHAR(34)&amp;"  ","")&amp;IF(ISNUMBER($BZ335),"E "&amp;TRIM(TEXT($BZ335-HeadClr,"# ?/??"))&amp;CHAR(34)&amp;"  ","")))</f>
        <v/>
      </c>
      <c r="DA335" s="99">
        <f>IF($A335="","",IF($AN335="",IFERROR(VLOOKUP($Z335,CODES,2,FALSE),""),IFERROR(VLOOKUP($AN335,CODES,2,FALSE),"")))</f>
        <v/>
      </c>
      <c r="DB335" s="99">
        <f>IF($A335="","",IF($O335="Y","PR",IF(OR($Z335="L",$Z335="RR",LEFT($Z335,2)="L-",LEFT($Z335,3)="RR-"),"LH","RH")))</f>
        <v/>
      </c>
      <c r="DC335" s="99">
        <f>IF($A335="","","S.HM"&amp;IF(OR($C335="DOOR ONLY",$X335&lt;&gt;"KD"),"MASONRY","DRYWALL")&amp;IF($C335="DOOR ONLY","",$U335)&amp;IF(AND($C335&lt;&gt;"FRAME ONLY",OR(LEFT($AH335,3)="OAK",LEFT($AH335,3)="BIR",LEFT($AH335,3)="MAP",$AH335="PC",$AH335="MC",$AH335="SCLC",$AH335="P-LAM")),"WD","HM")&amp;"1.75")</f>
        <v/>
      </c>
      <c r="DD335" s="99">
        <f>IF($CJ335="","",IF($O335="Y",$CJ335,SUBSTITUTE($CJ335,$BG335&amp;" "&amp;IFERROR(VLOOKUP($Z335,CODES,2,FALSE),"")&amp;" ",$BG335&amp;" ")))</f>
        <v/>
      </c>
      <c r="DE335" s="99">
        <f>IF($CK335="","",IF($O335="Y",$CK335,SUBSTITUTE($CK335,$BG335&amp;" "&amp;IF($AN335="",IFERROR(VLOOKUP($Z335,CODES,2,FALSE),""),IFERROR(VLOOKUP($AN335,CODES,2,FALSE),""))&amp;" ",$BG335&amp;" ")))</f>
        <v/>
      </c>
      <c r="DF335" s="99">
        <f>IF($CJ335="","",$DC335&amp;"|"&amp;$DD335&amp;"|"&amp;$DB335&amp;"|"&amp;$AT335&amp;"|"&amp;$V335&amp;"|"&amp;$Y335&amp;"|"&amp;$AB335)</f>
        <v/>
      </c>
      <c r="DG335" s="99">
        <f>IF(DF335="","",IF(COUNTIF($DF$6:DF335,DF335)=1,MAX($DG$5:DG334)+1,INDEX($DG$5:DG334,MATCH(DF335,$DF$5:DF334,0))))</f>
        <v/>
      </c>
      <c r="DH335" s="99">
        <f>IF($CK335="","",$DC335&amp;"|"&amp;$DE335&amp;"|"&amp;$AI335&amp;"|"&amp;$BK335&amp;"|"&amp;$BL335)</f>
        <v/>
      </c>
      <c r="DI335" s="99">
        <f>IF(DH335="","",IF(COUNTIF($DH$6:DH335,DH335)=1,MAX($DI$5:DI334)+1,INDEX($DI$5:DI334,MATCH(DH335,$DH$5:DH334,0))))</f>
        <v/>
      </c>
      <c r="DJ335" s="99">
        <f>IF($A335="","",IF($B335="","qty, ","")&amp;IF($C335="","scope, ","")&amp;IF(OR($K335="",$M335=""),"size, ","")&amp;IF(AND($A335&lt;&gt;"",$C335&lt;&gt;"DOOR ONLY"),IF($U335="","jamb depth, ","")&amp;IF($X335="","construction, ","")&amp;IF($Y335="","anchor, ","")&amp;IF($S335="","frame type, ",""),"")&amp;IF(AND(N($BJ335)&gt;0,$Z335=""),"hand, ","")&amp;IF(N($BJ335)&gt;0,IF($AH335="","door material, ","")&amp;IF($AL335="","face type, ","")&amp;IF($AP335="","lock prep, ","")&amp;IF(AND($AO335="",$AC335=""),"hinge prep, ",""),"")&amp;IF(AND($CH335&gt;0,$AH335="FRP"),"FRP cannot carry a label, ","")&amp;IF(AND($O335="Y",OR($Z335="L",$Z335="R",$Z335="LR",$Z335="RR")),"pair marked but hand is single, ","")&amp;IF(AND($O335&lt;&gt;"Y",OR($Z335="PR",AND(LEN($Z335)&gt;1,ISNUMBER(SEARCH("-",$Z335))))),"pair hand on a single door, ","")&amp;IF(AND(ISNUMBER($CI335),$CH335&lt;N($CI335)),"wall needs a "&amp;$CI335&amp;" min door, ","")&amp;IF(AND($CH335&gt;=180,AND(OR($CE335="FG",$CE335="HG",$CE335="FNV",$CE335="FV"),N($CF335)*N($CG335)&gt;100)),"180 min lite over 100 sq in, ","")&amp;IF(N($BK335)&gt;48,"leaf wider than 4'-0"&amp;CHAR(34)&amp;", ","")&amp;IF(AND($CT335,COUNT($AW335:$AZ335)=0,$CQ335&gt;0),"CUSTOM LOC with no locations typed, ",""))</f>
        <v/>
      </c>
      <c r="DK335" s="99">
        <f>IF($A335="","",IF(AND($CH335&gt;0,AND($A335&lt;&gt;"",$C335&lt;&gt;"DOOR ONLY"),$X335="KD",$E335="EXTERIOR"),"KD label on an exterior opening, ","")&amp;IF(AND($E335="EXTERIOR",OR(AND(AND($A335&lt;&gt;"",$C335&lt;&gt;"DOOR ONLY"),$W335="CR"),AND(N($BJ335)&gt;0,$AH335="CR"))),"exterior in CR steel (G9?), ","")&amp;IF(AND(ISNUMBER($BQ335),N($BQ335)&lt;32),"clear width ~"&amp;TEXT($BQ335,"0.0")&amp;CHAR(34)&amp;" under 32"&amp;CHAR(34)&amp;" (ADA), ","")&amp;IF(AND($CH335=90,AND(OR($CE335="FG",$CE335="HG",$CE335="FNV",$CE335="FV"),N($CF335)*N($CG335)&gt;100)),"90 min lite over 100 sq in (stair/exit), ","")&amp;IF(AND($CH335&gt;0,AND($A335&lt;&gt;"",$C335&lt;&gt;"DOOR ONLY"),OR($AF335="",$AF335="-")),"rated: closer reinf.?, ","")&amp;IF(OR($I335="CORRIDOR",$I335="SMOKE BARRIER"),"S label + smoke gasketing, ","")&amp;IF($CI335="?","wall type/hr not in IBC table, ","")&amp;IF(AND(N($BJ335)&gt;0,$BB335=""),"no hardware set, ","")&amp;IF(AND($BB335&lt;&gt;"",ISNA(MATCH($BB335&amp;"",HWSets,0))),"set "&amp;$BB335&amp;" not on HW Sets, ","")&amp;IF(N($BL335)&gt;96,"leaf over 8'-0"&amp;CHAR(34)&amp;" - check listing, ","")&amp;IF(AND($CT335,COUNT($AW335:$AZ335)&gt;0,COUNT($AW335:$AZ335)&lt;&gt;$CQ335),COUNT($AW335:$AZ335)&amp;" custom hinges typed, "&amp;$CQ335&amp;" expected, ","")&amp;IF(AND(ISNUMBER($CA335),OR(N($CA335)&lt;34,N($CA335)&gt;48)),"lock "&amp;TEXT($CA335,"0.0")&amp;CHAR(34)&amp;" AFF outside 34-48"&amp;CHAR(34)&amp;" (ADA), ","")&amp;IF(AND(ISNUMBER($AV335),ISNUMBER($BL335),N($AV335)&lt;IF(N($BL335)&lt;=60,2,IF(N($BL335)&lt;=90,3,IF(N($BL335)&lt;=120,4,5)))),"fewer hinges than standard, ",""))</f>
        <v/>
      </c>
    </row>
    <row r="336" ht="15" customHeight="1">
      <c r="A336" s="77" t="n"/>
      <c r="B336" s="78" t="n"/>
      <c r="C336" s="78" t="n"/>
      <c r="D336" s="78" t="n"/>
      <c r="E336" s="78" t="n"/>
      <c r="F336" s="78" t="n"/>
      <c r="G336" s="78" t="n"/>
      <c r="H336" s="78" t="n"/>
      <c r="I336" s="78" t="n"/>
      <c r="J336" s="78" t="n"/>
      <c r="K336" s="78" t="n"/>
      <c r="L336" s="78" t="n"/>
      <c r="M336" s="78" t="n"/>
      <c r="N336" s="78" t="n"/>
      <c r="O336" s="78" t="n"/>
      <c r="P336" s="78" t="n"/>
      <c r="Q336" s="78" t="n"/>
      <c r="R336" s="78" t="n"/>
      <c r="S336" s="79" t="n"/>
      <c r="T336" s="79" t="n"/>
      <c r="U336" s="79" t="n"/>
      <c r="V336" s="79" t="n"/>
      <c r="W336" s="79" t="n"/>
      <c r="X336" s="79" t="n"/>
      <c r="Y336" s="79" t="n"/>
      <c r="Z336" s="79" t="n"/>
      <c r="AA336" s="79" t="n"/>
      <c r="AB336" s="79" t="n"/>
      <c r="AC336" s="79" t="n"/>
      <c r="AD336" s="79" t="n"/>
      <c r="AE336" s="79" t="n"/>
      <c r="AF336" s="79" t="n"/>
      <c r="AG336" s="79" t="n"/>
      <c r="AH336" s="80" t="n"/>
      <c r="AI336" s="80" t="n"/>
      <c r="AJ336" s="80" t="n"/>
      <c r="AK336" s="80" t="n"/>
      <c r="AL336" s="80" t="n"/>
      <c r="AM336" s="80" t="n"/>
      <c r="AN336" s="80" t="n"/>
      <c r="AO336" s="80" t="n"/>
      <c r="AP336" s="80" t="n"/>
      <c r="AQ336" s="80" t="n"/>
      <c r="AR336" s="80" t="n"/>
      <c r="AS336" s="80" t="n"/>
      <c r="AT336" s="81" t="n"/>
      <c r="AU336" s="81" t="n"/>
      <c r="AV336" s="81" t="n"/>
      <c r="AW336" s="82" t="n"/>
      <c r="AX336" s="82" t="n"/>
      <c r="AY336" s="82" t="n"/>
      <c r="AZ336" s="82" t="n"/>
      <c r="BA336" s="82" t="n"/>
      <c r="BB336" s="83" t="n"/>
      <c r="BC336" s="83" t="n"/>
      <c r="BD336" s="84">
        <f>IF($A336="","",IF($DJ336&lt;&gt;"","FIX",IF($DK336&lt;&gt;"","CHECK","OK")))</f>
        <v/>
      </c>
      <c r="BE336" s="85">
        <f>IF($A336="","",IF($DJ336&lt;&gt;"","FIX: "&amp;LEFT($DJ336,LEN($DJ336)-2)&amp;IF($DK336&lt;&gt;"","  ·  ",""),"")&amp;IF($DK336&lt;&gt;"","CHECK: "&amp;LEFT($DK336,LEN($DK336)-2),""))</f>
        <v/>
      </c>
      <c r="BF336" s="84">
        <f>IF(OR($A336="",$K336=""),"",$K336&amp;"'-"&amp;N($L336)&amp;CHAR(34)&amp;" x "&amp;$M336&amp;"'-"&amp;N($N336)&amp;CHAR(34))</f>
        <v/>
      </c>
      <c r="BG336" s="84">
        <f>IF(OR($A336="",$K336=""),"",$K336&amp;N($L336)&amp;$M336&amp;N($N336))</f>
        <v/>
      </c>
      <c r="BH336" s="84">
        <f>IF(OR($A336="",$K336=""),"",$K336*12+N($L336))</f>
        <v/>
      </c>
      <c r="BI336" s="84">
        <f>IF(OR($A336="",$M336=""),"",$M336*12+N($N336))</f>
        <v/>
      </c>
      <c r="BJ336" s="84">
        <f>IF($A336="","",IF(OR($C336="FRAME ONLY",$S336="BL"),0,IF($O336="Y",2,1)))</f>
        <v/>
      </c>
      <c r="BK336" s="86">
        <f>IF(OR(N($BJ336)=0,$BH336=""),"",($BH336-2*EdgeClr-IF($BJ336=2,MeetClr,0))/$BJ336)</f>
        <v/>
      </c>
      <c r="BL336" s="86">
        <f>IF(OR(N($BJ336)=0,$BI336=""),"",$BI336-HeadClr-Undercut)</f>
        <v/>
      </c>
      <c r="BM336" s="86">
        <f>IF($BH336="","",$BH336+2*FaceW+IF(N($Q336)&gt;0,($Q336+FaceW)*IF($R336="LR",2,1),0))</f>
        <v/>
      </c>
      <c r="BN336" s="86">
        <f>IF($BI336="","",$BI336+IF($AB336="Y",4,FaceW)+IF(N($P336)&gt;0,$P336+FaceW,0)+IF(OR($S336="4F",$S336="BL"),FaceW,0))</f>
        <v/>
      </c>
      <c r="BO336" s="86">
        <f>IF($BM336="","",$BM336+2*ROSide)</f>
        <v/>
      </c>
      <c r="BP336" s="86">
        <f>IF($BN336="","",$BN336+ROTop)</f>
        <v/>
      </c>
      <c r="BQ336" s="87">
        <f>IF(OR(N($BJ336)=0,$BH336=""),"",$BH336/$BJ336-ClearDeduct)</f>
        <v/>
      </c>
      <c r="BR336" s="84">
        <f>IF(N($CH336)=0,"",IF($CH336&gt;=180,"A · 3 HR",IF($CH336&gt;=90,"B · 1-1/2 HR",IF($CH336&gt;=60,"B · 1 HR",IF($CH336&gt;=45,"C · 3/4 HR","20 MIN")))))&amp;IF(AND(N($CH336)&gt;0,OR($I336="CORRIDOR",$I336="SMOKE BARRIER"))," · S","")</f>
        <v/>
      </c>
      <c r="BS336" s="84">
        <f>IF($CS336,"",IF($AV336&lt;&gt;"",$AV336,IF(OR($AC336="HGC",$AO336="HGC"),"CONT",IF(($BI336-HeadClr-Undercut)&lt;=60,2,IF(($BI336-HeadClr-Undercut)&lt;=90,3,IF(($BI336-HeadClr-Undercut)&lt;=120,4,5))))))</f>
        <v/>
      </c>
      <c r="BT336" s="84">
        <f>IF($CS336,"",IF($CT336,"CUSTOM (typed)",IF($CV336,$AT336&amp;" "&amp;$CU336&amp;CHAR(34)&amp;IF($CU336&lt;&gt;$BI336,IF(AND($BI336&lt;$CU336,$BI336-IF(N(VLOOKUP($AT336&amp;"|"&amp;$CU336,LocTable,7,FALSE))&gt;0,VLOOKUP($AT336&amp;"|"&amp;$CU336,LocTable,7,FALSE),VLOOKUP($AT336&amp;"|"&amp;$CU336,LocTable,6,FALSE))-$CR336-0.75&gt;=2.125)," cut down"," adj."),""),"ANSI/SDI A250.6")))</f>
        <v/>
      </c>
      <c r="BU336" s="88">
        <f>IF($CS336,"",IF($CT336,IF(N($AW336)&gt;0,N($AW336),""),IF(1&gt;$CQ336,"",IF($CQ336=1,$CW336,$CW336+($CX336-$CW336)*0/($CQ336-1)))))</f>
        <v/>
      </c>
      <c r="BV336" s="88">
        <f>IF($CS336,"",IF($CT336,IF(N($AX336)&gt;0,N($AX336),""),IF(2&gt;$CQ336,"",IF($CQ336=1,$CW336,$CW336+($CX336-$CW336)*1/($CQ336-1)))))</f>
        <v/>
      </c>
      <c r="BW336" s="88">
        <f>IF($CS336,"",IF($CT336,IF(N($AY336)&gt;0,N($AY336),""),IF(3&gt;$CQ336,"",IF($CQ336=1,$CW336,$CW336+($CX336-$CW336)*2/($CQ336-1)))))</f>
        <v/>
      </c>
      <c r="BX336" s="88">
        <f>IF($CS336,"",IF($CT336,IF(N($AZ336)&gt;0,N($AZ336),""),IF(4&gt;$CQ336,"",IF($CQ336=1,$CW336,$CW336+($CX336-$CW336)*3/($CQ336-1)))))</f>
        <v/>
      </c>
      <c r="BY336" s="88">
        <f>IF($CS336,"",IF($CT336,"",IF(5&gt;$CQ336,"",IF($CQ336=1,$CW336,$CW336+($CX336-$CW336)*4/($CQ336-1)))))</f>
        <v/>
      </c>
      <c r="BZ336" s="88">
        <f>IF(OR($CS336,$AP336="-",AND($AP336="",$AD336="")),"",IF(N($BA336)&gt;0,N($BA336),IF($CV336,IF(AND($BI336&lt;$CU336,$BI336-IF(N(VLOOKUP($AT336&amp;"|"&amp;$CU336,LocTable,7,FALSE))&gt;0,VLOOKUP($AT336&amp;"|"&amp;$CU336,LocTable,7,FALSE),VLOOKUP($AT336&amp;"|"&amp;$CU336,LocTable,6,FALSE))-$CR336-0.75&gt;=2.125),VLOOKUP($AT336&amp;"|"&amp;$CU336,LocTable,8,FALSE),VLOOKUP($AT336&amp;"|"&amp;$CU336,LocTable,8,FALSE)+($BI336-$CU336)),$BI336-LockAFF)))</f>
        <v/>
      </c>
      <c r="CA336" s="89">
        <f>IF($BZ336="","",$BI336-$BZ336)</f>
        <v/>
      </c>
      <c r="CB336" s="84">
        <f>IF(OR(NOT(AND($A336&lt;&gt;"",$C336&lt;&gt;"DOOR ONLY")),$BI336=""),"",IF(($BI336+IF(N($P336)&gt;0,$P336+FaceW,0))&lt;=90,3,IF(($BI336+IF(N($P336)&gt;0,$P336+FaceW,0))&lt;=114,4,5)))</f>
        <v/>
      </c>
      <c r="CC336" s="84">
        <f>IF($CB336="","",$CB336*(2+IF(N($Q336)&gt;0,IF($R336="LR",2,1),0)))</f>
        <v/>
      </c>
      <c r="CD336" s="84">
        <f>IF($CB336="","",(2+IF(N($Q336)&gt;0,IF($R336="LR",2,1),0)))</f>
        <v/>
      </c>
      <c r="CE336" s="84">
        <f>IF(N($BJ336)=0,"",IF(OR($AL336="",$AL336="FLUSH"),"FLUSH",IFERROR(LEFT($AL336,FIND("-",$AL336)-1),LEFT($AL336,2))))</f>
        <v/>
      </c>
      <c r="CF336" s="84">
        <f>IF($CE336="","",IFERROR(VALUE(MID($AL336,FIND("-",$AL336)+1,FIND(CHAR(34)&amp;"x",$AL336)-FIND("-",$AL336)-1)),0))</f>
        <v/>
      </c>
      <c r="CG336" s="84">
        <f>IF($CE336="","",IFERROR(VALUE(MID($AL336,FIND(CHAR(34)&amp;"x",$AL336)+2,FIND(CHAR(34),$AL336,FIND(CHAR(34)&amp;"x",$AL336)+2)-FIND(CHAR(34)&amp;"x",$AL336)-2)),0))</f>
        <v/>
      </c>
      <c r="CH336" s="90">
        <f>IF(OR($A336="",$H336="",$H336="NO LAB"),0,IFERROR(VALUE(LEFT($H336,FIND(" ",$H336)-1)),0))</f>
        <v/>
      </c>
      <c r="CI336" s="91">
        <f>IF(OR($A336="",$I336="",$I336="NON-RATED",N($J336)=0),"",IFERROR(VLOOKUP($I336&amp;"|"&amp;$J336,IBC,2,FALSE),"?"))</f>
        <v/>
      </c>
      <c r="CJ336" s="85">
        <f>IF(NOT(AND($A336&lt;&gt;"",$C336&lt;&gt;"DOOR ONLY")),"",TRIM(IFERROR(VLOOKUP($U336,CODES,2,FALSE),"")&amp;" "&amp;$BG336&amp;" "&amp;IFERROR(VLOOKUP($Z336,CODES,2,FALSE),"")&amp;" "&amp;IFERROR(VLOOKUP($X336,CODES,2,FALSE),"")&amp;" "&amp;IFERROR(VLOOKUP($S336,CODES,2,FALSE),"")&amp;IF(N($P336)&gt;0," w/TRANSOM "&amp;$P336&amp;CHAR(34),"")&amp;IF(N($Q336)&gt;0," w/SIDELITE "&amp;$Q336&amp;CHAR(34)&amp;" "&amp;IF($R336="","R",$R336),"")&amp;IF($Y336="","  |  "," | "&amp;IFERROR(VLOOKUP($Y336,CODES,2,FALSE),"")&amp;" | ")&amp;IFERROR(VLOOKUP($AC336,CODES,2,FALSE),"")&amp;" "&amp;IFERROR(VLOOKUP($AD336,CODES,2,FALSE),"")&amp;IF(OR($AE336="",$AE336="-"),""," "&amp;$AE336)&amp;IF(OR($AF336="",$AF336="-"),""," "&amp;$AF336)&amp;IF($AB336="Y"," 4"&amp;CHAR(34)&amp;" HEAD","")&amp;" "&amp;IFERROR(VLOOKUP($H336,CODES,2,FALSE),"")&amp;IF($CT336," | LOC "&amp;$CY336,"")))</f>
        <v/>
      </c>
      <c r="CK336" s="85">
        <f>IF(NOT(AND($A336&lt;&gt;"",N($BJ336)&gt;0)),"",TRIM(IFERROR(VLOOKUP($AH336,CODES,2,FALSE),"")&amp;IF($AI336=""," "," "&amp;$AI336&amp;"GA ")&amp;$BG336&amp;" "&amp;IF($AN336="",IFERROR(VLOOKUP($Z336,CODES,2,FALSE),""),IFERROR(VLOOKUP($AN336,CODES,2,FALSE),""))&amp;IF($BJ336=2," PAIR","")&amp;" DOOR | "&amp;IF($AL336="","?",$AL336)&amp;" | "&amp;IF($AO336="",IFERROR(VLOOKUP($AC336,CODES,2,FALSE),""),IFERROR(VLOOKUP($AO336,CODES,2,FALSE),""))&amp;" "&amp;IFERROR(VLOOKUP($AP336,CODES,2,FALSE),"")&amp;IF(OR($AQ336="",$AQ336="-"),""," SEAM "&amp;$AQ336)&amp;IF($AR336="Y"," ASTRAGAL","")&amp;IF($AJ336=""," "," "&amp;$AJ336)&amp;IF($AK336=""," "," "&amp;$AK336)&amp;IF(OR($AT336="",$AT336="ANSI/SDI",$AT336="CUSTOM LOC"),""," "&amp;$AT336)&amp;IF($AM336=""," "," SERIES "&amp;$AM336)&amp;" "&amp;IFERROR(VLOOKUP($H336,CODES,2,FALSE),"")&amp;IF($CT336," | LOC "&amp;$CZ336,"")))</f>
        <v/>
      </c>
      <c r="CL336" s="84">
        <f>IF(CP336="","",IF(COUNTIF($CP$6:CP336,CP336)=1,MAX($CL$5:CL335)+1,INDEX($CL$5:CL335,MATCH(CP336,$CP$5:CP335,0))))</f>
        <v/>
      </c>
      <c r="CM336" s="84">
        <f>IF(NOT(AND($A336&lt;&gt;"",$C336&lt;&gt;"DOOR ONLY")),"",MAX($CM$5:CM335)+1)</f>
        <v/>
      </c>
      <c r="CN336" s="84">
        <f>IF(NOT(AND($A336&lt;&gt;"",N($BJ336)&gt;0)),"",MAX($CN$5:CN335)+1)</f>
        <v/>
      </c>
      <c r="CO336" s="84">
        <f>IF($A336="","",MAX($CO$5:CO335)+1)</f>
        <v/>
      </c>
      <c r="CP336" s="84">
        <f>IF(OR($A336="",$BH336="",$BI336=""),"",$BG336&amp;"|"&amp;$O336&amp;"|"&amp;$AL336&amp;"|"&amp;$S336&amp;"|"&amp;$P336&amp;"|"&amp;$Q336&amp;$R336&amp;"|"&amp;$C336&amp;"|"&amp;$AB336)</f>
        <v/>
      </c>
      <c r="CQ336" s="84">
        <f>N($BS336)</f>
        <v/>
      </c>
      <c r="CR336" s="84">
        <f>IF(N($AU336)&gt;0,N($AU336),4.5)</f>
        <v/>
      </c>
      <c r="CS336" s="84">
        <f>OR($A336="",$BI336="",$S336="BL",AND($C336="FRAME ONLY",OR($AC336="",$AC336="BLK")))</f>
        <v/>
      </c>
      <c r="CT336" s="84">
        <f>AND(NOT($CS336),OR($AT336="CUSTOM LOC",N($AW336)+N($AX336)+N($AY336)+N($AZ336)+N($BA336)&gt;0))</f>
        <v/>
      </c>
      <c r="CU336" s="84">
        <f>IF($BI336="","",IF($BI336&lt;=80,80,IF($BI336&lt;=84,84,96)))</f>
        <v/>
      </c>
      <c r="CV336" s="84">
        <f>ISNUMBER(MATCH($AT336&amp;"|80",LocKeys,0))</f>
        <v/>
      </c>
      <c r="CW336" s="86">
        <f>IF($CS336,"",IF($CV336,VLOOKUP($AT336&amp;"|"&amp;$CU336,LocTable,4,FALSE),5))</f>
        <v/>
      </c>
      <c r="CX336" s="86">
        <f>IF($CS336,"",IF($CV336,IF(OR($BI336=$CU336,AND($BI336&lt;$CU336,$BI336-IF(N(VLOOKUP($AT336&amp;"|"&amp;$CU336,LocTable,7,FALSE))&gt;0,VLOOKUP($AT336&amp;"|"&amp;$CU336,LocTable,7,FALSE),VLOOKUP($AT336&amp;"|"&amp;$CU336,LocTable,6,FALSE))-$CR336-0.75&gt;=2.125)),IF(N(VLOOKUP($AT336&amp;"|"&amp;$CU336,LocTable,7,FALSE))&gt;0,VLOOKUP($AT336&amp;"|"&amp;$CU336,LocTable,7,FALSE),VLOOKUP($AT336&amp;"|"&amp;$CU336,LocTable,6,FALSE)),$BI336-($CU336-IF(N(VLOOKUP($AT336&amp;"|"&amp;$CU336,LocTable,7,FALSE))&gt;0,VLOOKUP($AT336&amp;"|"&amp;$CU336,LocTable,7,FALSE),VLOOKUP($AT336&amp;"|"&amp;$CU336,LocTable,6,FALSE)))),$BI336-10-$CR336))</f>
        <v/>
      </c>
      <c r="CY336" s="85">
        <f>IF($CS336,"",TRIM(IF(ISNUMBER($BU336),"A "&amp;TRIM(TEXT($BU336,"# ?/??"))&amp;CHAR(34)&amp;"  ","")&amp;IF(ISNUMBER($BV336),"B "&amp;TRIM(TEXT($BV336,"# ?/??"))&amp;CHAR(34)&amp;"  ","")&amp;IF(ISNUMBER($BW336),"C "&amp;TRIM(TEXT($BW336,"# ?/??"))&amp;CHAR(34)&amp;"  ","")&amp;IF(ISNUMBER($BX336),"D "&amp;TRIM(TEXT($BX336,"# ?/??"))&amp;CHAR(34)&amp;"  ","")&amp;IF(ISNUMBER($BY336),"F "&amp;TRIM(TEXT($BY336,"# ?/??"))&amp;CHAR(34)&amp;"  ","")&amp;IF(ISNUMBER($BZ336),"E "&amp;TRIM(TEXT($BZ336,"# ?/??"))&amp;CHAR(34)&amp;"  ","")))</f>
        <v/>
      </c>
      <c r="CZ336" s="85">
        <f>IF(OR($CS336,N($BJ336)=0),"",TRIM(IF(ISNUMBER($BU336),"A "&amp;TRIM(TEXT($BU336-HeadClr,"# ?/??"))&amp;CHAR(34)&amp;"  ","")&amp;IF(ISNUMBER($BV336),"B "&amp;TRIM(TEXT($BV336-HeadClr,"# ?/??"))&amp;CHAR(34)&amp;"  ","")&amp;IF(ISNUMBER($BW336),"C "&amp;TRIM(TEXT($BW336-HeadClr,"# ?/??"))&amp;CHAR(34)&amp;"  ","")&amp;IF(ISNUMBER($BX336),"D "&amp;TRIM(TEXT($BX336-HeadClr,"# ?/??"))&amp;CHAR(34)&amp;"  ","")&amp;IF(ISNUMBER($BY336),"F "&amp;TRIM(TEXT($BY336-HeadClr,"# ?/??"))&amp;CHAR(34)&amp;"  ","")&amp;IF(ISNUMBER($BZ336),"E "&amp;TRIM(TEXT($BZ336-HeadClr,"# ?/??"))&amp;CHAR(34)&amp;"  ","")))</f>
        <v/>
      </c>
      <c r="DA336" s="84">
        <f>IF($A336="","",IF($AN336="",IFERROR(VLOOKUP($Z336,CODES,2,FALSE),""),IFERROR(VLOOKUP($AN336,CODES,2,FALSE),"")))</f>
        <v/>
      </c>
      <c r="DB336" s="84">
        <f>IF($A336="","",IF($O336="Y","PR",IF(OR($Z336="L",$Z336="RR",LEFT($Z336,2)="L-",LEFT($Z336,3)="RR-"),"LH","RH")))</f>
        <v/>
      </c>
      <c r="DC336" s="84">
        <f>IF($A336="","","S.HM"&amp;IF(OR($C336="DOOR ONLY",$X336&lt;&gt;"KD"),"MASONRY","DRYWALL")&amp;IF($C336="DOOR ONLY","",$U336)&amp;IF(AND($C336&lt;&gt;"FRAME ONLY",OR(LEFT($AH336,3)="OAK",LEFT($AH336,3)="BIR",LEFT($AH336,3)="MAP",$AH336="PC",$AH336="MC",$AH336="SCLC",$AH336="P-LAM")),"WD","HM")&amp;"1.75")</f>
        <v/>
      </c>
      <c r="DD336" s="84">
        <f>IF($CJ336="","",IF($O336="Y",$CJ336,SUBSTITUTE($CJ336,$BG336&amp;" "&amp;IFERROR(VLOOKUP($Z336,CODES,2,FALSE),"")&amp;" ",$BG336&amp;" ")))</f>
        <v/>
      </c>
      <c r="DE336" s="84">
        <f>IF($CK336="","",IF($O336="Y",$CK336,SUBSTITUTE($CK336,$BG336&amp;" "&amp;IF($AN336="",IFERROR(VLOOKUP($Z336,CODES,2,FALSE),""),IFERROR(VLOOKUP($AN336,CODES,2,FALSE),""))&amp;" ",$BG336&amp;" ")))</f>
        <v/>
      </c>
      <c r="DF336" s="84">
        <f>IF($CJ336="","",$DC336&amp;"|"&amp;$DD336&amp;"|"&amp;$DB336&amp;"|"&amp;$AT336&amp;"|"&amp;$V336&amp;"|"&amp;$Y336&amp;"|"&amp;$AB336)</f>
        <v/>
      </c>
      <c r="DG336" s="84">
        <f>IF(DF336="","",IF(COUNTIF($DF$6:DF336,DF336)=1,MAX($DG$5:DG335)+1,INDEX($DG$5:DG335,MATCH(DF336,$DF$5:DF335,0))))</f>
        <v/>
      </c>
      <c r="DH336" s="84">
        <f>IF($CK336="","",$DC336&amp;"|"&amp;$DE336&amp;"|"&amp;$AI336&amp;"|"&amp;$BK336&amp;"|"&amp;$BL336)</f>
        <v/>
      </c>
      <c r="DI336" s="84">
        <f>IF(DH336="","",IF(COUNTIF($DH$6:DH336,DH336)=1,MAX($DI$5:DI335)+1,INDEX($DI$5:DI335,MATCH(DH336,$DH$5:DH335,0))))</f>
        <v/>
      </c>
      <c r="DJ336" s="84">
        <f>IF($A336="","",IF($B336="","qty, ","")&amp;IF($C336="","scope, ","")&amp;IF(OR($K336="",$M336=""),"size, ","")&amp;IF(AND($A336&lt;&gt;"",$C336&lt;&gt;"DOOR ONLY"),IF($U336="","jamb depth, ","")&amp;IF($X336="","construction, ","")&amp;IF($Y336="","anchor, ","")&amp;IF($S336="","frame type, ",""),"")&amp;IF(AND(N($BJ336)&gt;0,$Z336=""),"hand, ","")&amp;IF(N($BJ336)&gt;0,IF($AH336="","door material, ","")&amp;IF($AL336="","face type, ","")&amp;IF($AP336="","lock prep, ","")&amp;IF(AND($AO336="",$AC336=""),"hinge prep, ",""),"")&amp;IF(AND($CH336&gt;0,$AH336="FRP"),"FRP cannot carry a label, ","")&amp;IF(AND($O336="Y",OR($Z336="L",$Z336="R",$Z336="LR",$Z336="RR")),"pair marked but hand is single, ","")&amp;IF(AND($O336&lt;&gt;"Y",OR($Z336="PR",AND(LEN($Z336)&gt;1,ISNUMBER(SEARCH("-",$Z336))))),"pair hand on a single door, ","")&amp;IF(AND(ISNUMBER($CI336),$CH336&lt;N($CI336)),"wall needs a "&amp;$CI336&amp;" min door, ","")&amp;IF(AND($CH336&gt;=180,AND(OR($CE336="FG",$CE336="HG",$CE336="FNV",$CE336="FV"),N($CF336)*N($CG336)&gt;100)),"180 min lite over 100 sq in, ","")&amp;IF(N($BK336)&gt;48,"leaf wider than 4'-0"&amp;CHAR(34)&amp;", ","")&amp;IF(AND($CT336,COUNT($AW336:$AZ336)=0,$CQ336&gt;0),"CUSTOM LOC with no locations typed, ",""))</f>
        <v/>
      </c>
      <c r="DK336" s="84">
        <f>IF($A336="","",IF(AND($CH336&gt;0,AND($A336&lt;&gt;"",$C336&lt;&gt;"DOOR ONLY"),$X336="KD",$E336="EXTERIOR"),"KD label on an exterior opening, ","")&amp;IF(AND($E336="EXTERIOR",OR(AND(AND($A336&lt;&gt;"",$C336&lt;&gt;"DOOR ONLY"),$W336="CR"),AND(N($BJ336)&gt;0,$AH336="CR"))),"exterior in CR steel (G9?), ","")&amp;IF(AND(ISNUMBER($BQ336),N($BQ336)&lt;32),"clear width ~"&amp;TEXT($BQ336,"0.0")&amp;CHAR(34)&amp;" under 32"&amp;CHAR(34)&amp;" (ADA), ","")&amp;IF(AND($CH336=90,AND(OR($CE336="FG",$CE336="HG",$CE336="FNV",$CE336="FV"),N($CF336)*N($CG336)&gt;100)),"90 min lite over 100 sq in (stair/exit), ","")&amp;IF(AND($CH336&gt;0,AND($A336&lt;&gt;"",$C336&lt;&gt;"DOOR ONLY"),OR($AF336="",$AF336="-")),"rated: closer reinf.?, ","")&amp;IF(OR($I336="CORRIDOR",$I336="SMOKE BARRIER"),"S label + smoke gasketing, ","")&amp;IF($CI336="?","wall type/hr not in IBC table, ","")&amp;IF(AND(N($BJ336)&gt;0,$BB336=""),"no hardware set, ","")&amp;IF(AND($BB336&lt;&gt;"",ISNA(MATCH($BB336&amp;"",HWSets,0))),"set "&amp;$BB336&amp;" not on HW Sets, ","")&amp;IF(N($BL336)&gt;96,"leaf over 8'-0"&amp;CHAR(34)&amp;" - check listing, ","")&amp;IF(AND($CT336,COUNT($AW336:$AZ336)&gt;0,COUNT($AW336:$AZ336)&lt;&gt;$CQ336),COUNT($AW336:$AZ336)&amp;" custom hinges typed, "&amp;$CQ336&amp;" expected, ","")&amp;IF(AND(ISNUMBER($CA336),OR(N($CA336)&lt;34,N($CA336)&gt;48)),"lock "&amp;TEXT($CA336,"0.0")&amp;CHAR(34)&amp;" AFF outside 34-48"&amp;CHAR(34)&amp;" (ADA), ","")&amp;IF(AND(ISNUMBER($AV336),ISNUMBER($BL336),N($AV336)&lt;IF(N($BL336)&lt;=60,2,IF(N($BL336)&lt;=90,3,IF(N($BL336)&lt;=120,4,5)))),"fewer hinges than standard, ",""))</f>
        <v/>
      </c>
    </row>
    <row r="337" ht="15" customHeight="1">
      <c r="A337" s="77" t="n"/>
      <c r="B337" s="78" t="n"/>
      <c r="C337" s="78" t="n"/>
      <c r="D337" s="78" t="n"/>
      <c r="E337" s="78" t="n"/>
      <c r="F337" s="78" t="n"/>
      <c r="G337" s="78" t="n"/>
      <c r="H337" s="78" t="n"/>
      <c r="I337" s="78" t="n"/>
      <c r="J337" s="78" t="n"/>
      <c r="K337" s="78" t="n"/>
      <c r="L337" s="78" t="n"/>
      <c r="M337" s="78" t="n"/>
      <c r="N337" s="78" t="n"/>
      <c r="O337" s="78" t="n"/>
      <c r="P337" s="78" t="n"/>
      <c r="Q337" s="78" t="n"/>
      <c r="R337" s="78" t="n"/>
      <c r="S337" s="79" t="n"/>
      <c r="T337" s="79" t="n"/>
      <c r="U337" s="79" t="n"/>
      <c r="V337" s="79" t="n"/>
      <c r="W337" s="79" t="n"/>
      <c r="X337" s="79" t="n"/>
      <c r="Y337" s="79" t="n"/>
      <c r="Z337" s="79" t="n"/>
      <c r="AA337" s="79" t="n"/>
      <c r="AB337" s="79" t="n"/>
      <c r="AC337" s="79" t="n"/>
      <c r="AD337" s="79" t="n"/>
      <c r="AE337" s="79" t="n"/>
      <c r="AF337" s="79" t="n"/>
      <c r="AG337" s="79" t="n"/>
      <c r="AH337" s="80" t="n"/>
      <c r="AI337" s="80" t="n"/>
      <c r="AJ337" s="80" t="n"/>
      <c r="AK337" s="80" t="n"/>
      <c r="AL337" s="80" t="n"/>
      <c r="AM337" s="80" t="n"/>
      <c r="AN337" s="80" t="n"/>
      <c r="AO337" s="80" t="n"/>
      <c r="AP337" s="80" t="n"/>
      <c r="AQ337" s="80" t="n"/>
      <c r="AR337" s="80" t="n"/>
      <c r="AS337" s="80" t="n"/>
      <c r="AT337" s="81" t="n"/>
      <c r="AU337" s="81" t="n"/>
      <c r="AV337" s="81" t="n"/>
      <c r="AW337" s="82" t="n"/>
      <c r="AX337" s="82" t="n"/>
      <c r="AY337" s="82" t="n"/>
      <c r="AZ337" s="82" t="n"/>
      <c r="BA337" s="82" t="n"/>
      <c r="BB337" s="83" t="n"/>
      <c r="BC337" s="83" t="n"/>
      <c r="BD337" s="84">
        <f>IF($A337="","",IF($DJ337&lt;&gt;"","FIX",IF($DK337&lt;&gt;"","CHECK","OK")))</f>
        <v/>
      </c>
      <c r="BE337" s="85">
        <f>IF($A337="","",IF($DJ337&lt;&gt;"","FIX: "&amp;LEFT($DJ337,LEN($DJ337)-2)&amp;IF($DK337&lt;&gt;"","  ·  ",""),"")&amp;IF($DK337&lt;&gt;"","CHECK: "&amp;LEFT($DK337,LEN($DK337)-2),""))</f>
        <v/>
      </c>
      <c r="BF337" s="84">
        <f>IF(OR($A337="",$K337=""),"",$K337&amp;"'-"&amp;N($L337)&amp;CHAR(34)&amp;" x "&amp;$M337&amp;"'-"&amp;N($N337)&amp;CHAR(34))</f>
        <v/>
      </c>
      <c r="BG337" s="84">
        <f>IF(OR($A337="",$K337=""),"",$K337&amp;N($L337)&amp;$M337&amp;N($N337))</f>
        <v/>
      </c>
      <c r="BH337" s="84">
        <f>IF(OR($A337="",$K337=""),"",$K337*12+N($L337))</f>
        <v/>
      </c>
      <c r="BI337" s="84">
        <f>IF(OR($A337="",$M337=""),"",$M337*12+N($N337))</f>
        <v/>
      </c>
      <c r="BJ337" s="84">
        <f>IF($A337="","",IF(OR($C337="FRAME ONLY",$S337="BL"),0,IF($O337="Y",2,1)))</f>
        <v/>
      </c>
      <c r="BK337" s="86">
        <f>IF(OR(N($BJ337)=0,$BH337=""),"",($BH337-2*EdgeClr-IF($BJ337=2,MeetClr,0))/$BJ337)</f>
        <v/>
      </c>
      <c r="BL337" s="86">
        <f>IF(OR(N($BJ337)=0,$BI337=""),"",$BI337-HeadClr-Undercut)</f>
        <v/>
      </c>
      <c r="BM337" s="86">
        <f>IF($BH337="","",$BH337+2*FaceW+IF(N($Q337)&gt;0,($Q337+FaceW)*IF($R337="LR",2,1),0))</f>
        <v/>
      </c>
      <c r="BN337" s="86">
        <f>IF($BI337="","",$BI337+IF($AB337="Y",4,FaceW)+IF(N($P337)&gt;0,$P337+FaceW,0)+IF(OR($S337="4F",$S337="BL"),FaceW,0))</f>
        <v/>
      </c>
      <c r="BO337" s="86">
        <f>IF($BM337="","",$BM337+2*ROSide)</f>
        <v/>
      </c>
      <c r="BP337" s="86">
        <f>IF($BN337="","",$BN337+ROTop)</f>
        <v/>
      </c>
      <c r="BQ337" s="87">
        <f>IF(OR(N($BJ337)=0,$BH337=""),"",$BH337/$BJ337-ClearDeduct)</f>
        <v/>
      </c>
      <c r="BR337" s="84">
        <f>IF(N($CH337)=0,"",IF($CH337&gt;=180,"A · 3 HR",IF($CH337&gt;=90,"B · 1-1/2 HR",IF($CH337&gt;=60,"B · 1 HR",IF($CH337&gt;=45,"C · 3/4 HR","20 MIN")))))&amp;IF(AND(N($CH337)&gt;0,OR($I337="CORRIDOR",$I337="SMOKE BARRIER"))," · S","")</f>
        <v/>
      </c>
      <c r="BS337" s="84">
        <f>IF($CS337,"",IF($AV337&lt;&gt;"",$AV337,IF(OR($AC337="HGC",$AO337="HGC"),"CONT",IF(($BI337-HeadClr-Undercut)&lt;=60,2,IF(($BI337-HeadClr-Undercut)&lt;=90,3,IF(($BI337-HeadClr-Undercut)&lt;=120,4,5))))))</f>
        <v/>
      </c>
      <c r="BT337" s="84">
        <f>IF($CS337,"",IF($CT337,"CUSTOM (typed)",IF($CV337,$AT337&amp;" "&amp;$CU337&amp;CHAR(34)&amp;IF($CU337&lt;&gt;$BI337,IF(AND($BI337&lt;$CU337,$BI337-IF(N(VLOOKUP($AT337&amp;"|"&amp;$CU337,LocTable,7,FALSE))&gt;0,VLOOKUP($AT337&amp;"|"&amp;$CU337,LocTable,7,FALSE),VLOOKUP($AT337&amp;"|"&amp;$CU337,LocTable,6,FALSE))-$CR337-0.75&gt;=2.125)," cut down"," adj."),""),"ANSI/SDI A250.6")))</f>
        <v/>
      </c>
      <c r="BU337" s="88">
        <f>IF($CS337,"",IF($CT337,IF(N($AW337)&gt;0,N($AW337),""),IF(1&gt;$CQ337,"",IF($CQ337=1,$CW337,$CW337+($CX337-$CW337)*0/($CQ337-1)))))</f>
        <v/>
      </c>
      <c r="BV337" s="88">
        <f>IF($CS337,"",IF($CT337,IF(N($AX337)&gt;0,N($AX337),""),IF(2&gt;$CQ337,"",IF($CQ337=1,$CW337,$CW337+($CX337-$CW337)*1/($CQ337-1)))))</f>
        <v/>
      </c>
      <c r="BW337" s="88">
        <f>IF($CS337,"",IF($CT337,IF(N($AY337)&gt;0,N($AY337),""),IF(3&gt;$CQ337,"",IF($CQ337=1,$CW337,$CW337+($CX337-$CW337)*2/($CQ337-1)))))</f>
        <v/>
      </c>
      <c r="BX337" s="88">
        <f>IF($CS337,"",IF($CT337,IF(N($AZ337)&gt;0,N($AZ337),""),IF(4&gt;$CQ337,"",IF($CQ337=1,$CW337,$CW337+($CX337-$CW337)*3/($CQ337-1)))))</f>
        <v/>
      </c>
      <c r="BY337" s="88">
        <f>IF($CS337,"",IF($CT337,"",IF(5&gt;$CQ337,"",IF($CQ337=1,$CW337,$CW337+($CX337-$CW337)*4/($CQ337-1)))))</f>
        <v/>
      </c>
      <c r="BZ337" s="88">
        <f>IF(OR($CS337,$AP337="-",AND($AP337="",$AD337="")),"",IF(N($BA337)&gt;0,N($BA337),IF($CV337,IF(AND($BI337&lt;$CU337,$BI337-IF(N(VLOOKUP($AT337&amp;"|"&amp;$CU337,LocTable,7,FALSE))&gt;0,VLOOKUP($AT337&amp;"|"&amp;$CU337,LocTable,7,FALSE),VLOOKUP($AT337&amp;"|"&amp;$CU337,LocTable,6,FALSE))-$CR337-0.75&gt;=2.125),VLOOKUP($AT337&amp;"|"&amp;$CU337,LocTable,8,FALSE),VLOOKUP($AT337&amp;"|"&amp;$CU337,LocTable,8,FALSE)+($BI337-$CU337)),$BI337-LockAFF)))</f>
        <v/>
      </c>
      <c r="CA337" s="89">
        <f>IF($BZ337="","",$BI337-$BZ337)</f>
        <v/>
      </c>
      <c r="CB337" s="84">
        <f>IF(OR(NOT(AND($A337&lt;&gt;"",$C337&lt;&gt;"DOOR ONLY")),$BI337=""),"",IF(($BI337+IF(N($P337)&gt;0,$P337+FaceW,0))&lt;=90,3,IF(($BI337+IF(N($P337)&gt;0,$P337+FaceW,0))&lt;=114,4,5)))</f>
        <v/>
      </c>
      <c r="CC337" s="84">
        <f>IF($CB337="","",$CB337*(2+IF(N($Q337)&gt;0,IF($R337="LR",2,1),0)))</f>
        <v/>
      </c>
      <c r="CD337" s="84">
        <f>IF($CB337="","",(2+IF(N($Q337)&gt;0,IF($R337="LR",2,1),0)))</f>
        <v/>
      </c>
      <c r="CE337" s="84">
        <f>IF(N($BJ337)=0,"",IF(OR($AL337="",$AL337="FLUSH"),"FLUSH",IFERROR(LEFT($AL337,FIND("-",$AL337)-1),LEFT($AL337,2))))</f>
        <v/>
      </c>
      <c r="CF337" s="84">
        <f>IF($CE337="","",IFERROR(VALUE(MID($AL337,FIND("-",$AL337)+1,FIND(CHAR(34)&amp;"x",$AL337)-FIND("-",$AL337)-1)),0))</f>
        <v/>
      </c>
      <c r="CG337" s="84">
        <f>IF($CE337="","",IFERROR(VALUE(MID($AL337,FIND(CHAR(34)&amp;"x",$AL337)+2,FIND(CHAR(34),$AL337,FIND(CHAR(34)&amp;"x",$AL337)+2)-FIND(CHAR(34)&amp;"x",$AL337)-2)),0))</f>
        <v/>
      </c>
      <c r="CH337" s="90">
        <f>IF(OR($A337="",$H337="",$H337="NO LAB"),0,IFERROR(VALUE(LEFT($H337,FIND(" ",$H337)-1)),0))</f>
        <v/>
      </c>
      <c r="CI337" s="91">
        <f>IF(OR($A337="",$I337="",$I337="NON-RATED",N($J337)=0),"",IFERROR(VLOOKUP($I337&amp;"|"&amp;$J337,IBC,2,FALSE),"?"))</f>
        <v/>
      </c>
      <c r="CJ337" s="85">
        <f>IF(NOT(AND($A337&lt;&gt;"",$C337&lt;&gt;"DOOR ONLY")),"",TRIM(IFERROR(VLOOKUP($U337,CODES,2,FALSE),"")&amp;" "&amp;$BG337&amp;" "&amp;IFERROR(VLOOKUP($Z337,CODES,2,FALSE),"")&amp;" "&amp;IFERROR(VLOOKUP($X337,CODES,2,FALSE),"")&amp;" "&amp;IFERROR(VLOOKUP($S337,CODES,2,FALSE),"")&amp;IF(N($P337)&gt;0," w/TRANSOM "&amp;$P337&amp;CHAR(34),"")&amp;IF(N($Q337)&gt;0," w/SIDELITE "&amp;$Q337&amp;CHAR(34)&amp;" "&amp;IF($R337="","R",$R337),"")&amp;IF($Y337="","  |  "," | "&amp;IFERROR(VLOOKUP($Y337,CODES,2,FALSE),"")&amp;" | ")&amp;IFERROR(VLOOKUP($AC337,CODES,2,FALSE),"")&amp;" "&amp;IFERROR(VLOOKUP($AD337,CODES,2,FALSE),"")&amp;IF(OR($AE337="",$AE337="-"),""," "&amp;$AE337)&amp;IF(OR($AF337="",$AF337="-"),""," "&amp;$AF337)&amp;IF($AB337="Y"," 4"&amp;CHAR(34)&amp;" HEAD","")&amp;" "&amp;IFERROR(VLOOKUP($H337,CODES,2,FALSE),"")&amp;IF($CT337," | LOC "&amp;$CY337,"")))</f>
        <v/>
      </c>
      <c r="CK337" s="85">
        <f>IF(NOT(AND($A337&lt;&gt;"",N($BJ337)&gt;0)),"",TRIM(IFERROR(VLOOKUP($AH337,CODES,2,FALSE),"")&amp;IF($AI337=""," "," "&amp;$AI337&amp;"GA ")&amp;$BG337&amp;" "&amp;IF($AN337="",IFERROR(VLOOKUP($Z337,CODES,2,FALSE),""),IFERROR(VLOOKUP($AN337,CODES,2,FALSE),""))&amp;IF($BJ337=2," PAIR","")&amp;" DOOR | "&amp;IF($AL337="","?",$AL337)&amp;" | "&amp;IF($AO337="",IFERROR(VLOOKUP($AC337,CODES,2,FALSE),""),IFERROR(VLOOKUP($AO337,CODES,2,FALSE),""))&amp;" "&amp;IFERROR(VLOOKUP($AP337,CODES,2,FALSE),"")&amp;IF(OR($AQ337="",$AQ337="-"),""," SEAM "&amp;$AQ337)&amp;IF($AR337="Y"," ASTRAGAL","")&amp;IF($AJ337=""," "," "&amp;$AJ337)&amp;IF($AK337=""," "," "&amp;$AK337)&amp;IF(OR($AT337="",$AT337="ANSI/SDI",$AT337="CUSTOM LOC"),""," "&amp;$AT337)&amp;IF($AM337=""," "," SERIES "&amp;$AM337)&amp;" "&amp;IFERROR(VLOOKUP($H337,CODES,2,FALSE),"")&amp;IF($CT337," | LOC "&amp;$CZ337,"")))</f>
        <v/>
      </c>
      <c r="CL337" s="84">
        <f>IF(CP337="","",IF(COUNTIF($CP$6:CP337,CP337)=1,MAX($CL$5:CL336)+1,INDEX($CL$5:CL336,MATCH(CP337,$CP$5:CP336,0))))</f>
        <v/>
      </c>
      <c r="CM337" s="84">
        <f>IF(NOT(AND($A337&lt;&gt;"",$C337&lt;&gt;"DOOR ONLY")),"",MAX($CM$5:CM336)+1)</f>
        <v/>
      </c>
      <c r="CN337" s="84">
        <f>IF(NOT(AND($A337&lt;&gt;"",N($BJ337)&gt;0)),"",MAX($CN$5:CN336)+1)</f>
        <v/>
      </c>
      <c r="CO337" s="84">
        <f>IF($A337="","",MAX($CO$5:CO336)+1)</f>
        <v/>
      </c>
      <c r="CP337" s="84">
        <f>IF(OR($A337="",$BH337="",$BI337=""),"",$BG337&amp;"|"&amp;$O337&amp;"|"&amp;$AL337&amp;"|"&amp;$S337&amp;"|"&amp;$P337&amp;"|"&amp;$Q337&amp;$R337&amp;"|"&amp;$C337&amp;"|"&amp;$AB337)</f>
        <v/>
      </c>
      <c r="CQ337" s="84">
        <f>N($BS337)</f>
        <v/>
      </c>
      <c r="CR337" s="84">
        <f>IF(N($AU337)&gt;0,N($AU337),4.5)</f>
        <v/>
      </c>
      <c r="CS337" s="84">
        <f>OR($A337="",$BI337="",$S337="BL",AND($C337="FRAME ONLY",OR($AC337="",$AC337="BLK")))</f>
        <v/>
      </c>
      <c r="CT337" s="84">
        <f>AND(NOT($CS337),OR($AT337="CUSTOM LOC",N($AW337)+N($AX337)+N($AY337)+N($AZ337)+N($BA337)&gt;0))</f>
        <v/>
      </c>
      <c r="CU337" s="84">
        <f>IF($BI337="","",IF($BI337&lt;=80,80,IF($BI337&lt;=84,84,96)))</f>
        <v/>
      </c>
      <c r="CV337" s="84">
        <f>ISNUMBER(MATCH($AT337&amp;"|80",LocKeys,0))</f>
        <v/>
      </c>
      <c r="CW337" s="86">
        <f>IF($CS337,"",IF($CV337,VLOOKUP($AT337&amp;"|"&amp;$CU337,LocTable,4,FALSE),5))</f>
        <v/>
      </c>
      <c r="CX337" s="86">
        <f>IF($CS337,"",IF($CV337,IF(OR($BI337=$CU337,AND($BI337&lt;$CU337,$BI337-IF(N(VLOOKUP($AT337&amp;"|"&amp;$CU337,LocTable,7,FALSE))&gt;0,VLOOKUP($AT337&amp;"|"&amp;$CU337,LocTable,7,FALSE),VLOOKUP($AT337&amp;"|"&amp;$CU337,LocTable,6,FALSE))-$CR337-0.75&gt;=2.125)),IF(N(VLOOKUP($AT337&amp;"|"&amp;$CU337,LocTable,7,FALSE))&gt;0,VLOOKUP($AT337&amp;"|"&amp;$CU337,LocTable,7,FALSE),VLOOKUP($AT337&amp;"|"&amp;$CU337,LocTable,6,FALSE)),$BI337-($CU337-IF(N(VLOOKUP($AT337&amp;"|"&amp;$CU337,LocTable,7,FALSE))&gt;0,VLOOKUP($AT337&amp;"|"&amp;$CU337,LocTable,7,FALSE),VLOOKUP($AT337&amp;"|"&amp;$CU337,LocTable,6,FALSE)))),$BI337-10-$CR337))</f>
        <v/>
      </c>
      <c r="CY337" s="85">
        <f>IF($CS337,"",TRIM(IF(ISNUMBER($BU337),"A "&amp;TRIM(TEXT($BU337,"# ?/??"))&amp;CHAR(34)&amp;"  ","")&amp;IF(ISNUMBER($BV337),"B "&amp;TRIM(TEXT($BV337,"# ?/??"))&amp;CHAR(34)&amp;"  ","")&amp;IF(ISNUMBER($BW337),"C "&amp;TRIM(TEXT($BW337,"# ?/??"))&amp;CHAR(34)&amp;"  ","")&amp;IF(ISNUMBER($BX337),"D "&amp;TRIM(TEXT($BX337,"# ?/??"))&amp;CHAR(34)&amp;"  ","")&amp;IF(ISNUMBER($BY337),"F "&amp;TRIM(TEXT($BY337,"# ?/??"))&amp;CHAR(34)&amp;"  ","")&amp;IF(ISNUMBER($BZ337),"E "&amp;TRIM(TEXT($BZ337,"# ?/??"))&amp;CHAR(34)&amp;"  ","")))</f>
        <v/>
      </c>
      <c r="CZ337" s="85">
        <f>IF(OR($CS337,N($BJ337)=0),"",TRIM(IF(ISNUMBER($BU337),"A "&amp;TRIM(TEXT($BU337-HeadClr,"# ?/??"))&amp;CHAR(34)&amp;"  ","")&amp;IF(ISNUMBER($BV337),"B "&amp;TRIM(TEXT($BV337-HeadClr,"# ?/??"))&amp;CHAR(34)&amp;"  ","")&amp;IF(ISNUMBER($BW337),"C "&amp;TRIM(TEXT($BW337-HeadClr,"# ?/??"))&amp;CHAR(34)&amp;"  ","")&amp;IF(ISNUMBER($BX337),"D "&amp;TRIM(TEXT($BX337-HeadClr,"# ?/??"))&amp;CHAR(34)&amp;"  ","")&amp;IF(ISNUMBER($BY337),"F "&amp;TRIM(TEXT($BY337-HeadClr,"# ?/??"))&amp;CHAR(34)&amp;"  ","")&amp;IF(ISNUMBER($BZ337),"E "&amp;TRIM(TEXT($BZ337-HeadClr,"# ?/??"))&amp;CHAR(34)&amp;"  ","")))</f>
        <v/>
      </c>
      <c r="DA337" s="84">
        <f>IF($A337="","",IF($AN337="",IFERROR(VLOOKUP($Z337,CODES,2,FALSE),""),IFERROR(VLOOKUP($AN337,CODES,2,FALSE),"")))</f>
        <v/>
      </c>
      <c r="DB337" s="84">
        <f>IF($A337="","",IF($O337="Y","PR",IF(OR($Z337="L",$Z337="RR",LEFT($Z337,2)="L-",LEFT($Z337,3)="RR-"),"LH","RH")))</f>
        <v/>
      </c>
      <c r="DC337" s="84">
        <f>IF($A337="","","S.HM"&amp;IF(OR($C337="DOOR ONLY",$X337&lt;&gt;"KD"),"MASONRY","DRYWALL")&amp;IF($C337="DOOR ONLY","",$U337)&amp;IF(AND($C337&lt;&gt;"FRAME ONLY",OR(LEFT($AH337,3)="OAK",LEFT($AH337,3)="BIR",LEFT($AH337,3)="MAP",$AH337="PC",$AH337="MC",$AH337="SCLC",$AH337="P-LAM")),"WD","HM")&amp;"1.75")</f>
        <v/>
      </c>
      <c r="DD337" s="84">
        <f>IF($CJ337="","",IF($O337="Y",$CJ337,SUBSTITUTE($CJ337,$BG337&amp;" "&amp;IFERROR(VLOOKUP($Z337,CODES,2,FALSE),"")&amp;" ",$BG337&amp;" ")))</f>
        <v/>
      </c>
      <c r="DE337" s="84">
        <f>IF($CK337="","",IF($O337="Y",$CK337,SUBSTITUTE($CK337,$BG337&amp;" "&amp;IF($AN337="",IFERROR(VLOOKUP($Z337,CODES,2,FALSE),""),IFERROR(VLOOKUP($AN337,CODES,2,FALSE),""))&amp;" ",$BG337&amp;" ")))</f>
        <v/>
      </c>
      <c r="DF337" s="84">
        <f>IF($CJ337="","",$DC337&amp;"|"&amp;$DD337&amp;"|"&amp;$DB337&amp;"|"&amp;$AT337&amp;"|"&amp;$V337&amp;"|"&amp;$Y337&amp;"|"&amp;$AB337)</f>
        <v/>
      </c>
      <c r="DG337" s="84">
        <f>IF(DF337="","",IF(COUNTIF($DF$6:DF337,DF337)=1,MAX($DG$5:DG336)+1,INDEX($DG$5:DG336,MATCH(DF337,$DF$5:DF336,0))))</f>
        <v/>
      </c>
      <c r="DH337" s="84">
        <f>IF($CK337="","",$DC337&amp;"|"&amp;$DE337&amp;"|"&amp;$AI337&amp;"|"&amp;$BK337&amp;"|"&amp;$BL337)</f>
        <v/>
      </c>
      <c r="DI337" s="84">
        <f>IF(DH337="","",IF(COUNTIF($DH$6:DH337,DH337)=1,MAX($DI$5:DI336)+1,INDEX($DI$5:DI336,MATCH(DH337,$DH$5:DH336,0))))</f>
        <v/>
      </c>
      <c r="DJ337" s="84">
        <f>IF($A337="","",IF($B337="","qty, ","")&amp;IF($C337="","scope, ","")&amp;IF(OR($K337="",$M337=""),"size, ","")&amp;IF(AND($A337&lt;&gt;"",$C337&lt;&gt;"DOOR ONLY"),IF($U337="","jamb depth, ","")&amp;IF($X337="","construction, ","")&amp;IF($Y337="","anchor, ","")&amp;IF($S337="","frame type, ",""),"")&amp;IF(AND(N($BJ337)&gt;0,$Z337=""),"hand, ","")&amp;IF(N($BJ337)&gt;0,IF($AH337="","door material, ","")&amp;IF($AL337="","face type, ","")&amp;IF($AP337="","lock prep, ","")&amp;IF(AND($AO337="",$AC337=""),"hinge prep, ",""),"")&amp;IF(AND($CH337&gt;0,$AH337="FRP"),"FRP cannot carry a label, ","")&amp;IF(AND($O337="Y",OR($Z337="L",$Z337="R",$Z337="LR",$Z337="RR")),"pair marked but hand is single, ","")&amp;IF(AND($O337&lt;&gt;"Y",OR($Z337="PR",AND(LEN($Z337)&gt;1,ISNUMBER(SEARCH("-",$Z337))))),"pair hand on a single door, ","")&amp;IF(AND(ISNUMBER($CI337),$CH337&lt;N($CI337)),"wall needs a "&amp;$CI337&amp;" min door, ","")&amp;IF(AND($CH337&gt;=180,AND(OR($CE337="FG",$CE337="HG",$CE337="FNV",$CE337="FV"),N($CF337)*N($CG337)&gt;100)),"180 min lite over 100 sq in, ","")&amp;IF(N($BK337)&gt;48,"leaf wider than 4'-0"&amp;CHAR(34)&amp;", ","")&amp;IF(AND($CT337,COUNT($AW337:$AZ337)=0,$CQ337&gt;0),"CUSTOM LOC with no locations typed, ",""))</f>
        <v/>
      </c>
      <c r="DK337" s="84">
        <f>IF($A337="","",IF(AND($CH337&gt;0,AND($A337&lt;&gt;"",$C337&lt;&gt;"DOOR ONLY"),$X337="KD",$E337="EXTERIOR"),"KD label on an exterior opening, ","")&amp;IF(AND($E337="EXTERIOR",OR(AND(AND($A337&lt;&gt;"",$C337&lt;&gt;"DOOR ONLY"),$W337="CR"),AND(N($BJ337)&gt;0,$AH337="CR"))),"exterior in CR steel (G9?), ","")&amp;IF(AND(ISNUMBER($BQ337),N($BQ337)&lt;32),"clear width ~"&amp;TEXT($BQ337,"0.0")&amp;CHAR(34)&amp;" under 32"&amp;CHAR(34)&amp;" (ADA), ","")&amp;IF(AND($CH337=90,AND(OR($CE337="FG",$CE337="HG",$CE337="FNV",$CE337="FV"),N($CF337)*N($CG337)&gt;100)),"90 min lite over 100 sq in (stair/exit), ","")&amp;IF(AND($CH337&gt;0,AND($A337&lt;&gt;"",$C337&lt;&gt;"DOOR ONLY"),OR($AF337="",$AF337="-")),"rated: closer reinf.?, ","")&amp;IF(OR($I337="CORRIDOR",$I337="SMOKE BARRIER"),"S label + smoke gasketing, ","")&amp;IF($CI337="?","wall type/hr not in IBC table, ","")&amp;IF(AND(N($BJ337)&gt;0,$BB337=""),"no hardware set, ","")&amp;IF(AND($BB337&lt;&gt;"",ISNA(MATCH($BB337&amp;"",HWSets,0))),"set "&amp;$BB337&amp;" not on HW Sets, ","")&amp;IF(N($BL337)&gt;96,"leaf over 8'-0"&amp;CHAR(34)&amp;" - check listing, ","")&amp;IF(AND($CT337,COUNT($AW337:$AZ337)&gt;0,COUNT($AW337:$AZ337)&lt;&gt;$CQ337),COUNT($AW337:$AZ337)&amp;" custom hinges typed, "&amp;$CQ337&amp;" expected, ","")&amp;IF(AND(ISNUMBER($CA337),OR(N($CA337)&lt;34,N($CA337)&gt;48)),"lock "&amp;TEXT($CA337,"0.0")&amp;CHAR(34)&amp;" AFF outside 34-48"&amp;CHAR(34)&amp;" (ADA), ","")&amp;IF(AND(ISNUMBER($AV337),ISNUMBER($BL337),N($AV337)&lt;IF(N($BL337)&lt;=60,2,IF(N($BL337)&lt;=90,3,IF(N($BL337)&lt;=120,4,5)))),"fewer hinges than standard, ",""))</f>
        <v/>
      </c>
    </row>
    <row r="338" ht="15" customHeight="1">
      <c r="A338" s="77" t="n"/>
      <c r="B338" s="78" t="n"/>
      <c r="C338" s="78" t="n"/>
      <c r="D338" s="78" t="n"/>
      <c r="E338" s="78" t="n"/>
      <c r="F338" s="78" t="n"/>
      <c r="G338" s="78" t="n"/>
      <c r="H338" s="78" t="n"/>
      <c r="I338" s="78" t="n"/>
      <c r="J338" s="78" t="n"/>
      <c r="K338" s="78" t="n"/>
      <c r="L338" s="78" t="n"/>
      <c r="M338" s="78" t="n"/>
      <c r="N338" s="78" t="n"/>
      <c r="O338" s="78" t="n"/>
      <c r="P338" s="78" t="n"/>
      <c r="Q338" s="78" t="n"/>
      <c r="R338" s="78" t="n"/>
      <c r="S338" s="79" t="n"/>
      <c r="T338" s="79" t="n"/>
      <c r="U338" s="79" t="n"/>
      <c r="V338" s="79" t="n"/>
      <c r="W338" s="79" t="n"/>
      <c r="X338" s="79" t="n"/>
      <c r="Y338" s="79" t="n"/>
      <c r="Z338" s="79" t="n"/>
      <c r="AA338" s="79" t="n"/>
      <c r="AB338" s="79" t="n"/>
      <c r="AC338" s="79" t="n"/>
      <c r="AD338" s="79" t="n"/>
      <c r="AE338" s="79" t="n"/>
      <c r="AF338" s="79" t="n"/>
      <c r="AG338" s="79" t="n"/>
      <c r="AH338" s="80" t="n"/>
      <c r="AI338" s="80" t="n"/>
      <c r="AJ338" s="80" t="n"/>
      <c r="AK338" s="80" t="n"/>
      <c r="AL338" s="80" t="n"/>
      <c r="AM338" s="80" t="n"/>
      <c r="AN338" s="80" t="n"/>
      <c r="AO338" s="80" t="n"/>
      <c r="AP338" s="80" t="n"/>
      <c r="AQ338" s="80" t="n"/>
      <c r="AR338" s="80" t="n"/>
      <c r="AS338" s="80" t="n"/>
      <c r="AT338" s="81" t="n"/>
      <c r="AU338" s="81" t="n"/>
      <c r="AV338" s="81" t="n"/>
      <c r="AW338" s="82" t="n"/>
      <c r="AX338" s="82" t="n"/>
      <c r="AY338" s="82" t="n"/>
      <c r="AZ338" s="82" t="n"/>
      <c r="BA338" s="82" t="n"/>
      <c r="BB338" s="83" t="n"/>
      <c r="BC338" s="83" t="n"/>
      <c r="BD338" s="84">
        <f>IF($A338="","",IF($DJ338&lt;&gt;"","FIX",IF($DK338&lt;&gt;"","CHECK","OK")))</f>
        <v/>
      </c>
      <c r="BE338" s="85">
        <f>IF($A338="","",IF($DJ338&lt;&gt;"","FIX: "&amp;LEFT($DJ338,LEN($DJ338)-2)&amp;IF($DK338&lt;&gt;"","  ·  ",""),"")&amp;IF($DK338&lt;&gt;"","CHECK: "&amp;LEFT($DK338,LEN($DK338)-2),""))</f>
        <v/>
      </c>
      <c r="BF338" s="84">
        <f>IF(OR($A338="",$K338=""),"",$K338&amp;"'-"&amp;N($L338)&amp;CHAR(34)&amp;" x "&amp;$M338&amp;"'-"&amp;N($N338)&amp;CHAR(34))</f>
        <v/>
      </c>
      <c r="BG338" s="84">
        <f>IF(OR($A338="",$K338=""),"",$K338&amp;N($L338)&amp;$M338&amp;N($N338))</f>
        <v/>
      </c>
      <c r="BH338" s="84">
        <f>IF(OR($A338="",$K338=""),"",$K338*12+N($L338))</f>
        <v/>
      </c>
      <c r="BI338" s="84">
        <f>IF(OR($A338="",$M338=""),"",$M338*12+N($N338))</f>
        <v/>
      </c>
      <c r="BJ338" s="84">
        <f>IF($A338="","",IF(OR($C338="FRAME ONLY",$S338="BL"),0,IF($O338="Y",2,1)))</f>
        <v/>
      </c>
      <c r="BK338" s="86">
        <f>IF(OR(N($BJ338)=0,$BH338=""),"",($BH338-2*EdgeClr-IF($BJ338=2,MeetClr,0))/$BJ338)</f>
        <v/>
      </c>
      <c r="BL338" s="86">
        <f>IF(OR(N($BJ338)=0,$BI338=""),"",$BI338-HeadClr-Undercut)</f>
        <v/>
      </c>
      <c r="BM338" s="86">
        <f>IF($BH338="","",$BH338+2*FaceW+IF(N($Q338)&gt;0,($Q338+FaceW)*IF($R338="LR",2,1),0))</f>
        <v/>
      </c>
      <c r="BN338" s="86">
        <f>IF($BI338="","",$BI338+IF($AB338="Y",4,FaceW)+IF(N($P338)&gt;0,$P338+FaceW,0)+IF(OR($S338="4F",$S338="BL"),FaceW,0))</f>
        <v/>
      </c>
      <c r="BO338" s="86">
        <f>IF($BM338="","",$BM338+2*ROSide)</f>
        <v/>
      </c>
      <c r="BP338" s="86">
        <f>IF($BN338="","",$BN338+ROTop)</f>
        <v/>
      </c>
      <c r="BQ338" s="87">
        <f>IF(OR(N($BJ338)=0,$BH338=""),"",$BH338/$BJ338-ClearDeduct)</f>
        <v/>
      </c>
      <c r="BR338" s="84">
        <f>IF(N($CH338)=0,"",IF($CH338&gt;=180,"A · 3 HR",IF($CH338&gt;=90,"B · 1-1/2 HR",IF($CH338&gt;=60,"B · 1 HR",IF($CH338&gt;=45,"C · 3/4 HR","20 MIN")))))&amp;IF(AND(N($CH338)&gt;0,OR($I338="CORRIDOR",$I338="SMOKE BARRIER"))," · S","")</f>
        <v/>
      </c>
      <c r="BS338" s="84">
        <f>IF($CS338,"",IF($AV338&lt;&gt;"",$AV338,IF(OR($AC338="HGC",$AO338="HGC"),"CONT",IF(($BI338-HeadClr-Undercut)&lt;=60,2,IF(($BI338-HeadClr-Undercut)&lt;=90,3,IF(($BI338-HeadClr-Undercut)&lt;=120,4,5))))))</f>
        <v/>
      </c>
      <c r="BT338" s="84">
        <f>IF($CS338,"",IF($CT338,"CUSTOM (typed)",IF($CV338,$AT338&amp;" "&amp;$CU338&amp;CHAR(34)&amp;IF($CU338&lt;&gt;$BI338,IF(AND($BI338&lt;$CU338,$BI338-IF(N(VLOOKUP($AT338&amp;"|"&amp;$CU338,LocTable,7,FALSE))&gt;0,VLOOKUP($AT338&amp;"|"&amp;$CU338,LocTable,7,FALSE),VLOOKUP($AT338&amp;"|"&amp;$CU338,LocTable,6,FALSE))-$CR338-0.75&gt;=2.125)," cut down"," adj."),""),"ANSI/SDI A250.6")))</f>
        <v/>
      </c>
      <c r="BU338" s="88">
        <f>IF($CS338,"",IF($CT338,IF(N($AW338)&gt;0,N($AW338),""),IF(1&gt;$CQ338,"",IF($CQ338=1,$CW338,$CW338+($CX338-$CW338)*0/($CQ338-1)))))</f>
        <v/>
      </c>
      <c r="BV338" s="88">
        <f>IF($CS338,"",IF($CT338,IF(N($AX338)&gt;0,N($AX338),""),IF(2&gt;$CQ338,"",IF($CQ338=1,$CW338,$CW338+($CX338-$CW338)*1/($CQ338-1)))))</f>
        <v/>
      </c>
      <c r="BW338" s="88">
        <f>IF($CS338,"",IF($CT338,IF(N($AY338)&gt;0,N($AY338),""),IF(3&gt;$CQ338,"",IF($CQ338=1,$CW338,$CW338+($CX338-$CW338)*2/($CQ338-1)))))</f>
        <v/>
      </c>
      <c r="BX338" s="88">
        <f>IF($CS338,"",IF($CT338,IF(N($AZ338)&gt;0,N($AZ338),""),IF(4&gt;$CQ338,"",IF($CQ338=1,$CW338,$CW338+($CX338-$CW338)*3/($CQ338-1)))))</f>
        <v/>
      </c>
      <c r="BY338" s="88">
        <f>IF($CS338,"",IF($CT338,"",IF(5&gt;$CQ338,"",IF($CQ338=1,$CW338,$CW338+($CX338-$CW338)*4/($CQ338-1)))))</f>
        <v/>
      </c>
      <c r="BZ338" s="88">
        <f>IF(OR($CS338,$AP338="-",AND($AP338="",$AD338="")),"",IF(N($BA338)&gt;0,N($BA338),IF($CV338,IF(AND($BI338&lt;$CU338,$BI338-IF(N(VLOOKUP($AT338&amp;"|"&amp;$CU338,LocTable,7,FALSE))&gt;0,VLOOKUP($AT338&amp;"|"&amp;$CU338,LocTable,7,FALSE),VLOOKUP($AT338&amp;"|"&amp;$CU338,LocTable,6,FALSE))-$CR338-0.75&gt;=2.125),VLOOKUP($AT338&amp;"|"&amp;$CU338,LocTable,8,FALSE),VLOOKUP($AT338&amp;"|"&amp;$CU338,LocTable,8,FALSE)+($BI338-$CU338)),$BI338-LockAFF)))</f>
        <v/>
      </c>
      <c r="CA338" s="89">
        <f>IF($BZ338="","",$BI338-$BZ338)</f>
        <v/>
      </c>
      <c r="CB338" s="84">
        <f>IF(OR(NOT(AND($A338&lt;&gt;"",$C338&lt;&gt;"DOOR ONLY")),$BI338=""),"",IF(($BI338+IF(N($P338)&gt;0,$P338+FaceW,0))&lt;=90,3,IF(($BI338+IF(N($P338)&gt;0,$P338+FaceW,0))&lt;=114,4,5)))</f>
        <v/>
      </c>
      <c r="CC338" s="84">
        <f>IF($CB338="","",$CB338*(2+IF(N($Q338)&gt;0,IF($R338="LR",2,1),0)))</f>
        <v/>
      </c>
      <c r="CD338" s="84">
        <f>IF($CB338="","",(2+IF(N($Q338)&gt;0,IF($R338="LR",2,1),0)))</f>
        <v/>
      </c>
      <c r="CE338" s="84">
        <f>IF(N($BJ338)=0,"",IF(OR($AL338="",$AL338="FLUSH"),"FLUSH",IFERROR(LEFT($AL338,FIND("-",$AL338)-1),LEFT($AL338,2))))</f>
        <v/>
      </c>
      <c r="CF338" s="84">
        <f>IF($CE338="","",IFERROR(VALUE(MID($AL338,FIND("-",$AL338)+1,FIND(CHAR(34)&amp;"x",$AL338)-FIND("-",$AL338)-1)),0))</f>
        <v/>
      </c>
      <c r="CG338" s="84">
        <f>IF($CE338="","",IFERROR(VALUE(MID($AL338,FIND(CHAR(34)&amp;"x",$AL338)+2,FIND(CHAR(34),$AL338,FIND(CHAR(34)&amp;"x",$AL338)+2)-FIND(CHAR(34)&amp;"x",$AL338)-2)),0))</f>
        <v/>
      </c>
      <c r="CH338" s="90">
        <f>IF(OR($A338="",$H338="",$H338="NO LAB"),0,IFERROR(VALUE(LEFT($H338,FIND(" ",$H338)-1)),0))</f>
        <v/>
      </c>
      <c r="CI338" s="91">
        <f>IF(OR($A338="",$I338="",$I338="NON-RATED",N($J338)=0),"",IFERROR(VLOOKUP($I338&amp;"|"&amp;$J338,IBC,2,FALSE),"?"))</f>
        <v/>
      </c>
      <c r="CJ338" s="85">
        <f>IF(NOT(AND($A338&lt;&gt;"",$C338&lt;&gt;"DOOR ONLY")),"",TRIM(IFERROR(VLOOKUP($U338,CODES,2,FALSE),"")&amp;" "&amp;$BG338&amp;" "&amp;IFERROR(VLOOKUP($Z338,CODES,2,FALSE),"")&amp;" "&amp;IFERROR(VLOOKUP($X338,CODES,2,FALSE),"")&amp;" "&amp;IFERROR(VLOOKUP($S338,CODES,2,FALSE),"")&amp;IF(N($P338)&gt;0," w/TRANSOM "&amp;$P338&amp;CHAR(34),"")&amp;IF(N($Q338)&gt;0," w/SIDELITE "&amp;$Q338&amp;CHAR(34)&amp;" "&amp;IF($R338="","R",$R338),"")&amp;IF($Y338="","  |  "," | "&amp;IFERROR(VLOOKUP($Y338,CODES,2,FALSE),"")&amp;" | ")&amp;IFERROR(VLOOKUP($AC338,CODES,2,FALSE),"")&amp;" "&amp;IFERROR(VLOOKUP($AD338,CODES,2,FALSE),"")&amp;IF(OR($AE338="",$AE338="-"),""," "&amp;$AE338)&amp;IF(OR($AF338="",$AF338="-"),""," "&amp;$AF338)&amp;IF($AB338="Y"," 4"&amp;CHAR(34)&amp;" HEAD","")&amp;" "&amp;IFERROR(VLOOKUP($H338,CODES,2,FALSE),"")&amp;IF($CT338," | LOC "&amp;$CY338,"")))</f>
        <v/>
      </c>
      <c r="CK338" s="85">
        <f>IF(NOT(AND($A338&lt;&gt;"",N($BJ338)&gt;0)),"",TRIM(IFERROR(VLOOKUP($AH338,CODES,2,FALSE),"")&amp;IF($AI338=""," "," "&amp;$AI338&amp;"GA ")&amp;$BG338&amp;" "&amp;IF($AN338="",IFERROR(VLOOKUP($Z338,CODES,2,FALSE),""),IFERROR(VLOOKUP($AN338,CODES,2,FALSE),""))&amp;IF($BJ338=2," PAIR","")&amp;" DOOR | "&amp;IF($AL338="","?",$AL338)&amp;" | "&amp;IF($AO338="",IFERROR(VLOOKUP($AC338,CODES,2,FALSE),""),IFERROR(VLOOKUP($AO338,CODES,2,FALSE),""))&amp;" "&amp;IFERROR(VLOOKUP($AP338,CODES,2,FALSE),"")&amp;IF(OR($AQ338="",$AQ338="-"),""," SEAM "&amp;$AQ338)&amp;IF($AR338="Y"," ASTRAGAL","")&amp;IF($AJ338=""," "," "&amp;$AJ338)&amp;IF($AK338=""," "," "&amp;$AK338)&amp;IF(OR($AT338="",$AT338="ANSI/SDI",$AT338="CUSTOM LOC"),""," "&amp;$AT338)&amp;IF($AM338=""," "," SERIES "&amp;$AM338)&amp;" "&amp;IFERROR(VLOOKUP($H338,CODES,2,FALSE),"")&amp;IF($CT338," | LOC "&amp;$CZ338,"")))</f>
        <v/>
      </c>
      <c r="CL338" s="84">
        <f>IF(CP338="","",IF(COUNTIF($CP$6:CP338,CP338)=1,MAX($CL$5:CL337)+1,INDEX($CL$5:CL337,MATCH(CP338,$CP$5:CP337,0))))</f>
        <v/>
      </c>
      <c r="CM338" s="84">
        <f>IF(NOT(AND($A338&lt;&gt;"",$C338&lt;&gt;"DOOR ONLY")),"",MAX($CM$5:CM337)+1)</f>
        <v/>
      </c>
      <c r="CN338" s="84">
        <f>IF(NOT(AND($A338&lt;&gt;"",N($BJ338)&gt;0)),"",MAX($CN$5:CN337)+1)</f>
        <v/>
      </c>
      <c r="CO338" s="84">
        <f>IF($A338="","",MAX($CO$5:CO337)+1)</f>
        <v/>
      </c>
      <c r="CP338" s="84">
        <f>IF(OR($A338="",$BH338="",$BI338=""),"",$BG338&amp;"|"&amp;$O338&amp;"|"&amp;$AL338&amp;"|"&amp;$S338&amp;"|"&amp;$P338&amp;"|"&amp;$Q338&amp;$R338&amp;"|"&amp;$C338&amp;"|"&amp;$AB338)</f>
        <v/>
      </c>
      <c r="CQ338" s="84">
        <f>N($BS338)</f>
        <v/>
      </c>
      <c r="CR338" s="84">
        <f>IF(N($AU338)&gt;0,N($AU338),4.5)</f>
        <v/>
      </c>
      <c r="CS338" s="84">
        <f>OR($A338="",$BI338="",$S338="BL",AND($C338="FRAME ONLY",OR($AC338="",$AC338="BLK")))</f>
        <v/>
      </c>
      <c r="CT338" s="84">
        <f>AND(NOT($CS338),OR($AT338="CUSTOM LOC",N($AW338)+N($AX338)+N($AY338)+N($AZ338)+N($BA338)&gt;0))</f>
        <v/>
      </c>
      <c r="CU338" s="84">
        <f>IF($BI338="","",IF($BI338&lt;=80,80,IF($BI338&lt;=84,84,96)))</f>
        <v/>
      </c>
      <c r="CV338" s="84">
        <f>ISNUMBER(MATCH($AT338&amp;"|80",LocKeys,0))</f>
        <v/>
      </c>
      <c r="CW338" s="86">
        <f>IF($CS338,"",IF($CV338,VLOOKUP($AT338&amp;"|"&amp;$CU338,LocTable,4,FALSE),5))</f>
        <v/>
      </c>
      <c r="CX338" s="86">
        <f>IF($CS338,"",IF($CV338,IF(OR($BI338=$CU338,AND($BI338&lt;$CU338,$BI338-IF(N(VLOOKUP($AT338&amp;"|"&amp;$CU338,LocTable,7,FALSE))&gt;0,VLOOKUP($AT338&amp;"|"&amp;$CU338,LocTable,7,FALSE),VLOOKUP($AT338&amp;"|"&amp;$CU338,LocTable,6,FALSE))-$CR338-0.75&gt;=2.125)),IF(N(VLOOKUP($AT338&amp;"|"&amp;$CU338,LocTable,7,FALSE))&gt;0,VLOOKUP($AT338&amp;"|"&amp;$CU338,LocTable,7,FALSE),VLOOKUP($AT338&amp;"|"&amp;$CU338,LocTable,6,FALSE)),$BI338-($CU338-IF(N(VLOOKUP($AT338&amp;"|"&amp;$CU338,LocTable,7,FALSE))&gt;0,VLOOKUP($AT338&amp;"|"&amp;$CU338,LocTable,7,FALSE),VLOOKUP($AT338&amp;"|"&amp;$CU338,LocTable,6,FALSE)))),$BI338-10-$CR338))</f>
        <v/>
      </c>
      <c r="CY338" s="85">
        <f>IF($CS338,"",TRIM(IF(ISNUMBER($BU338),"A "&amp;TRIM(TEXT($BU338,"# ?/??"))&amp;CHAR(34)&amp;"  ","")&amp;IF(ISNUMBER($BV338),"B "&amp;TRIM(TEXT($BV338,"# ?/??"))&amp;CHAR(34)&amp;"  ","")&amp;IF(ISNUMBER($BW338),"C "&amp;TRIM(TEXT($BW338,"# ?/??"))&amp;CHAR(34)&amp;"  ","")&amp;IF(ISNUMBER($BX338),"D "&amp;TRIM(TEXT($BX338,"# ?/??"))&amp;CHAR(34)&amp;"  ","")&amp;IF(ISNUMBER($BY338),"F "&amp;TRIM(TEXT($BY338,"# ?/??"))&amp;CHAR(34)&amp;"  ","")&amp;IF(ISNUMBER($BZ338),"E "&amp;TRIM(TEXT($BZ338,"# ?/??"))&amp;CHAR(34)&amp;"  ","")))</f>
        <v/>
      </c>
      <c r="CZ338" s="85">
        <f>IF(OR($CS338,N($BJ338)=0),"",TRIM(IF(ISNUMBER($BU338),"A "&amp;TRIM(TEXT($BU338-HeadClr,"# ?/??"))&amp;CHAR(34)&amp;"  ","")&amp;IF(ISNUMBER($BV338),"B "&amp;TRIM(TEXT($BV338-HeadClr,"# ?/??"))&amp;CHAR(34)&amp;"  ","")&amp;IF(ISNUMBER($BW338),"C "&amp;TRIM(TEXT($BW338-HeadClr,"# ?/??"))&amp;CHAR(34)&amp;"  ","")&amp;IF(ISNUMBER($BX338),"D "&amp;TRIM(TEXT($BX338-HeadClr,"# ?/??"))&amp;CHAR(34)&amp;"  ","")&amp;IF(ISNUMBER($BY338),"F "&amp;TRIM(TEXT($BY338-HeadClr,"# ?/??"))&amp;CHAR(34)&amp;"  ","")&amp;IF(ISNUMBER($BZ338),"E "&amp;TRIM(TEXT($BZ338-HeadClr,"# ?/??"))&amp;CHAR(34)&amp;"  ","")))</f>
        <v/>
      </c>
      <c r="DA338" s="84">
        <f>IF($A338="","",IF($AN338="",IFERROR(VLOOKUP($Z338,CODES,2,FALSE),""),IFERROR(VLOOKUP($AN338,CODES,2,FALSE),"")))</f>
        <v/>
      </c>
      <c r="DB338" s="84">
        <f>IF($A338="","",IF($O338="Y","PR",IF(OR($Z338="L",$Z338="RR",LEFT($Z338,2)="L-",LEFT($Z338,3)="RR-"),"LH","RH")))</f>
        <v/>
      </c>
      <c r="DC338" s="84">
        <f>IF($A338="","","S.HM"&amp;IF(OR($C338="DOOR ONLY",$X338&lt;&gt;"KD"),"MASONRY","DRYWALL")&amp;IF($C338="DOOR ONLY","",$U338)&amp;IF(AND($C338&lt;&gt;"FRAME ONLY",OR(LEFT($AH338,3)="OAK",LEFT($AH338,3)="BIR",LEFT($AH338,3)="MAP",$AH338="PC",$AH338="MC",$AH338="SCLC",$AH338="P-LAM")),"WD","HM")&amp;"1.75")</f>
        <v/>
      </c>
      <c r="DD338" s="84">
        <f>IF($CJ338="","",IF($O338="Y",$CJ338,SUBSTITUTE($CJ338,$BG338&amp;" "&amp;IFERROR(VLOOKUP($Z338,CODES,2,FALSE),"")&amp;" ",$BG338&amp;" ")))</f>
        <v/>
      </c>
      <c r="DE338" s="84">
        <f>IF($CK338="","",IF($O338="Y",$CK338,SUBSTITUTE($CK338,$BG338&amp;" "&amp;IF($AN338="",IFERROR(VLOOKUP($Z338,CODES,2,FALSE),""),IFERROR(VLOOKUP($AN338,CODES,2,FALSE),""))&amp;" ",$BG338&amp;" ")))</f>
        <v/>
      </c>
      <c r="DF338" s="84">
        <f>IF($CJ338="","",$DC338&amp;"|"&amp;$DD338&amp;"|"&amp;$DB338&amp;"|"&amp;$AT338&amp;"|"&amp;$V338&amp;"|"&amp;$Y338&amp;"|"&amp;$AB338)</f>
        <v/>
      </c>
      <c r="DG338" s="84">
        <f>IF(DF338="","",IF(COUNTIF($DF$6:DF338,DF338)=1,MAX($DG$5:DG337)+1,INDEX($DG$5:DG337,MATCH(DF338,$DF$5:DF337,0))))</f>
        <v/>
      </c>
      <c r="DH338" s="84">
        <f>IF($CK338="","",$DC338&amp;"|"&amp;$DE338&amp;"|"&amp;$AI338&amp;"|"&amp;$BK338&amp;"|"&amp;$BL338)</f>
        <v/>
      </c>
      <c r="DI338" s="84">
        <f>IF(DH338="","",IF(COUNTIF($DH$6:DH338,DH338)=1,MAX($DI$5:DI337)+1,INDEX($DI$5:DI337,MATCH(DH338,$DH$5:DH337,0))))</f>
        <v/>
      </c>
      <c r="DJ338" s="84">
        <f>IF($A338="","",IF($B338="","qty, ","")&amp;IF($C338="","scope, ","")&amp;IF(OR($K338="",$M338=""),"size, ","")&amp;IF(AND($A338&lt;&gt;"",$C338&lt;&gt;"DOOR ONLY"),IF($U338="","jamb depth, ","")&amp;IF($X338="","construction, ","")&amp;IF($Y338="","anchor, ","")&amp;IF($S338="","frame type, ",""),"")&amp;IF(AND(N($BJ338)&gt;0,$Z338=""),"hand, ","")&amp;IF(N($BJ338)&gt;0,IF($AH338="","door material, ","")&amp;IF($AL338="","face type, ","")&amp;IF($AP338="","lock prep, ","")&amp;IF(AND($AO338="",$AC338=""),"hinge prep, ",""),"")&amp;IF(AND($CH338&gt;0,$AH338="FRP"),"FRP cannot carry a label, ","")&amp;IF(AND($O338="Y",OR($Z338="L",$Z338="R",$Z338="LR",$Z338="RR")),"pair marked but hand is single, ","")&amp;IF(AND($O338&lt;&gt;"Y",OR($Z338="PR",AND(LEN($Z338)&gt;1,ISNUMBER(SEARCH("-",$Z338))))),"pair hand on a single door, ","")&amp;IF(AND(ISNUMBER($CI338),$CH338&lt;N($CI338)),"wall needs a "&amp;$CI338&amp;" min door, ","")&amp;IF(AND($CH338&gt;=180,AND(OR($CE338="FG",$CE338="HG",$CE338="FNV",$CE338="FV"),N($CF338)*N($CG338)&gt;100)),"180 min lite over 100 sq in, ","")&amp;IF(N($BK338)&gt;48,"leaf wider than 4'-0"&amp;CHAR(34)&amp;", ","")&amp;IF(AND($CT338,COUNT($AW338:$AZ338)=0,$CQ338&gt;0),"CUSTOM LOC with no locations typed, ",""))</f>
        <v/>
      </c>
      <c r="DK338" s="84">
        <f>IF($A338="","",IF(AND($CH338&gt;0,AND($A338&lt;&gt;"",$C338&lt;&gt;"DOOR ONLY"),$X338="KD",$E338="EXTERIOR"),"KD label on an exterior opening, ","")&amp;IF(AND($E338="EXTERIOR",OR(AND(AND($A338&lt;&gt;"",$C338&lt;&gt;"DOOR ONLY"),$W338="CR"),AND(N($BJ338)&gt;0,$AH338="CR"))),"exterior in CR steel (G9?), ","")&amp;IF(AND(ISNUMBER($BQ338),N($BQ338)&lt;32),"clear width ~"&amp;TEXT($BQ338,"0.0")&amp;CHAR(34)&amp;" under 32"&amp;CHAR(34)&amp;" (ADA), ","")&amp;IF(AND($CH338=90,AND(OR($CE338="FG",$CE338="HG",$CE338="FNV",$CE338="FV"),N($CF338)*N($CG338)&gt;100)),"90 min lite over 100 sq in (stair/exit), ","")&amp;IF(AND($CH338&gt;0,AND($A338&lt;&gt;"",$C338&lt;&gt;"DOOR ONLY"),OR($AF338="",$AF338="-")),"rated: closer reinf.?, ","")&amp;IF(OR($I338="CORRIDOR",$I338="SMOKE BARRIER"),"S label + smoke gasketing, ","")&amp;IF($CI338="?","wall type/hr not in IBC table, ","")&amp;IF(AND(N($BJ338)&gt;0,$BB338=""),"no hardware set, ","")&amp;IF(AND($BB338&lt;&gt;"",ISNA(MATCH($BB338&amp;"",HWSets,0))),"set "&amp;$BB338&amp;" not on HW Sets, ","")&amp;IF(N($BL338)&gt;96,"leaf over 8'-0"&amp;CHAR(34)&amp;" - check listing, ","")&amp;IF(AND($CT338,COUNT($AW338:$AZ338)&gt;0,COUNT($AW338:$AZ338)&lt;&gt;$CQ338),COUNT($AW338:$AZ338)&amp;" custom hinges typed, "&amp;$CQ338&amp;" expected, ","")&amp;IF(AND(ISNUMBER($CA338),OR(N($CA338)&lt;34,N($CA338)&gt;48)),"lock "&amp;TEXT($CA338,"0.0")&amp;CHAR(34)&amp;" AFF outside 34-48"&amp;CHAR(34)&amp;" (ADA), ","")&amp;IF(AND(ISNUMBER($AV338),ISNUMBER($BL338),N($AV338)&lt;IF(N($BL338)&lt;=60,2,IF(N($BL338)&lt;=90,3,IF(N($BL338)&lt;=120,4,5)))),"fewer hinges than standard, ",""))</f>
        <v/>
      </c>
    </row>
    <row r="339" ht="15" customHeight="1">
      <c r="A339" s="77" t="n"/>
      <c r="B339" s="78" t="n"/>
      <c r="C339" s="78" t="n"/>
      <c r="D339" s="78" t="n"/>
      <c r="E339" s="78" t="n"/>
      <c r="F339" s="78" t="n"/>
      <c r="G339" s="78" t="n"/>
      <c r="H339" s="78" t="n"/>
      <c r="I339" s="78" t="n"/>
      <c r="J339" s="78" t="n"/>
      <c r="K339" s="78" t="n"/>
      <c r="L339" s="78" t="n"/>
      <c r="M339" s="78" t="n"/>
      <c r="N339" s="78" t="n"/>
      <c r="O339" s="78" t="n"/>
      <c r="P339" s="78" t="n"/>
      <c r="Q339" s="78" t="n"/>
      <c r="R339" s="78" t="n"/>
      <c r="S339" s="79" t="n"/>
      <c r="T339" s="79" t="n"/>
      <c r="U339" s="79" t="n"/>
      <c r="V339" s="79" t="n"/>
      <c r="W339" s="79" t="n"/>
      <c r="X339" s="79" t="n"/>
      <c r="Y339" s="79" t="n"/>
      <c r="Z339" s="79" t="n"/>
      <c r="AA339" s="79" t="n"/>
      <c r="AB339" s="79" t="n"/>
      <c r="AC339" s="79" t="n"/>
      <c r="AD339" s="79" t="n"/>
      <c r="AE339" s="79" t="n"/>
      <c r="AF339" s="79" t="n"/>
      <c r="AG339" s="79" t="n"/>
      <c r="AH339" s="80" t="n"/>
      <c r="AI339" s="80" t="n"/>
      <c r="AJ339" s="80" t="n"/>
      <c r="AK339" s="80" t="n"/>
      <c r="AL339" s="80" t="n"/>
      <c r="AM339" s="80" t="n"/>
      <c r="AN339" s="80" t="n"/>
      <c r="AO339" s="80" t="n"/>
      <c r="AP339" s="80" t="n"/>
      <c r="AQ339" s="80" t="n"/>
      <c r="AR339" s="80" t="n"/>
      <c r="AS339" s="80" t="n"/>
      <c r="AT339" s="81" t="n"/>
      <c r="AU339" s="81" t="n"/>
      <c r="AV339" s="81" t="n"/>
      <c r="AW339" s="82" t="n"/>
      <c r="AX339" s="82" t="n"/>
      <c r="AY339" s="82" t="n"/>
      <c r="AZ339" s="82" t="n"/>
      <c r="BA339" s="82" t="n"/>
      <c r="BB339" s="83" t="n"/>
      <c r="BC339" s="83" t="n"/>
      <c r="BD339" s="84">
        <f>IF($A339="","",IF($DJ339&lt;&gt;"","FIX",IF($DK339&lt;&gt;"","CHECK","OK")))</f>
        <v/>
      </c>
      <c r="BE339" s="85">
        <f>IF($A339="","",IF($DJ339&lt;&gt;"","FIX: "&amp;LEFT($DJ339,LEN($DJ339)-2)&amp;IF($DK339&lt;&gt;"","  ·  ",""),"")&amp;IF($DK339&lt;&gt;"","CHECK: "&amp;LEFT($DK339,LEN($DK339)-2),""))</f>
        <v/>
      </c>
      <c r="BF339" s="84">
        <f>IF(OR($A339="",$K339=""),"",$K339&amp;"'-"&amp;N($L339)&amp;CHAR(34)&amp;" x "&amp;$M339&amp;"'-"&amp;N($N339)&amp;CHAR(34))</f>
        <v/>
      </c>
      <c r="BG339" s="84">
        <f>IF(OR($A339="",$K339=""),"",$K339&amp;N($L339)&amp;$M339&amp;N($N339))</f>
        <v/>
      </c>
      <c r="BH339" s="84">
        <f>IF(OR($A339="",$K339=""),"",$K339*12+N($L339))</f>
        <v/>
      </c>
      <c r="BI339" s="84">
        <f>IF(OR($A339="",$M339=""),"",$M339*12+N($N339))</f>
        <v/>
      </c>
      <c r="BJ339" s="84">
        <f>IF($A339="","",IF(OR($C339="FRAME ONLY",$S339="BL"),0,IF($O339="Y",2,1)))</f>
        <v/>
      </c>
      <c r="BK339" s="86">
        <f>IF(OR(N($BJ339)=0,$BH339=""),"",($BH339-2*EdgeClr-IF($BJ339=2,MeetClr,0))/$BJ339)</f>
        <v/>
      </c>
      <c r="BL339" s="86">
        <f>IF(OR(N($BJ339)=0,$BI339=""),"",$BI339-HeadClr-Undercut)</f>
        <v/>
      </c>
      <c r="BM339" s="86">
        <f>IF($BH339="","",$BH339+2*FaceW+IF(N($Q339)&gt;0,($Q339+FaceW)*IF($R339="LR",2,1),0))</f>
        <v/>
      </c>
      <c r="BN339" s="86">
        <f>IF($BI339="","",$BI339+IF($AB339="Y",4,FaceW)+IF(N($P339)&gt;0,$P339+FaceW,0)+IF(OR($S339="4F",$S339="BL"),FaceW,0))</f>
        <v/>
      </c>
      <c r="BO339" s="86">
        <f>IF($BM339="","",$BM339+2*ROSide)</f>
        <v/>
      </c>
      <c r="BP339" s="86">
        <f>IF($BN339="","",$BN339+ROTop)</f>
        <v/>
      </c>
      <c r="BQ339" s="87">
        <f>IF(OR(N($BJ339)=0,$BH339=""),"",$BH339/$BJ339-ClearDeduct)</f>
        <v/>
      </c>
      <c r="BR339" s="84">
        <f>IF(N($CH339)=0,"",IF($CH339&gt;=180,"A · 3 HR",IF($CH339&gt;=90,"B · 1-1/2 HR",IF($CH339&gt;=60,"B · 1 HR",IF($CH339&gt;=45,"C · 3/4 HR","20 MIN")))))&amp;IF(AND(N($CH339)&gt;0,OR($I339="CORRIDOR",$I339="SMOKE BARRIER"))," · S","")</f>
        <v/>
      </c>
      <c r="BS339" s="84">
        <f>IF($CS339,"",IF($AV339&lt;&gt;"",$AV339,IF(OR($AC339="HGC",$AO339="HGC"),"CONT",IF(($BI339-HeadClr-Undercut)&lt;=60,2,IF(($BI339-HeadClr-Undercut)&lt;=90,3,IF(($BI339-HeadClr-Undercut)&lt;=120,4,5))))))</f>
        <v/>
      </c>
      <c r="BT339" s="84">
        <f>IF($CS339,"",IF($CT339,"CUSTOM (typed)",IF($CV339,$AT339&amp;" "&amp;$CU339&amp;CHAR(34)&amp;IF($CU339&lt;&gt;$BI339,IF(AND($BI339&lt;$CU339,$BI339-IF(N(VLOOKUP($AT339&amp;"|"&amp;$CU339,LocTable,7,FALSE))&gt;0,VLOOKUP($AT339&amp;"|"&amp;$CU339,LocTable,7,FALSE),VLOOKUP($AT339&amp;"|"&amp;$CU339,LocTable,6,FALSE))-$CR339-0.75&gt;=2.125)," cut down"," adj."),""),"ANSI/SDI A250.6")))</f>
        <v/>
      </c>
      <c r="BU339" s="88">
        <f>IF($CS339,"",IF($CT339,IF(N($AW339)&gt;0,N($AW339),""),IF(1&gt;$CQ339,"",IF($CQ339=1,$CW339,$CW339+($CX339-$CW339)*0/($CQ339-1)))))</f>
        <v/>
      </c>
      <c r="BV339" s="88">
        <f>IF($CS339,"",IF($CT339,IF(N($AX339)&gt;0,N($AX339),""),IF(2&gt;$CQ339,"",IF($CQ339=1,$CW339,$CW339+($CX339-$CW339)*1/($CQ339-1)))))</f>
        <v/>
      </c>
      <c r="BW339" s="88">
        <f>IF($CS339,"",IF($CT339,IF(N($AY339)&gt;0,N($AY339),""),IF(3&gt;$CQ339,"",IF($CQ339=1,$CW339,$CW339+($CX339-$CW339)*2/($CQ339-1)))))</f>
        <v/>
      </c>
      <c r="BX339" s="88">
        <f>IF($CS339,"",IF($CT339,IF(N($AZ339)&gt;0,N($AZ339),""),IF(4&gt;$CQ339,"",IF($CQ339=1,$CW339,$CW339+($CX339-$CW339)*3/($CQ339-1)))))</f>
        <v/>
      </c>
      <c r="BY339" s="88">
        <f>IF($CS339,"",IF($CT339,"",IF(5&gt;$CQ339,"",IF($CQ339=1,$CW339,$CW339+($CX339-$CW339)*4/($CQ339-1)))))</f>
        <v/>
      </c>
      <c r="BZ339" s="88">
        <f>IF(OR($CS339,$AP339="-",AND($AP339="",$AD339="")),"",IF(N($BA339)&gt;0,N($BA339),IF($CV339,IF(AND($BI339&lt;$CU339,$BI339-IF(N(VLOOKUP($AT339&amp;"|"&amp;$CU339,LocTable,7,FALSE))&gt;0,VLOOKUP($AT339&amp;"|"&amp;$CU339,LocTable,7,FALSE),VLOOKUP($AT339&amp;"|"&amp;$CU339,LocTable,6,FALSE))-$CR339-0.75&gt;=2.125),VLOOKUP($AT339&amp;"|"&amp;$CU339,LocTable,8,FALSE),VLOOKUP($AT339&amp;"|"&amp;$CU339,LocTable,8,FALSE)+($BI339-$CU339)),$BI339-LockAFF)))</f>
        <v/>
      </c>
      <c r="CA339" s="89">
        <f>IF($BZ339="","",$BI339-$BZ339)</f>
        <v/>
      </c>
      <c r="CB339" s="84">
        <f>IF(OR(NOT(AND($A339&lt;&gt;"",$C339&lt;&gt;"DOOR ONLY")),$BI339=""),"",IF(($BI339+IF(N($P339)&gt;0,$P339+FaceW,0))&lt;=90,3,IF(($BI339+IF(N($P339)&gt;0,$P339+FaceW,0))&lt;=114,4,5)))</f>
        <v/>
      </c>
      <c r="CC339" s="84">
        <f>IF($CB339="","",$CB339*(2+IF(N($Q339)&gt;0,IF($R339="LR",2,1),0)))</f>
        <v/>
      </c>
      <c r="CD339" s="84">
        <f>IF($CB339="","",(2+IF(N($Q339)&gt;0,IF($R339="LR",2,1),0)))</f>
        <v/>
      </c>
      <c r="CE339" s="84">
        <f>IF(N($BJ339)=0,"",IF(OR($AL339="",$AL339="FLUSH"),"FLUSH",IFERROR(LEFT($AL339,FIND("-",$AL339)-1),LEFT($AL339,2))))</f>
        <v/>
      </c>
      <c r="CF339" s="84">
        <f>IF($CE339="","",IFERROR(VALUE(MID($AL339,FIND("-",$AL339)+1,FIND(CHAR(34)&amp;"x",$AL339)-FIND("-",$AL339)-1)),0))</f>
        <v/>
      </c>
      <c r="CG339" s="84">
        <f>IF($CE339="","",IFERROR(VALUE(MID($AL339,FIND(CHAR(34)&amp;"x",$AL339)+2,FIND(CHAR(34),$AL339,FIND(CHAR(34)&amp;"x",$AL339)+2)-FIND(CHAR(34)&amp;"x",$AL339)-2)),0))</f>
        <v/>
      </c>
      <c r="CH339" s="90">
        <f>IF(OR($A339="",$H339="",$H339="NO LAB"),0,IFERROR(VALUE(LEFT($H339,FIND(" ",$H339)-1)),0))</f>
        <v/>
      </c>
      <c r="CI339" s="91">
        <f>IF(OR($A339="",$I339="",$I339="NON-RATED",N($J339)=0),"",IFERROR(VLOOKUP($I339&amp;"|"&amp;$J339,IBC,2,FALSE),"?"))</f>
        <v/>
      </c>
      <c r="CJ339" s="85">
        <f>IF(NOT(AND($A339&lt;&gt;"",$C339&lt;&gt;"DOOR ONLY")),"",TRIM(IFERROR(VLOOKUP($U339,CODES,2,FALSE),"")&amp;" "&amp;$BG339&amp;" "&amp;IFERROR(VLOOKUP($Z339,CODES,2,FALSE),"")&amp;" "&amp;IFERROR(VLOOKUP($X339,CODES,2,FALSE),"")&amp;" "&amp;IFERROR(VLOOKUP($S339,CODES,2,FALSE),"")&amp;IF(N($P339)&gt;0," w/TRANSOM "&amp;$P339&amp;CHAR(34),"")&amp;IF(N($Q339)&gt;0," w/SIDELITE "&amp;$Q339&amp;CHAR(34)&amp;" "&amp;IF($R339="","R",$R339),"")&amp;IF($Y339="","  |  "," | "&amp;IFERROR(VLOOKUP($Y339,CODES,2,FALSE),"")&amp;" | ")&amp;IFERROR(VLOOKUP($AC339,CODES,2,FALSE),"")&amp;" "&amp;IFERROR(VLOOKUP($AD339,CODES,2,FALSE),"")&amp;IF(OR($AE339="",$AE339="-"),""," "&amp;$AE339)&amp;IF(OR($AF339="",$AF339="-"),""," "&amp;$AF339)&amp;IF($AB339="Y"," 4"&amp;CHAR(34)&amp;" HEAD","")&amp;" "&amp;IFERROR(VLOOKUP($H339,CODES,2,FALSE),"")&amp;IF($CT339," | LOC "&amp;$CY339,"")))</f>
        <v/>
      </c>
      <c r="CK339" s="85">
        <f>IF(NOT(AND($A339&lt;&gt;"",N($BJ339)&gt;0)),"",TRIM(IFERROR(VLOOKUP($AH339,CODES,2,FALSE),"")&amp;IF($AI339=""," "," "&amp;$AI339&amp;"GA ")&amp;$BG339&amp;" "&amp;IF($AN339="",IFERROR(VLOOKUP($Z339,CODES,2,FALSE),""),IFERROR(VLOOKUP($AN339,CODES,2,FALSE),""))&amp;IF($BJ339=2," PAIR","")&amp;" DOOR | "&amp;IF($AL339="","?",$AL339)&amp;" | "&amp;IF($AO339="",IFERROR(VLOOKUP($AC339,CODES,2,FALSE),""),IFERROR(VLOOKUP($AO339,CODES,2,FALSE),""))&amp;" "&amp;IFERROR(VLOOKUP($AP339,CODES,2,FALSE),"")&amp;IF(OR($AQ339="",$AQ339="-"),""," SEAM "&amp;$AQ339)&amp;IF($AR339="Y"," ASTRAGAL","")&amp;IF($AJ339=""," "," "&amp;$AJ339)&amp;IF($AK339=""," "," "&amp;$AK339)&amp;IF(OR($AT339="",$AT339="ANSI/SDI",$AT339="CUSTOM LOC"),""," "&amp;$AT339)&amp;IF($AM339=""," "," SERIES "&amp;$AM339)&amp;" "&amp;IFERROR(VLOOKUP($H339,CODES,2,FALSE),"")&amp;IF($CT339," | LOC "&amp;$CZ339,"")))</f>
        <v/>
      </c>
      <c r="CL339" s="84">
        <f>IF(CP339="","",IF(COUNTIF($CP$6:CP339,CP339)=1,MAX($CL$5:CL338)+1,INDEX($CL$5:CL338,MATCH(CP339,$CP$5:CP338,0))))</f>
        <v/>
      </c>
      <c r="CM339" s="84">
        <f>IF(NOT(AND($A339&lt;&gt;"",$C339&lt;&gt;"DOOR ONLY")),"",MAX($CM$5:CM338)+1)</f>
        <v/>
      </c>
      <c r="CN339" s="84">
        <f>IF(NOT(AND($A339&lt;&gt;"",N($BJ339)&gt;0)),"",MAX($CN$5:CN338)+1)</f>
        <v/>
      </c>
      <c r="CO339" s="84">
        <f>IF($A339="","",MAX($CO$5:CO338)+1)</f>
        <v/>
      </c>
      <c r="CP339" s="84">
        <f>IF(OR($A339="",$BH339="",$BI339=""),"",$BG339&amp;"|"&amp;$O339&amp;"|"&amp;$AL339&amp;"|"&amp;$S339&amp;"|"&amp;$P339&amp;"|"&amp;$Q339&amp;$R339&amp;"|"&amp;$C339&amp;"|"&amp;$AB339)</f>
        <v/>
      </c>
      <c r="CQ339" s="84">
        <f>N($BS339)</f>
        <v/>
      </c>
      <c r="CR339" s="84">
        <f>IF(N($AU339)&gt;0,N($AU339),4.5)</f>
        <v/>
      </c>
      <c r="CS339" s="84">
        <f>OR($A339="",$BI339="",$S339="BL",AND($C339="FRAME ONLY",OR($AC339="",$AC339="BLK")))</f>
        <v/>
      </c>
      <c r="CT339" s="84">
        <f>AND(NOT($CS339),OR($AT339="CUSTOM LOC",N($AW339)+N($AX339)+N($AY339)+N($AZ339)+N($BA339)&gt;0))</f>
        <v/>
      </c>
      <c r="CU339" s="84">
        <f>IF($BI339="","",IF($BI339&lt;=80,80,IF($BI339&lt;=84,84,96)))</f>
        <v/>
      </c>
      <c r="CV339" s="84">
        <f>ISNUMBER(MATCH($AT339&amp;"|80",LocKeys,0))</f>
        <v/>
      </c>
      <c r="CW339" s="86">
        <f>IF($CS339,"",IF($CV339,VLOOKUP($AT339&amp;"|"&amp;$CU339,LocTable,4,FALSE),5))</f>
        <v/>
      </c>
      <c r="CX339" s="86">
        <f>IF($CS339,"",IF($CV339,IF(OR($BI339=$CU339,AND($BI339&lt;$CU339,$BI339-IF(N(VLOOKUP($AT339&amp;"|"&amp;$CU339,LocTable,7,FALSE))&gt;0,VLOOKUP($AT339&amp;"|"&amp;$CU339,LocTable,7,FALSE),VLOOKUP($AT339&amp;"|"&amp;$CU339,LocTable,6,FALSE))-$CR339-0.75&gt;=2.125)),IF(N(VLOOKUP($AT339&amp;"|"&amp;$CU339,LocTable,7,FALSE))&gt;0,VLOOKUP($AT339&amp;"|"&amp;$CU339,LocTable,7,FALSE),VLOOKUP($AT339&amp;"|"&amp;$CU339,LocTable,6,FALSE)),$BI339-($CU339-IF(N(VLOOKUP($AT339&amp;"|"&amp;$CU339,LocTable,7,FALSE))&gt;0,VLOOKUP($AT339&amp;"|"&amp;$CU339,LocTable,7,FALSE),VLOOKUP($AT339&amp;"|"&amp;$CU339,LocTable,6,FALSE)))),$BI339-10-$CR339))</f>
        <v/>
      </c>
      <c r="CY339" s="85">
        <f>IF($CS339,"",TRIM(IF(ISNUMBER($BU339),"A "&amp;TRIM(TEXT($BU339,"# ?/??"))&amp;CHAR(34)&amp;"  ","")&amp;IF(ISNUMBER($BV339),"B "&amp;TRIM(TEXT($BV339,"# ?/??"))&amp;CHAR(34)&amp;"  ","")&amp;IF(ISNUMBER($BW339),"C "&amp;TRIM(TEXT($BW339,"# ?/??"))&amp;CHAR(34)&amp;"  ","")&amp;IF(ISNUMBER($BX339),"D "&amp;TRIM(TEXT($BX339,"# ?/??"))&amp;CHAR(34)&amp;"  ","")&amp;IF(ISNUMBER($BY339),"F "&amp;TRIM(TEXT($BY339,"# ?/??"))&amp;CHAR(34)&amp;"  ","")&amp;IF(ISNUMBER($BZ339),"E "&amp;TRIM(TEXT($BZ339,"# ?/??"))&amp;CHAR(34)&amp;"  ","")))</f>
        <v/>
      </c>
      <c r="CZ339" s="85">
        <f>IF(OR($CS339,N($BJ339)=0),"",TRIM(IF(ISNUMBER($BU339),"A "&amp;TRIM(TEXT($BU339-HeadClr,"# ?/??"))&amp;CHAR(34)&amp;"  ","")&amp;IF(ISNUMBER($BV339),"B "&amp;TRIM(TEXT($BV339-HeadClr,"# ?/??"))&amp;CHAR(34)&amp;"  ","")&amp;IF(ISNUMBER($BW339),"C "&amp;TRIM(TEXT($BW339-HeadClr,"# ?/??"))&amp;CHAR(34)&amp;"  ","")&amp;IF(ISNUMBER($BX339),"D "&amp;TRIM(TEXT($BX339-HeadClr,"# ?/??"))&amp;CHAR(34)&amp;"  ","")&amp;IF(ISNUMBER($BY339),"F "&amp;TRIM(TEXT($BY339-HeadClr,"# ?/??"))&amp;CHAR(34)&amp;"  ","")&amp;IF(ISNUMBER($BZ339),"E "&amp;TRIM(TEXT($BZ339-HeadClr,"# ?/??"))&amp;CHAR(34)&amp;"  ","")))</f>
        <v/>
      </c>
      <c r="DA339" s="84">
        <f>IF($A339="","",IF($AN339="",IFERROR(VLOOKUP($Z339,CODES,2,FALSE),""),IFERROR(VLOOKUP($AN339,CODES,2,FALSE),"")))</f>
        <v/>
      </c>
      <c r="DB339" s="84">
        <f>IF($A339="","",IF($O339="Y","PR",IF(OR($Z339="L",$Z339="RR",LEFT($Z339,2)="L-",LEFT($Z339,3)="RR-"),"LH","RH")))</f>
        <v/>
      </c>
      <c r="DC339" s="84">
        <f>IF($A339="","","S.HM"&amp;IF(OR($C339="DOOR ONLY",$X339&lt;&gt;"KD"),"MASONRY","DRYWALL")&amp;IF($C339="DOOR ONLY","",$U339)&amp;IF(AND($C339&lt;&gt;"FRAME ONLY",OR(LEFT($AH339,3)="OAK",LEFT($AH339,3)="BIR",LEFT($AH339,3)="MAP",$AH339="PC",$AH339="MC",$AH339="SCLC",$AH339="P-LAM")),"WD","HM")&amp;"1.75")</f>
        <v/>
      </c>
      <c r="DD339" s="84">
        <f>IF($CJ339="","",IF($O339="Y",$CJ339,SUBSTITUTE($CJ339,$BG339&amp;" "&amp;IFERROR(VLOOKUP($Z339,CODES,2,FALSE),"")&amp;" ",$BG339&amp;" ")))</f>
        <v/>
      </c>
      <c r="DE339" s="84">
        <f>IF($CK339="","",IF($O339="Y",$CK339,SUBSTITUTE($CK339,$BG339&amp;" "&amp;IF($AN339="",IFERROR(VLOOKUP($Z339,CODES,2,FALSE),""),IFERROR(VLOOKUP($AN339,CODES,2,FALSE),""))&amp;" ",$BG339&amp;" ")))</f>
        <v/>
      </c>
      <c r="DF339" s="84">
        <f>IF($CJ339="","",$DC339&amp;"|"&amp;$DD339&amp;"|"&amp;$DB339&amp;"|"&amp;$AT339&amp;"|"&amp;$V339&amp;"|"&amp;$Y339&amp;"|"&amp;$AB339)</f>
        <v/>
      </c>
      <c r="DG339" s="84">
        <f>IF(DF339="","",IF(COUNTIF($DF$6:DF339,DF339)=1,MAX($DG$5:DG338)+1,INDEX($DG$5:DG338,MATCH(DF339,$DF$5:DF338,0))))</f>
        <v/>
      </c>
      <c r="DH339" s="84">
        <f>IF($CK339="","",$DC339&amp;"|"&amp;$DE339&amp;"|"&amp;$AI339&amp;"|"&amp;$BK339&amp;"|"&amp;$BL339)</f>
        <v/>
      </c>
      <c r="DI339" s="84">
        <f>IF(DH339="","",IF(COUNTIF($DH$6:DH339,DH339)=1,MAX($DI$5:DI338)+1,INDEX($DI$5:DI338,MATCH(DH339,$DH$5:DH338,0))))</f>
        <v/>
      </c>
      <c r="DJ339" s="84">
        <f>IF($A339="","",IF($B339="","qty, ","")&amp;IF($C339="","scope, ","")&amp;IF(OR($K339="",$M339=""),"size, ","")&amp;IF(AND($A339&lt;&gt;"",$C339&lt;&gt;"DOOR ONLY"),IF($U339="","jamb depth, ","")&amp;IF($X339="","construction, ","")&amp;IF($Y339="","anchor, ","")&amp;IF($S339="","frame type, ",""),"")&amp;IF(AND(N($BJ339)&gt;0,$Z339=""),"hand, ","")&amp;IF(N($BJ339)&gt;0,IF($AH339="","door material, ","")&amp;IF($AL339="","face type, ","")&amp;IF($AP339="","lock prep, ","")&amp;IF(AND($AO339="",$AC339=""),"hinge prep, ",""),"")&amp;IF(AND($CH339&gt;0,$AH339="FRP"),"FRP cannot carry a label, ","")&amp;IF(AND($O339="Y",OR($Z339="L",$Z339="R",$Z339="LR",$Z339="RR")),"pair marked but hand is single, ","")&amp;IF(AND($O339&lt;&gt;"Y",OR($Z339="PR",AND(LEN($Z339)&gt;1,ISNUMBER(SEARCH("-",$Z339))))),"pair hand on a single door, ","")&amp;IF(AND(ISNUMBER($CI339),$CH339&lt;N($CI339)),"wall needs a "&amp;$CI339&amp;" min door, ","")&amp;IF(AND($CH339&gt;=180,AND(OR($CE339="FG",$CE339="HG",$CE339="FNV",$CE339="FV"),N($CF339)*N($CG339)&gt;100)),"180 min lite over 100 sq in, ","")&amp;IF(N($BK339)&gt;48,"leaf wider than 4'-0"&amp;CHAR(34)&amp;", ","")&amp;IF(AND($CT339,COUNT($AW339:$AZ339)=0,$CQ339&gt;0),"CUSTOM LOC with no locations typed, ",""))</f>
        <v/>
      </c>
      <c r="DK339" s="84">
        <f>IF($A339="","",IF(AND($CH339&gt;0,AND($A339&lt;&gt;"",$C339&lt;&gt;"DOOR ONLY"),$X339="KD",$E339="EXTERIOR"),"KD label on an exterior opening, ","")&amp;IF(AND($E339="EXTERIOR",OR(AND(AND($A339&lt;&gt;"",$C339&lt;&gt;"DOOR ONLY"),$W339="CR"),AND(N($BJ339)&gt;0,$AH339="CR"))),"exterior in CR steel (G9?), ","")&amp;IF(AND(ISNUMBER($BQ339),N($BQ339)&lt;32),"clear width ~"&amp;TEXT($BQ339,"0.0")&amp;CHAR(34)&amp;" under 32"&amp;CHAR(34)&amp;" (ADA), ","")&amp;IF(AND($CH339=90,AND(OR($CE339="FG",$CE339="HG",$CE339="FNV",$CE339="FV"),N($CF339)*N($CG339)&gt;100)),"90 min lite over 100 sq in (stair/exit), ","")&amp;IF(AND($CH339&gt;0,AND($A339&lt;&gt;"",$C339&lt;&gt;"DOOR ONLY"),OR($AF339="",$AF339="-")),"rated: closer reinf.?, ","")&amp;IF(OR($I339="CORRIDOR",$I339="SMOKE BARRIER"),"S label + smoke gasketing, ","")&amp;IF($CI339="?","wall type/hr not in IBC table, ","")&amp;IF(AND(N($BJ339)&gt;0,$BB339=""),"no hardware set, ","")&amp;IF(AND($BB339&lt;&gt;"",ISNA(MATCH($BB339&amp;"",HWSets,0))),"set "&amp;$BB339&amp;" not on HW Sets, ","")&amp;IF(N($BL339)&gt;96,"leaf over 8'-0"&amp;CHAR(34)&amp;" - check listing, ","")&amp;IF(AND($CT339,COUNT($AW339:$AZ339)&gt;0,COUNT($AW339:$AZ339)&lt;&gt;$CQ339),COUNT($AW339:$AZ339)&amp;" custom hinges typed, "&amp;$CQ339&amp;" expected, ","")&amp;IF(AND(ISNUMBER($CA339),OR(N($CA339)&lt;34,N($CA339)&gt;48)),"lock "&amp;TEXT($CA339,"0.0")&amp;CHAR(34)&amp;" AFF outside 34-48"&amp;CHAR(34)&amp;" (ADA), ","")&amp;IF(AND(ISNUMBER($AV339),ISNUMBER($BL339),N($AV339)&lt;IF(N($BL339)&lt;=60,2,IF(N($BL339)&lt;=90,3,IF(N($BL339)&lt;=120,4,5)))),"fewer hinges than standard, ",""))</f>
        <v/>
      </c>
    </row>
    <row r="340" ht="15" customHeight="1">
      <c r="A340" s="92" t="n"/>
      <c r="B340" s="93" t="n"/>
      <c r="C340" s="93" t="n"/>
      <c r="D340" s="93" t="n"/>
      <c r="E340" s="93" t="n"/>
      <c r="F340" s="93" t="n"/>
      <c r="G340" s="93" t="n"/>
      <c r="H340" s="93" t="n"/>
      <c r="I340" s="93" t="n"/>
      <c r="J340" s="93" t="n"/>
      <c r="K340" s="93" t="n"/>
      <c r="L340" s="93" t="n"/>
      <c r="M340" s="93" t="n"/>
      <c r="N340" s="93" t="n"/>
      <c r="O340" s="93" t="n"/>
      <c r="P340" s="93" t="n"/>
      <c r="Q340" s="93" t="n"/>
      <c r="R340" s="93" t="n"/>
      <c r="S340" s="94" t="n"/>
      <c r="T340" s="94" t="n"/>
      <c r="U340" s="94" t="n"/>
      <c r="V340" s="94" t="n"/>
      <c r="W340" s="94" t="n"/>
      <c r="X340" s="94" t="n"/>
      <c r="Y340" s="94" t="n"/>
      <c r="Z340" s="94" t="n"/>
      <c r="AA340" s="94" t="n"/>
      <c r="AB340" s="94" t="n"/>
      <c r="AC340" s="94" t="n"/>
      <c r="AD340" s="94" t="n"/>
      <c r="AE340" s="94" t="n"/>
      <c r="AF340" s="94" t="n"/>
      <c r="AG340" s="94" t="n"/>
      <c r="AH340" s="95" t="n"/>
      <c r="AI340" s="95" t="n"/>
      <c r="AJ340" s="95" t="n"/>
      <c r="AK340" s="95" t="n"/>
      <c r="AL340" s="95" t="n"/>
      <c r="AM340" s="95" t="n"/>
      <c r="AN340" s="95" t="n"/>
      <c r="AO340" s="95" t="n"/>
      <c r="AP340" s="95" t="n"/>
      <c r="AQ340" s="95" t="n"/>
      <c r="AR340" s="95" t="n"/>
      <c r="AS340" s="95" t="n"/>
      <c r="AT340" s="96" t="n"/>
      <c r="AU340" s="96" t="n"/>
      <c r="AV340" s="96" t="n"/>
      <c r="AW340" s="97" t="n"/>
      <c r="AX340" s="97" t="n"/>
      <c r="AY340" s="97" t="n"/>
      <c r="AZ340" s="97" t="n"/>
      <c r="BA340" s="97" t="n"/>
      <c r="BB340" s="98" t="n"/>
      <c r="BC340" s="98" t="n"/>
      <c r="BD340" s="99">
        <f>IF($A340="","",IF($DJ340&lt;&gt;"","FIX",IF($DK340&lt;&gt;"","CHECK","OK")))</f>
        <v/>
      </c>
      <c r="BE340" s="100">
        <f>IF($A340="","",IF($DJ340&lt;&gt;"","FIX: "&amp;LEFT($DJ340,LEN($DJ340)-2)&amp;IF($DK340&lt;&gt;"","  ·  ",""),"")&amp;IF($DK340&lt;&gt;"","CHECK: "&amp;LEFT($DK340,LEN($DK340)-2),""))</f>
        <v/>
      </c>
      <c r="BF340" s="99">
        <f>IF(OR($A340="",$K340=""),"",$K340&amp;"'-"&amp;N($L340)&amp;CHAR(34)&amp;" x "&amp;$M340&amp;"'-"&amp;N($N340)&amp;CHAR(34))</f>
        <v/>
      </c>
      <c r="BG340" s="99">
        <f>IF(OR($A340="",$K340=""),"",$K340&amp;N($L340)&amp;$M340&amp;N($N340))</f>
        <v/>
      </c>
      <c r="BH340" s="99">
        <f>IF(OR($A340="",$K340=""),"",$K340*12+N($L340))</f>
        <v/>
      </c>
      <c r="BI340" s="99">
        <f>IF(OR($A340="",$M340=""),"",$M340*12+N($N340))</f>
        <v/>
      </c>
      <c r="BJ340" s="99">
        <f>IF($A340="","",IF(OR($C340="FRAME ONLY",$S340="BL"),0,IF($O340="Y",2,1)))</f>
        <v/>
      </c>
      <c r="BK340" s="101">
        <f>IF(OR(N($BJ340)=0,$BH340=""),"",($BH340-2*EdgeClr-IF($BJ340=2,MeetClr,0))/$BJ340)</f>
        <v/>
      </c>
      <c r="BL340" s="101">
        <f>IF(OR(N($BJ340)=0,$BI340=""),"",$BI340-HeadClr-Undercut)</f>
        <v/>
      </c>
      <c r="BM340" s="101">
        <f>IF($BH340="","",$BH340+2*FaceW+IF(N($Q340)&gt;0,($Q340+FaceW)*IF($R340="LR",2,1),0))</f>
        <v/>
      </c>
      <c r="BN340" s="101">
        <f>IF($BI340="","",$BI340+IF($AB340="Y",4,FaceW)+IF(N($P340)&gt;0,$P340+FaceW,0)+IF(OR($S340="4F",$S340="BL"),FaceW,0))</f>
        <v/>
      </c>
      <c r="BO340" s="101">
        <f>IF($BM340="","",$BM340+2*ROSide)</f>
        <v/>
      </c>
      <c r="BP340" s="101">
        <f>IF($BN340="","",$BN340+ROTop)</f>
        <v/>
      </c>
      <c r="BQ340" s="102">
        <f>IF(OR(N($BJ340)=0,$BH340=""),"",$BH340/$BJ340-ClearDeduct)</f>
        <v/>
      </c>
      <c r="BR340" s="99">
        <f>IF(N($CH340)=0,"",IF($CH340&gt;=180,"A · 3 HR",IF($CH340&gt;=90,"B · 1-1/2 HR",IF($CH340&gt;=60,"B · 1 HR",IF($CH340&gt;=45,"C · 3/4 HR","20 MIN")))))&amp;IF(AND(N($CH340)&gt;0,OR($I340="CORRIDOR",$I340="SMOKE BARRIER"))," · S","")</f>
        <v/>
      </c>
      <c r="BS340" s="99">
        <f>IF($CS340,"",IF($AV340&lt;&gt;"",$AV340,IF(OR($AC340="HGC",$AO340="HGC"),"CONT",IF(($BI340-HeadClr-Undercut)&lt;=60,2,IF(($BI340-HeadClr-Undercut)&lt;=90,3,IF(($BI340-HeadClr-Undercut)&lt;=120,4,5))))))</f>
        <v/>
      </c>
      <c r="BT340" s="99">
        <f>IF($CS340,"",IF($CT340,"CUSTOM (typed)",IF($CV340,$AT340&amp;" "&amp;$CU340&amp;CHAR(34)&amp;IF($CU340&lt;&gt;$BI340,IF(AND($BI340&lt;$CU340,$BI340-IF(N(VLOOKUP($AT340&amp;"|"&amp;$CU340,LocTable,7,FALSE))&gt;0,VLOOKUP($AT340&amp;"|"&amp;$CU340,LocTable,7,FALSE),VLOOKUP($AT340&amp;"|"&amp;$CU340,LocTable,6,FALSE))-$CR340-0.75&gt;=2.125)," cut down"," adj."),""),"ANSI/SDI A250.6")))</f>
        <v/>
      </c>
      <c r="BU340" s="103">
        <f>IF($CS340,"",IF($CT340,IF(N($AW340)&gt;0,N($AW340),""),IF(1&gt;$CQ340,"",IF($CQ340=1,$CW340,$CW340+($CX340-$CW340)*0/($CQ340-1)))))</f>
        <v/>
      </c>
      <c r="BV340" s="103">
        <f>IF($CS340,"",IF($CT340,IF(N($AX340)&gt;0,N($AX340),""),IF(2&gt;$CQ340,"",IF($CQ340=1,$CW340,$CW340+($CX340-$CW340)*1/($CQ340-1)))))</f>
        <v/>
      </c>
      <c r="BW340" s="103">
        <f>IF($CS340,"",IF($CT340,IF(N($AY340)&gt;0,N($AY340),""),IF(3&gt;$CQ340,"",IF($CQ340=1,$CW340,$CW340+($CX340-$CW340)*2/($CQ340-1)))))</f>
        <v/>
      </c>
      <c r="BX340" s="103">
        <f>IF($CS340,"",IF($CT340,IF(N($AZ340)&gt;0,N($AZ340),""),IF(4&gt;$CQ340,"",IF($CQ340=1,$CW340,$CW340+($CX340-$CW340)*3/($CQ340-1)))))</f>
        <v/>
      </c>
      <c r="BY340" s="103">
        <f>IF($CS340,"",IF($CT340,"",IF(5&gt;$CQ340,"",IF($CQ340=1,$CW340,$CW340+($CX340-$CW340)*4/($CQ340-1)))))</f>
        <v/>
      </c>
      <c r="BZ340" s="103">
        <f>IF(OR($CS340,$AP340="-",AND($AP340="",$AD340="")),"",IF(N($BA340)&gt;0,N($BA340),IF($CV340,IF(AND($BI340&lt;$CU340,$BI340-IF(N(VLOOKUP($AT340&amp;"|"&amp;$CU340,LocTable,7,FALSE))&gt;0,VLOOKUP($AT340&amp;"|"&amp;$CU340,LocTable,7,FALSE),VLOOKUP($AT340&amp;"|"&amp;$CU340,LocTable,6,FALSE))-$CR340-0.75&gt;=2.125),VLOOKUP($AT340&amp;"|"&amp;$CU340,LocTable,8,FALSE),VLOOKUP($AT340&amp;"|"&amp;$CU340,LocTable,8,FALSE)+($BI340-$CU340)),$BI340-LockAFF)))</f>
        <v/>
      </c>
      <c r="CA340" s="104">
        <f>IF($BZ340="","",$BI340-$BZ340)</f>
        <v/>
      </c>
      <c r="CB340" s="99">
        <f>IF(OR(NOT(AND($A340&lt;&gt;"",$C340&lt;&gt;"DOOR ONLY")),$BI340=""),"",IF(($BI340+IF(N($P340)&gt;0,$P340+FaceW,0))&lt;=90,3,IF(($BI340+IF(N($P340)&gt;0,$P340+FaceW,0))&lt;=114,4,5)))</f>
        <v/>
      </c>
      <c r="CC340" s="99">
        <f>IF($CB340="","",$CB340*(2+IF(N($Q340)&gt;0,IF($R340="LR",2,1),0)))</f>
        <v/>
      </c>
      <c r="CD340" s="99">
        <f>IF($CB340="","",(2+IF(N($Q340)&gt;0,IF($R340="LR",2,1),0)))</f>
        <v/>
      </c>
      <c r="CE340" s="99">
        <f>IF(N($BJ340)=0,"",IF(OR($AL340="",$AL340="FLUSH"),"FLUSH",IFERROR(LEFT($AL340,FIND("-",$AL340)-1),LEFT($AL340,2))))</f>
        <v/>
      </c>
      <c r="CF340" s="99">
        <f>IF($CE340="","",IFERROR(VALUE(MID($AL340,FIND("-",$AL340)+1,FIND(CHAR(34)&amp;"x",$AL340)-FIND("-",$AL340)-1)),0))</f>
        <v/>
      </c>
      <c r="CG340" s="99">
        <f>IF($CE340="","",IFERROR(VALUE(MID($AL340,FIND(CHAR(34)&amp;"x",$AL340)+2,FIND(CHAR(34),$AL340,FIND(CHAR(34)&amp;"x",$AL340)+2)-FIND(CHAR(34)&amp;"x",$AL340)-2)),0))</f>
        <v/>
      </c>
      <c r="CH340" s="105">
        <f>IF(OR($A340="",$H340="",$H340="NO LAB"),0,IFERROR(VALUE(LEFT($H340,FIND(" ",$H340)-1)),0))</f>
        <v/>
      </c>
      <c r="CI340" s="106">
        <f>IF(OR($A340="",$I340="",$I340="NON-RATED",N($J340)=0),"",IFERROR(VLOOKUP($I340&amp;"|"&amp;$J340,IBC,2,FALSE),"?"))</f>
        <v/>
      </c>
      <c r="CJ340" s="100">
        <f>IF(NOT(AND($A340&lt;&gt;"",$C340&lt;&gt;"DOOR ONLY")),"",TRIM(IFERROR(VLOOKUP($U340,CODES,2,FALSE),"")&amp;" "&amp;$BG340&amp;" "&amp;IFERROR(VLOOKUP($Z340,CODES,2,FALSE),"")&amp;" "&amp;IFERROR(VLOOKUP($X340,CODES,2,FALSE),"")&amp;" "&amp;IFERROR(VLOOKUP($S340,CODES,2,FALSE),"")&amp;IF(N($P340)&gt;0," w/TRANSOM "&amp;$P340&amp;CHAR(34),"")&amp;IF(N($Q340)&gt;0," w/SIDELITE "&amp;$Q340&amp;CHAR(34)&amp;" "&amp;IF($R340="","R",$R340),"")&amp;IF($Y340="","  |  "," | "&amp;IFERROR(VLOOKUP($Y340,CODES,2,FALSE),"")&amp;" | ")&amp;IFERROR(VLOOKUP($AC340,CODES,2,FALSE),"")&amp;" "&amp;IFERROR(VLOOKUP($AD340,CODES,2,FALSE),"")&amp;IF(OR($AE340="",$AE340="-"),""," "&amp;$AE340)&amp;IF(OR($AF340="",$AF340="-"),""," "&amp;$AF340)&amp;IF($AB340="Y"," 4"&amp;CHAR(34)&amp;" HEAD","")&amp;" "&amp;IFERROR(VLOOKUP($H340,CODES,2,FALSE),"")&amp;IF($CT340," | LOC "&amp;$CY340,"")))</f>
        <v/>
      </c>
      <c r="CK340" s="100">
        <f>IF(NOT(AND($A340&lt;&gt;"",N($BJ340)&gt;0)),"",TRIM(IFERROR(VLOOKUP($AH340,CODES,2,FALSE),"")&amp;IF($AI340=""," "," "&amp;$AI340&amp;"GA ")&amp;$BG340&amp;" "&amp;IF($AN340="",IFERROR(VLOOKUP($Z340,CODES,2,FALSE),""),IFERROR(VLOOKUP($AN340,CODES,2,FALSE),""))&amp;IF($BJ340=2," PAIR","")&amp;" DOOR | "&amp;IF($AL340="","?",$AL340)&amp;" | "&amp;IF($AO340="",IFERROR(VLOOKUP($AC340,CODES,2,FALSE),""),IFERROR(VLOOKUP($AO340,CODES,2,FALSE),""))&amp;" "&amp;IFERROR(VLOOKUP($AP340,CODES,2,FALSE),"")&amp;IF(OR($AQ340="",$AQ340="-"),""," SEAM "&amp;$AQ340)&amp;IF($AR340="Y"," ASTRAGAL","")&amp;IF($AJ340=""," "," "&amp;$AJ340)&amp;IF($AK340=""," "," "&amp;$AK340)&amp;IF(OR($AT340="",$AT340="ANSI/SDI",$AT340="CUSTOM LOC"),""," "&amp;$AT340)&amp;IF($AM340=""," "," SERIES "&amp;$AM340)&amp;" "&amp;IFERROR(VLOOKUP($H340,CODES,2,FALSE),"")&amp;IF($CT340," | LOC "&amp;$CZ340,"")))</f>
        <v/>
      </c>
      <c r="CL340" s="99">
        <f>IF(CP340="","",IF(COUNTIF($CP$6:CP340,CP340)=1,MAX($CL$5:CL339)+1,INDEX($CL$5:CL339,MATCH(CP340,$CP$5:CP339,0))))</f>
        <v/>
      </c>
      <c r="CM340" s="99">
        <f>IF(NOT(AND($A340&lt;&gt;"",$C340&lt;&gt;"DOOR ONLY")),"",MAX($CM$5:CM339)+1)</f>
        <v/>
      </c>
      <c r="CN340" s="99">
        <f>IF(NOT(AND($A340&lt;&gt;"",N($BJ340)&gt;0)),"",MAX($CN$5:CN339)+1)</f>
        <v/>
      </c>
      <c r="CO340" s="99">
        <f>IF($A340="","",MAX($CO$5:CO339)+1)</f>
        <v/>
      </c>
      <c r="CP340" s="99">
        <f>IF(OR($A340="",$BH340="",$BI340=""),"",$BG340&amp;"|"&amp;$O340&amp;"|"&amp;$AL340&amp;"|"&amp;$S340&amp;"|"&amp;$P340&amp;"|"&amp;$Q340&amp;$R340&amp;"|"&amp;$C340&amp;"|"&amp;$AB340)</f>
        <v/>
      </c>
      <c r="CQ340" s="99">
        <f>N($BS340)</f>
        <v/>
      </c>
      <c r="CR340" s="99">
        <f>IF(N($AU340)&gt;0,N($AU340),4.5)</f>
        <v/>
      </c>
      <c r="CS340" s="99">
        <f>OR($A340="",$BI340="",$S340="BL",AND($C340="FRAME ONLY",OR($AC340="",$AC340="BLK")))</f>
        <v/>
      </c>
      <c r="CT340" s="99">
        <f>AND(NOT($CS340),OR($AT340="CUSTOM LOC",N($AW340)+N($AX340)+N($AY340)+N($AZ340)+N($BA340)&gt;0))</f>
        <v/>
      </c>
      <c r="CU340" s="99">
        <f>IF($BI340="","",IF($BI340&lt;=80,80,IF($BI340&lt;=84,84,96)))</f>
        <v/>
      </c>
      <c r="CV340" s="99">
        <f>ISNUMBER(MATCH($AT340&amp;"|80",LocKeys,0))</f>
        <v/>
      </c>
      <c r="CW340" s="101">
        <f>IF($CS340,"",IF($CV340,VLOOKUP($AT340&amp;"|"&amp;$CU340,LocTable,4,FALSE),5))</f>
        <v/>
      </c>
      <c r="CX340" s="101">
        <f>IF($CS340,"",IF($CV340,IF(OR($BI340=$CU340,AND($BI340&lt;$CU340,$BI340-IF(N(VLOOKUP($AT340&amp;"|"&amp;$CU340,LocTable,7,FALSE))&gt;0,VLOOKUP($AT340&amp;"|"&amp;$CU340,LocTable,7,FALSE),VLOOKUP($AT340&amp;"|"&amp;$CU340,LocTable,6,FALSE))-$CR340-0.75&gt;=2.125)),IF(N(VLOOKUP($AT340&amp;"|"&amp;$CU340,LocTable,7,FALSE))&gt;0,VLOOKUP($AT340&amp;"|"&amp;$CU340,LocTable,7,FALSE),VLOOKUP($AT340&amp;"|"&amp;$CU340,LocTable,6,FALSE)),$BI340-($CU340-IF(N(VLOOKUP($AT340&amp;"|"&amp;$CU340,LocTable,7,FALSE))&gt;0,VLOOKUP($AT340&amp;"|"&amp;$CU340,LocTable,7,FALSE),VLOOKUP($AT340&amp;"|"&amp;$CU340,LocTable,6,FALSE)))),$BI340-10-$CR340))</f>
        <v/>
      </c>
      <c r="CY340" s="100">
        <f>IF($CS340,"",TRIM(IF(ISNUMBER($BU340),"A "&amp;TRIM(TEXT($BU340,"# ?/??"))&amp;CHAR(34)&amp;"  ","")&amp;IF(ISNUMBER($BV340),"B "&amp;TRIM(TEXT($BV340,"# ?/??"))&amp;CHAR(34)&amp;"  ","")&amp;IF(ISNUMBER($BW340),"C "&amp;TRIM(TEXT($BW340,"# ?/??"))&amp;CHAR(34)&amp;"  ","")&amp;IF(ISNUMBER($BX340),"D "&amp;TRIM(TEXT($BX340,"# ?/??"))&amp;CHAR(34)&amp;"  ","")&amp;IF(ISNUMBER($BY340),"F "&amp;TRIM(TEXT($BY340,"# ?/??"))&amp;CHAR(34)&amp;"  ","")&amp;IF(ISNUMBER($BZ340),"E "&amp;TRIM(TEXT($BZ340,"# ?/??"))&amp;CHAR(34)&amp;"  ","")))</f>
        <v/>
      </c>
      <c r="CZ340" s="100">
        <f>IF(OR($CS340,N($BJ340)=0),"",TRIM(IF(ISNUMBER($BU340),"A "&amp;TRIM(TEXT($BU340-HeadClr,"# ?/??"))&amp;CHAR(34)&amp;"  ","")&amp;IF(ISNUMBER($BV340),"B "&amp;TRIM(TEXT($BV340-HeadClr,"# ?/??"))&amp;CHAR(34)&amp;"  ","")&amp;IF(ISNUMBER($BW340),"C "&amp;TRIM(TEXT($BW340-HeadClr,"# ?/??"))&amp;CHAR(34)&amp;"  ","")&amp;IF(ISNUMBER($BX340),"D "&amp;TRIM(TEXT($BX340-HeadClr,"# ?/??"))&amp;CHAR(34)&amp;"  ","")&amp;IF(ISNUMBER($BY340),"F "&amp;TRIM(TEXT($BY340-HeadClr,"# ?/??"))&amp;CHAR(34)&amp;"  ","")&amp;IF(ISNUMBER($BZ340),"E "&amp;TRIM(TEXT($BZ340-HeadClr,"# ?/??"))&amp;CHAR(34)&amp;"  ","")))</f>
        <v/>
      </c>
      <c r="DA340" s="99">
        <f>IF($A340="","",IF($AN340="",IFERROR(VLOOKUP($Z340,CODES,2,FALSE),""),IFERROR(VLOOKUP($AN340,CODES,2,FALSE),"")))</f>
        <v/>
      </c>
      <c r="DB340" s="99">
        <f>IF($A340="","",IF($O340="Y","PR",IF(OR($Z340="L",$Z340="RR",LEFT($Z340,2)="L-",LEFT($Z340,3)="RR-"),"LH","RH")))</f>
        <v/>
      </c>
      <c r="DC340" s="99">
        <f>IF($A340="","","S.HM"&amp;IF(OR($C340="DOOR ONLY",$X340&lt;&gt;"KD"),"MASONRY","DRYWALL")&amp;IF($C340="DOOR ONLY","",$U340)&amp;IF(AND($C340&lt;&gt;"FRAME ONLY",OR(LEFT($AH340,3)="OAK",LEFT($AH340,3)="BIR",LEFT($AH340,3)="MAP",$AH340="PC",$AH340="MC",$AH340="SCLC",$AH340="P-LAM")),"WD","HM")&amp;"1.75")</f>
        <v/>
      </c>
      <c r="DD340" s="99">
        <f>IF($CJ340="","",IF($O340="Y",$CJ340,SUBSTITUTE($CJ340,$BG340&amp;" "&amp;IFERROR(VLOOKUP($Z340,CODES,2,FALSE),"")&amp;" ",$BG340&amp;" ")))</f>
        <v/>
      </c>
      <c r="DE340" s="99">
        <f>IF($CK340="","",IF($O340="Y",$CK340,SUBSTITUTE($CK340,$BG340&amp;" "&amp;IF($AN340="",IFERROR(VLOOKUP($Z340,CODES,2,FALSE),""),IFERROR(VLOOKUP($AN340,CODES,2,FALSE),""))&amp;" ",$BG340&amp;" ")))</f>
        <v/>
      </c>
      <c r="DF340" s="99">
        <f>IF($CJ340="","",$DC340&amp;"|"&amp;$DD340&amp;"|"&amp;$DB340&amp;"|"&amp;$AT340&amp;"|"&amp;$V340&amp;"|"&amp;$Y340&amp;"|"&amp;$AB340)</f>
        <v/>
      </c>
      <c r="DG340" s="99">
        <f>IF(DF340="","",IF(COUNTIF($DF$6:DF340,DF340)=1,MAX($DG$5:DG339)+1,INDEX($DG$5:DG339,MATCH(DF340,$DF$5:DF339,0))))</f>
        <v/>
      </c>
      <c r="DH340" s="99">
        <f>IF($CK340="","",$DC340&amp;"|"&amp;$DE340&amp;"|"&amp;$AI340&amp;"|"&amp;$BK340&amp;"|"&amp;$BL340)</f>
        <v/>
      </c>
      <c r="DI340" s="99">
        <f>IF(DH340="","",IF(COUNTIF($DH$6:DH340,DH340)=1,MAX($DI$5:DI339)+1,INDEX($DI$5:DI339,MATCH(DH340,$DH$5:DH339,0))))</f>
        <v/>
      </c>
      <c r="DJ340" s="99">
        <f>IF($A340="","",IF($B340="","qty, ","")&amp;IF($C340="","scope, ","")&amp;IF(OR($K340="",$M340=""),"size, ","")&amp;IF(AND($A340&lt;&gt;"",$C340&lt;&gt;"DOOR ONLY"),IF($U340="","jamb depth, ","")&amp;IF($X340="","construction, ","")&amp;IF($Y340="","anchor, ","")&amp;IF($S340="","frame type, ",""),"")&amp;IF(AND(N($BJ340)&gt;0,$Z340=""),"hand, ","")&amp;IF(N($BJ340)&gt;0,IF($AH340="","door material, ","")&amp;IF($AL340="","face type, ","")&amp;IF($AP340="","lock prep, ","")&amp;IF(AND($AO340="",$AC340=""),"hinge prep, ",""),"")&amp;IF(AND($CH340&gt;0,$AH340="FRP"),"FRP cannot carry a label, ","")&amp;IF(AND($O340="Y",OR($Z340="L",$Z340="R",$Z340="LR",$Z340="RR")),"pair marked but hand is single, ","")&amp;IF(AND($O340&lt;&gt;"Y",OR($Z340="PR",AND(LEN($Z340)&gt;1,ISNUMBER(SEARCH("-",$Z340))))),"pair hand on a single door, ","")&amp;IF(AND(ISNUMBER($CI340),$CH340&lt;N($CI340)),"wall needs a "&amp;$CI340&amp;" min door, ","")&amp;IF(AND($CH340&gt;=180,AND(OR($CE340="FG",$CE340="HG",$CE340="FNV",$CE340="FV"),N($CF340)*N($CG340)&gt;100)),"180 min lite over 100 sq in, ","")&amp;IF(N($BK340)&gt;48,"leaf wider than 4'-0"&amp;CHAR(34)&amp;", ","")&amp;IF(AND($CT340,COUNT($AW340:$AZ340)=0,$CQ340&gt;0),"CUSTOM LOC with no locations typed, ",""))</f>
        <v/>
      </c>
      <c r="DK340" s="99">
        <f>IF($A340="","",IF(AND($CH340&gt;0,AND($A340&lt;&gt;"",$C340&lt;&gt;"DOOR ONLY"),$X340="KD",$E340="EXTERIOR"),"KD label on an exterior opening, ","")&amp;IF(AND($E340="EXTERIOR",OR(AND(AND($A340&lt;&gt;"",$C340&lt;&gt;"DOOR ONLY"),$W340="CR"),AND(N($BJ340)&gt;0,$AH340="CR"))),"exterior in CR steel (G9?), ","")&amp;IF(AND(ISNUMBER($BQ340),N($BQ340)&lt;32),"clear width ~"&amp;TEXT($BQ340,"0.0")&amp;CHAR(34)&amp;" under 32"&amp;CHAR(34)&amp;" (ADA), ","")&amp;IF(AND($CH340=90,AND(OR($CE340="FG",$CE340="HG",$CE340="FNV",$CE340="FV"),N($CF340)*N($CG340)&gt;100)),"90 min lite over 100 sq in (stair/exit), ","")&amp;IF(AND($CH340&gt;0,AND($A340&lt;&gt;"",$C340&lt;&gt;"DOOR ONLY"),OR($AF340="",$AF340="-")),"rated: closer reinf.?, ","")&amp;IF(OR($I340="CORRIDOR",$I340="SMOKE BARRIER"),"S label + smoke gasketing, ","")&amp;IF($CI340="?","wall type/hr not in IBC table, ","")&amp;IF(AND(N($BJ340)&gt;0,$BB340=""),"no hardware set, ","")&amp;IF(AND($BB340&lt;&gt;"",ISNA(MATCH($BB340&amp;"",HWSets,0))),"set "&amp;$BB340&amp;" not on HW Sets, ","")&amp;IF(N($BL340)&gt;96,"leaf over 8'-0"&amp;CHAR(34)&amp;" - check listing, ","")&amp;IF(AND($CT340,COUNT($AW340:$AZ340)&gt;0,COUNT($AW340:$AZ340)&lt;&gt;$CQ340),COUNT($AW340:$AZ340)&amp;" custom hinges typed, "&amp;$CQ340&amp;" expected, ","")&amp;IF(AND(ISNUMBER($CA340),OR(N($CA340)&lt;34,N($CA340)&gt;48)),"lock "&amp;TEXT($CA340,"0.0")&amp;CHAR(34)&amp;" AFF outside 34-48"&amp;CHAR(34)&amp;" (ADA), ","")&amp;IF(AND(ISNUMBER($AV340),ISNUMBER($BL340),N($AV340)&lt;IF(N($BL340)&lt;=60,2,IF(N($BL340)&lt;=90,3,IF(N($BL340)&lt;=120,4,5)))),"fewer hinges than standard, ",""))</f>
        <v/>
      </c>
    </row>
    <row r="341" ht="15" customHeight="1">
      <c r="A341" s="77" t="n"/>
      <c r="B341" s="78" t="n"/>
      <c r="C341" s="78" t="n"/>
      <c r="D341" s="78" t="n"/>
      <c r="E341" s="78" t="n"/>
      <c r="F341" s="78" t="n"/>
      <c r="G341" s="78" t="n"/>
      <c r="H341" s="78" t="n"/>
      <c r="I341" s="78" t="n"/>
      <c r="J341" s="78" t="n"/>
      <c r="K341" s="78" t="n"/>
      <c r="L341" s="78" t="n"/>
      <c r="M341" s="78" t="n"/>
      <c r="N341" s="78" t="n"/>
      <c r="O341" s="78" t="n"/>
      <c r="P341" s="78" t="n"/>
      <c r="Q341" s="78" t="n"/>
      <c r="R341" s="78" t="n"/>
      <c r="S341" s="79" t="n"/>
      <c r="T341" s="79" t="n"/>
      <c r="U341" s="79" t="n"/>
      <c r="V341" s="79" t="n"/>
      <c r="W341" s="79" t="n"/>
      <c r="X341" s="79" t="n"/>
      <c r="Y341" s="79" t="n"/>
      <c r="Z341" s="79" t="n"/>
      <c r="AA341" s="79" t="n"/>
      <c r="AB341" s="79" t="n"/>
      <c r="AC341" s="79" t="n"/>
      <c r="AD341" s="79" t="n"/>
      <c r="AE341" s="79" t="n"/>
      <c r="AF341" s="79" t="n"/>
      <c r="AG341" s="79" t="n"/>
      <c r="AH341" s="80" t="n"/>
      <c r="AI341" s="80" t="n"/>
      <c r="AJ341" s="80" t="n"/>
      <c r="AK341" s="80" t="n"/>
      <c r="AL341" s="80" t="n"/>
      <c r="AM341" s="80" t="n"/>
      <c r="AN341" s="80" t="n"/>
      <c r="AO341" s="80" t="n"/>
      <c r="AP341" s="80" t="n"/>
      <c r="AQ341" s="80" t="n"/>
      <c r="AR341" s="80" t="n"/>
      <c r="AS341" s="80" t="n"/>
      <c r="AT341" s="81" t="n"/>
      <c r="AU341" s="81" t="n"/>
      <c r="AV341" s="81" t="n"/>
      <c r="AW341" s="82" t="n"/>
      <c r="AX341" s="82" t="n"/>
      <c r="AY341" s="82" t="n"/>
      <c r="AZ341" s="82" t="n"/>
      <c r="BA341" s="82" t="n"/>
      <c r="BB341" s="83" t="n"/>
      <c r="BC341" s="83" t="n"/>
      <c r="BD341" s="84">
        <f>IF($A341="","",IF($DJ341&lt;&gt;"","FIX",IF($DK341&lt;&gt;"","CHECK","OK")))</f>
        <v/>
      </c>
      <c r="BE341" s="85">
        <f>IF($A341="","",IF($DJ341&lt;&gt;"","FIX: "&amp;LEFT($DJ341,LEN($DJ341)-2)&amp;IF($DK341&lt;&gt;"","  ·  ",""),"")&amp;IF($DK341&lt;&gt;"","CHECK: "&amp;LEFT($DK341,LEN($DK341)-2),""))</f>
        <v/>
      </c>
      <c r="BF341" s="84">
        <f>IF(OR($A341="",$K341=""),"",$K341&amp;"'-"&amp;N($L341)&amp;CHAR(34)&amp;" x "&amp;$M341&amp;"'-"&amp;N($N341)&amp;CHAR(34))</f>
        <v/>
      </c>
      <c r="BG341" s="84">
        <f>IF(OR($A341="",$K341=""),"",$K341&amp;N($L341)&amp;$M341&amp;N($N341))</f>
        <v/>
      </c>
      <c r="BH341" s="84">
        <f>IF(OR($A341="",$K341=""),"",$K341*12+N($L341))</f>
        <v/>
      </c>
      <c r="BI341" s="84">
        <f>IF(OR($A341="",$M341=""),"",$M341*12+N($N341))</f>
        <v/>
      </c>
      <c r="BJ341" s="84">
        <f>IF($A341="","",IF(OR($C341="FRAME ONLY",$S341="BL"),0,IF($O341="Y",2,1)))</f>
        <v/>
      </c>
      <c r="BK341" s="86">
        <f>IF(OR(N($BJ341)=0,$BH341=""),"",($BH341-2*EdgeClr-IF($BJ341=2,MeetClr,0))/$BJ341)</f>
        <v/>
      </c>
      <c r="BL341" s="86">
        <f>IF(OR(N($BJ341)=0,$BI341=""),"",$BI341-HeadClr-Undercut)</f>
        <v/>
      </c>
      <c r="BM341" s="86">
        <f>IF($BH341="","",$BH341+2*FaceW+IF(N($Q341)&gt;0,($Q341+FaceW)*IF($R341="LR",2,1),0))</f>
        <v/>
      </c>
      <c r="BN341" s="86">
        <f>IF($BI341="","",$BI341+IF($AB341="Y",4,FaceW)+IF(N($P341)&gt;0,$P341+FaceW,0)+IF(OR($S341="4F",$S341="BL"),FaceW,0))</f>
        <v/>
      </c>
      <c r="BO341" s="86">
        <f>IF($BM341="","",$BM341+2*ROSide)</f>
        <v/>
      </c>
      <c r="BP341" s="86">
        <f>IF($BN341="","",$BN341+ROTop)</f>
        <v/>
      </c>
      <c r="BQ341" s="87">
        <f>IF(OR(N($BJ341)=0,$BH341=""),"",$BH341/$BJ341-ClearDeduct)</f>
        <v/>
      </c>
      <c r="BR341" s="84">
        <f>IF(N($CH341)=0,"",IF($CH341&gt;=180,"A · 3 HR",IF($CH341&gt;=90,"B · 1-1/2 HR",IF($CH341&gt;=60,"B · 1 HR",IF($CH341&gt;=45,"C · 3/4 HR","20 MIN")))))&amp;IF(AND(N($CH341)&gt;0,OR($I341="CORRIDOR",$I341="SMOKE BARRIER"))," · S","")</f>
        <v/>
      </c>
      <c r="BS341" s="84">
        <f>IF($CS341,"",IF($AV341&lt;&gt;"",$AV341,IF(OR($AC341="HGC",$AO341="HGC"),"CONT",IF(($BI341-HeadClr-Undercut)&lt;=60,2,IF(($BI341-HeadClr-Undercut)&lt;=90,3,IF(($BI341-HeadClr-Undercut)&lt;=120,4,5))))))</f>
        <v/>
      </c>
      <c r="BT341" s="84">
        <f>IF($CS341,"",IF($CT341,"CUSTOM (typed)",IF($CV341,$AT341&amp;" "&amp;$CU341&amp;CHAR(34)&amp;IF($CU341&lt;&gt;$BI341,IF(AND($BI341&lt;$CU341,$BI341-IF(N(VLOOKUP($AT341&amp;"|"&amp;$CU341,LocTable,7,FALSE))&gt;0,VLOOKUP($AT341&amp;"|"&amp;$CU341,LocTable,7,FALSE),VLOOKUP($AT341&amp;"|"&amp;$CU341,LocTable,6,FALSE))-$CR341-0.75&gt;=2.125)," cut down"," adj."),""),"ANSI/SDI A250.6")))</f>
        <v/>
      </c>
      <c r="BU341" s="88">
        <f>IF($CS341,"",IF($CT341,IF(N($AW341)&gt;0,N($AW341),""),IF(1&gt;$CQ341,"",IF($CQ341=1,$CW341,$CW341+($CX341-$CW341)*0/($CQ341-1)))))</f>
        <v/>
      </c>
      <c r="BV341" s="88">
        <f>IF($CS341,"",IF($CT341,IF(N($AX341)&gt;0,N($AX341),""),IF(2&gt;$CQ341,"",IF($CQ341=1,$CW341,$CW341+($CX341-$CW341)*1/($CQ341-1)))))</f>
        <v/>
      </c>
      <c r="BW341" s="88">
        <f>IF($CS341,"",IF($CT341,IF(N($AY341)&gt;0,N($AY341),""),IF(3&gt;$CQ341,"",IF($CQ341=1,$CW341,$CW341+($CX341-$CW341)*2/($CQ341-1)))))</f>
        <v/>
      </c>
      <c r="BX341" s="88">
        <f>IF($CS341,"",IF($CT341,IF(N($AZ341)&gt;0,N($AZ341),""),IF(4&gt;$CQ341,"",IF($CQ341=1,$CW341,$CW341+($CX341-$CW341)*3/($CQ341-1)))))</f>
        <v/>
      </c>
      <c r="BY341" s="88">
        <f>IF($CS341,"",IF($CT341,"",IF(5&gt;$CQ341,"",IF($CQ341=1,$CW341,$CW341+($CX341-$CW341)*4/($CQ341-1)))))</f>
        <v/>
      </c>
      <c r="BZ341" s="88">
        <f>IF(OR($CS341,$AP341="-",AND($AP341="",$AD341="")),"",IF(N($BA341)&gt;0,N($BA341),IF($CV341,IF(AND($BI341&lt;$CU341,$BI341-IF(N(VLOOKUP($AT341&amp;"|"&amp;$CU341,LocTable,7,FALSE))&gt;0,VLOOKUP($AT341&amp;"|"&amp;$CU341,LocTable,7,FALSE),VLOOKUP($AT341&amp;"|"&amp;$CU341,LocTable,6,FALSE))-$CR341-0.75&gt;=2.125),VLOOKUP($AT341&amp;"|"&amp;$CU341,LocTable,8,FALSE),VLOOKUP($AT341&amp;"|"&amp;$CU341,LocTable,8,FALSE)+($BI341-$CU341)),$BI341-LockAFF)))</f>
        <v/>
      </c>
      <c r="CA341" s="89">
        <f>IF($BZ341="","",$BI341-$BZ341)</f>
        <v/>
      </c>
      <c r="CB341" s="84">
        <f>IF(OR(NOT(AND($A341&lt;&gt;"",$C341&lt;&gt;"DOOR ONLY")),$BI341=""),"",IF(($BI341+IF(N($P341)&gt;0,$P341+FaceW,0))&lt;=90,3,IF(($BI341+IF(N($P341)&gt;0,$P341+FaceW,0))&lt;=114,4,5)))</f>
        <v/>
      </c>
      <c r="CC341" s="84">
        <f>IF($CB341="","",$CB341*(2+IF(N($Q341)&gt;0,IF($R341="LR",2,1),0)))</f>
        <v/>
      </c>
      <c r="CD341" s="84">
        <f>IF($CB341="","",(2+IF(N($Q341)&gt;0,IF($R341="LR",2,1),0)))</f>
        <v/>
      </c>
      <c r="CE341" s="84">
        <f>IF(N($BJ341)=0,"",IF(OR($AL341="",$AL341="FLUSH"),"FLUSH",IFERROR(LEFT($AL341,FIND("-",$AL341)-1),LEFT($AL341,2))))</f>
        <v/>
      </c>
      <c r="CF341" s="84">
        <f>IF($CE341="","",IFERROR(VALUE(MID($AL341,FIND("-",$AL341)+1,FIND(CHAR(34)&amp;"x",$AL341)-FIND("-",$AL341)-1)),0))</f>
        <v/>
      </c>
      <c r="CG341" s="84">
        <f>IF($CE341="","",IFERROR(VALUE(MID($AL341,FIND(CHAR(34)&amp;"x",$AL341)+2,FIND(CHAR(34),$AL341,FIND(CHAR(34)&amp;"x",$AL341)+2)-FIND(CHAR(34)&amp;"x",$AL341)-2)),0))</f>
        <v/>
      </c>
      <c r="CH341" s="90">
        <f>IF(OR($A341="",$H341="",$H341="NO LAB"),0,IFERROR(VALUE(LEFT($H341,FIND(" ",$H341)-1)),0))</f>
        <v/>
      </c>
      <c r="CI341" s="91">
        <f>IF(OR($A341="",$I341="",$I341="NON-RATED",N($J341)=0),"",IFERROR(VLOOKUP($I341&amp;"|"&amp;$J341,IBC,2,FALSE),"?"))</f>
        <v/>
      </c>
      <c r="CJ341" s="85">
        <f>IF(NOT(AND($A341&lt;&gt;"",$C341&lt;&gt;"DOOR ONLY")),"",TRIM(IFERROR(VLOOKUP($U341,CODES,2,FALSE),"")&amp;" "&amp;$BG341&amp;" "&amp;IFERROR(VLOOKUP($Z341,CODES,2,FALSE),"")&amp;" "&amp;IFERROR(VLOOKUP($X341,CODES,2,FALSE),"")&amp;" "&amp;IFERROR(VLOOKUP($S341,CODES,2,FALSE),"")&amp;IF(N($P341)&gt;0," w/TRANSOM "&amp;$P341&amp;CHAR(34),"")&amp;IF(N($Q341)&gt;0," w/SIDELITE "&amp;$Q341&amp;CHAR(34)&amp;" "&amp;IF($R341="","R",$R341),"")&amp;IF($Y341="","  |  "," | "&amp;IFERROR(VLOOKUP($Y341,CODES,2,FALSE),"")&amp;" | ")&amp;IFERROR(VLOOKUP($AC341,CODES,2,FALSE),"")&amp;" "&amp;IFERROR(VLOOKUP($AD341,CODES,2,FALSE),"")&amp;IF(OR($AE341="",$AE341="-"),""," "&amp;$AE341)&amp;IF(OR($AF341="",$AF341="-"),""," "&amp;$AF341)&amp;IF($AB341="Y"," 4"&amp;CHAR(34)&amp;" HEAD","")&amp;" "&amp;IFERROR(VLOOKUP($H341,CODES,2,FALSE),"")&amp;IF($CT341," | LOC "&amp;$CY341,"")))</f>
        <v/>
      </c>
      <c r="CK341" s="85">
        <f>IF(NOT(AND($A341&lt;&gt;"",N($BJ341)&gt;0)),"",TRIM(IFERROR(VLOOKUP($AH341,CODES,2,FALSE),"")&amp;IF($AI341=""," "," "&amp;$AI341&amp;"GA ")&amp;$BG341&amp;" "&amp;IF($AN341="",IFERROR(VLOOKUP($Z341,CODES,2,FALSE),""),IFERROR(VLOOKUP($AN341,CODES,2,FALSE),""))&amp;IF($BJ341=2," PAIR","")&amp;" DOOR | "&amp;IF($AL341="","?",$AL341)&amp;" | "&amp;IF($AO341="",IFERROR(VLOOKUP($AC341,CODES,2,FALSE),""),IFERROR(VLOOKUP($AO341,CODES,2,FALSE),""))&amp;" "&amp;IFERROR(VLOOKUP($AP341,CODES,2,FALSE),"")&amp;IF(OR($AQ341="",$AQ341="-"),""," SEAM "&amp;$AQ341)&amp;IF($AR341="Y"," ASTRAGAL","")&amp;IF($AJ341=""," "," "&amp;$AJ341)&amp;IF($AK341=""," "," "&amp;$AK341)&amp;IF(OR($AT341="",$AT341="ANSI/SDI",$AT341="CUSTOM LOC"),""," "&amp;$AT341)&amp;IF($AM341=""," "," SERIES "&amp;$AM341)&amp;" "&amp;IFERROR(VLOOKUP($H341,CODES,2,FALSE),"")&amp;IF($CT341," | LOC "&amp;$CZ341,"")))</f>
        <v/>
      </c>
      <c r="CL341" s="84">
        <f>IF(CP341="","",IF(COUNTIF($CP$6:CP341,CP341)=1,MAX($CL$5:CL340)+1,INDEX($CL$5:CL340,MATCH(CP341,$CP$5:CP340,0))))</f>
        <v/>
      </c>
      <c r="CM341" s="84">
        <f>IF(NOT(AND($A341&lt;&gt;"",$C341&lt;&gt;"DOOR ONLY")),"",MAX($CM$5:CM340)+1)</f>
        <v/>
      </c>
      <c r="CN341" s="84">
        <f>IF(NOT(AND($A341&lt;&gt;"",N($BJ341)&gt;0)),"",MAX($CN$5:CN340)+1)</f>
        <v/>
      </c>
      <c r="CO341" s="84">
        <f>IF($A341="","",MAX($CO$5:CO340)+1)</f>
        <v/>
      </c>
      <c r="CP341" s="84">
        <f>IF(OR($A341="",$BH341="",$BI341=""),"",$BG341&amp;"|"&amp;$O341&amp;"|"&amp;$AL341&amp;"|"&amp;$S341&amp;"|"&amp;$P341&amp;"|"&amp;$Q341&amp;$R341&amp;"|"&amp;$C341&amp;"|"&amp;$AB341)</f>
        <v/>
      </c>
      <c r="CQ341" s="84">
        <f>N($BS341)</f>
        <v/>
      </c>
      <c r="CR341" s="84">
        <f>IF(N($AU341)&gt;0,N($AU341),4.5)</f>
        <v/>
      </c>
      <c r="CS341" s="84">
        <f>OR($A341="",$BI341="",$S341="BL",AND($C341="FRAME ONLY",OR($AC341="",$AC341="BLK")))</f>
        <v/>
      </c>
      <c r="CT341" s="84">
        <f>AND(NOT($CS341),OR($AT341="CUSTOM LOC",N($AW341)+N($AX341)+N($AY341)+N($AZ341)+N($BA341)&gt;0))</f>
        <v/>
      </c>
      <c r="CU341" s="84">
        <f>IF($BI341="","",IF($BI341&lt;=80,80,IF($BI341&lt;=84,84,96)))</f>
        <v/>
      </c>
      <c r="CV341" s="84">
        <f>ISNUMBER(MATCH($AT341&amp;"|80",LocKeys,0))</f>
        <v/>
      </c>
      <c r="CW341" s="86">
        <f>IF($CS341,"",IF($CV341,VLOOKUP($AT341&amp;"|"&amp;$CU341,LocTable,4,FALSE),5))</f>
        <v/>
      </c>
      <c r="CX341" s="86">
        <f>IF($CS341,"",IF($CV341,IF(OR($BI341=$CU341,AND($BI341&lt;$CU341,$BI341-IF(N(VLOOKUP($AT341&amp;"|"&amp;$CU341,LocTable,7,FALSE))&gt;0,VLOOKUP($AT341&amp;"|"&amp;$CU341,LocTable,7,FALSE),VLOOKUP($AT341&amp;"|"&amp;$CU341,LocTable,6,FALSE))-$CR341-0.75&gt;=2.125)),IF(N(VLOOKUP($AT341&amp;"|"&amp;$CU341,LocTable,7,FALSE))&gt;0,VLOOKUP($AT341&amp;"|"&amp;$CU341,LocTable,7,FALSE),VLOOKUP($AT341&amp;"|"&amp;$CU341,LocTable,6,FALSE)),$BI341-($CU341-IF(N(VLOOKUP($AT341&amp;"|"&amp;$CU341,LocTable,7,FALSE))&gt;0,VLOOKUP($AT341&amp;"|"&amp;$CU341,LocTable,7,FALSE),VLOOKUP($AT341&amp;"|"&amp;$CU341,LocTable,6,FALSE)))),$BI341-10-$CR341))</f>
        <v/>
      </c>
      <c r="CY341" s="85">
        <f>IF($CS341,"",TRIM(IF(ISNUMBER($BU341),"A "&amp;TRIM(TEXT($BU341,"# ?/??"))&amp;CHAR(34)&amp;"  ","")&amp;IF(ISNUMBER($BV341),"B "&amp;TRIM(TEXT($BV341,"# ?/??"))&amp;CHAR(34)&amp;"  ","")&amp;IF(ISNUMBER($BW341),"C "&amp;TRIM(TEXT($BW341,"# ?/??"))&amp;CHAR(34)&amp;"  ","")&amp;IF(ISNUMBER($BX341),"D "&amp;TRIM(TEXT($BX341,"# ?/??"))&amp;CHAR(34)&amp;"  ","")&amp;IF(ISNUMBER($BY341),"F "&amp;TRIM(TEXT($BY341,"# ?/??"))&amp;CHAR(34)&amp;"  ","")&amp;IF(ISNUMBER($BZ341),"E "&amp;TRIM(TEXT($BZ341,"# ?/??"))&amp;CHAR(34)&amp;"  ","")))</f>
        <v/>
      </c>
      <c r="CZ341" s="85">
        <f>IF(OR($CS341,N($BJ341)=0),"",TRIM(IF(ISNUMBER($BU341),"A "&amp;TRIM(TEXT($BU341-HeadClr,"# ?/??"))&amp;CHAR(34)&amp;"  ","")&amp;IF(ISNUMBER($BV341),"B "&amp;TRIM(TEXT($BV341-HeadClr,"# ?/??"))&amp;CHAR(34)&amp;"  ","")&amp;IF(ISNUMBER($BW341),"C "&amp;TRIM(TEXT($BW341-HeadClr,"# ?/??"))&amp;CHAR(34)&amp;"  ","")&amp;IF(ISNUMBER($BX341),"D "&amp;TRIM(TEXT($BX341-HeadClr,"# ?/??"))&amp;CHAR(34)&amp;"  ","")&amp;IF(ISNUMBER($BY341),"F "&amp;TRIM(TEXT($BY341-HeadClr,"# ?/??"))&amp;CHAR(34)&amp;"  ","")&amp;IF(ISNUMBER($BZ341),"E "&amp;TRIM(TEXT($BZ341-HeadClr,"# ?/??"))&amp;CHAR(34)&amp;"  ","")))</f>
        <v/>
      </c>
      <c r="DA341" s="84">
        <f>IF($A341="","",IF($AN341="",IFERROR(VLOOKUP($Z341,CODES,2,FALSE),""),IFERROR(VLOOKUP($AN341,CODES,2,FALSE),"")))</f>
        <v/>
      </c>
      <c r="DB341" s="84">
        <f>IF($A341="","",IF($O341="Y","PR",IF(OR($Z341="L",$Z341="RR",LEFT($Z341,2)="L-",LEFT($Z341,3)="RR-"),"LH","RH")))</f>
        <v/>
      </c>
      <c r="DC341" s="84">
        <f>IF($A341="","","S.HM"&amp;IF(OR($C341="DOOR ONLY",$X341&lt;&gt;"KD"),"MASONRY","DRYWALL")&amp;IF($C341="DOOR ONLY","",$U341)&amp;IF(AND($C341&lt;&gt;"FRAME ONLY",OR(LEFT($AH341,3)="OAK",LEFT($AH341,3)="BIR",LEFT($AH341,3)="MAP",$AH341="PC",$AH341="MC",$AH341="SCLC",$AH341="P-LAM")),"WD","HM")&amp;"1.75")</f>
        <v/>
      </c>
      <c r="DD341" s="84">
        <f>IF($CJ341="","",IF($O341="Y",$CJ341,SUBSTITUTE($CJ341,$BG341&amp;" "&amp;IFERROR(VLOOKUP($Z341,CODES,2,FALSE),"")&amp;" ",$BG341&amp;" ")))</f>
        <v/>
      </c>
      <c r="DE341" s="84">
        <f>IF($CK341="","",IF($O341="Y",$CK341,SUBSTITUTE($CK341,$BG341&amp;" "&amp;IF($AN341="",IFERROR(VLOOKUP($Z341,CODES,2,FALSE),""),IFERROR(VLOOKUP($AN341,CODES,2,FALSE),""))&amp;" ",$BG341&amp;" ")))</f>
        <v/>
      </c>
      <c r="DF341" s="84">
        <f>IF($CJ341="","",$DC341&amp;"|"&amp;$DD341&amp;"|"&amp;$DB341&amp;"|"&amp;$AT341&amp;"|"&amp;$V341&amp;"|"&amp;$Y341&amp;"|"&amp;$AB341)</f>
        <v/>
      </c>
      <c r="DG341" s="84">
        <f>IF(DF341="","",IF(COUNTIF($DF$6:DF341,DF341)=1,MAX($DG$5:DG340)+1,INDEX($DG$5:DG340,MATCH(DF341,$DF$5:DF340,0))))</f>
        <v/>
      </c>
      <c r="DH341" s="84">
        <f>IF($CK341="","",$DC341&amp;"|"&amp;$DE341&amp;"|"&amp;$AI341&amp;"|"&amp;$BK341&amp;"|"&amp;$BL341)</f>
        <v/>
      </c>
      <c r="DI341" s="84">
        <f>IF(DH341="","",IF(COUNTIF($DH$6:DH341,DH341)=1,MAX($DI$5:DI340)+1,INDEX($DI$5:DI340,MATCH(DH341,$DH$5:DH340,0))))</f>
        <v/>
      </c>
      <c r="DJ341" s="84">
        <f>IF($A341="","",IF($B341="","qty, ","")&amp;IF($C341="","scope, ","")&amp;IF(OR($K341="",$M341=""),"size, ","")&amp;IF(AND($A341&lt;&gt;"",$C341&lt;&gt;"DOOR ONLY"),IF($U341="","jamb depth, ","")&amp;IF($X341="","construction, ","")&amp;IF($Y341="","anchor, ","")&amp;IF($S341="","frame type, ",""),"")&amp;IF(AND(N($BJ341)&gt;0,$Z341=""),"hand, ","")&amp;IF(N($BJ341)&gt;0,IF($AH341="","door material, ","")&amp;IF($AL341="","face type, ","")&amp;IF($AP341="","lock prep, ","")&amp;IF(AND($AO341="",$AC341=""),"hinge prep, ",""),"")&amp;IF(AND($CH341&gt;0,$AH341="FRP"),"FRP cannot carry a label, ","")&amp;IF(AND($O341="Y",OR($Z341="L",$Z341="R",$Z341="LR",$Z341="RR")),"pair marked but hand is single, ","")&amp;IF(AND($O341&lt;&gt;"Y",OR($Z341="PR",AND(LEN($Z341)&gt;1,ISNUMBER(SEARCH("-",$Z341))))),"pair hand on a single door, ","")&amp;IF(AND(ISNUMBER($CI341),$CH341&lt;N($CI341)),"wall needs a "&amp;$CI341&amp;" min door, ","")&amp;IF(AND($CH341&gt;=180,AND(OR($CE341="FG",$CE341="HG",$CE341="FNV",$CE341="FV"),N($CF341)*N($CG341)&gt;100)),"180 min lite over 100 sq in, ","")&amp;IF(N($BK341)&gt;48,"leaf wider than 4'-0"&amp;CHAR(34)&amp;", ","")&amp;IF(AND($CT341,COUNT($AW341:$AZ341)=0,$CQ341&gt;0),"CUSTOM LOC with no locations typed, ",""))</f>
        <v/>
      </c>
      <c r="DK341" s="84">
        <f>IF($A341="","",IF(AND($CH341&gt;0,AND($A341&lt;&gt;"",$C341&lt;&gt;"DOOR ONLY"),$X341="KD",$E341="EXTERIOR"),"KD label on an exterior opening, ","")&amp;IF(AND($E341="EXTERIOR",OR(AND(AND($A341&lt;&gt;"",$C341&lt;&gt;"DOOR ONLY"),$W341="CR"),AND(N($BJ341)&gt;0,$AH341="CR"))),"exterior in CR steel (G9?), ","")&amp;IF(AND(ISNUMBER($BQ341),N($BQ341)&lt;32),"clear width ~"&amp;TEXT($BQ341,"0.0")&amp;CHAR(34)&amp;" under 32"&amp;CHAR(34)&amp;" (ADA), ","")&amp;IF(AND($CH341=90,AND(OR($CE341="FG",$CE341="HG",$CE341="FNV",$CE341="FV"),N($CF341)*N($CG341)&gt;100)),"90 min lite over 100 sq in (stair/exit), ","")&amp;IF(AND($CH341&gt;0,AND($A341&lt;&gt;"",$C341&lt;&gt;"DOOR ONLY"),OR($AF341="",$AF341="-")),"rated: closer reinf.?, ","")&amp;IF(OR($I341="CORRIDOR",$I341="SMOKE BARRIER"),"S label + smoke gasketing, ","")&amp;IF($CI341="?","wall type/hr not in IBC table, ","")&amp;IF(AND(N($BJ341)&gt;0,$BB341=""),"no hardware set, ","")&amp;IF(AND($BB341&lt;&gt;"",ISNA(MATCH($BB341&amp;"",HWSets,0))),"set "&amp;$BB341&amp;" not on HW Sets, ","")&amp;IF(N($BL341)&gt;96,"leaf over 8'-0"&amp;CHAR(34)&amp;" - check listing, ","")&amp;IF(AND($CT341,COUNT($AW341:$AZ341)&gt;0,COUNT($AW341:$AZ341)&lt;&gt;$CQ341),COUNT($AW341:$AZ341)&amp;" custom hinges typed, "&amp;$CQ341&amp;" expected, ","")&amp;IF(AND(ISNUMBER($CA341),OR(N($CA341)&lt;34,N($CA341)&gt;48)),"lock "&amp;TEXT($CA341,"0.0")&amp;CHAR(34)&amp;" AFF outside 34-48"&amp;CHAR(34)&amp;" (ADA), ","")&amp;IF(AND(ISNUMBER($AV341),ISNUMBER($BL341),N($AV341)&lt;IF(N($BL341)&lt;=60,2,IF(N($BL341)&lt;=90,3,IF(N($BL341)&lt;=120,4,5)))),"fewer hinges than standard, ",""))</f>
        <v/>
      </c>
    </row>
    <row r="342" ht="15" customHeight="1">
      <c r="A342" s="77" t="n"/>
      <c r="B342" s="78" t="n"/>
      <c r="C342" s="78" t="n"/>
      <c r="D342" s="78" t="n"/>
      <c r="E342" s="78" t="n"/>
      <c r="F342" s="78" t="n"/>
      <c r="G342" s="78" t="n"/>
      <c r="H342" s="78" t="n"/>
      <c r="I342" s="78" t="n"/>
      <c r="J342" s="78" t="n"/>
      <c r="K342" s="78" t="n"/>
      <c r="L342" s="78" t="n"/>
      <c r="M342" s="78" t="n"/>
      <c r="N342" s="78" t="n"/>
      <c r="O342" s="78" t="n"/>
      <c r="P342" s="78" t="n"/>
      <c r="Q342" s="78" t="n"/>
      <c r="R342" s="78" t="n"/>
      <c r="S342" s="79" t="n"/>
      <c r="T342" s="79" t="n"/>
      <c r="U342" s="79" t="n"/>
      <c r="V342" s="79" t="n"/>
      <c r="W342" s="79" t="n"/>
      <c r="X342" s="79" t="n"/>
      <c r="Y342" s="79" t="n"/>
      <c r="Z342" s="79" t="n"/>
      <c r="AA342" s="79" t="n"/>
      <c r="AB342" s="79" t="n"/>
      <c r="AC342" s="79" t="n"/>
      <c r="AD342" s="79" t="n"/>
      <c r="AE342" s="79" t="n"/>
      <c r="AF342" s="79" t="n"/>
      <c r="AG342" s="79" t="n"/>
      <c r="AH342" s="80" t="n"/>
      <c r="AI342" s="80" t="n"/>
      <c r="AJ342" s="80" t="n"/>
      <c r="AK342" s="80" t="n"/>
      <c r="AL342" s="80" t="n"/>
      <c r="AM342" s="80" t="n"/>
      <c r="AN342" s="80" t="n"/>
      <c r="AO342" s="80" t="n"/>
      <c r="AP342" s="80" t="n"/>
      <c r="AQ342" s="80" t="n"/>
      <c r="AR342" s="80" t="n"/>
      <c r="AS342" s="80" t="n"/>
      <c r="AT342" s="81" t="n"/>
      <c r="AU342" s="81" t="n"/>
      <c r="AV342" s="81" t="n"/>
      <c r="AW342" s="82" t="n"/>
      <c r="AX342" s="82" t="n"/>
      <c r="AY342" s="82" t="n"/>
      <c r="AZ342" s="82" t="n"/>
      <c r="BA342" s="82" t="n"/>
      <c r="BB342" s="83" t="n"/>
      <c r="BC342" s="83" t="n"/>
      <c r="BD342" s="84">
        <f>IF($A342="","",IF($DJ342&lt;&gt;"","FIX",IF($DK342&lt;&gt;"","CHECK","OK")))</f>
        <v/>
      </c>
      <c r="BE342" s="85">
        <f>IF($A342="","",IF($DJ342&lt;&gt;"","FIX: "&amp;LEFT($DJ342,LEN($DJ342)-2)&amp;IF($DK342&lt;&gt;"","  ·  ",""),"")&amp;IF($DK342&lt;&gt;"","CHECK: "&amp;LEFT($DK342,LEN($DK342)-2),""))</f>
        <v/>
      </c>
      <c r="BF342" s="84">
        <f>IF(OR($A342="",$K342=""),"",$K342&amp;"'-"&amp;N($L342)&amp;CHAR(34)&amp;" x "&amp;$M342&amp;"'-"&amp;N($N342)&amp;CHAR(34))</f>
        <v/>
      </c>
      <c r="BG342" s="84">
        <f>IF(OR($A342="",$K342=""),"",$K342&amp;N($L342)&amp;$M342&amp;N($N342))</f>
        <v/>
      </c>
      <c r="BH342" s="84">
        <f>IF(OR($A342="",$K342=""),"",$K342*12+N($L342))</f>
        <v/>
      </c>
      <c r="BI342" s="84">
        <f>IF(OR($A342="",$M342=""),"",$M342*12+N($N342))</f>
        <v/>
      </c>
      <c r="BJ342" s="84">
        <f>IF($A342="","",IF(OR($C342="FRAME ONLY",$S342="BL"),0,IF($O342="Y",2,1)))</f>
        <v/>
      </c>
      <c r="BK342" s="86">
        <f>IF(OR(N($BJ342)=0,$BH342=""),"",($BH342-2*EdgeClr-IF($BJ342=2,MeetClr,0))/$BJ342)</f>
        <v/>
      </c>
      <c r="BL342" s="86">
        <f>IF(OR(N($BJ342)=0,$BI342=""),"",$BI342-HeadClr-Undercut)</f>
        <v/>
      </c>
      <c r="BM342" s="86">
        <f>IF($BH342="","",$BH342+2*FaceW+IF(N($Q342)&gt;0,($Q342+FaceW)*IF($R342="LR",2,1),0))</f>
        <v/>
      </c>
      <c r="BN342" s="86">
        <f>IF($BI342="","",$BI342+IF($AB342="Y",4,FaceW)+IF(N($P342)&gt;0,$P342+FaceW,0)+IF(OR($S342="4F",$S342="BL"),FaceW,0))</f>
        <v/>
      </c>
      <c r="BO342" s="86">
        <f>IF($BM342="","",$BM342+2*ROSide)</f>
        <v/>
      </c>
      <c r="BP342" s="86">
        <f>IF($BN342="","",$BN342+ROTop)</f>
        <v/>
      </c>
      <c r="BQ342" s="87">
        <f>IF(OR(N($BJ342)=0,$BH342=""),"",$BH342/$BJ342-ClearDeduct)</f>
        <v/>
      </c>
      <c r="BR342" s="84">
        <f>IF(N($CH342)=0,"",IF($CH342&gt;=180,"A · 3 HR",IF($CH342&gt;=90,"B · 1-1/2 HR",IF($CH342&gt;=60,"B · 1 HR",IF($CH342&gt;=45,"C · 3/4 HR","20 MIN")))))&amp;IF(AND(N($CH342)&gt;0,OR($I342="CORRIDOR",$I342="SMOKE BARRIER"))," · S","")</f>
        <v/>
      </c>
      <c r="BS342" s="84">
        <f>IF($CS342,"",IF($AV342&lt;&gt;"",$AV342,IF(OR($AC342="HGC",$AO342="HGC"),"CONT",IF(($BI342-HeadClr-Undercut)&lt;=60,2,IF(($BI342-HeadClr-Undercut)&lt;=90,3,IF(($BI342-HeadClr-Undercut)&lt;=120,4,5))))))</f>
        <v/>
      </c>
      <c r="BT342" s="84">
        <f>IF($CS342,"",IF($CT342,"CUSTOM (typed)",IF($CV342,$AT342&amp;" "&amp;$CU342&amp;CHAR(34)&amp;IF($CU342&lt;&gt;$BI342,IF(AND($BI342&lt;$CU342,$BI342-IF(N(VLOOKUP($AT342&amp;"|"&amp;$CU342,LocTable,7,FALSE))&gt;0,VLOOKUP($AT342&amp;"|"&amp;$CU342,LocTable,7,FALSE),VLOOKUP($AT342&amp;"|"&amp;$CU342,LocTable,6,FALSE))-$CR342-0.75&gt;=2.125)," cut down"," adj."),""),"ANSI/SDI A250.6")))</f>
        <v/>
      </c>
      <c r="BU342" s="88">
        <f>IF($CS342,"",IF($CT342,IF(N($AW342)&gt;0,N($AW342),""),IF(1&gt;$CQ342,"",IF($CQ342=1,$CW342,$CW342+($CX342-$CW342)*0/($CQ342-1)))))</f>
        <v/>
      </c>
      <c r="BV342" s="88">
        <f>IF($CS342,"",IF($CT342,IF(N($AX342)&gt;0,N($AX342),""),IF(2&gt;$CQ342,"",IF($CQ342=1,$CW342,$CW342+($CX342-$CW342)*1/($CQ342-1)))))</f>
        <v/>
      </c>
      <c r="BW342" s="88">
        <f>IF($CS342,"",IF($CT342,IF(N($AY342)&gt;0,N($AY342),""),IF(3&gt;$CQ342,"",IF($CQ342=1,$CW342,$CW342+($CX342-$CW342)*2/($CQ342-1)))))</f>
        <v/>
      </c>
      <c r="BX342" s="88">
        <f>IF($CS342,"",IF($CT342,IF(N($AZ342)&gt;0,N($AZ342),""),IF(4&gt;$CQ342,"",IF($CQ342=1,$CW342,$CW342+($CX342-$CW342)*3/($CQ342-1)))))</f>
        <v/>
      </c>
      <c r="BY342" s="88">
        <f>IF($CS342,"",IF($CT342,"",IF(5&gt;$CQ342,"",IF($CQ342=1,$CW342,$CW342+($CX342-$CW342)*4/($CQ342-1)))))</f>
        <v/>
      </c>
      <c r="BZ342" s="88">
        <f>IF(OR($CS342,$AP342="-",AND($AP342="",$AD342="")),"",IF(N($BA342)&gt;0,N($BA342),IF($CV342,IF(AND($BI342&lt;$CU342,$BI342-IF(N(VLOOKUP($AT342&amp;"|"&amp;$CU342,LocTable,7,FALSE))&gt;0,VLOOKUP($AT342&amp;"|"&amp;$CU342,LocTable,7,FALSE),VLOOKUP($AT342&amp;"|"&amp;$CU342,LocTable,6,FALSE))-$CR342-0.75&gt;=2.125),VLOOKUP($AT342&amp;"|"&amp;$CU342,LocTable,8,FALSE),VLOOKUP($AT342&amp;"|"&amp;$CU342,LocTable,8,FALSE)+($BI342-$CU342)),$BI342-LockAFF)))</f>
        <v/>
      </c>
      <c r="CA342" s="89">
        <f>IF($BZ342="","",$BI342-$BZ342)</f>
        <v/>
      </c>
      <c r="CB342" s="84">
        <f>IF(OR(NOT(AND($A342&lt;&gt;"",$C342&lt;&gt;"DOOR ONLY")),$BI342=""),"",IF(($BI342+IF(N($P342)&gt;0,$P342+FaceW,0))&lt;=90,3,IF(($BI342+IF(N($P342)&gt;0,$P342+FaceW,0))&lt;=114,4,5)))</f>
        <v/>
      </c>
      <c r="CC342" s="84">
        <f>IF($CB342="","",$CB342*(2+IF(N($Q342)&gt;0,IF($R342="LR",2,1),0)))</f>
        <v/>
      </c>
      <c r="CD342" s="84">
        <f>IF($CB342="","",(2+IF(N($Q342)&gt;0,IF($R342="LR",2,1),0)))</f>
        <v/>
      </c>
      <c r="CE342" s="84">
        <f>IF(N($BJ342)=0,"",IF(OR($AL342="",$AL342="FLUSH"),"FLUSH",IFERROR(LEFT($AL342,FIND("-",$AL342)-1),LEFT($AL342,2))))</f>
        <v/>
      </c>
      <c r="CF342" s="84">
        <f>IF($CE342="","",IFERROR(VALUE(MID($AL342,FIND("-",$AL342)+1,FIND(CHAR(34)&amp;"x",$AL342)-FIND("-",$AL342)-1)),0))</f>
        <v/>
      </c>
      <c r="CG342" s="84">
        <f>IF($CE342="","",IFERROR(VALUE(MID($AL342,FIND(CHAR(34)&amp;"x",$AL342)+2,FIND(CHAR(34),$AL342,FIND(CHAR(34)&amp;"x",$AL342)+2)-FIND(CHAR(34)&amp;"x",$AL342)-2)),0))</f>
        <v/>
      </c>
      <c r="CH342" s="90">
        <f>IF(OR($A342="",$H342="",$H342="NO LAB"),0,IFERROR(VALUE(LEFT($H342,FIND(" ",$H342)-1)),0))</f>
        <v/>
      </c>
      <c r="CI342" s="91">
        <f>IF(OR($A342="",$I342="",$I342="NON-RATED",N($J342)=0),"",IFERROR(VLOOKUP($I342&amp;"|"&amp;$J342,IBC,2,FALSE),"?"))</f>
        <v/>
      </c>
      <c r="CJ342" s="85">
        <f>IF(NOT(AND($A342&lt;&gt;"",$C342&lt;&gt;"DOOR ONLY")),"",TRIM(IFERROR(VLOOKUP($U342,CODES,2,FALSE),"")&amp;" "&amp;$BG342&amp;" "&amp;IFERROR(VLOOKUP($Z342,CODES,2,FALSE),"")&amp;" "&amp;IFERROR(VLOOKUP($X342,CODES,2,FALSE),"")&amp;" "&amp;IFERROR(VLOOKUP($S342,CODES,2,FALSE),"")&amp;IF(N($P342)&gt;0," w/TRANSOM "&amp;$P342&amp;CHAR(34),"")&amp;IF(N($Q342)&gt;0," w/SIDELITE "&amp;$Q342&amp;CHAR(34)&amp;" "&amp;IF($R342="","R",$R342),"")&amp;IF($Y342="","  |  "," | "&amp;IFERROR(VLOOKUP($Y342,CODES,2,FALSE),"")&amp;" | ")&amp;IFERROR(VLOOKUP($AC342,CODES,2,FALSE),"")&amp;" "&amp;IFERROR(VLOOKUP($AD342,CODES,2,FALSE),"")&amp;IF(OR($AE342="",$AE342="-"),""," "&amp;$AE342)&amp;IF(OR($AF342="",$AF342="-"),""," "&amp;$AF342)&amp;IF($AB342="Y"," 4"&amp;CHAR(34)&amp;" HEAD","")&amp;" "&amp;IFERROR(VLOOKUP($H342,CODES,2,FALSE),"")&amp;IF($CT342," | LOC "&amp;$CY342,"")))</f>
        <v/>
      </c>
      <c r="CK342" s="85">
        <f>IF(NOT(AND($A342&lt;&gt;"",N($BJ342)&gt;0)),"",TRIM(IFERROR(VLOOKUP($AH342,CODES,2,FALSE),"")&amp;IF($AI342=""," "," "&amp;$AI342&amp;"GA ")&amp;$BG342&amp;" "&amp;IF($AN342="",IFERROR(VLOOKUP($Z342,CODES,2,FALSE),""),IFERROR(VLOOKUP($AN342,CODES,2,FALSE),""))&amp;IF($BJ342=2," PAIR","")&amp;" DOOR | "&amp;IF($AL342="","?",$AL342)&amp;" | "&amp;IF($AO342="",IFERROR(VLOOKUP($AC342,CODES,2,FALSE),""),IFERROR(VLOOKUP($AO342,CODES,2,FALSE),""))&amp;" "&amp;IFERROR(VLOOKUP($AP342,CODES,2,FALSE),"")&amp;IF(OR($AQ342="",$AQ342="-"),""," SEAM "&amp;$AQ342)&amp;IF($AR342="Y"," ASTRAGAL","")&amp;IF($AJ342=""," "," "&amp;$AJ342)&amp;IF($AK342=""," "," "&amp;$AK342)&amp;IF(OR($AT342="",$AT342="ANSI/SDI",$AT342="CUSTOM LOC"),""," "&amp;$AT342)&amp;IF($AM342=""," "," SERIES "&amp;$AM342)&amp;" "&amp;IFERROR(VLOOKUP($H342,CODES,2,FALSE),"")&amp;IF($CT342," | LOC "&amp;$CZ342,"")))</f>
        <v/>
      </c>
      <c r="CL342" s="84">
        <f>IF(CP342="","",IF(COUNTIF($CP$6:CP342,CP342)=1,MAX($CL$5:CL341)+1,INDEX($CL$5:CL341,MATCH(CP342,$CP$5:CP341,0))))</f>
        <v/>
      </c>
      <c r="CM342" s="84">
        <f>IF(NOT(AND($A342&lt;&gt;"",$C342&lt;&gt;"DOOR ONLY")),"",MAX($CM$5:CM341)+1)</f>
        <v/>
      </c>
      <c r="CN342" s="84">
        <f>IF(NOT(AND($A342&lt;&gt;"",N($BJ342)&gt;0)),"",MAX($CN$5:CN341)+1)</f>
        <v/>
      </c>
      <c r="CO342" s="84">
        <f>IF($A342="","",MAX($CO$5:CO341)+1)</f>
        <v/>
      </c>
      <c r="CP342" s="84">
        <f>IF(OR($A342="",$BH342="",$BI342=""),"",$BG342&amp;"|"&amp;$O342&amp;"|"&amp;$AL342&amp;"|"&amp;$S342&amp;"|"&amp;$P342&amp;"|"&amp;$Q342&amp;$R342&amp;"|"&amp;$C342&amp;"|"&amp;$AB342)</f>
        <v/>
      </c>
      <c r="CQ342" s="84">
        <f>N($BS342)</f>
        <v/>
      </c>
      <c r="CR342" s="84">
        <f>IF(N($AU342)&gt;0,N($AU342),4.5)</f>
        <v/>
      </c>
      <c r="CS342" s="84">
        <f>OR($A342="",$BI342="",$S342="BL",AND($C342="FRAME ONLY",OR($AC342="",$AC342="BLK")))</f>
        <v/>
      </c>
      <c r="CT342" s="84">
        <f>AND(NOT($CS342),OR($AT342="CUSTOM LOC",N($AW342)+N($AX342)+N($AY342)+N($AZ342)+N($BA342)&gt;0))</f>
        <v/>
      </c>
      <c r="CU342" s="84">
        <f>IF($BI342="","",IF($BI342&lt;=80,80,IF($BI342&lt;=84,84,96)))</f>
        <v/>
      </c>
      <c r="CV342" s="84">
        <f>ISNUMBER(MATCH($AT342&amp;"|80",LocKeys,0))</f>
        <v/>
      </c>
      <c r="CW342" s="86">
        <f>IF($CS342,"",IF($CV342,VLOOKUP($AT342&amp;"|"&amp;$CU342,LocTable,4,FALSE),5))</f>
        <v/>
      </c>
      <c r="CX342" s="86">
        <f>IF($CS342,"",IF($CV342,IF(OR($BI342=$CU342,AND($BI342&lt;$CU342,$BI342-IF(N(VLOOKUP($AT342&amp;"|"&amp;$CU342,LocTable,7,FALSE))&gt;0,VLOOKUP($AT342&amp;"|"&amp;$CU342,LocTable,7,FALSE),VLOOKUP($AT342&amp;"|"&amp;$CU342,LocTable,6,FALSE))-$CR342-0.75&gt;=2.125)),IF(N(VLOOKUP($AT342&amp;"|"&amp;$CU342,LocTable,7,FALSE))&gt;0,VLOOKUP($AT342&amp;"|"&amp;$CU342,LocTable,7,FALSE),VLOOKUP($AT342&amp;"|"&amp;$CU342,LocTable,6,FALSE)),$BI342-($CU342-IF(N(VLOOKUP($AT342&amp;"|"&amp;$CU342,LocTable,7,FALSE))&gt;0,VLOOKUP($AT342&amp;"|"&amp;$CU342,LocTable,7,FALSE),VLOOKUP($AT342&amp;"|"&amp;$CU342,LocTable,6,FALSE)))),$BI342-10-$CR342))</f>
        <v/>
      </c>
      <c r="CY342" s="85">
        <f>IF($CS342,"",TRIM(IF(ISNUMBER($BU342),"A "&amp;TRIM(TEXT($BU342,"# ?/??"))&amp;CHAR(34)&amp;"  ","")&amp;IF(ISNUMBER($BV342),"B "&amp;TRIM(TEXT($BV342,"# ?/??"))&amp;CHAR(34)&amp;"  ","")&amp;IF(ISNUMBER($BW342),"C "&amp;TRIM(TEXT($BW342,"# ?/??"))&amp;CHAR(34)&amp;"  ","")&amp;IF(ISNUMBER($BX342),"D "&amp;TRIM(TEXT($BX342,"# ?/??"))&amp;CHAR(34)&amp;"  ","")&amp;IF(ISNUMBER($BY342),"F "&amp;TRIM(TEXT($BY342,"# ?/??"))&amp;CHAR(34)&amp;"  ","")&amp;IF(ISNUMBER($BZ342),"E "&amp;TRIM(TEXT($BZ342,"# ?/??"))&amp;CHAR(34)&amp;"  ","")))</f>
        <v/>
      </c>
      <c r="CZ342" s="85">
        <f>IF(OR($CS342,N($BJ342)=0),"",TRIM(IF(ISNUMBER($BU342),"A "&amp;TRIM(TEXT($BU342-HeadClr,"# ?/??"))&amp;CHAR(34)&amp;"  ","")&amp;IF(ISNUMBER($BV342),"B "&amp;TRIM(TEXT($BV342-HeadClr,"# ?/??"))&amp;CHAR(34)&amp;"  ","")&amp;IF(ISNUMBER($BW342),"C "&amp;TRIM(TEXT($BW342-HeadClr,"# ?/??"))&amp;CHAR(34)&amp;"  ","")&amp;IF(ISNUMBER($BX342),"D "&amp;TRIM(TEXT($BX342-HeadClr,"# ?/??"))&amp;CHAR(34)&amp;"  ","")&amp;IF(ISNUMBER($BY342),"F "&amp;TRIM(TEXT($BY342-HeadClr,"# ?/??"))&amp;CHAR(34)&amp;"  ","")&amp;IF(ISNUMBER($BZ342),"E "&amp;TRIM(TEXT($BZ342-HeadClr,"# ?/??"))&amp;CHAR(34)&amp;"  ","")))</f>
        <v/>
      </c>
      <c r="DA342" s="84">
        <f>IF($A342="","",IF($AN342="",IFERROR(VLOOKUP($Z342,CODES,2,FALSE),""),IFERROR(VLOOKUP($AN342,CODES,2,FALSE),"")))</f>
        <v/>
      </c>
      <c r="DB342" s="84">
        <f>IF($A342="","",IF($O342="Y","PR",IF(OR($Z342="L",$Z342="RR",LEFT($Z342,2)="L-",LEFT($Z342,3)="RR-"),"LH","RH")))</f>
        <v/>
      </c>
      <c r="DC342" s="84">
        <f>IF($A342="","","S.HM"&amp;IF(OR($C342="DOOR ONLY",$X342&lt;&gt;"KD"),"MASONRY","DRYWALL")&amp;IF($C342="DOOR ONLY","",$U342)&amp;IF(AND($C342&lt;&gt;"FRAME ONLY",OR(LEFT($AH342,3)="OAK",LEFT($AH342,3)="BIR",LEFT($AH342,3)="MAP",$AH342="PC",$AH342="MC",$AH342="SCLC",$AH342="P-LAM")),"WD","HM")&amp;"1.75")</f>
        <v/>
      </c>
      <c r="DD342" s="84">
        <f>IF($CJ342="","",IF($O342="Y",$CJ342,SUBSTITUTE($CJ342,$BG342&amp;" "&amp;IFERROR(VLOOKUP($Z342,CODES,2,FALSE),"")&amp;" ",$BG342&amp;" ")))</f>
        <v/>
      </c>
      <c r="DE342" s="84">
        <f>IF($CK342="","",IF($O342="Y",$CK342,SUBSTITUTE($CK342,$BG342&amp;" "&amp;IF($AN342="",IFERROR(VLOOKUP($Z342,CODES,2,FALSE),""),IFERROR(VLOOKUP($AN342,CODES,2,FALSE),""))&amp;" ",$BG342&amp;" ")))</f>
        <v/>
      </c>
      <c r="DF342" s="84">
        <f>IF($CJ342="","",$DC342&amp;"|"&amp;$DD342&amp;"|"&amp;$DB342&amp;"|"&amp;$AT342&amp;"|"&amp;$V342&amp;"|"&amp;$Y342&amp;"|"&amp;$AB342)</f>
        <v/>
      </c>
      <c r="DG342" s="84">
        <f>IF(DF342="","",IF(COUNTIF($DF$6:DF342,DF342)=1,MAX($DG$5:DG341)+1,INDEX($DG$5:DG341,MATCH(DF342,$DF$5:DF341,0))))</f>
        <v/>
      </c>
      <c r="DH342" s="84">
        <f>IF($CK342="","",$DC342&amp;"|"&amp;$DE342&amp;"|"&amp;$AI342&amp;"|"&amp;$BK342&amp;"|"&amp;$BL342)</f>
        <v/>
      </c>
      <c r="DI342" s="84">
        <f>IF(DH342="","",IF(COUNTIF($DH$6:DH342,DH342)=1,MAX($DI$5:DI341)+1,INDEX($DI$5:DI341,MATCH(DH342,$DH$5:DH341,0))))</f>
        <v/>
      </c>
      <c r="DJ342" s="84">
        <f>IF($A342="","",IF($B342="","qty, ","")&amp;IF($C342="","scope, ","")&amp;IF(OR($K342="",$M342=""),"size, ","")&amp;IF(AND($A342&lt;&gt;"",$C342&lt;&gt;"DOOR ONLY"),IF($U342="","jamb depth, ","")&amp;IF($X342="","construction, ","")&amp;IF($Y342="","anchor, ","")&amp;IF($S342="","frame type, ",""),"")&amp;IF(AND(N($BJ342)&gt;0,$Z342=""),"hand, ","")&amp;IF(N($BJ342)&gt;0,IF($AH342="","door material, ","")&amp;IF($AL342="","face type, ","")&amp;IF($AP342="","lock prep, ","")&amp;IF(AND($AO342="",$AC342=""),"hinge prep, ",""),"")&amp;IF(AND($CH342&gt;0,$AH342="FRP"),"FRP cannot carry a label, ","")&amp;IF(AND($O342="Y",OR($Z342="L",$Z342="R",$Z342="LR",$Z342="RR")),"pair marked but hand is single, ","")&amp;IF(AND($O342&lt;&gt;"Y",OR($Z342="PR",AND(LEN($Z342)&gt;1,ISNUMBER(SEARCH("-",$Z342))))),"pair hand on a single door, ","")&amp;IF(AND(ISNUMBER($CI342),$CH342&lt;N($CI342)),"wall needs a "&amp;$CI342&amp;" min door, ","")&amp;IF(AND($CH342&gt;=180,AND(OR($CE342="FG",$CE342="HG",$CE342="FNV",$CE342="FV"),N($CF342)*N($CG342)&gt;100)),"180 min lite over 100 sq in, ","")&amp;IF(N($BK342)&gt;48,"leaf wider than 4'-0"&amp;CHAR(34)&amp;", ","")&amp;IF(AND($CT342,COUNT($AW342:$AZ342)=0,$CQ342&gt;0),"CUSTOM LOC with no locations typed, ",""))</f>
        <v/>
      </c>
      <c r="DK342" s="84">
        <f>IF($A342="","",IF(AND($CH342&gt;0,AND($A342&lt;&gt;"",$C342&lt;&gt;"DOOR ONLY"),$X342="KD",$E342="EXTERIOR"),"KD label on an exterior opening, ","")&amp;IF(AND($E342="EXTERIOR",OR(AND(AND($A342&lt;&gt;"",$C342&lt;&gt;"DOOR ONLY"),$W342="CR"),AND(N($BJ342)&gt;0,$AH342="CR"))),"exterior in CR steel (G9?), ","")&amp;IF(AND(ISNUMBER($BQ342),N($BQ342)&lt;32),"clear width ~"&amp;TEXT($BQ342,"0.0")&amp;CHAR(34)&amp;" under 32"&amp;CHAR(34)&amp;" (ADA), ","")&amp;IF(AND($CH342=90,AND(OR($CE342="FG",$CE342="HG",$CE342="FNV",$CE342="FV"),N($CF342)*N($CG342)&gt;100)),"90 min lite over 100 sq in (stair/exit), ","")&amp;IF(AND($CH342&gt;0,AND($A342&lt;&gt;"",$C342&lt;&gt;"DOOR ONLY"),OR($AF342="",$AF342="-")),"rated: closer reinf.?, ","")&amp;IF(OR($I342="CORRIDOR",$I342="SMOKE BARRIER"),"S label + smoke gasketing, ","")&amp;IF($CI342="?","wall type/hr not in IBC table, ","")&amp;IF(AND(N($BJ342)&gt;0,$BB342=""),"no hardware set, ","")&amp;IF(AND($BB342&lt;&gt;"",ISNA(MATCH($BB342&amp;"",HWSets,0))),"set "&amp;$BB342&amp;" not on HW Sets, ","")&amp;IF(N($BL342)&gt;96,"leaf over 8'-0"&amp;CHAR(34)&amp;" - check listing, ","")&amp;IF(AND($CT342,COUNT($AW342:$AZ342)&gt;0,COUNT($AW342:$AZ342)&lt;&gt;$CQ342),COUNT($AW342:$AZ342)&amp;" custom hinges typed, "&amp;$CQ342&amp;" expected, ","")&amp;IF(AND(ISNUMBER($CA342),OR(N($CA342)&lt;34,N($CA342)&gt;48)),"lock "&amp;TEXT($CA342,"0.0")&amp;CHAR(34)&amp;" AFF outside 34-48"&amp;CHAR(34)&amp;" (ADA), ","")&amp;IF(AND(ISNUMBER($AV342),ISNUMBER($BL342),N($AV342)&lt;IF(N($BL342)&lt;=60,2,IF(N($BL342)&lt;=90,3,IF(N($BL342)&lt;=120,4,5)))),"fewer hinges than standard, ",""))</f>
        <v/>
      </c>
    </row>
    <row r="343" ht="15" customHeight="1">
      <c r="A343" s="77" t="n"/>
      <c r="B343" s="78" t="n"/>
      <c r="C343" s="78" t="n"/>
      <c r="D343" s="78" t="n"/>
      <c r="E343" s="78" t="n"/>
      <c r="F343" s="78" t="n"/>
      <c r="G343" s="78" t="n"/>
      <c r="H343" s="78" t="n"/>
      <c r="I343" s="78" t="n"/>
      <c r="J343" s="78" t="n"/>
      <c r="K343" s="78" t="n"/>
      <c r="L343" s="78" t="n"/>
      <c r="M343" s="78" t="n"/>
      <c r="N343" s="78" t="n"/>
      <c r="O343" s="78" t="n"/>
      <c r="P343" s="78" t="n"/>
      <c r="Q343" s="78" t="n"/>
      <c r="R343" s="78" t="n"/>
      <c r="S343" s="79" t="n"/>
      <c r="T343" s="79" t="n"/>
      <c r="U343" s="79" t="n"/>
      <c r="V343" s="79" t="n"/>
      <c r="W343" s="79" t="n"/>
      <c r="X343" s="79" t="n"/>
      <c r="Y343" s="79" t="n"/>
      <c r="Z343" s="79" t="n"/>
      <c r="AA343" s="79" t="n"/>
      <c r="AB343" s="79" t="n"/>
      <c r="AC343" s="79" t="n"/>
      <c r="AD343" s="79" t="n"/>
      <c r="AE343" s="79" t="n"/>
      <c r="AF343" s="79" t="n"/>
      <c r="AG343" s="79" t="n"/>
      <c r="AH343" s="80" t="n"/>
      <c r="AI343" s="80" t="n"/>
      <c r="AJ343" s="80" t="n"/>
      <c r="AK343" s="80" t="n"/>
      <c r="AL343" s="80" t="n"/>
      <c r="AM343" s="80" t="n"/>
      <c r="AN343" s="80" t="n"/>
      <c r="AO343" s="80" t="n"/>
      <c r="AP343" s="80" t="n"/>
      <c r="AQ343" s="80" t="n"/>
      <c r="AR343" s="80" t="n"/>
      <c r="AS343" s="80" t="n"/>
      <c r="AT343" s="81" t="n"/>
      <c r="AU343" s="81" t="n"/>
      <c r="AV343" s="81" t="n"/>
      <c r="AW343" s="82" t="n"/>
      <c r="AX343" s="82" t="n"/>
      <c r="AY343" s="82" t="n"/>
      <c r="AZ343" s="82" t="n"/>
      <c r="BA343" s="82" t="n"/>
      <c r="BB343" s="83" t="n"/>
      <c r="BC343" s="83" t="n"/>
      <c r="BD343" s="84">
        <f>IF($A343="","",IF($DJ343&lt;&gt;"","FIX",IF($DK343&lt;&gt;"","CHECK","OK")))</f>
        <v/>
      </c>
      <c r="BE343" s="85">
        <f>IF($A343="","",IF($DJ343&lt;&gt;"","FIX: "&amp;LEFT($DJ343,LEN($DJ343)-2)&amp;IF($DK343&lt;&gt;"","  ·  ",""),"")&amp;IF($DK343&lt;&gt;"","CHECK: "&amp;LEFT($DK343,LEN($DK343)-2),""))</f>
        <v/>
      </c>
      <c r="BF343" s="84">
        <f>IF(OR($A343="",$K343=""),"",$K343&amp;"'-"&amp;N($L343)&amp;CHAR(34)&amp;" x "&amp;$M343&amp;"'-"&amp;N($N343)&amp;CHAR(34))</f>
        <v/>
      </c>
      <c r="BG343" s="84">
        <f>IF(OR($A343="",$K343=""),"",$K343&amp;N($L343)&amp;$M343&amp;N($N343))</f>
        <v/>
      </c>
      <c r="BH343" s="84">
        <f>IF(OR($A343="",$K343=""),"",$K343*12+N($L343))</f>
        <v/>
      </c>
      <c r="BI343" s="84">
        <f>IF(OR($A343="",$M343=""),"",$M343*12+N($N343))</f>
        <v/>
      </c>
      <c r="BJ343" s="84">
        <f>IF($A343="","",IF(OR($C343="FRAME ONLY",$S343="BL"),0,IF($O343="Y",2,1)))</f>
        <v/>
      </c>
      <c r="BK343" s="86">
        <f>IF(OR(N($BJ343)=0,$BH343=""),"",($BH343-2*EdgeClr-IF($BJ343=2,MeetClr,0))/$BJ343)</f>
        <v/>
      </c>
      <c r="BL343" s="86">
        <f>IF(OR(N($BJ343)=0,$BI343=""),"",$BI343-HeadClr-Undercut)</f>
        <v/>
      </c>
      <c r="BM343" s="86">
        <f>IF($BH343="","",$BH343+2*FaceW+IF(N($Q343)&gt;0,($Q343+FaceW)*IF($R343="LR",2,1),0))</f>
        <v/>
      </c>
      <c r="BN343" s="86">
        <f>IF($BI343="","",$BI343+IF($AB343="Y",4,FaceW)+IF(N($P343)&gt;0,$P343+FaceW,0)+IF(OR($S343="4F",$S343="BL"),FaceW,0))</f>
        <v/>
      </c>
      <c r="BO343" s="86">
        <f>IF($BM343="","",$BM343+2*ROSide)</f>
        <v/>
      </c>
      <c r="BP343" s="86">
        <f>IF($BN343="","",$BN343+ROTop)</f>
        <v/>
      </c>
      <c r="BQ343" s="87">
        <f>IF(OR(N($BJ343)=0,$BH343=""),"",$BH343/$BJ343-ClearDeduct)</f>
        <v/>
      </c>
      <c r="BR343" s="84">
        <f>IF(N($CH343)=0,"",IF($CH343&gt;=180,"A · 3 HR",IF($CH343&gt;=90,"B · 1-1/2 HR",IF($CH343&gt;=60,"B · 1 HR",IF($CH343&gt;=45,"C · 3/4 HR","20 MIN")))))&amp;IF(AND(N($CH343)&gt;0,OR($I343="CORRIDOR",$I343="SMOKE BARRIER"))," · S","")</f>
        <v/>
      </c>
      <c r="BS343" s="84">
        <f>IF($CS343,"",IF($AV343&lt;&gt;"",$AV343,IF(OR($AC343="HGC",$AO343="HGC"),"CONT",IF(($BI343-HeadClr-Undercut)&lt;=60,2,IF(($BI343-HeadClr-Undercut)&lt;=90,3,IF(($BI343-HeadClr-Undercut)&lt;=120,4,5))))))</f>
        <v/>
      </c>
      <c r="BT343" s="84">
        <f>IF($CS343,"",IF($CT343,"CUSTOM (typed)",IF($CV343,$AT343&amp;" "&amp;$CU343&amp;CHAR(34)&amp;IF($CU343&lt;&gt;$BI343,IF(AND($BI343&lt;$CU343,$BI343-IF(N(VLOOKUP($AT343&amp;"|"&amp;$CU343,LocTable,7,FALSE))&gt;0,VLOOKUP($AT343&amp;"|"&amp;$CU343,LocTable,7,FALSE),VLOOKUP($AT343&amp;"|"&amp;$CU343,LocTable,6,FALSE))-$CR343-0.75&gt;=2.125)," cut down"," adj."),""),"ANSI/SDI A250.6")))</f>
        <v/>
      </c>
      <c r="BU343" s="88">
        <f>IF($CS343,"",IF($CT343,IF(N($AW343)&gt;0,N($AW343),""),IF(1&gt;$CQ343,"",IF($CQ343=1,$CW343,$CW343+($CX343-$CW343)*0/($CQ343-1)))))</f>
        <v/>
      </c>
      <c r="BV343" s="88">
        <f>IF($CS343,"",IF($CT343,IF(N($AX343)&gt;0,N($AX343),""),IF(2&gt;$CQ343,"",IF($CQ343=1,$CW343,$CW343+($CX343-$CW343)*1/($CQ343-1)))))</f>
        <v/>
      </c>
      <c r="BW343" s="88">
        <f>IF($CS343,"",IF($CT343,IF(N($AY343)&gt;0,N($AY343),""),IF(3&gt;$CQ343,"",IF($CQ343=1,$CW343,$CW343+($CX343-$CW343)*2/($CQ343-1)))))</f>
        <v/>
      </c>
      <c r="BX343" s="88">
        <f>IF($CS343,"",IF($CT343,IF(N($AZ343)&gt;0,N($AZ343),""),IF(4&gt;$CQ343,"",IF($CQ343=1,$CW343,$CW343+($CX343-$CW343)*3/($CQ343-1)))))</f>
        <v/>
      </c>
      <c r="BY343" s="88">
        <f>IF($CS343,"",IF($CT343,"",IF(5&gt;$CQ343,"",IF($CQ343=1,$CW343,$CW343+($CX343-$CW343)*4/($CQ343-1)))))</f>
        <v/>
      </c>
      <c r="BZ343" s="88">
        <f>IF(OR($CS343,$AP343="-",AND($AP343="",$AD343="")),"",IF(N($BA343)&gt;0,N($BA343),IF($CV343,IF(AND($BI343&lt;$CU343,$BI343-IF(N(VLOOKUP($AT343&amp;"|"&amp;$CU343,LocTable,7,FALSE))&gt;0,VLOOKUP($AT343&amp;"|"&amp;$CU343,LocTable,7,FALSE),VLOOKUP($AT343&amp;"|"&amp;$CU343,LocTable,6,FALSE))-$CR343-0.75&gt;=2.125),VLOOKUP($AT343&amp;"|"&amp;$CU343,LocTable,8,FALSE),VLOOKUP($AT343&amp;"|"&amp;$CU343,LocTable,8,FALSE)+($BI343-$CU343)),$BI343-LockAFF)))</f>
        <v/>
      </c>
      <c r="CA343" s="89">
        <f>IF($BZ343="","",$BI343-$BZ343)</f>
        <v/>
      </c>
      <c r="CB343" s="84">
        <f>IF(OR(NOT(AND($A343&lt;&gt;"",$C343&lt;&gt;"DOOR ONLY")),$BI343=""),"",IF(($BI343+IF(N($P343)&gt;0,$P343+FaceW,0))&lt;=90,3,IF(($BI343+IF(N($P343)&gt;0,$P343+FaceW,0))&lt;=114,4,5)))</f>
        <v/>
      </c>
      <c r="CC343" s="84">
        <f>IF($CB343="","",$CB343*(2+IF(N($Q343)&gt;0,IF($R343="LR",2,1),0)))</f>
        <v/>
      </c>
      <c r="CD343" s="84">
        <f>IF($CB343="","",(2+IF(N($Q343)&gt;0,IF($R343="LR",2,1),0)))</f>
        <v/>
      </c>
      <c r="CE343" s="84">
        <f>IF(N($BJ343)=0,"",IF(OR($AL343="",$AL343="FLUSH"),"FLUSH",IFERROR(LEFT($AL343,FIND("-",$AL343)-1),LEFT($AL343,2))))</f>
        <v/>
      </c>
      <c r="CF343" s="84">
        <f>IF($CE343="","",IFERROR(VALUE(MID($AL343,FIND("-",$AL343)+1,FIND(CHAR(34)&amp;"x",$AL343)-FIND("-",$AL343)-1)),0))</f>
        <v/>
      </c>
      <c r="CG343" s="84">
        <f>IF($CE343="","",IFERROR(VALUE(MID($AL343,FIND(CHAR(34)&amp;"x",$AL343)+2,FIND(CHAR(34),$AL343,FIND(CHAR(34)&amp;"x",$AL343)+2)-FIND(CHAR(34)&amp;"x",$AL343)-2)),0))</f>
        <v/>
      </c>
      <c r="CH343" s="90">
        <f>IF(OR($A343="",$H343="",$H343="NO LAB"),0,IFERROR(VALUE(LEFT($H343,FIND(" ",$H343)-1)),0))</f>
        <v/>
      </c>
      <c r="CI343" s="91">
        <f>IF(OR($A343="",$I343="",$I343="NON-RATED",N($J343)=0),"",IFERROR(VLOOKUP($I343&amp;"|"&amp;$J343,IBC,2,FALSE),"?"))</f>
        <v/>
      </c>
      <c r="CJ343" s="85">
        <f>IF(NOT(AND($A343&lt;&gt;"",$C343&lt;&gt;"DOOR ONLY")),"",TRIM(IFERROR(VLOOKUP($U343,CODES,2,FALSE),"")&amp;" "&amp;$BG343&amp;" "&amp;IFERROR(VLOOKUP($Z343,CODES,2,FALSE),"")&amp;" "&amp;IFERROR(VLOOKUP($X343,CODES,2,FALSE),"")&amp;" "&amp;IFERROR(VLOOKUP($S343,CODES,2,FALSE),"")&amp;IF(N($P343)&gt;0," w/TRANSOM "&amp;$P343&amp;CHAR(34),"")&amp;IF(N($Q343)&gt;0," w/SIDELITE "&amp;$Q343&amp;CHAR(34)&amp;" "&amp;IF($R343="","R",$R343),"")&amp;IF($Y343="","  |  "," | "&amp;IFERROR(VLOOKUP($Y343,CODES,2,FALSE),"")&amp;" | ")&amp;IFERROR(VLOOKUP($AC343,CODES,2,FALSE),"")&amp;" "&amp;IFERROR(VLOOKUP($AD343,CODES,2,FALSE),"")&amp;IF(OR($AE343="",$AE343="-"),""," "&amp;$AE343)&amp;IF(OR($AF343="",$AF343="-"),""," "&amp;$AF343)&amp;IF($AB343="Y"," 4"&amp;CHAR(34)&amp;" HEAD","")&amp;" "&amp;IFERROR(VLOOKUP($H343,CODES,2,FALSE),"")&amp;IF($CT343," | LOC "&amp;$CY343,"")))</f>
        <v/>
      </c>
      <c r="CK343" s="85">
        <f>IF(NOT(AND($A343&lt;&gt;"",N($BJ343)&gt;0)),"",TRIM(IFERROR(VLOOKUP($AH343,CODES,2,FALSE),"")&amp;IF($AI343=""," "," "&amp;$AI343&amp;"GA ")&amp;$BG343&amp;" "&amp;IF($AN343="",IFERROR(VLOOKUP($Z343,CODES,2,FALSE),""),IFERROR(VLOOKUP($AN343,CODES,2,FALSE),""))&amp;IF($BJ343=2," PAIR","")&amp;" DOOR | "&amp;IF($AL343="","?",$AL343)&amp;" | "&amp;IF($AO343="",IFERROR(VLOOKUP($AC343,CODES,2,FALSE),""),IFERROR(VLOOKUP($AO343,CODES,2,FALSE),""))&amp;" "&amp;IFERROR(VLOOKUP($AP343,CODES,2,FALSE),"")&amp;IF(OR($AQ343="",$AQ343="-"),""," SEAM "&amp;$AQ343)&amp;IF($AR343="Y"," ASTRAGAL","")&amp;IF($AJ343=""," "," "&amp;$AJ343)&amp;IF($AK343=""," "," "&amp;$AK343)&amp;IF(OR($AT343="",$AT343="ANSI/SDI",$AT343="CUSTOM LOC"),""," "&amp;$AT343)&amp;IF($AM343=""," "," SERIES "&amp;$AM343)&amp;" "&amp;IFERROR(VLOOKUP($H343,CODES,2,FALSE),"")&amp;IF($CT343," | LOC "&amp;$CZ343,"")))</f>
        <v/>
      </c>
      <c r="CL343" s="84">
        <f>IF(CP343="","",IF(COUNTIF($CP$6:CP343,CP343)=1,MAX($CL$5:CL342)+1,INDEX($CL$5:CL342,MATCH(CP343,$CP$5:CP342,0))))</f>
        <v/>
      </c>
      <c r="CM343" s="84">
        <f>IF(NOT(AND($A343&lt;&gt;"",$C343&lt;&gt;"DOOR ONLY")),"",MAX($CM$5:CM342)+1)</f>
        <v/>
      </c>
      <c r="CN343" s="84">
        <f>IF(NOT(AND($A343&lt;&gt;"",N($BJ343)&gt;0)),"",MAX($CN$5:CN342)+1)</f>
        <v/>
      </c>
      <c r="CO343" s="84">
        <f>IF($A343="","",MAX($CO$5:CO342)+1)</f>
        <v/>
      </c>
      <c r="CP343" s="84">
        <f>IF(OR($A343="",$BH343="",$BI343=""),"",$BG343&amp;"|"&amp;$O343&amp;"|"&amp;$AL343&amp;"|"&amp;$S343&amp;"|"&amp;$P343&amp;"|"&amp;$Q343&amp;$R343&amp;"|"&amp;$C343&amp;"|"&amp;$AB343)</f>
        <v/>
      </c>
      <c r="CQ343" s="84">
        <f>N($BS343)</f>
        <v/>
      </c>
      <c r="CR343" s="84">
        <f>IF(N($AU343)&gt;0,N($AU343),4.5)</f>
        <v/>
      </c>
      <c r="CS343" s="84">
        <f>OR($A343="",$BI343="",$S343="BL",AND($C343="FRAME ONLY",OR($AC343="",$AC343="BLK")))</f>
        <v/>
      </c>
      <c r="CT343" s="84">
        <f>AND(NOT($CS343),OR($AT343="CUSTOM LOC",N($AW343)+N($AX343)+N($AY343)+N($AZ343)+N($BA343)&gt;0))</f>
        <v/>
      </c>
      <c r="CU343" s="84">
        <f>IF($BI343="","",IF($BI343&lt;=80,80,IF($BI343&lt;=84,84,96)))</f>
        <v/>
      </c>
      <c r="CV343" s="84">
        <f>ISNUMBER(MATCH($AT343&amp;"|80",LocKeys,0))</f>
        <v/>
      </c>
      <c r="CW343" s="86">
        <f>IF($CS343,"",IF($CV343,VLOOKUP($AT343&amp;"|"&amp;$CU343,LocTable,4,FALSE),5))</f>
        <v/>
      </c>
      <c r="CX343" s="86">
        <f>IF($CS343,"",IF($CV343,IF(OR($BI343=$CU343,AND($BI343&lt;$CU343,$BI343-IF(N(VLOOKUP($AT343&amp;"|"&amp;$CU343,LocTable,7,FALSE))&gt;0,VLOOKUP($AT343&amp;"|"&amp;$CU343,LocTable,7,FALSE),VLOOKUP($AT343&amp;"|"&amp;$CU343,LocTable,6,FALSE))-$CR343-0.75&gt;=2.125)),IF(N(VLOOKUP($AT343&amp;"|"&amp;$CU343,LocTable,7,FALSE))&gt;0,VLOOKUP($AT343&amp;"|"&amp;$CU343,LocTable,7,FALSE),VLOOKUP($AT343&amp;"|"&amp;$CU343,LocTable,6,FALSE)),$BI343-($CU343-IF(N(VLOOKUP($AT343&amp;"|"&amp;$CU343,LocTable,7,FALSE))&gt;0,VLOOKUP($AT343&amp;"|"&amp;$CU343,LocTable,7,FALSE),VLOOKUP($AT343&amp;"|"&amp;$CU343,LocTable,6,FALSE)))),$BI343-10-$CR343))</f>
        <v/>
      </c>
      <c r="CY343" s="85">
        <f>IF($CS343,"",TRIM(IF(ISNUMBER($BU343),"A "&amp;TRIM(TEXT($BU343,"# ?/??"))&amp;CHAR(34)&amp;"  ","")&amp;IF(ISNUMBER($BV343),"B "&amp;TRIM(TEXT($BV343,"# ?/??"))&amp;CHAR(34)&amp;"  ","")&amp;IF(ISNUMBER($BW343),"C "&amp;TRIM(TEXT($BW343,"# ?/??"))&amp;CHAR(34)&amp;"  ","")&amp;IF(ISNUMBER($BX343),"D "&amp;TRIM(TEXT($BX343,"# ?/??"))&amp;CHAR(34)&amp;"  ","")&amp;IF(ISNUMBER($BY343),"F "&amp;TRIM(TEXT($BY343,"# ?/??"))&amp;CHAR(34)&amp;"  ","")&amp;IF(ISNUMBER($BZ343),"E "&amp;TRIM(TEXT($BZ343,"# ?/??"))&amp;CHAR(34)&amp;"  ","")))</f>
        <v/>
      </c>
      <c r="CZ343" s="85">
        <f>IF(OR($CS343,N($BJ343)=0),"",TRIM(IF(ISNUMBER($BU343),"A "&amp;TRIM(TEXT($BU343-HeadClr,"# ?/??"))&amp;CHAR(34)&amp;"  ","")&amp;IF(ISNUMBER($BV343),"B "&amp;TRIM(TEXT($BV343-HeadClr,"# ?/??"))&amp;CHAR(34)&amp;"  ","")&amp;IF(ISNUMBER($BW343),"C "&amp;TRIM(TEXT($BW343-HeadClr,"# ?/??"))&amp;CHAR(34)&amp;"  ","")&amp;IF(ISNUMBER($BX343),"D "&amp;TRIM(TEXT($BX343-HeadClr,"# ?/??"))&amp;CHAR(34)&amp;"  ","")&amp;IF(ISNUMBER($BY343),"F "&amp;TRIM(TEXT($BY343-HeadClr,"# ?/??"))&amp;CHAR(34)&amp;"  ","")&amp;IF(ISNUMBER($BZ343),"E "&amp;TRIM(TEXT($BZ343-HeadClr,"# ?/??"))&amp;CHAR(34)&amp;"  ","")))</f>
        <v/>
      </c>
      <c r="DA343" s="84">
        <f>IF($A343="","",IF($AN343="",IFERROR(VLOOKUP($Z343,CODES,2,FALSE),""),IFERROR(VLOOKUP($AN343,CODES,2,FALSE),"")))</f>
        <v/>
      </c>
      <c r="DB343" s="84">
        <f>IF($A343="","",IF($O343="Y","PR",IF(OR($Z343="L",$Z343="RR",LEFT($Z343,2)="L-",LEFT($Z343,3)="RR-"),"LH","RH")))</f>
        <v/>
      </c>
      <c r="DC343" s="84">
        <f>IF($A343="","","S.HM"&amp;IF(OR($C343="DOOR ONLY",$X343&lt;&gt;"KD"),"MASONRY","DRYWALL")&amp;IF($C343="DOOR ONLY","",$U343)&amp;IF(AND($C343&lt;&gt;"FRAME ONLY",OR(LEFT($AH343,3)="OAK",LEFT($AH343,3)="BIR",LEFT($AH343,3)="MAP",$AH343="PC",$AH343="MC",$AH343="SCLC",$AH343="P-LAM")),"WD","HM")&amp;"1.75")</f>
        <v/>
      </c>
      <c r="DD343" s="84">
        <f>IF($CJ343="","",IF($O343="Y",$CJ343,SUBSTITUTE($CJ343,$BG343&amp;" "&amp;IFERROR(VLOOKUP($Z343,CODES,2,FALSE),"")&amp;" ",$BG343&amp;" ")))</f>
        <v/>
      </c>
      <c r="DE343" s="84">
        <f>IF($CK343="","",IF($O343="Y",$CK343,SUBSTITUTE($CK343,$BG343&amp;" "&amp;IF($AN343="",IFERROR(VLOOKUP($Z343,CODES,2,FALSE),""),IFERROR(VLOOKUP($AN343,CODES,2,FALSE),""))&amp;" ",$BG343&amp;" ")))</f>
        <v/>
      </c>
      <c r="DF343" s="84">
        <f>IF($CJ343="","",$DC343&amp;"|"&amp;$DD343&amp;"|"&amp;$DB343&amp;"|"&amp;$AT343&amp;"|"&amp;$V343&amp;"|"&amp;$Y343&amp;"|"&amp;$AB343)</f>
        <v/>
      </c>
      <c r="DG343" s="84">
        <f>IF(DF343="","",IF(COUNTIF($DF$6:DF343,DF343)=1,MAX($DG$5:DG342)+1,INDEX($DG$5:DG342,MATCH(DF343,$DF$5:DF342,0))))</f>
        <v/>
      </c>
      <c r="DH343" s="84">
        <f>IF($CK343="","",$DC343&amp;"|"&amp;$DE343&amp;"|"&amp;$AI343&amp;"|"&amp;$BK343&amp;"|"&amp;$BL343)</f>
        <v/>
      </c>
      <c r="DI343" s="84">
        <f>IF(DH343="","",IF(COUNTIF($DH$6:DH343,DH343)=1,MAX($DI$5:DI342)+1,INDEX($DI$5:DI342,MATCH(DH343,$DH$5:DH342,0))))</f>
        <v/>
      </c>
      <c r="DJ343" s="84">
        <f>IF($A343="","",IF($B343="","qty, ","")&amp;IF($C343="","scope, ","")&amp;IF(OR($K343="",$M343=""),"size, ","")&amp;IF(AND($A343&lt;&gt;"",$C343&lt;&gt;"DOOR ONLY"),IF($U343="","jamb depth, ","")&amp;IF($X343="","construction, ","")&amp;IF($Y343="","anchor, ","")&amp;IF($S343="","frame type, ",""),"")&amp;IF(AND(N($BJ343)&gt;0,$Z343=""),"hand, ","")&amp;IF(N($BJ343)&gt;0,IF($AH343="","door material, ","")&amp;IF($AL343="","face type, ","")&amp;IF($AP343="","lock prep, ","")&amp;IF(AND($AO343="",$AC343=""),"hinge prep, ",""),"")&amp;IF(AND($CH343&gt;0,$AH343="FRP"),"FRP cannot carry a label, ","")&amp;IF(AND($O343="Y",OR($Z343="L",$Z343="R",$Z343="LR",$Z343="RR")),"pair marked but hand is single, ","")&amp;IF(AND($O343&lt;&gt;"Y",OR($Z343="PR",AND(LEN($Z343)&gt;1,ISNUMBER(SEARCH("-",$Z343))))),"pair hand on a single door, ","")&amp;IF(AND(ISNUMBER($CI343),$CH343&lt;N($CI343)),"wall needs a "&amp;$CI343&amp;" min door, ","")&amp;IF(AND($CH343&gt;=180,AND(OR($CE343="FG",$CE343="HG",$CE343="FNV",$CE343="FV"),N($CF343)*N($CG343)&gt;100)),"180 min lite over 100 sq in, ","")&amp;IF(N($BK343)&gt;48,"leaf wider than 4'-0"&amp;CHAR(34)&amp;", ","")&amp;IF(AND($CT343,COUNT($AW343:$AZ343)=0,$CQ343&gt;0),"CUSTOM LOC with no locations typed, ",""))</f>
        <v/>
      </c>
      <c r="DK343" s="84">
        <f>IF($A343="","",IF(AND($CH343&gt;0,AND($A343&lt;&gt;"",$C343&lt;&gt;"DOOR ONLY"),$X343="KD",$E343="EXTERIOR"),"KD label on an exterior opening, ","")&amp;IF(AND($E343="EXTERIOR",OR(AND(AND($A343&lt;&gt;"",$C343&lt;&gt;"DOOR ONLY"),$W343="CR"),AND(N($BJ343)&gt;0,$AH343="CR"))),"exterior in CR steel (G9?), ","")&amp;IF(AND(ISNUMBER($BQ343),N($BQ343)&lt;32),"clear width ~"&amp;TEXT($BQ343,"0.0")&amp;CHAR(34)&amp;" under 32"&amp;CHAR(34)&amp;" (ADA), ","")&amp;IF(AND($CH343=90,AND(OR($CE343="FG",$CE343="HG",$CE343="FNV",$CE343="FV"),N($CF343)*N($CG343)&gt;100)),"90 min lite over 100 sq in (stair/exit), ","")&amp;IF(AND($CH343&gt;0,AND($A343&lt;&gt;"",$C343&lt;&gt;"DOOR ONLY"),OR($AF343="",$AF343="-")),"rated: closer reinf.?, ","")&amp;IF(OR($I343="CORRIDOR",$I343="SMOKE BARRIER"),"S label + smoke gasketing, ","")&amp;IF($CI343="?","wall type/hr not in IBC table, ","")&amp;IF(AND(N($BJ343)&gt;0,$BB343=""),"no hardware set, ","")&amp;IF(AND($BB343&lt;&gt;"",ISNA(MATCH($BB343&amp;"",HWSets,0))),"set "&amp;$BB343&amp;" not on HW Sets, ","")&amp;IF(N($BL343)&gt;96,"leaf over 8'-0"&amp;CHAR(34)&amp;" - check listing, ","")&amp;IF(AND($CT343,COUNT($AW343:$AZ343)&gt;0,COUNT($AW343:$AZ343)&lt;&gt;$CQ343),COUNT($AW343:$AZ343)&amp;" custom hinges typed, "&amp;$CQ343&amp;" expected, ","")&amp;IF(AND(ISNUMBER($CA343),OR(N($CA343)&lt;34,N($CA343)&gt;48)),"lock "&amp;TEXT($CA343,"0.0")&amp;CHAR(34)&amp;" AFF outside 34-48"&amp;CHAR(34)&amp;" (ADA), ","")&amp;IF(AND(ISNUMBER($AV343),ISNUMBER($BL343),N($AV343)&lt;IF(N($BL343)&lt;=60,2,IF(N($BL343)&lt;=90,3,IF(N($BL343)&lt;=120,4,5)))),"fewer hinges than standard, ",""))</f>
        <v/>
      </c>
    </row>
    <row r="344" ht="15" customHeight="1">
      <c r="A344" s="77" t="n"/>
      <c r="B344" s="78" t="n"/>
      <c r="C344" s="78" t="n"/>
      <c r="D344" s="78" t="n"/>
      <c r="E344" s="78" t="n"/>
      <c r="F344" s="78" t="n"/>
      <c r="G344" s="78" t="n"/>
      <c r="H344" s="78" t="n"/>
      <c r="I344" s="78" t="n"/>
      <c r="J344" s="78" t="n"/>
      <c r="K344" s="78" t="n"/>
      <c r="L344" s="78" t="n"/>
      <c r="M344" s="78" t="n"/>
      <c r="N344" s="78" t="n"/>
      <c r="O344" s="78" t="n"/>
      <c r="P344" s="78" t="n"/>
      <c r="Q344" s="78" t="n"/>
      <c r="R344" s="78" t="n"/>
      <c r="S344" s="79" t="n"/>
      <c r="T344" s="79" t="n"/>
      <c r="U344" s="79" t="n"/>
      <c r="V344" s="79" t="n"/>
      <c r="W344" s="79" t="n"/>
      <c r="X344" s="79" t="n"/>
      <c r="Y344" s="79" t="n"/>
      <c r="Z344" s="79" t="n"/>
      <c r="AA344" s="79" t="n"/>
      <c r="AB344" s="79" t="n"/>
      <c r="AC344" s="79" t="n"/>
      <c r="AD344" s="79" t="n"/>
      <c r="AE344" s="79" t="n"/>
      <c r="AF344" s="79" t="n"/>
      <c r="AG344" s="79" t="n"/>
      <c r="AH344" s="80" t="n"/>
      <c r="AI344" s="80" t="n"/>
      <c r="AJ344" s="80" t="n"/>
      <c r="AK344" s="80" t="n"/>
      <c r="AL344" s="80" t="n"/>
      <c r="AM344" s="80" t="n"/>
      <c r="AN344" s="80" t="n"/>
      <c r="AO344" s="80" t="n"/>
      <c r="AP344" s="80" t="n"/>
      <c r="AQ344" s="80" t="n"/>
      <c r="AR344" s="80" t="n"/>
      <c r="AS344" s="80" t="n"/>
      <c r="AT344" s="81" t="n"/>
      <c r="AU344" s="81" t="n"/>
      <c r="AV344" s="81" t="n"/>
      <c r="AW344" s="82" t="n"/>
      <c r="AX344" s="82" t="n"/>
      <c r="AY344" s="82" t="n"/>
      <c r="AZ344" s="82" t="n"/>
      <c r="BA344" s="82" t="n"/>
      <c r="BB344" s="83" t="n"/>
      <c r="BC344" s="83" t="n"/>
      <c r="BD344" s="84">
        <f>IF($A344="","",IF($DJ344&lt;&gt;"","FIX",IF($DK344&lt;&gt;"","CHECK","OK")))</f>
        <v/>
      </c>
      <c r="BE344" s="85">
        <f>IF($A344="","",IF($DJ344&lt;&gt;"","FIX: "&amp;LEFT($DJ344,LEN($DJ344)-2)&amp;IF($DK344&lt;&gt;"","  ·  ",""),"")&amp;IF($DK344&lt;&gt;"","CHECK: "&amp;LEFT($DK344,LEN($DK344)-2),""))</f>
        <v/>
      </c>
      <c r="BF344" s="84">
        <f>IF(OR($A344="",$K344=""),"",$K344&amp;"'-"&amp;N($L344)&amp;CHAR(34)&amp;" x "&amp;$M344&amp;"'-"&amp;N($N344)&amp;CHAR(34))</f>
        <v/>
      </c>
      <c r="BG344" s="84">
        <f>IF(OR($A344="",$K344=""),"",$K344&amp;N($L344)&amp;$M344&amp;N($N344))</f>
        <v/>
      </c>
      <c r="BH344" s="84">
        <f>IF(OR($A344="",$K344=""),"",$K344*12+N($L344))</f>
        <v/>
      </c>
      <c r="BI344" s="84">
        <f>IF(OR($A344="",$M344=""),"",$M344*12+N($N344))</f>
        <v/>
      </c>
      <c r="BJ344" s="84">
        <f>IF($A344="","",IF(OR($C344="FRAME ONLY",$S344="BL"),0,IF($O344="Y",2,1)))</f>
        <v/>
      </c>
      <c r="BK344" s="86">
        <f>IF(OR(N($BJ344)=0,$BH344=""),"",($BH344-2*EdgeClr-IF($BJ344=2,MeetClr,0))/$BJ344)</f>
        <v/>
      </c>
      <c r="BL344" s="86">
        <f>IF(OR(N($BJ344)=0,$BI344=""),"",$BI344-HeadClr-Undercut)</f>
        <v/>
      </c>
      <c r="BM344" s="86">
        <f>IF($BH344="","",$BH344+2*FaceW+IF(N($Q344)&gt;0,($Q344+FaceW)*IF($R344="LR",2,1),0))</f>
        <v/>
      </c>
      <c r="BN344" s="86">
        <f>IF($BI344="","",$BI344+IF($AB344="Y",4,FaceW)+IF(N($P344)&gt;0,$P344+FaceW,0)+IF(OR($S344="4F",$S344="BL"),FaceW,0))</f>
        <v/>
      </c>
      <c r="BO344" s="86">
        <f>IF($BM344="","",$BM344+2*ROSide)</f>
        <v/>
      </c>
      <c r="BP344" s="86">
        <f>IF($BN344="","",$BN344+ROTop)</f>
        <v/>
      </c>
      <c r="BQ344" s="87">
        <f>IF(OR(N($BJ344)=0,$BH344=""),"",$BH344/$BJ344-ClearDeduct)</f>
        <v/>
      </c>
      <c r="BR344" s="84">
        <f>IF(N($CH344)=0,"",IF($CH344&gt;=180,"A · 3 HR",IF($CH344&gt;=90,"B · 1-1/2 HR",IF($CH344&gt;=60,"B · 1 HR",IF($CH344&gt;=45,"C · 3/4 HR","20 MIN")))))&amp;IF(AND(N($CH344)&gt;0,OR($I344="CORRIDOR",$I344="SMOKE BARRIER"))," · S","")</f>
        <v/>
      </c>
      <c r="BS344" s="84">
        <f>IF($CS344,"",IF($AV344&lt;&gt;"",$AV344,IF(OR($AC344="HGC",$AO344="HGC"),"CONT",IF(($BI344-HeadClr-Undercut)&lt;=60,2,IF(($BI344-HeadClr-Undercut)&lt;=90,3,IF(($BI344-HeadClr-Undercut)&lt;=120,4,5))))))</f>
        <v/>
      </c>
      <c r="BT344" s="84">
        <f>IF($CS344,"",IF($CT344,"CUSTOM (typed)",IF($CV344,$AT344&amp;" "&amp;$CU344&amp;CHAR(34)&amp;IF($CU344&lt;&gt;$BI344,IF(AND($BI344&lt;$CU344,$BI344-IF(N(VLOOKUP($AT344&amp;"|"&amp;$CU344,LocTable,7,FALSE))&gt;0,VLOOKUP($AT344&amp;"|"&amp;$CU344,LocTable,7,FALSE),VLOOKUP($AT344&amp;"|"&amp;$CU344,LocTable,6,FALSE))-$CR344-0.75&gt;=2.125)," cut down"," adj."),""),"ANSI/SDI A250.6")))</f>
        <v/>
      </c>
      <c r="BU344" s="88">
        <f>IF($CS344,"",IF($CT344,IF(N($AW344)&gt;0,N($AW344),""),IF(1&gt;$CQ344,"",IF($CQ344=1,$CW344,$CW344+($CX344-$CW344)*0/($CQ344-1)))))</f>
        <v/>
      </c>
      <c r="BV344" s="88">
        <f>IF($CS344,"",IF($CT344,IF(N($AX344)&gt;0,N($AX344),""),IF(2&gt;$CQ344,"",IF($CQ344=1,$CW344,$CW344+($CX344-$CW344)*1/($CQ344-1)))))</f>
        <v/>
      </c>
      <c r="BW344" s="88">
        <f>IF($CS344,"",IF($CT344,IF(N($AY344)&gt;0,N($AY344),""),IF(3&gt;$CQ344,"",IF($CQ344=1,$CW344,$CW344+($CX344-$CW344)*2/($CQ344-1)))))</f>
        <v/>
      </c>
      <c r="BX344" s="88">
        <f>IF($CS344,"",IF($CT344,IF(N($AZ344)&gt;0,N($AZ344),""),IF(4&gt;$CQ344,"",IF($CQ344=1,$CW344,$CW344+($CX344-$CW344)*3/($CQ344-1)))))</f>
        <v/>
      </c>
      <c r="BY344" s="88">
        <f>IF($CS344,"",IF($CT344,"",IF(5&gt;$CQ344,"",IF($CQ344=1,$CW344,$CW344+($CX344-$CW344)*4/($CQ344-1)))))</f>
        <v/>
      </c>
      <c r="BZ344" s="88">
        <f>IF(OR($CS344,$AP344="-",AND($AP344="",$AD344="")),"",IF(N($BA344)&gt;0,N($BA344),IF($CV344,IF(AND($BI344&lt;$CU344,$BI344-IF(N(VLOOKUP($AT344&amp;"|"&amp;$CU344,LocTable,7,FALSE))&gt;0,VLOOKUP($AT344&amp;"|"&amp;$CU344,LocTable,7,FALSE),VLOOKUP($AT344&amp;"|"&amp;$CU344,LocTable,6,FALSE))-$CR344-0.75&gt;=2.125),VLOOKUP($AT344&amp;"|"&amp;$CU344,LocTable,8,FALSE),VLOOKUP($AT344&amp;"|"&amp;$CU344,LocTable,8,FALSE)+($BI344-$CU344)),$BI344-LockAFF)))</f>
        <v/>
      </c>
      <c r="CA344" s="89">
        <f>IF($BZ344="","",$BI344-$BZ344)</f>
        <v/>
      </c>
      <c r="CB344" s="84">
        <f>IF(OR(NOT(AND($A344&lt;&gt;"",$C344&lt;&gt;"DOOR ONLY")),$BI344=""),"",IF(($BI344+IF(N($P344)&gt;0,$P344+FaceW,0))&lt;=90,3,IF(($BI344+IF(N($P344)&gt;0,$P344+FaceW,0))&lt;=114,4,5)))</f>
        <v/>
      </c>
      <c r="CC344" s="84">
        <f>IF($CB344="","",$CB344*(2+IF(N($Q344)&gt;0,IF($R344="LR",2,1),0)))</f>
        <v/>
      </c>
      <c r="CD344" s="84">
        <f>IF($CB344="","",(2+IF(N($Q344)&gt;0,IF($R344="LR",2,1),0)))</f>
        <v/>
      </c>
      <c r="CE344" s="84">
        <f>IF(N($BJ344)=0,"",IF(OR($AL344="",$AL344="FLUSH"),"FLUSH",IFERROR(LEFT($AL344,FIND("-",$AL344)-1),LEFT($AL344,2))))</f>
        <v/>
      </c>
      <c r="CF344" s="84">
        <f>IF($CE344="","",IFERROR(VALUE(MID($AL344,FIND("-",$AL344)+1,FIND(CHAR(34)&amp;"x",$AL344)-FIND("-",$AL344)-1)),0))</f>
        <v/>
      </c>
      <c r="CG344" s="84">
        <f>IF($CE344="","",IFERROR(VALUE(MID($AL344,FIND(CHAR(34)&amp;"x",$AL344)+2,FIND(CHAR(34),$AL344,FIND(CHAR(34)&amp;"x",$AL344)+2)-FIND(CHAR(34)&amp;"x",$AL344)-2)),0))</f>
        <v/>
      </c>
      <c r="CH344" s="90">
        <f>IF(OR($A344="",$H344="",$H344="NO LAB"),0,IFERROR(VALUE(LEFT($H344,FIND(" ",$H344)-1)),0))</f>
        <v/>
      </c>
      <c r="CI344" s="91">
        <f>IF(OR($A344="",$I344="",$I344="NON-RATED",N($J344)=0),"",IFERROR(VLOOKUP($I344&amp;"|"&amp;$J344,IBC,2,FALSE),"?"))</f>
        <v/>
      </c>
      <c r="CJ344" s="85">
        <f>IF(NOT(AND($A344&lt;&gt;"",$C344&lt;&gt;"DOOR ONLY")),"",TRIM(IFERROR(VLOOKUP($U344,CODES,2,FALSE),"")&amp;" "&amp;$BG344&amp;" "&amp;IFERROR(VLOOKUP($Z344,CODES,2,FALSE),"")&amp;" "&amp;IFERROR(VLOOKUP($X344,CODES,2,FALSE),"")&amp;" "&amp;IFERROR(VLOOKUP($S344,CODES,2,FALSE),"")&amp;IF(N($P344)&gt;0," w/TRANSOM "&amp;$P344&amp;CHAR(34),"")&amp;IF(N($Q344)&gt;0," w/SIDELITE "&amp;$Q344&amp;CHAR(34)&amp;" "&amp;IF($R344="","R",$R344),"")&amp;IF($Y344="","  |  "," | "&amp;IFERROR(VLOOKUP($Y344,CODES,2,FALSE),"")&amp;" | ")&amp;IFERROR(VLOOKUP($AC344,CODES,2,FALSE),"")&amp;" "&amp;IFERROR(VLOOKUP($AD344,CODES,2,FALSE),"")&amp;IF(OR($AE344="",$AE344="-"),""," "&amp;$AE344)&amp;IF(OR($AF344="",$AF344="-"),""," "&amp;$AF344)&amp;IF($AB344="Y"," 4"&amp;CHAR(34)&amp;" HEAD","")&amp;" "&amp;IFERROR(VLOOKUP($H344,CODES,2,FALSE),"")&amp;IF($CT344," | LOC "&amp;$CY344,"")))</f>
        <v/>
      </c>
      <c r="CK344" s="85">
        <f>IF(NOT(AND($A344&lt;&gt;"",N($BJ344)&gt;0)),"",TRIM(IFERROR(VLOOKUP($AH344,CODES,2,FALSE),"")&amp;IF($AI344=""," "," "&amp;$AI344&amp;"GA ")&amp;$BG344&amp;" "&amp;IF($AN344="",IFERROR(VLOOKUP($Z344,CODES,2,FALSE),""),IFERROR(VLOOKUP($AN344,CODES,2,FALSE),""))&amp;IF($BJ344=2," PAIR","")&amp;" DOOR | "&amp;IF($AL344="","?",$AL344)&amp;" | "&amp;IF($AO344="",IFERROR(VLOOKUP($AC344,CODES,2,FALSE),""),IFERROR(VLOOKUP($AO344,CODES,2,FALSE),""))&amp;" "&amp;IFERROR(VLOOKUP($AP344,CODES,2,FALSE),"")&amp;IF(OR($AQ344="",$AQ344="-"),""," SEAM "&amp;$AQ344)&amp;IF($AR344="Y"," ASTRAGAL","")&amp;IF($AJ344=""," "," "&amp;$AJ344)&amp;IF($AK344=""," "," "&amp;$AK344)&amp;IF(OR($AT344="",$AT344="ANSI/SDI",$AT344="CUSTOM LOC"),""," "&amp;$AT344)&amp;IF($AM344=""," "," SERIES "&amp;$AM344)&amp;" "&amp;IFERROR(VLOOKUP($H344,CODES,2,FALSE),"")&amp;IF($CT344," | LOC "&amp;$CZ344,"")))</f>
        <v/>
      </c>
      <c r="CL344" s="84">
        <f>IF(CP344="","",IF(COUNTIF($CP$6:CP344,CP344)=1,MAX($CL$5:CL343)+1,INDEX($CL$5:CL343,MATCH(CP344,$CP$5:CP343,0))))</f>
        <v/>
      </c>
      <c r="CM344" s="84">
        <f>IF(NOT(AND($A344&lt;&gt;"",$C344&lt;&gt;"DOOR ONLY")),"",MAX($CM$5:CM343)+1)</f>
        <v/>
      </c>
      <c r="CN344" s="84">
        <f>IF(NOT(AND($A344&lt;&gt;"",N($BJ344)&gt;0)),"",MAX($CN$5:CN343)+1)</f>
        <v/>
      </c>
      <c r="CO344" s="84">
        <f>IF($A344="","",MAX($CO$5:CO343)+1)</f>
        <v/>
      </c>
      <c r="CP344" s="84">
        <f>IF(OR($A344="",$BH344="",$BI344=""),"",$BG344&amp;"|"&amp;$O344&amp;"|"&amp;$AL344&amp;"|"&amp;$S344&amp;"|"&amp;$P344&amp;"|"&amp;$Q344&amp;$R344&amp;"|"&amp;$C344&amp;"|"&amp;$AB344)</f>
        <v/>
      </c>
      <c r="CQ344" s="84">
        <f>N($BS344)</f>
        <v/>
      </c>
      <c r="CR344" s="84">
        <f>IF(N($AU344)&gt;0,N($AU344),4.5)</f>
        <v/>
      </c>
      <c r="CS344" s="84">
        <f>OR($A344="",$BI344="",$S344="BL",AND($C344="FRAME ONLY",OR($AC344="",$AC344="BLK")))</f>
        <v/>
      </c>
      <c r="CT344" s="84">
        <f>AND(NOT($CS344),OR($AT344="CUSTOM LOC",N($AW344)+N($AX344)+N($AY344)+N($AZ344)+N($BA344)&gt;0))</f>
        <v/>
      </c>
      <c r="CU344" s="84">
        <f>IF($BI344="","",IF($BI344&lt;=80,80,IF($BI344&lt;=84,84,96)))</f>
        <v/>
      </c>
      <c r="CV344" s="84">
        <f>ISNUMBER(MATCH($AT344&amp;"|80",LocKeys,0))</f>
        <v/>
      </c>
      <c r="CW344" s="86">
        <f>IF($CS344,"",IF($CV344,VLOOKUP($AT344&amp;"|"&amp;$CU344,LocTable,4,FALSE),5))</f>
        <v/>
      </c>
      <c r="CX344" s="86">
        <f>IF($CS344,"",IF($CV344,IF(OR($BI344=$CU344,AND($BI344&lt;$CU344,$BI344-IF(N(VLOOKUP($AT344&amp;"|"&amp;$CU344,LocTable,7,FALSE))&gt;0,VLOOKUP($AT344&amp;"|"&amp;$CU344,LocTable,7,FALSE),VLOOKUP($AT344&amp;"|"&amp;$CU344,LocTable,6,FALSE))-$CR344-0.75&gt;=2.125)),IF(N(VLOOKUP($AT344&amp;"|"&amp;$CU344,LocTable,7,FALSE))&gt;0,VLOOKUP($AT344&amp;"|"&amp;$CU344,LocTable,7,FALSE),VLOOKUP($AT344&amp;"|"&amp;$CU344,LocTable,6,FALSE)),$BI344-($CU344-IF(N(VLOOKUP($AT344&amp;"|"&amp;$CU344,LocTable,7,FALSE))&gt;0,VLOOKUP($AT344&amp;"|"&amp;$CU344,LocTable,7,FALSE),VLOOKUP($AT344&amp;"|"&amp;$CU344,LocTable,6,FALSE)))),$BI344-10-$CR344))</f>
        <v/>
      </c>
      <c r="CY344" s="85">
        <f>IF($CS344,"",TRIM(IF(ISNUMBER($BU344),"A "&amp;TRIM(TEXT($BU344,"# ?/??"))&amp;CHAR(34)&amp;"  ","")&amp;IF(ISNUMBER($BV344),"B "&amp;TRIM(TEXT($BV344,"# ?/??"))&amp;CHAR(34)&amp;"  ","")&amp;IF(ISNUMBER($BW344),"C "&amp;TRIM(TEXT($BW344,"# ?/??"))&amp;CHAR(34)&amp;"  ","")&amp;IF(ISNUMBER($BX344),"D "&amp;TRIM(TEXT($BX344,"# ?/??"))&amp;CHAR(34)&amp;"  ","")&amp;IF(ISNUMBER($BY344),"F "&amp;TRIM(TEXT($BY344,"# ?/??"))&amp;CHAR(34)&amp;"  ","")&amp;IF(ISNUMBER($BZ344),"E "&amp;TRIM(TEXT($BZ344,"# ?/??"))&amp;CHAR(34)&amp;"  ","")))</f>
        <v/>
      </c>
      <c r="CZ344" s="85">
        <f>IF(OR($CS344,N($BJ344)=0),"",TRIM(IF(ISNUMBER($BU344),"A "&amp;TRIM(TEXT($BU344-HeadClr,"# ?/??"))&amp;CHAR(34)&amp;"  ","")&amp;IF(ISNUMBER($BV344),"B "&amp;TRIM(TEXT($BV344-HeadClr,"# ?/??"))&amp;CHAR(34)&amp;"  ","")&amp;IF(ISNUMBER($BW344),"C "&amp;TRIM(TEXT($BW344-HeadClr,"# ?/??"))&amp;CHAR(34)&amp;"  ","")&amp;IF(ISNUMBER($BX344),"D "&amp;TRIM(TEXT($BX344-HeadClr,"# ?/??"))&amp;CHAR(34)&amp;"  ","")&amp;IF(ISNUMBER($BY344),"F "&amp;TRIM(TEXT($BY344-HeadClr,"# ?/??"))&amp;CHAR(34)&amp;"  ","")&amp;IF(ISNUMBER($BZ344),"E "&amp;TRIM(TEXT($BZ344-HeadClr,"# ?/??"))&amp;CHAR(34)&amp;"  ","")))</f>
        <v/>
      </c>
      <c r="DA344" s="84">
        <f>IF($A344="","",IF($AN344="",IFERROR(VLOOKUP($Z344,CODES,2,FALSE),""),IFERROR(VLOOKUP($AN344,CODES,2,FALSE),"")))</f>
        <v/>
      </c>
      <c r="DB344" s="84">
        <f>IF($A344="","",IF($O344="Y","PR",IF(OR($Z344="L",$Z344="RR",LEFT($Z344,2)="L-",LEFT($Z344,3)="RR-"),"LH","RH")))</f>
        <v/>
      </c>
      <c r="DC344" s="84">
        <f>IF($A344="","","S.HM"&amp;IF(OR($C344="DOOR ONLY",$X344&lt;&gt;"KD"),"MASONRY","DRYWALL")&amp;IF($C344="DOOR ONLY","",$U344)&amp;IF(AND($C344&lt;&gt;"FRAME ONLY",OR(LEFT($AH344,3)="OAK",LEFT($AH344,3)="BIR",LEFT($AH344,3)="MAP",$AH344="PC",$AH344="MC",$AH344="SCLC",$AH344="P-LAM")),"WD","HM")&amp;"1.75")</f>
        <v/>
      </c>
      <c r="DD344" s="84">
        <f>IF($CJ344="","",IF($O344="Y",$CJ344,SUBSTITUTE($CJ344,$BG344&amp;" "&amp;IFERROR(VLOOKUP($Z344,CODES,2,FALSE),"")&amp;" ",$BG344&amp;" ")))</f>
        <v/>
      </c>
      <c r="DE344" s="84">
        <f>IF($CK344="","",IF($O344="Y",$CK344,SUBSTITUTE($CK344,$BG344&amp;" "&amp;IF($AN344="",IFERROR(VLOOKUP($Z344,CODES,2,FALSE),""),IFERROR(VLOOKUP($AN344,CODES,2,FALSE),""))&amp;" ",$BG344&amp;" ")))</f>
        <v/>
      </c>
      <c r="DF344" s="84">
        <f>IF($CJ344="","",$DC344&amp;"|"&amp;$DD344&amp;"|"&amp;$DB344&amp;"|"&amp;$AT344&amp;"|"&amp;$V344&amp;"|"&amp;$Y344&amp;"|"&amp;$AB344)</f>
        <v/>
      </c>
      <c r="DG344" s="84">
        <f>IF(DF344="","",IF(COUNTIF($DF$6:DF344,DF344)=1,MAX($DG$5:DG343)+1,INDEX($DG$5:DG343,MATCH(DF344,$DF$5:DF343,0))))</f>
        <v/>
      </c>
      <c r="DH344" s="84">
        <f>IF($CK344="","",$DC344&amp;"|"&amp;$DE344&amp;"|"&amp;$AI344&amp;"|"&amp;$BK344&amp;"|"&amp;$BL344)</f>
        <v/>
      </c>
      <c r="DI344" s="84">
        <f>IF(DH344="","",IF(COUNTIF($DH$6:DH344,DH344)=1,MAX($DI$5:DI343)+1,INDEX($DI$5:DI343,MATCH(DH344,$DH$5:DH343,0))))</f>
        <v/>
      </c>
      <c r="DJ344" s="84">
        <f>IF($A344="","",IF($B344="","qty, ","")&amp;IF($C344="","scope, ","")&amp;IF(OR($K344="",$M344=""),"size, ","")&amp;IF(AND($A344&lt;&gt;"",$C344&lt;&gt;"DOOR ONLY"),IF($U344="","jamb depth, ","")&amp;IF($X344="","construction, ","")&amp;IF($Y344="","anchor, ","")&amp;IF($S344="","frame type, ",""),"")&amp;IF(AND(N($BJ344)&gt;0,$Z344=""),"hand, ","")&amp;IF(N($BJ344)&gt;0,IF($AH344="","door material, ","")&amp;IF($AL344="","face type, ","")&amp;IF($AP344="","lock prep, ","")&amp;IF(AND($AO344="",$AC344=""),"hinge prep, ",""),"")&amp;IF(AND($CH344&gt;0,$AH344="FRP"),"FRP cannot carry a label, ","")&amp;IF(AND($O344="Y",OR($Z344="L",$Z344="R",$Z344="LR",$Z344="RR")),"pair marked but hand is single, ","")&amp;IF(AND($O344&lt;&gt;"Y",OR($Z344="PR",AND(LEN($Z344)&gt;1,ISNUMBER(SEARCH("-",$Z344))))),"pair hand on a single door, ","")&amp;IF(AND(ISNUMBER($CI344),$CH344&lt;N($CI344)),"wall needs a "&amp;$CI344&amp;" min door, ","")&amp;IF(AND($CH344&gt;=180,AND(OR($CE344="FG",$CE344="HG",$CE344="FNV",$CE344="FV"),N($CF344)*N($CG344)&gt;100)),"180 min lite over 100 sq in, ","")&amp;IF(N($BK344)&gt;48,"leaf wider than 4'-0"&amp;CHAR(34)&amp;", ","")&amp;IF(AND($CT344,COUNT($AW344:$AZ344)=0,$CQ344&gt;0),"CUSTOM LOC with no locations typed, ",""))</f>
        <v/>
      </c>
      <c r="DK344" s="84">
        <f>IF($A344="","",IF(AND($CH344&gt;0,AND($A344&lt;&gt;"",$C344&lt;&gt;"DOOR ONLY"),$X344="KD",$E344="EXTERIOR"),"KD label on an exterior opening, ","")&amp;IF(AND($E344="EXTERIOR",OR(AND(AND($A344&lt;&gt;"",$C344&lt;&gt;"DOOR ONLY"),$W344="CR"),AND(N($BJ344)&gt;0,$AH344="CR"))),"exterior in CR steel (G9?), ","")&amp;IF(AND(ISNUMBER($BQ344),N($BQ344)&lt;32),"clear width ~"&amp;TEXT($BQ344,"0.0")&amp;CHAR(34)&amp;" under 32"&amp;CHAR(34)&amp;" (ADA), ","")&amp;IF(AND($CH344=90,AND(OR($CE344="FG",$CE344="HG",$CE344="FNV",$CE344="FV"),N($CF344)*N($CG344)&gt;100)),"90 min lite over 100 sq in (stair/exit), ","")&amp;IF(AND($CH344&gt;0,AND($A344&lt;&gt;"",$C344&lt;&gt;"DOOR ONLY"),OR($AF344="",$AF344="-")),"rated: closer reinf.?, ","")&amp;IF(OR($I344="CORRIDOR",$I344="SMOKE BARRIER"),"S label + smoke gasketing, ","")&amp;IF($CI344="?","wall type/hr not in IBC table, ","")&amp;IF(AND(N($BJ344)&gt;0,$BB344=""),"no hardware set, ","")&amp;IF(AND($BB344&lt;&gt;"",ISNA(MATCH($BB344&amp;"",HWSets,0))),"set "&amp;$BB344&amp;" not on HW Sets, ","")&amp;IF(N($BL344)&gt;96,"leaf over 8'-0"&amp;CHAR(34)&amp;" - check listing, ","")&amp;IF(AND($CT344,COUNT($AW344:$AZ344)&gt;0,COUNT($AW344:$AZ344)&lt;&gt;$CQ344),COUNT($AW344:$AZ344)&amp;" custom hinges typed, "&amp;$CQ344&amp;" expected, ","")&amp;IF(AND(ISNUMBER($CA344),OR(N($CA344)&lt;34,N($CA344)&gt;48)),"lock "&amp;TEXT($CA344,"0.0")&amp;CHAR(34)&amp;" AFF outside 34-48"&amp;CHAR(34)&amp;" (ADA), ","")&amp;IF(AND(ISNUMBER($AV344),ISNUMBER($BL344),N($AV344)&lt;IF(N($BL344)&lt;=60,2,IF(N($BL344)&lt;=90,3,IF(N($BL344)&lt;=120,4,5)))),"fewer hinges than standard, ",""))</f>
        <v/>
      </c>
    </row>
    <row r="345" ht="15" customHeight="1">
      <c r="A345" s="92" t="n"/>
      <c r="B345" s="93" t="n"/>
      <c r="C345" s="93" t="n"/>
      <c r="D345" s="93" t="n"/>
      <c r="E345" s="93" t="n"/>
      <c r="F345" s="93" t="n"/>
      <c r="G345" s="93" t="n"/>
      <c r="H345" s="93" t="n"/>
      <c r="I345" s="93" t="n"/>
      <c r="J345" s="93" t="n"/>
      <c r="K345" s="93" t="n"/>
      <c r="L345" s="93" t="n"/>
      <c r="M345" s="93" t="n"/>
      <c r="N345" s="93" t="n"/>
      <c r="O345" s="93" t="n"/>
      <c r="P345" s="93" t="n"/>
      <c r="Q345" s="93" t="n"/>
      <c r="R345" s="93" t="n"/>
      <c r="S345" s="94" t="n"/>
      <c r="T345" s="94" t="n"/>
      <c r="U345" s="94" t="n"/>
      <c r="V345" s="94" t="n"/>
      <c r="W345" s="94" t="n"/>
      <c r="X345" s="94" t="n"/>
      <c r="Y345" s="94" t="n"/>
      <c r="Z345" s="94" t="n"/>
      <c r="AA345" s="94" t="n"/>
      <c r="AB345" s="94" t="n"/>
      <c r="AC345" s="94" t="n"/>
      <c r="AD345" s="94" t="n"/>
      <c r="AE345" s="94" t="n"/>
      <c r="AF345" s="94" t="n"/>
      <c r="AG345" s="94" t="n"/>
      <c r="AH345" s="95" t="n"/>
      <c r="AI345" s="95" t="n"/>
      <c r="AJ345" s="95" t="n"/>
      <c r="AK345" s="95" t="n"/>
      <c r="AL345" s="95" t="n"/>
      <c r="AM345" s="95" t="n"/>
      <c r="AN345" s="95" t="n"/>
      <c r="AO345" s="95" t="n"/>
      <c r="AP345" s="95" t="n"/>
      <c r="AQ345" s="95" t="n"/>
      <c r="AR345" s="95" t="n"/>
      <c r="AS345" s="95" t="n"/>
      <c r="AT345" s="96" t="n"/>
      <c r="AU345" s="96" t="n"/>
      <c r="AV345" s="96" t="n"/>
      <c r="AW345" s="97" t="n"/>
      <c r="AX345" s="97" t="n"/>
      <c r="AY345" s="97" t="n"/>
      <c r="AZ345" s="97" t="n"/>
      <c r="BA345" s="97" t="n"/>
      <c r="BB345" s="98" t="n"/>
      <c r="BC345" s="98" t="n"/>
      <c r="BD345" s="99">
        <f>IF($A345="","",IF($DJ345&lt;&gt;"","FIX",IF($DK345&lt;&gt;"","CHECK","OK")))</f>
        <v/>
      </c>
      <c r="BE345" s="100">
        <f>IF($A345="","",IF($DJ345&lt;&gt;"","FIX: "&amp;LEFT($DJ345,LEN($DJ345)-2)&amp;IF($DK345&lt;&gt;"","  ·  ",""),"")&amp;IF($DK345&lt;&gt;"","CHECK: "&amp;LEFT($DK345,LEN($DK345)-2),""))</f>
        <v/>
      </c>
      <c r="BF345" s="99">
        <f>IF(OR($A345="",$K345=""),"",$K345&amp;"'-"&amp;N($L345)&amp;CHAR(34)&amp;" x "&amp;$M345&amp;"'-"&amp;N($N345)&amp;CHAR(34))</f>
        <v/>
      </c>
      <c r="BG345" s="99">
        <f>IF(OR($A345="",$K345=""),"",$K345&amp;N($L345)&amp;$M345&amp;N($N345))</f>
        <v/>
      </c>
      <c r="BH345" s="99">
        <f>IF(OR($A345="",$K345=""),"",$K345*12+N($L345))</f>
        <v/>
      </c>
      <c r="BI345" s="99">
        <f>IF(OR($A345="",$M345=""),"",$M345*12+N($N345))</f>
        <v/>
      </c>
      <c r="BJ345" s="99">
        <f>IF($A345="","",IF(OR($C345="FRAME ONLY",$S345="BL"),0,IF($O345="Y",2,1)))</f>
        <v/>
      </c>
      <c r="BK345" s="101">
        <f>IF(OR(N($BJ345)=0,$BH345=""),"",($BH345-2*EdgeClr-IF($BJ345=2,MeetClr,0))/$BJ345)</f>
        <v/>
      </c>
      <c r="BL345" s="101">
        <f>IF(OR(N($BJ345)=0,$BI345=""),"",$BI345-HeadClr-Undercut)</f>
        <v/>
      </c>
      <c r="BM345" s="101">
        <f>IF($BH345="","",$BH345+2*FaceW+IF(N($Q345)&gt;0,($Q345+FaceW)*IF($R345="LR",2,1),0))</f>
        <v/>
      </c>
      <c r="BN345" s="101">
        <f>IF($BI345="","",$BI345+IF($AB345="Y",4,FaceW)+IF(N($P345)&gt;0,$P345+FaceW,0)+IF(OR($S345="4F",$S345="BL"),FaceW,0))</f>
        <v/>
      </c>
      <c r="BO345" s="101">
        <f>IF($BM345="","",$BM345+2*ROSide)</f>
        <v/>
      </c>
      <c r="BP345" s="101">
        <f>IF($BN345="","",$BN345+ROTop)</f>
        <v/>
      </c>
      <c r="BQ345" s="102">
        <f>IF(OR(N($BJ345)=0,$BH345=""),"",$BH345/$BJ345-ClearDeduct)</f>
        <v/>
      </c>
      <c r="BR345" s="99">
        <f>IF(N($CH345)=0,"",IF($CH345&gt;=180,"A · 3 HR",IF($CH345&gt;=90,"B · 1-1/2 HR",IF($CH345&gt;=60,"B · 1 HR",IF($CH345&gt;=45,"C · 3/4 HR","20 MIN")))))&amp;IF(AND(N($CH345)&gt;0,OR($I345="CORRIDOR",$I345="SMOKE BARRIER"))," · S","")</f>
        <v/>
      </c>
      <c r="BS345" s="99">
        <f>IF($CS345,"",IF($AV345&lt;&gt;"",$AV345,IF(OR($AC345="HGC",$AO345="HGC"),"CONT",IF(($BI345-HeadClr-Undercut)&lt;=60,2,IF(($BI345-HeadClr-Undercut)&lt;=90,3,IF(($BI345-HeadClr-Undercut)&lt;=120,4,5))))))</f>
        <v/>
      </c>
      <c r="BT345" s="99">
        <f>IF($CS345,"",IF($CT345,"CUSTOM (typed)",IF($CV345,$AT345&amp;" "&amp;$CU345&amp;CHAR(34)&amp;IF($CU345&lt;&gt;$BI345,IF(AND($BI345&lt;$CU345,$BI345-IF(N(VLOOKUP($AT345&amp;"|"&amp;$CU345,LocTable,7,FALSE))&gt;0,VLOOKUP($AT345&amp;"|"&amp;$CU345,LocTable,7,FALSE),VLOOKUP($AT345&amp;"|"&amp;$CU345,LocTable,6,FALSE))-$CR345-0.75&gt;=2.125)," cut down"," adj."),""),"ANSI/SDI A250.6")))</f>
        <v/>
      </c>
      <c r="BU345" s="103">
        <f>IF($CS345,"",IF($CT345,IF(N($AW345)&gt;0,N($AW345),""),IF(1&gt;$CQ345,"",IF($CQ345=1,$CW345,$CW345+($CX345-$CW345)*0/($CQ345-1)))))</f>
        <v/>
      </c>
      <c r="BV345" s="103">
        <f>IF($CS345,"",IF($CT345,IF(N($AX345)&gt;0,N($AX345),""),IF(2&gt;$CQ345,"",IF($CQ345=1,$CW345,$CW345+($CX345-$CW345)*1/($CQ345-1)))))</f>
        <v/>
      </c>
      <c r="BW345" s="103">
        <f>IF($CS345,"",IF($CT345,IF(N($AY345)&gt;0,N($AY345),""),IF(3&gt;$CQ345,"",IF($CQ345=1,$CW345,$CW345+($CX345-$CW345)*2/($CQ345-1)))))</f>
        <v/>
      </c>
      <c r="BX345" s="103">
        <f>IF($CS345,"",IF($CT345,IF(N($AZ345)&gt;0,N($AZ345),""),IF(4&gt;$CQ345,"",IF($CQ345=1,$CW345,$CW345+($CX345-$CW345)*3/($CQ345-1)))))</f>
        <v/>
      </c>
      <c r="BY345" s="103">
        <f>IF($CS345,"",IF($CT345,"",IF(5&gt;$CQ345,"",IF($CQ345=1,$CW345,$CW345+($CX345-$CW345)*4/($CQ345-1)))))</f>
        <v/>
      </c>
      <c r="BZ345" s="103">
        <f>IF(OR($CS345,$AP345="-",AND($AP345="",$AD345="")),"",IF(N($BA345)&gt;0,N($BA345),IF($CV345,IF(AND($BI345&lt;$CU345,$BI345-IF(N(VLOOKUP($AT345&amp;"|"&amp;$CU345,LocTable,7,FALSE))&gt;0,VLOOKUP($AT345&amp;"|"&amp;$CU345,LocTable,7,FALSE),VLOOKUP($AT345&amp;"|"&amp;$CU345,LocTable,6,FALSE))-$CR345-0.75&gt;=2.125),VLOOKUP($AT345&amp;"|"&amp;$CU345,LocTable,8,FALSE),VLOOKUP($AT345&amp;"|"&amp;$CU345,LocTable,8,FALSE)+($BI345-$CU345)),$BI345-LockAFF)))</f>
        <v/>
      </c>
      <c r="CA345" s="104">
        <f>IF($BZ345="","",$BI345-$BZ345)</f>
        <v/>
      </c>
      <c r="CB345" s="99">
        <f>IF(OR(NOT(AND($A345&lt;&gt;"",$C345&lt;&gt;"DOOR ONLY")),$BI345=""),"",IF(($BI345+IF(N($P345)&gt;0,$P345+FaceW,0))&lt;=90,3,IF(($BI345+IF(N($P345)&gt;0,$P345+FaceW,0))&lt;=114,4,5)))</f>
        <v/>
      </c>
      <c r="CC345" s="99">
        <f>IF($CB345="","",$CB345*(2+IF(N($Q345)&gt;0,IF($R345="LR",2,1),0)))</f>
        <v/>
      </c>
      <c r="CD345" s="99">
        <f>IF($CB345="","",(2+IF(N($Q345)&gt;0,IF($R345="LR",2,1),0)))</f>
        <v/>
      </c>
      <c r="CE345" s="99">
        <f>IF(N($BJ345)=0,"",IF(OR($AL345="",$AL345="FLUSH"),"FLUSH",IFERROR(LEFT($AL345,FIND("-",$AL345)-1),LEFT($AL345,2))))</f>
        <v/>
      </c>
      <c r="CF345" s="99">
        <f>IF($CE345="","",IFERROR(VALUE(MID($AL345,FIND("-",$AL345)+1,FIND(CHAR(34)&amp;"x",$AL345)-FIND("-",$AL345)-1)),0))</f>
        <v/>
      </c>
      <c r="CG345" s="99">
        <f>IF($CE345="","",IFERROR(VALUE(MID($AL345,FIND(CHAR(34)&amp;"x",$AL345)+2,FIND(CHAR(34),$AL345,FIND(CHAR(34)&amp;"x",$AL345)+2)-FIND(CHAR(34)&amp;"x",$AL345)-2)),0))</f>
        <v/>
      </c>
      <c r="CH345" s="105">
        <f>IF(OR($A345="",$H345="",$H345="NO LAB"),0,IFERROR(VALUE(LEFT($H345,FIND(" ",$H345)-1)),0))</f>
        <v/>
      </c>
      <c r="CI345" s="106">
        <f>IF(OR($A345="",$I345="",$I345="NON-RATED",N($J345)=0),"",IFERROR(VLOOKUP($I345&amp;"|"&amp;$J345,IBC,2,FALSE),"?"))</f>
        <v/>
      </c>
      <c r="CJ345" s="100">
        <f>IF(NOT(AND($A345&lt;&gt;"",$C345&lt;&gt;"DOOR ONLY")),"",TRIM(IFERROR(VLOOKUP($U345,CODES,2,FALSE),"")&amp;" "&amp;$BG345&amp;" "&amp;IFERROR(VLOOKUP($Z345,CODES,2,FALSE),"")&amp;" "&amp;IFERROR(VLOOKUP($X345,CODES,2,FALSE),"")&amp;" "&amp;IFERROR(VLOOKUP($S345,CODES,2,FALSE),"")&amp;IF(N($P345)&gt;0," w/TRANSOM "&amp;$P345&amp;CHAR(34),"")&amp;IF(N($Q345)&gt;0," w/SIDELITE "&amp;$Q345&amp;CHAR(34)&amp;" "&amp;IF($R345="","R",$R345),"")&amp;IF($Y345="","  |  "," | "&amp;IFERROR(VLOOKUP($Y345,CODES,2,FALSE),"")&amp;" | ")&amp;IFERROR(VLOOKUP($AC345,CODES,2,FALSE),"")&amp;" "&amp;IFERROR(VLOOKUP($AD345,CODES,2,FALSE),"")&amp;IF(OR($AE345="",$AE345="-"),""," "&amp;$AE345)&amp;IF(OR($AF345="",$AF345="-"),""," "&amp;$AF345)&amp;IF($AB345="Y"," 4"&amp;CHAR(34)&amp;" HEAD","")&amp;" "&amp;IFERROR(VLOOKUP($H345,CODES,2,FALSE),"")&amp;IF($CT345," | LOC "&amp;$CY345,"")))</f>
        <v/>
      </c>
      <c r="CK345" s="100">
        <f>IF(NOT(AND($A345&lt;&gt;"",N($BJ345)&gt;0)),"",TRIM(IFERROR(VLOOKUP($AH345,CODES,2,FALSE),"")&amp;IF($AI345=""," "," "&amp;$AI345&amp;"GA ")&amp;$BG345&amp;" "&amp;IF($AN345="",IFERROR(VLOOKUP($Z345,CODES,2,FALSE),""),IFERROR(VLOOKUP($AN345,CODES,2,FALSE),""))&amp;IF($BJ345=2," PAIR","")&amp;" DOOR | "&amp;IF($AL345="","?",$AL345)&amp;" | "&amp;IF($AO345="",IFERROR(VLOOKUP($AC345,CODES,2,FALSE),""),IFERROR(VLOOKUP($AO345,CODES,2,FALSE),""))&amp;" "&amp;IFERROR(VLOOKUP($AP345,CODES,2,FALSE),"")&amp;IF(OR($AQ345="",$AQ345="-"),""," SEAM "&amp;$AQ345)&amp;IF($AR345="Y"," ASTRAGAL","")&amp;IF($AJ345=""," "," "&amp;$AJ345)&amp;IF($AK345=""," "," "&amp;$AK345)&amp;IF(OR($AT345="",$AT345="ANSI/SDI",$AT345="CUSTOM LOC"),""," "&amp;$AT345)&amp;IF($AM345=""," "," SERIES "&amp;$AM345)&amp;" "&amp;IFERROR(VLOOKUP($H345,CODES,2,FALSE),"")&amp;IF($CT345," | LOC "&amp;$CZ345,"")))</f>
        <v/>
      </c>
      <c r="CL345" s="99">
        <f>IF(CP345="","",IF(COUNTIF($CP$6:CP345,CP345)=1,MAX($CL$5:CL344)+1,INDEX($CL$5:CL344,MATCH(CP345,$CP$5:CP344,0))))</f>
        <v/>
      </c>
      <c r="CM345" s="99">
        <f>IF(NOT(AND($A345&lt;&gt;"",$C345&lt;&gt;"DOOR ONLY")),"",MAX($CM$5:CM344)+1)</f>
        <v/>
      </c>
      <c r="CN345" s="99">
        <f>IF(NOT(AND($A345&lt;&gt;"",N($BJ345)&gt;0)),"",MAX($CN$5:CN344)+1)</f>
        <v/>
      </c>
      <c r="CO345" s="99">
        <f>IF($A345="","",MAX($CO$5:CO344)+1)</f>
        <v/>
      </c>
      <c r="CP345" s="99">
        <f>IF(OR($A345="",$BH345="",$BI345=""),"",$BG345&amp;"|"&amp;$O345&amp;"|"&amp;$AL345&amp;"|"&amp;$S345&amp;"|"&amp;$P345&amp;"|"&amp;$Q345&amp;$R345&amp;"|"&amp;$C345&amp;"|"&amp;$AB345)</f>
        <v/>
      </c>
      <c r="CQ345" s="99">
        <f>N($BS345)</f>
        <v/>
      </c>
      <c r="CR345" s="99">
        <f>IF(N($AU345)&gt;0,N($AU345),4.5)</f>
        <v/>
      </c>
      <c r="CS345" s="99">
        <f>OR($A345="",$BI345="",$S345="BL",AND($C345="FRAME ONLY",OR($AC345="",$AC345="BLK")))</f>
        <v/>
      </c>
      <c r="CT345" s="99">
        <f>AND(NOT($CS345),OR($AT345="CUSTOM LOC",N($AW345)+N($AX345)+N($AY345)+N($AZ345)+N($BA345)&gt;0))</f>
        <v/>
      </c>
      <c r="CU345" s="99">
        <f>IF($BI345="","",IF($BI345&lt;=80,80,IF($BI345&lt;=84,84,96)))</f>
        <v/>
      </c>
      <c r="CV345" s="99">
        <f>ISNUMBER(MATCH($AT345&amp;"|80",LocKeys,0))</f>
        <v/>
      </c>
      <c r="CW345" s="101">
        <f>IF($CS345,"",IF($CV345,VLOOKUP($AT345&amp;"|"&amp;$CU345,LocTable,4,FALSE),5))</f>
        <v/>
      </c>
      <c r="CX345" s="101">
        <f>IF($CS345,"",IF($CV345,IF(OR($BI345=$CU345,AND($BI345&lt;$CU345,$BI345-IF(N(VLOOKUP($AT345&amp;"|"&amp;$CU345,LocTable,7,FALSE))&gt;0,VLOOKUP($AT345&amp;"|"&amp;$CU345,LocTable,7,FALSE),VLOOKUP($AT345&amp;"|"&amp;$CU345,LocTable,6,FALSE))-$CR345-0.75&gt;=2.125)),IF(N(VLOOKUP($AT345&amp;"|"&amp;$CU345,LocTable,7,FALSE))&gt;0,VLOOKUP($AT345&amp;"|"&amp;$CU345,LocTable,7,FALSE),VLOOKUP($AT345&amp;"|"&amp;$CU345,LocTable,6,FALSE)),$BI345-($CU345-IF(N(VLOOKUP($AT345&amp;"|"&amp;$CU345,LocTable,7,FALSE))&gt;0,VLOOKUP($AT345&amp;"|"&amp;$CU345,LocTable,7,FALSE),VLOOKUP($AT345&amp;"|"&amp;$CU345,LocTable,6,FALSE)))),$BI345-10-$CR345))</f>
        <v/>
      </c>
      <c r="CY345" s="100">
        <f>IF($CS345,"",TRIM(IF(ISNUMBER($BU345),"A "&amp;TRIM(TEXT($BU345,"# ?/??"))&amp;CHAR(34)&amp;"  ","")&amp;IF(ISNUMBER($BV345),"B "&amp;TRIM(TEXT($BV345,"# ?/??"))&amp;CHAR(34)&amp;"  ","")&amp;IF(ISNUMBER($BW345),"C "&amp;TRIM(TEXT($BW345,"# ?/??"))&amp;CHAR(34)&amp;"  ","")&amp;IF(ISNUMBER($BX345),"D "&amp;TRIM(TEXT($BX345,"# ?/??"))&amp;CHAR(34)&amp;"  ","")&amp;IF(ISNUMBER($BY345),"F "&amp;TRIM(TEXT($BY345,"# ?/??"))&amp;CHAR(34)&amp;"  ","")&amp;IF(ISNUMBER($BZ345),"E "&amp;TRIM(TEXT($BZ345,"# ?/??"))&amp;CHAR(34)&amp;"  ","")))</f>
        <v/>
      </c>
      <c r="CZ345" s="100">
        <f>IF(OR($CS345,N($BJ345)=0),"",TRIM(IF(ISNUMBER($BU345),"A "&amp;TRIM(TEXT($BU345-HeadClr,"# ?/??"))&amp;CHAR(34)&amp;"  ","")&amp;IF(ISNUMBER($BV345),"B "&amp;TRIM(TEXT($BV345-HeadClr,"# ?/??"))&amp;CHAR(34)&amp;"  ","")&amp;IF(ISNUMBER($BW345),"C "&amp;TRIM(TEXT($BW345-HeadClr,"# ?/??"))&amp;CHAR(34)&amp;"  ","")&amp;IF(ISNUMBER($BX345),"D "&amp;TRIM(TEXT($BX345-HeadClr,"# ?/??"))&amp;CHAR(34)&amp;"  ","")&amp;IF(ISNUMBER($BY345),"F "&amp;TRIM(TEXT($BY345-HeadClr,"# ?/??"))&amp;CHAR(34)&amp;"  ","")&amp;IF(ISNUMBER($BZ345),"E "&amp;TRIM(TEXT($BZ345-HeadClr,"# ?/??"))&amp;CHAR(34)&amp;"  ","")))</f>
        <v/>
      </c>
      <c r="DA345" s="99">
        <f>IF($A345="","",IF($AN345="",IFERROR(VLOOKUP($Z345,CODES,2,FALSE),""),IFERROR(VLOOKUP($AN345,CODES,2,FALSE),"")))</f>
        <v/>
      </c>
      <c r="DB345" s="99">
        <f>IF($A345="","",IF($O345="Y","PR",IF(OR($Z345="L",$Z345="RR",LEFT($Z345,2)="L-",LEFT($Z345,3)="RR-"),"LH","RH")))</f>
        <v/>
      </c>
      <c r="DC345" s="99">
        <f>IF($A345="","","S.HM"&amp;IF(OR($C345="DOOR ONLY",$X345&lt;&gt;"KD"),"MASONRY","DRYWALL")&amp;IF($C345="DOOR ONLY","",$U345)&amp;IF(AND($C345&lt;&gt;"FRAME ONLY",OR(LEFT($AH345,3)="OAK",LEFT($AH345,3)="BIR",LEFT($AH345,3)="MAP",$AH345="PC",$AH345="MC",$AH345="SCLC",$AH345="P-LAM")),"WD","HM")&amp;"1.75")</f>
        <v/>
      </c>
      <c r="DD345" s="99">
        <f>IF($CJ345="","",IF($O345="Y",$CJ345,SUBSTITUTE($CJ345,$BG345&amp;" "&amp;IFERROR(VLOOKUP($Z345,CODES,2,FALSE),"")&amp;" ",$BG345&amp;" ")))</f>
        <v/>
      </c>
      <c r="DE345" s="99">
        <f>IF($CK345="","",IF($O345="Y",$CK345,SUBSTITUTE($CK345,$BG345&amp;" "&amp;IF($AN345="",IFERROR(VLOOKUP($Z345,CODES,2,FALSE),""),IFERROR(VLOOKUP($AN345,CODES,2,FALSE),""))&amp;" ",$BG345&amp;" ")))</f>
        <v/>
      </c>
      <c r="DF345" s="99">
        <f>IF($CJ345="","",$DC345&amp;"|"&amp;$DD345&amp;"|"&amp;$DB345&amp;"|"&amp;$AT345&amp;"|"&amp;$V345&amp;"|"&amp;$Y345&amp;"|"&amp;$AB345)</f>
        <v/>
      </c>
      <c r="DG345" s="99">
        <f>IF(DF345="","",IF(COUNTIF($DF$6:DF345,DF345)=1,MAX($DG$5:DG344)+1,INDEX($DG$5:DG344,MATCH(DF345,$DF$5:DF344,0))))</f>
        <v/>
      </c>
      <c r="DH345" s="99">
        <f>IF($CK345="","",$DC345&amp;"|"&amp;$DE345&amp;"|"&amp;$AI345&amp;"|"&amp;$BK345&amp;"|"&amp;$BL345)</f>
        <v/>
      </c>
      <c r="DI345" s="99">
        <f>IF(DH345="","",IF(COUNTIF($DH$6:DH345,DH345)=1,MAX($DI$5:DI344)+1,INDEX($DI$5:DI344,MATCH(DH345,$DH$5:DH344,0))))</f>
        <v/>
      </c>
      <c r="DJ345" s="99">
        <f>IF($A345="","",IF($B345="","qty, ","")&amp;IF($C345="","scope, ","")&amp;IF(OR($K345="",$M345=""),"size, ","")&amp;IF(AND($A345&lt;&gt;"",$C345&lt;&gt;"DOOR ONLY"),IF($U345="","jamb depth, ","")&amp;IF($X345="","construction, ","")&amp;IF($Y345="","anchor, ","")&amp;IF($S345="","frame type, ",""),"")&amp;IF(AND(N($BJ345)&gt;0,$Z345=""),"hand, ","")&amp;IF(N($BJ345)&gt;0,IF($AH345="","door material, ","")&amp;IF($AL345="","face type, ","")&amp;IF($AP345="","lock prep, ","")&amp;IF(AND($AO345="",$AC345=""),"hinge prep, ",""),"")&amp;IF(AND($CH345&gt;0,$AH345="FRP"),"FRP cannot carry a label, ","")&amp;IF(AND($O345="Y",OR($Z345="L",$Z345="R",$Z345="LR",$Z345="RR")),"pair marked but hand is single, ","")&amp;IF(AND($O345&lt;&gt;"Y",OR($Z345="PR",AND(LEN($Z345)&gt;1,ISNUMBER(SEARCH("-",$Z345))))),"pair hand on a single door, ","")&amp;IF(AND(ISNUMBER($CI345),$CH345&lt;N($CI345)),"wall needs a "&amp;$CI345&amp;" min door, ","")&amp;IF(AND($CH345&gt;=180,AND(OR($CE345="FG",$CE345="HG",$CE345="FNV",$CE345="FV"),N($CF345)*N($CG345)&gt;100)),"180 min lite over 100 sq in, ","")&amp;IF(N($BK345)&gt;48,"leaf wider than 4'-0"&amp;CHAR(34)&amp;", ","")&amp;IF(AND($CT345,COUNT($AW345:$AZ345)=0,$CQ345&gt;0),"CUSTOM LOC with no locations typed, ",""))</f>
        <v/>
      </c>
      <c r="DK345" s="99">
        <f>IF($A345="","",IF(AND($CH345&gt;0,AND($A345&lt;&gt;"",$C345&lt;&gt;"DOOR ONLY"),$X345="KD",$E345="EXTERIOR"),"KD label on an exterior opening, ","")&amp;IF(AND($E345="EXTERIOR",OR(AND(AND($A345&lt;&gt;"",$C345&lt;&gt;"DOOR ONLY"),$W345="CR"),AND(N($BJ345)&gt;0,$AH345="CR"))),"exterior in CR steel (G9?), ","")&amp;IF(AND(ISNUMBER($BQ345),N($BQ345)&lt;32),"clear width ~"&amp;TEXT($BQ345,"0.0")&amp;CHAR(34)&amp;" under 32"&amp;CHAR(34)&amp;" (ADA), ","")&amp;IF(AND($CH345=90,AND(OR($CE345="FG",$CE345="HG",$CE345="FNV",$CE345="FV"),N($CF345)*N($CG345)&gt;100)),"90 min lite over 100 sq in (stair/exit), ","")&amp;IF(AND($CH345&gt;0,AND($A345&lt;&gt;"",$C345&lt;&gt;"DOOR ONLY"),OR($AF345="",$AF345="-")),"rated: closer reinf.?, ","")&amp;IF(OR($I345="CORRIDOR",$I345="SMOKE BARRIER"),"S label + smoke gasketing, ","")&amp;IF($CI345="?","wall type/hr not in IBC table, ","")&amp;IF(AND(N($BJ345)&gt;0,$BB345=""),"no hardware set, ","")&amp;IF(AND($BB345&lt;&gt;"",ISNA(MATCH($BB345&amp;"",HWSets,0))),"set "&amp;$BB345&amp;" not on HW Sets, ","")&amp;IF(N($BL345)&gt;96,"leaf over 8'-0"&amp;CHAR(34)&amp;" - check listing, ","")&amp;IF(AND($CT345,COUNT($AW345:$AZ345)&gt;0,COUNT($AW345:$AZ345)&lt;&gt;$CQ345),COUNT($AW345:$AZ345)&amp;" custom hinges typed, "&amp;$CQ345&amp;" expected, ","")&amp;IF(AND(ISNUMBER($CA345),OR(N($CA345)&lt;34,N($CA345)&gt;48)),"lock "&amp;TEXT($CA345,"0.0")&amp;CHAR(34)&amp;" AFF outside 34-48"&amp;CHAR(34)&amp;" (ADA), ","")&amp;IF(AND(ISNUMBER($AV345),ISNUMBER($BL345),N($AV345)&lt;IF(N($BL345)&lt;=60,2,IF(N($BL345)&lt;=90,3,IF(N($BL345)&lt;=120,4,5)))),"fewer hinges than standard, ",""))</f>
        <v/>
      </c>
    </row>
    <row r="346" ht="15" customHeight="1">
      <c r="A346" s="77" t="n"/>
      <c r="B346" s="78" t="n"/>
      <c r="C346" s="78" t="n"/>
      <c r="D346" s="78" t="n"/>
      <c r="E346" s="78" t="n"/>
      <c r="F346" s="78" t="n"/>
      <c r="G346" s="78" t="n"/>
      <c r="H346" s="78" t="n"/>
      <c r="I346" s="78" t="n"/>
      <c r="J346" s="78" t="n"/>
      <c r="K346" s="78" t="n"/>
      <c r="L346" s="78" t="n"/>
      <c r="M346" s="78" t="n"/>
      <c r="N346" s="78" t="n"/>
      <c r="O346" s="78" t="n"/>
      <c r="P346" s="78" t="n"/>
      <c r="Q346" s="78" t="n"/>
      <c r="R346" s="78" t="n"/>
      <c r="S346" s="79" t="n"/>
      <c r="T346" s="79" t="n"/>
      <c r="U346" s="79" t="n"/>
      <c r="V346" s="79" t="n"/>
      <c r="W346" s="79" t="n"/>
      <c r="X346" s="79" t="n"/>
      <c r="Y346" s="79" t="n"/>
      <c r="Z346" s="79" t="n"/>
      <c r="AA346" s="79" t="n"/>
      <c r="AB346" s="79" t="n"/>
      <c r="AC346" s="79" t="n"/>
      <c r="AD346" s="79" t="n"/>
      <c r="AE346" s="79" t="n"/>
      <c r="AF346" s="79" t="n"/>
      <c r="AG346" s="79" t="n"/>
      <c r="AH346" s="80" t="n"/>
      <c r="AI346" s="80" t="n"/>
      <c r="AJ346" s="80" t="n"/>
      <c r="AK346" s="80" t="n"/>
      <c r="AL346" s="80" t="n"/>
      <c r="AM346" s="80" t="n"/>
      <c r="AN346" s="80" t="n"/>
      <c r="AO346" s="80" t="n"/>
      <c r="AP346" s="80" t="n"/>
      <c r="AQ346" s="80" t="n"/>
      <c r="AR346" s="80" t="n"/>
      <c r="AS346" s="80" t="n"/>
      <c r="AT346" s="81" t="n"/>
      <c r="AU346" s="81" t="n"/>
      <c r="AV346" s="81" t="n"/>
      <c r="AW346" s="82" t="n"/>
      <c r="AX346" s="82" t="n"/>
      <c r="AY346" s="82" t="n"/>
      <c r="AZ346" s="82" t="n"/>
      <c r="BA346" s="82" t="n"/>
      <c r="BB346" s="83" t="n"/>
      <c r="BC346" s="83" t="n"/>
      <c r="BD346" s="84">
        <f>IF($A346="","",IF($DJ346&lt;&gt;"","FIX",IF($DK346&lt;&gt;"","CHECK","OK")))</f>
        <v/>
      </c>
      <c r="BE346" s="85">
        <f>IF($A346="","",IF($DJ346&lt;&gt;"","FIX: "&amp;LEFT($DJ346,LEN($DJ346)-2)&amp;IF($DK346&lt;&gt;"","  ·  ",""),"")&amp;IF($DK346&lt;&gt;"","CHECK: "&amp;LEFT($DK346,LEN($DK346)-2),""))</f>
        <v/>
      </c>
      <c r="BF346" s="84">
        <f>IF(OR($A346="",$K346=""),"",$K346&amp;"'-"&amp;N($L346)&amp;CHAR(34)&amp;" x "&amp;$M346&amp;"'-"&amp;N($N346)&amp;CHAR(34))</f>
        <v/>
      </c>
      <c r="BG346" s="84">
        <f>IF(OR($A346="",$K346=""),"",$K346&amp;N($L346)&amp;$M346&amp;N($N346))</f>
        <v/>
      </c>
      <c r="BH346" s="84">
        <f>IF(OR($A346="",$K346=""),"",$K346*12+N($L346))</f>
        <v/>
      </c>
      <c r="BI346" s="84">
        <f>IF(OR($A346="",$M346=""),"",$M346*12+N($N346))</f>
        <v/>
      </c>
      <c r="BJ346" s="84">
        <f>IF($A346="","",IF(OR($C346="FRAME ONLY",$S346="BL"),0,IF($O346="Y",2,1)))</f>
        <v/>
      </c>
      <c r="BK346" s="86">
        <f>IF(OR(N($BJ346)=0,$BH346=""),"",($BH346-2*EdgeClr-IF($BJ346=2,MeetClr,0))/$BJ346)</f>
        <v/>
      </c>
      <c r="BL346" s="86">
        <f>IF(OR(N($BJ346)=0,$BI346=""),"",$BI346-HeadClr-Undercut)</f>
        <v/>
      </c>
      <c r="BM346" s="86">
        <f>IF($BH346="","",$BH346+2*FaceW+IF(N($Q346)&gt;0,($Q346+FaceW)*IF($R346="LR",2,1),0))</f>
        <v/>
      </c>
      <c r="BN346" s="86">
        <f>IF($BI346="","",$BI346+IF($AB346="Y",4,FaceW)+IF(N($P346)&gt;0,$P346+FaceW,0)+IF(OR($S346="4F",$S346="BL"),FaceW,0))</f>
        <v/>
      </c>
      <c r="BO346" s="86">
        <f>IF($BM346="","",$BM346+2*ROSide)</f>
        <v/>
      </c>
      <c r="BP346" s="86">
        <f>IF($BN346="","",$BN346+ROTop)</f>
        <v/>
      </c>
      <c r="BQ346" s="87">
        <f>IF(OR(N($BJ346)=0,$BH346=""),"",$BH346/$BJ346-ClearDeduct)</f>
        <v/>
      </c>
      <c r="BR346" s="84">
        <f>IF(N($CH346)=0,"",IF($CH346&gt;=180,"A · 3 HR",IF($CH346&gt;=90,"B · 1-1/2 HR",IF($CH346&gt;=60,"B · 1 HR",IF($CH346&gt;=45,"C · 3/4 HR","20 MIN")))))&amp;IF(AND(N($CH346)&gt;0,OR($I346="CORRIDOR",$I346="SMOKE BARRIER"))," · S","")</f>
        <v/>
      </c>
      <c r="BS346" s="84">
        <f>IF($CS346,"",IF($AV346&lt;&gt;"",$AV346,IF(OR($AC346="HGC",$AO346="HGC"),"CONT",IF(($BI346-HeadClr-Undercut)&lt;=60,2,IF(($BI346-HeadClr-Undercut)&lt;=90,3,IF(($BI346-HeadClr-Undercut)&lt;=120,4,5))))))</f>
        <v/>
      </c>
      <c r="BT346" s="84">
        <f>IF($CS346,"",IF($CT346,"CUSTOM (typed)",IF($CV346,$AT346&amp;" "&amp;$CU346&amp;CHAR(34)&amp;IF($CU346&lt;&gt;$BI346,IF(AND($BI346&lt;$CU346,$BI346-IF(N(VLOOKUP($AT346&amp;"|"&amp;$CU346,LocTable,7,FALSE))&gt;0,VLOOKUP($AT346&amp;"|"&amp;$CU346,LocTable,7,FALSE),VLOOKUP($AT346&amp;"|"&amp;$CU346,LocTable,6,FALSE))-$CR346-0.75&gt;=2.125)," cut down"," adj."),""),"ANSI/SDI A250.6")))</f>
        <v/>
      </c>
      <c r="BU346" s="88">
        <f>IF($CS346,"",IF($CT346,IF(N($AW346)&gt;0,N($AW346),""),IF(1&gt;$CQ346,"",IF($CQ346=1,$CW346,$CW346+($CX346-$CW346)*0/($CQ346-1)))))</f>
        <v/>
      </c>
      <c r="BV346" s="88">
        <f>IF($CS346,"",IF($CT346,IF(N($AX346)&gt;0,N($AX346),""),IF(2&gt;$CQ346,"",IF($CQ346=1,$CW346,$CW346+($CX346-$CW346)*1/($CQ346-1)))))</f>
        <v/>
      </c>
      <c r="BW346" s="88">
        <f>IF($CS346,"",IF($CT346,IF(N($AY346)&gt;0,N($AY346),""),IF(3&gt;$CQ346,"",IF($CQ346=1,$CW346,$CW346+($CX346-$CW346)*2/($CQ346-1)))))</f>
        <v/>
      </c>
      <c r="BX346" s="88">
        <f>IF($CS346,"",IF($CT346,IF(N($AZ346)&gt;0,N($AZ346),""),IF(4&gt;$CQ346,"",IF($CQ346=1,$CW346,$CW346+($CX346-$CW346)*3/($CQ346-1)))))</f>
        <v/>
      </c>
      <c r="BY346" s="88">
        <f>IF($CS346,"",IF($CT346,"",IF(5&gt;$CQ346,"",IF($CQ346=1,$CW346,$CW346+($CX346-$CW346)*4/($CQ346-1)))))</f>
        <v/>
      </c>
      <c r="BZ346" s="88">
        <f>IF(OR($CS346,$AP346="-",AND($AP346="",$AD346="")),"",IF(N($BA346)&gt;0,N($BA346),IF($CV346,IF(AND($BI346&lt;$CU346,$BI346-IF(N(VLOOKUP($AT346&amp;"|"&amp;$CU346,LocTable,7,FALSE))&gt;0,VLOOKUP($AT346&amp;"|"&amp;$CU346,LocTable,7,FALSE),VLOOKUP($AT346&amp;"|"&amp;$CU346,LocTable,6,FALSE))-$CR346-0.75&gt;=2.125),VLOOKUP($AT346&amp;"|"&amp;$CU346,LocTable,8,FALSE),VLOOKUP($AT346&amp;"|"&amp;$CU346,LocTable,8,FALSE)+($BI346-$CU346)),$BI346-LockAFF)))</f>
        <v/>
      </c>
      <c r="CA346" s="89">
        <f>IF($BZ346="","",$BI346-$BZ346)</f>
        <v/>
      </c>
      <c r="CB346" s="84">
        <f>IF(OR(NOT(AND($A346&lt;&gt;"",$C346&lt;&gt;"DOOR ONLY")),$BI346=""),"",IF(($BI346+IF(N($P346)&gt;0,$P346+FaceW,0))&lt;=90,3,IF(($BI346+IF(N($P346)&gt;0,$P346+FaceW,0))&lt;=114,4,5)))</f>
        <v/>
      </c>
      <c r="CC346" s="84">
        <f>IF($CB346="","",$CB346*(2+IF(N($Q346)&gt;0,IF($R346="LR",2,1),0)))</f>
        <v/>
      </c>
      <c r="CD346" s="84">
        <f>IF($CB346="","",(2+IF(N($Q346)&gt;0,IF($R346="LR",2,1),0)))</f>
        <v/>
      </c>
      <c r="CE346" s="84">
        <f>IF(N($BJ346)=0,"",IF(OR($AL346="",$AL346="FLUSH"),"FLUSH",IFERROR(LEFT($AL346,FIND("-",$AL346)-1),LEFT($AL346,2))))</f>
        <v/>
      </c>
      <c r="CF346" s="84">
        <f>IF($CE346="","",IFERROR(VALUE(MID($AL346,FIND("-",$AL346)+1,FIND(CHAR(34)&amp;"x",$AL346)-FIND("-",$AL346)-1)),0))</f>
        <v/>
      </c>
      <c r="CG346" s="84">
        <f>IF($CE346="","",IFERROR(VALUE(MID($AL346,FIND(CHAR(34)&amp;"x",$AL346)+2,FIND(CHAR(34),$AL346,FIND(CHAR(34)&amp;"x",$AL346)+2)-FIND(CHAR(34)&amp;"x",$AL346)-2)),0))</f>
        <v/>
      </c>
      <c r="CH346" s="90">
        <f>IF(OR($A346="",$H346="",$H346="NO LAB"),0,IFERROR(VALUE(LEFT($H346,FIND(" ",$H346)-1)),0))</f>
        <v/>
      </c>
      <c r="CI346" s="91">
        <f>IF(OR($A346="",$I346="",$I346="NON-RATED",N($J346)=0),"",IFERROR(VLOOKUP($I346&amp;"|"&amp;$J346,IBC,2,FALSE),"?"))</f>
        <v/>
      </c>
      <c r="CJ346" s="85">
        <f>IF(NOT(AND($A346&lt;&gt;"",$C346&lt;&gt;"DOOR ONLY")),"",TRIM(IFERROR(VLOOKUP($U346,CODES,2,FALSE),"")&amp;" "&amp;$BG346&amp;" "&amp;IFERROR(VLOOKUP($Z346,CODES,2,FALSE),"")&amp;" "&amp;IFERROR(VLOOKUP($X346,CODES,2,FALSE),"")&amp;" "&amp;IFERROR(VLOOKUP($S346,CODES,2,FALSE),"")&amp;IF(N($P346)&gt;0," w/TRANSOM "&amp;$P346&amp;CHAR(34),"")&amp;IF(N($Q346)&gt;0," w/SIDELITE "&amp;$Q346&amp;CHAR(34)&amp;" "&amp;IF($R346="","R",$R346),"")&amp;IF($Y346="","  |  "," | "&amp;IFERROR(VLOOKUP($Y346,CODES,2,FALSE),"")&amp;" | ")&amp;IFERROR(VLOOKUP($AC346,CODES,2,FALSE),"")&amp;" "&amp;IFERROR(VLOOKUP($AD346,CODES,2,FALSE),"")&amp;IF(OR($AE346="",$AE346="-"),""," "&amp;$AE346)&amp;IF(OR($AF346="",$AF346="-"),""," "&amp;$AF346)&amp;IF($AB346="Y"," 4"&amp;CHAR(34)&amp;" HEAD","")&amp;" "&amp;IFERROR(VLOOKUP($H346,CODES,2,FALSE),"")&amp;IF($CT346," | LOC "&amp;$CY346,"")))</f>
        <v/>
      </c>
      <c r="CK346" s="85">
        <f>IF(NOT(AND($A346&lt;&gt;"",N($BJ346)&gt;0)),"",TRIM(IFERROR(VLOOKUP($AH346,CODES,2,FALSE),"")&amp;IF($AI346=""," "," "&amp;$AI346&amp;"GA ")&amp;$BG346&amp;" "&amp;IF($AN346="",IFERROR(VLOOKUP($Z346,CODES,2,FALSE),""),IFERROR(VLOOKUP($AN346,CODES,2,FALSE),""))&amp;IF($BJ346=2," PAIR","")&amp;" DOOR | "&amp;IF($AL346="","?",$AL346)&amp;" | "&amp;IF($AO346="",IFERROR(VLOOKUP($AC346,CODES,2,FALSE),""),IFERROR(VLOOKUP($AO346,CODES,2,FALSE),""))&amp;" "&amp;IFERROR(VLOOKUP($AP346,CODES,2,FALSE),"")&amp;IF(OR($AQ346="",$AQ346="-"),""," SEAM "&amp;$AQ346)&amp;IF($AR346="Y"," ASTRAGAL","")&amp;IF($AJ346=""," "," "&amp;$AJ346)&amp;IF($AK346=""," "," "&amp;$AK346)&amp;IF(OR($AT346="",$AT346="ANSI/SDI",$AT346="CUSTOM LOC"),""," "&amp;$AT346)&amp;IF($AM346=""," "," SERIES "&amp;$AM346)&amp;" "&amp;IFERROR(VLOOKUP($H346,CODES,2,FALSE),"")&amp;IF($CT346," | LOC "&amp;$CZ346,"")))</f>
        <v/>
      </c>
      <c r="CL346" s="84">
        <f>IF(CP346="","",IF(COUNTIF($CP$6:CP346,CP346)=1,MAX($CL$5:CL345)+1,INDEX($CL$5:CL345,MATCH(CP346,$CP$5:CP345,0))))</f>
        <v/>
      </c>
      <c r="CM346" s="84">
        <f>IF(NOT(AND($A346&lt;&gt;"",$C346&lt;&gt;"DOOR ONLY")),"",MAX($CM$5:CM345)+1)</f>
        <v/>
      </c>
      <c r="CN346" s="84">
        <f>IF(NOT(AND($A346&lt;&gt;"",N($BJ346)&gt;0)),"",MAX($CN$5:CN345)+1)</f>
        <v/>
      </c>
      <c r="CO346" s="84">
        <f>IF($A346="","",MAX($CO$5:CO345)+1)</f>
        <v/>
      </c>
      <c r="CP346" s="84">
        <f>IF(OR($A346="",$BH346="",$BI346=""),"",$BG346&amp;"|"&amp;$O346&amp;"|"&amp;$AL346&amp;"|"&amp;$S346&amp;"|"&amp;$P346&amp;"|"&amp;$Q346&amp;$R346&amp;"|"&amp;$C346&amp;"|"&amp;$AB346)</f>
        <v/>
      </c>
      <c r="CQ346" s="84">
        <f>N($BS346)</f>
        <v/>
      </c>
      <c r="CR346" s="84">
        <f>IF(N($AU346)&gt;0,N($AU346),4.5)</f>
        <v/>
      </c>
      <c r="CS346" s="84">
        <f>OR($A346="",$BI346="",$S346="BL",AND($C346="FRAME ONLY",OR($AC346="",$AC346="BLK")))</f>
        <v/>
      </c>
      <c r="CT346" s="84">
        <f>AND(NOT($CS346),OR($AT346="CUSTOM LOC",N($AW346)+N($AX346)+N($AY346)+N($AZ346)+N($BA346)&gt;0))</f>
        <v/>
      </c>
      <c r="CU346" s="84">
        <f>IF($BI346="","",IF($BI346&lt;=80,80,IF($BI346&lt;=84,84,96)))</f>
        <v/>
      </c>
      <c r="CV346" s="84">
        <f>ISNUMBER(MATCH($AT346&amp;"|80",LocKeys,0))</f>
        <v/>
      </c>
      <c r="CW346" s="86">
        <f>IF($CS346,"",IF($CV346,VLOOKUP($AT346&amp;"|"&amp;$CU346,LocTable,4,FALSE),5))</f>
        <v/>
      </c>
      <c r="CX346" s="86">
        <f>IF($CS346,"",IF($CV346,IF(OR($BI346=$CU346,AND($BI346&lt;$CU346,$BI346-IF(N(VLOOKUP($AT346&amp;"|"&amp;$CU346,LocTable,7,FALSE))&gt;0,VLOOKUP($AT346&amp;"|"&amp;$CU346,LocTable,7,FALSE),VLOOKUP($AT346&amp;"|"&amp;$CU346,LocTable,6,FALSE))-$CR346-0.75&gt;=2.125)),IF(N(VLOOKUP($AT346&amp;"|"&amp;$CU346,LocTable,7,FALSE))&gt;0,VLOOKUP($AT346&amp;"|"&amp;$CU346,LocTable,7,FALSE),VLOOKUP($AT346&amp;"|"&amp;$CU346,LocTable,6,FALSE)),$BI346-($CU346-IF(N(VLOOKUP($AT346&amp;"|"&amp;$CU346,LocTable,7,FALSE))&gt;0,VLOOKUP($AT346&amp;"|"&amp;$CU346,LocTable,7,FALSE),VLOOKUP($AT346&amp;"|"&amp;$CU346,LocTable,6,FALSE)))),$BI346-10-$CR346))</f>
        <v/>
      </c>
      <c r="CY346" s="85">
        <f>IF($CS346,"",TRIM(IF(ISNUMBER($BU346),"A "&amp;TRIM(TEXT($BU346,"# ?/??"))&amp;CHAR(34)&amp;"  ","")&amp;IF(ISNUMBER($BV346),"B "&amp;TRIM(TEXT($BV346,"# ?/??"))&amp;CHAR(34)&amp;"  ","")&amp;IF(ISNUMBER($BW346),"C "&amp;TRIM(TEXT($BW346,"# ?/??"))&amp;CHAR(34)&amp;"  ","")&amp;IF(ISNUMBER($BX346),"D "&amp;TRIM(TEXT($BX346,"# ?/??"))&amp;CHAR(34)&amp;"  ","")&amp;IF(ISNUMBER($BY346),"F "&amp;TRIM(TEXT($BY346,"# ?/??"))&amp;CHAR(34)&amp;"  ","")&amp;IF(ISNUMBER($BZ346),"E "&amp;TRIM(TEXT($BZ346,"# ?/??"))&amp;CHAR(34)&amp;"  ","")))</f>
        <v/>
      </c>
      <c r="CZ346" s="85">
        <f>IF(OR($CS346,N($BJ346)=0),"",TRIM(IF(ISNUMBER($BU346),"A "&amp;TRIM(TEXT($BU346-HeadClr,"# ?/??"))&amp;CHAR(34)&amp;"  ","")&amp;IF(ISNUMBER($BV346),"B "&amp;TRIM(TEXT($BV346-HeadClr,"# ?/??"))&amp;CHAR(34)&amp;"  ","")&amp;IF(ISNUMBER($BW346),"C "&amp;TRIM(TEXT($BW346-HeadClr,"# ?/??"))&amp;CHAR(34)&amp;"  ","")&amp;IF(ISNUMBER($BX346),"D "&amp;TRIM(TEXT($BX346-HeadClr,"# ?/??"))&amp;CHAR(34)&amp;"  ","")&amp;IF(ISNUMBER($BY346),"F "&amp;TRIM(TEXT($BY346-HeadClr,"# ?/??"))&amp;CHAR(34)&amp;"  ","")&amp;IF(ISNUMBER($BZ346),"E "&amp;TRIM(TEXT($BZ346-HeadClr,"# ?/??"))&amp;CHAR(34)&amp;"  ","")))</f>
        <v/>
      </c>
      <c r="DA346" s="84">
        <f>IF($A346="","",IF($AN346="",IFERROR(VLOOKUP($Z346,CODES,2,FALSE),""),IFERROR(VLOOKUP($AN346,CODES,2,FALSE),"")))</f>
        <v/>
      </c>
      <c r="DB346" s="84">
        <f>IF($A346="","",IF($O346="Y","PR",IF(OR($Z346="L",$Z346="RR",LEFT($Z346,2)="L-",LEFT($Z346,3)="RR-"),"LH","RH")))</f>
        <v/>
      </c>
      <c r="DC346" s="84">
        <f>IF($A346="","","S.HM"&amp;IF(OR($C346="DOOR ONLY",$X346&lt;&gt;"KD"),"MASONRY","DRYWALL")&amp;IF($C346="DOOR ONLY","",$U346)&amp;IF(AND($C346&lt;&gt;"FRAME ONLY",OR(LEFT($AH346,3)="OAK",LEFT($AH346,3)="BIR",LEFT($AH346,3)="MAP",$AH346="PC",$AH346="MC",$AH346="SCLC",$AH346="P-LAM")),"WD","HM")&amp;"1.75")</f>
        <v/>
      </c>
      <c r="DD346" s="84">
        <f>IF($CJ346="","",IF($O346="Y",$CJ346,SUBSTITUTE($CJ346,$BG346&amp;" "&amp;IFERROR(VLOOKUP($Z346,CODES,2,FALSE),"")&amp;" ",$BG346&amp;" ")))</f>
        <v/>
      </c>
      <c r="DE346" s="84">
        <f>IF($CK346="","",IF($O346="Y",$CK346,SUBSTITUTE($CK346,$BG346&amp;" "&amp;IF($AN346="",IFERROR(VLOOKUP($Z346,CODES,2,FALSE),""),IFERROR(VLOOKUP($AN346,CODES,2,FALSE),""))&amp;" ",$BG346&amp;" ")))</f>
        <v/>
      </c>
      <c r="DF346" s="84">
        <f>IF($CJ346="","",$DC346&amp;"|"&amp;$DD346&amp;"|"&amp;$DB346&amp;"|"&amp;$AT346&amp;"|"&amp;$V346&amp;"|"&amp;$Y346&amp;"|"&amp;$AB346)</f>
        <v/>
      </c>
      <c r="DG346" s="84">
        <f>IF(DF346="","",IF(COUNTIF($DF$6:DF346,DF346)=1,MAX($DG$5:DG345)+1,INDEX($DG$5:DG345,MATCH(DF346,$DF$5:DF345,0))))</f>
        <v/>
      </c>
      <c r="DH346" s="84">
        <f>IF($CK346="","",$DC346&amp;"|"&amp;$DE346&amp;"|"&amp;$AI346&amp;"|"&amp;$BK346&amp;"|"&amp;$BL346)</f>
        <v/>
      </c>
      <c r="DI346" s="84">
        <f>IF(DH346="","",IF(COUNTIF($DH$6:DH346,DH346)=1,MAX($DI$5:DI345)+1,INDEX($DI$5:DI345,MATCH(DH346,$DH$5:DH345,0))))</f>
        <v/>
      </c>
      <c r="DJ346" s="84">
        <f>IF($A346="","",IF($B346="","qty, ","")&amp;IF($C346="","scope, ","")&amp;IF(OR($K346="",$M346=""),"size, ","")&amp;IF(AND($A346&lt;&gt;"",$C346&lt;&gt;"DOOR ONLY"),IF($U346="","jamb depth, ","")&amp;IF($X346="","construction, ","")&amp;IF($Y346="","anchor, ","")&amp;IF($S346="","frame type, ",""),"")&amp;IF(AND(N($BJ346)&gt;0,$Z346=""),"hand, ","")&amp;IF(N($BJ346)&gt;0,IF($AH346="","door material, ","")&amp;IF($AL346="","face type, ","")&amp;IF($AP346="","lock prep, ","")&amp;IF(AND($AO346="",$AC346=""),"hinge prep, ",""),"")&amp;IF(AND($CH346&gt;0,$AH346="FRP"),"FRP cannot carry a label, ","")&amp;IF(AND($O346="Y",OR($Z346="L",$Z346="R",$Z346="LR",$Z346="RR")),"pair marked but hand is single, ","")&amp;IF(AND($O346&lt;&gt;"Y",OR($Z346="PR",AND(LEN($Z346)&gt;1,ISNUMBER(SEARCH("-",$Z346))))),"pair hand on a single door, ","")&amp;IF(AND(ISNUMBER($CI346),$CH346&lt;N($CI346)),"wall needs a "&amp;$CI346&amp;" min door, ","")&amp;IF(AND($CH346&gt;=180,AND(OR($CE346="FG",$CE346="HG",$CE346="FNV",$CE346="FV"),N($CF346)*N($CG346)&gt;100)),"180 min lite over 100 sq in, ","")&amp;IF(N($BK346)&gt;48,"leaf wider than 4'-0"&amp;CHAR(34)&amp;", ","")&amp;IF(AND($CT346,COUNT($AW346:$AZ346)=0,$CQ346&gt;0),"CUSTOM LOC with no locations typed, ",""))</f>
        <v/>
      </c>
      <c r="DK346" s="84">
        <f>IF($A346="","",IF(AND($CH346&gt;0,AND($A346&lt;&gt;"",$C346&lt;&gt;"DOOR ONLY"),$X346="KD",$E346="EXTERIOR"),"KD label on an exterior opening, ","")&amp;IF(AND($E346="EXTERIOR",OR(AND(AND($A346&lt;&gt;"",$C346&lt;&gt;"DOOR ONLY"),$W346="CR"),AND(N($BJ346)&gt;0,$AH346="CR"))),"exterior in CR steel (G9?), ","")&amp;IF(AND(ISNUMBER($BQ346),N($BQ346)&lt;32),"clear width ~"&amp;TEXT($BQ346,"0.0")&amp;CHAR(34)&amp;" under 32"&amp;CHAR(34)&amp;" (ADA), ","")&amp;IF(AND($CH346=90,AND(OR($CE346="FG",$CE346="HG",$CE346="FNV",$CE346="FV"),N($CF346)*N($CG346)&gt;100)),"90 min lite over 100 sq in (stair/exit), ","")&amp;IF(AND($CH346&gt;0,AND($A346&lt;&gt;"",$C346&lt;&gt;"DOOR ONLY"),OR($AF346="",$AF346="-")),"rated: closer reinf.?, ","")&amp;IF(OR($I346="CORRIDOR",$I346="SMOKE BARRIER"),"S label + smoke gasketing, ","")&amp;IF($CI346="?","wall type/hr not in IBC table, ","")&amp;IF(AND(N($BJ346)&gt;0,$BB346=""),"no hardware set, ","")&amp;IF(AND($BB346&lt;&gt;"",ISNA(MATCH($BB346&amp;"",HWSets,0))),"set "&amp;$BB346&amp;" not on HW Sets, ","")&amp;IF(N($BL346)&gt;96,"leaf over 8'-0"&amp;CHAR(34)&amp;" - check listing, ","")&amp;IF(AND($CT346,COUNT($AW346:$AZ346)&gt;0,COUNT($AW346:$AZ346)&lt;&gt;$CQ346),COUNT($AW346:$AZ346)&amp;" custom hinges typed, "&amp;$CQ346&amp;" expected, ","")&amp;IF(AND(ISNUMBER($CA346),OR(N($CA346)&lt;34,N($CA346)&gt;48)),"lock "&amp;TEXT($CA346,"0.0")&amp;CHAR(34)&amp;" AFF outside 34-48"&amp;CHAR(34)&amp;" (ADA), ","")&amp;IF(AND(ISNUMBER($AV346),ISNUMBER($BL346),N($AV346)&lt;IF(N($BL346)&lt;=60,2,IF(N($BL346)&lt;=90,3,IF(N($BL346)&lt;=120,4,5)))),"fewer hinges than standard, ",""))</f>
        <v/>
      </c>
    </row>
    <row r="347" ht="15" customHeight="1">
      <c r="A347" s="77" t="n"/>
      <c r="B347" s="78" t="n"/>
      <c r="C347" s="78" t="n"/>
      <c r="D347" s="78" t="n"/>
      <c r="E347" s="78" t="n"/>
      <c r="F347" s="78" t="n"/>
      <c r="G347" s="78" t="n"/>
      <c r="H347" s="78" t="n"/>
      <c r="I347" s="78" t="n"/>
      <c r="J347" s="78" t="n"/>
      <c r="K347" s="78" t="n"/>
      <c r="L347" s="78" t="n"/>
      <c r="M347" s="78" t="n"/>
      <c r="N347" s="78" t="n"/>
      <c r="O347" s="78" t="n"/>
      <c r="P347" s="78" t="n"/>
      <c r="Q347" s="78" t="n"/>
      <c r="R347" s="78" t="n"/>
      <c r="S347" s="79" t="n"/>
      <c r="T347" s="79" t="n"/>
      <c r="U347" s="79" t="n"/>
      <c r="V347" s="79" t="n"/>
      <c r="W347" s="79" t="n"/>
      <c r="X347" s="79" t="n"/>
      <c r="Y347" s="79" t="n"/>
      <c r="Z347" s="79" t="n"/>
      <c r="AA347" s="79" t="n"/>
      <c r="AB347" s="79" t="n"/>
      <c r="AC347" s="79" t="n"/>
      <c r="AD347" s="79" t="n"/>
      <c r="AE347" s="79" t="n"/>
      <c r="AF347" s="79" t="n"/>
      <c r="AG347" s="79" t="n"/>
      <c r="AH347" s="80" t="n"/>
      <c r="AI347" s="80" t="n"/>
      <c r="AJ347" s="80" t="n"/>
      <c r="AK347" s="80" t="n"/>
      <c r="AL347" s="80" t="n"/>
      <c r="AM347" s="80" t="n"/>
      <c r="AN347" s="80" t="n"/>
      <c r="AO347" s="80" t="n"/>
      <c r="AP347" s="80" t="n"/>
      <c r="AQ347" s="80" t="n"/>
      <c r="AR347" s="80" t="n"/>
      <c r="AS347" s="80" t="n"/>
      <c r="AT347" s="81" t="n"/>
      <c r="AU347" s="81" t="n"/>
      <c r="AV347" s="81" t="n"/>
      <c r="AW347" s="82" t="n"/>
      <c r="AX347" s="82" t="n"/>
      <c r="AY347" s="82" t="n"/>
      <c r="AZ347" s="82" t="n"/>
      <c r="BA347" s="82" t="n"/>
      <c r="BB347" s="83" t="n"/>
      <c r="BC347" s="83" t="n"/>
      <c r="BD347" s="84">
        <f>IF($A347="","",IF($DJ347&lt;&gt;"","FIX",IF($DK347&lt;&gt;"","CHECK","OK")))</f>
        <v/>
      </c>
      <c r="BE347" s="85">
        <f>IF($A347="","",IF($DJ347&lt;&gt;"","FIX: "&amp;LEFT($DJ347,LEN($DJ347)-2)&amp;IF($DK347&lt;&gt;"","  ·  ",""),"")&amp;IF($DK347&lt;&gt;"","CHECK: "&amp;LEFT($DK347,LEN($DK347)-2),""))</f>
        <v/>
      </c>
      <c r="BF347" s="84">
        <f>IF(OR($A347="",$K347=""),"",$K347&amp;"'-"&amp;N($L347)&amp;CHAR(34)&amp;" x "&amp;$M347&amp;"'-"&amp;N($N347)&amp;CHAR(34))</f>
        <v/>
      </c>
      <c r="BG347" s="84">
        <f>IF(OR($A347="",$K347=""),"",$K347&amp;N($L347)&amp;$M347&amp;N($N347))</f>
        <v/>
      </c>
      <c r="BH347" s="84">
        <f>IF(OR($A347="",$K347=""),"",$K347*12+N($L347))</f>
        <v/>
      </c>
      <c r="BI347" s="84">
        <f>IF(OR($A347="",$M347=""),"",$M347*12+N($N347))</f>
        <v/>
      </c>
      <c r="BJ347" s="84">
        <f>IF($A347="","",IF(OR($C347="FRAME ONLY",$S347="BL"),0,IF($O347="Y",2,1)))</f>
        <v/>
      </c>
      <c r="BK347" s="86">
        <f>IF(OR(N($BJ347)=0,$BH347=""),"",($BH347-2*EdgeClr-IF($BJ347=2,MeetClr,0))/$BJ347)</f>
        <v/>
      </c>
      <c r="BL347" s="86">
        <f>IF(OR(N($BJ347)=0,$BI347=""),"",$BI347-HeadClr-Undercut)</f>
        <v/>
      </c>
      <c r="BM347" s="86">
        <f>IF($BH347="","",$BH347+2*FaceW+IF(N($Q347)&gt;0,($Q347+FaceW)*IF($R347="LR",2,1),0))</f>
        <v/>
      </c>
      <c r="BN347" s="86">
        <f>IF($BI347="","",$BI347+IF($AB347="Y",4,FaceW)+IF(N($P347)&gt;0,$P347+FaceW,0)+IF(OR($S347="4F",$S347="BL"),FaceW,0))</f>
        <v/>
      </c>
      <c r="BO347" s="86">
        <f>IF($BM347="","",$BM347+2*ROSide)</f>
        <v/>
      </c>
      <c r="BP347" s="86">
        <f>IF($BN347="","",$BN347+ROTop)</f>
        <v/>
      </c>
      <c r="BQ347" s="87">
        <f>IF(OR(N($BJ347)=0,$BH347=""),"",$BH347/$BJ347-ClearDeduct)</f>
        <v/>
      </c>
      <c r="BR347" s="84">
        <f>IF(N($CH347)=0,"",IF($CH347&gt;=180,"A · 3 HR",IF($CH347&gt;=90,"B · 1-1/2 HR",IF($CH347&gt;=60,"B · 1 HR",IF($CH347&gt;=45,"C · 3/4 HR","20 MIN")))))&amp;IF(AND(N($CH347)&gt;0,OR($I347="CORRIDOR",$I347="SMOKE BARRIER"))," · S","")</f>
        <v/>
      </c>
      <c r="BS347" s="84">
        <f>IF($CS347,"",IF($AV347&lt;&gt;"",$AV347,IF(OR($AC347="HGC",$AO347="HGC"),"CONT",IF(($BI347-HeadClr-Undercut)&lt;=60,2,IF(($BI347-HeadClr-Undercut)&lt;=90,3,IF(($BI347-HeadClr-Undercut)&lt;=120,4,5))))))</f>
        <v/>
      </c>
      <c r="BT347" s="84">
        <f>IF($CS347,"",IF($CT347,"CUSTOM (typed)",IF($CV347,$AT347&amp;" "&amp;$CU347&amp;CHAR(34)&amp;IF($CU347&lt;&gt;$BI347,IF(AND($BI347&lt;$CU347,$BI347-IF(N(VLOOKUP($AT347&amp;"|"&amp;$CU347,LocTable,7,FALSE))&gt;0,VLOOKUP($AT347&amp;"|"&amp;$CU347,LocTable,7,FALSE),VLOOKUP($AT347&amp;"|"&amp;$CU347,LocTable,6,FALSE))-$CR347-0.75&gt;=2.125)," cut down"," adj."),""),"ANSI/SDI A250.6")))</f>
        <v/>
      </c>
      <c r="BU347" s="88">
        <f>IF($CS347,"",IF($CT347,IF(N($AW347)&gt;0,N($AW347),""),IF(1&gt;$CQ347,"",IF($CQ347=1,$CW347,$CW347+($CX347-$CW347)*0/($CQ347-1)))))</f>
        <v/>
      </c>
      <c r="BV347" s="88">
        <f>IF($CS347,"",IF($CT347,IF(N($AX347)&gt;0,N($AX347),""),IF(2&gt;$CQ347,"",IF($CQ347=1,$CW347,$CW347+($CX347-$CW347)*1/($CQ347-1)))))</f>
        <v/>
      </c>
      <c r="BW347" s="88">
        <f>IF($CS347,"",IF($CT347,IF(N($AY347)&gt;0,N($AY347),""),IF(3&gt;$CQ347,"",IF($CQ347=1,$CW347,$CW347+($CX347-$CW347)*2/($CQ347-1)))))</f>
        <v/>
      </c>
      <c r="BX347" s="88">
        <f>IF($CS347,"",IF($CT347,IF(N($AZ347)&gt;0,N($AZ347),""),IF(4&gt;$CQ347,"",IF($CQ347=1,$CW347,$CW347+($CX347-$CW347)*3/($CQ347-1)))))</f>
        <v/>
      </c>
      <c r="BY347" s="88">
        <f>IF($CS347,"",IF($CT347,"",IF(5&gt;$CQ347,"",IF($CQ347=1,$CW347,$CW347+($CX347-$CW347)*4/($CQ347-1)))))</f>
        <v/>
      </c>
      <c r="BZ347" s="88">
        <f>IF(OR($CS347,$AP347="-",AND($AP347="",$AD347="")),"",IF(N($BA347)&gt;0,N($BA347),IF($CV347,IF(AND($BI347&lt;$CU347,$BI347-IF(N(VLOOKUP($AT347&amp;"|"&amp;$CU347,LocTable,7,FALSE))&gt;0,VLOOKUP($AT347&amp;"|"&amp;$CU347,LocTable,7,FALSE),VLOOKUP($AT347&amp;"|"&amp;$CU347,LocTable,6,FALSE))-$CR347-0.75&gt;=2.125),VLOOKUP($AT347&amp;"|"&amp;$CU347,LocTable,8,FALSE),VLOOKUP($AT347&amp;"|"&amp;$CU347,LocTable,8,FALSE)+($BI347-$CU347)),$BI347-LockAFF)))</f>
        <v/>
      </c>
      <c r="CA347" s="89">
        <f>IF($BZ347="","",$BI347-$BZ347)</f>
        <v/>
      </c>
      <c r="CB347" s="84">
        <f>IF(OR(NOT(AND($A347&lt;&gt;"",$C347&lt;&gt;"DOOR ONLY")),$BI347=""),"",IF(($BI347+IF(N($P347)&gt;0,$P347+FaceW,0))&lt;=90,3,IF(($BI347+IF(N($P347)&gt;0,$P347+FaceW,0))&lt;=114,4,5)))</f>
        <v/>
      </c>
      <c r="CC347" s="84">
        <f>IF($CB347="","",$CB347*(2+IF(N($Q347)&gt;0,IF($R347="LR",2,1),0)))</f>
        <v/>
      </c>
      <c r="CD347" s="84">
        <f>IF($CB347="","",(2+IF(N($Q347)&gt;0,IF($R347="LR",2,1),0)))</f>
        <v/>
      </c>
      <c r="CE347" s="84">
        <f>IF(N($BJ347)=0,"",IF(OR($AL347="",$AL347="FLUSH"),"FLUSH",IFERROR(LEFT($AL347,FIND("-",$AL347)-1),LEFT($AL347,2))))</f>
        <v/>
      </c>
      <c r="CF347" s="84">
        <f>IF($CE347="","",IFERROR(VALUE(MID($AL347,FIND("-",$AL347)+1,FIND(CHAR(34)&amp;"x",$AL347)-FIND("-",$AL347)-1)),0))</f>
        <v/>
      </c>
      <c r="CG347" s="84">
        <f>IF($CE347="","",IFERROR(VALUE(MID($AL347,FIND(CHAR(34)&amp;"x",$AL347)+2,FIND(CHAR(34),$AL347,FIND(CHAR(34)&amp;"x",$AL347)+2)-FIND(CHAR(34)&amp;"x",$AL347)-2)),0))</f>
        <v/>
      </c>
      <c r="CH347" s="90">
        <f>IF(OR($A347="",$H347="",$H347="NO LAB"),0,IFERROR(VALUE(LEFT($H347,FIND(" ",$H347)-1)),0))</f>
        <v/>
      </c>
      <c r="CI347" s="91">
        <f>IF(OR($A347="",$I347="",$I347="NON-RATED",N($J347)=0),"",IFERROR(VLOOKUP($I347&amp;"|"&amp;$J347,IBC,2,FALSE),"?"))</f>
        <v/>
      </c>
      <c r="CJ347" s="85">
        <f>IF(NOT(AND($A347&lt;&gt;"",$C347&lt;&gt;"DOOR ONLY")),"",TRIM(IFERROR(VLOOKUP($U347,CODES,2,FALSE),"")&amp;" "&amp;$BG347&amp;" "&amp;IFERROR(VLOOKUP($Z347,CODES,2,FALSE),"")&amp;" "&amp;IFERROR(VLOOKUP($X347,CODES,2,FALSE),"")&amp;" "&amp;IFERROR(VLOOKUP($S347,CODES,2,FALSE),"")&amp;IF(N($P347)&gt;0," w/TRANSOM "&amp;$P347&amp;CHAR(34),"")&amp;IF(N($Q347)&gt;0," w/SIDELITE "&amp;$Q347&amp;CHAR(34)&amp;" "&amp;IF($R347="","R",$R347),"")&amp;IF($Y347="","  |  "," | "&amp;IFERROR(VLOOKUP($Y347,CODES,2,FALSE),"")&amp;" | ")&amp;IFERROR(VLOOKUP($AC347,CODES,2,FALSE),"")&amp;" "&amp;IFERROR(VLOOKUP($AD347,CODES,2,FALSE),"")&amp;IF(OR($AE347="",$AE347="-"),""," "&amp;$AE347)&amp;IF(OR($AF347="",$AF347="-"),""," "&amp;$AF347)&amp;IF($AB347="Y"," 4"&amp;CHAR(34)&amp;" HEAD","")&amp;" "&amp;IFERROR(VLOOKUP($H347,CODES,2,FALSE),"")&amp;IF($CT347," | LOC "&amp;$CY347,"")))</f>
        <v/>
      </c>
      <c r="CK347" s="85">
        <f>IF(NOT(AND($A347&lt;&gt;"",N($BJ347)&gt;0)),"",TRIM(IFERROR(VLOOKUP($AH347,CODES,2,FALSE),"")&amp;IF($AI347=""," "," "&amp;$AI347&amp;"GA ")&amp;$BG347&amp;" "&amp;IF($AN347="",IFERROR(VLOOKUP($Z347,CODES,2,FALSE),""),IFERROR(VLOOKUP($AN347,CODES,2,FALSE),""))&amp;IF($BJ347=2," PAIR","")&amp;" DOOR | "&amp;IF($AL347="","?",$AL347)&amp;" | "&amp;IF($AO347="",IFERROR(VLOOKUP($AC347,CODES,2,FALSE),""),IFERROR(VLOOKUP($AO347,CODES,2,FALSE),""))&amp;" "&amp;IFERROR(VLOOKUP($AP347,CODES,2,FALSE),"")&amp;IF(OR($AQ347="",$AQ347="-"),""," SEAM "&amp;$AQ347)&amp;IF($AR347="Y"," ASTRAGAL","")&amp;IF($AJ347=""," "," "&amp;$AJ347)&amp;IF($AK347=""," "," "&amp;$AK347)&amp;IF(OR($AT347="",$AT347="ANSI/SDI",$AT347="CUSTOM LOC"),""," "&amp;$AT347)&amp;IF($AM347=""," "," SERIES "&amp;$AM347)&amp;" "&amp;IFERROR(VLOOKUP($H347,CODES,2,FALSE),"")&amp;IF($CT347," | LOC "&amp;$CZ347,"")))</f>
        <v/>
      </c>
      <c r="CL347" s="84">
        <f>IF(CP347="","",IF(COUNTIF($CP$6:CP347,CP347)=1,MAX($CL$5:CL346)+1,INDEX($CL$5:CL346,MATCH(CP347,$CP$5:CP346,0))))</f>
        <v/>
      </c>
      <c r="CM347" s="84">
        <f>IF(NOT(AND($A347&lt;&gt;"",$C347&lt;&gt;"DOOR ONLY")),"",MAX($CM$5:CM346)+1)</f>
        <v/>
      </c>
      <c r="CN347" s="84">
        <f>IF(NOT(AND($A347&lt;&gt;"",N($BJ347)&gt;0)),"",MAX($CN$5:CN346)+1)</f>
        <v/>
      </c>
      <c r="CO347" s="84">
        <f>IF($A347="","",MAX($CO$5:CO346)+1)</f>
        <v/>
      </c>
      <c r="CP347" s="84">
        <f>IF(OR($A347="",$BH347="",$BI347=""),"",$BG347&amp;"|"&amp;$O347&amp;"|"&amp;$AL347&amp;"|"&amp;$S347&amp;"|"&amp;$P347&amp;"|"&amp;$Q347&amp;$R347&amp;"|"&amp;$C347&amp;"|"&amp;$AB347)</f>
        <v/>
      </c>
      <c r="CQ347" s="84">
        <f>N($BS347)</f>
        <v/>
      </c>
      <c r="CR347" s="84">
        <f>IF(N($AU347)&gt;0,N($AU347),4.5)</f>
        <v/>
      </c>
      <c r="CS347" s="84">
        <f>OR($A347="",$BI347="",$S347="BL",AND($C347="FRAME ONLY",OR($AC347="",$AC347="BLK")))</f>
        <v/>
      </c>
      <c r="CT347" s="84">
        <f>AND(NOT($CS347),OR($AT347="CUSTOM LOC",N($AW347)+N($AX347)+N($AY347)+N($AZ347)+N($BA347)&gt;0))</f>
        <v/>
      </c>
      <c r="CU347" s="84">
        <f>IF($BI347="","",IF($BI347&lt;=80,80,IF($BI347&lt;=84,84,96)))</f>
        <v/>
      </c>
      <c r="CV347" s="84">
        <f>ISNUMBER(MATCH($AT347&amp;"|80",LocKeys,0))</f>
        <v/>
      </c>
      <c r="CW347" s="86">
        <f>IF($CS347,"",IF($CV347,VLOOKUP($AT347&amp;"|"&amp;$CU347,LocTable,4,FALSE),5))</f>
        <v/>
      </c>
      <c r="CX347" s="86">
        <f>IF($CS347,"",IF($CV347,IF(OR($BI347=$CU347,AND($BI347&lt;$CU347,$BI347-IF(N(VLOOKUP($AT347&amp;"|"&amp;$CU347,LocTable,7,FALSE))&gt;0,VLOOKUP($AT347&amp;"|"&amp;$CU347,LocTable,7,FALSE),VLOOKUP($AT347&amp;"|"&amp;$CU347,LocTable,6,FALSE))-$CR347-0.75&gt;=2.125)),IF(N(VLOOKUP($AT347&amp;"|"&amp;$CU347,LocTable,7,FALSE))&gt;0,VLOOKUP($AT347&amp;"|"&amp;$CU347,LocTable,7,FALSE),VLOOKUP($AT347&amp;"|"&amp;$CU347,LocTable,6,FALSE)),$BI347-($CU347-IF(N(VLOOKUP($AT347&amp;"|"&amp;$CU347,LocTable,7,FALSE))&gt;0,VLOOKUP($AT347&amp;"|"&amp;$CU347,LocTable,7,FALSE),VLOOKUP($AT347&amp;"|"&amp;$CU347,LocTable,6,FALSE)))),$BI347-10-$CR347))</f>
        <v/>
      </c>
      <c r="CY347" s="85">
        <f>IF($CS347,"",TRIM(IF(ISNUMBER($BU347),"A "&amp;TRIM(TEXT($BU347,"# ?/??"))&amp;CHAR(34)&amp;"  ","")&amp;IF(ISNUMBER($BV347),"B "&amp;TRIM(TEXT($BV347,"# ?/??"))&amp;CHAR(34)&amp;"  ","")&amp;IF(ISNUMBER($BW347),"C "&amp;TRIM(TEXT($BW347,"# ?/??"))&amp;CHAR(34)&amp;"  ","")&amp;IF(ISNUMBER($BX347),"D "&amp;TRIM(TEXT($BX347,"# ?/??"))&amp;CHAR(34)&amp;"  ","")&amp;IF(ISNUMBER($BY347),"F "&amp;TRIM(TEXT($BY347,"# ?/??"))&amp;CHAR(34)&amp;"  ","")&amp;IF(ISNUMBER($BZ347),"E "&amp;TRIM(TEXT($BZ347,"# ?/??"))&amp;CHAR(34)&amp;"  ","")))</f>
        <v/>
      </c>
      <c r="CZ347" s="85">
        <f>IF(OR($CS347,N($BJ347)=0),"",TRIM(IF(ISNUMBER($BU347),"A "&amp;TRIM(TEXT($BU347-HeadClr,"# ?/??"))&amp;CHAR(34)&amp;"  ","")&amp;IF(ISNUMBER($BV347),"B "&amp;TRIM(TEXT($BV347-HeadClr,"# ?/??"))&amp;CHAR(34)&amp;"  ","")&amp;IF(ISNUMBER($BW347),"C "&amp;TRIM(TEXT($BW347-HeadClr,"# ?/??"))&amp;CHAR(34)&amp;"  ","")&amp;IF(ISNUMBER($BX347),"D "&amp;TRIM(TEXT($BX347-HeadClr,"# ?/??"))&amp;CHAR(34)&amp;"  ","")&amp;IF(ISNUMBER($BY347),"F "&amp;TRIM(TEXT($BY347-HeadClr,"# ?/??"))&amp;CHAR(34)&amp;"  ","")&amp;IF(ISNUMBER($BZ347),"E "&amp;TRIM(TEXT($BZ347-HeadClr,"# ?/??"))&amp;CHAR(34)&amp;"  ","")))</f>
        <v/>
      </c>
      <c r="DA347" s="84">
        <f>IF($A347="","",IF($AN347="",IFERROR(VLOOKUP($Z347,CODES,2,FALSE),""),IFERROR(VLOOKUP($AN347,CODES,2,FALSE),"")))</f>
        <v/>
      </c>
      <c r="DB347" s="84">
        <f>IF($A347="","",IF($O347="Y","PR",IF(OR($Z347="L",$Z347="RR",LEFT($Z347,2)="L-",LEFT($Z347,3)="RR-"),"LH","RH")))</f>
        <v/>
      </c>
      <c r="DC347" s="84">
        <f>IF($A347="","","S.HM"&amp;IF(OR($C347="DOOR ONLY",$X347&lt;&gt;"KD"),"MASONRY","DRYWALL")&amp;IF($C347="DOOR ONLY","",$U347)&amp;IF(AND($C347&lt;&gt;"FRAME ONLY",OR(LEFT($AH347,3)="OAK",LEFT($AH347,3)="BIR",LEFT($AH347,3)="MAP",$AH347="PC",$AH347="MC",$AH347="SCLC",$AH347="P-LAM")),"WD","HM")&amp;"1.75")</f>
        <v/>
      </c>
      <c r="DD347" s="84">
        <f>IF($CJ347="","",IF($O347="Y",$CJ347,SUBSTITUTE($CJ347,$BG347&amp;" "&amp;IFERROR(VLOOKUP($Z347,CODES,2,FALSE),"")&amp;" ",$BG347&amp;" ")))</f>
        <v/>
      </c>
      <c r="DE347" s="84">
        <f>IF($CK347="","",IF($O347="Y",$CK347,SUBSTITUTE($CK347,$BG347&amp;" "&amp;IF($AN347="",IFERROR(VLOOKUP($Z347,CODES,2,FALSE),""),IFERROR(VLOOKUP($AN347,CODES,2,FALSE),""))&amp;" ",$BG347&amp;" ")))</f>
        <v/>
      </c>
      <c r="DF347" s="84">
        <f>IF($CJ347="","",$DC347&amp;"|"&amp;$DD347&amp;"|"&amp;$DB347&amp;"|"&amp;$AT347&amp;"|"&amp;$V347&amp;"|"&amp;$Y347&amp;"|"&amp;$AB347)</f>
        <v/>
      </c>
      <c r="DG347" s="84">
        <f>IF(DF347="","",IF(COUNTIF($DF$6:DF347,DF347)=1,MAX($DG$5:DG346)+1,INDEX($DG$5:DG346,MATCH(DF347,$DF$5:DF346,0))))</f>
        <v/>
      </c>
      <c r="DH347" s="84">
        <f>IF($CK347="","",$DC347&amp;"|"&amp;$DE347&amp;"|"&amp;$AI347&amp;"|"&amp;$BK347&amp;"|"&amp;$BL347)</f>
        <v/>
      </c>
      <c r="DI347" s="84">
        <f>IF(DH347="","",IF(COUNTIF($DH$6:DH347,DH347)=1,MAX($DI$5:DI346)+1,INDEX($DI$5:DI346,MATCH(DH347,$DH$5:DH346,0))))</f>
        <v/>
      </c>
      <c r="DJ347" s="84">
        <f>IF($A347="","",IF($B347="","qty, ","")&amp;IF($C347="","scope, ","")&amp;IF(OR($K347="",$M347=""),"size, ","")&amp;IF(AND($A347&lt;&gt;"",$C347&lt;&gt;"DOOR ONLY"),IF($U347="","jamb depth, ","")&amp;IF($X347="","construction, ","")&amp;IF($Y347="","anchor, ","")&amp;IF($S347="","frame type, ",""),"")&amp;IF(AND(N($BJ347)&gt;0,$Z347=""),"hand, ","")&amp;IF(N($BJ347)&gt;0,IF($AH347="","door material, ","")&amp;IF($AL347="","face type, ","")&amp;IF($AP347="","lock prep, ","")&amp;IF(AND($AO347="",$AC347=""),"hinge prep, ",""),"")&amp;IF(AND($CH347&gt;0,$AH347="FRP"),"FRP cannot carry a label, ","")&amp;IF(AND($O347="Y",OR($Z347="L",$Z347="R",$Z347="LR",$Z347="RR")),"pair marked but hand is single, ","")&amp;IF(AND($O347&lt;&gt;"Y",OR($Z347="PR",AND(LEN($Z347)&gt;1,ISNUMBER(SEARCH("-",$Z347))))),"pair hand on a single door, ","")&amp;IF(AND(ISNUMBER($CI347),$CH347&lt;N($CI347)),"wall needs a "&amp;$CI347&amp;" min door, ","")&amp;IF(AND($CH347&gt;=180,AND(OR($CE347="FG",$CE347="HG",$CE347="FNV",$CE347="FV"),N($CF347)*N($CG347)&gt;100)),"180 min lite over 100 sq in, ","")&amp;IF(N($BK347)&gt;48,"leaf wider than 4'-0"&amp;CHAR(34)&amp;", ","")&amp;IF(AND($CT347,COUNT($AW347:$AZ347)=0,$CQ347&gt;0),"CUSTOM LOC with no locations typed, ",""))</f>
        <v/>
      </c>
      <c r="DK347" s="84">
        <f>IF($A347="","",IF(AND($CH347&gt;0,AND($A347&lt;&gt;"",$C347&lt;&gt;"DOOR ONLY"),$X347="KD",$E347="EXTERIOR"),"KD label on an exterior opening, ","")&amp;IF(AND($E347="EXTERIOR",OR(AND(AND($A347&lt;&gt;"",$C347&lt;&gt;"DOOR ONLY"),$W347="CR"),AND(N($BJ347)&gt;0,$AH347="CR"))),"exterior in CR steel (G9?), ","")&amp;IF(AND(ISNUMBER($BQ347),N($BQ347)&lt;32),"clear width ~"&amp;TEXT($BQ347,"0.0")&amp;CHAR(34)&amp;" under 32"&amp;CHAR(34)&amp;" (ADA), ","")&amp;IF(AND($CH347=90,AND(OR($CE347="FG",$CE347="HG",$CE347="FNV",$CE347="FV"),N($CF347)*N($CG347)&gt;100)),"90 min lite over 100 sq in (stair/exit), ","")&amp;IF(AND($CH347&gt;0,AND($A347&lt;&gt;"",$C347&lt;&gt;"DOOR ONLY"),OR($AF347="",$AF347="-")),"rated: closer reinf.?, ","")&amp;IF(OR($I347="CORRIDOR",$I347="SMOKE BARRIER"),"S label + smoke gasketing, ","")&amp;IF($CI347="?","wall type/hr not in IBC table, ","")&amp;IF(AND(N($BJ347)&gt;0,$BB347=""),"no hardware set, ","")&amp;IF(AND($BB347&lt;&gt;"",ISNA(MATCH($BB347&amp;"",HWSets,0))),"set "&amp;$BB347&amp;" not on HW Sets, ","")&amp;IF(N($BL347)&gt;96,"leaf over 8'-0"&amp;CHAR(34)&amp;" - check listing, ","")&amp;IF(AND($CT347,COUNT($AW347:$AZ347)&gt;0,COUNT($AW347:$AZ347)&lt;&gt;$CQ347),COUNT($AW347:$AZ347)&amp;" custom hinges typed, "&amp;$CQ347&amp;" expected, ","")&amp;IF(AND(ISNUMBER($CA347),OR(N($CA347)&lt;34,N($CA347)&gt;48)),"lock "&amp;TEXT($CA347,"0.0")&amp;CHAR(34)&amp;" AFF outside 34-48"&amp;CHAR(34)&amp;" (ADA), ","")&amp;IF(AND(ISNUMBER($AV347),ISNUMBER($BL347),N($AV347)&lt;IF(N($BL347)&lt;=60,2,IF(N($BL347)&lt;=90,3,IF(N($BL347)&lt;=120,4,5)))),"fewer hinges than standard, ",""))</f>
        <v/>
      </c>
    </row>
    <row r="348" ht="15" customHeight="1">
      <c r="A348" s="77" t="n"/>
      <c r="B348" s="78" t="n"/>
      <c r="C348" s="78" t="n"/>
      <c r="D348" s="78" t="n"/>
      <c r="E348" s="78" t="n"/>
      <c r="F348" s="78" t="n"/>
      <c r="G348" s="78" t="n"/>
      <c r="H348" s="78" t="n"/>
      <c r="I348" s="78" t="n"/>
      <c r="J348" s="78" t="n"/>
      <c r="K348" s="78" t="n"/>
      <c r="L348" s="78" t="n"/>
      <c r="M348" s="78" t="n"/>
      <c r="N348" s="78" t="n"/>
      <c r="O348" s="78" t="n"/>
      <c r="P348" s="78" t="n"/>
      <c r="Q348" s="78" t="n"/>
      <c r="R348" s="78" t="n"/>
      <c r="S348" s="79" t="n"/>
      <c r="T348" s="79" t="n"/>
      <c r="U348" s="79" t="n"/>
      <c r="V348" s="79" t="n"/>
      <c r="W348" s="79" t="n"/>
      <c r="X348" s="79" t="n"/>
      <c r="Y348" s="79" t="n"/>
      <c r="Z348" s="79" t="n"/>
      <c r="AA348" s="79" t="n"/>
      <c r="AB348" s="79" t="n"/>
      <c r="AC348" s="79" t="n"/>
      <c r="AD348" s="79" t="n"/>
      <c r="AE348" s="79" t="n"/>
      <c r="AF348" s="79" t="n"/>
      <c r="AG348" s="79" t="n"/>
      <c r="AH348" s="80" t="n"/>
      <c r="AI348" s="80" t="n"/>
      <c r="AJ348" s="80" t="n"/>
      <c r="AK348" s="80" t="n"/>
      <c r="AL348" s="80" t="n"/>
      <c r="AM348" s="80" t="n"/>
      <c r="AN348" s="80" t="n"/>
      <c r="AO348" s="80" t="n"/>
      <c r="AP348" s="80" t="n"/>
      <c r="AQ348" s="80" t="n"/>
      <c r="AR348" s="80" t="n"/>
      <c r="AS348" s="80" t="n"/>
      <c r="AT348" s="81" t="n"/>
      <c r="AU348" s="81" t="n"/>
      <c r="AV348" s="81" t="n"/>
      <c r="AW348" s="82" t="n"/>
      <c r="AX348" s="82" t="n"/>
      <c r="AY348" s="82" t="n"/>
      <c r="AZ348" s="82" t="n"/>
      <c r="BA348" s="82" t="n"/>
      <c r="BB348" s="83" t="n"/>
      <c r="BC348" s="83" t="n"/>
      <c r="BD348" s="84">
        <f>IF($A348="","",IF($DJ348&lt;&gt;"","FIX",IF($DK348&lt;&gt;"","CHECK","OK")))</f>
        <v/>
      </c>
      <c r="BE348" s="85">
        <f>IF($A348="","",IF($DJ348&lt;&gt;"","FIX: "&amp;LEFT($DJ348,LEN($DJ348)-2)&amp;IF($DK348&lt;&gt;"","  ·  ",""),"")&amp;IF($DK348&lt;&gt;"","CHECK: "&amp;LEFT($DK348,LEN($DK348)-2),""))</f>
        <v/>
      </c>
      <c r="BF348" s="84">
        <f>IF(OR($A348="",$K348=""),"",$K348&amp;"'-"&amp;N($L348)&amp;CHAR(34)&amp;" x "&amp;$M348&amp;"'-"&amp;N($N348)&amp;CHAR(34))</f>
        <v/>
      </c>
      <c r="BG348" s="84">
        <f>IF(OR($A348="",$K348=""),"",$K348&amp;N($L348)&amp;$M348&amp;N($N348))</f>
        <v/>
      </c>
      <c r="BH348" s="84">
        <f>IF(OR($A348="",$K348=""),"",$K348*12+N($L348))</f>
        <v/>
      </c>
      <c r="BI348" s="84">
        <f>IF(OR($A348="",$M348=""),"",$M348*12+N($N348))</f>
        <v/>
      </c>
      <c r="BJ348" s="84">
        <f>IF($A348="","",IF(OR($C348="FRAME ONLY",$S348="BL"),0,IF($O348="Y",2,1)))</f>
        <v/>
      </c>
      <c r="BK348" s="86">
        <f>IF(OR(N($BJ348)=0,$BH348=""),"",($BH348-2*EdgeClr-IF($BJ348=2,MeetClr,0))/$BJ348)</f>
        <v/>
      </c>
      <c r="BL348" s="86">
        <f>IF(OR(N($BJ348)=0,$BI348=""),"",$BI348-HeadClr-Undercut)</f>
        <v/>
      </c>
      <c r="BM348" s="86">
        <f>IF($BH348="","",$BH348+2*FaceW+IF(N($Q348)&gt;0,($Q348+FaceW)*IF($R348="LR",2,1),0))</f>
        <v/>
      </c>
      <c r="BN348" s="86">
        <f>IF($BI348="","",$BI348+IF($AB348="Y",4,FaceW)+IF(N($P348)&gt;0,$P348+FaceW,0)+IF(OR($S348="4F",$S348="BL"),FaceW,0))</f>
        <v/>
      </c>
      <c r="BO348" s="86">
        <f>IF($BM348="","",$BM348+2*ROSide)</f>
        <v/>
      </c>
      <c r="BP348" s="86">
        <f>IF($BN348="","",$BN348+ROTop)</f>
        <v/>
      </c>
      <c r="BQ348" s="87">
        <f>IF(OR(N($BJ348)=0,$BH348=""),"",$BH348/$BJ348-ClearDeduct)</f>
        <v/>
      </c>
      <c r="BR348" s="84">
        <f>IF(N($CH348)=0,"",IF($CH348&gt;=180,"A · 3 HR",IF($CH348&gt;=90,"B · 1-1/2 HR",IF($CH348&gt;=60,"B · 1 HR",IF($CH348&gt;=45,"C · 3/4 HR","20 MIN")))))&amp;IF(AND(N($CH348)&gt;0,OR($I348="CORRIDOR",$I348="SMOKE BARRIER"))," · S","")</f>
        <v/>
      </c>
      <c r="BS348" s="84">
        <f>IF($CS348,"",IF($AV348&lt;&gt;"",$AV348,IF(OR($AC348="HGC",$AO348="HGC"),"CONT",IF(($BI348-HeadClr-Undercut)&lt;=60,2,IF(($BI348-HeadClr-Undercut)&lt;=90,3,IF(($BI348-HeadClr-Undercut)&lt;=120,4,5))))))</f>
        <v/>
      </c>
      <c r="BT348" s="84">
        <f>IF($CS348,"",IF($CT348,"CUSTOM (typed)",IF($CV348,$AT348&amp;" "&amp;$CU348&amp;CHAR(34)&amp;IF($CU348&lt;&gt;$BI348,IF(AND($BI348&lt;$CU348,$BI348-IF(N(VLOOKUP($AT348&amp;"|"&amp;$CU348,LocTable,7,FALSE))&gt;0,VLOOKUP($AT348&amp;"|"&amp;$CU348,LocTable,7,FALSE),VLOOKUP($AT348&amp;"|"&amp;$CU348,LocTable,6,FALSE))-$CR348-0.75&gt;=2.125)," cut down"," adj."),""),"ANSI/SDI A250.6")))</f>
        <v/>
      </c>
      <c r="BU348" s="88">
        <f>IF($CS348,"",IF($CT348,IF(N($AW348)&gt;0,N($AW348),""),IF(1&gt;$CQ348,"",IF($CQ348=1,$CW348,$CW348+($CX348-$CW348)*0/($CQ348-1)))))</f>
        <v/>
      </c>
      <c r="BV348" s="88">
        <f>IF($CS348,"",IF($CT348,IF(N($AX348)&gt;0,N($AX348),""),IF(2&gt;$CQ348,"",IF($CQ348=1,$CW348,$CW348+($CX348-$CW348)*1/($CQ348-1)))))</f>
        <v/>
      </c>
      <c r="BW348" s="88">
        <f>IF($CS348,"",IF($CT348,IF(N($AY348)&gt;0,N($AY348),""),IF(3&gt;$CQ348,"",IF($CQ348=1,$CW348,$CW348+($CX348-$CW348)*2/($CQ348-1)))))</f>
        <v/>
      </c>
      <c r="BX348" s="88">
        <f>IF($CS348,"",IF($CT348,IF(N($AZ348)&gt;0,N($AZ348),""),IF(4&gt;$CQ348,"",IF($CQ348=1,$CW348,$CW348+($CX348-$CW348)*3/($CQ348-1)))))</f>
        <v/>
      </c>
      <c r="BY348" s="88">
        <f>IF($CS348,"",IF($CT348,"",IF(5&gt;$CQ348,"",IF($CQ348=1,$CW348,$CW348+($CX348-$CW348)*4/($CQ348-1)))))</f>
        <v/>
      </c>
      <c r="BZ348" s="88">
        <f>IF(OR($CS348,$AP348="-",AND($AP348="",$AD348="")),"",IF(N($BA348)&gt;0,N($BA348),IF($CV348,IF(AND($BI348&lt;$CU348,$BI348-IF(N(VLOOKUP($AT348&amp;"|"&amp;$CU348,LocTable,7,FALSE))&gt;0,VLOOKUP($AT348&amp;"|"&amp;$CU348,LocTable,7,FALSE),VLOOKUP($AT348&amp;"|"&amp;$CU348,LocTable,6,FALSE))-$CR348-0.75&gt;=2.125),VLOOKUP($AT348&amp;"|"&amp;$CU348,LocTable,8,FALSE),VLOOKUP($AT348&amp;"|"&amp;$CU348,LocTable,8,FALSE)+($BI348-$CU348)),$BI348-LockAFF)))</f>
        <v/>
      </c>
      <c r="CA348" s="89">
        <f>IF($BZ348="","",$BI348-$BZ348)</f>
        <v/>
      </c>
      <c r="CB348" s="84">
        <f>IF(OR(NOT(AND($A348&lt;&gt;"",$C348&lt;&gt;"DOOR ONLY")),$BI348=""),"",IF(($BI348+IF(N($P348)&gt;0,$P348+FaceW,0))&lt;=90,3,IF(($BI348+IF(N($P348)&gt;0,$P348+FaceW,0))&lt;=114,4,5)))</f>
        <v/>
      </c>
      <c r="CC348" s="84">
        <f>IF($CB348="","",$CB348*(2+IF(N($Q348)&gt;0,IF($R348="LR",2,1),0)))</f>
        <v/>
      </c>
      <c r="CD348" s="84">
        <f>IF($CB348="","",(2+IF(N($Q348)&gt;0,IF($R348="LR",2,1),0)))</f>
        <v/>
      </c>
      <c r="CE348" s="84">
        <f>IF(N($BJ348)=0,"",IF(OR($AL348="",$AL348="FLUSH"),"FLUSH",IFERROR(LEFT($AL348,FIND("-",$AL348)-1),LEFT($AL348,2))))</f>
        <v/>
      </c>
      <c r="CF348" s="84">
        <f>IF($CE348="","",IFERROR(VALUE(MID($AL348,FIND("-",$AL348)+1,FIND(CHAR(34)&amp;"x",$AL348)-FIND("-",$AL348)-1)),0))</f>
        <v/>
      </c>
      <c r="CG348" s="84">
        <f>IF($CE348="","",IFERROR(VALUE(MID($AL348,FIND(CHAR(34)&amp;"x",$AL348)+2,FIND(CHAR(34),$AL348,FIND(CHAR(34)&amp;"x",$AL348)+2)-FIND(CHAR(34)&amp;"x",$AL348)-2)),0))</f>
        <v/>
      </c>
      <c r="CH348" s="90">
        <f>IF(OR($A348="",$H348="",$H348="NO LAB"),0,IFERROR(VALUE(LEFT($H348,FIND(" ",$H348)-1)),0))</f>
        <v/>
      </c>
      <c r="CI348" s="91">
        <f>IF(OR($A348="",$I348="",$I348="NON-RATED",N($J348)=0),"",IFERROR(VLOOKUP($I348&amp;"|"&amp;$J348,IBC,2,FALSE),"?"))</f>
        <v/>
      </c>
      <c r="CJ348" s="85">
        <f>IF(NOT(AND($A348&lt;&gt;"",$C348&lt;&gt;"DOOR ONLY")),"",TRIM(IFERROR(VLOOKUP($U348,CODES,2,FALSE),"")&amp;" "&amp;$BG348&amp;" "&amp;IFERROR(VLOOKUP($Z348,CODES,2,FALSE),"")&amp;" "&amp;IFERROR(VLOOKUP($X348,CODES,2,FALSE),"")&amp;" "&amp;IFERROR(VLOOKUP($S348,CODES,2,FALSE),"")&amp;IF(N($P348)&gt;0," w/TRANSOM "&amp;$P348&amp;CHAR(34),"")&amp;IF(N($Q348)&gt;0," w/SIDELITE "&amp;$Q348&amp;CHAR(34)&amp;" "&amp;IF($R348="","R",$R348),"")&amp;IF($Y348="","  |  "," | "&amp;IFERROR(VLOOKUP($Y348,CODES,2,FALSE),"")&amp;" | ")&amp;IFERROR(VLOOKUP($AC348,CODES,2,FALSE),"")&amp;" "&amp;IFERROR(VLOOKUP($AD348,CODES,2,FALSE),"")&amp;IF(OR($AE348="",$AE348="-"),""," "&amp;$AE348)&amp;IF(OR($AF348="",$AF348="-"),""," "&amp;$AF348)&amp;IF($AB348="Y"," 4"&amp;CHAR(34)&amp;" HEAD","")&amp;" "&amp;IFERROR(VLOOKUP($H348,CODES,2,FALSE),"")&amp;IF($CT348," | LOC "&amp;$CY348,"")))</f>
        <v/>
      </c>
      <c r="CK348" s="85">
        <f>IF(NOT(AND($A348&lt;&gt;"",N($BJ348)&gt;0)),"",TRIM(IFERROR(VLOOKUP($AH348,CODES,2,FALSE),"")&amp;IF($AI348=""," "," "&amp;$AI348&amp;"GA ")&amp;$BG348&amp;" "&amp;IF($AN348="",IFERROR(VLOOKUP($Z348,CODES,2,FALSE),""),IFERROR(VLOOKUP($AN348,CODES,2,FALSE),""))&amp;IF($BJ348=2," PAIR","")&amp;" DOOR | "&amp;IF($AL348="","?",$AL348)&amp;" | "&amp;IF($AO348="",IFERROR(VLOOKUP($AC348,CODES,2,FALSE),""),IFERROR(VLOOKUP($AO348,CODES,2,FALSE),""))&amp;" "&amp;IFERROR(VLOOKUP($AP348,CODES,2,FALSE),"")&amp;IF(OR($AQ348="",$AQ348="-"),""," SEAM "&amp;$AQ348)&amp;IF($AR348="Y"," ASTRAGAL","")&amp;IF($AJ348=""," "," "&amp;$AJ348)&amp;IF($AK348=""," "," "&amp;$AK348)&amp;IF(OR($AT348="",$AT348="ANSI/SDI",$AT348="CUSTOM LOC"),""," "&amp;$AT348)&amp;IF($AM348=""," "," SERIES "&amp;$AM348)&amp;" "&amp;IFERROR(VLOOKUP($H348,CODES,2,FALSE),"")&amp;IF($CT348," | LOC "&amp;$CZ348,"")))</f>
        <v/>
      </c>
      <c r="CL348" s="84">
        <f>IF(CP348="","",IF(COUNTIF($CP$6:CP348,CP348)=1,MAX($CL$5:CL347)+1,INDEX($CL$5:CL347,MATCH(CP348,$CP$5:CP347,0))))</f>
        <v/>
      </c>
      <c r="CM348" s="84">
        <f>IF(NOT(AND($A348&lt;&gt;"",$C348&lt;&gt;"DOOR ONLY")),"",MAX($CM$5:CM347)+1)</f>
        <v/>
      </c>
      <c r="CN348" s="84">
        <f>IF(NOT(AND($A348&lt;&gt;"",N($BJ348)&gt;0)),"",MAX($CN$5:CN347)+1)</f>
        <v/>
      </c>
      <c r="CO348" s="84">
        <f>IF($A348="","",MAX($CO$5:CO347)+1)</f>
        <v/>
      </c>
      <c r="CP348" s="84">
        <f>IF(OR($A348="",$BH348="",$BI348=""),"",$BG348&amp;"|"&amp;$O348&amp;"|"&amp;$AL348&amp;"|"&amp;$S348&amp;"|"&amp;$P348&amp;"|"&amp;$Q348&amp;$R348&amp;"|"&amp;$C348&amp;"|"&amp;$AB348)</f>
        <v/>
      </c>
      <c r="CQ348" s="84">
        <f>N($BS348)</f>
        <v/>
      </c>
      <c r="CR348" s="84">
        <f>IF(N($AU348)&gt;0,N($AU348),4.5)</f>
        <v/>
      </c>
      <c r="CS348" s="84">
        <f>OR($A348="",$BI348="",$S348="BL",AND($C348="FRAME ONLY",OR($AC348="",$AC348="BLK")))</f>
        <v/>
      </c>
      <c r="CT348" s="84">
        <f>AND(NOT($CS348),OR($AT348="CUSTOM LOC",N($AW348)+N($AX348)+N($AY348)+N($AZ348)+N($BA348)&gt;0))</f>
        <v/>
      </c>
      <c r="CU348" s="84">
        <f>IF($BI348="","",IF($BI348&lt;=80,80,IF($BI348&lt;=84,84,96)))</f>
        <v/>
      </c>
      <c r="CV348" s="84">
        <f>ISNUMBER(MATCH($AT348&amp;"|80",LocKeys,0))</f>
        <v/>
      </c>
      <c r="CW348" s="86">
        <f>IF($CS348,"",IF($CV348,VLOOKUP($AT348&amp;"|"&amp;$CU348,LocTable,4,FALSE),5))</f>
        <v/>
      </c>
      <c r="CX348" s="86">
        <f>IF($CS348,"",IF($CV348,IF(OR($BI348=$CU348,AND($BI348&lt;$CU348,$BI348-IF(N(VLOOKUP($AT348&amp;"|"&amp;$CU348,LocTable,7,FALSE))&gt;0,VLOOKUP($AT348&amp;"|"&amp;$CU348,LocTable,7,FALSE),VLOOKUP($AT348&amp;"|"&amp;$CU348,LocTable,6,FALSE))-$CR348-0.75&gt;=2.125)),IF(N(VLOOKUP($AT348&amp;"|"&amp;$CU348,LocTable,7,FALSE))&gt;0,VLOOKUP($AT348&amp;"|"&amp;$CU348,LocTable,7,FALSE),VLOOKUP($AT348&amp;"|"&amp;$CU348,LocTable,6,FALSE)),$BI348-($CU348-IF(N(VLOOKUP($AT348&amp;"|"&amp;$CU348,LocTable,7,FALSE))&gt;0,VLOOKUP($AT348&amp;"|"&amp;$CU348,LocTable,7,FALSE),VLOOKUP($AT348&amp;"|"&amp;$CU348,LocTable,6,FALSE)))),$BI348-10-$CR348))</f>
        <v/>
      </c>
      <c r="CY348" s="85">
        <f>IF($CS348,"",TRIM(IF(ISNUMBER($BU348),"A "&amp;TRIM(TEXT($BU348,"# ?/??"))&amp;CHAR(34)&amp;"  ","")&amp;IF(ISNUMBER($BV348),"B "&amp;TRIM(TEXT($BV348,"# ?/??"))&amp;CHAR(34)&amp;"  ","")&amp;IF(ISNUMBER($BW348),"C "&amp;TRIM(TEXT($BW348,"# ?/??"))&amp;CHAR(34)&amp;"  ","")&amp;IF(ISNUMBER($BX348),"D "&amp;TRIM(TEXT($BX348,"# ?/??"))&amp;CHAR(34)&amp;"  ","")&amp;IF(ISNUMBER($BY348),"F "&amp;TRIM(TEXT($BY348,"# ?/??"))&amp;CHAR(34)&amp;"  ","")&amp;IF(ISNUMBER($BZ348),"E "&amp;TRIM(TEXT($BZ348,"# ?/??"))&amp;CHAR(34)&amp;"  ","")))</f>
        <v/>
      </c>
      <c r="CZ348" s="85">
        <f>IF(OR($CS348,N($BJ348)=0),"",TRIM(IF(ISNUMBER($BU348),"A "&amp;TRIM(TEXT($BU348-HeadClr,"# ?/??"))&amp;CHAR(34)&amp;"  ","")&amp;IF(ISNUMBER($BV348),"B "&amp;TRIM(TEXT($BV348-HeadClr,"# ?/??"))&amp;CHAR(34)&amp;"  ","")&amp;IF(ISNUMBER($BW348),"C "&amp;TRIM(TEXT($BW348-HeadClr,"# ?/??"))&amp;CHAR(34)&amp;"  ","")&amp;IF(ISNUMBER($BX348),"D "&amp;TRIM(TEXT($BX348-HeadClr,"# ?/??"))&amp;CHAR(34)&amp;"  ","")&amp;IF(ISNUMBER($BY348),"F "&amp;TRIM(TEXT($BY348-HeadClr,"# ?/??"))&amp;CHAR(34)&amp;"  ","")&amp;IF(ISNUMBER($BZ348),"E "&amp;TRIM(TEXT($BZ348-HeadClr,"# ?/??"))&amp;CHAR(34)&amp;"  ","")))</f>
        <v/>
      </c>
      <c r="DA348" s="84">
        <f>IF($A348="","",IF($AN348="",IFERROR(VLOOKUP($Z348,CODES,2,FALSE),""),IFERROR(VLOOKUP($AN348,CODES,2,FALSE),"")))</f>
        <v/>
      </c>
      <c r="DB348" s="84">
        <f>IF($A348="","",IF($O348="Y","PR",IF(OR($Z348="L",$Z348="RR",LEFT($Z348,2)="L-",LEFT($Z348,3)="RR-"),"LH","RH")))</f>
        <v/>
      </c>
      <c r="DC348" s="84">
        <f>IF($A348="","","S.HM"&amp;IF(OR($C348="DOOR ONLY",$X348&lt;&gt;"KD"),"MASONRY","DRYWALL")&amp;IF($C348="DOOR ONLY","",$U348)&amp;IF(AND($C348&lt;&gt;"FRAME ONLY",OR(LEFT($AH348,3)="OAK",LEFT($AH348,3)="BIR",LEFT($AH348,3)="MAP",$AH348="PC",$AH348="MC",$AH348="SCLC",$AH348="P-LAM")),"WD","HM")&amp;"1.75")</f>
        <v/>
      </c>
      <c r="DD348" s="84">
        <f>IF($CJ348="","",IF($O348="Y",$CJ348,SUBSTITUTE($CJ348,$BG348&amp;" "&amp;IFERROR(VLOOKUP($Z348,CODES,2,FALSE),"")&amp;" ",$BG348&amp;" ")))</f>
        <v/>
      </c>
      <c r="DE348" s="84">
        <f>IF($CK348="","",IF($O348="Y",$CK348,SUBSTITUTE($CK348,$BG348&amp;" "&amp;IF($AN348="",IFERROR(VLOOKUP($Z348,CODES,2,FALSE),""),IFERROR(VLOOKUP($AN348,CODES,2,FALSE),""))&amp;" ",$BG348&amp;" ")))</f>
        <v/>
      </c>
      <c r="DF348" s="84">
        <f>IF($CJ348="","",$DC348&amp;"|"&amp;$DD348&amp;"|"&amp;$DB348&amp;"|"&amp;$AT348&amp;"|"&amp;$V348&amp;"|"&amp;$Y348&amp;"|"&amp;$AB348)</f>
        <v/>
      </c>
      <c r="DG348" s="84">
        <f>IF(DF348="","",IF(COUNTIF($DF$6:DF348,DF348)=1,MAX($DG$5:DG347)+1,INDEX($DG$5:DG347,MATCH(DF348,$DF$5:DF347,0))))</f>
        <v/>
      </c>
      <c r="DH348" s="84">
        <f>IF($CK348="","",$DC348&amp;"|"&amp;$DE348&amp;"|"&amp;$AI348&amp;"|"&amp;$BK348&amp;"|"&amp;$BL348)</f>
        <v/>
      </c>
      <c r="DI348" s="84">
        <f>IF(DH348="","",IF(COUNTIF($DH$6:DH348,DH348)=1,MAX($DI$5:DI347)+1,INDEX($DI$5:DI347,MATCH(DH348,$DH$5:DH347,0))))</f>
        <v/>
      </c>
      <c r="DJ348" s="84">
        <f>IF($A348="","",IF($B348="","qty, ","")&amp;IF($C348="","scope, ","")&amp;IF(OR($K348="",$M348=""),"size, ","")&amp;IF(AND($A348&lt;&gt;"",$C348&lt;&gt;"DOOR ONLY"),IF($U348="","jamb depth, ","")&amp;IF($X348="","construction, ","")&amp;IF($Y348="","anchor, ","")&amp;IF($S348="","frame type, ",""),"")&amp;IF(AND(N($BJ348)&gt;0,$Z348=""),"hand, ","")&amp;IF(N($BJ348)&gt;0,IF($AH348="","door material, ","")&amp;IF($AL348="","face type, ","")&amp;IF($AP348="","lock prep, ","")&amp;IF(AND($AO348="",$AC348=""),"hinge prep, ",""),"")&amp;IF(AND($CH348&gt;0,$AH348="FRP"),"FRP cannot carry a label, ","")&amp;IF(AND($O348="Y",OR($Z348="L",$Z348="R",$Z348="LR",$Z348="RR")),"pair marked but hand is single, ","")&amp;IF(AND($O348&lt;&gt;"Y",OR($Z348="PR",AND(LEN($Z348)&gt;1,ISNUMBER(SEARCH("-",$Z348))))),"pair hand on a single door, ","")&amp;IF(AND(ISNUMBER($CI348),$CH348&lt;N($CI348)),"wall needs a "&amp;$CI348&amp;" min door, ","")&amp;IF(AND($CH348&gt;=180,AND(OR($CE348="FG",$CE348="HG",$CE348="FNV",$CE348="FV"),N($CF348)*N($CG348)&gt;100)),"180 min lite over 100 sq in, ","")&amp;IF(N($BK348)&gt;48,"leaf wider than 4'-0"&amp;CHAR(34)&amp;", ","")&amp;IF(AND($CT348,COUNT($AW348:$AZ348)=0,$CQ348&gt;0),"CUSTOM LOC with no locations typed, ",""))</f>
        <v/>
      </c>
      <c r="DK348" s="84">
        <f>IF($A348="","",IF(AND($CH348&gt;0,AND($A348&lt;&gt;"",$C348&lt;&gt;"DOOR ONLY"),$X348="KD",$E348="EXTERIOR"),"KD label on an exterior opening, ","")&amp;IF(AND($E348="EXTERIOR",OR(AND(AND($A348&lt;&gt;"",$C348&lt;&gt;"DOOR ONLY"),$W348="CR"),AND(N($BJ348)&gt;0,$AH348="CR"))),"exterior in CR steel (G9?), ","")&amp;IF(AND(ISNUMBER($BQ348),N($BQ348)&lt;32),"clear width ~"&amp;TEXT($BQ348,"0.0")&amp;CHAR(34)&amp;" under 32"&amp;CHAR(34)&amp;" (ADA), ","")&amp;IF(AND($CH348=90,AND(OR($CE348="FG",$CE348="HG",$CE348="FNV",$CE348="FV"),N($CF348)*N($CG348)&gt;100)),"90 min lite over 100 sq in (stair/exit), ","")&amp;IF(AND($CH348&gt;0,AND($A348&lt;&gt;"",$C348&lt;&gt;"DOOR ONLY"),OR($AF348="",$AF348="-")),"rated: closer reinf.?, ","")&amp;IF(OR($I348="CORRIDOR",$I348="SMOKE BARRIER"),"S label + smoke gasketing, ","")&amp;IF($CI348="?","wall type/hr not in IBC table, ","")&amp;IF(AND(N($BJ348)&gt;0,$BB348=""),"no hardware set, ","")&amp;IF(AND($BB348&lt;&gt;"",ISNA(MATCH($BB348&amp;"",HWSets,0))),"set "&amp;$BB348&amp;" not on HW Sets, ","")&amp;IF(N($BL348)&gt;96,"leaf over 8'-0"&amp;CHAR(34)&amp;" - check listing, ","")&amp;IF(AND($CT348,COUNT($AW348:$AZ348)&gt;0,COUNT($AW348:$AZ348)&lt;&gt;$CQ348),COUNT($AW348:$AZ348)&amp;" custom hinges typed, "&amp;$CQ348&amp;" expected, ","")&amp;IF(AND(ISNUMBER($CA348),OR(N($CA348)&lt;34,N($CA348)&gt;48)),"lock "&amp;TEXT($CA348,"0.0")&amp;CHAR(34)&amp;" AFF outside 34-48"&amp;CHAR(34)&amp;" (ADA), ","")&amp;IF(AND(ISNUMBER($AV348),ISNUMBER($BL348),N($AV348)&lt;IF(N($BL348)&lt;=60,2,IF(N($BL348)&lt;=90,3,IF(N($BL348)&lt;=120,4,5)))),"fewer hinges than standard, ",""))</f>
        <v/>
      </c>
    </row>
    <row r="349" ht="15" customHeight="1">
      <c r="A349" s="77" t="n"/>
      <c r="B349" s="78" t="n"/>
      <c r="C349" s="78" t="n"/>
      <c r="D349" s="78" t="n"/>
      <c r="E349" s="78" t="n"/>
      <c r="F349" s="78" t="n"/>
      <c r="G349" s="78" t="n"/>
      <c r="H349" s="78" t="n"/>
      <c r="I349" s="78" t="n"/>
      <c r="J349" s="78" t="n"/>
      <c r="K349" s="78" t="n"/>
      <c r="L349" s="78" t="n"/>
      <c r="M349" s="78" t="n"/>
      <c r="N349" s="78" t="n"/>
      <c r="O349" s="78" t="n"/>
      <c r="P349" s="78" t="n"/>
      <c r="Q349" s="78" t="n"/>
      <c r="R349" s="78" t="n"/>
      <c r="S349" s="79" t="n"/>
      <c r="T349" s="79" t="n"/>
      <c r="U349" s="79" t="n"/>
      <c r="V349" s="79" t="n"/>
      <c r="W349" s="79" t="n"/>
      <c r="X349" s="79" t="n"/>
      <c r="Y349" s="79" t="n"/>
      <c r="Z349" s="79" t="n"/>
      <c r="AA349" s="79" t="n"/>
      <c r="AB349" s="79" t="n"/>
      <c r="AC349" s="79" t="n"/>
      <c r="AD349" s="79" t="n"/>
      <c r="AE349" s="79" t="n"/>
      <c r="AF349" s="79" t="n"/>
      <c r="AG349" s="79" t="n"/>
      <c r="AH349" s="80" t="n"/>
      <c r="AI349" s="80" t="n"/>
      <c r="AJ349" s="80" t="n"/>
      <c r="AK349" s="80" t="n"/>
      <c r="AL349" s="80" t="n"/>
      <c r="AM349" s="80" t="n"/>
      <c r="AN349" s="80" t="n"/>
      <c r="AO349" s="80" t="n"/>
      <c r="AP349" s="80" t="n"/>
      <c r="AQ349" s="80" t="n"/>
      <c r="AR349" s="80" t="n"/>
      <c r="AS349" s="80" t="n"/>
      <c r="AT349" s="81" t="n"/>
      <c r="AU349" s="81" t="n"/>
      <c r="AV349" s="81" t="n"/>
      <c r="AW349" s="82" t="n"/>
      <c r="AX349" s="82" t="n"/>
      <c r="AY349" s="82" t="n"/>
      <c r="AZ349" s="82" t="n"/>
      <c r="BA349" s="82" t="n"/>
      <c r="BB349" s="83" t="n"/>
      <c r="BC349" s="83" t="n"/>
      <c r="BD349" s="84">
        <f>IF($A349="","",IF($DJ349&lt;&gt;"","FIX",IF($DK349&lt;&gt;"","CHECK","OK")))</f>
        <v/>
      </c>
      <c r="BE349" s="85">
        <f>IF($A349="","",IF($DJ349&lt;&gt;"","FIX: "&amp;LEFT($DJ349,LEN($DJ349)-2)&amp;IF($DK349&lt;&gt;"","  ·  ",""),"")&amp;IF($DK349&lt;&gt;"","CHECK: "&amp;LEFT($DK349,LEN($DK349)-2),""))</f>
        <v/>
      </c>
      <c r="BF349" s="84">
        <f>IF(OR($A349="",$K349=""),"",$K349&amp;"'-"&amp;N($L349)&amp;CHAR(34)&amp;" x "&amp;$M349&amp;"'-"&amp;N($N349)&amp;CHAR(34))</f>
        <v/>
      </c>
      <c r="BG349" s="84">
        <f>IF(OR($A349="",$K349=""),"",$K349&amp;N($L349)&amp;$M349&amp;N($N349))</f>
        <v/>
      </c>
      <c r="BH349" s="84">
        <f>IF(OR($A349="",$K349=""),"",$K349*12+N($L349))</f>
        <v/>
      </c>
      <c r="BI349" s="84">
        <f>IF(OR($A349="",$M349=""),"",$M349*12+N($N349))</f>
        <v/>
      </c>
      <c r="BJ349" s="84">
        <f>IF($A349="","",IF(OR($C349="FRAME ONLY",$S349="BL"),0,IF($O349="Y",2,1)))</f>
        <v/>
      </c>
      <c r="BK349" s="86">
        <f>IF(OR(N($BJ349)=0,$BH349=""),"",($BH349-2*EdgeClr-IF($BJ349=2,MeetClr,0))/$BJ349)</f>
        <v/>
      </c>
      <c r="BL349" s="86">
        <f>IF(OR(N($BJ349)=0,$BI349=""),"",$BI349-HeadClr-Undercut)</f>
        <v/>
      </c>
      <c r="BM349" s="86">
        <f>IF($BH349="","",$BH349+2*FaceW+IF(N($Q349)&gt;0,($Q349+FaceW)*IF($R349="LR",2,1),0))</f>
        <v/>
      </c>
      <c r="BN349" s="86">
        <f>IF($BI349="","",$BI349+IF($AB349="Y",4,FaceW)+IF(N($P349)&gt;0,$P349+FaceW,0)+IF(OR($S349="4F",$S349="BL"),FaceW,0))</f>
        <v/>
      </c>
      <c r="BO349" s="86">
        <f>IF($BM349="","",$BM349+2*ROSide)</f>
        <v/>
      </c>
      <c r="BP349" s="86">
        <f>IF($BN349="","",$BN349+ROTop)</f>
        <v/>
      </c>
      <c r="BQ349" s="87">
        <f>IF(OR(N($BJ349)=0,$BH349=""),"",$BH349/$BJ349-ClearDeduct)</f>
        <v/>
      </c>
      <c r="BR349" s="84">
        <f>IF(N($CH349)=0,"",IF($CH349&gt;=180,"A · 3 HR",IF($CH349&gt;=90,"B · 1-1/2 HR",IF($CH349&gt;=60,"B · 1 HR",IF($CH349&gt;=45,"C · 3/4 HR","20 MIN")))))&amp;IF(AND(N($CH349)&gt;0,OR($I349="CORRIDOR",$I349="SMOKE BARRIER"))," · S","")</f>
        <v/>
      </c>
      <c r="BS349" s="84">
        <f>IF($CS349,"",IF($AV349&lt;&gt;"",$AV349,IF(OR($AC349="HGC",$AO349="HGC"),"CONT",IF(($BI349-HeadClr-Undercut)&lt;=60,2,IF(($BI349-HeadClr-Undercut)&lt;=90,3,IF(($BI349-HeadClr-Undercut)&lt;=120,4,5))))))</f>
        <v/>
      </c>
      <c r="BT349" s="84">
        <f>IF($CS349,"",IF($CT349,"CUSTOM (typed)",IF($CV349,$AT349&amp;" "&amp;$CU349&amp;CHAR(34)&amp;IF($CU349&lt;&gt;$BI349,IF(AND($BI349&lt;$CU349,$BI349-IF(N(VLOOKUP($AT349&amp;"|"&amp;$CU349,LocTable,7,FALSE))&gt;0,VLOOKUP($AT349&amp;"|"&amp;$CU349,LocTable,7,FALSE),VLOOKUP($AT349&amp;"|"&amp;$CU349,LocTable,6,FALSE))-$CR349-0.75&gt;=2.125)," cut down"," adj."),""),"ANSI/SDI A250.6")))</f>
        <v/>
      </c>
      <c r="BU349" s="88">
        <f>IF($CS349,"",IF($CT349,IF(N($AW349)&gt;0,N($AW349),""),IF(1&gt;$CQ349,"",IF($CQ349=1,$CW349,$CW349+($CX349-$CW349)*0/($CQ349-1)))))</f>
        <v/>
      </c>
      <c r="BV349" s="88">
        <f>IF($CS349,"",IF($CT349,IF(N($AX349)&gt;0,N($AX349),""),IF(2&gt;$CQ349,"",IF($CQ349=1,$CW349,$CW349+($CX349-$CW349)*1/($CQ349-1)))))</f>
        <v/>
      </c>
      <c r="BW349" s="88">
        <f>IF($CS349,"",IF($CT349,IF(N($AY349)&gt;0,N($AY349),""),IF(3&gt;$CQ349,"",IF($CQ349=1,$CW349,$CW349+($CX349-$CW349)*2/($CQ349-1)))))</f>
        <v/>
      </c>
      <c r="BX349" s="88">
        <f>IF($CS349,"",IF($CT349,IF(N($AZ349)&gt;0,N($AZ349),""),IF(4&gt;$CQ349,"",IF($CQ349=1,$CW349,$CW349+($CX349-$CW349)*3/($CQ349-1)))))</f>
        <v/>
      </c>
      <c r="BY349" s="88">
        <f>IF($CS349,"",IF($CT349,"",IF(5&gt;$CQ349,"",IF($CQ349=1,$CW349,$CW349+($CX349-$CW349)*4/($CQ349-1)))))</f>
        <v/>
      </c>
      <c r="BZ349" s="88">
        <f>IF(OR($CS349,$AP349="-",AND($AP349="",$AD349="")),"",IF(N($BA349)&gt;0,N($BA349),IF($CV349,IF(AND($BI349&lt;$CU349,$BI349-IF(N(VLOOKUP($AT349&amp;"|"&amp;$CU349,LocTable,7,FALSE))&gt;0,VLOOKUP($AT349&amp;"|"&amp;$CU349,LocTable,7,FALSE),VLOOKUP($AT349&amp;"|"&amp;$CU349,LocTable,6,FALSE))-$CR349-0.75&gt;=2.125),VLOOKUP($AT349&amp;"|"&amp;$CU349,LocTable,8,FALSE),VLOOKUP($AT349&amp;"|"&amp;$CU349,LocTable,8,FALSE)+($BI349-$CU349)),$BI349-LockAFF)))</f>
        <v/>
      </c>
      <c r="CA349" s="89">
        <f>IF($BZ349="","",$BI349-$BZ349)</f>
        <v/>
      </c>
      <c r="CB349" s="84">
        <f>IF(OR(NOT(AND($A349&lt;&gt;"",$C349&lt;&gt;"DOOR ONLY")),$BI349=""),"",IF(($BI349+IF(N($P349)&gt;0,$P349+FaceW,0))&lt;=90,3,IF(($BI349+IF(N($P349)&gt;0,$P349+FaceW,0))&lt;=114,4,5)))</f>
        <v/>
      </c>
      <c r="CC349" s="84">
        <f>IF($CB349="","",$CB349*(2+IF(N($Q349)&gt;0,IF($R349="LR",2,1),0)))</f>
        <v/>
      </c>
      <c r="CD349" s="84">
        <f>IF($CB349="","",(2+IF(N($Q349)&gt;0,IF($R349="LR",2,1),0)))</f>
        <v/>
      </c>
      <c r="CE349" s="84">
        <f>IF(N($BJ349)=0,"",IF(OR($AL349="",$AL349="FLUSH"),"FLUSH",IFERROR(LEFT($AL349,FIND("-",$AL349)-1),LEFT($AL349,2))))</f>
        <v/>
      </c>
      <c r="CF349" s="84">
        <f>IF($CE349="","",IFERROR(VALUE(MID($AL349,FIND("-",$AL349)+1,FIND(CHAR(34)&amp;"x",$AL349)-FIND("-",$AL349)-1)),0))</f>
        <v/>
      </c>
      <c r="CG349" s="84">
        <f>IF($CE349="","",IFERROR(VALUE(MID($AL349,FIND(CHAR(34)&amp;"x",$AL349)+2,FIND(CHAR(34),$AL349,FIND(CHAR(34)&amp;"x",$AL349)+2)-FIND(CHAR(34)&amp;"x",$AL349)-2)),0))</f>
        <v/>
      </c>
      <c r="CH349" s="90">
        <f>IF(OR($A349="",$H349="",$H349="NO LAB"),0,IFERROR(VALUE(LEFT($H349,FIND(" ",$H349)-1)),0))</f>
        <v/>
      </c>
      <c r="CI349" s="91">
        <f>IF(OR($A349="",$I349="",$I349="NON-RATED",N($J349)=0),"",IFERROR(VLOOKUP($I349&amp;"|"&amp;$J349,IBC,2,FALSE),"?"))</f>
        <v/>
      </c>
      <c r="CJ349" s="85">
        <f>IF(NOT(AND($A349&lt;&gt;"",$C349&lt;&gt;"DOOR ONLY")),"",TRIM(IFERROR(VLOOKUP($U349,CODES,2,FALSE),"")&amp;" "&amp;$BG349&amp;" "&amp;IFERROR(VLOOKUP($Z349,CODES,2,FALSE),"")&amp;" "&amp;IFERROR(VLOOKUP($X349,CODES,2,FALSE),"")&amp;" "&amp;IFERROR(VLOOKUP($S349,CODES,2,FALSE),"")&amp;IF(N($P349)&gt;0," w/TRANSOM "&amp;$P349&amp;CHAR(34),"")&amp;IF(N($Q349)&gt;0," w/SIDELITE "&amp;$Q349&amp;CHAR(34)&amp;" "&amp;IF($R349="","R",$R349),"")&amp;IF($Y349="","  |  "," | "&amp;IFERROR(VLOOKUP($Y349,CODES,2,FALSE),"")&amp;" | ")&amp;IFERROR(VLOOKUP($AC349,CODES,2,FALSE),"")&amp;" "&amp;IFERROR(VLOOKUP($AD349,CODES,2,FALSE),"")&amp;IF(OR($AE349="",$AE349="-"),""," "&amp;$AE349)&amp;IF(OR($AF349="",$AF349="-"),""," "&amp;$AF349)&amp;IF($AB349="Y"," 4"&amp;CHAR(34)&amp;" HEAD","")&amp;" "&amp;IFERROR(VLOOKUP($H349,CODES,2,FALSE),"")&amp;IF($CT349," | LOC "&amp;$CY349,"")))</f>
        <v/>
      </c>
      <c r="CK349" s="85">
        <f>IF(NOT(AND($A349&lt;&gt;"",N($BJ349)&gt;0)),"",TRIM(IFERROR(VLOOKUP($AH349,CODES,2,FALSE),"")&amp;IF($AI349=""," "," "&amp;$AI349&amp;"GA ")&amp;$BG349&amp;" "&amp;IF($AN349="",IFERROR(VLOOKUP($Z349,CODES,2,FALSE),""),IFERROR(VLOOKUP($AN349,CODES,2,FALSE),""))&amp;IF($BJ349=2," PAIR","")&amp;" DOOR | "&amp;IF($AL349="","?",$AL349)&amp;" | "&amp;IF($AO349="",IFERROR(VLOOKUP($AC349,CODES,2,FALSE),""),IFERROR(VLOOKUP($AO349,CODES,2,FALSE),""))&amp;" "&amp;IFERROR(VLOOKUP($AP349,CODES,2,FALSE),"")&amp;IF(OR($AQ349="",$AQ349="-"),""," SEAM "&amp;$AQ349)&amp;IF($AR349="Y"," ASTRAGAL","")&amp;IF($AJ349=""," "," "&amp;$AJ349)&amp;IF($AK349=""," "," "&amp;$AK349)&amp;IF(OR($AT349="",$AT349="ANSI/SDI",$AT349="CUSTOM LOC"),""," "&amp;$AT349)&amp;IF($AM349=""," "," SERIES "&amp;$AM349)&amp;" "&amp;IFERROR(VLOOKUP($H349,CODES,2,FALSE),"")&amp;IF($CT349," | LOC "&amp;$CZ349,"")))</f>
        <v/>
      </c>
      <c r="CL349" s="84">
        <f>IF(CP349="","",IF(COUNTIF($CP$6:CP349,CP349)=1,MAX($CL$5:CL348)+1,INDEX($CL$5:CL348,MATCH(CP349,$CP$5:CP348,0))))</f>
        <v/>
      </c>
      <c r="CM349" s="84">
        <f>IF(NOT(AND($A349&lt;&gt;"",$C349&lt;&gt;"DOOR ONLY")),"",MAX($CM$5:CM348)+1)</f>
        <v/>
      </c>
      <c r="CN349" s="84">
        <f>IF(NOT(AND($A349&lt;&gt;"",N($BJ349)&gt;0)),"",MAX($CN$5:CN348)+1)</f>
        <v/>
      </c>
      <c r="CO349" s="84">
        <f>IF($A349="","",MAX($CO$5:CO348)+1)</f>
        <v/>
      </c>
      <c r="CP349" s="84">
        <f>IF(OR($A349="",$BH349="",$BI349=""),"",$BG349&amp;"|"&amp;$O349&amp;"|"&amp;$AL349&amp;"|"&amp;$S349&amp;"|"&amp;$P349&amp;"|"&amp;$Q349&amp;$R349&amp;"|"&amp;$C349&amp;"|"&amp;$AB349)</f>
        <v/>
      </c>
      <c r="CQ349" s="84">
        <f>N($BS349)</f>
        <v/>
      </c>
      <c r="CR349" s="84">
        <f>IF(N($AU349)&gt;0,N($AU349),4.5)</f>
        <v/>
      </c>
      <c r="CS349" s="84">
        <f>OR($A349="",$BI349="",$S349="BL",AND($C349="FRAME ONLY",OR($AC349="",$AC349="BLK")))</f>
        <v/>
      </c>
      <c r="CT349" s="84">
        <f>AND(NOT($CS349),OR($AT349="CUSTOM LOC",N($AW349)+N($AX349)+N($AY349)+N($AZ349)+N($BA349)&gt;0))</f>
        <v/>
      </c>
      <c r="CU349" s="84">
        <f>IF($BI349="","",IF($BI349&lt;=80,80,IF($BI349&lt;=84,84,96)))</f>
        <v/>
      </c>
      <c r="CV349" s="84">
        <f>ISNUMBER(MATCH($AT349&amp;"|80",LocKeys,0))</f>
        <v/>
      </c>
      <c r="CW349" s="86">
        <f>IF($CS349,"",IF($CV349,VLOOKUP($AT349&amp;"|"&amp;$CU349,LocTable,4,FALSE),5))</f>
        <v/>
      </c>
      <c r="CX349" s="86">
        <f>IF($CS349,"",IF($CV349,IF(OR($BI349=$CU349,AND($BI349&lt;$CU349,$BI349-IF(N(VLOOKUP($AT349&amp;"|"&amp;$CU349,LocTable,7,FALSE))&gt;0,VLOOKUP($AT349&amp;"|"&amp;$CU349,LocTable,7,FALSE),VLOOKUP($AT349&amp;"|"&amp;$CU349,LocTable,6,FALSE))-$CR349-0.75&gt;=2.125)),IF(N(VLOOKUP($AT349&amp;"|"&amp;$CU349,LocTable,7,FALSE))&gt;0,VLOOKUP($AT349&amp;"|"&amp;$CU349,LocTable,7,FALSE),VLOOKUP($AT349&amp;"|"&amp;$CU349,LocTable,6,FALSE)),$BI349-($CU349-IF(N(VLOOKUP($AT349&amp;"|"&amp;$CU349,LocTable,7,FALSE))&gt;0,VLOOKUP($AT349&amp;"|"&amp;$CU349,LocTable,7,FALSE),VLOOKUP($AT349&amp;"|"&amp;$CU349,LocTable,6,FALSE)))),$BI349-10-$CR349))</f>
        <v/>
      </c>
      <c r="CY349" s="85">
        <f>IF($CS349,"",TRIM(IF(ISNUMBER($BU349),"A "&amp;TRIM(TEXT($BU349,"# ?/??"))&amp;CHAR(34)&amp;"  ","")&amp;IF(ISNUMBER($BV349),"B "&amp;TRIM(TEXT($BV349,"# ?/??"))&amp;CHAR(34)&amp;"  ","")&amp;IF(ISNUMBER($BW349),"C "&amp;TRIM(TEXT($BW349,"# ?/??"))&amp;CHAR(34)&amp;"  ","")&amp;IF(ISNUMBER($BX349),"D "&amp;TRIM(TEXT($BX349,"# ?/??"))&amp;CHAR(34)&amp;"  ","")&amp;IF(ISNUMBER($BY349),"F "&amp;TRIM(TEXT($BY349,"# ?/??"))&amp;CHAR(34)&amp;"  ","")&amp;IF(ISNUMBER($BZ349),"E "&amp;TRIM(TEXT($BZ349,"# ?/??"))&amp;CHAR(34)&amp;"  ","")))</f>
        <v/>
      </c>
      <c r="CZ349" s="85">
        <f>IF(OR($CS349,N($BJ349)=0),"",TRIM(IF(ISNUMBER($BU349),"A "&amp;TRIM(TEXT($BU349-HeadClr,"# ?/??"))&amp;CHAR(34)&amp;"  ","")&amp;IF(ISNUMBER($BV349),"B "&amp;TRIM(TEXT($BV349-HeadClr,"# ?/??"))&amp;CHAR(34)&amp;"  ","")&amp;IF(ISNUMBER($BW349),"C "&amp;TRIM(TEXT($BW349-HeadClr,"# ?/??"))&amp;CHAR(34)&amp;"  ","")&amp;IF(ISNUMBER($BX349),"D "&amp;TRIM(TEXT($BX349-HeadClr,"# ?/??"))&amp;CHAR(34)&amp;"  ","")&amp;IF(ISNUMBER($BY349),"F "&amp;TRIM(TEXT($BY349-HeadClr,"# ?/??"))&amp;CHAR(34)&amp;"  ","")&amp;IF(ISNUMBER($BZ349),"E "&amp;TRIM(TEXT($BZ349-HeadClr,"# ?/??"))&amp;CHAR(34)&amp;"  ","")))</f>
        <v/>
      </c>
      <c r="DA349" s="84">
        <f>IF($A349="","",IF($AN349="",IFERROR(VLOOKUP($Z349,CODES,2,FALSE),""),IFERROR(VLOOKUP($AN349,CODES,2,FALSE),"")))</f>
        <v/>
      </c>
      <c r="DB349" s="84">
        <f>IF($A349="","",IF($O349="Y","PR",IF(OR($Z349="L",$Z349="RR",LEFT($Z349,2)="L-",LEFT($Z349,3)="RR-"),"LH","RH")))</f>
        <v/>
      </c>
      <c r="DC349" s="84">
        <f>IF($A349="","","S.HM"&amp;IF(OR($C349="DOOR ONLY",$X349&lt;&gt;"KD"),"MASONRY","DRYWALL")&amp;IF($C349="DOOR ONLY","",$U349)&amp;IF(AND($C349&lt;&gt;"FRAME ONLY",OR(LEFT($AH349,3)="OAK",LEFT($AH349,3)="BIR",LEFT($AH349,3)="MAP",$AH349="PC",$AH349="MC",$AH349="SCLC",$AH349="P-LAM")),"WD","HM")&amp;"1.75")</f>
        <v/>
      </c>
      <c r="DD349" s="84">
        <f>IF($CJ349="","",IF($O349="Y",$CJ349,SUBSTITUTE($CJ349,$BG349&amp;" "&amp;IFERROR(VLOOKUP($Z349,CODES,2,FALSE),"")&amp;" ",$BG349&amp;" ")))</f>
        <v/>
      </c>
      <c r="DE349" s="84">
        <f>IF($CK349="","",IF($O349="Y",$CK349,SUBSTITUTE($CK349,$BG349&amp;" "&amp;IF($AN349="",IFERROR(VLOOKUP($Z349,CODES,2,FALSE),""),IFERROR(VLOOKUP($AN349,CODES,2,FALSE),""))&amp;" ",$BG349&amp;" ")))</f>
        <v/>
      </c>
      <c r="DF349" s="84">
        <f>IF($CJ349="","",$DC349&amp;"|"&amp;$DD349&amp;"|"&amp;$DB349&amp;"|"&amp;$AT349&amp;"|"&amp;$V349&amp;"|"&amp;$Y349&amp;"|"&amp;$AB349)</f>
        <v/>
      </c>
      <c r="DG349" s="84">
        <f>IF(DF349="","",IF(COUNTIF($DF$6:DF349,DF349)=1,MAX($DG$5:DG348)+1,INDEX($DG$5:DG348,MATCH(DF349,$DF$5:DF348,0))))</f>
        <v/>
      </c>
      <c r="DH349" s="84">
        <f>IF($CK349="","",$DC349&amp;"|"&amp;$DE349&amp;"|"&amp;$AI349&amp;"|"&amp;$BK349&amp;"|"&amp;$BL349)</f>
        <v/>
      </c>
      <c r="DI349" s="84">
        <f>IF(DH349="","",IF(COUNTIF($DH$6:DH349,DH349)=1,MAX($DI$5:DI348)+1,INDEX($DI$5:DI348,MATCH(DH349,$DH$5:DH348,0))))</f>
        <v/>
      </c>
      <c r="DJ349" s="84">
        <f>IF($A349="","",IF($B349="","qty, ","")&amp;IF($C349="","scope, ","")&amp;IF(OR($K349="",$M349=""),"size, ","")&amp;IF(AND($A349&lt;&gt;"",$C349&lt;&gt;"DOOR ONLY"),IF($U349="","jamb depth, ","")&amp;IF($X349="","construction, ","")&amp;IF($Y349="","anchor, ","")&amp;IF($S349="","frame type, ",""),"")&amp;IF(AND(N($BJ349)&gt;0,$Z349=""),"hand, ","")&amp;IF(N($BJ349)&gt;0,IF($AH349="","door material, ","")&amp;IF($AL349="","face type, ","")&amp;IF($AP349="","lock prep, ","")&amp;IF(AND($AO349="",$AC349=""),"hinge prep, ",""),"")&amp;IF(AND($CH349&gt;0,$AH349="FRP"),"FRP cannot carry a label, ","")&amp;IF(AND($O349="Y",OR($Z349="L",$Z349="R",$Z349="LR",$Z349="RR")),"pair marked but hand is single, ","")&amp;IF(AND($O349&lt;&gt;"Y",OR($Z349="PR",AND(LEN($Z349)&gt;1,ISNUMBER(SEARCH("-",$Z349))))),"pair hand on a single door, ","")&amp;IF(AND(ISNUMBER($CI349),$CH349&lt;N($CI349)),"wall needs a "&amp;$CI349&amp;" min door, ","")&amp;IF(AND($CH349&gt;=180,AND(OR($CE349="FG",$CE349="HG",$CE349="FNV",$CE349="FV"),N($CF349)*N($CG349)&gt;100)),"180 min lite over 100 sq in, ","")&amp;IF(N($BK349)&gt;48,"leaf wider than 4'-0"&amp;CHAR(34)&amp;", ","")&amp;IF(AND($CT349,COUNT($AW349:$AZ349)=0,$CQ349&gt;0),"CUSTOM LOC with no locations typed, ",""))</f>
        <v/>
      </c>
      <c r="DK349" s="84">
        <f>IF($A349="","",IF(AND($CH349&gt;0,AND($A349&lt;&gt;"",$C349&lt;&gt;"DOOR ONLY"),$X349="KD",$E349="EXTERIOR"),"KD label on an exterior opening, ","")&amp;IF(AND($E349="EXTERIOR",OR(AND(AND($A349&lt;&gt;"",$C349&lt;&gt;"DOOR ONLY"),$W349="CR"),AND(N($BJ349)&gt;0,$AH349="CR"))),"exterior in CR steel (G9?), ","")&amp;IF(AND(ISNUMBER($BQ349),N($BQ349)&lt;32),"clear width ~"&amp;TEXT($BQ349,"0.0")&amp;CHAR(34)&amp;" under 32"&amp;CHAR(34)&amp;" (ADA), ","")&amp;IF(AND($CH349=90,AND(OR($CE349="FG",$CE349="HG",$CE349="FNV",$CE349="FV"),N($CF349)*N($CG349)&gt;100)),"90 min lite over 100 sq in (stair/exit), ","")&amp;IF(AND($CH349&gt;0,AND($A349&lt;&gt;"",$C349&lt;&gt;"DOOR ONLY"),OR($AF349="",$AF349="-")),"rated: closer reinf.?, ","")&amp;IF(OR($I349="CORRIDOR",$I349="SMOKE BARRIER"),"S label + smoke gasketing, ","")&amp;IF($CI349="?","wall type/hr not in IBC table, ","")&amp;IF(AND(N($BJ349)&gt;0,$BB349=""),"no hardware set, ","")&amp;IF(AND($BB349&lt;&gt;"",ISNA(MATCH($BB349&amp;"",HWSets,0))),"set "&amp;$BB349&amp;" not on HW Sets, ","")&amp;IF(N($BL349)&gt;96,"leaf over 8'-0"&amp;CHAR(34)&amp;" - check listing, ","")&amp;IF(AND($CT349,COUNT($AW349:$AZ349)&gt;0,COUNT($AW349:$AZ349)&lt;&gt;$CQ349),COUNT($AW349:$AZ349)&amp;" custom hinges typed, "&amp;$CQ349&amp;" expected, ","")&amp;IF(AND(ISNUMBER($CA349),OR(N($CA349)&lt;34,N($CA349)&gt;48)),"lock "&amp;TEXT($CA349,"0.0")&amp;CHAR(34)&amp;" AFF outside 34-48"&amp;CHAR(34)&amp;" (ADA), ","")&amp;IF(AND(ISNUMBER($AV349),ISNUMBER($BL349),N($AV349)&lt;IF(N($BL349)&lt;=60,2,IF(N($BL349)&lt;=90,3,IF(N($BL349)&lt;=120,4,5)))),"fewer hinges than standard, ",""))</f>
        <v/>
      </c>
    </row>
    <row r="350" ht="15" customHeight="1">
      <c r="A350" s="92" t="n"/>
      <c r="B350" s="93" t="n"/>
      <c r="C350" s="93" t="n"/>
      <c r="D350" s="93" t="n"/>
      <c r="E350" s="93" t="n"/>
      <c r="F350" s="93" t="n"/>
      <c r="G350" s="93" t="n"/>
      <c r="H350" s="93" t="n"/>
      <c r="I350" s="93" t="n"/>
      <c r="J350" s="93" t="n"/>
      <c r="K350" s="93" t="n"/>
      <c r="L350" s="93" t="n"/>
      <c r="M350" s="93" t="n"/>
      <c r="N350" s="93" t="n"/>
      <c r="O350" s="93" t="n"/>
      <c r="P350" s="93" t="n"/>
      <c r="Q350" s="93" t="n"/>
      <c r="R350" s="93" t="n"/>
      <c r="S350" s="94" t="n"/>
      <c r="T350" s="94" t="n"/>
      <c r="U350" s="94" t="n"/>
      <c r="V350" s="94" t="n"/>
      <c r="W350" s="94" t="n"/>
      <c r="X350" s="94" t="n"/>
      <c r="Y350" s="94" t="n"/>
      <c r="Z350" s="94" t="n"/>
      <c r="AA350" s="94" t="n"/>
      <c r="AB350" s="94" t="n"/>
      <c r="AC350" s="94" t="n"/>
      <c r="AD350" s="94" t="n"/>
      <c r="AE350" s="94" t="n"/>
      <c r="AF350" s="94" t="n"/>
      <c r="AG350" s="94" t="n"/>
      <c r="AH350" s="95" t="n"/>
      <c r="AI350" s="95" t="n"/>
      <c r="AJ350" s="95" t="n"/>
      <c r="AK350" s="95" t="n"/>
      <c r="AL350" s="95" t="n"/>
      <c r="AM350" s="95" t="n"/>
      <c r="AN350" s="95" t="n"/>
      <c r="AO350" s="95" t="n"/>
      <c r="AP350" s="95" t="n"/>
      <c r="AQ350" s="95" t="n"/>
      <c r="AR350" s="95" t="n"/>
      <c r="AS350" s="95" t="n"/>
      <c r="AT350" s="96" t="n"/>
      <c r="AU350" s="96" t="n"/>
      <c r="AV350" s="96" t="n"/>
      <c r="AW350" s="97" t="n"/>
      <c r="AX350" s="97" t="n"/>
      <c r="AY350" s="97" t="n"/>
      <c r="AZ350" s="97" t="n"/>
      <c r="BA350" s="97" t="n"/>
      <c r="BB350" s="98" t="n"/>
      <c r="BC350" s="98" t="n"/>
      <c r="BD350" s="99">
        <f>IF($A350="","",IF($DJ350&lt;&gt;"","FIX",IF($DK350&lt;&gt;"","CHECK","OK")))</f>
        <v/>
      </c>
      <c r="BE350" s="100">
        <f>IF($A350="","",IF($DJ350&lt;&gt;"","FIX: "&amp;LEFT($DJ350,LEN($DJ350)-2)&amp;IF($DK350&lt;&gt;"","  ·  ",""),"")&amp;IF($DK350&lt;&gt;"","CHECK: "&amp;LEFT($DK350,LEN($DK350)-2),""))</f>
        <v/>
      </c>
      <c r="BF350" s="99">
        <f>IF(OR($A350="",$K350=""),"",$K350&amp;"'-"&amp;N($L350)&amp;CHAR(34)&amp;" x "&amp;$M350&amp;"'-"&amp;N($N350)&amp;CHAR(34))</f>
        <v/>
      </c>
      <c r="BG350" s="99">
        <f>IF(OR($A350="",$K350=""),"",$K350&amp;N($L350)&amp;$M350&amp;N($N350))</f>
        <v/>
      </c>
      <c r="BH350" s="99">
        <f>IF(OR($A350="",$K350=""),"",$K350*12+N($L350))</f>
        <v/>
      </c>
      <c r="BI350" s="99">
        <f>IF(OR($A350="",$M350=""),"",$M350*12+N($N350))</f>
        <v/>
      </c>
      <c r="BJ350" s="99">
        <f>IF($A350="","",IF(OR($C350="FRAME ONLY",$S350="BL"),0,IF($O350="Y",2,1)))</f>
        <v/>
      </c>
      <c r="BK350" s="101">
        <f>IF(OR(N($BJ350)=0,$BH350=""),"",($BH350-2*EdgeClr-IF($BJ350=2,MeetClr,0))/$BJ350)</f>
        <v/>
      </c>
      <c r="BL350" s="101">
        <f>IF(OR(N($BJ350)=0,$BI350=""),"",$BI350-HeadClr-Undercut)</f>
        <v/>
      </c>
      <c r="BM350" s="101">
        <f>IF($BH350="","",$BH350+2*FaceW+IF(N($Q350)&gt;0,($Q350+FaceW)*IF($R350="LR",2,1),0))</f>
        <v/>
      </c>
      <c r="BN350" s="101">
        <f>IF($BI350="","",$BI350+IF($AB350="Y",4,FaceW)+IF(N($P350)&gt;0,$P350+FaceW,0)+IF(OR($S350="4F",$S350="BL"),FaceW,0))</f>
        <v/>
      </c>
      <c r="BO350" s="101">
        <f>IF($BM350="","",$BM350+2*ROSide)</f>
        <v/>
      </c>
      <c r="BP350" s="101">
        <f>IF($BN350="","",$BN350+ROTop)</f>
        <v/>
      </c>
      <c r="BQ350" s="102">
        <f>IF(OR(N($BJ350)=0,$BH350=""),"",$BH350/$BJ350-ClearDeduct)</f>
        <v/>
      </c>
      <c r="BR350" s="99">
        <f>IF(N($CH350)=0,"",IF($CH350&gt;=180,"A · 3 HR",IF($CH350&gt;=90,"B · 1-1/2 HR",IF($CH350&gt;=60,"B · 1 HR",IF($CH350&gt;=45,"C · 3/4 HR","20 MIN")))))&amp;IF(AND(N($CH350)&gt;0,OR($I350="CORRIDOR",$I350="SMOKE BARRIER"))," · S","")</f>
        <v/>
      </c>
      <c r="BS350" s="99">
        <f>IF($CS350,"",IF($AV350&lt;&gt;"",$AV350,IF(OR($AC350="HGC",$AO350="HGC"),"CONT",IF(($BI350-HeadClr-Undercut)&lt;=60,2,IF(($BI350-HeadClr-Undercut)&lt;=90,3,IF(($BI350-HeadClr-Undercut)&lt;=120,4,5))))))</f>
        <v/>
      </c>
      <c r="BT350" s="99">
        <f>IF($CS350,"",IF($CT350,"CUSTOM (typed)",IF($CV350,$AT350&amp;" "&amp;$CU350&amp;CHAR(34)&amp;IF($CU350&lt;&gt;$BI350,IF(AND($BI350&lt;$CU350,$BI350-IF(N(VLOOKUP($AT350&amp;"|"&amp;$CU350,LocTable,7,FALSE))&gt;0,VLOOKUP($AT350&amp;"|"&amp;$CU350,LocTable,7,FALSE),VLOOKUP($AT350&amp;"|"&amp;$CU350,LocTable,6,FALSE))-$CR350-0.75&gt;=2.125)," cut down"," adj."),""),"ANSI/SDI A250.6")))</f>
        <v/>
      </c>
      <c r="BU350" s="103">
        <f>IF($CS350,"",IF($CT350,IF(N($AW350)&gt;0,N($AW350),""),IF(1&gt;$CQ350,"",IF($CQ350=1,$CW350,$CW350+($CX350-$CW350)*0/($CQ350-1)))))</f>
        <v/>
      </c>
      <c r="BV350" s="103">
        <f>IF($CS350,"",IF($CT350,IF(N($AX350)&gt;0,N($AX350),""),IF(2&gt;$CQ350,"",IF($CQ350=1,$CW350,$CW350+($CX350-$CW350)*1/($CQ350-1)))))</f>
        <v/>
      </c>
      <c r="BW350" s="103">
        <f>IF($CS350,"",IF($CT350,IF(N($AY350)&gt;0,N($AY350),""),IF(3&gt;$CQ350,"",IF($CQ350=1,$CW350,$CW350+($CX350-$CW350)*2/($CQ350-1)))))</f>
        <v/>
      </c>
      <c r="BX350" s="103">
        <f>IF($CS350,"",IF($CT350,IF(N($AZ350)&gt;0,N($AZ350),""),IF(4&gt;$CQ350,"",IF($CQ350=1,$CW350,$CW350+($CX350-$CW350)*3/($CQ350-1)))))</f>
        <v/>
      </c>
      <c r="BY350" s="103">
        <f>IF($CS350,"",IF($CT350,"",IF(5&gt;$CQ350,"",IF($CQ350=1,$CW350,$CW350+($CX350-$CW350)*4/($CQ350-1)))))</f>
        <v/>
      </c>
      <c r="BZ350" s="103">
        <f>IF(OR($CS350,$AP350="-",AND($AP350="",$AD350="")),"",IF(N($BA350)&gt;0,N($BA350),IF($CV350,IF(AND($BI350&lt;$CU350,$BI350-IF(N(VLOOKUP($AT350&amp;"|"&amp;$CU350,LocTable,7,FALSE))&gt;0,VLOOKUP($AT350&amp;"|"&amp;$CU350,LocTable,7,FALSE),VLOOKUP($AT350&amp;"|"&amp;$CU350,LocTable,6,FALSE))-$CR350-0.75&gt;=2.125),VLOOKUP($AT350&amp;"|"&amp;$CU350,LocTable,8,FALSE),VLOOKUP($AT350&amp;"|"&amp;$CU350,LocTable,8,FALSE)+($BI350-$CU350)),$BI350-LockAFF)))</f>
        <v/>
      </c>
      <c r="CA350" s="104">
        <f>IF($BZ350="","",$BI350-$BZ350)</f>
        <v/>
      </c>
      <c r="CB350" s="99">
        <f>IF(OR(NOT(AND($A350&lt;&gt;"",$C350&lt;&gt;"DOOR ONLY")),$BI350=""),"",IF(($BI350+IF(N($P350)&gt;0,$P350+FaceW,0))&lt;=90,3,IF(($BI350+IF(N($P350)&gt;0,$P350+FaceW,0))&lt;=114,4,5)))</f>
        <v/>
      </c>
      <c r="CC350" s="99">
        <f>IF($CB350="","",$CB350*(2+IF(N($Q350)&gt;0,IF($R350="LR",2,1),0)))</f>
        <v/>
      </c>
      <c r="CD350" s="99">
        <f>IF($CB350="","",(2+IF(N($Q350)&gt;0,IF($R350="LR",2,1),0)))</f>
        <v/>
      </c>
      <c r="CE350" s="99">
        <f>IF(N($BJ350)=0,"",IF(OR($AL350="",$AL350="FLUSH"),"FLUSH",IFERROR(LEFT($AL350,FIND("-",$AL350)-1),LEFT($AL350,2))))</f>
        <v/>
      </c>
      <c r="CF350" s="99">
        <f>IF($CE350="","",IFERROR(VALUE(MID($AL350,FIND("-",$AL350)+1,FIND(CHAR(34)&amp;"x",$AL350)-FIND("-",$AL350)-1)),0))</f>
        <v/>
      </c>
      <c r="CG350" s="99">
        <f>IF($CE350="","",IFERROR(VALUE(MID($AL350,FIND(CHAR(34)&amp;"x",$AL350)+2,FIND(CHAR(34),$AL350,FIND(CHAR(34)&amp;"x",$AL350)+2)-FIND(CHAR(34)&amp;"x",$AL350)-2)),0))</f>
        <v/>
      </c>
      <c r="CH350" s="105">
        <f>IF(OR($A350="",$H350="",$H350="NO LAB"),0,IFERROR(VALUE(LEFT($H350,FIND(" ",$H350)-1)),0))</f>
        <v/>
      </c>
      <c r="CI350" s="106">
        <f>IF(OR($A350="",$I350="",$I350="NON-RATED",N($J350)=0),"",IFERROR(VLOOKUP($I350&amp;"|"&amp;$J350,IBC,2,FALSE),"?"))</f>
        <v/>
      </c>
      <c r="CJ350" s="100">
        <f>IF(NOT(AND($A350&lt;&gt;"",$C350&lt;&gt;"DOOR ONLY")),"",TRIM(IFERROR(VLOOKUP($U350,CODES,2,FALSE),"")&amp;" "&amp;$BG350&amp;" "&amp;IFERROR(VLOOKUP($Z350,CODES,2,FALSE),"")&amp;" "&amp;IFERROR(VLOOKUP($X350,CODES,2,FALSE),"")&amp;" "&amp;IFERROR(VLOOKUP($S350,CODES,2,FALSE),"")&amp;IF(N($P350)&gt;0," w/TRANSOM "&amp;$P350&amp;CHAR(34),"")&amp;IF(N($Q350)&gt;0," w/SIDELITE "&amp;$Q350&amp;CHAR(34)&amp;" "&amp;IF($R350="","R",$R350),"")&amp;IF($Y350="","  |  "," | "&amp;IFERROR(VLOOKUP($Y350,CODES,2,FALSE),"")&amp;" | ")&amp;IFERROR(VLOOKUP($AC350,CODES,2,FALSE),"")&amp;" "&amp;IFERROR(VLOOKUP($AD350,CODES,2,FALSE),"")&amp;IF(OR($AE350="",$AE350="-"),""," "&amp;$AE350)&amp;IF(OR($AF350="",$AF350="-"),""," "&amp;$AF350)&amp;IF($AB350="Y"," 4"&amp;CHAR(34)&amp;" HEAD","")&amp;" "&amp;IFERROR(VLOOKUP($H350,CODES,2,FALSE),"")&amp;IF($CT350," | LOC "&amp;$CY350,"")))</f>
        <v/>
      </c>
      <c r="CK350" s="100">
        <f>IF(NOT(AND($A350&lt;&gt;"",N($BJ350)&gt;0)),"",TRIM(IFERROR(VLOOKUP($AH350,CODES,2,FALSE),"")&amp;IF($AI350=""," "," "&amp;$AI350&amp;"GA ")&amp;$BG350&amp;" "&amp;IF($AN350="",IFERROR(VLOOKUP($Z350,CODES,2,FALSE),""),IFERROR(VLOOKUP($AN350,CODES,2,FALSE),""))&amp;IF($BJ350=2," PAIR","")&amp;" DOOR | "&amp;IF($AL350="","?",$AL350)&amp;" | "&amp;IF($AO350="",IFERROR(VLOOKUP($AC350,CODES,2,FALSE),""),IFERROR(VLOOKUP($AO350,CODES,2,FALSE),""))&amp;" "&amp;IFERROR(VLOOKUP($AP350,CODES,2,FALSE),"")&amp;IF(OR($AQ350="",$AQ350="-"),""," SEAM "&amp;$AQ350)&amp;IF($AR350="Y"," ASTRAGAL","")&amp;IF($AJ350=""," "," "&amp;$AJ350)&amp;IF($AK350=""," "," "&amp;$AK350)&amp;IF(OR($AT350="",$AT350="ANSI/SDI",$AT350="CUSTOM LOC"),""," "&amp;$AT350)&amp;IF($AM350=""," "," SERIES "&amp;$AM350)&amp;" "&amp;IFERROR(VLOOKUP($H350,CODES,2,FALSE),"")&amp;IF($CT350," | LOC "&amp;$CZ350,"")))</f>
        <v/>
      </c>
      <c r="CL350" s="99">
        <f>IF(CP350="","",IF(COUNTIF($CP$6:CP350,CP350)=1,MAX($CL$5:CL349)+1,INDEX($CL$5:CL349,MATCH(CP350,$CP$5:CP349,0))))</f>
        <v/>
      </c>
      <c r="CM350" s="99">
        <f>IF(NOT(AND($A350&lt;&gt;"",$C350&lt;&gt;"DOOR ONLY")),"",MAX($CM$5:CM349)+1)</f>
        <v/>
      </c>
      <c r="CN350" s="99">
        <f>IF(NOT(AND($A350&lt;&gt;"",N($BJ350)&gt;0)),"",MAX($CN$5:CN349)+1)</f>
        <v/>
      </c>
      <c r="CO350" s="99">
        <f>IF($A350="","",MAX($CO$5:CO349)+1)</f>
        <v/>
      </c>
      <c r="CP350" s="99">
        <f>IF(OR($A350="",$BH350="",$BI350=""),"",$BG350&amp;"|"&amp;$O350&amp;"|"&amp;$AL350&amp;"|"&amp;$S350&amp;"|"&amp;$P350&amp;"|"&amp;$Q350&amp;$R350&amp;"|"&amp;$C350&amp;"|"&amp;$AB350)</f>
        <v/>
      </c>
      <c r="CQ350" s="99">
        <f>N($BS350)</f>
        <v/>
      </c>
      <c r="CR350" s="99">
        <f>IF(N($AU350)&gt;0,N($AU350),4.5)</f>
        <v/>
      </c>
      <c r="CS350" s="99">
        <f>OR($A350="",$BI350="",$S350="BL",AND($C350="FRAME ONLY",OR($AC350="",$AC350="BLK")))</f>
        <v/>
      </c>
      <c r="CT350" s="99">
        <f>AND(NOT($CS350),OR($AT350="CUSTOM LOC",N($AW350)+N($AX350)+N($AY350)+N($AZ350)+N($BA350)&gt;0))</f>
        <v/>
      </c>
      <c r="CU350" s="99">
        <f>IF($BI350="","",IF($BI350&lt;=80,80,IF($BI350&lt;=84,84,96)))</f>
        <v/>
      </c>
      <c r="CV350" s="99">
        <f>ISNUMBER(MATCH($AT350&amp;"|80",LocKeys,0))</f>
        <v/>
      </c>
      <c r="CW350" s="101">
        <f>IF($CS350,"",IF($CV350,VLOOKUP($AT350&amp;"|"&amp;$CU350,LocTable,4,FALSE),5))</f>
        <v/>
      </c>
      <c r="CX350" s="101">
        <f>IF($CS350,"",IF($CV350,IF(OR($BI350=$CU350,AND($BI350&lt;$CU350,$BI350-IF(N(VLOOKUP($AT350&amp;"|"&amp;$CU350,LocTable,7,FALSE))&gt;0,VLOOKUP($AT350&amp;"|"&amp;$CU350,LocTable,7,FALSE),VLOOKUP($AT350&amp;"|"&amp;$CU350,LocTable,6,FALSE))-$CR350-0.75&gt;=2.125)),IF(N(VLOOKUP($AT350&amp;"|"&amp;$CU350,LocTable,7,FALSE))&gt;0,VLOOKUP($AT350&amp;"|"&amp;$CU350,LocTable,7,FALSE),VLOOKUP($AT350&amp;"|"&amp;$CU350,LocTable,6,FALSE)),$BI350-($CU350-IF(N(VLOOKUP($AT350&amp;"|"&amp;$CU350,LocTable,7,FALSE))&gt;0,VLOOKUP($AT350&amp;"|"&amp;$CU350,LocTable,7,FALSE),VLOOKUP($AT350&amp;"|"&amp;$CU350,LocTable,6,FALSE)))),$BI350-10-$CR350))</f>
        <v/>
      </c>
      <c r="CY350" s="100">
        <f>IF($CS350,"",TRIM(IF(ISNUMBER($BU350),"A "&amp;TRIM(TEXT($BU350,"# ?/??"))&amp;CHAR(34)&amp;"  ","")&amp;IF(ISNUMBER($BV350),"B "&amp;TRIM(TEXT($BV350,"# ?/??"))&amp;CHAR(34)&amp;"  ","")&amp;IF(ISNUMBER($BW350),"C "&amp;TRIM(TEXT($BW350,"# ?/??"))&amp;CHAR(34)&amp;"  ","")&amp;IF(ISNUMBER($BX350),"D "&amp;TRIM(TEXT($BX350,"# ?/??"))&amp;CHAR(34)&amp;"  ","")&amp;IF(ISNUMBER($BY350),"F "&amp;TRIM(TEXT($BY350,"# ?/??"))&amp;CHAR(34)&amp;"  ","")&amp;IF(ISNUMBER($BZ350),"E "&amp;TRIM(TEXT($BZ350,"# ?/??"))&amp;CHAR(34)&amp;"  ","")))</f>
        <v/>
      </c>
      <c r="CZ350" s="100">
        <f>IF(OR($CS350,N($BJ350)=0),"",TRIM(IF(ISNUMBER($BU350),"A "&amp;TRIM(TEXT($BU350-HeadClr,"# ?/??"))&amp;CHAR(34)&amp;"  ","")&amp;IF(ISNUMBER($BV350),"B "&amp;TRIM(TEXT($BV350-HeadClr,"# ?/??"))&amp;CHAR(34)&amp;"  ","")&amp;IF(ISNUMBER($BW350),"C "&amp;TRIM(TEXT($BW350-HeadClr,"# ?/??"))&amp;CHAR(34)&amp;"  ","")&amp;IF(ISNUMBER($BX350),"D "&amp;TRIM(TEXT($BX350-HeadClr,"# ?/??"))&amp;CHAR(34)&amp;"  ","")&amp;IF(ISNUMBER($BY350),"F "&amp;TRIM(TEXT($BY350-HeadClr,"# ?/??"))&amp;CHAR(34)&amp;"  ","")&amp;IF(ISNUMBER($BZ350),"E "&amp;TRIM(TEXT($BZ350-HeadClr,"# ?/??"))&amp;CHAR(34)&amp;"  ","")))</f>
        <v/>
      </c>
      <c r="DA350" s="99">
        <f>IF($A350="","",IF($AN350="",IFERROR(VLOOKUP($Z350,CODES,2,FALSE),""),IFERROR(VLOOKUP($AN350,CODES,2,FALSE),"")))</f>
        <v/>
      </c>
      <c r="DB350" s="99">
        <f>IF($A350="","",IF($O350="Y","PR",IF(OR($Z350="L",$Z350="RR",LEFT($Z350,2)="L-",LEFT($Z350,3)="RR-"),"LH","RH")))</f>
        <v/>
      </c>
      <c r="DC350" s="99">
        <f>IF($A350="","","S.HM"&amp;IF(OR($C350="DOOR ONLY",$X350&lt;&gt;"KD"),"MASONRY","DRYWALL")&amp;IF($C350="DOOR ONLY","",$U350)&amp;IF(AND($C350&lt;&gt;"FRAME ONLY",OR(LEFT($AH350,3)="OAK",LEFT($AH350,3)="BIR",LEFT($AH350,3)="MAP",$AH350="PC",$AH350="MC",$AH350="SCLC",$AH350="P-LAM")),"WD","HM")&amp;"1.75")</f>
        <v/>
      </c>
      <c r="DD350" s="99">
        <f>IF($CJ350="","",IF($O350="Y",$CJ350,SUBSTITUTE($CJ350,$BG350&amp;" "&amp;IFERROR(VLOOKUP($Z350,CODES,2,FALSE),"")&amp;" ",$BG350&amp;" ")))</f>
        <v/>
      </c>
      <c r="DE350" s="99">
        <f>IF($CK350="","",IF($O350="Y",$CK350,SUBSTITUTE($CK350,$BG350&amp;" "&amp;IF($AN350="",IFERROR(VLOOKUP($Z350,CODES,2,FALSE),""),IFERROR(VLOOKUP($AN350,CODES,2,FALSE),""))&amp;" ",$BG350&amp;" ")))</f>
        <v/>
      </c>
      <c r="DF350" s="99">
        <f>IF($CJ350="","",$DC350&amp;"|"&amp;$DD350&amp;"|"&amp;$DB350&amp;"|"&amp;$AT350&amp;"|"&amp;$V350&amp;"|"&amp;$Y350&amp;"|"&amp;$AB350)</f>
        <v/>
      </c>
      <c r="DG350" s="99">
        <f>IF(DF350="","",IF(COUNTIF($DF$6:DF350,DF350)=1,MAX($DG$5:DG349)+1,INDEX($DG$5:DG349,MATCH(DF350,$DF$5:DF349,0))))</f>
        <v/>
      </c>
      <c r="DH350" s="99">
        <f>IF($CK350="","",$DC350&amp;"|"&amp;$DE350&amp;"|"&amp;$AI350&amp;"|"&amp;$BK350&amp;"|"&amp;$BL350)</f>
        <v/>
      </c>
      <c r="DI350" s="99">
        <f>IF(DH350="","",IF(COUNTIF($DH$6:DH350,DH350)=1,MAX($DI$5:DI349)+1,INDEX($DI$5:DI349,MATCH(DH350,$DH$5:DH349,0))))</f>
        <v/>
      </c>
      <c r="DJ350" s="99">
        <f>IF($A350="","",IF($B350="","qty, ","")&amp;IF($C350="","scope, ","")&amp;IF(OR($K350="",$M350=""),"size, ","")&amp;IF(AND($A350&lt;&gt;"",$C350&lt;&gt;"DOOR ONLY"),IF($U350="","jamb depth, ","")&amp;IF($X350="","construction, ","")&amp;IF($Y350="","anchor, ","")&amp;IF($S350="","frame type, ",""),"")&amp;IF(AND(N($BJ350)&gt;0,$Z350=""),"hand, ","")&amp;IF(N($BJ350)&gt;0,IF($AH350="","door material, ","")&amp;IF($AL350="","face type, ","")&amp;IF($AP350="","lock prep, ","")&amp;IF(AND($AO350="",$AC350=""),"hinge prep, ",""),"")&amp;IF(AND($CH350&gt;0,$AH350="FRP"),"FRP cannot carry a label, ","")&amp;IF(AND($O350="Y",OR($Z350="L",$Z350="R",$Z350="LR",$Z350="RR")),"pair marked but hand is single, ","")&amp;IF(AND($O350&lt;&gt;"Y",OR($Z350="PR",AND(LEN($Z350)&gt;1,ISNUMBER(SEARCH("-",$Z350))))),"pair hand on a single door, ","")&amp;IF(AND(ISNUMBER($CI350),$CH350&lt;N($CI350)),"wall needs a "&amp;$CI350&amp;" min door, ","")&amp;IF(AND($CH350&gt;=180,AND(OR($CE350="FG",$CE350="HG",$CE350="FNV",$CE350="FV"),N($CF350)*N($CG350)&gt;100)),"180 min lite over 100 sq in, ","")&amp;IF(N($BK350)&gt;48,"leaf wider than 4'-0"&amp;CHAR(34)&amp;", ","")&amp;IF(AND($CT350,COUNT($AW350:$AZ350)=0,$CQ350&gt;0),"CUSTOM LOC with no locations typed, ",""))</f>
        <v/>
      </c>
      <c r="DK350" s="99">
        <f>IF($A350="","",IF(AND($CH350&gt;0,AND($A350&lt;&gt;"",$C350&lt;&gt;"DOOR ONLY"),$X350="KD",$E350="EXTERIOR"),"KD label on an exterior opening, ","")&amp;IF(AND($E350="EXTERIOR",OR(AND(AND($A350&lt;&gt;"",$C350&lt;&gt;"DOOR ONLY"),$W350="CR"),AND(N($BJ350)&gt;0,$AH350="CR"))),"exterior in CR steel (G9?), ","")&amp;IF(AND(ISNUMBER($BQ350),N($BQ350)&lt;32),"clear width ~"&amp;TEXT($BQ350,"0.0")&amp;CHAR(34)&amp;" under 32"&amp;CHAR(34)&amp;" (ADA), ","")&amp;IF(AND($CH350=90,AND(OR($CE350="FG",$CE350="HG",$CE350="FNV",$CE350="FV"),N($CF350)*N($CG350)&gt;100)),"90 min lite over 100 sq in (stair/exit), ","")&amp;IF(AND($CH350&gt;0,AND($A350&lt;&gt;"",$C350&lt;&gt;"DOOR ONLY"),OR($AF350="",$AF350="-")),"rated: closer reinf.?, ","")&amp;IF(OR($I350="CORRIDOR",$I350="SMOKE BARRIER"),"S label + smoke gasketing, ","")&amp;IF($CI350="?","wall type/hr not in IBC table, ","")&amp;IF(AND(N($BJ350)&gt;0,$BB350=""),"no hardware set, ","")&amp;IF(AND($BB350&lt;&gt;"",ISNA(MATCH($BB350&amp;"",HWSets,0))),"set "&amp;$BB350&amp;" not on HW Sets, ","")&amp;IF(N($BL350)&gt;96,"leaf over 8'-0"&amp;CHAR(34)&amp;" - check listing, ","")&amp;IF(AND($CT350,COUNT($AW350:$AZ350)&gt;0,COUNT($AW350:$AZ350)&lt;&gt;$CQ350),COUNT($AW350:$AZ350)&amp;" custom hinges typed, "&amp;$CQ350&amp;" expected, ","")&amp;IF(AND(ISNUMBER($CA350),OR(N($CA350)&lt;34,N($CA350)&gt;48)),"lock "&amp;TEXT($CA350,"0.0")&amp;CHAR(34)&amp;" AFF outside 34-48"&amp;CHAR(34)&amp;" (ADA), ","")&amp;IF(AND(ISNUMBER($AV350),ISNUMBER($BL350),N($AV350)&lt;IF(N($BL350)&lt;=60,2,IF(N($BL350)&lt;=90,3,IF(N($BL350)&lt;=120,4,5)))),"fewer hinges than standard, ",""))</f>
        <v/>
      </c>
    </row>
    <row r="351" ht="15" customHeight="1">
      <c r="A351" s="77" t="n"/>
      <c r="B351" s="78" t="n"/>
      <c r="C351" s="78" t="n"/>
      <c r="D351" s="78" t="n"/>
      <c r="E351" s="78" t="n"/>
      <c r="F351" s="78" t="n"/>
      <c r="G351" s="78" t="n"/>
      <c r="H351" s="78" t="n"/>
      <c r="I351" s="78" t="n"/>
      <c r="J351" s="78" t="n"/>
      <c r="K351" s="78" t="n"/>
      <c r="L351" s="78" t="n"/>
      <c r="M351" s="78" t="n"/>
      <c r="N351" s="78" t="n"/>
      <c r="O351" s="78" t="n"/>
      <c r="P351" s="78" t="n"/>
      <c r="Q351" s="78" t="n"/>
      <c r="R351" s="78" t="n"/>
      <c r="S351" s="79" t="n"/>
      <c r="T351" s="79" t="n"/>
      <c r="U351" s="79" t="n"/>
      <c r="V351" s="79" t="n"/>
      <c r="W351" s="79" t="n"/>
      <c r="X351" s="79" t="n"/>
      <c r="Y351" s="79" t="n"/>
      <c r="Z351" s="79" t="n"/>
      <c r="AA351" s="79" t="n"/>
      <c r="AB351" s="79" t="n"/>
      <c r="AC351" s="79" t="n"/>
      <c r="AD351" s="79" t="n"/>
      <c r="AE351" s="79" t="n"/>
      <c r="AF351" s="79" t="n"/>
      <c r="AG351" s="79" t="n"/>
      <c r="AH351" s="80" t="n"/>
      <c r="AI351" s="80" t="n"/>
      <c r="AJ351" s="80" t="n"/>
      <c r="AK351" s="80" t="n"/>
      <c r="AL351" s="80" t="n"/>
      <c r="AM351" s="80" t="n"/>
      <c r="AN351" s="80" t="n"/>
      <c r="AO351" s="80" t="n"/>
      <c r="AP351" s="80" t="n"/>
      <c r="AQ351" s="80" t="n"/>
      <c r="AR351" s="80" t="n"/>
      <c r="AS351" s="80" t="n"/>
      <c r="AT351" s="81" t="n"/>
      <c r="AU351" s="81" t="n"/>
      <c r="AV351" s="81" t="n"/>
      <c r="AW351" s="82" t="n"/>
      <c r="AX351" s="82" t="n"/>
      <c r="AY351" s="82" t="n"/>
      <c r="AZ351" s="82" t="n"/>
      <c r="BA351" s="82" t="n"/>
      <c r="BB351" s="83" t="n"/>
      <c r="BC351" s="83" t="n"/>
      <c r="BD351" s="84">
        <f>IF($A351="","",IF($DJ351&lt;&gt;"","FIX",IF($DK351&lt;&gt;"","CHECK","OK")))</f>
        <v/>
      </c>
      <c r="BE351" s="85">
        <f>IF($A351="","",IF($DJ351&lt;&gt;"","FIX: "&amp;LEFT($DJ351,LEN($DJ351)-2)&amp;IF($DK351&lt;&gt;"","  ·  ",""),"")&amp;IF($DK351&lt;&gt;"","CHECK: "&amp;LEFT($DK351,LEN($DK351)-2),""))</f>
        <v/>
      </c>
      <c r="BF351" s="84">
        <f>IF(OR($A351="",$K351=""),"",$K351&amp;"'-"&amp;N($L351)&amp;CHAR(34)&amp;" x "&amp;$M351&amp;"'-"&amp;N($N351)&amp;CHAR(34))</f>
        <v/>
      </c>
      <c r="BG351" s="84">
        <f>IF(OR($A351="",$K351=""),"",$K351&amp;N($L351)&amp;$M351&amp;N($N351))</f>
        <v/>
      </c>
      <c r="BH351" s="84">
        <f>IF(OR($A351="",$K351=""),"",$K351*12+N($L351))</f>
        <v/>
      </c>
      <c r="BI351" s="84">
        <f>IF(OR($A351="",$M351=""),"",$M351*12+N($N351))</f>
        <v/>
      </c>
      <c r="BJ351" s="84">
        <f>IF($A351="","",IF(OR($C351="FRAME ONLY",$S351="BL"),0,IF($O351="Y",2,1)))</f>
        <v/>
      </c>
      <c r="BK351" s="86">
        <f>IF(OR(N($BJ351)=0,$BH351=""),"",($BH351-2*EdgeClr-IF($BJ351=2,MeetClr,0))/$BJ351)</f>
        <v/>
      </c>
      <c r="BL351" s="86">
        <f>IF(OR(N($BJ351)=0,$BI351=""),"",$BI351-HeadClr-Undercut)</f>
        <v/>
      </c>
      <c r="BM351" s="86">
        <f>IF($BH351="","",$BH351+2*FaceW+IF(N($Q351)&gt;0,($Q351+FaceW)*IF($R351="LR",2,1),0))</f>
        <v/>
      </c>
      <c r="BN351" s="86">
        <f>IF($BI351="","",$BI351+IF($AB351="Y",4,FaceW)+IF(N($P351)&gt;0,$P351+FaceW,0)+IF(OR($S351="4F",$S351="BL"),FaceW,0))</f>
        <v/>
      </c>
      <c r="BO351" s="86">
        <f>IF($BM351="","",$BM351+2*ROSide)</f>
        <v/>
      </c>
      <c r="BP351" s="86">
        <f>IF($BN351="","",$BN351+ROTop)</f>
        <v/>
      </c>
      <c r="BQ351" s="87">
        <f>IF(OR(N($BJ351)=0,$BH351=""),"",$BH351/$BJ351-ClearDeduct)</f>
        <v/>
      </c>
      <c r="BR351" s="84">
        <f>IF(N($CH351)=0,"",IF($CH351&gt;=180,"A · 3 HR",IF($CH351&gt;=90,"B · 1-1/2 HR",IF($CH351&gt;=60,"B · 1 HR",IF($CH351&gt;=45,"C · 3/4 HR","20 MIN")))))&amp;IF(AND(N($CH351)&gt;0,OR($I351="CORRIDOR",$I351="SMOKE BARRIER"))," · S","")</f>
        <v/>
      </c>
      <c r="BS351" s="84">
        <f>IF($CS351,"",IF($AV351&lt;&gt;"",$AV351,IF(OR($AC351="HGC",$AO351="HGC"),"CONT",IF(($BI351-HeadClr-Undercut)&lt;=60,2,IF(($BI351-HeadClr-Undercut)&lt;=90,3,IF(($BI351-HeadClr-Undercut)&lt;=120,4,5))))))</f>
        <v/>
      </c>
      <c r="BT351" s="84">
        <f>IF($CS351,"",IF($CT351,"CUSTOM (typed)",IF($CV351,$AT351&amp;" "&amp;$CU351&amp;CHAR(34)&amp;IF($CU351&lt;&gt;$BI351,IF(AND($BI351&lt;$CU351,$BI351-IF(N(VLOOKUP($AT351&amp;"|"&amp;$CU351,LocTable,7,FALSE))&gt;0,VLOOKUP($AT351&amp;"|"&amp;$CU351,LocTable,7,FALSE),VLOOKUP($AT351&amp;"|"&amp;$CU351,LocTable,6,FALSE))-$CR351-0.75&gt;=2.125)," cut down"," adj."),""),"ANSI/SDI A250.6")))</f>
        <v/>
      </c>
      <c r="BU351" s="88">
        <f>IF($CS351,"",IF($CT351,IF(N($AW351)&gt;0,N($AW351),""),IF(1&gt;$CQ351,"",IF($CQ351=1,$CW351,$CW351+($CX351-$CW351)*0/($CQ351-1)))))</f>
        <v/>
      </c>
      <c r="BV351" s="88">
        <f>IF($CS351,"",IF($CT351,IF(N($AX351)&gt;0,N($AX351),""),IF(2&gt;$CQ351,"",IF($CQ351=1,$CW351,$CW351+($CX351-$CW351)*1/($CQ351-1)))))</f>
        <v/>
      </c>
      <c r="BW351" s="88">
        <f>IF($CS351,"",IF($CT351,IF(N($AY351)&gt;0,N($AY351),""),IF(3&gt;$CQ351,"",IF($CQ351=1,$CW351,$CW351+($CX351-$CW351)*2/($CQ351-1)))))</f>
        <v/>
      </c>
      <c r="BX351" s="88">
        <f>IF($CS351,"",IF($CT351,IF(N($AZ351)&gt;0,N($AZ351),""),IF(4&gt;$CQ351,"",IF($CQ351=1,$CW351,$CW351+($CX351-$CW351)*3/($CQ351-1)))))</f>
        <v/>
      </c>
      <c r="BY351" s="88">
        <f>IF($CS351,"",IF($CT351,"",IF(5&gt;$CQ351,"",IF($CQ351=1,$CW351,$CW351+($CX351-$CW351)*4/($CQ351-1)))))</f>
        <v/>
      </c>
      <c r="BZ351" s="88">
        <f>IF(OR($CS351,$AP351="-",AND($AP351="",$AD351="")),"",IF(N($BA351)&gt;0,N($BA351),IF($CV351,IF(AND($BI351&lt;$CU351,$BI351-IF(N(VLOOKUP($AT351&amp;"|"&amp;$CU351,LocTable,7,FALSE))&gt;0,VLOOKUP($AT351&amp;"|"&amp;$CU351,LocTable,7,FALSE),VLOOKUP($AT351&amp;"|"&amp;$CU351,LocTable,6,FALSE))-$CR351-0.75&gt;=2.125),VLOOKUP($AT351&amp;"|"&amp;$CU351,LocTable,8,FALSE),VLOOKUP($AT351&amp;"|"&amp;$CU351,LocTable,8,FALSE)+($BI351-$CU351)),$BI351-LockAFF)))</f>
        <v/>
      </c>
      <c r="CA351" s="89">
        <f>IF($BZ351="","",$BI351-$BZ351)</f>
        <v/>
      </c>
      <c r="CB351" s="84">
        <f>IF(OR(NOT(AND($A351&lt;&gt;"",$C351&lt;&gt;"DOOR ONLY")),$BI351=""),"",IF(($BI351+IF(N($P351)&gt;0,$P351+FaceW,0))&lt;=90,3,IF(($BI351+IF(N($P351)&gt;0,$P351+FaceW,0))&lt;=114,4,5)))</f>
        <v/>
      </c>
      <c r="CC351" s="84">
        <f>IF($CB351="","",$CB351*(2+IF(N($Q351)&gt;0,IF($R351="LR",2,1),0)))</f>
        <v/>
      </c>
      <c r="CD351" s="84">
        <f>IF($CB351="","",(2+IF(N($Q351)&gt;0,IF($R351="LR",2,1),0)))</f>
        <v/>
      </c>
      <c r="CE351" s="84">
        <f>IF(N($BJ351)=0,"",IF(OR($AL351="",$AL351="FLUSH"),"FLUSH",IFERROR(LEFT($AL351,FIND("-",$AL351)-1),LEFT($AL351,2))))</f>
        <v/>
      </c>
      <c r="CF351" s="84">
        <f>IF($CE351="","",IFERROR(VALUE(MID($AL351,FIND("-",$AL351)+1,FIND(CHAR(34)&amp;"x",$AL351)-FIND("-",$AL351)-1)),0))</f>
        <v/>
      </c>
      <c r="CG351" s="84">
        <f>IF($CE351="","",IFERROR(VALUE(MID($AL351,FIND(CHAR(34)&amp;"x",$AL351)+2,FIND(CHAR(34),$AL351,FIND(CHAR(34)&amp;"x",$AL351)+2)-FIND(CHAR(34)&amp;"x",$AL351)-2)),0))</f>
        <v/>
      </c>
      <c r="CH351" s="90">
        <f>IF(OR($A351="",$H351="",$H351="NO LAB"),0,IFERROR(VALUE(LEFT($H351,FIND(" ",$H351)-1)),0))</f>
        <v/>
      </c>
      <c r="CI351" s="91">
        <f>IF(OR($A351="",$I351="",$I351="NON-RATED",N($J351)=0),"",IFERROR(VLOOKUP($I351&amp;"|"&amp;$J351,IBC,2,FALSE),"?"))</f>
        <v/>
      </c>
      <c r="CJ351" s="85">
        <f>IF(NOT(AND($A351&lt;&gt;"",$C351&lt;&gt;"DOOR ONLY")),"",TRIM(IFERROR(VLOOKUP($U351,CODES,2,FALSE),"")&amp;" "&amp;$BG351&amp;" "&amp;IFERROR(VLOOKUP($Z351,CODES,2,FALSE),"")&amp;" "&amp;IFERROR(VLOOKUP($X351,CODES,2,FALSE),"")&amp;" "&amp;IFERROR(VLOOKUP($S351,CODES,2,FALSE),"")&amp;IF(N($P351)&gt;0," w/TRANSOM "&amp;$P351&amp;CHAR(34),"")&amp;IF(N($Q351)&gt;0," w/SIDELITE "&amp;$Q351&amp;CHAR(34)&amp;" "&amp;IF($R351="","R",$R351),"")&amp;IF($Y351="","  |  "," | "&amp;IFERROR(VLOOKUP($Y351,CODES,2,FALSE),"")&amp;" | ")&amp;IFERROR(VLOOKUP($AC351,CODES,2,FALSE),"")&amp;" "&amp;IFERROR(VLOOKUP($AD351,CODES,2,FALSE),"")&amp;IF(OR($AE351="",$AE351="-"),""," "&amp;$AE351)&amp;IF(OR($AF351="",$AF351="-"),""," "&amp;$AF351)&amp;IF($AB351="Y"," 4"&amp;CHAR(34)&amp;" HEAD","")&amp;" "&amp;IFERROR(VLOOKUP($H351,CODES,2,FALSE),"")&amp;IF($CT351," | LOC "&amp;$CY351,"")))</f>
        <v/>
      </c>
      <c r="CK351" s="85">
        <f>IF(NOT(AND($A351&lt;&gt;"",N($BJ351)&gt;0)),"",TRIM(IFERROR(VLOOKUP($AH351,CODES,2,FALSE),"")&amp;IF($AI351=""," "," "&amp;$AI351&amp;"GA ")&amp;$BG351&amp;" "&amp;IF($AN351="",IFERROR(VLOOKUP($Z351,CODES,2,FALSE),""),IFERROR(VLOOKUP($AN351,CODES,2,FALSE),""))&amp;IF($BJ351=2," PAIR","")&amp;" DOOR | "&amp;IF($AL351="","?",$AL351)&amp;" | "&amp;IF($AO351="",IFERROR(VLOOKUP($AC351,CODES,2,FALSE),""),IFERROR(VLOOKUP($AO351,CODES,2,FALSE),""))&amp;" "&amp;IFERROR(VLOOKUP($AP351,CODES,2,FALSE),"")&amp;IF(OR($AQ351="",$AQ351="-"),""," SEAM "&amp;$AQ351)&amp;IF($AR351="Y"," ASTRAGAL","")&amp;IF($AJ351=""," "," "&amp;$AJ351)&amp;IF($AK351=""," "," "&amp;$AK351)&amp;IF(OR($AT351="",$AT351="ANSI/SDI",$AT351="CUSTOM LOC"),""," "&amp;$AT351)&amp;IF($AM351=""," "," SERIES "&amp;$AM351)&amp;" "&amp;IFERROR(VLOOKUP($H351,CODES,2,FALSE),"")&amp;IF($CT351," | LOC "&amp;$CZ351,"")))</f>
        <v/>
      </c>
      <c r="CL351" s="84">
        <f>IF(CP351="","",IF(COUNTIF($CP$6:CP351,CP351)=1,MAX($CL$5:CL350)+1,INDEX($CL$5:CL350,MATCH(CP351,$CP$5:CP350,0))))</f>
        <v/>
      </c>
      <c r="CM351" s="84">
        <f>IF(NOT(AND($A351&lt;&gt;"",$C351&lt;&gt;"DOOR ONLY")),"",MAX($CM$5:CM350)+1)</f>
        <v/>
      </c>
      <c r="CN351" s="84">
        <f>IF(NOT(AND($A351&lt;&gt;"",N($BJ351)&gt;0)),"",MAX($CN$5:CN350)+1)</f>
        <v/>
      </c>
      <c r="CO351" s="84">
        <f>IF($A351="","",MAX($CO$5:CO350)+1)</f>
        <v/>
      </c>
      <c r="CP351" s="84">
        <f>IF(OR($A351="",$BH351="",$BI351=""),"",$BG351&amp;"|"&amp;$O351&amp;"|"&amp;$AL351&amp;"|"&amp;$S351&amp;"|"&amp;$P351&amp;"|"&amp;$Q351&amp;$R351&amp;"|"&amp;$C351&amp;"|"&amp;$AB351)</f>
        <v/>
      </c>
      <c r="CQ351" s="84">
        <f>N($BS351)</f>
        <v/>
      </c>
      <c r="CR351" s="84">
        <f>IF(N($AU351)&gt;0,N($AU351),4.5)</f>
        <v/>
      </c>
      <c r="CS351" s="84">
        <f>OR($A351="",$BI351="",$S351="BL",AND($C351="FRAME ONLY",OR($AC351="",$AC351="BLK")))</f>
        <v/>
      </c>
      <c r="CT351" s="84">
        <f>AND(NOT($CS351),OR($AT351="CUSTOM LOC",N($AW351)+N($AX351)+N($AY351)+N($AZ351)+N($BA351)&gt;0))</f>
        <v/>
      </c>
      <c r="CU351" s="84">
        <f>IF($BI351="","",IF($BI351&lt;=80,80,IF($BI351&lt;=84,84,96)))</f>
        <v/>
      </c>
      <c r="CV351" s="84">
        <f>ISNUMBER(MATCH($AT351&amp;"|80",LocKeys,0))</f>
        <v/>
      </c>
      <c r="CW351" s="86">
        <f>IF($CS351,"",IF($CV351,VLOOKUP($AT351&amp;"|"&amp;$CU351,LocTable,4,FALSE),5))</f>
        <v/>
      </c>
      <c r="CX351" s="86">
        <f>IF($CS351,"",IF($CV351,IF(OR($BI351=$CU351,AND($BI351&lt;$CU351,$BI351-IF(N(VLOOKUP($AT351&amp;"|"&amp;$CU351,LocTable,7,FALSE))&gt;0,VLOOKUP($AT351&amp;"|"&amp;$CU351,LocTable,7,FALSE),VLOOKUP($AT351&amp;"|"&amp;$CU351,LocTable,6,FALSE))-$CR351-0.75&gt;=2.125)),IF(N(VLOOKUP($AT351&amp;"|"&amp;$CU351,LocTable,7,FALSE))&gt;0,VLOOKUP($AT351&amp;"|"&amp;$CU351,LocTable,7,FALSE),VLOOKUP($AT351&amp;"|"&amp;$CU351,LocTable,6,FALSE)),$BI351-($CU351-IF(N(VLOOKUP($AT351&amp;"|"&amp;$CU351,LocTable,7,FALSE))&gt;0,VLOOKUP($AT351&amp;"|"&amp;$CU351,LocTable,7,FALSE),VLOOKUP($AT351&amp;"|"&amp;$CU351,LocTable,6,FALSE)))),$BI351-10-$CR351))</f>
        <v/>
      </c>
      <c r="CY351" s="85">
        <f>IF($CS351,"",TRIM(IF(ISNUMBER($BU351),"A "&amp;TRIM(TEXT($BU351,"# ?/??"))&amp;CHAR(34)&amp;"  ","")&amp;IF(ISNUMBER($BV351),"B "&amp;TRIM(TEXT($BV351,"# ?/??"))&amp;CHAR(34)&amp;"  ","")&amp;IF(ISNUMBER($BW351),"C "&amp;TRIM(TEXT($BW351,"# ?/??"))&amp;CHAR(34)&amp;"  ","")&amp;IF(ISNUMBER($BX351),"D "&amp;TRIM(TEXT($BX351,"# ?/??"))&amp;CHAR(34)&amp;"  ","")&amp;IF(ISNUMBER($BY351),"F "&amp;TRIM(TEXT($BY351,"# ?/??"))&amp;CHAR(34)&amp;"  ","")&amp;IF(ISNUMBER($BZ351),"E "&amp;TRIM(TEXT($BZ351,"# ?/??"))&amp;CHAR(34)&amp;"  ","")))</f>
        <v/>
      </c>
      <c r="CZ351" s="85">
        <f>IF(OR($CS351,N($BJ351)=0),"",TRIM(IF(ISNUMBER($BU351),"A "&amp;TRIM(TEXT($BU351-HeadClr,"# ?/??"))&amp;CHAR(34)&amp;"  ","")&amp;IF(ISNUMBER($BV351),"B "&amp;TRIM(TEXT($BV351-HeadClr,"# ?/??"))&amp;CHAR(34)&amp;"  ","")&amp;IF(ISNUMBER($BW351),"C "&amp;TRIM(TEXT($BW351-HeadClr,"# ?/??"))&amp;CHAR(34)&amp;"  ","")&amp;IF(ISNUMBER($BX351),"D "&amp;TRIM(TEXT($BX351-HeadClr,"# ?/??"))&amp;CHAR(34)&amp;"  ","")&amp;IF(ISNUMBER($BY351),"F "&amp;TRIM(TEXT($BY351-HeadClr,"# ?/??"))&amp;CHAR(34)&amp;"  ","")&amp;IF(ISNUMBER($BZ351),"E "&amp;TRIM(TEXT($BZ351-HeadClr,"# ?/??"))&amp;CHAR(34)&amp;"  ","")))</f>
        <v/>
      </c>
      <c r="DA351" s="84">
        <f>IF($A351="","",IF($AN351="",IFERROR(VLOOKUP($Z351,CODES,2,FALSE),""),IFERROR(VLOOKUP($AN351,CODES,2,FALSE),"")))</f>
        <v/>
      </c>
      <c r="DB351" s="84">
        <f>IF($A351="","",IF($O351="Y","PR",IF(OR($Z351="L",$Z351="RR",LEFT($Z351,2)="L-",LEFT($Z351,3)="RR-"),"LH","RH")))</f>
        <v/>
      </c>
      <c r="DC351" s="84">
        <f>IF($A351="","","S.HM"&amp;IF(OR($C351="DOOR ONLY",$X351&lt;&gt;"KD"),"MASONRY","DRYWALL")&amp;IF($C351="DOOR ONLY","",$U351)&amp;IF(AND($C351&lt;&gt;"FRAME ONLY",OR(LEFT($AH351,3)="OAK",LEFT($AH351,3)="BIR",LEFT($AH351,3)="MAP",$AH351="PC",$AH351="MC",$AH351="SCLC",$AH351="P-LAM")),"WD","HM")&amp;"1.75")</f>
        <v/>
      </c>
      <c r="DD351" s="84">
        <f>IF($CJ351="","",IF($O351="Y",$CJ351,SUBSTITUTE($CJ351,$BG351&amp;" "&amp;IFERROR(VLOOKUP($Z351,CODES,2,FALSE),"")&amp;" ",$BG351&amp;" ")))</f>
        <v/>
      </c>
      <c r="DE351" s="84">
        <f>IF($CK351="","",IF($O351="Y",$CK351,SUBSTITUTE($CK351,$BG351&amp;" "&amp;IF($AN351="",IFERROR(VLOOKUP($Z351,CODES,2,FALSE),""),IFERROR(VLOOKUP($AN351,CODES,2,FALSE),""))&amp;" ",$BG351&amp;" ")))</f>
        <v/>
      </c>
      <c r="DF351" s="84">
        <f>IF($CJ351="","",$DC351&amp;"|"&amp;$DD351&amp;"|"&amp;$DB351&amp;"|"&amp;$AT351&amp;"|"&amp;$V351&amp;"|"&amp;$Y351&amp;"|"&amp;$AB351)</f>
        <v/>
      </c>
      <c r="DG351" s="84">
        <f>IF(DF351="","",IF(COUNTIF($DF$6:DF351,DF351)=1,MAX($DG$5:DG350)+1,INDEX($DG$5:DG350,MATCH(DF351,$DF$5:DF350,0))))</f>
        <v/>
      </c>
      <c r="DH351" s="84">
        <f>IF($CK351="","",$DC351&amp;"|"&amp;$DE351&amp;"|"&amp;$AI351&amp;"|"&amp;$BK351&amp;"|"&amp;$BL351)</f>
        <v/>
      </c>
      <c r="DI351" s="84">
        <f>IF(DH351="","",IF(COUNTIF($DH$6:DH351,DH351)=1,MAX($DI$5:DI350)+1,INDEX($DI$5:DI350,MATCH(DH351,$DH$5:DH350,0))))</f>
        <v/>
      </c>
      <c r="DJ351" s="84">
        <f>IF($A351="","",IF($B351="","qty, ","")&amp;IF($C351="","scope, ","")&amp;IF(OR($K351="",$M351=""),"size, ","")&amp;IF(AND($A351&lt;&gt;"",$C351&lt;&gt;"DOOR ONLY"),IF($U351="","jamb depth, ","")&amp;IF($X351="","construction, ","")&amp;IF($Y351="","anchor, ","")&amp;IF($S351="","frame type, ",""),"")&amp;IF(AND(N($BJ351)&gt;0,$Z351=""),"hand, ","")&amp;IF(N($BJ351)&gt;0,IF($AH351="","door material, ","")&amp;IF($AL351="","face type, ","")&amp;IF($AP351="","lock prep, ","")&amp;IF(AND($AO351="",$AC351=""),"hinge prep, ",""),"")&amp;IF(AND($CH351&gt;0,$AH351="FRP"),"FRP cannot carry a label, ","")&amp;IF(AND($O351="Y",OR($Z351="L",$Z351="R",$Z351="LR",$Z351="RR")),"pair marked but hand is single, ","")&amp;IF(AND($O351&lt;&gt;"Y",OR($Z351="PR",AND(LEN($Z351)&gt;1,ISNUMBER(SEARCH("-",$Z351))))),"pair hand on a single door, ","")&amp;IF(AND(ISNUMBER($CI351),$CH351&lt;N($CI351)),"wall needs a "&amp;$CI351&amp;" min door, ","")&amp;IF(AND($CH351&gt;=180,AND(OR($CE351="FG",$CE351="HG",$CE351="FNV",$CE351="FV"),N($CF351)*N($CG351)&gt;100)),"180 min lite over 100 sq in, ","")&amp;IF(N($BK351)&gt;48,"leaf wider than 4'-0"&amp;CHAR(34)&amp;", ","")&amp;IF(AND($CT351,COUNT($AW351:$AZ351)=0,$CQ351&gt;0),"CUSTOM LOC with no locations typed, ",""))</f>
        <v/>
      </c>
      <c r="DK351" s="84">
        <f>IF($A351="","",IF(AND($CH351&gt;0,AND($A351&lt;&gt;"",$C351&lt;&gt;"DOOR ONLY"),$X351="KD",$E351="EXTERIOR"),"KD label on an exterior opening, ","")&amp;IF(AND($E351="EXTERIOR",OR(AND(AND($A351&lt;&gt;"",$C351&lt;&gt;"DOOR ONLY"),$W351="CR"),AND(N($BJ351)&gt;0,$AH351="CR"))),"exterior in CR steel (G9?), ","")&amp;IF(AND(ISNUMBER($BQ351),N($BQ351)&lt;32),"clear width ~"&amp;TEXT($BQ351,"0.0")&amp;CHAR(34)&amp;" under 32"&amp;CHAR(34)&amp;" (ADA), ","")&amp;IF(AND($CH351=90,AND(OR($CE351="FG",$CE351="HG",$CE351="FNV",$CE351="FV"),N($CF351)*N($CG351)&gt;100)),"90 min lite over 100 sq in (stair/exit), ","")&amp;IF(AND($CH351&gt;0,AND($A351&lt;&gt;"",$C351&lt;&gt;"DOOR ONLY"),OR($AF351="",$AF351="-")),"rated: closer reinf.?, ","")&amp;IF(OR($I351="CORRIDOR",$I351="SMOKE BARRIER"),"S label + smoke gasketing, ","")&amp;IF($CI351="?","wall type/hr not in IBC table, ","")&amp;IF(AND(N($BJ351)&gt;0,$BB351=""),"no hardware set, ","")&amp;IF(AND($BB351&lt;&gt;"",ISNA(MATCH($BB351&amp;"",HWSets,0))),"set "&amp;$BB351&amp;" not on HW Sets, ","")&amp;IF(N($BL351)&gt;96,"leaf over 8'-0"&amp;CHAR(34)&amp;" - check listing, ","")&amp;IF(AND($CT351,COUNT($AW351:$AZ351)&gt;0,COUNT($AW351:$AZ351)&lt;&gt;$CQ351),COUNT($AW351:$AZ351)&amp;" custom hinges typed, "&amp;$CQ351&amp;" expected, ","")&amp;IF(AND(ISNUMBER($CA351),OR(N($CA351)&lt;34,N($CA351)&gt;48)),"lock "&amp;TEXT($CA351,"0.0")&amp;CHAR(34)&amp;" AFF outside 34-48"&amp;CHAR(34)&amp;" (ADA), ","")&amp;IF(AND(ISNUMBER($AV351),ISNUMBER($BL351),N($AV351)&lt;IF(N($BL351)&lt;=60,2,IF(N($BL351)&lt;=90,3,IF(N($BL351)&lt;=120,4,5)))),"fewer hinges than standard, ",""))</f>
        <v/>
      </c>
    </row>
    <row r="352" ht="15" customHeight="1">
      <c r="A352" s="77" t="n"/>
      <c r="B352" s="78" t="n"/>
      <c r="C352" s="78" t="n"/>
      <c r="D352" s="78" t="n"/>
      <c r="E352" s="78" t="n"/>
      <c r="F352" s="78" t="n"/>
      <c r="G352" s="78" t="n"/>
      <c r="H352" s="78" t="n"/>
      <c r="I352" s="78" t="n"/>
      <c r="J352" s="78" t="n"/>
      <c r="K352" s="78" t="n"/>
      <c r="L352" s="78" t="n"/>
      <c r="M352" s="78" t="n"/>
      <c r="N352" s="78" t="n"/>
      <c r="O352" s="78" t="n"/>
      <c r="P352" s="78" t="n"/>
      <c r="Q352" s="78" t="n"/>
      <c r="R352" s="78" t="n"/>
      <c r="S352" s="79" t="n"/>
      <c r="T352" s="79" t="n"/>
      <c r="U352" s="79" t="n"/>
      <c r="V352" s="79" t="n"/>
      <c r="W352" s="79" t="n"/>
      <c r="X352" s="79" t="n"/>
      <c r="Y352" s="79" t="n"/>
      <c r="Z352" s="79" t="n"/>
      <c r="AA352" s="79" t="n"/>
      <c r="AB352" s="79" t="n"/>
      <c r="AC352" s="79" t="n"/>
      <c r="AD352" s="79" t="n"/>
      <c r="AE352" s="79" t="n"/>
      <c r="AF352" s="79" t="n"/>
      <c r="AG352" s="79" t="n"/>
      <c r="AH352" s="80" t="n"/>
      <c r="AI352" s="80" t="n"/>
      <c r="AJ352" s="80" t="n"/>
      <c r="AK352" s="80" t="n"/>
      <c r="AL352" s="80" t="n"/>
      <c r="AM352" s="80" t="n"/>
      <c r="AN352" s="80" t="n"/>
      <c r="AO352" s="80" t="n"/>
      <c r="AP352" s="80" t="n"/>
      <c r="AQ352" s="80" t="n"/>
      <c r="AR352" s="80" t="n"/>
      <c r="AS352" s="80" t="n"/>
      <c r="AT352" s="81" t="n"/>
      <c r="AU352" s="81" t="n"/>
      <c r="AV352" s="81" t="n"/>
      <c r="AW352" s="82" t="n"/>
      <c r="AX352" s="82" t="n"/>
      <c r="AY352" s="82" t="n"/>
      <c r="AZ352" s="82" t="n"/>
      <c r="BA352" s="82" t="n"/>
      <c r="BB352" s="83" t="n"/>
      <c r="BC352" s="83" t="n"/>
      <c r="BD352" s="84">
        <f>IF($A352="","",IF($DJ352&lt;&gt;"","FIX",IF($DK352&lt;&gt;"","CHECK","OK")))</f>
        <v/>
      </c>
      <c r="BE352" s="85">
        <f>IF($A352="","",IF($DJ352&lt;&gt;"","FIX: "&amp;LEFT($DJ352,LEN($DJ352)-2)&amp;IF($DK352&lt;&gt;"","  ·  ",""),"")&amp;IF($DK352&lt;&gt;"","CHECK: "&amp;LEFT($DK352,LEN($DK352)-2),""))</f>
        <v/>
      </c>
      <c r="BF352" s="84">
        <f>IF(OR($A352="",$K352=""),"",$K352&amp;"'-"&amp;N($L352)&amp;CHAR(34)&amp;" x "&amp;$M352&amp;"'-"&amp;N($N352)&amp;CHAR(34))</f>
        <v/>
      </c>
      <c r="BG352" s="84">
        <f>IF(OR($A352="",$K352=""),"",$K352&amp;N($L352)&amp;$M352&amp;N($N352))</f>
        <v/>
      </c>
      <c r="BH352" s="84">
        <f>IF(OR($A352="",$K352=""),"",$K352*12+N($L352))</f>
        <v/>
      </c>
      <c r="BI352" s="84">
        <f>IF(OR($A352="",$M352=""),"",$M352*12+N($N352))</f>
        <v/>
      </c>
      <c r="BJ352" s="84">
        <f>IF($A352="","",IF(OR($C352="FRAME ONLY",$S352="BL"),0,IF($O352="Y",2,1)))</f>
        <v/>
      </c>
      <c r="BK352" s="86">
        <f>IF(OR(N($BJ352)=0,$BH352=""),"",($BH352-2*EdgeClr-IF($BJ352=2,MeetClr,0))/$BJ352)</f>
        <v/>
      </c>
      <c r="BL352" s="86">
        <f>IF(OR(N($BJ352)=0,$BI352=""),"",$BI352-HeadClr-Undercut)</f>
        <v/>
      </c>
      <c r="BM352" s="86">
        <f>IF($BH352="","",$BH352+2*FaceW+IF(N($Q352)&gt;0,($Q352+FaceW)*IF($R352="LR",2,1),0))</f>
        <v/>
      </c>
      <c r="BN352" s="86">
        <f>IF($BI352="","",$BI352+IF($AB352="Y",4,FaceW)+IF(N($P352)&gt;0,$P352+FaceW,0)+IF(OR($S352="4F",$S352="BL"),FaceW,0))</f>
        <v/>
      </c>
      <c r="BO352" s="86">
        <f>IF($BM352="","",$BM352+2*ROSide)</f>
        <v/>
      </c>
      <c r="BP352" s="86">
        <f>IF($BN352="","",$BN352+ROTop)</f>
        <v/>
      </c>
      <c r="BQ352" s="87">
        <f>IF(OR(N($BJ352)=0,$BH352=""),"",$BH352/$BJ352-ClearDeduct)</f>
        <v/>
      </c>
      <c r="BR352" s="84">
        <f>IF(N($CH352)=0,"",IF($CH352&gt;=180,"A · 3 HR",IF($CH352&gt;=90,"B · 1-1/2 HR",IF($CH352&gt;=60,"B · 1 HR",IF($CH352&gt;=45,"C · 3/4 HR","20 MIN")))))&amp;IF(AND(N($CH352)&gt;0,OR($I352="CORRIDOR",$I352="SMOKE BARRIER"))," · S","")</f>
        <v/>
      </c>
      <c r="BS352" s="84">
        <f>IF($CS352,"",IF($AV352&lt;&gt;"",$AV352,IF(OR($AC352="HGC",$AO352="HGC"),"CONT",IF(($BI352-HeadClr-Undercut)&lt;=60,2,IF(($BI352-HeadClr-Undercut)&lt;=90,3,IF(($BI352-HeadClr-Undercut)&lt;=120,4,5))))))</f>
        <v/>
      </c>
      <c r="BT352" s="84">
        <f>IF($CS352,"",IF($CT352,"CUSTOM (typed)",IF($CV352,$AT352&amp;" "&amp;$CU352&amp;CHAR(34)&amp;IF($CU352&lt;&gt;$BI352,IF(AND($BI352&lt;$CU352,$BI352-IF(N(VLOOKUP($AT352&amp;"|"&amp;$CU352,LocTable,7,FALSE))&gt;0,VLOOKUP($AT352&amp;"|"&amp;$CU352,LocTable,7,FALSE),VLOOKUP($AT352&amp;"|"&amp;$CU352,LocTable,6,FALSE))-$CR352-0.75&gt;=2.125)," cut down"," adj."),""),"ANSI/SDI A250.6")))</f>
        <v/>
      </c>
      <c r="BU352" s="88">
        <f>IF($CS352,"",IF($CT352,IF(N($AW352)&gt;0,N($AW352),""),IF(1&gt;$CQ352,"",IF($CQ352=1,$CW352,$CW352+($CX352-$CW352)*0/($CQ352-1)))))</f>
        <v/>
      </c>
      <c r="BV352" s="88">
        <f>IF($CS352,"",IF($CT352,IF(N($AX352)&gt;0,N($AX352),""),IF(2&gt;$CQ352,"",IF($CQ352=1,$CW352,$CW352+($CX352-$CW352)*1/($CQ352-1)))))</f>
        <v/>
      </c>
      <c r="BW352" s="88">
        <f>IF($CS352,"",IF($CT352,IF(N($AY352)&gt;0,N($AY352),""),IF(3&gt;$CQ352,"",IF($CQ352=1,$CW352,$CW352+($CX352-$CW352)*2/($CQ352-1)))))</f>
        <v/>
      </c>
      <c r="BX352" s="88">
        <f>IF($CS352,"",IF($CT352,IF(N($AZ352)&gt;0,N($AZ352),""),IF(4&gt;$CQ352,"",IF($CQ352=1,$CW352,$CW352+($CX352-$CW352)*3/($CQ352-1)))))</f>
        <v/>
      </c>
      <c r="BY352" s="88">
        <f>IF($CS352,"",IF($CT352,"",IF(5&gt;$CQ352,"",IF($CQ352=1,$CW352,$CW352+($CX352-$CW352)*4/($CQ352-1)))))</f>
        <v/>
      </c>
      <c r="BZ352" s="88">
        <f>IF(OR($CS352,$AP352="-",AND($AP352="",$AD352="")),"",IF(N($BA352)&gt;0,N($BA352),IF($CV352,IF(AND($BI352&lt;$CU352,$BI352-IF(N(VLOOKUP($AT352&amp;"|"&amp;$CU352,LocTable,7,FALSE))&gt;0,VLOOKUP($AT352&amp;"|"&amp;$CU352,LocTable,7,FALSE),VLOOKUP($AT352&amp;"|"&amp;$CU352,LocTable,6,FALSE))-$CR352-0.75&gt;=2.125),VLOOKUP($AT352&amp;"|"&amp;$CU352,LocTable,8,FALSE),VLOOKUP($AT352&amp;"|"&amp;$CU352,LocTable,8,FALSE)+($BI352-$CU352)),$BI352-LockAFF)))</f>
        <v/>
      </c>
      <c r="CA352" s="89">
        <f>IF($BZ352="","",$BI352-$BZ352)</f>
        <v/>
      </c>
      <c r="CB352" s="84">
        <f>IF(OR(NOT(AND($A352&lt;&gt;"",$C352&lt;&gt;"DOOR ONLY")),$BI352=""),"",IF(($BI352+IF(N($P352)&gt;0,$P352+FaceW,0))&lt;=90,3,IF(($BI352+IF(N($P352)&gt;0,$P352+FaceW,0))&lt;=114,4,5)))</f>
        <v/>
      </c>
      <c r="CC352" s="84">
        <f>IF($CB352="","",$CB352*(2+IF(N($Q352)&gt;0,IF($R352="LR",2,1),0)))</f>
        <v/>
      </c>
      <c r="CD352" s="84">
        <f>IF($CB352="","",(2+IF(N($Q352)&gt;0,IF($R352="LR",2,1),0)))</f>
        <v/>
      </c>
      <c r="CE352" s="84">
        <f>IF(N($BJ352)=0,"",IF(OR($AL352="",$AL352="FLUSH"),"FLUSH",IFERROR(LEFT($AL352,FIND("-",$AL352)-1),LEFT($AL352,2))))</f>
        <v/>
      </c>
      <c r="CF352" s="84">
        <f>IF($CE352="","",IFERROR(VALUE(MID($AL352,FIND("-",$AL352)+1,FIND(CHAR(34)&amp;"x",$AL352)-FIND("-",$AL352)-1)),0))</f>
        <v/>
      </c>
      <c r="CG352" s="84">
        <f>IF($CE352="","",IFERROR(VALUE(MID($AL352,FIND(CHAR(34)&amp;"x",$AL352)+2,FIND(CHAR(34),$AL352,FIND(CHAR(34)&amp;"x",$AL352)+2)-FIND(CHAR(34)&amp;"x",$AL352)-2)),0))</f>
        <v/>
      </c>
      <c r="CH352" s="90">
        <f>IF(OR($A352="",$H352="",$H352="NO LAB"),0,IFERROR(VALUE(LEFT($H352,FIND(" ",$H352)-1)),0))</f>
        <v/>
      </c>
      <c r="CI352" s="91">
        <f>IF(OR($A352="",$I352="",$I352="NON-RATED",N($J352)=0),"",IFERROR(VLOOKUP($I352&amp;"|"&amp;$J352,IBC,2,FALSE),"?"))</f>
        <v/>
      </c>
      <c r="CJ352" s="85">
        <f>IF(NOT(AND($A352&lt;&gt;"",$C352&lt;&gt;"DOOR ONLY")),"",TRIM(IFERROR(VLOOKUP($U352,CODES,2,FALSE),"")&amp;" "&amp;$BG352&amp;" "&amp;IFERROR(VLOOKUP($Z352,CODES,2,FALSE),"")&amp;" "&amp;IFERROR(VLOOKUP($X352,CODES,2,FALSE),"")&amp;" "&amp;IFERROR(VLOOKUP($S352,CODES,2,FALSE),"")&amp;IF(N($P352)&gt;0," w/TRANSOM "&amp;$P352&amp;CHAR(34),"")&amp;IF(N($Q352)&gt;0," w/SIDELITE "&amp;$Q352&amp;CHAR(34)&amp;" "&amp;IF($R352="","R",$R352),"")&amp;IF($Y352="","  |  "," | "&amp;IFERROR(VLOOKUP($Y352,CODES,2,FALSE),"")&amp;" | ")&amp;IFERROR(VLOOKUP($AC352,CODES,2,FALSE),"")&amp;" "&amp;IFERROR(VLOOKUP($AD352,CODES,2,FALSE),"")&amp;IF(OR($AE352="",$AE352="-"),""," "&amp;$AE352)&amp;IF(OR($AF352="",$AF352="-"),""," "&amp;$AF352)&amp;IF($AB352="Y"," 4"&amp;CHAR(34)&amp;" HEAD","")&amp;" "&amp;IFERROR(VLOOKUP($H352,CODES,2,FALSE),"")&amp;IF($CT352," | LOC "&amp;$CY352,"")))</f>
        <v/>
      </c>
      <c r="CK352" s="85">
        <f>IF(NOT(AND($A352&lt;&gt;"",N($BJ352)&gt;0)),"",TRIM(IFERROR(VLOOKUP($AH352,CODES,2,FALSE),"")&amp;IF($AI352=""," "," "&amp;$AI352&amp;"GA ")&amp;$BG352&amp;" "&amp;IF($AN352="",IFERROR(VLOOKUP($Z352,CODES,2,FALSE),""),IFERROR(VLOOKUP($AN352,CODES,2,FALSE),""))&amp;IF($BJ352=2," PAIR","")&amp;" DOOR | "&amp;IF($AL352="","?",$AL352)&amp;" | "&amp;IF($AO352="",IFERROR(VLOOKUP($AC352,CODES,2,FALSE),""),IFERROR(VLOOKUP($AO352,CODES,2,FALSE),""))&amp;" "&amp;IFERROR(VLOOKUP($AP352,CODES,2,FALSE),"")&amp;IF(OR($AQ352="",$AQ352="-"),""," SEAM "&amp;$AQ352)&amp;IF($AR352="Y"," ASTRAGAL","")&amp;IF($AJ352=""," "," "&amp;$AJ352)&amp;IF($AK352=""," "," "&amp;$AK352)&amp;IF(OR($AT352="",$AT352="ANSI/SDI",$AT352="CUSTOM LOC"),""," "&amp;$AT352)&amp;IF($AM352=""," "," SERIES "&amp;$AM352)&amp;" "&amp;IFERROR(VLOOKUP($H352,CODES,2,FALSE),"")&amp;IF($CT352," | LOC "&amp;$CZ352,"")))</f>
        <v/>
      </c>
      <c r="CL352" s="84">
        <f>IF(CP352="","",IF(COUNTIF($CP$6:CP352,CP352)=1,MAX($CL$5:CL351)+1,INDEX($CL$5:CL351,MATCH(CP352,$CP$5:CP351,0))))</f>
        <v/>
      </c>
      <c r="CM352" s="84">
        <f>IF(NOT(AND($A352&lt;&gt;"",$C352&lt;&gt;"DOOR ONLY")),"",MAX($CM$5:CM351)+1)</f>
        <v/>
      </c>
      <c r="CN352" s="84">
        <f>IF(NOT(AND($A352&lt;&gt;"",N($BJ352)&gt;0)),"",MAX($CN$5:CN351)+1)</f>
        <v/>
      </c>
      <c r="CO352" s="84">
        <f>IF($A352="","",MAX($CO$5:CO351)+1)</f>
        <v/>
      </c>
      <c r="CP352" s="84">
        <f>IF(OR($A352="",$BH352="",$BI352=""),"",$BG352&amp;"|"&amp;$O352&amp;"|"&amp;$AL352&amp;"|"&amp;$S352&amp;"|"&amp;$P352&amp;"|"&amp;$Q352&amp;$R352&amp;"|"&amp;$C352&amp;"|"&amp;$AB352)</f>
        <v/>
      </c>
      <c r="CQ352" s="84">
        <f>N($BS352)</f>
        <v/>
      </c>
      <c r="CR352" s="84">
        <f>IF(N($AU352)&gt;0,N($AU352),4.5)</f>
        <v/>
      </c>
      <c r="CS352" s="84">
        <f>OR($A352="",$BI352="",$S352="BL",AND($C352="FRAME ONLY",OR($AC352="",$AC352="BLK")))</f>
        <v/>
      </c>
      <c r="CT352" s="84">
        <f>AND(NOT($CS352),OR($AT352="CUSTOM LOC",N($AW352)+N($AX352)+N($AY352)+N($AZ352)+N($BA352)&gt;0))</f>
        <v/>
      </c>
      <c r="CU352" s="84">
        <f>IF($BI352="","",IF($BI352&lt;=80,80,IF($BI352&lt;=84,84,96)))</f>
        <v/>
      </c>
      <c r="CV352" s="84">
        <f>ISNUMBER(MATCH($AT352&amp;"|80",LocKeys,0))</f>
        <v/>
      </c>
      <c r="CW352" s="86">
        <f>IF($CS352,"",IF($CV352,VLOOKUP($AT352&amp;"|"&amp;$CU352,LocTable,4,FALSE),5))</f>
        <v/>
      </c>
      <c r="CX352" s="86">
        <f>IF($CS352,"",IF($CV352,IF(OR($BI352=$CU352,AND($BI352&lt;$CU352,$BI352-IF(N(VLOOKUP($AT352&amp;"|"&amp;$CU352,LocTable,7,FALSE))&gt;0,VLOOKUP($AT352&amp;"|"&amp;$CU352,LocTable,7,FALSE),VLOOKUP($AT352&amp;"|"&amp;$CU352,LocTable,6,FALSE))-$CR352-0.75&gt;=2.125)),IF(N(VLOOKUP($AT352&amp;"|"&amp;$CU352,LocTable,7,FALSE))&gt;0,VLOOKUP($AT352&amp;"|"&amp;$CU352,LocTable,7,FALSE),VLOOKUP($AT352&amp;"|"&amp;$CU352,LocTable,6,FALSE)),$BI352-($CU352-IF(N(VLOOKUP($AT352&amp;"|"&amp;$CU352,LocTable,7,FALSE))&gt;0,VLOOKUP($AT352&amp;"|"&amp;$CU352,LocTable,7,FALSE),VLOOKUP($AT352&amp;"|"&amp;$CU352,LocTable,6,FALSE)))),$BI352-10-$CR352))</f>
        <v/>
      </c>
      <c r="CY352" s="85">
        <f>IF($CS352,"",TRIM(IF(ISNUMBER($BU352),"A "&amp;TRIM(TEXT($BU352,"# ?/??"))&amp;CHAR(34)&amp;"  ","")&amp;IF(ISNUMBER($BV352),"B "&amp;TRIM(TEXT($BV352,"# ?/??"))&amp;CHAR(34)&amp;"  ","")&amp;IF(ISNUMBER($BW352),"C "&amp;TRIM(TEXT($BW352,"# ?/??"))&amp;CHAR(34)&amp;"  ","")&amp;IF(ISNUMBER($BX352),"D "&amp;TRIM(TEXT($BX352,"# ?/??"))&amp;CHAR(34)&amp;"  ","")&amp;IF(ISNUMBER($BY352),"F "&amp;TRIM(TEXT($BY352,"# ?/??"))&amp;CHAR(34)&amp;"  ","")&amp;IF(ISNUMBER($BZ352),"E "&amp;TRIM(TEXT($BZ352,"# ?/??"))&amp;CHAR(34)&amp;"  ","")))</f>
        <v/>
      </c>
      <c r="CZ352" s="85">
        <f>IF(OR($CS352,N($BJ352)=0),"",TRIM(IF(ISNUMBER($BU352),"A "&amp;TRIM(TEXT($BU352-HeadClr,"# ?/??"))&amp;CHAR(34)&amp;"  ","")&amp;IF(ISNUMBER($BV352),"B "&amp;TRIM(TEXT($BV352-HeadClr,"# ?/??"))&amp;CHAR(34)&amp;"  ","")&amp;IF(ISNUMBER($BW352),"C "&amp;TRIM(TEXT($BW352-HeadClr,"# ?/??"))&amp;CHAR(34)&amp;"  ","")&amp;IF(ISNUMBER($BX352),"D "&amp;TRIM(TEXT($BX352-HeadClr,"# ?/??"))&amp;CHAR(34)&amp;"  ","")&amp;IF(ISNUMBER($BY352),"F "&amp;TRIM(TEXT($BY352-HeadClr,"# ?/??"))&amp;CHAR(34)&amp;"  ","")&amp;IF(ISNUMBER($BZ352),"E "&amp;TRIM(TEXT($BZ352-HeadClr,"# ?/??"))&amp;CHAR(34)&amp;"  ","")))</f>
        <v/>
      </c>
      <c r="DA352" s="84">
        <f>IF($A352="","",IF($AN352="",IFERROR(VLOOKUP($Z352,CODES,2,FALSE),""),IFERROR(VLOOKUP($AN352,CODES,2,FALSE),"")))</f>
        <v/>
      </c>
      <c r="DB352" s="84">
        <f>IF($A352="","",IF($O352="Y","PR",IF(OR($Z352="L",$Z352="RR",LEFT($Z352,2)="L-",LEFT($Z352,3)="RR-"),"LH","RH")))</f>
        <v/>
      </c>
      <c r="DC352" s="84">
        <f>IF($A352="","","S.HM"&amp;IF(OR($C352="DOOR ONLY",$X352&lt;&gt;"KD"),"MASONRY","DRYWALL")&amp;IF($C352="DOOR ONLY","",$U352)&amp;IF(AND($C352&lt;&gt;"FRAME ONLY",OR(LEFT($AH352,3)="OAK",LEFT($AH352,3)="BIR",LEFT($AH352,3)="MAP",$AH352="PC",$AH352="MC",$AH352="SCLC",$AH352="P-LAM")),"WD","HM")&amp;"1.75")</f>
        <v/>
      </c>
      <c r="DD352" s="84">
        <f>IF($CJ352="","",IF($O352="Y",$CJ352,SUBSTITUTE($CJ352,$BG352&amp;" "&amp;IFERROR(VLOOKUP($Z352,CODES,2,FALSE),"")&amp;" ",$BG352&amp;" ")))</f>
        <v/>
      </c>
      <c r="DE352" s="84">
        <f>IF($CK352="","",IF($O352="Y",$CK352,SUBSTITUTE($CK352,$BG352&amp;" "&amp;IF($AN352="",IFERROR(VLOOKUP($Z352,CODES,2,FALSE),""),IFERROR(VLOOKUP($AN352,CODES,2,FALSE),""))&amp;" ",$BG352&amp;" ")))</f>
        <v/>
      </c>
      <c r="DF352" s="84">
        <f>IF($CJ352="","",$DC352&amp;"|"&amp;$DD352&amp;"|"&amp;$DB352&amp;"|"&amp;$AT352&amp;"|"&amp;$V352&amp;"|"&amp;$Y352&amp;"|"&amp;$AB352)</f>
        <v/>
      </c>
      <c r="DG352" s="84">
        <f>IF(DF352="","",IF(COUNTIF($DF$6:DF352,DF352)=1,MAX($DG$5:DG351)+1,INDEX($DG$5:DG351,MATCH(DF352,$DF$5:DF351,0))))</f>
        <v/>
      </c>
      <c r="DH352" s="84">
        <f>IF($CK352="","",$DC352&amp;"|"&amp;$DE352&amp;"|"&amp;$AI352&amp;"|"&amp;$BK352&amp;"|"&amp;$BL352)</f>
        <v/>
      </c>
      <c r="DI352" s="84">
        <f>IF(DH352="","",IF(COUNTIF($DH$6:DH352,DH352)=1,MAX($DI$5:DI351)+1,INDEX($DI$5:DI351,MATCH(DH352,$DH$5:DH351,0))))</f>
        <v/>
      </c>
      <c r="DJ352" s="84">
        <f>IF($A352="","",IF($B352="","qty, ","")&amp;IF($C352="","scope, ","")&amp;IF(OR($K352="",$M352=""),"size, ","")&amp;IF(AND($A352&lt;&gt;"",$C352&lt;&gt;"DOOR ONLY"),IF($U352="","jamb depth, ","")&amp;IF($X352="","construction, ","")&amp;IF($Y352="","anchor, ","")&amp;IF($S352="","frame type, ",""),"")&amp;IF(AND(N($BJ352)&gt;0,$Z352=""),"hand, ","")&amp;IF(N($BJ352)&gt;0,IF($AH352="","door material, ","")&amp;IF($AL352="","face type, ","")&amp;IF($AP352="","lock prep, ","")&amp;IF(AND($AO352="",$AC352=""),"hinge prep, ",""),"")&amp;IF(AND($CH352&gt;0,$AH352="FRP"),"FRP cannot carry a label, ","")&amp;IF(AND($O352="Y",OR($Z352="L",$Z352="R",$Z352="LR",$Z352="RR")),"pair marked but hand is single, ","")&amp;IF(AND($O352&lt;&gt;"Y",OR($Z352="PR",AND(LEN($Z352)&gt;1,ISNUMBER(SEARCH("-",$Z352))))),"pair hand on a single door, ","")&amp;IF(AND(ISNUMBER($CI352),$CH352&lt;N($CI352)),"wall needs a "&amp;$CI352&amp;" min door, ","")&amp;IF(AND($CH352&gt;=180,AND(OR($CE352="FG",$CE352="HG",$CE352="FNV",$CE352="FV"),N($CF352)*N($CG352)&gt;100)),"180 min lite over 100 sq in, ","")&amp;IF(N($BK352)&gt;48,"leaf wider than 4'-0"&amp;CHAR(34)&amp;", ","")&amp;IF(AND($CT352,COUNT($AW352:$AZ352)=0,$CQ352&gt;0),"CUSTOM LOC with no locations typed, ",""))</f>
        <v/>
      </c>
      <c r="DK352" s="84">
        <f>IF($A352="","",IF(AND($CH352&gt;0,AND($A352&lt;&gt;"",$C352&lt;&gt;"DOOR ONLY"),$X352="KD",$E352="EXTERIOR"),"KD label on an exterior opening, ","")&amp;IF(AND($E352="EXTERIOR",OR(AND(AND($A352&lt;&gt;"",$C352&lt;&gt;"DOOR ONLY"),$W352="CR"),AND(N($BJ352)&gt;0,$AH352="CR"))),"exterior in CR steel (G9?), ","")&amp;IF(AND(ISNUMBER($BQ352),N($BQ352)&lt;32),"clear width ~"&amp;TEXT($BQ352,"0.0")&amp;CHAR(34)&amp;" under 32"&amp;CHAR(34)&amp;" (ADA), ","")&amp;IF(AND($CH352=90,AND(OR($CE352="FG",$CE352="HG",$CE352="FNV",$CE352="FV"),N($CF352)*N($CG352)&gt;100)),"90 min lite over 100 sq in (stair/exit), ","")&amp;IF(AND($CH352&gt;0,AND($A352&lt;&gt;"",$C352&lt;&gt;"DOOR ONLY"),OR($AF352="",$AF352="-")),"rated: closer reinf.?, ","")&amp;IF(OR($I352="CORRIDOR",$I352="SMOKE BARRIER"),"S label + smoke gasketing, ","")&amp;IF($CI352="?","wall type/hr not in IBC table, ","")&amp;IF(AND(N($BJ352)&gt;0,$BB352=""),"no hardware set, ","")&amp;IF(AND($BB352&lt;&gt;"",ISNA(MATCH($BB352&amp;"",HWSets,0))),"set "&amp;$BB352&amp;" not on HW Sets, ","")&amp;IF(N($BL352)&gt;96,"leaf over 8'-0"&amp;CHAR(34)&amp;" - check listing, ","")&amp;IF(AND($CT352,COUNT($AW352:$AZ352)&gt;0,COUNT($AW352:$AZ352)&lt;&gt;$CQ352),COUNT($AW352:$AZ352)&amp;" custom hinges typed, "&amp;$CQ352&amp;" expected, ","")&amp;IF(AND(ISNUMBER($CA352),OR(N($CA352)&lt;34,N($CA352)&gt;48)),"lock "&amp;TEXT($CA352,"0.0")&amp;CHAR(34)&amp;" AFF outside 34-48"&amp;CHAR(34)&amp;" (ADA), ","")&amp;IF(AND(ISNUMBER($AV352),ISNUMBER($BL352),N($AV352)&lt;IF(N($BL352)&lt;=60,2,IF(N($BL352)&lt;=90,3,IF(N($BL352)&lt;=120,4,5)))),"fewer hinges than standard, ",""))</f>
        <v/>
      </c>
    </row>
    <row r="353" ht="15" customHeight="1">
      <c r="A353" s="77" t="n"/>
      <c r="B353" s="78" t="n"/>
      <c r="C353" s="78" t="n"/>
      <c r="D353" s="78" t="n"/>
      <c r="E353" s="78" t="n"/>
      <c r="F353" s="78" t="n"/>
      <c r="G353" s="78" t="n"/>
      <c r="H353" s="78" t="n"/>
      <c r="I353" s="78" t="n"/>
      <c r="J353" s="78" t="n"/>
      <c r="K353" s="78" t="n"/>
      <c r="L353" s="78" t="n"/>
      <c r="M353" s="78" t="n"/>
      <c r="N353" s="78" t="n"/>
      <c r="O353" s="78" t="n"/>
      <c r="P353" s="78" t="n"/>
      <c r="Q353" s="78" t="n"/>
      <c r="R353" s="78" t="n"/>
      <c r="S353" s="79" t="n"/>
      <c r="T353" s="79" t="n"/>
      <c r="U353" s="79" t="n"/>
      <c r="V353" s="79" t="n"/>
      <c r="W353" s="79" t="n"/>
      <c r="X353" s="79" t="n"/>
      <c r="Y353" s="79" t="n"/>
      <c r="Z353" s="79" t="n"/>
      <c r="AA353" s="79" t="n"/>
      <c r="AB353" s="79" t="n"/>
      <c r="AC353" s="79" t="n"/>
      <c r="AD353" s="79" t="n"/>
      <c r="AE353" s="79" t="n"/>
      <c r="AF353" s="79" t="n"/>
      <c r="AG353" s="79" t="n"/>
      <c r="AH353" s="80" t="n"/>
      <c r="AI353" s="80" t="n"/>
      <c r="AJ353" s="80" t="n"/>
      <c r="AK353" s="80" t="n"/>
      <c r="AL353" s="80" t="n"/>
      <c r="AM353" s="80" t="n"/>
      <c r="AN353" s="80" t="n"/>
      <c r="AO353" s="80" t="n"/>
      <c r="AP353" s="80" t="n"/>
      <c r="AQ353" s="80" t="n"/>
      <c r="AR353" s="80" t="n"/>
      <c r="AS353" s="80" t="n"/>
      <c r="AT353" s="81" t="n"/>
      <c r="AU353" s="81" t="n"/>
      <c r="AV353" s="81" t="n"/>
      <c r="AW353" s="82" t="n"/>
      <c r="AX353" s="82" t="n"/>
      <c r="AY353" s="82" t="n"/>
      <c r="AZ353" s="82" t="n"/>
      <c r="BA353" s="82" t="n"/>
      <c r="BB353" s="83" t="n"/>
      <c r="BC353" s="83" t="n"/>
      <c r="BD353" s="84">
        <f>IF($A353="","",IF($DJ353&lt;&gt;"","FIX",IF($DK353&lt;&gt;"","CHECK","OK")))</f>
        <v/>
      </c>
      <c r="BE353" s="85">
        <f>IF($A353="","",IF($DJ353&lt;&gt;"","FIX: "&amp;LEFT($DJ353,LEN($DJ353)-2)&amp;IF($DK353&lt;&gt;"","  ·  ",""),"")&amp;IF($DK353&lt;&gt;"","CHECK: "&amp;LEFT($DK353,LEN($DK353)-2),""))</f>
        <v/>
      </c>
      <c r="BF353" s="84">
        <f>IF(OR($A353="",$K353=""),"",$K353&amp;"'-"&amp;N($L353)&amp;CHAR(34)&amp;" x "&amp;$M353&amp;"'-"&amp;N($N353)&amp;CHAR(34))</f>
        <v/>
      </c>
      <c r="BG353" s="84">
        <f>IF(OR($A353="",$K353=""),"",$K353&amp;N($L353)&amp;$M353&amp;N($N353))</f>
        <v/>
      </c>
      <c r="BH353" s="84">
        <f>IF(OR($A353="",$K353=""),"",$K353*12+N($L353))</f>
        <v/>
      </c>
      <c r="BI353" s="84">
        <f>IF(OR($A353="",$M353=""),"",$M353*12+N($N353))</f>
        <v/>
      </c>
      <c r="BJ353" s="84">
        <f>IF($A353="","",IF(OR($C353="FRAME ONLY",$S353="BL"),0,IF($O353="Y",2,1)))</f>
        <v/>
      </c>
      <c r="BK353" s="86">
        <f>IF(OR(N($BJ353)=0,$BH353=""),"",($BH353-2*EdgeClr-IF($BJ353=2,MeetClr,0))/$BJ353)</f>
        <v/>
      </c>
      <c r="BL353" s="86">
        <f>IF(OR(N($BJ353)=0,$BI353=""),"",$BI353-HeadClr-Undercut)</f>
        <v/>
      </c>
      <c r="BM353" s="86">
        <f>IF($BH353="","",$BH353+2*FaceW+IF(N($Q353)&gt;0,($Q353+FaceW)*IF($R353="LR",2,1),0))</f>
        <v/>
      </c>
      <c r="BN353" s="86">
        <f>IF($BI353="","",$BI353+IF($AB353="Y",4,FaceW)+IF(N($P353)&gt;0,$P353+FaceW,0)+IF(OR($S353="4F",$S353="BL"),FaceW,0))</f>
        <v/>
      </c>
      <c r="BO353" s="86">
        <f>IF($BM353="","",$BM353+2*ROSide)</f>
        <v/>
      </c>
      <c r="BP353" s="86">
        <f>IF($BN353="","",$BN353+ROTop)</f>
        <v/>
      </c>
      <c r="BQ353" s="87">
        <f>IF(OR(N($BJ353)=0,$BH353=""),"",$BH353/$BJ353-ClearDeduct)</f>
        <v/>
      </c>
      <c r="BR353" s="84">
        <f>IF(N($CH353)=0,"",IF($CH353&gt;=180,"A · 3 HR",IF($CH353&gt;=90,"B · 1-1/2 HR",IF($CH353&gt;=60,"B · 1 HR",IF($CH353&gt;=45,"C · 3/4 HR","20 MIN")))))&amp;IF(AND(N($CH353)&gt;0,OR($I353="CORRIDOR",$I353="SMOKE BARRIER"))," · S","")</f>
        <v/>
      </c>
      <c r="BS353" s="84">
        <f>IF($CS353,"",IF($AV353&lt;&gt;"",$AV353,IF(OR($AC353="HGC",$AO353="HGC"),"CONT",IF(($BI353-HeadClr-Undercut)&lt;=60,2,IF(($BI353-HeadClr-Undercut)&lt;=90,3,IF(($BI353-HeadClr-Undercut)&lt;=120,4,5))))))</f>
        <v/>
      </c>
      <c r="BT353" s="84">
        <f>IF($CS353,"",IF($CT353,"CUSTOM (typed)",IF($CV353,$AT353&amp;" "&amp;$CU353&amp;CHAR(34)&amp;IF($CU353&lt;&gt;$BI353,IF(AND($BI353&lt;$CU353,$BI353-IF(N(VLOOKUP($AT353&amp;"|"&amp;$CU353,LocTable,7,FALSE))&gt;0,VLOOKUP($AT353&amp;"|"&amp;$CU353,LocTable,7,FALSE),VLOOKUP($AT353&amp;"|"&amp;$CU353,LocTable,6,FALSE))-$CR353-0.75&gt;=2.125)," cut down"," adj."),""),"ANSI/SDI A250.6")))</f>
        <v/>
      </c>
      <c r="BU353" s="88">
        <f>IF($CS353,"",IF($CT353,IF(N($AW353)&gt;0,N($AW353),""),IF(1&gt;$CQ353,"",IF($CQ353=1,$CW353,$CW353+($CX353-$CW353)*0/($CQ353-1)))))</f>
        <v/>
      </c>
      <c r="BV353" s="88">
        <f>IF($CS353,"",IF($CT353,IF(N($AX353)&gt;0,N($AX353),""),IF(2&gt;$CQ353,"",IF($CQ353=1,$CW353,$CW353+($CX353-$CW353)*1/($CQ353-1)))))</f>
        <v/>
      </c>
      <c r="BW353" s="88">
        <f>IF($CS353,"",IF($CT353,IF(N($AY353)&gt;0,N($AY353),""),IF(3&gt;$CQ353,"",IF($CQ353=1,$CW353,$CW353+($CX353-$CW353)*2/($CQ353-1)))))</f>
        <v/>
      </c>
      <c r="BX353" s="88">
        <f>IF($CS353,"",IF($CT353,IF(N($AZ353)&gt;0,N($AZ353),""),IF(4&gt;$CQ353,"",IF($CQ353=1,$CW353,$CW353+($CX353-$CW353)*3/($CQ353-1)))))</f>
        <v/>
      </c>
      <c r="BY353" s="88">
        <f>IF($CS353,"",IF($CT353,"",IF(5&gt;$CQ353,"",IF($CQ353=1,$CW353,$CW353+($CX353-$CW353)*4/($CQ353-1)))))</f>
        <v/>
      </c>
      <c r="BZ353" s="88">
        <f>IF(OR($CS353,$AP353="-",AND($AP353="",$AD353="")),"",IF(N($BA353)&gt;0,N($BA353),IF($CV353,IF(AND($BI353&lt;$CU353,$BI353-IF(N(VLOOKUP($AT353&amp;"|"&amp;$CU353,LocTable,7,FALSE))&gt;0,VLOOKUP($AT353&amp;"|"&amp;$CU353,LocTable,7,FALSE),VLOOKUP($AT353&amp;"|"&amp;$CU353,LocTable,6,FALSE))-$CR353-0.75&gt;=2.125),VLOOKUP($AT353&amp;"|"&amp;$CU353,LocTable,8,FALSE),VLOOKUP($AT353&amp;"|"&amp;$CU353,LocTable,8,FALSE)+($BI353-$CU353)),$BI353-LockAFF)))</f>
        <v/>
      </c>
      <c r="CA353" s="89">
        <f>IF($BZ353="","",$BI353-$BZ353)</f>
        <v/>
      </c>
      <c r="CB353" s="84">
        <f>IF(OR(NOT(AND($A353&lt;&gt;"",$C353&lt;&gt;"DOOR ONLY")),$BI353=""),"",IF(($BI353+IF(N($P353)&gt;0,$P353+FaceW,0))&lt;=90,3,IF(($BI353+IF(N($P353)&gt;0,$P353+FaceW,0))&lt;=114,4,5)))</f>
        <v/>
      </c>
      <c r="CC353" s="84">
        <f>IF($CB353="","",$CB353*(2+IF(N($Q353)&gt;0,IF($R353="LR",2,1),0)))</f>
        <v/>
      </c>
      <c r="CD353" s="84">
        <f>IF($CB353="","",(2+IF(N($Q353)&gt;0,IF($R353="LR",2,1),0)))</f>
        <v/>
      </c>
      <c r="CE353" s="84">
        <f>IF(N($BJ353)=0,"",IF(OR($AL353="",$AL353="FLUSH"),"FLUSH",IFERROR(LEFT($AL353,FIND("-",$AL353)-1),LEFT($AL353,2))))</f>
        <v/>
      </c>
      <c r="CF353" s="84">
        <f>IF($CE353="","",IFERROR(VALUE(MID($AL353,FIND("-",$AL353)+1,FIND(CHAR(34)&amp;"x",$AL353)-FIND("-",$AL353)-1)),0))</f>
        <v/>
      </c>
      <c r="CG353" s="84">
        <f>IF($CE353="","",IFERROR(VALUE(MID($AL353,FIND(CHAR(34)&amp;"x",$AL353)+2,FIND(CHAR(34),$AL353,FIND(CHAR(34)&amp;"x",$AL353)+2)-FIND(CHAR(34)&amp;"x",$AL353)-2)),0))</f>
        <v/>
      </c>
      <c r="CH353" s="90">
        <f>IF(OR($A353="",$H353="",$H353="NO LAB"),0,IFERROR(VALUE(LEFT($H353,FIND(" ",$H353)-1)),0))</f>
        <v/>
      </c>
      <c r="CI353" s="91">
        <f>IF(OR($A353="",$I353="",$I353="NON-RATED",N($J353)=0),"",IFERROR(VLOOKUP($I353&amp;"|"&amp;$J353,IBC,2,FALSE),"?"))</f>
        <v/>
      </c>
      <c r="CJ353" s="85">
        <f>IF(NOT(AND($A353&lt;&gt;"",$C353&lt;&gt;"DOOR ONLY")),"",TRIM(IFERROR(VLOOKUP($U353,CODES,2,FALSE),"")&amp;" "&amp;$BG353&amp;" "&amp;IFERROR(VLOOKUP($Z353,CODES,2,FALSE),"")&amp;" "&amp;IFERROR(VLOOKUP($X353,CODES,2,FALSE),"")&amp;" "&amp;IFERROR(VLOOKUP($S353,CODES,2,FALSE),"")&amp;IF(N($P353)&gt;0," w/TRANSOM "&amp;$P353&amp;CHAR(34),"")&amp;IF(N($Q353)&gt;0," w/SIDELITE "&amp;$Q353&amp;CHAR(34)&amp;" "&amp;IF($R353="","R",$R353),"")&amp;IF($Y353="","  |  "," | "&amp;IFERROR(VLOOKUP($Y353,CODES,2,FALSE),"")&amp;" | ")&amp;IFERROR(VLOOKUP($AC353,CODES,2,FALSE),"")&amp;" "&amp;IFERROR(VLOOKUP($AD353,CODES,2,FALSE),"")&amp;IF(OR($AE353="",$AE353="-"),""," "&amp;$AE353)&amp;IF(OR($AF353="",$AF353="-"),""," "&amp;$AF353)&amp;IF($AB353="Y"," 4"&amp;CHAR(34)&amp;" HEAD","")&amp;" "&amp;IFERROR(VLOOKUP($H353,CODES,2,FALSE),"")&amp;IF($CT353," | LOC "&amp;$CY353,"")))</f>
        <v/>
      </c>
      <c r="CK353" s="85">
        <f>IF(NOT(AND($A353&lt;&gt;"",N($BJ353)&gt;0)),"",TRIM(IFERROR(VLOOKUP($AH353,CODES,2,FALSE),"")&amp;IF($AI353=""," "," "&amp;$AI353&amp;"GA ")&amp;$BG353&amp;" "&amp;IF($AN353="",IFERROR(VLOOKUP($Z353,CODES,2,FALSE),""),IFERROR(VLOOKUP($AN353,CODES,2,FALSE),""))&amp;IF($BJ353=2," PAIR","")&amp;" DOOR | "&amp;IF($AL353="","?",$AL353)&amp;" | "&amp;IF($AO353="",IFERROR(VLOOKUP($AC353,CODES,2,FALSE),""),IFERROR(VLOOKUP($AO353,CODES,2,FALSE),""))&amp;" "&amp;IFERROR(VLOOKUP($AP353,CODES,2,FALSE),"")&amp;IF(OR($AQ353="",$AQ353="-"),""," SEAM "&amp;$AQ353)&amp;IF($AR353="Y"," ASTRAGAL","")&amp;IF($AJ353=""," "," "&amp;$AJ353)&amp;IF($AK353=""," "," "&amp;$AK353)&amp;IF(OR($AT353="",$AT353="ANSI/SDI",$AT353="CUSTOM LOC"),""," "&amp;$AT353)&amp;IF($AM353=""," "," SERIES "&amp;$AM353)&amp;" "&amp;IFERROR(VLOOKUP($H353,CODES,2,FALSE),"")&amp;IF($CT353," | LOC "&amp;$CZ353,"")))</f>
        <v/>
      </c>
      <c r="CL353" s="84">
        <f>IF(CP353="","",IF(COUNTIF($CP$6:CP353,CP353)=1,MAX($CL$5:CL352)+1,INDEX($CL$5:CL352,MATCH(CP353,$CP$5:CP352,0))))</f>
        <v/>
      </c>
      <c r="CM353" s="84">
        <f>IF(NOT(AND($A353&lt;&gt;"",$C353&lt;&gt;"DOOR ONLY")),"",MAX($CM$5:CM352)+1)</f>
        <v/>
      </c>
      <c r="CN353" s="84">
        <f>IF(NOT(AND($A353&lt;&gt;"",N($BJ353)&gt;0)),"",MAX($CN$5:CN352)+1)</f>
        <v/>
      </c>
      <c r="CO353" s="84">
        <f>IF($A353="","",MAX($CO$5:CO352)+1)</f>
        <v/>
      </c>
      <c r="CP353" s="84">
        <f>IF(OR($A353="",$BH353="",$BI353=""),"",$BG353&amp;"|"&amp;$O353&amp;"|"&amp;$AL353&amp;"|"&amp;$S353&amp;"|"&amp;$P353&amp;"|"&amp;$Q353&amp;$R353&amp;"|"&amp;$C353&amp;"|"&amp;$AB353)</f>
        <v/>
      </c>
      <c r="CQ353" s="84">
        <f>N($BS353)</f>
        <v/>
      </c>
      <c r="CR353" s="84">
        <f>IF(N($AU353)&gt;0,N($AU353),4.5)</f>
        <v/>
      </c>
      <c r="CS353" s="84">
        <f>OR($A353="",$BI353="",$S353="BL",AND($C353="FRAME ONLY",OR($AC353="",$AC353="BLK")))</f>
        <v/>
      </c>
      <c r="CT353" s="84">
        <f>AND(NOT($CS353),OR($AT353="CUSTOM LOC",N($AW353)+N($AX353)+N($AY353)+N($AZ353)+N($BA353)&gt;0))</f>
        <v/>
      </c>
      <c r="CU353" s="84">
        <f>IF($BI353="","",IF($BI353&lt;=80,80,IF($BI353&lt;=84,84,96)))</f>
        <v/>
      </c>
      <c r="CV353" s="84">
        <f>ISNUMBER(MATCH($AT353&amp;"|80",LocKeys,0))</f>
        <v/>
      </c>
      <c r="CW353" s="86">
        <f>IF($CS353,"",IF($CV353,VLOOKUP($AT353&amp;"|"&amp;$CU353,LocTable,4,FALSE),5))</f>
        <v/>
      </c>
      <c r="CX353" s="86">
        <f>IF($CS353,"",IF($CV353,IF(OR($BI353=$CU353,AND($BI353&lt;$CU353,$BI353-IF(N(VLOOKUP($AT353&amp;"|"&amp;$CU353,LocTable,7,FALSE))&gt;0,VLOOKUP($AT353&amp;"|"&amp;$CU353,LocTable,7,FALSE),VLOOKUP($AT353&amp;"|"&amp;$CU353,LocTable,6,FALSE))-$CR353-0.75&gt;=2.125)),IF(N(VLOOKUP($AT353&amp;"|"&amp;$CU353,LocTable,7,FALSE))&gt;0,VLOOKUP($AT353&amp;"|"&amp;$CU353,LocTable,7,FALSE),VLOOKUP($AT353&amp;"|"&amp;$CU353,LocTable,6,FALSE)),$BI353-($CU353-IF(N(VLOOKUP($AT353&amp;"|"&amp;$CU353,LocTable,7,FALSE))&gt;0,VLOOKUP($AT353&amp;"|"&amp;$CU353,LocTable,7,FALSE),VLOOKUP($AT353&amp;"|"&amp;$CU353,LocTable,6,FALSE)))),$BI353-10-$CR353))</f>
        <v/>
      </c>
      <c r="CY353" s="85">
        <f>IF($CS353,"",TRIM(IF(ISNUMBER($BU353),"A "&amp;TRIM(TEXT($BU353,"# ?/??"))&amp;CHAR(34)&amp;"  ","")&amp;IF(ISNUMBER($BV353),"B "&amp;TRIM(TEXT($BV353,"# ?/??"))&amp;CHAR(34)&amp;"  ","")&amp;IF(ISNUMBER($BW353),"C "&amp;TRIM(TEXT($BW353,"# ?/??"))&amp;CHAR(34)&amp;"  ","")&amp;IF(ISNUMBER($BX353),"D "&amp;TRIM(TEXT($BX353,"# ?/??"))&amp;CHAR(34)&amp;"  ","")&amp;IF(ISNUMBER($BY353),"F "&amp;TRIM(TEXT($BY353,"# ?/??"))&amp;CHAR(34)&amp;"  ","")&amp;IF(ISNUMBER($BZ353),"E "&amp;TRIM(TEXT($BZ353,"# ?/??"))&amp;CHAR(34)&amp;"  ","")))</f>
        <v/>
      </c>
      <c r="CZ353" s="85">
        <f>IF(OR($CS353,N($BJ353)=0),"",TRIM(IF(ISNUMBER($BU353),"A "&amp;TRIM(TEXT($BU353-HeadClr,"# ?/??"))&amp;CHAR(34)&amp;"  ","")&amp;IF(ISNUMBER($BV353),"B "&amp;TRIM(TEXT($BV353-HeadClr,"# ?/??"))&amp;CHAR(34)&amp;"  ","")&amp;IF(ISNUMBER($BW353),"C "&amp;TRIM(TEXT($BW353-HeadClr,"# ?/??"))&amp;CHAR(34)&amp;"  ","")&amp;IF(ISNUMBER($BX353),"D "&amp;TRIM(TEXT($BX353-HeadClr,"# ?/??"))&amp;CHAR(34)&amp;"  ","")&amp;IF(ISNUMBER($BY353),"F "&amp;TRIM(TEXT($BY353-HeadClr,"# ?/??"))&amp;CHAR(34)&amp;"  ","")&amp;IF(ISNUMBER($BZ353),"E "&amp;TRIM(TEXT($BZ353-HeadClr,"# ?/??"))&amp;CHAR(34)&amp;"  ","")))</f>
        <v/>
      </c>
      <c r="DA353" s="84">
        <f>IF($A353="","",IF($AN353="",IFERROR(VLOOKUP($Z353,CODES,2,FALSE),""),IFERROR(VLOOKUP($AN353,CODES,2,FALSE),"")))</f>
        <v/>
      </c>
      <c r="DB353" s="84">
        <f>IF($A353="","",IF($O353="Y","PR",IF(OR($Z353="L",$Z353="RR",LEFT($Z353,2)="L-",LEFT($Z353,3)="RR-"),"LH","RH")))</f>
        <v/>
      </c>
      <c r="DC353" s="84">
        <f>IF($A353="","","S.HM"&amp;IF(OR($C353="DOOR ONLY",$X353&lt;&gt;"KD"),"MASONRY","DRYWALL")&amp;IF($C353="DOOR ONLY","",$U353)&amp;IF(AND($C353&lt;&gt;"FRAME ONLY",OR(LEFT($AH353,3)="OAK",LEFT($AH353,3)="BIR",LEFT($AH353,3)="MAP",$AH353="PC",$AH353="MC",$AH353="SCLC",$AH353="P-LAM")),"WD","HM")&amp;"1.75")</f>
        <v/>
      </c>
      <c r="DD353" s="84">
        <f>IF($CJ353="","",IF($O353="Y",$CJ353,SUBSTITUTE($CJ353,$BG353&amp;" "&amp;IFERROR(VLOOKUP($Z353,CODES,2,FALSE),"")&amp;" ",$BG353&amp;" ")))</f>
        <v/>
      </c>
      <c r="DE353" s="84">
        <f>IF($CK353="","",IF($O353="Y",$CK353,SUBSTITUTE($CK353,$BG353&amp;" "&amp;IF($AN353="",IFERROR(VLOOKUP($Z353,CODES,2,FALSE),""),IFERROR(VLOOKUP($AN353,CODES,2,FALSE),""))&amp;" ",$BG353&amp;" ")))</f>
        <v/>
      </c>
      <c r="DF353" s="84">
        <f>IF($CJ353="","",$DC353&amp;"|"&amp;$DD353&amp;"|"&amp;$DB353&amp;"|"&amp;$AT353&amp;"|"&amp;$V353&amp;"|"&amp;$Y353&amp;"|"&amp;$AB353)</f>
        <v/>
      </c>
      <c r="DG353" s="84">
        <f>IF(DF353="","",IF(COUNTIF($DF$6:DF353,DF353)=1,MAX($DG$5:DG352)+1,INDEX($DG$5:DG352,MATCH(DF353,$DF$5:DF352,0))))</f>
        <v/>
      </c>
      <c r="DH353" s="84">
        <f>IF($CK353="","",$DC353&amp;"|"&amp;$DE353&amp;"|"&amp;$AI353&amp;"|"&amp;$BK353&amp;"|"&amp;$BL353)</f>
        <v/>
      </c>
      <c r="DI353" s="84">
        <f>IF(DH353="","",IF(COUNTIF($DH$6:DH353,DH353)=1,MAX($DI$5:DI352)+1,INDEX($DI$5:DI352,MATCH(DH353,$DH$5:DH352,0))))</f>
        <v/>
      </c>
      <c r="DJ353" s="84">
        <f>IF($A353="","",IF($B353="","qty, ","")&amp;IF($C353="","scope, ","")&amp;IF(OR($K353="",$M353=""),"size, ","")&amp;IF(AND($A353&lt;&gt;"",$C353&lt;&gt;"DOOR ONLY"),IF($U353="","jamb depth, ","")&amp;IF($X353="","construction, ","")&amp;IF($Y353="","anchor, ","")&amp;IF($S353="","frame type, ",""),"")&amp;IF(AND(N($BJ353)&gt;0,$Z353=""),"hand, ","")&amp;IF(N($BJ353)&gt;0,IF($AH353="","door material, ","")&amp;IF($AL353="","face type, ","")&amp;IF($AP353="","lock prep, ","")&amp;IF(AND($AO353="",$AC353=""),"hinge prep, ",""),"")&amp;IF(AND($CH353&gt;0,$AH353="FRP"),"FRP cannot carry a label, ","")&amp;IF(AND($O353="Y",OR($Z353="L",$Z353="R",$Z353="LR",$Z353="RR")),"pair marked but hand is single, ","")&amp;IF(AND($O353&lt;&gt;"Y",OR($Z353="PR",AND(LEN($Z353)&gt;1,ISNUMBER(SEARCH("-",$Z353))))),"pair hand on a single door, ","")&amp;IF(AND(ISNUMBER($CI353),$CH353&lt;N($CI353)),"wall needs a "&amp;$CI353&amp;" min door, ","")&amp;IF(AND($CH353&gt;=180,AND(OR($CE353="FG",$CE353="HG",$CE353="FNV",$CE353="FV"),N($CF353)*N($CG353)&gt;100)),"180 min lite over 100 sq in, ","")&amp;IF(N($BK353)&gt;48,"leaf wider than 4'-0"&amp;CHAR(34)&amp;", ","")&amp;IF(AND($CT353,COUNT($AW353:$AZ353)=0,$CQ353&gt;0),"CUSTOM LOC with no locations typed, ",""))</f>
        <v/>
      </c>
      <c r="DK353" s="84">
        <f>IF($A353="","",IF(AND($CH353&gt;0,AND($A353&lt;&gt;"",$C353&lt;&gt;"DOOR ONLY"),$X353="KD",$E353="EXTERIOR"),"KD label on an exterior opening, ","")&amp;IF(AND($E353="EXTERIOR",OR(AND(AND($A353&lt;&gt;"",$C353&lt;&gt;"DOOR ONLY"),$W353="CR"),AND(N($BJ353)&gt;0,$AH353="CR"))),"exterior in CR steel (G9?), ","")&amp;IF(AND(ISNUMBER($BQ353),N($BQ353)&lt;32),"clear width ~"&amp;TEXT($BQ353,"0.0")&amp;CHAR(34)&amp;" under 32"&amp;CHAR(34)&amp;" (ADA), ","")&amp;IF(AND($CH353=90,AND(OR($CE353="FG",$CE353="HG",$CE353="FNV",$CE353="FV"),N($CF353)*N($CG353)&gt;100)),"90 min lite over 100 sq in (stair/exit), ","")&amp;IF(AND($CH353&gt;0,AND($A353&lt;&gt;"",$C353&lt;&gt;"DOOR ONLY"),OR($AF353="",$AF353="-")),"rated: closer reinf.?, ","")&amp;IF(OR($I353="CORRIDOR",$I353="SMOKE BARRIER"),"S label + smoke gasketing, ","")&amp;IF($CI353="?","wall type/hr not in IBC table, ","")&amp;IF(AND(N($BJ353)&gt;0,$BB353=""),"no hardware set, ","")&amp;IF(AND($BB353&lt;&gt;"",ISNA(MATCH($BB353&amp;"",HWSets,0))),"set "&amp;$BB353&amp;" not on HW Sets, ","")&amp;IF(N($BL353)&gt;96,"leaf over 8'-0"&amp;CHAR(34)&amp;" - check listing, ","")&amp;IF(AND($CT353,COUNT($AW353:$AZ353)&gt;0,COUNT($AW353:$AZ353)&lt;&gt;$CQ353),COUNT($AW353:$AZ353)&amp;" custom hinges typed, "&amp;$CQ353&amp;" expected, ","")&amp;IF(AND(ISNUMBER($CA353),OR(N($CA353)&lt;34,N($CA353)&gt;48)),"lock "&amp;TEXT($CA353,"0.0")&amp;CHAR(34)&amp;" AFF outside 34-48"&amp;CHAR(34)&amp;" (ADA), ","")&amp;IF(AND(ISNUMBER($AV353),ISNUMBER($BL353),N($AV353)&lt;IF(N($BL353)&lt;=60,2,IF(N($BL353)&lt;=90,3,IF(N($BL353)&lt;=120,4,5)))),"fewer hinges than standard, ",""))</f>
        <v/>
      </c>
    </row>
    <row r="354" ht="15" customHeight="1">
      <c r="A354" s="77" t="n"/>
      <c r="B354" s="78" t="n"/>
      <c r="C354" s="78" t="n"/>
      <c r="D354" s="78" t="n"/>
      <c r="E354" s="78" t="n"/>
      <c r="F354" s="78" t="n"/>
      <c r="G354" s="78" t="n"/>
      <c r="H354" s="78" t="n"/>
      <c r="I354" s="78" t="n"/>
      <c r="J354" s="78" t="n"/>
      <c r="K354" s="78" t="n"/>
      <c r="L354" s="78" t="n"/>
      <c r="M354" s="78" t="n"/>
      <c r="N354" s="78" t="n"/>
      <c r="O354" s="78" t="n"/>
      <c r="P354" s="78" t="n"/>
      <c r="Q354" s="78" t="n"/>
      <c r="R354" s="78" t="n"/>
      <c r="S354" s="79" t="n"/>
      <c r="T354" s="79" t="n"/>
      <c r="U354" s="79" t="n"/>
      <c r="V354" s="79" t="n"/>
      <c r="W354" s="79" t="n"/>
      <c r="X354" s="79" t="n"/>
      <c r="Y354" s="79" t="n"/>
      <c r="Z354" s="79" t="n"/>
      <c r="AA354" s="79" t="n"/>
      <c r="AB354" s="79" t="n"/>
      <c r="AC354" s="79" t="n"/>
      <c r="AD354" s="79" t="n"/>
      <c r="AE354" s="79" t="n"/>
      <c r="AF354" s="79" t="n"/>
      <c r="AG354" s="79" t="n"/>
      <c r="AH354" s="80" t="n"/>
      <c r="AI354" s="80" t="n"/>
      <c r="AJ354" s="80" t="n"/>
      <c r="AK354" s="80" t="n"/>
      <c r="AL354" s="80" t="n"/>
      <c r="AM354" s="80" t="n"/>
      <c r="AN354" s="80" t="n"/>
      <c r="AO354" s="80" t="n"/>
      <c r="AP354" s="80" t="n"/>
      <c r="AQ354" s="80" t="n"/>
      <c r="AR354" s="80" t="n"/>
      <c r="AS354" s="80" t="n"/>
      <c r="AT354" s="81" t="n"/>
      <c r="AU354" s="81" t="n"/>
      <c r="AV354" s="81" t="n"/>
      <c r="AW354" s="82" t="n"/>
      <c r="AX354" s="82" t="n"/>
      <c r="AY354" s="82" t="n"/>
      <c r="AZ354" s="82" t="n"/>
      <c r="BA354" s="82" t="n"/>
      <c r="BB354" s="83" t="n"/>
      <c r="BC354" s="83" t="n"/>
      <c r="BD354" s="84">
        <f>IF($A354="","",IF($DJ354&lt;&gt;"","FIX",IF($DK354&lt;&gt;"","CHECK","OK")))</f>
        <v/>
      </c>
      <c r="BE354" s="85">
        <f>IF($A354="","",IF($DJ354&lt;&gt;"","FIX: "&amp;LEFT($DJ354,LEN($DJ354)-2)&amp;IF($DK354&lt;&gt;"","  ·  ",""),"")&amp;IF($DK354&lt;&gt;"","CHECK: "&amp;LEFT($DK354,LEN($DK354)-2),""))</f>
        <v/>
      </c>
      <c r="BF354" s="84">
        <f>IF(OR($A354="",$K354=""),"",$K354&amp;"'-"&amp;N($L354)&amp;CHAR(34)&amp;" x "&amp;$M354&amp;"'-"&amp;N($N354)&amp;CHAR(34))</f>
        <v/>
      </c>
      <c r="BG354" s="84">
        <f>IF(OR($A354="",$K354=""),"",$K354&amp;N($L354)&amp;$M354&amp;N($N354))</f>
        <v/>
      </c>
      <c r="BH354" s="84">
        <f>IF(OR($A354="",$K354=""),"",$K354*12+N($L354))</f>
        <v/>
      </c>
      <c r="BI354" s="84">
        <f>IF(OR($A354="",$M354=""),"",$M354*12+N($N354))</f>
        <v/>
      </c>
      <c r="BJ354" s="84">
        <f>IF($A354="","",IF(OR($C354="FRAME ONLY",$S354="BL"),0,IF($O354="Y",2,1)))</f>
        <v/>
      </c>
      <c r="BK354" s="86">
        <f>IF(OR(N($BJ354)=0,$BH354=""),"",($BH354-2*EdgeClr-IF($BJ354=2,MeetClr,0))/$BJ354)</f>
        <v/>
      </c>
      <c r="BL354" s="86">
        <f>IF(OR(N($BJ354)=0,$BI354=""),"",$BI354-HeadClr-Undercut)</f>
        <v/>
      </c>
      <c r="BM354" s="86">
        <f>IF($BH354="","",$BH354+2*FaceW+IF(N($Q354)&gt;0,($Q354+FaceW)*IF($R354="LR",2,1),0))</f>
        <v/>
      </c>
      <c r="BN354" s="86">
        <f>IF($BI354="","",$BI354+IF($AB354="Y",4,FaceW)+IF(N($P354)&gt;0,$P354+FaceW,0)+IF(OR($S354="4F",$S354="BL"),FaceW,0))</f>
        <v/>
      </c>
      <c r="BO354" s="86">
        <f>IF($BM354="","",$BM354+2*ROSide)</f>
        <v/>
      </c>
      <c r="BP354" s="86">
        <f>IF($BN354="","",$BN354+ROTop)</f>
        <v/>
      </c>
      <c r="BQ354" s="87">
        <f>IF(OR(N($BJ354)=0,$BH354=""),"",$BH354/$BJ354-ClearDeduct)</f>
        <v/>
      </c>
      <c r="BR354" s="84">
        <f>IF(N($CH354)=0,"",IF($CH354&gt;=180,"A · 3 HR",IF($CH354&gt;=90,"B · 1-1/2 HR",IF($CH354&gt;=60,"B · 1 HR",IF($CH354&gt;=45,"C · 3/4 HR","20 MIN")))))&amp;IF(AND(N($CH354)&gt;0,OR($I354="CORRIDOR",$I354="SMOKE BARRIER"))," · S","")</f>
        <v/>
      </c>
      <c r="BS354" s="84">
        <f>IF($CS354,"",IF($AV354&lt;&gt;"",$AV354,IF(OR($AC354="HGC",$AO354="HGC"),"CONT",IF(($BI354-HeadClr-Undercut)&lt;=60,2,IF(($BI354-HeadClr-Undercut)&lt;=90,3,IF(($BI354-HeadClr-Undercut)&lt;=120,4,5))))))</f>
        <v/>
      </c>
      <c r="BT354" s="84">
        <f>IF($CS354,"",IF($CT354,"CUSTOM (typed)",IF($CV354,$AT354&amp;" "&amp;$CU354&amp;CHAR(34)&amp;IF($CU354&lt;&gt;$BI354,IF(AND($BI354&lt;$CU354,$BI354-IF(N(VLOOKUP($AT354&amp;"|"&amp;$CU354,LocTable,7,FALSE))&gt;0,VLOOKUP($AT354&amp;"|"&amp;$CU354,LocTable,7,FALSE),VLOOKUP($AT354&amp;"|"&amp;$CU354,LocTable,6,FALSE))-$CR354-0.75&gt;=2.125)," cut down"," adj."),""),"ANSI/SDI A250.6")))</f>
        <v/>
      </c>
      <c r="BU354" s="88">
        <f>IF($CS354,"",IF($CT354,IF(N($AW354)&gt;0,N($AW354),""),IF(1&gt;$CQ354,"",IF($CQ354=1,$CW354,$CW354+($CX354-$CW354)*0/($CQ354-1)))))</f>
        <v/>
      </c>
      <c r="BV354" s="88">
        <f>IF($CS354,"",IF($CT354,IF(N($AX354)&gt;0,N($AX354),""),IF(2&gt;$CQ354,"",IF($CQ354=1,$CW354,$CW354+($CX354-$CW354)*1/($CQ354-1)))))</f>
        <v/>
      </c>
      <c r="BW354" s="88">
        <f>IF($CS354,"",IF($CT354,IF(N($AY354)&gt;0,N($AY354),""),IF(3&gt;$CQ354,"",IF($CQ354=1,$CW354,$CW354+($CX354-$CW354)*2/($CQ354-1)))))</f>
        <v/>
      </c>
      <c r="BX354" s="88">
        <f>IF($CS354,"",IF($CT354,IF(N($AZ354)&gt;0,N($AZ354),""),IF(4&gt;$CQ354,"",IF($CQ354=1,$CW354,$CW354+($CX354-$CW354)*3/($CQ354-1)))))</f>
        <v/>
      </c>
      <c r="BY354" s="88">
        <f>IF($CS354,"",IF($CT354,"",IF(5&gt;$CQ354,"",IF($CQ354=1,$CW354,$CW354+($CX354-$CW354)*4/($CQ354-1)))))</f>
        <v/>
      </c>
      <c r="BZ354" s="88">
        <f>IF(OR($CS354,$AP354="-",AND($AP354="",$AD354="")),"",IF(N($BA354)&gt;0,N($BA354),IF($CV354,IF(AND($BI354&lt;$CU354,$BI354-IF(N(VLOOKUP($AT354&amp;"|"&amp;$CU354,LocTable,7,FALSE))&gt;0,VLOOKUP($AT354&amp;"|"&amp;$CU354,LocTable,7,FALSE),VLOOKUP($AT354&amp;"|"&amp;$CU354,LocTable,6,FALSE))-$CR354-0.75&gt;=2.125),VLOOKUP($AT354&amp;"|"&amp;$CU354,LocTable,8,FALSE),VLOOKUP($AT354&amp;"|"&amp;$CU354,LocTable,8,FALSE)+($BI354-$CU354)),$BI354-LockAFF)))</f>
        <v/>
      </c>
      <c r="CA354" s="89">
        <f>IF($BZ354="","",$BI354-$BZ354)</f>
        <v/>
      </c>
      <c r="CB354" s="84">
        <f>IF(OR(NOT(AND($A354&lt;&gt;"",$C354&lt;&gt;"DOOR ONLY")),$BI354=""),"",IF(($BI354+IF(N($P354)&gt;0,$P354+FaceW,0))&lt;=90,3,IF(($BI354+IF(N($P354)&gt;0,$P354+FaceW,0))&lt;=114,4,5)))</f>
        <v/>
      </c>
      <c r="CC354" s="84">
        <f>IF($CB354="","",$CB354*(2+IF(N($Q354)&gt;0,IF($R354="LR",2,1),0)))</f>
        <v/>
      </c>
      <c r="CD354" s="84">
        <f>IF($CB354="","",(2+IF(N($Q354)&gt;0,IF($R354="LR",2,1),0)))</f>
        <v/>
      </c>
      <c r="CE354" s="84">
        <f>IF(N($BJ354)=0,"",IF(OR($AL354="",$AL354="FLUSH"),"FLUSH",IFERROR(LEFT($AL354,FIND("-",$AL354)-1),LEFT($AL354,2))))</f>
        <v/>
      </c>
      <c r="CF354" s="84">
        <f>IF($CE354="","",IFERROR(VALUE(MID($AL354,FIND("-",$AL354)+1,FIND(CHAR(34)&amp;"x",$AL354)-FIND("-",$AL354)-1)),0))</f>
        <v/>
      </c>
      <c r="CG354" s="84">
        <f>IF($CE354="","",IFERROR(VALUE(MID($AL354,FIND(CHAR(34)&amp;"x",$AL354)+2,FIND(CHAR(34),$AL354,FIND(CHAR(34)&amp;"x",$AL354)+2)-FIND(CHAR(34)&amp;"x",$AL354)-2)),0))</f>
        <v/>
      </c>
      <c r="CH354" s="90">
        <f>IF(OR($A354="",$H354="",$H354="NO LAB"),0,IFERROR(VALUE(LEFT($H354,FIND(" ",$H354)-1)),0))</f>
        <v/>
      </c>
      <c r="CI354" s="91">
        <f>IF(OR($A354="",$I354="",$I354="NON-RATED",N($J354)=0),"",IFERROR(VLOOKUP($I354&amp;"|"&amp;$J354,IBC,2,FALSE),"?"))</f>
        <v/>
      </c>
      <c r="CJ354" s="85">
        <f>IF(NOT(AND($A354&lt;&gt;"",$C354&lt;&gt;"DOOR ONLY")),"",TRIM(IFERROR(VLOOKUP($U354,CODES,2,FALSE),"")&amp;" "&amp;$BG354&amp;" "&amp;IFERROR(VLOOKUP($Z354,CODES,2,FALSE),"")&amp;" "&amp;IFERROR(VLOOKUP($X354,CODES,2,FALSE),"")&amp;" "&amp;IFERROR(VLOOKUP($S354,CODES,2,FALSE),"")&amp;IF(N($P354)&gt;0," w/TRANSOM "&amp;$P354&amp;CHAR(34),"")&amp;IF(N($Q354)&gt;0," w/SIDELITE "&amp;$Q354&amp;CHAR(34)&amp;" "&amp;IF($R354="","R",$R354),"")&amp;IF($Y354="","  |  "," | "&amp;IFERROR(VLOOKUP($Y354,CODES,2,FALSE),"")&amp;" | ")&amp;IFERROR(VLOOKUP($AC354,CODES,2,FALSE),"")&amp;" "&amp;IFERROR(VLOOKUP($AD354,CODES,2,FALSE),"")&amp;IF(OR($AE354="",$AE354="-"),""," "&amp;$AE354)&amp;IF(OR($AF354="",$AF354="-"),""," "&amp;$AF354)&amp;IF($AB354="Y"," 4"&amp;CHAR(34)&amp;" HEAD","")&amp;" "&amp;IFERROR(VLOOKUP($H354,CODES,2,FALSE),"")&amp;IF($CT354," | LOC "&amp;$CY354,"")))</f>
        <v/>
      </c>
      <c r="CK354" s="85">
        <f>IF(NOT(AND($A354&lt;&gt;"",N($BJ354)&gt;0)),"",TRIM(IFERROR(VLOOKUP($AH354,CODES,2,FALSE),"")&amp;IF($AI354=""," "," "&amp;$AI354&amp;"GA ")&amp;$BG354&amp;" "&amp;IF($AN354="",IFERROR(VLOOKUP($Z354,CODES,2,FALSE),""),IFERROR(VLOOKUP($AN354,CODES,2,FALSE),""))&amp;IF($BJ354=2," PAIR","")&amp;" DOOR | "&amp;IF($AL354="","?",$AL354)&amp;" | "&amp;IF($AO354="",IFERROR(VLOOKUP($AC354,CODES,2,FALSE),""),IFERROR(VLOOKUP($AO354,CODES,2,FALSE),""))&amp;" "&amp;IFERROR(VLOOKUP($AP354,CODES,2,FALSE),"")&amp;IF(OR($AQ354="",$AQ354="-"),""," SEAM "&amp;$AQ354)&amp;IF($AR354="Y"," ASTRAGAL","")&amp;IF($AJ354=""," "," "&amp;$AJ354)&amp;IF($AK354=""," "," "&amp;$AK354)&amp;IF(OR($AT354="",$AT354="ANSI/SDI",$AT354="CUSTOM LOC"),""," "&amp;$AT354)&amp;IF($AM354=""," "," SERIES "&amp;$AM354)&amp;" "&amp;IFERROR(VLOOKUP($H354,CODES,2,FALSE),"")&amp;IF($CT354," | LOC "&amp;$CZ354,"")))</f>
        <v/>
      </c>
      <c r="CL354" s="84">
        <f>IF(CP354="","",IF(COUNTIF($CP$6:CP354,CP354)=1,MAX($CL$5:CL353)+1,INDEX($CL$5:CL353,MATCH(CP354,$CP$5:CP353,0))))</f>
        <v/>
      </c>
      <c r="CM354" s="84">
        <f>IF(NOT(AND($A354&lt;&gt;"",$C354&lt;&gt;"DOOR ONLY")),"",MAX($CM$5:CM353)+1)</f>
        <v/>
      </c>
      <c r="CN354" s="84">
        <f>IF(NOT(AND($A354&lt;&gt;"",N($BJ354)&gt;0)),"",MAX($CN$5:CN353)+1)</f>
        <v/>
      </c>
      <c r="CO354" s="84">
        <f>IF($A354="","",MAX($CO$5:CO353)+1)</f>
        <v/>
      </c>
      <c r="CP354" s="84">
        <f>IF(OR($A354="",$BH354="",$BI354=""),"",$BG354&amp;"|"&amp;$O354&amp;"|"&amp;$AL354&amp;"|"&amp;$S354&amp;"|"&amp;$P354&amp;"|"&amp;$Q354&amp;$R354&amp;"|"&amp;$C354&amp;"|"&amp;$AB354)</f>
        <v/>
      </c>
      <c r="CQ354" s="84">
        <f>N($BS354)</f>
        <v/>
      </c>
      <c r="CR354" s="84">
        <f>IF(N($AU354)&gt;0,N($AU354),4.5)</f>
        <v/>
      </c>
      <c r="CS354" s="84">
        <f>OR($A354="",$BI354="",$S354="BL",AND($C354="FRAME ONLY",OR($AC354="",$AC354="BLK")))</f>
        <v/>
      </c>
      <c r="CT354" s="84">
        <f>AND(NOT($CS354),OR($AT354="CUSTOM LOC",N($AW354)+N($AX354)+N($AY354)+N($AZ354)+N($BA354)&gt;0))</f>
        <v/>
      </c>
      <c r="CU354" s="84">
        <f>IF($BI354="","",IF($BI354&lt;=80,80,IF($BI354&lt;=84,84,96)))</f>
        <v/>
      </c>
      <c r="CV354" s="84">
        <f>ISNUMBER(MATCH($AT354&amp;"|80",LocKeys,0))</f>
        <v/>
      </c>
      <c r="CW354" s="86">
        <f>IF($CS354,"",IF($CV354,VLOOKUP($AT354&amp;"|"&amp;$CU354,LocTable,4,FALSE),5))</f>
        <v/>
      </c>
      <c r="CX354" s="86">
        <f>IF($CS354,"",IF($CV354,IF(OR($BI354=$CU354,AND($BI354&lt;$CU354,$BI354-IF(N(VLOOKUP($AT354&amp;"|"&amp;$CU354,LocTable,7,FALSE))&gt;0,VLOOKUP($AT354&amp;"|"&amp;$CU354,LocTable,7,FALSE),VLOOKUP($AT354&amp;"|"&amp;$CU354,LocTable,6,FALSE))-$CR354-0.75&gt;=2.125)),IF(N(VLOOKUP($AT354&amp;"|"&amp;$CU354,LocTable,7,FALSE))&gt;0,VLOOKUP($AT354&amp;"|"&amp;$CU354,LocTable,7,FALSE),VLOOKUP($AT354&amp;"|"&amp;$CU354,LocTable,6,FALSE)),$BI354-($CU354-IF(N(VLOOKUP($AT354&amp;"|"&amp;$CU354,LocTable,7,FALSE))&gt;0,VLOOKUP($AT354&amp;"|"&amp;$CU354,LocTable,7,FALSE),VLOOKUP($AT354&amp;"|"&amp;$CU354,LocTable,6,FALSE)))),$BI354-10-$CR354))</f>
        <v/>
      </c>
      <c r="CY354" s="85">
        <f>IF($CS354,"",TRIM(IF(ISNUMBER($BU354),"A "&amp;TRIM(TEXT($BU354,"# ?/??"))&amp;CHAR(34)&amp;"  ","")&amp;IF(ISNUMBER($BV354),"B "&amp;TRIM(TEXT($BV354,"# ?/??"))&amp;CHAR(34)&amp;"  ","")&amp;IF(ISNUMBER($BW354),"C "&amp;TRIM(TEXT($BW354,"# ?/??"))&amp;CHAR(34)&amp;"  ","")&amp;IF(ISNUMBER($BX354),"D "&amp;TRIM(TEXT($BX354,"# ?/??"))&amp;CHAR(34)&amp;"  ","")&amp;IF(ISNUMBER($BY354),"F "&amp;TRIM(TEXT($BY354,"# ?/??"))&amp;CHAR(34)&amp;"  ","")&amp;IF(ISNUMBER($BZ354),"E "&amp;TRIM(TEXT($BZ354,"# ?/??"))&amp;CHAR(34)&amp;"  ","")))</f>
        <v/>
      </c>
      <c r="CZ354" s="85">
        <f>IF(OR($CS354,N($BJ354)=0),"",TRIM(IF(ISNUMBER($BU354),"A "&amp;TRIM(TEXT($BU354-HeadClr,"# ?/??"))&amp;CHAR(34)&amp;"  ","")&amp;IF(ISNUMBER($BV354),"B "&amp;TRIM(TEXT($BV354-HeadClr,"# ?/??"))&amp;CHAR(34)&amp;"  ","")&amp;IF(ISNUMBER($BW354),"C "&amp;TRIM(TEXT($BW354-HeadClr,"# ?/??"))&amp;CHAR(34)&amp;"  ","")&amp;IF(ISNUMBER($BX354),"D "&amp;TRIM(TEXT($BX354-HeadClr,"# ?/??"))&amp;CHAR(34)&amp;"  ","")&amp;IF(ISNUMBER($BY354),"F "&amp;TRIM(TEXT($BY354-HeadClr,"# ?/??"))&amp;CHAR(34)&amp;"  ","")&amp;IF(ISNUMBER($BZ354),"E "&amp;TRIM(TEXT($BZ354-HeadClr,"# ?/??"))&amp;CHAR(34)&amp;"  ","")))</f>
        <v/>
      </c>
      <c r="DA354" s="84">
        <f>IF($A354="","",IF($AN354="",IFERROR(VLOOKUP($Z354,CODES,2,FALSE),""),IFERROR(VLOOKUP($AN354,CODES,2,FALSE),"")))</f>
        <v/>
      </c>
      <c r="DB354" s="84">
        <f>IF($A354="","",IF($O354="Y","PR",IF(OR($Z354="L",$Z354="RR",LEFT($Z354,2)="L-",LEFT($Z354,3)="RR-"),"LH","RH")))</f>
        <v/>
      </c>
      <c r="DC354" s="84">
        <f>IF($A354="","","S.HM"&amp;IF(OR($C354="DOOR ONLY",$X354&lt;&gt;"KD"),"MASONRY","DRYWALL")&amp;IF($C354="DOOR ONLY","",$U354)&amp;IF(AND($C354&lt;&gt;"FRAME ONLY",OR(LEFT($AH354,3)="OAK",LEFT($AH354,3)="BIR",LEFT($AH354,3)="MAP",$AH354="PC",$AH354="MC",$AH354="SCLC",$AH354="P-LAM")),"WD","HM")&amp;"1.75")</f>
        <v/>
      </c>
      <c r="DD354" s="84">
        <f>IF($CJ354="","",IF($O354="Y",$CJ354,SUBSTITUTE($CJ354,$BG354&amp;" "&amp;IFERROR(VLOOKUP($Z354,CODES,2,FALSE),"")&amp;" ",$BG354&amp;" ")))</f>
        <v/>
      </c>
      <c r="DE354" s="84">
        <f>IF($CK354="","",IF($O354="Y",$CK354,SUBSTITUTE($CK354,$BG354&amp;" "&amp;IF($AN354="",IFERROR(VLOOKUP($Z354,CODES,2,FALSE),""),IFERROR(VLOOKUP($AN354,CODES,2,FALSE),""))&amp;" ",$BG354&amp;" ")))</f>
        <v/>
      </c>
      <c r="DF354" s="84">
        <f>IF($CJ354="","",$DC354&amp;"|"&amp;$DD354&amp;"|"&amp;$DB354&amp;"|"&amp;$AT354&amp;"|"&amp;$V354&amp;"|"&amp;$Y354&amp;"|"&amp;$AB354)</f>
        <v/>
      </c>
      <c r="DG354" s="84">
        <f>IF(DF354="","",IF(COUNTIF($DF$6:DF354,DF354)=1,MAX($DG$5:DG353)+1,INDEX($DG$5:DG353,MATCH(DF354,$DF$5:DF353,0))))</f>
        <v/>
      </c>
      <c r="DH354" s="84">
        <f>IF($CK354="","",$DC354&amp;"|"&amp;$DE354&amp;"|"&amp;$AI354&amp;"|"&amp;$BK354&amp;"|"&amp;$BL354)</f>
        <v/>
      </c>
      <c r="DI354" s="84">
        <f>IF(DH354="","",IF(COUNTIF($DH$6:DH354,DH354)=1,MAX($DI$5:DI353)+1,INDEX($DI$5:DI353,MATCH(DH354,$DH$5:DH353,0))))</f>
        <v/>
      </c>
      <c r="DJ354" s="84">
        <f>IF($A354="","",IF($B354="","qty, ","")&amp;IF($C354="","scope, ","")&amp;IF(OR($K354="",$M354=""),"size, ","")&amp;IF(AND($A354&lt;&gt;"",$C354&lt;&gt;"DOOR ONLY"),IF($U354="","jamb depth, ","")&amp;IF($X354="","construction, ","")&amp;IF($Y354="","anchor, ","")&amp;IF($S354="","frame type, ",""),"")&amp;IF(AND(N($BJ354)&gt;0,$Z354=""),"hand, ","")&amp;IF(N($BJ354)&gt;0,IF($AH354="","door material, ","")&amp;IF($AL354="","face type, ","")&amp;IF($AP354="","lock prep, ","")&amp;IF(AND($AO354="",$AC354=""),"hinge prep, ",""),"")&amp;IF(AND($CH354&gt;0,$AH354="FRP"),"FRP cannot carry a label, ","")&amp;IF(AND($O354="Y",OR($Z354="L",$Z354="R",$Z354="LR",$Z354="RR")),"pair marked but hand is single, ","")&amp;IF(AND($O354&lt;&gt;"Y",OR($Z354="PR",AND(LEN($Z354)&gt;1,ISNUMBER(SEARCH("-",$Z354))))),"pair hand on a single door, ","")&amp;IF(AND(ISNUMBER($CI354),$CH354&lt;N($CI354)),"wall needs a "&amp;$CI354&amp;" min door, ","")&amp;IF(AND($CH354&gt;=180,AND(OR($CE354="FG",$CE354="HG",$CE354="FNV",$CE354="FV"),N($CF354)*N($CG354)&gt;100)),"180 min lite over 100 sq in, ","")&amp;IF(N($BK354)&gt;48,"leaf wider than 4'-0"&amp;CHAR(34)&amp;", ","")&amp;IF(AND($CT354,COUNT($AW354:$AZ354)=0,$CQ354&gt;0),"CUSTOM LOC with no locations typed, ",""))</f>
        <v/>
      </c>
      <c r="DK354" s="84">
        <f>IF($A354="","",IF(AND($CH354&gt;0,AND($A354&lt;&gt;"",$C354&lt;&gt;"DOOR ONLY"),$X354="KD",$E354="EXTERIOR"),"KD label on an exterior opening, ","")&amp;IF(AND($E354="EXTERIOR",OR(AND(AND($A354&lt;&gt;"",$C354&lt;&gt;"DOOR ONLY"),$W354="CR"),AND(N($BJ354)&gt;0,$AH354="CR"))),"exterior in CR steel (G9?), ","")&amp;IF(AND(ISNUMBER($BQ354),N($BQ354)&lt;32),"clear width ~"&amp;TEXT($BQ354,"0.0")&amp;CHAR(34)&amp;" under 32"&amp;CHAR(34)&amp;" (ADA), ","")&amp;IF(AND($CH354=90,AND(OR($CE354="FG",$CE354="HG",$CE354="FNV",$CE354="FV"),N($CF354)*N($CG354)&gt;100)),"90 min lite over 100 sq in (stair/exit), ","")&amp;IF(AND($CH354&gt;0,AND($A354&lt;&gt;"",$C354&lt;&gt;"DOOR ONLY"),OR($AF354="",$AF354="-")),"rated: closer reinf.?, ","")&amp;IF(OR($I354="CORRIDOR",$I354="SMOKE BARRIER"),"S label + smoke gasketing, ","")&amp;IF($CI354="?","wall type/hr not in IBC table, ","")&amp;IF(AND(N($BJ354)&gt;0,$BB354=""),"no hardware set, ","")&amp;IF(AND($BB354&lt;&gt;"",ISNA(MATCH($BB354&amp;"",HWSets,0))),"set "&amp;$BB354&amp;" not on HW Sets, ","")&amp;IF(N($BL354)&gt;96,"leaf over 8'-0"&amp;CHAR(34)&amp;" - check listing, ","")&amp;IF(AND($CT354,COUNT($AW354:$AZ354)&gt;0,COUNT($AW354:$AZ354)&lt;&gt;$CQ354),COUNT($AW354:$AZ354)&amp;" custom hinges typed, "&amp;$CQ354&amp;" expected, ","")&amp;IF(AND(ISNUMBER($CA354),OR(N($CA354)&lt;34,N($CA354)&gt;48)),"lock "&amp;TEXT($CA354,"0.0")&amp;CHAR(34)&amp;" AFF outside 34-48"&amp;CHAR(34)&amp;" (ADA), ","")&amp;IF(AND(ISNUMBER($AV354),ISNUMBER($BL354),N($AV354)&lt;IF(N($BL354)&lt;=60,2,IF(N($BL354)&lt;=90,3,IF(N($BL354)&lt;=120,4,5)))),"fewer hinges than standard, ",""))</f>
        <v/>
      </c>
    </row>
    <row r="355" ht="15" customHeight="1">
      <c r="A355" s="92" t="n"/>
      <c r="B355" s="93" t="n"/>
      <c r="C355" s="93" t="n"/>
      <c r="D355" s="93" t="n"/>
      <c r="E355" s="93" t="n"/>
      <c r="F355" s="93" t="n"/>
      <c r="G355" s="93" t="n"/>
      <c r="H355" s="93" t="n"/>
      <c r="I355" s="93" t="n"/>
      <c r="J355" s="93" t="n"/>
      <c r="K355" s="93" t="n"/>
      <c r="L355" s="93" t="n"/>
      <c r="M355" s="93" t="n"/>
      <c r="N355" s="93" t="n"/>
      <c r="O355" s="93" t="n"/>
      <c r="P355" s="93" t="n"/>
      <c r="Q355" s="93" t="n"/>
      <c r="R355" s="93" t="n"/>
      <c r="S355" s="94" t="n"/>
      <c r="T355" s="94" t="n"/>
      <c r="U355" s="94" t="n"/>
      <c r="V355" s="94" t="n"/>
      <c r="W355" s="94" t="n"/>
      <c r="X355" s="94" t="n"/>
      <c r="Y355" s="94" t="n"/>
      <c r="Z355" s="94" t="n"/>
      <c r="AA355" s="94" t="n"/>
      <c r="AB355" s="94" t="n"/>
      <c r="AC355" s="94" t="n"/>
      <c r="AD355" s="94" t="n"/>
      <c r="AE355" s="94" t="n"/>
      <c r="AF355" s="94" t="n"/>
      <c r="AG355" s="94" t="n"/>
      <c r="AH355" s="95" t="n"/>
      <c r="AI355" s="95" t="n"/>
      <c r="AJ355" s="95" t="n"/>
      <c r="AK355" s="95" t="n"/>
      <c r="AL355" s="95" t="n"/>
      <c r="AM355" s="95" t="n"/>
      <c r="AN355" s="95" t="n"/>
      <c r="AO355" s="95" t="n"/>
      <c r="AP355" s="95" t="n"/>
      <c r="AQ355" s="95" t="n"/>
      <c r="AR355" s="95" t="n"/>
      <c r="AS355" s="95" t="n"/>
      <c r="AT355" s="96" t="n"/>
      <c r="AU355" s="96" t="n"/>
      <c r="AV355" s="96" t="n"/>
      <c r="AW355" s="97" t="n"/>
      <c r="AX355" s="97" t="n"/>
      <c r="AY355" s="97" t="n"/>
      <c r="AZ355" s="97" t="n"/>
      <c r="BA355" s="97" t="n"/>
      <c r="BB355" s="98" t="n"/>
      <c r="BC355" s="98" t="n"/>
      <c r="BD355" s="99">
        <f>IF($A355="","",IF($DJ355&lt;&gt;"","FIX",IF($DK355&lt;&gt;"","CHECK","OK")))</f>
        <v/>
      </c>
      <c r="BE355" s="100">
        <f>IF($A355="","",IF($DJ355&lt;&gt;"","FIX: "&amp;LEFT($DJ355,LEN($DJ355)-2)&amp;IF($DK355&lt;&gt;"","  ·  ",""),"")&amp;IF($DK355&lt;&gt;"","CHECK: "&amp;LEFT($DK355,LEN($DK355)-2),""))</f>
        <v/>
      </c>
      <c r="BF355" s="99">
        <f>IF(OR($A355="",$K355=""),"",$K355&amp;"'-"&amp;N($L355)&amp;CHAR(34)&amp;" x "&amp;$M355&amp;"'-"&amp;N($N355)&amp;CHAR(34))</f>
        <v/>
      </c>
      <c r="BG355" s="99">
        <f>IF(OR($A355="",$K355=""),"",$K355&amp;N($L355)&amp;$M355&amp;N($N355))</f>
        <v/>
      </c>
      <c r="BH355" s="99">
        <f>IF(OR($A355="",$K355=""),"",$K355*12+N($L355))</f>
        <v/>
      </c>
      <c r="BI355" s="99">
        <f>IF(OR($A355="",$M355=""),"",$M355*12+N($N355))</f>
        <v/>
      </c>
      <c r="BJ355" s="99">
        <f>IF($A355="","",IF(OR($C355="FRAME ONLY",$S355="BL"),0,IF($O355="Y",2,1)))</f>
        <v/>
      </c>
      <c r="BK355" s="101">
        <f>IF(OR(N($BJ355)=0,$BH355=""),"",($BH355-2*EdgeClr-IF($BJ355=2,MeetClr,0))/$BJ355)</f>
        <v/>
      </c>
      <c r="BL355" s="101">
        <f>IF(OR(N($BJ355)=0,$BI355=""),"",$BI355-HeadClr-Undercut)</f>
        <v/>
      </c>
      <c r="BM355" s="101">
        <f>IF($BH355="","",$BH355+2*FaceW+IF(N($Q355)&gt;0,($Q355+FaceW)*IF($R355="LR",2,1),0))</f>
        <v/>
      </c>
      <c r="BN355" s="101">
        <f>IF($BI355="","",$BI355+IF($AB355="Y",4,FaceW)+IF(N($P355)&gt;0,$P355+FaceW,0)+IF(OR($S355="4F",$S355="BL"),FaceW,0))</f>
        <v/>
      </c>
      <c r="BO355" s="101">
        <f>IF($BM355="","",$BM355+2*ROSide)</f>
        <v/>
      </c>
      <c r="BP355" s="101">
        <f>IF($BN355="","",$BN355+ROTop)</f>
        <v/>
      </c>
      <c r="BQ355" s="102">
        <f>IF(OR(N($BJ355)=0,$BH355=""),"",$BH355/$BJ355-ClearDeduct)</f>
        <v/>
      </c>
      <c r="BR355" s="99">
        <f>IF(N($CH355)=0,"",IF($CH355&gt;=180,"A · 3 HR",IF($CH355&gt;=90,"B · 1-1/2 HR",IF($CH355&gt;=60,"B · 1 HR",IF($CH355&gt;=45,"C · 3/4 HR","20 MIN")))))&amp;IF(AND(N($CH355)&gt;0,OR($I355="CORRIDOR",$I355="SMOKE BARRIER"))," · S","")</f>
        <v/>
      </c>
      <c r="BS355" s="99">
        <f>IF($CS355,"",IF($AV355&lt;&gt;"",$AV355,IF(OR($AC355="HGC",$AO355="HGC"),"CONT",IF(($BI355-HeadClr-Undercut)&lt;=60,2,IF(($BI355-HeadClr-Undercut)&lt;=90,3,IF(($BI355-HeadClr-Undercut)&lt;=120,4,5))))))</f>
        <v/>
      </c>
      <c r="BT355" s="99">
        <f>IF($CS355,"",IF($CT355,"CUSTOM (typed)",IF($CV355,$AT355&amp;" "&amp;$CU355&amp;CHAR(34)&amp;IF($CU355&lt;&gt;$BI355,IF(AND($BI355&lt;$CU355,$BI355-IF(N(VLOOKUP($AT355&amp;"|"&amp;$CU355,LocTable,7,FALSE))&gt;0,VLOOKUP($AT355&amp;"|"&amp;$CU355,LocTable,7,FALSE),VLOOKUP($AT355&amp;"|"&amp;$CU355,LocTable,6,FALSE))-$CR355-0.75&gt;=2.125)," cut down"," adj."),""),"ANSI/SDI A250.6")))</f>
        <v/>
      </c>
      <c r="BU355" s="103">
        <f>IF($CS355,"",IF($CT355,IF(N($AW355)&gt;0,N($AW355),""),IF(1&gt;$CQ355,"",IF($CQ355=1,$CW355,$CW355+($CX355-$CW355)*0/($CQ355-1)))))</f>
        <v/>
      </c>
      <c r="BV355" s="103">
        <f>IF($CS355,"",IF($CT355,IF(N($AX355)&gt;0,N($AX355),""),IF(2&gt;$CQ355,"",IF($CQ355=1,$CW355,$CW355+($CX355-$CW355)*1/($CQ355-1)))))</f>
        <v/>
      </c>
      <c r="BW355" s="103">
        <f>IF($CS355,"",IF($CT355,IF(N($AY355)&gt;0,N($AY355),""),IF(3&gt;$CQ355,"",IF($CQ355=1,$CW355,$CW355+($CX355-$CW355)*2/($CQ355-1)))))</f>
        <v/>
      </c>
      <c r="BX355" s="103">
        <f>IF($CS355,"",IF($CT355,IF(N($AZ355)&gt;0,N($AZ355),""),IF(4&gt;$CQ355,"",IF($CQ355=1,$CW355,$CW355+($CX355-$CW355)*3/($CQ355-1)))))</f>
        <v/>
      </c>
      <c r="BY355" s="103">
        <f>IF($CS355,"",IF($CT355,"",IF(5&gt;$CQ355,"",IF($CQ355=1,$CW355,$CW355+($CX355-$CW355)*4/($CQ355-1)))))</f>
        <v/>
      </c>
      <c r="BZ355" s="103">
        <f>IF(OR($CS355,$AP355="-",AND($AP355="",$AD355="")),"",IF(N($BA355)&gt;0,N($BA355),IF($CV355,IF(AND($BI355&lt;$CU355,$BI355-IF(N(VLOOKUP($AT355&amp;"|"&amp;$CU355,LocTable,7,FALSE))&gt;0,VLOOKUP($AT355&amp;"|"&amp;$CU355,LocTable,7,FALSE),VLOOKUP($AT355&amp;"|"&amp;$CU355,LocTable,6,FALSE))-$CR355-0.75&gt;=2.125),VLOOKUP($AT355&amp;"|"&amp;$CU355,LocTable,8,FALSE),VLOOKUP($AT355&amp;"|"&amp;$CU355,LocTable,8,FALSE)+($BI355-$CU355)),$BI355-LockAFF)))</f>
        <v/>
      </c>
      <c r="CA355" s="104">
        <f>IF($BZ355="","",$BI355-$BZ355)</f>
        <v/>
      </c>
      <c r="CB355" s="99">
        <f>IF(OR(NOT(AND($A355&lt;&gt;"",$C355&lt;&gt;"DOOR ONLY")),$BI355=""),"",IF(($BI355+IF(N($P355)&gt;0,$P355+FaceW,0))&lt;=90,3,IF(($BI355+IF(N($P355)&gt;0,$P355+FaceW,0))&lt;=114,4,5)))</f>
        <v/>
      </c>
      <c r="CC355" s="99">
        <f>IF($CB355="","",$CB355*(2+IF(N($Q355)&gt;0,IF($R355="LR",2,1),0)))</f>
        <v/>
      </c>
      <c r="CD355" s="99">
        <f>IF($CB355="","",(2+IF(N($Q355)&gt;0,IF($R355="LR",2,1),0)))</f>
        <v/>
      </c>
      <c r="CE355" s="99">
        <f>IF(N($BJ355)=0,"",IF(OR($AL355="",$AL355="FLUSH"),"FLUSH",IFERROR(LEFT($AL355,FIND("-",$AL355)-1),LEFT($AL355,2))))</f>
        <v/>
      </c>
      <c r="CF355" s="99">
        <f>IF($CE355="","",IFERROR(VALUE(MID($AL355,FIND("-",$AL355)+1,FIND(CHAR(34)&amp;"x",$AL355)-FIND("-",$AL355)-1)),0))</f>
        <v/>
      </c>
      <c r="CG355" s="99">
        <f>IF($CE355="","",IFERROR(VALUE(MID($AL355,FIND(CHAR(34)&amp;"x",$AL355)+2,FIND(CHAR(34),$AL355,FIND(CHAR(34)&amp;"x",$AL355)+2)-FIND(CHAR(34)&amp;"x",$AL355)-2)),0))</f>
        <v/>
      </c>
      <c r="CH355" s="105">
        <f>IF(OR($A355="",$H355="",$H355="NO LAB"),0,IFERROR(VALUE(LEFT($H355,FIND(" ",$H355)-1)),0))</f>
        <v/>
      </c>
      <c r="CI355" s="106">
        <f>IF(OR($A355="",$I355="",$I355="NON-RATED",N($J355)=0),"",IFERROR(VLOOKUP($I355&amp;"|"&amp;$J355,IBC,2,FALSE),"?"))</f>
        <v/>
      </c>
      <c r="CJ355" s="100">
        <f>IF(NOT(AND($A355&lt;&gt;"",$C355&lt;&gt;"DOOR ONLY")),"",TRIM(IFERROR(VLOOKUP($U355,CODES,2,FALSE),"")&amp;" "&amp;$BG355&amp;" "&amp;IFERROR(VLOOKUP($Z355,CODES,2,FALSE),"")&amp;" "&amp;IFERROR(VLOOKUP($X355,CODES,2,FALSE),"")&amp;" "&amp;IFERROR(VLOOKUP($S355,CODES,2,FALSE),"")&amp;IF(N($P355)&gt;0," w/TRANSOM "&amp;$P355&amp;CHAR(34),"")&amp;IF(N($Q355)&gt;0," w/SIDELITE "&amp;$Q355&amp;CHAR(34)&amp;" "&amp;IF($R355="","R",$R355),"")&amp;IF($Y355="","  |  "," | "&amp;IFERROR(VLOOKUP($Y355,CODES,2,FALSE),"")&amp;" | ")&amp;IFERROR(VLOOKUP($AC355,CODES,2,FALSE),"")&amp;" "&amp;IFERROR(VLOOKUP($AD355,CODES,2,FALSE),"")&amp;IF(OR($AE355="",$AE355="-"),""," "&amp;$AE355)&amp;IF(OR($AF355="",$AF355="-"),""," "&amp;$AF355)&amp;IF($AB355="Y"," 4"&amp;CHAR(34)&amp;" HEAD","")&amp;" "&amp;IFERROR(VLOOKUP($H355,CODES,2,FALSE),"")&amp;IF($CT355," | LOC "&amp;$CY355,"")))</f>
        <v/>
      </c>
      <c r="CK355" s="100">
        <f>IF(NOT(AND($A355&lt;&gt;"",N($BJ355)&gt;0)),"",TRIM(IFERROR(VLOOKUP($AH355,CODES,2,FALSE),"")&amp;IF($AI355=""," "," "&amp;$AI355&amp;"GA ")&amp;$BG355&amp;" "&amp;IF($AN355="",IFERROR(VLOOKUP($Z355,CODES,2,FALSE),""),IFERROR(VLOOKUP($AN355,CODES,2,FALSE),""))&amp;IF($BJ355=2," PAIR","")&amp;" DOOR | "&amp;IF($AL355="","?",$AL355)&amp;" | "&amp;IF($AO355="",IFERROR(VLOOKUP($AC355,CODES,2,FALSE),""),IFERROR(VLOOKUP($AO355,CODES,2,FALSE),""))&amp;" "&amp;IFERROR(VLOOKUP($AP355,CODES,2,FALSE),"")&amp;IF(OR($AQ355="",$AQ355="-"),""," SEAM "&amp;$AQ355)&amp;IF($AR355="Y"," ASTRAGAL","")&amp;IF($AJ355=""," "," "&amp;$AJ355)&amp;IF($AK355=""," "," "&amp;$AK355)&amp;IF(OR($AT355="",$AT355="ANSI/SDI",$AT355="CUSTOM LOC"),""," "&amp;$AT355)&amp;IF($AM355=""," "," SERIES "&amp;$AM355)&amp;" "&amp;IFERROR(VLOOKUP($H355,CODES,2,FALSE),"")&amp;IF($CT355," | LOC "&amp;$CZ355,"")))</f>
        <v/>
      </c>
      <c r="CL355" s="99">
        <f>IF(CP355="","",IF(COUNTIF($CP$6:CP355,CP355)=1,MAX($CL$5:CL354)+1,INDEX($CL$5:CL354,MATCH(CP355,$CP$5:CP354,0))))</f>
        <v/>
      </c>
      <c r="CM355" s="99">
        <f>IF(NOT(AND($A355&lt;&gt;"",$C355&lt;&gt;"DOOR ONLY")),"",MAX($CM$5:CM354)+1)</f>
        <v/>
      </c>
      <c r="CN355" s="99">
        <f>IF(NOT(AND($A355&lt;&gt;"",N($BJ355)&gt;0)),"",MAX($CN$5:CN354)+1)</f>
        <v/>
      </c>
      <c r="CO355" s="99">
        <f>IF($A355="","",MAX($CO$5:CO354)+1)</f>
        <v/>
      </c>
      <c r="CP355" s="99">
        <f>IF(OR($A355="",$BH355="",$BI355=""),"",$BG355&amp;"|"&amp;$O355&amp;"|"&amp;$AL355&amp;"|"&amp;$S355&amp;"|"&amp;$P355&amp;"|"&amp;$Q355&amp;$R355&amp;"|"&amp;$C355&amp;"|"&amp;$AB355)</f>
        <v/>
      </c>
      <c r="CQ355" s="99">
        <f>N($BS355)</f>
        <v/>
      </c>
      <c r="CR355" s="99">
        <f>IF(N($AU355)&gt;0,N($AU355),4.5)</f>
        <v/>
      </c>
      <c r="CS355" s="99">
        <f>OR($A355="",$BI355="",$S355="BL",AND($C355="FRAME ONLY",OR($AC355="",$AC355="BLK")))</f>
        <v/>
      </c>
      <c r="CT355" s="99">
        <f>AND(NOT($CS355),OR($AT355="CUSTOM LOC",N($AW355)+N($AX355)+N($AY355)+N($AZ355)+N($BA355)&gt;0))</f>
        <v/>
      </c>
      <c r="CU355" s="99">
        <f>IF($BI355="","",IF($BI355&lt;=80,80,IF($BI355&lt;=84,84,96)))</f>
        <v/>
      </c>
      <c r="CV355" s="99">
        <f>ISNUMBER(MATCH($AT355&amp;"|80",LocKeys,0))</f>
        <v/>
      </c>
      <c r="CW355" s="101">
        <f>IF($CS355,"",IF($CV355,VLOOKUP($AT355&amp;"|"&amp;$CU355,LocTable,4,FALSE),5))</f>
        <v/>
      </c>
      <c r="CX355" s="101">
        <f>IF($CS355,"",IF($CV355,IF(OR($BI355=$CU355,AND($BI355&lt;$CU355,$BI355-IF(N(VLOOKUP($AT355&amp;"|"&amp;$CU355,LocTable,7,FALSE))&gt;0,VLOOKUP($AT355&amp;"|"&amp;$CU355,LocTable,7,FALSE),VLOOKUP($AT355&amp;"|"&amp;$CU355,LocTable,6,FALSE))-$CR355-0.75&gt;=2.125)),IF(N(VLOOKUP($AT355&amp;"|"&amp;$CU355,LocTable,7,FALSE))&gt;0,VLOOKUP($AT355&amp;"|"&amp;$CU355,LocTable,7,FALSE),VLOOKUP($AT355&amp;"|"&amp;$CU355,LocTable,6,FALSE)),$BI355-($CU355-IF(N(VLOOKUP($AT355&amp;"|"&amp;$CU355,LocTable,7,FALSE))&gt;0,VLOOKUP($AT355&amp;"|"&amp;$CU355,LocTable,7,FALSE),VLOOKUP($AT355&amp;"|"&amp;$CU355,LocTable,6,FALSE)))),$BI355-10-$CR355))</f>
        <v/>
      </c>
      <c r="CY355" s="100">
        <f>IF($CS355,"",TRIM(IF(ISNUMBER($BU355),"A "&amp;TRIM(TEXT($BU355,"# ?/??"))&amp;CHAR(34)&amp;"  ","")&amp;IF(ISNUMBER($BV355),"B "&amp;TRIM(TEXT($BV355,"# ?/??"))&amp;CHAR(34)&amp;"  ","")&amp;IF(ISNUMBER($BW355),"C "&amp;TRIM(TEXT($BW355,"# ?/??"))&amp;CHAR(34)&amp;"  ","")&amp;IF(ISNUMBER($BX355),"D "&amp;TRIM(TEXT($BX355,"# ?/??"))&amp;CHAR(34)&amp;"  ","")&amp;IF(ISNUMBER($BY355),"F "&amp;TRIM(TEXT($BY355,"# ?/??"))&amp;CHAR(34)&amp;"  ","")&amp;IF(ISNUMBER($BZ355),"E "&amp;TRIM(TEXT($BZ355,"# ?/??"))&amp;CHAR(34)&amp;"  ","")))</f>
        <v/>
      </c>
      <c r="CZ355" s="100">
        <f>IF(OR($CS355,N($BJ355)=0),"",TRIM(IF(ISNUMBER($BU355),"A "&amp;TRIM(TEXT($BU355-HeadClr,"# ?/??"))&amp;CHAR(34)&amp;"  ","")&amp;IF(ISNUMBER($BV355),"B "&amp;TRIM(TEXT($BV355-HeadClr,"# ?/??"))&amp;CHAR(34)&amp;"  ","")&amp;IF(ISNUMBER($BW355),"C "&amp;TRIM(TEXT($BW355-HeadClr,"# ?/??"))&amp;CHAR(34)&amp;"  ","")&amp;IF(ISNUMBER($BX355),"D "&amp;TRIM(TEXT($BX355-HeadClr,"# ?/??"))&amp;CHAR(34)&amp;"  ","")&amp;IF(ISNUMBER($BY355),"F "&amp;TRIM(TEXT($BY355-HeadClr,"# ?/??"))&amp;CHAR(34)&amp;"  ","")&amp;IF(ISNUMBER($BZ355),"E "&amp;TRIM(TEXT($BZ355-HeadClr,"# ?/??"))&amp;CHAR(34)&amp;"  ","")))</f>
        <v/>
      </c>
      <c r="DA355" s="99">
        <f>IF($A355="","",IF($AN355="",IFERROR(VLOOKUP($Z355,CODES,2,FALSE),""),IFERROR(VLOOKUP($AN355,CODES,2,FALSE),"")))</f>
        <v/>
      </c>
      <c r="DB355" s="99">
        <f>IF($A355="","",IF($O355="Y","PR",IF(OR($Z355="L",$Z355="RR",LEFT($Z355,2)="L-",LEFT($Z355,3)="RR-"),"LH","RH")))</f>
        <v/>
      </c>
      <c r="DC355" s="99">
        <f>IF($A355="","","S.HM"&amp;IF(OR($C355="DOOR ONLY",$X355&lt;&gt;"KD"),"MASONRY","DRYWALL")&amp;IF($C355="DOOR ONLY","",$U355)&amp;IF(AND($C355&lt;&gt;"FRAME ONLY",OR(LEFT($AH355,3)="OAK",LEFT($AH355,3)="BIR",LEFT($AH355,3)="MAP",$AH355="PC",$AH355="MC",$AH355="SCLC",$AH355="P-LAM")),"WD","HM")&amp;"1.75")</f>
        <v/>
      </c>
      <c r="DD355" s="99">
        <f>IF($CJ355="","",IF($O355="Y",$CJ355,SUBSTITUTE($CJ355,$BG355&amp;" "&amp;IFERROR(VLOOKUP($Z355,CODES,2,FALSE),"")&amp;" ",$BG355&amp;" ")))</f>
        <v/>
      </c>
      <c r="DE355" s="99">
        <f>IF($CK355="","",IF($O355="Y",$CK355,SUBSTITUTE($CK355,$BG355&amp;" "&amp;IF($AN355="",IFERROR(VLOOKUP($Z355,CODES,2,FALSE),""),IFERROR(VLOOKUP($AN355,CODES,2,FALSE),""))&amp;" ",$BG355&amp;" ")))</f>
        <v/>
      </c>
      <c r="DF355" s="99">
        <f>IF($CJ355="","",$DC355&amp;"|"&amp;$DD355&amp;"|"&amp;$DB355&amp;"|"&amp;$AT355&amp;"|"&amp;$V355&amp;"|"&amp;$Y355&amp;"|"&amp;$AB355)</f>
        <v/>
      </c>
      <c r="DG355" s="99">
        <f>IF(DF355="","",IF(COUNTIF($DF$6:DF355,DF355)=1,MAX($DG$5:DG354)+1,INDEX($DG$5:DG354,MATCH(DF355,$DF$5:DF354,0))))</f>
        <v/>
      </c>
      <c r="DH355" s="99">
        <f>IF($CK355="","",$DC355&amp;"|"&amp;$DE355&amp;"|"&amp;$AI355&amp;"|"&amp;$BK355&amp;"|"&amp;$BL355)</f>
        <v/>
      </c>
      <c r="DI355" s="99">
        <f>IF(DH355="","",IF(COUNTIF($DH$6:DH355,DH355)=1,MAX($DI$5:DI354)+1,INDEX($DI$5:DI354,MATCH(DH355,$DH$5:DH354,0))))</f>
        <v/>
      </c>
      <c r="DJ355" s="99">
        <f>IF($A355="","",IF($B355="","qty, ","")&amp;IF($C355="","scope, ","")&amp;IF(OR($K355="",$M355=""),"size, ","")&amp;IF(AND($A355&lt;&gt;"",$C355&lt;&gt;"DOOR ONLY"),IF($U355="","jamb depth, ","")&amp;IF($X355="","construction, ","")&amp;IF($Y355="","anchor, ","")&amp;IF($S355="","frame type, ",""),"")&amp;IF(AND(N($BJ355)&gt;0,$Z355=""),"hand, ","")&amp;IF(N($BJ355)&gt;0,IF($AH355="","door material, ","")&amp;IF($AL355="","face type, ","")&amp;IF($AP355="","lock prep, ","")&amp;IF(AND($AO355="",$AC355=""),"hinge prep, ",""),"")&amp;IF(AND($CH355&gt;0,$AH355="FRP"),"FRP cannot carry a label, ","")&amp;IF(AND($O355="Y",OR($Z355="L",$Z355="R",$Z355="LR",$Z355="RR")),"pair marked but hand is single, ","")&amp;IF(AND($O355&lt;&gt;"Y",OR($Z355="PR",AND(LEN($Z355)&gt;1,ISNUMBER(SEARCH("-",$Z355))))),"pair hand on a single door, ","")&amp;IF(AND(ISNUMBER($CI355),$CH355&lt;N($CI355)),"wall needs a "&amp;$CI355&amp;" min door, ","")&amp;IF(AND($CH355&gt;=180,AND(OR($CE355="FG",$CE355="HG",$CE355="FNV",$CE355="FV"),N($CF355)*N($CG355)&gt;100)),"180 min lite over 100 sq in, ","")&amp;IF(N($BK355)&gt;48,"leaf wider than 4'-0"&amp;CHAR(34)&amp;", ","")&amp;IF(AND($CT355,COUNT($AW355:$AZ355)=0,$CQ355&gt;0),"CUSTOM LOC with no locations typed, ",""))</f>
        <v/>
      </c>
      <c r="DK355" s="99">
        <f>IF($A355="","",IF(AND($CH355&gt;0,AND($A355&lt;&gt;"",$C355&lt;&gt;"DOOR ONLY"),$X355="KD",$E355="EXTERIOR"),"KD label on an exterior opening, ","")&amp;IF(AND($E355="EXTERIOR",OR(AND(AND($A355&lt;&gt;"",$C355&lt;&gt;"DOOR ONLY"),$W355="CR"),AND(N($BJ355)&gt;0,$AH355="CR"))),"exterior in CR steel (G9?), ","")&amp;IF(AND(ISNUMBER($BQ355),N($BQ355)&lt;32),"clear width ~"&amp;TEXT($BQ355,"0.0")&amp;CHAR(34)&amp;" under 32"&amp;CHAR(34)&amp;" (ADA), ","")&amp;IF(AND($CH355=90,AND(OR($CE355="FG",$CE355="HG",$CE355="FNV",$CE355="FV"),N($CF355)*N($CG355)&gt;100)),"90 min lite over 100 sq in (stair/exit), ","")&amp;IF(AND($CH355&gt;0,AND($A355&lt;&gt;"",$C355&lt;&gt;"DOOR ONLY"),OR($AF355="",$AF355="-")),"rated: closer reinf.?, ","")&amp;IF(OR($I355="CORRIDOR",$I355="SMOKE BARRIER"),"S label + smoke gasketing, ","")&amp;IF($CI355="?","wall type/hr not in IBC table, ","")&amp;IF(AND(N($BJ355)&gt;0,$BB355=""),"no hardware set, ","")&amp;IF(AND($BB355&lt;&gt;"",ISNA(MATCH($BB355&amp;"",HWSets,0))),"set "&amp;$BB355&amp;" not on HW Sets, ","")&amp;IF(N($BL355)&gt;96,"leaf over 8'-0"&amp;CHAR(34)&amp;" - check listing, ","")&amp;IF(AND($CT355,COUNT($AW355:$AZ355)&gt;0,COUNT($AW355:$AZ355)&lt;&gt;$CQ355),COUNT($AW355:$AZ355)&amp;" custom hinges typed, "&amp;$CQ355&amp;" expected, ","")&amp;IF(AND(ISNUMBER($CA355),OR(N($CA355)&lt;34,N($CA355)&gt;48)),"lock "&amp;TEXT($CA355,"0.0")&amp;CHAR(34)&amp;" AFF outside 34-48"&amp;CHAR(34)&amp;" (ADA), ","")&amp;IF(AND(ISNUMBER($AV355),ISNUMBER($BL355),N($AV355)&lt;IF(N($BL355)&lt;=60,2,IF(N($BL355)&lt;=90,3,IF(N($BL355)&lt;=120,4,5)))),"fewer hinges than standard, ",""))</f>
        <v/>
      </c>
    </row>
    <row r="356" ht="15" customHeight="1">
      <c r="A356" s="77" t="n"/>
      <c r="B356" s="78" t="n"/>
      <c r="C356" s="78" t="n"/>
      <c r="D356" s="78" t="n"/>
      <c r="E356" s="78" t="n"/>
      <c r="F356" s="78" t="n"/>
      <c r="G356" s="78" t="n"/>
      <c r="H356" s="78" t="n"/>
      <c r="I356" s="78" t="n"/>
      <c r="J356" s="78" t="n"/>
      <c r="K356" s="78" t="n"/>
      <c r="L356" s="78" t="n"/>
      <c r="M356" s="78" t="n"/>
      <c r="N356" s="78" t="n"/>
      <c r="O356" s="78" t="n"/>
      <c r="P356" s="78" t="n"/>
      <c r="Q356" s="78" t="n"/>
      <c r="R356" s="78" t="n"/>
      <c r="S356" s="79" t="n"/>
      <c r="T356" s="79" t="n"/>
      <c r="U356" s="79" t="n"/>
      <c r="V356" s="79" t="n"/>
      <c r="W356" s="79" t="n"/>
      <c r="X356" s="79" t="n"/>
      <c r="Y356" s="79" t="n"/>
      <c r="Z356" s="79" t="n"/>
      <c r="AA356" s="79" t="n"/>
      <c r="AB356" s="79" t="n"/>
      <c r="AC356" s="79" t="n"/>
      <c r="AD356" s="79" t="n"/>
      <c r="AE356" s="79" t="n"/>
      <c r="AF356" s="79" t="n"/>
      <c r="AG356" s="79" t="n"/>
      <c r="AH356" s="80" t="n"/>
      <c r="AI356" s="80" t="n"/>
      <c r="AJ356" s="80" t="n"/>
      <c r="AK356" s="80" t="n"/>
      <c r="AL356" s="80" t="n"/>
      <c r="AM356" s="80" t="n"/>
      <c r="AN356" s="80" t="n"/>
      <c r="AO356" s="80" t="n"/>
      <c r="AP356" s="80" t="n"/>
      <c r="AQ356" s="80" t="n"/>
      <c r="AR356" s="80" t="n"/>
      <c r="AS356" s="80" t="n"/>
      <c r="AT356" s="81" t="n"/>
      <c r="AU356" s="81" t="n"/>
      <c r="AV356" s="81" t="n"/>
      <c r="AW356" s="82" t="n"/>
      <c r="AX356" s="82" t="n"/>
      <c r="AY356" s="82" t="n"/>
      <c r="AZ356" s="82" t="n"/>
      <c r="BA356" s="82" t="n"/>
      <c r="BB356" s="83" t="n"/>
      <c r="BC356" s="83" t="n"/>
      <c r="BD356" s="84">
        <f>IF($A356="","",IF($DJ356&lt;&gt;"","FIX",IF($DK356&lt;&gt;"","CHECK","OK")))</f>
        <v/>
      </c>
      <c r="BE356" s="85">
        <f>IF($A356="","",IF($DJ356&lt;&gt;"","FIX: "&amp;LEFT($DJ356,LEN($DJ356)-2)&amp;IF($DK356&lt;&gt;"","  ·  ",""),"")&amp;IF($DK356&lt;&gt;"","CHECK: "&amp;LEFT($DK356,LEN($DK356)-2),""))</f>
        <v/>
      </c>
      <c r="BF356" s="84">
        <f>IF(OR($A356="",$K356=""),"",$K356&amp;"'-"&amp;N($L356)&amp;CHAR(34)&amp;" x "&amp;$M356&amp;"'-"&amp;N($N356)&amp;CHAR(34))</f>
        <v/>
      </c>
      <c r="BG356" s="84">
        <f>IF(OR($A356="",$K356=""),"",$K356&amp;N($L356)&amp;$M356&amp;N($N356))</f>
        <v/>
      </c>
      <c r="BH356" s="84">
        <f>IF(OR($A356="",$K356=""),"",$K356*12+N($L356))</f>
        <v/>
      </c>
      <c r="BI356" s="84">
        <f>IF(OR($A356="",$M356=""),"",$M356*12+N($N356))</f>
        <v/>
      </c>
      <c r="BJ356" s="84">
        <f>IF($A356="","",IF(OR($C356="FRAME ONLY",$S356="BL"),0,IF($O356="Y",2,1)))</f>
        <v/>
      </c>
      <c r="BK356" s="86">
        <f>IF(OR(N($BJ356)=0,$BH356=""),"",($BH356-2*EdgeClr-IF($BJ356=2,MeetClr,0))/$BJ356)</f>
        <v/>
      </c>
      <c r="BL356" s="86">
        <f>IF(OR(N($BJ356)=0,$BI356=""),"",$BI356-HeadClr-Undercut)</f>
        <v/>
      </c>
      <c r="BM356" s="86">
        <f>IF($BH356="","",$BH356+2*FaceW+IF(N($Q356)&gt;0,($Q356+FaceW)*IF($R356="LR",2,1),0))</f>
        <v/>
      </c>
      <c r="BN356" s="86">
        <f>IF($BI356="","",$BI356+IF($AB356="Y",4,FaceW)+IF(N($P356)&gt;0,$P356+FaceW,0)+IF(OR($S356="4F",$S356="BL"),FaceW,0))</f>
        <v/>
      </c>
      <c r="BO356" s="86">
        <f>IF($BM356="","",$BM356+2*ROSide)</f>
        <v/>
      </c>
      <c r="BP356" s="86">
        <f>IF($BN356="","",$BN356+ROTop)</f>
        <v/>
      </c>
      <c r="BQ356" s="87">
        <f>IF(OR(N($BJ356)=0,$BH356=""),"",$BH356/$BJ356-ClearDeduct)</f>
        <v/>
      </c>
      <c r="BR356" s="84">
        <f>IF(N($CH356)=0,"",IF($CH356&gt;=180,"A · 3 HR",IF($CH356&gt;=90,"B · 1-1/2 HR",IF($CH356&gt;=60,"B · 1 HR",IF($CH356&gt;=45,"C · 3/4 HR","20 MIN")))))&amp;IF(AND(N($CH356)&gt;0,OR($I356="CORRIDOR",$I356="SMOKE BARRIER"))," · S","")</f>
        <v/>
      </c>
      <c r="BS356" s="84">
        <f>IF($CS356,"",IF($AV356&lt;&gt;"",$AV356,IF(OR($AC356="HGC",$AO356="HGC"),"CONT",IF(($BI356-HeadClr-Undercut)&lt;=60,2,IF(($BI356-HeadClr-Undercut)&lt;=90,3,IF(($BI356-HeadClr-Undercut)&lt;=120,4,5))))))</f>
        <v/>
      </c>
      <c r="BT356" s="84">
        <f>IF($CS356,"",IF($CT356,"CUSTOM (typed)",IF($CV356,$AT356&amp;" "&amp;$CU356&amp;CHAR(34)&amp;IF($CU356&lt;&gt;$BI356,IF(AND($BI356&lt;$CU356,$BI356-IF(N(VLOOKUP($AT356&amp;"|"&amp;$CU356,LocTable,7,FALSE))&gt;0,VLOOKUP($AT356&amp;"|"&amp;$CU356,LocTable,7,FALSE),VLOOKUP($AT356&amp;"|"&amp;$CU356,LocTable,6,FALSE))-$CR356-0.75&gt;=2.125)," cut down"," adj."),""),"ANSI/SDI A250.6")))</f>
        <v/>
      </c>
      <c r="BU356" s="88">
        <f>IF($CS356,"",IF($CT356,IF(N($AW356)&gt;0,N($AW356),""),IF(1&gt;$CQ356,"",IF($CQ356=1,$CW356,$CW356+($CX356-$CW356)*0/($CQ356-1)))))</f>
        <v/>
      </c>
      <c r="BV356" s="88">
        <f>IF($CS356,"",IF($CT356,IF(N($AX356)&gt;0,N($AX356),""),IF(2&gt;$CQ356,"",IF($CQ356=1,$CW356,$CW356+($CX356-$CW356)*1/($CQ356-1)))))</f>
        <v/>
      </c>
      <c r="BW356" s="88">
        <f>IF($CS356,"",IF($CT356,IF(N($AY356)&gt;0,N($AY356),""),IF(3&gt;$CQ356,"",IF($CQ356=1,$CW356,$CW356+($CX356-$CW356)*2/($CQ356-1)))))</f>
        <v/>
      </c>
      <c r="BX356" s="88">
        <f>IF($CS356,"",IF($CT356,IF(N($AZ356)&gt;0,N($AZ356),""),IF(4&gt;$CQ356,"",IF($CQ356=1,$CW356,$CW356+($CX356-$CW356)*3/($CQ356-1)))))</f>
        <v/>
      </c>
      <c r="BY356" s="88">
        <f>IF($CS356,"",IF($CT356,"",IF(5&gt;$CQ356,"",IF($CQ356=1,$CW356,$CW356+($CX356-$CW356)*4/($CQ356-1)))))</f>
        <v/>
      </c>
      <c r="BZ356" s="88">
        <f>IF(OR($CS356,$AP356="-",AND($AP356="",$AD356="")),"",IF(N($BA356)&gt;0,N($BA356),IF($CV356,IF(AND($BI356&lt;$CU356,$BI356-IF(N(VLOOKUP($AT356&amp;"|"&amp;$CU356,LocTable,7,FALSE))&gt;0,VLOOKUP($AT356&amp;"|"&amp;$CU356,LocTable,7,FALSE),VLOOKUP($AT356&amp;"|"&amp;$CU356,LocTable,6,FALSE))-$CR356-0.75&gt;=2.125),VLOOKUP($AT356&amp;"|"&amp;$CU356,LocTable,8,FALSE),VLOOKUP($AT356&amp;"|"&amp;$CU356,LocTable,8,FALSE)+($BI356-$CU356)),$BI356-LockAFF)))</f>
        <v/>
      </c>
      <c r="CA356" s="89">
        <f>IF($BZ356="","",$BI356-$BZ356)</f>
        <v/>
      </c>
      <c r="CB356" s="84">
        <f>IF(OR(NOT(AND($A356&lt;&gt;"",$C356&lt;&gt;"DOOR ONLY")),$BI356=""),"",IF(($BI356+IF(N($P356)&gt;0,$P356+FaceW,0))&lt;=90,3,IF(($BI356+IF(N($P356)&gt;0,$P356+FaceW,0))&lt;=114,4,5)))</f>
        <v/>
      </c>
      <c r="CC356" s="84">
        <f>IF($CB356="","",$CB356*(2+IF(N($Q356)&gt;0,IF($R356="LR",2,1),0)))</f>
        <v/>
      </c>
      <c r="CD356" s="84">
        <f>IF($CB356="","",(2+IF(N($Q356)&gt;0,IF($R356="LR",2,1),0)))</f>
        <v/>
      </c>
      <c r="CE356" s="84">
        <f>IF(N($BJ356)=0,"",IF(OR($AL356="",$AL356="FLUSH"),"FLUSH",IFERROR(LEFT($AL356,FIND("-",$AL356)-1),LEFT($AL356,2))))</f>
        <v/>
      </c>
      <c r="CF356" s="84">
        <f>IF($CE356="","",IFERROR(VALUE(MID($AL356,FIND("-",$AL356)+1,FIND(CHAR(34)&amp;"x",$AL356)-FIND("-",$AL356)-1)),0))</f>
        <v/>
      </c>
      <c r="CG356" s="84">
        <f>IF($CE356="","",IFERROR(VALUE(MID($AL356,FIND(CHAR(34)&amp;"x",$AL356)+2,FIND(CHAR(34),$AL356,FIND(CHAR(34)&amp;"x",$AL356)+2)-FIND(CHAR(34)&amp;"x",$AL356)-2)),0))</f>
        <v/>
      </c>
      <c r="CH356" s="90">
        <f>IF(OR($A356="",$H356="",$H356="NO LAB"),0,IFERROR(VALUE(LEFT($H356,FIND(" ",$H356)-1)),0))</f>
        <v/>
      </c>
      <c r="CI356" s="91">
        <f>IF(OR($A356="",$I356="",$I356="NON-RATED",N($J356)=0),"",IFERROR(VLOOKUP($I356&amp;"|"&amp;$J356,IBC,2,FALSE),"?"))</f>
        <v/>
      </c>
      <c r="CJ356" s="85">
        <f>IF(NOT(AND($A356&lt;&gt;"",$C356&lt;&gt;"DOOR ONLY")),"",TRIM(IFERROR(VLOOKUP($U356,CODES,2,FALSE),"")&amp;" "&amp;$BG356&amp;" "&amp;IFERROR(VLOOKUP($Z356,CODES,2,FALSE),"")&amp;" "&amp;IFERROR(VLOOKUP($X356,CODES,2,FALSE),"")&amp;" "&amp;IFERROR(VLOOKUP($S356,CODES,2,FALSE),"")&amp;IF(N($P356)&gt;0," w/TRANSOM "&amp;$P356&amp;CHAR(34),"")&amp;IF(N($Q356)&gt;0," w/SIDELITE "&amp;$Q356&amp;CHAR(34)&amp;" "&amp;IF($R356="","R",$R356),"")&amp;IF($Y356="","  |  "," | "&amp;IFERROR(VLOOKUP($Y356,CODES,2,FALSE),"")&amp;" | ")&amp;IFERROR(VLOOKUP($AC356,CODES,2,FALSE),"")&amp;" "&amp;IFERROR(VLOOKUP($AD356,CODES,2,FALSE),"")&amp;IF(OR($AE356="",$AE356="-"),""," "&amp;$AE356)&amp;IF(OR($AF356="",$AF356="-"),""," "&amp;$AF356)&amp;IF($AB356="Y"," 4"&amp;CHAR(34)&amp;" HEAD","")&amp;" "&amp;IFERROR(VLOOKUP($H356,CODES,2,FALSE),"")&amp;IF($CT356," | LOC "&amp;$CY356,"")))</f>
        <v/>
      </c>
      <c r="CK356" s="85">
        <f>IF(NOT(AND($A356&lt;&gt;"",N($BJ356)&gt;0)),"",TRIM(IFERROR(VLOOKUP($AH356,CODES,2,FALSE),"")&amp;IF($AI356=""," "," "&amp;$AI356&amp;"GA ")&amp;$BG356&amp;" "&amp;IF($AN356="",IFERROR(VLOOKUP($Z356,CODES,2,FALSE),""),IFERROR(VLOOKUP($AN356,CODES,2,FALSE),""))&amp;IF($BJ356=2," PAIR","")&amp;" DOOR | "&amp;IF($AL356="","?",$AL356)&amp;" | "&amp;IF($AO356="",IFERROR(VLOOKUP($AC356,CODES,2,FALSE),""),IFERROR(VLOOKUP($AO356,CODES,2,FALSE),""))&amp;" "&amp;IFERROR(VLOOKUP($AP356,CODES,2,FALSE),"")&amp;IF(OR($AQ356="",$AQ356="-"),""," SEAM "&amp;$AQ356)&amp;IF($AR356="Y"," ASTRAGAL","")&amp;IF($AJ356=""," "," "&amp;$AJ356)&amp;IF($AK356=""," "," "&amp;$AK356)&amp;IF(OR($AT356="",$AT356="ANSI/SDI",$AT356="CUSTOM LOC"),""," "&amp;$AT356)&amp;IF($AM356=""," "," SERIES "&amp;$AM356)&amp;" "&amp;IFERROR(VLOOKUP($H356,CODES,2,FALSE),"")&amp;IF($CT356," | LOC "&amp;$CZ356,"")))</f>
        <v/>
      </c>
      <c r="CL356" s="84">
        <f>IF(CP356="","",IF(COUNTIF($CP$6:CP356,CP356)=1,MAX($CL$5:CL355)+1,INDEX($CL$5:CL355,MATCH(CP356,$CP$5:CP355,0))))</f>
        <v/>
      </c>
      <c r="CM356" s="84">
        <f>IF(NOT(AND($A356&lt;&gt;"",$C356&lt;&gt;"DOOR ONLY")),"",MAX($CM$5:CM355)+1)</f>
        <v/>
      </c>
      <c r="CN356" s="84">
        <f>IF(NOT(AND($A356&lt;&gt;"",N($BJ356)&gt;0)),"",MAX($CN$5:CN355)+1)</f>
        <v/>
      </c>
      <c r="CO356" s="84">
        <f>IF($A356="","",MAX($CO$5:CO355)+1)</f>
        <v/>
      </c>
      <c r="CP356" s="84">
        <f>IF(OR($A356="",$BH356="",$BI356=""),"",$BG356&amp;"|"&amp;$O356&amp;"|"&amp;$AL356&amp;"|"&amp;$S356&amp;"|"&amp;$P356&amp;"|"&amp;$Q356&amp;$R356&amp;"|"&amp;$C356&amp;"|"&amp;$AB356)</f>
        <v/>
      </c>
      <c r="CQ356" s="84">
        <f>N($BS356)</f>
        <v/>
      </c>
      <c r="CR356" s="84">
        <f>IF(N($AU356)&gt;0,N($AU356),4.5)</f>
        <v/>
      </c>
      <c r="CS356" s="84">
        <f>OR($A356="",$BI356="",$S356="BL",AND($C356="FRAME ONLY",OR($AC356="",$AC356="BLK")))</f>
        <v/>
      </c>
      <c r="CT356" s="84">
        <f>AND(NOT($CS356),OR($AT356="CUSTOM LOC",N($AW356)+N($AX356)+N($AY356)+N($AZ356)+N($BA356)&gt;0))</f>
        <v/>
      </c>
      <c r="CU356" s="84">
        <f>IF($BI356="","",IF($BI356&lt;=80,80,IF($BI356&lt;=84,84,96)))</f>
        <v/>
      </c>
      <c r="CV356" s="84">
        <f>ISNUMBER(MATCH($AT356&amp;"|80",LocKeys,0))</f>
        <v/>
      </c>
      <c r="CW356" s="86">
        <f>IF($CS356,"",IF($CV356,VLOOKUP($AT356&amp;"|"&amp;$CU356,LocTable,4,FALSE),5))</f>
        <v/>
      </c>
      <c r="CX356" s="86">
        <f>IF($CS356,"",IF($CV356,IF(OR($BI356=$CU356,AND($BI356&lt;$CU356,$BI356-IF(N(VLOOKUP($AT356&amp;"|"&amp;$CU356,LocTable,7,FALSE))&gt;0,VLOOKUP($AT356&amp;"|"&amp;$CU356,LocTable,7,FALSE),VLOOKUP($AT356&amp;"|"&amp;$CU356,LocTable,6,FALSE))-$CR356-0.75&gt;=2.125)),IF(N(VLOOKUP($AT356&amp;"|"&amp;$CU356,LocTable,7,FALSE))&gt;0,VLOOKUP($AT356&amp;"|"&amp;$CU356,LocTable,7,FALSE),VLOOKUP($AT356&amp;"|"&amp;$CU356,LocTable,6,FALSE)),$BI356-($CU356-IF(N(VLOOKUP($AT356&amp;"|"&amp;$CU356,LocTable,7,FALSE))&gt;0,VLOOKUP($AT356&amp;"|"&amp;$CU356,LocTable,7,FALSE),VLOOKUP($AT356&amp;"|"&amp;$CU356,LocTable,6,FALSE)))),$BI356-10-$CR356))</f>
        <v/>
      </c>
      <c r="CY356" s="85">
        <f>IF($CS356,"",TRIM(IF(ISNUMBER($BU356),"A "&amp;TRIM(TEXT($BU356,"# ?/??"))&amp;CHAR(34)&amp;"  ","")&amp;IF(ISNUMBER($BV356),"B "&amp;TRIM(TEXT($BV356,"# ?/??"))&amp;CHAR(34)&amp;"  ","")&amp;IF(ISNUMBER($BW356),"C "&amp;TRIM(TEXT($BW356,"# ?/??"))&amp;CHAR(34)&amp;"  ","")&amp;IF(ISNUMBER($BX356),"D "&amp;TRIM(TEXT($BX356,"# ?/??"))&amp;CHAR(34)&amp;"  ","")&amp;IF(ISNUMBER($BY356),"F "&amp;TRIM(TEXT($BY356,"# ?/??"))&amp;CHAR(34)&amp;"  ","")&amp;IF(ISNUMBER($BZ356),"E "&amp;TRIM(TEXT($BZ356,"# ?/??"))&amp;CHAR(34)&amp;"  ","")))</f>
        <v/>
      </c>
      <c r="CZ356" s="85">
        <f>IF(OR($CS356,N($BJ356)=0),"",TRIM(IF(ISNUMBER($BU356),"A "&amp;TRIM(TEXT($BU356-HeadClr,"# ?/??"))&amp;CHAR(34)&amp;"  ","")&amp;IF(ISNUMBER($BV356),"B "&amp;TRIM(TEXT($BV356-HeadClr,"# ?/??"))&amp;CHAR(34)&amp;"  ","")&amp;IF(ISNUMBER($BW356),"C "&amp;TRIM(TEXT($BW356-HeadClr,"# ?/??"))&amp;CHAR(34)&amp;"  ","")&amp;IF(ISNUMBER($BX356),"D "&amp;TRIM(TEXT($BX356-HeadClr,"# ?/??"))&amp;CHAR(34)&amp;"  ","")&amp;IF(ISNUMBER($BY356),"F "&amp;TRIM(TEXT($BY356-HeadClr,"# ?/??"))&amp;CHAR(34)&amp;"  ","")&amp;IF(ISNUMBER($BZ356),"E "&amp;TRIM(TEXT($BZ356-HeadClr,"# ?/??"))&amp;CHAR(34)&amp;"  ","")))</f>
        <v/>
      </c>
      <c r="DA356" s="84">
        <f>IF($A356="","",IF($AN356="",IFERROR(VLOOKUP($Z356,CODES,2,FALSE),""),IFERROR(VLOOKUP($AN356,CODES,2,FALSE),"")))</f>
        <v/>
      </c>
      <c r="DB356" s="84">
        <f>IF($A356="","",IF($O356="Y","PR",IF(OR($Z356="L",$Z356="RR",LEFT($Z356,2)="L-",LEFT($Z356,3)="RR-"),"LH","RH")))</f>
        <v/>
      </c>
      <c r="DC356" s="84">
        <f>IF($A356="","","S.HM"&amp;IF(OR($C356="DOOR ONLY",$X356&lt;&gt;"KD"),"MASONRY","DRYWALL")&amp;IF($C356="DOOR ONLY","",$U356)&amp;IF(AND($C356&lt;&gt;"FRAME ONLY",OR(LEFT($AH356,3)="OAK",LEFT($AH356,3)="BIR",LEFT($AH356,3)="MAP",$AH356="PC",$AH356="MC",$AH356="SCLC",$AH356="P-LAM")),"WD","HM")&amp;"1.75")</f>
        <v/>
      </c>
      <c r="DD356" s="84">
        <f>IF($CJ356="","",IF($O356="Y",$CJ356,SUBSTITUTE($CJ356,$BG356&amp;" "&amp;IFERROR(VLOOKUP($Z356,CODES,2,FALSE),"")&amp;" ",$BG356&amp;" ")))</f>
        <v/>
      </c>
      <c r="DE356" s="84">
        <f>IF($CK356="","",IF($O356="Y",$CK356,SUBSTITUTE($CK356,$BG356&amp;" "&amp;IF($AN356="",IFERROR(VLOOKUP($Z356,CODES,2,FALSE),""),IFERROR(VLOOKUP($AN356,CODES,2,FALSE),""))&amp;" ",$BG356&amp;" ")))</f>
        <v/>
      </c>
      <c r="DF356" s="84">
        <f>IF($CJ356="","",$DC356&amp;"|"&amp;$DD356&amp;"|"&amp;$DB356&amp;"|"&amp;$AT356&amp;"|"&amp;$V356&amp;"|"&amp;$Y356&amp;"|"&amp;$AB356)</f>
        <v/>
      </c>
      <c r="DG356" s="84">
        <f>IF(DF356="","",IF(COUNTIF($DF$6:DF356,DF356)=1,MAX($DG$5:DG355)+1,INDEX($DG$5:DG355,MATCH(DF356,$DF$5:DF355,0))))</f>
        <v/>
      </c>
      <c r="DH356" s="84">
        <f>IF($CK356="","",$DC356&amp;"|"&amp;$DE356&amp;"|"&amp;$AI356&amp;"|"&amp;$BK356&amp;"|"&amp;$BL356)</f>
        <v/>
      </c>
      <c r="DI356" s="84">
        <f>IF(DH356="","",IF(COUNTIF($DH$6:DH356,DH356)=1,MAX($DI$5:DI355)+1,INDEX($DI$5:DI355,MATCH(DH356,$DH$5:DH355,0))))</f>
        <v/>
      </c>
      <c r="DJ356" s="84">
        <f>IF($A356="","",IF($B356="","qty, ","")&amp;IF($C356="","scope, ","")&amp;IF(OR($K356="",$M356=""),"size, ","")&amp;IF(AND($A356&lt;&gt;"",$C356&lt;&gt;"DOOR ONLY"),IF($U356="","jamb depth, ","")&amp;IF($X356="","construction, ","")&amp;IF($Y356="","anchor, ","")&amp;IF($S356="","frame type, ",""),"")&amp;IF(AND(N($BJ356)&gt;0,$Z356=""),"hand, ","")&amp;IF(N($BJ356)&gt;0,IF($AH356="","door material, ","")&amp;IF($AL356="","face type, ","")&amp;IF($AP356="","lock prep, ","")&amp;IF(AND($AO356="",$AC356=""),"hinge prep, ",""),"")&amp;IF(AND($CH356&gt;0,$AH356="FRP"),"FRP cannot carry a label, ","")&amp;IF(AND($O356="Y",OR($Z356="L",$Z356="R",$Z356="LR",$Z356="RR")),"pair marked but hand is single, ","")&amp;IF(AND($O356&lt;&gt;"Y",OR($Z356="PR",AND(LEN($Z356)&gt;1,ISNUMBER(SEARCH("-",$Z356))))),"pair hand on a single door, ","")&amp;IF(AND(ISNUMBER($CI356),$CH356&lt;N($CI356)),"wall needs a "&amp;$CI356&amp;" min door, ","")&amp;IF(AND($CH356&gt;=180,AND(OR($CE356="FG",$CE356="HG",$CE356="FNV",$CE356="FV"),N($CF356)*N($CG356)&gt;100)),"180 min lite over 100 sq in, ","")&amp;IF(N($BK356)&gt;48,"leaf wider than 4'-0"&amp;CHAR(34)&amp;", ","")&amp;IF(AND($CT356,COUNT($AW356:$AZ356)=0,$CQ356&gt;0),"CUSTOM LOC with no locations typed, ",""))</f>
        <v/>
      </c>
      <c r="DK356" s="84">
        <f>IF($A356="","",IF(AND($CH356&gt;0,AND($A356&lt;&gt;"",$C356&lt;&gt;"DOOR ONLY"),$X356="KD",$E356="EXTERIOR"),"KD label on an exterior opening, ","")&amp;IF(AND($E356="EXTERIOR",OR(AND(AND($A356&lt;&gt;"",$C356&lt;&gt;"DOOR ONLY"),$W356="CR"),AND(N($BJ356)&gt;0,$AH356="CR"))),"exterior in CR steel (G9?), ","")&amp;IF(AND(ISNUMBER($BQ356),N($BQ356)&lt;32),"clear width ~"&amp;TEXT($BQ356,"0.0")&amp;CHAR(34)&amp;" under 32"&amp;CHAR(34)&amp;" (ADA), ","")&amp;IF(AND($CH356=90,AND(OR($CE356="FG",$CE356="HG",$CE356="FNV",$CE356="FV"),N($CF356)*N($CG356)&gt;100)),"90 min lite over 100 sq in (stair/exit), ","")&amp;IF(AND($CH356&gt;0,AND($A356&lt;&gt;"",$C356&lt;&gt;"DOOR ONLY"),OR($AF356="",$AF356="-")),"rated: closer reinf.?, ","")&amp;IF(OR($I356="CORRIDOR",$I356="SMOKE BARRIER"),"S label + smoke gasketing, ","")&amp;IF($CI356="?","wall type/hr not in IBC table, ","")&amp;IF(AND(N($BJ356)&gt;0,$BB356=""),"no hardware set, ","")&amp;IF(AND($BB356&lt;&gt;"",ISNA(MATCH($BB356&amp;"",HWSets,0))),"set "&amp;$BB356&amp;" not on HW Sets, ","")&amp;IF(N($BL356)&gt;96,"leaf over 8'-0"&amp;CHAR(34)&amp;" - check listing, ","")&amp;IF(AND($CT356,COUNT($AW356:$AZ356)&gt;0,COUNT($AW356:$AZ356)&lt;&gt;$CQ356),COUNT($AW356:$AZ356)&amp;" custom hinges typed, "&amp;$CQ356&amp;" expected, ","")&amp;IF(AND(ISNUMBER($CA356),OR(N($CA356)&lt;34,N($CA356)&gt;48)),"lock "&amp;TEXT($CA356,"0.0")&amp;CHAR(34)&amp;" AFF outside 34-48"&amp;CHAR(34)&amp;" (ADA), ","")&amp;IF(AND(ISNUMBER($AV356),ISNUMBER($BL356),N($AV356)&lt;IF(N($BL356)&lt;=60,2,IF(N($BL356)&lt;=90,3,IF(N($BL356)&lt;=120,4,5)))),"fewer hinges than standard, ",""))</f>
        <v/>
      </c>
    </row>
    <row r="357" ht="15" customHeight="1">
      <c r="A357" s="77" t="n"/>
      <c r="B357" s="78" t="n"/>
      <c r="C357" s="78" t="n"/>
      <c r="D357" s="78" t="n"/>
      <c r="E357" s="78" t="n"/>
      <c r="F357" s="78" t="n"/>
      <c r="G357" s="78" t="n"/>
      <c r="H357" s="78" t="n"/>
      <c r="I357" s="78" t="n"/>
      <c r="J357" s="78" t="n"/>
      <c r="K357" s="78" t="n"/>
      <c r="L357" s="78" t="n"/>
      <c r="M357" s="78" t="n"/>
      <c r="N357" s="78" t="n"/>
      <c r="O357" s="78" t="n"/>
      <c r="P357" s="78" t="n"/>
      <c r="Q357" s="78" t="n"/>
      <c r="R357" s="78" t="n"/>
      <c r="S357" s="79" t="n"/>
      <c r="T357" s="79" t="n"/>
      <c r="U357" s="79" t="n"/>
      <c r="V357" s="79" t="n"/>
      <c r="W357" s="79" t="n"/>
      <c r="X357" s="79" t="n"/>
      <c r="Y357" s="79" t="n"/>
      <c r="Z357" s="79" t="n"/>
      <c r="AA357" s="79" t="n"/>
      <c r="AB357" s="79" t="n"/>
      <c r="AC357" s="79" t="n"/>
      <c r="AD357" s="79" t="n"/>
      <c r="AE357" s="79" t="n"/>
      <c r="AF357" s="79" t="n"/>
      <c r="AG357" s="79" t="n"/>
      <c r="AH357" s="80" t="n"/>
      <c r="AI357" s="80" t="n"/>
      <c r="AJ357" s="80" t="n"/>
      <c r="AK357" s="80" t="n"/>
      <c r="AL357" s="80" t="n"/>
      <c r="AM357" s="80" t="n"/>
      <c r="AN357" s="80" t="n"/>
      <c r="AO357" s="80" t="n"/>
      <c r="AP357" s="80" t="n"/>
      <c r="AQ357" s="80" t="n"/>
      <c r="AR357" s="80" t="n"/>
      <c r="AS357" s="80" t="n"/>
      <c r="AT357" s="81" t="n"/>
      <c r="AU357" s="81" t="n"/>
      <c r="AV357" s="81" t="n"/>
      <c r="AW357" s="82" t="n"/>
      <c r="AX357" s="82" t="n"/>
      <c r="AY357" s="82" t="n"/>
      <c r="AZ357" s="82" t="n"/>
      <c r="BA357" s="82" t="n"/>
      <c r="BB357" s="83" t="n"/>
      <c r="BC357" s="83" t="n"/>
      <c r="BD357" s="84">
        <f>IF($A357="","",IF($DJ357&lt;&gt;"","FIX",IF($DK357&lt;&gt;"","CHECK","OK")))</f>
        <v/>
      </c>
      <c r="BE357" s="85">
        <f>IF($A357="","",IF($DJ357&lt;&gt;"","FIX: "&amp;LEFT($DJ357,LEN($DJ357)-2)&amp;IF($DK357&lt;&gt;"","  ·  ",""),"")&amp;IF($DK357&lt;&gt;"","CHECK: "&amp;LEFT($DK357,LEN($DK357)-2),""))</f>
        <v/>
      </c>
      <c r="BF357" s="84">
        <f>IF(OR($A357="",$K357=""),"",$K357&amp;"'-"&amp;N($L357)&amp;CHAR(34)&amp;" x "&amp;$M357&amp;"'-"&amp;N($N357)&amp;CHAR(34))</f>
        <v/>
      </c>
      <c r="BG357" s="84">
        <f>IF(OR($A357="",$K357=""),"",$K357&amp;N($L357)&amp;$M357&amp;N($N357))</f>
        <v/>
      </c>
      <c r="BH357" s="84">
        <f>IF(OR($A357="",$K357=""),"",$K357*12+N($L357))</f>
        <v/>
      </c>
      <c r="BI357" s="84">
        <f>IF(OR($A357="",$M357=""),"",$M357*12+N($N357))</f>
        <v/>
      </c>
      <c r="BJ357" s="84">
        <f>IF($A357="","",IF(OR($C357="FRAME ONLY",$S357="BL"),0,IF($O357="Y",2,1)))</f>
        <v/>
      </c>
      <c r="BK357" s="86">
        <f>IF(OR(N($BJ357)=0,$BH357=""),"",($BH357-2*EdgeClr-IF($BJ357=2,MeetClr,0))/$BJ357)</f>
        <v/>
      </c>
      <c r="BL357" s="86">
        <f>IF(OR(N($BJ357)=0,$BI357=""),"",$BI357-HeadClr-Undercut)</f>
        <v/>
      </c>
      <c r="BM357" s="86">
        <f>IF($BH357="","",$BH357+2*FaceW+IF(N($Q357)&gt;0,($Q357+FaceW)*IF($R357="LR",2,1),0))</f>
        <v/>
      </c>
      <c r="BN357" s="86">
        <f>IF($BI357="","",$BI357+IF($AB357="Y",4,FaceW)+IF(N($P357)&gt;0,$P357+FaceW,0)+IF(OR($S357="4F",$S357="BL"),FaceW,0))</f>
        <v/>
      </c>
      <c r="BO357" s="86">
        <f>IF($BM357="","",$BM357+2*ROSide)</f>
        <v/>
      </c>
      <c r="BP357" s="86">
        <f>IF($BN357="","",$BN357+ROTop)</f>
        <v/>
      </c>
      <c r="BQ357" s="87">
        <f>IF(OR(N($BJ357)=0,$BH357=""),"",$BH357/$BJ357-ClearDeduct)</f>
        <v/>
      </c>
      <c r="BR357" s="84">
        <f>IF(N($CH357)=0,"",IF($CH357&gt;=180,"A · 3 HR",IF($CH357&gt;=90,"B · 1-1/2 HR",IF($CH357&gt;=60,"B · 1 HR",IF($CH357&gt;=45,"C · 3/4 HR","20 MIN")))))&amp;IF(AND(N($CH357)&gt;0,OR($I357="CORRIDOR",$I357="SMOKE BARRIER"))," · S","")</f>
        <v/>
      </c>
      <c r="BS357" s="84">
        <f>IF($CS357,"",IF($AV357&lt;&gt;"",$AV357,IF(OR($AC357="HGC",$AO357="HGC"),"CONT",IF(($BI357-HeadClr-Undercut)&lt;=60,2,IF(($BI357-HeadClr-Undercut)&lt;=90,3,IF(($BI357-HeadClr-Undercut)&lt;=120,4,5))))))</f>
        <v/>
      </c>
      <c r="BT357" s="84">
        <f>IF($CS357,"",IF($CT357,"CUSTOM (typed)",IF($CV357,$AT357&amp;" "&amp;$CU357&amp;CHAR(34)&amp;IF($CU357&lt;&gt;$BI357,IF(AND($BI357&lt;$CU357,$BI357-IF(N(VLOOKUP($AT357&amp;"|"&amp;$CU357,LocTable,7,FALSE))&gt;0,VLOOKUP($AT357&amp;"|"&amp;$CU357,LocTable,7,FALSE),VLOOKUP($AT357&amp;"|"&amp;$CU357,LocTable,6,FALSE))-$CR357-0.75&gt;=2.125)," cut down"," adj."),""),"ANSI/SDI A250.6")))</f>
        <v/>
      </c>
      <c r="BU357" s="88">
        <f>IF($CS357,"",IF($CT357,IF(N($AW357)&gt;0,N($AW357),""),IF(1&gt;$CQ357,"",IF($CQ357=1,$CW357,$CW357+($CX357-$CW357)*0/($CQ357-1)))))</f>
        <v/>
      </c>
      <c r="BV357" s="88">
        <f>IF($CS357,"",IF($CT357,IF(N($AX357)&gt;0,N($AX357),""),IF(2&gt;$CQ357,"",IF($CQ357=1,$CW357,$CW357+($CX357-$CW357)*1/($CQ357-1)))))</f>
        <v/>
      </c>
      <c r="BW357" s="88">
        <f>IF($CS357,"",IF($CT357,IF(N($AY357)&gt;0,N($AY357),""),IF(3&gt;$CQ357,"",IF($CQ357=1,$CW357,$CW357+($CX357-$CW357)*2/($CQ357-1)))))</f>
        <v/>
      </c>
      <c r="BX357" s="88">
        <f>IF($CS357,"",IF($CT357,IF(N($AZ357)&gt;0,N($AZ357),""),IF(4&gt;$CQ357,"",IF($CQ357=1,$CW357,$CW357+($CX357-$CW357)*3/($CQ357-1)))))</f>
        <v/>
      </c>
      <c r="BY357" s="88">
        <f>IF($CS357,"",IF($CT357,"",IF(5&gt;$CQ357,"",IF($CQ357=1,$CW357,$CW357+($CX357-$CW357)*4/($CQ357-1)))))</f>
        <v/>
      </c>
      <c r="BZ357" s="88">
        <f>IF(OR($CS357,$AP357="-",AND($AP357="",$AD357="")),"",IF(N($BA357)&gt;0,N($BA357),IF($CV357,IF(AND($BI357&lt;$CU357,$BI357-IF(N(VLOOKUP($AT357&amp;"|"&amp;$CU357,LocTable,7,FALSE))&gt;0,VLOOKUP($AT357&amp;"|"&amp;$CU357,LocTable,7,FALSE),VLOOKUP($AT357&amp;"|"&amp;$CU357,LocTable,6,FALSE))-$CR357-0.75&gt;=2.125),VLOOKUP($AT357&amp;"|"&amp;$CU357,LocTable,8,FALSE),VLOOKUP($AT357&amp;"|"&amp;$CU357,LocTable,8,FALSE)+($BI357-$CU357)),$BI357-LockAFF)))</f>
        <v/>
      </c>
      <c r="CA357" s="89">
        <f>IF($BZ357="","",$BI357-$BZ357)</f>
        <v/>
      </c>
      <c r="CB357" s="84">
        <f>IF(OR(NOT(AND($A357&lt;&gt;"",$C357&lt;&gt;"DOOR ONLY")),$BI357=""),"",IF(($BI357+IF(N($P357)&gt;0,$P357+FaceW,0))&lt;=90,3,IF(($BI357+IF(N($P357)&gt;0,$P357+FaceW,0))&lt;=114,4,5)))</f>
        <v/>
      </c>
      <c r="CC357" s="84">
        <f>IF($CB357="","",$CB357*(2+IF(N($Q357)&gt;0,IF($R357="LR",2,1),0)))</f>
        <v/>
      </c>
      <c r="CD357" s="84">
        <f>IF($CB357="","",(2+IF(N($Q357)&gt;0,IF($R357="LR",2,1),0)))</f>
        <v/>
      </c>
      <c r="CE357" s="84">
        <f>IF(N($BJ357)=0,"",IF(OR($AL357="",$AL357="FLUSH"),"FLUSH",IFERROR(LEFT($AL357,FIND("-",$AL357)-1),LEFT($AL357,2))))</f>
        <v/>
      </c>
      <c r="CF357" s="84">
        <f>IF($CE357="","",IFERROR(VALUE(MID($AL357,FIND("-",$AL357)+1,FIND(CHAR(34)&amp;"x",$AL357)-FIND("-",$AL357)-1)),0))</f>
        <v/>
      </c>
      <c r="CG357" s="84">
        <f>IF($CE357="","",IFERROR(VALUE(MID($AL357,FIND(CHAR(34)&amp;"x",$AL357)+2,FIND(CHAR(34),$AL357,FIND(CHAR(34)&amp;"x",$AL357)+2)-FIND(CHAR(34)&amp;"x",$AL357)-2)),0))</f>
        <v/>
      </c>
      <c r="CH357" s="90">
        <f>IF(OR($A357="",$H357="",$H357="NO LAB"),0,IFERROR(VALUE(LEFT($H357,FIND(" ",$H357)-1)),0))</f>
        <v/>
      </c>
      <c r="CI357" s="91">
        <f>IF(OR($A357="",$I357="",$I357="NON-RATED",N($J357)=0),"",IFERROR(VLOOKUP($I357&amp;"|"&amp;$J357,IBC,2,FALSE),"?"))</f>
        <v/>
      </c>
      <c r="CJ357" s="85">
        <f>IF(NOT(AND($A357&lt;&gt;"",$C357&lt;&gt;"DOOR ONLY")),"",TRIM(IFERROR(VLOOKUP($U357,CODES,2,FALSE),"")&amp;" "&amp;$BG357&amp;" "&amp;IFERROR(VLOOKUP($Z357,CODES,2,FALSE),"")&amp;" "&amp;IFERROR(VLOOKUP($X357,CODES,2,FALSE),"")&amp;" "&amp;IFERROR(VLOOKUP($S357,CODES,2,FALSE),"")&amp;IF(N($P357)&gt;0," w/TRANSOM "&amp;$P357&amp;CHAR(34),"")&amp;IF(N($Q357)&gt;0," w/SIDELITE "&amp;$Q357&amp;CHAR(34)&amp;" "&amp;IF($R357="","R",$R357),"")&amp;IF($Y357="","  |  "," | "&amp;IFERROR(VLOOKUP($Y357,CODES,2,FALSE),"")&amp;" | ")&amp;IFERROR(VLOOKUP($AC357,CODES,2,FALSE),"")&amp;" "&amp;IFERROR(VLOOKUP($AD357,CODES,2,FALSE),"")&amp;IF(OR($AE357="",$AE357="-"),""," "&amp;$AE357)&amp;IF(OR($AF357="",$AF357="-"),""," "&amp;$AF357)&amp;IF($AB357="Y"," 4"&amp;CHAR(34)&amp;" HEAD","")&amp;" "&amp;IFERROR(VLOOKUP($H357,CODES,2,FALSE),"")&amp;IF($CT357," | LOC "&amp;$CY357,"")))</f>
        <v/>
      </c>
      <c r="CK357" s="85">
        <f>IF(NOT(AND($A357&lt;&gt;"",N($BJ357)&gt;0)),"",TRIM(IFERROR(VLOOKUP($AH357,CODES,2,FALSE),"")&amp;IF($AI357=""," "," "&amp;$AI357&amp;"GA ")&amp;$BG357&amp;" "&amp;IF($AN357="",IFERROR(VLOOKUP($Z357,CODES,2,FALSE),""),IFERROR(VLOOKUP($AN357,CODES,2,FALSE),""))&amp;IF($BJ357=2," PAIR","")&amp;" DOOR | "&amp;IF($AL357="","?",$AL357)&amp;" | "&amp;IF($AO357="",IFERROR(VLOOKUP($AC357,CODES,2,FALSE),""),IFERROR(VLOOKUP($AO357,CODES,2,FALSE),""))&amp;" "&amp;IFERROR(VLOOKUP($AP357,CODES,2,FALSE),"")&amp;IF(OR($AQ357="",$AQ357="-"),""," SEAM "&amp;$AQ357)&amp;IF($AR357="Y"," ASTRAGAL","")&amp;IF($AJ357=""," "," "&amp;$AJ357)&amp;IF($AK357=""," "," "&amp;$AK357)&amp;IF(OR($AT357="",$AT357="ANSI/SDI",$AT357="CUSTOM LOC"),""," "&amp;$AT357)&amp;IF($AM357=""," "," SERIES "&amp;$AM357)&amp;" "&amp;IFERROR(VLOOKUP($H357,CODES,2,FALSE),"")&amp;IF($CT357," | LOC "&amp;$CZ357,"")))</f>
        <v/>
      </c>
      <c r="CL357" s="84">
        <f>IF(CP357="","",IF(COUNTIF($CP$6:CP357,CP357)=1,MAX($CL$5:CL356)+1,INDEX($CL$5:CL356,MATCH(CP357,$CP$5:CP356,0))))</f>
        <v/>
      </c>
      <c r="CM357" s="84">
        <f>IF(NOT(AND($A357&lt;&gt;"",$C357&lt;&gt;"DOOR ONLY")),"",MAX($CM$5:CM356)+1)</f>
        <v/>
      </c>
      <c r="CN357" s="84">
        <f>IF(NOT(AND($A357&lt;&gt;"",N($BJ357)&gt;0)),"",MAX($CN$5:CN356)+1)</f>
        <v/>
      </c>
      <c r="CO357" s="84">
        <f>IF($A357="","",MAX($CO$5:CO356)+1)</f>
        <v/>
      </c>
      <c r="CP357" s="84">
        <f>IF(OR($A357="",$BH357="",$BI357=""),"",$BG357&amp;"|"&amp;$O357&amp;"|"&amp;$AL357&amp;"|"&amp;$S357&amp;"|"&amp;$P357&amp;"|"&amp;$Q357&amp;$R357&amp;"|"&amp;$C357&amp;"|"&amp;$AB357)</f>
        <v/>
      </c>
      <c r="CQ357" s="84">
        <f>N($BS357)</f>
        <v/>
      </c>
      <c r="CR357" s="84">
        <f>IF(N($AU357)&gt;0,N($AU357),4.5)</f>
        <v/>
      </c>
      <c r="CS357" s="84">
        <f>OR($A357="",$BI357="",$S357="BL",AND($C357="FRAME ONLY",OR($AC357="",$AC357="BLK")))</f>
        <v/>
      </c>
      <c r="CT357" s="84">
        <f>AND(NOT($CS357),OR($AT357="CUSTOM LOC",N($AW357)+N($AX357)+N($AY357)+N($AZ357)+N($BA357)&gt;0))</f>
        <v/>
      </c>
      <c r="CU357" s="84">
        <f>IF($BI357="","",IF($BI357&lt;=80,80,IF($BI357&lt;=84,84,96)))</f>
        <v/>
      </c>
      <c r="CV357" s="84">
        <f>ISNUMBER(MATCH($AT357&amp;"|80",LocKeys,0))</f>
        <v/>
      </c>
      <c r="CW357" s="86">
        <f>IF($CS357,"",IF($CV357,VLOOKUP($AT357&amp;"|"&amp;$CU357,LocTable,4,FALSE),5))</f>
        <v/>
      </c>
      <c r="CX357" s="86">
        <f>IF($CS357,"",IF($CV357,IF(OR($BI357=$CU357,AND($BI357&lt;$CU357,$BI357-IF(N(VLOOKUP($AT357&amp;"|"&amp;$CU357,LocTable,7,FALSE))&gt;0,VLOOKUP($AT357&amp;"|"&amp;$CU357,LocTable,7,FALSE),VLOOKUP($AT357&amp;"|"&amp;$CU357,LocTable,6,FALSE))-$CR357-0.75&gt;=2.125)),IF(N(VLOOKUP($AT357&amp;"|"&amp;$CU357,LocTable,7,FALSE))&gt;0,VLOOKUP($AT357&amp;"|"&amp;$CU357,LocTable,7,FALSE),VLOOKUP($AT357&amp;"|"&amp;$CU357,LocTable,6,FALSE)),$BI357-($CU357-IF(N(VLOOKUP($AT357&amp;"|"&amp;$CU357,LocTable,7,FALSE))&gt;0,VLOOKUP($AT357&amp;"|"&amp;$CU357,LocTable,7,FALSE),VLOOKUP($AT357&amp;"|"&amp;$CU357,LocTable,6,FALSE)))),$BI357-10-$CR357))</f>
        <v/>
      </c>
      <c r="CY357" s="85">
        <f>IF($CS357,"",TRIM(IF(ISNUMBER($BU357),"A "&amp;TRIM(TEXT($BU357,"# ?/??"))&amp;CHAR(34)&amp;"  ","")&amp;IF(ISNUMBER($BV357),"B "&amp;TRIM(TEXT($BV357,"# ?/??"))&amp;CHAR(34)&amp;"  ","")&amp;IF(ISNUMBER($BW357),"C "&amp;TRIM(TEXT($BW357,"# ?/??"))&amp;CHAR(34)&amp;"  ","")&amp;IF(ISNUMBER($BX357),"D "&amp;TRIM(TEXT($BX357,"# ?/??"))&amp;CHAR(34)&amp;"  ","")&amp;IF(ISNUMBER($BY357),"F "&amp;TRIM(TEXT($BY357,"# ?/??"))&amp;CHAR(34)&amp;"  ","")&amp;IF(ISNUMBER($BZ357),"E "&amp;TRIM(TEXT($BZ357,"# ?/??"))&amp;CHAR(34)&amp;"  ","")))</f>
        <v/>
      </c>
      <c r="CZ357" s="85">
        <f>IF(OR($CS357,N($BJ357)=0),"",TRIM(IF(ISNUMBER($BU357),"A "&amp;TRIM(TEXT($BU357-HeadClr,"# ?/??"))&amp;CHAR(34)&amp;"  ","")&amp;IF(ISNUMBER($BV357),"B "&amp;TRIM(TEXT($BV357-HeadClr,"# ?/??"))&amp;CHAR(34)&amp;"  ","")&amp;IF(ISNUMBER($BW357),"C "&amp;TRIM(TEXT($BW357-HeadClr,"# ?/??"))&amp;CHAR(34)&amp;"  ","")&amp;IF(ISNUMBER($BX357),"D "&amp;TRIM(TEXT($BX357-HeadClr,"# ?/??"))&amp;CHAR(34)&amp;"  ","")&amp;IF(ISNUMBER($BY357),"F "&amp;TRIM(TEXT($BY357-HeadClr,"# ?/??"))&amp;CHAR(34)&amp;"  ","")&amp;IF(ISNUMBER($BZ357),"E "&amp;TRIM(TEXT($BZ357-HeadClr,"# ?/??"))&amp;CHAR(34)&amp;"  ","")))</f>
        <v/>
      </c>
      <c r="DA357" s="84">
        <f>IF($A357="","",IF($AN357="",IFERROR(VLOOKUP($Z357,CODES,2,FALSE),""),IFERROR(VLOOKUP($AN357,CODES,2,FALSE),"")))</f>
        <v/>
      </c>
      <c r="DB357" s="84">
        <f>IF($A357="","",IF($O357="Y","PR",IF(OR($Z357="L",$Z357="RR",LEFT($Z357,2)="L-",LEFT($Z357,3)="RR-"),"LH","RH")))</f>
        <v/>
      </c>
      <c r="DC357" s="84">
        <f>IF($A357="","","S.HM"&amp;IF(OR($C357="DOOR ONLY",$X357&lt;&gt;"KD"),"MASONRY","DRYWALL")&amp;IF($C357="DOOR ONLY","",$U357)&amp;IF(AND($C357&lt;&gt;"FRAME ONLY",OR(LEFT($AH357,3)="OAK",LEFT($AH357,3)="BIR",LEFT($AH357,3)="MAP",$AH357="PC",$AH357="MC",$AH357="SCLC",$AH357="P-LAM")),"WD","HM")&amp;"1.75")</f>
        <v/>
      </c>
      <c r="DD357" s="84">
        <f>IF($CJ357="","",IF($O357="Y",$CJ357,SUBSTITUTE($CJ357,$BG357&amp;" "&amp;IFERROR(VLOOKUP($Z357,CODES,2,FALSE),"")&amp;" ",$BG357&amp;" ")))</f>
        <v/>
      </c>
      <c r="DE357" s="84">
        <f>IF($CK357="","",IF($O357="Y",$CK357,SUBSTITUTE($CK357,$BG357&amp;" "&amp;IF($AN357="",IFERROR(VLOOKUP($Z357,CODES,2,FALSE),""),IFERROR(VLOOKUP($AN357,CODES,2,FALSE),""))&amp;" ",$BG357&amp;" ")))</f>
        <v/>
      </c>
      <c r="DF357" s="84">
        <f>IF($CJ357="","",$DC357&amp;"|"&amp;$DD357&amp;"|"&amp;$DB357&amp;"|"&amp;$AT357&amp;"|"&amp;$V357&amp;"|"&amp;$Y357&amp;"|"&amp;$AB357)</f>
        <v/>
      </c>
      <c r="DG357" s="84">
        <f>IF(DF357="","",IF(COUNTIF($DF$6:DF357,DF357)=1,MAX($DG$5:DG356)+1,INDEX($DG$5:DG356,MATCH(DF357,$DF$5:DF356,0))))</f>
        <v/>
      </c>
      <c r="DH357" s="84">
        <f>IF($CK357="","",$DC357&amp;"|"&amp;$DE357&amp;"|"&amp;$AI357&amp;"|"&amp;$BK357&amp;"|"&amp;$BL357)</f>
        <v/>
      </c>
      <c r="DI357" s="84">
        <f>IF(DH357="","",IF(COUNTIF($DH$6:DH357,DH357)=1,MAX($DI$5:DI356)+1,INDEX($DI$5:DI356,MATCH(DH357,$DH$5:DH356,0))))</f>
        <v/>
      </c>
      <c r="DJ357" s="84">
        <f>IF($A357="","",IF($B357="","qty, ","")&amp;IF($C357="","scope, ","")&amp;IF(OR($K357="",$M357=""),"size, ","")&amp;IF(AND($A357&lt;&gt;"",$C357&lt;&gt;"DOOR ONLY"),IF($U357="","jamb depth, ","")&amp;IF($X357="","construction, ","")&amp;IF($Y357="","anchor, ","")&amp;IF($S357="","frame type, ",""),"")&amp;IF(AND(N($BJ357)&gt;0,$Z357=""),"hand, ","")&amp;IF(N($BJ357)&gt;0,IF($AH357="","door material, ","")&amp;IF($AL357="","face type, ","")&amp;IF($AP357="","lock prep, ","")&amp;IF(AND($AO357="",$AC357=""),"hinge prep, ",""),"")&amp;IF(AND($CH357&gt;0,$AH357="FRP"),"FRP cannot carry a label, ","")&amp;IF(AND($O357="Y",OR($Z357="L",$Z357="R",$Z357="LR",$Z357="RR")),"pair marked but hand is single, ","")&amp;IF(AND($O357&lt;&gt;"Y",OR($Z357="PR",AND(LEN($Z357)&gt;1,ISNUMBER(SEARCH("-",$Z357))))),"pair hand on a single door, ","")&amp;IF(AND(ISNUMBER($CI357),$CH357&lt;N($CI357)),"wall needs a "&amp;$CI357&amp;" min door, ","")&amp;IF(AND($CH357&gt;=180,AND(OR($CE357="FG",$CE357="HG",$CE357="FNV",$CE357="FV"),N($CF357)*N($CG357)&gt;100)),"180 min lite over 100 sq in, ","")&amp;IF(N($BK357)&gt;48,"leaf wider than 4'-0"&amp;CHAR(34)&amp;", ","")&amp;IF(AND($CT357,COUNT($AW357:$AZ357)=0,$CQ357&gt;0),"CUSTOM LOC with no locations typed, ",""))</f>
        <v/>
      </c>
      <c r="DK357" s="84">
        <f>IF($A357="","",IF(AND($CH357&gt;0,AND($A357&lt;&gt;"",$C357&lt;&gt;"DOOR ONLY"),$X357="KD",$E357="EXTERIOR"),"KD label on an exterior opening, ","")&amp;IF(AND($E357="EXTERIOR",OR(AND(AND($A357&lt;&gt;"",$C357&lt;&gt;"DOOR ONLY"),$W357="CR"),AND(N($BJ357)&gt;0,$AH357="CR"))),"exterior in CR steel (G9?), ","")&amp;IF(AND(ISNUMBER($BQ357),N($BQ357)&lt;32),"clear width ~"&amp;TEXT($BQ357,"0.0")&amp;CHAR(34)&amp;" under 32"&amp;CHAR(34)&amp;" (ADA), ","")&amp;IF(AND($CH357=90,AND(OR($CE357="FG",$CE357="HG",$CE357="FNV",$CE357="FV"),N($CF357)*N($CG357)&gt;100)),"90 min lite over 100 sq in (stair/exit), ","")&amp;IF(AND($CH357&gt;0,AND($A357&lt;&gt;"",$C357&lt;&gt;"DOOR ONLY"),OR($AF357="",$AF357="-")),"rated: closer reinf.?, ","")&amp;IF(OR($I357="CORRIDOR",$I357="SMOKE BARRIER"),"S label + smoke gasketing, ","")&amp;IF($CI357="?","wall type/hr not in IBC table, ","")&amp;IF(AND(N($BJ357)&gt;0,$BB357=""),"no hardware set, ","")&amp;IF(AND($BB357&lt;&gt;"",ISNA(MATCH($BB357&amp;"",HWSets,0))),"set "&amp;$BB357&amp;" not on HW Sets, ","")&amp;IF(N($BL357)&gt;96,"leaf over 8'-0"&amp;CHAR(34)&amp;" - check listing, ","")&amp;IF(AND($CT357,COUNT($AW357:$AZ357)&gt;0,COUNT($AW357:$AZ357)&lt;&gt;$CQ357),COUNT($AW357:$AZ357)&amp;" custom hinges typed, "&amp;$CQ357&amp;" expected, ","")&amp;IF(AND(ISNUMBER($CA357),OR(N($CA357)&lt;34,N($CA357)&gt;48)),"lock "&amp;TEXT($CA357,"0.0")&amp;CHAR(34)&amp;" AFF outside 34-48"&amp;CHAR(34)&amp;" (ADA), ","")&amp;IF(AND(ISNUMBER($AV357),ISNUMBER($BL357),N($AV357)&lt;IF(N($BL357)&lt;=60,2,IF(N($BL357)&lt;=90,3,IF(N($BL357)&lt;=120,4,5)))),"fewer hinges than standard, ",""))</f>
        <v/>
      </c>
    </row>
    <row r="358" ht="15" customHeight="1">
      <c r="A358" s="77" t="n"/>
      <c r="B358" s="78" t="n"/>
      <c r="C358" s="78" t="n"/>
      <c r="D358" s="78" t="n"/>
      <c r="E358" s="78" t="n"/>
      <c r="F358" s="78" t="n"/>
      <c r="G358" s="78" t="n"/>
      <c r="H358" s="78" t="n"/>
      <c r="I358" s="78" t="n"/>
      <c r="J358" s="78" t="n"/>
      <c r="K358" s="78" t="n"/>
      <c r="L358" s="78" t="n"/>
      <c r="M358" s="78" t="n"/>
      <c r="N358" s="78" t="n"/>
      <c r="O358" s="78" t="n"/>
      <c r="P358" s="78" t="n"/>
      <c r="Q358" s="78" t="n"/>
      <c r="R358" s="78" t="n"/>
      <c r="S358" s="79" t="n"/>
      <c r="T358" s="79" t="n"/>
      <c r="U358" s="79" t="n"/>
      <c r="V358" s="79" t="n"/>
      <c r="W358" s="79" t="n"/>
      <c r="X358" s="79" t="n"/>
      <c r="Y358" s="79" t="n"/>
      <c r="Z358" s="79" t="n"/>
      <c r="AA358" s="79" t="n"/>
      <c r="AB358" s="79" t="n"/>
      <c r="AC358" s="79" t="n"/>
      <c r="AD358" s="79" t="n"/>
      <c r="AE358" s="79" t="n"/>
      <c r="AF358" s="79" t="n"/>
      <c r="AG358" s="79" t="n"/>
      <c r="AH358" s="80" t="n"/>
      <c r="AI358" s="80" t="n"/>
      <c r="AJ358" s="80" t="n"/>
      <c r="AK358" s="80" t="n"/>
      <c r="AL358" s="80" t="n"/>
      <c r="AM358" s="80" t="n"/>
      <c r="AN358" s="80" t="n"/>
      <c r="AO358" s="80" t="n"/>
      <c r="AP358" s="80" t="n"/>
      <c r="AQ358" s="80" t="n"/>
      <c r="AR358" s="80" t="n"/>
      <c r="AS358" s="80" t="n"/>
      <c r="AT358" s="81" t="n"/>
      <c r="AU358" s="81" t="n"/>
      <c r="AV358" s="81" t="n"/>
      <c r="AW358" s="82" t="n"/>
      <c r="AX358" s="82" t="n"/>
      <c r="AY358" s="82" t="n"/>
      <c r="AZ358" s="82" t="n"/>
      <c r="BA358" s="82" t="n"/>
      <c r="BB358" s="83" t="n"/>
      <c r="BC358" s="83" t="n"/>
      <c r="BD358" s="84">
        <f>IF($A358="","",IF($DJ358&lt;&gt;"","FIX",IF($DK358&lt;&gt;"","CHECK","OK")))</f>
        <v/>
      </c>
      <c r="BE358" s="85">
        <f>IF($A358="","",IF($DJ358&lt;&gt;"","FIX: "&amp;LEFT($DJ358,LEN($DJ358)-2)&amp;IF($DK358&lt;&gt;"","  ·  ",""),"")&amp;IF($DK358&lt;&gt;"","CHECK: "&amp;LEFT($DK358,LEN($DK358)-2),""))</f>
        <v/>
      </c>
      <c r="BF358" s="84">
        <f>IF(OR($A358="",$K358=""),"",$K358&amp;"'-"&amp;N($L358)&amp;CHAR(34)&amp;" x "&amp;$M358&amp;"'-"&amp;N($N358)&amp;CHAR(34))</f>
        <v/>
      </c>
      <c r="BG358" s="84">
        <f>IF(OR($A358="",$K358=""),"",$K358&amp;N($L358)&amp;$M358&amp;N($N358))</f>
        <v/>
      </c>
      <c r="BH358" s="84">
        <f>IF(OR($A358="",$K358=""),"",$K358*12+N($L358))</f>
        <v/>
      </c>
      <c r="BI358" s="84">
        <f>IF(OR($A358="",$M358=""),"",$M358*12+N($N358))</f>
        <v/>
      </c>
      <c r="BJ358" s="84">
        <f>IF($A358="","",IF(OR($C358="FRAME ONLY",$S358="BL"),0,IF($O358="Y",2,1)))</f>
        <v/>
      </c>
      <c r="BK358" s="86">
        <f>IF(OR(N($BJ358)=0,$BH358=""),"",($BH358-2*EdgeClr-IF($BJ358=2,MeetClr,0))/$BJ358)</f>
        <v/>
      </c>
      <c r="BL358" s="86">
        <f>IF(OR(N($BJ358)=0,$BI358=""),"",$BI358-HeadClr-Undercut)</f>
        <v/>
      </c>
      <c r="BM358" s="86">
        <f>IF($BH358="","",$BH358+2*FaceW+IF(N($Q358)&gt;0,($Q358+FaceW)*IF($R358="LR",2,1),0))</f>
        <v/>
      </c>
      <c r="BN358" s="86">
        <f>IF($BI358="","",$BI358+IF($AB358="Y",4,FaceW)+IF(N($P358)&gt;0,$P358+FaceW,0)+IF(OR($S358="4F",$S358="BL"),FaceW,0))</f>
        <v/>
      </c>
      <c r="BO358" s="86">
        <f>IF($BM358="","",$BM358+2*ROSide)</f>
        <v/>
      </c>
      <c r="BP358" s="86">
        <f>IF($BN358="","",$BN358+ROTop)</f>
        <v/>
      </c>
      <c r="BQ358" s="87">
        <f>IF(OR(N($BJ358)=0,$BH358=""),"",$BH358/$BJ358-ClearDeduct)</f>
        <v/>
      </c>
      <c r="BR358" s="84">
        <f>IF(N($CH358)=0,"",IF($CH358&gt;=180,"A · 3 HR",IF($CH358&gt;=90,"B · 1-1/2 HR",IF($CH358&gt;=60,"B · 1 HR",IF($CH358&gt;=45,"C · 3/4 HR","20 MIN")))))&amp;IF(AND(N($CH358)&gt;0,OR($I358="CORRIDOR",$I358="SMOKE BARRIER"))," · S","")</f>
        <v/>
      </c>
      <c r="BS358" s="84">
        <f>IF($CS358,"",IF($AV358&lt;&gt;"",$AV358,IF(OR($AC358="HGC",$AO358="HGC"),"CONT",IF(($BI358-HeadClr-Undercut)&lt;=60,2,IF(($BI358-HeadClr-Undercut)&lt;=90,3,IF(($BI358-HeadClr-Undercut)&lt;=120,4,5))))))</f>
        <v/>
      </c>
      <c r="BT358" s="84">
        <f>IF($CS358,"",IF($CT358,"CUSTOM (typed)",IF($CV358,$AT358&amp;" "&amp;$CU358&amp;CHAR(34)&amp;IF($CU358&lt;&gt;$BI358,IF(AND($BI358&lt;$CU358,$BI358-IF(N(VLOOKUP($AT358&amp;"|"&amp;$CU358,LocTable,7,FALSE))&gt;0,VLOOKUP($AT358&amp;"|"&amp;$CU358,LocTable,7,FALSE),VLOOKUP($AT358&amp;"|"&amp;$CU358,LocTable,6,FALSE))-$CR358-0.75&gt;=2.125)," cut down"," adj."),""),"ANSI/SDI A250.6")))</f>
        <v/>
      </c>
      <c r="BU358" s="88">
        <f>IF($CS358,"",IF($CT358,IF(N($AW358)&gt;0,N($AW358),""),IF(1&gt;$CQ358,"",IF($CQ358=1,$CW358,$CW358+($CX358-$CW358)*0/($CQ358-1)))))</f>
        <v/>
      </c>
      <c r="BV358" s="88">
        <f>IF($CS358,"",IF($CT358,IF(N($AX358)&gt;0,N($AX358),""),IF(2&gt;$CQ358,"",IF($CQ358=1,$CW358,$CW358+($CX358-$CW358)*1/($CQ358-1)))))</f>
        <v/>
      </c>
      <c r="BW358" s="88">
        <f>IF($CS358,"",IF($CT358,IF(N($AY358)&gt;0,N($AY358),""),IF(3&gt;$CQ358,"",IF($CQ358=1,$CW358,$CW358+($CX358-$CW358)*2/($CQ358-1)))))</f>
        <v/>
      </c>
      <c r="BX358" s="88">
        <f>IF($CS358,"",IF($CT358,IF(N($AZ358)&gt;0,N($AZ358),""),IF(4&gt;$CQ358,"",IF($CQ358=1,$CW358,$CW358+($CX358-$CW358)*3/($CQ358-1)))))</f>
        <v/>
      </c>
      <c r="BY358" s="88">
        <f>IF($CS358,"",IF($CT358,"",IF(5&gt;$CQ358,"",IF($CQ358=1,$CW358,$CW358+($CX358-$CW358)*4/($CQ358-1)))))</f>
        <v/>
      </c>
      <c r="BZ358" s="88">
        <f>IF(OR($CS358,$AP358="-",AND($AP358="",$AD358="")),"",IF(N($BA358)&gt;0,N($BA358),IF($CV358,IF(AND($BI358&lt;$CU358,$BI358-IF(N(VLOOKUP($AT358&amp;"|"&amp;$CU358,LocTable,7,FALSE))&gt;0,VLOOKUP($AT358&amp;"|"&amp;$CU358,LocTable,7,FALSE),VLOOKUP($AT358&amp;"|"&amp;$CU358,LocTable,6,FALSE))-$CR358-0.75&gt;=2.125),VLOOKUP($AT358&amp;"|"&amp;$CU358,LocTable,8,FALSE),VLOOKUP($AT358&amp;"|"&amp;$CU358,LocTable,8,FALSE)+($BI358-$CU358)),$BI358-LockAFF)))</f>
        <v/>
      </c>
      <c r="CA358" s="89">
        <f>IF($BZ358="","",$BI358-$BZ358)</f>
        <v/>
      </c>
      <c r="CB358" s="84">
        <f>IF(OR(NOT(AND($A358&lt;&gt;"",$C358&lt;&gt;"DOOR ONLY")),$BI358=""),"",IF(($BI358+IF(N($P358)&gt;0,$P358+FaceW,0))&lt;=90,3,IF(($BI358+IF(N($P358)&gt;0,$P358+FaceW,0))&lt;=114,4,5)))</f>
        <v/>
      </c>
      <c r="CC358" s="84">
        <f>IF($CB358="","",$CB358*(2+IF(N($Q358)&gt;0,IF($R358="LR",2,1),0)))</f>
        <v/>
      </c>
      <c r="CD358" s="84">
        <f>IF($CB358="","",(2+IF(N($Q358)&gt;0,IF($R358="LR",2,1),0)))</f>
        <v/>
      </c>
      <c r="CE358" s="84">
        <f>IF(N($BJ358)=0,"",IF(OR($AL358="",$AL358="FLUSH"),"FLUSH",IFERROR(LEFT($AL358,FIND("-",$AL358)-1),LEFT($AL358,2))))</f>
        <v/>
      </c>
      <c r="CF358" s="84">
        <f>IF($CE358="","",IFERROR(VALUE(MID($AL358,FIND("-",$AL358)+1,FIND(CHAR(34)&amp;"x",$AL358)-FIND("-",$AL358)-1)),0))</f>
        <v/>
      </c>
      <c r="CG358" s="84">
        <f>IF($CE358="","",IFERROR(VALUE(MID($AL358,FIND(CHAR(34)&amp;"x",$AL358)+2,FIND(CHAR(34),$AL358,FIND(CHAR(34)&amp;"x",$AL358)+2)-FIND(CHAR(34)&amp;"x",$AL358)-2)),0))</f>
        <v/>
      </c>
      <c r="CH358" s="90">
        <f>IF(OR($A358="",$H358="",$H358="NO LAB"),0,IFERROR(VALUE(LEFT($H358,FIND(" ",$H358)-1)),0))</f>
        <v/>
      </c>
      <c r="CI358" s="91">
        <f>IF(OR($A358="",$I358="",$I358="NON-RATED",N($J358)=0),"",IFERROR(VLOOKUP($I358&amp;"|"&amp;$J358,IBC,2,FALSE),"?"))</f>
        <v/>
      </c>
      <c r="CJ358" s="85">
        <f>IF(NOT(AND($A358&lt;&gt;"",$C358&lt;&gt;"DOOR ONLY")),"",TRIM(IFERROR(VLOOKUP($U358,CODES,2,FALSE),"")&amp;" "&amp;$BG358&amp;" "&amp;IFERROR(VLOOKUP($Z358,CODES,2,FALSE),"")&amp;" "&amp;IFERROR(VLOOKUP($X358,CODES,2,FALSE),"")&amp;" "&amp;IFERROR(VLOOKUP($S358,CODES,2,FALSE),"")&amp;IF(N($P358)&gt;0," w/TRANSOM "&amp;$P358&amp;CHAR(34),"")&amp;IF(N($Q358)&gt;0," w/SIDELITE "&amp;$Q358&amp;CHAR(34)&amp;" "&amp;IF($R358="","R",$R358),"")&amp;IF($Y358="","  |  "," | "&amp;IFERROR(VLOOKUP($Y358,CODES,2,FALSE),"")&amp;" | ")&amp;IFERROR(VLOOKUP($AC358,CODES,2,FALSE),"")&amp;" "&amp;IFERROR(VLOOKUP($AD358,CODES,2,FALSE),"")&amp;IF(OR($AE358="",$AE358="-"),""," "&amp;$AE358)&amp;IF(OR($AF358="",$AF358="-"),""," "&amp;$AF358)&amp;IF($AB358="Y"," 4"&amp;CHAR(34)&amp;" HEAD","")&amp;" "&amp;IFERROR(VLOOKUP($H358,CODES,2,FALSE),"")&amp;IF($CT358," | LOC "&amp;$CY358,"")))</f>
        <v/>
      </c>
      <c r="CK358" s="85">
        <f>IF(NOT(AND($A358&lt;&gt;"",N($BJ358)&gt;0)),"",TRIM(IFERROR(VLOOKUP($AH358,CODES,2,FALSE),"")&amp;IF($AI358=""," "," "&amp;$AI358&amp;"GA ")&amp;$BG358&amp;" "&amp;IF($AN358="",IFERROR(VLOOKUP($Z358,CODES,2,FALSE),""),IFERROR(VLOOKUP($AN358,CODES,2,FALSE),""))&amp;IF($BJ358=2," PAIR","")&amp;" DOOR | "&amp;IF($AL358="","?",$AL358)&amp;" | "&amp;IF($AO358="",IFERROR(VLOOKUP($AC358,CODES,2,FALSE),""),IFERROR(VLOOKUP($AO358,CODES,2,FALSE),""))&amp;" "&amp;IFERROR(VLOOKUP($AP358,CODES,2,FALSE),"")&amp;IF(OR($AQ358="",$AQ358="-"),""," SEAM "&amp;$AQ358)&amp;IF($AR358="Y"," ASTRAGAL","")&amp;IF($AJ358=""," "," "&amp;$AJ358)&amp;IF($AK358=""," "," "&amp;$AK358)&amp;IF(OR($AT358="",$AT358="ANSI/SDI",$AT358="CUSTOM LOC"),""," "&amp;$AT358)&amp;IF($AM358=""," "," SERIES "&amp;$AM358)&amp;" "&amp;IFERROR(VLOOKUP($H358,CODES,2,FALSE),"")&amp;IF($CT358," | LOC "&amp;$CZ358,"")))</f>
        <v/>
      </c>
      <c r="CL358" s="84">
        <f>IF(CP358="","",IF(COUNTIF($CP$6:CP358,CP358)=1,MAX($CL$5:CL357)+1,INDEX($CL$5:CL357,MATCH(CP358,$CP$5:CP357,0))))</f>
        <v/>
      </c>
      <c r="CM358" s="84">
        <f>IF(NOT(AND($A358&lt;&gt;"",$C358&lt;&gt;"DOOR ONLY")),"",MAX($CM$5:CM357)+1)</f>
        <v/>
      </c>
      <c r="CN358" s="84">
        <f>IF(NOT(AND($A358&lt;&gt;"",N($BJ358)&gt;0)),"",MAX($CN$5:CN357)+1)</f>
        <v/>
      </c>
      <c r="CO358" s="84">
        <f>IF($A358="","",MAX($CO$5:CO357)+1)</f>
        <v/>
      </c>
      <c r="CP358" s="84">
        <f>IF(OR($A358="",$BH358="",$BI358=""),"",$BG358&amp;"|"&amp;$O358&amp;"|"&amp;$AL358&amp;"|"&amp;$S358&amp;"|"&amp;$P358&amp;"|"&amp;$Q358&amp;$R358&amp;"|"&amp;$C358&amp;"|"&amp;$AB358)</f>
        <v/>
      </c>
      <c r="CQ358" s="84">
        <f>N($BS358)</f>
        <v/>
      </c>
      <c r="CR358" s="84">
        <f>IF(N($AU358)&gt;0,N($AU358),4.5)</f>
        <v/>
      </c>
      <c r="CS358" s="84">
        <f>OR($A358="",$BI358="",$S358="BL",AND($C358="FRAME ONLY",OR($AC358="",$AC358="BLK")))</f>
        <v/>
      </c>
      <c r="CT358" s="84">
        <f>AND(NOT($CS358),OR($AT358="CUSTOM LOC",N($AW358)+N($AX358)+N($AY358)+N($AZ358)+N($BA358)&gt;0))</f>
        <v/>
      </c>
      <c r="CU358" s="84">
        <f>IF($BI358="","",IF($BI358&lt;=80,80,IF($BI358&lt;=84,84,96)))</f>
        <v/>
      </c>
      <c r="CV358" s="84">
        <f>ISNUMBER(MATCH($AT358&amp;"|80",LocKeys,0))</f>
        <v/>
      </c>
      <c r="CW358" s="86">
        <f>IF($CS358,"",IF($CV358,VLOOKUP($AT358&amp;"|"&amp;$CU358,LocTable,4,FALSE),5))</f>
        <v/>
      </c>
      <c r="CX358" s="86">
        <f>IF($CS358,"",IF($CV358,IF(OR($BI358=$CU358,AND($BI358&lt;$CU358,$BI358-IF(N(VLOOKUP($AT358&amp;"|"&amp;$CU358,LocTable,7,FALSE))&gt;0,VLOOKUP($AT358&amp;"|"&amp;$CU358,LocTable,7,FALSE),VLOOKUP($AT358&amp;"|"&amp;$CU358,LocTable,6,FALSE))-$CR358-0.75&gt;=2.125)),IF(N(VLOOKUP($AT358&amp;"|"&amp;$CU358,LocTable,7,FALSE))&gt;0,VLOOKUP($AT358&amp;"|"&amp;$CU358,LocTable,7,FALSE),VLOOKUP($AT358&amp;"|"&amp;$CU358,LocTable,6,FALSE)),$BI358-($CU358-IF(N(VLOOKUP($AT358&amp;"|"&amp;$CU358,LocTable,7,FALSE))&gt;0,VLOOKUP($AT358&amp;"|"&amp;$CU358,LocTable,7,FALSE),VLOOKUP($AT358&amp;"|"&amp;$CU358,LocTable,6,FALSE)))),$BI358-10-$CR358))</f>
        <v/>
      </c>
      <c r="CY358" s="85">
        <f>IF($CS358,"",TRIM(IF(ISNUMBER($BU358),"A "&amp;TRIM(TEXT($BU358,"# ?/??"))&amp;CHAR(34)&amp;"  ","")&amp;IF(ISNUMBER($BV358),"B "&amp;TRIM(TEXT($BV358,"# ?/??"))&amp;CHAR(34)&amp;"  ","")&amp;IF(ISNUMBER($BW358),"C "&amp;TRIM(TEXT($BW358,"# ?/??"))&amp;CHAR(34)&amp;"  ","")&amp;IF(ISNUMBER($BX358),"D "&amp;TRIM(TEXT($BX358,"# ?/??"))&amp;CHAR(34)&amp;"  ","")&amp;IF(ISNUMBER($BY358),"F "&amp;TRIM(TEXT($BY358,"# ?/??"))&amp;CHAR(34)&amp;"  ","")&amp;IF(ISNUMBER($BZ358),"E "&amp;TRIM(TEXT($BZ358,"# ?/??"))&amp;CHAR(34)&amp;"  ","")))</f>
        <v/>
      </c>
      <c r="CZ358" s="85">
        <f>IF(OR($CS358,N($BJ358)=0),"",TRIM(IF(ISNUMBER($BU358),"A "&amp;TRIM(TEXT($BU358-HeadClr,"# ?/??"))&amp;CHAR(34)&amp;"  ","")&amp;IF(ISNUMBER($BV358),"B "&amp;TRIM(TEXT($BV358-HeadClr,"# ?/??"))&amp;CHAR(34)&amp;"  ","")&amp;IF(ISNUMBER($BW358),"C "&amp;TRIM(TEXT($BW358-HeadClr,"# ?/??"))&amp;CHAR(34)&amp;"  ","")&amp;IF(ISNUMBER($BX358),"D "&amp;TRIM(TEXT($BX358-HeadClr,"# ?/??"))&amp;CHAR(34)&amp;"  ","")&amp;IF(ISNUMBER($BY358),"F "&amp;TRIM(TEXT($BY358-HeadClr,"# ?/??"))&amp;CHAR(34)&amp;"  ","")&amp;IF(ISNUMBER($BZ358),"E "&amp;TRIM(TEXT($BZ358-HeadClr,"# ?/??"))&amp;CHAR(34)&amp;"  ","")))</f>
        <v/>
      </c>
      <c r="DA358" s="84">
        <f>IF($A358="","",IF($AN358="",IFERROR(VLOOKUP($Z358,CODES,2,FALSE),""),IFERROR(VLOOKUP($AN358,CODES,2,FALSE),"")))</f>
        <v/>
      </c>
      <c r="DB358" s="84">
        <f>IF($A358="","",IF($O358="Y","PR",IF(OR($Z358="L",$Z358="RR",LEFT($Z358,2)="L-",LEFT($Z358,3)="RR-"),"LH","RH")))</f>
        <v/>
      </c>
      <c r="DC358" s="84">
        <f>IF($A358="","","S.HM"&amp;IF(OR($C358="DOOR ONLY",$X358&lt;&gt;"KD"),"MASONRY","DRYWALL")&amp;IF($C358="DOOR ONLY","",$U358)&amp;IF(AND($C358&lt;&gt;"FRAME ONLY",OR(LEFT($AH358,3)="OAK",LEFT($AH358,3)="BIR",LEFT($AH358,3)="MAP",$AH358="PC",$AH358="MC",$AH358="SCLC",$AH358="P-LAM")),"WD","HM")&amp;"1.75")</f>
        <v/>
      </c>
      <c r="DD358" s="84">
        <f>IF($CJ358="","",IF($O358="Y",$CJ358,SUBSTITUTE($CJ358,$BG358&amp;" "&amp;IFERROR(VLOOKUP($Z358,CODES,2,FALSE),"")&amp;" ",$BG358&amp;" ")))</f>
        <v/>
      </c>
      <c r="DE358" s="84">
        <f>IF($CK358="","",IF($O358="Y",$CK358,SUBSTITUTE($CK358,$BG358&amp;" "&amp;IF($AN358="",IFERROR(VLOOKUP($Z358,CODES,2,FALSE),""),IFERROR(VLOOKUP($AN358,CODES,2,FALSE),""))&amp;" ",$BG358&amp;" ")))</f>
        <v/>
      </c>
      <c r="DF358" s="84">
        <f>IF($CJ358="","",$DC358&amp;"|"&amp;$DD358&amp;"|"&amp;$DB358&amp;"|"&amp;$AT358&amp;"|"&amp;$V358&amp;"|"&amp;$Y358&amp;"|"&amp;$AB358)</f>
        <v/>
      </c>
      <c r="DG358" s="84">
        <f>IF(DF358="","",IF(COUNTIF($DF$6:DF358,DF358)=1,MAX($DG$5:DG357)+1,INDEX($DG$5:DG357,MATCH(DF358,$DF$5:DF357,0))))</f>
        <v/>
      </c>
      <c r="DH358" s="84">
        <f>IF($CK358="","",$DC358&amp;"|"&amp;$DE358&amp;"|"&amp;$AI358&amp;"|"&amp;$BK358&amp;"|"&amp;$BL358)</f>
        <v/>
      </c>
      <c r="DI358" s="84">
        <f>IF(DH358="","",IF(COUNTIF($DH$6:DH358,DH358)=1,MAX($DI$5:DI357)+1,INDEX($DI$5:DI357,MATCH(DH358,$DH$5:DH357,0))))</f>
        <v/>
      </c>
      <c r="DJ358" s="84">
        <f>IF($A358="","",IF($B358="","qty, ","")&amp;IF($C358="","scope, ","")&amp;IF(OR($K358="",$M358=""),"size, ","")&amp;IF(AND($A358&lt;&gt;"",$C358&lt;&gt;"DOOR ONLY"),IF($U358="","jamb depth, ","")&amp;IF($X358="","construction, ","")&amp;IF($Y358="","anchor, ","")&amp;IF($S358="","frame type, ",""),"")&amp;IF(AND(N($BJ358)&gt;0,$Z358=""),"hand, ","")&amp;IF(N($BJ358)&gt;0,IF($AH358="","door material, ","")&amp;IF($AL358="","face type, ","")&amp;IF($AP358="","lock prep, ","")&amp;IF(AND($AO358="",$AC358=""),"hinge prep, ",""),"")&amp;IF(AND($CH358&gt;0,$AH358="FRP"),"FRP cannot carry a label, ","")&amp;IF(AND($O358="Y",OR($Z358="L",$Z358="R",$Z358="LR",$Z358="RR")),"pair marked but hand is single, ","")&amp;IF(AND($O358&lt;&gt;"Y",OR($Z358="PR",AND(LEN($Z358)&gt;1,ISNUMBER(SEARCH("-",$Z358))))),"pair hand on a single door, ","")&amp;IF(AND(ISNUMBER($CI358),$CH358&lt;N($CI358)),"wall needs a "&amp;$CI358&amp;" min door, ","")&amp;IF(AND($CH358&gt;=180,AND(OR($CE358="FG",$CE358="HG",$CE358="FNV",$CE358="FV"),N($CF358)*N($CG358)&gt;100)),"180 min lite over 100 sq in, ","")&amp;IF(N($BK358)&gt;48,"leaf wider than 4'-0"&amp;CHAR(34)&amp;", ","")&amp;IF(AND($CT358,COUNT($AW358:$AZ358)=0,$CQ358&gt;0),"CUSTOM LOC with no locations typed, ",""))</f>
        <v/>
      </c>
      <c r="DK358" s="84">
        <f>IF($A358="","",IF(AND($CH358&gt;0,AND($A358&lt;&gt;"",$C358&lt;&gt;"DOOR ONLY"),$X358="KD",$E358="EXTERIOR"),"KD label on an exterior opening, ","")&amp;IF(AND($E358="EXTERIOR",OR(AND(AND($A358&lt;&gt;"",$C358&lt;&gt;"DOOR ONLY"),$W358="CR"),AND(N($BJ358)&gt;0,$AH358="CR"))),"exterior in CR steel (G9?), ","")&amp;IF(AND(ISNUMBER($BQ358),N($BQ358)&lt;32),"clear width ~"&amp;TEXT($BQ358,"0.0")&amp;CHAR(34)&amp;" under 32"&amp;CHAR(34)&amp;" (ADA), ","")&amp;IF(AND($CH358=90,AND(OR($CE358="FG",$CE358="HG",$CE358="FNV",$CE358="FV"),N($CF358)*N($CG358)&gt;100)),"90 min lite over 100 sq in (stair/exit), ","")&amp;IF(AND($CH358&gt;0,AND($A358&lt;&gt;"",$C358&lt;&gt;"DOOR ONLY"),OR($AF358="",$AF358="-")),"rated: closer reinf.?, ","")&amp;IF(OR($I358="CORRIDOR",$I358="SMOKE BARRIER"),"S label + smoke gasketing, ","")&amp;IF($CI358="?","wall type/hr not in IBC table, ","")&amp;IF(AND(N($BJ358)&gt;0,$BB358=""),"no hardware set, ","")&amp;IF(AND($BB358&lt;&gt;"",ISNA(MATCH($BB358&amp;"",HWSets,0))),"set "&amp;$BB358&amp;" not on HW Sets, ","")&amp;IF(N($BL358)&gt;96,"leaf over 8'-0"&amp;CHAR(34)&amp;" - check listing, ","")&amp;IF(AND($CT358,COUNT($AW358:$AZ358)&gt;0,COUNT($AW358:$AZ358)&lt;&gt;$CQ358),COUNT($AW358:$AZ358)&amp;" custom hinges typed, "&amp;$CQ358&amp;" expected, ","")&amp;IF(AND(ISNUMBER($CA358),OR(N($CA358)&lt;34,N($CA358)&gt;48)),"lock "&amp;TEXT($CA358,"0.0")&amp;CHAR(34)&amp;" AFF outside 34-48"&amp;CHAR(34)&amp;" (ADA), ","")&amp;IF(AND(ISNUMBER($AV358),ISNUMBER($BL358),N($AV358)&lt;IF(N($BL358)&lt;=60,2,IF(N($BL358)&lt;=90,3,IF(N($BL358)&lt;=120,4,5)))),"fewer hinges than standard, ",""))</f>
        <v/>
      </c>
    </row>
    <row r="359" ht="15" customHeight="1">
      <c r="A359" s="77" t="n"/>
      <c r="B359" s="78" t="n"/>
      <c r="C359" s="78" t="n"/>
      <c r="D359" s="78" t="n"/>
      <c r="E359" s="78" t="n"/>
      <c r="F359" s="78" t="n"/>
      <c r="G359" s="78" t="n"/>
      <c r="H359" s="78" t="n"/>
      <c r="I359" s="78" t="n"/>
      <c r="J359" s="78" t="n"/>
      <c r="K359" s="78" t="n"/>
      <c r="L359" s="78" t="n"/>
      <c r="M359" s="78" t="n"/>
      <c r="N359" s="78" t="n"/>
      <c r="O359" s="78" t="n"/>
      <c r="P359" s="78" t="n"/>
      <c r="Q359" s="78" t="n"/>
      <c r="R359" s="78" t="n"/>
      <c r="S359" s="79" t="n"/>
      <c r="T359" s="79" t="n"/>
      <c r="U359" s="79" t="n"/>
      <c r="V359" s="79" t="n"/>
      <c r="W359" s="79" t="n"/>
      <c r="X359" s="79" t="n"/>
      <c r="Y359" s="79" t="n"/>
      <c r="Z359" s="79" t="n"/>
      <c r="AA359" s="79" t="n"/>
      <c r="AB359" s="79" t="n"/>
      <c r="AC359" s="79" t="n"/>
      <c r="AD359" s="79" t="n"/>
      <c r="AE359" s="79" t="n"/>
      <c r="AF359" s="79" t="n"/>
      <c r="AG359" s="79" t="n"/>
      <c r="AH359" s="80" t="n"/>
      <c r="AI359" s="80" t="n"/>
      <c r="AJ359" s="80" t="n"/>
      <c r="AK359" s="80" t="n"/>
      <c r="AL359" s="80" t="n"/>
      <c r="AM359" s="80" t="n"/>
      <c r="AN359" s="80" t="n"/>
      <c r="AO359" s="80" t="n"/>
      <c r="AP359" s="80" t="n"/>
      <c r="AQ359" s="80" t="n"/>
      <c r="AR359" s="80" t="n"/>
      <c r="AS359" s="80" t="n"/>
      <c r="AT359" s="81" t="n"/>
      <c r="AU359" s="81" t="n"/>
      <c r="AV359" s="81" t="n"/>
      <c r="AW359" s="82" t="n"/>
      <c r="AX359" s="82" t="n"/>
      <c r="AY359" s="82" t="n"/>
      <c r="AZ359" s="82" t="n"/>
      <c r="BA359" s="82" t="n"/>
      <c r="BB359" s="83" t="n"/>
      <c r="BC359" s="83" t="n"/>
      <c r="BD359" s="84">
        <f>IF($A359="","",IF($DJ359&lt;&gt;"","FIX",IF($DK359&lt;&gt;"","CHECK","OK")))</f>
        <v/>
      </c>
      <c r="BE359" s="85">
        <f>IF($A359="","",IF($DJ359&lt;&gt;"","FIX: "&amp;LEFT($DJ359,LEN($DJ359)-2)&amp;IF($DK359&lt;&gt;"","  ·  ",""),"")&amp;IF($DK359&lt;&gt;"","CHECK: "&amp;LEFT($DK359,LEN($DK359)-2),""))</f>
        <v/>
      </c>
      <c r="BF359" s="84">
        <f>IF(OR($A359="",$K359=""),"",$K359&amp;"'-"&amp;N($L359)&amp;CHAR(34)&amp;" x "&amp;$M359&amp;"'-"&amp;N($N359)&amp;CHAR(34))</f>
        <v/>
      </c>
      <c r="BG359" s="84">
        <f>IF(OR($A359="",$K359=""),"",$K359&amp;N($L359)&amp;$M359&amp;N($N359))</f>
        <v/>
      </c>
      <c r="BH359" s="84">
        <f>IF(OR($A359="",$K359=""),"",$K359*12+N($L359))</f>
        <v/>
      </c>
      <c r="BI359" s="84">
        <f>IF(OR($A359="",$M359=""),"",$M359*12+N($N359))</f>
        <v/>
      </c>
      <c r="BJ359" s="84">
        <f>IF($A359="","",IF(OR($C359="FRAME ONLY",$S359="BL"),0,IF($O359="Y",2,1)))</f>
        <v/>
      </c>
      <c r="BK359" s="86">
        <f>IF(OR(N($BJ359)=0,$BH359=""),"",($BH359-2*EdgeClr-IF($BJ359=2,MeetClr,0))/$BJ359)</f>
        <v/>
      </c>
      <c r="BL359" s="86">
        <f>IF(OR(N($BJ359)=0,$BI359=""),"",$BI359-HeadClr-Undercut)</f>
        <v/>
      </c>
      <c r="BM359" s="86">
        <f>IF($BH359="","",$BH359+2*FaceW+IF(N($Q359)&gt;0,($Q359+FaceW)*IF($R359="LR",2,1),0))</f>
        <v/>
      </c>
      <c r="BN359" s="86">
        <f>IF($BI359="","",$BI359+IF($AB359="Y",4,FaceW)+IF(N($P359)&gt;0,$P359+FaceW,0)+IF(OR($S359="4F",$S359="BL"),FaceW,0))</f>
        <v/>
      </c>
      <c r="BO359" s="86">
        <f>IF($BM359="","",$BM359+2*ROSide)</f>
        <v/>
      </c>
      <c r="BP359" s="86">
        <f>IF($BN359="","",$BN359+ROTop)</f>
        <v/>
      </c>
      <c r="BQ359" s="87">
        <f>IF(OR(N($BJ359)=0,$BH359=""),"",$BH359/$BJ359-ClearDeduct)</f>
        <v/>
      </c>
      <c r="BR359" s="84">
        <f>IF(N($CH359)=0,"",IF($CH359&gt;=180,"A · 3 HR",IF($CH359&gt;=90,"B · 1-1/2 HR",IF($CH359&gt;=60,"B · 1 HR",IF($CH359&gt;=45,"C · 3/4 HR","20 MIN")))))&amp;IF(AND(N($CH359)&gt;0,OR($I359="CORRIDOR",$I359="SMOKE BARRIER"))," · S","")</f>
        <v/>
      </c>
      <c r="BS359" s="84">
        <f>IF($CS359,"",IF($AV359&lt;&gt;"",$AV359,IF(OR($AC359="HGC",$AO359="HGC"),"CONT",IF(($BI359-HeadClr-Undercut)&lt;=60,2,IF(($BI359-HeadClr-Undercut)&lt;=90,3,IF(($BI359-HeadClr-Undercut)&lt;=120,4,5))))))</f>
        <v/>
      </c>
      <c r="BT359" s="84">
        <f>IF($CS359,"",IF($CT359,"CUSTOM (typed)",IF($CV359,$AT359&amp;" "&amp;$CU359&amp;CHAR(34)&amp;IF($CU359&lt;&gt;$BI359,IF(AND($BI359&lt;$CU359,$BI359-IF(N(VLOOKUP($AT359&amp;"|"&amp;$CU359,LocTable,7,FALSE))&gt;0,VLOOKUP($AT359&amp;"|"&amp;$CU359,LocTable,7,FALSE),VLOOKUP($AT359&amp;"|"&amp;$CU359,LocTable,6,FALSE))-$CR359-0.75&gt;=2.125)," cut down"," adj."),""),"ANSI/SDI A250.6")))</f>
        <v/>
      </c>
      <c r="BU359" s="88">
        <f>IF($CS359,"",IF($CT359,IF(N($AW359)&gt;0,N($AW359),""),IF(1&gt;$CQ359,"",IF($CQ359=1,$CW359,$CW359+($CX359-$CW359)*0/($CQ359-1)))))</f>
        <v/>
      </c>
      <c r="BV359" s="88">
        <f>IF($CS359,"",IF($CT359,IF(N($AX359)&gt;0,N($AX359),""),IF(2&gt;$CQ359,"",IF($CQ359=1,$CW359,$CW359+($CX359-$CW359)*1/($CQ359-1)))))</f>
        <v/>
      </c>
      <c r="BW359" s="88">
        <f>IF($CS359,"",IF($CT359,IF(N($AY359)&gt;0,N($AY359),""),IF(3&gt;$CQ359,"",IF($CQ359=1,$CW359,$CW359+($CX359-$CW359)*2/($CQ359-1)))))</f>
        <v/>
      </c>
      <c r="BX359" s="88">
        <f>IF($CS359,"",IF($CT359,IF(N($AZ359)&gt;0,N($AZ359),""),IF(4&gt;$CQ359,"",IF($CQ359=1,$CW359,$CW359+($CX359-$CW359)*3/($CQ359-1)))))</f>
        <v/>
      </c>
      <c r="BY359" s="88">
        <f>IF($CS359,"",IF($CT359,"",IF(5&gt;$CQ359,"",IF($CQ359=1,$CW359,$CW359+($CX359-$CW359)*4/($CQ359-1)))))</f>
        <v/>
      </c>
      <c r="BZ359" s="88">
        <f>IF(OR($CS359,$AP359="-",AND($AP359="",$AD359="")),"",IF(N($BA359)&gt;0,N($BA359),IF($CV359,IF(AND($BI359&lt;$CU359,$BI359-IF(N(VLOOKUP($AT359&amp;"|"&amp;$CU359,LocTable,7,FALSE))&gt;0,VLOOKUP($AT359&amp;"|"&amp;$CU359,LocTable,7,FALSE),VLOOKUP($AT359&amp;"|"&amp;$CU359,LocTable,6,FALSE))-$CR359-0.75&gt;=2.125),VLOOKUP($AT359&amp;"|"&amp;$CU359,LocTable,8,FALSE),VLOOKUP($AT359&amp;"|"&amp;$CU359,LocTable,8,FALSE)+($BI359-$CU359)),$BI359-LockAFF)))</f>
        <v/>
      </c>
      <c r="CA359" s="89">
        <f>IF($BZ359="","",$BI359-$BZ359)</f>
        <v/>
      </c>
      <c r="CB359" s="84">
        <f>IF(OR(NOT(AND($A359&lt;&gt;"",$C359&lt;&gt;"DOOR ONLY")),$BI359=""),"",IF(($BI359+IF(N($P359)&gt;0,$P359+FaceW,0))&lt;=90,3,IF(($BI359+IF(N($P359)&gt;0,$P359+FaceW,0))&lt;=114,4,5)))</f>
        <v/>
      </c>
      <c r="CC359" s="84">
        <f>IF($CB359="","",$CB359*(2+IF(N($Q359)&gt;0,IF($R359="LR",2,1),0)))</f>
        <v/>
      </c>
      <c r="CD359" s="84">
        <f>IF($CB359="","",(2+IF(N($Q359)&gt;0,IF($R359="LR",2,1),0)))</f>
        <v/>
      </c>
      <c r="CE359" s="84">
        <f>IF(N($BJ359)=0,"",IF(OR($AL359="",$AL359="FLUSH"),"FLUSH",IFERROR(LEFT($AL359,FIND("-",$AL359)-1),LEFT($AL359,2))))</f>
        <v/>
      </c>
      <c r="CF359" s="84">
        <f>IF($CE359="","",IFERROR(VALUE(MID($AL359,FIND("-",$AL359)+1,FIND(CHAR(34)&amp;"x",$AL359)-FIND("-",$AL359)-1)),0))</f>
        <v/>
      </c>
      <c r="CG359" s="84">
        <f>IF($CE359="","",IFERROR(VALUE(MID($AL359,FIND(CHAR(34)&amp;"x",$AL359)+2,FIND(CHAR(34),$AL359,FIND(CHAR(34)&amp;"x",$AL359)+2)-FIND(CHAR(34)&amp;"x",$AL359)-2)),0))</f>
        <v/>
      </c>
      <c r="CH359" s="90">
        <f>IF(OR($A359="",$H359="",$H359="NO LAB"),0,IFERROR(VALUE(LEFT($H359,FIND(" ",$H359)-1)),0))</f>
        <v/>
      </c>
      <c r="CI359" s="91">
        <f>IF(OR($A359="",$I359="",$I359="NON-RATED",N($J359)=0),"",IFERROR(VLOOKUP($I359&amp;"|"&amp;$J359,IBC,2,FALSE),"?"))</f>
        <v/>
      </c>
      <c r="CJ359" s="85">
        <f>IF(NOT(AND($A359&lt;&gt;"",$C359&lt;&gt;"DOOR ONLY")),"",TRIM(IFERROR(VLOOKUP($U359,CODES,2,FALSE),"")&amp;" "&amp;$BG359&amp;" "&amp;IFERROR(VLOOKUP($Z359,CODES,2,FALSE),"")&amp;" "&amp;IFERROR(VLOOKUP($X359,CODES,2,FALSE),"")&amp;" "&amp;IFERROR(VLOOKUP($S359,CODES,2,FALSE),"")&amp;IF(N($P359)&gt;0," w/TRANSOM "&amp;$P359&amp;CHAR(34),"")&amp;IF(N($Q359)&gt;0," w/SIDELITE "&amp;$Q359&amp;CHAR(34)&amp;" "&amp;IF($R359="","R",$R359),"")&amp;IF($Y359="","  |  "," | "&amp;IFERROR(VLOOKUP($Y359,CODES,2,FALSE),"")&amp;" | ")&amp;IFERROR(VLOOKUP($AC359,CODES,2,FALSE),"")&amp;" "&amp;IFERROR(VLOOKUP($AD359,CODES,2,FALSE),"")&amp;IF(OR($AE359="",$AE359="-"),""," "&amp;$AE359)&amp;IF(OR($AF359="",$AF359="-"),""," "&amp;$AF359)&amp;IF($AB359="Y"," 4"&amp;CHAR(34)&amp;" HEAD","")&amp;" "&amp;IFERROR(VLOOKUP($H359,CODES,2,FALSE),"")&amp;IF($CT359," | LOC "&amp;$CY359,"")))</f>
        <v/>
      </c>
      <c r="CK359" s="85">
        <f>IF(NOT(AND($A359&lt;&gt;"",N($BJ359)&gt;0)),"",TRIM(IFERROR(VLOOKUP($AH359,CODES,2,FALSE),"")&amp;IF($AI359=""," "," "&amp;$AI359&amp;"GA ")&amp;$BG359&amp;" "&amp;IF($AN359="",IFERROR(VLOOKUP($Z359,CODES,2,FALSE),""),IFERROR(VLOOKUP($AN359,CODES,2,FALSE),""))&amp;IF($BJ359=2," PAIR","")&amp;" DOOR | "&amp;IF($AL359="","?",$AL359)&amp;" | "&amp;IF($AO359="",IFERROR(VLOOKUP($AC359,CODES,2,FALSE),""),IFERROR(VLOOKUP($AO359,CODES,2,FALSE),""))&amp;" "&amp;IFERROR(VLOOKUP($AP359,CODES,2,FALSE),"")&amp;IF(OR($AQ359="",$AQ359="-"),""," SEAM "&amp;$AQ359)&amp;IF($AR359="Y"," ASTRAGAL","")&amp;IF($AJ359=""," "," "&amp;$AJ359)&amp;IF($AK359=""," "," "&amp;$AK359)&amp;IF(OR($AT359="",$AT359="ANSI/SDI",$AT359="CUSTOM LOC"),""," "&amp;$AT359)&amp;IF($AM359=""," "," SERIES "&amp;$AM359)&amp;" "&amp;IFERROR(VLOOKUP($H359,CODES,2,FALSE),"")&amp;IF($CT359," | LOC "&amp;$CZ359,"")))</f>
        <v/>
      </c>
      <c r="CL359" s="84">
        <f>IF(CP359="","",IF(COUNTIF($CP$6:CP359,CP359)=1,MAX($CL$5:CL358)+1,INDEX($CL$5:CL358,MATCH(CP359,$CP$5:CP358,0))))</f>
        <v/>
      </c>
      <c r="CM359" s="84">
        <f>IF(NOT(AND($A359&lt;&gt;"",$C359&lt;&gt;"DOOR ONLY")),"",MAX($CM$5:CM358)+1)</f>
        <v/>
      </c>
      <c r="CN359" s="84">
        <f>IF(NOT(AND($A359&lt;&gt;"",N($BJ359)&gt;0)),"",MAX($CN$5:CN358)+1)</f>
        <v/>
      </c>
      <c r="CO359" s="84">
        <f>IF($A359="","",MAX($CO$5:CO358)+1)</f>
        <v/>
      </c>
      <c r="CP359" s="84">
        <f>IF(OR($A359="",$BH359="",$BI359=""),"",$BG359&amp;"|"&amp;$O359&amp;"|"&amp;$AL359&amp;"|"&amp;$S359&amp;"|"&amp;$P359&amp;"|"&amp;$Q359&amp;$R359&amp;"|"&amp;$C359&amp;"|"&amp;$AB359)</f>
        <v/>
      </c>
      <c r="CQ359" s="84">
        <f>N($BS359)</f>
        <v/>
      </c>
      <c r="CR359" s="84">
        <f>IF(N($AU359)&gt;0,N($AU359),4.5)</f>
        <v/>
      </c>
      <c r="CS359" s="84">
        <f>OR($A359="",$BI359="",$S359="BL",AND($C359="FRAME ONLY",OR($AC359="",$AC359="BLK")))</f>
        <v/>
      </c>
      <c r="CT359" s="84">
        <f>AND(NOT($CS359),OR($AT359="CUSTOM LOC",N($AW359)+N($AX359)+N($AY359)+N($AZ359)+N($BA359)&gt;0))</f>
        <v/>
      </c>
      <c r="CU359" s="84">
        <f>IF($BI359="","",IF($BI359&lt;=80,80,IF($BI359&lt;=84,84,96)))</f>
        <v/>
      </c>
      <c r="CV359" s="84">
        <f>ISNUMBER(MATCH($AT359&amp;"|80",LocKeys,0))</f>
        <v/>
      </c>
      <c r="CW359" s="86">
        <f>IF($CS359,"",IF($CV359,VLOOKUP($AT359&amp;"|"&amp;$CU359,LocTable,4,FALSE),5))</f>
        <v/>
      </c>
      <c r="CX359" s="86">
        <f>IF($CS359,"",IF($CV359,IF(OR($BI359=$CU359,AND($BI359&lt;$CU359,$BI359-IF(N(VLOOKUP($AT359&amp;"|"&amp;$CU359,LocTable,7,FALSE))&gt;0,VLOOKUP($AT359&amp;"|"&amp;$CU359,LocTable,7,FALSE),VLOOKUP($AT359&amp;"|"&amp;$CU359,LocTable,6,FALSE))-$CR359-0.75&gt;=2.125)),IF(N(VLOOKUP($AT359&amp;"|"&amp;$CU359,LocTable,7,FALSE))&gt;0,VLOOKUP($AT359&amp;"|"&amp;$CU359,LocTable,7,FALSE),VLOOKUP($AT359&amp;"|"&amp;$CU359,LocTable,6,FALSE)),$BI359-($CU359-IF(N(VLOOKUP($AT359&amp;"|"&amp;$CU359,LocTable,7,FALSE))&gt;0,VLOOKUP($AT359&amp;"|"&amp;$CU359,LocTable,7,FALSE),VLOOKUP($AT359&amp;"|"&amp;$CU359,LocTable,6,FALSE)))),$BI359-10-$CR359))</f>
        <v/>
      </c>
      <c r="CY359" s="85">
        <f>IF($CS359,"",TRIM(IF(ISNUMBER($BU359),"A "&amp;TRIM(TEXT($BU359,"# ?/??"))&amp;CHAR(34)&amp;"  ","")&amp;IF(ISNUMBER($BV359),"B "&amp;TRIM(TEXT($BV359,"# ?/??"))&amp;CHAR(34)&amp;"  ","")&amp;IF(ISNUMBER($BW359),"C "&amp;TRIM(TEXT($BW359,"# ?/??"))&amp;CHAR(34)&amp;"  ","")&amp;IF(ISNUMBER($BX359),"D "&amp;TRIM(TEXT($BX359,"# ?/??"))&amp;CHAR(34)&amp;"  ","")&amp;IF(ISNUMBER($BY359),"F "&amp;TRIM(TEXT($BY359,"# ?/??"))&amp;CHAR(34)&amp;"  ","")&amp;IF(ISNUMBER($BZ359),"E "&amp;TRIM(TEXT($BZ359,"# ?/??"))&amp;CHAR(34)&amp;"  ","")))</f>
        <v/>
      </c>
      <c r="CZ359" s="85">
        <f>IF(OR($CS359,N($BJ359)=0),"",TRIM(IF(ISNUMBER($BU359),"A "&amp;TRIM(TEXT($BU359-HeadClr,"# ?/??"))&amp;CHAR(34)&amp;"  ","")&amp;IF(ISNUMBER($BV359),"B "&amp;TRIM(TEXT($BV359-HeadClr,"# ?/??"))&amp;CHAR(34)&amp;"  ","")&amp;IF(ISNUMBER($BW359),"C "&amp;TRIM(TEXT($BW359-HeadClr,"# ?/??"))&amp;CHAR(34)&amp;"  ","")&amp;IF(ISNUMBER($BX359),"D "&amp;TRIM(TEXT($BX359-HeadClr,"# ?/??"))&amp;CHAR(34)&amp;"  ","")&amp;IF(ISNUMBER($BY359),"F "&amp;TRIM(TEXT($BY359-HeadClr,"# ?/??"))&amp;CHAR(34)&amp;"  ","")&amp;IF(ISNUMBER($BZ359),"E "&amp;TRIM(TEXT($BZ359-HeadClr,"# ?/??"))&amp;CHAR(34)&amp;"  ","")))</f>
        <v/>
      </c>
      <c r="DA359" s="84">
        <f>IF($A359="","",IF($AN359="",IFERROR(VLOOKUP($Z359,CODES,2,FALSE),""),IFERROR(VLOOKUP($AN359,CODES,2,FALSE),"")))</f>
        <v/>
      </c>
      <c r="DB359" s="84">
        <f>IF($A359="","",IF($O359="Y","PR",IF(OR($Z359="L",$Z359="RR",LEFT($Z359,2)="L-",LEFT($Z359,3)="RR-"),"LH","RH")))</f>
        <v/>
      </c>
      <c r="DC359" s="84">
        <f>IF($A359="","","S.HM"&amp;IF(OR($C359="DOOR ONLY",$X359&lt;&gt;"KD"),"MASONRY","DRYWALL")&amp;IF($C359="DOOR ONLY","",$U359)&amp;IF(AND($C359&lt;&gt;"FRAME ONLY",OR(LEFT($AH359,3)="OAK",LEFT($AH359,3)="BIR",LEFT($AH359,3)="MAP",$AH359="PC",$AH359="MC",$AH359="SCLC",$AH359="P-LAM")),"WD","HM")&amp;"1.75")</f>
        <v/>
      </c>
      <c r="DD359" s="84">
        <f>IF($CJ359="","",IF($O359="Y",$CJ359,SUBSTITUTE($CJ359,$BG359&amp;" "&amp;IFERROR(VLOOKUP($Z359,CODES,2,FALSE),"")&amp;" ",$BG359&amp;" ")))</f>
        <v/>
      </c>
      <c r="DE359" s="84">
        <f>IF($CK359="","",IF($O359="Y",$CK359,SUBSTITUTE($CK359,$BG359&amp;" "&amp;IF($AN359="",IFERROR(VLOOKUP($Z359,CODES,2,FALSE),""),IFERROR(VLOOKUP($AN359,CODES,2,FALSE),""))&amp;" ",$BG359&amp;" ")))</f>
        <v/>
      </c>
      <c r="DF359" s="84">
        <f>IF($CJ359="","",$DC359&amp;"|"&amp;$DD359&amp;"|"&amp;$DB359&amp;"|"&amp;$AT359&amp;"|"&amp;$V359&amp;"|"&amp;$Y359&amp;"|"&amp;$AB359)</f>
        <v/>
      </c>
      <c r="DG359" s="84">
        <f>IF(DF359="","",IF(COUNTIF($DF$6:DF359,DF359)=1,MAX($DG$5:DG358)+1,INDEX($DG$5:DG358,MATCH(DF359,$DF$5:DF358,0))))</f>
        <v/>
      </c>
      <c r="DH359" s="84">
        <f>IF($CK359="","",$DC359&amp;"|"&amp;$DE359&amp;"|"&amp;$AI359&amp;"|"&amp;$BK359&amp;"|"&amp;$BL359)</f>
        <v/>
      </c>
      <c r="DI359" s="84">
        <f>IF(DH359="","",IF(COUNTIF($DH$6:DH359,DH359)=1,MAX($DI$5:DI358)+1,INDEX($DI$5:DI358,MATCH(DH359,$DH$5:DH358,0))))</f>
        <v/>
      </c>
      <c r="DJ359" s="84">
        <f>IF($A359="","",IF($B359="","qty, ","")&amp;IF($C359="","scope, ","")&amp;IF(OR($K359="",$M359=""),"size, ","")&amp;IF(AND($A359&lt;&gt;"",$C359&lt;&gt;"DOOR ONLY"),IF($U359="","jamb depth, ","")&amp;IF($X359="","construction, ","")&amp;IF($Y359="","anchor, ","")&amp;IF($S359="","frame type, ",""),"")&amp;IF(AND(N($BJ359)&gt;0,$Z359=""),"hand, ","")&amp;IF(N($BJ359)&gt;0,IF($AH359="","door material, ","")&amp;IF($AL359="","face type, ","")&amp;IF($AP359="","lock prep, ","")&amp;IF(AND($AO359="",$AC359=""),"hinge prep, ",""),"")&amp;IF(AND($CH359&gt;0,$AH359="FRP"),"FRP cannot carry a label, ","")&amp;IF(AND($O359="Y",OR($Z359="L",$Z359="R",$Z359="LR",$Z359="RR")),"pair marked but hand is single, ","")&amp;IF(AND($O359&lt;&gt;"Y",OR($Z359="PR",AND(LEN($Z359)&gt;1,ISNUMBER(SEARCH("-",$Z359))))),"pair hand on a single door, ","")&amp;IF(AND(ISNUMBER($CI359),$CH359&lt;N($CI359)),"wall needs a "&amp;$CI359&amp;" min door, ","")&amp;IF(AND($CH359&gt;=180,AND(OR($CE359="FG",$CE359="HG",$CE359="FNV",$CE359="FV"),N($CF359)*N($CG359)&gt;100)),"180 min lite over 100 sq in, ","")&amp;IF(N($BK359)&gt;48,"leaf wider than 4'-0"&amp;CHAR(34)&amp;", ","")&amp;IF(AND($CT359,COUNT($AW359:$AZ359)=0,$CQ359&gt;0),"CUSTOM LOC with no locations typed, ",""))</f>
        <v/>
      </c>
      <c r="DK359" s="84">
        <f>IF($A359="","",IF(AND($CH359&gt;0,AND($A359&lt;&gt;"",$C359&lt;&gt;"DOOR ONLY"),$X359="KD",$E359="EXTERIOR"),"KD label on an exterior opening, ","")&amp;IF(AND($E359="EXTERIOR",OR(AND(AND($A359&lt;&gt;"",$C359&lt;&gt;"DOOR ONLY"),$W359="CR"),AND(N($BJ359)&gt;0,$AH359="CR"))),"exterior in CR steel (G9?), ","")&amp;IF(AND(ISNUMBER($BQ359),N($BQ359)&lt;32),"clear width ~"&amp;TEXT($BQ359,"0.0")&amp;CHAR(34)&amp;" under 32"&amp;CHAR(34)&amp;" (ADA), ","")&amp;IF(AND($CH359=90,AND(OR($CE359="FG",$CE359="HG",$CE359="FNV",$CE359="FV"),N($CF359)*N($CG359)&gt;100)),"90 min lite over 100 sq in (stair/exit), ","")&amp;IF(AND($CH359&gt;0,AND($A359&lt;&gt;"",$C359&lt;&gt;"DOOR ONLY"),OR($AF359="",$AF359="-")),"rated: closer reinf.?, ","")&amp;IF(OR($I359="CORRIDOR",$I359="SMOKE BARRIER"),"S label + smoke gasketing, ","")&amp;IF($CI359="?","wall type/hr not in IBC table, ","")&amp;IF(AND(N($BJ359)&gt;0,$BB359=""),"no hardware set, ","")&amp;IF(AND($BB359&lt;&gt;"",ISNA(MATCH($BB359&amp;"",HWSets,0))),"set "&amp;$BB359&amp;" not on HW Sets, ","")&amp;IF(N($BL359)&gt;96,"leaf over 8'-0"&amp;CHAR(34)&amp;" - check listing, ","")&amp;IF(AND($CT359,COUNT($AW359:$AZ359)&gt;0,COUNT($AW359:$AZ359)&lt;&gt;$CQ359),COUNT($AW359:$AZ359)&amp;" custom hinges typed, "&amp;$CQ359&amp;" expected, ","")&amp;IF(AND(ISNUMBER($CA359),OR(N($CA359)&lt;34,N($CA359)&gt;48)),"lock "&amp;TEXT($CA359,"0.0")&amp;CHAR(34)&amp;" AFF outside 34-48"&amp;CHAR(34)&amp;" (ADA), ","")&amp;IF(AND(ISNUMBER($AV359),ISNUMBER($BL359),N($AV359)&lt;IF(N($BL359)&lt;=60,2,IF(N($BL359)&lt;=90,3,IF(N($BL359)&lt;=120,4,5)))),"fewer hinges than standard, ",""))</f>
        <v/>
      </c>
    </row>
    <row r="360" ht="15" customHeight="1">
      <c r="A360" s="92" t="n"/>
      <c r="B360" s="93" t="n"/>
      <c r="C360" s="93" t="n"/>
      <c r="D360" s="93" t="n"/>
      <c r="E360" s="93" t="n"/>
      <c r="F360" s="93" t="n"/>
      <c r="G360" s="93" t="n"/>
      <c r="H360" s="93" t="n"/>
      <c r="I360" s="93" t="n"/>
      <c r="J360" s="93" t="n"/>
      <c r="K360" s="93" t="n"/>
      <c r="L360" s="93" t="n"/>
      <c r="M360" s="93" t="n"/>
      <c r="N360" s="93" t="n"/>
      <c r="O360" s="93" t="n"/>
      <c r="P360" s="93" t="n"/>
      <c r="Q360" s="93" t="n"/>
      <c r="R360" s="93" t="n"/>
      <c r="S360" s="94" t="n"/>
      <c r="T360" s="94" t="n"/>
      <c r="U360" s="94" t="n"/>
      <c r="V360" s="94" t="n"/>
      <c r="W360" s="94" t="n"/>
      <c r="X360" s="94" t="n"/>
      <c r="Y360" s="94" t="n"/>
      <c r="Z360" s="94" t="n"/>
      <c r="AA360" s="94" t="n"/>
      <c r="AB360" s="94" t="n"/>
      <c r="AC360" s="94" t="n"/>
      <c r="AD360" s="94" t="n"/>
      <c r="AE360" s="94" t="n"/>
      <c r="AF360" s="94" t="n"/>
      <c r="AG360" s="94" t="n"/>
      <c r="AH360" s="95" t="n"/>
      <c r="AI360" s="95" t="n"/>
      <c r="AJ360" s="95" t="n"/>
      <c r="AK360" s="95" t="n"/>
      <c r="AL360" s="95" t="n"/>
      <c r="AM360" s="95" t="n"/>
      <c r="AN360" s="95" t="n"/>
      <c r="AO360" s="95" t="n"/>
      <c r="AP360" s="95" t="n"/>
      <c r="AQ360" s="95" t="n"/>
      <c r="AR360" s="95" t="n"/>
      <c r="AS360" s="95" t="n"/>
      <c r="AT360" s="96" t="n"/>
      <c r="AU360" s="96" t="n"/>
      <c r="AV360" s="96" t="n"/>
      <c r="AW360" s="97" t="n"/>
      <c r="AX360" s="97" t="n"/>
      <c r="AY360" s="97" t="n"/>
      <c r="AZ360" s="97" t="n"/>
      <c r="BA360" s="97" t="n"/>
      <c r="BB360" s="98" t="n"/>
      <c r="BC360" s="98" t="n"/>
      <c r="BD360" s="99">
        <f>IF($A360="","",IF($DJ360&lt;&gt;"","FIX",IF($DK360&lt;&gt;"","CHECK","OK")))</f>
        <v/>
      </c>
      <c r="BE360" s="100">
        <f>IF($A360="","",IF($DJ360&lt;&gt;"","FIX: "&amp;LEFT($DJ360,LEN($DJ360)-2)&amp;IF($DK360&lt;&gt;"","  ·  ",""),"")&amp;IF($DK360&lt;&gt;"","CHECK: "&amp;LEFT($DK360,LEN($DK360)-2),""))</f>
        <v/>
      </c>
      <c r="BF360" s="99">
        <f>IF(OR($A360="",$K360=""),"",$K360&amp;"'-"&amp;N($L360)&amp;CHAR(34)&amp;" x "&amp;$M360&amp;"'-"&amp;N($N360)&amp;CHAR(34))</f>
        <v/>
      </c>
      <c r="BG360" s="99">
        <f>IF(OR($A360="",$K360=""),"",$K360&amp;N($L360)&amp;$M360&amp;N($N360))</f>
        <v/>
      </c>
      <c r="BH360" s="99">
        <f>IF(OR($A360="",$K360=""),"",$K360*12+N($L360))</f>
        <v/>
      </c>
      <c r="BI360" s="99">
        <f>IF(OR($A360="",$M360=""),"",$M360*12+N($N360))</f>
        <v/>
      </c>
      <c r="BJ360" s="99">
        <f>IF($A360="","",IF(OR($C360="FRAME ONLY",$S360="BL"),0,IF($O360="Y",2,1)))</f>
        <v/>
      </c>
      <c r="BK360" s="101">
        <f>IF(OR(N($BJ360)=0,$BH360=""),"",($BH360-2*EdgeClr-IF($BJ360=2,MeetClr,0))/$BJ360)</f>
        <v/>
      </c>
      <c r="BL360" s="101">
        <f>IF(OR(N($BJ360)=0,$BI360=""),"",$BI360-HeadClr-Undercut)</f>
        <v/>
      </c>
      <c r="BM360" s="101">
        <f>IF($BH360="","",$BH360+2*FaceW+IF(N($Q360)&gt;0,($Q360+FaceW)*IF($R360="LR",2,1),0))</f>
        <v/>
      </c>
      <c r="BN360" s="101">
        <f>IF($BI360="","",$BI360+IF($AB360="Y",4,FaceW)+IF(N($P360)&gt;0,$P360+FaceW,0)+IF(OR($S360="4F",$S360="BL"),FaceW,0))</f>
        <v/>
      </c>
      <c r="BO360" s="101">
        <f>IF($BM360="","",$BM360+2*ROSide)</f>
        <v/>
      </c>
      <c r="BP360" s="101">
        <f>IF($BN360="","",$BN360+ROTop)</f>
        <v/>
      </c>
      <c r="BQ360" s="102">
        <f>IF(OR(N($BJ360)=0,$BH360=""),"",$BH360/$BJ360-ClearDeduct)</f>
        <v/>
      </c>
      <c r="BR360" s="99">
        <f>IF(N($CH360)=0,"",IF($CH360&gt;=180,"A · 3 HR",IF($CH360&gt;=90,"B · 1-1/2 HR",IF($CH360&gt;=60,"B · 1 HR",IF($CH360&gt;=45,"C · 3/4 HR","20 MIN")))))&amp;IF(AND(N($CH360)&gt;0,OR($I360="CORRIDOR",$I360="SMOKE BARRIER"))," · S","")</f>
        <v/>
      </c>
      <c r="BS360" s="99">
        <f>IF($CS360,"",IF($AV360&lt;&gt;"",$AV360,IF(OR($AC360="HGC",$AO360="HGC"),"CONT",IF(($BI360-HeadClr-Undercut)&lt;=60,2,IF(($BI360-HeadClr-Undercut)&lt;=90,3,IF(($BI360-HeadClr-Undercut)&lt;=120,4,5))))))</f>
        <v/>
      </c>
      <c r="BT360" s="99">
        <f>IF($CS360,"",IF($CT360,"CUSTOM (typed)",IF($CV360,$AT360&amp;" "&amp;$CU360&amp;CHAR(34)&amp;IF($CU360&lt;&gt;$BI360,IF(AND($BI360&lt;$CU360,$BI360-IF(N(VLOOKUP($AT360&amp;"|"&amp;$CU360,LocTable,7,FALSE))&gt;0,VLOOKUP($AT360&amp;"|"&amp;$CU360,LocTable,7,FALSE),VLOOKUP($AT360&amp;"|"&amp;$CU360,LocTable,6,FALSE))-$CR360-0.75&gt;=2.125)," cut down"," adj."),""),"ANSI/SDI A250.6")))</f>
        <v/>
      </c>
      <c r="BU360" s="103">
        <f>IF($CS360,"",IF($CT360,IF(N($AW360)&gt;0,N($AW360),""),IF(1&gt;$CQ360,"",IF($CQ360=1,$CW360,$CW360+($CX360-$CW360)*0/($CQ360-1)))))</f>
        <v/>
      </c>
      <c r="BV360" s="103">
        <f>IF($CS360,"",IF($CT360,IF(N($AX360)&gt;0,N($AX360),""),IF(2&gt;$CQ360,"",IF($CQ360=1,$CW360,$CW360+($CX360-$CW360)*1/($CQ360-1)))))</f>
        <v/>
      </c>
      <c r="BW360" s="103">
        <f>IF($CS360,"",IF($CT360,IF(N($AY360)&gt;0,N($AY360),""),IF(3&gt;$CQ360,"",IF($CQ360=1,$CW360,$CW360+($CX360-$CW360)*2/($CQ360-1)))))</f>
        <v/>
      </c>
      <c r="BX360" s="103">
        <f>IF($CS360,"",IF($CT360,IF(N($AZ360)&gt;0,N($AZ360),""),IF(4&gt;$CQ360,"",IF($CQ360=1,$CW360,$CW360+($CX360-$CW360)*3/($CQ360-1)))))</f>
        <v/>
      </c>
      <c r="BY360" s="103">
        <f>IF($CS360,"",IF($CT360,"",IF(5&gt;$CQ360,"",IF($CQ360=1,$CW360,$CW360+($CX360-$CW360)*4/($CQ360-1)))))</f>
        <v/>
      </c>
      <c r="BZ360" s="103">
        <f>IF(OR($CS360,$AP360="-",AND($AP360="",$AD360="")),"",IF(N($BA360)&gt;0,N($BA360),IF($CV360,IF(AND($BI360&lt;$CU360,$BI360-IF(N(VLOOKUP($AT360&amp;"|"&amp;$CU360,LocTable,7,FALSE))&gt;0,VLOOKUP($AT360&amp;"|"&amp;$CU360,LocTable,7,FALSE),VLOOKUP($AT360&amp;"|"&amp;$CU360,LocTable,6,FALSE))-$CR360-0.75&gt;=2.125),VLOOKUP($AT360&amp;"|"&amp;$CU360,LocTable,8,FALSE),VLOOKUP($AT360&amp;"|"&amp;$CU360,LocTable,8,FALSE)+($BI360-$CU360)),$BI360-LockAFF)))</f>
        <v/>
      </c>
      <c r="CA360" s="104">
        <f>IF($BZ360="","",$BI360-$BZ360)</f>
        <v/>
      </c>
      <c r="CB360" s="99">
        <f>IF(OR(NOT(AND($A360&lt;&gt;"",$C360&lt;&gt;"DOOR ONLY")),$BI360=""),"",IF(($BI360+IF(N($P360)&gt;0,$P360+FaceW,0))&lt;=90,3,IF(($BI360+IF(N($P360)&gt;0,$P360+FaceW,0))&lt;=114,4,5)))</f>
        <v/>
      </c>
      <c r="CC360" s="99">
        <f>IF($CB360="","",$CB360*(2+IF(N($Q360)&gt;0,IF($R360="LR",2,1),0)))</f>
        <v/>
      </c>
      <c r="CD360" s="99">
        <f>IF($CB360="","",(2+IF(N($Q360)&gt;0,IF($R360="LR",2,1),0)))</f>
        <v/>
      </c>
      <c r="CE360" s="99">
        <f>IF(N($BJ360)=0,"",IF(OR($AL360="",$AL360="FLUSH"),"FLUSH",IFERROR(LEFT($AL360,FIND("-",$AL360)-1),LEFT($AL360,2))))</f>
        <v/>
      </c>
      <c r="CF360" s="99">
        <f>IF($CE360="","",IFERROR(VALUE(MID($AL360,FIND("-",$AL360)+1,FIND(CHAR(34)&amp;"x",$AL360)-FIND("-",$AL360)-1)),0))</f>
        <v/>
      </c>
      <c r="CG360" s="99">
        <f>IF($CE360="","",IFERROR(VALUE(MID($AL360,FIND(CHAR(34)&amp;"x",$AL360)+2,FIND(CHAR(34),$AL360,FIND(CHAR(34)&amp;"x",$AL360)+2)-FIND(CHAR(34)&amp;"x",$AL360)-2)),0))</f>
        <v/>
      </c>
      <c r="CH360" s="105">
        <f>IF(OR($A360="",$H360="",$H360="NO LAB"),0,IFERROR(VALUE(LEFT($H360,FIND(" ",$H360)-1)),0))</f>
        <v/>
      </c>
      <c r="CI360" s="106">
        <f>IF(OR($A360="",$I360="",$I360="NON-RATED",N($J360)=0),"",IFERROR(VLOOKUP($I360&amp;"|"&amp;$J360,IBC,2,FALSE),"?"))</f>
        <v/>
      </c>
      <c r="CJ360" s="100">
        <f>IF(NOT(AND($A360&lt;&gt;"",$C360&lt;&gt;"DOOR ONLY")),"",TRIM(IFERROR(VLOOKUP($U360,CODES,2,FALSE),"")&amp;" "&amp;$BG360&amp;" "&amp;IFERROR(VLOOKUP($Z360,CODES,2,FALSE),"")&amp;" "&amp;IFERROR(VLOOKUP($X360,CODES,2,FALSE),"")&amp;" "&amp;IFERROR(VLOOKUP($S360,CODES,2,FALSE),"")&amp;IF(N($P360)&gt;0," w/TRANSOM "&amp;$P360&amp;CHAR(34),"")&amp;IF(N($Q360)&gt;0," w/SIDELITE "&amp;$Q360&amp;CHAR(34)&amp;" "&amp;IF($R360="","R",$R360),"")&amp;IF($Y360="","  |  "," | "&amp;IFERROR(VLOOKUP($Y360,CODES,2,FALSE),"")&amp;" | ")&amp;IFERROR(VLOOKUP($AC360,CODES,2,FALSE),"")&amp;" "&amp;IFERROR(VLOOKUP($AD360,CODES,2,FALSE),"")&amp;IF(OR($AE360="",$AE360="-"),""," "&amp;$AE360)&amp;IF(OR($AF360="",$AF360="-"),""," "&amp;$AF360)&amp;IF($AB360="Y"," 4"&amp;CHAR(34)&amp;" HEAD","")&amp;" "&amp;IFERROR(VLOOKUP($H360,CODES,2,FALSE),"")&amp;IF($CT360," | LOC "&amp;$CY360,"")))</f>
        <v/>
      </c>
      <c r="CK360" s="100">
        <f>IF(NOT(AND($A360&lt;&gt;"",N($BJ360)&gt;0)),"",TRIM(IFERROR(VLOOKUP($AH360,CODES,2,FALSE),"")&amp;IF($AI360=""," "," "&amp;$AI360&amp;"GA ")&amp;$BG360&amp;" "&amp;IF($AN360="",IFERROR(VLOOKUP($Z360,CODES,2,FALSE),""),IFERROR(VLOOKUP($AN360,CODES,2,FALSE),""))&amp;IF($BJ360=2," PAIR","")&amp;" DOOR | "&amp;IF($AL360="","?",$AL360)&amp;" | "&amp;IF($AO360="",IFERROR(VLOOKUP($AC360,CODES,2,FALSE),""),IFERROR(VLOOKUP($AO360,CODES,2,FALSE),""))&amp;" "&amp;IFERROR(VLOOKUP($AP360,CODES,2,FALSE),"")&amp;IF(OR($AQ360="",$AQ360="-"),""," SEAM "&amp;$AQ360)&amp;IF($AR360="Y"," ASTRAGAL","")&amp;IF($AJ360=""," "," "&amp;$AJ360)&amp;IF($AK360=""," "," "&amp;$AK360)&amp;IF(OR($AT360="",$AT360="ANSI/SDI",$AT360="CUSTOM LOC"),""," "&amp;$AT360)&amp;IF($AM360=""," "," SERIES "&amp;$AM360)&amp;" "&amp;IFERROR(VLOOKUP($H360,CODES,2,FALSE),"")&amp;IF($CT360," | LOC "&amp;$CZ360,"")))</f>
        <v/>
      </c>
      <c r="CL360" s="99">
        <f>IF(CP360="","",IF(COUNTIF($CP$6:CP360,CP360)=1,MAX($CL$5:CL359)+1,INDEX($CL$5:CL359,MATCH(CP360,$CP$5:CP359,0))))</f>
        <v/>
      </c>
      <c r="CM360" s="99">
        <f>IF(NOT(AND($A360&lt;&gt;"",$C360&lt;&gt;"DOOR ONLY")),"",MAX($CM$5:CM359)+1)</f>
        <v/>
      </c>
      <c r="CN360" s="99">
        <f>IF(NOT(AND($A360&lt;&gt;"",N($BJ360)&gt;0)),"",MAX($CN$5:CN359)+1)</f>
        <v/>
      </c>
      <c r="CO360" s="99">
        <f>IF($A360="","",MAX($CO$5:CO359)+1)</f>
        <v/>
      </c>
      <c r="CP360" s="99">
        <f>IF(OR($A360="",$BH360="",$BI360=""),"",$BG360&amp;"|"&amp;$O360&amp;"|"&amp;$AL360&amp;"|"&amp;$S360&amp;"|"&amp;$P360&amp;"|"&amp;$Q360&amp;$R360&amp;"|"&amp;$C360&amp;"|"&amp;$AB360)</f>
        <v/>
      </c>
      <c r="CQ360" s="99">
        <f>N($BS360)</f>
        <v/>
      </c>
      <c r="CR360" s="99">
        <f>IF(N($AU360)&gt;0,N($AU360),4.5)</f>
        <v/>
      </c>
      <c r="CS360" s="99">
        <f>OR($A360="",$BI360="",$S360="BL",AND($C360="FRAME ONLY",OR($AC360="",$AC360="BLK")))</f>
        <v/>
      </c>
      <c r="CT360" s="99">
        <f>AND(NOT($CS360),OR($AT360="CUSTOM LOC",N($AW360)+N($AX360)+N($AY360)+N($AZ360)+N($BA360)&gt;0))</f>
        <v/>
      </c>
      <c r="CU360" s="99">
        <f>IF($BI360="","",IF($BI360&lt;=80,80,IF($BI360&lt;=84,84,96)))</f>
        <v/>
      </c>
      <c r="CV360" s="99">
        <f>ISNUMBER(MATCH($AT360&amp;"|80",LocKeys,0))</f>
        <v/>
      </c>
      <c r="CW360" s="101">
        <f>IF($CS360,"",IF($CV360,VLOOKUP($AT360&amp;"|"&amp;$CU360,LocTable,4,FALSE),5))</f>
        <v/>
      </c>
      <c r="CX360" s="101">
        <f>IF($CS360,"",IF($CV360,IF(OR($BI360=$CU360,AND($BI360&lt;$CU360,$BI360-IF(N(VLOOKUP($AT360&amp;"|"&amp;$CU360,LocTable,7,FALSE))&gt;0,VLOOKUP($AT360&amp;"|"&amp;$CU360,LocTable,7,FALSE),VLOOKUP($AT360&amp;"|"&amp;$CU360,LocTable,6,FALSE))-$CR360-0.75&gt;=2.125)),IF(N(VLOOKUP($AT360&amp;"|"&amp;$CU360,LocTable,7,FALSE))&gt;0,VLOOKUP($AT360&amp;"|"&amp;$CU360,LocTable,7,FALSE),VLOOKUP($AT360&amp;"|"&amp;$CU360,LocTable,6,FALSE)),$BI360-($CU360-IF(N(VLOOKUP($AT360&amp;"|"&amp;$CU360,LocTable,7,FALSE))&gt;0,VLOOKUP($AT360&amp;"|"&amp;$CU360,LocTable,7,FALSE),VLOOKUP($AT360&amp;"|"&amp;$CU360,LocTable,6,FALSE)))),$BI360-10-$CR360))</f>
        <v/>
      </c>
      <c r="CY360" s="100">
        <f>IF($CS360,"",TRIM(IF(ISNUMBER($BU360),"A "&amp;TRIM(TEXT($BU360,"# ?/??"))&amp;CHAR(34)&amp;"  ","")&amp;IF(ISNUMBER($BV360),"B "&amp;TRIM(TEXT($BV360,"# ?/??"))&amp;CHAR(34)&amp;"  ","")&amp;IF(ISNUMBER($BW360),"C "&amp;TRIM(TEXT($BW360,"# ?/??"))&amp;CHAR(34)&amp;"  ","")&amp;IF(ISNUMBER($BX360),"D "&amp;TRIM(TEXT($BX360,"# ?/??"))&amp;CHAR(34)&amp;"  ","")&amp;IF(ISNUMBER($BY360),"F "&amp;TRIM(TEXT($BY360,"# ?/??"))&amp;CHAR(34)&amp;"  ","")&amp;IF(ISNUMBER($BZ360),"E "&amp;TRIM(TEXT($BZ360,"# ?/??"))&amp;CHAR(34)&amp;"  ","")))</f>
        <v/>
      </c>
      <c r="CZ360" s="100">
        <f>IF(OR($CS360,N($BJ360)=0),"",TRIM(IF(ISNUMBER($BU360),"A "&amp;TRIM(TEXT($BU360-HeadClr,"# ?/??"))&amp;CHAR(34)&amp;"  ","")&amp;IF(ISNUMBER($BV360),"B "&amp;TRIM(TEXT($BV360-HeadClr,"# ?/??"))&amp;CHAR(34)&amp;"  ","")&amp;IF(ISNUMBER($BW360),"C "&amp;TRIM(TEXT($BW360-HeadClr,"# ?/??"))&amp;CHAR(34)&amp;"  ","")&amp;IF(ISNUMBER($BX360),"D "&amp;TRIM(TEXT($BX360-HeadClr,"# ?/??"))&amp;CHAR(34)&amp;"  ","")&amp;IF(ISNUMBER($BY360),"F "&amp;TRIM(TEXT($BY360-HeadClr,"# ?/??"))&amp;CHAR(34)&amp;"  ","")&amp;IF(ISNUMBER($BZ360),"E "&amp;TRIM(TEXT($BZ360-HeadClr,"# ?/??"))&amp;CHAR(34)&amp;"  ","")))</f>
        <v/>
      </c>
      <c r="DA360" s="99">
        <f>IF($A360="","",IF($AN360="",IFERROR(VLOOKUP($Z360,CODES,2,FALSE),""),IFERROR(VLOOKUP($AN360,CODES,2,FALSE),"")))</f>
        <v/>
      </c>
      <c r="DB360" s="99">
        <f>IF($A360="","",IF($O360="Y","PR",IF(OR($Z360="L",$Z360="RR",LEFT($Z360,2)="L-",LEFT($Z360,3)="RR-"),"LH","RH")))</f>
        <v/>
      </c>
      <c r="DC360" s="99">
        <f>IF($A360="","","S.HM"&amp;IF(OR($C360="DOOR ONLY",$X360&lt;&gt;"KD"),"MASONRY","DRYWALL")&amp;IF($C360="DOOR ONLY","",$U360)&amp;IF(AND($C360&lt;&gt;"FRAME ONLY",OR(LEFT($AH360,3)="OAK",LEFT($AH360,3)="BIR",LEFT($AH360,3)="MAP",$AH360="PC",$AH360="MC",$AH360="SCLC",$AH360="P-LAM")),"WD","HM")&amp;"1.75")</f>
        <v/>
      </c>
      <c r="DD360" s="99">
        <f>IF($CJ360="","",IF($O360="Y",$CJ360,SUBSTITUTE($CJ360,$BG360&amp;" "&amp;IFERROR(VLOOKUP($Z360,CODES,2,FALSE),"")&amp;" ",$BG360&amp;" ")))</f>
        <v/>
      </c>
      <c r="DE360" s="99">
        <f>IF($CK360="","",IF($O360="Y",$CK360,SUBSTITUTE($CK360,$BG360&amp;" "&amp;IF($AN360="",IFERROR(VLOOKUP($Z360,CODES,2,FALSE),""),IFERROR(VLOOKUP($AN360,CODES,2,FALSE),""))&amp;" ",$BG360&amp;" ")))</f>
        <v/>
      </c>
      <c r="DF360" s="99">
        <f>IF($CJ360="","",$DC360&amp;"|"&amp;$DD360&amp;"|"&amp;$DB360&amp;"|"&amp;$AT360&amp;"|"&amp;$V360&amp;"|"&amp;$Y360&amp;"|"&amp;$AB360)</f>
        <v/>
      </c>
      <c r="DG360" s="99">
        <f>IF(DF360="","",IF(COUNTIF($DF$6:DF360,DF360)=1,MAX($DG$5:DG359)+1,INDEX($DG$5:DG359,MATCH(DF360,$DF$5:DF359,0))))</f>
        <v/>
      </c>
      <c r="DH360" s="99">
        <f>IF($CK360="","",$DC360&amp;"|"&amp;$DE360&amp;"|"&amp;$AI360&amp;"|"&amp;$BK360&amp;"|"&amp;$BL360)</f>
        <v/>
      </c>
      <c r="DI360" s="99">
        <f>IF(DH360="","",IF(COUNTIF($DH$6:DH360,DH360)=1,MAX($DI$5:DI359)+1,INDEX($DI$5:DI359,MATCH(DH360,$DH$5:DH359,0))))</f>
        <v/>
      </c>
      <c r="DJ360" s="99">
        <f>IF($A360="","",IF($B360="","qty, ","")&amp;IF($C360="","scope, ","")&amp;IF(OR($K360="",$M360=""),"size, ","")&amp;IF(AND($A360&lt;&gt;"",$C360&lt;&gt;"DOOR ONLY"),IF($U360="","jamb depth, ","")&amp;IF($X360="","construction, ","")&amp;IF($Y360="","anchor, ","")&amp;IF($S360="","frame type, ",""),"")&amp;IF(AND(N($BJ360)&gt;0,$Z360=""),"hand, ","")&amp;IF(N($BJ360)&gt;0,IF($AH360="","door material, ","")&amp;IF($AL360="","face type, ","")&amp;IF($AP360="","lock prep, ","")&amp;IF(AND($AO360="",$AC360=""),"hinge prep, ",""),"")&amp;IF(AND($CH360&gt;0,$AH360="FRP"),"FRP cannot carry a label, ","")&amp;IF(AND($O360="Y",OR($Z360="L",$Z360="R",$Z360="LR",$Z360="RR")),"pair marked but hand is single, ","")&amp;IF(AND($O360&lt;&gt;"Y",OR($Z360="PR",AND(LEN($Z360)&gt;1,ISNUMBER(SEARCH("-",$Z360))))),"pair hand on a single door, ","")&amp;IF(AND(ISNUMBER($CI360),$CH360&lt;N($CI360)),"wall needs a "&amp;$CI360&amp;" min door, ","")&amp;IF(AND($CH360&gt;=180,AND(OR($CE360="FG",$CE360="HG",$CE360="FNV",$CE360="FV"),N($CF360)*N($CG360)&gt;100)),"180 min lite over 100 sq in, ","")&amp;IF(N($BK360)&gt;48,"leaf wider than 4'-0"&amp;CHAR(34)&amp;", ","")&amp;IF(AND($CT360,COUNT($AW360:$AZ360)=0,$CQ360&gt;0),"CUSTOM LOC with no locations typed, ",""))</f>
        <v/>
      </c>
      <c r="DK360" s="99">
        <f>IF($A360="","",IF(AND($CH360&gt;0,AND($A360&lt;&gt;"",$C360&lt;&gt;"DOOR ONLY"),$X360="KD",$E360="EXTERIOR"),"KD label on an exterior opening, ","")&amp;IF(AND($E360="EXTERIOR",OR(AND(AND($A360&lt;&gt;"",$C360&lt;&gt;"DOOR ONLY"),$W360="CR"),AND(N($BJ360)&gt;0,$AH360="CR"))),"exterior in CR steel (G9?), ","")&amp;IF(AND(ISNUMBER($BQ360),N($BQ360)&lt;32),"clear width ~"&amp;TEXT($BQ360,"0.0")&amp;CHAR(34)&amp;" under 32"&amp;CHAR(34)&amp;" (ADA), ","")&amp;IF(AND($CH360=90,AND(OR($CE360="FG",$CE360="HG",$CE360="FNV",$CE360="FV"),N($CF360)*N($CG360)&gt;100)),"90 min lite over 100 sq in (stair/exit), ","")&amp;IF(AND($CH360&gt;0,AND($A360&lt;&gt;"",$C360&lt;&gt;"DOOR ONLY"),OR($AF360="",$AF360="-")),"rated: closer reinf.?, ","")&amp;IF(OR($I360="CORRIDOR",$I360="SMOKE BARRIER"),"S label + smoke gasketing, ","")&amp;IF($CI360="?","wall type/hr not in IBC table, ","")&amp;IF(AND(N($BJ360)&gt;0,$BB360=""),"no hardware set, ","")&amp;IF(AND($BB360&lt;&gt;"",ISNA(MATCH($BB360&amp;"",HWSets,0))),"set "&amp;$BB360&amp;" not on HW Sets, ","")&amp;IF(N($BL360)&gt;96,"leaf over 8'-0"&amp;CHAR(34)&amp;" - check listing, ","")&amp;IF(AND($CT360,COUNT($AW360:$AZ360)&gt;0,COUNT($AW360:$AZ360)&lt;&gt;$CQ360),COUNT($AW360:$AZ360)&amp;" custom hinges typed, "&amp;$CQ360&amp;" expected, ","")&amp;IF(AND(ISNUMBER($CA360),OR(N($CA360)&lt;34,N($CA360)&gt;48)),"lock "&amp;TEXT($CA360,"0.0")&amp;CHAR(34)&amp;" AFF outside 34-48"&amp;CHAR(34)&amp;" (ADA), ","")&amp;IF(AND(ISNUMBER($AV360),ISNUMBER($BL360),N($AV360)&lt;IF(N($BL360)&lt;=60,2,IF(N($BL360)&lt;=90,3,IF(N($BL360)&lt;=120,4,5)))),"fewer hinges than standard, ",""))</f>
        <v/>
      </c>
    </row>
    <row r="361" ht="15" customHeight="1">
      <c r="A361" s="77" t="n"/>
      <c r="B361" s="78" t="n"/>
      <c r="C361" s="78" t="n"/>
      <c r="D361" s="78" t="n"/>
      <c r="E361" s="78" t="n"/>
      <c r="F361" s="78" t="n"/>
      <c r="G361" s="78" t="n"/>
      <c r="H361" s="78" t="n"/>
      <c r="I361" s="78" t="n"/>
      <c r="J361" s="78" t="n"/>
      <c r="K361" s="78" t="n"/>
      <c r="L361" s="78" t="n"/>
      <c r="M361" s="78" t="n"/>
      <c r="N361" s="78" t="n"/>
      <c r="O361" s="78" t="n"/>
      <c r="P361" s="78" t="n"/>
      <c r="Q361" s="78" t="n"/>
      <c r="R361" s="78" t="n"/>
      <c r="S361" s="79" t="n"/>
      <c r="T361" s="79" t="n"/>
      <c r="U361" s="79" t="n"/>
      <c r="V361" s="79" t="n"/>
      <c r="W361" s="79" t="n"/>
      <c r="X361" s="79" t="n"/>
      <c r="Y361" s="79" t="n"/>
      <c r="Z361" s="79" t="n"/>
      <c r="AA361" s="79" t="n"/>
      <c r="AB361" s="79" t="n"/>
      <c r="AC361" s="79" t="n"/>
      <c r="AD361" s="79" t="n"/>
      <c r="AE361" s="79" t="n"/>
      <c r="AF361" s="79" t="n"/>
      <c r="AG361" s="79" t="n"/>
      <c r="AH361" s="80" t="n"/>
      <c r="AI361" s="80" t="n"/>
      <c r="AJ361" s="80" t="n"/>
      <c r="AK361" s="80" t="n"/>
      <c r="AL361" s="80" t="n"/>
      <c r="AM361" s="80" t="n"/>
      <c r="AN361" s="80" t="n"/>
      <c r="AO361" s="80" t="n"/>
      <c r="AP361" s="80" t="n"/>
      <c r="AQ361" s="80" t="n"/>
      <c r="AR361" s="80" t="n"/>
      <c r="AS361" s="80" t="n"/>
      <c r="AT361" s="81" t="n"/>
      <c r="AU361" s="81" t="n"/>
      <c r="AV361" s="81" t="n"/>
      <c r="AW361" s="82" t="n"/>
      <c r="AX361" s="82" t="n"/>
      <c r="AY361" s="82" t="n"/>
      <c r="AZ361" s="82" t="n"/>
      <c r="BA361" s="82" t="n"/>
      <c r="BB361" s="83" t="n"/>
      <c r="BC361" s="83" t="n"/>
      <c r="BD361" s="84">
        <f>IF($A361="","",IF($DJ361&lt;&gt;"","FIX",IF($DK361&lt;&gt;"","CHECK","OK")))</f>
        <v/>
      </c>
      <c r="BE361" s="85">
        <f>IF($A361="","",IF($DJ361&lt;&gt;"","FIX: "&amp;LEFT($DJ361,LEN($DJ361)-2)&amp;IF($DK361&lt;&gt;"","  ·  ",""),"")&amp;IF($DK361&lt;&gt;"","CHECK: "&amp;LEFT($DK361,LEN($DK361)-2),""))</f>
        <v/>
      </c>
      <c r="BF361" s="84">
        <f>IF(OR($A361="",$K361=""),"",$K361&amp;"'-"&amp;N($L361)&amp;CHAR(34)&amp;" x "&amp;$M361&amp;"'-"&amp;N($N361)&amp;CHAR(34))</f>
        <v/>
      </c>
      <c r="BG361" s="84">
        <f>IF(OR($A361="",$K361=""),"",$K361&amp;N($L361)&amp;$M361&amp;N($N361))</f>
        <v/>
      </c>
      <c r="BH361" s="84">
        <f>IF(OR($A361="",$K361=""),"",$K361*12+N($L361))</f>
        <v/>
      </c>
      <c r="BI361" s="84">
        <f>IF(OR($A361="",$M361=""),"",$M361*12+N($N361))</f>
        <v/>
      </c>
      <c r="BJ361" s="84">
        <f>IF($A361="","",IF(OR($C361="FRAME ONLY",$S361="BL"),0,IF($O361="Y",2,1)))</f>
        <v/>
      </c>
      <c r="BK361" s="86">
        <f>IF(OR(N($BJ361)=0,$BH361=""),"",($BH361-2*EdgeClr-IF($BJ361=2,MeetClr,0))/$BJ361)</f>
        <v/>
      </c>
      <c r="BL361" s="86">
        <f>IF(OR(N($BJ361)=0,$BI361=""),"",$BI361-HeadClr-Undercut)</f>
        <v/>
      </c>
      <c r="BM361" s="86">
        <f>IF($BH361="","",$BH361+2*FaceW+IF(N($Q361)&gt;0,($Q361+FaceW)*IF($R361="LR",2,1),0))</f>
        <v/>
      </c>
      <c r="BN361" s="86">
        <f>IF($BI361="","",$BI361+IF($AB361="Y",4,FaceW)+IF(N($P361)&gt;0,$P361+FaceW,0)+IF(OR($S361="4F",$S361="BL"),FaceW,0))</f>
        <v/>
      </c>
      <c r="BO361" s="86">
        <f>IF($BM361="","",$BM361+2*ROSide)</f>
        <v/>
      </c>
      <c r="BP361" s="86">
        <f>IF($BN361="","",$BN361+ROTop)</f>
        <v/>
      </c>
      <c r="BQ361" s="87">
        <f>IF(OR(N($BJ361)=0,$BH361=""),"",$BH361/$BJ361-ClearDeduct)</f>
        <v/>
      </c>
      <c r="BR361" s="84">
        <f>IF(N($CH361)=0,"",IF($CH361&gt;=180,"A · 3 HR",IF($CH361&gt;=90,"B · 1-1/2 HR",IF($CH361&gt;=60,"B · 1 HR",IF($CH361&gt;=45,"C · 3/4 HR","20 MIN")))))&amp;IF(AND(N($CH361)&gt;0,OR($I361="CORRIDOR",$I361="SMOKE BARRIER"))," · S","")</f>
        <v/>
      </c>
      <c r="BS361" s="84">
        <f>IF($CS361,"",IF($AV361&lt;&gt;"",$AV361,IF(OR($AC361="HGC",$AO361="HGC"),"CONT",IF(($BI361-HeadClr-Undercut)&lt;=60,2,IF(($BI361-HeadClr-Undercut)&lt;=90,3,IF(($BI361-HeadClr-Undercut)&lt;=120,4,5))))))</f>
        <v/>
      </c>
      <c r="BT361" s="84">
        <f>IF($CS361,"",IF($CT361,"CUSTOM (typed)",IF($CV361,$AT361&amp;" "&amp;$CU361&amp;CHAR(34)&amp;IF($CU361&lt;&gt;$BI361,IF(AND($BI361&lt;$CU361,$BI361-IF(N(VLOOKUP($AT361&amp;"|"&amp;$CU361,LocTable,7,FALSE))&gt;0,VLOOKUP($AT361&amp;"|"&amp;$CU361,LocTable,7,FALSE),VLOOKUP($AT361&amp;"|"&amp;$CU361,LocTable,6,FALSE))-$CR361-0.75&gt;=2.125)," cut down"," adj."),""),"ANSI/SDI A250.6")))</f>
        <v/>
      </c>
      <c r="BU361" s="88">
        <f>IF($CS361,"",IF($CT361,IF(N($AW361)&gt;0,N($AW361),""),IF(1&gt;$CQ361,"",IF($CQ361=1,$CW361,$CW361+($CX361-$CW361)*0/($CQ361-1)))))</f>
        <v/>
      </c>
      <c r="BV361" s="88">
        <f>IF($CS361,"",IF($CT361,IF(N($AX361)&gt;0,N($AX361),""),IF(2&gt;$CQ361,"",IF($CQ361=1,$CW361,$CW361+($CX361-$CW361)*1/($CQ361-1)))))</f>
        <v/>
      </c>
      <c r="BW361" s="88">
        <f>IF($CS361,"",IF($CT361,IF(N($AY361)&gt;0,N($AY361),""),IF(3&gt;$CQ361,"",IF($CQ361=1,$CW361,$CW361+($CX361-$CW361)*2/($CQ361-1)))))</f>
        <v/>
      </c>
      <c r="BX361" s="88">
        <f>IF($CS361,"",IF($CT361,IF(N($AZ361)&gt;0,N($AZ361),""),IF(4&gt;$CQ361,"",IF($CQ361=1,$CW361,$CW361+($CX361-$CW361)*3/($CQ361-1)))))</f>
        <v/>
      </c>
      <c r="BY361" s="88">
        <f>IF($CS361,"",IF($CT361,"",IF(5&gt;$CQ361,"",IF($CQ361=1,$CW361,$CW361+($CX361-$CW361)*4/($CQ361-1)))))</f>
        <v/>
      </c>
      <c r="BZ361" s="88">
        <f>IF(OR($CS361,$AP361="-",AND($AP361="",$AD361="")),"",IF(N($BA361)&gt;0,N($BA361),IF($CV361,IF(AND($BI361&lt;$CU361,$BI361-IF(N(VLOOKUP($AT361&amp;"|"&amp;$CU361,LocTable,7,FALSE))&gt;0,VLOOKUP($AT361&amp;"|"&amp;$CU361,LocTable,7,FALSE),VLOOKUP($AT361&amp;"|"&amp;$CU361,LocTable,6,FALSE))-$CR361-0.75&gt;=2.125),VLOOKUP($AT361&amp;"|"&amp;$CU361,LocTable,8,FALSE),VLOOKUP($AT361&amp;"|"&amp;$CU361,LocTable,8,FALSE)+($BI361-$CU361)),$BI361-LockAFF)))</f>
        <v/>
      </c>
      <c r="CA361" s="89">
        <f>IF($BZ361="","",$BI361-$BZ361)</f>
        <v/>
      </c>
      <c r="CB361" s="84">
        <f>IF(OR(NOT(AND($A361&lt;&gt;"",$C361&lt;&gt;"DOOR ONLY")),$BI361=""),"",IF(($BI361+IF(N($P361)&gt;0,$P361+FaceW,0))&lt;=90,3,IF(($BI361+IF(N($P361)&gt;0,$P361+FaceW,0))&lt;=114,4,5)))</f>
        <v/>
      </c>
      <c r="CC361" s="84">
        <f>IF($CB361="","",$CB361*(2+IF(N($Q361)&gt;0,IF($R361="LR",2,1),0)))</f>
        <v/>
      </c>
      <c r="CD361" s="84">
        <f>IF($CB361="","",(2+IF(N($Q361)&gt;0,IF($R361="LR",2,1),0)))</f>
        <v/>
      </c>
      <c r="CE361" s="84">
        <f>IF(N($BJ361)=0,"",IF(OR($AL361="",$AL361="FLUSH"),"FLUSH",IFERROR(LEFT($AL361,FIND("-",$AL361)-1),LEFT($AL361,2))))</f>
        <v/>
      </c>
      <c r="CF361" s="84">
        <f>IF($CE361="","",IFERROR(VALUE(MID($AL361,FIND("-",$AL361)+1,FIND(CHAR(34)&amp;"x",$AL361)-FIND("-",$AL361)-1)),0))</f>
        <v/>
      </c>
      <c r="CG361" s="84">
        <f>IF($CE361="","",IFERROR(VALUE(MID($AL361,FIND(CHAR(34)&amp;"x",$AL361)+2,FIND(CHAR(34),$AL361,FIND(CHAR(34)&amp;"x",$AL361)+2)-FIND(CHAR(34)&amp;"x",$AL361)-2)),0))</f>
        <v/>
      </c>
      <c r="CH361" s="90">
        <f>IF(OR($A361="",$H361="",$H361="NO LAB"),0,IFERROR(VALUE(LEFT($H361,FIND(" ",$H361)-1)),0))</f>
        <v/>
      </c>
      <c r="CI361" s="91">
        <f>IF(OR($A361="",$I361="",$I361="NON-RATED",N($J361)=0),"",IFERROR(VLOOKUP($I361&amp;"|"&amp;$J361,IBC,2,FALSE),"?"))</f>
        <v/>
      </c>
      <c r="CJ361" s="85">
        <f>IF(NOT(AND($A361&lt;&gt;"",$C361&lt;&gt;"DOOR ONLY")),"",TRIM(IFERROR(VLOOKUP($U361,CODES,2,FALSE),"")&amp;" "&amp;$BG361&amp;" "&amp;IFERROR(VLOOKUP($Z361,CODES,2,FALSE),"")&amp;" "&amp;IFERROR(VLOOKUP($X361,CODES,2,FALSE),"")&amp;" "&amp;IFERROR(VLOOKUP($S361,CODES,2,FALSE),"")&amp;IF(N($P361)&gt;0," w/TRANSOM "&amp;$P361&amp;CHAR(34),"")&amp;IF(N($Q361)&gt;0," w/SIDELITE "&amp;$Q361&amp;CHAR(34)&amp;" "&amp;IF($R361="","R",$R361),"")&amp;IF($Y361="","  |  "," | "&amp;IFERROR(VLOOKUP($Y361,CODES,2,FALSE),"")&amp;" | ")&amp;IFERROR(VLOOKUP($AC361,CODES,2,FALSE),"")&amp;" "&amp;IFERROR(VLOOKUP($AD361,CODES,2,FALSE),"")&amp;IF(OR($AE361="",$AE361="-"),""," "&amp;$AE361)&amp;IF(OR($AF361="",$AF361="-"),""," "&amp;$AF361)&amp;IF($AB361="Y"," 4"&amp;CHAR(34)&amp;" HEAD","")&amp;" "&amp;IFERROR(VLOOKUP($H361,CODES,2,FALSE),"")&amp;IF($CT361," | LOC "&amp;$CY361,"")))</f>
        <v/>
      </c>
      <c r="CK361" s="85">
        <f>IF(NOT(AND($A361&lt;&gt;"",N($BJ361)&gt;0)),"",TRIM(IFERROR(VLOOKUP($AH361,CODES,2,FALSE),"")&amp;IF($AI361=""," "," "&amp;$AI361&amp;"GA ")&amp;$BG361&amp;" "&amp;IF($AN361="",IFERROR(VLOOKUP($Z361,CODES,2,FALSE),""),IFERROR(VLOOKUP($AN361,CODES,2,FALSE),""))&amp;IF($BJ361=2," PAIR","")&amp;" DOOR | "&amp;IF($AL361="","?",$AL361)&amp;" | "&amp;IF($AO361="",IFERROR(VLOOKUP($AC361,CODES,2,FALSE),""),IFERROR(VLOOKUP($AO361,CODES,2,FALSE),""))&amp;" "&amp;IFERROR(VLOOKUP($AP361,CODES,2,FALSE),"")&amp;IF(OR($AQ361="",$AQ361="-"),""," SEAM "&amp;$AQ361)&amp;IF($AR361="Y"," ASTRAGAL","")&amp;IF($AJ361=""," "," "&amp;$AJ361)&amp;IF($AK361=""," "," "&amp;$AK361)&amp;IF(OR($AT361="",$AT361="ANSI/SDI",$AT361="CUSTOM LOC"),""," "&amp;$AT361)&amp;IF($AM361=""," "," SERIES "&amp;$AM361)&amp;" "&amp;IFERROR(VLOOKUP($H361,CODES,2,FALSE),"")&amp;IF($CT361," | LOC "&amp;$CZ361,"")))</f>
        <v/>
      </c>
      <c r="CL361" s="84">
        <f>IF(CP361="","",IF(COUNTIF($CP$6:CP361,CP361)=1,MAX($CL$5:CL360)+1,INDEX($CL$5:CL360,MATCH(CP361,$CP$5:CP360,0))))</f>
        <v/>
      </c>
      <c r="CM361" s="84">
        <f>IF(NOT(AND($A361&lt;&gt;"",$C361&lt;&gt;"DOOR ONLY")),"",MAX($CM$5:CM360)+1)</f>
        <v/>
      </c>
      <c r="CN361" s="84">
        <f>IF(NOT(AND($A361&lt;&gt;"",N($BJ361)&gt;0)),"",MAX($CN$5:CN360)+1)</f>
        <v/>
      </c>
      <c r="CO361" s="84">
        <f>IF($A361="","",MAX($CO$5:CO360)+1)</f>
        <v/>
      </c>
      <c r="CP361" s="84">
        <f>IF(OR($A361="",$BH361="",$BI361=""),"",$BG361&amp;"|"&amp;$O361&amp;"|"&amp;$AL361&amp;"|"&amp;$S361&amp;"|"&amp;$P361&amp;"|"&amp;$Q361&amp;$R361&amp;"|"&amp;$C361&amp;"|"&amp;$AB361)</f>
        <v/>
      </c>
      <c r="CQ361" s="84">
        <f>N($BS361)</f>
        <v/>
      </c>
      <c r="CR361" s="84">
        <f>IF(N($AU361)&gt;0,N($AU361),4.5)</f>
        <v/>
      </c>
      <c r="CS361" s="84">
        <f>OR($A361="",$BI361="",$S361="BL",AND($C361="FRAME ONLY",OR($AC361="",$AC361="BLK")))</f>
        <v/>
      </c>
      <c r="CT361" s="84">
        <f>AND(NOT($CS361),OR($AT361="CUSTOM LOC",N($AW361)+N($AX361)+N($AY361)+N($AZ361)+N($BA361)&gt;0))</f>
        <v/>
      </c>
      <c r="CU361" s="84">
        <f>IF($BI361="","",IF($BI361&lt;=80,80,IF($BI361&lt;=84,84,96)))</f>
        <v/>
      </c>
      <c r="CV361" s="84">
        <f>ISNUMBER(MATCH($AT361&amp;"|80",LocKeys,0))</f>
        <v/>
      </c>
      <c r="CW361" s="86">
        <f>IF($CS361,"",IF($CV361,VLOOKUP($AT361&amp;"|"&amp;$CU361,LocTable,4,FALSE),5))</f>
        <v/>
      </c>
      <c r="CX361" s="86">
        <f>IF($CS361,"",IF($CV361,IF(OR($BI361=$CU361,AND($BI361&lt;$CU361,$BI361-IF(N(VLOOKUP($AT361&amp;"|"&amp;$CU361,LocTable,7,FALSE))&gt;0,VLOOKUP($AT361&amp;"|"&amp;$CU361,LocTable,7,FALSE),VLOOKUP($AT361&amp;"|"&amp;$CU361,LocTable,6,FALSE))-$CR361-0.75&gt;=2.125)),IF(N(VLOOKUP($AT361&amp;"|"&amp;$CU361,LocTable,7,FALSE))&gt;0,VLOOKUP($AT361&amp;"|"&amp;$CU361,LocTable,7,FALSE),VLOOKUP($AT361&amp;"|"&amp;$CU361,LocTable,6,FALSE)),$BI361-($CU361-IF(N(VLOOKUP($AT361&amp;"|"&amp;$CU361,LocTable,7,FALSE))&gt;0,VLOOKUP($AT361&amp;"|"&amp;$CU361,LocTable,7,FALSE),VLOOKUP($AT361&amp;"|"&amp;$CU361,LocTable,6,FALSE)))),$BI361-10-$CR361))</f>
        <v/>
      </c>
      <c r="CY361" s="85">
        <f>IF($CS361,"",TRIM(IF(ISNUMBER($BU361),"A "&amp;TRIM(TEXT($BU361,"# ?/??"))&amp;CHAR(34)&amp;"  ","")&amp;IF(ISNUMBER($BV361),"B "&amp;TRIM(TEXT($BV361,"# ?/??"))&amp;CHAR(34)&amp;"  ","")&amp;IF(ISNUMBER($BW361),"C "&amp;TRIM(TEXT($BW361,"# ?/??"))&amp;CHAR(34)&amp;"  ","")&amp;IF(ISNUMBER($BX361),"D "&amp;TRIM(TEXT($BX361,"# ?/??"))&amp;CHAR(34)&amp;"  ","")&amp;IF(ISNUMBER($BY361),"F "&amp;TRIM(TEXT($BY361,"# ?/??"))&amp;CHAR(34)&amp;"  ","")&amp;IF(ISNUMBER($BZ361),"E "&amp;TRIM(TEXT($BZ361,"# ?/??"))&amp;CHAR(34)&amp;"  ","")))</f>
        <v/>
      </c>
      <c r="CZ361" s="85">
        <f>IF(OR($CS361,N($BJ361)=0),"",TRIM(IF(ISNUMBER($BU361),"A "&amp;TRIM(TEXT($BU361-HeadClr,"# ?/??"))&amp;CHAR(34)&amp;"  ","")&amp;IF(ISNUMBER($BV361),"B "&amp;TRIM(TEXT($BV361-HeadClr,"# ?/??"))&amp;CHAR(34)&amp;"  ","")&amp;IF(ISNUMBER($BW361),"C "&amp;TRIM(TEXT($BW361-HeadClr,"# ?/??"))&amp;CHAR(34)&amp;"  ","")&amp;IF(ISNUMBER($BX361),"D "&amp;TRIM(TEXT($BX361-HeadClr,"# ?/??"))&amp;CHAR(34)&amp;"  ","")&amp;IF(ISNUMBER($BY361),"F "&amp;TRIM(TEXT($BY361-HeadClr,"# ?/??"))&amp;CHAR(34)&amp;"  ","")&amp;IF(ISNUMBER($BZ361),"E "&amp;TRIM(TEXT($BZ361-HeadClr,"# ?/??"))&amp;CHAR(34)&amp;"  ","")))</f>
        <v/>
      </c>
      <c r="DA361" s="84">
        <f>IF($A361="","",IF($AN361="",IFERROR(VLOOKUP($Z361,CODES,2,FALSE),""),IFERROR(VLOOKUP($AN361,CODES,2,FALSE),"")))</f>
        <v/>
      </c>
      <c r="DB361" s="84">
        <f>IF($A361="","",IF($O361="Y","PR",IF(OR($Z361="L",$Z361="RR",LEFT($Z361,2)="L-",LEFT($Z361,3)="RR-"),"LH","RH")))</f>
        <v/>
      </c>
      <c r="DC361" s="84">
        <f>IF($A361="","","S.HM"&amp;IF(OR($C361="DOOR ONLY",$X361&lt;&gt;"KD"),"MASONRY","DRYWALL")&amp;IF($C361="DOOR ONLY","",$U361)&amp;IF(AND($C361&lt;&gt;"FRAME ONLY",OR(LEFT($AH361,3)="OAK",LEFT($AH361,3)="BIR",LEFT($AH361,3)="MAP",$AH361="PC",$AH361="MC",$AH361="SCLC",$AH361="P-LAM")),"WD","HM")&amp;"1.75")</f>
        <v/>
      </c>
      <c r="DD361" s="84">
        <f>IF($CJ361="","",IF($O361="Y",$CJ361,SUBSTITUTE($CJ361,$BG361&amp;" "&amp;IFERROR(VLOOKUP($Z361,CODES,2,FALSE),"")&amp;" ",$BG361&amp;" ")))</f>
        <v/>
      </c>
      <c r="DE361" s="84">
        <f>IF($CK361="","",IF($O361="Y",$CK361,SUBSTITUTE($CK361,$BG361&amp;" "&amp;IF($AN361="",IFERROR(VLOOKUP($Z361,CODES,2,FALSE),""),IFERROR(VLOOKUP($AN361,CODES,2,FALSE),""))&amp;" ",$BG361&amp;" ")))</f>
        <v/>
      </c>
      <c r="DF361" s="84">
        <f>IF($CJ361="","",$DC361&amp;"|"&amp;$DD361&amp;"|"&amp;$DB361&amp;"|"&amp;$AT361&amp;"|"&amp;$V361&amp;"|"&amp;$Y361&amp;"|"&amp;$AB361)</f>
        <v/>
      </c>
      <c r="DG361" s="84">
        <f>IF(DF361="","",IF(COUNTIF($DF$6:DF361,DF361)=1,MAX($DG$5:DG360)+1,INDEX($DG$5:DG360,MATCH(DF361,$DF$5:DF360,0))))</f>
        <v/>
      </c>
      <c r="DH361" s="84">
        <f>IF($CK361="","",$DC361&amp;"|"&amp;$DE361&amp;"|"&amp;$AI361&amp;"|"&amp;$BK361&amp;"|"&amp;$BL361)</f>
        <v/>
      </c>
      <c r="DI361" s="84">
        <f>IF(DH361="","",IF(COUNTIF($DH$6:DH361,DH361)=1,MAX($DI$5:DI360)+1,INDEX($DI$5:DI360,MATCH(DH361,$DH$5:DH360,0))))</f>
        <v/>
      </c>
      <c r="DJ361" s="84">
        <f>IF($A361="","",IF($B361="","qty, ","")&amp;IF($C361="","scope, ","")&amp;IF(OR($K361="",$M361=""),"size, ","")&amp;IF(AND($A361&lt;&gt;"",$C361&lt;&gt;"DOOR ONLY"),IF($U361="","jamb depth, ","")&amp;IF($X361="","construction, ","")&amp;IF($Y361="","anchor, ","")&amp;IF($S361="","frame type, ",""),"")&amp;IF(AND(N($BJ361)&gt;0,$Z361=""),"hand, ","")&amp;IF(N($BJ361)&gt;0,IF($AH361="","door material, ","")&amp;IF($AL361="","face type, ","")&amp;IF($AP361="","lock prep, ","")&amp;IF(AND($AO361="",$AC361=""),"hinge prep, ",""),"")&amp;IF(AND($CH361&gt;0,$AH361="FRP"),"FRP cannot carry a label, ","")&amp;IF(AND($O361="Y",OR($Z361="L",$Z361="R",$Z361="LR",$Z361="RR")),"pair marked but hand is single, ","")&amp;IF(AND($O361&lt;&gt;"Y",OR($Z361="PR",AND(LEN($Z361)&gt;1,ISNUMBER(SEARCH("-",$Z361))))),"pair hand on a single door, ","")&amp;IF(AND(ISNUMBER($CI361),$CH361&lt;N($CI361)),"wall needs a "&amp;$CI361&amp;" min door, ","")&amp;IF(AND($CH361&gt;=180,AND(OR($CE361="FG",$CE361="HG",$CE361="FNV",$CE361="FV"),N($CF361)*N($CG361)&gt;100)),"180 min lite over 100 sq in, ","")&amp;IF(N($BK361)&gt;48,"leaf wider than 4'-0"&amp;CHAR(34)&amp;", ","")&amp;IF(AND($CT361,COUNT($AW361:$AZ361)=0,$CQ361&gt;0),"CUSTOM LOC with no locations typed, ",""))</f>
        <v/>
      </c>
      <c r="DK361" s="84">
        <f>IF($A361="","",IF(AND($CH361&gt;0,AND($A361&lt;&gt;"",$C361&lt;&gt;"DOOR ONLY"),$X361="KD",$E361="EXTERIOR"),"KD label on an exterior opening, ","")&amp;IF(AND($E361="EXTERIOR",OR(AND(AND($A361&lt;&gt;"",$C361&lt;&gt;"DOOR ONLY"),$W361="CR"),AND(N($BJ361)&gt;0,$AH361="CR"))),"exterior in CR steel (G9?), ","")&amp;IF(AND(ISNUMBER($BQ361),N($BQ361)&lt;32),"clear width ~"&amp;TEXT($BQ361,"0.0")&amp;CHAR(34)&amp;" under 32"&amp;CHAR(34)&amp;" (ADA), ","")&amp;IF(AND($CH361=90,AND(OR($CE361="FG",$CE361="HG",$CE361="FNV",$CE361="FV"),N($CF361)*N($CG361)&gt;100)),"90 min lite over 100 sq in (stair/exit), ","")&amp;IF(AND($CH361&gt;0,AND($A361&lt;&gt;"",$C361&lt;&gt;"DOOR ONLY"),OR($AF361="",$AF361="-")),"rated: closer reinf.?, ","")&amp;IF(OR($I361="CORRIDOR",$I361="SMOKE BARRIER"),"S label + smoke gasketing, ","")&amp;IF($CI361="?","wall type/hr not in IBC table, ","")&amp;IF(AND(N($BJ361)&gt;0,$BB361=""),"no hardware set, ","")&amp;IF(AND($BB361&lt;&gt;"",ISNA(MATCH($BB361&amp;"",HWSets,0))),"set "&amp;$BB361&amp;" not on HW Sets, ","")&amp;IF(N($BL361)&gt;96,"leaf over 8'-0"&amp;CHAR(34)&amp;" - check listing, ","")&amp;IF(AND($CT361,COUNT($AW361:$AZ361)&gt;0,COUNT($AW361:$AZ361)&lt;&gt;$CQ361),COUNT($AW361:$AZ361)&amp;" custom hinges typed, "&amp;$CQ361&amp;" expected, ","")&amp;IF(AND(ISNUMBER($CA361),OR(N($CA361)&lt;34,N($CA361)&gt;48)),"lock "&amp;TEXT($CA361,"0.0")&amp;CHAR(34)&amp;" AFF outside 34-48"&amp;CHAR(34)&amp;" (ADA), ","")&amp;IF(AND(ISNUMBER($AV361),ISNUMBER($BL361),N($AV361)&lt;IF(N($BL361)&lt;=60,2,IF(N($BL361)&lt;=90,3,IF(N($BL361)&lt;=120,4,5)))),"fewer hinges than standard, ",""))</f>
        <v/>
      </c>
    </row>
    <row r="362" ht="15" customHeight="1">
      <c r="A362" s="77" t="n"/>
      <c r="B362" s="78" t="n"/>
      <c r="C362" s="78" t="n"/>
      <c r="D362" s="78" t="n"/>
      <c r="E362" s="78" t="n"/>
      <c r="F362" s="78" t="n"/>
      <c r="G362" s="78" t="n"/>
      <c r="H362" s="78" t="n"/>
      <c r="I362" s="78" t="n"/>
      <c r="J362" s="78" t="n"/>
      <c r="K362" s="78" t="n"/>
      <c r="L362" s="78" t="n"/>
      <c r="M362" s="78" t="n"/>
      <c r="N362" s="78" t="n"/>
      <c r="O362" s="78" t="n"/>
      <c r="P362" s="78" t="n"/>
      <c r="Q362" s="78" t="n"/>
      <c r="R362" s="78" t="n"/>
      <c r="S362" s="79" t="n"/>
      <c r="T362" s="79" t="n"/>
      <c r="U362" s="79" t="n"/>
      <c r="V362" s="79" t="n"/>
      <c r="W362" s="79" t="n"/>
      <c r="X362" s="79" t="n"/>
      <c r="Y362" s="79" t="n"/>
      <c r="Z362" s="79" t="n"/>
      <c r="AA362" s="79" t="n"/>
      <c r="AB362" s="79" t="n"/>
      <c r="AC362" s="79" t="n"/>
      <c r="AD362" s="79" t="n"/>
      <c r="AE362" s="79" t="n"/>
      <c r="AF362" s="79" t="n"/>
      <c r="AG362" s="79" t="n"/>
      <c r="AH362" s="80" t="n"/>
      <c r="AI362" s="80" t="n"/>
      <c r="AJ362" s="80" t="n"/>
      <c r="AK362" s="80" t="n"/>
      <c r="AL362" s="80" t="n"/>
      <c r="AM362" s="80" t="n"/>
      <c r="AN362" s="80" t="n"/>
      <c r="AO362" s="80" t="n"/>
      <c r="AP362" s="80" t="n"/>
      <c r="AQ362" s="80" t="n"/>
      <c r="AR362" s="80" t="n"/>
      <c r="AS362" s="80" t="n"/>
      <c r="AT362" s="81" t="n"/>
      <c r="AU362" s="81" t="n"/>
      <c r="AV362" s="81" t="n"/>
      <c r="AW362" s="82" t="n"/>
      <c r="AX362" s="82" t="n"/>
      <c r="AY362" s="82" t="n"/>
      <c r="AZ362" s="82" t="n"/>
      <c r="BA362" s="82" t="n"/>
      <c r="BB362" s="83" t="n"/>
      <c r="BC362" s="83" t="n"/>
      <c r="BD362" s="84">
        <f>IF($A362="","",IF($DJ362&lt;&gt;"","FIX",IF($DK362&lt;&gt;"","CHECK","OK")))</f>
        <v/>
      </c>
      <c r="BE362" s="85">
        <f>IF($A362="","",IF($DJ362&lt;&gt;"","FIX: "&amp;LEFT($DJ362,LEN($DJ362)-2)&amp;IF($DK362&lt;&gt;"","  ·  ",""),"")&amp;IF($DK362&lt;&gt;"","CHECK: "&amp;LEFT($DK362,LEN($DK362)-2),""))</f>
        <v/>
      </c>
      <c r="BF362" s="84">
        <f>IF(OR($A362="",$K362=""),"",$K362&amp;"'-"&amp;N($L362)&amp;CHAR(34)&amp;" x "&amp;$M362&amp;"'-"&amp;N($N362)&amp;CHAR(34))</f>
        <v/>
      </c>
      <c r="BG362" s="84">
        <f>IF(OR($A362="",$K362=""),"",$K362&amp;N($L362)&amp;$M362&amp;N($N362))</f>
        <v/>
      </c>
      <c r="BH362" s="84">
        <f>IF(OR($A362="",$K362=""),"",$K362*12+N($L362))</f>
        <v/>
      </c>
      <c r="BI362" s="84">
        <f>IF(OR($A362="",$M362=""),"",$M362*12+N($N362))</f>
        <v/>
      </c>
      <c r="BJ362" s="84">
        <f>IF($A362="","",IF(OR($C362="FRAME ONLY",$S362="BL"),0,IF($O362="Y",2,1)))</f>
        <v/>
      </c>
      <c r="BK362" s="86">
        <f>IF(OR(N($BJ362)=0,$BH362=""),"",($BH362-2*EdgeClr-IF($BJ362=2,MeetClr,0))/$BJ362)</f>
        <v/>
      </c>
      <c r="BL362" s="86">
        <f>IF(OR(N($BJ362)=0,$BI362=""),"",$BI362-HeadClr-Undercut)</f>
        <v/>
      </c>
      <c r="BM362" s="86">
        <f>IF($BH362="","",$BH362+2*FaceW+IF(N($Q362)&gt;0,($Q362+FaceW)*IF($R362="LR",2,1),0))</f>
        <v/>
      </c>
      <c r="BN362" s="86">
        <f>IF($BI362="","",$BI362+IF($AB362="Y",4,FaceW)+IF(N($P362)&gt;0,$P362+FaceW,0)+IF(OR($S362="4F",$S362="BL"),FaceW,0))</f>
        <v/>
      </c>
      <c r="BO362" s="86">
        <f>IF($BM362="","",$BM362+2*ROSide)</f>
        <v/>
      </c>
      <c r="BP362" s="86">
        <f>IF($BN362="","",$BN362+ROTop)</f>
        <v/>
      </c>
      <c r="BQ362" s="87">
        <f>IF(OR(N($BJ362)=0,$BH362=""),"",$BH362/$BJ362-ClearDeduct)</f>
        <v/>
      </c>
      <c r="BR362" s="84">
        <f>IF(N($CH362)=0,"",IF($CH362&gt;=180,"A · 3 HR",IF($CH362&gt;=90,"B · 1-1/2 HR",IF($CH362&gt;=60,"B · 1 HR",IF($CH362&gt;=45,"C · 3/4 HR","20 MIN")))))&amp;IF(AND(N($CH362)&gt;0,OR($I362="CORRIDOR",$I362="SMOKE BARRIER"))," · S","")</f>
        <v/>
      </c>
      <c r="BS362" s="84">
        <f>IF($CS362,"",IF($AV362&lt;&gt;"",$AV362,IF(OR($AC362="HGC",$AO362="HGC"),"CONT",IF(($BI362-HeadClr-Undercut)&lt;=60,2,IF(($BI362-HeadClr-Undercut)&lt;=90,3,IF(($BI362-HeadClr-Undercut)&lt;=120,4,5))))))</f>
        <v/>
      </c>
      <c r="BT362" s="84">
        <f>IF($CS362,"",IF($CT362,"CUSTOM (typed)",IF($CV362,$AT362&amp;" "&amp;$CU362&amp;CHAR(34)&amp;IF($CU362&lt;&gt;$BI362,IF(AND($BI362&lt;$CU362,$BI362-IF(N(VLOOKUP($AT362&amp;"|"&amp;$CU362,LocTable,7,FALSE))&gt;0,VLOOKUP($AT362&amp;"|"&amp;$CU362,LocTable,7,FALSE),VLOOKUP($AT362&amp;"|"&amp;$CU362,LocTable,6,FALSE))-$CR362-0.75&gt;=2.125)," cut down"," adj."),""),"ANSI/SDI A250.6")))</f>
        <v/>
      </c>
      <c r="BU362" s="88">
        <f>IF($CS362,"",IF($CT362,IF(N($AW362)&gt;0,N($AW362),""),IF(1&gt;$CQ362,"",IF($CQ362=1,$CW362,$CW362+($CX362-$CW362)*0/($CQ362-1)))))</f>
        <v/>
      </c>
      <c r="BV362" s="88">
        <f>IF($CS362,"",IF($CT362,IF(N($AX362)&gt;0,N($AX362),""),IF(2&gt;$CQ362,"",IF($CQ362=1,$CW362,$CW362+($CX362-$CW362)*1/($CQ362-1)))))</f>
        <v/>
      </c>
      <c r="BW362" s="88">
        <f>IF($CS362,"",IF($CT362,IF(N($AY362)&gt;0,N($AY362),""),IF(3&gt;$CQ362,"",IF($CQ362=1,$CW362,$CW362+($CX362-$CW362)*2/($CQ362-1)))))</f>
        <v/>
      </c>
      <c r="BX362" s="88">
        <f>IF($CS362,"",IF($CT362,IF(N($AZ362)&gt;0,N($AZ362),""),IF(4&gt;$CQ362,"",IF($CQ362=1,$CW362,$CW362+($CX362-$CW362)*3/($CQ362-1)))))</f>
        <v/>
      </c>
      <c r="BY362" s="88">
        <f>IF($CS362,"",IF($CT362,"",IF(5&gt;$CQ362,"",IF($CQ362=1,$CW362,$CW362+($CX362-$CW362)*4/($CQ362-1)))))</f>
        <v/>
      </c>
      <c r="BZ362" s="88">
        <f>IF(OR($CS362,$AP362="-",AND($AP362="",$AD362="")),"",IF(N($BA362)&gt;0,N($BA362),IF($CV362,IF(AND($BI362&lt;$CU362,$BI362-IF(N(VLOOKUP($AT362&amp;"|"&amp;$CU362,LocTable,7,FALSE))&gt;0,VLOOKUP($AT362&amp;"|"&amp;$CU362,LocTable,7,FALSE),VLOOKUP($AT362&amp;"|"&amp;$CU362,LocTable,6,FALSE))-$CR362-0.75&gt;=2.125),VLOOKUP($AT362&amp;"|"&amp;$CU362,LocTable,8,FALSE),VLOOKUP($AT362&amp;"|"&amp;$CU362,LocTable,8,FALSE)+($BI362-$CU362)),$BI362-LockAFF)))</f>
        <v/>
      </c>
      <c r="CA362" s="89">
        <f>IF($BZ362="","",$BI362-$BZ362)</f>
        <v/>
      </c>
      <c r="CB362" s="84">
        <f>IF(OR(NOT(AND($A362&lt;&gt;"",$C362&lt;&gt;"DOOR ONLY")),$BI362=""),"",IF(($BI362+IF(N($P362)&gt;0,$P362+FaceW,0))&lt;=90,3,IF(($BI362+IF(N($P362)&gt;0,$P362+FaceW,0))&lt;=114,4,5)))</f>
        <v/>
      </c>
      <c r="CC362" s="84">
        <f>IF($CB362="","",$CB362*(2+IF(N($Q362)&gt;0,IF($R362="LR",2,1),0)))</f>
        <v/>
      </c>
      <c r="CD362" s="84">
        <f>IF($CB362="","",(2+IF(N($Q362)&gt;0,IF($R362="LR",2,1),0)))</f>
        <v/>
      </c>
      <c r="CE362" s="84">
        <f>IF(N($BJ362)=0,"",IF(OR($AL362="",$AL362="FLUSH"),"FLUSH",IFERROR(LEFT($AL362,FIND("-",$AL362)-1),LEFT($AL362,2))))</f>
        <v/>
      </c>
      <c r="CF362" s="84">
        <f>IF($CE362="","",IFERROR(VALUE(MID($AL362,FIND("-",$AL362)+1,FIND(CHAR(34)&amp;"x",$AL362)-FIND("-",$AL362)-1)),0))</f>
        <v/>
      </c>
      <c r="CG362" s="84">
        <f>IF($CE362="","",IFERROR(VALUE(MID($AL362,FIND(CHAR(34)&amp;"x",$AL362)+2,FIND(CHAR(34),$AL362,FIND(CHAR(34)&amp;"x",$AL362)+2)-FIND(CHAR(34)&amp;"x",$AL362)-2)),0))</f>
        <v/>
      </c>
      <c r="CH362" s="90">
        <f>IF(OR($A362="",$H362="",$H362="NO LAB"),0,IFERROR(VALUE(LEFT($H362,FIND(" ",$H362)-1)),0))</f>
        <v/>
      </c>
      <c r="CI362" s="91">
        <f>IF(OR($A362="",$I362="",$I362="NON-RATED",N($J362)=0),"",IFERROR(VLOOKUP($I362&amp;"|"&amp;$J362,IBC,2,FALSE),"?"))</f>
        <v/>
      </c>
      <c r="CJ362" s="85">
        <f>IF(NOT(AND($A362&lt;&gt;"",$C362&lt;&gt;"DOOR ONLY")),"",TRIM(IFERROR(VLOOKUP($U362,CODES,2,FALSE),"")&amp;" "&amp;$BG362&amp;" "&amp;IFERROR(VLOOKUP($Z362,CODES,2,FALSE),"")&amp;" "&amp;IFERROR(VLOOKUP($X362,CODES,2,FALSE),"")&amp;" "&amp;IFERROR(VLOOKUP($S362,CODES,2,FALSE),"")&amp;IF(N($P362)&gt;0," w/TRANSOM "&amp;$P362&amp;CHAR(34),"")&amp;IF(N($Q362)&gt;0," w/SIDELITE "&amp;$Q362&amp;CHAR(34)&amp;" "&amp;IF($R362="","R",$R362),"")&amp;IF($Y362="","  |  "," | "&amp;IFERROR(VLOOKUP($Y362,CODES,2,FALSE),"")&amp;" | ")&amp;IFERROR(VLOOKUP($AC362,CODES,2,FALSE),"")&amp;" "&amp;IFERROR(VLOOKUP($AD362,CODES,2,FALSE),"")&amp;IF(OR($AE362="",$AE362="-"),""," "&amp;$AE362)&amp;IF(OR($AF362="",$AF362="-"),""," "&amp;$AF362)&amp;IF($AB362="Y"," 4"&amp;CHAR(34)&amp;" HEAD","")&amp;" "&amp;IFERROR(VLOOKUP($H362,CODES,2,FALSE),"")&amp;IF($CT362," | LOC "&amp;$CY362,"")))</f>
        <v/>
      </c>
      <c r="CK362" s="85">
        <f>IF(NOT(AND($A362&lt;&gt;"",N($BJ362)&gt;0)),"",TRIM(IFERROR(VLOOKUP($AH362,CODES,2,FALSE),"")&amp;IF($AI362=""," "," "&amp;$AI362&amp;"GA ")&amp;$BG362&amp;" "&amp;IF($AN362="",IFERROR(VLOOKUP($Z362,CODES,2,FALSE),""),IFERROR(VLOOKUP($AN362,CODES,2,FALSE),""))&amp;IF($BJ362=2," PAIR","")&amp;" DOOR | "&amp;IF($AL362="","?",$AL362)&amp;" | "&amp;IF($AO362="",IFERROR(VLOOKUP($AC362,CODES,2,FALSE),""),IFERROR(VLOOKUP($AO362,CODES,2,FALSE),""))&amp;" "&amp;IFERROR(VLOOKUP($AP362,CODES,2,FALSE),"")&amp;IF(OR($AQ362="",$AQ362="-"),""," SEAM "&amp;$AQ362)&amp;IF($AR362="Y"," ASTRAGAL","")&amp;IF($AJ362=""," "," "&amp;$AJ362)&amp;IF($AK362=""," "," "&amp;$AK362)&amp;IF(OR($AT362="",$AT362="ANSI/SDI",$AT362="CUSTOM LOC"),""," "&amp;$AT362)&amp;IF($AM362=""," "," SERIES "&amp;$AM362)&amp;" "&amp;IFERROR(VLOOKUP($H362,CODES,2,FALSE),"")&amp;IF($CT362," | LOC "&amp;$CZ362,"")))</f>
        <v/>
      </c>
      <c r="CL362" s="84">
        <f>IF(CP362="","",IF(COUNTIF($CP$6:CP362,CP362)=1,MAX($CL$5:CL361)+1,INDEX($CL$5:CL361,MATCH(CP362,$CP$5:CP361,0))))</f>
        <v/>
      </c>
      <c r="CM362" s="84">
        <f>IF(NOT(AND($A362&lt;&gt;"",$C362&lt;&gt;"DOOR ONLY")),"",MAX($CM$5:CM361)+1)</f>
        <v/>
      </c>
      <c r="CN362" s="84">
        <f>IF(NOT(AND($A362&lt;&gt;"",N($BJ362)&gt;0)),"",MAX($CN$5:CN361)+1)</f>
        <v/>
      </c>
      <c r="CO362" s="84">
        <f>IF($A362="","",MAX($CO$5:CO361)+1)</f>
        <v/>
      </c>
      <c r="CP362" s="84">
        <f>IF(OR($A362="",$BH362="",$BI362=""),"",$BG362&amp;"|"&amp;$O362&amp;"|"&amp;$AL362&amp;"|"&amp;$S362&amp;"|"&amp;$P362&amp;"|"&amp;$Q362&amp;$R362&amp;"|"&amp;$C362&amp;"|"&amp;$AB362)</f>
        <v/>
      </c>
      <c r="CQ362" s="84">
        <f>N($BS362)</f>
        <v/>
      </c>
      <c r="CR362" s="84">
        <f>IF(N($AU362)&gt;0,N($AU362),4.5)</f>
        <v/>
      </c>
      <c r="CS362" s="84">
        <f>OR($A362="",$BI362="",$S362="BL",AND($C362="FRAME ONLY",OR($AC362="",$AC362="BLK")))</f>
        <v/>
      </c>
      <c r="CT362" s="84">
        <f>AND(NOT($CS362),OR($AT362="CUSTOM LOC",N($AW362)+N($AX362)+N($AY362)+N($AZ362)+N($BA362)&gt;0))</f>
        <v/>
      </c>
      <c r="CU362" s="84">
        <f>IF($BI362="","",IF($BI362&lt;=80,80,IF($BI362&lt;=84,84,96)))</f>
        <v/>
      </c>
      <c r="CV362" s="84">
        <f>ISNUMBER(MATCH($AT362&amp;"|80",LocKeys,0))</f>
        <v/>
      </c>
      <c r="CW362" s="86">
        <f>IF($CS362,"",IF($CV362,VLOOKUP($AT362&amp;"|"&amp;$CU362,LocTable,4,FALSE),5))</f>
        <v/>
      </c>
      <c r="CX362" s="86">
        <f>IF($CS362,"",IF($CV362,IF(OR($BI362=$CU362,AND($BI362&lt;$CU362,$BI362-IF(N(VLOOKUP($AT362&amp;"|"&amp;$CU362,LocTable,7,FALSE))&gt;0,VLOOKUP($AT362&amp;"|"&amp;$CU362,LocTable,7,FALSE),VLOOKUP($AT362&amp;"|"&amp;$CU362,LocTable,6,FALSE))-$CR362-0.75&gt;=2.125)),IF(N(VLOOKUP($AT362&amp;"|"&amp;$CU362,LocTable,7,FALSE))&gt;0,VLOOKUP($AT362&amp;"|"&amp;$CU362,LocTable,7,FALSE),VLOOKUP($AT362&amp;"|"&amp;$CU362,LocTable,6,FALSE)),$BI362-($CU362-IF(N(VLOOKUP($AT362&amp;"|"&amp;$CU362,LocTable,7,FALSE))&gt;0,VLOOKUP($AT362&amp;"|"&amp;$CU362,LocTable,7,FALSE),VLOOKUP($AT362&amp;"|"&amp;$CU362,LocTable,6,FALSE)))),$BI362-10-$CR362))</f>
        <v/>
      </c>
      <c r="CY362" s="85">
        <f>IF($CS362,"",TRIM(IF(ISNUMBER($BU362),"A "&amp;TRIM(TEXT($BU362,"# ?/??"))&amp;CHAR(34)&amp;"  ","")&amp;IF(ISNUMBER($BV362),"B "&amp;TRIM(TEXT($BV362,"# ?/??"))&amp;CHAR(34)&amp;"  ","")&amp;IF(ISNUMBER($BW362),"C "&amp;TRIM(TEXT($BW362,"# ?/??"))&amp;CHAR(34)&amp;"  ","")&amp;IF(ISNUMBER($BX362),"D "&amp;TRIM(TEXT($BX362,"# ?/??"))&amp;CHAR(34)&amp;"  ","")&amp;IF(ISNUMBER($BY362),"F "&amp;TRIM(TEXT($BY362,"# ?/??"))&amp;CHAR(34)&amp;"  ","")&amp;IF(ISNUMBER($BZ362),"E "&amp;TRIM(TEXT($BZ362,"# ?/??"))&amp;CHAR(34)&amp;"  ","")))</f>
        <v/>
      </c>
      <c r="CZ362" s="85">
        <f>IF(OR($CS362,N($BJ362)=0),"",TRIM(IF(ISNUMBER($BU362),"A "&amp;TRIM(TEXT($BU362-HeadClr,"# ?/??"))&amp;CHAR(34)&amp;"  ","")&amp;IF(ISNUMBER($BV362),"B "&amp;TRIM(TEXT($BV362-HeadClr,"# ?/??"))&amp;CHAR(34)&amp;"  ","")&amp;IF(ISNUMBER($BW362),"C "&amp;TRIM(TEXT($BW362-HeadClr,"# ?/??"))&amp;CHAR(34)&amp;"  ","")&amp;IF(ISNUMBER($BX362),"D "&amp;TRIM(TEXT($BX362-HeadClr,"# ?/??"))&amp;CHAR(34)&amp;"  ","")&amp;IF(ISNUMBER($BY362),"F "&amp;TRIM(TEXT($BY362-HeadClr,"# ?/??"))&amp;CHAR(34)&amp;"  ","")&amp;IF(ISNUMBER($BZ362),"E "&amp;TRIM(TEXT($BZ362-HeadClr,"# ?/??"))&amp;CHAR(34)&amp;"  ","")))</f>
        <v/>
      </c>
      <c r="DA362" s="84">
        <f>IF($A362="","",IF($AN362="",IFERROR(VLOOKUP($Z362,CODES,2,FALSE),""),IFERROR(VLOOKUP($AN362,CODES,2,FALSE),"")))</f>
        <v/>
      </c>
      <c r="DB362" s="84">
        <f>IF($A362="","",IF($O362="Y","PR",IF(OR($Z362="L",$Z362="RR",LEFT($Z362,2)="L-",LEFT($Z362,3)="RR-"),"LH","RH")))</f>
        <v/>
      </c>
      <c r="DC362" s="84">
        <f>IF($A362="","","S.HM"&amp;IF(OR($C362="DOOR ONLY",$X362&lt;&gt;"KD"),"MASONRY","DRYWALL")&amp;IF($C362="DOOR ONLY","",$U362)&amp;IF(AND($C362&lt;&gt;"FRAME ONLY",OR(LEFT($AH362,3)="OAK",LEFT($AH362,3)="BIR",LEFT($AH362,3)="MAP",$AH362="PC",$AH362="MC",$AH362="SCLC",$AH362="P-LAM")),"WD","HM")&amp;"1.75")</f>
        <v/>
      </c>
      <c r="DD362" s="84">
        <f>IF($CJ362="","",IF($O362="Y",$CJ362,SUBSTITUTE($CJ362,$BG362&amp;" "&amp;IFERROR(VLOOKUP($Z362,CODES,2,FALSE),"")&amp;" ",$BG362&amp;" ")))</f>
        <v/>
      </c>
      <c r="DE362" s="84">
        <f>IF($CK362="","",IF($O362="Y",$CK362,SUBSTITUTE($CK362,$BG362&amp;" "&amp;IF($AN362="",IFERROR(VLOOKUP($Z362,CODES,2,FALSE),""),IFERROR(VLOOKUP($AN362,CODES,2,FALSE),""))&amp;" ",$BG362&amp;" ")))</f>
        <v/>
      </c>
      <c r="DF362" s="84">
        <f>IF($CJ362="","",$DC362&amp;"|"&amp;$DD362&amp;"|"&amp;$DB362&amp;"|"&amp;$AT362&amp;"|"&amp;$V362&amp;"|"&amp;$Y362&amp;"|"&amp;$AB362)</f>
        <v/>
      </c>
      <c r="DG362" s="84">
        <f>IF(DF362="","",IF(COUNTIF($DF$6:DF362,DF362)=1,MAX($DG$5:DG361)+1,INDEX($DG$5:DG361,MATCH(DF362,$DF$5:DF361,0))))</f>
        <v/>
      </c>
      <c r="DH362" s="84">
        <f>IF($CK362="","",$DC362&amp;"|"&amp;$DE362&amp;"|"&amp;$AI362&amp;"|"&amp;$BK362&amp;"|"&amp;$BL362)</f>
        <v/>
      </c>
      <c r="DI362" s="84">
        <f>IF(DH362="","",IF(COUNTIF($DH$6:DH362,DH362)=1,MAX($DI$5:DI361)+1,INDEX($DI$5:DI361,MATCH(DH362,$DH$5:DH361,0))))</f>
        <v/>
      </c>
      <c r="DJ362" s="84">
        <f>IF($A362="","",IF($B362="","qty, ","")&amp;IF($C362="","scope, ","")&amp;IF(OR($K362="",$M362=""),"size, ","")&amp;IF(AND($A362&lt;&gt;"",$C362&lt;&gt;"DOOR ONLY"),IF($U362="","jamb depth, ","")&amp;IF($X362="","construction, ","")&amp;IF($Y362="","anchor, ","")&amp;IF($S362="","frame type, ",""),"")&amp;IF(AND(N($BJ362)&gt;0,$Z362=""),"hand, ","")&amp;IF(N($BJ362)&gt;0,IF($AH362="","door material, ","")&amp;IF($AL362="","face type, ","")&amp;IF($AP362="","lock prep, ","")&amp;IF(AND($AO362="",$AC362=""),"hinge prep, ",""),"")&amp;IF(AND($CH362&gt;0,$AH362="FRP"),"FRP cannot carry a label, ","")&amp;IF(AND($O362="Y",OR($Z362="L",$Z362="R",$Z362="LR",$Z362="RR")),"pair marked but hand is single, ","")&amp;IF(AND($O362&lt;&gt;"Y",OR($Z362="PR",AND(LEN($Z362)&gt;1,ISNUMBER(SEARCH("-",$Z362))))),"pair hand on a single door, ","")&amp;IF(AND(ISNUMBER($CI362),$CH362&lt;N($CI362)),"wall needs a "&amp;$CI362&amp;" min door, ","")&amp;IF(AND($CH362&gt;=180,AND(OR($CE362="FG",$CE362="HG",$CE362="FNV",$CE362="FV"),N($CF362)*N($CG362)&gt;100)),"180 min lite over 100 sq in, ","")&amp;IF(N($BK362)&gt;48,"leaf wider than 4'-0"&amp;CHAR(34)&amp;", ","")&amp;IF(AND($CT362,COUNT($AW362:$AZ362)=0,$CQ362&gt;0),"CUSTOM LOC with no locations typed, ",""))</f>
        <v/>
      </c>
      <c r="DK362" s="84">
        <f>IF($A362="","",IF(AND($CH362&gt;0,AND($A362&lt;&gt;"",$C362&lt;&gt;"DOOR ONLY"),$X362="KD",$E362="EXTERIOR"),"KD label on an exterior opening, ","")&amp;IF(AND($E362="EXTERIOR",OR(AND(AND($A362&lt;&gt;"",$C362&lt;&gt;"DOOR ONLY"),$W362="CR"),AND(N($BJ362)&gt;0,$AH362="CR"))),"exterior in CR steel (G9?), ","")&amp;IF(AND(ISNUMBER($BQ362),N($BQ362)&lt;32),"clear width ~"&amp;TEXT($BQ362,"0.0")&amp;CHAR(34)&amp;" under 32"&amp;CHAR(34)&amp;" (ADA), ","")&amp;IF(AND($CH362=90,AND(OR($CE362="FG",$CE362="HG",$CE362="FNV",$CE362="FV"),N($CF362)*N($CG362)&gt;100)),"90 min lite over 100 sq in (stair/exit), ","")&amp;IF(AND($CH362&gt;0,AND($A362&lt;&gt;"",$C362&lt;&gt;"DOOR ONLY"),OR($AF362="",$AF362="-")),"rated: closer reinf.?, ","")&amp;IF(OR($I362="CORRIDOR",$I362="SMOKE BARRIER"),"S label + smoke gasketing, ","")&amp;IF($CI362="?","wall type/hr not in IBC table, ","")&amp;IF(AND(N($BJ362)&gt;0,$BB362=""),"no hardware set, ","")&amp;IF(AND($BB362&lt;&gt;"",ISNA(MATCH($BB362&amp;"",HWSets,0))),"set "&amp;$BB362&amp;" not on HW Sets, ","")&amp;IF(N($BL362)&gt;96,"leaf over 8'-0"&amp;CHAR(34)&amp;" - check listing, ","")&amp;IF(AND($CT362,COUNT($AW362:$AZ362)&gt;0,COUNT($AW362:$AZ362)&lt;&gt;$CQ362),COUNT($AW362:$AZ362)&amp;" custom hinges typed, "&amp;$CQ362&amp;" expected, ","")&amp;IF(AND(ISNUMBER($CA362),OR(N($CA362)&lt;34,N($CA362)&gt;48)),"lock "&amp;TEXT($CA362,"0.0")&amp;CHAR(34)&amp;" AFF outside 34-48"&amp;CHAR(34)&amp;" (ADA), ","")&amp;IF(AND(ISNUMBER($AV362),ISNUMBER($BL362),N($AV362)&lt;IF(N($BL362)&lt;=60,2,IF(N($BL362)&lt;=90,3,IF(N($BL362)&lt;=120,4,5)))),"fewer hinges than standard, ",""))</f>
        <v/>
      </c>
    </row>
    <row r="363" ht="15" customHeight="1">
      <c r="A363" s="77" t="n"/>
      <c r="B363" s="78" t="n"/>
      <c r="C363" s="78" t="n"/>
      <c r="D363" s="78" t="n"/>
      <c r="E363" s="78" t="n"/>
      <c r="F363" s="78" t="n"/>
      <c r="G363" s="78" t="n"/>
      <c r="H363" s="78" t="n"/>
      <c r="I363" s="78" t="n"/>
      <c r="J363" s="78" t="n"/>
      <c r="K363" s="78" t="n"/>
      <c r="L363" s="78" t="n"/>
      <c r="M363" s="78" t="n"/>
      <c r="N363" s="78" t="n"/>
      <c r="O363" s="78" t="n"/>
      <c r="P363" s="78" t="n"/>
      <c r="Q363" s="78" t="n"/>
      <c r="R363" s="78" t="n"/>
      <c r="S363" s="79" t="n"/>
      <c r="T363" s="79" t="n"/>
      <c r="U363" s="79" t="n"/>
      <c r="V363" s="79" t="n"/>
      <c r="W363" s="79" t="n"/>
      <c r="X363" s="79" t="n"/>
      <c r="Y363" s="79" t="n"/>
      <c r="Z363" s="79" t="n"/>
      <c r="AA363" s="79" t="n"/>
      <c r="AB363" s="79" t="n"/>
      <c r="AC363" s="79" t="n"/>
      <c r="AD363" s="79" t="n"/>
      <c r="AE363" s="79" t="n"/>
      <c r="AF363" s="79" t="n"/>
      <c r="AG363" s="79" t="n"/>
      <c r="AH363" s="80" t="n"/>
      <c r="AI363" s="80" t="n"/>
      <c r="AJ363" s="80" t="n"/>
      <c r="AK363" s="80" t="n"/>
      <c r="AL363" s="80" t="n"/>
      <c r="AM363" s="80" t="n"/>
      <c r="AN363" s="80" t="n"/>
      <c r="AO363" s="80" t="n"/>
      <c r="AP363" s="80" t="n"/>
      <c r="AQ363" s="80" t="n"/>
      <c r="AR363" s="80" t="n"/>
      <c r="AS363" s="80" t="n"/>
      <c r="AT363" s="81" t="n"/>
      <c r="AU363" s="81" t="n"/>
      <c r="AV363" s="81" t="n"/>
      <c r="AW363" s="82" t="n"/>
      <c r="AX363" s="82" t="n"/>
      <c r="AY363" s="82" t="n"/>
      <c r="AZ363" s="82" t="n"/>
      <c r="BA363" s="82" t="n"/>
      <c r="BB363" s="83" t="n"/>
      <c r="BC363" s="83" t="n"/>
      <c r="BD363" s="84">
        <f>IF($A363="","",IF($DJ363&lt;&gt;"","FIX",IF($DK363&lt;&gt;"","CHECK","OK")))</f>
        <v/>
      </c>
      <c r="BE363" s="85">
        <f>IF($A363="","",IF($DJ363&lt;&gt;"","FIX: "&amp;LEFT($DJ363,LEN($DJ363)-2)&amp;IF($DK363&lt;&gt;"","  ·  ",""),"")&amp;IF($DK363&lt;&gt;"","CHECK: "&amp;LEFT($DK363,LEN($DK363)-2),""))</f>
        <v/>
      </c>
      <c r="BF363" s="84">
        <f>IF(OR($A363="",$K363=""),"",$K363&amp;"'-"&amp;N($L363)&amp;CHAR(34)&amp;" x "&amp;$M363&amp;"'-"&amp;N($N363)&amp;CHAR(34))</f>
        <v/>
      </c>
      <c r="BG363" s="84">
        <f>IF(OR($A363="",$K363=""),"",$K363&amp;N($L363)&amp;$M363&amp;N($N363))</f>
        <v/>
      </c>
      <c r="BH363" s="84">
        <f>IF(OR($A363="",$K363=""),"",$K363*12+N($L363))</f>
        <v/>
      </c>
      <c r="BI363" s="84">
        <f>IF(OR($A363="",$M363=""),"",$M363*12+N($N363))</f>
        <v/>
      </c>
      <c r="BJ363" s="84">
        <f>IF($A363="","",IF(OR($C363="FRAME ONLY",$S363="BL"),0,IF($O363="Y",2,1)))</f>
        <v/>
      </c>
      <c r="BK363" s="86">
        <f>IF(OR(N($BJ363)=0,$BH363=""),"",($BH363-2*EdgeClr-IF($BJ363=2,MeetClr,0))/$BJ363)</f>
        <v/>
      </c>
      <c r="BL363" s="86">
        <f>IF(OR(N($BJ363)=0,$BI363=""),"",$BI363-HeadClr-Undercut)</f>
        <v/>
      </c>
      <c r="BM363" s="86">
        <f>IF($BH363="","",$BH363+2*FaceW+IF(N($Q363)&gt;0,($Q363+FaceW)*IF($R363="LR",2,1),0))</f>
        <v/>
      </c>
      <c r="BN363" s="86">
        <f>IF($BI363="","",$BI363+IF($AB363="Y",4,FaceW)+IF(N($P363)&gt;0,$P363+FaceW,0)+IF(OR($S363="4F",$S363="BL"),FaceW,0))</f>
        <v/>
      </c>
      <c r="BO363" s="86">
        <f>IF($BM363="","",$BM363+2*ROSide)</f>
        <v/>
      </c>
      <c r="BP363" s="86">
        <f>IF($BN363="","",$BN363+ROTop)</f>
        <v/>
      </c>
      <c r="BQ363" s="87">
        <f>IF(OR(N($BJ363)=0,$BH363=""),"",$BH363/$BJ363-ClearDeduct)</f>
        <v/>
      </c>
      <c r="BR363" s="84">
        <f>IF(N($CH363)=0,"",IF($CH363&gt;=180,"A · 3 HR",IF($CH363&gt;=90,"B · 1-1/2 HR",IF($CH363&gt;=60,"B · 1 HR",IF($CH363&gt;=45,"C · 3/4 HR","20 MIN")))))&amp;IF(AND(N($CH363)&gt;0,OR($I363="CORRIDOR",$I363="SMOKE BARRIER"))," · S","")</f>
        <v/>
      </c>
      <c r="BS363" s="84">
        <f>IF($CS363,"",IF($AV363&lt;&gt;"",$AV363,IF(OR($AC363="HGC",$AO363="HGC"),"CONT",IF(($BI363-HeadClr-Undercut)&lt;=60,2,IF(($BI363-HeadClr-Undercut)&lt;=90,3,IF(($BI363-HeadClr-Undercut)&lt;=120,4,5))))))</f>
        <v/>
      </c>
      <c r="BT363" s="84">
        <f>IF($CS363,"",IF($CT363,"CUSTOM (typed)",IF($CV363,$AT363&amp;" "&amp;$CU363&amp;CHAR(34)&amp;IF($CU363&lt;&gt;$BI363,IF(AND($BI363&lt;$CU363,$BI363-IF(N(VLOOKUP($AT363&amp;"|"&amp;$CU363,LocTable,7,FALSE))&gt;0,VLOOKUP($AT363&amp;"|"&amp;$CU363,LocTable,7,FALSE),VLOOKUP($AT363&amp;"|"&amp;$CU363,LocTable,6,FALSE))-$CR363-0.75&gt;=2.125)," cut down"," adj."),""),"ANSI/SDI A250.6")))</f>
        <v/>
      </c>
      <c r="BU363" s="88">
        <f>IF($CS363,"",IF($CT363,IF(N($AW363)&gt;0,N($AW363),""),IF(1&gt;$CQ363,"",IF($CQ363=1,$CW363,$CW363+($CX363-$CW363)*0/($CQ363-1)))))</f>
        <v/>
      </c>
      <c r="BV363" s="88">
        <f>IF($CS363,"",IF($CT363,IF(N($AX363)&gt;0,N($AX363),""),IF(2&gt;$CQ363,"",IF($CQ363=1,$CW363,$CW363+($CX363-$CW363)*1/($CQ363-1)))))</f>
        <v/>
      </c>
      <c r="BW363" s="88">
        <f>IF($CS363,"",IF($CT363,IF(N($AY363)&gt;0,N($AY363),""),IF(3&gt;$CQ363,"",IF($CQ363=1,$CW363,$CW363+($CX363-$CW363)*2/($CQ363-1)))))</f>
        <v/>
      </c>
      <c r="BX363" s="88">
        <f>IF($CS363,"",IF($CT363,IF(N($AZ363)&gt;0,N($AZ363),""),IF(4&gt;$CQ363,"",IF($CQ363=1,$CW363,$CW363+($CX363-$CW363)*3/($CQ363-1)))))</f>
        <v/>
      </c>
      <c r="BY363" s="88">
        <f>IF($CS363,"",IF($CT363,"",IF(5&gt;$CQ363,"",IF($CQ363=1,$CW363,$CW363+($CX363-$CW363)*4/($CQ363-1)))))</f>
        <v/>
      </c>
      <c r="BZ363" s="88">
        <f>IF(OR($CS363,$AP363="-",AND($AP363="",$AD363="")),"",IF(N($BA363)&gt;0,N($BA363),IF($CV363,IF(AND($BI363&lt;$CU363,$BI363-IF(N(VLOOKUP($AT363&amp;"|"&amp;$CU363,LocTable,7,FALSE))&gt;0,VLOOKUP($AT363&amp;"|"&amp;$CU363,LocTable,7,FALSE),VLOOKUP($AT363&amp;"|"&amp;$CU363,LocTable,6,FALSE))-$CR363-0.75&gt;=2.125),VLOOKUP($AT363&amp;"|"&amp;$CU363,LocTable,8,FALSE),VLOOKUP($AT363&amp;"|"&amp;$CU363,LocTable,8,FALSE)+($BI363-$CU363)),$BI363-LockAFF)))</f>
        <v/>
      </c>
      <c r="CA363" s="89">
        <f>IF($BZ363="","",$BI363-$BZ363)</f>
        <v/>
      </c>
      <c r="CB363" s="84">
        <f>IF(OR(NOT(AND($A363&lt;&gt;"",$C363&lt;&gt;"DOOR ONLY")),$BI363=""),"",IF(($BI363+IF(N($P363)&gt;0,$P363+FaceW,0))&lt;=90,3,IF(($BI363+IF(N($P363)&gt;0,$P363+FaceW,0))&lt;=114,4,5)))</f>
        <v/>
      </c>
      <c r="CC363" s="84">
        <f>IF($CB363="","",$CB363*(2+IF(N($Q363)&gt;0,IF($R363="LR",2,1),0)))</f>
        <v/>
      </c>
      <c r="CD363" s="84">
        <f>IF($CB363="","",(2+IF(N($Q363)&gt;0,IF($R363="LR",2,1),0)))</f>
        <v/>
      </c>
      <c r="CE363" s="84">
        <f>IF(N($BJ363)=0,"",IF(OR($AL363="",$AL363="FLUSH"),"FLUSH",IFERROR(LEFT($AL363,FIND("-",$AL363)-1),LEFT($AL363,2))))</f>
        <v/>
      </c>
      <c r="CF363" s="84">
        <f>IF($CE363="","",IFERROR(VALUE(MID($AL363,FIND("-",$AL363)+1,FIND(CHAR(34)&amp;"x",$AL363)-FIND("-",$AL363)-1)),0))</f>
        <v/>
      </c>
      <c r="CG363" s="84">
        <f>IF($CE363="","",IFERROR(VALUE(MID($AL363,FIND(CHAR(34)&amp;"x",$AL363)+2,FIND(CHAR(34),$AL363,FIND(CHAR(34)&amp;"x",$AL363)+2)-FIND(CHAR(34)&amp;"x",$AL363)-2)),0))</f>
        <v/>
      </c>
      <c r="CH363" s="90">
        <f>IF(OR($A363="",$H363="",$H363="NO LAB"),0,IFERROR(VALUE(LEFT($H363,FIND(" ",$H363)-1)),0))</f>
        <v/>
      </c>
      <c r="CI363" s="91">
        <f>IF(OR($A363="",$I363="",$I363="NON-RATED",N($J363)=0),"",IFERROR(VLOOKUP($I363&amp;"|"&amp;$J363,IBC,2,FALSE),"?"))</f>
        <v/>
      </c>
      <c r="CJ363" s="85">
        <f>IF(NOT(AND($A363&lt;&gt;"",$C363&lt;&gt;"DOOR ONLY")),"",TRIM(IFERROR(VLOOKUP($U363,CODES,2,FALSE),"")&amp;" "&amp;$BG363&amp;" "&amp;IFERROR(VLOOKUP($Z363,CODES,2,FALSE),"")&amp;" "&amp;IFERROR(VLOOKUP($X363,CODES,2,FALSE),"")&amp;" "&amp;IFERROR(VLOOKUP($S363,CODES,2,FALSE),"")&amp;IF(N($P363)&gt;0," w/TRANSOM "&amp;$P363&amp;CHAR(34),"")&amp;IF(N($Q363)&gt;0," w/SIDELITE "&amp;$Q363&amp;CHAR(34)&amp;" "&amp;IF($R363="","R",$R363),"")&amp;IF($Y363="","  |  "," | "&amp;IFERROR(VLOOKUP($Y363,CODES,2,FALSE),"")&amp;" | ")&amp;IFERROR(VLOOKUP($AC363,CODES,2,FALSE),"")&amp;" "&amp;IFERROR(VLOOKUP($AD363,CODES,2,FALSE),"")&amp;IF(OR($AE363="",$AE363="-"),""," "&amp;$AE363)&amp;IF(OR($AF363="",$AF363="-"),""," "&amp;$AF363)&amp;IF($AB363="Y"," 4"&amp;CHAR(34)&amp;" HEAD","")&amp;" "&amp;IFERROR(VLOOKUP($H363,CODES,2,FALSE),"")&amp;IF($CT363," | LOC "&amp;$CY363,"")))</f>
        <v/>
      </c>
      <c r="CK363" s="85">
        <f>IF(NOT(AND($A363&lt;&gt;"",N($BJ363)&gt;0)),"",TRIM(IFERROR(VLOOKUP($AH363,CODES,2,FALSE),"")&amp;IF($AI363=""," "," "&amp;$AI363&amp;"GA ")&amp;$BG363&amp;" "&amp;IF($AN363="",IFERROR(VLOOKUP($Z363,CODES,2,FALSE),""),IFERROR(VLOOKUP($AN363,CODES,2,FALSE),""))&amp;IF($BJ363=2," PAIR","")&amp;" DOOR | "&amp;IF($AL363="","?",$AL363)&amp;" | "&amp;IF($AO363="",IFERROR(VLOOKUP($AC363,CODES,2,FALSE),""),IFERROR(VLOOKUP($AO363,CODES,2,FALSE),""))&amp;" "&amp;IFERROR(VLOOKUP($AP363,CODES,2,FALSE),"")&amp;IF(OR($AQ363="",$AQ363="-"),""," SEAM "&amp;$AQ363)&amp;IF($AR363="Y"," ASTRAGAL","")&amp;IF($AJ363=""," "," "&amp;$AJ363)&amp;IF($AK363=""," "," "&amp;$AK363)&amp;IF(OR($AT363="",$AT363="ANSI/SDI",$AT363="CUSTOM LOC"),""," "&amp;$AT363)&amp;IF($AM363=""," "," SERIES "&amp;$AM363)&amp;" "&amp;IFERROR(VLOOKUP($H363,CODES,2,FALSE),"")&amp;IF($CT363," | LOC "&amp;$CZ363,"")))</f>
        <v/>
      </c>
      <c r="CL363" s="84">
        <f>IF(CP363="","",IF(COUNTIF($CP$6:CP363,CP363)=1,MAX($CL$5:CL362)+1,INDEX($CL$5:CL362,MATCH(CP363,$CP$5:CP362,0))))</f>
        <v/>
      </c>
      <c r="CM363" s="84">
        <f>IF(NOT(AND($A363&lt;&gt;"",$C363&lt;&gt;"DOOR ONLY")),"",MAX($CM$5:CM362)+1)</f>
        <v/>
      </c>
      <c r="CN363" s="84">
        <f>IF(NOT(AND($A363&lt;&gt;"",N($BJ363)&gt;0)),"",MAX($CN$5:CN362)+1)</f>
        <v/>
      </c>
      <c r="CO363" s="84">
        <f>IF($A363="","",MAX($CO$5:CO362)+1)</f>
        <v/>
      </c>
      <c r="CP363" s="84">
        <f>IF(OR($A363="",$BH363="",$BI363=""),"",$BG363&amp;"|"&amp;$O363&amp;"|"&amp;$AL363&amp;"|"&amp;$S363&amp;"|"&amp;$P363&amp;"|"&amp;$Q363&amp;$R363&amp;"|"&amp;$C363&amp;"|"&amp;$AB363)</f>
        <v/>
      </c>
      <c r="CQ363" s="84">
        <f>N($BS363)</f>
        <v/>
      </c>
      <c r="CR363" s="84">
        <f>IF(N($AU363)&gt;0,N($AU363),4.5)</f>
        <v/>
      </c>
      <c r="CS363" s="84">
        <f>OR($A363="",$BI363="",$S363="BL",AND($C363="FRAME ONLY",OR($AC363="",$AC363="BLK")))</f>
        <v/>
      </c>
      <c r="CT363" s="84">
        <f>AND(NOT($CS363),OR($AT363="CUSTOM LOC",N($AW363)+N($AX363)+N($AY363)+N($AZ363)+N($BA363)&gt;0))</f>
        <v/>
      </c>
      <c r="CU363" s="84">
        <f>IF($BI363="","",IF($BI363&lt;=80,80,IF($BI363&lt;=84,84,96)))</f>
        <v/>
      </c>
      <c r="CV363" s="84">
        <f>ISNUMBER(MATCH($AT363&amp;"|80",LocKeys,0))</f>
        <v/>
      </c>
      <c r="CW363" s="86">
        <f>IF($CS363,"",IF($CV363,VLOOKUP($AT363&amp;"|"&amp;$CU363,LocTable,4,FALSE),5))</f>
        <v/>
      </c>
      <c r="CX363" s="86">
        <f>IF($CS363,"",IF($CV363,IF(OR($BI363=$CU363,AND($BI363&lt;$CU363,$BI363-IF(N(VLOOKUP($AT363&amp;"|"&amp;$CU363,LocTable,7,FALSE))&gt;0,VLOOKUP($AT363&amp;"|"&amp;$CU363,LocTable,7,FALSE),VLOOKUP($AT363&amp;"|"&amp;$CU363,LocTable,6,FALSE))-$CR363-0.75&gt;=2.125)),IF(N(VLOOKUP($AT363&amp;"|"&amp;$CU363,LocTable,7,FALSE))&gt;0,VLOOKUP($AT363&amp;"|"&amp;$CU363,LocTable,7,FALSE),VLOOKUP($AT363&amp;"|"&amp;$CU363,LocTable,6,FALSE)),$BI363-($CU363-IF(N(VLOOKUP($AT363&amp;"|"&amp;$CU363,LocTable,7,FALSE))&gt;0,VLOOKUP($AT363&amp;"|"&amp;$CU363,LocTable,7,FALSE),VLOOKUP($AT363&amp;"|"&amp;$CU363,LocTable,6,FALSE)))),$BI363-10-$CR363))</f>
        <v/>
      </c>
      <c r="CY363" s="85">
        <f>IF($CS363,"",TRIM(IF(ISNUMBER($BU363),"A "&amp;TRIM(TEXT($BU363,"# ?/??"))&amp;CHAR(34)&amp;"  ","")&amp;IF(ISNUMBER($BV363),"B "&amp;TRIM(TEXT($BV363,"# ?/??"))&amp;CHAR(34)&amp;"  ","")&amp;IF(ISNUMBER($BW363),"C "&amp;TRIM(TEXT($BW363,"# ?/??"))&amp;CHAR(34)&amp;"  ","")&amp;IF(ISNUMBER($BX363),"D "&amp;TRIM(TEXT($BX363,"# ?/??"))&amp;CHAR(34)&amp;"  ","")&amp;IF(ISNUMBER($BY363),"F "&amp;TRIM(TEXT($BY363,"# ?/??"))&amp;CHAR(34)&amp;"  ","")&amp;IF(ISNUMBER($BZ363),"E "&amp;TRIM(TEXT($BZ363,"# ?/??"))&amp;CHAR(34)&amp;"  ","")))</f>
        <v/>
      </c>
      <c r="CZ363" s="85">
        <f>IF(OR($CS363,N($BJ363)=0),"",TRIM(IF(ISNUMBER($BU363),"A "&amp;TRIM(TEXT($BU363-HeadClr,"# ?/??"))&amp;CHAR(34)&amp;"  ","")&amp;IF(ISNUMBER($BV363),"B "&amp;TRIM(TEXT($BV363-HeadClr,"# ?/??"))&amp;CHAR(34)&amp;"  ","")&amp;IF(ISNUMBER($BW363),"C "&amp;TRIM(TEXT($BW363-HeadClr,"# ?/??"))&amp;CHAR(34)&amp;"  ","")&amp;IF(ISNUMBER($BX363),"D "&amp;TRIM(TEXT($BX363-HeadClr,"# ?/??"))&amp;CHAR(34)&amp;"  ","")&amp;IF(ISNUMBER($BY363),"F "&amp;TRIM(TEXT($BY363-HeadClr,"# ?/??"))&amp;CHAR(34)&amp;"  ","")&amp;IF(ISNUMBER($BZ363),"E "&amp;TRIM(TEXT($BZ363-HeadClr,"# ?/??"))&amp;CHAR(34)&amp;"  ","")))</f>
        <v/>
      </c>
      <c r="DA363" s="84">
        <f>IF($A363="","",IF($AN363="",IFERROR(VLOOKUP($Z363,CODES,2,FALSE),""),IFERROR(VLOOKUP($AN363,CODES,2,FALSE),"")))</f>
        <v/>
      </c>
      <c r="DB363" s="84">
        <f>IF($A363="","",IF($O363="Y","PR",IF(OR($Z363="L",$Z363="RR",LEFT($Z363,2)="L-",LEFT($Z363,3)="RR-"),"LH","RH")))</f>
        <v/>
      </c>
      <c r="DC363" s="84">
        <f>IF($A363="","","S.HM"&amp;IF(OR($C363="DOOR ONLY",$X363&lt;&gt;"KD"),"MASONRY","DRYWALL")&amp;IF($C363="DOOR ONLY","",$U363)&amp;IF(AND($C363&lt;&gt;"FRAME ONLY",OR(LEFT($AH363,3)="OAK",LEFT($AH363,3)="BIR",LEFT($AH363,3)="MAP",$AH363="PC",$AH363="MC",$AH363="SCLC",$AH363="P-LAM")),"WD","HM")&amp;"1.75")</f>
        <v/>
      </c>
      <c r="DD363" s="84">
        <f>IF($CJ363="","",IF($O363="Y",$CJ363,SUBSTITUTE($CJ363,$BG363&amp;" "&amp;IFERROR(VLOOKUP($Z363,CODES,2,FALSE),"")&amp;" ",$BG363&amp;" ")))</f>
        <v/>
      </c>
      <c r="DE363" s="84">
        <f>IF($CK363="","",IF($O363="Y",$CK363,SUBSTITUTE($CK363,$BG363&amp;" "&amp;IF($AN363="",IFERROR(VLOOKUP($Z363,CODES,2,FALSE),""),IFERROR(VLOOKUP($AN363,CODES,2,FALSE),""))&amp;" ",$BG363&amp;" ")))</f>
        <v/>
      </c>
      <c r="DF363" s="84">
        <f>IF($CJ363="","",$DC363&amp;"|"&amp;$DD363&amp;"|"&amp;$DB363&amp;"|"&amp;$AT363&amp;"|"&amp;$V363&amp;"|"&amp;$Y363&amp;"|"&amp;$AB363)</f>
        <v/>
      </c>
      <c r="DG363" s="84">
        <f>IF(DF363="","",IF(COUNTIF($DF$6:DF363,DF363)=1,MAX($DG$5:DG362)+1,INDEX($DG$5:DG362,MATCH(DF363,$DF$5:DF362,0))))</f>
        <v/>
      </c>
      <c r="DH363" s="84">
        <f>IF($CK363="","",$DC363&amp;"|"&amp;$DE363&amp;"|"&amp;$AI363&amp;"|"&amp;$BK363&amp;"|"&amp;$BL363)</f>
        <v/>
      </c>
      <c r="DI363" s="84">
        <f>IF(DH363="","",IF(COUNTIF($DH$6:DH363,DH363)=1,MAX($DI$5:DI362)+1,INDEX($DI$5:DI362,MATCH(DH363,$DH$5:DH362,0))))</f>
        <v/>
      </c>
      <c r="DJ363" s="84">
        <f>IF($A363="","",IF($B363="","qty, ","")&amp;IF($C363="","scope, ","")&amp;IF(OR($K363="",$M363=""),"size, ","")&amp;IF(AND($A363&lt;&gt;"",$C363&lt;&gt;"DOOR ONLY"),IF($U363="","jamb depth, ","")&amp;IF($X363="","construction, ","")&amp;IF($Y363="","anchor, ","")&amp;IF($S363="","frame type, ",""),"")&amp;IF(AND(N($BJ363)&gt;0,$Z363=""),"hand, ","")&amp;IF(N($BJ363)&gt;0,IF($AH363="","door material, ","")&amp;IF($AL363="","face type, ","")&amp;IF($AP363="","lock prep, ","")&amp;IF(AND($AO363="",$AC363=""),"hinge prep, ",""),"")&amp;IF(AND($CH363&gt;0,$AH363="FRP"),"FRP cannot carry a label, ","")&amp;IF(AND($O363="Y",OR($Z363="L",$Z363="R",$Z363="LR",$Z363="RR")),"pair marked but hand is single, ","")&amp;IF(AND($O363&lt;&gt;"Y",OR($Z363="PR",AND(LEN($Z363)&gt;1,ISNUMBER(SEARCH("-",$Z363))))),"pair hand on a single door, ","")&amp;IF(AND(ISNUMBER($CI363),$CH363&lt;N($CI363)),"wall needs a "&amp;$CI363&amp;" min door, ","")&amp;IF(AND($CH363&gt;=180,AND(OR($CE363="FG",$CE363="HG",$CE363="FNV",$CE363="FV"),N($CF363)*N($CG363)&gt;100)),"180 min lite over 100 sq in, ","")&amp;IF(N($BK363)&gt;48,"leaf wider than 4'-0"&amp;CHAR(34)&amp;", ","")&amp;IF(AND($CT363,COUNT($AW363:$AZ363)=0,$CQ363&gt;0),"CUSTOM LOC with no locations typed, ",""))</f>
        <v/>
      </c>
      <c r="DK363" s="84">
        <f>IF($A363="","",IF(AND($CH363&gt;0,AND($A363&lt;&gt;"",$C363&lt;&gt;"DOOR ONLY"),$X363="KD",$E363="EXTERIOR"),"KD label on an exterior opening, ","")&amp;IF(AND($E363="EXTERIOR",OR(AND(AND($A363&lt;&gt;"",$C363&lt;&gt;"DOOR ONLY"),$W363="CR"),AND(N($BJ363)&gt;0,$AH363="CR"))),"exterior in CR steel (G9?), ","")&amp;IF(AND(ISNUMBER($BQ363),N($BQ363)&lt;32),"clear width ~"&amp;TEXT($BQ363,"0.0")&amp;CHAR(34)&amp;" under 32"&amp;CHAR(34)&amp;" (ADA), ","")&amp;IF(AND($CH363=90,AND(OR($CE363="FG",$CE363="HG",$CE363="FNV",$CE363="FV"),N($CF363)*N($CG363)&gt;100)),"90 min lite over 100 sq in (stair/exit), ","")&amp;IF(AND($CH363&gt;0,AND($A363&lt;&gt;"",$C363&lt;&gt;"DOOR ONLY"),OR($AF363="",$AF363="-")),"rated: closer reinf.?, ","")&amp;IF(OR($I363="CORRIDOR",$I363="SMOKE BARRIER"),"S label + smoke gasketing, ","")&amp;IF($CI363="?","wall type/hr not in IBC table, ","")&amp;IF(AND(N($BJ363)&gt;0,$BB363=""),"no hardware set, ","")&amp;IF(AND($BB363&lt;&gt;"",ISNA(MATCH($BB363&amp;"",HWSets,0))),"set "&amp;$BB363&amp;" not on HW Sets, ","")&amp;IF(N($BL363)&gt;96,"leaf over 8'-0"&amp;CHAR(34)&amp;" - check listing, ","")&amp;IF(AND($CT363,COUNT($AW363:$AZ363)&gt;0,COUNT($AW363:$AZ363)&lt;&gt;$CQ363),COUNT($AW363:$AZ363)&amp;" custom hinges typed, "&amp;$CQ363&amp;" expected, ","")&amp;IF(AND(ISNUMBER($CA363),OR(N($CA363)&lt;34,N($CA363)&gt;48)),"lock "&amp;TEXT($CA363,"0.0")&amp;CHAR(34)&amp;" AFF outside 34-48"&amp;CHAR(34)&amp;" (ADA), ","")&amp;IF(AND(ISNUMBER($AV363),ISNUMBER($BL363),N($AV363)&lt;IF(N($BL363)&lt;=60,2,IF(N($BL363)&lt;=90,3,IF(N($BL363)&lt;=120,4,5)))),"fewer hinges than standard, ",""))</f>
        <v/>
      </c>
    </row>
    <row r="364" ht="15" customHeight="1">
      <c r="A364" s="77" t="n"/>
      <c r="B364" s="78" t="n"/>
      <c r="C364" s="78" t="n"/>
      <c r="D364" s="78" t="n"/>
      <c r="E364" s="78" t="n"/>
      <c r="F364" s="78" t="n"/>
      <c r="G364" s="78" t="n"/>
      <c r="H364" s="78" t="n"/>
      <c r="I364" s="78" t="n"/>
      <c r="J364" s="78" t="n"/>
      <c r="K364" s="78" t="n"/>
      <c r="L364" s="78" t="n"/>
      <c r="M364" s="78" t="n"/>
      <c r="N364" s="78" t="n"/>
      <c r="O364" s="78" t="n"/>
      <c r="P364" s="78" t="n"/>
      <c r="Q364" s="78" t="n"/>
      <c r="R364" s="78" t="n"/>
      <c r="S364" s="79" t="n"/>
      <c r="T364" s="79" t="n"/>
      <c r="U364" s="79" t="n"/>
      <c r="V364" s="79" t="n"/>
      <c r="W364" s="79" t="n"/>
      <c r="X364" s="79" t="n"/>
      <c r="Y364" s="79" t="n"/>
      <c r="Z364" s="79" t="n"/>
      <c r="AA364" s="79" t="n"/>
      <c r="AB364" s="79" t="n"/>
      <c r="AC364" s="79" t="n"/>
      <c r="AD364" s="79" t="n"/>
      <c r="AE364" s="79" t="n"/>
      <c r="AF364" s="79" t="n"/>
      <c r="AG364" s="79" t="n"/>
      <c r="AH364" s="80" t="n"/>
      <c r="AI364" s="80" t="n"/>
      <c r="AJ364" s="80" t="n"/>
      <c r="AK364" s="80" t="n"/>
      <c r="AL364" s="80" t="n"/>
      <c r="AM364" s="80" t="n"/>
      <c r="AN364" s="80" t="n"/>
      <c r="AO364" s="80" t="n"/>
      <c r="AP364" s="80" t="n"/>
      <c r="AQ364" s="80" t="n"/>
      <c r="AR364" s="80" t="n"/>
      <c r="AS364" s="80" t="n"/>
      <c r="AT364" s="81" t="n"/>
      <c r="AU364" s="81" t="n"/>
      <c r="AV364" s="81" t="n"/>
      <c r="AW364" s="82" t="n"/>
      <c r="AX364" s="82" t="n"/>
      <c r="AY364" s="82" t="n"/>
      <c r="AZ364" s="82" t="n"/>
      <c r="BA364" s="82" t="n"/>
      <c r="BB364" s="83" t="n"/>
      <c r="BC364" s="83" t="n"/>
      <c r="BD364" s="84">
        <f>IF($A364="","",IF($DJ364&lt;&gt;"","FIX",IF($DK364&lt;&gt;"","CHECK","OK")))</f>
        <v/>
      </c>
      <c r="BE364" s="85">
        <f>IF($A364="","",IF($DJ364&lt;&gt;"","FIX: "&amp;LEFT($DJ364,LEN($DJ364)-2)&amp;IF($DK364&lt;&gt;"","  ·  ",""),"")&amp;IF($DK364&lt;&gt;"","CHECK: "&amp;LEFT($DK364,LEN($DK364)-2),""))</f>
        <v/>
      </c>
      <c r="BF364" s="84">
        <f>IF(OR($A364="",$K364=""),"",$K364&amp;"'-"&amp;N($L364)&amp;CHAR(34)&amp;" x "&amp;$M364&amp;"'-"&amp;N($N364)&amp;CHAR(34))</f>
        <v/>
      </c>
      <c r="BG364" s="84">
        <f>IF(OR($A364="",$K364=""),"",$K364&amp;N($L364)&amp;$M364&amp;N($N364))</f>
        <v/>
      </c>
      <c r="BH364" s="84">
        <f>IF(OR($A364="",$K364=""),"",$K364*12+N($L364))</f>
        <v/>
      </c>
      <c r="BI364" s="84">
        <f>IF(OR($A364="",$M364=""),"",$M364*12+N($N364))</f>
        <v/>
      </c>
      <c r="BJ364" s="84">
        <f>IF($A364="","",IF(OR($C364="FRAME ONLY",$S364="BL"),0,IF($O364="Y",2,1)))</f>
        <v/>
      </c>
      <c r="BK364" s="86">
        <f>IF(OR(N($BJ364)=0,$BH364=""),"",($BH364-2*EdgeClr-IF($BJ364=2,MeetClr,0))/$BJ364)</f>
        <v/>
      </c>
      <c r="BL364" s="86">
        <f>IF(OR(N($BJ364)=0,$BI364=""),"",$BI364-HeadClr-Undercut)</f>
        <v/>
      </c>
      <c r="BM364" s="86">
        <f>IF($BH364="","",$BH364+2*FaceW+IF(N($Q364)&gt;0,($Q364+FaceW)*IF($R364="LR",2,1),0))</f>
        <v/>
      </c>
      <c r="BN364" s="86">
        <f>IF($BI364="","",$BI364+IF($AB364="Y",4,FaceW)+IF(N($P364)&gt;0,$P364+FaceW,0)+IF(OR($S364="4F",$S364="BL"),FaceW,0))</f>
        <v/>
      </c>
      <c r="BO364" s="86">
        <f>IF($BM364="","",$BM364+2*ROSide)</f>
        <v/>
      </c>
      <c r="BP364" s="86">
        <f>IF($BN364="","",$BN364+ROTop)</f>
        <v/>
      </c>
      <c r="BQ364" s="87">
        <f>IF(OR(N($BJ364)=0,$BH364=""),"",$BH364/$BJ364-ClearDeduct)</f>
        <v/>
      </c>
      <c r="BR364" s="84">
        <f>IF(N($CH364)=0,"",IF($CH364&gt;=180,"A · 3 HR",IF($CH364&gt;=90,"B · 1-1/2 HR",IF($CH364&gt;=60,"B · 1 HR",IF($CH364&gt;=45,"C · 3/4 HR","20 MIN")))))&amp;IF(AND(N($CH364)&gt;0,OR($I364="CORRIDOR",$I364="SMOKE BARRIER"))," · S","")</f>
        <v/>
      </c>
      <c r="BS364" s="84">
        <f>IF($CS364,"",IF($AV364&lt;&gt;"",$AV364,IF(OR($AC364="HGC",$AO364="HGC"),"CONT",IF(($BI364-HeadClr-Undercut)&lt;=60,2,IF(($BI364-HeadClr-Undercut)&lt;=90,3,IF(($BI364-HeadClr-Undercut)&lt;=120,4,5))))))</f>
        <v/>
      </c>
      <c r="BT364" s="84">
        <f>IF($CS364,"",IF($CT364,"CUSTOM (typed)",IF($CV364,$AT364&amp;" "&amp;$CU364&amp;CHAR(34)&amp;IF($CU364&lt;&gt;$BI364,IF(AND($BI364&lt;$CU364,$BI364-IF(N(VLOOKUP($AT364&amp;"|"&amp;$CU364,LocTable,7,FALSE))&gt;0,VLOOKUP($AT364&amp;"|"&amp;$CU364,LocTable,7,FALSE),VLOOKUP($AT364&amp;"|"&amp;$CU364,LocTable,6,FALSE))-$CR364-0.75&gt;=2.125)," cut down"," adj."),""),"ANSI/SDI A250.6")))</f>
        <v/>
      </c>
      <c r="BU364" s="88">
        <f>IF($CS364,"",IF($CT364,IF(N($AW364)&gt;0,N($AW364),""),IF(1&gt;$CQ364,"",IF($CQ364=1,$CW364,$CW364+($CX364-$CW364)*0/($CQ364-1)))))</f>
        <v/>
      </c>
      <c r="BV364" s="88">
        <f>IF($CS364,"",IF($CT364,IF(N($AX364)&gt;0,N($AX364),""),IF(2&gt;$CQ364,"",IF($CQ364=1,$CW364,$CW364+($CX364-$CW364)*1/($CQ364-1)))))</f>
        <v/>
      </c>
      <c r="BW364" s="88">
        <f>IF($CS364,"",IF($CT364,IF(N($AY364)&gt;0,N($AY364),""),IF(3&gt;$CQ364,"",IF($CQ364=1,$CW364,$CW364+($CX364-$CW364)*2/($CQ364-1)))))</f>
        <v/>
      </c>
      <c r="BX364" s="88">
        <f>IF($CS364,"",IF($CT364,IF(N($AZ364)&gt;0,N($AZ364),""),IF(4&gt;$CQ364,"",IF($CQ364=1,$CW364,$CW364+($CX364-$CW364)*3/($CQ364-1)))))</f>
        <v/>
      </c>
      <c r="BY364" s="88">
        <f>IF($CS364,"",IF($CT364,"",IF(5&gt;$CQ364,"",IF($CQ364=1,$CW364,$CW364+($CX364-$CW364)*4/($CQ364-1)))))</f>
        <v/>
      </c>
      <c r="BZ364" s="88">
        <f>IF(OR($CS364,$AP364="-",AND($AP364="",$AD364="")),"",IF(N($BA364)&gt;0,N($BA364),IF($CV364,IF(AND($BI364&lt;$CU364,$BI364-IF(N(VLOOKUP($AT364&amp;"|"&amp;$CU364,LocTable,7,FALSE))&gt;0,VLOOKUP($AT364&amp;"|"&amp;$CU364,LocTable,7,FALSE),VLOOKUP($AT364&amp;"|"&amp;$CU364,LocTable,6,FALSE))-$CR364-0.75&gt;=2.125),VLOOKUP($AT364&amp;"|"&amp;$CU364,LocTable,8,FALSE),VLOOKUP($AT364&amp;"|"&amp;$CU364,LocTable,8,FALSE)+($BI364-$CU364)),$BI364-LockAFF)))</f>
        <v/>
      </c>
      <c r="CA364" s="89">
        <f>IF($BZ364="","",$BI364-$BZ364)</f>
        <v/>
      </c>
      <c r="CB364" s="84">
        <f>IF(OR(NOT(AND($A364&lt;&gt;"",$C364&lt;&gt;"DOOR ONLY")),$BI364=""),"",IF(($BI364+IF(N($P364)&gt;0,$P364+FaceW,0))&lt;=90,3,IF(($BI364+IF(N($P364)&gt;0,$P364+FaceW,0))&lt;=114,4,5)))</f>
        <v/>
      </c>
      <c r="CC364" s="84">
        <f>IF($CB364="","",$CB364*(2+IF(N($Q364)&gt;0,IF($R364="LR",2,1),0)))</f>
        <v/>
      </c>
      <c r="CD364" s="84">
        <f>IF($CB364="","",(2+IF(N($Q364)&gt;0,IF($R364="LR",2,1),0)))</f>
        <v/>
      </c>
      <c r="CE364" s="84">
        <f>IF(N($BJ364)=0,"",IF(OR($AL364="",$AL364="FLUSH"),"FLUSH",IFERROR(LEFT($AL364,FIND("-",$AL364)-1),LEFT($AL364,2))))</f>
        <v/>
      </c>
      <c r="CF364" s="84">
        <f>IF($CE364="","",IFERROR(VALUE(MID($AL364,FIND("-",$AL364)+1,FIND(CHAR(34)&amp;"x",$AL364)-FIND("-",$AL364)-1)),0))</f>
        <v/>
      </c>
      <c r="CG364" s="84">
        <f>IF($CE364="","",IFERROR(VALUE(MID($AL364,FIND(CHAR(34)&amp;"x",$AL364)+2,FIND(CHAR(34),$AL364,FIND(CHAR(34)&amp;"x",$AL364)+2)-FIND(CHAR(34)&amp;"x",$AL364)-2)),0))</f>
        <v/>
      </c>
      <c r="CH364" s="90">
        <f>IF(OR($A364="",$H364="",$H364="NO LAB"),0,IFERROR(VALUE(LEFT($H364,FIND(" ",$H364)-1)),0))</f>
        <v/>
      </c>
      <c r="CI364" s="91">
        <f>IF(OR($A364="",$I364="",$I364="NON-RATED",N($J364)=0),"",IFERROR(VLOOKUP($I364&amp;"|"&amp;$J364,IBC,2,FALSE),"?"))</f>
        <v/>
      </c>
      <c r="CJ364" s="85">
        <f>IF(NOT(AND($A364&lt;&gt;"",$C364&lt;&gt;"DOOR ONLY")),"",TRIM(IFERROR(VLOOKUP($U364,CODES,2,FALSE),"")&amp;" "&amp;$BG364&amp;" "&amp;IFERROR(VLOOKUP($Z364,CODES,2,FALSE),"")&amp;" "&amp;IFERROR(VLOOKUP($X364,CODES,2,FALSE),"")&amp;" "&amp;IFERROR(VLOOKUP($S364,CODES,2,FALSE),"")&amp;IF(N($P364)&gt;0," w/TRANSOM "&amp;$P364&amp;CHAR(34),"")&amp;IF(N($Q364)&gt;0," w/SIDELITE "&amp;$Q364&amp;CHAR(34)&amp;" "&amp;IF($R364="","R",$R364),"")&amp;IF($Y364="","  |  "," | "&amp;IFERROR(VLOOKUP($Y364,CODES,2,FALSE),"")&amp;" | ")&amp;IFERROR(VLOOKUP($AC364,CODES,2,FALSE),"")&amp;" "&amp;IFERROR(VLOOKUP($AD364,CODES,2,FALSE),"")&amp;IF(OR($AE364="",$AE364="-"),""," "&amp;$AE364)&amp;IF(OR($AF364="",$AF364="-"),""," "&amp;$AF364)&amp;IF($AB364="Y"," 4"&amp;CHAR(34)&amp;" HEAD","")&amp;" "&amp;IFERROR(VLOOKUP($H364,CODES,2,FALSE),"")&amp;IF($CT364," | LOC "&amp;$CY364,"")))</f>
        <v/>
      </c>
      <c r="CK364" s="85">
        <f>IF(NOT(AND($A364&lt;&gt;"",N($BJ364)&gt;0)),"",TRIM(IFERROR(VLOOKUP($AH364,CODES,2,FALSE),"")&amp;IF($AI364=""," "," "&amp;$AI364&amp;"GA ")&amp;$BG364&amp;" "&amp;IF($AN364="",IFERROR(VLOOKUP($Z364,CODES,2,FALSE),""),IFERROR(VLOOKUP($AN364,CODES,2,FALSE),""))&amp;IF($BJ364=2," PAIR","")&amp;" DOOR | "&amp;IF($AL364="","?",$AL364)&amp;" | "&amp;IF($AO364="",IFERROR(VLOOKUP($AC364,CODES,2,FALSE),""),IFERROR(VLOOKUP($AO364,CODES,2,FALSE),""))&amp;" "&amp;IFERROR(VLOOKUP($AP364,CODES,2,FALSE),"")&amp;IF(OR($AQ364="",$AQ364="-"),""," SEAM "&amp;$AQ364)&amp;IF($AR364="Y"," ASTRAGAL","")&amp;IF($AJ364=""," "," "&amp;$AJ364)&amp;IF($AK364=""," "," "&amp;$AK364)&amp;IF(OR($AT364="",$AT364="ANSI/SDI",$AT364="CUSTOM LOC"),""," "&amp;$AT364)&amp;IF($AM364=""," "," SERIES "&amp;$AM364)&amp;" "&amp;IFERROR(VLOOKUP($H364,CODES,2,FALSE),"")&amp;IF($CT364," | LOC "&amp;$CZ364,"")))</f>
        <v/>
      </c>
      <c r="CL364" s="84">
        <f>IF(CP364="","",IF(COUNTIF($CP$6:CP364,CP364)=1,MAX($CL$5:CL363)+1,INDEX($CL$5:CL363,MATCH(CP364,$CP$5:CP363,0))))</f>
        <v/>
      </c>
      <c r="CM364" s="84">
        <f>IF(NOT(AND($A364&lt;&gt;"",$C364&lt;&gt;"DOOR ONLY")),"",MAX($CM$5:CM363)+1)</f>
        <v/>
      </c>
      <c r="CN364" s="84">
        <f>IF(NOT(AND($A364&lt;&gt;"",N($BJ364)&gt;0)),"",MAX($CN$5:CN363)+1)</f>
        <v/>
      </c>
      <c r="CO364" s="84">
        <f>IF($A364="","",MAX($CO$5:CO363)+1)</f>
        <v/>
      </c>
      <c r="CP364" s="84">
        <f>IF(OR($A364="",$BH364="",$BI364=""),"",$BG364&amp;"|"&amp;$O364&amp;"|"&amp;$AL364&amp;"|"&amp;$S364&amp;"|"&amp;$P364&amp;"|"&amp;$Q364&amp;$R364&amp;"|"&amp;$C364&amp;"|"&amp;$AB364)</f>
        <v/>
      </c>
      <c r="CQ364" s="84">
        <f>N($BS364)</f>
        <v/>
      </c>
      <c r="CR364" s="84">
        <f>IF(N($AU364)&gt;0,N($AU364),4.5)</f>
        <v/>
      </c>
      <c r="CS364" s="84">
        <f>OR($A364="",$BI364="",$S364="BL",AND($C364="FRAME ONLY",OR($AC364="",$AC364="BLK")))</f>
        <v/>
      </c>
      <c r="CT364" s="84">
        <f>AND(NOT($CS364),OR($AT364="CUSTOM LOC",N($AW364)+N($AX364)+N($AY364)+N($AZ364)+N($BA364)&gt;0))</f>
        <v/>
      </c>
      <c r="CU364" s="84">
        <f>IF($BI364="","",IF($BI364&lt;=80,80,IF($BI364&lt;=84,84,96)))</f>
        <v/>
      </c>
      <c r="CV364" s="84">
        <f>ISNUMBER(MATCH($AT364&amp;"|80",LocKeys,0))</f>
        <v/>
      </c>
      <c r="CW364" s="86">
        <f>IF($CS364,"",IF($CV364,VLOOKUP($AT364&amp;"|"&amp;$CU364,LocTable,4,FALSE),5))</f>
        <v/>
      </c>
      <c r="CX364" s="86">
        <f>IF($CS364,"",IF($CV364,IF(OR($BI364=$CU364,AND($BI364&lt;$CU364,$BI364-IF(N(VLOOKUP($AT364&amp;"|"&amp;$CU364,LocTable,7,FALSE))&gt;0,VLOOKUP($AT364&amp;"|"&amp;$CU364,LocTable,7,FALSE),VLOOKUP($AT364&amp;"|"&amp;$CU364,LocTable,6,FALSE))-$CR364-0.75&gt;=2.125)),IF(N(VLOOKUP($AT364&amp;"|"&amp;$CU364,LocTable,7,FALSE))&gt;0,VLOOKUP($AT364&amp;"|"&amp;$CU364,LocTable,7,FALSE),VLOOKUP($AT364&amp;"|"&amp;$CU364,LocTable,6,FALSE)),$BI364-($CU364-IF(N(VLOOKUP($AT364&amp;"|"&amp;$CU364,LocTable,7,FALSE))&gt;0,VLOOKUP($AT364&amp;"|"&amp;$CU364,LocTable,7,FALSE),VLOOKUP($AT364&amp;"|"&amp;$CU364,LocTable,6,FALSE)))),$BI364-10-$CR364))</f>
        <v/>
      </c>
      <c r="CY364" s="85">
        <f>IF($CS364,"",TRIM(IF(ISNUMBER($BU364),"A "&amp;TRIM(TEXT($BU364,"# ?/??"))&amp;CHAR(34)&amp;"  ","")&amp;IF(ISNUMBER($BV364),"B "&amp;TRIM(TEXT($BV364,"# ?/??"))&amp;CHAR(34)&amp;"  ","")&amp;IF(ISNUMBER($BW364),"C "&amp;TRIM(TEXT($BW364,"# ?/??"))&amp;CHAR(34)&amp;"  ","")&amp;IF(ISNUMBER($BX364),"D "&amp;TRIM(TEXT($BX364,"# ?/??"))&amp;CHAR(34)&amp;"  ","")&amp;IF(ISNUMBER($BY364),"F "&amp;TRIM(TEXT($BY364,"# ?/??"))&amp;CHAR(34)&amp;"  ","")&amp;IF(ISNUMBER($BZ364),"E "&amp;TRIM(TEXT($BZ364,"# ?/??"))&amp;CHAR(34)&amp;"  ","")))</f>
        <v/>
      </c>
      <c r="CZ364" s="85">
        <f>IF(OR($CS364,N($BJ364)=0),"",TRIM(IF(ISNUMBER($BU364),"A "&amp;TRIM(TEXT($BU364-HeadClr,"# ?/??"))&amp;CHAR(34)&amp;"  ","")&amp;IF(ISNUMBER($BV364),"B "&amp;TRIM(TEXT($BV364-HeadClr,"# ?/??"))&amp;CHAR(34)&amp;"  ","")&amp;IF(ISNUMBER($BW364),"C "&amp;TRIM(TEXT($BW364-HeadClr,"# ?/??"))&amp;CHAR(34)&amp;"  ","")&amp;IF(ISNUMBER($BX364),"D "&amp;TRIM(TEXT($BX364-HeadClr,"# ?/??"))&amp;CHAR(34)&amp;"  ","")&amp;IF(ISNUMBER($BY364),"F "&amp;TRIM(TEXT($BY364-HeadClr,"# ?/??"))&amp;CHAR(34)&amp;"  ","")&amp;IF(ISNUMBER($BZ364),"E "&amp;TRIM(TEXT($BZ364-HeadClr,"# ?/??"))&amp;CHAR(34)&amp;"  ","")))</f>
        <v/>
      </c>
      <c r="DA364" s="84">
        <f>IF($A364="","",IF($AN364="",IFERROR(VLOOKUP($Z364,CODES,2,FALSE),""),IFERROR(VLOOKUP($AN364,CODES,2,FALSE),"")))</f>
        <v/>
      </c>
      <c r="DB364" s="84">
        <f>IF($A364="","",IF($O364="Y","PR",IF(OR($Z364="L",$Z364="RR",LEFT($Z364,2)="L-",LEFT($Z364,3)="RR-"),"LH","RH")))</f>
        <v/>
      </c>
      <c r="DC364" s="84">
        <f>IF($A364="","","S.HM"&amp;IF(OR($C364="DOOR ONLY",$X364&lt;&gt;"KD"),"MASONRY","DRYWALL")&amp;IF($C364="DOOR ONLY","",$U364)&amp;IF(AND($C364&lt;&gt;"FRAME ONLY",OR(LEFT($AH364,3)="OAK",LEFT($AH364,3)="BIR",LEFT($AH364,3)="MAP",$AH364="PC",$AH364="MC",$AH364="SCLC",$AH364="P-LAM")),"WD","HM")&amp;"1.75")</f>
        <v/>
      </c>
      <c r="DD364" s="84">
        <f>IF($CJ364="","",IF($O364="Y",$CJ364,SUBSTITUTE($CJ364,$BG364&amp;" "&amp;IFERROR(VLOOKUP($Z364,CODES,2,FALSE),"")&amp;" ",$BG364&amp;" ")))</f>
        <v/>
      </c>
      <c r="DE364" s="84">
        <f>IF($CK364="","",IF($O364="Y",$CK364,SUBSTITUTE($CK364,$BG364&amp;" "&amp;IF($AN364="",IFERROR(VLOOKUP($Z364,CODES,2,FALSE),""),IFERROR(VLOOKUP($AN364,CODES,2,FALSE),""))&amp;" ",$BG364&amp;" ")))</f>
        <v/>
      </c>
      <c r="DF364" s="84">
        <f>IF($CJ364="","",$DC364&amp;"|"&amp;$DD364&amp;"|"&amp;$DB364&amp;"|"&amp;$AT364&amp;"|"&amp;$V364&amp;"|"&amp;$Y364&amp;"|"&amp;$AB364)</f>
        <v/>
      </c>
      <c r="DG364" s="84">
        <f>IF(DF364="","",IF(COUNTIF($DF$6:DF364,DF364)=1,MAX($DG$5:DG363)+1,INDEX($DG$5:DG363,MATCH(DF364,$DF$5:DF363,0))))</f>
        <v/>
      </c>
      <c r="DH364" s="84">
        <f>IF($CK364="","",$DC364&amp;"|"&amp;$DE364&amp;"|"&amp;$AI364&amp;"|"&amp;$BK364&amp;"|"&amp;$BL364)</f>
        <v/>
      </c>
      <c r="DI364" s="84">
        <f>IF(DH364="","",IF(COUNTIF($DH$6:DH364,DH364)=1,MAX($DI$5:DI363)+1,INDEX($DI$5:DI363,MATCH(DH364,$DH$5:DH363,0))))</f>
        <v/>
      </c>
      <c r="DJ364" s="84">
        <f>IF($A364="","",IF($B364="","qty, ","")&amp;IF($C364="","scope, ","")&amp;IF(OR($K364="",$M364=""),"size, ","")&amp;IF(AND($A364&lt;&gt;"",$C364&lt;&gt;"DOOR ONLY"),IF($U364="","jamb depth, ","")&amp;IF($X364="","construction, ","")&amp;IF($Y364="","anchor, ","")&amp;IF($S364="","frame type, ",""),"")&amp;IF(AND(N($BJ364)&gt;0,$Z364=""),"hand, ","")&amp;IF(N($BJ364)&gt;0,IF($AH364="","door material, ","")&amp;IF($AL364="","face type, ","")&amp;IF($AP364="","lock prep, ","")&amp;IF(AND($AO364="",$AC364=""),"hinge prep, ",""),"")&amp;IF(AND($CH364&gt;0,$AH364="FRP"),"FRP cannot carry a label, ","")&amp;IF(AND($O364="Y",OR($Z364="L",$Z364="R",$Z364="LR",$Z364="RR")),"pair marked but hand is single, ","")&amp;IF(AND($O364&lt;&gt;"Y",OR($Z364="PR",AND(LEN($Z364)&gt;1,ISNUMBER(SEARCH("-",$Z364))))),"pair hand on a single door, ","")&amp;IF(AND(ISNUMBER($CI364),$CH364&lt;N($CI364)),"wall needs a "&amp;$CI364&amp;" min door, ","")&amp;IF(AND($CH364&gt;=180,AND(OR($CE364="FG",$CE364="HG",$CE364="FNV",$CE364="FV"),N($CF364)*N($CG364)&gt;100)),"180 min lite over 100 sq in, ","")&amp;IF(N($BK364)&gt;48,"leaf wider than 4'-0"&amp;CHAR(34)&amp;", ","")&amp;IF(AND($CT364,COUNT($AW364:$AZ364)=0,$CQ364&gt;0),"CUSTOM LOC with no locations typed, ",""))</f>
        <v/>
      </c>
      <c r="DK364" s="84">
        <f>IF($A364="","",IF(AND($CH364&gt;0,AND($A364&lt;&gt;"",$C364&lt;&gt;"DOOR ONLY"),$X364="KD",$E364="EXTERIOR"),"KD label on an exterior opening, ","")&amp;IF(AND($E364="EXTERIOR",OR(AND(AND($A364&lt;&gt;"",$C364&lt;&gt;"DOOR ONLY"),$W364="CR"),AND(N($BJ364)&gt;0,$AH364="CR"))),"exterior in CR steel (G9?), ","")&amp;IF(AND(ISNUMBER($BQ364),N($BQ364)&lt;32),"clear width ~"&amp;TEXT($BQ364,"0.0")&amp;CHAR(34)&amp;" under 32"&amp;CHAR(34)&amp;" (ADA), ","")&amp;IF(AND($CH364=90,AND(OR($CE364="FG",$CE364="HG",$CE364="FNV",$CE364="FV"),N($CF364)*N($CG364)&gt;100)),"90 min lite over 100 sq in (stair/exit), ","")&amp;IF(AND($CH364&gt;0,AND($A364&lt;&gt;"",$C364&lt;&gt;"DOOR ONLY"),OR($AF364="",$AF364="-")),"rated: closer reinf.?, ","")&amp;IF(OR($I364="CORRIDOR",$I364="SMOKE BARRIER"),"S label + smoke gasketing, ","")&amp;IF($CI364="?","wall type/hr not in IBC table, ","")&amp;IF(AND(N($BJ364)&gt;0,$BB364=""),"no hardware set, ","")&amp;IF(AND($BB364&lt;&gt;"",ISNA(MATCH($BB364&amp;"",HWSets,0))),"set "&amp;$BB364&amp;" not on HW Sets, ","")&amp;IF(N($BL364)&gt;96,"leaf over 8'-0"&amp;CHAR(34)&amp;" - check listing, ","")&amp;IF(AND($CT364,COUNT($AW364:$AZ364)&gt;0,COUNT($AW364:$AZ364)&lt;&gt;$CQ364),COUNT($AW364:$AZ364)&amp;" custom hinges typed, "&amp;$CQ364&amp;" expected, ","")&amp;IF(AND(ISNUMBER($CA364),OR(N($CA364)&lt;34,N($CA364)&gt;48)),"lock "&amp;TEXT($CA364,"0.0")&amp;CHAR(34)&amp;" AFF outside 34-48"&amp;CHAR(34)&amp;" (ADA), ","")&amp;IF(AND(ISNUMBER($AV364),ISNUMBER($BL364),N($AV364)&lt;IF(N($BL364)&lt;=60,2,IF(N($BL364)&lt;=90,3,IF(N($BL364)&lt;=120,4,5)))),"fewer hinges than standard, ",""))</f>
        <v/>
      </c>
    </row>
    <row r="365" ht="15" customHeight="1">
      <c r="A365" s="92" t="n"/>
      <c r="B365" s="93" t="n"/>
      <c r="C365" s="93" t="n"/>
      <c r="D365" s="93" t="n"/>
      <c r="E365" s="93" t="n"/>
      <c r="F365" s="93" t="n"/>
      <c r="G365" s="93" t="n"/>
      <c r="H365" s="93" t="n"/>
      <c r="I365" s="93" t="n"/>
      <c r="J365" s="93" t="n"/>
      <c r="K365" s="93" t="n"/>
      <c r="L365" s="93" t="n"/>
      <c r="M365" s="93" t="n"/>
      <c r="N365" s="93" t="n"/>
      <c r="O365" s="93" t="n"/>
      <c r="P365" s="93" t="n"/>
      <c r="Q365" s="93" t="n"/>
      <c r="R365" s="93" t="n"/>
      <c r="S365" s="94" t="n"/>
      <c r="T365" s="94" t="n"/>
      <c r="U365" s="94" t="n"/>
      <c r="V365" s="94" t="n"/>
      <c r="W365" s="94" t="n"/>
      <c r="X365" s="94" t="n"/>
      <c r="Y365" s="94" t="n"/>
      <c r="Z365" s="94" t="n"/>
      <c r="AA365" s="94" t="n"/>
      <c r="AB365" s="94" t="n"/>
      <c r="AC365" s="94" t="n"/>
      <c r="AD365" s="94" t="n"/>
      <c r="AE365" s="94" t="n"/>
      <c r="AF365" s="94" t="n"/>
      <c r="AG365" s="94" t="n"/>
      <c r="AH365" s="95" t="n"/>
      <c r="AI365" s="95" t="n"/>
      <c r="AJ365" s="95" t="n"/>
      <c r="AK365" s="95" t="n"/>
      <c r="AL365" s="95" t="n"/>
      <c r="AM365" s="95" t="n"/>
      <c r="AN365" s="95" t="n"/>
      <c r="AO365" s="95" t="n"/>
      <c r="AP365" s="95" t="n"/>
      <c r="AQ365" s="95" t="n"/>
      <c r="AR365" s="95" t="n"/>
      <c r="AS365" s="95" t="n"/>
      <c r="AT365" s="96" t="n"/>
      <c r="AU365" s="96" t="n"/>
      <c r="AV365" s="96" t="n"/>
      <c r="AW365" s="97" t="n"/>
      <c r="AX365" s="97" t="n"/>
      <c r="AY365" s="97" t="n"/>
      <c r="AZ365" s="97" t="n"/>
      <c r="BA365" s="97" t="n"/>
      <c r="BB365" s="98" t="n"/>
      <c r="BC365" s="98" t="n"/>
      <c r="BD365" s="99">
        <f>IF($A365="","",IF($DJ365&lt;&gt;"","FIX",IF($DK365&lt;&gt;"","CHECK","OK")))</f>
        <v/>
      </c>
      <c r="BE365" s="100">
        <f>IF($A365="","",IF($DJ365&lt;&gt;"","FIX: "&amp;LEFT($DJ365,LEN($DJ365)-2)&amp;IF($DK365&lt;&gt;"","  ·  ",""),"")&amp;IF($DK365&lt;&gt;"","CHECK: "&amp;LEFT($DK365,LEN($DK365)-2),""))</f>
        <v/>
      </c>
      <c r="BF365" s="99">
        <f>IF(OR($A365="",$K365=""),"",$K365&amp;"'-"&amp;N($L365)&amp;CHAR(34)&amp;" x "&amp;$M365&amp;"'-"&amp;N($N365)&amp;CHAR(34))</f>
        <v/>
      </c>
      <c r="BG365" s="99">
        <f>IF(OR($A365="",$K365=""),"",$K365&amp;N($L365)&amp;$M365&amp;N($N365))</f>
        <v/>
      </c>
      <c r="BH365" s="99">
        <f>IF(OR($A365="",$K365=""),"",$K365*12+N($L365))</f>
        <v/>
      </c>
      <c r="BI365" s="99">
        <f>IF(OR($A365="",$M365=""),"",$M365*12+N($N365))</f>
        <v/>
      </c>
      <c r="BJ365" s="99">
        <f>IF($A365="","",IF(OR($C365="FRAME ONLY",$S365="BL"),0,IF($O365="Y",2,1)))</f>
        <v/>
      </c>
      <c r="BK365" s="101">
        <f>IF(OR(N($BJ365)=0,$BH365=""),"",($BH365-2*EdgeClr-IF($BJ365=2,MeetClr,0))/$BJ365)</f>
        <v/>
      </c>
      <c r="BL365" s="101">
        <f>IF(OR(N($BJ365)=0,$BI365=""),"",$BI365-HeadClr-Undercut)</f>
        <v/>
      </c>
      <c r="BM365" s="101">
        <f>IF($BH365="","",$BH365+2*FaceW+IF(N($Q365)&gt;0,($Q365+FaceW)*IF($R365="LR",2,1),0))</f>
        <v/>
      </c>
      <c r="BN365" s="101">
        <f>IF($BI365="","",$BI365+IF($AB365="Y",4,FaceW)+IF(N($P365)&gt;0,$P365+FaceW,0)+IF(OR($S365="4F",$S365="BL"),FaceW,0))</f>
        <v/>
      </c>
      <c r="BO365" s="101">
        <f>IF($BM365="","",$BM365+2*ROSide)</f>
        <v/>
      </c>
      <c r="BP365" s="101">
        <f>IF($BN365="","",$BN365+ROTop)</f>
        <v/>
      </c>
      <c r="BQ365" s="102">
        <f>IF(OR(N($BJ365)=0,$BH365=""),"",$BH365/$BJ365-ClearDeduct)</f>
        <v/>
      </c>
      <c r="BR365" s="99">
        <f>IF(N($CH365)=0,"",IF($CH365&gt;=180,"A · 3 HR",IF($CH365&gt;=90,"B · 1-1/2 HR",IF($CH365&gt;=60,"B · 1 HR",IF($CH365&gt;=45,"C · 3/4 HR","20 MIN")))))&amp;IF(AND(N($CH365)&gt;0,OR($I365="CORRIDOR",$I365="SMOKE BARRIER"))," · S","")</f>
        <v/>
      </c>
      <c r="BS365" s="99">
        <f>IF($CS365,"",IF($AV365&lt;&gt;"",$AV365,IF(OR($AC365="HGC",$AO365="HGC"),"CONT",IF(($BI365-HeadClr-Undercut)&lt;=60,2,IF(($BI365-HeadClr-Undercut)&lt;=90,3,IF(($BI365-HeadClr-Undercut)&lt;=120,4,5))))))</f>
        <v/>
      </c>
      <c r="BT365" s="99">
        <f>IF($CS365,"",IF($CT365,"CUSTOM (typed)",IF($CV365,$AT365&amp;" "&amp;$CU365&amp;CHAR(34)&amp;IF($CU365&lt;&gt;$BI365,IF(AND($BI365&lt;$CU365,$BI365-IF(N(VLOOKUP($AT365&amp;"|"&amp;$CU365,LocTable,7,FALSE))&gt;0,VLOOKUP($AT365&amp;"|"&amp;$CU365,LocTable,7,FALSE),VLOOKUP($AT365&amp;"|"&amp;$CU365,LocTable,6,FALSE))-$CR365-0.75&gt;=2.125)," cut down"," adj."),""),"ANSI/SDI A250.6")))</f>
        <v/>
      </c>
      <c r="BU365" s="103">
        <f>IF($CS365,"",IF($CT365,IF(N($AW365)&gt;0,N($AW365),""),IF(1&gt;$CQ365,"",IF($CQ365=1,$CW365,$CW365+($CX365-$CW365)*0/($CQ365-1)))))</f>
        <v/>
      </c>
      <c r="BV365" s="103">
        <f>IF($CS365,"",IF($CT365,IF(N($AX365)&gt;0,N($AX365),""),IF(2&gt;$CQ365,"",IF($CQ365=1,$CW365,$CW365+($CX365-$CW365)*1/($CQ365-1)))))</f>
        <v/>
      </c>
      <c r="BW365" s="103">
        <f>IF($CS365,"",IF($CT365,IF(N($AY365)&gt;0,N($AY365),""),IF(3&gt;$CQ365,"",IF($CQ365=1,$CW365,$CW365+($CX365-$CW365)*2/($CQ365-1)))))</f>
        <v/>
      </c>
      <c r="BX365" s="103">
        <f>IF($CS365,"",IF($CT365,IF(N($AZ365)&gt;0,N($AZ365),""),IF(4&gt;$CQ365,"",IF($CQ365=1,$CW365,$CW365+($CX365-$CW365)*3/($CQ365-1)))))</f>
        <v/>
      </c>
      <c r="BY365" s="103">
        <f>IF($CS365,"",IF($CT365,"",IF(5&gt;$CQ365,"",IF($CQ365=1,$CW365,$CW365+($CX365-$CW365)*4/($CQ365-1)))))</f>
        <v/>
      </c>
      <c r="BZ365" s="103">
        <f>IF(OR($CS365,$AP365="-",AND($AP365="",$AD365="")),"",IF(N($BA365)&gt;0,N($BA365),IF($CV365,IF(AND($BI365&lt;$CU365,$BI365-IF(N(VLOOKUP($AT365&amp;"|"&amp;$CU365,LocTable,7,FALSE))&gt;0,VLOOKUP($AT365&amp;"|"&amp;$CU365,LocTable,7,FALSE),VLOOKUP($AT365&amp;"|"&amp;$CU365,LocTable,6,FALSE))-$CR365-0.75&gt;=2.125),VLOOKUP($AT365&amp;"|"&amp;$CU365,LocTable,8,FALSE),VLOOKUP($AT365&amp;"|"&amp;$CU365,LocTable,8,FALSE)+($BI365-$CU365)),$BI365-LockAFF)))</f>
        <v/>
      </c>
      <c r="CA365" s="104">
        <f>IF($BZ365="","",$BI365-$BZ365)</f>
        <v/>
      </c>
      <c r="CB365" s="99">
        <f>IF(OR(NOT(AND($A365&lt;&gt;"",$C365&lt;&gt;"DOOR ONLY")),$BI365=""),"",IF(($BI365+IF(N($P365)&gt;0,$P365+FaceW,0))&lt;=90,3,IF(($BI365+IF(N($P365)&gt;0,$P365+FaceW,0))&lt;=114,4,5)))</f>
        <v/>
      </c>
      <c r="CC365" s="99">
        <f>IF($CB365="","",$CB365*(2+IF(N($Q365)&gt;0,IF($R365="LR",2,1),0)))</f>
        <v/>
      </c>
      <c r="CD365" s="99">
        <f>IF($CB365="","",(2+IF(N($Q365)&gt;0,IF($R365="LR",2,1),0)))</f>
        <v/>
      </c>
      <c r="CE365" s="99">
        <f>IF(N($BJ365)=0,"",IF(OR($AL365="",$AL365="FLUSH"),"FLUSH",IFERROR(LEFT($AL365,FIND("-",$AL365)-1),LEFT($AL365,2))))</f>
        <v/>
      </c>
      <c r="CF365" s="99">
        <f>IF($CE365="","",IFERROR(VALUE(MID($AL365,FIND("-",$AL365)+1,FIND(CHAR(34)&amp;"x",$AL365)-FIND("-",$AL365)-1)),0))</f>
        <v/>
      </c>
      <c r="CG365" s="99">
        <f>IF($CE365="","",IFERROR(VALUE(MID($AL365,FIND(CHAR(34)&amp;"x",$AL365)+2,FIND(CHAR(34),$AL365,FIND(CHAR(34)&amp;"x",$AL365)+2)-FIND(CHAR(34)&amp;"x",$AL365)-2)),0))</f>
        <v/>
      </c>
      <c r="CH365" s="105">
        <f>IF(OR($A365="",$H365="",$H365="NO LAB"),0,IFERROR(VALUE(LEFT($H365,FIND(" ",$H365)-1)),0))</f>
        <v/>
      </c>
      <c r="CI365" s="106">
        <f>IF(OR($A365="",$I365="",$I365="NON-RATED",N($J365)=0),"",IFERROR(VLOOKUP($I365&amp;"|"&amp;$J365,IBC,2,FALSE),"?"))</f>
        <v/>
      </c>
      <c r="CJ365" s="100">
        <f>IF(NOT(AND($A365&lt;&gt;"",$C365&lt;&gt;"DOOR ONLY")),"",TRIM(IFERROR(VLOOKUP($U365,CODES,2,FALSE),"")&amp;" "&amp;$BG365&amp;" "&amp;IFERROR(VLOOKUP($Z365,CODES,2,FALSE),"")&amp;" "&amp;IFERROR(VLOOKUP($X365,CODES,2,FALSE),"")&amp;" "&amp;IFERROR(VLOOKUP($S365,CODES,2,FALSE),"")&amp;IF(N($P365)&gt;0," w/TRANSOM "&amp;$P365&amp;CHAR(34),"")&amp;IF(N($Q365)&gt;0," w/SIDELITE "&amp;$Q365&amp;CHAR(34)&amp;" "&amp;IF($R365="","R",$R365),"")&amp;IF($Y365="","  |  "," | "&amp;IFERROR(VLOOKUP($Y365,CODES,2,FALSE),"")&amp;" | ")&amp;IFERROR(VLOOKUP($AC365,CODES,2,FALSE),"")&amp;" "&amp;IFERROR(VLOOKUP($AD365,CODES,2,FALSE),"")&amp;IF(OR($AE365="",$AE365="-"),""," "&amp;$AE365)&amp;IF(OR($AF365="",$AF365="-"),""," "&amp;$AF365)&amp;IF($AB365="Y"," 4"&amp;CHAR(34)&amp;" HEAD","")&amp;" "&amp;IFERROR(VLOOKUP($H365,CODES,2,FALSE),"")&amp;IF($CT365," | LOC "&amp;$CY365,"")))</f>
        <v/>
      </c>
      <c r="CK365" s="100">
        <f>IF(NOT(AND($A365&lt;&gt;"",N($BJ365)&gt;0)),"",TRIM(IFERROR(VLOOKUP($AH365,CODES,2,FALSE),"")&amp;IF($AI365=""," "," "&amp;$AI365&amp;"GA ")&amp;$BG365&amp;" "&amp;IF($AN365="",IFERROR(VLOOKUP($Z365,CODES,2,FALSE),""),IFERROR(VLOOKUP($AN365,CODES,2,FALSE),""))&amp;IF($BJ365=2," PAIR","")&amp;" DOOR | "&amp;IF($AL365="","?",$AL365)&amp;" | "&amp;IF($AO365="",IFERROR(VLOOKUP($AC365,CODES,2,FALSE),""),IFERROR(VLOOKUP($AO365,CODES,2,FALSE),""))&amp;" "&amp;IFERROR(VLOOKUP($AP365,CODES,2,FALSE),"")&amp;IF(OR($AQ365="",$AQ365="-"),""," SEAM "&amp;$AQ365)&amp;IF($AR365="Y"," ASTRAGAL","")&amp;IF($AJ365=""," "," "&amp;$AJ365)&amp;IF($AK365=""," "," "&amp;$AK365)&amp;IF(OR($AT365="",$AT365="ANSI/SDI",$AT365="CUSTOM LOC"),""," "&amp;$AT365)&amp;IF($AM365=""," "," SERIES "&amp;$AM365)&amp;" "&amp;IFERROR(VLOOKUP($H365,CODES,2,FALSE),"")&amp;IF($CT365," | LOC "&amp;$CZ365,"")))</f>
        <v/>
      </c>
      <c r="CL365" s="99">
        <f>IF(CP365="","",IF(COUNTIF($CP$6:CP365,CP365)=1,MAX($CL$5:CL364)+1,INDEX($CL$5:CL364,MATCH(CP365,$CP$5:CP364,0))))</f>
        <v/>
      </c>
      <c r="CM365" s="99">
        <f>IF(NOT(AND($A365&lt;&gt;"",$C365&lt;&gt;"DOOR ONLY")),"",MAX($CM$5:CM364)+1)</f>
        <v/>
      </c>
      <c r="CN365" s="99">
        <f>IF(NOT(AND($A365&lt;&gt;"",N($BJ365)&gt;0)),"",MAX($CN$5:CN364)+1)</f>
        <v/>
      </c>
      <c r="CO365" s="99">
        <f>IF($A365="","",MAX($CO$5:CO364)+1)</f>
        <v/>
      </c>
      <c r="CP365" s="99">
        <f>IF(OR($A365="",$BH365="",$BI365=""),"",$BG365&amp;"|"&amp;$O365&amp;"|"&amp;$AL365&amp;"|"&amp;$S365&amp;"|"&amp;$P365&amp;"|"&amp;$Q365&amp;$R365&amp;"|"&amp;$C365&amp;"|"&amp;$AB365)</f>
        <v/>
      </c>
      <c r="CQ365" s="99">
        <f>N($BS365)</f>
        <v/>
      </c>
      <c r="CR365" s="99">
        <f>IF(N($AU365)&gt;0,N($AU365),4.5)</f>
        <v/>
      </c>
      <c r="CS365" s="99">
        <f>OR($A365="",$BI365="",$S365="BL",AND($C365="FRAME ONLY",OR($AC365="",$AC365="BLK")))</f>
        <v/>
      </c>
      <c r="CT365" s="99">
        <f>AND(NOT($CS365),OR($AT365="CUSTOM LOC",N($AW365)+N($AX365)+N($AY365)+N($AZ365)+N($BA365)&gt;0))</f>
        <v/>
      </c>
      <c r="CU365" s="99">
        <f>IF($BI365="","",IF($BI365&lt;=80,80,IF($BI365&lt;=84,84,96)))</f>
        <v/>
      </c>
      <c r="CV365" s="99">
        <f>ISNUMBER(MATCH($AT365&amp;"|80",LocKeys,0))</f>
        <v/>
      </c>
      <c r="CW365" s="101">
        <f>IF($CS365,"",IF($CV365,VLOOKUP($AT365&amp;"|"&amp;$CU365,LocTable,4,FALSE),5))</f>
        <v/>
      </c>
      <c r="CX365" s="101">
        <f>IF($CS365,"",IF($CV365,IF(OR($BI365=$CU365,AND($BI365&lt;$CU365,$BI365-IF(N(VLOOKUP($AT365&amp;"|"&amp;$CU365,LocTable,7,FALSE))&gt;0,VLOOKUP($AT365&amp;"|"&amp;$CU365,LocTable,7,FALSE),VLOOKUP($AT365&amp;"|"&amp;$CU365,LocTable,6,FALSE))-$CR365-0.75&gt;=2.125)),IF(N(VLOOKUP($AT365&amp;"|"&amp;$CU365,LocTable,7,FALSE))&gt;0,VLOOKUP($AT365&amp;"|"&amp;$CU365,LocTable,7,FALSE),VLOOKUP($AT365&amp;"|"&amp;$CU365,LocTable,6,FALSE)),$BI365-($CU365-IF(N(VLOOKUP($AT365&amp;"|"&amp;$CU365,LocTable,7,FALSE))&gt;0,VLOOKUP($AT365&amp;"|"&amp;$CU365,LocTable,7,FALSE),VLOOKUP($AT365&amp;"|"&amp;$CU365,LocTable,6,FALSE)))),$BI365-10-$CR365))</f>
        <v/>
      </c>
      <c r="CY365" s="100">
        <f>IF($CS365,"",TRIM(IF(ISNUMBER($BU365),"A "&amp;TRIM(TEXT($BU365,"# ?/??"))&amp;CHAR(34)&amp;"  ","")&amp;IF(ISNUMBER($BV365),"B "&amp;TRIM(TEXT($BV365,"# ?/??"))&amp;CHAR(34)&amp;"  ","")&amp;IF(ISNUMBER($BW365),"C "&amp;TRIM(TEXT($BW365,"# ?/??"))&amp;CHAR(34)&amp;"  ","")&amp;IF(ISNUMBER($BX365),"D "&amp;TRIM(TEXT($BX365,"# ?/??"))&amp;CHAR(34)&amp;"  ","")&amp;IF(ISNUMBER($BY365),"F "&amp;TRIM(TEXT($BY365,"# ?/??"))&amp;CHAR(34)&amp;"  ","")&amp;IF(ISNUMBER($BZ365),"E "&amp;TRIM(TEXT($BZ365,"# ?/??"))&amp;CHAR(34)&amp;"  ","")))</f>
        <v/>
      </c>
      <c r="CZ365" s="100">
        <f>IF(OR($CS365,N($BJ365)=0),"",TRIM(IF(ISNUMBER($BU365),"A "&amp;TRIM(TEXT($BU365-HeadClr,"# ?/??"))&amp;CHAR(34)&amp;"  ","")&amp;IF(ISNUMBER($BV365),"B "&amp;TRIM(TEXT($BV365-HeadClr,"# ?/??"))&amp;CHAR(34)&amp;"  ","")&amp;IF(ISNUMBER($BW365),"C "&amp;TRIM(TEXT($BW365-HeadClr,"# ?/??"))&amp;CHAR(34)&amp;"  ","")&amp;IF(ISNUMBER($BX365),"D "&amp;TRIM(TEXT($BX365-HeadClr,"# ?/??"))&amp;CHAR(34)&amp;"  ","")&amp;IF(ISNUMBER($BY365),"F "&amp;TRIM(TEXT($BY365-HeadClr,"# ?/??"))&amp;CHAR(34)&amp;"  ","")&amp;IF(ISNUMBER($BZ365),"E "&amp;TRIM(TEXT($BZ365-HeadClr,"# ?/??"))&amp;CHAR(34)&amp;"  ","")))</f>
        <v/>
      </c>
      <c r="DA365" s="99">
        <f>IF($A365="","",IF($AN365="",IFERROR(VLOOKUP($Z365,CODES,2,FALSE),""),IFERROR(VLOOKUP($AN365,CODES,2,FALSE),"")))</f>
        <v/>
      </c>
      <c r="DB365" s="99">
        <f>IF($A365="","",IF($O365="Y","PR",IF(OR($Z365="L",$Z365="RR",LEFT($Z365,2)="L-",LEFT($Z365,3)="RR-"),"LH","RH")))</f>
        <v/>
      </c>
      <c r="DC365" s="99">
        <f>IF($A365="","","S.HM"&amp;IF(OR($C365="DOOR ONLY",$X365&lt;&gt;"KD"),"MASONRY","DRYWALL")&amp;IF($C365="DOOR ONLY","",$U365)&amp;IF(AND($C365&lt;&gt;"FRAME ONLY",OR(LEFT($AH365,3)="OAK",LEFT($AH365,3)="BIR",LEFT($AH365,3)="MAP",$AH365="PC",$AH365="MC",$AH365="SCLC",$AH365="P-LAM")),"WD","HM")&amp;"1.75")</f>
        <v/>
      </c>
      <c r="DD365" s="99">
        <f>IF($CJ365="","",IF($O365="Y",$CJ365,SUBSTITUTE($CJ365,$BG365&amp;" "&amp;IFERROR(VLOOKUP($Z365,CODES,2,FALSE),"")&amp;" ",$BG365&amp;" ")))</f>
        <v/>
      </c>
      <c r="DE365" s="99">
        <f>IF($CK365="","",IF($O365="Y",$CK365,SUBSTITUTE($CK365,$BG365&amp;" "&amp;IF($AN365="",IFERROR(VLOOKUP($Z365,CODES,2,FALSE),""),IFERROR(VLOOKUP($AN365,CODES,2,FALSE),""))&amp;" ",$BG365&amp;" ")))</f>
        <v/>
      </c>
      <c r="DF365" s="99">
        <f>IF($CJ365="","",$DC365&amp;"|"&amp;$DD365&amp;"|"&amp;$DB365&amp;"|"&amp;$AT365&amp;"|"&amp;$V365&amp;"|"&amp;$Y365&amp;"|"&amp;$AB365)</f>
        <v/>
      </c>
      <c r="DG365" s="99">
        <f>IF(DF365="","",IF(COUNTIF($DF$6:DF365,DF365)=1,MAX($DG$5:DG364)+1,INDEX($DG$5:DG364,MATCH(DF365,$DF$5:DF364,0))))</f>
        <v/>
      </c>
      <c r="DH365" s="99">
        <f>IF($CK365="","",$DC365&amp;"|"&amp;$DE365&amp;"|"&amp;$AI365&amp;"|"&amp;$BK365&amp;"|"&amp;$BL365)</f>
        <v/>
      </c>
      <c r="DI365" s="99">
        <f>IF(DH365="","",IF(COUNTIF($DH$6:DH365,DH365)=1,MAX($DI$5:DI364)+1,INDEX($DI$5:DI364,MATCH(DH365,$DH$5:DH364,0))))</f>
        <v/>
      </c>
      <c r="DJ365" s="99">
        <f>IF($A365="","",IF($B365="","qty, ","")&amp;IF($C365="","scope, ","")&amp;IF(OR($K365="",$M365=""),"size, ","")&amp;IF(AND($A365&lt;&gt;"",$C365&lt;&gt;"DOOR ONLY"),IF($U365="","jamb depth, ","")&amp;IF($X365="","construction, ","")&amp;IF($Y365="","anchor, ","")&amp;IF($S365="","frame type, ",""),"")&amp;IF(AND(N($BJ365)&gt;0,$Z365=""),"hand, ","")&amp;IF(N($BJ365)&gt;0,IF($AH365="","door material, ","")&amp;IF($AL365="","face type, ","")&amp;IF($AP365="","lock prep, ","")&amp;IF(AND($AO365="",$AC365=""),"hinge prep, ",""),"")&amp;IF(AND($CH365&gt;0,$AH365="FRP"),"FRP cannot carry a label, ","")&amp;IF(AND($O365="Y",OR($Z365="L",$Z365="R",$Z365="LR",$Z365="RR")),"pair marked but hand is single, ","")&amp;IF(AND($O365&lt;&gt;"Y",OR($Z365="PR",AND(LEN($Z365)&gt;1,ISNUMBER(SEARCH("-",$Z365))))),"pair hand on a single door, ","")&amp;IF(AND(ISNUMBER($CI365),$CH365&lt;N($CI365)),"wall needs a "&amp;$CI365&amp;" min door, ","")&amp;IF(AND($CH365&gt;=180,AND(OR($CE365="FG",$CE365="HG",$CE365="FNV",$CE365="FV"),N($CF365)*N($CG365)&gt;100)),"180 min lite over 100 sq in, ","")&amp;IF(N($BK365)&gt;48,"leaf wider than 4'-0"&amp;CHAR(34)&amp;", ","")&amp;IF(AND($CT365,COUNT($AW365:$AZ365)=0,$CQ365&gt;0),"CUSTOM LOC with no locations typed, ",""))</f>
        <v/>
      </c>
      <c r="DK365" s="99">
        <f>IF($A365="","",IF(AND($CH365&gt;0,AND($A365&lt;&gt;"",$C365&lt;&gt;"DOOR ONLY"),$X365="KD",$E365="EXTERIOR"),"KD label on an exterior opening, ","")&amp;IF(AND($E365="EXTERIOR",OR(AND(AND($A365&lt;&gt;"",$C365&lt;&gt;"DOOR ONLY"),$W365="CR"),AND(N($BJ365)&gt;0,$AH365="CR"))),"exterior in CR steel (G9?), ","")&amp;IF(AND(ISNUMBER($BQ365),N($BQ365)&lt;32),"clear width ~"&amp;TEXT($BQ365,"0.0")&amp;CHAR(34)&amp;" under 32"&amp;CHAR(34)&amp;" (ADA), ","")&amp;IF(AND($CH365=90,AND(OR($CE365="FG",$CE365="HG",$CE365="FNV",$CE365="FV"),N($CF365)*N($CG365)&gt;100)),"90 min lite over 100 sq in (stair/exit), ","")&amp;IF(AND($CH365&gt;0,AND($A365&lt;&gt;"",$C365&lt;&gt;"DOOR ONLY"),OR($AF365="",$AF365="-")),"rated: closer reinf.?, ","")&amp;IF(OR($I365="CORRIDOR",$I365="SMOKE BARRIER"),"S label + smoke gasketing, ","")&amp;IF($CI365="?","wall type/hr not in IBC table, ","")&amp;IF(AND(N($BJ365)&gt;0,$BB365=""),"no hardware set, ","")&amp;IF(AND($BB365&lt;&gt;"",ISNA(MATCH($BB365&amp;"",HWSets,0))),"set "&amp;$BB365&amp;" not on HW Sets, ","")&amp;IF(N($BL365)&gt;96,"leaf over 8'-0"&amp;CHAR(34)&amp;" - check listing, ","")&amp;IF(AND($CT365,COUNT($AW365:$AZ365)&gt;0,COUNT($AW365:$AZ365)&lt;&gt;$CQ365),COUNT($AW365:$AZ365)&amp;" custom hinges typed, "&amp;$CQ365&amp;" expected, ","")&amp;IF(AND(ISNUMBER($CA365),OR(N($CA365)&lt;34,N($CA365)&gt;48)),"lock "&amp;TEXT($CA365,"0.0")&amp;CHAR(34)&amp;" AFF outside 34-48"&amp;CHAR(34)&amp;" (ADA), ","")&amp;IF(AND(ISNUMBER($AV365),ISNUMBER($BL365),N($AV365)&lt;IF(N($BL365)&lt;=60,2,IF(N($BL365)&lt;=90,3,IF(N($BL365)&lt;=120,4,5)))),"fewer hinges than standard, ",""))</f>
        <v/>
      </c>
    </row>
    <row r="366" ht="15" customHeight="1">
      <c r="A366" s="77" t="n"/>
      <c r="B366" s="78" t="n"/>
      <c r="C366" s="78" t="n"/>
      <c r="D366" s="78" t="n"/>
      <c r="E366" s="78" t="n"/>
      <c r="F366" s="78" t="n"/>
      <c r="G366" s="78" t="n"/>
      <c r="H366" s="78" t="n"/>
      <c r="I366" s="78" t="n"/>
      <c r="J366" s="78" t="n"/>
      <c r="K366" s="78" t="n"/>
      <c r="L366" s="78" t="n"/>
      <c r="M366" s="78" t="n"/>
      <c r="N366" s="78" t="n"/>
      <c r="O366" s="78" t="n"/>
      <c r="P366" s="78" t="n"/>
      <c r="Q366" s="78" t="n"/>
      <c r="R366" s="78" t="n"/>
      <c r="S366" s="79" t="n"/>
      <c r="T366" s="79" t="n"/>
      <c r="U366" s="79" t="n"/>
      <c r="V366" s="79" t="n"/>
      <c r="W366" s="79" t="n"/>
      <c r="X366" s="79" t="n"/>
      <c r="Y366" s="79" t="n"/>
      <c r="Z366" s="79" t="n"/>
      <c r="AA366" s="79" t="n"/>
      <c r="AB366" s="79" t="n"/>
      <c r="AC366" s="79" t="n"/>
      <c r="AD366" s="79" t="n"/>
      <c r="AE366" s="79" t="n"/>
      <c r="AF366" s="79" t="n"/>
      <c r="AG366" s="79" t="n"/>
      <c r="AH366" s="80" t="n"/>
      <c r="AI366" s="80" t="n"/>
      <c r="AJ366" s="80" t="n"/>
      <c r="AK366" s="80" t="n"/>
      <c r="AL366" s="80" t="n"/>
      <c r="AM366" s="80" t="n"/>
      <c r="AN366" s="80" t="n"/>
      <c r="AO366" s="80" t="n"/>
      <c r="AP366" s="80" t="n"/>
      <c r="AQ366" s="80" t="n"/>
      <c r="AR366" s="80" t="n"/>
      <c r="AS366" s="80" t="n"/>
      <c r="AT366" s="81" t="n"/>
      <c r="AU366" s="81" t="n"/>
      <c r="AV366" s="81" t="n"/>
      <c r="AW366" s="82" t="n"/>
      <c r="AX366" s="82" t="n"/>
      <c r="AY366" s="82" t="n"/>
      <c r="AZ366" s="82" t="n"/>
      <c r="BA366" s="82" t="n"/>
      <c r="BB366" s="83" t="n"/>
      <c r="BC366" s="83" t="n"/>
      <c r="BD366" s="84">
        <f>IF($A366="","",IF($DJ366&lt;&gt;"","FIX",IF($DK366&lt;&gt;"","CHECK","OK")))</f>
        <v/>
      </c>
      <c r="BE366" s="85">
        <f>IF($A366="","",IF($DJ366&lt;&gt;"","FIX: "&amp;LEFT($DJ366,LEN($DJ366)-2)&amp;IF($DK366&lt;&gt;"","  ·  ",""),"")&amp;IF($DK366&lt;&gt;"","CHECK: "&amp;LEFT($DK366,LEN($DK366)-2),""))</f>
        <v/>
      </c>
      <c r="BF366" s="84">
        <f>IF(OR($A366="",$K366=""),"",$K366&amp;"'-"&amp;N($L366)&amp;CHAR(34)&amp;" x "&amp;$M366&amp;"'-"&amp;N($N366)&amp;CHAR(34))</f>
        <v/>
      </c>
      <c r="BG366" s="84">
        <f>IF(OR($A366="",$K366=""),"",$K366&amp;N($L366)&amp;$M366&amp;N($N366))</f>
        <v/>
      </c>
      <c r="BH366" s="84">
        <f>IF(OR($A366="",$K366=""),"",$K366*12+N($L366))</f>
        <v/>
      </c>
      <c r="BI366" s="84">
        <f>IF(OR($A366="",$M366=""),"",$M366*12+N($N366))</f>
        <v/>
      </c>
      <c r="BJ366" s="84">
        <f>IF($A366="","",IF(OR($C366="FRAME ONLY",$S366="BL"),0,IF($O366="Y",2,1)))</f>
        <v/>
      </c>
      <c r="BK366" s="86">
        <f>IF(OR(N($BJ366)=0,$BH366=""),"",($BH366-2*EdgeClr-IF($BJ366=2,MeetClr,0))/$BJ366)</f>
        <v/>
      </c>
      <c r="BL366" s="86">
        <f>IF(OR(N($BJ366)=0,$BI366=""),"",$BI366-HeadClr-Undercut)</f>
        <v/>
      </c>
      <c r="BM366" s="86">
        <f>IF($BH366="","",$BH366+2*FaceW+IF(N($Q366)&gt;0,($Q366+FaceW)*IF($R366="LR",2,1),0))</f>
        <v/>
      </c>
      <c r="BN366" s="86">
        <f>IF($BI366="","",$BI366+IF($AB366="Y",4,FaceW)+IF(N($P366)&gt;0,$P366+FaceW,0)+IF(OR($S366="4F",$S366="BL"),FaceW,0))</f>
        <v/>
      </c>
      <c r="BO366" s="86">
        <f>IF($BM366="","",$BM366+2*ROSide)</f>
        <v/>
      </c>
      <c r="BP366" s="86">
        <f>IF($BN366="","",$BN366+ROTop)</f>
        <v/>
      </c>
      <c r="BQ366" s="87">
        <f>IF(OR(N($BJ366)=0,$BH366=""),"",$BH366/$BJ366-ClearDeduct)</f>
        <v/>
      </c>
      <c r="BR366" s="84">
        <f>IF(N($CH366)=0,"",IF($CH366&gt;=180,"A · 3 HR",IF($CH366&gt;=90,"B · 1-1/2 HR",IF($CH366&gt;=60,"B · 1 HR",IF($CH366&gt;=45,"C · 3/4 HR","20 MIN")))))&amp;IF(AND(N($CH366)&gt;0,OR($I366="CORRIDOR",$I366="SMOKE BARRIER"))," · S","")</f>
        <v/>
      </c>
      <c r="BS366" s="84">
        <f>IF($CS366,"",IF($AV366&lt;&gt;"",$AV366,IF(OR($AC366="HGC",$AO366="HGC"),"CONT",IF(($BI366-HeadClr-Undercut)&lt;=60,2,IF(($BI366-HeadClr-Undercut)&lt;=90,3,IF(($BI366-HeadClr-Undercut)&lt;=120,4,5))))))</f>
        <v/>
      </c>
      <c r="BT366" s="84">
        <f>IF($CS366,"",IF($CT366,"CUSTOM (typed)",IF($CV366,$AT366&amp;" "&amp;$CU366&amp;CHAR(34)&amp;IF($CU366&lt;&gt;$BI366,IF(AND($BI366&lt;$CU366,$BI366-IF(N(VLOOKUP($AT366&amp;"|"&amp;$CU366,LocTable,7,FALSE))&gt;0,VLOOKUP($AT366&amp;"|"&amp;$CU366,LocTable,7,FALSE),VLOOKUP($AT366&amp;"|"&amp;$CU366,LocTable,6,FALSE))-$CR366-0.75&gt;=2.125)," cut down"," adj."),""),"ANSI/SDI A250.6")))</f>
        <v/>
      </c>
      <c r="BU366" s="88">
        <f>IF($CS366,"",IF($CT366,IF(N($AW366)&gt;0,N($AW366),""),IF(1&gt;$CQ366,"",IF($CQ366=1,$CW366,$CW366+($CX366-$CW366)*0/($CQ366-1)))))</f>
        <v/>
      </c>
      <c r="BV366" s="88">
        <f>IF($CS366,"",IF($CT366,IF(N($AX366)&gt;0,N($AX366),""),IF(2&gt;$CQ366,"",IF($CQ366=1,$CW366,$CW366+($CX366-$CW366)*1/($CQ366-1)))))</f>
        <v/>
      </c>
      <c r="BW366" s="88">
        <f>IF($CS366,"",IF($CT366,IF(N($AY366)&gt;0,N($AY366),""),IF(3&gt;$CQ366,"",IF($CQ366=1,$CW366,$CW366+($CX366-$CW366)*2/($CQ366-1)))))</f>
        <v/>
      </c>
      <c r="BX366" s="88">
        <f>IF($CS366,"",IF($CT366,IF(N($AZ366)&gt;0,N($AZ366),""),IF(4&gt;$CQ366,"",IF($CQ366=1,$CW366,$CW366+($CX366-$CW366)*3/($CQ366-1)))))</f>
        <v/>
      </c>
      <c r="BY366" s="88">
        <f>IF($CS366,"",IF($CT366,"",IF(5&gt;$CQ366,"",IF($CQ366=1,$CW366,$CW366+($CX366-$CW366)*4/($CQ366-1)))))</f>
        <v/>
      </c>
      <c r="BZ366" s="88">
        <f>IF(OR($CS366,$AP366="-",AND($AP366="",$AD366="")),"",IF(N($BA366)&gt;0,N($BA366),IF($CV366,IF(AND($BI366&lt;$CU366,$BI366-IF(N(VLOOKUP($AT366&amp;"|"&amp;$CU366,LocTable,7,FALSE))&gt;0,VLOOKUP($AT366&amp;"|"&amp;$CU366,LocTable,7,FALSE),VLOOKUP($AT366&amp;"|"&amp;$CU366,LocTable,6,FALSE))-$CR366-0.75&gt;=2.125),VLOOKUP($AT366&amp;"|"&amp;$CU366,LocTable,8,FALSE),VLOOKUP($AT366&amp;"|"&amp;$CU366,LocTable,8,FALSE)+($BI366-$CU366)),$BI366-LockAFF)))</f>
        <v/>
      </c>
      <c r="CA366" s="89">
        <f>IF($BZ366="","",$BI366-$BZ366)</f>
        <v/>
      </c>
      <c r="CB366" s="84">
        <f>IF(OR(NOT(AND($A366&lt;&gt;"",$C366&lt;&gt;"DOOR ONLY")),$BI366=""),"",IF(($BI366+IF(N($P366)&gt;0,$P366+FaceW,0))&lt;=90,3,IF(($BI366+IF(N($P366)&gt;0,$P366+FaceW,0))&lt;=114,4,5)))</f>
        <v/>
      </c>
      <c r="CC366" s="84">
        <f>IF($CB366="","",$CB366*(2+IF(N($Q366)&gt;0,IF($R366="LR",2,1),0)))</f>
        <v/>
      </c>
      <c r="CD366" s="84">
        <f>IF($CB366="","",(2+IF(N($Q366)&gt;0,IF($R366="LR",2,1),0)))</f>
        <v/>
      </c>
      <c r="CE366" s="84">
        <f>IF(N($BJ366)=0,"",IF(OR($AL366="",$AL366="FLUSH"),"FLUSH",IFERROR(LEFT($AL366,FIND("-",$AL366)-1),LEFT($AL366,2))))</f>
        <v/>
      </c>
      <c r="CF366" s="84">
        <f>IF($CE366="","",IFERROR(VALUE(MID($AL366,FIND("-",$AL366)+1,FIND(CHAR(34)&amp;"x",$AL366)-FIND("-",$AL366)-1)),0))</f>
        <v/>
      </c>
      <c r="CG366" s="84">
        <f>IF($CE366="","",IFERROR(VALUE(MID($AL366,FIND(CHAR(34)&amp;"x",$AL366)+2,FIND(CHAR(34),$AL366,FIND(CHAR(34)&amp;"x",$AL366)+2)-FIND(CHAR(34)&amp;"x",$AL366)-2)),0))</f>
        <v/>
      </c>
      <c r="CH366" s="90">
        <f>IF(OR($A366="",$H366="",$H366="NO LAB"),0,IFERROR(VALUE(LEFT($H366,FIND(" ",$H366)-1)),0))</f>
        <v/>
      </c>
      <c r="CI366" s="91">
        <f>IF(OR($A366="",$I366="",$I366="NON-RATED",N($J366)=0),"",IFERROR(VLOOKUP($I366&amp;"|"&amp;$J366,IBC,2,FALSE),"?"))</f>
        <v/>
      </c>
      <c r="CJ366" s="85">
        <f>IF(NOT(AND($A366&lt;&gt;"",$C366&lt;&gt;"DOOR ONLY")),"",TRIM(IFERROR(VLOOKUP($U366,CODES,2,FALSE),"")&amp;" "&amp;$BG366&amp;" "&amp;IFERROR(VLOOKUP($Z366,CODES,2,FALSE),"")&amp;" "&amp;IFERROR(VLOOKUP($X366,CODES,2,FALSE),"")&amp;" "&amp;IFERROR(VLOOKUP($S366,CODES,2,FALSE),"")&amp;IF(N($P366)&gt;0," w/TRANSOM "&amp;$P366&amp;CHAR(34),"")&amp;IF(N($Q366)&gt;0," w/SIDELITE "&amp;$Q366&amp;CHAR(34)&amp;" "&amp;IF($R366="","R",$R366),"")&amp;IF($Y366="","  |  "," | "&amp;IFERROR(VLOOKUP($Y366,CODES,2,FALSE),"")&amp;" | ")&amp;IFERROR(VLOOKUP($AC366,CODES,2,FALSE),"")&amp;" "&amp;IFERROR(VLOOKUP($AD366,CODES,2,FALSE),"")&amp;IF(OR($AE366="",$AE366="-"),""," "&amp;$AE366)&amp;IF(OR($AF366="",$AF366="-"),""," "&amp;$AF366)&amp;IF($AB366="Y"," 4"&amp;CHAR(34)&amp;" HEAD","")&amp;" "&amp;IFERROR(VLOOKUP($H366,CODES,2,FALSE),"")&amp;IF($CT366," | LOC "&amp;$CY366,"")))</f>
        <v/>
      </c>
      <c r="CK366" s="85">
        <f>IF(NOT(AND($A366&lt;&gt;"",N($BJ366)&gt;0)),"",TRIM(IFERROR(VLOOKUP($AH366,CODES,2,FALSE),"")&amp;IF($AI366=""," "," "&amp;$AI366&amp;"GA ")&amp;$BG366&amp;" "&amp;IF($AN366="",IFERROR(VLOOKUP($Z366,CODES,2,FALSE),""),IFERROR(VLOOKUP($AN366,CODES,2,FALSE),""))&amp;IF($BJ366=2," PAIR","")&amp;" DOOR | "&amp;IF($AL366="","?",$AL366)&amp;" | "&amp;IF($AO366="",IFERROR(VLOOKUP($AC366,CODES,2,FALSE),""),IFERROR(VLOOKUP($AO366,CODES,2,FALSE),""))&amp;" "&amp;IFERROR(VLOOKUP($AP366,CODES,2,FALSE),"")&amp;IF(OR($AQ366="",$AQ366="-"),""," SEAM "&amp;$AQ366)&amp;IF($AR366="Y"," ASTRAGAL","")&amp;IF($AJ366=""," "," "&amp;$AJ366)&amp;IF($AK366=""," "," "&amp;$AK366)&amp;IF(OR($AT366="",$AT366="ANSI/SDI",$AT366="CUSTOM LOC"),""," "&amp;$AT366)&amp;IF($AM366=""," "," SERIES "&amp;$AM366)&amp;" "&amp;IFERROR(VLOOKUP($H366,CODES,2,FALSE),"")&amp;IF($CT366," | LOC "&amp;$CZ366,"")))</f>
        <v/>
      </c>
      <c r="CL366" s="84">
        <f>IF(CP366="","",IF(COUNTIF($CP$6:CP366,CP366)=1,MAX($CL$5:CL365)+1,INDEX($CL$5:CL365,MATCH(CP366,$CP$5:CP365,0))))</f>
        <v/>
      </c>
      <c r="CM366" s="84">
        <f>IF(NOT(AND($A366&lt;&gt;"",$C366&lt;&gt;"DOOR ONLY")),"",MAX($CM$5:CM365)+1)</f>
        <v/>
      </c>
      <c r="CN366" s="84">
        <f>IF(NOT(AND($A366&lt;&gt;"",N($BJ366)&gt;0)),"",MAX($CN$5:CN365)+1)</f>
        <v/>
      </c>
      <c r="CO366" s="84">
        <f>IF($A366="","",MAX($CO$5:CO365)+1)</f>
        <v/>
      </c>
      <c r="CP366" s="84">
        <f>IF(OR($A366="",$BH366="",$BI366=""),"",$BG366&amp;"|"&amp;$O366&amp;"|"&amp;$AL366&amp;"|"&amp;$S366&amp;"|"&amp;$P366&amp;"|"&amp;$Q366&amp;$R366&amp;"|"&amp;$C366&amp;"|"&amp;$AB366)</f>
        <v/>
      </c>
      <c r="CQ366" s="84">
        <f>N($BS366)</f>
        <v/>
      </c>
      <c r="CR366" s="84">
        <f>IF(N($AU366)&gt;0,N($AU366),4.5)</f>
        <v/>
      </c>
      <c r="CS366" s="84">
        <f>OR($A366="",$BI366="",$S366="BL",AND($C366="FRAME ONLY",OR($AC366="",$AC366="BLK")))</f>
        <v/>
      </c>
      <c r="CT366" s="84">
        <f>AND(NOT($CS366),OR($AT366="CUSTOM LOC",N($AW366)+N($AX366)+N($AY366)+N($AZ366)+N($BA366)&gt;0))</f>
        <v/>
      </c>
      <c r="CU366" s="84">
        <f>IF($BI366="","",IF($BI366&lt;=80,80,IF($BI366&lt;=84,84,96)))</f>
        <v/>
      </c>
      <c r="CV366" s="84">
        <f>ISNUMBER(MATCH($AT366&amp;"|80",LocKeys,0))</f>
        <v/>
      </c>
      <c r="CW366" s="86">
        <f>IF($CS366,"",IF($CV366,VLOOKUP($AT366&amp;"|"&amp;$CU366,LocTable,4,FALSE),5))</f>
        <v/>
      </c>
      <c r="CX366" s="86">
        <f>IF($CS366,"",IF($CV366,IF(OR($BI366=$CU366,AND($BI366&lt;$CU366,$BI366-IF(N(VLOOKUP($AT366&amp;"|"&amp;$CU366,LocTable,7,FALSE))&gt;0,VLOOKUP($AT366&amp;"|"&amp;$CU366,LocTable,7,FALSE),VLOOKUP($AT366&amp;"|"&amp;$CU366,LocTable,6,FALSE))-$CR366-0.75&gt;=2.125)),IF(N(VLOOKUP($AT366&amp;"|"&amp;$CU366,LocTable,7,FALSE))&gt;0,VLOOKUP($AT366&amp;"|"&amp;$CU366,LocTable,7,FALSE),VLOOKUP($AT366&amp;"|"&amp;$CU366,LocTable,6,FALSE)),$BI366-($CU366-IF(N(VLOOKUP($AT366&amp;"|"&amp;$CU366,LocTable,7,FALSE))&gt;0,VLOOKUP($AT366&amp;"|"&amp;$CU366,LocTable,7,FALSE),VLOOKUP($AT366&amp;"|"&amp;$CU366,LocTable,6,FALSE)))),$BI366-10-$CR366))</f>
        <v/>
      </c>
      <c r="CY366" s="85">
        <f>IF($CS366,"",TRIM(IF(ISNUMBER($BU366),"A "&amp;TRIM(TEXT($BU366,"# ?/??"))&amp;CHAR(34)&amp;"  ","")&amp;IF(ISNUMBER($BV366),"B "&amp;TRIM(TEXT($BV366,"# ?/??"))&amp;CHAR(34)&amp;"  ","")&amp;IF(ISNUMBER($BW366),"C "&amp;TRIM(TEXT($BW366,"# ?/??"))&amp;CHAR(34)&amp;"  ","")&amp;IF(ISNUMBER($BX366),"D "&amp;TRIM(TEXT($BX366,"# ?/??"))&amp;CHAR(34)&amp;"  ","")&amp;IF(ISNUMBER($BY366),"F "&amp;TRIM(TEXT($BY366,"# ?/??"))&amp;CHAR(34)&amp;"  ","")&amp;IF(ISNUMBER($BZ366),"E "&amp;TRIM(TEXT($BZ366,"# ?/??"))&amp;CHAR(34)&amp;"  ","")))</f>
        <v/>
      </c>
      <c r="CZ366" s="85">
        <f>IF(OR($CS366,N($BJ366)=0),"",TRIM(IF(ISNUMBER($BU366),"A "&amp;TRIM(TEXT($BU366-HeadClr,"# ?/??"))&amp;CHAR(34)&amp;"  ","")&amp;IF(ISNUMBER($BV366),"B "&amp;TRIM(TEXT($BV366-HeadClr,"# ?/??"))&amp;CHAR(34)&amp;"  ","")&amp;IF(ISNUMBER($BW366),"C "&amp;TRIM(TEXT($BW366-HeadClr,"# ?/??"))&amp;CHAR(34)&amp;"  ","")&amp;IF(ISNUMBER($BX366),"D "&amp;TRIM(TEXT($BX366-HeadClr,"# ?/??"))&amp;CHAR(34)&amp;"  ","")&amp;IF(ISNUMBER($BY366),"F "&amp;TRIM(TEXT($BY366-HeadClr,"# ?/??"))&amp;CHAR(34)&amp;"  ","")&amp;IF(ISNUMBER($BZ366),"E "&amp;TRIM(TEXT($BZ366-HeadClr,"# ?/??"))&amp;CHAR(34)&amp;"  ","")))</f>
        <v/>
      </c>
      <c r="DA366" s="84">
        <f>IF($A366="","",IF($AN366="",IFERROR(VLOOKUP($Z366,CODES,2,FALSE),""),IFERROR(VLOOKUP($AN366,CODES,2,FALSE),"")))</f>
        <v/>
      </c>
      <c r="DB366" s="84">
        <f>IF($A366="","",IF($O366="Y","PR",IF(OR($Z366="L",$Z366="RR",LEFT($Z366,2)="L-",LEFT($Z366,3)="RR-"),"LH","RH")))</f>
        <v/>
      </c>
      <c r="DC366" s="84">
        <f>IF($A366="","","S.HM"&amp;IF(OR($C366="DOOR ONLY",$X366&lt;&gt;"KD"),"MASONRY","DRYWALL")&amp;IF($C366="DOOR ONLY","",$U366)&amp;IF(AND($C366&lt;&gt;"FRAME ONLY",OR(LEFT($AH366,3)="OAK",LEFT($AH366,3)="BIR",LEFT($AH366,3)="MAP",$AH366="PC",$AH366="MC",$AH366="SCLC",$AH366="P-LAM")),"WD","HM")&amp;"1.75")</f>
        <v/>
      </c>
      <c r="DD366" s="84">
        <f>IF($CJ366="","",IF($O366="Y",$CJ366,SUBSTITUTE($CJ366,$BG366&amp;" "&amp;IFERROR(VLOOKUP($Z366,CODES,2,FALSE),"")&amp;" ",$BG366&amp;" ")))</f>
        <v/>
      </c>
      <c r="DE366" s="84">
        <f>IF($CK366="","",IF($O366="Y",$CK366,SUBSTITUTE($CK366,$BG366&amp;" "&amp;IF($AN366="",IFERROR(VLOOKUP($Z366,CODES,2,FALSE),""),IFERROR(VLOOKUP($AN366,CODES,2,FALSE),""))&amp;" ",$BG366&amp;" ")))</f>
        <v/>
      </c>
      <c r="DF366" s="84">
        <f>IF($CJ366="","",$DC366&amp;"|"&amp;$DD366&amp;"|"&amp;$DB366&amp;"|"&amp;$AT366&amp;"|"&amp;$V366&amp;"|"&amp;$Y366&amp;"|"&amp;$AB366)</f>
        <v/>
      </c>
      <c r="DG366" s="84">
        <f>IF(DF366="","",IF(COUNTIF($DF$6:DF366,DF366)=1,MAX($DG$5:DG365)+1,INDEX($DG$5:DG365,MATCH(DF366,$DF$5:DF365,0))))</f>
        <v/>
      </c>
      <c r="DH366" s="84">
        <f>IF($CK366="","",$DC366&amp;"|"&amp;$DE366&amp;"|"&amp;$AI366&amp;"|"&amp;$BK366&amp;"|"&amp;$BL366)</f>
        <v/>
      </c>
      <c r="DI366" s="84">
        <f>IF(DH366="","",IF(COUNTIF($DH$6:DH366,DH366)=1,MAX($DI$5:DI365)+1,INDEX($DI$5:DI365,MATCH(DH366,$DH$5:DH365,0))))</f>
        <v/>
      </c>
      <c r="DJ366" s="84">
        <f>IF($A366="","",IF($B366="","qty, ","")&amp;IF($C366="","scope, ","")&amp;IF(OR($K366="",$M366=""),"size, ","")&amp;IF(AND($A366&lt;&gt;"",$C366&lt;&gt;"DOOR ONLY"),IF($U366="","jamb depth, ","")&amp;IF($X366="","construction, ","")&amp;IF($Y366="","anchor, ","")&amp;IF($S366="","frame type, ",""),"")&amp;IF(AND(N($BJ366)&gt;0,$Z366=""),"hand, ","")&amp;IF(N($BJ366)&gt;0,IF($AH366="","door material, ","")&amp;IF($AL366="","face type, ","")&amp;IF($AP366="","lock prep, ","")&amp;IF(AND($AO366="",$AC366=""),"hinge prep, ",""),"")&amp;IF(AND($CH366&gt;0,$AH366="FRP"),"FRP cannot carry a label, ","")&amp;IF(AND($O366="Y",OR($Z366="L",$Z366="R",$Z366="LR",$Z366="RR")),"pair marked but hand is single, ","")&amp;IF(AND($O366&lt;&gt;"Y",OR($Z366="PR",AND(LEN($Z366)&gt;1,ISNUMBER(SEARCH("-",$Z366))))),"pair hand on a single door, ","")&amp;IF(AND(ISNUMBER($CI366),$CH366&lt;N($CI366)),"wall needs a "&amp;$CI366&amp;" min door, ","")&amp;IF(AND($CH366&gt;=180,AND(OR($CE366="FG",$CE366="HG",$CE366="FNV",$CE366="FV"),N($CF366)*N($CG366)&gt;100)),"180 min lite over 100 sq in, ","")&amp;IF(N($BK366)&gt;48,"leaf wider than 4'-0"&amp;CHAR(34)&amp;", ","")&amp;IF(AND($CT366,COUNT($AW366:$AZ366)=0,$CQ366&gt;0),"CUSTOM LOC with no locations typed, ",""))</f>
        <v/>
      </c>
      <c r="DK366" s="84">
        <f>IF($A366="","",IF(AND($CH366&gt;0,AND($A366&lt;&gt;"",$C366&lt;&gt;"DOOR ONLY"),$X366="KD",$E366="EXTERIOR"),"KD label on an exterior opening, ","")&amp;IF(AND($E366="EXTERIOR",OR(AND(AND($A366&lt;&gt;"",$C366&lt;&gt;"DOOR ONLY"),$W366="CR"),AND(N($BJ366)&gt;0,$AH366="CR"))),"exterior in CR steel (G9?), ","")&amp;IF(AND(ISNUMBER($BQ366),N($BQ366)&lt;32),"clear width ~"&amp;TEXT($BQ366,"0.0")&amp;CHAR(34)&amp;" under 32"&amp;CHAR(34)&amp;" (ADA), ","")&amp;IF(AND($CH366=90,AND(OR($CE366="FG",$CE366="HG",$CE366="FNV",$CE366="FV"),N($CF366)*N($CG366)&gt;100)),"90 min lite over 100 sq in (stair/exit), ","")&amp;IF(AND($CH366&gt;0,AND($A366&lt;&gt;"",$C366&lt;&gt;"DOOR ONLY"),OR($AF366="",$AF366="-")),"rated: closer reinf.?, ","")&amp;IF(OR($I366="CORRIDOR",$I366="SMOKE BARRIER"),"S label + smoke gasketing, ","")&amp;IF($CI366="?","wall type/hr not in IBC table, ","")&amp;IF(AND(N($BJ366)&gt;0,$BB366=""),"no hardware set, ","")&amp;IF(AND($BB366&lt;&gt;"",ISNA(MATCH($BB366&amp;"",HWSets,0))),"set "&amp;$BB366&amp;" not on HW Sets, ","")&amp;IF(N($BL366)&gt;96,"leaf over 8'-0"&amp;CHAR(34)&amp;" - check listing, ","")&amp;IF(AND($CT366,COUNT($AW366:$AZ366)&gt;0,COUNT($AW366:$AZ366)&lt;&gt;$CQ366),COUNT($AW366:$AZ366)&amp;" custom hinges typed, "&amp;$CQ366&amp;" expected, ","")&amp;IF(AND(ISNUMBER($CA366),OR(N($CA366)&lt;34,N($CA366)&gt;48)),"lock "&amp;TEXT($CA366,"0.0")&amp;CHAR(34)&amp;" AFF outside 34-48"&amp;CHAR(34)&amp;" (ADA), ","")&amp;IF(AND(ISNUMBER($AV366),ISNUMBER($BL366),N($AV366)&lt;IF(N($BL366)&lt;=60,2,IF(N($BL366)&lt;=90,3,IF(N($BL366)&lt;=120,4,5)))),"fewer hinges than standard, ",""))</f>
        <v/>
      </c>
    </row>
    <row r="367" ht="15" customHeight="1">
      <c r="A367" s="77" t="n"/>
      <c r="B367" s="78" t="n"/>
      <c r="C367" s="78" t="n"/>
      <c r="D367" s="78" t="n"/>
      <c r="E367" s="78" t="n"/>
      <c r="F367" s="78" t="n"/>
      <c r="G367" s="78" t="n"/>
      <c r="H367" s="78" t="n"/>
      <c r="I367" s="78" t="n"/>
      <c r="J367" s="78" t="n"/>
      <c r="K367" s="78" t="n"/>
      <c r="L367" s="78" t="n"/>
      <c r="M367" s="78" t="n"/>
      <c r="N367" s="78" t="n"/>
      <c r="O367" s="78" t="n"/>
      <c r="P367" s="78" t="n"/>
      <c r="Q367" s="78" t="n"/>
      <c r="R367" s="78" t="n"/>
      <c r="S367" s="79" t="n"/>
      <c r="T367" s="79" t="n"/>
      <c r="U367" s="79" t="n"/>
      <c r="V367" s="79" t="n"/>
      <c r="W367" s="79" t="n"/>
      <c r="X367" s="79" t="n"/>
      <c r="Y367" s="79" t="n"/>
      <c r="Z367" s="79" t="n"/>
      <c r="AA367" s="79" t="n"/>
      <c r="AB367" s="79" t="n"/>
      <c r="AC367" s="79" t="n"/>
      <c r="AD367" s="79" t="n"/>
      <c r="AE367" s="79" t="n"/>
      <c r="AF367" s="79" t="n"/>
      <c r="AG367" s="79" t="n"/>
      <c r="AH367" s="80" t="n"/>
      <c r="AI367" s="80" t="n"/>
      <c r="AJ367" s="80" t="n"/>
      <c r="AK367" s="80" t="n"/>
      <c r="AL367" s="80" t="n"/>
      <c r="AM367" s="80" t="n"/>
      <c r="AN367" s="80" t="n"/>
      <c r="AO367" s="80" t="n"/>
      <c r="AP367" s="80" t="n"/>
      <c r="AQ367" s="80" t="n"/>
      <c r="AR367" s="80" t="n"/>
      <c r="AS367" s="80" t="n"/>
      <c r="AT367" s="81" t="n"/>
      <c r="AU367" s="81" t="n"/>
      <c r="AV367" s="81" t="n"/>
      <c r="AW367" s="82" t="n"/>
      <c r="AX367" s="82" t="n"/>
      <c r="AY367" s="82" t="n"/>
      <c r="AZ367" s="82" t="n"/>
      <c r="BA367" s="82" t="n"/>
      <c r="BB367" s="83" t="n"/>
      <c r="BC367" s="83" t="n"/>
      <c r="BD367" s="84">
        <f>IF($A367="","",IF($DJ367&lt;&gt;"","FIX",IF($DK367&lt;&gt;"","CHECK","OK")))</f>
        <v/>
      </c>
      <c r="BE367" s="85">
        <f>IF($A367="","",IF($DJ367&lt;&gt;"","FIX: "&amp;LEFT($DJ367,LEN($DJ367)-2)&amp;IF($DK367&lt;&gt;"","  ·  ",""),"")&amp;IF($DK367&lt;&gt;"","CHECK: "&amp;LEFT($DK367,LEN($DK367)-2),""))</f>
        <v/>
      </c>
      <c r="BF367" s="84">
        <f>IF(OR($A367="",$K367=""),"",$K367&amp;"'-"&amp;N($L367)&amp;CHAR(34)&amp;" x "&amp;$M367&amp;"'-"&amp;N($N367)&amp;CHAR(34))</f>
        <v/>
      </c>
      <c r="BG367" s="84">
        <f>IF(OR($A367="",$K367=""),"",$K367&amp;N($L367)&amp;$M367&amp;N($N367))</f>
        <v/>
      </c>
      <c r="BH367" s="84">
        <f>IF(OR($A367="",$K367=""),"",$K367*12+N($L367))</f>
        <v/>
      </c>
      <c r="BI367" s="84">
        <f>IF(OR($A367="",$M367=""),"",$M367*12+N($N367))</f>
        <v/>
      </c>
      <c r="BJ367" s="84">
        <f>IF($A367="","",IF(OR($C367="FRAME ONLY",$S367="BL"),0,IF($O367="Y",2,1)))</f>
        <v/>
      </c>
      <c r="BK367" s="86">
        <f>IF(OR(N($BJ367)=0,$BH367=""),"",($BH367-2*EdgeClr-IF($BJ367=2,MeetClr,0))/$BJ367)</f>
        <v/>
      </c>
      <c r="BL367" s="86">
        <f>IF(OR(N($BJ367)=0,$BI367=""),"",$BI367-HeadClr-Undercut)</f>
        <v/>
      </c>
      <c r="BM367" s="86">
        <f>IF($BH367="","",$BH367+2*FaceW+IF(N($Q367)&gt;0,($Q367+FaceW)*IF($R367="LR",2,1),0))</f>
        <v/>
      </c>
      <c r="BN367" s="86">
        <f>IF($BI367="","",$BI367+IF($AB367="Y",4,FaceW)+IF(N($P367)&gt;0,$P367+FaceW,0)+IF(OR($S367="4F",$S367="BL"),FaceW,0))</f>
        <v/>
      </c>
      <c r="BO367" s="86">
        <f>IF($BM367="","",$BM367+2*ROSide)</f>
        <v/>
      </c>
      <c r="BP367" s="86">
        <f>IF($BN367="","",$BN367+ROTop)</f>
        <v/>
      </c>
      <c r="BQ367" s="87">
        <f>IF(OR(N($BJ367)=0,$BH367=""),"",$BH367/$BJ367-ClearDeduct)</f>
        <v/>
      </c>
      <c r="BR367" s="84">
        <f>IF(N($CH367)=0,"",IF($CH367&gt;=180,"A · 3 HR",IF($CH367&gt;=90,"B · 1-1/2 HR",IF($CH367&gt;=60,"B · 1 HR",IF($CH367&gt;=45,"C · 3/4 HR","20 MIN")))))&amp;IF(AND(N($CH367)&gt;0,OR($I367="CORRIDOR",$I367="SMOKE BARRIER"))," · S","")</f>
        <v/>
      </c>
      <c r="BS367" s="84">
        <f>IF($CS367,"",IF($AV367&lt;&gt;"",$AV367,IF(OR($AC367="HGC",$AO367="HGC"),"CONT",IF(($BI367-HeadClr-Undercut)&lt;=60,2,IF(($BI367-HeadClr-Undercut)&lt;=90,3,IF(($BI367-HeadClr-Undercut)&lt;=120,4,5))))))</f>
        <v/>
      </c>
      <c r="BT367" s="84">
        <f>IF($CS367,"",IF($CT367,"CUSTOM (typed)",IF($CV367,$AT367&amp;" "&amp;$CU367&amp;CHAR(34)&amp;IF($CU367&lt;&gt;$BI367,IF(AND($BI367&lt;$CU367,$BI367-IF(N(VLOOKUP($AT367&amp;"|"&amp;$CU367,LocTable,7,FALSE))&gt;0,VLOOKUP($AT367&amp;"|"&amp;$CU367,LocTable,7,FALSE),VLOOKUP($AT367&amp;"|"&amp;$CU367,LocTable,6,FALSE))-$CR367-0.75&gt;=2.125)," cut down"," adj."),""),"ANSI/SDI A250.6")))</f>
        <v/>
      </c>
      <c r="BU367" s="88">
        <f>IF($CS367,"",IF($CT367,IF(N($AW367)&gt;0,N($AW367),""),IF(1&gt;$CQ367,"",IF($CQ367=1,$CW367,$CW367+($CX367-$CW367)*0/($CQ367-1)))))</f>
        <v/>
      </c>
      <c r="BV367" s="88">
        <f>IF($CS367,"",IF($CT367,IF(N($AX367)&gt;0,N($AX367),""),IF(2&gt;$CQ367,"",IF($CQ367=1,$CW367,$CW367+($CX367-$CW367)*1/($CQ367-1)))))</f>
        <v/>
      </c>
      <c r="BW367" s="88">
        <f>IF($CS367,"",IF($CT367,IF(N($AY367)&gt;0,N($AY367),""),IF(3&gt;$CQ367,"",IF($CQ367=1,$CW367,$CW367+($CX367-$CW367)*2/($CQ367-1)))))</f>
        <v/>
      </c>
      <c r="BX367" s="88">
        <f>IF($CS367,"",IF($CT367,IF(N($AZ367)&gt;0,N($AZ367),""),IF(4&gt;$CQ367,"",IF($CQ367=1,$CW367,$CW367+($CX367-$CW367)*3/($CQ367-1)))))</f>
        <v/>
      </c>
      <c r="BY367" s="88">
        <f>IF($CS367,"",IF($CT367,"",IF(5&gt;$CQ367,"",IF($CQ367=1,$CW367,$CW367+($CX367-$CW367)*4/($CQ367-1)))))</f>
        <v/>
      </c>
      <c r="BZ367" s="88">
        <f>IF(OR($CS367,$AP367="-",AND($AP367="",$AD367="")),"",IF(N($BA367)&gt;0,N($BA367),IF($CV367,IF(AND($BI367&lt;$CU367,$BI367-IF(N(VLOOKUP($AT367&amp;"|"&amp;$CU367,LocTable,7,FALSE))&gt;0,VLOOKUP($AT367&amp;"|"&amp;$CU367,LocTable,7,FALSE),VLOOKUP($AT367&amp;"|"&amp;$CU367,LocTable,6,FALSE))-$CR367-0.75&gt;=2.125),VLOOKUP($AT367&amp;"|"&amp;$CU367,LocTable,8,FALSE),VLOOKUP($AT367&amp;"|"&amp;$CU367,LocTable,8,FALSE)+($BI367-$CU367)),$BI367-LockAFF)))</f>
        <v/>
      </c>
      <c r="CA367" s="89">
        <f>IF($BZ367="","",$BI367-$BZ367)</f>
        <v/>
      </c>
      <c r="CB367" s="84">
        <f>IF(OR(NOT(AND($A367&lt;&gt;"",$C367&lt;&gt;"DOOR ONLY")),$BI367=""),"",IF(($BI367+IF(N($P367)&gt;0,$P367+FaceW,0))&lt;=90,3,IF(($BI367+IF(N($P367)&gt;0,$P367+FaceW,0))&lt;=114,4,5)))</f>
        <v/>
      </c>
      <c r="CC367" s="84">
        <f>IF($CB367="","",$CB367*(2+IF(N($Q367)&gt;0,IF($R367="LR",2,1),0)))</f>
        <v/>
      </c>
      <c r="CD367" s="84">
        <f>IF($CB367="","",(2+IF(N($Q367)&gt;0,IF($R367="LR",2,1),0)))</f>
        <v/>
      </c>
      <c r="CE367" s="84">
        <f>IF(N($BJ367)=0,"",IF(OR($AL367="",$AL367="FLUSH"),"FLUSH",IFERROR(LEFT($AL367,FIND("-",$AL367)-1),LEFT($AL367,2))))</f>
        <v/>
      </c>
      <c r="CF367" s="84">
        <f>IF($CE367="","",IFERROR(VALUE(MID($AL367,FIND("-",$AL367)+1,FIND(CHAR(34)&amp;"x",$AL367)-FIND("-",$AL367)-1)),0))</f>
        <v/>
      </c>
      <c r="CG367" s="84">
        <f>IF($CE367="","",IFERROR(VALUE(MID($AL367,FIND(CHAR(34)&amp;"x",$AL367)+2,FIND(CHAR(34),$AL367,FIND(CHAR(34)&amp;"x",$AL367)+2)-FIND(CHAR(34)&amp;"x",$AL367)-2)),0))</f>
        <v/>
      </c>
      <c r="CH367" s="90">
        <f>IF(OR($A367="",$H367="",$H367="NO LAB"),0,IFERROR(VALUE(LEFT($H367,FIND(" ",$H367)-1)),0))</f>
        <v/>
      </c>
      <c r="CI367" s="91">
        <f>IF(OR($A367="",$I367="",$I367="NON-RATED",N($J367)=0),"",IFERROR(VLOOKUP($I367&amp;"|"&amp;$J367,IBC,2,FALSE),"?"))</f>
        <v/>
      </c>
      <c r="CJ367" s="85">
        <f>IF(NOT(AND($A367&lt;&gt;"",$C367&lt;&gt;"DOOR ONLY")),"",TRIM(IFERROR(VLOOKUP($U367,CODES,2,FALSE),"")&amp;" "&amp;$BG367&amp;" "&amp;IFERROR(VLOOKUP($Z367,CODES,2,FALSE),"")&amp;" "&amp;IFERROR(VLOOKUP($X367,CODES,2,FALSE),"")&amp;" "&amp;IFERROR(VLOOKUP($S367,CODES,2,FALSE),"")&amp;IF(N($P367)&gt;0," w/TRANSOM "&amp;$P367&amp;CHAR(34),"")&amp;IF(N($Q367)&gt;0," w/SIDELITE "&amp;$Q367&amp;CHAR(34)&amp;" "&amp;IF($R367="","R",$R367),"")&amp;IF($Y367="","  |  "," | "&amp;IFERROR(VLOOKUP($Y367,CODES,2,FALSE),"")&amp;" | ")&amp;IFERROR(VLOOKUP($AC367,CODES,2,FALSE),"")&amp;" "&amp;IFERROR(VLOOKUP($AD367,CODES,2,FALSE),"")&amp;IF(OR($AE367="",$AE367="-"),""," "&amp;$AE367)&amp;IF(OR($AF367="",$AF367="-"),""," "&amp;$AF367)&amp;IF($AB367="Y"," 4"&amp;CHAR(34)&amp;" HEAD","")&amp;" "&amp;IFERROR(VLOOKUP($H367,CODES,2,FALSE),"")&amp;IF($CT367," | LOC "&amp;$CY367,"")))</f>
        <v/>
      </c>
      <c r="CK367" s="85">
        <f>IF(NOT(AND($A367&lt;&gt;"",N($BJ367)&gt;0)),"",TRIM(IFERROR(VLOOKUP($AH367,CODES,2,FALSE),"")&amp;IF($AI367=""," "," "&amp;$AI367&amp;"GA ")&amp;$BG367&amp;" "&amp;IF($AN367="",IFERROR(VLOOKUP($Z367,CODES,2,FALSE),""),IFERROR(VLOOKUP($AN367,CODES,2,FALSE),""))&amp;IF($BJ367=2," PAIR","")&amp;" DOOR | "&amp;IF($AL367="","?",$AL367)&amp;" | "&amp;IF($AO367="",IFERROR(VLOOKUP($AC367,CODES,2,FALSE),""),IFERROR(VLOOKUP($AO367,CODES,2,FALSE),""))&amp;" "&amp;IFERROR(VLOOKUP($AP367,CODES,2,FALSE),"")&amp;IF(OR($AQ367="",$AQ367="-"),""," SEAM "&amp;$AQ367)&amp;IF($AR367="Y"," ASTRAGAL","")&amp;IF($AJ367=""," "," "&amp;$AJ367)&amp;IF($AK367=""," "," "&amp;$AK367)&amp;IF(OR($AT367="",$AT367="ANSI/SDI",$AT367="CUSTOM LOC"),""," "&amp;$AT367)&amp;IF($AM367=""," "," SERIES "&amp;$AM367)&amp;" "&amp;IFERROR(VLOOKUP($H367,CODES,2,FALSE),"")&amp;IF($CT367," | LOC "&amp;$CZ367,"")))</f>
        <v/>
      </c>
      <c r="CL367" s="84">
        <f>IF(CP367="","",IF(COUNTIF($CP$6:CP367,CP367)=1,MAX($CL$5:CL366)+1,INDEX($CL$5:CL366,MATCH(CP367,$CP$5:CP366,0))))</f>
        <v/>
      </c>
      <c r="CM367" s="84">
        <f>IF(NOT(AND($A367&lt;&gt;"",$C367&lt;&gt;"DOOR ONLY")),"",MAX($CM$5:CM366)+1)</f>
        <v/>
      </c>
      <c r="CN367" s="84">
        <f>IF(NOT(AND($A367&lt;&gt;"",N($BJ367)&gt;0)),"",MAX($CN$5:CN366)+1)</f>
        <v/>
      </c>
      <c r="CO367" s="84">
        <f>IF($A367="","",MAX($CO$5:CO366)+1)</f>
        <v/>
      </c>
      <c r="CP367" s="84">
        <f>IF(OR($A367="",$BH367="",$BI367=""),"",$BG367&amp;"|"&amp;$O367&amp;"|"&amp;$AL367&amp;"|"&amp;$S367&amp;"|"&amp;$P367&amp;"|"&amp;$Q367&amp;$R367&amp;"|"&amp;$C367&amp;"|"&amp;$AB367)</f>
        <v/>
      </c>
      <c r="CQ367" s="84">
        <f>N($BS367)</f>
        <v/>
      </c>
      <c r="CR367" s="84">
        <f>IF(N($AU367)&gt;0,N($AU367),4.5)</f>
        <v/>
      </c>
      <c r="CS367" s="84">
        <f>OR($A367="",$BI367="",$S367="BL",AND($C367="FRAME ONLY",OR($AC367="",$AC367="BLK")))</f>
        <v/>
      </c>
      <c r="CT367" s="84">
        <f>AND(NOT($CS367),OR($AT367="CUSTOM LOC",N($AW367)+N($AX367)+N($AY367)+N($AZ367)+N($BA367)&gt;0))</f>
        <v/>
      </c>
      <c r="CU367" s="84">
        <f>IF($BI367="","",IF($BI367&lt;=80,80,IF($BI367&lt;=84,84,96)))</f>
        <v/>
      </c>
      <c r="CV367" s="84">
        <f>ISNUMBER(MATCH($AT367&amp;"|80",LocKeys,0))</f>
        <v/>
      </c>
      <c r="CW367" s="86">
        <f>IF($CS367,"",IF($CV367,VLOOKUP($AT367&amp;"|"&amp;$CU367,LocTable,4,FALSE),5))</f>
        <v/>
      </c>
      <c r="CX367" s="86">
        <f>IF($CS367,"",IF($CV367,IF(OR($BI367=$CU367,AND($BI367&lt;$CU367,$BI367-IF(N(VLOOKUP($AT367&amp;"|"&amp;$CU367,LocTable,7,FALSE))&gt;0,VLOOKUP($AT367&amp;"|"&amp;$CU367,LocTable,7,FALSE),VLOOKUP($AT367&amp;"|"&amp;$CU367,LocTable,6,FALSE))-$CR367-0.75&gt;=2.125)),IF(N(VLOOKUP($AT367&amp;"|"&amp;$CU367,LocTable,7,FALSE))&gt;0,VLOOKUP($AT367&amp;"|"&amp;$CU367,LocTable,7,FALSE),VLOOKUP($AT367&amp;"|"&amp;$CU367,LocTable,6,FALSE)),$BI367-($CU367-IF(N(VLOOKUP($AT367&amp;"|"&amp;$CU367,LocTable,7,FALSE))&gt;0,VLOOKUP($AT367&amp;"|"&amp;$CU367,LocTable,7,FALSE),VLOOKUP($AT367&amp;"|"&amp;$CU367,LocTable,6,FALSE)))),$BI367-10-$CR367))</f>
        <v/>
      </c>
      <c r="CY367" s="85">
        <f>IF($CS367,"",TRIM(IF(ISNUMBER($BU367),"A "&amp;TRIM(TEXT($BU367,"# ?/??"))&amp;CHAR(34)&amp;"  ","")&amp;IF(ISNUMBER($BV367),"B "&amp;TRIM(TEXT($BV367,"# ?/??"))&amp;CHAR(34)&amp;"  ","")&amp;IF(ISNUMBER($BW367),"C "&amp;TRIM(TEXT($BW367,"# ?/??"))&amp;CHAR(34)&amp;"  ","")&amp;IF(ISNUMBER($BX367),"D "&amp;TRIM(TEXT($BX367,"# ?/??"))&amp;CHAR(34)&amp;"  ","")&amp;IF(ISNUMBER($BY367),"F "&amp;TRIM(TEXT($BY367,"# ?/??"))&amp;CHAR(34)&amp;"  ","")&amp;IF(ISNUMBER($BZ367),"E "&amp;TRIM(TEXT($BZ367,"# ?/??"))&amp;CHAR(34)&amp;"  ","")))</f>
        <v/>
      </c>
      <c r="CZ367" s="85">
        <f>IF(OR($CS367,N($BJ367)=0),"",TRIM(IF(ISNUMBER($BU367),"A "&amp;TRIM(TEXT($BU367-HeadClr,"# ?/??"))&amp;CHAR(34)&amp;"  ","")&amp;IF(ISNUMBER($BV367),"B "&amp;TRIM(TEXT($BV367-HeadClr,"# ?/??"))&amp;CHAR(34)&amp;"  ","")&amp;IF(ISNUMBER($BW367),"C "&amp;TRIM(TEXT($BW367-HeadClr,"# ?/??"))&amp;CHAR(34)&amp;"  ","")&amp;IF(ISNUMBER($BX367),"D "&amp;TRIM(TEXT($BX367-HeadClr,"# ?/??"))&amp;CHAR(34)&amp;"  ","")&amp;IF(ISNUMBER($BY367),"F "&amp;TRIM(TEXT($BY367-HeadClr,"# ?/??"))&amp;CHAR(34)&amp;"  ","")&amp;IF(ISNUMBER($BZ367),"E "&amp;TRIM(TEXT($BZ367-HeadClr,"# ?/??"))&amp;CHAR(34)&amp;"  ","")))</f>
        <v/>
      </c>
      <c r="DA367" s="84">
        <f>IF($A367="","",IF($AN367="",IFERROR(VLOOKUP($Z367,CODES,2,FALSE),""),IFERROR(VLOOKUP($AN367,CODES,2,FALSE),"")))</f>
        <v/>
      </c>
      <c r="DB367" s="84">
        <f>IF($A367="","",IF($O367="Y","PR",IF(OR($Z367="L",$Z367="RR",LEFT($Z367,2)="L-",LEFT($Z367,3)="RR-"),"LH","RH")))</f>
        <v/>
      </c>
      <c r="DC367" s="84">
        <f>IF($A367="","","S.HM"&amp;IF(OR($C367="DOOR ONLY",$X367&lt;&gt;"KD"),"MASONRY","DRYWALL")&amp;IF($C367="DOOR ONLY","",$U367)&amp;IF(AND($C367&lt;&gt;"FRAME ONLY",OR(LEFT($AH367,3)="OAK",LEFT($AH367,3)="BIR",LEFT($AH367,3)="MAP",$AH367="PC",$AH367="MC",$AH367="SCLC",$AH367="P-LAM")),"WD","HM")&amp;"1.75")</f>
        <v/>
      </c>
      <c r="DD367" s="84">
        <f>IF($CJ367="","",IF($O367="Y",$CJ367,SUBSTITUTE($CJ367,$BG367&amp;" "&amp;IFERROR(VLOOKUP($Z367,CODES,2,FALSE),"")&amp;" ",$BG367&amp;" ")))</f>
        <v/>
      </c>
      <c r="DE367" s="84">
        <f>IF($CK367="","",IF($O367="Y",$CK367,SUBSTITUTE($CK367,$BG367&amp;" "&amp;IF($AN367="",IFERROR(VLOOKUP($Z367,CODES,2,FALSE),""),IFERROR(VLOOKUP($AN367,CODES,2,FALSE),""))&amp;" ",$BG367&amp;" ")))</f>
        <v/>
      </c>
      <c r="DF367" s="84">
        <f>IF($CJ367="","",$DC367&amp;"|"&amp;$DD367&amp;"|"&amp;$DB367&amp;"|"&amp;$AT367&amp;"|"&amp;$V367&amp;"|"&amp;$Y367&amp;"|"&amp;$AB367)</f>
        <v/>
      </c>
      <c r="DG367" s="84">
        <f>IF(DF367="","",IF(COUNTIF($DF$6:DF367,DF367)=1,MAX($DG$5:DG366)+1,INDEX($DG$5:DG366,MATCH(DF367,$DF$5:DF366,0))))</f>
        <v/>
      </c>
      <c r="DH367" s="84">
        <f>IF($CK367="","",$DC367&amp;"|"&amp;$DE367&amp;"|"&amp;$AI367&amp;"|"&amp;$BK367&amp;"|"&amp;$BL367)</f>
        <v/>
      </c>
      <c r="DI367" s="84">
        <f>IF(DH367="","",IF(COUNTIF($DH$6:DH367,DH367)=1,MAX($DI$5:DI366)+1,INDEX($DI$5:DI366,MATCH(DH367,$DH$5:DH366,0))))</f>
        <v/>
      </c>
      <c r="DJ367" s="84">
        <f>IF($A367="","",IF($B367="","qty, ","")&amp;IF($C367="","scope, ","")&amp;IF(OR($K367="",$M367=""),"size, ","")&amp;IF(AND($A367&lt;&gt;"",$C367&lt;&gt;"DOOR ONLY"),IF($U367="","jamb depth, ","")&amp;IF($X367="","construction, ","")&amp;IF($Y367="","anchor, ","")&amp;IF($S367="","frame type, ",""),"")&amp;IF(AND(N($BJ367)&gt;0,$Z367=""),"hand, ","")&amp;IF(N($BJ367)&gt;0,IF($AH367="","door material, ","")&amp;IF($AL367="","face type, ","")&amp;IF($AP367="","lock prep, ","")&amp;IF(AND($AO367="",$AC367=""),"hinge prep, ",""),"")&amp;IF(AND($CH367&gt;0,$AH367="FRP"),"FRP cannot carry a label, ","")&amp;IF(AND($O367="Y",OR($Z367="L",$Z367="R",$Z367="LR",$Z367="RR")),"pair marked but hand is single, ","")&amp;IF(AND($O367&lt;&gt;"Y",OR($Z367="PR",AND(LEN($Z367)&gt;1,ISNUMBER(SEARCH("-",$Z367))))),"pair hand on a single door, ","")&amp;IF(AND(ISNUMBER($CI367),$CH367&lt;N($CI367)),"wall needs a "&amp;$CI367&amp;" min door, ","")&amp;IF(AND($CH367&gt;=180,AND(OR($CE367="FG",$CE367="HG",$CE367="FNV",$CE367="FV"),N($CF367)*N($CG367)&gt;100)),"180 min lite over 100 sq in, ","")&amp;IF(N($BK367)&gt;48,"leaf wider than 4'-0"&amp;CHAR(34)&amp;", ","")&amp;IF(AND($CT367,COUNT($AW367:$AZ367)=0,$CQ367&gt;0),"CUSTOM LOC with no locations typed, ",""))</f>
        <v/>
      </c>
      <c r="DK367" s="84">
        <f>IF($A367="","",IF(AND($CH367&gt;0,AND($A367&lt;&gt;"",$C367&lt;&gt;"DOOR ONLY"),$X367="KD",$E367="EXTERIOR"),"KD label on an exterior opening, ","")&amp;IF(AND($E367="EXTERIOR",OR(AND(AND($A367&lt;&gt;"",$C367&lt;&gt;"DOOR ONLY"),$W367="CR"),AND(N($BJ367)&gt;0,$AH367="CR"))),"exterior in CR steel (G9?), ","")&amp;IF(AND(ISNUMBER($BQ367),N($BQ367)&lt;32),"clear width ~"&amp;TEXT($BQ367,"0.0")&amp;CHAR(34)&amp;" under 32"&amp;CHAR(34)&amp;" (ADA), ","")&amp;IF(AND($CH367=90,AND(OR($CE367="FG",$CE367="HG",$CE367="FNV",$CE367="FV"),N($CF367)*N($CG367)&gt;100)),"90 min lite over 100 sq in (stair/exit), ","")&amp;IF(AND($CH367&gt;0,AND($A367&lt;&gt;"",$C367&lt;&gt;"DOOR ONLY"),OR($AF367="",$AF367="-")),"rated: closer reinf.?, ","")&amp;IF(OR($I367="CORRIDOR",$I367="SMOKE BARRIER"),"S label + smoke gasketing, ","")&amp;IF($CI367="?","wall type/hr not in IBC table, ","")&amp;IF(AND(N($BJ367)&gt;0,$BB367=""),"no hardware set, ","")&amp;IF(AND($BB367&lt;&gt;"",ISNA(MATCH($BB367&amp;"",HWSets,0))),"set "&amp;$BB367&amp;" not on HW Sets, ","")&amp;IF(N($BL367)&gt;96,"leaf over 8'-0"&amp;CHAR(34)&amp;" - check listing, ","")&amp;IF(AND($CT367,COUNT($AW367:$AZ367)&gt;0,COUNT($AW367:$AZ367)&lt;&gt;$CQ367),COUNT($AW367:$AZ367)&amp;" custom hinges typed, "&amp;$CQ367&amp;" expected, ","")&amp;IF(AND(ISNUMBER($CA367),OR(N($CA367)&lt;34,N($CA367)&gt;48)),"lock "&amp;TEXT($CA367,"0.0")&amp;CHAR(34)&amp;" AFF outside 34-48"&amp;CHAR(34)&amp;" (ADA), ","")&amp;IF(AND(ISNUMBER($AV367),ISNUMBER($BL367),N($AV367)&lt;IF(N($BL367)&lt;=60,2,IF(N($BL367)&lt;=90,3,IF(N($BL367)&lt;=120,4,5)))),"fewer hinges than standard, ",""))</f>
        <v/>
      </c>
    </row>
    <row r="368" ht="15" customHeight="1">
      <c r="A368" s="77" t="n"/>
      <c r="B368" s="78" t="n"/>
      <c r="C368" s="78" t="n"/>
      <c r="D368" s="78" t="n"/>
      <c r="E368" s="78" t="n"/>
      <c r="F368" s="78" t="n"/>
      <c r="G368" s="78" t="n"/>
      <c r="H368" s="78" t="n"/>
      <c r="I368" s="78" t="n"/>
      <c r="J368" s="78" t="n"/>
      <c r="K368" s="78" t="n"/>
      <c r="L368" s="78" t="n"/>
      <c r="M368" s="78" t="n"/>
      <c r="N368" s="78" t="n"/>
      <c r="O368" s="78" t="n"/>
      <c r="P368" s="78" t="n"/>
      <c r="Q368" s="78" t="n"/>
      <c r="R368" s="78" t="n"/>
      <c r="S368" s="79" t="n"/>
      <c r="T368" s="79" t="n"/>
      <c r="U368" s="79" t="n"/>
      <c r="V368" s="79" t="n"/>
      <c r="W368" s="79" t="n"/>
      <c r="X368" s="79" t="n"/>
      <c r="Y368" s="79" t="n"/>
      <c r="Z368" s="79" t="n"/>
      <c r="AA368" s="79" t="n"/>
      <c r="AB368" s="79" t="n"/>
      <c r="AC368" s="79" t="n"/>
      <c r="AD368" s="79" t="n"/>
      <c r="AE368" s="79" t="n"/>
      <c r="AF368" s="79" t="n"/>
      <c r="AG368" s="79" t="n"/>
      <c r="AH368" s="80" t="n"/>
      <c r="AI368" s="80" t="n"/>
      <c r="AJ368" s="80" t="n"/>
      <c r="AK368" s="80" t="n"/>
      <c r="AL368" s="80" t="n"/>
      <c r="AM368" s="80" t="n"/>
      <c r="AN368" s="80" t="n"/>
      <c r="AO368" s="80" t="n"/>
      <c r="AP368" s="80" t="n"/>
      <c r="AQ368" s="80" t="n"/>
      <c r="AR368" s="80" t="n"/>
      <c r="AS368" s="80" t="n"/>
      <c r="AT368" s="81" t="n"/>
      <c r="AU368" s="81" t="n"/>
      <c r="AV368" s="81" t="n"/>
      <c r="AW368" s="82" t="n"/>
      <c r="AX368" s="82" t="n"/>
      <c r="AY368" s="82" t="n"/>
      <c r="AZ368" s="82" t="n"/>
      <c r="BA368" s="82" t="n"/>
      <c r="BB368" s="83" t="n"/>
      <c r="BC368" s="83" t="n"/>
      <c r="BD368" s="84">
        <f>IF($A368="","",IF($DJ368&lt;&gt;"","FIX",IF($DK368&lt;&gt;"","CHECK","OK")))</f>
        <v/>
      </c>
      <c r="BE368" s="85">
        <f>IF($A368="","",IF($DJ368&lt;&gt;"","FIX: "&amp;LEFT($DJ368,LEN($DJ368)-2)&amp;IF($DK368&lt;&gt;"","  ·  ",""),"")&amp;IF($DK368&lt;&gt;"","CHECK: "&amp;LEFT($DK368,LEN($DK368)-2),""))</f>
        <v/>
      </c>
      <c r="BF368" s="84">
        <f>IF(OR($A368="",$K368=""),"",$K368&amp;"'-"&amp;N($L368)&amp;CHAR(34)&amp;" x "&amp;$M368&amp;"'-"&amp;N($N368)&amp;CHAR(34))</f>
        <v/>
      </c>
      <c r="BG368" s="84">
        <f>IF(OR($A368="",$K368=""),"",$K368&amp;N($L368)&amp;$M368&amp;N($N368))</f>
        <v/>
      </c>
      <c r="BH368" s="84">
        <f>IF(OR($A368="",$K368=""),"",$K368*12+N($L368))</f>
        <v/>
      </c>
      <c r="BI368" s="84">
        <f>IF(OR($A368="",$M368=""),"",$M368*12+N($N368))</f>
        <v/>
      </c>
      <c r="BJ368" s="84">
        <f>IF($A368="","",IF(OR($C368="FRAME ONLY",$S368="BL"),0,IF($O368="Y",2,1)))</f>
        <v/>
      </c>
      <c r="BK368" s="86">
        <f>IF(OR(N($BJ368)=0,$BH368=""),"",($BH368-2*EdgeClr-IF($BJ368=2,MeetClr,0))/$BJ368)</f>
        <v/>
      </c>
      <c r="BL368" s="86">
        <f>IF(OR(N($BJ368)=0,$BI368=""),"",$BI368-HeadClr-Undercut)</f>
        <v/>
      </c>
      <c r="BM368" s="86">
        <f>IF($BH368="","",$BH368+2*FaceW+IF(N($Q368)&gt;0,($Q368+FaceW)*IF($R368="LR",2,1),0))</f>
        <v/>
      </c>
      <c r="BN368" s="86">
        <f>IF($BI368="","",$BI368+IF($AB368="Y",4,FaceW)+IF(N($P368)&gt;0,$P368+FaceW,0)+IF(OR($S368="4F",$S368="BL"),FaceW,0))</f>
        <v/>
      </c>
      <c r="BO368" s="86">
        <f>IF($BM368="","",$BM368+2*ROSide)</f>
        <v/>
      </c>
      <c r="BP368" s="86">
        <f>IF($BN368="","",$BN368+ROTop)</f>
        <v/>
      </c>
      <c r="BQ368" s="87">
        <f>IF(OR(N($BJ368)=0,$BH368=""),"",$BH368/$BJ368-ClearDeduct)</f>
        <v/>
      </c>
      <c r="BR368" s="84">
        <f>IF(N($CH368)=0,"",IF($CH368&gt;=180,"A · 3 HR",IF($CH368&gt;=90,"B · 1-1/2 HR",IF($CH368&gt;=60,"B · 1 HR",IF($CH368&gt;=45,"C · 3/4 HR","20 MIN")))))&amp;IF(AND(N($CH368)&gt;0,OR($I368="CORRIDOR",$I368="SMOKE BARRIER"))," · S","")</f>
        <v/>
      </c>
      <c r="BS368" s="84">
        <f>IF($CS368,"",IF($AV368&lt;&gt;"",$AV368,IF(OR($AC368="HGC",$AO368="HGC"),"CONT",IF(($BI368-HeadClr-Undercut)&lt;=60,2,IF(($BI368-HeadClr-Undercut)&lt;=90,3,IF(($BI368-HeadClr-Undercut)&lt;=120,4,5))))))</f>
        <v/>
      </c>
      <c r="BT368" s="84">
        <f>IF($CS368,"",IF($CT368,"CUSTOM (typed)",IF($CV368,$AT368&amp;" "&amp;$CU368&amp;CHAR(34)&amp;IF($CU368&lt;&gt;$BI368,IF(AND($BI368&lt;$CU368,$BI368-IF(N(VLOOKUP($AT368&amp;"|"&amp;$CU368,LocTable,7,FALSE))&gt;0,VLOOKUP($AT368&amp;"|"&amp;$CU368,LocTable,7,FALSE),VLOOKUP($AT368&amp;"|"&amp;$CU368,LocTable,6,FALSE))-$CR368-0.75&gt;=2.125)," cut down"," adj."),""),"ANSI/SDI A250.6")))</f>
        <v/>
      </c>
      <c r="BU368" s="88">
        <f>IF($CS368,"",IF($CT368,IF(N($AW368)&gt;0,N($AW368),""),IF(1&gt;$CQ368,"",IF($CQ368=1,$CW368,$CW368+($CX368-$CW368)*0/($CQ368-1)))))</f>
        <v/>
      </c>
      <c r="BV368" s="88">
        <f>IF($CS368,"",IF($CT368,IF(N($AX368)&gt;0,N($AX368),""),IF(2&gt;$CQ368,"",IF($CQ368=1,$CW368,$CW368+($CX368-$CW368)*1/($CQ368-1)))))</f>
        <v/>
      </c>
      <c r="BW368" s="88">
        <f>IF($CS368,"",IF($CT368,IF(N($AY368)&gt;0,N($AY368),""),IF(3&gt;$CQ368,"",IF($CQ368=1,$CW368,$CW368+($CX368-$CW368)*2/($CQ368-1)))))</f>
        <v/>
      </c>
      <c r="BX368" s="88">
        <f>IF($CS368,"",IF($CT368,IF(N($AZ368)&gt;0,N($AZ368),""),IF(4&gt;$CQ368,"",IF($CQ368=1,$CW368,$CW368+($CX368-$CW368)*3/($CQ368-1)))))</f>
        <v/>
      </c>
      <c r="BY368" s="88">
        <f>IF($CS368,"",IF($CT368,"",IF(5&gt;$CQ368,"",IF($CQ368=1,$CW368,$CW368+($CX368-$CW368)*4/($CQ368-1)))))</f>
        <v/>
      </c>
      <c r="BZ368" s="88">
        <f>IF(OR($CS368,$AP368="-",AND($AP368="",$AD368="")),"",IF(N($BA368)&gt;0,N($BA368),IF($CV368,IF(AND($BI368&lt;$CU368,$BI368-IF(N(VLOOKUP($AT368&amp;"|"&amp;$CU368,LocTable,7,FALSE))&gt;0,VLOOKUP($AT368&amp;"|"&amp;$CU368,LocTable,7,FALSE),VLOOKUP($AT368&amp;"|"&amp;$CU368,LocTable,6,FALSE))-$CR368-0.75&gt;=2.125),VLOOKUP($AT368&amp;"|"&amp;$CU368,LocTable,8,FALSE),VLOOKUP($AT368&amp;"|"&amp;$CU368,LocTable,8,FALSE)+($BI368-$CU368)),$BI368-LockAFF)))</f>
        <v/>
      </c>
      <c r="CA368" s="89">
        <f>IF($BZ368="","",$BI368-$BZ368)</f>
        <v/>
      </c>
      <c r="CB368" s="84">
        <f>IF(OR(NOT(AND($A368&lt;&gt;"",$C368&lt;&gt;"DOOR ONLY")),$BI368=""),"",IF(($BI368+IF(N($P368)&gt;0,$P368+FaceW,0))&lt;=90,3,IF(($BI368+IF(N($P368)&gt;0,$P368+FaceW,0))&lt;=114,4,5)))</f>
        <v/>
      </c>
      <c r="CC368" s="84">
        <f>IF($CB368="","",$CB368*(2+IF(N($Q368)&gt;0,IF($R368="LR",2,1),0)))</f>
        <v/>
      </c>
      <c r="CD368" s="84">
        <f>IF($CB368="","",(2+IF(N($Q368)&gt;0,IF($R368="LR",2,1),0)))</f>
        <v/>
      </c>
      <c r="CE368" s="84">
        <f>IF(N($BJ368)=0,"",IF(OR($AL368="",$AL368="FLUSH"),"FLUSH",IFERROR(LEFT($AL368,FIND("-",$AL368)-1),LEFT($AL368,2))))</f>
        <v/>
      </c>
      <c r="CF368" s="84">
        <f>IF($CE368="","",IFERROR(VALUE(MID($AL368,FIND("-",$AL368)+1,FIND(CHAR(34)&amp;"x",$AL368)-FIND("-",$AL368)-1)),0))</f>
        <v/>
      </c>
      <c r="CG368" s="84">
        <f>IF($CE368="","",IFERROR(VALUE(MID($AL368,FIND(CHAR(34)&amp;"x",$AL368)+2,FIND(CHAR(34),$AL368,FIND(CHAR(34)&amp;"x",$AL368)+2)-FIND(CHAR(34)&amp;"x",$AL368)-2)),0))</f>
        <v/>
      </c>
      <c r="CH368" s="90">
        <f>IF(OR($A368="",$H368="",$H368="NO LAB"),0,IFERROR(VALUE(LEFT($H368,FIND(" ",$H368)-1)),0))</f>
        <v/>
      </c>
      <c r="CI368" s="91">
        <f>IF(OR($A368="",$I368="",$I368="NON-RATED",N($J368)=0),"",IFERROR(VLOOKUP($I368&amp;"|"&amp;$J368,IBC,2,FALSE),"?"))</f>
        <v/>
      </c>
      <c r="CJ368" s="85">
        <f>IF(NOT(AND($A368&lt;&gt;"",$C368&lt;&gt;"DOOR ONLY")),"",TRIM(IFERROR(VLOOKUP($U368,CODES,2,FALSE),"")&amp;" "&amp;$BG368&amp;" "&amp;IFERROR(VLOOKUP($Z368,CODES,2,FALSE),"")&amp;" "&amp;IFERROR(VLOOKUP($X368,CODES,2,FALSE),"")&amp;" "&amp;IFERROR(VLOOKUP($S368,CODES,2,FALSE),"")&amp;IF(N($P368)&gt;0," w/TRANSOM "&amp;$P368&amp;CHAR(34),"")&amp;IF(N($Q368)&gt;0," w/SIDELITE "&amp;$Q368&amp;CHAR(34)&amp;" "&amp;IF($R368="","R",$R368),"")&amp;IF($Y368="","  |  "," | "&amp;IFERROR(VLOOKUP($Y368,CODES,2,FALSE),"")&amp;" | ")&amp;IFERROR(VLOOKUP($AC368,CODES,2,FALSE),"")&amp;" "&amp;IFERROR(VLOOKUP($AD368,CODES,2,FALSE),"")&amp;IF(OR($AE368="",$AE368="-"),""," "&amp;$AE368)&amp;IF(OR($AF368="",$AF368="-"),""," "&amp;$AF368)&amp;IF($AB368="Y"," 4"&amp;CHAR(34)&amp;" HEAD","")&amp;" "&amp;IFERROR(VLOOKUP($H368,CODES,2,FALSE),"")&amp;IF($CT368," | LOC "&amp;$CY368,"")))</f>
        <v/>
      </c>
      <c r="CK368" s="85">
        <f>IF(NOT(AND($A368&lt;&gt;"",N($BJ368)&gt;0)),"",TRIM(IFERROR(VLOOKUP($AH368,CODES,2,FALSE),"")&amp;IF($AI368=""," "," "&amp;$AI368&amp;"GA ")&amp;$BG368&amp;" "&amp;IF($AN368="",IFERROR(VLOOKUP($Z368,CODES,2,FALSE),""),IFERROR(VLOOKUP($AN368,CODES,2,FALSE),""))&amp;IF($BJ368=2," PAIR","")&amp;" DOOR | "&amp;IF($AL368="","?",$AL368)&amp;" | "&amp;IF($AO368="",IFERROR(VLOOKUP($AC368,CODES,2,FALSE),""),IFERROR(VLOOKUP($AO368,CODES,2,FALSE),""))&amp;" "&amp;IFERROR(VLOOKUP($AP368,CODES,2,FALSE),"")&amp;IF(OR($AQ368="",$AQ368="-"),""," SEAM "&amp;$AQ368)&amp;IF($AR368="Y"," ASTRAGAL","")&amp;IF($AJ368=""," "," "&amp;$AJ368)&amp;IF($AK368=""," "," "&amp;$AK368)&amp;IF(OR($AT368="",$AT368="ANSI/SDI",$AT368="CUSTOM LOC"),""," "&amp;$AT368)&amp;IF($AM368=""," "," SERIES "&amp;$AM368)&amp;" "&amp;IFERROR(VLOOKUP($H368,CODES,2,FALSE),"")&amp;IF($CT368," | LOC "&amp;$CZ368,"")))</f>
        <v/>
      </c>
      <c r="CL368" s="84">
        <f>IF(CP368="","",IF(COUNTIF($CP$6:CP368,CP368)=1,MAX($CL$5:CL367)+1,INDEX($CL$5:CL367,MATCH(CP368,$CP$5:CP367,0))))</f>
        <v/>
      </c>
      <c r="CM368" s="84">
        <f>IF(NOT(AND($A368&lt;&gt;"",$C368&lt;&gt;"DOOR ONLY")),"",MAX($CM$5:CM367)+1)</f>
        <v/>
      </c>
      <c r="CN368" s="84">
        <f>IF(NOT(AND($A368&lt;&gt;"",N($BJ368)&gt;0)),"",MAX($CN$5:CN367)+1)</f>
        <v/>
      </c>
      <c r="CO368" s="84">
        <f>IF($A368="","",MAX($CO$5:CO367)+1)</f>
        <v/>
      </c>
      <c r="CP368" s="84">
        <f>IF(OR($A368="",$BH368="",$BI368=""),"",$BG368&amp;"|"&amp;$O368&amp;"|"&amp;$AL368&amp;"|"&amp;$S368&amp;"|"&amp;$P368&amp;"|"&amp;$Q368&amp;$R368&amp;"|"&amp;$C368&amp;"|"&amp;$AB368)</f>
        <v/>
      </c>
      <c r="CQ368" s="84">
        <f>N($BS368)</f>
        <v/>
      </c>
      <c r="CR368" s="84">
        <f>IF(N($AU368)&gt;0,N($AU368),4.5)</f>
        <v/>
      </c>
      <c r="CS368" s="84">
        <f>OR($A368="",$BI368="",$S368="BL",AND($C368="FRAME ONLY",OR($AC368="",$AC368="BLK")))</f>
        <v/>
      </c>
      <c r="CT368" s="84">
        <f>AND(NOT($CS368),OR($AT368="CUSTOM LOC",N($AW368)+N($AX368)+N($AY368)+N($AZ368)+N($BA368)&gt;0))</f>
        <v/>
      </c>
      <c r="CU368" s="84">
        <f>IF($BI368="","",IF($BI368&lt;=80,80,IF($BI368&lt;=84,84,96)))</f>
        <v/>
      </c>
      <c r="CV368" s="84">
        <f>ISNUMBER(MATCH($AT368&amp;"|80",LocKeys,0))</f>
        <v/>
      </c>
      <c r="CW368" s="86">
        <f>IF($CS368,"",IF($CV368,VLOOKUP($AT368&amp;"|"&amp;$CU368,LocTable,4,FALSE),5))</f>
        <v/>
      </c>
      <c r="CX368" s="86">
        <f>IF($CS368,"",IF($CV368,IF(OR($BI368=$CU368,AND($BI368&lt;$CU368,$BI368-IF(N(VLOOKUP($AT368&amp;"|"&amp;$CU368,LocTable,7,FALSE))&gt;0,VLOOKUP($AT368&amp;"|"&amp;$CU368,LocTable,7,FALSE),VLOOKUP($AT368&amp;"|"&amp;$CU368,LocTable,6,FALSE))-$CR368-0.75&gt;=2.125)),IF(N(VLOOKUP($AT368&amp;"|"&amp;$CU368,LocTable,7,FALSE))&gt;0,VLOOKUP($AT368&amp;"|"&amp;$CU368,LocTable,7,FALSE),VLOOKUP($AT368&amp;"|"&amp;$CU368,LocTable,6,FALSE)),$BI368-($CU368-IF(N(VLOOKUP($AT368&amp;"|"&amp;$CU368,LocTable,7,FALSE))&gt;0,VLOOKUP($AT368&amp;"|"&amp;$CU368,LocTable,7,FALSE),VLOOKUP($AT368&amp;"|"&amp;$CU368,LocTable,6,FALSE)))),$BI368-10-$CR368))</f>
        <v/>
      </c>
      <c r="CY368" s="85">
        <f>IF($CS368,"",TRIM(IF(ISNUMBER($BU368),"A "&amp;TRIM(TEXT($BU368,"# ?/??"))&amp;CHAR(34)&amp;"  ","")&amp;IF(ISNUMBER($BV368),"B "&amp;TRIM(TEXT($BV368,"# ?/??"))&amp;CHAR(34)&amp;"  ","")&amp;IF(ISNUMBER($BW368),"C "&amp;TRIM(TEXT($BW368,"# ?/??"))&amp;CHAR(34)&amp;"  ","")&amp;IF(ISNUMBER($BX368),"D "&amp;TRIM(TEXT($BX368,"# ?/??"))&amp;CHAR(34)&amp;"  ","")&amp;IF(ISNUMBER($BY368),"F "&amp;TRIM(TEXT($BY368,"# ?/??"))&amp;CHAR(34)&amp;"  ","")&amp;IF(ISNUMBER($BZ368),"E "&amp;TRIM(TEXT($BZ368,"# ?/??"))&amp;CHAR(34)&amp;"  ","")))</f>
        <v/>
      </c>
      <c r="CZ368" s="85">
        <f>IF(OR($CS368,N($BJ368)=0),"",TRIM(IF(ISNUMBER($BU368),"A "&amp;TRIM(TEXT($BU368-HeadClr,"# ?/??"))&amp;CHAR(34)&amp;"  ","")&amp;IF(ISNUMBER($BV368),"B "&amp;TRIM(TEXT($BV368-HeadClr,"# ?/??"))&amp;CHAR(34)&amp;"  ","")&amp;IF(ISNUMBER($BW368),"C "&amp;TRIM(TEXT($BW368-HeadClr,"# ?/??"))&amp;CHAR(34)&amp;"  ","")&amp;IF(ISNUMBER($BX368),"D "&amp;TRIM(TEXT($BX368-HeadClr,"# ?/??"))&amp;CHAR(34)&amp;"  ","")&amp;IF(ISNUMBER($BY368),"F "&amp;TRIM(TEXT($BY368-HeadClr,"# ?/??"))&amp;CHAR(34)&amp;"  ","")&amp;IF(ISNUMBER($BZ368),"E "&amp;TRIM(TEXT($BZ368-HeadClr,"# ?/??"))&amp;CHAR(34)&amp;"  ","")))</f>
        <v/>
      </c>
      <c r="DA368" s="84">
        <f>IF($A368="","",IF($AN368="",IFERROR(VLOOKUP($Z368,CODES,2,FALSE),""),IFERROR(VLOOKUP($AN368,CODES,2,FALSE),"")))</f>
        <v/>
      </c>
      <c r="DB368" s="84">
        <f>IF($A368="","",IF($O368="Y","PR",IF(OR($Z368="L",$Z368="RR",LEFT($Z368,2)="L-",LEFT($Z368,3)="RR-"),"LH","RH")))</f>
        <v/>
      </c>
      <c r="DC368" s="84">
        <f>IF($A368="","","S.HM"&amp;IF(OR($C368="DOOR ONLY",$X368&lt;&gt;"KD"),"MASONRY","DRYWALL")&amp;IF($C368="DOOR ONLY","",$U368)&amp;IF(AND($C368&lt;&gt;"FRAME ONLY",OR(LEFT($AH368,3)="OAK",LEFT($AH368,3)="BIR",LEFT($AH368,3)="MAP",$AH368="PC",$AH368="MC",$AH368="SCLC",$AH368="P-LAM")),"WD","HM")&amp;"1.75")</f>
        <v/>
      </c>
      <c r="DD368" s="84">
        <f>IF($CJ368="","",IF($O368="Y",$CJ368,SUBSTITUTE($CJ368,$BG368&amp;" "&amp;IFERROR(VLOOKUP($Z368,CODES,2,FALSE),"")&amp;" ",$BG368&amp;" ")))</f>
        <v/>
      </c>
      <c r="DE368" s="84">
        <f>IF($CK368="","",IF($O368="Y",$CK368,SUBSTITUTE($CK368,$BG368&amp;" "&amp;IF($AN368="",IFERROR(VLOOKUP($Z368,CODES,2,FALSE),""),IFERROR(VLOOKUP($AN368,CODES,2,FALSE),""))&amp;" ",$BG368&amp;" ")))</f>
        <v/>
      </c>
      <c r="DF368" s="84">
        <f>IF($CJ368="","",$DC368&amp;"|"&amp;$DD368&amp;"|"&amp;$DB368&amp;"|"&amp;$AT368&amp;"|"&amp;$V368&amp;"|"&amp;$Y368&amp;"|"&amp;$AB368)</f>
        <v/>
      </c>
      <c r="DG368" s="84">
        <f>IF(DF368="","",IF(COUNTIF($DF$6:DF368,DF368)=1,MAX($DG$5:DG367)+1,INDEX($DG$5:DG367,MATCH(DF368,$DF$5:DF367,0))))</f>
        <v/>
      </c>
      <c r="DH368" s="84">
        <f>IF($CK368="","",$DC368&amp;"|"&amp;$DE368&amp;"|"&amp;$AI368&amp;"|"&amp;$BK368&amp;"|"&amp;$BL368)</f>
        <v/>
      </c>
      <c r="DI368" s="84">
        <f>IF(DH368="","",IF(COUNTIF($DH$6:DH368,DH368)=1,MAX($DI$5:DI367)+1,INDEX($DI$5:DI367,MATCH(DH368,$DH$5:DH367,0))))</f>
        <v/>
      </c>
      <c r="DJ368" s="84">
        <f>IF($A368="","",IF($B368="","qty, ","")&amp;IF($C368="","scope, ","")&amp;IF(OR($K368="",$M368=""),"size, ","")&amp;IF(AND($A368&lt;&gt;"",$C368&lt;&gt;"DOOR ONLY"),IF($U368="","jamb depth, ","")&amp;IF($X368="","construction, ","")&amp;IF($Y368="","anchor, ","")&amp;IF($S368="","frame type, ",""),"")&amp;IF(AND(N($BJ368)&gt;0,$Z368=""),"hand, ","")&amp;IF(N($BJ368)&gt;0,IF($AH368="","door material, ","")&amp;IF($AL368="","face type, ","")&amp;IF($AP368="","lock prep, ","")&amp;IF(AND($AO368="",$AC368=""),"hinge prep, ",""),"")&amp;IF(AND($CH368&gt;0,$AH368="FRP"),"FRP cannot carry a label, ","")&amp;IF(AND($O368="Y",OR($Z368="L",$Z368="R",$Z368="LR",$Z368="RR")),"pair marked but hand is single, ","")&amp;IF(AND($O368&lt;&gt;"Y",OR($Z368="PR",AND(LEN($Z368)&gt;1,ISNUMBER(SEARCH("-",$Z368))))),"pair hand on a single door, ","")&amp;IF(AND(ISNUMBER($CI368),$CH368&lt;N($CI368)),"wall needs a "&amp;$CI368&amp;" min door, ","")&amp;IF(AND($CH368&gt;=180,AND(OR($CE368="FG",$CE368="HG",$CE368="FNV",$CE368="FV"),N($CF368)*N($CG368)&gt;100)),"180 min lite over 100 sq in, ","")&amp;IF(N($BK368)&gt;48,"leaf wider than 4'-0"&amp;CHAR(34)&amp;", ","")&amp;IF(AND($CT368,COUNT($AW368:$AZ368)=0,$CQ368&gt;0),"CUSTOM LOC with no locations typed, ",""))</f>
        <v/>
      </c>
      <c r="DK368" s="84">
        <f>IF($A368="","",IF(AND($CH368&gt;0,AND($A368&lt;&gt;"",$C368&lt;&gt;"DOOR ONLY"),$X368="KD",$E368="EXTERIOR"),"KD label on an exterior opening, ","")&amp;IF(AND($E368="EXTERIOR",OR(AND(AND($A368&lt;&gt;"",$C368&lt;&gt;"DOOR ONLY"),$W368="CR"),AND(N($BJ368)&gt;0,$AH368="CR"))),"exterior in CR steel (G9?), ","")&amp;IF(AND(ISNUMBER($BQ368),N($BQ368)&lt;32),"clear width ~"&amp;TEXT($BQ368,"0.0")&amp;CHAR(34)&amp;" under 32"&amp;CHAR(34)&amp;" (ADA), ","")&amp;IF(AND($CH368=90,AND(OR($CE368="FG",$CE368="HG",$CE368="FNV",$CE368="FV"),N($CF368)*N($CG368)&gt;100)),"90 min lite over 100 sq in (stair/exit), ","")&amp;IF(AND($CH368&gt;0,AND($A368&lt;&gt;"",$C368&lt;&gt;"DOOR ONLY"),OR($AF368="",$AF368="-")),"rated: closer reinf.?, ","")&amp;IF(OR($I368="CORRIDOR",$I368="SMOKE BARRIER"),"S label + smoke gasketing, ","")&amp;IF($CI368="?","wall type/hr not in IBC table, ","")&amp;IF(AND(N($BJ368)&gt;0,$BB368=""),"no hardware set, ","")&amp;IF(AND($BB368&lt;&gt;"",ISNA(MATCH($BB368&amp;"",HWSets,0))),"set "&amp;$BB368&amp;" not on HW Sets, ","")&amp;IF(N($BL368)&gt;96,"leaf over 8'-0"&amp;CHAR(34)&amp;" - check listing, ","")&amp;IF(AND($CT368,COUNT($AW368:$AZ368)&gt;0,COUNT($AW368:$AZ368)&lt;&gt;$CQ368),COUNT($AW368:$AZ368)&amp;" custom hinges typed, "&amp;$CQ368&amp;" expected, ","")&amp;IF(AND(ISNUMBER($CA368),OR(N($CA368)&lt;34,N($CA368)&gt;48)),"lock "&amp;TEXT($CA368,"0.0")&amp;CHAR(34)&amp;" AFF outside 34-48"&amp;CHAR(34)&amp;" (ADA), ","")&amp;IF(AND(ISNUMBER($AV368),ISNUMBER($BL368),N($AV368)&lt;IF(N($BL368)&lt;=60,2,IF(N($BL368)&lt;=90,3,IF(N($BL368)&lt;=120,4,5)))),"fewer hinges than standard, ",""))</f>
        <v/>
      </c>
    </row>
    <row r="369" ht="15" customHeight="1">
      <c r="A369" s="77" t="n"/>
      <c r="B369" s="78" t="n"/>
      <c r="C369" s="78" t="n"/>
      <c r="D369" s="78" t="n"/>
      <c r="E369" s="78" t="n"/>
      <c r="F369" s="78" t="n"/>
      <c r="G369" s="78" t="n"/>
      <c r="H369" s="78" t="n"/>
      <c r="I369" s="78" t="n"/>
      <c r="J369" s="78" t="n"/>
      <c r="K369" s="78" t="n"/>
      <c r="L369" s="78" t="n"/>
      <c r="M369" s="78" t="n"/>
      <c r="N369" s="78" t="n"/>
      <c r="O369" s="78" t="n"/>
      <c r="P369" s="78" t="n"/>
      <c r="Q369" s="78" t="n"/>
      <c r="R369" s="78" t="n"/>
      <c r="S369" s="79" t="n"/>
      <c r="T369" s="79" t="n"/>
      <c r="U369" s="79" t="n"/>
      <c r="V369" s="79" t="n"/>
      <c r="W369" s="79" t="n"/>
      <c r="X369" s="79" t="n"/>
      <c r="Y369" s="79" t="n"/>
      <c r="Z369" s="79" t="n"/>
      <c r="AA369" s="79" t="n"/>
      <c r="AB369" s="79" t="n"/>
      <c r="AC369" s="79" t="n"/>
      <c r="AD369" s="79" t="n"/>
      <c r="AE369" s="79" t="n"/>
      <c r="AF369" s="79" t="n"/>
      <c r="AG369" s="79" t="n"/>
      <c r="AH369" s="80" t="n"/>
      <c r="AI369" s="80" t="n"/>
      <c r="AJ369" s="80" t="n"/>
      <c r="AK369" s="80" t="n"/>
      <c r="AL369" s="80" t="n"/>
      <c r="AM369" s="80" t="n"/>
      <c r="AN369" s="80" t="n"/>
      <c r="AO369" s="80" t="n"/>
      <c r="AP369" s="80" t="n"/>
      <c r="AQ369" s="80" t="n"/>
      <c r="AR369" s="80" t="n"/>
      <c r="AS369" s="80" t="n"/>
      <c r="AT369" s="81" t="n"/>
      <c r="AU369" s="81" t="n"/>
      <c r="AV369" s="81" t="n"/>
      <c r="AW369" s="82" t="n"/>
      <c r="AX369" s="82" t="n"/>
      <c r="AY369" s="82" t="n"/>
      <c r="AZ369" s="82" t="n"/>
      <c r="BA369" s="82" t="n"/>
      <c r="BB369" s="83" t="n"/>
      <c r="BC369" s="83" t="n"/>
      <c r="BD369" s="84">
        <f>IF($A369="","",IF($DJ369&lt;&gt;"","FIX",IF($DK369&lt;&gt;"","CHECK","OK")))</f>
        <v/>
      </c>
      <c r="BE369" s="85">
        <f>IF($A369="","",IF($DJ369&lt;&gt;"","FIX: "&amp;LEFT($DJ369,LEN($DJ369)-2)&amp;IF($DK369&lt;&gt;"","  ·  ",""),"")&amp;IF($DK369&lt;&gt;"","CHECK: "&amp;LEFT($DK369,LEN($DK369)-2),""))</f>
        <v/>
      </c>
      <c r="BF369" s="84">
        <f>IF(OR($A369="",$K369=""),"",$K369&amp;"'-"&amp;N($L369)&amp;CHAR(34)&amp;" x "&amp;$M369&amp;"'-"&amp;N($N369)&amp;CHAR(34))</f>
        <v/>
      </c>
      <c r="BG369" s="84">
        <f>IF(OR($A369="",$K369=""),"",$K369&amp;N($L369)&amp;$M369&amp;N($N369))</f>
        <v/>
      </c>
      <c r="BH369" s="84">
        <f>IF(OR($A369="",$K369=""),"",$K369*12+N($L369))</f>
        <v/>
      </c>
      <c r="BI369" s="84">
        <f>IF(OR($A369="",$M369=""),"",$M369*12+N($N369))</f>
        <v/>
      </c>
      <c r="BJ369" s="84">
        <f>IF($A369="","",IF(OR($C369="FRAME ONLY",$S369="BL"),0,IF($O369="Y",2,1)))</f>
        <v/>
      </c>
      <c r="BK369" s="86">
        <f>IF(OR(N($BJ369)=0,$BH369=""),"",($BH369-2*EdgeClr-IF($BJ369=2,MeetClr,0))/$BJ369)</f>
        <v/>
      </c>
      <c r="BL369" s="86">
        <f>IF(OR(N($BJ369)=0,$BI369=""),"",$BI369-HeadClr-Undercut)</f>
        <v/>
      </c>
      <c r="BM369" s="86">
        <f>IF($BH369="","",$BH369+2*FaceW+IF(N($Q369)&gt;0,($Q369+FaceW)*IF($R369="LR",2,1),0))</f>
        <v/>
      </c>
      <c r="BN369" s="86">
        <f>IF($BI369="","",$BI369+IF($AB369="Y",4,FaceW)+IF(N($P369)&gt;0,$P369+FaceW,0)+IF(OR($S369="4F",$S369="BL"),FaceW,0))</f>
        <v/>
      </c>
      <c r="BO369" s="86">
        <f>IF($BM369="","",$BM369+2*ROSide)</f>
        <v/>
      </c>
      <c r="BP369" s="86">
        <f>IF($BN369="","",$BN369+ROTop)</f>
        <v/>
      </c>
      <c r="BQ369" s="87">
        <f>IF(OR(N($BJ369)=0,$BH369=""),"",$BH369/$BJ369-ClearDeduct)</f>
        <v/>
      </c>
      <c r="BR369" s="84">
        <f>IF(N($CH369)=0,"",IF($CH369&gt;=180,"A · 3 HR",IF($CH369&gt;=90,"B · 1-1/2 HR",IF($CH369&gt;=60,"B · 1 HR",IF($CH369&gt;=45,"C · 3/4 HR","20 MIN")))))&amp;IF(AND(N($CH369)&gt;0,OR($I369="CORRIDOR",$I369="SMOKE BARRIER"))," · S","")</f>
        <v/>
      </c>
      <c r="BS369" s="84">
        <f>IF($CS369,"",IF($AV369&lt;&gt;"",$AV369,IF(OR($AC369="HGC",$AO369="HGC"),"CONT",IF(($BI369-HeadClr-Undercut)&lt;=60,2,IF(($BI369-HeadClr-Undercut)&lt;=90,3,IF(($BI369-HeadClr-Undercut)&lt;=120,4,5))))))</f>
        <v/>
      </c>
      <c r="BT369" s="84">
        <f>IF($CS369,"",IF($CT369,"CUSTOM (typed)",IF($CV369,$AT369&amp;" "&amp;$CU369&amp;CHAR(34)&amp;IF($CU369&lt;&gt;$BI369,IF(AND($BI369&lt;$CU369,$BI369-IF(N(VLOOKUP($AT369&amp;"|"&amp;$CU369,LocTable,7,FALSE))&gt;0,VLOOKUP($AT369&amp;"|"&amp;$CU369,LocTable,7,FALSE),VLOOKUP($AT369&amp;"|"&amp;$CU369,LocTable,6,FALSE))-$CR369-0.75&gt;=2.125)," cut down"," adj."),""),"ANSI/SDI A250.6")))</f>
        <v/>
      </c>
      <c r="BU369" s="88">
        <f>IF($CS369,"",IF($CT369,IF(N($AW369)&gt;0,N($AW369),""),IF(1&gt;$CQ369,"",IF($CQ369=1,$CW369,$CW369+($CX369-$CW369)*0/($CQ369-1)))))</f>
        <v/>
      </c>
      <c r="BV369" s="88">
        <f>IF($CS369,"",IF($CT369,IF(N($AX369)&gt;0,N($AX369),""),IF(2&gt;$CQ369,"",IF($CQ369=1,$CW369,$CW369+($CX369-$CW369)*1/($CQ369-1)))))</f>
        <v/>
      </c>
      <c r="BW369" s="88">
        <f>IF($CS369,"",IF($CT369,IF(N($AY369)&gt;0,N($AY369),""),IF(3&gt;$CQ369,"",IF($CQ369=1,$CW369,$CW369+($CX369-$CW369)*2/($CQ369-1)))))</f>
        <v/>
      </c>
      <c r="BX369" s="88">
        <f>IF($CS369,"",IF($CT369,IF(N($AZ369)&gt;0,N($AZ369),""),IF(4&gt;$CQ369,"",IF($CQ369=1,$CW369,$CW369+($CX369-$CW369)*3/($CQ369-1)))))</f>
        <v/>
      </c>
      <c r="BY369" s="88">
        <f>IF($CS369,"",IF($CT369,"",IF(5&gt;$CQ369,"",IF($CQ369=1,$CW369,$CW369+($CX369-$CW369)*4/($CQ369-1)))))</f>
        <v/>
      </c>
      <c r="BZ369" s="88">
        <f>IF(OR($CS369,$AP369="-",AND($AP369="",$AD369="")),"",IF(N($BA369)&gt;0,N($BA369),IF($CV369,IF(AND($BI369&lt;$CU369,$BI369-IF(N(VLOOKUP($AT369&amp;"|"&amp;$CU369,LocTable,7,FALSE))&gt;0,VLOOKUP($AT369&amp;"|"&amp;$CU369,LocTable,7,FALSE),VLOOKUP($AT369&amp;"|"&amp;$CU369,LocTable,6,FALSE))-$CR369-0.75&gt;=2.125),VLOOKUP($AT369&amp;"|"&amp;$CU369,LocTable,8,FALSE),VLOOKUP($AT369&amp;"|"&amp;$CU369,LocTable,8,FALSE)+($BI369-$CU369)),$BI369-LockAFF)))</f>
        <v/>
      </c>
      <c r="CA369" s="89">
        <f>IF($BZ369="","",$BI369-$BZ369)</f>
        <v/>
      </c>
      <c r="CB369" s="84">
        <f>IF(OR(NOT(AND($A369&lt;&gt;"",$C369&lt;&gt;"DOOR ONLY")),$BI369=""),"",IF(($BI369+IF(N($P369)&gt;0,$P369+FaceW,0))&lt;=90,3,IF(($BI369+IF(N($P369)&gt;0,$P369+FaceW,0))&lt;=114,4,5)))</f>
        <v/>
      </c>
      <c r="CC369" s="84">
        <f>IF($CB369="","",$CB369*(2+IF(N($Q369)&gt;0,IF($R369="LR",2,1),0)))</f>
        <v/>
      </c>
      <c r="CD369" s="84">
        <f>IF($CB369="","",(2+IF(N($Q369)&gt;0,IF($R369="LR",2,1),0)))</f>
        <v/>
      </c>
      <c r="CE369" s="84">
        <f>IF(N($BJ369)=0,"",IF(OR($AL369="",$AL369="FLUSH"),"FLUSH",IFERROR(LEFT($AL369,FIND("-",$AL369)-1),LEFT($AL369,2))))</f>
        <v/>
      </c>
      <c r="CF369" s="84">
        <f>IF($CE369="","",IFERROR(VALUE(MID($AL369,FIND("-",$AL369)+1,FIND(CHAR(34)&amp;"x",$AL369)-FIND("-",$AL369)-1)),0))</f>
        <v/>
      </c>
      <c r="CG369" s="84">
        <f>IF($CE369="","",IFERROR(VALUE(MID($AL369,FIND(CHAR(34)&amp;"x",$AL369)+2,FIND(CHAR(34),$AL369,FIND(CHAR(34)&amp;"x",$AL369)+2)-FIND(CHAR(34)&amp;"x",$AL369)-2)),0))</f>
        <v/>
      </c>
      <c r="CH369" s="90">
        <f>IF(OR($A369="",$H369="",$H369="NO LAB"),0,IFERROR(VALUE(LEFT($H369,FIND(" ",$H369)-1)),0))</f>
        <v/>
      </c>
      <c r="CI369" s="91">
        <f>IF(OR($A369="",$I369="",$I369="NON-RATED",N($J369)=0),"",IFERROR(VLOOKUP($I369&amp;"|"&amp;$J369,IBC,2,FALSE),"?"))</f>
        <v/>
      </c>
      <c r="CJ369" s="85">
        <f>IF(NOT(AND($A369&lt;&gt;"",$C369&lt;&gt;"DOOR ONLY")),"",TRIM(IFERROR(VLOOKUP($U369,CODES,2,FALSE),"")&amp;" "&amp;$BG369&amp;" "&amp;IFERROR(VLOOKUP($Z369,CODES,2,FALSE),"")&amp;" "&amp;IFERROR(VLOOKUP($X369,CODES,2,FALSE),"")&amp;" "&amp;IFERROR(VLOOKUP($S369,CODES,2,FALSE),"")&amp;IF(N($P369)&gt;0," w/TRANSOM "&amp;$P369&amp;CHAR(34),"")&amp;IF(N($Q369)&gt;0," w/SIDELITE "&amp;$Q369&amp;CHAR(34)&amp;" "&amp;IF($R369="","R",$R369),"")&amp;IF($Y369="","  |  "," | "&amp;IFERROR(VLOOKUP($Y369,CODES,2,FALSE),"")&amp;" | ")&amp;IFERROR(VLOOKUP($AC369,CODES,2,FALSE),"")&amp;" "&amp;IFERROR(VLOOKUP($AD369,CODES,2,FALSE),"")&amp;IF(OR($AE369="",$AE369="-"),""," "&amp;$AE369)&amp;IF(OR($AF369="",$AF369="-"),""," "&amp;$AF369)&amp;IF($AB369="Y"," 4"&amp;CHAR(34)&amp;" HEAD","")&amp;" "&amp;IFERROR(VLOOKUP($H369,CODES,2,FALSE),"")&amp;IF($CT369," | LOC "&amp;$CY369,"")))</f>
        <v/>
      </c>
      <c r="CK369" s="85">
        <f>IF(NOT(AND($A369&lt;&gt;"",N($BJ369)&gt;0)),"",TRIM(IFERROR(VLOOKUP($AH369,CODES,2,FALSE),"")&amp;IF($AI369=""," "," "&amp;$AI369&amp;"GA ")&amp;$BG369&amp;" "&amp;IF($AN369="",IFERROR(VLOOKUP($Z369,CODES,2,FALSE),""),IFERROR(VLOOKUP($AN369,CODES,2,FALSE),""))&amp;IF($BJ369=2," PAIR","")&amp;" DOOR | "&amp;IF($AL369="","?",$AL369)&amp;" | "&amp;IF($AO369="",IFERROR(VLOOKUP($AC369,CODES,2,FALSE),""),IFERROR(VLOOKUP($AO369,CODES,2,FALSE),""))&amp;" "&amp;IFERROR(VLOOKUP($AP369,CODES,2,FALSE),"")&amp;IF(OR($AQ369="",$AQ369="-"),""," SEAM "&amp;$AQ369)&amp;IF($AR369="Y"," ASTRAGAL","")&amp;IF($AJ369=""," "," "&amp;$AJ369)&amp;IF($AK369=""," "," "&amp;$AK369)&amp;IF(OR($AT369="",$AT369="ANSI/SDI",$AT369="CUSTOM LOC"),""," "&amp;$AT369)&amp;IF($AM369=""," "," SERIES "&amp;$AM369)&amp;" "&amp;IFERROR(VLOOKUP($H369,CODES,2,FALSE),"")&amp;IF($CT369," | LOC "&amp;$CZ369,"")))</f>
        <v/>
      </c>
      <c r="CL369" s="84">
        <f>IF(CP369="","",IF(COUNTIF($CP$6:CP369,CP369)=1,MAX($CL$5:CL368)+1,INDEX($CL$5:CL368,MATCH(CP369,$CP$5:CP368,0))))</f>
        <v/>
      </c>
      <c r="CM369" s="84">
        <f>IF(NOT(AND($A369&lt;&gt;"",$C369&lt;&gt;"DOOR ONLY")),"",MAX($CM$5:CM368)+1)</f>
        <v/>
      </c>
      <c r="CN369" s="84">
        <f>IF(NOT(AND($A369&lt;&gt;"",N($BJ369)&gt;0)),"",MAX($CN$5:CN368)+1)</f>
        <v/>
      </c>
      <c r="CO369" s="84">
        <f>IF($A369="","",MAX($CO$5:CO368)+1)</f>
        <v/>
      </c>
      <c r="CP369" s="84">
        <f>IF(OR($A369="",$BH369="",$BI369=""),"",$BG369&amp;"|"&amp;$O369&amp;"|"&amp;$AL369&amp;"|"&amp;$S369&amp;"|"&amp;$P369&amp;"|"&amp;$Q369&amp;$R369&amp;"|"&amp;$C369&amp;"|"&amp;$AB369)</f>
        <v/>
      </c>
      <c r="CQ369" s="84">
        <f>N($BS369)</f>
        <v/>
      </c>
      <c r="CR369" s="84">
        <f>IF(N($AU369)&gt;0,N($AU369),4.5)</f>
        <v/>
      </c>
      <c r="CS369" s="84">
        <f>OR($A369="",$BI369="",$S369="BL",AND($C369="FRAME ONLY",OR($AC369="",$AC369="BLK")))</f>
        <v/>
      </c>
      <c r="CT369" s="84">
        <f>AND(NOT($CS369),OR($AT369="CUSTOM LOC",N($AW369)+N($AX369)+N($AY369)+N($AZ369)+N($BA369)&gt;0))</f>
        <v/>
      </c>
      <c r="CU369" s="84">
        <f>IF($BI369="","",IF($BI369&lt;=80,80,IF($BI369&lt;=84,84,96)))</f>
        <v/>
      </c>
      <c r="CV369" s="84">
        <f>ISNUMBER(MATCH($AT369&amp;"|80",LocKeys,0))</f>
        <v/>
      </c>
      <c r="CW369" s="86">
        <f>IF($CS369,"",IF($CV369,VLOOKUP($AT369&amp;"|"&amp;$CU369,LocTable,4,FALSE),5))</f>
        <v/>
      </c>
      <c r="CX369" s="86">
        <f>IF($CS369,"",IF($CV369,IF(OR($BI369=$CU369,AND($BI369&lt;$CU369,$BI369-IF(N(VLOOKUP($AT369&amp;"|"&amp;$CU369,LocTable,7,FALSE))&gt;0,VLOOKUP($AT369&amp;"|"&amp;$CU369,LocTable,7,FALSE),VLOOKUP($AT369&amp;"|"&amp;$CU369,LocTable,6,FALSE))-$CR369-0.75&gt;=2.125)),IF(N(VLOOKUP($AT369&amp;"|"&amp;$CU369,LocTable,7,FALSE))&gt;0,VLOOKUP($AT369&amp;"|"&amp;$CU369,LocTable,7,FALSE),VLOOKUP($AT369&amp;"|"&amp;$CU369,LocTable,6,FALSE)),$BI369-($CU369-IF(N(VLOOKUP($AT369&amp;"|"&amp;$CU369,LocTable,7,FALSE))&gt;0,VLOOKUP($AT369&amp;"|"&amp;$CU369,LocTable,7,FALSE),VLOOKUP($AT369&amp;"|"&amp;$CU369,LocTable,6,FALSE)))),$BI369-10-$CR369))</f>
        <v/>
      </c>
      <c r="CY369" s="85">
        <f>IF($CS369,"",TRIM(IF(ISNUMBER($BU369),"A "&amp;TRIM(TEXT($BU369,"# ?/??"))&amp;CHAR(34)&amp;"  ","")&amp;IF(ISNUMBER($BV369),"B "&amp;TRIM(TEXT($BV369,"# ?/??"))&amp;CHAR(34)&amp;"  ","")&amp;IF(ISNUMBER($BW369),"C "&amp;TRIM(TEXT($BW369,"# ?/??"))&amp;CHAR(34)&amp;"  ","")&amp;IF(ISNUMBER($BX369),"D "&amp;TRIM(TEXT($BX369,"# ?/??"))&amp;CHAR(34)&amp;"  ","")&amp;IF(ISNUMBER($BY369),"F "&amp;TRIM(TEXT($BY369,"# ?/??"))&amp;CHAR(34)&amp;"  ","")&amp;IF(ISNUMBER($BZ369),"E "&amp;TRIM(TEXT($BZ369,"# ?/??"))&amp;CHAR(34)&amp;"  ","")))</f>
        <v/>
      </c>
      <c r="CZ369" s="85">
        <f>IF(OR($CS369,N($BJ369)=0),"",TRIM(IF(ISNUMBER($BU369),"A "&amp;TRIM(TEXT($BU369-HeadClr,"# ?/??"))&amp;CHAR(34)&amp;"  ","")&amp;IF(ISNUMBER($BV369),"B "&amp;TRIM(TEXT($BV369-HeadClr,"# ?/??"))&amp;CHAR(34)&amp;"  ","")&amp;IF(ISNUMBER($BW369),"C "&amp;TRIM(TEXT($BW369-HeadClr,"# ?/??"))&amp;CHAR(34)&amp;"  ","")&amp;IF(ISNUMBER($BX369),"D "&amp;TRIM(TEXT($BX369-HeadClr,"# ?/??"))&amp;CHAR(34)&amp;"  ","")&amp;IF(ISNUMBER($BY369),"F "&amp;TRIM(TEXT($BY369-HeadClr,"# ?/??"))&amp;CHAR(34)&amp;"  ","")&amp;IF(ISNUMBER($BZ369),"E "&amp;TRIM(TEXT($BZ369-HeadClr,"# ?/??"))&amp;CHAR(34)&amp;"  ","")))</f>
        <v/>
      </c>
      <c r="DA369" s="84">
        <f>IF($A369="","",IF($AN369="",IFERROR(VLOOKUP($Z369,CODES,2,FALSE),""),IFERROR(VLOOKUP($AN369,CODES,2,FALSE),"")))</f>
        <v/>
      </c>
      <c r="DB369" s="84">
        <f>IF($A369="","",IF($O369="Y","PR",IF(OR($Z369="L",$Z369="RR",LEFT($Z369,2)="L-",LEFT($Z369,3)="RR-"),"LH","RH")))</f>
        <v/>
      </c>
      <c r="DC369" s="84">
        <f>IF($A369="","","S.HM"&amp;IF(OR($C369="DOOR ONLY",$X369&lt;&gt;"KD"),"MASONRY","DRYWALL")&amp;IF($C369="DOOR ONLY","",$U369)&amp;IF(AND($C369&lt;&gt;"FRAME ONLY",OR(LEFT($AH369,3)="OAK",LEFT($AH369,3)="BIR",LEFT($AH369,3)="MAP",$AH369="PC",$AH369="MC",$AH369="SCLC",$AH369="P-LAM")),"WD","HM")&amp;"1.75")</f>
        <v/>
      </c>
      <c r="DD369" s="84">
        <f>IF($CJ369="","",IF($O369="Y",$CJ369,SUBSTITUTE($CJ369,$BG369&amp;" "&amp;IFERROR(VLOOKUP($Z369,CODES,2,FALSE),"")&amp;" ",$BG369&amp;" ")))</f>
        <v/>
      </c>
      <c r="DE369" s="84">
        <f>IF($CK369="","",IF($O369="Y",$CK369,SUBSTITUTE($CK369,$BG369&amp;" "&amp;IF($AN369="",IFERROR(VLOOKUP($Z369,CODES,2,FALSE),""),IFERROR(VLOOKUP($AN369,CODES,2,FALSE),""))&amp;" ",$BG369&amp;" ")))</f>
        <v/>
      </c>
      <c r="DF369" s="84">
        <f>IF($CJ369="","",$DC369&amp;"|"&amp;$DD369&amp;"|"&amp;$DB369&amp;"|"&amp;$AT369&amp;"|"&amp;$V369&amp;"|"&amp;$Y369&amp;"|"&amp;$AB369)</f>
        <v/>
      </c>
      <c r="DG369" s="84">
        <f>IF(DF369="","",IF(COUNTIF($DF$6:DF369,DF369)=1,MAX($DG$5:DG368)+1,INDEX($DG$5:DG368,MATCH(DF369,$DF$5:DF368,0))))</f>
        <v/>
      </c>
      <c r="DH369" s="84">
        <f>IF($CK369="","",$DC369&amp;"|"&amp;$DE369&amp;"|"&amp;$AI369&amp;"|"&amp;$BK369&amp;"|"&amp;$BL369)</f>
        <v/>
      </c>
      <c r="DI369" s="84">
        <f>IF(DH369="","",IF(COUNTIF($DH$6:DH369,DH369)=1,MAX($DI$5:DI368)+1,INDEX($DI$5:DI368,MATCH(DH369,$DH$5:DH368,0))))</f>
        <v/>
      </c>
      <c r="DJ369" s="84">
        <f>IF($A369="","",IF($B369="","qty, ","")&amp;IF($C369="","scope, ","")&amp;IF(OR($K369="",$M369=""),"size, ","")&amp;IF(AND($A369&lt;&gt;"",$C369&lt;&gt;"DOOR ONLY"),IF($U369="","jamb depth, ","")&amp;IF($X369="","construction, ","")&amp;IF($Y369="","anchor, ","")&amp;IF($S369="","frame type, ",""),"")&amp;IF(AND(N($BJ369)&gt;0,$Z369=""),"hand, ","")&amp;IF(N($BJ369)&gt;0,IF($AH369="","door material, ","")&amp;IF($AL369="","face type, ","")&amp;IF($AP369="","lock prep, ","")&amp;IF(AND($AO369="",$AC369=""),"hinge prep, ",""),"")&amp;IF(AND($CH369&gt;0,$AH369="FRP"),"FRP cannot carry a label, ","")&amp;IF(AND($O369="Y",OR($Z369="L",$Z369="R",$Z369="LR",$Z369="RR")),"pair marked but hand is single, ","")&amp;IF(AND($O369&lt;&gt;"Y",OR($Z369="PR",AND(LEN($Z369)&gt;1,ISNUMBER(SEARCH("-",$Z369))))),"pair hand on a single door, ","")&amp;IF(AND(ISNUMBER($CI369),$CH369&lt;N($CI369)),"wall needs a "&amp;$CI369&amp;" min door, ","")&amp;IF(AND($CH369&gt;=180,AND(OR($CE369="FG",$CE369="HG",$CE369="FNV",$CE369="FV"),N($CF369)*N($CG369)&gt;100)),"180 min lite over 100 sq in, ","")&amp;IF(N($BK369)&gt;48,"leaf wider than 4'-0"&amp;CHAR(34)&amp;", ","")&amp;IF(AND($CT369,COUNT($AW369:$AZ369)=0,$CQ369&gt;0),"CUSTOM LOC with no locations typed, ",""))</f>
        <v/>
      </c>
      <c r="DK369" s="84">
        <f>IF($A369="","",IF(AND($CH369&gt;0,AND($A369&lt;&gt;"",$C369&lt;&gt;"DOOR ONLY"),$X369="KD",$E369="EXTERIOR"),"KD label on an exterior opening, ","")&amp;IF(AND($E369="EXTERIOR",OR(AND(AND($A369&lt;&gt;"",$C369&lt;&gt;"DOOR ONLY"),$W369="CR"),AND(N($BJ369)&gt;0,$AH369="CR"))),"exterior in CR steel (G9?), ","")&amp;IF(AND(ISNUMBER($BQ369),N($BQ369)&lt;32),"clear width ~"&amp;TEXT($BQ369,"0.0")&amp;CHAR(34)&amp;" under 32"&amp;CHAR(34)&amp;" (ADA), ","")&amp;IF(AND($CH369=90,AND(OR($CE369="FG",$CE369="HG",$CE369="FNV",$CE369="FV"),N($CF369)*N($CG369)&gt;100)),"90 min lite over 100 sq in (stair/exit), ","")&amp;IF(AND($CH369&gt;0,AND($A369&lt;&gt;"",$C369&lt;&gt;"DOOR ONLY"),OR($AF369="",$AF369="-")),"rated: closer reinf.?, ","")&amp;IF(OR($I369="CORRIDOR",$I369="SMOKE BARRIER"),"S label + smoke gasketing, ","")&amp;IF($CI369="?","wall type/hr not in IBC table, ","")&amp;IF(AND(N($BJ369)&gt;0,$BB369=""),"no hardware set, ","")&amp;IF(AND($BB369&lt;&gt;"",ISNA(MATCH($BB369&amp;"",HWSets,0))),"set "&amp;$BB369&amp;" not on HW Sets, ","")&amp;IF(N($BL369)&gt;96,"leaf over 8'-0"&amp;CHAR(34)&amp;" - check listing, ","")&amp;IF(AND($CT369,COUNT($AW369:$AZ369)&gt;0,COUNT($AW369:$AZ369)&lt;&gt;$CQ369),COUNT($AW369:$AZ369)&amp;" custom hinges typed, "&amp;$CQ369&amp;" expected, ","")&amp;IF(AND(ISNUMBER($CA369),OR(N($CA369)&lt;34,N($CA369)&gt;48)),"lock "&amp;TEXT($CA369,"0.0")&amp;CHAR(34)&amp;" AFF outside 34-48"&amp;CHAR(34)&amp;" (ADA), ","")&amp;IF(AND(ISNUMBER($AV369),ISNUMBER($BL369),N($AV369)&lt;IF(N($BL369)&lt;=60,2,IF(N($BL369)&lt;=90,3,IF(N($BL369)&lt;=120,4,5)))),"fewer hinges than standard, ",""))</f>
        <v/>
      </c>
    </row>
    <row r="370" ht="15" customHeight="1">
      <c r="A370" s="92" t="n"/>
      <c r="B370" s="93" t="n"/>
      <c r="C370" s="93" t="n"/>
      <c r="D370" s="93" t="n"/>
      <c r="E370" s="93" t="n"/>
      <c r="F370" s="93" t="n"/>
      <c r="G370" s="93" t="n"/>
      <c r="H370" s="93" t="n"/>
      <c r="I370" s="93" t="n"/>
      <c r="J370" s="93" t="n"/>
      <c r="K370" s="93" t="n"/>
      <c r="L370" s="93" t="n"/>
      <c r="M370" s="93" t="n"/>
      <c r="N370" s="93" t="n"/>
      <c r="O370" s="93" t="n"/>
      <c r="P370" s="93" t="n"/>
      <c r="Q370" s="93" t="n"/>
      <c r="R370" s="93" t="n"/>
      <c r="S370" s="94" t="n"/>
      <c r="T370" s="94" t="n"/>
      <c r="U370" s="94" t="n"/>
      <c r="V370" s="94" t="n"/>
      <c r="W370" s="94" t="n"/>
      <c r="X370" s="94" t="n"/>
      <c r="Y370" s="94" t="n"/>
      <c r="Z370" s="94" t="n"/>
      <c r="AA370" s="94" t="n"/>
      <c r="AB370" s="94" t="n"/>
      <c r="AC370" s="94" t="n"/>
      <c r="AD370" s="94" t="n"/>
      <c r="AE370" s="94" t="n"/>
      <c r="AF370" s="94" t="n"/>
      <c r="AG370" s="94" t="n"/>
      <c r="AH370" s="95" t="n"/>
      <c r="AI370" s="95" t="n"/>
      <c r="AJ370" s="95" t="n"/>
      <c r="AK370" s="95" t="n"/>
      <c r="AL370" s="95" t="n"/>
      <c r="AM370" s="95" t="n"/>
      <c r="AN370" s="95" t="n"/>
      <c r="AO370" s="95" t="n"/>
      <c r="AP370" s="95" t="n"/>
      <c r="AQ370" s="95" t="n"/>
      <c r="AR370" s="95" t="n"/>
      <c r="AS370" s="95" t="n"/>
      <c r="AT370" s="96" t="n"/>
      <c r="AU370" s="96" t="n"/>
      <c r="AV370" s="96" t="n"/>
      <c r="AW370" s="97" t="n"/>
      <c r="AX370" s="97" t="n"/>
      <c r="AY370" s="97" t="n"/>
      <c r="AZ370" s="97" t="n"/>
      <c r="BA370" s="97" t="n"/>
      <c r="BB370" s="98" t="n"/>
      <c r="BC370" s="98" t="n"/>
      <c r="BD370" s="99">
        <f>IF($A370="","",IF($DJ370&lt;&gt;"","FIX",IF($DK370&lt;&gt;"","CHECK","OK")))</f>
        <v/>
      </c>
      <c r="BE370" s="100">
        <f>IF($A370="","",IF($DJ370&lt;&gt;"","FIX: "&amp;LEFT($DJ370,LEN($DJ370)-2)&amp;IF($DK370&lt;&gt;"","  ·  ",""),"")&amp;IF($DK370&lt;&gt;"","CHECK: "&amp;LEFT($DK370,LEN($DK370)-2),""))</f>
        <v/>
      </c>
      <c r="BF370" s="99">
        <f>IF(OR($A370="",$K370=""),"",$K370&amp;"'-"&amp;N($L370)&amp;CHAR(34)&amp;" x "&amp;$M370&amp;"'-"&amp;N($N370)&amp;CHAR(34))</f>
        <v/>
      </c>
      <c r="BG370" s="99">
        <f>IF(OR($A370="",$K370=""),"",$K370&amp;N($L370)&amp;$M370&amp;N($N370))</f>
        <v/>
      </c>
      <c r="BH370" s="99">
        <f>IF(OR($A370="",$K370=""),"",$K370*12+N($L370))</f>
        <v/>
      </c>
      <c r="BI370" s="99">
        <f>IF(OR($A370="",$M370=""),"",$M370*12+N($N370))</f>
        <v/>
      </c>
      <c r="BJ370" s="99">
        <f>IF($A370="","",IF(OR($C370="FRAME ONLY",$S370="BL"),0,IF($O370="Y",2,1)))</f>
        <v/>
      </c>
      <c r="BK370" s="101">
        <f>IF(OR(N($BJ370)=0,$BH370=""),"",($BH370-2*EdgeClr-IF($BJ370=2,MeetClr,0))/$BJ370)</f>
        <v/>
      </c>
      <c r="BL370" s="101">
        <f>IF(OR(N($BJ370)=0,$BI370=""),"",$BI370-HeadClr-Undercut)</f>
        <v/>
      </c>
      <c r="BM370" s="101">
        <f>IF($BH370="","",$BH370+2*FaceW+IF(N($Q370)&gt;0,($Q370+FaceW)*IF($R370="LR",2,1),0))</f>
        <v/>
      </c>
      <c r="BN370" s="101">
        <f>IF($BI370="","",$BI370+IF($AB370="Y",4,FaceW)+IF(N($P370)&gt;0,$P370+FaceW,0)+IF(OR($S370="4F",$S370="BL"),FaceW,0))</f>
        <v/>
      </c>
      <c r="BO370" s="101">
        <f>IF($BM370="","",$BM370+2*ROSide)</f>
        <v/>
      </c>
      <c r="BP370" s="101">
        <f>IF($BN370="","",$BN370+ROTop)</f>
        <v/>
      </c>
      <c r="BQ370" s="102">
        <f>IF(OR(N($BJ370)=0,$BH370=""),"",$BH370/$BJ370-ClearDeduct)</f>
        <v/>
      </c>
      <c r="BR370" s="99">
        <f>IF(N($CH370)=0,"",IF($CH370&gt;=180,"A · 3 HR",IF($CH370&gt;=90,"B · 1-1/2 HR",IF($CH370&gt;=60,"B · 1 HR",IF($CH370&gt;=45,"C · 3/4 HR","20 MIN")))))&amp;IF(AND(N($CH370)&gt;0,OR($I370="CORRIDOR",$I370="SMOKE BARRIER"))," · S","")</f>
        <v/>
      </c>
      <c r="BS370" s="99">
        <f>IF($CS370,"",IF($AV370&lt;&gt;"",$AV370,IF(OR($AC370="HGC",$AO370="HGC"),"CONT",IF(($BI370-HeadClr-Undercut)&lt;=60,2,IF(($BI370-HeadClr-Undercut)&lt;=90,3,IF(($BI370-HeadClr-Undercut)&lt;=120,4,5))))))</f>
        <v/>
      </c>
      <c r="BT370" s="99">
        <f>IF($CS370,"",IF($CT370,"CUSTOM (typed)",IF($CV370,$AT370&amp;" "&amp;$CU370&amp;CHAR(34)&amp;IF($CU370&lt;&gt;$BI370,IF(AND($BI370&lt;$CU370,$BI370-IF(N(VLOOKUP($AT370&amp;"|"&amp;$CU370,LocTable,7,FALSE))&gt;0,VLOOKUP($AT370&amp;"|"&amp;$CU370,LocTable,7,FALSE),VLOOKUP($AT370&amp;"|"&amp;$CU370,LocTable,6,FALSE))-$CR370-0.75&gt;=2.125)," cut down"," adj."),""),"ANSI/SDI A250.6")))</f>
        <v/>
      </c>
      <c r="BU370" s="103">
        <f>IF($CS370,"",IF($CT370,IF(N($AW370)&gt;0,N($AW370),""),IF(1&gt;$CQ370,"",IF($CQ370=1,$CW370,$CW370+($CX370-$CW370)*0/($CQ370-1)))))</f>
        <v/>
      </c>
      <c r="BV370" s="103">
        <f>IF($CS370,"",IF($CT370,IF(N($AX370)&gt;0,N($AX370),""),IF(2&gt;$CQ370,"",IF($CQ370=1,$CW370,$CW370+($CX370-$CW370)*1/($CQ370-1)))))</f>
        <v/>
      </c>
      <c r="BW370" s="103">
        <f>IF($CS370,"",IF($CT370,IF(N($AY370)&gt;0,N($AY370),""),IF(3&gt;$CQ370,"",IF($CQ370=1,$CW370,$CW370+($CX370-$CW370)*2/($CQ370-1)))))</f>
        <v/>
      </c>
      <c r="BX370" s="103">
        <f>IF($CS370,"",IF($CT370,IF(N($AZ370)&gt;0,N($AZ370),""),IF(4&gt;$CQ370,"",IF($CQ370=1,$CW370,$CW370+($CX370-$CW370)*3/($CQ370-1)))))</f>
        <v/>
      </c>
      <c r="BY370" s="103">
        <f>IF($CS370,"",IF($CT370,"",IF(5&gt;$CQ370,"",IF($CQ370=1,$CW370,$CW370+($CX370-$CW370)*4/($CQ370-1)))))</f>
        <v/>
      </c>
      <c r="BZ370" s="103">
        <f>IF(OR($CS370,$AP370="-",AND($AP370="",$AD370="")),"",IF(N($BA370)&gt;0,N($BA370),IF($CV370,IF(AND($BI370&lt;$CU370,$BI370-IF(N(VLOOKUP($AT370&amp;"|"&amp;$CU370,LocTable,7,FALSE))&gt;0,VLOOKUP($AT370&amp;"|"&amp;$CU370,LocTable,7,FALSE),VLOOKUP($AT370&amp;"|"&amp;$CU370,LocTable,6,FALSE))-$CR370-0.75&gt;=2.125),VLOOKUP($AT370&amp;"|"&amp;$CU370,LocTable,8,FALSE),VLOOKUP($AT370&amp;"|"&amp;$CU370,LocTable,8,FALSE)+($BI370-$CU370)),$BI370-LockAFF)))</f>
        <v/>
      </c>
      <c r="CA370" s="104">
        <f>IF($BZ370="","",$BI370-$BZ370)</f>
        <v/>
      </c>
      <c r="CB370" s="99">
        <f>IF(OR(NOT(AND($A370&lt;&gt;"",$C370&lt;&gt;"DOOR ONLY")),$BI370=""),"",IF(($BI370+IF(N($P370)&gt;0,$P370+FaceW,0))&lt;=90,3,IF(($BI370+IF(N($P370)&gt;0,$P370+FaceW,0))&lt;=114,4,5)))</f>
        <v/>
      </c>
      <c r="CC370" s="99">
        <f>IF($CB370="","",$CB370*(2+IF(N($Q370)&gt;0,IF($R370="LR",2,1),0)))</f>
        <v/>
      </c>
      <c r="CD370" s="99">
        <f>IF($CB370="","",(2+IF(N($Q370)&gt;0,IF($R370="LR",2,1),0)))</f>
        <v/>
      </c>
      <c r="CE370" s="99">
        <f>IF(N($BJ370)=0,"",IF(OR($AL370="",$AL370="FLUSH"),"FLUSH",IFERROR(LEFT($AL370,FIND("-",$AL370)-1),LEFT($AL370,2))))</f>
        <v/>
      </c>
      <c r="CF370" s="99">
        <f>IF($CE370="","",IFERROR(VALUE(MID($AL370,FIND("-",$AL370)+1,FIND(CHAR(34)&amp;"x",$AL370)-FIND("-",$AL370)-1)),0))</f>
        <v/>
      </c>
      <c r="CG370" s="99">
        <f>IF($CE370="","",IFERROR(VALUE(MID($AL370,FIND(CHAR(34)&amp;"x",$AL370)+2,FIND(CHAR(34),$AL370,FIND(CHAR(34)&amp;"x",$AL370)+2)-FIND(CHAR(34)&amp;"x",$AL370)-2)),0))</f>
        <v/>
      </c>
      <c r="CH370" s="105">
        <f>IF(OR($A370="",$H370="",$H370="NO LAB"),0,IFERROR(VALUE(LEFT($H370,FIND(" ",$H370)-1)),0))</f>
        <v/>
      </c>
      <c r="CI370" s="106">
        <f>IF(OR($A370="",$I370="",$I370="NON-RATED",N($J370)=0),"",IFERROR(VLOOKUP($I370&amp;"|"&amp;$J370,IBC,2,FALSE),"?"))</f>
        <v/>
      </c>
      <c r="CJ370" s="100">
        <f>IF(NOT(AND($A370&lt;&gt;"",$C370&lt;&gt;"DOOR ONLY")),"",TRIM(IFERROR(VLOOKUP($U370,CODES,2,FALSE),"")&amp;" "&amp;$BG370&amp;" "&amp;IFERROR(VLOOKUP($Z370,CODES,2,FALSE),"")&amp;" "&amp;IFERROR(VLOOKUP($X370,CODES,2,FALSE),"")&amp;" "&amp;IFERROR(VLOOKUP($S370,CODES,2,FALSE),"")&amp;IF(N($P370)&gt;0," w/TRANSOM "&amp;$P370&amp;CHAR(34),"")&amp;IF(N($Q370)&gt;0," w/SIDELITE "&amp;$Q370&amp;CHAR(34)&amp;" "&amp;IF($R370="","R",$R370),"")&amp;IF($Y370="","  |  "," | "&amp;IFERROR(VLOOKUP($Y370,CODES,2,FALSE),"")&amp;" | ")&amp;IFERROR(VLOOKUP($AC370,CODES,2,FALSE),"")&amp;" "&amp;IFERROR(VLOOKUP($AD370,CODES,2,FALSE),"")&amp;IF(OR($AE370="",$AE370="-"),""," "&amp;$AE370)&amp;IF(OR($AF370="",$AF370="-"),""," "&amp;$AF370)&amp;IF($AB370="Y"," 4"&amp;CHAR(34)&amp;" HEAD","")&amp;" "&amp;IFERROR(VLOOKUP($H370,CODES,2,FALSE),"")&amp;IF($CT370," | LOC "&amp;$CY370,"")))</f>
        <v/>
      </c>
      <c r="CK370" s="100">
        <f>IF(NOT(AND($A370&lt;&gt;"",N($BJ370)&gt;0)),"",TRIM(IFERROR(VLOOKUP($AH370,CODES,2,FALSE),"")&amp;IF($AI370=""," "," "&amp;$AI370&amp;"GA ")&amp;$BG370&amp;" "&amp;IF($AN370="",IFERROR(VLOOKUP($Z370,CODES,2,FALSE),""),IFERROR(VLOOKUP($AN370,CODES,2,FALSE),""))&amp;IF($BJ370=2," PAIR","")&amp;" DOOR | "&amp;IF($AL370="","?",$AL370)&amp;" | "&amp;IF($AO370="",IFERROR(VLOOKUP($AC370,CODES,2,FALSE),""),IFERROR(VLOOKUP($AO370,CODES,2,FALSE),""))&amp;" "&amp;IFERROR(VLOOKUP($AP370,CODES,2,FALSE),"")&amp;IF(OR($AQ370="",$AQ370="-"),""," SEAM "&amp;$AQ370)&amp;IF($AR370="Y"," ASTRAGAL","")&amp;IF($AJ370=""," "," "&amp;$AJ370)&amp;IF($AK370=""," "," "&amp;$AK370)&amp;IF(OR($AT370="",$AT370="ANSI/SDI",$AT370="CUSTOM LOC"),""," "&amp;$AT370)&amp;IF($AM370=""," "," SERIES "&amp;$AM370)&amp;" "&amp;IFERROR(VLOOKUP($H370,CODES,2,FALSE),"")&amp;IF($CT370," | LOC "&amp;$CZ370,"")))</f>
        <v/>
      </c>
      <c r="CL370" s="99">
        <f>IF(CP370="","",IF(COUNTIF($CP$6:CP370,CP370)=1,MAX($CL$5:CL369)+1,INDEX($CL$5:CL369,MATCH(CP370,$CP$5:CP369,0))))</f>
        <v/>
      </c>
      <c r="CM370" s="99">
        <f>IF(NOT(AND($A370&lt;&gt;"",$C370&lt;&gt;"DOOR ONLY")),"",MAX($CM$5:CM369)+1)</f>
        <v/>
      </c>
      <c r="CN370" s="99">
        <f>IF(NOT(AND($A370&lt;&gt;"",N($BJ370)&gt;0)),"",MAX($CN$5:CN369)+1)</f>
        <v/>
      </c>
      <c r="CO370" s="99">
        <f>IF($A370="","",MAX($CO$5:CO369)+1)</f>
        <v/>
      </c>
      <c r="CP370" s="99">
        <f>IF(OR($A370="",$BH370="",$BI370=""),"",$BG370&amp;"|"&amp;$O370&amp;"|"&amp;$AL370&amp;"|"&amp;$S370&amp;"|"&amp;$P370&amp;"|"&amp;$Q370&amp;$R370&amp;"|"&amp;$C370&amp;"|"&amp;$AB370)</f>
        <v/>
      </c>
      <c r="CQ370" s="99">
        <f>N($BS370)</f>
        <v/>
      </c>
      <c r="CR370" s="99">
        <f>IF(N($AU370)&gt;0,N($AU370),4.5)</f>
        <v/>
      </c>
      <c r="CS370" s="99">
        <f>OR($A370="",$BI370="",$S370="BL",AND($C370="FRAME ONLY",OR($AC370="",$AC370="BLK")))</f>
        <v/>
      </c>
      <c r="CT370" s="99">
        <f>AND(NOT($CS370),OR($AT370="CUSTOM LOC",N($AW370)+N($AX370)+N($AY370)+N($AZ370)+N($BA370)&gt;0))</f>
        <v/>
      </c>
      <c r="CU370" s="99">
        <f>IF($BI370="","",IF($BI370&lt;=80,80,IF($BI370&lt;=84,84,96)))</f>
        <v/>
      </c>
      <c r="CV370" s="99">
        <f>ISNUMBER(MATCH($AT370&amp;"|80",LocKeys,0))</f>
        <v/>
      </c>
      <c r="CW370" s="101">
        <f>IF($CS370,"",IF($CV370,VLOOKUP($AT370&amp;"|"&amp;$CU370,LocTable,4,FALSE),5))</f>
        <v/>
      </c>
      <c r="CX370" s="101">
        <f>IF($CS370,"",IF($CV370,IF(OR($BI370=$CU370,AND($BI370&lt;$CU370,$BI370-IF(N(VLOOKUP($AT370&amp;"|"&amp;$CU370,LocTable,7,FALSE))&gt;0,VLOOKUP($AT370&amp;"|"&amp;$CU370,LocTable,7,FALSE),VLOOKUP($AT370&amp;"|"&amp;$CU370,LocTable,6,FALSE))-$CR370-0.75&gt;=2.125)),IF(N(VLOOKUP($AT370&amp;"|"&amp;$CU370,LocTable,7,FALSE))&gt;0,VLOOKUP($AT370&amp;"|"&amp;$CU370,LocTable,7,FALSE),VLOOKUP($AT370&amp;"|"&amp;$CU370,LocTable,6,FALSE)),$BI370-($CU370-IF(N(VLOOKUP($AT370&amp;"|"&amp;$CU370,LocTable,7,FALSE))&gt;0,VLOOKUP($AT370&amp;"|"&amp;$CU370,LocTable,7,FALSE),VLOOKUP($AT370&amp;"|"&amp;$CU370,LocTable,6,FALSE)))),$BI370-10-$CR370))</f>
        <v/>
      </c>
      <c r="CY370" s="100">
        <f>IF($CS370,"",TRIM(IF(ISNUMBER($BU370),"A "&amp;TRIM(TEXT($BU370,"# ?/??"))&amp;CHAR(34)&amp;"  ","")&amp;IF(ISNUMBER($BV370),"B "&amp;TRIM(TEXT($BV370,"# ?/??"))&amp;CHAR(34)&amp;"  ","")&amp;IF(ISNUMBER($BW370),"C "&amp;TRIM(TEXT($BW370,"# ?/??"))&amp;CHAR(34)&amp;"  ","")&amp;IF(ISNUMBER($BX370),"D "&amp;TRIM(TEXT($BX370,"# ?/??"))&amp;CHAR(34)&amp;"  ","")&amp;IF(ISNUMBER($BY370),"F "&amp;TRIM(TEXT($BY370,"# ?/??"))&amp;CHAR(34)&amp;"  ","")&amp;IF(ISNUMBER($BZ370),"E "&amp;TRIM(TEXT($BZ370,"# ?/??"))&amp;CHAR(34)&amp;"  ","")))</f>
        <v/>
      </c>
      <c r="CZ370" s="100">
        <f>IF(OR($CS370,N($BJ370)=0),"",TRIM(IF(ISNUMBER($BU370),"A "&amp;TRIM(TEXT($BU370-HeadClr,"# ?/??"))&amp;CHAR(34)&amp;"  ","")&amp;IF(ISNUMBER($BV370),"B "&amp;TRIM(TEXT($BV370-HeadClr,"# ?/??"))&amp;CHAR(34)&amp;"  ","")&amp;IF(ISNUMBER($BW370),"C "&amp;TRIM(TEXT($BW370-HeadClr,"# ?/??"))&amp;CHAR(34)&amp;"  ","")&amp;IF(ISNUMBER($BX370),"D "&amp;TRIM(TEXT($BX370-HeadClr,"# ?/??"))&amp;CHAR(34)&amp;"  ","")&amp;IF(ISNUMBER($BY370),"F "&amp;TRIM(TEXT($BY370-HeadClr,"# ?/??"))&amp;CHAR(34)&amp;"  ","")&amp;IF(ISNUMBER($BZ370),"E "&amp;TRIM(TEXT($BZ370-HeadClr,"# ?/??"))&amp;CHAR(34)&amp;"  ","")))</f>
        <v/>
      </c>
      <c r="DA370" s="99">
        <f>IF($A370="","",IF($AN370="",IFERROR(VLOOKUP($Z370,CODES,2,FALSE),""),IFERROR(VLOOKUP($AN370,CODES,2,FALSE),"")))</f>
        <v/>
      </c>
      <c r="DB370" s="99">
        <f>IF($A370="","",IF($O370="Y","PR",IF(OR($Z370="L",$Z370="RR",LEFT($Z370,2)="L-",LEFT($Z370,3)="RR-"),"LH","RH")))</f>
        <v/>
      </c>
      <c r="DC370" s="99">
        <f>IF($A370="","","S.HM"&amp;IF(OR($C370="DOOR ONLY",$X370&lt;&gt;"KD"),"MASONRY","DRYWALL")&amp;IF($C370="DOOR ONLY","",$U370)&amp;IF(AND($C370&lt;&gt;"FRAME ONLY",OR(LEFT($AH370,3)="OAK",LEFT($AH370,3)="BIR",LEFT($AH370,3)="MAP",$AH370="PC",$AH370="MC",$AH370="SCLC",$AH370="P-LAM")),"WD","HM")&amp;"1.75")</f>
        <v/>
      </c>
      <c r="DD370" s="99">
        <f>IF($CJ370="","",IF($O370="Y",$CJ370,SUBSTITUTE($CJ370,$BG370&amp;" "&amp;IFERROR(VLOOKUP($Z370,CODES,2,FALSE),"")&amp;" ",$BG370&amp;" ")))</f>
        <v/>
      </c>
      <c r="DE370" s="99">
        <f>IF($CK370="","",IF($O370="Y",$CK370,SUBSTITUTE($CK370,$BG370&amp;" "&amp;IF($AN370="",IFERROR(VLOOKUP($Z370,CODES,2,FALSE),""),IFERROR(VLOOKUP($AN370,CODES,2,FALSE),""))&amp;" ",$BG370&amp;" ")))</f>
        <v/>
      </c>
      <c r="DF370" s="99">
        <f>IF($CJ370="","",$DC370&amp;"|"&amp;$DD370&amp;"|"&amp;$DB370&amp;"|"&amp;$AT370&amp;"|"&amp;$V370&amp;"|"&amp;$Y370&amp;"|"&amp;$AB370)</f>
        <v/>
      </c>
      <c r="DG370" s="99">
        <f>IF(DF370="","",IF(COUNTIF($DF$6:DF370,DF370)=1,MAX($DG$5:DG369)+1,INDEX($DG$5:DG369,MATCH(DF370,$DF$5:DF369,0))))</f>
        <v/>
      </c>
      <c r="DH370" s="99">
        <f>IF($CK370="","",$DC370&amp;"|"&amp;$DE370&amp;"|"&amp;$AI370&amp;"|"&amp;$BK370&amp;"|"&amp;$BL370)</f>
        <v/>
      </c>
      <c r="DI370" s="99">
        <f>IF(DH370="","",IF(COUNTIF($DH$6:DH370,DH370)=1,MAX($DI$5:DI369)+1,INDEX($DI$5:DI369,MATCH(DH370,$DH$5:DH369,0))))</f>
        <v/>
      </c>
      <c r="DJ370" s="99">
        <f>IF($A370="","",IF($B370="","qty, ","")&amp;IF($C370="","scope, ","")&amp;IF(OR($K370="",$M370=""),"size, ","")&amp;IF(AND($A370&lt;&gt;"",$C370&lt;&gt;"DOOR ONLY"),IF($U370="","jamb depth, ","")&amp;IF($X370="","construction, ","")&amp;IF($Y370="","anchor, ","")&amp;IF($S370="","frame type, ",""),"")&amp;IF(AND(N($BJ370)&gt;0,$Z370=""),"hand, ","")&amp;IF(N($BJ370)&gt;0,IF($AH370="","door material, ","")&amp;IF($AL370="","face type, ","")&amp;IF($AP370="","lock prep, ","")&amp;IF(AND($AO370="",$AC370=""),"hinge prep, ",""),"")&amp;IF(AND($CH370&gt;0,$AH370="FRP"),"FRP cannot carry a label, ","")&amp;IF(AND($O370="Y",OR($Z370="L",$Z370="R",$Z370="LR",$Z370="RR")),"pair marked but hand is single, ","")&amp;IF(AND($O370&lt;&gt;"Y",OR($Z370="PR",AND(LEN($Z370)&gt;1,ISNUMBER(SEARCH("-",$Z370))))),"pair hand on a single door, ","")&amp;IF(AND(ISNUMBER($CI370),$CH370&lt;N($CI370)),"wall needs a "&amp;$CI370&amp;" min door, ","")&amp;IF(AND($CH370&gt;=180,AND(OR($CE370="FG",$CE370="HG",$CE370="FNV",$CE370="FV"),N($CF370)*N($CG370)&gt;100)),"180 min lite over 100 sq in, ","")&amp;IF(N($BK370)&gt;48,"leaf wider than 4'-0"&amp;CHAR(34)&amp;", ","")&amp;IF(AND($CT370,COUNT($AW370:$AZ370)=0,$CQ370&gt;0),"CUSTOM LOC with no locations typed, ",""))</f>
        <v/>
      </c>
      <c r="DK370" s="99">
        <f>IF($A370="","",IF(AND($CH370&gt;0,AND($A370&lt;&gt;"",$C370&lt;&gt;"DOOR ONLY"),$X370="KD",$E370="EXTERIOR"),"KD label on an exterior opening, ","")&amp;IF(AND($E370="EXTERIOR",OR(AND(AND($A370&lt;&gt;"",$C370&lt;&gt;"DOOR ONLY"),$W370="CR"),AND(N($BJ370)&gt;0,$AH370="CR"))),"exterior in CR steel (G9?), ","")&amp;IF(AND(ISNUMBER($BQ370),N($BQ370)&lt;32),"clear width ~"&amp;TEXT($BQ370,"0.0")&amp;CHAR(34)&amp;" under 32"&amp;CHAR(34)&amp;" (ADA), ","")&amp;IF(AND($CH370=90,AND(OR($CE370="FG",$CE370="HG",$CE370="FNV",$CE370="FV"),N($CF370)*N($CG370)&gt;100)),"90 min lite over 100 sq in (stair/exit), ","")&amp;IF(AND($CH370&gt;0,AND($A370&lt;&gt;"",$C370&lt;&gt;"DOOR ONLY"),OR($AF370="",$AF370="-")),"rated: closer reinf.?, ","")&amp;IF(OR($I370="CORRIDOR",$I370="SMOKE BARRIER"),"S label + smoke gasketing, ","")&amp;IF($CI370="?","wall type/hr not in IBC table, ","")&amp;IF(AND(N($BJ370)&gt;0,$BB370=""),"no hardware set, ","")&amp;IF(AND($BB370&lt;&gt;"",ISNA(MATCH($BB370&amp;"",HWSets,0))),"set "&amp;$BB370&amp;" not on HW Sets, ","")&amp;IF(N($BL370)&gt;96,"leaf over 8'-0"&amp;CHAR(34)&amp;" - check listing, ","")&amp;IF(AND($CT370,COUNT($AW370:$AZ370)&gt;0,COUNT($AW370:$AZ370)&lt;&gt;$CQ370),COUNT($AW370:$AZ370)&amp;" custom hinges typed, "&amp;$CQ370&amp;" expected, ","")&amp;IF(AND(ISNUMBER($CA370),OR(N($CA370)&lt;34,N($CA370)&gt;48)),"lock "&amp;TEXT($CA370,"0.0")&amp;CHAR(34)&amp;" AFF outside 34-48"&amp;CHAR(34)&amp;" (ADA), ","")&amp;IF(AND(ISNUMBER($AV370),ISNUMBER($BL370),N($AV370)&lt;IF(N($BL370)&lt;=60,2,IF(N($BL370)&lt;=90,3,IF(N($BL370)&lt;=120,4,5)))),"fewer hinges than standard, ",""))</f>
        <v/>
      </c>
    </row>
    <row r="371" ht="15" customHeight="1">
      <c r="A371" s="77" t="n"/>
      <c r="B371" s="78" t="n"/>
      <c r="C371" s="78" t="n"/>
      <c r="D371" s="78" t="n"/>
      <c r="E371" s="78" t="n"/>
      <c r="F371" s="78" t="n"/>
      <c r="G371" s="78" t="n"/>
      <c r="H371" s="78" t="n"/>
      <c r="I371" s="78" t="n"/>
      <c r="J371" s="78" t="n"/>
      <c r="K371" s="78" t="n"/>
      <c r="L371" s="78" t="n"/>
      <c r="M371" s="78" t="n"/>
      <c r="N371" s="78" t="n"/>
      <c r="O371" s="78" t="n"/>
      <c r="P371" s="78" t="n"/>
      <c r="Q371" s="78" t="n"/>
      <c r="R371" s="78" t="n"/>
      <c r="S371" s="79" t="n"/>
      <c r="T371" s="79" t="n"/>
      <c r="U371" s="79" t="n"/>
      <c r="V371" s="79" t="n"/>
      <c r="W371" s="79" t="n"/>
      <c r="X371" s="79" t="n"/>
      <c r="Y371" s="79" t="n"/>
      <c r="Z371" s="79" t="n"/>
      <c r="AA371" s="79" t="n"/>
      <c r="AB371" s="79" t="n"/>
      <c r="AC371" s="79" t="n"/>
      <c r="AD371" s="79" t="n"/>
      <c r="AE371" s="79" t="n"/>
      <c r="AF371" s="79" t="n"/>
      <c r="AG371" s="79" t="n"/>
      <c r="AH371" s="80" t="n"/>
      <c r="AI371" s="80" t="n"/>
      <c r="AJ371" s="80" t="n"/>
      <c r="AK371" s="80" t="n"/>
      <c r="AL371" s="80" t="n"/>
      <c r="AM371" s="80" t="n"/>
      <c r="AN371" s="80" t="n"/>
      <c r="AO371" s="80" t="n"/>
      <c r="AP371" s="80" t="n"/>
      <c r="AQ371" s="80" t="n"/>
      <c r="AR371" s="80" t="n"/>
      <c r="AS371" s="80" t="n"/>
      <c r="AT371" s="81" t="n"/>
      <c r="AU371" s="81" t="n"/>
      <c r="AV371" s="81" t="n"/>
      <c r="AW371" s="82" t="n"/>
      <c r="AX371" s="82" t="n"/>
      <c r="AY371" s="82" t="n"/>
      <c r="AZ371" s="82" t="n"/>
      <c r="BA371" s="82" t="n"/>
      <c r="BB371" s="83" t="n"/>
      <c r="BC371" s="83" t="n"/>
      <c r="BD371" s="84">
        <f>IF($A371="","",IF($DJ371&lt;&gt;"","FIX",IF($DK371&lt;&gt;"","CHECK","OK")))</f>
        <v/>
      </c>
      <c r="BE371" s="85">
        <f>IF($A371="","",IF($DJ371&lt;&gt;"","FIX: "&amp;LEFT($DJ371,LEN($DJ371)-2)&amp;IF($DK371&lt;&gt;"","  ·  ",""),"")&amp;IF($DK371&lt;&gt;"","CHECK: "&amp;LEFT($DK371,LEN($DK371)-2),""))</f>
        <v/>
      </c>
      <c r="BF371" s="84">
        <f>IF(OR($A371="",$K371=""),"",$K371&amp;"'-"&amp;N($L371)&amp;CHAR(34)&amp;" x "&amp;$M371&amp;"'-"&amp;N($N371)&amp;CHAR(34))</f>
        <v/>
      </c>
      <c r="BG371" s="84">
        <f>IF(OR($A371="",$K371=""),"",$K371&amp;N($L371)&amp;$M371&amp;N($N371))</f>
        <v/>
      </c>
      <c r="BH371" s="84">
        <f>IF(OR($A371="",$K371=""),"",$K371*12+N($L371))</f>
        <v/>
      </c>
      <c r="BI371" s="84">
        <f>IF(OR($A371="",$M371=""),"",$M371*12+N($N371))</f>
        <v/>
      </c>
      <c r="BJ371" s="84">
        <f>IF($A371="","",IF(OR($C371="FRAME ONLY",$S371="BL"),0,IF($O371="Y",2,1)))</f>
        <v/>
      </c>
      <c r="BK371" s="86">
        <f>IF(OR(N($BJ371)=0,$BH371=""),"",($BH371-2*EdgeClr-IF($BJ371=2,MeetClr,0))/$BJ371)</f>
        <v/>
      </c>
      <c r="BL371" s="86">
        <f>IF(OR(N($BJ371)=0,$BI371=""),"",$BI371-HeadClr-Undercut)</f>
        <v/>
      </c>
      <c r="BM371" s="86">
        <f>IF($BH371="","",$BH371+2*FaceW+IF(N($Q371)&gt;0,($Q371+FaceW)*IF($R371="LR",2,1),0))</f>
        <v/>
      </c>
      <c r="BN371" s="86">
        <f>IF($BI371="","",$BI371+IF($AB371="Y",4,FaceW)+IF(N($P371)&gt;0,$P371+FaceW,0)+IF(OR($S371="4F",$S371="BL"),FaceW,0))</f>
        <v/>
      </c>
      <c r="BO371" s="86">
        <f>IF($BM371="","",$BM371+2*ROSide)</f>
        <v/>
      </c>
      <c r="BP371" s="86">
        <f>IF($BN371="","",$BN371+ROTop)</f>
        <v/>
      </c>
      <c r="BQ371" s="87">
        <f>IF(OR(N($BJ371)=0,$BH371=""),"",$BH371/$BJ371-ClearDeduct)</f>
        <v/>
      </c>
      <c r="BR371" s="84">
        <f>IF(N($CH371)=0,"",IF($CH371&gt;=180,"A · 3 HR",IF($CH371&gt;=90,"B · 1-1/2 HR",IF($CH371&gt;=60,"B · 1 HR",IF($CH371&gt;=45,"C · 3/4 HR","20 MIN")))))&amp;IF(AND(N($CH371)&gt;0,OR($I371="CORRIDOR",$I371="SMOKE BARRIER"))," · S","")</f>
        <v/>
      </c>
      <c r="BS371" s="84">
        <f>IF($CS371,"",IF($AV371&lt;&gt;"",$AV371,IF(OR($AC371="HGC",$AO371="HGC"),"CONT",IF(($BI371-HeadClr-Undercut)&lt;=60,2,IF(($BI371-HeadClr-Undercut)&lt;=90,3,IF(($BI371-HeadClr-Undercut)&lt;=120,4,5))))))</f>
        <v/>
      </c>
      <c r="BT371" s="84">
        <f>IF($CS371,"",IF($CT371,"CUSTOM (typed)",IF($CV371,$AT371&amp;" "&amp;$CU371&amp;CHAR(34)&amp;IF($CU371&lt;&gt;$BI371,IF(AND($BI371&lt;$CU371,$BI371-IF(N(VLOOKUP($AT371&amp;"|"&amp;$CU371,LocTable,7,FALSE))&gt;0,VLOOKUP($AT371&amp;"|"&amp;$CU371,LocTable,7,FALSE),VLOOKUP($AT371&amp;"|"&amp;$CU371,LocTable,6,FALSE))-$CR371-0.75&gt;=2.125)," cut down"," adj."),""),"ANSI/SDI A250.6")))</f>
        <v/>
      </c>
      <c r="BU371" s="88">
        <f>IF($CS371,"",IF($CT371,IF(N($AW371)&gt;0,N($AW371),""),IF(1&gt;$CQ371,"",IF($CQ371=1,$CW371,$CW371+($CX371-$CW371)*0/($CQ371-1)))))</f>
        <v/>
      </c>
      <c r="BV371" s="88">
        <f>IF($CS371,"",IF($CT371,IF(N($AX371)&gt;0,N($AX371),""),IF(2&gt;$CQ371,"",IF($CQ371=1,$CW371,$CW371+($CX371-$CW371)*1/($CQ371-1)))))</f>
        <v/>
      </c>
      <c r="BW371" s="88">
        <f>IF($CS371,"",IF($CT371,IF(N($AY371)&gt;0,N($AY371),""),IF(3&gt;$CQ371,"",IF($CQ371=1,$CW371,$CW371+($CX371-$CW371)*2/($CQ371-1)))))</f>
        <v/>
      </c>
      <c r="BX371" s="88">
        <f>IF($CS371,"",IF($CT371,IF(N($AZ371)&gt;0,N($AZ371),""),IF(4&gt;$CQ371,"",IF($CQ371=1,$CW371,$CW371+($CX371-$CW371)*3/($CQ371-1)))))</f>
        <v/>
      </c>
      <c r="BY371" s="88">
        <f>IF($CS371,"",IF($CT371,"",IF(5&gt;$CQ371,"",IF($CQ371=1,$CW371,$CW371+($CX371-$CW371)*4/($CQ371-1)))))</f>
        <v/>
      </c>
      <c r="BZ371" s="88">
        <f>IF(OR($CS371,$AP371="-",AND($AP371="",$AD371="")),"",IF(N($BA371)&gt;0,N($BA371),IF($CV371,IF(AND($BI371&lt;$CU371,$BI371-IF(N(VLOOKUP($AT371&amp;"|"&amp;$CU371,LocTable,7,FALSE))&gt;0,VLOOKUP($AT371&amp;"|"&amp;$CU371,LocTable,7,FALSE),VLOOKUP($AT371&amp;"|"&amp;$CU371,LocTable,6,FALSE))-$CR371-0.75&gt;=2.125),VLOOKUP($AT371&amp;"|"&amp;$CU371,LocTable,8,FALSE),VLOOKUP($AT371&amp;"|"&amp;$CU371,LocTable,8,FALSE)+($BI371-$CU371)),$BI371-LockAFF)))</f>
        <v/>
      </c>
      <c r="CA371" s="89">
        <f>IF($BZ371="","",$BI371-$BZ371)</f>
        <v/>
      </c>
      <c r="CB371" s="84">
        <f>IF(OR(NOT(AND($A371&lt;&gt;"",$C371&lt;&gt;"DOOR ONLY")),$BI371=""),"",IF(($BI371+IF(N($P371)&gt;0,$P371+FaceW,0))&lt;=90,3,IF(($BI371+IF(N($P371)&gt;0,$P371+FaceW,0))&lt;=114,4,5)))</f>
        <v/>
      </c>
      <c r="CC371" s="84">
        <f>IF($CB371="","",$CB371*(2+IF(N($Q371)&gt;0,IF($R371="LR",2,1),0)))</f>
        <v/>
      </c>
      <c r="CD371" s="84">
        <f>IF($CB371="","",(2+IF(N($Q371)&gt;0,IF($R371="LR",2,1),0)))</f>
        <v/>
      </c>
      <c r="CE371" s="84">
        <f>IF(N($BJ371)=0,"",IF(OR($AL371="",$AL371="FLUSH"),"FLUSH",IFERROR(LEFT($AL371,FIND("-",$AL371)-1),LEFT($AL371,2))))</f>
        <v/>
      </c>
      <c r="CF371" s="84">
        <f>IF($CE371="","",IFERROR(VALUE(MID($AL371,FIND("-",$AL371)+1,FIND(CHAR(34)&amp;"x",$AL371)-FIND("-",$AL371)-1)),0))</f>
        <v/>
      </c>
      <c r="CG371" s="84">
        <f>IF($CE371="","",IFERROR(VALUE(MID($AL371,FIND(CHAR(34)&amp;"x",$AL371)+2,FIND(CHAR(34),$AL371,FIND(CHAR(34)&amp;"x",$AL371)+2)-FIND(CHAR(34)&amp;"x",$AL371)-2)),0))</f>
        <v/>
      </c>
      <c r="CH371" s="90">
        <f>IF(OR($A371="",$H371="",$H371="NO LAB"),0,IFERROR(VALUE(LEFT($H371,FIND(" ",$H371)-1)),0))</f>
        <v/>
      </c>
      <c r="CI371" s="91">
        <f>IF(OR($A371="",$I371="",$I371="NON-RATED",N($J371)=0),"",IFERROR(VLOOKUP($I371&amp;"|"&amp;$J371,IBC,2,FALSE),"?"))</f>
        <v/>
      </c>
      <c r="CJ371" s="85">
        <f>IF(NOT(AND($A371&lt;&gt;"",$C371&lt;&gt;"DOOR ONLY")),"",TRIM(IFERROR(VLOOKUP($U371,CODES,2,FALSE),"")&amp;" "&amp;$BG371&amp;" "&amp;IFERROR(VLOOKUP($Z371,CODES,2,FALSE),"")&amp;" "&amp;IFERROR(VLOOKUP($X371,CODES,2,FALSE),"")&amp;" "&amp;IFERROR(VLOOKUP($S371,CODES,2,FALSE),"")&amp;IF(N($P371)&gt;0," w/TRANSOM "&amp;$P371&amp;CHAR(34),"")&amp;IF(N($Q371)&gt;0," w/SIDELITE "&amp;$Q371&amp;CHAR(34)&amp;" "&amp;IF($R371="","R",$R371),"")&amp;IF($Y371="","  |  "," | "&amp;IFERROR(VLOOKUP($Y371,CODES,2,FALSE),"")&amp;" | ")&amp;IFERROR(VLOOKUP($AC371,CODES,2,FALSE),"")&amp;" "&amp;IFERROR(VLOOKUP($AD371,CODES,2,FALSE),"")&amp;IF(OR($AE371="",$AE371="-"),""," "&amp;$AE371)&amp;IF(OR($AF371="",$AF371="-"),""," "&amp;$AF371)&amp;IF($AB371="Y"," 4"&amp;CHAR(34)&amp;" HEAD","")&amp;" "&amp;IFERROR(VLOOKUP($H371,CODES,2,FALSE),"")&amp;IF($CT371," | LOC "&amp;$CY371,"")))</f>
        <v/>
      </c>
      <c r="CK371" s="85">
        <f>IF(NOT(AND($A371&lt;&gt;"",N($BJ371)&gt;0)),"",TRIM(IFERROR(VLOOKUP($AH371,CODES,2,FALSE),"")&amp;IF($AI371=""," "," "&amp;$AI371&amp;"GA ")&amp;$BG371&amp;" "&amp;IF($AN371="",IFERROR(VLOOKUP($Z371,CODES,2,FALSE),""),IFERROR(VLOOKUP($AN371,CODES,2,FALSE),""))&amp;IF($BJ371=2," PAIR","")&amp;" DOOR | "&amp;IF($AL371="","?",$AL371)&amp;" | "&amp;IF($AO371="",IFERROR(VLOOKUP($AC371,CODES,2,FALSE),""),IFERROR(VLOOKUP($AO371,CODES,2,FALSE),""))&amp;" "&amp;IFERROR(VLOOKUP($AP371,CODES,2,FALSE),"")&amp;IF(OR($AQ371="",$AQ371="-"),""," SEAM "&amp;$AQ371)&amp;IF($AR371="Y"," ASTRAGAL","")&amp;IF($AJ371=""," "," "&amp;$AJ371)&amp;IF($AK371=""," "," "&amp;$AK371)&amp;IF(OR($AT371="",$AT371="ANSI/SDI",$AT371="CUSTOM LOC"),""," "&amp;$AT371)&amp;IF($AM371=""," "," SERIES "&amp;$AM371)&amp;" "&amp;IFERROR(VLOOKUP($H371,CODES,2,FALSE),"")&amp;IF($CT371," | LOC "&amp;$CZ371,"")))</f>
        <v/>
      </c>
      <c r="CL371" s="84">
        <f>IF(CP371="","",IF(COUNTIF($CP$6:CP371,CP371)=1,MAX($CL$5:CL370)+1,INDEX($CL$5:CL370,MATCH(CP371,$CP$5:CP370,0))))</f>
        <v/>
      </c>
      <c r="CM371" s="84">
        <f>IF(NOT(AND($A371&lt;&gt;"",$C371&lt;&gt;"DOOR ONLY")),"",MAX($CM$5:CM370)+1)</f>
        <v/>
      </c>
      <c r="CN371" s="84">
        <f>IF(NOT(AND($A371&lt;&gt;"",N($BJ371)&gt;0)),"",MAX($CN$5:CN370)+1)</f>
        <v/>
      </c>
      <c r="CO371" s="84">
        <f>IF($A371="","",MAX($CO$5:CO370)+1)</f>
        <v/>
      </c>
      <c r="CP371" s="84">
        <f>IF(OR($A371="",$BH371="",$BI371=""),"",$BG371&amp;"|"&amp;$O371&amp;"|"&amp;$AL371&amp;"|"&amp;$S371&amp;"|"&amp;$P371&amp;"|"&amp;$Q371&amp;$R371&amp;"|"&amp;$C371&amp;"|"&amp;$AB371)</f>
        <v/>
      </c>
      <c r="CQ371" s="84">
        <f>N($BS371)</f>
        <v/>
      </c>
      <c r="CR371" s="84">
        <f>IF(N($AU371)&gt;0,N($AU371),4.5)</f>
        <v/>
      </c>
      <c r="CS371" s="84">
        <f>OR($A371="",$BI371="",$S371="BL",AND($C371="FRAME ONLY",OR($AC371="",$AC371="BLK")))</f>
        <v/>
      </c>
      <c r="CT371" s="84">
        <f>AND(NOT($CS371),OR($AT371="CUSTOM LOC",N($AW371)+N($AX371)+N($AY371)+N($AZ371)+N($BA371)&gt;0))</f>
        <v/>
      </c>
      <c r="CU371" s="84">
        <f>IF($BI371="","",IF($BI371&lt;=80,80,IF($BI371&lt;=84,84,96)))</f>
        <v/>
      </c>
      <c r="CV371" s="84">
        <f>ISNUMBER(MATCH($AT371&amp;"|80",LocKeys,0))</f>
        <v/>
      </c>
      <c r="CW371" s="86">
        <f>IF($CS371,"",IF($CV371,VLOOKUP($AT371&amp;"|"&amp;$CU371,LocTable,4,FALSE),5))</f>
        <v/>
      </c>
      <c r="CX371" s="86">
        <f>IF($CS371,"",IF($CV371,IF(OR($BI371=$CU371,AND($BI371&lt;$CU371,$BI371-IF(N(VLOOKUP($AT371&amp;"|"&amp;$CU371,LocTable,7,FALSE))&gt;0,VLOOKUP($AT371&amp;"|"&amp;$CU371,LocTable,7,FALSE),VLOOKUP($AT371&amp;"|"&amp;$CU371,LocTable,6,FALSE))-$CR371-0.75&gt;=2.125)),IF(N(VLOOKUP($AT371&amp;"|"&amp;$CU371,LocTable,7,FALSE))&gt;0,VLOOKUP($AT371&amp;"|"&amp;$CU371,LocTable,7,FALSE),VLOOKUP($AT371&amp;"|"&amp;$CU371,LocTable,6,FALSE)),$BI371-($CU371-IF(N(VLOOKUP($AT371&amp;"|"&amp;$CU371,LocTable,7,FALSE))&gt;0,VLOOKUP($AT371&amp;"|"&amp;$CU371,LocTable,7,FALSE),VLOOKUP($AT371&amp;"|"&amp;$CU371,LocTable,6,FALSE)))),$BI371-10-$CR371))</f>
        <v/>
      </c>
      <c r="CY371" s="85">
        <f>IF($CS371,"",TRIM(IF(ISNUMBER($BU371),"A "&amp;TRIM(TEXT($BU371,"# ?/??"))&amp;CHAR(34)&amp;"  ","")&amp;IF(ISNUMBER($BV371),"B "&amp;TRIM(TEXT($BV371,"# ?/??"))&amp;CHAR(34)&amp;"  ","")&amp;IF(ISNUMBER($BW371),"C "&amp;TRIM(TEXT($BW371,"# ?/??"))&amp;CHAR(34)&amp;"  ","")&amp;IF(ISNUMBER($BX371),"D "&amp;TRIM(TEXT($BX371,"# ?/??"))&amp;CHAR(34)&amp;"  ","")&amp;IF(ISNUMBER($BY371),"F "&amp;TRIM(TEXT($BY371,"# ?/??"))&amp;CHAR(34)&amp;"  ","")&amp;IF(ISNUMBER($BZ371),"E "&amp;TRIM(TEXT($BZ371,"# ?/??"))&amp;CHAR(34)&amp;"  ","")))</f>
        <v/>
      </c>
      <c r="CZ371" s="85">
        <f>IF(OR($CS371,N($BJ371)=0),"",TRIM(IF(ISNUMBER($BU371),"A "&amp;TRIM(TEXT($BU371-HeadClr,"# ?/??"))&amp;CHAR(34)&amp;"  ","")&amp;IF(ISNUMBER($BV371),"B "&amp;TRIM(TEXT($BV371-HeadClr,"# ?/??"))&amp;CHAR(34)&amp;"  ","")&amp;IF(ISNUMBER($BW371),"C "&amp;TRIM(TEXT($BW371-HeadClr,"# ?/??"))&amp;CHAR(34)&amp;"  ","")&amp;IF(ISNUMBER($BX371),"D "&amp;TRIM(TEXT($BX371-HeadClr,"# ?/??"))&amp;CHAR(34)&amp;"  ","")&amp;IF(ISNUMBER($BY371),"F "&amp;TRIM(TEXT($BY371-HeadClr,"# ?/??"))&amp;CHAR(34)&amp;"  ","")&amp;IF(ISNUMBER($BZ371),"E "&amp;TRIM(TEXT($BZ371-HeadClr,"# ?/??"))&amp;CHAR(34)&amp;"  ","")))</f>
        <v/>
      </c>
      <c r="DA371" s="84">
        <f>IF($A371="","",IF($AN371="",IFERROR(VLOOKUP($Z371,CODES,2,FALSE),""),IFERROR(VLOOKUP($AN371,CODES,2,FALSE),"")))</f>
        <v/>
      </c>
      <c r="DB371" s="84">
        <f>IF($A371="","",IF($O371="Y","PR",IF(OR($Z371="L",$Z371="RR",LEFT($Z371,2)="L-",LEFT($Z371,3)="RR-"),"LH","RH")))</f>
        <v/>
      </c>
      <c r="DC371" s="84">
        <f>IF($A371="","","S.HM"&amp;IF(OR($C371="DOOR ONLY",$X371&lt;&gt;"KD"),"MASONRY","DRYWALL")&amp;IF($C371="DOOR ONLY","",$U371)&amp;IF(AND($C371&lt;&gt;"FRAME ONLY",OR(LEFT($AH371,3)="OAK",LEFT($AH371,3)="BIR",LEFT($AH371,3)="MAP",$AH371="PC",$AH371="MC",$AH371="SCLC",$AH371="P-LAM")),"WD","HM")&amp;"1.75")</f>
        <v/>
      </c>
      <c r="DD371" s="84">
        <f>IF($CJ371="","",IF($O371="Y",$CJ371,SUBSTITUTE($CJ371,$BG371&amp;" "&amp;IFERROR(VLOOKUP($Z371,CODES,2,FALSE),"")&amp;" ",$BG371&amp;" ")))</f>
        <v/>
      </c>
      <c r="DE371" s="84">
        <f>IF($CK371="","",IF($O371="Y",$CK371,SUBSTITUTE($CK371,$BG371&amp;" "&amp;IF($AN371="",IFERROR(VLOOKUP($Z371,CODES,2,FALSE),""),IFERROR(VLOOKUP($AN371,CODES,2,FALSE),""))&amp;" ",$BG371&amp;" ")))</f>
        <v/>
      </c>
      <c r="DF371" s="84">
        <f>IF($CJ371="","",$DC371&amp;"|"&amp;$DD371&amp;"|"&amp;$DB371&amp;"|"&amp;$AT371&amp;"|"&amp;$V371&amp;"|"&amp;$Y371&amp;"|"&amp;$AB371)</f>
        <v/>
      </c>
      <c r="DG371" s="84">
        <f>IF(DF371="","",IF(COUNTIF($DF$6:DF371,DF371)=1,MAX($DG$5:DG370)+1,INDEX($DG$5:DG370,MATCH(DF371,$DF$5:DF370,0))))</f>
        <v/>
      </c>
      <c r="DH371" s="84">
        <f>IF($CK371="","",$DC371&amp;"|"&amp;$DE371&amp;"|"&amp;$AI371&amp;"|"&amp;$BK371&amp;"|"&amp;$BL371)</f>
        <v/>
      </c>
      <c r="DI371" s="84">
        <f>IF(DH371="","",IF(COUNTIF($DH$6:DH371,DH371)=1,MAX($DI$5:DI370)+1,INDEX($DI$5:DI370,MATCH(DH371,$DH$5:DH370,0))))</f>
        <v/>
      </c>
      <c r="DJ371" s="84">
        <f>IF($A371="","",IF($B371="","qty, ","")&amp;IF($C371="","scope, ","")&amp;IF(OR($K371="",$M371=""),"size, ","")&amp;IF(AND($A371&lt;&gt;"",$C371&lt;&gt;"DOOR ONLY"),IF($U371="","jamb depth, ","")&amp;IF($X371="","construction, ","")&amp;IF($Y371="","anchor, ","")&amp;IF($S371="","frame type, ",""),"")&amp;IF(AND(N($BJ371)&gt;0,$Z371=""),"hand, ","")&amp;IF(N($BJ371)&gt;0,IF($AH371="","door material, ","")&amp;IF($AL371="","face type, ","")&amp;IF($AP371="","lock prep, ","")&amp;IF(AND($AO371="",$AC371=""),"hinge prep, ",""),"")&amp;IF(AND($CH371&gt;0,$AH371="FRP"),"FRP cannot carry a label, ","")&amp;IF(AND($O371="Y",OR($Z371="L",$Z371="R",$Z371="LR",$Z371="RR")),"pair marked but hand is single, ","")&amp;IF(AND($O371&lt;&gt;"Y",OR($Z371="PR",AND(LEN($Z371)&gt;1,ISNUMBER(SEARCH("-",$Z371))))),"pair hand on a single door, ","")&amp;IF(AND(ISNUMBER($CI371),$CH371&lt;N($CI371)),"wall needs a "&amp;$CI371&amp;" min door, ","")&amp;IF(AND($CH371&gt;=180,AND(OR($CE371="FG",$CE371="HG",$CE371="FNV",$CE371="FV"),N($CF371)*N($CG371)&gt;100)),"180 min lite over 100 sq in, ","")&amp;IF(N($BK371)&gt;48,"leaf wider than 4'-0"&amp;CHAR(34)&amp;", ","")&amp;IF(AND($CT371,COUNT($AW371:$AZ371)=0,$CQ371&gt;0),"CUSTOM LOC with no locations typed, ",""))</f>
        <v/>
      </c>
      <c r="DK371" s="84">
        <f>IF($A371="","",IF(AND($CH371&gt;0,AND($A371&lt;&gt;"",$C371&lt;&gt;"DOOR ONLY"),$X371="KD",$E371="EXTERIOR"),"KD label on an exterior opening, ","")&amp;IF(AND($E371="EXTERIOR",OR(AND(AND($A371&lt;&gt;"",$C371&lt;&gt;"DOOR ONLY"),$W371="CR"),AND(N($BJ371)&gt;0,$AH371="CR"))),"exterior in CR steel (G9?), ","")&amp;IF(AND(ISNUMBER($BQ371),N($BQ371)&lt;32),"clear width ~"&amp;TEXT($BQ371,"0.0")&amp;CHAR(34)&amp;" under 32"&amp;CHAR(34)&amp;" (ADA), ","")&amp;IF(AND($CH371=90,AND(OR($CE371="FG",$CE371="HG",$CE371="FNV",$CE371="FV"),N($CF371)*N($CG371)&gt;100)),"90 min lite over 100 sq in (stair/exit), ","")&amp;IF(AND($CH371&gt;0,AND($A371&lt;&gt;"",$C371&lt;&gt;"DOOR ONLY"),OR($AF371="",$AF371="-")),"rated: closer reinf.?, ","")&amp;IF(OR($I371="CORRIDOR",$I371="SMOKE BARRIER"),"S label + smoke gasketing, ","")&amp;IF($CI371="?","wall type/hr not in IBC table, ","")&amp;IF(AND(N($BJ371)&gt;0,$BB371=""),"no hardware set, ","")&amp;IF(AND($BB371&lt;&gt;"",ISNA(MATCH($BB371&amp;"",HWSets,0))),"set "&amp;$BB371&amp;" not on HW Sets, ","")&amp;IF(N($BL371)&gt;96,"leaf over 8'-0"&amp;CHAR(34)&amp;" - check listing, ","")&amp;IF(AND($CT371,COUNT($AW371:$AZ371)&gt;0,COUNT($AW371:$AZ371)&lt;&gt;$CQ371),COUNT($AW371:$AZ371)&amp;" custom hinges typed, "&amp;$CQ371&amp;" expected, ","")&amp;IF(AND(ISNUMBER($CA371),OR(N($CA371)&lt;34,N($CA371)&gt;48)),"lock "&amp;TEXT($CA371,"0.0")&amp;CHAR(34)&amp;" AFF outside 34-48"&amp;CHAR(34)&amp;" (ADA), ","")&amp;IF(AND(ISNUMBER($AV371),ISNUMBER($BL371),N($AV371)&lt;IF(N($BL371)&lt;=60,2,IF(N($BL371)&lt;=90,3,IF(N($BL371)&lt;=120,4,5)))),"fewer hinges than standard, ",""))</f>
        <v/>
      </c>
    </row>
    <row r="372" ht="15" customHeight="1">
      <c r="A372" s="77" t="n"/>
      <c r="B372" s="78" t="n"/>
      <c r="C372" s="78" t="n"/>
      <c r="D372" s="78" t="n"/>
      <c r="E372" s="78" t="n"/>
      <c r="F372" s="78" t="n"/>
      <c r="G372" s="78" t="n"/>
      <c r="H372" s="78" t="n"/>
      <c r="I372" s="78" t="n"/>
      <c r="J372" s="78" t="n"/>
      <c r="K372" s="78" t="n"/>
      <c r="L372" s="78" t="n"/>
      <c r="M372" s="78" t="n"/>
      <c r="N372" s="78" t="n"/>
      <c r="O372" s="78" t="n"/>
      <c r="P372" s="78" t="n"/>
      <c r="Q372" s="78" t="n"/>
      <c r="R372" s="78" t="n"/>
      <c r="S372" s="79" t="n"/>
      <c r="T372" s="79" t="n"/>
      <c r="U372" s="79" t="n"/>
      <c r="V372" s="79" t="n"/>
      <c r="W372" s="79" t="n"/>
      <c r="X372" s="79" t="n"/>
      <c r="Y372" s="79" t="n"/>
      <c r="Z372" s="79" t="n"/>
      <c r="AA372" s="79" t="n"/>
      <c r="AB372" s="79" t="n"/>
      <c r="AC372" s="79" t="n"/>
      <c r="AD372" s="79" t="n"/>
      <c r="AE372" s="79" t="n"/>
      <c r="AF372" s="79" t="n"/>
      <c r="AG372" s="79" t="n"/>
      <c r="AH372" s="80" t="n"/>
      <c r="AI372" s="80" t="n"/>
      <c r="AJ372" s="80" t="n"/>
      <c r="AK372" s="80" t="n"/>
      <c r="AL372" s="80" t="n"/>
      <c r="AM372" s="80" t="n"/>
      <c r="AN372" s="80" t="n"/>
      <c r="AO372" s="80" t="n"/>
      <c r="AP372" s="80" t="n"/>
      <c r="AQ372" s="80" t="n"/>
      <c r="AR372" s="80" t="n"/>
      <c r="AS372" s="80" t="n"/>
      <c r="AT372" s="81" t="n"/>
      <c r="AU372" s="81" t="n"/>
      <c r="AV372" s="81" t="n"/>
      <c r="AW372" s="82" t="n"/>
      <c r="AX372" s="82" t="n"/>
      <c r="AY372" s="82" t="n"/>
      <c r="AZ372" s="82" t="n"/>
      <c r="BA372" s="82" t="n"/>
      <c r="BB372" s="83" t="n"/>
      <c r="BC372" s="83" t="n"/>
      <c r="BD372" s="84">
        <f>IF($A372="","",IF($DJ372&lt;&gt;"","FIX",IF($DK372&lt;&gt;"","CHECK","OK")))</f>
        <v/>
      </c>
      <c r="BE372" s="85">
        <f>IF($A372="","",IF($DJ372&lt;&gt;"","FIX: "&amp;LEFT($DJ372,LEN($DJ372)-2)&amp;IF($DK372&lt;&gt;"","  ·  ",""),"")&amp;IF($DK372&lt;&gt;"","CHECK: "&amp;LEFT($DK372,LEN($DK372)-2),""))</f>
        <v/>
      </c>
      <c r="BF372" s="84">
        <f>IF(OR($A372="",$K372=""),"",$K372&amp;"'-"&amp;N($L372)&amp;CHAR(34)&amp;" x "&amp;$M372&amp;"'-"&amp;N($N372)&amp;CHAR(34))</f>
        <v/>
      </c>
      <c r="BG372" s="84">
        <f>IF(OR($A372="",$K372=""),"",$K372&amp;N($L372)&amp;$M372&amp;N($N372))</f>
        <v/>
      </c>
      <c r="BH372" s="84">
        <f>IF(OR($A372="",$K372=""),"",$K372*12+N($L372))</f>
        <v/>
      </c>
      <c r="BI372" s="84">
        <f>IF(OR($A372="",$M372=""),"",$M372*12+N($N372))</f>
        <v/>
      </c>
      <c r="BJ372" s="84">
        <f>IF($A372="","",IF(OR($C372="FRAME ONLY",$S372="BL"),0,IF($O372="Y",2,1)))</f>
        <v/>
      </c>
      <c r="BK372" s="86">
        <f>IF(OR(N($BJ372)=0,$BH372=""),"",($BH372-2*EdgeClr-IF($BJ372=2,MeetClr,0))/$BJ372)</f>
        <v/>
      </c>
      <c r="BL372" s="86">
        <f>IF(OR(N($BJ372)=0,$BI372=""),"",$BI372-HeadClr-Undercut)</f>
        <v/>
      </c>
      <c r="BM372" s="86">
        <f>IF($BH372="","",$BH372+2*FaceW+IF(N($Q372)&gt;0,($Q372+FaceW)*IF($R372="LR",2,1),0))</f>
        <v/>
      </c>
      <c r="BN372" s="86">
        <f>IF($BI372="","",$BI372+IF($AB372="Y",4,FaceW)+IF(N($P372)&gt;0,$P372+FaceW,0)+IF(OR($S372="4F",$S372="BL"),FaceW,0))</f>
        <v/>
      </c>
      <c r="BO372" s="86">
        <f>IF($BM372="","",$BM372+2*ROSide)</f>
        <v/>
      </c>
      <c r="BP372" s="86">
        <f>IF($BN372="","",$BN372+ROTop)</f>
        <v/>
      </c>
      <c r="BQ372" s="87">
        <f>IF(OR(N($BJ372)=0,$BH372=""),"",$BH372/$BJ372-ClearDeduct)</f>
        <v/>
      </c>
      <c r="BR372" s="84">
        <f>IF(N($CH372)=0,"",IF($CH372&gt;=180,"A · 3 HR",IF($CH372&gt;=90,"B · 1-1/2 HR",IF($CH372&gt;=60,"B · 1 HR",IF($CH372&gt;=45,"C · 3/4 HR","20 MIN")))))&amp;IF(AND(N($CH372)&gt;0,OR($I372="CORRIDOR",$I372="SMOKE BARRIER"))," · S","")</f>
        <v/>
      </c>
      <c r="BS372" s="84">
        <f>IF($CS372,"",IF($AV372&lt;&gt;"",$AV372,IF(OR($AC372="HGC",$AO372="HGC"),"CONT",IF(($BI372-HeadClr-Undercut)&lt;=60,2,IF(($BI372-HeadClr-Undercut)&lt;=90,3,IF(($BI372-HeadClr-Undercut)&lt;=120,4,5))))))</f>
        <v/>
      </c>
      <c r="BT372" s="84">
        <f>IF($CS372,"",IF($CT372,"CUSTOM (typed)",IF($CV372,$AT372&amp;" "&amp;$CU372&amp;CHAR(34)&amp;IF($CU372&lt;&gt;$BI372,IF(AND($BI372&lt;$CU372,$BI372-IF(N(VLOOKUP($AT372&amp;"|"&amp;$CU372,LocTable,7,FALSE))&gt;0,VLOOKUP($AT372&amp;"|"&amp;$CU372,LocTable,7,FALSE),VLOOKUP($AT372&amp;"|"&amp;$CU372,LocTable,6,FALSE))-$CR372-0.75&gt;=2.125)," cut down"," adj."),""),"ANSI/SDI A250.6")))</f>
        <v/>
      </c>
      <c r="BU372" s="88">
        <f>IF($CS372,"",IF($CT372,IF(N($AW372)&gt;0,N($AW372),""),IF(1&gt;$CQ372,"",IF($CQ372=1,$CW372,$CW372+($CX372-$CW372)*0/($CQ372-1)))))</f>
        <v/>
      </c>
      <c r="BV372" s="88">
        <f>IF($CS372,"",IF($CT372,IF(N($AX372)&gt;0,N($AX372),""),IF(2&gt;$CQ372,"",IF($CQ372=1,$CW372,$CW372+($CX372-$CW372)*1/($CQ372-1)))))</f>
        <v/>
      </c>
      <c r="BW372" s="88">
        <f>IF($CS372,"",IF($CT372,IF(N($AY372)&gt;0,N($AY372),""),IF(3&gt;$CQ372,"",IF($CQ372=1,$CW372,$CW372+($CX372-$CW372)*2/($CQ372-1)))))</f>
        <v/>
      </c>
      <c r="BX372" s="88">
        <f>IF($CS372,"",IF($CT372,IF(N($AZ372)&gt;0,N($AZ372),""),IF(4&gt;$CQ372,"",IF($CQ372=1,$CW372,$CW372+($CX372-$CW372)*3/($CQ372-1)))))</f>
        <v/>
      </c>
      <c r="BY372" s="88">
        <f>IF($CS372,"",IF($CT372,"",IF(5&gt;$CQ372,"",IF($CQ372=1,$CW372,$CW372+($CX372-$CW372)*4/($CQ372-1)))))</f>
        <v/>
      </c>
      <c r="BZ372" s="88">
        <f>IF(OR($CS372,$AP372="-",AND($AP372="",$AD372="")),"",IF(N($BA372)&gt;0,N($BA372),IF($CV372,IF(AND($BI372&lt;$CU372,$BI372-IF(N(VLOOKUP($AT372&amp;"|"&amp;$CU372,LocTable,7,FALSE))&gt;0,VLOOKUP($AT372&amp;"|"&amp;$CU372,LocTable,7,FALSE),VLOOKUP($AT372&amp;"|"&amp;$CU372,LocTable,6,FALSE))-$CR372-0.75&gt;=2.125),VLOOKUP($AT372&amp;"|"&amp;$CU372,LocTable,8,FALSE),VLOOKUP($AT372&amp;"|"&amp;$CU372,LocTable,8,FALSE)+($BI372-$CU372)),$BI372-LockAFF)))</f>
        <v/>
      </c>
      <c r="CA372" s="89">
        <f>IF($BZ372="","",$BI372-$BZ372)</f>
        <v/>
      </c>
      <c r="CB372" s="84">
        <f>IF(OR(NOT(AND($A372&lt;&gt;"",$C372&lt;&gt;"DOOR ONLY")),$BI372=""),"",IF(($BI372+IF(N($P372)&gt;0,$P372+FaceW,0))&lt;=90,3,IF(($BI372+IF(N($P372)&gt;0,$P372+FaceW,0))&lt;=114,4,5)))</f>
        <v/>
      </c>
      <c r="CC372" s="84">
        <f>IF($CB372="","",$CB372*(2+IF(N($Q372)&gt;0,IF($R372="LR",2,1),0)))</f>
        <v/>
      </c>
      <c r="CD372" s="84">
        <f>IF($CB372="","",(2+IF(N($Q372)&gt;0,IF($R372="LR",2,1),0)))</f>
        <v/>
      </c>
      <c r="CE372" s="84">
        <f>IF(N($BJ372)=0,"",IF(OR($AL372="",$AL372="FLUSH"),"FLUSH",IFERROR(LEFT($AL372,FIND("-",$AL372)-1),LEFT($AL372,2))))</f>
        <v/>
      </c>
      <c r="CF372" s="84">
        <f>IF($CE372="","",IFERROR(VALUE(MID($AL372,FIND("-",$AL372)+1,FIND(CHAR(34)&amp;"x",$AL372)-FIND("-",$AL372)-1)),0))</f>
        <v/>
      </c>
      <c r="CG372" s="84">
        <f>IF($CE372="","",IFERROR(VALUE(MID($AL372,FIND(CHAR(34)&amp;"x",$AL372)+2,FIND(CHAR(34),$AL372,FIND(CHAR(34)&amp;"x",$AL372)+2)-FIND(CHAR(34)&amp;"x",$AL372)-2)),0))</f>
        <v/>
      </c>
      <c r="CH372" s="90">
        <f>IF(OR($A372="",$H372="",$H372="NO LAB"),0,IFERROR(VALUE(LEFT($H372,FIND(" ",$H372)-1)),0))</f>
        <v/>
      </c>
      <c r="CI372" s="91">
        <f>IF(OR($A372="",$I372="",$I372="NON-RATED",N($J372)=0),"",IFERROR(VLOOKUP($I372&amp;"|"&amp;$J372,IBC,2,FALSE),"?"))</f>
        <v/>
      </c>
      <c r="CJ372" s="85">
        <f>IF(NOT(AND($A372&lt;&gt;"",$C372&lt;&gt;"DOOR ONLY")),"",TRIM(IFERROR(VLOOKUP($U372,CODES,2,FALSE),"")&amp;" "&amp;$BG372&amp;" "&amp;IFERROR(VLOOKUP($Z372,CODES,2,FALSE),"")&amp;" "&amp;IFERROR(VLOOKUP($X372,CODES,2,FALSE),"")&amp;" "&amp;IFERROR(VLOOKUP($S372,CODES,2,FALSE),"")&amp;IF(N($P372)&gt;0," w/TRANSOM "&amp;$P372&amp;CHAR(34),"")&amp;IF(N($Q372)&gt;0," w/SIDELITE "&amp;$Q372&amp;CHAR(34)&amp;" "&amp;IF($R372="","R",$R372),"")&amp;IF($Y372="","  |  "," | "&amp;IFERROR(VLOOKUP($Y372,CODES,2,FALSE),"")&amp;" | ")&amp;IFERROR(VLOOKUP($AC372,CODES,2,FALSE),"")&amp;" "&amp;IFERROR(VLOOKUP($AD372,CODES,2,FALSE),"")&amp;IF(OR($AE372="",$AE372="-"),""," "&amp;$AE372)&amp;IF(OR($AF372="",$AF372="-"),""," "&amp;$AF372)&amp;IF($AB372="Y"," 4"&amp;CHAR(34)&amp;" HEAD","")&amp;" "&amp;IFERROR(VLOOKUP($H372,CODES,2,FALSE),"")&amp;IF($CT372," | LOC "&amp;$CY372,"")))</f>
        <v/>
      </c>
      <c r="CK372" s="85">
        <f>IF(NOT(AND($A372&lt;&gt;"",N($BJ372)&gt;0)),"",TRIM(IFERROR(VLOOKUP($AH372,CODES,2,FALSE),"")&amp;IF($AI372=""," "," "&amp;$AI372&amp;"GA ")&amp;$BG372&amp;" "&amp;IF($AN372="",IFERROR(VLOOKUP($Z372,CODES,2,FALSE),""),IFERROR(VLOOKUP($AN372,CODES,2,FALSE),""))&amp;IF($BJ372=2," PAIR","")&amp;" DOOR | "&amp;IF($AL372="","?",$AL372)&amp;" | "&amp;IF($AO372="",IFERROR(VLOOKUP($AC372,CODES,2,FALSE),""),IFERROR(VLOOKUP($AO372,CODES,2,FALSE),""))&amp;" "&amp;IFERROR(VLOOKUP($AP372,CODES,2,FALSE),"")&amp;IF(OR($AQ372="",$AQ372="-"),""," SEAM "&amp;$AQ372)&amp;IF($AR372="Y"," ASTRAGAL","")&amp;IF($AJ372=""," "," "&amp;$AJ372)&amp;IF($AK372=""," "," "&amp;$AK372)&amp;IF(OR($AT372="",$AT372="ANSI/SDI",$AT372="CUSTOM LOC"),""," "&amp;$AT372)&amp;IF($AM372=""," "," SERIES "&amp;$AM372)&amp;" "&amp;IFERROR(VLOOKUP($H372,CODES,2,FALSE),"")&amp;IF($CT372," | LOC "&amp;$CZ372,"")))</f>
        <v/>
      </c>
      <c r="CL372" s="84">
        <f>IF(CP372="","",IF(COUNTIF($CP$6:CP372,CP372)=1,MAX($CL$5:CL371)+1,INDEX($CL$5:CL371,MATCH(CP372,$CP$5:CP371,0))))</f>
        <v/>
      </c>
      <c r="CM372" s="84">
        <f>IF(NOT(AND($A372&lt;&gt;"",$C372&lt;&gt;"DOOR ONLY")),"",MAX($CM$5:CM371)+1)</f>
        <v/>
      </c>
      <c r="CN372" s="84">
        <f>IF(NOT(AND($A372&lt;&gt;"",N($BJ372)&gt;0)),"",MAX($CN$5:CN371)+1)</f>
        <v/>
      </c>
      <c r="CO372" s="84">
        <f>IF($A372="","",MAX($CO$5:CO371)+1)</f>
        <v/>
      </c>
      <c r="CP372" s="84">
        <f>IF(OR($A372="",$BH372="",$BI372=""),"",$BG372&amp;"|"&amp;$O372&amp;"|"&amp;$AL372&amp;"|"&amp;$S372&amp;"|"&amp;$P372&amp;"|"&amp;$Q372&amp;$R372&amp;"|"&amp;$C372&amp;"|"&amp;$AB372)</f>
        <v/>
      </c>
      <c r="CQ372" s="84">
        <f>N($BS372)</f>
        <v/>
      </c>
      <c r="CR372" s="84">
        <f>IF(N($AU372)&gt;0,N($AU372),4.5)</f>
        <v/>
      </c>
      <c r="CS372" s="84">
        <f>OR($A372="",$BI372="",$S372="BL",AND($C372="FRAME ONLY",OR($AC372="",$AC372="BLK")))</f>
        <v/>
      </c>
      <c r="CT372" s="84">
        <f>AND(NOT($CS372),OR($AT372="CUSTOM LOC",N($AW372)+N($AX372)+N($AY372)+N($AZ372)+N($BA372)&gt;0))</f>
        <v/>
      </c>
      <c r="CU372" s="84">
        <f>IF($BI372="","",IF($BI372&lt;=80,80,IF($BI372&lt;=84,84,96)))</f>
        <v/>
      </c>
      <c r="CV372" s="84">
        <f>ISNUMBER(MATCH($AT372&amp;"|80",LocKeys,0))</f>
        <v/>
      </c>
      <c r="CW372" s="86">
        <f>IF($CS372,"",IF($CV372,VLOOKUP($AT372&amp;"|"&amp;$CU372,LocTable,4,FALSE),5))</f>
        <v/>
      </c>
      <c r="CX372" s="86">
        <f>IF($CS372,"",IF($CV372,IF(OR($BI372=$CU372,AND($BI372&lt;$CU372,$BI372-IF(N(VLOOKUP($AT372&amp;"|"&amp;$CU372,LocTable,7,FALSE))&gt;0,VLOOKUP($AT372&amp;"|"&amp;$CU372,LocTable,7,FALSE),VLOOKUP($AT372&amp;"|"&amp;$CU372,LocTable,6,FALSE))-$CR372-0.75&gt;=2.125)),IF(N(VLOOKUP($AT372&amp;"|"&amp;$CU372,LocTable,7,FALSE))&gt;0,VLOOKUP($AT372&amp;"|"&amp;$CU372,LocTable,7,FALSE),VLOOKUP($AT372&amp;"|"&amp;$CU372,LocTable,6,FALSE)),$BI372-($CU372-IF(N(VLOOKUP($AT372&amp;"|"&amp;$CU372,LocTable,7,FALSE))&gt;0,VLOOKUP($AT372&amp;"|"&amp;$CU372,LocTable,7,FALSE),VLOOKUP($AT372&amp;"|"&amp;$CU372,LocTable,6,FALSE)))),$BI372-10-$CR372))</f>
        <v/>
      </c>
      <c r="CY372" s="85">
        <f>IF($CS372,"",TRIM(IF(ISNUMBER($BU372),"A "&amp;TRIM(TEXT($BU372,"# ?/??"))&amp;CHAR(34)&amp;"  ","")&amp;IF(ISNUMBER($BV372),"B "&amp;TRIM(TEXT($BV372,"# ?/??"))&amp;CHAR(34)&amp;"  ","")&amp;IF(ISNUMBER($BW372),"C "&amp;TRIM(TEXT($BW372,"# ?/??"))&amp;CHAR(34)&amp;"  ","")&amp;IF(ISNUMBER($BX372),"D "&amp;TRIM(TEXT($BX372,"# ?/??"))&amp;CHAR(34)&amp;"  ","")&amp;IF(ISNUMBER($BY372),"F "&amp;TRIM(TEXT($BY372,"# ?/??"))&amp;CHAR(34)&amp;"  ","")&amp;IF(ISNUMBER($BZ372),"E "&amp;TRIM(TEXT($BZ372,"# ?/??"))&amp;CHAR(34)&amp;"  ","")))</f>
        <v/>
      </c>
      <c r="CZ372" s="85">
        <f>IF(OR($CS372,N($BJ372)=0),"",TRIM(IF(ISNUMBER($BU372),"A "&amp;TRIM(TEXT($BU372-HeadClr,"# ?/??"))&amp;CHAR(34)&amp;"  ","")&amp;IF(ISNUMBER($BV372),"B "&amp;TRIM(TEXT($BV372-HeadClr,"# ?/??"))&amp;CHAR(34)&amp;"  ","")&amp;IF(ISNUMBER($BW372),"C "&amp;TRIM(TEXT($BW372-HeadClr,"# ?/??"))&amp;CHAR(34)&amp;"  ","")&amp;IF(ISNUMBER($BX372),"D "&amp;TRIM(TEXT($BX372-HeadClr,"# ?/??"))&amp;CHAR(34)&amp;"  ","")&amp;IF(ISNUMBER($BY372),"F "&amp;TRIM(TEXT($BY372-HeadClr,"# ?/??"))&amp;CHAR(34)&amp;"  ","")&amp;IF(ISNUMBER($BZ372),"E "&amp;TRIM(TEXT($BZ372-HeadClr,"# ?/??"))&amp;CHAR(34)&amp;"  ","")))</f>
        <v/>
      </c>
      <c r="DA372" s="84">
        <f>IF($A372="","",IF($AN372="",IFERROR(VLOOKUP($Z372,CODES,2,FALSE),""),IFERROR(VLOOKUP($AN372,CODES,2,FALSE),"")))</f>
        <v/>
      </c>
      <c r="DB372" s="84">
        <f>IF($A372="","",IF($O372="Y","PR",IF(OR($Z372="L",$Z372="RR",LEFT($Z372,2)="L-",LEFT($Z372,3)="RR-"),"LH","RH")))</f>
        <v/>
      </c>
      <c r="DC372" s="84">
        <f>IF($A372="","","S.HM"&amp;IF(OR($C372="DOOR ONLY",$X372&lt;&gt;"KD"),"MASONRY","DRYWALL")&amp;IF($C372="DOOR ONLY","",$U372)&amp;IF(AND($C372&lt;&gt;"FRAME ONLY",OR(LEFT($AH372,3)="OAK",LEFT($AH372,3)="BIR",LEFT($AH372,3)="MAP",$AH372="PC",$AH372="MC",$AH372="SCLC",$AH372="P-LAM")),"WD","HM")&amp;"1.75")</f>
        <v/>
      </c>
      <c r="DD372" s="84">
        <f>IF($CJ372="","",IF($O372="Y",$CJ372,SUBSTITUTE($CJ372,$BG372&amp;" "&amp;IFERROR(VLOOKUP($Z372,CODES,2,FALSE),"")&amp;" ",$BG372&amp;" ")))</f>
        <v/>
      </c>
      <c r="DE372" s="84">
        <f>IF($CK372="","",IF($O372="Y",$CK372,SUBSTITUTE($CK372,$BG372&amp;" "&amp;IF($AN372="",IFERROR(VLOOKUP($Z372,CODES,2,FALSE),""),IFERROR(VLOOKUP($AN372,CODES,2,FALSE),""))&amp;" ",$BG372&amp;" ")))</f>
        <v/>
      </c>
      <c r="DF372" s="84">
        <f>IF($CJ372="","",$DC372&amp;"|"&amp;$DD372&amp;"|"&amp;$DB372&amp;"|"&amp;$AT372&amp;"|"&amp;$V372&amp;"|"&amp;$Y372&amp;"|"&amp;$AB372)</f>
        <v/>
      </c>
      <c r="DG372" s="84">
        <f>IF(DF372="","",IF(COUNTIF($DF$6:DF372,DF372)=1,MAX($DG$5:DG371)+1,INDEX($DG$5:DG371,MATCH(DF372,$DF$5:DF371,0))))</f>
        <v/>
      </c>
      <c r="DH372" s="84">
        <f>IF($CK372="","",$DC372&amp;"|"&amp;$DE372&amp;"|"&amp;$AI372&amp;"|"&amp;$BK372&amp;"|"&amp;$BL372)</f>
        <v/>
      </c>
      <c r="DI372" s="84">
        <f>IF(DH372="","",IF(COUNTIF($DH$6:DH372,DH372)=1,MAX($DI$5:DI371)+1,INDEX($DI$5:DI371,MATCH(DH372,$DH$5:DH371,0))))</f>
        <v/>
      </c>
      <c r="DJ372" s="84">
        <f>IF($A372="","",IF($B372="","qty, ","")&amp;IF($C372="","scope, ","")&amp;IF(OR($K372="",$M372=""),"size, ","")&amp;IF(AND($A372&lt;&gt;"",$C372&lt;&gt;"DOOR ONLY"),IF($U372="","jamb depth, ","")&amp;IF($X372="","construction, ","")&amp;IF($Y372="","anchor, ","")&amp;IF($S372="","frame type, ",""),"")&amp;IF(AND(N($BJ372)&gt;0,$Z372=""),"hand, ","")&amp;IF(N($BJ372)&gt;0,IF($AH372="","door material, ","")&amp;IF($AL372="","face type, ","")&amp;IF($AP372="","lock prep, ","")&amp;IF(AND($AO372="",$AC372=""),"hinge prep, ",""),"")&amp;IF(AND($CH372&gt;0,$AH372="FRP"),"FRP cannot carry a label, ","")&amp;IF(AND($O372="Y",OR($Z372="L",$Z372="R",$Z372="LR",$Z372="RR")),"pair marked but hand is single, ","")&amp;IF(AND($O372&lt;&gt;"Y",OR($Z372="PR",AND(LEN($Z372)&gt;1,ISNUMBER(SEARCH("-",$Z372))))),"pair hand on a single door, ","")&amp;IF(AND(ISNUMBER($CI372),$CH372&lt;N($CI372)),"wall needs a "&amp;$CI372&amp;" min door, ","")&amp;IF(AND($CH372&gt;=180,AND(OR($CE372="FG",$CE372="HG",$CE372="FNV",$CE372="FV"),N($CF372)*N($CG372)&gt;100)),"180 min lite over 100 sq in, ","")&amp;IF(N($BK372)&gt;48,"leaf wider than 4'-0"&amp;CHAR(34)&amp;", ","")&amp;IF(AND($CT372,COUNT($AW372:$AZ372)=0,$CQ372&gt;0),"CUSTOM LOC with no locations typed, ",""))</f>
        <v/>
      </c>
      <c r="DK372" s="84">
        <f>IF($A372="","",IF(AND($CH372&gt;0,AND($A372&lt;&gt;"",$C372&lt;&gt;"DOOR ONLY"),$X372="KD",$E372="EXTERIOR"),"KD label on an exterior opening, ","")&amp;IF(AND($E372="EXTERIOR",OR(AND(AND($A372&lt;&gt;"",$C372&lt;&gt;"DOOR ONLY"),$W372="CR"),AND(N($BJ372)&gt;0,$AH372="CR"))),"exterior in CR steel (G9?), ","")&amp;IF(AND(ISNUMBER($BQ372),N($BQ372)&lt;32),"clear width ~"&amp;TEXT($BQ372,"0.0")&amp;CHAR(34)&amp;" under 32"&amp;CHAR(34)&amp;" (ADA), ","")&amp;IF(AND($CH372=90,AND(OR($CE372="FG",$CE372="HG",$CE372="FNV",$CE372="FV"),N($CF372)*N($CG372)&gt;100)),"90 min lite over 100 sq in (stair/exit), ","")&amp;IF(AND($CH372&gt;0,AND($A372&lt;&gt;"",$C372&lt;&gt;"DOOR ONLY"),OR($AF372="",$AF372="-")),"rated: closer reinf.?, ","")&amp;IF(OR($I372="CORRIDOR",$I372="SMOKE BARRIER"),"S label + smoke gasketing, ","")&amp;IF($CI372="?","wall type/hr not in IBC table, ","")&amp;IF(AND(N($BJ372)&gt;0,$BB372=""),"no hardware set, ","")&amp;IF(AND($BB372&lt;&gt;"",ISNA(MATCH($BB372&amp;"",HWSets,0))),"set "&amp;$BB372&amp;" not on HW Sets, ","")&amp;IF(N($BL372)&gt;96,"leaf over 8'-0"&amp;CHAR(34)&amp;" - check listing, ","")&amp;IF(AND($CT372,COUNT($AW372:$AZ372)&gt;0,COUNT($AW372:$AZ372)&lt;&gt;$CQ372),COUNT($AW372:$AZ372)&amp;" custom hinges typed, "&amp;$CQ372&amp;" expected, ","")&amp;IF(AND(ISNUMBER($CA372),OR(N($CA372)&lt;34,N($CA372)&gt;48)),"lock "&amp;TEXT($CA372,"0.0")&amp;CHAR(34)&amp;" AFF outside 34-48"&amp;CHAR(34)&amp;" (ADA), ","")&amp;IF(AND(ISNUMBER($AV372),ISNUMBER($BL372),N($AV372)&lt;IF(N($BL372)&lt;=60,2,IF(N($BL372)&lt;=90,3,IF(N($BL372)&lt;=120,4,5)))),"fewer hinges than standard, ",""))</f>
        <v/>
      </c>
    </row>
    <row r="373" ht="15" customHeight="1">
      <c r="A373" s="77" t="n"/>
      <c r="B373" s="78" t="n"/>
      <c r="C373" s="78" t="n"/>
      <c r="D373" s="78" t="n"/>
      <c r="E373" s="78" t="n"/>
      <c r="F373" s="78" t="n"/>
      <c r="G373" s="78" t="n"/>
      <c r="H373" s="78" t="n"/>
      <c r="I373" s="78" t="n"/>
      <c r="J373" s="78" t="n"/>
      <c r="K373" s="78" t="n"/>
      <c r="L373" s="78" t="n"/>
      <c r="M373" s="78" t="n"/>
      <c r="N373" s="78" t="n"/>
      <c r="O373" s="78" t="n"/>
      <c r="P373" s="78" t="n"/>
      <c r="Q373" s="78" t="n"/>
      <c r="R373" s="78" t="n"/>
      <c r="S373" s="79" t="n"/>
      <c r="T373" s="79" t="n"/>
      <c r="U373" s="79" t="n"/>
      <c r="V373" s="79" t="n"/>
      <c r="W373" s="79" t="n"/>
      <c r="X373" s="79" t="n"/>
      <c r="Y373" s="79" t="n"/>
      <c r="Z373" s="79" t="n"/>
      <c r="AA373" s="79" t="n"/>
      <c r="AB373" s="79" t="n"/>
      <c r="AC373" s="79" t="n"/>
      <c r="AD373" s="79" t="n"/>
      <c r="AE373" s="79" t="n"/>
      <c r="AF373" s="79" t="n"/>
      <c r="AG373" s="79" t="n"/>
      <c r="AH373" s="80" t="n"/>
      <c r="AI373" s="80" t="n"/>
      <c r="AJ373" s="80" t="n"/>
      <c r="AK373" s="80" t="n"/>
      <c r="AL373" s="80" t="n"/>
      <c r="AM373" s="80" t="n"/>
      <c r="AN373" s="80" t="n"/>
      <c r="AO373" s="80" t="n"/>
      <c r="AP373" s="80" t="n"/>
      <c r="AQ373" s="80" t="n"/>
      <c r="AR373" s="80" t="n"/>
      <c r="AS373" s="80" t="n"/>
      <c r="AT373" s="81" t="n"/>
      <c r="AU373" s="81" t="n"/>
      <c r="AV373" s="81" t="n"/>
      <c r="AW373" s="82" t="n"/>
      <c r="AX373" s="82" t="n"/>
      <c r="AY373" s="82" t="n"/>
      <c r="AZ373" s="82" t="n"/>
      <c r="BA373" s="82" t="n"/>
      <c r="BB373" s="83" t="n"/>
      <c r="BC373" s="83" t="n"/>
      <c r="BD373" s="84">
        <f>IF($A373="","",IF($DJ373&lt;&gt;"","FIX",IF($DK373&lt;&gt;"","CHECK","OK")))</f>
        <v/>
      </c>
      <c r="BE373" s="85">
        <f>IF($A373="","",IF($DJ373&lt;&gt;"","FIX: "&amp;LEFT($DJ373,LEN($DJ373)-2)&amp;IF($DK373&lt;&gt;"","  ·  ",""),"")&amp;IF($DK373&lt;&gt;"","CHECK: "&amp;LEFT($DK373,LEN($DK373)-2),""))</f>
        <v/>
      </c>
      <c r="BF373" s="84">
        <f>IF(OR($A373="",$K373=""),"",$K373&amp;"'-"&amp;N($L373)&amp;CHAR(34)&amp;" x "&amp;$M373&amp;"'-"&amp;N($N373)&amp;CHAR(34))</f>
        <v/>
      </c>
      <c r="BG373" s="84">
        <f>IF(OR($A373="",$K373=""),"",$K373&amp;N($L373)&amp;$M373&amp;N($N373))</f>
        <v/>
      </c>
      <c r="BH373" s="84">
        <f>IF(OR($A373="",$K373=""),"",$K373*12+N($L373))</f>
        <v/>
      </c>
      <c r="BI373" s="84">
        <f>IF(OR($A373="",$M373=""),"",$M373*12+N($N373))</f>
        <v/>
      </c>
      <c r="BJ373" s="84">
        <f>IF($A373="","",IF(OR($C373="FRAME ONLY",$S373="BL"),0,IF($O373="Y",2,1)))</f>
        <v/>
      </c>
      <c r="BK373" s="86">
        <f>IF(OR(N($BJ373)=0,$BH373=""),"",($BH373-2*EdgeClr-IF($BJ373=2,MeetClr,0))/$BJ373)</f>
        <v/>
      </c>
      <c r="BL373" s="86">
        <f>IF(OR(N($BJ373)=0,$BI373=""),"",$BI373-HeadClr-Undercut)</f>
        <v/>
      </c>
      <c r="BM373" s="86">
        <f>IF($BH373="","",$BH373+2*FaceW+IF(N($Q373)&gt;0,($Q373+FaceW)*IF($R373="LR",2,1),0))</f>
        <v/>
      </c>
      <c r="BN373" s="86">
        <f>IF($BI373="","",$BI373+IF($AB373="Y",4,FaceW)+IF(N($P373)&gt;0,$P373+FaceW,0)+IF(OR($S373="4F",$S373="BL"),FaceW,0))</f>
        <v/>
      </c>
      <c r="BO373" s="86">
        <f>IF($BM373="","",$BM373+2*ROSide)</f>
        <v/>
      </c>
      <c r="BP373" s="86">
        <f>IF($BN373="","",$BN373+ROTop)</f>
        <v/>
      </c>
      <c r="BQ373" s="87">
        <f>IF(OR(N($BJ373)=0,$BH373=""),"",$BH373/$BJ373-ClearDeduct)</f>
        <v/>
      </c>
      <c r="BR373" s="84">
        <f>IF(N($CH373)=0,"",IF($CH373&gt;=180,"A · 3 HR",IF($CH373&gt;=90,"B · 1-1/2 HR",IF($CH373&gt;=60,"B · 1 HR",IF($CH373&gt;=45,"C · 3/4 HR","20 MIN")))))&amp;IF(AND(N($CH373)&gt;0,OR($I373="CORRIDOR",$I373="SMOKE BARRIER"))," · S","")</f>
        <v/>
      </c>
      <c r="BS373" s="84">
        <f>IF($CS373,"",IF($AV373&lt;&gt;"",$AV373,IF(OR($AC373="HGC",$AO373="HGC"),"CONT",IF(($BI373-HeadClr-Undercut)&lt;=60,2,IF(($BI373-HeadClr-Undercut)&lt;=90,3,IF(($BI373-HeadClr-Undercut)&lt;=120,4,5))))))</f>
        <v/>
      </c>
      <c r="BT373" s="84">
        <f>IF($CS373,"",IF($CT373,"CUSTOM (typed)",IF($CV373,$AT373&amp;" "&amp;$CU373&amp;CHAR(34)&amp;IF($CU373&lt;&gt;$BI373,IF(AND($BI373&lt;$CU373,$BI373-IF(N(VLOOKUP($AT373&amp;"|"&amp;$CU373,LocTable,7,FALSE))&gt;0,VLOOKUP($AT373&amp;"|"&amp;$CU373,LocTable,7,FALSE),VLOOKUP($AT373&amp;"|"&amp;$CU373,LocTable,6,FALSE))-$CR373-0.75&gt;=2.125)," cut down"," adj."),""),"ANSI/SDI A250.6")))</f>
        <v/>
      </c>
      <c r="BU373" s="88">
        <f>IF($CS373,"",IF($CT373,IF(N($AW373)&gt;0,N($AW373),""),IF(1&gt;$CQ373,"",IF($CQ373=1,$CW373,$CW373+($CX373-$CW373)*0/($CQ373-1)))))</f>
        <v/>
      </c>
      <c r="BV373" s="88">
        <f>IF($CS373,"",IF($CT373,IF(N($AX373)&gt;0,N($AX373),""),IF(2&gt;$CQ373,"",IF($CQ373=1,$CW373,$CW373+($CX373-$CW373)*1/($CQ373-1)))))</f>
        <v/>
      </c>
      <c r="BW373" s="88">
        <f>IF($CS373,"",IF($CT373,IF(N($AY373)&gt;0,N($AY373),""),IF(3&gt;$CQ373,"",IF($CQ373=1,$CW373,$CW373+($CX373-$CW373)*2/($CQ373-1)))))</f>
        <v/>
      </c>
      <c r="BX373" s="88">
        <f>IF($CS373,"",IF($CT373,IF(N($AZ373)&gt;0,N($AZ373),""),IF(4&gt;$CQ373,"",IF($CQ373=1,$CW373,$CW373+($CX373-$CW373)*3/($CQ373-1)))))</f>
        <v/>
      </c>
      <c r="BY373" s="88">
        <f>IF($CS373,"",IF($CT373,"",IF(5&gt;$CQ373,"",IF($CQ373=1,$CW373,$CW373+($CX373-$CW373)*4/($CQ373-1)))))</f>
        <v/>
      </c>
      <c r="BZ373" s="88">
        <f>IF(OR($CS373,$AP373="-",AND($AP373="",$AD373="")),"",IF(N($BA373)&gt;0,N($BA373),IF($CV373,IF(AND($BI373&lt;$CU373,$BI373-IF(N(VLOOKUP($AT373&amp;"|"&amp;$CU373,LocTable,7,FALSE))&gt;0,VLOOKUP($AT373&amp;"|"&amp;$CU373,LocTable,7,FALSE),VLOOKUP($AT373&amp;"|"&amp;$CU373,LocTable,6,FALSE))-$CR373-0.75&gt;=2.125),VLOOKUP($AT373&amp;"|"&amp;$CU373,LocTable,8,FALSE),VLOOKUP($AT373&amp;"|"&amp;$CU373,LocTable,8,FALSE)+($BI373-$CU373)),$BI373-LockAFF)))</f>
        <v/>
      </c>
      <c r="CA373" s="89">
        <f>IF($BZ373="","",$BI373-$BZ373)</f>
        <v/>
      </c>
      <c r="CB373" s="84">
        <f>IF(OR(NOT(AND($A373&lt;&gt;"",$C373&lt;&gt;"DOOR ONLY")),$BI373=""),"",IF(($BI373+IF(N($P373)&gt;0,$P373+FaceW,0))&lt;=90,3,IF(($BI373+IF(N($P373)&gt;0,$P373+FaceW,0))&lt;=114,4,5)))</f>
        <v/>
      </c>
      <c r="CC373" s="84">
        <f>IF($CB373="","",$CB373*(2+IF(N($Q373)&gt;0,IF($R373="LR",2,1),0)))</f>
        <v/>
      </c>
      <c r="CD373" s="84">
        <f>IF($CB373="","",(2+IF(N($Q373)&gt;0,IF($R373="LR",2,1),0)))</f>
        <v/>
      </c>
      <c r="CE373" s="84">
        <f>IF(N($BJ373)=0,"",IF(OR($AL373="",$AL373="FLUSH"),"FLUSH",IFERROR(LEFT($AL373,FIND("-",$AL373)-1),LEFT($AL373,2))))</f>
        <v/>
      </c>
      <c r="CF373" s="84">
        <f>IF($CE373="","",IFERROR(VALUE(MID($AL373,FIND("-",$AL373)+1,FIND(CHAR(34)&amp;"x",$AL373)-FIND("-",$AL373)-1)),0))</f>
        <v/>
      </c>
      <c r="CG373" s="84">
        <f>IF($CE373="","",IFERROR(VALUE(MID($AL373,FIND(CHAR(34)&amp;"x",$AL373)+2,FIND(CHAR(34),$AL373,FIND(CHAR(34)&amp;"x",$AL373)+2)-FIND(CHAR(34)&amp;"x",$AL373)-2)),0))</f>
        <v/>
      </c>
      <c r="CH373" s="90">
        <f>IF(OR($A373="",$H373="",$H373="NO LAB"),0,IFERROR(VALUE(LEFT($H373,FIND(" ",$H373)-1)),0))</f>
        <v/>
      </c>
      <c r="CI373" s="91">
        <f>IF(OR($A373="",$I373="",$I373="NON-RATED",N($J373)=0),"",IFERROR(VLOOKUP($I373&amp;"|"&amp;$J373,IBC,2,FALSE),"?"))</f>
        <v/>
      </c>
      <c r="CJ373" s="85">
        <f>IF(NOT(AND($A373&lt;&gt;"",$C373&lt;&gt;"DOOR ONLY")),"",TRIM(IFERROR(VLOOKUP($U373,CODES,2,FALSE),"")&amp;" "&amp;$BG373&amp;" "&amp;IFERROR(VLOOKUP($Z373,CODES,2,FALSE),"")&amp;" "&amp;IFERROR(VLOOKUP($X373,CODES,2,FALSE),"")&amp;" "&amp;IFERROR(VLOOKUP($S373,CODES,2,FALSE),"")&amp;IF(N($P373)&gt;0," w/TRANSOM "&amp;$P373&amp;CHAR(34),"")&amp;IF(N($Q373)&gt;0," w/SIDELITE "&amp;$Q373&amp;CHAR(34)&amp;" "&amp;IF($R373="","R",$R373),"")&amp;IF($Y373="","  |  "," | "&amp;IFERROR(VLOOKUP($Y373,CODES,2,FALSE),"")&amp;" | ")&amp;IFERROR(VLOOKUP($AC373,CODES,2,FALSE),"")&amp;" "&amp;IFERROR(VLOOKUP($AD373,CODES,2,FALSE),"")&amp;IF(OR($AE373="",$AE373="-"),""," "&amp;$AE373)&amp;IF(OR($AF373="",$AF373="-"),""," "&amp;$AF373)&amp;IF($AB373="Y"," 4"&amp;CHAR(34)&amp;" HEAD","")&amp;" "&amp;IFERROR(VLOOKUP($H373,CODES,2,FALSE),"")&amp;IF($CT373," | LOC "&amp;$CY373,"")))</f>
        <v/>
      </c>
      <c r="CK373" s="85">
        <f>IF(NOT(AND($A373&lt;&gt;"",N($BJ373)&gt;0)),"",TRIM(IFERROR(VLOOKUP($AH373,CODES,2,FALSE),"")&amp;IF($AI373=""," "," "&amp;$AI373&amp;"GA ")&amp;$BG373&amp;" "&amp;IF($AN373="",IFERROR(VLOOKUP($Z373,CODES,2,FALSE),""),IFERROR(VLOOKUP($AN373,CODES,2,FALSE),""))&amp;IF($BJ373=2," PAIR","")&amp;" DOOR | "&amp;IF($AL373="","?",$AL373)&amp;" | "&amp;IF($AO373="",IFERROR(VLOOKUP($AC373,CODES,2,FALSE),""),IFERROR(VLOOKUP($AO373,CODES,2,FALSE),""))&amp;" "&amp;IFERROR(VLOOKUP($AP373,CODES,2,FALSE),"")&amp;IF(OR($AQ373="",$AQ373="-"),""," SEAM "&amp;$AQ373)&amp;IF($AR373="Y"," ASTRAGAL","")&amp;IF($AJ373=""," "," "&amp;$AJ373)&amp;IF($AK373=""," "," "&amp;$AK373)&amp;IF(OR($AT373="",$AT373="ANSI/SDI",$AT373="CUSTOM LOC"),""," "&amp;$AT373)&amp;IF($AM373=""," "," SERIES "&amp;$AM373)&amp;" "&amp;IFERROR(VLOOKUP($H373,CODES,2,FALSE),"")&amp;IF($CT373," | LOC "&amp;$CZ373,"")))</f>
        <v/>
      </c>
      <c r="CL373" s="84">
        <f>IF(CP373="","",IF(COUNTIF($CP$6:CP373,CP373)=1,MAX($CL$5:CL372)+1,INDEX($CL$5:CL372,MATCH(CP373,$CP$5:CP372,0))))</f>
        <v/>
      </c>
      <c r="CM373" s="84">
        <f>IF(NOT(AND($A373&lt;&gt;"",$C373&lt;&gt;"DOOR ONLY")),"",MAX($CM$5:CM372)+1)</f>
        <v/>
      </c>
      <c r="CN373" s="84">
        <f>IF(NOT(AND($A373&lt;&gt;"",N($BJ373)&gt;0)),"",MAX($CN$5:CN372)+1)</f>
        <v/>
      </c>
      <c r="CO373" s="84">
        <f>IF($A373="","",MAX($CO$5:CO372)+1)</f>
        <v/>
      </c>
      <c r="CP373" s="84">
        <f>IF(OR($A373="",$BH373="",$BI373=""),"",$BG373&amp;"|"&amp;$O373&amp;"|"&amp;$AL373&amp;"|"&amp;$S373&amp;"|"&amp;$P373&amp;"|"&amp;$Q373&amp;$R373&amp;"|"&amp;$C373&amp;"|"&amp;$AB373)</f>
        <v/>
      </c>
      <c r="CQ373" s="84">
        <f>N($BS373)</f>
        <v/>
      </c>
      <c r="CR373" s="84">
        <f>IF(N($AU373)&gt;0,N($AU373),4.5)</f>
        <v/>
      </c>
      <c r="CS373" s="84">
        <f>OR($A373="",$BI373="",$S373="BL",AND($C373="FRAME ONLY",OR($AC373="",$AC373="BLK")))</f>
        <v/>
      </c>
      <c r="CT373" s="84">
        <f>AND(NOT($CS373),OR($AT373="CUSTOM LOC",N($AW373)+N($AX373)+N($AY373)+N($AZ373)+N($BA373)&gt;0))</f>
        <v/>
      </c>
      <c r="CU373" s="84">
        <f>IF($BI373="","",IF($BI373&lt;=80,80,IF($BI373&lt;=84,84,96)))</f>
        <v/>
      </c>
      <c r="CV373" s="84">
        <f>ISNUMBER(MATCH($AT373&amp;"|80",LocKeys,0))</f>
        <v/>
      </c>
      <c r="CW373" s="86">
        <f>IF($CS373,"",IF($CV373,VLOOKUP($AT373&amp;"|"&amp;$CU373,LocTable,4,FALSE),5))</f>
        <v/>
      </c>
      <c r="CX373" s="86">
        <f>IF($CS373,"",IF($CV373,IF(OR($BI373=$CU373,AND($BI373&lt;$CU373,$BI373-IF(N(VLOOKUP($AT373&amp;"|"&amp;$CU373,LocTable,7,FALSE))&gt;0,VLOOKUP($AT373&amp;"|"&amp;$CU373,LocTable,7,FALSE),VLOOKUP($AT373&amp;"|"&amp;$CU373,LocTable,6,FALSE))-$CR373-0.75&gt;=2.125)),IF(N(VLOOKUP($AT373&amp;"|"&amp;$CU373,LocTable,7,FALSE))&gt;0,VLOOKUP($AT373&amp;"|"&amp;$CU373,LocTable,7,FALSE),VLOOKUP($AT373&amp;"|"&amp;$CU373,LocTable,6,FALSE)),$BI373-($CU373-IF(N(VLOOKUP($AT373&amp;"|"&amp;$CU373,LocTable,7,FALSE))&gt;0,VLOOKUP($AT373&amp;"|"&amp;$CU373,LocTable,7,FALSE),VLOOKUP($AT373&amp;"|"&amp;$CU373,LocTable,6,FALSE)))),$BI373-10-$CR373))</f>
        <v/>
      </c>
      <c r="CY373" s="85">
        <f>IF($CS373,"",TRIM(IF(ISNUMBER($BU373),"A "&amp;TRIM(TEXT($BU373,"# ?/??"))&amp;CHAR(34)&amp;"  ","")&amp;IF(ISNUMBER($BV373),"B "&amp;TRIM(TEXT($BV373,"# ?/??"))&amp;CHAR(34)&amp;"  ","")&amp;IF(ISNUMBER($BW373),"C "&amp;TRIM(TEXT($BW373,"# ?/??"))&amp;CHAR(34)&amp;"  ","")&amp;IF(ISNUMBER($BX373),"D "&amp;TRIM(TEXT($BX373,"# ?/??"))&amp;CHAR(34)&amp;"  ","")&amp;IF(ISNUMBER($BY373),"F "&amp;TRIM(TEXT($BY373,"# ?/??"))&amp;CHAR(34)&amp;"  ","")&amp;IF(ISNUMBER($BZ373),"E "&amp;TRIM(TEXT($BZ373,"# ?/??"))&amp;CHAR(34)&amp;"  ","")))</f>
        <v/>
      </c>
      <c r="CZ373" s="85">
        <f>IF(OR($CS373,N($BJ373)=0),"",TRIM(IF(ISNUMBER($BU373),"A "&amp;TRIM(TEXT($BU373-HeadClr,"# ?/??"))&amp;CHAR(34)&amp;"  ","")&amp;IF(ISNUMBER($BV373),"B "&amp;TRIM(TEXT($BV373-HeadClr,"# ?/??"))&amp;CHAR(34)&amp;"  ","")&amp;IF(ISNUMBER($BW373),"C "&amp;TRIM(TEXT($BW373-HeadClr,"# ?/??"))&amp;CHAR(34)&amp;"  ","")&amp;IF(ISNUMBER($BX373),"D "&amp;TRIM(TEXT($BX373-HeadClr,"# ?/??"))&amp;CHAR(34)&amp;"  ","")&amp;IF(ISNUMBER($BY373),"F "&amp;TRIM(TEXT($BY373-HeadClr,"# ?/??"))&amp;CHAR(34)&amp;"  ","")&amp;IF(ISNUMBER($BZ373),"E "&amp;TRIM(TEXT($BZ373-HeadClr,"# ?/??"))&amp;CHAR(34)&amp;"  ","")))</f>
        <v/>
      </c>
      <c r="DA373" s="84">
        <f>IF($A373="","",IF($AN373="",IFERROR(VLOOKUP($Z373,CODES,2,FALSE),""),IFERROR(VLOOKUP($AN373,CODES,2,FALSE),"")))</f>
        <v/>
      </c>
      <c r="DB373" s="84">
        <f>IF($A373="","",IF($O373="Y","PR",IF(OR($Z373="L",$Z373="RR",LEFT($Z373,2)="L-",LEFT($Z373,3)="RR-"),"LH","RH")))</f>
        <v/>
      </c>
      <c r="DC373" s="84">
        <f>IF($A373="","","S.HM"&amp;IF(OR($C373="DOOR ONLY",$X373&lt;&gt;"KD"),"MASONRY","DRYWALL")&amp;IF($C373="DOOR ONLY","",$U373)&amp;IF(AND($C373&lt;&gt;"FRAME ONLY",OR(LEFT($AH373,3)="OAK",LEFT($AH373,3)="BIR",LEFT($AH373,3)="MAP",$AH373="PC",$AH373="MC",$AH373="SCLC",$AH373="P-LAM")),"WD","HM")&amp;"1.75")</f>
        <v/>
      </c>
      <c r="DD373" s="84">
        <f>IF($CJ373="","",IF($O373="Y",$CJ373,SUBSTITUTE($CJ373,$BG373&amp;" "&amp;IFERROR(VLOOKUP($Z373,CODES,2,FALSE),"")&amp;" ",$BG373&amp;" ")))</f>
        <v/>
      </c>
      <c r="DE373" s="84">
        <f>IF($CK373="","",IF($O373="Y",$CK373,SUBSTITUTE($CK373,$BG373&amp;" "&amp;IF($AN373="",IFERROR(VLOOKUP($Z373,CODES,2,FALSE),""),IFERROR(VLOOKUP($AN373,CODES,2,FALSE),""))&amp;" ",$BG373&amp;" ")))</f>
        <v/>
      </c>
      <c r="DF373" s="84">
        <f>IF($CJ373="","",$DC373&amp;"|"&amp;$DD373&amp;"|"&amp;$DB373&amp;"|"&amp;$AT373&amp;"|"&amp;$V373&amp;"|"&amp;$Y373&amp;"|"&amp;$AB373)</f>
        <v/>
      </c>
      <c r="DG373" s="84">
        <f>IF(DF373="","",IF(COUNTIF($DF$6:DF373,DF373)=1,MAX($DG$5:DG372)+1,INDEX($DG$5:DG372,MATCH(DF373,$DF$5:DF372,0))))</f>
        <v/>
      </c>
      <c r="DH373" s="84">
        <f>IF($CK373="","",$DC373&amp;"|"&amp;$DE373&amp;"|"&amp;$AI373&amp;"|"&amp;$BK373&amp;"|"&amp;$BL373)</f>
        <v/>
      </c>
      <c r="DI373" s="84">
        <f>IF(DH373="","",IF(COUNTIF($DH$6:DH373,DH373)=1,MAX($DI$5:DI372)+1,INDEX($DI$5:DI372,MATCH(DH373,$DH$5:DH372,0))))</f>
        <v/>
      </c>
      <c r="DJ373" s="84">
        <f>IF($A373="","",IF($B373="","qty, ","")&amp;IF($C373="","scope, ","")&amp;IF(OR($K373="",$M373=""),"size, ","")&amp;IF(AND($A373&lt;&gt;"",$C373&lt;&gt;"DOOR ONLY"),IF($U373="","jamb depth, ","")&amp;IF($X373="","construction, ","")&amp;IF($Y373="","anchor, ","")&amp;IF($S373="","frame type, ",""),"")&amp;IF(AND(N($BJ373)&gt;0,$Z373=""),"hand, ","")&amp;IF(N($BJ373)&gt;0,IF($AH373="","door material, ","")&amp;IF($AL373="","face type, ","")&amp;IF($AP373="","lock prep, ","")&amp;IF(AND($AO373="",$AC373=""),"hinge prep, ",""),"")&amp;IF(AND($CH373&gt;0,$AH373="FRP"),"FRP cannot carry a label, ","")&amp;IF(AND($O373="Y",OR($Z373="L",$Z373="R",$Z373="LR",$Z373="RR")),"pair marked but hand is single, ","")&amp;IF(AND($O373&lt;&gt;"Y",OR($Z373="PR",AND(LEN($Z373)&gt;1,ISNUMBER(SEARCH("-",$Z373))))),"pair hand on a single door, ","")&amp;IF(AND(ISNUMBER($CI373),$CH373&lt;N($CI373)),"wall needs a "&amp;$CI373&amp;" min door, ","")&amp;IF(AND($CH373&gt;=180,AND(OR($CE373="FG",$CE373="HG",$CE373="FNV",$CE373="FV"),N($CF373)*N($CG373)&gt;100)),"180 min lite over 100 sq in, ","")&amp;IF(N($BK373)&gt;48,"leaf wider than 4'-0"&amp;CHAR(34)&amp;", ","")&amp;IF(AND($CT373,COUNT($AW373:$AZ373)=0,$CQ373&gt;0),"CUSTOM LOC with no locations typed, ",""))</f>
        <v/>
      </c>
      <c r="DK373" s="84">
        <f>IF($A373="","",IF(AND($CH373&gt;0,AND($A373&lt;&gt;"",$C373&lt;&gt;"DOOR ONLY"),$X373="KD",$E373="EXTERIOR"),"KD label on an exterior opening, ","")&amp;IF(AND($E373="EXTERIOR",OR(AND(AND($A373&lt;&gt;"",$C373&lt;&gt;"DOOR ONLY"),$W373="CR"),AND(N($BJ373)&gt;0,$AH373="CR"))),"exterior in CR steel (G9?), ","")&amp;IF(AND(ISNUMBER($BQ373),N($BQ373)&lt;32),"clear width ~"&amp;TEXT($BQ373,"0.0")&amp;CHAR(34)&amp;" under 32"&amp;CHAR(34)&amp;" (ADA), ","")&amp;IF(AND($CH373=90,AND(OR($CE373="FG",$CE373="HG",$CE373="FNV",$CE373="FV"),N($CF373)*N($CG373)&gt;100)),"90 min lite over 100 sq in (stair/exit), ","")&amp;IF(AND($CH373&gt;0,AND($A373&lt;&gt;"",$C373&lt;&gt;"DOOR ONLY"),OR($AF373="",$AF373="-")),"rated: closer reinf.?, ","")&amp;IF(OR($I373="CORRIDOR",$I373="SMOKE BARRIER"),"S label + smoke gasketing, ","")&amp;IF($CI373="?","wall type/hr not in IBC table, ","")&amp;IF(AND(N($BJ373)&gt;0,$BB373=""),"no hardware set, ","")&amp;IF(AND($BB373&lt;&gt;"",ISNA(MATCH($BB373&amp;"",HWSets,0))),"set "&amp;$BB373&amp;" not on HW Sets, ","")&amp;IF(N($BL373)&gt;96,"leaf over 8'-0"&amp;CHAR(34)&amp;" - check listing, ","")&amp;IF(AND($CT373,COUNT($AW373:$AZ373)&gt;0,COUNT($AW373:$AZ373)&lt;&gt;$CQ373),COUNT($AW373:$AZ373)&amp;" custom hinges typed, "&amp;$CQ373&amp;" expected, ","")&amp;IF(AND(ISNUMBER($CA373),OR(N($CA373)&lt;34,N($CA373)&gt;48)),"lock "&amp;TEXT($CA373,"0.0")&amp;CHAR(34)&amp;" AFF outside 34-48"&amp;CHAR(34)&amp;" (ADA), ","")&amp;IF(AND(ISNUMBER($AV373),ISNUMBER($BL373),N($AV373)&lt;IF(N($BL373)&lt;=60,2,IF(N($BL373)&lt;=90,3,IF(N($BL373)&lt;=120,4,5)))),"fewer hinges than standard, ",""))</f>
        <v/>
      </c>
    </row>
    <row r="374" ht="15" customHeight="1">
      <c r="A374" s="77" t="n"/>
      <c r="B374" s="78" t="n"/>
      <c r="C374" s="78" t="n"/>
      <c r="D374" s="78" t="n"/>
      <c r="E374" s="78" t="n"/>
      <c r="F374" s="78" t="n"/>
      <c r="G374" s="78" t="n"/>
      <c r="H374" s="78" t="n"/>
      <c r="I374" s="78" t="n"/>
      <c r="J374" s="78" t="n"/>
      <c r="K374" s="78" t="n"/>
      <c r="L374" s="78" t="n"/>
      <c r="M374" s="78" t="n"/>
      <c r="N374" s="78" t="n"/>
      <c r="O374" s="78" t="n"/>
      <c r="P374" s="78" t="n"/>
      <c r="Q374" s="78" t="n"/>
      <c r="R374" s="78" t="n"/>
      <c r="S374" s="79" t="n"/>
      <c r="T374" s="79" t="n"/>
      <c r="U374" s="79" t="n"/>
      <c r="V374" s="79" t="n"/>
      <c r="W374" s="79" t="n"/>
      <c r="X374" s="79" t="n"/>
      <c r="Y374" s="79" t="n"/>
      <c r="Z374" s="79" t="n"/>
      <c r="AA374" s="79" t="n"/>
      <c r="AB374" s="79" t="n"/>
      <c r="AC374" s="79" t="n"/>
      <c r="AD374" s="79" t="n"/>
      <c r="AE374" s="79" t="n"/>
      <c r="AF374" s="79" t="n"/>
      <c r="AG374" s="79" t="n"/>
      <c r="AH374" s="80" t="n"/>
      <c r="AI374" s="80" t="n"/>
      <c r="AJ374" s="80" t="n"/>
      <c r="AK374" s="80" t="n"/>
      <c r="AL374" s="80" t="n"/>
      <c r="AM374" s="80" t="n"/>
      <c r="AN374" s="80" t="n"/>
      <c r="AO374" s="80" t="n"/>
      <c r="AP374" s="80" t="n"/>
      <c r="AQ374" s="80" t="n"/>
      <c r="AR374" s="80" t="n"/>
      <c r="AS374" s="80" t="n"/>
      <c r="AT374" s="81" t="n"/>
      <c r="AU374" s="81" t="n"/>
      <c r="AV374" s="81" t="n"/>
      <c r="AW374" s="82" t="n"/>
      <c r="AX374" s="82" t="n"/>
      <c r="AY374" s="82" t="n"/>
      <c r="AZ374" s="82" t="n"/>
      <c r="BA374" s="82" t="n"/>
      <c r="BB374" s="83" t="n"/>
      <c r="BC374" s="83" t="n"/>
      <c r="BD374" s="84">
        <f>IF($A374="","",IF($DJ374&lt;&gt;"","FIX",IF($DK374&lt;&gt;"","CHECK","OK")))</f>
        <v/>
      </c>
      <c r="BE374" s="85">
        <f>IF($A374="","",IF($DJ374&lt;&gt;"","FIX: "&amp;LEFT($DJ374,LEN($DJ374)-2)&amp;IF($DK374&lt;&gt;"","  ·  ",""),"")&amp;IF($DK374&lt;&gt;"","CHECK: "&amp;LEFT($DK374,LEN($DK374)-2),""))</f>
        <v/>
      </c>
      <c r="BF374" s="84">
        <f>IF(OR($A374="",$K374=""),"",$K374&amp;"'-"&amp;N($L374)&amp;CHAR(34)&amp;" x "&amp;$M374&amp;"'-"&amp;N($N374)&amp;CHAR(34))</f>
        <v/>
      </c>
      <c r="BG374" s="84">
        <f>IF(OR($A374="",$K374=""),"",$K374&amp;N($L374)&amp;$M374&amp;N($N374))</f>
        <v/>
      </c>
      <c r="BH374" s="84">
        <f>IF(OR($A374="",$K374=""),"",$K374*12+N($L374))</f>
        <v/>
      </c>
      <c r="BI374" s="84">
        <f>IF(OR($A374="",$M374=""),"",$M374*12+N($N374))</f>
        <v/>
      </c>
      <c r="BJ374" s="84">
        <f>IF($A374="","",IF(OR($C374="FRAME ONLY",$S374="BL"),0,IF($O374="Y",2,1)))</f>
        <v/>
      </c>
      <c r="BK374" s="86">
        <f>IF(OR(N($BJ374)=0,$BH374=""),"",($BH374-2*EdgeClr-IF($BJ374=2,MeetClr,0))/$BJ374)</f>
        <v/>
      </c>
      <c r="BL374" s="86">
        <f>IF(OR(N($BJ374)=0,$BI374=""),"",$BI374-HeadClr-Undercut)</f>
        <v/>
      </c>
      <c r="BM374" s="86">
        <f>IF($BH374="","",$BH374+2*FaceW+IF(N($Q374)&gt;0,($Q374+FaceW)*IF($R374="LR",2,1),0))</f>
        <v/>
      </c>
      <c r="BN374" s="86">
        <f>IF($BI374="","",$BI374+IF($AB374="Y",4,FaceW)+IF(N($P374)&gt;0,$P374+FaceW,0)+IF(OR($S374="4F",$S374="BL"),FaceW,0))</f>
        <v/>
      </c>
      <c r="BO374" s="86">
        <f>IF($BM374="","",$BM374+2*ROSide)</f>
        <v/>
      </c>
      <c r="BP374" s="86">
        <f>IF($BN374="","",$BN374+ROTop)</f>
        <v/>
      </c>
      <c r="BQ374" s="87">
        <f>IF(OR(N($BJ374)=0,$BH374=""),"",$BH374/$BJ374-ClearDeduct)</f>
        <v/>
      </c>
      <c r="BR374" s="84">
        <f>IF(N($CH374)=0,"",IF($CH374&gt;=180,"A · 3 HR",IF($CH374&gt;=90,"B · 1-1/2 HR",IF($CH374&gt;=60,"B · 1 HR",IF($CH374&gt;=45,"C · 3/4 HR","20 MIN")))))&amp;IF(AND(N($CH374)&gt;0,OR($I374="CORRIDOR",$I374="SMOKE BARRIER"))," · S","")</f>
        <v/>
      </c>
      <c r="BS374" s="84">
        <f>IF($CS374,"",IF($AV374&lt;&gt;"",$AV374,IF(OR($AC374="HGC",$AO374="HGC"),"CONT",IF(($BI374-HeadClr-Undercut)&lt;=60,2,IF(($BI374-HeadClr-Undercut)&lt;=90,3,IF(($BI374-HeadClr-Undercut)&lt;=120,4,5))))))</f>
        <v/>
      </c>
      <c r="BT374" s="84">
        <f>IF($CS374,"",IF($CT374,"CUSTOM (typed)",IF($CV374,$AT374&amp;" "&amp;$CU374&amp;CHAR(34)&amp;IF($CU374&lt;&gt;$BI374,IF(AND($BI374&lt;$CU374,$BI374-IF(N(VLOOKUP($AT374&amp;"|"&amp;$CU374,LocTable,7,FALSE))&gt;0,VLOOKUP($AT374&amp;"|"&amp;$CU374,LocTable,7,FALSE),VLOOKUP($AT374&amp;"|"&amp;$CU374,LocTable,6,FALSE))-$CR374-0.75&gt;=2.125)," cut down"," adj."),""),"ANSI/SDI A250.6")))</f>
        <v/>
      </c>
      <c r="BU374" s="88">
        <f>IF($CS374,"",IF($CT374,IF(N($AW374)&gt;0,N($AW374),""),IF(1&gt;$CQ374,"",IF($CQ374=1,$CW374,$CW374+($CX374-$CW374)*0/($CQ374-1)))))</f>
        <v/>
      </c>
      <c r="BV374" s="88">
        <f>IF($CS374,"",IF($CT374,IF(N($AX374)&gt;0,N($AX374),""),IF(2&gt;$CQ374,"",IF($CQ374=1,$CW374,$CW374+($CX374-$CW374)*1/($CQ374-1)))))</f>
        <v/>
      </c>
      <c r="BW374" s="88">
        <f>IF($CS374,"",IF($CT374,IF(N($AY374)&gt;0,N($AY374),""),IF(3&gt;$CQ374,"",IF($CQ374=1,$CW374,$CW374+($CX374-$CW374)*2/($CQ374-1)))))</f>
        <v/>
      </c>
      <c r="BX374" s="88">
        <f>IF($CS374,"",IF($CT374,IF(N($AZ374)&gt;0,N($AZ374),""),IF(4&gt;$CQ374,"",IF($CQ374=1,$CW374,$CW374+($CX374-$CW374)*3/($CQ374-1)))))</f>
        <v/>
      </c>
      <c r="BY374" s="88">
        <f>IF($CS374,"",IF($CT374,"",IF(5&gt;$CQ374,"",IF($CQ374=1,$CW374,$CW374+($CX374-$CW374)*4/($CQ374-1)))))</f>
        <v/>
      </c>
      <c r="BZ374" s="88">
        <f>IF(OR($CS374,$AP374="-",AND($AP374="",$AD374="")),"",IF(N($BA374)&gt;0,N($BA374),IF($CV374,IF(AND($BI374&lt;$CU374,$BI374-IF(N(VLOOKUP($AT374&amp;"|"&amp;$CU374,LocTable,7,FALSE))&gt;0,VLOOKUP($AT374&amp;"|"&amp;$CU374,LocTable,7,FALSE),VLOOKUP($AT374&amp;"|"&amp;$CU374,LocTable,6,FALSE))-$CR374-0.75&gt;=2.125),VLOOKUP($AT374&amp;"|"&amp;$CU374,LocTable,8,FALSE),VLOOKUP($AT374&amp;"|"&amp;$CU374,LocTable,8,FALSE)+($BI374-$CU374)),$BI374-LockAFF)))</f>
        <v/>
      </c>
      <c r="CA374" s="89">
        <f>IF($BZ374="","",$BI374-$BZ374)</f>
        <v/>
      </c>
      <c r="CB374" s="84">
        <f>IF(OR(NOT(AND($A374&lt;&gt;"",$C374&lt;&gt;"DOOR ONLY")),$BI374=""),"",IF(($BI374+IF(N($P374)&gt;0,$P374+FaceW,0))&lt;=90,3,IF(($BI374+IF(N($P374)&gt;0,$P374+FaceW,0))&lt;=114,4,5)))</f>
        <v/>
      </c>
      <c r="CC374" s="84">
        <f>IF($CB374="","",$CB374*(2+IF(N($Q374)&gt;0,IF($R374="LR",2,1),0)))</f>
        <v/>
      </c>
      <c r="CD374" s="84">
        <f>IF($CB374="","",(2+IF(N($Q374)&gt;0,IF($R374="LR",2,1),0)))</f>
        <v/>
      </c>
      <c r="CE374" s="84">
        <f>IF(N($BJ374)=0,"",IF(OR($AL374="",$AL374="FLUSH"),"FLUSH",IFERROR(LEFT($AL374,FIND("-",$AL374)-1),LEFT($AL374,2))))</f>
        <v/>
      </c>
      <c r="CF374" s="84">
        <f>IF($CE374="","",IFERROR(VALUE(MID($AL374,FIND("-",$AL374)+1,FIND(CHAR(34)&amp;"x",$AL374)-FIND("-",$AL374)-1)),0))</f>
        <v/>
      </c>
      <c r="CG374" s="84">
        <f>IF($CE374="","",IFERROR(VALUE(MID($AL374,FIND(CHAR(34)&amp;"x",$AL374)+2,FIND(CHAR(34),$AL374,FIND(CHAR(34)&amp;"x",$AL374)+2)-FIND(CHAR(34)&amp;"x",$AL374)-2)),0))</f>
        <v/>
      </c>
      <c r="CH374" s="90">
        <f>IF(OR($A374="",$H374="",$H374="NO LAB"),0,IFERROR(VALUE(LEFT($H374,FIND(" ",$H374)-1)),0))</f>
        <v/>
      </c>
      <c r="CI374" s="91">
        <f>IF(OR($A374="",$I374="",$I374="NON-RATED",N($J374)=0),"",IFERROR(VLOOKUP($I374&amp;"|"&amp;$J374,IBC,2,FALSE),"?"))</f>
        <v/>
      </c>
      <c r="CJ374" s="85">
        <f>IF(NOT(AND($A374&lt;&gt;"",$C374&lt;&gt;"DOOR ONLY")),"",TRIM(IFERROR(VLOOKUP($U374,CODES,2,FALSE),"")&amp;" "&amp;$BG374&amp;" "&amp;IFERROR(VLOOKUP($Z374,CODES,2,FALSE),"")&amp;" "&amp;IFERROR(VLOOKUP($X374,CODES,2,FALSE),"")&amp;" "&amp;IFERROR(VLOOKUP($S374,CODES,2,FALSE),"")&amp;IF(N($P374)&gt;0," w/TRANSOM "&amp;$P374&amp;CHAR(34),"")&amp;IF(N($Q374)&gt;0," w/SIDELITE "&amp;$Q374&amp;CHAR(34)&amp;" "&amp;IF($R374="","R",$R374),"")&amp;IF($Y374="","  |  "," | "&amp;IFERROR(VLOOKUP($Y374,CODES,2,FALSE),"")&amp;" | ")&amp;IFERROR(VLOOKUP($AC374,CODES,2,FALSE),"")&amp;" "&amp;IFERROR(VLOOKUP($AD374,CODES,2,FALSE),"")&amp;IF(OR($AE374="",$AE374="-"),""," "&amp;$AE374)&amp;IF(OR($AF374="",$AF374="-"),""," "&amp;$AF374)&amp;IF($AB374="Y"," 4"&amp;CHAR(34)&amp;" HEAD","")&amp;" "&amp;IFERROR(VLOOKUP($H374,CODES,2,FALSE),"")&amp;IF($CT374," | LOC "&amp;$CY374,"")))</f>
        <v/>
      </c>
      <c r="CK374" s="85">
        <f>IF(NOT(AND($A374&lt;&gt;"",N($BJ374)&gt;0)),"",TRIM(IFERROR(VLOOKUP($AH374,CODES,2,FALSE),"")&amp;IF($AI374=""," "," "&amp;$AI374&amp;"GA ")&amp;$BG374&amp;" "&amp;IF($AN374="",IFERROR(VLOOKUP($Z374,CODES,2,FALSE),""),IFERROR(VLOOKUP($AN374,CODES,2,FALSE),""))&amp;IF($BJ374=2," PAIR","")&amp;" DOOR | "&amp;IF($AL374="","?",$AL374)&amp;" | "&amp;IF($AO374="",IFERROR(VLOOKUP($AC374,CODES,2,FALSE),""),IFERROR(VLOOKUP($AO374,CODES,2,FALSE),""))&amp;" "&amp;IFERROR(VLOOKUP($AP374,CODES,2,FALSE),"")&amp;IF(OR($AQ374="",$AQ374="-"),""," SEAM "&amp;$AQ374)&amp;IF($AR374="Y"," ASTRAGAL","")&amp;IF($AJ374=""," "," "&amp;$AJ374)&amp;IF($AK374=""," "," "&amp;$AK374)&amp;IF(OR($AT374="",$AT374="ANSI/SDI",$AT374="CUSTOM LOC"),""," "&amp;$AT374)&amp;IF($AM374=""," "," SERIES "&amp;$AM374)&amp;" "&amp;IFERROR(VLOOKUP($H374,CODES,2,FALSE),"")&amp;IF($CT374," | LOC "&amp;$CZ374,"")))</f>
        <v/>
      </c>
      <c r="CL374" s="84">
        <f>IF(CP374="","",IF(COUNTIF($CP$6:CP374,CP374)=1,MAX($CL$5:CL373)+1,INDEX($CL$5:CL373,MATCH(CP374,$CP$5:CP373,0))))</f>
        <v/>
      </c>
      <c r="CM374" s="84">
        <f>IF(NOT(AND($A374&lt;&gt;"",$C374&lt;&gt;"DOOR ONLY")),"",MAX($CM$5:CM373)+1)</f>
        <v/>
      </c>
      <c r="CN374" s="84">
        <f>IF(NOT(AND($A374&lt;&gt;"",N($BJ374)&gt;0)),"",MAX($CN$5:CN373)+1)</f>
        <v/>
      </c>
      <c r="CO374" s="84">
        <f>IF($A374="","",MAX($CO$5:CO373)+1)</f>
        <v/>
      </c>
      <c r="CP374" s="84">
        <f>IF(OR($A374="",$BH374="",$BI374=""),"",$BG374&amp;"|"&amp;$O374&amp;"|"&amp;$AL374&amp;"|"&amp;$S374&amp;"|"&amp;$P374&amp;"|"&amp;$Q374&amp;$R374&amp;"|"&amp;$C374&amp;"|"&amp;$AB374)</f>
        <v/>
      </c>
      <c r="CQ374" s="84">
        <f>N($BS374)</f>
        <v/>
      </c>
      <c r="CR374" s="84">
        <f>IF(N($AU374)&gt;0,N($AU374),4.5)</f>
        <v/>
      </c>
      <c r="CS374" s="84">
        <f>OR($A374="",$BI374="",$S374="BL",AND($C374="FRAME ONLY",OR($AC374="",$AC374="BLK")))</f>
        <v/>
      </c>
      <c r="CT374" s="84">
        <f>AND(NOT($CS374),OR($AT374="CUSTOM LOC",N($AW374)+N($AX374)+N($AY374)+N($AZ374)+N($BA374)&gt;0))</f>
        <v/>
      </c>
      <c r="CU374" s="84">
        <f>IF($BI374="","",IF($BI374&lt;=80,80,IF($BI374&lt;=84,84,96)))</f>
        <v/>
      </c>
      <c r="CV374" s="84">
        <f>ISNUMBER(MATCH($AT374&amp;"|80",LocKeys,0))</f>
        <v/>
      </c>
      <c r="CW374" s="86">
        <f>IF($CS374,"",IF($CV374,VLOOKUP($AT374&amp;"|"&amp;$CU374,LocTable,4,FALSE),5))</f>
        <v/>
      </c>
      <c r="CX374" s="86">
        <f>IF($CS374,"",IF($CV374,IF(OR($BI374=$CU374,AND($BI374&lt;$CU374,$BI374-IF(N(VLOOKUP($AT374&amp;"|"&amp;$CU374,LocTable,7,FALSE))&gt;0,VLOOKUP($AT374&amp;"|"&amp;$CU374,LocTable,7,FALSE),VLOOKUP($AT374&amp;"|"&amp;$CU374,LocTable,6,FALSE))-$CR374-0.75&gt;=2.125)),IF(N(VLOOKUP($AT374&amp;"|"&amp;$CU374,LocTable,7,FALSE))&gt;0,VLOOKUP($AT374&amp;"|"&amp;$CU374,LocTable,7,FALSE),VLOOKUP($AT374&amp;"|"&amp;$CU374,LocTable,6,FALSE)),$BI374-($CU374-IF(N(VLOOKUP($AT374&amp;"|"&amp;$CU374,LocTable,7,FALSE))&gt;0,VLOOKUP($AT374&amp;"|"&amp;$CU374,LocTable,7,FALSE),VLOOKUP($AT374&amp;"|"&amp;$CU374,LocTable,6,FALSE)))),$BI374-10-$CR374))</f>
        <v/>
      </c>
      <c r="CY374" s="85">
        <f>IF($CS374,"",TRIM(IF(ISNUMBER($BU374),"A "&amp;TRIM(TEXT($BU374,"# ?/??"))&amp;CHAR(34)&amp;"  ","")&amp;IF(ISNUMBER($BV374),"B "&amp;TRIM(TEXT($BV374,"# ?/??"))&amp;CHAR(34)&amp;"  ","")&amp;IF(ISNUMBER($BW374),"C "&amp;TRIM(TEXT($BW374,"# ?/??"))&amp;CHAR(34)&amp;"  ","")&amp;IF(ISNUMBER($BX374),"D "&amp;TRIM(TEXT($BX374,"# ?/??"))&amp;CHAR(34)&amp;"  ","")&amp;IF(ISNUMBER($BY374),"F "&amp;TRIM(TEXT($BY374,"# ?/??"))&amp;CHAR(34)&amp;"  ","")&amp;IF(ISNUMBER($BZ374),"E "&amp;TRIM(TEXT($BZ374,"# ?/??"))&amp;CHAR(34)&amp;"  ","")))</f>
        <v/>
      </c>
      <c r="CZ374" s="85">
        <f>IF(OR($CS374,N($BJ374)=0),"",TRIM(IF(ISNUMBER($BU374),"A "&amp;TRIM(TEXT($BU374-HeadClr,"# ?/??"))&amp;CHAR(34)&amp;"  ","")&amp;IF(ISNUMBER($BV374),"B "&amp;TRIM(TEXT($BV374-HeadClr,"# ?/??"))&amp;CHAR(34)&amp;"  ","")&amp;IF(ISNUMBER($BW374),"C "&amp;TRIM(TEXT($BW374-HeadClr,"# ?/??"))&amp;CHAR(34)&amp;"  ","")&amp;IF(ISNUMBER($BX374),"D "&amp;TRIM(TEXT($BX374-HeadClr,"# ?/??"))&amp;CHAR(34)&amp;"  ","")&amp;IF(ISNUMBER($BY374),"F "&amp;TRIM(TEXT($BY374-HeadClr,"# ?/??"))&amp;CHAR(34)&amp;"  ","")&amp;IF(ISNUMBER($BZ374),"E "&amp;TRIM(TEXT($BZ374-HeadClr,"# ?/??"))&amp;CHAR(34)&amp;"  ","")))</f>
        <v/>
      </c>
      <c r="DA374" s="84">
        <f>IF($A374="","",IF($AN374="",IFERROR(VLOOKUP($Z374,CODES,2,FALSE),""),IFERROR(VLOOKUP($AN374,CODES,2,FALSE),"")))</f>
        <v/>
      </c>
      <c r="DB374" s="84">
        <f>IF($A374="","",IF($O374="Y","PR",IF(OR($Z374="L",$Z374="RR",LEFT($Z374,2)="L-",LEFT($Z374,3)="RR-"),"LH","RH")))</f>
        <v/>
      </c>
      <c r="DC374" s="84">
        <f>IF($A374="","","S.HM"&amp;IF(OR($C374="DOOR ONLY",$X374&lt;&gt;"KD"),"MASONRY","DRYWALL")&amp;IF($C374="DOOR ONLY","",$U374)&amp;IF(AND($C374&lt;&gt;"FRAME ONLY",OR(LEFT($AH374,3)="OAK",LEFT($AH374,3)="BIR",LEFT($AH374,3)="MAP",$AH374="PC",$AH374="MC",$AH374="SCLC",$AH374="P-LAM")),"WD","HM")&amp;"1.75")</f>
        <v/>
      </c>
      <c r="DD374" s="84">
        <f>IF($CJ374="","",IF($O374="Y",$CJ374,SUBSTITUTE($CJ374,$BG374&amp;" "&amp;IFERROR(VLOOKUP($Z374,CODES,2,FALSE),"")&amp;" ",$BG374&amp;" ")))</f>
        <v/>
      </c>
      <c r="DE374" s="84">
        <f>IF($CK374="","",IF($O374="Y",$CK374,SUBSTITUTE($CK374,$BG374&amp;" "&amp;IF($AN374="",IFERROR(VLOOKUP($Z374,CODES,2,FALSE),""),IFERROR(VLOOKUP($AN374,CODES,2,FALSE),""))&amp;" ",$BG374&amp;" ")))</f>
        <v/>
      </c>
      <c r="DF374" s="84">
        <f>IF($CJ374="","",$DC374&amp;"|"&amp;$DD374&amp;"|"&amp;$DB374&amp;"|"&amp;$AT374&amp;"|"&amp;$V374&amp;"|"&amp;$Y374&amp;"|"&amp;$AB374)</f>
        <v/>
      </c>
      <c r="DG374" s="84">
        <f>IF(DF374="","",IF(COUNTIF($DF$6:DF374,DF374)=1,MAX($DG$5:DG373)+1,INDEX($DG$5:DG373,MATCH(DF374,$DF$5:DF373,0))))</f>
        <v/>
      </c>
      <c r="DH374" s="84">
        <f>IF($CK374="","",$DC374&amp;"|"&amp;$DE374&amp;"|"&amp;$AI374&amp;"|"&amp;$BK374&amp;"|"&amp;$BL374)</f>
        <v/>
      </c>
      <c r="DI374" s="84">
        <f>IF(DH374="","",IF(COUNTIF($DH$6:DH374,DH374)=1,MAX($DI$5:DI373)+1,INDEX($DI$5:DI373,MATCH(DH374,$DH$5:DH373,0))))</f>
        <v/>
      </c>
      <c r="DJ374" s="84">
        <f>IF($A374="","",IF($B374="","qty, ","")&amp;IF($C374="","scope, ","")&amp;IF(OR($K374="",$M374=""),"size, ","")&amp;IF(AND($A374&lt;&gt;"",$C374&lt;&gt;"DOOR ONLY"),IF($U374="","jamb depth, ","")&amp;IF($X374="","construction, ","")&amp;IF($Y374="","anchor, ","")&amp;IF($S374="","frame type, ",""),"")&amp;IF(AND(N($BJ374)&gt;0,$Z374=""),"hand, ","")&amp;IF(N($BJ374)&gt;0,IF($AH374="","door material, ","")&amp;IF($AL374="","face type, ","")&amp;IF($AP374="","lock prep, ","")&amp;IF(AND($AO374="",$AC374=""),"hinge prep, ",""),"")&amp;IF(AND($CH374&gt;0,$AH374="FRP"),"FRP cannot carry a label, ","")&amp;IF(AND($O374="Y",OR($Z374="L",$Z374="R",$Z374="LR",$Z374="RR")),"pair marked but hand is single, ","")&amp;IF(AND($O374&lt;&gt;"Y",OR($Z374="PR",AND(LEN($Z374)&gt;1,ISNUMBER(SEARCH("-",$Z374))))),"pair hand on a single door, ","")&amp;IF(AND(ISNUMBER($CI374),$CH374&lt;N($CI374)),"wall needs a "&amp;$CI374&amp;" min door, ","")&amp;IF(AND($CH374&gt;=180,AND(OR($CE374="FG",$CE374="HG",$CE374="FNV",$CE374="FV"),N($CF374)*N($CG374)&gt;100)),"180 min lite over 100 sq in, ","")&amp;IF(N($BK374)&gt;48,"leaf wider than 4'-0"&amp;CHAR(34)&amp;", ","")&amp;IF(AND($CT374,COUNT($AW374:$AZ374)=0,$CQ374&gt;0),"CUSTOM LOC with no locations typed, ",""))</f>
        <v/>
      </c>
      <c r="DK374" s="84">
        <f>IF($A374="","",IF(AND($CH374&gt;0,AND($A374&lt;&gt;"",$C374&lt;&gt;"DOOR ONLY"),$X374="KD",$E374="EXTERIOR"),"KD label on an exterior opening, ","")&amp;IF(AND($E374="EXTERIOR",OR(AND(AND($A374&lt;&gt;"",$C374&lt;&gt;"DOOR ONLY"),$W374="CR"),AND(N($BJ374)&gt;0,$AH374="CR"))),"exterior in CR steel (G9?), ","")&amp;IF(AND(ISNUMBER($BQ374),N($BQ374)&lt;32),"clear width ~"&amp;TEXT($BQ374,"0.0")&amp;CHAR(34)&amp;" under 32"&amp;CHAR(34)&amp;" (ADA), ","")&amp;IF(AND($CH374=90,AND(OR($CE374="FG",$CE374="HG",$CE374="FNV",$CE374="FV"),N($CF374)*N($CG374)&gt;100)),"90 min lite over 100 sq in (stair/exit), ","")&amp;IF(AND($CH374&gt;0,AND($A374&lt;&gt;"",$C374&lt;&gt;"DOOR ONLY"),OR($AF374="",$AF374="-")),"rated: closer reinf.?, ","")&amp;IF(OR($I374="CORRIDOR",$I374="SMOKE BARRIER"),"S label + smoke gasketing, ","")&amp;IF($CI374="?","wall type/hr not in IBC table, ","")&amp;IF(AND(N($BJ374)&gt;0,$BB374=""),"no hardware set, ","")&amp;IF(AND($BB374&lt;&gt;"",ISNA(MATCH($BB374&amp;"",HWSets,0))),"set "&amp;$BB374&amp;" not on HW Sets, ","")&amp;IF(N($BL374)&gt;96,"leaf over 8'-0"&amp;CHAR(34)&amp;" - check listing, ","")&amp;IF(AND($CT374,COUNT($AW374:$AZ374)&gt;0,COUNT($AW374:$AZ374)&lt;&gt;$CQ374),COUNT($AW374:$AZ374)&amp;" custom hinges typed, "&amp;$CQ374&amp;" expected, ","")&amp;IF(AND(ISNUMBER($CA374),OR(N($CA374)&lt;34,N($CA374)&gt;48)),"lock "&amp;TEXT($CA374,"0.0")&amp;CHAR(34)&amp;" AFF outside 34-48"&amp;CHAR(34)&amp;" (ADA), ","")&amp;IF(AND(ISNUMBER($AV374),ISNUMBER($BL374),N($AV374)&lt;IF(N($BL374)&lt;=60,2,IF(N($BL374)&lt;=90,3,IF(N($BL374)&lt;=120,4,5)))),"fewer hinges than standard, ",""))</f>
        <v/>
      </c>
    </row>
    <row r="375" ht="15" customHeight="1">
      <c r="A375" s="92" t="n"/>
      <c r="B375" s="93" t="n"/>
      <c r="C375" s="93" t="n"/>
      <c r="D375" s="93" t="n"/>
      <c r="E375" s="93" t="n"/>
      <c r="F375" s="93" t="n"/>
      <c r="G375" s="93" t="n"/>
      <c r="H375" s="93" t="n"/>
      <c r="I375" s="93" t="n"/>
      <c r="J375" s="93" t="n"/>
      <c r="K375" s="93" t="n"/>
      <c r="L375" s="93" t="n"/>
      <c r="M375" s="93" t="n"/>
      <c r="N375" s="93" t="n"/>
      <c r="O375" s="93" t="n"/>
      <c r="P375" s="93" t="n"/>
      <c r="Q375" s="93" t="n"/>
      <c r="R375" s="93" t="n"/>
      <c r="S375" s="94" t="n"/>
      <c r="T375" s="94" t="n"/>
      <c r="U375" s="94" t="n"/>
      <c r="V375" s="94" t="n"/>
      <c r="W375" s="94" t="n"/>
      <c r="X375" s="94" t="n"/>
      <c r="Y375" s="94" t="n"/>
      <c r="Z375" s="94" t="n"/>
      <c r="AA375" s="94" t="n"/>
      <c r="AB375" s="94" t="n"/>
      <c r="AC375" s="94" t="n"/>
      <c r="AD375" s="94" t="n"/>
      <c r="AE375" s="94" t="n"/>
      <c r="AF375" s="94" t="n"/>
      <c r="AG375" s="94" t="n"/>
      <c r="AH375" s="95" t="n"/>
      <c r="AI375" s="95" t="n"/>
      <c r="AJ375" s="95" t="n"/>
      <c r="AK375" s="95" t="n"/>
      <c r="AL375" s="95" t="n"/>
      <c r="AM375" s="95" t="n"/>
      <c r="AN375" s="95" t="n"/>
      <c r="AO375" s="95" t="n"/>
      <c r="AP375" s="95" t="n"/>
      <c r="AQ375" s="95" t="n"/>
      <c r="AR375" s="95" t="n"/>
      <c r="AS375" s="95" t="n"/>
      <c r="AT375" s="96" t="n"/>
      <c r="AU375" s="96" t="n"/>
      <c r="AV375" s="96" t="n"/>
      <c r="AW375" s="97" t="n"/>
      <c r="AX375" s="97" t="n"/>
      <c r="AY375" s="97" t="n"/>
      <c r="AZ375" s="97" t="n"/>
      <c r="BA375" s="97" t="n"/>
      <c r="BB375" s="98" t="n"/>
      <c r="BC375" s="98" t="n"/>
      <c r="BD375" s="99">
        <f>IF($A375="","",IF($DJ375&lt;&gt;"","FIX",IF($DK375&lt;&gt;"","CHECK","OK")))</f>
        <v/>
      </c>
      <c r="BE375" s="100">
        <f>IF($A375="","",IF($DJ375&lt;&gt;"","FIX: "&amp;LEFT($DJ375,LEN($DJ375)-2)&amp;IF($DK375&lt;&gt;"","  ·  ",""),"")&amp;IF($DK375&lt;&gt;"","CHECK: "&amp;LEFT($DK375,LEN($DK375)-2),""))</f>
        <v/>
      </c>
      <c r="BF375" s="99">
        <f>IF(OR($A375="",$K375=""),"",$K375&amp;"'-"&amp;N($L375)&amp;CHAR(34)&amp;" x "&amp;$M375&amp;"'-"&amp;N($N375)&amp;CHAR(34))</f>
        <v/>
      </c>
      <c r="BG375" s="99">
        <f>IF(OR($A375="",$K375=""),"",$K375&amp;N($L375)&amp;$M375&amp;N($N375))</f>
        <v/>
      </c>
      <c r="BH375" s="99">
        <f>IF(OR($A375="",$K375=""),"",$K375*12+N($L375))</f>
        <v/>
      </c>
      <c r="BI375" s="99">
        <f>IF(OR($A375="",$M375=""),"",$M375*12+N($N375))</f>
        <v/>
      </c>
      <c r="BJ375" s="99">
        <f>IF($A375="","",IF(OR($C375="FRAME ONLY",$S375="BL"),0,IF($O375="Y",2,1)))</f>
        <v/>
      </c>
      <c r="BK375" s="101">
        <f>IF(OR(N($BJ375)=0,$BH375=""),"",($BH375-2*EdgeClr-IF($BJ375=2,MeetClr,0))/$BJ375)</f>
        <v/>
      </c>
      <c r="BL375" s="101">
        <f>IF(OR(N($BJ375)=0,$BI375=""),"",$BI375-HeadClr-Undercut)</f>
        <v/>
      </c>
      <c r="BM375" s="101">
        <f>IF($BH375="","",$BH375+2*FaceW+IF(N($Q375)&gt;0,($Q375+FaceW)*IF($R375="LR",2,1),0))</f>
        <v/>
      </c>
      <c r="BN375" s="101">
        <f>IF($BI375="","",$BI375+IF($AB375="Y",4,FaceW)+IF(N($P375)&gt;0,$P375+FaceW,0)+IF(OR($S375="4F",$S375="BL"),FaceW,0))</f>
        <v/>
      </c>
      <c r="BO375" s="101">
        <f>IF($BM375="","",$BM375+2*ROSide)</f>
        <v/>
      </c>
      <c r="BP375" s="101">
        <f>IF($BN375="","",$BN375+ROTop)</f>
        <v/>
      </c>
      <c r="BQ375" s="102">
        <f>IF(OR(N($BJ375)=0,$BH375=""),"",$BH375/$BJ375-ClearDeduct)</f>
        <v/>
      </c>
      <c r="BR375" s="99">
        <f>IF(N($CH375)=0,"",IF($CH375&gt;=180,"A · 3 HR",IF($CH375&gt;=90,"B · 1-1/2 HR",IF($CH375&gt;=60,"B · 1 HR",IF($CH375&gt;=45,"C · 3/4 HR","20 MIN")))))&amp;IF(AND(N($CH375)&gt;0,OR($I375="CORRIDOR",$I375="SMOKE BARRIER"))," · S","")</f>
        <v/>
      </c>
      <c r="BS375" s="99">
        <f>IF($CS375,"",IF($AV375&lt;&gt;"",$AV375,IF(OR($AC375="HGC",$AO375="HGC"),"CONT",IF(($BI375-HeadClr-Undercut)&lt;=60,2,IF(($BI375-HeadClr-Undercut)&lt;=90,3,IF(($BI375-HeadClr-Undercut)&lt;=120,4,5))))))</f>
        <v/>
      </c>
      <c r="BT375" s="99">
        <f>IF($CS375,"",IF($CT375,"CUSTOM (typed)",IF($CV375,$AT375&amp;" "&amp;$CU375&amp;CHAR(34)&amp;IF($CU375&lt;&gt;$BI375,IF(AND($BI375&lt;$CU375,$BI375-IF(N(VLOOKUP($AT375&amp;"|"&amp;$CU375,LocTable,7,FALSE))&gt;0,VLOOKUP($AT375&amp;"|"&amp;$CU375,LocTable,7,FALSE),VLOOKUP($AT375&amp;"|"&amp;$CU375,LocTable,6,FALSE))-$CR375-0.75&gt;=2.125)," cut down"," adj."),""),"ANSI/SDI A250.6")))</f>
        <v/>
      </c>
      <c r="BU375" s="103">
        <f>IF($CS375,"",IF($CT375,IF(N($AW375)&gt;0,N($AW375),""),IF(1&gt;$CQ375,"",IF($CQ375=1,$CW375,$CW375+($CX375-$CW375)*0/($CQ375-1)))))</f>
        <v/>
      </c>
      <c r="BV375" s="103">
        <f>IF($CS375,"",IF($CT375,IF(N($AX375)&gt;0,N($AX375),""),IF(2&gt;$CQ375,"",IF($CQ375=1,$CW375,$CW375+($CX375-$CW375)*1/($CQ375-1)))))</f>
        <v/>
      </c>
      <c r="BW375" s="103">
        <f>IF($CS375,"",IF($CT375,IF(N($AY375)&gt;0,N($AY375),""),IF(3&gt;$CQ375,"",IF($CQ375=1,$CW375,$CW375+($CX375-$CW375)*2/($CQ375-1)))))</f>
        <v/>
      </c>
      <c r="BX375" s="103">
        <f>IF($CS375,"",IF($CT375,IF(N($AZ375)&gt;0,N($AZ375),""),IF(4&gt;$CQ375,"",IF($CQ375=1,$CW375,$CW375+($CX375-$CW375)*3/($CQ375-1)))))</f>
        <v/>
      </c>
      <c r="BY375" s="103">
        <f>IF($CS375,"",IF($CT375,"",IF(5&gt;$CQ375,"",IF($CQ375=1,$CW375,$CW375+($CX375-$CW375)*4/($CQ375-1)))))</f>
        <v/>
      </c>
      <c r="BZ375" s="103">
        <f>IF(OR($CS375,$AP375="-",AND($AP375="",$AD375="")),"",IF(N($BA375)&gt;0,N($BA375),IF($CV375,IF(AND($BI375&lt;$CU375,$BI375-IF(N(VLOOKUP($AT375&amp;"|"&amp;$CU375,LocTable,7,FALSE))&gt;0,VLOOKUP($AT375&amp;"|"&amp;$CU375,LocTable,7,FALSE),VLOOKUP($AT375&amp;"|"&amp;$CU375,LocTable,6,FALSE))-$CR375-0.75&gt;=2.125),VLOOKUP($AT375&amp;"|"&amp;$CU375,LocTable,8,FALSE),VLOOKUP($AT375&amp;"|"&amp;$CU375,LocTable,8,FALSE)+($BI375-$CU375)),$BI375-LockAFF)))</f>
        <v/>
      </c>
      <c r="CA375" s="104">
        <f>IF($BZ375="","",$BI375-$BZ375)</f>
        <v/>
      </c>
      <c r="CB375" s="99">
        <f>IF(OR(NOT(AND($A375&lt;&gt;"",$C375&lt;&gt;"DOOR ONLY")),$BI375=""),"",IF(($BI375+IF(N($P375)&gt;0,$P375+FaceW,0))&lt;=90,3,IF(($BI375+IF(N($P375)&gt;0,$P375+FaceW,0))&lt;=114,4,5)))</f>
        <v/>
      </c>
      <c r="CC375" s="99">
        <f>IF($CB375="","",$CB375*(2+IF(N($Q375)&gt;0,IF($R375="LR",2,1),0)))</f>
        <v/>
      </c>
      <c r="CD375" s="99">
        <f>IF($CB375="","",(2+IF(N($Q375)&gt;0,IF($R375="LR",2,1),0)))</f>
        <v/>
      </c>
      <c r="CE375" s="99">
        <f>IF(N($BJ375)=0,"",IF(OR($AL375="",$AL375="FLUSH"),"FLUSH",IFERROR(LEFT($AL375,FIND("-",$AL375)-1),LEFT($AL375,2))))</f>
        <v/>
      </c>
      <c r="CF375" s="99">
        <f>IF($CE375="","",IFERROR(VALUE(MID($AL375,FIND("-",$AL375)+1,FIND(CHAR(34)&amp;"x",$AL375)-FIND("-",$AL375)-1)),0))</f>
        <v/>
      </c>
      <c r="CG375" s="99">
        <f>IF($CE375="","",IFERROR(VALUE(MID($AL375,FIND(CHAR(34)&amp;"x",$AL375)+2,FIND(CHAR(34),$AL375,FIND(CHAR(34)&amp;"x",$AL375)+2)-FIND(CHAR(34)&amp;"x",$AL375)-2)),0))</f>
        <v/>
      </c>
      <c r="CH375" s="105">
        <f>IF(OR($A375="",$H375="",$H375="NO LAB"),0,IFERROR(VALUE(LEFT($H375,FIND(" ",$H375)-1)),0))</f>
        <v/>
      </c>
      <c r="CI375" s="106">
        <f>IF(OR($A375="",$I375="",$I375="NON-RATED",N($J375)=0),"",IFERROR(VLOOKUP($I375&amp;"|"&amp;$J375,IBC,2,FALSE),"?"))</f>
        <v/>
      </c>
      <c r="CJ375" s="100">
        <f>IF(NOT(AND($A375&lt;&gt;"",$C375&lt;&gt;"DOOR ONLY")),"",TRIM(IFERROR(VLOOKUP($U375,CODES,2,FALSE),"")&amp;" "&amp;$BG375&amp;" "&amp;IFERROR(VLOOKUP($Z375,CODES,2,FALSE),"")&amp;" "&amp;IFERROR(VLOOKUP($X375,CODES,2,FALSE),"")&amp;" "&amp;IFERROR(VLOOKUP($S375,CODES,2,FALSE),"")&amp;IF(N($P375)&gt;0," w/TRANSOM "&amp;$P375&amp;CHAR(34),"")&amp;IF(N($Q375)&gt;0," w/SIDELITE "&amp;$Q375&amp;CHAR(34)&amp;" "&amp;IF($R375="","R",$R375),"")&amp;IF($Y375="","  |  "," | "&amp;IFERROR(VLOOKUP($Y375,CODES,2,FALSE),"")&amp;" | ")&amp;IFERROR(VLOOKUP($AC375,CODES,2,FALSE),"")&amp;" "&amp;IFERROR(VLOOKUP($AD375,CODES,2,FALSE),"")&amp;IF(OR($AE375="",$AE375="-"),""," "&amp;$AE375)&amp;IF(OR($AF375="",$AF375="-"),""," "&amp;$AF375)&amp;IF($AB375="Y"," 4"&amp;CHAR(34)&amp;" HEAD","")&amp;" "&amp;IFERROR(VLOOKUP($H375,CODES,2,FALSE),"")&amp;IF($CT375," | LOC "&amp;$CY375,"")))</f>
        <v/>
      </c>
      <c r="CK375" s="100">
        <f>IF(NOT(AND($A375&lt;&gt;"",N($BJ375)&gt;0)),"",TRIM(IFERROR(VLOOKUP($AH375,CODES,2,FALSE),"")&amp;IF($AI375=""," "," "&amp;$AI375&amp;"GA ")&amp;$BG375&amp;" "&amp;IF($AN375="",IFERROR(VLOOKUP($Z375,CODES,2,FALSE),""),IFERROR(VLOOKUP($AN375,CODES,2,FALSE),""))&amp;IF($BJ375=2," PAIR","")&amp;" DOOR | "&amp;IF($AL375="","?",$AL375)&amp;" | "&amp;IF($AO375="",IFERROR(VLOOKUP($AC375,CODES,2,FALSE),""),IFERROR(VLOOKUP($AO375,CODES,2,FALSE),""))&amp;" "&amp;IFERROR(VLOOKUP($AP375,CODES,2,FALSE),"")&amp;IF(OR($AQ375="",$AQ375="-"),""," SEAM "&amp;$AQ375)&amp;IF($AR375="Y"," ASTRAGAL","")&amp;IF($AJ375=""," "," "&amp;$AJ375)&amp;IF($AK375=""," "," "&amp;$AK375)&amp;IF(OR($AT375="",$AT375="ANSI/SDI",$AT375="CUSTOM LOC"),""," "&amp;$AT375)&amp;IF($AM375=""," "," SERIES "&amp;$AM375)&amp;" "&amp;IFERROR(VLOOKUP($H375,CODES,2,FALSE),"")&amp;IF($CT375," | LOC "&amp;$CZ375,"")))</f>
        <v/>
      </c>
      <c r="CL375" s="99">
        <f>IF(CP375="","",IF(COUNTIF($CP$6:CP375,CP375)=1,MAX($CL$5:CL374)+1,INDEX($CL$5:CL374,MATCH(CP375,$CP$5:CP374,0))))</f>
        <v/>
      </c>
      <c r="CM375" s="99">
        <f>IF(NOT(AND($A375&lt;&gt;"",$C375&lt;&gt;"DOOR ONLY")),"",MAX($CM$5:CM374)+1)</f>
        <v/>
      </c>
      <c r="CN375" s="99">
        <f>IF(NOT(AND($A375&lt;&gt;"",N($BJ375)&gt;0)),"",MAX($CN$5:CN374)+1)</f>
        <v/>
      </c>
      <c r="CO375" s="99">
        <f>IF($A375="","",MAX($CO$5:CO374)+1)</f>
        <v/>
      </c>
      <c r="CP375" s="99">
        <f>IF(OR($A375="",$BH375="",$BI375=""),"",$BG375&amp;"|"&amp;$O375&amp;"|"&amp;$AL375&amp;"|"&amp;$S375&amp;"|"&amp;$P375&amp;"|"&amp;$Q375&amp;$R375&amp;"|"&amp;$C375&amp;"|"&amp;$AB375)</f>
        <v/>
      </c>
      <c r="CQ375" s="99">
        <f>N($BS375)</f>
        <v/>
      </c>
      <c r="CR375" s="99">
        <f>IF(N($AU375)&gt;0,N($AU375),4.5)</f>
        <v/>
      </c>
      <c r="CS375" s="99">
        <f>OR($A375="",$BI375="",$S375="BL",AND($C375="FRAME ONLY",OR($AC375="",$AC375="BLK")))</f>
        <v/>
      </c>
      <c r="CT375" s="99">
        <f>AND(NOT($CS375),OR($AT375="CUSTOM LOC",N($AW375)+N($AX375)+N($AY375)+N($AZ375)+N($BA375)&gt;0))</f>
        <v/>
      </c>
      <c r="CU375" s="99">
        <f>IF($BI375="","",IF($BI375&lt;=80,80,IF($BI375&lt;=84,84,96)))</f>
        <v/>
      </c>
      <c r="CV375" s="99">
        <f>ISNUMBER(MATCH($AT375&amp;"|80",LocKeys,0))</f>
        <v/>
      </c>
      <c r="CW375" s="101">
        <f>IF($CS375,"",IF($CV375,VLOOKUP($AT375&amp;"|"&amp;$CU375,LocTable,4,FALSE),5))</f>
        <v/>
      </c>
      <c r="CX375" s="101">
        <f>IF($CS375,"",IF($CV375,IF(OR($BI375=$CU375,AND($BI375&lt;$CU375,$BI375-IF(N(VLOOKUP($AT375&amp;"|"&amp;$CU375,LocTable,7,FALSE))&gt;0,VLOOKUP($AT375&amp;"|"&amp;$CU375,LocTable,7,FALSE),VLOOKUP($AT375&amp;"|"&amp;$CU375,LocTable,6,FALSE))-$CR375-0.75&gt;=2.125)),IF(N(VLOOKUP($AT375&amp;"|"&amp;$CU375,LocTable,7,FALSE))&gt;0,VLOOKUP($AT375&amp;"|"&amp;$CU375,LocTable,7,FALSE),VLOOKUP($AT375&amp;"|"&amp;$CU375,LocTable,6,FALSE)),$BI375-($CU375-IF(N(VLOOKUP($AT375&amp;"|"&amp;$CU375,LocTable,7,FALSE))&gt;0,VLOOKUP($AT375&amp;"|"&amp;$CU375,LocTable,7,FALSE),VLOOKUP($AT375&amp;"|"&amp;$CU375,LocTable,6,FALSE)))),$BI375-10-$CR375))</f>
        <v/>
      </c>
      <c r="CY375" s="100">
        <f>IF($CS375,"",TRIM(IF(ISNUMBER($BU375),"A "&amp;TRIM(TEXT($BU375,"# ?/??"))&amp;CHAR(34)&amp;"  ","")&amp;IF(ISNUMBER($BV375),"B "&amp;TRIM(TEXT($BV375,"# ?/??"))&amp;CHAR(34)&amp;"  ","")&amp;IF(ISNUMBER($BW375),"C "&amp;TRIM(TEXT($BW375,"# ?/??"))&amp;CHAR(34)&amp;"  ","")&amp;IF(ISNUMBER($BX375),"D "&amp;TRIM(TEXT($BX375,"# ?/??"))&amp;CHAR(34)&amp;"  ","")&amp;IF(ISNUMBER($BY375),"F "&amp;TRIM(TEXT($BY375,"# ?/??"))&amp;CHAR(34)&amp;"  ","")&amp;IF(ISNUMBER($BZ375),"E "&amp;TRIM(TEXT($BZ375,"# ?/??"))&amp;CHAR(34)&amp;"  ","")))</f>
        <v/>
      </c>
      <c r="CZ375" s="100">
        <f>IF(OR($CS375,N($BJ375)=0),"",TRIM(IF(ISNUMBER($BU375),"A "&amp;TRIM(TEXT($BU375-HeadClr,"# ?/??"))&amp;CHAR(34)&amp;"  ","")&amp;IF(ISNUMBER($BV375),"B "&amp;TRIM(TEXT($BV375-HeadClr,"# ?/??"))&amp;CHAR(34)&amp;"  ","")&amp;IF(ISNUMBER($BW375),"C "&amp;TRIM(TEXT($BW375-HeadClr,"# ?/??"))&amp;CHAR(34)&amp;"  ","")&amp;IF(ISNUMBER($BX375),"D "&amp;TRIM(TEXT($BX375-HeadClr,"# ?/??"))&amp;CHAR(34)&amp;"  ","")&amp;IF(ISNUMBER($BY375),"F "&amp;TRIM(TEXT($BY375-HeadClr,"# ?/??"))&amp;CHAR(34)&amp;"  ","")&amp;IF(ISNUMBER($BZ375),"E "&amp;TRIM(TEXT($BZ375-HeadClr,"# ?/??"))&amp;CHAR(34)&amp;"  ","")))</f>
        <v/>
      </c>
      <c r="DA375" s="99">
        <f>IF($A375="","",IF($AN375="",IFERROR(VLOOKUP($Z375,CODES,2,FALSE),""),IFERROR(VLOOKUP($AN375,CODES,2,FALSE),"")))</f>
        <v/>
      </c>
      <c r="DB375" s="99">
        <f>IF($A375="","",IF($O375="Y","PR",IF(OR($Z375="L",$Z375="RR",LEFT($Z375,2)="L-",LEFT($Z375,3)="RR-"),"LH","RH")))</f>
        <v/>
      </c>
      <c r="DC375" s="99">
        <f>IF($A375="","","S.HM"&amp;IF(OR($C375="DOOR ONLY",$X375&lt;&gt;"KD"),"MASONRY","DRYWALL")&amp;IF($C375="DOOR ONLY","",$U375)&amp;IF(AND($C375&lt;&gt;"FRAME ONLY",OR(LEFT($AH375,3)="OAK",LEFT($AH375,3)="BIR",LEFT($AH375,3)="MAP",$AH375="PC",$AH375="MC",$AH375="SCLC",$AH375="P-LAM")),"WD","HM")&amp;"1.75")</f>
        <v/>
      </c>
      <c r="DD375" s="99">
        <f>IF($CJ375="","",IF($O375="Y",$CJ375,SUBSTITUTE($CJ375,$BG375&amp;" "&amp;IFERROR(VLOOKUP($Z375,CODES,2,FALSE),"")&amp;" ",$BG375&amp;" ")))</f>
        <v/>
      </c>
      <c r="DE375" s="99">
        <f>IF($CK375="","",IF($O375="Y",$CK375,SUBSTITUTE($CK375,$BG375&amp;" "&amp;IF($AN375="",IFERROR(VLOOKUP($Z375,CODES,2,FALSE),""),IFERROR(VLOOKUP($AN375,CODES,2,FALSE),""))&amp;" ",$BG375&amp;" ")))</f>
        <v/>
      </c>
      <c r="DF375" s="99">
        <f>IF($CJ375="","",$DC375&amp;"|"&amp;$DD375&amp;"|"&amp;$DB375&amp;"|"&amp;$AT375&amp;"|"&amp;$V375&amp;"|"&amp;$Y375&amp;"|"&amp;$AB375)</f>
        <v/>
      </c>
      <c r="DG375" s="99">
        <f>IF(DF375="","",IF(COUNTIF($DF$6:DF375,DF375)=1,MAX($DG$5:DG374)+1,INDEX($DG$5:DG374,MATCH(DF375,$DF$5:DF374,0))))</f>
        <v/>
      </c>
      <c r="DH375" s="99">
        <f>IF($CK375="","",$DC375&amp;"|"&amp;$DE375&amp;"|"&amp;$AI375&amp;"|"&amp;$BK375&amp;"|"&amp;$BL375)</f>
        <v/>
      </c>
      <c r="DI375" s="99">
        <f>IF(DH375="","",IF(COUNTIF($DH$6:DH375,DH375)=1,MAX($DI$5:DI374)+1,INDEX($DI$5:DI374,MATCH(DH375,$DH$5:DH374,0))))</f>
        <v/>
      </c>
      <c r="DJ375" s="99">
        <f>IF($A375="","",IF($B375="","qty, ","")&amp;IF($C375="","scope, ","")&amp;IF(OR($K375="",$M375=""),"size, ","")&amp;IF(AND($A375&lt;&gt;"",$C375&lt;&gt;"DOOR ONLY"),IF($U375="","jamb depth, ","")&amp;IF($X375="","construction, ","")&amp;IF($Y375="","anchor, ","")&amp;IF($S375="","frame type, ",""),"")&amp;IF(AND(N($BJ375)&gt;0,$Z375=""),"hand, ","")&amp;IF(N($BJ375)&gt;0,IF($AH375="","door material, ","")&amp;IF($AL375="","face type, ","")&amp;IF($AP375="","lock prep, ","")&amp;IF(AND($AO375="",$AC375=""),"hinge prep, ",""),"")&amp;IF(AND($CH375&gt;0,$AH375="FRP"),"FRP cannot carry a label, ","")&amp;IF(AND($O375="Y",OR($Z375="L",$Z375="R",$Z375="LR",$Z375="RR")),"pair marked but hand is single, ","")&amp;IF(AND($O375&lt;&gt;"Y",OR($Z375="PR",AND(LEN($Z375)&gt;1,ISNUMBER(SEARCH("-",$Z375))))),"pair hand on a single door, ","")&amp;IF(AND(ISNUMBER($CI375),$CH375&lt;N($CI375)),"wall needs a "&amp;$CI375&amp;" min door, ","")&amp;IF(AND($CH375&gt;=180,AND(OR($CE375="FG",$CE375="HG",$CE375="FNV",$CE375="FV"),N($CF375)*N($CG375)&gt;100)),"180 min lite over 100 sq in, ","")&amp;IF(N($BK375)&gt;48,"leaf wider than 4'-0"&amp;CHAR(34)&amp;", ","")&amp;IF(AND($CT375,COUNT($AW375:$AZ375)=0,$CQ375&gt;0),"CUSTOM LOC with no locations typed, ",""))</f>
        <v/>
      </c>
      <c r="DK375" s="99">
        <f>IF($A375="","",IF(AND($CH375&gt;0,AND($A375&lt;&gt;"",$C375&lt;&gt;"DOOR ONLY"),$X375="KD",$E375="EXTERIOR"),"KD label on an exterior opening, ","")&amp;IF(AND($E375="EXTERIOR",OR(AND(AND($A375&lt;&gt;"",$C375&lt;&gt;"DOOR ONLY"),$W375="CR"),AND(N($BJ375)&gt;0,$AH375="CR"))),"exterior in CR steel (G9?), ","")&amp;IF(AND(ISNUMBER($BQ375),N($BQ375)&lt;32),"clear width ~"&amp;TEXT($BQ375,"0.0")&amp;CHAR(34)&amp;" under 32"&amp;CHAR(34)&amp;" (ADA), ","")&amp;IF(AND($CH375=90,AND(OR($CE375="FG",$CE375="HG",$CE375="FNV",$CE375="FV"),N($CF375)*N($CG375)&gt;100)),"90 min lite over 100 sq in (stair/exit), ","")&amp;IF(AND($CH375&gt;0,AND($A375&lt;&gt;"",$C375&lt;&gt;"DOOR ONLY"),OR($AF375="",$AF375="-")),"rated: closer reinf.?, ","")&amp;IF(OR($I375="CORRIDOR",$I375="SMOKE BARRIER"),"S label + smoke gasketing, ","")&amp;IF($CI375="?","wall type/hr not in IBC table, ","")&amp;IF(AND(N($BJ375)&gt;0,$BB375=""),"no hardware set, ","")&amp;IF(AND($BB375&lt;&gt;"",ISNA(MATCH($BB375&amp;"",HWSets,0))),"set "&amp;$BB375&amp;" not on HW Sets, ","")&amp;IF(N($BL375)&gt;96,"leaf over 8'-0"&amp;CHAR(34)&amp;" - check listing, ","")&amp;IF(AND($CT375,COUNT($AW375:$AZ375)&gt;0,COUNT($AW375:$AZ375)&lt;&gt;$CQ375),COUNT($AW375:$AZ375)&amp;" custom hinges typed, "&amp;$CQ375&amp;" expected, ","")&amp;IF(AND(ISNUMBER($CA375),OR(N($CA375)&lt;34,N($CA375)&gt;48)),"lock "&amp;TEXT($CA375,"0.0")&amp;CHAR(34)&amp;" AFF outside 34-48"&amp;CHAR(34)&amp;" (ADA), ","")&amp;IF(AND(ISNUMBER($AV375),ISNUMBER($BL375),N($AV375)&lt;IF(N($BL375)&lt;=60,2,IF(N($BL375)&lt;=90,3,IF(N($BL375)&lt;=120,4,5)))),"fewer hinges than standard, ",""))</f>
        <v/>
      </c>
    </row>
    <row r="376" ht="15" customHeight="1">
      <c r="A376" s="77" t="n"/>
      <c r="B376" s="78" t="n"/>
      <c r="C376" s="78" t="n"/>
      <c r="D376" s="78" t="n"/>
      <c r="E376" s="78" t="n"/>
      <c r="F376" s="78" t="n"/>
      <c r="G376" s="78" t="n"/>
      <c r="H376" s="78" t="n"/>
      <c r="I376" s="78" t="n"/>
      <c r="J376" s="78" t="n"/>
      <c r="K376" s="78" t="n"/>
      <c r="L376" s="78" t="n"/>
      <c r="M376" s="78" t="n"/>
      <c r="N376" s="78" t="n"/>
      <c r="O376" s="78" t="n"/>
      <c r="P376" s="78" t="n"/>
      <c r="Q376" s="78" t="n"/>
      <c r="R376" s="78" t="n"/>
      <c r="S376" s="79" t="n"/>
      <c r="T376" s="79" t="n"/>
      <c r="U376" s="79" t="n"/>
      <c r="V376" s="79" t="n"/>
      <c r="W376" s="79" t="n"/>
      <c r="X376" s="79" t="n"/>
      <c r="Y376" s="79" t="n"/>
      <c r="Z376" s="79" t="n"/>
      <c r="AA376" s="79" t="n"/>
      <c r="AB376" s="79" t="n"/>
      <c r="AC376" s="79" t="n"/>
      <c r="AD376" s="79" t="n"/>
      <c r="AE376" s="79" t="n"/>
      <c r="AF376" s="79" t="n"/>
      <c r="AG376" s="79" t="n"/>
      <c r="AH376" s="80" t="n"/>
      <c r="AI376" s="80" t="n"/>
      <c r="AJ376" s="80" t="n"/>
      <c r="AK376" s="80" t="n"/>
      <c r="AL376" s="80" t="n"/>
      <c r="AM376" s="80" t="n"/>
      <c r="AN376" s="80" t="n"/>
      <c r="AO376" s="80" t="n"/>
      <c r="AP376" s="80" t="n"/>
      <c r="AQ376" s="80" t="n"/>
      <c r="AR376" s="80" t="n"/>
      <c r="AS376" s="80" t="n"/>
      <c r="AT376" s="81" t="n"/>
      <c r="AU376" s="81" t="n"/>
      <c r="AV376" s="81" t="n"/>
      <c r="AW376" s="82" t="n"/>
      <c r="AX376" s="82" t="n"/>
      <c r="AY376" s="82" t="n"/>
      <c r="AZ376" s="82" t="n"/>
      <c r="BA376" s="82" t="n"/>
      <c r="BB376" s="83" t="n"/>
      <c r="BC376" s="83" t="n"/>
      <c r="BD376" s="84">
        <f>IF($A376="","",IF($DJ376&lt;&gt;"","FIX",IF($DK376&lt;&gt;"","CHECK","OK")))</f>
        <v/>
      </c>
      <c r="BE376" s="85">
        <f>IF($A376="","",IF($DJ376&lt;&gt;"","FIX: "&amp;LEFT($DJ376,LEN($DJ376)-2)&amp;IF($DK376&lt;&gt;"","  ·  ",""),"")&amp;IF($DK376&lt;&gt;"","CHECK: "&amp;LEFT($DK376,LEN($DK376)-2),""))</f>
        <v/>
      </c>
      <c r="BF376" s="84">
        <f>IF(OR($A376="",$K376=""),"",$K376&amp;"'-"&amp;N($L376)&amp;CHAR(34)&amp;" x "&amp;$M376&amp;"'-"&amp;N($N376)&amp;CHAR(34))</f>
        <v/>
      </c>
      <c r="BG376" s="84">
        <f>IF(OR($A376="",$K376=""),"",$K376&amp;N($L376)&amp;$M376&amp;N($N376))</f>
        <v/>
      </c>
      <c r="BH376" s="84">
        <f>IF(OR($A376="",$K376=""),"",$K376*12+N($L376))</f>
        <v/>
      </c>
      <c r="BI376" s="84">
        <f>IF(OR($A376="",$M376=""),"",$M376*12+N($N376))</f>
        <v/>
      </c>
      <c r="BJ376" s="84">
        <f>IF($A376="","",IF(OR($C376="FRAME ONLY",$S376="BL"),0,IF($O376="Y",2,1)))</f>
        <v/>
      </c>
      <c r="BK376" s="86">
        <f>IF(OR(N($BJ376)=0,$BH376=""),"",($BH376-2*EdgeClr-IF($BJ376=2,MeetClr,0))/$BJ376)</f>
        <v/>
      </c>
      <c r="BL376" s="86">
        <f>IF(OR(N($BJ376)=0,$BI376=""),"",$BI376-HeadClr-Undercut)</f>
        <v/>
      </c>
      <c r="BM376" s="86">
        <f>IF($BH376="","",$BH376+2*FaceW+IF(N($Q376)&gt;0,($Q376+FaceW)*IF($R376="LR",2,1),0))</f>
        <v/>
      </c>
      <c r="BN376" s="86">
        <f>IF($BI376="","",$BI376+IF($AB376="Y",4,FaceW)+IF(N($P376)&gt;0,$P376+FaceW,0)+IF(OR($S376="4F",$S376="BL"),FaceW,0))</f>
        <v/>
      </c>
      <c r="BO376" s="86">
        <f>IF($BM376="","",$BM376+2*ROSide)</f>
        <v/>
      </c>
      <c r="BP376" s="86">
        <f>IF($BN376="","",$BN376+ROTop)</f>
        <v/>
      </c>
      <c r="BQ376" s="87">
        <f>IF(OR(N($BJ376)=0,$BH376=""),"",$BH376/$BJ376-ClearDeduct)</f>
        <v/>
      </c>
      <c r="BR376" s="84">
        <f>IF(N($CH376)=0,"",IF($CH376&gt;=180,"A · 3 HR",IF($CH376&gt;=90,"B · 1-1/2 HR",IF($CH376&gt;=60,"B · 1 HR",IF($CH376&gt;=45,"C · 3/4 HR","20 MIN")))))&amp;IF(AND(N($CH376)&gt;0,OR($I376="CORRIDOR",$I376="SMOKE BARRIER"))," · S","")</f>
        <v/>
      </c>
      <c r="BS376" s="84">
        <f>IF($CS376,"",IF($AV376&lt;&gt;"",$AV376,IF(OR($AC376="HGC",$AO376="HGC"),"CONT",IF(($BI376-HeadClr-Undercut)&lt;=60,2,IF(($BI376-HeadClr-Undercut)&lt;=90,3,IF(($BI376-HeadClr-Undercut)&lt;=120,4,5))))))</f>
        <v/>
      </c>
      <c r="BT376" s="84">
        <f>IF($CS376,"",IF($CT376,"CUSTOM (typed)",IF($CV376,$AT376&amp;" "&amp;$CU376&amp;CHAR(34)&amp;IF($CU376&lt;&gt;$BI376,IF(AND($BI376&lt;$CU376,$BI376-IF(N(VLOOKUP($AT376&amp;"|"&amp;$CU376,LocTable,7,FALSE))&gt;0,VLOOKUP($AT376&amp;"|"&amp;$CU376,LocTable,7,FALSE),VLOOKUP($AT376&amp;"|"&amp;$CU376,LocTable,6,FALSE))-$CR376-0.75&gt;=2.125)," cut down"," adj."),""),"ANSI/SDI A250.6")))</f>
        <v/>
      </c>
      <c r="BU376" s="88">
        <f>IF($CS376,"",IF($CT376,IF(N($AW376)&gt;0,N($AW376),""),IF(1&gt;$CQ376,"",IF($CQ376=1,$CW376,$CW376+($CX376-$CW376)*0/($CQ376-1)))))</f>
        <v/>
      </c>
      <c r="BV376" s="88">
        <f>IF($CS376,"",IF($CT376,IF(N($AX376)&gt;0,N($AX376),""),IF(2&gt;$CQ376,"",IF($CQ376=1,$CW376,$CW376+($CX376-$CW376)*1/($CQ376-1)))))</f>
        <v/>
      </c>
      <c r="BW376" s="88">
        <f>IF($CS376,"",IF($CT376,IF(N($AY376)&gt;0,N($AY376),""),IF(3&gt;$CQ376,"",IF($CQ376=1,$CW376,$CW376+($CX376-$CW376)*2/($CQ376-1)))))</f>
        <v/>
      </c>
      <c r="BX376" s="88">
        <f>IF($CS376,"",IF($CT376,IF(N($AZ376)&gt;0,N($AZ376),""),IF(4&gt;$CQ376,"",IF($CQ376=1,$CW376,$CW376+($CX376-$CW376)*3/($CQ376-1)))))</f>
        <v/>
      </c>
      <c r="BY376" s="88">
        <f>IF($CS376,"",IF($CT376,"",IF(5&gt;$CQ376,"",IF($CQ376=1,$CW376,$CW376+($CX376-$CW376)*4/($CQ376-1)))))</f>
        <v/>
      </c>
      <c r="BZ376" s="88">
        <f>IF(OR($CS376,$AP376="-",AND($AP376="",$AD376="")),"",IF(N($BA376)&gt;0,N($BA376),IF($CV376,IF(AND($BI376&lt;$CU376,$BI376-IF(N(VLOOKUP($AT376&amp;"|"&amp;$CU376,LocTable,7,FALSE))&gt;0,VLOOKUP($AT376&amp;"|"&amp;$CU376,LocTable,7,FALSE),VLOOKUP($AT376&amp;"|"&amp;$CU376,LocTable,6,FALSE))-$CR376-0.75&gt;=2.125),VLOOKUP($AT376&amp;"|"&amp;$CU376,LocTable,8,FALSE),VLOOKUP($AT376&amp;"|"&amp;$CU376,LocTable,8,FALSE)+($BI376-$CU376)),$BI376-LockAFF)))</f>
        <v/>
      </c>
      <c r="CA376" s="89">
        <f>IF($BZ376="","",$BI376-$BZ376)</f>
        <v/>
      </c>
      <c r="CB376" s="84">
        <f>IF(OR(NOT(AND($A376&lt;&gt;"",$C376&lt;&gt;"DOOR ONLY")),$BI376=""),"",IF(($BI376+IF(N($P376)&gt;0,$P376+FaceW,0))&lt;=90,3,IF(($BI376+IF(N($P376)&gt;0,$P376+FaceW,0))&lt;=114,4,5)))</f>
        <v/>
      </c>
      <c r="CC376" s="84">
        <f>IF($CB376="","",$CB376*(2+IF(N($Q376)&gt;0,IF($R376="LR",2,1),0)))</f>
        <v/>
      </c>
      <c r="CD376" s="84">
        <f>IF($CB376="","",(2+IF(N($Q376)&gt;0,IF($R376="LR",2,1),0)))</f>
        <v/>
      </c>
      <c r="CE376" s="84">
        <f>IF(N($BJ376)=0,"",IF(OR($AL376="",$AL376="FLUSH"),"FLUSH",IFERROR(LEFT($AL376,FIND("-",$AL376)-1),LEFT($AL376,2))))</f>
        <v/>
      </c>
      <c r="CF376" s="84">
        <f>IF($CE376="","",IFERROR(VALUE(MID($AL376,FIND("-",$AL376)+1,FIND(CHAR(34)&amp;"x",$AL376)-FIND("-",$AL376)-1)),0))</f>
        <v/>
      </c>
      <c r="CG376" s="84">
        <f>IF($CE376="","",IFERROR(VALUE(MID($AL376,FIND(CHAR(34)&amp;"x",$AL376)+2,FIND(CHAR(34),$AL376,FIND(CHAR(34)&amp;"x",$AL376)+2)-FIND(CHAR(34)&amp;"x",$AL376)-2)),0))</f>
        <v/>
      </c>
      <c r="CH376" s="90">
        <f>IF(OR($A376="",$H376="",$H376="NO LAB"),0,IFERROR(VALUE(LEFT($H376,FIND(" ",$H376)-1)),0))</f>
        <v/>
      </c>
      <c r="CI376" s="91">
        <f>IF(OR($A376="",$I376="",$I376="NON-RATED",N($J376)=0),"",IFERROR(VLOOKUP($I376&amp;"|"&amp;$J376,IBC,2,FALSE),"?"))</f>
        <v/>
      </c>
      <c r="CJ376" s="85">
        <f>IF(NOT(AND($A376&lt;&gt;"",$C376&lt;&gt;"DOOR ONLY")),"",TRIM(IFERROR(VLOOKUP($U376,CODES,2,FALSE),"")&amp;" "&amp;$BG376&amp;" "&amp;IFERROR(VLOOKUP($Z376,CODES,2,FALSE),"")&amp;" "&amp;IFERROR(VLOOKUP($X376,CODES,2,FALSE),"")&amp;" "&amp;IFERROR(VLOOKUP($S376,CODES,2,FALSE),"")&amp;IF(N($P376)&gt;0," w/TRANSOM "&amp;$P376&amp;CHAR(34),"")&amp;IF(N($Q376)&gt;0," w/SIDELITE "&amp;$Q376&amp;CHAR(34)&amp;" "&amp;IF($R376="","R",$R376),"")&amp;IF($Y376="","  |  "," | "&amp;IFERROR(VLOOKUP($Y376,CODES,2,FALSE),"")&amp;" | ")&amp;IFERROR(VLOOKUP($AC376,CODES,2,FALSE),"")&amp;" "&amp;IFERROR(VLOOKUP($AD376,CODES,2,FALSE),"")&amp;IF(OR($AE376="",$AE376="-"),""," "&amp;$AE376)&amp;IF(OR($AF376="",$AF376="-"),""," "&amp;$AF376)&amp;IF($AB376="Y"," 4"&amp;CHAR(34)&amp;" HEAD","")&amp;" "&amp;IFERROR(VLOOKUP($H376,CODES,2,FALSE),"")&amp;IF($CT376," | LOC "&amp;$CY376,"")))</f>
        <v/>
      </c>
      <c r="CK376" s="85">
        <f>IF(NOT(AND($A376&lt;&gt;"",N($BJ376)&gt;0)),"",TRIM(IFERROR(VLOOKUP($AH376,CODES,2,FALSE),"")&amp;IF($AI376=""," "," "&amp;$AI376&amp;"GA ")&amp;$BG376&amp;" "&amp;IF($AN376="",IFERROR(VLOOKUP($Z376,CODES,2,FALSE),""),IFERROR(VLOOKUP($AN376,CODES,2,FALSE),""))&amp;IF($BJ376=2," PAIR","")&amp;" DOOR | "&amp;IF($AL376="","?",$AL376)&amp;" | "&amp;IF($AO376="",IFERROR(VLOOKUP($AC376,CODES,2,FALSE),""),IFERROR(VLOOKUP($AO376,CODES,2,FALSE),""))&amp;" "&amp;IFERROR(VLOOKUP($AP376,CODES,2,FALSE),"")&amp;IF(OR($AQ376="",$AQ376="-"),""," SEAM "&amp;$AQ376)&amp;IF($AR376="Y"," ASTRAGAL","")&amp;IF($AJ376=""," "," "&amp;$AJ376)&amp;IF($AK376=""," "," "&amp;$AK376)&amp;IF(OR($AT376="",$AT376="ANSI/SDI",$AT376="CUSTOM LOC"),""," "&amp;$AT376)&amp;IF($AM376=""," "," SERIES "&amp;$AM376)&amp;" "&amp;IFERROR(VLOOKUP($H376,CODES,2,FALSE),"")&amp;IF($CT376," | LOC "&amp;$CZ376,"")))</f>
        <v/>
      </c>
      <c r="CL376" s="84">
        <f>IF(CP376="","",IF(COUNTIF($CP$6:CP376,CP376)=1,MAX($CL$5:CL375)+1,INDEX($CL$5:CL375,MATCH(CP376,$CP$5:CP375,0))))</f>
        <v/>
      </c>
      <c r="CM376" s="84">
        <f>IF(NOT(AND($A376&lt;&gt;"",$C376&lt;&gt;"DOOR ONLY")),"",MAX($CM$5:CM375)+1)</f>
        <v/>
      </c>
      <c r="CN376" s="84">
        <f>IF(NOT(AND($A376&lt;&gt;"",N($BJ376)&gt;0)),"",MAX($CN$5:CN375)+1)</f>
        <v/>
      </c>
      <c r="CO376" s="84">
        <f>IF($A376="","",MAX($CO$5:CO375)+1)</f>
        <v/>
      </c>
      <c r="CP376" s="84">
        <f>IF(OR($A376="",$BH376="",$BI376=""),"",$BG376&amp;"|"&amp;$O376&amp;"|"&amp;$AL376&amp;"|"&amp;$S376&amp;"|"&amp;$P376&amp;"|"&amp;$Q376&amp;$R376&amp;"|"&amp;$C376&amp;"|"&amp;$AB376)</f>
        <v/>
      </c>
      <c r="CQ376" s="84">
        <f>N($BS376)</f>
        <v/>
      </c>
      <c r="CR376" s="84">
        <f>IF(N($AU376)&gt;0,N($AU376),4.5)</f>
        <v/>
      </c>
      <c r="CS376" s="84">
        <f>OR($A376="",$BI376="",$S376="BL",AND($C376="FRAME ONLY",OR($AC376="",$AC376="BLK")))</f>
        <v/>
      </c>
      <c r="CT376" s="84">
        <f>AND(NOT($CS376),OR($AT376="CUSTOM LOC",N($AW376)+N($AX376)+N($AY376)+N($AZ376)+N($BA376)&gt;0))</f>
        <v/>
      </c>
      <c r="CU376" s="84">
        <f>IF($BI376="","",IF($BI376&lt;=80,80,IF($BI376&lt;=84,84,96)))</f>
        <v/>
      </c>
      <c r="CV376" s="84">
        <f>ISNUMBER(MATCH($AT376&amp;"|80",LocKeys,0))</f>
        <v/>
      </c>
      <c r="CW376" s="86">
        <f>IF($CS376,"",IF($CV376,VLOOKUP($AT376&amp;"|"&amp;$CU376,LocTable,4,FALSE),5))</f>
        <v/>
      </c>
      <c r="CX376" s="86">
        <f>IF($CS376,"",IF($CV376,IF(OR($BI376=$CU376,AND($BI376&lt;$CU376,$BI376-IF(N(VLOOKUP($AT376&amp;"|"&amp;$CU376,LocTable,7,FALSE))&gt;0,VLOOKUP($AT376&amp;"|"&amp;$CU376,LocTable,7,FALSE),VLOOKUP($AT376&amp;"|"&amp;$CU376,LocTable,6,FALSE))-$CR376-0.75&gt;=2.125)),IF(N(VLOOKUP($AT376&amp;"|"&amp;$CU376,LocTable,7,FALSE))&gt;0,VLOOKUP($AT376&amp;"|"&amp;$CU376,LocTable,7,FALSE),VLOOKUP($AT376&amp;"|"&amp;$CU376,LocTable,6,FALSE)),$BI376-($CU376-IF(N(VLOOKUP($AT376&amp;"|"&amp;$CU376,LocTable,7,FALSE))&gt;0,VLOOKUP($AT376&amp;"|"&amp;$CU376,LocTable,7,FALSE),VLOOKUP($AT376&amp;"|"&amp;$CU376,LocTable,6,FALSE)))),$BI376-10-$CR376))</f>
        <v/>
      </c>
      <c r="CY376" s="85">
        <f>IF($CS376,"",TRIM(IF(ISNUMBER($BU376),"A "&amp;TRIM(TEXT($BU376,"# ?/??"))&amp;CHAR(34)&amp;"  ","")&amp;IF(ISNUMBER($BV376),"B "&amp;TRIM(TEXT($BV376,"# ?/??"))&amp;CHAR(34)&amp;"  ","")&amp;IF(ISNUMBER($BW376),"C "&amp;TRIM(TEXT($BW376,"# ?/??"))&amp;CHAR(34)&amp;"  ","")&amp;IF(ISNUMBER($BX376),"D "&amp;TRIM(TEXT($BX376,"# ?/??"))&amp;CHAR(34)&amp;"  ","")&amp;IF(ISNUMBER($BY376),"F "&amp;TRIM(TEXT($BY376,"# ?/??"))&amp;CHAR(34)&amp;"  ","")&amp;IF(ISNUMBER($BZ376),"E "&amp;TRIM(TEXT($BZ376,"# ?/??"))&amp;CHAR(34)&amp;"  ","")))</f>
        <v/>
      </c>
      <c r="CZ376" s="85">
        <f>IF(OR($CS376,N($BJ376)=0),"",TRIM(IF(ISNUMBER($BU376),"A "&amp;TRIM(TEXT($BU376-HeadClr,"# ?/??"))&amp;CHAR(34)&amp;"  ","")&amp;IF(ISNUMBER($BV376),"B "&amp;TRIM(TEXT($BV376-HeadClr,"# ?/??"))&amp;CHAR(34)&amp;"  ","")&amp;IF(ISNUMBER($BW376),"C "&amp;TRIM(TEXT($BW376-HeadClr,"# ?/??"))&amp;CHAR(34)&amp;"  ","")&amp;IF(ISNUMBER($BX376),"D "&amp;TRIM(TEXT($BX376-HeadClr,"# ?/??"))&amp;CHAR(34)&amp;"  ","")&amp;IF(ISNUMBER($BY376),"F "&amp;TRIM(TEXT($BY376-HeadClr,"# ?/??"))&amp;CHAR(34)&amp;"  ","")&amp;IF(ISNUMBER($BZ376),"E "&amp;TRIM(TEXT($BZ376-HeadClr,"# ?/??"))&amp;CHAR(34)&amp;"  ","")))</f>
        <v/>
      </c>
      <c r="DA376" s="84">
        <f>IF($A376="","",IF($AN376="",IFERROR(VLOOKUP($Z376,CODES,2,FALSE),""),IFERROR(VLOOKUP($AN376,CODES,2,FALSE),"")))</f>
        <v/>
      </c>
      <c r="DB376" s="84">
        <f>IF($A376="","",IF($O376="Y","PR",IF(OR($Z376="L",$Z376="RR",LEFT($Z376,2)="L-",LEFT($Z376,3)="RR-"),"LH","RH")))</f>
        <v/>
      </c>
      <c r="DC376" s="84">
        <f>IF($A376="","","S.HM"&amp;IF(OR($C376="DOOR ONLY",$X376&lt;&gt;"KD"),"MASONRY","DRYWALL")&amp;IF($C376="DOOR ONLY","",$U376)&amp;IF(AND($C376&lt;&gt;"FRAME ONLY",OR(LEFT($AH376,3)="OAK",LEFT($AH376,3)="BIR",LEFT($AH376,3)="MAP",$AH376="PC",$AH376="MC",$AH376="SCLC",$AH376="P-LAM")),"WD","HM")&amp;"1.75")</f>
        <v/>
      </c>
      <c r="DD376" s="84">
        <f>IF($CJ376="","",IF($O376="Y",$CJ376,SUBSTITUTE($CJ376,$BG376&amp;" "&amp;IFERROR(VLOOKUP($Z376,CODES,2,FALSE),"")&amp;" ",$BG376&amp;" ")))</f>
        <v/>
      </c>
      <c r="DE376" s="84">
        <f>IF($CK376="","",IF($O376="Y",$CK376,SUBSTITUTE($CK376,$BG376&amp;" "&amp;IF($AN376="",IFERROR(VLOOKUP($Z376,CODES,2,FALSE),""),IFERROR(VLOOKUP($AN376,CODES,2,FALSE),""))&amp;" ",$BG376&amp;" ")))</f>
        <v/>
      </c>
      <c r="DF376" s="84">
        <f>IF($CJ376="","",$DC376&amp;"|"&amp;$DD376&amp;"|"&amp;$DB376&amp;"|"&amp;$AT376&amp;"|"&amp;$V376&amp;"|"&amp;$Y376&amp;"|"&amp;$AB376)</f>
        <v/>
      </c>
      <c r="DG376" s="84">
        <f>IF(DF376="","",IF(COUNTIF($DF$6:DF376,DF376)=1,MAX($DG$5:DG375)+1,INDEX($DG$5:DG375,MATCH(DF376,$DF$5:DF375,0))))</f>
        <v/>
      </c>
      <c r="DH376" s="84">
        <f>IF($CK376="","",$DC376&amp;"|"&amp;$DE376&amp;"|"&amp;$AI376&amp;"|"&amp;$BK376&amp;"|"&amp;$BL376)</f>
        <v/>
      </c>
      <c r="DI376" s="84">
        <f>IF(DH376="","",IF(COUNTIF($DH$6:DH376,DH376)=1,MAX($DI$5:DI375)+1,INDEX($DI$5:DI375,MATCH(DH376,$DH$5:DH375,0))))</f>
        <v/>
      </c>
      <c r="DJ376" s="84">
        <f>IF($A376="","",IF($B376="","qty, ","")&amp;IF($C376="","scope, ","")&amp;IF(OR($K376="",$M376=""),"size, ","")&amp;IF(AND($A376&lt;&gt;"",$C376&lt;&gt;"DOOR ONLY"),IF($U376="","jamb depth, ","")&amp;IF($X376="","construction, ","")&amp;IF($Y376="","anchor, ","")&amp;IF($S376="","frame type, ",""),"")&amp;IF(AND(N($BJ376)&gt;0,$Z376=""),"hand, ","")&amp;IF(N($BJ376)&gt;0,IF($AH376="","door material, ","")&amp;IF($AL376="","face type, ","")&amp;IF($AP376="","lock prep, ","")&amp;IF(AND($AO376="",$AC376=""),"hinge prep, ",""),"")&amp;IF(AND($CH376&gt;0,$AH376="FRP"),"FRP cannot carry a label, ","")&amp;IF(AND($O376="Y",OR($Z376="L",$Z376="R",$Z376="LR",$Z376="RR")),"pair marked but hand is single, ","")&amp;IF(AND($O376&lt;&gt;"Y",OR($Z376="PR",AND(LEN($Z376)&gt;1,ISNUMBER(SEARCH("-",$Z376))))),"pair hand on a single door, ","")&amp;IF(AND(ISNUMBER($CI376),$CH376&lt;N($CI376)),"wall needs a "&amp;$CI376&amp;" min door, ","")&amp;IF(AND($CH376&gt;=180,AND(OR($CE376="FG",$CE376="HG",$CE376="FNV",$CE376="FV"),N($CF376)*N($CG376)&gt;100)),"180 min lite over 100 sq in, ","")&amp;IF(N($BK376)&gt;48,"leaf wider than 4'-0"&amp;CHAR(34)&amp;", ","")&amp;IF(AND($CT376,COUNT($AW376:$AZ376)=0,$CQ376&gt;0),"CUSTOM LOC with no locations typed, ",""))</f>
        <v/>
      </c>
      <c r="DK376" s="84">
        <f>IF($A376="","",IF(AND($CH376&gt;0,AND($A376&lt;&gt;"",$C376&lt;&gt;"DOOR ONLY"),$X376="KD",$E376="EXTERIOR"),"KD label on an exterior opening, ","")&amp;IF(AND($E376="EXTERIOR",OR(AND(AND($A376&lt;&gt;"",$C376&lt;&gt;"DOOR ONLY"),$W376="CR"),AND(N($BJ376)&gt;0,$AH376="CR"))),"exterior in CR steel (G9?), ","")&amp;IF(AND(ISNUMBER($BQ376),N($BQ376)&lt;32),"clear width ~"&amp;TEXT($BQ376,"0.0")&amp;CHAR(34)&amp;" under 32"&amp;CHAR(34)&amp;" (ADA), ","")&amp;IF(AND($CH376=90,AND(OR($CE376="FG",$CE376="HG",$CE376="FNV",$CE376="FV"),N($CF376)*N($CG376)&gt;100)),"90 min lite over 100 sq in (stair/exit), ","")&amp;IF(AND($CH376&gt;0,AND($A376&lt;&gt;"",$C376&lt;&gt;"DOOR ONLY"),OR($AF376="",$AF376="-")),"rated: closer reinf.?, ","")&amp;IF(OR($I376="CORRIDOR",$I376="SMOKE BARRIER"),"S label + smoke gasketing, ","")&amp;IF($CI376="?","wall type/hr not in IBC table, ","")&amp;IF(AND(N($BJ376)&gt;0,$BB376=""),"no hardware set, ","")&amp;IF(AND($BB376&lt;&gt;"",ISNA(MATCH($BB376&amp;"",HWSets,0))),"set "&amp;$BB376&amp;" not on HW Sets, ","")&amp;IF(N($BL376)&gt;96,"leaf over 8'-0"&amp;CHAR(34)&amp;" - check listing, ","")&amp;IF(AND($CT376,COUNT($AW376:$AZ376)&gt;0,COUNT($AW376:$AZ376)&lt;&gt;$CQ376),COUNT($AW376:$AZ376)&amp;" custom hinges typed, "&amp;$CQ376&amp;" expected, ","")&amp;IF(AND(ISNUMBER($CA376),OR(N($CA376)&lt;34,N($CA376)&gt;48)),"lock "&amp;TEXT($CA376,"0.0")&amp;CHAR(34)&amp;" AFF outside 34-48"&amp;CHAR(34)&amp;" (ADA), ","")&amp;IF(AND(ISNUMBER($AV376),ISNUMBER($BL376),N($AV376)&lt;IF(N($BL376)&lt;=60,2,IF(N($BL376)&lt;=90,3,IF(N($BL376)&lt;=120,4,5)))),"fewer hinges than standard, ",""))</f>
        <v/>
      </c>
    </row>
    <row r="377" ht="15" customHeight="1">
      <c r="A377" s="77" t="n"/>
      <c r="B377" s="78" t="n"/>
      <c r="C377" s="78" t="n"/>
      <c r="D377" s="78" t="n"/>
      <c r="E377" s="78" t="n"/>
      <c r="F377" s="78" t="n"/>
      <c r="G377" s="78" t="n"/>
      <c r="H377" s="78" t="n"/>
      <c r="I377" s="78" t="n"/>
      <c r="J377" s="78" t="n"/>
      <c r="K377" s="78" t="n"/>
      <c r="L377" s="78" t="n"/>
      <c r="M377" s="78" t="n"/>
      <c r="N377" s="78" t="n"/>
      <c r="O377" s="78" t="n"/>
      <c r="P377" s="78" t="n"/>
      <c r="Q377" s="78" t="n"/>
      <c r="R377" s="78" t="n"/>
      <c r="S377" s="79" t="n"/>
      <c r="T377" s="79" t="n"/>
      <c r="U377" s="79" t="n"/>
      <c r="V377" s="79" t="n"/>
      <c r="W377" s="79" t="n"/>
      <c r="X377" s="79" t="n"/>
      <c r="Y377" s="79" t="n"/>
      <c r="Z377" s="79" t="n"/>
      <c r="AA377" s="79" t="n"/>
      <c r="AB377" s="79" t="n"/>
      <c r="AC377" s="79" t="n"/>
      <c r="AD377" s="79" t="n"/>
      <c r="AE377" s="79" t="n"/>
      <c r="AF377" s="79" t="n"/>
      <c r="AG377" s="79" t="n"/>
      <c r="AH377" s="80" t="n"/>
      <c r="AI377" s="80" t="n"/>
      <c r="AJ377" s="80" t="n"/>
      <c r="AK377" s="80" t="n"/>
      <c r="AL377" s="80" t="n"/>
      <c r="AM377" s="80" t="n"/>
      <c r="AN377" s="80" t="n"/>
      <c r="AO377" s="80" t="n"/>
      <c r="AP377" s="80" t="n"/>
      <c r="AQ377" s="80" t="n"/>
      <c r="AR377" s="80" t="n"/>
      <c r="AS377" s="80" t="n"/>
      <c r="AT377" s="81" t="n"/>
      <c r="AU377" s="81" t="n"/>
      <c r="AV377" s="81" t="n"/>
      <c r="AW377" s="82" t="n"/>
      <c r="AX377" s="82" t="n"/>
      <c r="AY377" s="82" t="n"/>
      <c r="AZ377" s="82" t="n"/>
      <c r="BA377" s="82" t="n"/>
      <c r="BB377" s="83" t="n"/>
      <c r="BC377" s="83" t="n"/>
      <c r="BD377" s="84">
        <f>IF($A377="","",IF($DJ377&lt;&gt;"","FIX",IF($DK377&lt;&gt;"","CHECK","OK")))</f>
        <v/>
      </c>
      <c r="BE377" s="85">
        <f>IF($A377="","",IF($DJ377&lt;&gt;"","FIX: "&amp;LEFT($DJ377,LEN($DJ377)-2)&amp;IF($DK377&lt;&gt;"","  ·  ",""),"")&amp;IF($DK377&lt;&gt;"","CHECK: "&amp;LEFT($DK377,LEN($DK377)-2),""))</f>
        <v/>
      </c>
      <c r="BF377" s="84">
        <f>IF(OR($A377="",$K377=""),"",$K377&amp;"'-"&amp;N($L377)&amp;CHAR(34)&amp;" x "&amp;$M377&amp;"'-"&amp;N($N377)&amp;CHAR(34))</f>
        <v/>
      </c>
      <c r="BG377" s="84">
        <f>IF(OR($A377="",$K377=""),"",$K377&amp;N($L377)&amp;$M377&amp;N($N377))</f>
        <v/>
      </c>
      <c r="BH377" s="84">
        <f>IF(OR($A377="",$K377=""),"",$K377*12+N($L377))</f>
        <v/>
      </c>
      <c r="BI377" s="84">
        <f>IF(OR($A377="",$M377=""),"",$M377*12+N($N377))</f>
        <v/>
      </c>
      <c r="BJ377" s="84">
        <f>IF($A377="","",IF(OR($C377="FRAME ONLY",$S377="BL"),0,IF($O377="Y",2,1)))</f>
        <v/>
      </c>
      <c r="BK377" s="86">
        <f>IF(OR(N($BJ377)=0,$BH377=""),"",($BH377-2*EdgeClr-IF($BJ377=2,MeetClr,0))/$BJ377)</f>
        <v/>
      </c>
      <c r="BL377" s="86">
        <f>IF(OR(N($BJ377)=0,$BI377=""),"",$BI377-HeadClr-Undercut)</f>
        <v/>
      </c>
      <c r="BM377" s="86">
        <f>IF($BH377="","",$BH377+2*FaceW+IF(N($Q377)&gt;0,($Q377+FaceW)*IF($R377="LR",2,1),0))</f>
        <v/>
      </c>
      <c r="BN377" s="86">
        <f>IF($BI377="","",$BI377+IF($AB377="Y",4,FaceW)+IF(N($P377)&gt;0,$P377+FaceW,0)+IF(OR($S377="4F",$S377="BL"),FaceW,0))</f>
        <v/>
      </c>
      <c r="BO377" s="86">
        <f>IF($BM377="","",$BM377+2*ROSide)</f>
        <v/>
      </c>
      <c r="BP377" s="86">
        <f>IF($BN377="","",$BN377+ROTop)</f>
        <v/>
      </c>
      <c r="BQ377" s="87">
        <f>IF(OR(N($BJ377)=0,$BH377=""),"",$BH377/$BJ377-ClearDeduct)</f>
        <v/>
      </c>
      <c r="BR377" s="84">
        <f>IF(N($CH377)=0,"",IF($CH377&gt;=180,"A · 3 HR",IF($CH377&gt;=90,"B · 1-1/2 HR",IF($CH377&gt;=60,"B · 1 HR",IF($CH377&gt;=45,"C · 3/4 HR","20 MIN")))))&amp;IF(AND(N($CH377)&gt;0,OR($I377="CORRIDOR",$I377="SMOKE BARRIER"))," · S","")</f>
        <v/>
      </c>
      <c r="BS377" s="84">
        <f>IF($CS377,"",IF($AV377&lt;&gt;"",$AV377,IF(OR($AC377="HGC",$AO377="HGC"),"CONT",IF(($BI377-HeadClr-Undercut)&lt;=60,2,IF(($BI377-HeadClr-Undercut)&lt;=90,3,IF(($BI377-HeadClr-Undercut)&lt;=120,4,5))))))</f>
        <v/>
      </c>
      <c r="BT377" s="84">
        <f>IF($CS377,"",IF($CT377,"CUSTOM (typed)",IF($CV377,$AT377&amp;" "&amp;$CU377&amp;CHAR(34)&amp;IF($CU377&lt;&gt;$BI377,IF(AND($BI377&lt;$CU377,$BI377-IF(N(VLOOKUP($AT377&amp;"|"&amp;$CU377,LocTable,7,FALSE))&gt;0,VLOOKUP($AT377&amp;"|"&amp;$CU377,LocTable,7,FALSE),VLOOKUP($AT377&amp;"|"&amp;$CU377,LocTable,6,FALSE))-$CR377-0.75&gt;=2.125)," cut down"," adj."),""),"ANSI/SDI A250.6")))</f>
        <v/>
      </c>
      <c r="BU377" s="88">
        <f>IF($CS377,"",IF($CT377,IF(N($AW377)&gt;0,N($AW377),""),IF(1&gt;$CQ377,"",IF($CQ377=1,$CW377,$CW377+($CX377-$CW377)*0/($CQ377-1)))))</f>
        <v/>
      </c>
      <c r="BV377" s="88">
        <f>IF($CS377,"",IF($CT377,IF(N($AX377)&gt;0,N($AX377),""),IF(2&gt;$CQ377,"",IF($CQ377=1,$CW377,$CW377+($CX377-$CW377)*1/($CQ377-1)))))</f>
        <v/>
      </c>
      <c r="BW377" s="88">
        <f>IF($CS377,"",IF($CT377,IF(N($AY377)&gt;0,N($AY377),""),IF(3&gt;$CQ377,"",IF($CQ377=1,$CW377,$CW377+($CX377-$CW377)*2/($CQ377-1)))))</f>
        <v/>
      </c>
      <c r="BX377" s="88">
        <f>IF($CS377,"",IF($CT377,IF(N($AZ377)&gt;0,N($AZ377),""),IF(4&gt;$CQ377,"",IF($CQ377=1,$CW377,$CW377+($CX377-$CW377)*3/($CQ377-1)))))</f>
        <v/>
      </c>
      <c r="BY377" s="88">
        <f>IF($CS377,"",IF($CT377,"",IF(5&gt;$CQ377,"",IF($CQ377=1,$CW377,$CW377+($CX377-$CW377)*4/($CQ377-1)))))</f>
        <v/>
      </c>
      <c r="BZ377" s="88">
        <f>IF(OR($CS377,$AP377="-",AND($AP377="",$AD377="")),"",IF(N($BA377)&gt;0,N($BA377),IF($CV377,IF(AND($BI377&lt;$CU377,$BI377-IF(N(VLOOKUP($AT377&amp;"|"&amp;$CU377,LocTable,7,FALSE))&gt;0,VLOOKUP($AT377&amp;"|"&amp;$CU377,LocTable,7,FALSE),VLOOKUP($AT377&amp;"|"&amp;$CU377,LocTable,6,FALSE))-$CR377-0.75&gt;=2.125),VLOOKUP($AT377&amp;"|"&amp;$CU377,LocTable,8,FALSE),VLOOKUP($AT377&amp;"|"&amp;$CU377,LocTable,8,FALSE)+($BI377-$CU377)),$BI377-LockAFF)))</f>
        <v/>
      </c>
      <c r="CA377" s="89">
        <f>IF($BZ377="","",$BI377-$BZ377)</f>
        <v/>
      </c>
      <c r="CB377" s="84">
        <f>IF(OR(NOT(AND($A377&lt;&gt;"",$C377&lt;&gt;"DOOR ONLY")),$BI377=""),"",IF(($BI377+IF(N($P377)&gt;0,$P377+FaceW,0))&lt;=90,3,IF(($BI377+IF(N($P377)&gt;0,$P377+FaceW,0))&lt;=114,4,5)))</f>
        <v/>
      </c>
      <c r="CC377" s="84">
        <f>IF($CB377="","",$CB377*(2+IF(N($Q377)&gt;0,IF($R377="LR",2,1),0)))</f>
        <v/>
      </c>
      <c r="CD377" s="84">
        <f>IF($CB377="","",(2+IF(N($Q377)&gt;0,IF($R377="LR",2,1),0)))</f>
        <v/>
      </c>
      <c r="CE377" s="84">
        <f>IF(N($BJ377)=0,"",IF(OR($AL377="",$AL377="FLUSH"),"FLUSH",IFERROR(LEFT($AL377,FIND("-",$AL377)-1),LEFT($AL377,2))))</f>
        <v/>
      </c>
      <c r="CF377" s="84">
        <f>IF($CE377="","",IFERROR(VALUE(MID($AL377,FIND("-",$AL377)+1,FIND(CHAR(34)&amp;"x",$AL377)-FIND("-",$AL377)-1)),0))</f>
        <v/>
      </c>
      <c r="CG377" s="84">
        <f>IF($CE377="","",IFERROR(VALUE(MID($AL377,FIND(CHAR(34)&amp;"x",$AL377)+2,FIND(CHAR(34),$AL377,FIND(CHAR(34)&amp;"x",$AL377)+2)-FIND(CHAR(34)&amp;"x",$AL377)-2)),0))</f>
        <v/>
      </c>
      <c r="CH377" s="90">
        <f>IF(OR($A377="",$H377="",$H377="NO LAB"),0,IFERROR(VALUE(LEFT($H377,FIND(" ",$H377)-1)),0))</f>
        <v/>
      </c>
      <c r="CI377" s="91">
        <f>IF(OR($A377="",$I377="",$I377="NON-RATED",N($J377)=0),"",IFERROR(VLOOKUP($I377&amp;"|"&amp;$J377,IBC,2,FALSE),"?"))</f>
        <v/>
      </c>
      <c r="CJ377" s="85">
        <f>IF(NOT(AND($A377&lt;&gt;"",$C377&lt;&gt;"DOOR ONLY")),"",TRIM(IFERROR(VLOOKUP($U377,CODES,2,FALSE),"")&amp;" "&amp;$BG377&amp;" "&amp;IFERROR(VLOOKUP($Z377,CODES,2,FALSE),"")&amp;" "&amp;IFERROR(VLOOKUP($X377,CODES,2,FALSE),"")&amp;" "&amp;IFERROR(VLOOKUP($S377,CODES,2,FALSE),"")&amp;IF(N($P377)&gt;0," w/TRANSOM "&amp;$P377&amp;CHAR(34),"")&amp;IF(N($Q377)&gt;0," w/SIDELITE "&amp;$Q377&amp;CHAR(34)&amp;" "&amp;IF($R377="","R",$R377),"")&amp;IF($Y377="","  |  "," | "&amp;IFERROR(VLOOKUP($Y377,CODES,2,FALSE),"")&amp;" | ")&amp;IFERROR(VLOOKUP($AC377,CODES,2,FALSE),"")&amp;" "&amp;IFERROR(VLOOKUP($AD377,CODES,2,FALSE),"")&amp;IF(OR($AE377="",$AE377="-"),""," "&amp;$AE377)&amp;IF(OR($AF377="",$AF377="-"),""," "&amp;$AF377)&amp;IF($AB377="Y"," 4"&amp;CHAR(34)&amp;" HEAD","")&amp;" "&amp;IFERROR(VLOOKUP($H377,CODES,2,FALSE),"")&amp;IF($CT377," | LOC "&amp;$CY377,"")))</f>
        <v/>
      </c>
      <c r="CK377" s="85">
        <f>IF(NOT(AND($A377&lt;&gt;"",N($BJ377)&gt;0)),"",TRIM(IFERROR(VLOOKUP($AH377,CODES,2,FALSE),"")&amp;IF($AI377=""," "," "&amp;$AI377&amp;"GA ")&amp;$BG377&amp;" "&amp;IF($AN377="",IFERROR(VLOOKUP($Z377,CODES,2,FALSE),""),IFERROR(VLOOKUP($AN377,CODES,2,FALSE),""))&amp;IF($BJ377=2," PAIR","")&amp;" DOOR | "&amp;IF($AL377="","?",$AL377)&amp;" | "&amp;IF($AO377="",IFERROR(VLOOKUP($AC377,CODES,2,FALSE),""),IFERROR(VLOOKUP($AO377,CODES,2,FALSE),""))&amp;" "&amp;IFERROR(VLOOKUP($AP377,CODES,2,FALSE),"")&amp;IF(OR($AQ377="",$AQ377="-"),""," SEAM "&amp;$AQ377)&amp;IF($AR377="Y"," ASTRAGAL","")&amp;IF($AJ377=""," "," "&amp;$AJ377)&amp;IF($AK377=""," "," "&amp;$AK377)&amp;IF(OR($AT377="",$AT377="ANSI/SDI",$AT377="CUSTOM LOC"),""," "&amp;$AT377)&amp;IF($AM377=""," "," SERIES "&amp;$AM377)&amp;" "&amp;IFERROR(VLOOKUP($H377,CODES,2,FALSE),"")&amp;IF($CT377," | LOC "&amp;$CZ377,"")))</f>
        <v/>
      </c>
      <c r="CL377" s="84">
        <f>IF(CP377="","",IF(COUNTIF($CP$6:CP377,CP377)=1,MAX($CL$5:CL376)+1,INDEX($CL$5:CL376,MATCH(CP377,$CP$5:CP376,0))))</f>
        <v/>
      </c>
      <c r="CM377" s="84">
        <f>IF(NOT(AND($A377&lt;&gt;"",$C377&lt;&gt;"DOOR ONLY")),"",MAX($CM$5:CM376)+1)</f>
        <v/>
      </c>
      <c r="CN377" s="84">
        <f>IF(NOT(AND($A377&lt;&gt;"",N($BJ377)&gt;0)),"",MAX($CN$5:CN376)+1)</f>
        <v/>
      </c>
      <c r="CO377" s="84">
        <f>IF($A377="","",MAX($CO$5:CO376)+1)</f>
        <v/>
      </c>
      <c r="CP377" s="84">
        <f>IF(OR($A377="",$BH377="",$BI377=""),"",$BG377&amp;"|"&amp;$O377&amp;"|"&amp;$AL377&amp;"|"&amp;$S377&amp;"|"&amp;$P377&amp;"|"&amp;$Q377&amp;$R377&amp;"|"&amp;$C377&amp;"|"&amp;$AB377)</f>
        <v/>
      </c>
      <c r="CQ377" s="84">
        <f>N($BS377)</f>
        <v/>
      </c>
      <c r="CR377" s="84">
        <f>IF(N($AU377)&gt;0,N($AU377),4.5)</f>
        <v/>
      </c>
      <c r="CS377" s="84">
        <f>OR($A377="",$BI377="",$S377="BL",AND($C377="FRAME ONLY",OR($AC377="",$AC377="BLK")))</f>
        <v/>
      </c>
      <c r="CT377" s="84">
        <f>AND(NOT($CS377),OR($AT377="CUSTOM LOC",N($AW377)+N($AX377)+N($AY377)+N($AZ377)+N($BA377)&gt;0))</f>
        <v/>
      </c>
      <c r="CU377" s="84">
        <f>IF($BI377="","",IF($BI377&lt;=80,80,IF($BI377&lt;=84,84,96)))</f>
        <v/>
      </c>
      <c r="CV377" s="84">
        <f>ISNUMBER(MATCH($AT377&amp;"|80",LocKeys,0))</f>
        <v/>
      </c>
      <c r="CW377" s="86">
        <f>IF($CS377,"",IF($CV377,VLOOKUP($AT377&amp;"|"&amp;$CU377,LocTable,4,FALSE),5))</f>
        <v/>
      </c>
      <c r="CX377" s="86">
        <f>IF($CS377,"",IF($CV377,IF(OR($BI377=$CU377,AND($BI377&lt;$CU377,$BI377-IF(N(VLOOKUP($AT377&amp;"|"&amp;$CU377,LocTable,7,FALSE))&gt;0,VLOOKUP($AT377&amp;"|"&amp;$CU377,LocTable,7,FALSE),VLOOKUP($AT377&amp;"|"&amp;$CU377,LocTable,6,FALSE))-$CR377-0.75&gt;=2.125)),IF(N(VLOOKUP($AT377&amp;"|"&amp;$CU377,LocTable,7,FALSE))&gt;0,VLOOKUP($AT377&amp;"|"&amp;$CU377,LocTable,7,FALSE),VLOOKUP($AT377&amp;"|"&amp;$CU377,LocTable,6,FALSE)),$BI377-($CU377-IF(N(VLOOKUP($AT377&amp;"|"&amp;$CU377,LocTable,7,FALSE))&gt;0,VLOOKUP($AT377&amp;"|"&amp;$CU377,LocTable,7,FALSE),VLOOKUP($AT377&amp;"|"&amp;$CU377,LocTable,6,FALSE)))),$BI377-10-$CR377))</f>
        <v/>
      </c>
      <c r="CY377" s="85">
        <f>IF($CS377,"",TRIM(IF(ISNUMBER($BU377),"A "&amp;TRIM(TEXT($BU377,"# ?/??"))&amp;CHAR(34)&amp;"  ","")&amp;IF(ISNUMBER($BV377),"B "&amp;TRIM(TEXT($BV377,"# ?/??"))&amp;CHAR(34)&amp;"  ","")&amp;IF(ISNUMBER($BW377),"C "&amp;TRIM(TEXT($BW377,"# ?/??"))&amp;CHAR(34)&amp;"  ","")&amp;IF(ISNUMBER($BX377),"D "&amp;TRIM(TEXT($BX377,"# ?/??"))&amp;CHAR(34)&amp;"  ","")&amp;IF(ISNUMBER($BY377),"F "&amp;TRIM(TEXT($BY377,"# ?/??"))&amp;CHAR(34)&amp;"  ","")&amp;IF(ISNUMBER($BZ377),"E "&amp;TRIM(TEXT($BZ377,"# ?/??"))&amp;CHAR(34)&amp;"  ","")))</f>
        <v/>
      </c>
      <c r="CZ377" s="85">
        <f>IF(OR($CS377,N($BJ377)=0),"",TRIM(IF(ISNUMBER($BU377),"A "&amp;TRIM(TEXT($BU377-HeadClr,"# ?/??"))&amp;CHAR(34)&amp;"  ","")&amp;IF(ISNUMBER($BV377),"B "&amp;TRIM(TEXT($BV377-HeadClr,"# ?/??"))&amp;CHAR(34)&amp;"  ","")&amp;IF(ISNUMBER($BW377),"C "&amp;TRIM(TEXT($BW377-HeadClr,"# ?/??"))&amp;CHAR(34)&amp;"  ","")&amp;IF(ISNUMBER($BX377),"D "&amp;TRIM(TEXT($BX377-HeadClr,"# ?/??"))&amp;CHAR(34)&amp;"  ","")&amp;IF(ISNUMBER($BY377),"F "&amp;TRIM(TEXT($BY377-HeadClr,"# ?/??"))&amp;CHAR(34)&amp;"  ","")&amp;IF(ISNUMBER($BZ377),"E "&amp;TRIM(TEXT($BZ377-HeadClr,"# ?/??"))&amp;CHAR(34)&amp;"  ","")))</f>
        <v/>
      </c>
      <c r="DA377" s="84">
        <f>IF($A377="","",IF($AN377="",IFERROR(VLOOKUP($Z377,CODES,2,FALSE),""),IFERROR(VLOOKUP($AN377,CODES,2,FALSE),"")))</f>
        <v/>
      </c>
      <c r="DB377" s="84">
        <f>IF($A377="","",IF($O377="Y","PR",IF(OR($Z377="L",$Z377="RR",LEFT($Z377,2)="L-",LEFT($Z377,3)="RR-"),"LH","RH")))</f>
        <v/>
      </c>
      <c r="DC377" s="84">
        <f>IF($A377="","","S.HM"&amp;IF(OR($C377="DOOR ONLY",$X377&lt;&gt;"KD"),"MASONRY","DRYWALL")&amp;IF($C377="DOOR ONLY","",$U377)&amp;IF(AND($C377&lt;&gt;"FRAME ONLY",OR(LEFT($AH377,3)="OAK",LEFT($AH377,3)="BIR",LEFT($AH377,3)="MAP",$AH377="PC",$AH377="MC",$AH377="SCLC",$AH377="P-LAM")),"WD","HM")&amp;"1.75")</f>
        <v/>
      </c>
      <c r="DD377" s="84">
        <f>IF($CJ377="","",IF($O377="Y",$CJ377,SUBSTITUTE($CJ377,$BG377&amp;" "&amp;IFERROR(VLOOKUP($Z377,CODES,2,FALSE),"")&amp;" ",$BG377&amp;" ")))</f>
        <v/>
      </c>
      <c r="DE377" s="84">
        <f>IF($CK377="","",IF($O377="Y",$CK377,SUBSTITUTE($CK377,$BG377&amp;" "&amp;IF($AN377="",IFERROR(VLOOKUP($Z377,CODES,2,FALSE),""),IFERROR(VLOOKUP($AN377,CODES,2,FALSE),""))&amp;" ",$BG377&amp;" ")))</f>
        <v/>
      </c>
      <c r="DF377" s="84">
        <f>IF($CJ377="","",$DC377&amp;"|"&amp;$DD377&amp;"|"&amp;$DB377&amp;"|"&amp;$AT377&amp;"|"&amp;$V377&amp;"|"&amp;$Y377&amp;"|"&amp;$AB377)</f>
        <v/>
      </c>
      <c r="DG377" s="84">
        <f>IF(DF377="","",IF(COUNTIF($DF$6:DF377,DF377)=1,MAX($DG$5:DG376)+1,INDEX($DG$5:DG376,MATCH(DF377,$DF$5:DF376,0))))</f>
        <v/>
      </c>
      <c r="DH377" s="84">
        <f>IF($CK377="","",$DC377&amp;"|"&amp;$DE377&amp;"|"&amp;$AI377&amp;"|"&amp;$BK377&amp;"|"&amp;$BL377)</f>
        <v/>
      </c>
      <c r="DI377" s="84">
        <f>IF(DH377="","",IF(COUNTIF($DH$6:DH377,DH377)=1,MAX($DI$5:DI376)+1,INDEX($DI$5:DI376,MATCH(DH377,$DH$5:DH376,0))))</f>
        <v/>
      </c>
      <c r="DJ377" s="84">
        <f>IF($A377="","",IF($B377="","qty, ","")&amp;IF($C377="","scope, ","")&amp;IF(OR($K377="",$M377=""),"size, ","")&amp;IF(AND($A377&lt;&gt;"",$C377&lt;&gt;"DOOR ONLY"),IF($U377="","jamb depth, ","")&amp;IF($X377="","construction, ","")&amp;IF($Y377="","anchor, ","")&amp;IF($S377="","frame type, ",""),"")&amp;IF(AND(N($BJ377)&gt;0,$Z377=""),"hand, ","")&amp;IF(N($BJ377)&gt;0,IF($AH377="","door material, ","")&amp;IF($AL377="","face type, ","")&amp;IF($AP377="","lock prep, ","")&amp;IF(AND($AO377="",$AC377=""),"hinge prep, ",""),"")&amp;IF(AND($CH377&gt;0,$AH377="FRP"),"FRP cannot carry a label, ","")&amp;IF(AND($O377="Y",OR($Z377="L",$Z377="R",$Z377="LR",$Z377="RR")),"pair marked but hand is single, ","")&amp;IF(AND($O377&lt;&gt;"Y",OR($Z377="PR",AND(LEN($Z377)&gt;1,ISNUMBER(SEARCH("-",$Z377))))),"pair hand on a single door, ","")&amp;IF(AND(ISNUMBER($CI377),$CH377&lt;N($CI377)),"wall needs a "&amp;$CI377&amp;" min door, ","")&amp;IF(AND($CH377&gt;=180,AND(OR($CE377="FG",$CE377="HG",$CE377="FNV",$CE377="FV"),N($CF377)*N($CG377)&gt;100)),"180 min lite over 100 sq in, ","")&amp;IF(N($BK377)&gt;48,"leaf wider than 4'-0"&amp;CHAR(34)&amp;", ","")&amp;IF(AND($CT377,COUNT($AW377:$AZ377)=0,$CQ377&gt;0),"CUSTOM LOC with no locations typed, ",""))</f>
        <v/>
      </c>
      <c r="DK377" s="84">
        <f>IF($A377="","",IF(AND($CH377&gt;0,AND($A377&lt;&gt;"",$C377&lt;&gt;"DOOR ONLY"),$X377="KD",$E377="EXTERIOR"),"KD label on an exterior opening, ","")&amp;IF(AND($E377="EXTERIOR",OR(AND(AND($A377&lt;&gt;"",$C377&lt;&gt;"DOOR ONLY"),$W377="CR"),AND(N($BJ377)&gt;0,$AH377="CR"))),"exterior in CR steel (G9?), ","")&amp;IF(AND(ISNUMBER($BQ377),N($BQ377)&lt;32),"clear width ~"&amp;TEXT($BQ377,"0.0")&amp;CHAR(34)&amp;" under 32"&amp;CHAR(34)&amp;" (ADA), ","")&amp;IF(AND($CH377=90,AND(OR($CE377="FG",$CE377="HG",$CE377="FNV",$CE377="FV"),N($CF377)*N($CG377)&gt;100)),"90 min lite over 100 sq in (stair/exit), ","")&amp;IF(AND($CH377&gt;0,AND($A377&lt;&gt;"",$C377&lt;&gt;"DOOR ONLY"),OR($AF377="",$AF377="-")),"rated: closer reinf.?, ","")&amp;IF(OR($I377="CORRIDOR",$I377="SMOKE BARRIER"),"S label + smoke gasketing, ","")&amp;IF($CI377="?","wall type/hr not in IBC table, ","")&amp;IF(AND(N($BJ377)&gt;0,$BB377=""),"no hardware set, ","")&amp;IF(AND($BB377&lt;&gt;"",ISNA(MATCH($BB377&amp;"",HWSets,0))),"set "&amp;$BB377&amp;" not on HW Sets, ","")&amp;IF(N($BL377)&gt;96,"leaf over 8'-0"&amp;CHAR(34)&amp;" - check listing, ","")&amp;IF(AND($CT377,COUNT($AW377:$AZ377)&gt;0,COUNT($AW377:$AZ377)&lt;&gt;$CQ377),COUNT($AW377:$AZ377)&amp;" custom hinges typed, "&amp;$CQ377&amp;" expected, ","")&amp;IF(AND(ISNUMBER($CA377),OR(N($CA377)&lt;34,N($CA377)&gt;48)),"lock "&amp;TEXT($CA377,"0.0")&amp;CHAR(34)&amp;" AFF outside 34-48"&amp;CHAR(34)&amp;" (ADA), ","")&amp;IF(AND(ISNUMBER($AV377),ISNUMBER($BL377),N($AV377)&lt;IF(N($BL377)&lt;=60,2,IF(N($BL377)&lt;=90,3,IF(N($BL377)&lt;=120,4,5)))),"fewer hinges than standard, ",""))</f>
        <v/>
      </c>
    </row>
    <row r="378" ht="15" customHeight="1">
      <c r="A378" s="77" t="n"/>
      <c r="B378" s="78" t="n"/>
      <c r="C378" s="78" t="n"/>
      <c r="D378" s="78" t="n"/>
      <c r="E378" s="78" t="n"/>
      <c r="F378" s="78" t="n"/>
      <c r="G378" s="78" t="n"/>
      <c r="H378" s="78" t="n"/>
      <c r="I378" s="78" t="n"/>
      <c r="J378" s="78" t="n"/>
      <c r="K378" s="78" t="n"/>
      <c r="L378" s="78" t="n"/>
      <c r="M378" s="78" t="n"/>
      <c r="N378" s="78" t="n"/>
      <c r="O378" s="78" t="n"/>
      <c r="P378" s="78" t="n"/>
      <c r="Q378" s="78" t="n"/>
      <c r="R378" s="78" t="n"/>
      <c r="S378" s="79" t="n"/>
      <c r="T378" s="79" t="n"/>
      <c r="U378" s="79" t="n"/>
      <c r="V378" s="79" t="n"/>
      <c r="W378" s="79" t="n"/>
      <c r="X378" s="79" t="n"/>
      <c r="Y378" s="79" t="n"/>
      <c r="Z378" s="79" t="n"/>
      <c r="AA378" s="79" t="n"/>
      <c r="AB378" s="79" t="n"/>
      <c r="AC378" s="79" t="n"/>
      <c r="AD378" s="79" t="n"/>
      <c r="AE378" s="79" t="n"/>
      <c r="AF378" s="79" t="n"/>
      <c r="AG378" s="79" t="n"/>
      <c r="AH378" s="80" t="n"/>
      <c r="AI378" s="80" t="n"/>
      <c r="AJ378" s="80" t="n"/>
      <c r="AK378" s="80" t="n"/>
      <c r="AL378" s="80" t="n"/>
      <c r="AM378" s="80" t="n"/>
      <c r="AN378" s="80" t="n"/>
      <c r="AO378" s="80" t="n"/>
      <c r="AP378" s="80" t="n"/>
      <c r="AQ378" s="80" t="n"/>
      <c r="AR378" s="80" t="n"/>
      <c r="AS378" s="80" t="n"/>
      <c r="AT378" s="81" t="n"/>
      <c r="AU378" s="81" t="n"/>
      <c r="AV378" s="81" t="n"/>
      <c r="AW378" s="82" t="n"/>
      <c r="AX378" s="82" t="n"/>
      <c r="AY378" s="82" t="n"/>
      <c r="AZ378" s="82" t="n"/>
      <c r="BA378" s="82" t="n"/>
      <c r="BB378" s="83" t="n"/>
      <c r="BC378" s="83" t="n"/>
      <c r="BD378" s="84">
        <f>IF($A378="","",IF($DJ378&lt;&gt;"","FIX",IF($DK378&lt;&gt;"","CHECK","OK")))</f>
        <v/>
      </c>
      <c r="BE378" s="85">
        <f>IF($A378="","",IF($DJ378&lt;&gt;"","FIX: "&amp;LEFT($DJ378,LEN($DJ378)-2)&amp;IF($DK378&lt;&gt;"","  ·  ",""),"")&amp;IF($DK378&lt;&gt;"","CHECK: "&amp;LEFT($DK378,LEN($DK378)-2),""))</f>
        <v/>
      </c>
      <c r="BF378" s="84">
        <f>IF(OR($A378="",$K378=""),"",$K378&amp;"'-"&amp;N($L378)&amp;CHAR(34)&amp;" x "&amp;$M378&amp;"'-"&amp;N($N378)&amp;CHAR(34))</f>
        <v/>
      </c>
      <c r="BG378" s="84">
        <f>IF(OR($A378="",$K378=""),"",$K378&amp;N($L378)&amp;$M378&amp;N($N378))</f>
        <v/>
      </c>
      <c r="BH378" s="84">
        <f>IF(OR($A378="",$K378=""),"",$K378*12+N($L378))</f>
        <v/>
      </c>
      <c r="BI378" s="84">
        <f>IF(OR($A378="",$M378=""),"",$M378*12+N($N378))</f>
        <v/>
      </c>
      <c r="BJ378" s="84">
        <f>IF($A378="","",IF(OR($C378="FRAME ONLY",$S378="BL"),0,IF($O378="Y",2,1)))</f>
        <v/>
      </c>
      <c r="BK378" s="86">
        <f>IF(OR(N($BJ378)=0,$BH378=""),"",($BH378-2*EdgeClr-IF($BJ378=2,MeetClr,0))/$BJ378)</f>
        <v/>
      </c>
      <c r="BL378" s="86">
        <f>IF(OR(N($BJ378)=0,$BI378=""),"",$BI378-HeadClr-Undercut)</f>
        <v/>
      </c>
      <c r="BM378" s="86">
        <f>IF($BH378="","",$BH378+2*FaceW+IF(N($Q378)&gt;0,($Q378+FaceW)*IF($R378="LR",2,1),0))</f>
        <v/>
      </c>
      <c r="BN378" s="86">
        <f>IF($BI378="","",$BI378+IF($AB378="Y",4,FaceW)+IF(N($P378)&gt;0,$P378+FaceW,0)+IF(OR($S378="4F",$S378="BL"),FaceW,0))</f>
        <v/>
      </c>
      <c r="BO378" s="86">
        <f>IF($BM378="","",$BM378+2*ROSide)</f>
        <v/>
      </c>
      <c r="BP378" s="86">
        <f>IF($BN378="","",$BN378+ROTop)</f>
        <v/>
      </c>
      <c r="BQ378" s="87">
        <f>IF(OR(N($BJ378)=0,$BH378=""),"",$BH378/$BJ378-ClearDeduct)</f>
        <v/>
      </c>
      <c r="BR378" s="84">
        <f>IF(N($CH378)=0,"",IF($CH378&gt;=180,"A · 3 HR",IF($CH378&gt;=90,"B · 1-1/2 HR",IF($CH378&gt;=60,"B · 1 HR",IF($CH378&gt;=45,"C · 3/4 HR","20 MIN")))))&amp;IF(AND(N($CH378)&gt;0,OR($I378="CORRIDOR",$I378="SMOKE BARRIER"))," · S","")</f>
        <v/>
      </c>
      <c r="BS378" s="84">
        <f>IF($CS378,"",IF($AV378&lt;&gt;"",$AV378,IF(OR($AC378="HGC",$AO378="HGC"),"CONT",IF(($BI378-HeadClr-Undercut)&lt;=60,2,IF(($BI378-HeadClr-Undercut)&lt;=90,3,IF(($BI378-HeadClr-Undercut)&lt;=120,4,5))))))</f>
        <v/>
      </c>
      <c r="BT378" s="84">
        <f>IF($CS378,"",IF($CT378,"CUSTOM (typed)",IF($CV378,$AT378&amp;" "&amp;$CU378&amp;CHAR(34)&amp;IF($CU378&lt;&gt;$BI378,IF(AND($BI378&lt;$CU378,$BI378-IF(N(VLOOKUP($AT378&amp;"|"&amp;$CU378,LocTable,7,FALSE))&gt;0,VLOOKUP($AT378&amp;"|"&amp;$CU378,LocTable,7,FALSE),VLOOKUP($AT378&amp;"|"&amp;$CU378,LocTable,6,FALSE))-$CR378-0.75&gt;=2.125)," cut down"," adj."),""),"ANSI/SDI A250.6")))</f>
        <v/>
      </c>
      <c r="BU378" s="88">
        <f>IF($CS378,"",IF($CT378,IF(N($AW378)&gt;0,N($AW378),""),IF(1&gt;$CQ378,"",IF($CQ378=1,$CW378,$CW378+($CX378-$CW378)*0/($CQ378-1)))))</f>
        <v/>
      </c>
      <c r="BV378" s="88">
        <f>IF($CS378,"",IF($CT378,IF(N($AX378)&gt;0,N($AX378),""),IF(2&gt;$CQ378,"",IF($CQ378=1,$CW378,$CW378+($CX378-$CW378)*1/($CQ378-1)))))</f>
        <v/>
      </c>
      <c r="BW378" s="88">
        <f>IF($CS378,"",IF($CT378,IF(N($AY378)&gt;0,N($AY378),""),IF(3&gt;$CQ378,"",IF($CQ378=1,$CW378,$CW378+($CX378-$CW378)*2/($CQ378-1)))))</f>
        <v/>
      </c>
      <c r="BX378" s="88">
        <f>IF($CS378,"",IF($CT378,IF(N($AZ378)&gt;0,N($AZ378),""),IF(4&gt;$CQ378,"",IF($CQ378=1,$CW378,$CW378+($CX378-$CW378)*3/($CQ378-1)))))</f>
        <v/>
      </c>
      <c r="BY378" s="88">
        <f>IF($CS378,"",IF($CT378,"",IF(5&gt;$CQ378,"",IF($CQ378=1,$CW378,$CW378+($CX378-$CW378)*4/($CQ378-1)))))</f>
        <v/>
      </c>
      <c r="BZ378" s="88">
        <f>IF(OR($CS378,$AP378="-",AND($AP378="",$AD378="")),"",IF(N($BA378)&gt;0,N($BA378),IF($CV378,IF(AND($BI378&lt;$CU378,$BI378-IF(N(VLOOKUP($AT378&amp;"|"&amp;$CU378,LocTable,7,FALSE))&gt;0,VLOOKUP($AT378&amp;"|"&amp;$CU378,LocTable,7,FALSE),VLOOKUP($AT378&amp;"|"&amp;$CU378,LocTable,6,FALSE))-$CR378-0.75&gt;=2.125),VLOOKUP($AT378&amp;"|"&amp;$CU378,LocTable,8,FALSE),VLOOKUP($AT378&amp;"|"&amp;$CU378,LocTable,8,FALSE)+($BI378-$CU378)),$BI378-LockAFF)))</f>
        <v/>
      </c>
      <c r="CA378" s="89">
        <f>IF($BZ378="","",$BI378-$BZ378)</f>
        <v/>
      </c>
      <c r="CB378" s="84">
        <f>IF(OR(NOT(AND($A378&lt;&gt;"",$C378&lt;&gt;"DOOR ONLY")),$BI378=""),"",IF(($BI378+IF(N($P378)&gt;0,$P378+FaceW,0))&lt;=90,3,IF(($BI378+IF(N($P378)&gt;0,$P378+FaceW,0))&lt;=114,4,5)))</f>
        <v/>
      </c>
      <c r="CC378" s="84">
        <f>IF($CB378="","",$CB378*(2+IF(N($Q378)&gt;0,IF($R378="LR",2,1),0)))</f>
        <v/>
      </c>
      <c r="CD378" s="84">
        <f>IF($CB378="","",(2+IF(N($Q378)&gt;0,IF($R378="LR",2,1),0)))</f>
        <v/>
      </c>
      <c r="CE378" s="84">
        <f>IF(N($BJ378)=0,"",IF(OR($AL378="",$AL378="FLUSH"),"FLUSH",IFERROR(LEFT($AL378,FIND("-",$AL378)-1),LEFT($AL378,2))))</f>
        <v/>
      </c>
      <c r="CF378" s="84">
        <f>IF($CE378="","",IFERROR(VALUE(MID($AL378,FIND("-",$AL378)+1,FIND(CHAR(34)&amp;"x",$AL378)-FIND("-",$AL378)-1)),0))</f>
        <v/>
      </c>
      <c r="CG378" s="84">
        <f>IF($CE378="","",IFERROR(VALUE(MID($AL378,FIND(CHAR(34)&amp;"x",$AL378)+2,FIND(CHAR(34),$AL378,FIND(CHAR(34)&amp;"x",$AL378)+2)-FIND(CHAR(34)&amp;"x",$AL378)-2)),0))</f>
        <v/>
      </c>
      <c r="CH378" s="90">
        <f>IF(OR($A378="",$H378="",$H378="NO LAB"),0,IFERROR(VALUE(LEFT($H378,FIND(" ",$H378)-1)),0))</f>
        <v/>
      </c>
      <c r="CI378" s="91">
        <f>IF(OR($A378="",$I378="",$I378="NON-RATED",N($J378)=0),"",IFERROR(VLOOKUP($I378&amp;"|"&amp;$J378,IBC,2,FALSE),"?"))</f>
        <v/>
      </c>
      <c r="CJ378" s="85">
        <f>IF(NOT(AND($A378&lt;&gt;"",$C378&lt;&gt;"DOOR ONLY")),"",TRIM(IFERROR(VLOOKUP($U378,CODES,2,FALSE),"")&amp;" "&amp;$BG378&amp;" "&amp;IFERROR(VLOOKUP($Z378,CODES,2,FALSE),"")&amp;" "&amp;IFERROR(VLOOKUP($X378,CODES,2,FALSE),"")&amp;" "&amp;IFERROR(VLOOKUP($S378,CODES,2,FALSE),"")&amp;IF(N($P378)&gt;0," w/TRANSOM "&amp;$P378&amp;CHAR(34),"")&amp;IF(N($Q378)&gt;0," w/SIDELITE "&amp;$Q378&amp;CHAR(34)&amp;" "&amp;IF($R378="","R",$R378),"")&amp;IF($Y378="","  |  "," | "&amp;IFERROR(VLOOKUP($Y378,CODES,2,FALSE),"")&amp;" | ")&amp;IFERROR(VLOOKUP($AC378,CODES,2,FALSE),"")&amp;" "&amp;IFERROR(VLOOKUP($AD378,CODES,2,FALSE),"")&amp;IF(OR($AE378="",$AE378="-"),""," "&amp;$AE378)&amp;IF(OR($AF378="",$AF378="-"),""," "&amp;$AF378)&amp;IF($AB378="Y"," 4"&amp;CHAR(34)&amp;" HEAD","")&amp;" "&amp;IFERROR(VLOOKUP($H378,CODES,2,FALSE),"")&amp;IF($CT378," | LOC "&amp;$CY378,"")))</f>
        <v/>
      </c>
      <c r="CK378" s="85">
        <f>IF(NOT(AND($A378&lt;&gt;"",N($BJ378)&gt;0)),"",TRIM(IFERROR(VLOOKUP($AH378,CODES,2,FALSE),"")&amp;IF($AI378=""," "," "&amp;$AI378&amp;"GA ")&amp;$BG378&amp;" "&amp;IF($AN378="",IFERROR(VLOOKUP($Z378,CODES,2,FALSE),""),IFERROR(VLOOKUP($AN378,CODES,2,FALSE),""))&amp;IF($BJ378=2," PAIR","")&amp;" DOOR | "&amp;IF($AL378="","?",$AL378)&amp;" | "&amp;IF($AO378="",IFERROR(VLOOKUP($AC378,CODES,2,FALSE),""),IFERROR(VLOOKUP($AO378,CODES,2,FALSE),""))&amp;" "&amp;IFERROR(VLOOKUP($AP378,CODES,2,FALSE),"")&amp;IF(OR($AQ378="",$AQ378="-"),""," SEAM "&amp;$AQ378)&amp;IF($AR378="Y"," ASTRAGAL","")&amp;IF($AJ378=""," "," "&amp;$AJ378)&amp;IF($AK378=""," "," "&amp;$AK378)&amp;IF(OR($AT378="",$AT378="ANSI/SDI",$AT378="CUSTOM LOC"),""," "&amp;$AT378)&amp;IF($AM378=""," "," SERIES "&amp;$AM378)&amp;" "&amp;IFERROR(VLOOKUP($H378,CODES,2,FALSE),"")&amp;IF($CT378," | LOC "&amp;$CZ378,"")))</f>
        <v/>
      </c>
      <c r="CL378" s="84">
        <f>IF(CP378="","",IF(COUNTIF($CP$6:CP378,CP378)=1,MAX($CL$5:CL377)+1,INDEX($CL$5:CL377,MATCH(CP378,$CP$5:CP377,0))))</f>
        <v/>
      </c>
      <c r="CM378" s="84">
        <f>IF(NOT(AND($A378&lt;&gt;"",$C378&lt;&gt;"DOOR ONLY")),"",MAX($CM$5:CM377)+1)</f>
        <v/>
      </c>
      <c r="CN378" s="84">
        <f>IF(NOT(AND($A378&lt;&gt;"",N($BJ378)&gt;0)),"",MAX($CN$5:CN377)+1)</f>
        <v/>
      </c>
      <c r="CO378" s="84">
        <f>IF($A378="","",MAX($CO$5:CO377)+1)</f>
        <v/>
      </c>
      <c r="CP378" s="84">
        <f>IF(OR($A378="",$BH378="",$BI378=""),"",$BG378&amp;"|"&amp;$O378&amp;"|"&amp;$AL378&amp;"|"&amp;$S378&amp;"|"&amp;$P378&amp;"|"&amp;$Q378&amp;$R378&amp;"|"&amp;$C378&amp;"|"&amp;$AB378)</f>
        <v/>
      </c>
      <c r="CQ378" s="84">
        <f>N($BS378)</f>
        <v/>
      </c>
      <c r="CR378" s="84">
        <f>IF(N($AU378)&gt;0,N($AU378),4.5)</f>
        <v/>
      </c>
      <c r="CS378" s="84">
        <f>OR($A378="",$BI378="",$S378="BL",AND($C378="FRAME ONLY",OR($AC378="",$AC378="BLK")))</f>
        <v/>
      </c>
      <c r="CT378" s="84">
        <f>AND(NOT($CS378),OR($AT378="CUSTOM LOC",N($AW378)+N($AX378)+N($AY378)+N($AZ378)+N($BA378)&gt;0))</f>
        <v/>
      </c>
      <c r="CU378" s="84">
        <f>IF($BI378="","",IF($BI378&lt;=80,80,IF($BI378&lt;=84,84,96)))</f>
        <v/>
      </c>
      <c r="CV378" s="84">
        <f>ISNUMBER(MATCH($AT378&amp;"|80",LocKeys,0))</f>
        <v/>
      </c>
      <c r="CW378" s="86">
        <f>IF($CS378,"",IF($CV378,VLOOKUP($AT378&amp;"|"&amp;$CU378,LocTable,4,FALSE),5))</f>
        <v/>
      </c>
      <c r="CX378" s="86">
        <f>IF($CS378,"",IF($CV378,IF(OR($BI378=$CU378,AND($BI378&lt;$CU378,$BI378-IF(N(VLOOKUP($AT378&amp;"|"&amp;$CU378,LocTable,7,FALSE))&gt;0,VLOOKUP($AT378&amp;"|"&amp;$CU378,LocTable,7,FALSE),VLOOKUP($AT378&amp;"|"&amp;$CU378,LocTable,6,FALSE))-$CR378-0.75&gt;=2.125)),IF(N(VLOOKUP($AT378&amp;"|"&amp;$CU378,LocTable,7,FALSE))&gt;0,VLOOKUP($AT378&amp;"|"&amp;$CU378,LocTable,7,FALSE),VLOOKUP($AT378&amp;"|"&amp;$CU378,LocTable,6,FALSE)),$BI378-($CU378-IF(N(VLOOKUP($AT378&amp;"|"&amp;$CU378,LocTable,7,FALSE))&gt;0,VLOOKUP($AT378&amp;"|"&amp;$CU378,LocTable,7,FALSE),VLOOKUP($AT378&amp;"|"&amp;$CU378,LocTable,6,FALSE)))),$BI378-10-$CR378))</f>
        <v/>
      </c>
      <c r="CY378" s="85">
        <f>IF($CS378,"",TRIM(IF(ISNUMBER($BU378),"A "&amp;TRIM(TEXT($BU378,"# ?/??"))&amp;CHAR(34)&amp;"  ","")&amp;IF(ISNUMBER($BV378),"B "&amp;TRIM(TEXT($BV378,"# ?/??"))&amp;CHAR(34)&amp;"  ","")&amp;IF(ISNUMBER($BW378),"C "&amp;TRIM(TEXT($BW378,"# ?/??"))&amp;CHAR(34)&amp;"  ","")&amp;IF(ISNUMBER($BX378),"D "&amp;TRIM(TEXT($BX378,"# ?/??"))&amp;CHAR(34)&amp;"  ","")&amp;IF(ISNUMBER($BY378),"F "&amp;TRIM(TEXT($BY378,"# ?/??"))&amp;CHAR(34)&amp;"  ","")&amp;IF(ISNUMBER($BZ378),"E "&amp;TRIM(TEXT($BZ378,"# ?/??"))&amp;CHAR(34)&amp;"  ","")))</f>
        <v/>
      </c>
      <c r="CZ378" s="85">
        <f>IF(OR($CS378,N($BJ378)=0),"",TRIM(IF(ISNUMBER($BU378),"A "&amp;TRIM(TEXT($BU378-HeadClr,"# ?/??"))&amp;CHAR(34)&amp;"  ","")&amp;IF(ISNUMBER($BV378),"B "&amp;TRIM(TEXT($BV378-HeadClr,"# ?/??"))&amp;CHAR(34)&amp;"  ","")&amp;IF(ISNUMBER($BW378),"C "&amp;TRIM(TEXT($BW378-HeadClr,"# ?/??"))&amp;CHAR(34)&amp;"  ","")&amp;IF(ISNUMBER($BX378),"D "&amp;TRIM(TEXT($BX378-HeadClr,"# ?/??"))&amp;CHAR(34)&amp;"  ","")&amp;IF(ISNUMBER($BY378),"F "&amp;TRIM(TEXT($BY378-HeadClr,"# ?/??"))&amp;CHAR(34)&amp;"  ","")&amp;IF(ISNUMBER($BZ378),"E "&amp;TRIM(TEXT($BZ378-HeadClr,"# ?/??"))&amp;CHAR(34)&amp;"  ","")))</f>
        <v/>
      </c>
      <c r="DA378" s="84">
        <f>IF($A378="","",IF($AN378="",IFERROR(VLOOKUP($Z378,CODES,2,FALSE),""),IFERROR(VLOOKUP($AN378,CODES,2,FALSE),"")))</f>
        <v/>
      </c>
      <c r="DB378" s="84">
        <f>IF($A378="","",IF($O378="Y","PR",IF(OR($Z378="L",$Z378="RR",LEFT($Z378,2)="L-",LEFT($Z378,3)="RR-"),"LH","RH")))</f>
        <v/>
      </c>
      <c r="DC378" s="84">
        <f>IF($A378="","","S.HM"&amp;IF(OR($C378="DOOR ONLY",$X378&lt;&gt;"KD"),"MASONRY","DRYWALL")&amp;IF($C378="DOOR ONLY","",$U378)&amp;IF(AND($C378&lt;&gt;"FRAME ONLY",OR(LEFT($AH378,3)="OAK",LEFT($AH378,3)="BIR",LEFT($AH378,3)="MAP",$AH378="PC",$AH378="MC",$AH378="SCLC",$AH378="P-LAM")),"WD","HM")&amp;"1.75")</f>
        <v/>
      </c>
      <c r="DD378" s="84">
        <f>IF($CJ378="","",IF($O378="Y",$CJ378,SUBSTITUTE($CJ378,$BG378&amp;" "&amp;IFERROR(VLOOKUP($Z378,CODES,2,FALSE),"")&amp;" ",$BG378&amp;" ")))</f>
        <v/>
      </c>
      <c r="DE378" s="84">
        <f>IF($CK378="","",IF($O378="Y",$CK378,SUBSTITUTE($CK378,$BG378&amp;" "&amp;IF($AN378="",IFERROR(VLOOKUP($Z378,CODES,2,FALSE),""),IFERROR(VLOOKUP($AN378,CODES,2,FALSE),""))&amp;" ",$BG378&amp;" ")))</f>
        <v/>
      </c>
      <c r="DF378" s="84">
        <f>IF($CJ378="","",$DC378&amp;"|"&amp;$DD378&amp;"|"&amp;$DB378&amp;"|"&amp;$AT378&amp;"|"&amp;$V378&amp;"|"&amp;$Y378&amp;"|"&amp;$AB378)</f>
        <v/>
      </c>
      <c r="DG378" s="84">
        <f>IF(DF378="","",IF(COUNTIF($DF$6:DF378,DF378)=1,MAX($DG$5:DG377)+1,INDEX($DG$5:DG377,MATCH(DF378,$DF$5:DF377,0))))</f>
        <v/>
      </c>
      <c r="DH378" s="84">
        <f>IF($CK378="","",$DC378&amp;"|"&amp;$DE378&amp;"|"&amp;$AI378&amp;"|"&amp;$BK378&amp;"|"&amp;$BL378)</f>
        <v/>
      </c>
      <c r="DI378" s="84">
        <f>IF(DH378="","",IF(COUNTIF($DH$6:DH378,DH378)=1,MAX($DI$5:DI377)+1,INDEX($DI$5:DI377,MATCH(DH378,$DH$5:DH377,0))))</f>
        <v/>
      </c>
      <c r="DJ378" s="84">
        <f>IF($A378="","",IF($B378="","qty, ","")&amp;IF($C378="","scope, ","")&amp;IF(OR($K378="",$M378=""),"size, ","")&amp;IF(AND($A378&lt;&gt;"",$C378&lt;&gt;"DOOR ONLY"),IF($U378="","jamb depth, ","")&amp;IF($X378="","construction, ","")&amp;IF($Y378="","anchor, ","")&amp;IF($S378="","frame type, ",""),"")&amp;IF(AND(N($BJ378)&gt;0,$Z378=""),"hand, ","")&amp;IF(N($BJ378)&gt;0,IF($AH378="","door material, ","")&amp;IF($AL378="","face type, ","")&amp;IF($AP378="","lock prep, ","")&amp;IF(AND($AO378="",$AC378=""),"hinge prep, ",""),"")&amp;IF(AND($CH378&gt;0,$AH378="FRP"),"FRP cannot carry a label, ","")&amp;IF(AND($O378="Y",OR($Z378="L",$Z378="R",$Z378="LR",$Z378="RR")),"pair marked but hand is single, ","")&amp;IF(AND($O378&lt;&gt;"Y",OR($Z378="PR",AND(LEN($Z378)&gt;1,ISNUMBER(SEARCH("-",$Z378))))),"pair hand on a single door, ","")&amp;IF(AND(ISNUMBER($CI378),$CH378&lt;N($CI378)),"wall needs a "&amp;$CI378&amp;" min door, ","")&amp;IF(AND($CH378&gt;=180,AND(OR($CE378="FG",$CE378="HG",$CE378="FNV",$CE378="FV"),N($CF378)*N($CG378)&gt;100)),"180 min lite over 100 sq in, ","")&amp;IF(N($BK378)&gt;48,"leaf wider than 4'-0"&amp;CHAR(34)&amp;", ","")&amp;IF(AND($CT378,COUNT($AW378:$AZ378)=0,$CQ378&gt;0),"CUSTOM LOC with no locations typed, ",""))</f>
        <v/>
      </c>
      <c r="DK378" s="84">
        <f>IF($A378="","",IF(AND($CH378&gt;0,AND($A378&lt;&gt;"",$C378&lt;&gt;"DOOR ONLY"),$X378="KD",$E378="EXTERIOR"),"KD label on an exterior opening, ","")&amp;IF(AND($E378="EXTERIOR",OR(AND(AND($A378&lt;&gt;"",$C378&lt;&gt;"DOOR ONLY"),$W378="CR"),AND(N($BJ378)&gt;0,$AH378="CR"))),"exterior in CR steel (G9?), ","")&amp;IF(AND(ISNUMBER($BQ378),N($BQ378)&lt;32),"clear width ~"&amp;TEXT($BQ378,"0.0")&amp;CHAR(34)&amp;" under 32"&amp;CHAR(34)&amp;" (ADA), ","")&amp;IF(AND($CH378=90,AND(OR($CE378="FG",$CE378="HG",$CE378="FNV",$CE378="FV"),N($CF378)*N($CG378)&gt;100)),"90 min lite over 100 sq in (stair/exit), ","")&amp;IF(AND($CH378&gt;0,AND($A378&lt;&gt;"",$C378&lt;&gt;"DOOR ONLY"),OR($AF378="",$AF378="-")),"rated: closer reinf.?, ","")&amp;IF(OR($I378="CORRIDOR",$I378="SMOKE BARRIER"),"S label + smoke gasketing, ","")&amp;IF($CI378="?","wall type/hr not in IBC table, ","")&amp;IF(AND(N($BJ378)&gt;0,$BB378=""),"no hardware set, ","")&amp;IF(AND($BB378&lt;&gt;"",ISNA(MATCH($BB378&amp;"",HWSets,0))),"set "&amp;$BB378&amp;" not on HW Sets, ","")&amp;IF(N($BL378)&gt;96,"leaf over 8'-0"&amp;CHAR(34)&amp;" - check listing, ","")&amp;IF(AND($CT378,COUNT($AW378:$AZ378)&gt;0,COUNT($AW378:$AZ378)&lt;&gt;$CQ378),COUNT($AW378:$AZ378)&amp;" custom hinges typed, "&amp;$CQ378&amp;" expected, ","")&amp;IF(AND(ISNUMBER($CA378),OR(N($CA378)&lt;34,N($CA378)&gt;48)),"lock "&amp;TEXT($CA378,"0.0")&amp;CHAR(34)&amp;" AFF outside 34-48"&amp;CHAR(34)&amp;" (ADA), ","")&amp;IF(AND(ISNUMBER($AV378),ISNUMBER($BL378),N($AV378)&lt;IF(N($BL378)&lt;=60,2,IF(N($BL378)&lt;=90,3,IF(N($BL378)&lt;=120,4,5)))),"fewer hinges than standard, ",""))</f>
        <v/>
      </c>
    </row>
    <row r="379" ht="15" customHeight="1">
      <c r="A379" s="77" t="n"/>
      <c r="B379" s="78" t="n"/>
      <c r="C379" s="78" t="n"/>
      <c r="D379" s="78" t="n"/>
      <c r="E379" s="78" t="n"/>
      <c r="F379" s="78" t="n"/>
      <c r="G379" s="78" t="n"/>
      <c r="H379" s="78" t="n"/>
      <c r="I379" s="78" t="n"/>
      <c r="J379" s="78" t="n"/>
      <c r="K379" s="78" t="n"/>
      <c r="L379" s="78" t="n"/>
      <c r="M379" s="78" t="n"/>
      <c r="N379" s="78" t="n"/>
      <c r="O379" s="78" t="n"/>
      <c r="P379" s="78" t="n"/>
      <c r="Q379" s="78" t="n"/>
      <c r="R379" s="78" t="n"/>
      <c r="S379" s="79" t="n"/>
      <c r="T379" s="79" t="n"/>
      <c r="U379" s="79" t="n"/>
      <c r="V379" s="79" t="n"/>
      <c r="W379" s="79" t="n"/>
      <c r="X379" s="79" t="n"/>
      <c r="Y379" s="79" t="n"/>
      <c r="Z379" s="79" t="n"/>
      <c r="AA379" s="79" t="n"/>
      <c r="AB379" s="79" t="n"/>
      <c r="AC379" s="79" t="n"/>
      <c r="AD379" s="79" t="n"/>
      <c r="AE379" s="79" t="n"/>
      <c r="AF379" s="79" t="n"/>
      <c r="AG379" s="79" t="n"/>
      <c r="AH379" s="80" t="n"/>
      <c r="AI379" s="80" t="n"/>
      <c r="AJ379" s="80" t="n"/>
      <c r="AK379" s="80" t="n"/>
      <c r="AL379" s="80" t="n"/>
      <c r="AM379" s="80" t="n"/>
      <c r="AN379" s="80" t="n"/>
      <c r="AO379" s="80" t="n"/>
      <c r="AP379" s="80" t="n"/>
      <c r="AQ379" s="80" t="n"/>
      <c r="AR379" s="80" t="n"/>
      <c r="AS379" s="80" t="n"/>
      <c r="AT379" s="81" t="n"/>
      <c r="AU379" s="81" t="n"/>
      <c r="AV379" s="81" t="n"/>
      <c r="AW379" s="82" t="n"/>
      <c r="AX379" s="82" t="n"/>
      <c r="AY379" s="82" t="n"/>
      <c r="AZ379" s="82" t="n"/>
      <c r="BA379" s="82" t="n"/>
      <c r="BB379" s="83" t="n"/>
      <c r="BC379" s="83" t="n"/>
      <c r="BD379" s="84">
        <f>IF($A379="","",IF($DJ379&lt;&gt;"","FIX",IF($DK379&lt;&gt;"","CHECK","OK")))</f>
        <v/>
      </c>
      <c r="BE379" s="85">
        <f>IF($A379="","",IF($DJ379&lt;&gt;"","FIX: "&amp;LEFT($DJ379,LEN($DJ379)-2)&amp;IF($DK379&lt;&gt;"","  ·  ",""),"")&amp;IF($DK379&lt;&gt;"","CHECK: "&amp;LEFT($DK379,LEN($DK379)-2),""))</f>
        <v/>
      </c>
      <c r="BF379" s="84">
        <f>IF(OR($A379="",$K379=""),"",$K379&amp;"'-"&amp;N($L379)&amp;CHAR(34)&amp;" x "&amp;$M379&amp;"'-"&amp;N($N379)&amp;CHAR(34))</f>
        <v/>
      </c>
      <c r="BG379" s="84">
        <f>IF(OR($A379="",$K379=""),"",$K379&amp;N($L379)&amp;$M379&amp;N($N379))</f>
        <v/>
      </c>
      <c r="BH379" s="84">
        <f>IF(OR($A379="",$K379=""),"",$K379*12+N($L379))</f>
        <v/>
      </c>
      <c r="BI379" s="84">
        <f>IF(OR($A379="",$M379=""),"",$M379*12+N($N379))</f>
        <v/>
      </c>
      <c r="BJ379" s="84">
        <f>IF($A379="","",IF(OR($C379="FRAME ONLY",$S379="BL"),0,IF($O379="Y",2,1)))</f>
        <v/>
      </c>
      <c r="BK379" s="86">
        <f>IF(OR(N($BJ379)=0,$BH379=""),"",($BH379-2*EdgeClr-IF($BJ379=2,MeetClr,0))/$BJ379)</f>
        <v/>
      </c>
      <c r="BL379" s="86">
        <f>IF(OR(N($BJ379)=0,$BI379=""),"",$BI379-HeadClr-Undercut)</f>
        <v/>
      </c>
      <c r="BM379" s="86">
        <f>IF($BH379="","",$BH379+2*FaceW+IF(N($Q379)&gt;0,($Q379+FaceW)*IF($R379="LR",2,1),0))</f>
        <v/>
      </c>
      <c r="BN379" s="86">
        <f>IF($BI379="","",$BI379+IF($AB379="Y",4,FaceW)+IF(N($P379)&gt;0,$P379+FaceW,0)+IF(OR($S379="4F",$S379="BL"),FaceW,0))</f>
        <v/>
      </c>
      <c r="BO379" s="86">
        <f>IF($BM379="","",$BM379+2*ROSide)</f>
        <v/>
      </c>
      <c r="BP379" s="86">
        <f>IF($BN379="","",$BN379+ROTop)</f>
        <v/>
      </c>
      <c r="BQ379" s="87">
        <f>IF(OR(N($BJ379)=0,$BH379=""),"",$BH379/$BJ379-ClearDeduct)</f>
        <v/>
      </c>
      <c r="BR379" s="84">
        <f>IF(N($CH379)=0,"",IF($CH379&gt;=180,"A · 3 HR",IF($CH379&gt;=90,"B · 1-1/2 HR",IF($CH379&gt;=60,"B · 1 HR",IF($CH379&gt;=45,"C · 3/4 HR","20 MIN")))))&amp;IF(AND(N($CH379)&gt;0,OR($I379="CORRIDOR",$I379="SMOKE BARRIER"))," · S","")</f>
        <v/>
      </c>
      <c r="BS379" s="84">
        <f>IF($CS379,"",IF($AV379&lt;&gt;"",$AV379,IF(OR($AC379="HGC",$AO379="HGC"),"CONT",IF(($BI379-HeadClr-Undercut)&lt;=60,2,IF(($BI379-HeadClr-Undercut)&lt;=90,3,IF(($BI379-HeadClr-Undercut)&lt;=120,4,5))))))</f>
        <v/>
      </c>
      <c r="BT379" s="84">
        <f>IF($CS379,"",IF($CT379,"CUSTOM (typed)",IF($CV379,$AT379&amp;" "&amp;$CU379&amp;CHAR(34)&amp;IF($CU379&lt;&gt;$BI379,IF(AND($BI379&lt;$CU379,$BI379-IF(N(VLOOKUP($AT379&amp;"|"&amp;$CU379,LocTable,7,FALSE))&gt;0,VLOOKUP($AT379&amp;"|"&amp;$CU379,LocTable,7,FALSE),VLOOKUP($AT379&amp;"|"&amp;$CU379,LocTable,6,FALSE))-$CR379-0.75&gt;=2.125)," cut down"," adj."),""),"ANSI/SDI A250.6")))</f>
        <v/>
      </c>
      <c r="BU379" s="88">
        <f>IF($CS379,"",IF($CT379,IF(N($AW379)&gt;0,N($AW379),""),IF(1&gt;$CQ379,"",IF($CQ379=1,$CW379,$CW379+($CX379-$CW379)*0/($CQ379-1)))))</f>
        <v/>
      </c>
      <c r="BV379" s="88">
        <f>IF($CS379,"",IF($CT379,IF(N($AX379)&gt;0,N($AX379),""),IF(2&gt;$CQ379,"",IF($CQ379=1,$CW379,$CW379+($CX379-$CW379)*1/($CQ379-1)))))</f>
        <v/>
      </c>
      <c r="BW379" s="88">
        <f>IF($CS379,"",IF($CT379,IF(N($AY379)&gt;0,N($AY379),""),IF(3&gt;$CQ379,"",IF($CQ379=1,$CW379,$CW379+($CX379-$CW379)*2/($CQ379-1)))))</f>
        <v/>
      </c>
      <c r="BX379" s="88">
        <f>IF($CS379,"",IF($CT379,IF(N($AZ379)&gt;0,N($AZ379),""),IF(4&gt;$CQ379,"",IF($CQ379=1,$CW379,$CW379+($CX379-$CW379)*3/($CQ379-1)))))</f>
        <v/>
      </c>
      <c r="BY379" s="88">
        <f>IF($CS379,"",IF($CT379,"",IF(5&gt;$CQ379,"",IF($CQ379=1,$CW379,$CW379+($CX379-$CW379)*4/($CQ379-1)))))</f>
        <v/>
      </c>
      <c r="BZ379" s="88">
        <f>IF(OR($CS379,$AP379="-",AND($AP379="",$AD379="")),"",IF(N($BA379)&gt;0,N($BA379),IF($CV379,IF(AND($BI379&lt;$CU379,$BI379-IF(N(VLOOKUP($AT379&amp;"|"&amp;$CU379,LocTable,7,FALSE))&gt;0,VLOOKUP($AT379&amp;"|"&amp;$CU379,LocTable,7,FALSE),VLOOKUP($AT379&amp;"|"&amp;$CU379,LocTable,6,FALSE))-$CR379-0.75&gt;=2.125),VLOOKUP($AT379&amp;"|"&amp;$CU379,LocTable,8,FALSE),VLOOKUP($AT379&amp;"|"&amp;$CU379,LocTable,8,FALSE)+($BI379-$CU379)),$BI379-LockAFF)))</f>
        <v/>
      </c>
      <c r="CA379" s="89">
        <f>IF($BZ379="","",$BI379-$BZ379)</f>
        <v/>
      </c>
      <c r="CB379" s="84">
        <f>IF(OR(NOT(AND($A379&lt;&gt;"",$C379&lt;&gt;"DOOR ONLY")),$BI379=""),"",IF(($BI379+IF(N($P379)&gt;0,$P379+FaceW,0))&lt;=90,3,IF(($BI379+IF(N($P379)&gt;0,$P379+FaceW,0))&lt;=114,4,5)))</f>
        <v/>
      </c>
      <c r="CC379" s="84">
        <f>IF($CB379="","",$CB379*(2+IF(N($Q379)&gt;0,IF($R379="LR",2,1),0)))</f>
        <v/>
      </c>
      <c r="CD379" s="84">
        <f>IF($CB379="","",(2+IF(N($Q379)&gt;0,IF($R379="LR",2,1),0)))</f>
        <v/>
      </c>
      <c r="CE379" s="84">
        <f>IF(N($BJ379)=0,"",IF(OR($AL379="",$AL379="FLUSH"),"FLUSH",IFERROR(LEFT($AL379,FIND("-",$AL379)-1),LEFT($AL379,2))))</f>
        <v/>
      </c>
      <c r="CF379" s="84">
        <f>IF($CE379="","",IFERROR(VALUE(MID($AL379,FIND("-",$AL379)+1,FIND(CHAR(34)&amp;"x",$AL379)-FIND("-",$AL379)-1)),0))</f>
        <v/>
      </c>
      <c r="CG379" s="84">
        <f>IF($CE379="","",IFERROR(VALUE(MID($AL379,FIND(CHAR(34)&amp;"x",$AL379)+2,FIND(CHAR(34),$AL379,FIND(CHAR(34)&amp;"x",$AL379)+2)-FIND(CHAR(34)&amp;"x",$AL379)-2)),0))</f>
        <v/>
      </c>
      <c r="CH379" s="90">
        <f>IF(OR($A379="",$H379="",$H379="NO LAB"),0,IFERROR(VALUE(LEFT($H379,FIND(" ",$H379)-1)),0))</f>
        <v/>
      </c>
      <c r="CI379" s="91">
        <f>IF(OR($A379="",$I379="",$I379="NON-RATED",N($J379)=0),"",IFERROR(VLOOKUP($I379&amp;"|"&amp;$J379,IBC,2,FALSE),"?"))</f>
        <v/>
      </c>
      <c r="CJ379" s="85">
        <f>IF(NOT(AND($A379&lt;&gt;"",$C379&lt;&gt;"DOOR ONLY")),"",TRIM(IFERROR(VLOOKUP($U379,CODES,2,FALSE),"")&amp;" "&amp;$BG379&amp;" "&amp;IFERROR(VLOOKUP($Z379,CODES,2,FALSE),"")&amp;" "&amp;IFERROR(VLOOKUP($X379,CODES,2,FALSE),"")&amp;" "&amp;IFERROR(VLOOKUP($S379,CODES,2,FALSE),"")&amp;IF(N($P379)&gt;0," w/TRANSOM "&amp;$P379&amp;CHAR(34),"")&amp;IF(N($Q379)&gt;0," w/SIDELITE "&amp;$Q379&amp;CHAR(34)&amp;" "&amp;IF($R379="","R",$R379),"")&amp;IF($Y379="","  |  "," | "&amp;IFERROR(VLOOKUP($Y379,CODES,2,FALSE),"")&amp;" | ")&amp;IFERROR(VLOOKUP($AC379,CODES,2,FALSE),"")&amp;" "&amp;IFERROR(VLOOKUP($AD379,CODES,2,FALSE),"")&amp;IF(OR($AE379="",$AE379="-"),""," "&amp;$AE379)&amp;IF(OR($AF379="",$AF379="-"),""," "&amp;$AF379)&amp;IF($AB379="Y"," 4"&amp;CHAR(34)&amp;" HEAD","")&amp;" "&amp;IFERROR(VLOOKUP($H379,CODES,2,FALSE),"")&amp;IF($CT379," | LOC "&amp;$CY379,"")))</f>
        <v/>
      </c>
      <c r="CK379" s="85">
        <f>IF(NOT(AND($A379&lt;&gt;"",N($BJ379)&gt;0)),"",TRIM(IFERROR(VLOOKUP($AH379,CODES,2,FALSE),"")&amp;IF($AI379=""," "," "&amp;$AI379&amp;"GA ")&amp;$BG379&amp;" "&amp;IF($AN379="",IFERROR(VLOOKUP($Z379,CODES,2,FALSE),""),IFERROR(VLOOKUP($AN379,CODES,2,FALSE),""))&amp;IF($BJ379=2," PAIR","")&amp;" DOOR | "&amp;IF($AL379="","?",$AL379)&amp;" | "&amp;IF($AO379="",IFERROR(VLOOKUP($AC379,CODES,2,FALSE),""),IFERROR(VLOOKUP($AO379,CODES,2,FALSE),""))&amp;" "&amp;IFERROR(VLOOKUP($AP379,CODES,2,FALSE),"")&amp;IF(OR($AQ379="",$AQ379="-"),""," SEAM "&amp;$AQ379)&amp;IF($AR379="Y"," ASTRAGAL","")&amp;IF($AJ379=""," "," "&amp;$AJ379)&amp;IF($AK379=""," "," "&amp;$AK379)&amp;IF(OR($AT379="",$AT379="ANSI/SDI",$AT379="CUSTOM LOC"),""," "&amp;$AT379)&amp;IF($AM379=""," "," SERIES "&amp;$AM379)&amp;" "&amp;IFERROR(VLOOKUP($H379,CODES,2,FALSE),"")&amp;IF($CT379," | LOC "&amp;$CZ379,"")))</f>
        <v/>
      </c>
      <c r="CL379" s="84">
        <f>IF(CP379="","",IF(COUNTIF($CP$6:CP379,CP379)=1,MAX($CL$5:CL378)+1,INDEX($CL$5:CL378,MATCH(CP379,$CP$5:CP378,0))))</f>
        <v/>
      </c>
      <c r="CM379" s="84">
        <f>IF(NOT(AND($A379&lt;&gt;"",$C379&lt;&gt;"DOOR ONLY")),"",MAX($CM$5:CM378)+1)</f>
        <v/>
      </c>
      <c r="CN379" s="84">
        <f>IF(NOT(AND($A379&lt;&gt;"",N($BJ379)&gt;0)),"",MAX($CN$5:CN378)+1)</f>
        <v/>
      </c>
      <c r="CO379" s="84">
        <f>IF($A379="","",MAX($CO$5:CO378)+1)</f>
        <v/>
      </c>
      <c r="CP379" s="84">
        <f>IF(OR($A379="",$BH379="",$BI379=""),"",$BG379&amp;"|"&amp;$O379&amp;"|"&amp;$AL379&amp;"|"&amp;$S379&amp;"|"&amp;$P379&amp;"|"&amp;$Q379&amp;$R379&amp;"|"&amp;$C379&amp;"|"&amp;$AB379)</f>
        <v/>
      </c>
      <c r="CQ379" s="84">
        <f>N($BS379)</f>
        <v/>
      </c>
      <c r="CR379" s="84">
        <f>IF(N($AU379)&gt;0,N($AU379),4.5)</f>
        <v/>
      </c>
      <c r="CS379" s="84">
        <f>OR($A379="",$BI379="",$S379="BL",AND($C379="FRAME ONLY",OR($AC379="",$AC379="BLK")))</f>
        <v/>
      </c>
      <c r="CT379" s="84">
        <f>AND(NOT($CS379),OR($AT379="CUSTOM LOC",N($AW379)+N($AX379)+N($AY379)+N($AZ379)+N($BA379)&gt;0))</f>
        <v/>
      </c>
      <c r="CU379" s="84">
        <f>IF($BI379="","",IF($BI379&lt;=80,80,IF($BI379&lt;=84,84,96)))</f>
        <v/>
      </c>
      <c r="CV379" s="84">
        <f>ISNUMBER(MATCH($AT379&amp;"|80",LocKeys,0))</f>
        <v/>
      </c>
      <c r="CW379" s="86">
        <f>IF($CS379,"",IF($CV379,VLOOKUP($AT379&amp;"|"&amp;$CU379,LocTable,4,FALSE),5))</f>
        <v/>
      </c>
      <c r="CX379" s="86">
        <f>IF($CS379,"",IF($CV379,IF(OR($BI379=$CU379,AND($BI379&lt;$CU379,$BI379-IF(N(VLOOKUP($AT379&amp;"|"&amp;$CU379,LocTable,7,FALSE))&gt;0,VLOOKUP($AT379&amp;"|"&amp;$CU379,LocTable,7,FALSE),VLOOKUP($AT379&amp;"|"&amp;$CU379,LocTable,6,FALSE))-$CR379-0.75&gt;=2.125)),IF(N(VLOOKUP($AT379&amp;"|"&amp;$CU379,LocTable,7,FALSE))&gt;0,VLOOKUP($AT379&amp;"|"&amp;$CU379,LocTable,7,FALSE),VLOOKUP($AT379&amp;"|"&amp;$CU379,LocTable,6,FALSE)),$BI379-($CU379-IF(N(VLOOKUP($AT379&amp;"|"&amp;$CU379,LocTable,7,FALSE))&gt;0,VLOOKUP($AT379&amp;"|"&amp;$CU379,LocTable,7,FALSE),VLOOKUP($AT379&amp;"|"&amp;$CU379,LocTable,6,FALSE)))),$BI379-10-$CR379))</f>
        <v/>
      </c>
      <c r="CY379" s="85">
        <f>IF($CS379,"",TRIM(IF(ISNUMBER($BU379),"A "&amp;TRIM(TEXT($BU379,"# ?/??"))&amp;CHAR(34)&amp;"  ","")&amp;IF(ISNUMBER($BV379),"B "&amp;TRIM(TEXT($BV379,"# ?/??"))&amp;CHAR(34)&amp;"  ","")&amp;IF(ISNUMBER($BW379),"C "&amp;TRIM(TEXT($BW379,"# ?/??"))&amp;CHAR(34)&amp;"  ","")&amp;IF(ISNUMBER($BX379),"D "&amp;TRIM(TEXT($BX379,"# ?/??"))&amp;CHAR(34)&amp;"  ","")&amp;IF(ISNUMBER($BY379),"F "&amp;TRIM(TEXT($BY379,"# ?/??"))&amp;CHAR(34)&amp;"  ","")&amp;IF(ISNUMBER($BZ379),"E "&amp;TRIM(TEXT($BZ379,"# ?/??"))&amp;CHAR(34)&amp;"  ","")))</f>
        <v/>
      </c>
      <c r="CZ379" s="85">
        <f>IF(OR($CS379,N($BJ379)=0),"",TRIM(IF(ISNUMBER($BU379),"A "&amp;TRIM(TEXT($BU379-HeadClr,"# ?/??"))&amp;CHAR(34)&amp;"  ","")&amp;IF(ISNUMBER($BV379),"B "&amp;TRIM(TEXT($BV379-HeadClr,"# ?/??"))&amp;CHAR(34)&amp;"  ","")&amp;IF(ISNUMBER($BW379),"C "&amp;TRIM(TEXT($BW379-HeadClr,"# ?/??"))&amp;CHAR(34)&amp;"  ","")&amp;IF(ISNUMBER($BX379),"D "&amp;TRIM(TEXT($BX379-HeadClr,"# ?/??"))&amp;CHAR(34)&amp;"  ","")&amp;IF(ISNUMBER($BY379),"F "&amp;TRIM(TEXT($BY379-HeadClr,"# ?/??"))&amp;CHAR(34)&amp;"  ","")&amp;IF(ISNUMBER($BZ379),"E "&amp;TRIM(TEXT($BZ379-HeadClr,"# ?/??"))&amp;CHAR(34)&amp;"  ","")))</f>
        <v/>
      </c>
      <c r="DA379" s="84">
        <f>IF($A379="","",IF($AN379="",IFERROR(VLOOKUP($Z379,CODES,2,FALSE),""),IFERROR(VLOOKUP($AN379,CODES,2,FALSE),"")))</f>
        <v/>
      </c>
      <c r="DB379" s="84">
        <f>IF($A379="","",IF($O379="Y","PR",IF(OR($Z379="L",$Z379="RR",LEFT($Z379,2)="L-",LEFT($Z379,3)="RR-"),"LH","RH")))</f>
        <v/>
      </c>
      <c r="DC379" s="84">
        <f>IF($A379="","","S.HM"&amp;IF(OR($C379="DOOR ONLY",$X379&lt;&gt;"KD"),"MASONRY","DRYWALL")&amp;IF($C379="DOOR ONLY","",$U379)&amp;IF(AND($C379&lt;&gt;"FRAME ONLY",OR(LEFT($AH379,3)="OAK",LEFT($AH379,3)="BIR",LEFT($AH379,3)="MAP",$AH379="PC",$AH379="MC",$AH379="SCLC",$AH379="P-LAM")),"WD","HM")&amp;"1.75")</f>
        <v/>
      </c>
      <c r="DD379" s="84">
        <f>IF($CJ379="","",IF($O379="Y",$CJ379,SUBSTITUTE($CJ379,$BG379&amp;" "&amp;IFERROR(VLOOKUP($Z379,CODES,2,FALSE),"")&amp;" ",$BG379&amp;" ")))</f>
        <v/>
      </c>
      <c r="DE379" s="84">
        <f>IF($CK379="","",IF($O379="Y",$CK379,SUBSTITUTE($CK379,$BG379&amp;" "&amp;IF($AN379="",IFERROR(VLOOKUP($Z379,CODES,2,FALSE),""),IFERROR(VLOOKUP($AN379,CODES,2,FALSE),""))&amp;" ",$BG379&amp;" ")))</f>
        <v/>
      </c>
      <c r="DF379" s="84">
        <f>IF($CJ379="","",$DC379&amp;"|"&amp;$DD379&amp;"|"&amp;$DB379&amp;"|"&amp;$AT379&amp;"|"&amp;$V379&amp;"|"&amp;$Y379&amp;"|"&amp;$AB379)</f>
        <v/>
      </c>
      <c r="DG379" s="84">
        <f>IF(DF379="","",IF(COUNTIF($DF$6:DF379,DF379)=1,MAX($DG$5:DG378)+1,INDEX($DG$5:DG378,MATCH(DF379,$DF$5:DF378,0))))</f>
        <v/>
      </c>
      <c r="DH379" s="84">
        <f>IF($CK379="","",$DC379&amp;"|"&amp;$DE379&amp;"|"&amp;$AI379&amp;"|"&amp;$BK379&amp;"|"&amp;$BL379)</f>
        <v/>
      </c>
      <c r="DI379" s="84">
        <f>IF(DH379="","",IF(COUNTIF($DH$6:DH379,DH379)=1,MAX($DI$5:DI378)+1,INDEX($DI$5:DI378,MATCH(DH379,$DH$5:DH378,0))))</f>
        <v/>
      </c>
      <c r="DJ379" s="84">
        <f>IF($A379="","",IF($B379="","qty, ","")&amp;IF($C379="","scope, ","")&amp;IF(OR($K379="",$M379=""),"size, ","")&amp;IF(AND($A379&lt;&gt;"",$C379&lt;&gt;"DOOR ONLY"),IF($U379="","jamb depth, ","")&amp;IF($X379="","construction, ","")&amp;IF($Y379="","anchor, ","")&amp;IF($S379="","frame type, ",""),"")&amp;IF(AND(N($BJ379)&gt;0,$Z379=""),"hand, ","")&amp;IF(N($BJ379)&gt;0,IF($AH379="","door material, ","")&amp;IF($AL379="","face type, ","")&amp;IF($AP379="","lock prep, ","")&amp;IF(AND($AO379="",$AC379=""),"hinge prep, ",""),"")&amp;IF(AND($CH379&gt;0,$AH379="FRP"),"FRP cannot carry a label, ","")&amp;IF(AND($O379="Y",OR($Z379="L",$Z379="R",$Z379="LR",$Z379="RR")),"pair marked but hand is single, ","")&amp;IF(AND($O379&lt;&gt;"Y",OR($Z379="PR",AND(LEN($Z379)&gt;1,ISNUMBER(SEARCH("-",$Z379))))),"pair hand on a single door, ","")&amp;IF(AND(ISNUMBER($CI379),$CH379&lt;N($CI379)),"wall needs a "&amp;$CI379&amp;" min door, ","")&amp;IF(AND($CH379&gt;=180,AND(OR($CE379="FG",$CE379="HG",$CE379="FNV",$CE379="FV"),N($CF379)*N($CG379)&gt;100)),"180 min lite over 100 sq in, ","")&amp;IF(N($BK379)&gt;48,"leaf wider than 4'-0"&amp;CHAR(34)&amp;", ","")&amp;IF(AND($CT379,COUNT($AW379:$AZ379)=0,$CQ379&gt;0),"CUSTOM LOC with no locations typed, ",""))</f>
        <v/>
      </c>
      <c r="DK379" s="84">
        <f>IF($A379="","",IF(AND($CH379&gt;0,AND($A379&lt;&gt;"",$C379&lt;&gt;"DOOR ONLY"),$X379="KD",$E379="EXTERIOR"),"KD label on an exterior opening, ","")&amp;IF(AND($E379="EXTERIOR",OR(AND(AND($A379&lt;&gt;"",$C379&lt;&gt;"DOOR ONLY"),$W379="CR"),AND(N($BJ379)&gt;0,$AH379="CR"))),"exterior in CR steel (G9?), ","")&amp;IF(AND(ISNUMBER($BQ379),N($BQ379)&lt;32),"clear width ~"&amp;TEXT($BQ379,"0.0")&amp;CHAR(34)&amp;" under 32"&amp;CHAR(34)&amp;" (ADA), ","")&amp;IF(AND($CH379=90,AND(OR($CE379="FG",$CE379="HG",$CE379="FNV",$CE379="FV"),N($CF379)*N($CG379)&gt;100)),"90 min lite over 100 sq in (stair/exit), ","")&amp;IF(AND($CH379&gt;0,AND($A379&lt;&gt;"",$C379&lt;&gt;"DOOR ONLY"),OR($AF379="",$AF379="-")),"rated: closer reinf.?, ","")&amp;IF(OR($I379="CORRIDOR",$I379="SMOKE BARRIER"),"S label + smoke gasketing, ","")&amp;IF($CI379="?","wall type/hr not in IBC table, ","")&amp;IF(AND(N($BJ379)&gt;0,$BB379=""),"no hardware set, ","")&amp;IF(AND($BB379&lt;&gt;"",ISNA(MATCH($BB379&amp;"",HWSets,0))),"set "&amp;$BB379&amp;" not on HW Sets, ","")&amp;IF(N($BL379)&gt;96,"leaf over 8'-0"&amp;CHAR(34)&amp;" - check listing, ","")&amp;IF(AND($CT379,COUNT($AW379:$AZ379)&gt;0,COUNT($AW379:$AZ379)&lt;&gt;$CQ379),COUNT($AW379:$AZ379)&amp;" custom hinges typed, "&amp;$CQ379&amp;" expected, ","")&amp;IF(AND(ISNUMBER($CA379),OR(N($CA379)&lt;34,N($CA379)&gt;48)),"lock "&amp;TEXT($CA379,"0.0")&amp;CHAR(34)&amp;" AFF outside 34-48"&amp;CHAR(34)&amp;" (ADA), ","")&amp;IF(AND(ISNUMBER($AV379),ISNUMBER($BL379),N($AV379)&lt;IF(N($BL379)&lt;=60,2,IF(N($BL379)&lt;=90,3,IF(N($BL379)&lt;=120,4,5)))),"fewer hinges than standard, ",""))</f>
        <v/>
      </c>
    </row>
    <row r="380" ht="15" customHeight="1">
      <c r="A380" s="92" t="n"/>
      <c r="B380" s="93" t="n"/>
      <c r="C380" s="93" t="n"/>
      <c r="D380" s="93" t="n"/>
      <c r="E380" s="93" t="n"/>
      <c r="F380" s="93" t="n"/>
      <c r="G380" s="93" t="n"/>
      <c r="H380" s="93" t="n"/>
      <c r="I380" s="93" t="n"/>
      <c r="J380" s="93" t="n"/>
      <c r="K380" s="93" t="n"/>
      <c r="L380" s="93" t="n"/>
      <c r="M380" s="93" t="n"/>
      <c r="N380" s="93" t="n"/>
      <c r="O380" s="93" t="n"/>
      <c r="P380" s="93" t="n"/>
      <c r="Q380" s="93" t="n"/>
      <c r="R380" s="93" t="n"/>
      <c r="S380" s="94" t="n"/>
      <c r="T380" s="94" t="n"/>
      <c r="U380" s="94" t="n"/>
      <c r="V380" s="94" t="n"/>
      <c r="W380" s="94" t="n"/>
      <c r="X380" s="94" t="n"/>
      <c r="Y380" s="94" t="n"/>
      <c r="Z380" s="94" t="n"/>
      <c r="AA380" s="94" t="n"/>
      <c r="AB380" s="94" t="n"/>
      <c r="AC380" s="94" t="n"/>
      <c r="AD380" s="94" t="n"/>
      <c r="AE380" s="94" t="n"/>
      <c r="AF380" s="94" t="n"/>
      <c r="AG380" s="94" t="n"/>
      <c r="AH380" s="95" t="n"/>
      <c r="AI380" s="95" t="n"/>
      <c r="AJ380" s="95" t="n"/>
      <c r="AK380" s="95" t="n"/>
      <c r="AL380" s="95" t="n"/>
      <c r="AM380" s="95" t="n"/>
      <c r="AN380" s="95" t="n"/>
      <c r="AO380" s="95" t="n"/>
      <c r="AP380" s="95" t="n"/>
      <c r="AQ380" s="95" t="n"/>
      <c r="AR380" s="95" t="n"/>
      <c r="AS380" s="95" t="n"/>
      <c r="AT380" s="96" t="n"/>
      <c r="AU380" s="96" t="n"/>
      <c r="AV380" s="96" t="n"/>
      <c r="AW380" s="97" t="n"/>
      <c r="AX380" s="97" t="n"/>
      <c r="AY380" s="97" t="n"/>
      <c r="AZ380" s="97" t="n"/>
      <c r="BA380" s="97" t="n"/>
      <c r="BB380" s="98" t="n"/>
      <c r="BC380" s="98" t="n"/>
      <c r="BD380" s="99">
        <f>IF($A380="","",IF($DJ380&lt;&gt;"","FIX",IF($DK380&lt;&gt;"","CHECK","OK")))</f>
        <v/>
      </c>
      <c r="BE380" s="100">
        <f>IF($A380="","",IF($DJ380&lt;&gt;"","FIX: "&amp;LEFT($DJ380,LEN($DJ380)-2)&amp;IF($DK380&lt;&gt;"","  ·  ",""),"")&amp;IF($DK380&lt;&gt;"","CHECK: "&amp;LEFT($DK380,LEN($DK380)-2),""))</f>
        <v/>
      </c>
      <c r="BF380" s="99">
        <f>IF(OR($A380="",$K380=""),"",$K380&amp;"'-"&amp;N($L380)&amp;CHAR(34)&amp;" x "&amp;$M380&amp;"'-"&amp;N($N380)&amp;CHAR(34))</f>
        <v/>
      </c>
      <c r="BG380" s="99">
        <f>IF(OR($A380="",$K380=""),"",$K380&amp;N($L380)&amp;$M380&amp;N($N380))</f>
        <v/>
      </c>
      <c r="BH380" s="99">
        <f>IF(OR($A380="",$K380=""),"",$K380*12+N($L380))</f>
        <v/>
      </c>
      <c r="BI380" s="99">
        <f>IF(OR($A380="",$M380=""),"",$M380*12+N($N380))</f>
        <v/>
      </c>
      <c r="BJ380" s="99">
        <f>IF($A380="","",IF(OR($C380="FRAME ONLY",$S380="BL"),0,IF($O380="Y",2,1)))</f>
        <v/>
      </c>
      <c r="BK380" s="101">
        <f>IF(OR(N($BJ380)=0,$BH380=""),"",($BH380-2*EdgeClr-IF($BJ380=2,MeetClr,0))/$BJ380)</f>
        <v/>
      </c>
      <c r="BL380" s="101">
        <f>IF(OR(N($BJ380)=0,$BI380=""),"",$BI380-HeadClr-Undercut)</f>
        <v/>
      </c>
      <c r="BM380" s="101">
        <f>IF($BH380="","",$BH380+2*FaceW+IF(N($Q380)&gt;0,($Q380+FaceW)*IF($R380="LR",2,1),0))</f>
        <v/>
      </c>
      <c r="BN380" s="101">
        <f>IF($BI380="","",$BI380+IF($AB380="Y",4,FaceW)+IF(N($P380)&gt;0,$P380+FaceW,0)+IF(OR($S380="4F",$S380="BL"),FaceW,0))</f>
        <v/>
      </c>
      <c r="BO380" s="101">
        <f>IF($BM380="","",$BM380+2*ROSide)</f>
        <v/>
      </c>
      <c r="BP380" s="101">
        <f>IF($BN380="","",$BN380+ROTop)</f>
        <v/>
      </c>
      <c r="BQ380" s="102">
        <f>IF(OR(N($BJ380)=0,$BH380=""),"",$BH380/$BJ380-ClearDeduct)</f>
        <v/>
      </c>
      <c r="BR380" s="99">
        <f>IF(N($CH380)=0,"",IF($CH380&gt;=180,"A · 3 HR",IF($CH380&gt;=90,"B · 1-1/2 HR",IF($CH380&gt;=60,"B · 1 HR",IF($CH380&gt;=45,"C · 3/4 HR","20 MIN")))))&amp;IF(AND(N($CH380)&gt;0,OR($I380="CORRIDOR",$I380="SMOKE BARRIER"))," · S","")</f>
        <v/>
      </c>
      <c r="BS380" s="99">
        <f>IF($CS380,"",IF($AV380&lt;&gt;"",$AV380,IF(OR($AC380="HGC",$AO380="HGC"),"CONT",IF(($BI380-HeadClr-Undercut)&lt;=60,2,IF(($BI380-HeadClr-Undercut)&lt;=90,3,IF(($BI380-HeadClr-Undercut)&lt;=120,4,5))))))</f>
        <v/>
      </c>
      <c r="BT380" s="99">
        <f>IF($CS380,"",IF($CT380,"CUSTOM (typed)",IF($CV380,$AT380&amp;" "&amp;$CU380&amp;CHAR(34)&amp;IF($CU380&lt;&gt;$BI380,IF(AND($BI380&lt;$CU380,$BI380-IF(N(VLOOKUP($AT380&amp;"|"&amp;$CU380,LocTable,7,FALSE))&gt;0,VLOOKUP($AT380&amp;"|"&amp;$CU380,LocTable,7,FALSE),VLOOKUP($AT380&amp;"|"&amp;$CU380,LocTable,6,FALSE))-$CR380-0.75&gt;=2.125)," cut down"," adj."),""),"ANSI/SDI A250.6")))</f>
        <v/>
      </c>
      <c r="BU380" s="103">
        <f>IF($CS380,"",IF($CT380,IF(N($AW380)&gt;0,N($AW380),""),IF(1&gt;$CQ380,"",IF($CQ380=1,$CW380,$CW380+($CX380-$CW380)*0/($CQ380-1)))))</f>
        <v/>
      </c>
      <c r="BV380" s="103">
        <f>IF($CS380,"",IF($CT380,IF(N($AX380)&gt;0,N($AX380),""),IF(2&gt;$CQ380,"",IF($CQ380=1,$CW380,$CW380+($CX380-$CW380)*1/($CQ380-1)))))</f>
        <v/>
      </c>
      <c r="BW380" s="103">
        <f>IF($CS380,"",IF($CT380,IF(N($AY380)&gt;0,N($AY380),""),IF(3&gt;$CQ380,"",IF($CQ380=1,$CW380,$CW380+($CX380-$CW380)*2/($CQ380-1)))))</f>
        <v/>
      </c>
      <c r="BX380" s="103">
        <f>IF($CS380,"",IF($CT380,IF(N($AZ380)&gt;0,N($AZ380),""),IF(4&gt;$CQ380,"",IF($CQ380=1,$CW380,$CW380+($CX380-$CW380)*3/($CQ380-1)))))</f>
        <v/>
      </c>
      <c r="BY380" s="103">
        <f>IF($CS380,"",IF($CT380,"",IF(5&gt;$CQ380,"",IF($CQ380=1,$CW380,$CW380+($CX380-$CW380)*4/($CQ380-1)))))</f>
        <v/>
      </c>
      <c r="BZ380" s="103">
        <f>IF(OR($CS380,$AP380="-",AND($AP380="",$AD380="")),"",IF(N($BA380)&gt;0,N($BA380),IF($CV380,IF(AND($BI380&lt;$CU380,$BI380-IF(N(VLOOKUP($AT380&amp;"|"&amp;$CU380,LocTable,7,FALSE))&gt;0,VLOOKUP($AT380&amp;"|"&amp;$CU380,LocTable,7,FALSE),VLOOKUP($AT380&amp;"|"&amp;$CU380,LocTable,6,FALSE))-$CR380-0.75&gt;=2.125),VLOOKUP($AT380&amp;"|"&amp;$CU380,LocTable,8,FALSE),VLOOKUP($AT380&amp;"|"&amp;$CU380,LocTable,8,FALSE)+($BI380-$CU380)),$BI380-LockAFF)))</f>
        <v/>
      </c>
      <c r="CA380" s="104">
        <f>IF($BZ380="","",$BI380-$BZ380)</f>
        <v/>
      </c>
      <c r="CB380" s="99">
        <f>IF(OR(NOT(AND($A380&lt;&gt;"",$C380&lt;&gt;"DOOR ONLY")),$BI380=""),"",IF(($BI380+IF(N($P380)&gt;0,$P380+FaceW,0))&lt;=90,3,IF(($BI380+IF(N($P380)&gt;0,$P380+FaceW,0))&lt;=114,4,5)))</f>
        <v/>
      </c>
      <c r="CC380" s="99">
        <f>IF($CB380="","",$CB380*(2+IF(N($Q380)&gt;0,IF($R380="LR",2,1),0)))</f>
        <v/>
      </c>
      <c r="CD380" s="99">
        <f>IF($CB380="","",(2+IF(N($Q380)&gt;0,IF($R380="LR",2,1),0)))</f>
        <v/>
      </c>
      <c r="CE380" s="99">
        <f>IF(N($BJ380)=0,"",IF(OR($AL380="",$AL380="FLUSH"),"FLUSH",IFERROR(LEFT($AL380,FIND("-",$AL380)-1),LEFT($AL380,2))))</f>
        <v/>
      </c>
      <c r="CF380" s="99">
        <f>IF($CE380="","",IFERROR(VALUE(MID($AL380,FIND("-",$AL380)+1,FIND(CHAR(34)&amp;"x",$AL380)-FIND("-",$AL380)-1)),0))</f>
        <v/>
      </c>
      <c r="CG380" s="99">
        <f>IF($CE380="","",IFERROR(VALUE(MID($AL380,FIND(CHAR(34)&amp;"x",$AL380)+2,FIND(CHAR(34),$AL380,FIND(CHAR(34)&amp;"x",$AL380)+2)-FIND(CHAR(34)&amp;"x",$AL380)-2)),0))</f>
        <v/>
      </c>
      <c r="CH380" s="105">
        <f>IF(OR($A380="",$H380="",$H380="NO LAB"),0,IFERROR(VALUE(LEFT($H380,FIND(" ",$H380)-1)),0))</f>
        <v/>
      </c>
      <c r="CI380" s="106">
        <f>IF(OR($A380="",$I380="",$I380="NON-RATED",N($J380)=0),"",IFERROR(VLOOKUP($I380&amp;"|"&amp;$J380,IBC,2,FALSE),"?"))</f>
        <v/>
      </c>
      <c r="CJ380" s="100">
        <f>IF(NOT(AND($A380&lt;&gt;"",$C380&lt;&gt;"DOOR ONLY")),"",TRIM(IFERROR(VLOOKUP($U380,CODES,2,FALSE),"")&amp;" "&amp;$BG380&amp;" "&amp;IFERROR(VLOOKUP($Z380,CODES,2,FALSE),"")&amp;" "&amp;IFERROR(VLOOKUP($X380,CODES,2,FALSE),"")&amp;" "&amp;IFERROR(VLOOKUP($S380,CODES,2,FALSE),"")&amp;IF(N($P380)&gt;0," w/TRANSOM "&amp;$P380&amp;CHAR(34),"")&amp;IF(N($Q380)&gt;0," w/SIDELITE "&amp;$Q380&amp;CHAR(34)&amp;" "&amp;IF($R380="","R",$R380),"")&amp;IF($Y380="","  |  "," | "&amp;IFERROR(VLOOKUP($Y380,CODES,2,FALSE),"")&amp;" | ")&amp;IFERROR(VLOOKUP($AC380,CODES,2,FALSE),"")&amp;" "&amp;IFERROR(VLOOKUP($AD380,CODES,2,FALSE),"")&amp;IF(OR($AE380="",$AE380="-"),""," "&amp;$AE380)&amp;IF(OR($AF380="",$AF380="-"),""," "&amp;$AF380)&amp;IF($AB380="Y"," 4"&amp;CHAR(34)&amp;" HEAD","")&amp;" "&amp;IFERROR(VLOOKUP($H380,CODES,2,FALSE),"")&amp;IF($CT380," | LOC "&amp;$CY380,"")))</f>
        <v/>
      </c>
      <c r="CK380" s="100">
        <f>IF(NOT(AND($A380&lt;&gt;"",N($BJ380)&gt;0)),"",TRIM(IFERROR(VLOOKUP($AH380,CODES,2,FALSE),"")&amp;IF($AI380=""," "," "&amp;$AI380&amp;"GA ")&amp;$BG380&amp;" "&amp;IF($AN380="",IFERROR(VLOOKUP($Z380,CODES,2,FALSE),""),IFERROR(VLOOKUP($AN380,CODES,2,FALSE),""))&amp;IF($BJ380=2," PAIR","")&amp;" DOOR | "&amp;IF($AL380="","?",$AL380)&amp;" | "&amp;IF($AO380="",IFERROR(VLOOKUP($AC380,CODES,2,FALSE),""),IFERROR(VLOOKUP($AO380,CODES,2,FALSE),""))&amp;" "&amp;IFERROR(VLOOKUP($AP380,CODES,2,FALSE),"")&amp;IF(OR($AQ380="",$AQ380="-"),""," SEAM "&amp;$AQ380)&amp;IF($AR380="Y"," ASTRAGAL","")&amp;IF($AJ380=""," "," "&amp;$AJ380)&amp;IF($AK380=""," "," "&amp;$AK380)&amp;IF(OR($AT380="",$AT380="ANSI/SDI",$AT380="CUSTOM LOC"),""," "&amp;$AT380)&amp;IF($AM380=""," "," SERIES "&amp;$AM380)&amp;" "&amp;IFERROR(VLOOKUP($H380,CODES,2,FALSE),"")&amp;IF($CT380," | LOC "&amp;$CZ380,"")))</f>
        <v/>
      </c>
      <c r="CL380" s="99">
        <f>IF(CP380="","",IF(COUNTIF($CP$6:CP380,CP380)=1,MAX($CL$5:CL379)+1,INDEX($CL$5:CL379,MATCH(CP380,$CP$5:CP379,0))))</f>
        <v/>
      </c>
      <c r="CM380" s="99">
        <f>IF(NOT(AND($A380&lt;&gt;"",$C380&lt;&gt;"DOOR ONLY")),"",MAX($CM$5:CM379)+1)</f>
        <v/>
      </c>
      <c r="CN380" s="99">
        <f>IF(NOT(AND($A380&lt;&gt;"",N($BJ380)&gt;0)),"",MAX($CN$5:CN379)+1)</f>
        <v/>
      </c>
      <c r="CO380" s="99">
        <f>IF($A380="","",MAX($CO$5:CO379)+1)</f>
        <v/>
      </c>
      <c r="CP380" s="99">
        <f>IF(OR($A380="",$BH380="",$BI380=""),"",$BG380&amp;"|"&amp;$O380&amp;"|"&amp;$AL380&amp;"|"&amp;$S380&amp;"|"&amp;$P380&amp;"|"&amp;$Q380&amp;$R380&amp;"|"&amp;$C380&amp;"|"&amp;$AB380)</f>
        <v/>
      </c>
      <c r="CQ380" s="99">
        <f>N($BS380)</f>
        <v/>
      </c>
      <c r="CR380" s="99">
        <f>IF(N($AU380)&gt;0,N($AU380),4.5)</f>
        <v/>
      </c>
      <c r="CS380" s="99">
        <f>OR($A380="",$BI380="",$S380="BL",AND($C380="FRAME ONLY",OR($AC380="",$AC380="BLK")))</f>
        <v/>
      </c>
      <c r="CT380" s="99">
        <f>AND(NOT($CS380),OR($AT380="CUSTOM LOC",N($AW380)+N($AX380)+N($AY380)+N($AZ380)+N($BA380)&gt;0))</f>
        <v/>
      </c>
      <c r="CU380" s="99">
        <f>IF($BI380="","",IF($BI380&lt;=80,80,IF($BI380&lt;=84,84,96)))</f>
        <v/>
      </c>
      <c r="CV380" s="99">
        <f>ISNUMBER(MATCH($AT380&amp;"|80",LocKeys,0))</f>
        <v/>
      </c>
      <c r="CW380" s="101">
        <f>IF($CS380,"",IF($CV380,VLOOKUP($AT380&amp;"|"&amp;$CU380,LocTable,4,FALSE),5))</f>
        <v/>
      </c>
      <c r="CX380" s="101">
        <f>IF($CS380,"",IF($CV380,IF(OR($BI380=$CU380,AND($BI380&lt;$CU380,$BI380-IF(N(VLOOKUP($AT380&amp;"|"&amp;$CU380,LocTable,7,FALSE))&gt;0,VLOOKUP($AT380&amp;"|"&amp;$CU380,LocTable,7,FALSE),VLOOKUP($AT380&amp;"|"&amp;$CU380,LocTable,6,FALSE))-$CR380-0.75&gt;=2.125)),IF(N(VLOOKUP($AT380&amp;"|"&amp;$CU380,LocTable,7,FALSE))&gt;0,VLOOKUP($AT380&amp;"|"&amp;$CU380,LocTable,7,FALSE),VLOOKUP($AT380&amp;"|"&amp;$CU380,LocTable,6,FALSE)),$BI380-($CU380-IF(N(VLOOKUP($AT380&amp;"|"&amp;$CU380,LocTable,7,FALSE))&gt;0,VLOOKUP($AT380&amp;"|"&amp;$CU380,LocTable,7,FALSE),VLOOKUP($AT380&amp;"|"&amp;$CU380,LocTable,6,FALSE)))),$BI380-10-$CR380))</f>
        <v/>
      </c>
      <c r="CY380" s="100">
        <f>IF($CS380,"",TRIM(IF(ISNUMBER($BU380),"A "&amp;TRIM(TEXT($BU380,"# ?/??"))&amp;CHAR(34)&amp;"  ","")&amp;IF(ISNUMBER($BV380),"B "&amp;TRIM(TEXT($BV380,"# ?/??"))&amp;CHAR(34)&amp;"  ","")&amp;IF(ISNUMBER($BW380),"C "&amp;TRIM(TEXT($BW380,"# ?/??"))&amp;CHAR(34)&amp;"  ","")&amp;IF(ISNUMBER($BX380),"D "&amp;TRIM(TEXT($BX380,"# ?/??"))&amp;CHAR(34)&amp;"  ","")&amp;IF(ISNUMBER($BY380),"F "&amp;TRIM(TEXT($BY380,"# ?/??"))&amp;CHAR(34)&amp;"  ","")&amp;IF(ISNUMBER($BZ380),"E "&amp;TRIM(TEXT($BZ380,"# ?/??"))&amp;CHAR(34)&amp;"  ","")))</f>
        <v/>
      </c>
      <c r="CZ380" s="100">
        <f>IF(OR($CS380,N($BJ380)=0),"",TRIM(IF(ISNUMBER($BU380),"A "&amp;TRIM(TEXT($BU380-HeadClr,"# ?/??"))&amp;CHAR(34)&amp;"  ","")&amp;IF(ISNUMBER($BV380),"B "&amp;TRIM(TEXT($BV380-HeadClr,"# ?/??"))&amp;CHAR(34)&amp;"  ","")&amp;IF(ISNUMBER($BW380),"C "&amp;TRIM(TEXT($BW380-HeadClr,"# ?/??"))&amp;CHAR(34)&amp;"  ","")&amp;IF(ISNUMBER($BX380),"D "&amp;TRIM(TEXT($BX380-HeadClr,"# ?/??"))&amp;CHAR(34)&amp;"  ","")&amp;IF(ISNUMBER($BY380),"F "&amp;TRIM(TEXT($BY380-HeadClr,"# ?/??"))&amp;CHAR(34)&amp;"  ","")&amp;IF(ISNUMBER($BZ380),"E "&amp;TRIM(TEXT($BZ380-HeadClr,"# ?/??"))&amp;CHAR(34)&amp;"  ","")))</f>
        <v/>
      </c>
      <c r="DA380" s="99">
        <f>IF($A380="","",IF($AN380="",IFERROR(VLOOKUP($Z380,CODES,2,FALSE),""),IFERROR(VLOOKUP($AN380,CODES,2,FALSE),"")))</f>
        <v/>
      </c>
      <c r="DB380" s="99">
        <f>IF($A380="","",IF($O380="Y","PR",IF(OR($Z380="L",$Z380="RR",LEFT($Z380,2)="L-",LEFT($Z380,3)="RR-"),"LH","RH")))</f>
        <v/>
      </c>
      <c r="DC380" s="99">
        <f>IF($A380="","","S.HM"&amp;IF(OR($C380="DOOR ONLY",$X380&lt;&gt;"KD"),"MASONRY","DRYWALL")&amp;IF($C380="DOOR ONLY","",$U380)&amp;IF(AND($C380&lt;&gt;"FRAME ONLY",OR(LEFT($AH380,3)="OAK",LEFT($AH380,3)="BIR",LEFT($AH380,3)="MAP",$AH380="PC",$AH380="MC",$AH380="SCLC",$AH380="P-LAM")),"WD","HM")&amp;"1.75")</f>
        <v/>
      </c>
      <c r="DD380" s="99">
        <f>IF($CJ380="","",IF($O380="Y",$CJ380,SUBSTITUTE($CJ380,$BG380&amp;" "&amp;IFERROR(VLOOKUP($Z380,CODES,2,FALSE),"")&amp;" ",$BG380&amp;" ")))</f>
        <v/>
      </c>
      <c r="DE380" s="99">
        <f>IF($CK380="","",IF($O380="Y",$CK380,SUBSTITUTE($CK380,$BG380&amp;" "&amp;IF($AN380="",IFERROR(VLOOKUP($Z380,CODES,2,FALSE),""),IFERROR(VLOOKUP($AN380,CODES,2,FALSE),""))&amp;" ",$BG380&amp;" ")))</f>
        <v/>
      </c>
      <c r="DF380" s="99">
        <f>IF($CJ380="","",$DC380&amp;"|"&amp;$DD380&amp;"|"&amp;$DB380&amp;"|"&amp;$AT380&amp;"|"&amp;$V380&amp;"|"&amp;$Y380&amp;"|"&amp;$AB380)</f>
        <v/>
      </c>
      <c r="DG380" s="99">
        <f>IF(DF380="","",IF(COUNTIF($DF$6:DF380,DF380)=1,MAX($DG$5:DG379)+1,INDEX($DG$5:DG379,MATCH(DF380,$DF$5:DF379,0))))</f>
        <v/>
      </c>
      <c r="DH380" s="99">
        <f>IF($CK380="","",$DC380&amp;"|"&amp;$DE380&amp;"|"&amp;$AI380&amp;"|"&amp;$BK380&amp;"|"&amp;$BL380)</f>
        <v/>
      </c>
      <c r="DI380" s="99">
        <f>IF(DH380="","",IF(COUNTIF($DH$6:DH380,DH380)=1,MAX($DI$5:DI379)+1,INDEX($DI$5:DI379,MATCH(DH380,$DH$5:DH379,0))))</f>
        <v/>
      </c>
      <c r="DJ380" s="99">
        <f>IF($A380="","",IF($B380="","qty, ","")&amp;IF($C380="","scope, ","")&amp;IF(OR($K380="",$M380=""),"size, ","")&amp;IF(AND($A380&lt;&gt;"",$C380&lt;&gt;"DOOR ONLY"),IF($U380="","jamb depth, ","")&amp;IF($X380="","construction, ","")&amp;IF($Y380="","anchor, ","")&amp;IF($S380="","frame type, ",""),"")&amp;IF(AND(N($BJ380)&gt;0,$Z380=""),"hand, ","")&amp;IF(N($BJ380)&gt;0,IF($AH380="","door material, ","")&amp;IF($AL380="","face type, ","")&amp;IF($AP380="","lock prep, ","")&amp;IF(AND($AO380="",$AC380=""),"hinge prep, ",""),"")&amp;IF(AND($CH380&gt;0,$AH380="FRP"),"FRP cannot carry a label, ","")&amp;IF(AND($O380="Y",OR($Z380="L",$Z380="R",$Z380="LR",$Z380="RR")),"pair marked but hand is single, ","")&amp;IF(AND($O380&lt;&gt;"Y",OR($Z380="PR",AND(LEN($Z380)&gt;1,ISNUMBER(SEARCH("-",$Z380))))),"pair hand on a single door, ","")&amp;IF(AND(ISNUMBER($CI380),$CH380&lt;N($CI380)),"wall needs a "&amp;$CI380&amp;" min door, ","")&amp;IF(AND($CH380&gt;=180,AND(OR($CE380="FG",$CE380="HG",$CE380="FNV",$CE380="FV"),N($CF380)*N($CG380)&gt;100)),"180 min lite over 100 sq in, ","")&amp;IF(N($BK380)&gt;48,"leaf wider than 4'-0"&amp;CHAR(34)&amp;", ","")&amp;IF(AND($CT380,COUNT($AW380:$AZ380)=0,$CQ380&gt;0),"CUSTOM LOC with no locations typed, ",""))</f>
        <v/>
      </c>
      <c r="DK380" s="99">
        <f>IF($A380="","",IF(AND($CH380&gt;0,AND($A380&lt;&gt;"",$C380&lt;&gt;"DOOR ONLY"),$X380="KD",$E380="EXTERIOR"),"KD label on an exterior opening, ","")&amp;IF(AND($E380="EXTERIOR",OR(AND(AND($A380&lt;&gt;"",$C380&lt;&gt;"DOOR ONLY"),$W380="CR"),AND(N($BJ380)&gt;0,$AH380="CR"))),"exterior in CR steel (G9?), ","")&amp;IF(AND(ISNUMBER($BQ380),N($BQ380)&lt;32),"clear width ~"&amp;TEXT($BQ380,"0.0")&amp;CHAR(34)&amp;" under 32"&amp;CHAR(34)&amp;" (ADA), ","")&amp;IF(AND($CH380=90,AND(OR($CE380="FG",$CE380="HG",$CE380="FNV",$CE380="FV"),N($CF380)*N($CG380)&gt;100)),"90 min lite over 100 sq in (stair/exit), ","")&amp;IF(AND($CH380&gt;0,AND($A380&lt;&gt;"",$C380&lt;&gt;"DOOR ONLY"),OR($AF380="",$AF380="-")),"rated: closer reinf.?, ","")&amp;IF(OR($I380="CORRIDOR",$I380="SMOKE BARRIER"),"S label + smoke gasketing, ","")&amp;IF($CI380="?","wall type/hr not in IBC table, ","")&amp;IF(AND(N($BJ380)&gt;0,$BB380=""),"no hardware set, ","")&amp;IF(AND($BB380&lt;&gt;"",ISNA(MATCH($BB380&amp;"",HWSets,0))),"set "&amp;$BB380&amp;" not on HW Sets, ","")&amp;IF(N($BL380)&gt;96,"leaf over 8'-0"&amp;CHAR(34)&amp;" - check listing, ","")&amp;IF(AND($CT380,COUNT($AW380:$AZ380)&gt;0,COUNT($AW380:$AZ380)&lt;&gt;$CQ380),COUNT($AW380:$AZ380)&amp;" custom hinges typed, "&amp;$CQ380&amp;" expected, ","")&amp;IF(AND(ISNUMBER($CA380),OR(N($CA380)&lt;34,N($CA380)&gt;48)),"lock "&amp;TEXT($CA380,"0.0")&amp;CHAR(34)&amp;" AFF outside 34-48"&amp;CHAR(34)&amp;" (ADA), ","")&amp;IF(AND(ISNUMBER($AV380),ISNUMBER($BL380),N($AV380)&lt;IF(N($BL380)&lt;=60,2,IF(N($BL380)&lt;=90,3,IF(N($BL380)&lt;=120,4,5)))),"fewer hinges than standard, ",""))</f>
        <v/>
      </c>
    </row>
    <row r="381" ht="15" customHeight="1">
      <c r="A381" s="77" t="n"/>
      <c r="B381" s="78" t="n"/>
      <c r="C381" s="78" t="n"/>
      <c r="D381" s="78" t="n"/>
      <c r="E381" s="78" t="n"/>
      <c r="F381" s="78" t="n"/>
      <c r="G381" s="78" t="n"/>
      <c r="H381" s="78" t="n"/>
      <c r="I381" s="78" t="n"/>
      <c r="J381" s="78" t="n"/>
      <c r="K381" s="78" t="n"/>
      <c r="L381" s="78" t="n"/>
      <c r="M381" s="78" t="n"/>
      <c r="N381" s="78" t="n"/>
      <c r="O381" s="78" t="n"/>
      <c r="P381" s="78" t="n"/>
      <c r="Q381" s="78" t="n"/>
      <c r="R381" s="78" t="n"/>
      <c r="S381" s="79" t="n"/>
      <c r="T381" s="79" t="n"/>
      <c r="U381" s="79" t="n"/>
      <c r="V381" s="79" t="n"/>
      <c r="W381" s="79" t="n"/>
      <c r="X381" s="79" t="n"/>
      <c r="Y381" s="79" t="n"/>
      <c r="Z381" s="79" t="n"/>
      <c r="AA381" s="79" t="n"/>
      <c r="AB381" s="79" t="n"/>
      <c r="AC381" s="79" t="n"/>
      <c r="AD381" s="79" t="n"/>
      <c r="AE381" s="79" t="n"/>
      <c r="AF381" s="79" t="n"/>
      <c r="AG381" s="79" t="n"/>
      <c r="AH381" s="80" t="n"/>
      <c r="AI381" s="80" t="n"/>
      <c r="AJ381" s="80" t="n"/>
      <c r="AK381" s="80" t="n"/>
      <c r="AL381" s="80" t="n"/>
      <c r="AM381" s="80" t="n"/>
      <c r="AN381" s="80" t="n"/>
      <c r="AO381" s="80" t="n"/>
      <c r="AP381" s="80" t="n"/>
      <c r="AQ381" s="80" t="n"/>
      <c r="AR381" s="80" t="n"/>
      <c r="AS381" s="80" t="n"/>
      <c r="AT381" s="81" t="n"/>
      <c r="AU381" s="81" t="n"/>
      <c r="AV381" s="81" t="n"/>
      <c r="AW381" s="82" t="n"/>
      <c r="AX381" s="82" t="n"/>
      <c r="AY381" s="82" t="n"/>
      <c r="AZ381" s="82" t="n"/>
      <c r="BA381" s="82" t="n"/>
      <c r="BB381" s="83" t="n"/>
      <c r="BC381" s="83" t="n"/>
      <c r="BD381" s="84">
        <f>IF($A381="","",IF($DJ381&lt;&gt;"","FIX",IF($DK381&lt;&gt;"","CHECK","OK")))</f>
        <v/>
      </c>
      <c r="BE381" s="85">
        <f>IF($A381="","",IF($DJ381&lt;&gt;"","FIX: "&amp;LEFT($DJ381,LEN($DJ381)-2)&amp;IF($DK381&lt;&gt;"","  ·  ",""),"")&amp;IF($DK381&lt;&gt;"","CHECK: "&amp;LEFT($DK381,LEN($DK381)-2),""))</f>
        <v/>
      </c>
      <c r="BF381" s="84">
        <f>IF(OR($A381="",$K381=""),"",$K381&amp;"'-"&amp;N($L381)&amp;CHAR(34)&amp;" x "&amp;$M381&amp;"'-"&amp;N($N381)&amp;CHAR(34))</f>
        <v/>
      </c>
      <c r="BG381" s="84">
        <f>IF(OR($A381="",$K381=""),"",$K381&amp;N($L381)&amp;$M381&amp;N($N381))</f>
        <v/>
      </c>
      <c r="BH381" s="84">
        <f>IF(OR($A381="",$K381=""),"",$K381*12+N($L381))</f>
        <v/>
      </c>
      <c r="BI381" s="84">
        <f>IF(OR($A381="",$M381=""),"",$M381*12+N($N381))</f>
        <v/>
      </c>
      <c r="BJ381" s="84">
        <f>IF($A381="","",IF(OR($C381="FRAME ONLY",$S381="BL"),0,IF($O381="Y",2,1)))</f>
        <v/>
      </c>
      <c r="BK381" s="86">
        <f>IF(OR(N($BJ381)=0,$BH381=""),"",($BH381-2*EdgeClr-IF($BJ381=2,MeetClr,0))/$BJ381)</f>
        <v/>
      </c>
      <c r="BL381" s="86">
        <f>IF(OR(N($BJ381)=0,$BI381=""),"",$BI381-HeadClr-Undercut)</f>
        <v/>
      </c>
      <c r="BM381" s="86">
        <f>IF($BH381="","",$BH381+2*FaceW+IF(N($Q381)&gt;0,($Q381+FaceW)*IF($R381="LR",2,1),0))</f>
        <v/>
      </c>
      <c r="BN381" s="86">
        <f>IF($BI381="","",$BI381+IF($AB381="Y",4,FaceW)+IF(N($P381)&gt;0,$P381+FaceW,0)+IF(OR($S381="4F",$S381="BL"),FaceW,0))</f>
        <v/>
      </c>
      <c r="BO381" s="86">
        <f>IF($BM381="","",$BM381+2*ROSide)</f>
        <v/>
      </c>
      <c r="BP381" s="86">
        <f>IF($BN381="","",$BN381+ROTop)</f>
        <v/>
      </c>
      <c r="BQ381" s="87">
        <f>IF(OR(N($BJ381)=0,$BH381=""),"",$BH381/$BJ381-ClearDeduct)</f>
        <v/>
      </c>
      <c r="BR381" s="84">
        <f>IF(N($CH381)=0,"",IF($CH381&gt;=180,"A · 3 HR",IF($CH381&gt;=90,"B · 1-1/2 HR",IF($CH381&gt;=60,"B · 1 HR",IF($CH381&gt;=45,"C · 3/4 HR","20 MIN")))))&amp;IF(AND(N($CH381)&gt;0,OR($I381="CORRIDOR",$I381="SMOKE BARRIER"))," · S","")</f>
        <v/>
      </c>
      <c r="BS381" s="84">
        <f>IF($CS381,"",IF($AV381&lt;&gt;"",$AV381,IF(OR($AC381="HGC",$AO381="HGC"),"CONT",IF(($BI381-HeadClr-Undercut)&lt;=60,2,IF(($BI381-HeadClr-Undercut)&lt;=90,3,IF(($BI381-HeadClr-Undercut)&lt;=120,4,5))))))</f>
        <v/>
      </c>
      <c r="BT381" s="84">
        <f>IF($CS381,"",IF($CT381,"CUSTOM (typed)",IF($CV381,$AT381&amp;" "&amp;$CU381&amp;CHAR(34)&amp;IF($CU381&lt;&gt;$BI381,IF(AND($BI381&lt;$CU381,$BI381-IF(N(VLOOKUP($AT381&amp;"|"&amp;$CU381,LocTable,7,FALSE))&gt;0,VLOOKUP($AT381&amp;"|"&amp;$CU381,LocTable,7,FALSE),VLOOKUP($AT381&amp;"|"&amp;$CU381,LocTable,6,FALSE))-$CR381-0.75&gt;=2.125)," cut down"," adj."),""),"ANSI/SDI A250.6")))</f>
        <v/>
      </c>
      <c r="BU381" s="88">
        <f>IF($CS381,"",IF($CT381,IF(N($AW381)&gt;0,N($AW381),""),IF(1&gt;$CQ381,"",IF($CQ381=1,$CW381,$CW381+($CX381-$CW381)*0/($CQ381-1)))))</f>
        <v/>
      </c>
      <c r="BV381" s="88">
        <f>IF($CS381,"",IF($CT381,IF(N($AX381)&gt;0,N($AX381),""),IF(2&gt;$CQ381,"",IF($CQ381=1,$CW381,$CW381+($CX381-$CW381)*1/($CQ381-1)))))</f>
        <v/>
      </c>
      <c r="BW381" s="88">
        <f>IF($CS381,"",IF($CT381,IF(N($AY381)&gt;0,N($AY381),""),IF(3&gt;$CQ381,"",IF($CQ381=1,$CW381,$CW381+($CX381-$CW381)*2/($CQ381-1)))))</f>
        <v/>
      </c>
      <c r="BX381" s="88">
        <f>IF($CS381,"",IF($CT381,IF(N($AZ381)&gt;0,N($AZ381),""),IF(4&gt;$CQ381,"",IF($CQ381=1,$CW381,$CW381+($CX381-$CW381)*3/($CQ381-1)))))</f>
        <v/>
      </c>
      <c r="BY381" s="88">
        <f>IF($CS381,"",IF($CT381,"",IF(5&gt;$CQ381,"",IF($CQ381=1,$CW381,$CW381+($CX381-$CW381)*4/($CQ381-1)))))</f>
        <v/>
      </c>
      <c r="BZ381" s="88">
        <f>IF(OR($CS381,$AP381="-",AND($AP381="",$AD381="")),"",IF(N($BA381)&gt;0,N($BA381),IF($CV381,IF(AND($BI381&lt;$CU381,$BI381-IF(N(VLOOKUP($AT381&amp;"|"&amp;$CU381,LocTable,7,FALSE))&gt;0,VLOOKUP($AT381&amp;"|"&amp;$CU381,LocTable,7,FALSE),VLOOKUP($AT381&amp;"|"&amp;$CU381,LocTable,6,FALSE))-$CR381-0.75&gt;=2.125),VLOOKUP($AT381&amp;"|"&amp;$CU381,LocTable,8,FALSE),VLOOKUP($AT381&amp;"|"&amp;$CU381,LocTable,8,FALSE)+($BI381-$CU381)),$BI381-LockAFF)))</f>
        <v/>
      </c>
      <c r="CA381" s="89">
        <f>IF($BZ381="","",$BI381-$BZ381)</f>
        <v/>
      </c>
      <c r="CB381" s="84">
        <f>IF(OR(NOT(AND($A381&lt;&gt;"",$C381&lt;&gt;"DOOR ONLY")),$BI381=""),"",IF(($BI381+IF(N($P381)&gt;0,$P381+FaceW,0))&lt;=90,3,IF(($BI381+IF(N($P381)&gt;0,$P381+FaceW,0))&lt;=114,4,5)))</f>
        <v/>
      </c>
      <c r="CC381" s="84">
        <f>IF($CB381="","",$CB381*(2+IF(N($Q381)&gt;0,IF($R381="LR",2,1),0)))</f>
        <v/>
      </c>
      <c r="CD381" s="84">
        <f>IF($CB381="","",(2+IF(N($Q381)&gt;0,IF($R381="LR",2,1),0)))</f>
        <v/>
      </c>
      <c r="CE381" s="84">
        <f>IF(N($BJ381)=0,"",IF(OR($AL381="",$AL381="FLUSH"),"FLUSH",IFERROR(LEFT($AL381,FIND("-",$AL381)-1),LEFT($AL381,2))))</f>
        <v/>
      </c>
      <c r="CF381" s="84">
        <f>IF($CE381="","",IFERROR(VALUE(MID($AL381,FIND("-",$AL381)+1,FIND(CHAR(34)&amp;"x",$AL381)-FIND("-",$AL381)-1)),0))</f>
        <v/>
      </c>
      <c r="CG381" s="84">
        <f>IF($CE381="","",IFERROR(VALUE(MID($AL381,FIND(CHAR(34)&amp;"x",$AL381)+2,FIND(CHAR(34),$AL381,FIND(CHAR(34)&amp;"x",$AL381)+2)-FIND(CHAR(34)&amp;"x",$AL381)-2)),0))</f>
        <v/>
      </c>
      <c r="CH381" s="90">
        <f>IF(OR($A381="",$H381="",$H381="NO LAB"),0,IFERROR(VALUE(LEFT($H381,FIND(" ",$H381)-1)),0))</f>
        <v/>
      </c>
      <c r="CI381" s="91">
        <f>IF(OR($A381="",$I381="",$I381="NON-RATED",N($J381)=0),"",IFERROR(VLOOKUP($I381&amp;"|"&amp;$J381,IBC,2,FALSE),"?"))</f>
        <v/>
      </c>
      <c r="CJ381" s="85">
        <f>IF(NOT(AND($A381&lt;&gt;"",$C381&lt;&gt;"DOOR ONLY")),"",TRIM(IFERROR(VLOOKUP($U381,CODES,2,FALSE),"")&amp;" "&amp;$BG381&amp;" "&amp;IFERROR(VLOOKUP($Z381,CODES,2,FALSE),"")&amp;" "&amp;IFERROR(VLOOKUP($X381,CODES,2,FALSE),"")&amp;" "&amp;IFERROR(VLOOKUP($S381,CODES,2,FALSE),"")&amp;IF(N($P381)&gt;0," w/TRANSOM "&amp;$P381&amp;CHAR(34),"")&amp;IF(N($Q381)&gt;0," w/SIDELITE "&amp;$Q381&amp;CHAR(34)&amp;" "&amp;IF($R381="","R",$R381),"")&amp;IF($Y381="","  |  "," | "&amp;IFERROR(VLOOKUP($Y381,CODES,2,FALSE),"")&amp;" | ")&amp;IFERROR(VLOOKUP($AC381,CODES,2,FALSE),"")&amp;" "&amp;IFERROR(VLOOKUP($AD381,CODES,2,FALSE),"")&amp;IF(OR($AE381="",$AE381="-"),""," "&amp;$AE381)&amp;IF(OR($AF381="",$AF381="-"),""," "&amp;$AF381)&amp;IF($AB381="Y"," 4"&amp;CHAR(34)&amp;" HEAD","")&amp;" "&amp;IFERROR(VLOOKUP($H381,CODES,2,FALSE),"")&amp;IF($CT381," | LOC "&amp;$CY381,"")))</f>
        <v/>
      </c>
      <c r="CK381" s="85">
        <f>IF(NOT(AND($A381&lt;&gt;"",N($BJ381)&gt;0)),"",TRIM(IFERROR(VLOOKUP($AH381,CODES,2,FALSE),"")&amp;IF($AI381=""," "," "&amp;$AI381&amp;"GA ")&amp;$BG381&amp;" "&amp;IF($AN381="",IFERROR(VLOOKUP($Z381,CODES,2,FALSE),""),IFERROR(VLOOKUP($AN381,CODES,2,FALSE),""))&amp;IF($BJ381=2," PAIR","")&amp;" DOOR | "&amp;IF($AL381="","?",$AL381)&amp;" | "&amp;IF($AO381="",IFERROR(VLOOKUP($AC381,CODES,2,FALSE),""),IFERROR(VLOOKUP($AO381,CODES,2,FALSE),""))&amp;" "&amp;IFERROR(VLOOKUP($AP381,CODES,2,FALSE),"")&amp;IF(OR($AQ381="",$AQ381="-"),""," SEAM "&amp;$AQ381)&amp;IF($AR381="Y"," ASTRAGAL","")&amp;IF($AJ381=""," "," "&amp;$AJ381)&amp;IF($AK381=""," "," "&amp;$AK381)&amp;IF(OR($AT381="",$AT381="ANSI/SDI",$AT381="CUSTOM LOC"),""," "&amp;$AT381)&amp;IF($AM381=""," "," SERIES "&amp;$AM381)&amp;" "&amp;IFERROR(VLOOKUP($H381,CODES,2,FALSE),"")&amp;IF($CT381," | LOC "&amp;$CZ381,"")))</f>
        <v/>
      </c>
      <c r="CL381" s="84">
        <f>IF(CP381="","",IF(COUNTIF($CP$6:CP381,CP381)=1,MAX($CL$5:CL380)+1,INDEX($CL$5:CL380,MATCH(CP381,$CP$5:CP380,0))))</f>
        <v/>
      </c>
      <c r="CM381" s="84">
        <f>IF(NOT(AND($A381&lt;&gt;"",$C381&lt;&gt;"DOOR ONLY")),"",MAX($CM$5:CM380)+1)</f>
        <v/>
      </c>
      <c r="CN381" s="84">
        <f>IF(NOT(AND($A381&lt;&gt;"",N($BJ381)&gt;0)),"",MAX($CN$5:CN380)+1)</f>
        <v/>
      </c>
      <c r="CO381" s="84">
        <f>IF($A381="","",MAX($CO$5:CO380)+1)</f>
        <v/>
      </c>
      <c r="CP381" s="84">
        <f>IF(OR($A381="",$BH381="",$BI381=""),"",$BG381&amp;"|"&amp;$O381&amp;"|"&amp;$AL381&amp;"|"&amp;$S381&amp;"|"&amp;$P381&amp;"|"&amp;$Q381&amp;$R381&amp;"|"&amp;$C381&amp;"|"&amp;$AB381)</f>
        <v/>
      </c>
      <c r="CQ381" s="84">
        <f>N($BS381)</f>
        <v/>
      </c>
      <c r="CR381" s="84">
        <f>IF(N($AU381)&gt;0,N($AU381),4.5)</f>
        <v/>
      </c>
      <c r="CS381" s="84">
        <f>OR($A381="",$BI381="",$S381="BL",AND($C381="FRAME ONLY",OR($AC381="",$AC381="BLK")))</f>
        <v/>
      </c>
      <c r="CT381" s="84">
        <f>AND(NOT($CS381),OR($AT381="CUSTOM LOC",N($AW381)+N($AX381)+N($AY381)+N($AZ381)+N($BA381)&gt;0))</f>
        <v/>
      </c>
      <c r="CU381" s="84">
        <f>IF($BI381="","",IF($BI381&lt;=80,80,IF($BI381&lt;=84,84,96)))</f>
        <v/>
      </c>
      <c r="CV381" s="84">
        <f>ISNUMBER(MATCH($AT381&amp;"|80",LocKeys,0))</f>
        <v/>
      </c>
      <c r="CW381" s="86">
        <f>IF($CS381,"",IF($CV381,VLOOKUP($AT381&amp;"|"&amp;$CU381,LocTable,4,FALSE),5))</f>
        <v/>
      </c>
      <c r="CX381" s="86">
        <f>IF($CS381,"",IF($CV381,IF(OR($BI381=$CU381,AND($BI381&lt;$CU381,$BI381-IF(N(VLOOKUP($AT381&amp;"|"&amp;$CU381,LocTable,7,FALSE))&gt;0,VLOOKUP($AT381&amp;"|"&amp;$CU381,LocTable,7,FALSE),VLOOKUP($AT381&amp;"|"&amp;$CU381,LocTable,6,FALSE))-$CR381-0.75&gt;=2.125)),IF(N(VLOOKUP($AT381&amp;"|"&amp;$CU381,LocTable,7,FALSE))&gt;0,VLOOKUP($AT381&amp;"|"&amp;$CU381,LocTable,7,FALSE),VLOOKUP($AT381&amp;"|"&amp;$CU381,LocTable,6,FALSE)),$BI381-($CU381-IF(N(VLOOKUP($AT381&amp;"|"&amp;$CU381,LocTable,7,FALSE))&gt;0,VLOOKUP($AT381&amp;"|"&amp;$CU381,LocTable,7,FALSE),VLOOKUP($AT381&amp;"|"&amp;$CU381,LocTable,6,FALSE)))),$BI381-10-$CR381))</f>
        <v/>
      </c>
      <c r="CY381" s="85">
        <f>IF($CS381,"",TRIM(IF(ISNUMBER($BU381),"A "&amp;TRIM(TEXT($BU381,"# ?/??"))&amp;CHAR(34)&amp;"  ","")&amp;IF(ISNUMBER($BV381),"B "&amp;TRIM(TEXT($BV381,"# ?/??"))&amp;CHAR(34)&amp;"  ","")&amp;IF(ISNUMBER($BW381),"C "&amp;TRIM(TEXT($BW381,"# ?/??"))&amp;CHAR(34)&amp;"  ","")&amp;IF(ISNUMBER($BX381),"D "&amp;TRIM(TEXT($BX381,"# ?/??"))&amp;CHAR(34)&amp;"  ","")&amp;IF(ISNUMBER($BY381),"F "&amp;TRIM(TEXT($BY381,"# ?/??"))&amp;CHAR(34)&amp;"  ","")&amp;IF(ISNUMBER($BZ381),"E "&amp;TRIM(TEXT($BZ381,"# ?/??"))&amp;CHAR(34)&amp;"  ","")))</f>
        <v/>
      </c>
      <c r="CZ381" s="85">
        <f>IF(OR($CS381,N($BJ381)=0),"",TRIM(IF(ISNUMBER($BU381),"A "&amp;TRIM(TEXT($BU381-HeadClr,"# ?/??"))&amp;CHAR(34)&amp;"  ","")&amp;IF(ISNUMBER($BV381),"B "&amp;TRIM(TEXT($BV381-HeadClr,"# ?/??"))&amp;CHAR(34)&amp;"  ","")&amp;IF(ISNUMBER($BW381),"C "&amp;TRIM(TEXT($BW381-HeadClr,"# ?/??"))&amp;CHAR(34)&amp;"  ","")&amp;IF(ISNUMBER($BX381),"D "&amp;TRIM(TEXT($BX381-HeadClr,"# ?/??"))&amp;CHAR(34)&amp;"  ","")&amp;IF(ISNUMBER($BY381),"F "&amp;TRIM(TEXT($BY381-HeadClr,"# ?/??"))&amp;CHAR(34)&amp;"  ","")&amp;IF(ISNUMBER($BZ381),"E "&amp;TRIM(TEXT($BZ381-HeadClr,"# ?/??"))&amp;CHAR(34)&amp;"  ","")))</f>
        <v/>
      </c>
      <c r="DA381" s="84">
        <f>IF($A381="","",IF($AN381="",IFERROR(VLOOKUP($Z381,CODES,2,FALSE),""),IFERROR(VLOOKUP($AN381,CODES,2,FALSE),"")))</f>
        <v/>
      </c>
      <c r="DB381" s="84">
        <f>IF($A381="","",IF($O381="Y","PR",IF(OR($Z381="L",$Z381="RR",LEFT($Z381,2)="L-",LEFT($Z381,3)="RR-"),"LH","RH")))</f>
        <v/>
      </c>
      <c r="DC381" s="84">
        <f>IF($A381="","","S.HM"&amp;IF(OR($C381="DOOR ONLY",$X381&lt;&gt;"KD"),"MASONRY","DRYWALL")&amp;IF($C381="DOOR ONLY","",$U381)&amp;IF(AND($C381&lt;&gt;"FRAME ONLY",OR(LEFT($AH381,3)="OAK",LEFT($AH381,3)="BIR",LEFT($AH381,3)="MAP",$AH381="PC",$AH381="MC",$AH381="SCLC",$AH381="P-LAM")),"WD","HM")&amp;"1.75")</f>
        <v/>
      </c>
      <c r="DD381" s="84">
        <f>IF($CJ381="","",IF($O381="Y",$CJ381,SUBSTITUTE($CJ381,$BG381&amp;" "&amp;IFERROR(VLOOKUP($Z381,CODES,2,FALSE),"")&amp;" ",$BG381&amp;" ")))</f>
        <v/>
      </c>
      <c r="DE381" s="84">
        <f>IF($CK381="","",IF($O381="Y",$CK381,SUBSTITUTE($CK381,$BG381&amp;" "&amp;IF($AN381="",IFERROR(VLOOKUP($Z381,CODES,2,FALSE),""),IFERROR(VLOOKUP($AN381,CODES,2,FALSE),""))&amp;" ",$BG381&amp;" ")))</f>
        <v/>
      </c>
      <c r="DF381" s="84">
        <f>IF($CJ381="","",$DC381&amp;"|"&amp;$DD381&amp;"|"&amp;$DB381&amp;"|"&amp;$AT381&amp;"|"&amp;$V381&amp;"|"&amp;$Y381&amp;"|"&amp;$AB381)</f>
        <v/>
      </c>
      <c r="DG381" s="84">
        <f>IF(DF381="","",IF(COUNTIF($DF$6:DF381,DF381)=1,MAX($DG$5:DG380)+1,INDEX($DG$5:DG380,MATCH(DF381,$DF$5:DF380,0))))</f>
        <v/>
      </c>
      <c r="DH381" s="84">
        <f>IF($CK381="","",$DC381&amp;"|"&amp;$DE381&amp;"|"&amp;$AI381&amp;"|"&amp;$BK381&amp;"|"&amp;$BL381)</f>
        <v/>
      </c>
      <c r="DI381" s="84">
        <f>IF(DH381="","",IF(COUNTIF($DH$6:DH381,DH381)=1,MAX($DI$5:DI380)+1,INDEX($DI$5:DI380,MATCH(DH381,$DH$5:DH380,0))))</f>
        <v/>
      </c>
      <c r="DJ381" s="84">
        <f>IF($A381="","",IF($B381="","qty, ","")&amp;IF($C381="","scope, ","")&amp;IF(OR($K381="",$M381=""),"size, ","")&amp;IF(AND($A381&lt;&gt;"",$C381&lt;&gt;"DOOR ONLY"),IF($U381="","jamb depth, ","")&amp;IF($X381="","construction, ","")&amp;IF($Y381="","anchor, ","")&amp;IF($S381="","frame type, ",""),"")&amp;IF(AND(N($BJ381)&gt;0,$Z381=""),"hand, ","")&amp;IF(N($BJ381)&gt;0,IF($AH381="","door material, ","")&amp;IF($AL381="","face type, ","")&amp;IF($AP381="","lock prep, ","")&amp;IF(AND($AO381="",$AC381=""),"hinge prep, ",""),"")&amp;IF(AND($CH381&gt;0,$AH381="FRP"),"FRP cannot carry a label, ","")&amp;IF(AND($O381="Y",OR($Z381="L",$Z381="R",$Z381="LR",$Z381="RR")),"pair marked but hand is single, ","")&amp;IF(AND($O381&lt;&gt;"Y",OR($Z381="PR",AND(LEN($Z381)&gt;1,ISNUMBER(SEARCH("-",$Z381))))),"pair hand on a single door, ","")&amp;IF(AND(ISNUMBER($CI381),$CH381&lt;N($CI381)),"wall needs a "&amp;$CI381&amp;" min door, ","")&amp;IF(AND($CH381&gt;=180,AND(OR($CE381="FG",$CE381="HG",$CE381="FNV",$CE381="FV"),N($CF381)*N($CG381)&gt;100)),"180 min lite over 100 sq in, ","")&amp;IF(N($BK381)&gt;48,"leaf wider than 4'-0"&amp;CHAR(34)&amp;", ","")&amp;IF(AND($CT381,COUNT($AW381:$AZ381)=0,$CQ381&gt;0),"CUSTOM LOC with no locations typed, ",""))</f>
        <v/>
      </c>
      <c r="DK381" s="84">
        <f>IF($A381="","",IF(AND($CH381&gt;0,AND($A381&lt;&gt;"",$C381&lt;&gt;"DOOR ONLY"),$X381="KD",$E381="EXTERIOR"),"KD label on an exterior opening, ","")&amp;IF(AND($E381="EXTERIOR",OR(AND(AND($A381&lt;&gt;"",$C381&lt;&gt;"DOOR ONLY"),$W381="CR"),AND(N($BJ381)&gt;0,$AH381="CR"))),"exterior in CR steel (G9?), ","")&amp;IF(AND(ISNUMBER($BQ381),N($BQ381)&lt;32),"clear width ~"&amp;TEXT($BQ381,"0.0")&amp;CHAR(34)&amp;" under 32"&amp;CHAR(34)&amp;" (ADA), ","")&amp;IF(AND($CH381=90,AND(OR($CE381="FG",$CE381="HG",$CE381="FNV",$CE381="FV"),N($CF381)*N($CG381)&gt;100)),"90 min lite over 100 sq in (stair/exit), ","")&amp;IF(AND($CH381&gt;0,AND($A381&lt;&gt;"",$C381&lt;&gt;"DOOR ONLY"),OR($AF381="",$AF381="-")),"rated: closer reinf.?, ","")&amp;IF(OR($I381="CORRIDOR",$I381="SMOKE BARRIER"),"S label + smoke gasketing, ","")&amp;IF($CI381="?","wall type/hr not in IBC table, ","")&amp;IF(AND(N($BJ381)&gt;0,$BB381=""),"no hardware set, ","")&amp;IF(AND($BB381&lt;&gt;"",ISNA(MATCH($BB381&amp;"",HWSets,0))),"set "&amp;$BB381&amp;" not on HW Sets, ","")&amp;IF(N($BL381)&gt;96,"leaf over 8'-0"&amp;CHAR(34)&amp;" - check listing, ","")&amp;IF(AND($CT381,COUNT($AW381:$AZ381)&gt;0,COUNT($AW381:$AZ381)&lt;&gt;$CQ381),COUNT($AW381:$AZ381)&amp;" custom hinges typed, "&amp;$CQ381&amp;" expected, ","")&amp;IF(AND(ISNUMBER($CA381),OR(N($CA381)&lt;34,N($CA381)&gt;48)),"lock "&amp;TEXT($CA381,"0.0")&amp;CHAR(34)&amp;" AFF outside 34-48"&amp;CHAR(34)&amp;" (ADA), ","")&amp;IF(AND(ISNUMBER($AV381),ISNUMBER($BL381),N($AV381)&lt;IF(N($BL381)&lt;=60,2,IF(N($BL381)&lt;=90,3,IF(N($BL381)&lt;=120,4,5)))),"fewer hinges than standard, ",""))</f>
        <v/>
      </c>
    </row>
    <row r="382" ht="15" customHeight="1">
      <c r="A382" s="77" t="n"/>
      <c r="B382" s="78" t="n"/>
      <c r="C382" s="78" t="n"/>
      <c r="D382" s="78" t="n"/>
      <c r="E382" s="78" t="n"/>
      <c r="F382" s="78" t="n"/>
      <c r="G382" s="78" t="n"/>
      <c r="H382" s="78" t="n"/>
      <c r="I382" s="78" t="n"/>
      <c r="J382" s="78" t="n"/>
      <c r="K382" s="78" t="n"/>
      <c r="L382" s="78" t="n"/>
      <c r="M382" s="78" t="n"/>
      <c r="N382" s="78" t="n"/>
      <c r="O382" s="78" t="n"/>
      <c r="P382" s="78" t="n"/>
      <c r="Q382" s="78" t="n"/>
      <c r="R382" s="78" t="n"/>
      <c r="S382" s="79" t="n"/>
      <c r="T382" s="79" t="n"/>
      <c r="U382" s="79" t="n"/>
      <c r="V382" s="79" t="n"/>
      <c r="W382" s="79" t="n"/>
      <c r="X382" s="79" t="n"/>
      <c r="Y382" s="79" t="n"/>
      <c r="Z382" s="79" t="n"/>
      <c r="AA382" s="79" t="n"/>
      <c r="AB382" s="79" t="n"/>
      <c r="AC382" s="79" t="n"/>
      <c r="AD382" s="79" t="n"/>
      <c r="AE382" s="79" t="n"/>
      <c r="AF382" s="79" t="n"/>
      <c r="AG382" s="79" t="n"/>
      <c r="AH382" s="80" t="n"/>
      <c r="AI382" s="80" t="n"/>
      <c r="AJ382" s="80" t="n"/>
      <c r="AK382" s="80" t="n"/>
      <c r="AL382" s="80" t="n"/>
      <c r="AM382" s="80" t="n"/>
      <c r="AN382" s="80" t="n"/>
      <c r="AO382" s="80" t="n"/>
      <c r="AP382" s="80" t="n"/>
      <c r="AQ382" s="80" t="n"/>
      <c r="AR382" s="80" t="n"/>
      <c r="AS382" s="80" t="n"/>
      <c r="AT382" s="81" t="n"/>
      <c r="AU382" s="81" t="n"/>
      <c r="AV382" s="81" t="n"/>
      <c r="AW382" s="82" t="n"/>
      <c r="AX382" s="82" t="n"/>
      <c r="AY382" s="82" t="n"/>
      <c r="AZ382" s="82" t="n"/>
      <c r="BA382" s="82" t="n"/>
      <c r="BB382" s="83" t="n"/>
      <c r="BC382" s="83" t="n"/>
      <c r="BD382" s="84">
        <f>IF($A382="","",IF($DJ382&lt;&gt;"","FIX",IF($DK382&lt;&gt;"","CHECK","OK")))</f>
        <v/>
      </c>
      <c r="BE382" s="85">
        <f>IF($A382="","",IF($DJ382&lt;&gt;"","FIX: "&amp;LEFT($DJ382,LEN($DJ382)-2)&amp;IF($DK382&lt;&gt;"","  ·  ",""),"")&amp;IF($DK382&lt;&gt;"","CHECK: "&amp;LEFT($DK382,LEN($DK382)-2),""))</f>
        <v/>
      </c>
      <c r="BF382" s="84">
        <f>IF(OR($A382="",$K382=""),"",$K382&amp;"'-"&amp;N($L382)&amp;CHAR(34)&amp;" x "&amp;$M382&amp;"'-"&amp;N($N382)&amp;CHAR(34))</f>
        <v/>
      </c>
      <c r="BG382" s="84">
        <f>IF(OR($A382="",$K382=""),"",$K382&amp;N($L382)&amp;$M382&amp;N($N382))</f>
        <v/>
      </c>
      <c r="BH382" s="84">
        <f>IF(OR($A382="",$K382=""),"",$K382*12+N($L382))</f>
        <v/>
      </c>
      <c r="BI382" s="84">
        <f>IF(OR($A382="",$M382=""),"",$M382*12+N($N382))</f>
        <v/>
      </c>
      <c r="BJ382" s="84">
        <f>IF($A382="","",IF(OR($C382="FRAME ONLY",$S382="BL"),0,IF($O382="Y",2,1)))</f>
        <v/>
      </c>
      <c r="BK382" s="86">
        <f>IF(OR(N($BJ382)=0,$BH382=""),"",($BH382-2*EdgeClr-IF($BJ382=2,MeetClr,0))/$BJ382)</f>
        <v/>
      </c>
      <c r="BL382" s="86">
        <f>IF(OR(N($BJ382)=0,$BI382=""),"",$BI382-HeadClr-Undercut)</f>
        <v/>
      </c>
      <c r="BM382" s="86">
        <f>IF($BH382="","",$BH382+2*FaceW+IF(N($Q382)&gt;0,($Q382+FaceW)*IF($R382="LR",2,1),0))</f>
        <v/>
      </c>
      <c r="BN382" s="86">
        <f>IF($BI382="","",$BI382+IF($AB382="Y",4,FaceW)+IF(N($P382)&gt;0,$P382+FaceW,0)+IF(OR($S382="4F",$S382="BL"),FaceW,0))</f>
        <v/>
      </c>
      <c r="BO382" s="86">
        <f>IF($BM382="","",$BM382+2*ROSide)</f>
        <v/>
      </c>
      <c r="BP382" s="86">
        <f>IF($BN382="","",$BN382+ROTop)</f>
        <v/>
      </c>
      <c r="BQ382" s="87">
        <f>IF(OR(N($BJ382)=0,$BH382=""),"",$BH382/$BJ382-ClearDeduct)</f>
        <v/>
      </c>
      <c r="BR382" s="84">
        <f>IF(N($CH382)=0,"",IF($CH382&gt;=180,"A · 3 HR",IF($CH382&gt;=90,"B · 1-1/2 HR",IF($CH382&gt;=60,"B · 1 HR",IF($CH382&gt;=45,"C · 3/4 HR","20 MIN")))))&amp;IF(AND(N($CH382)&gt;0,OR($I382="CORRIDOR",$I382="SMOKE BARRIER"))," · S","")</f>
        <v/>
      </c>
      <c r="BS382" s="84">
        <f>IF($CS382,"",IF($AV382&lt;&gt;"",$AV382,IF(OR($AC382="HGC",$AO382="HGC"),"CONT",IF(($BI382-HeadClr-Undercut)&lt;=60,2,IF(($BI382-HeadClr-Undercut)&lt;=90,3,IF(($BI382-HeadClr-Undercut)&lt;=120,4,5))))))</f>
        <v/>
      </c>
      <c r="BT382" s="84">
        <f>IF($CS382,"",IF($CT382,"CUSTOM (typed)",IF($CV382,$AT382&amp;" "&amp;$CU382&amp;CHAR(34)&amp;IF($CU382&lt;&gt;$BI382,IF(AND($BI382&lt;$CU382,$BI382-IF(N(VLOOKUP($AT382&amp;"|"&amp;$CU382,LocTable,7,FALSE))&gt;0,VLOOKUP($AT382&amp;"|"&amp;$CU382,LocTable,7,FALSE),VLOOKUP($AT382&amp;"|"&amp;$CU382,LocTable,6,FALSE))-$CR382-0.75&gt;=2.125)," cut down"," adj."),""),"ANSI/SDI A250.6")))</f>
        <v/>
      </c>
      <c r="BU382" s="88">
        <f>IF($CS382,"",IF($CT382,IF(N($AW382)&gt;0,N($AW382),""),IF(1&gt;$CQ382,"",IF($CQ382=1,$CW382,$CW382+($CX382-$CW382)*0/($CQ382-1)))))</f>
        <v/>
      </c>
      <c r="BV382" s="88">
        <f>IF($CS382,"",IF($CT382,IF(N($AX382)&gt;0,N($AX382),""),IF(2&gt;$CQ382,"",IF($CQ382=1,$CW382,$CW382+($CX382-$CW382)*1/($CQ382-1)))))</f>
        <v/>
      </c>
      <c r="BW382" s="88">
        <f>IF($CS382,"",IF($CT382,IF(N($AY382)&gt;0,N($AY382),""),IF(3&gt;$CQ382,"",IF($CQ382=1,$CW382,$CW382+($CX382-$CW382)*2/($CQ382-1)))))</f>
        <v/>
      </c>
      <c r="BX382" s="88">
        <f>IF($CS382,"",IF($CT382,IF(N($AZ382)&gt;0,N($AZ382),""),IF(4&gt;$CQ382,"",IF($CQ382=1,$CW382,$CW382+($CX382-$CW382)*3/($CQ382-1)))))</f>
        <v/>
      </c>
      <c r="BY382" s="88">
        <f>IF($CS382,"",IF($CT382,"",IF(5&gt;$CQ382,"",IF($CQ382=1,$CW382,$CW382+($CX382-$CW382)*4/($CQ382-1)))))</f>
        <v/>
      </c>
      <c r="BZ382" s="88">
        <f>IF(OR($CS382,$AP382="-",AND($AP382="",$AD382="")),"",IF(N($BA382)&gt;0,N($BA382),IF($CV382,IF(AND($BI382&lt;$CU382,$BI382-IF(N(VLOOKUP($AT382&amp;"|"&amp;$CU382,LocTable,7,FALSE))&gt;0,VLOOKUP($AT382&amp;"|"&amp;$CU382,LocTable,7,FALSE),VLOOKUP($AT382&amp;"|"&amp;$CU382,LocTable,6,FALSE))-$CR382-0.75&gt;=2.125),VLOOKUP($AT382&amp;"|"&amp;$CU382,LocTable,8,FALSE),VLOOKUP($AT382&amp;"|"&amp;$CU382,LocTable,8,FALSE)+($BI382-$CU382)),$BI382-LockAFF)))</f>
        <v/>
      </c>
      <c r="CA382" s="89">
        <f>IF($BZ382="","",$BI382-$BZ382)</f>
        <v/>
      </c>
      <c r="CB382" s="84">
        <f>IF(OR(NOT(AND($A382&lt;&gt;"",$C382&lt;&gt;"DOOR ONLY")),$BI382=""),"",IF(($BI382+IF(N($P382)&gt;0,$P382+FaceW,0))&lt;=90,3,IF(($BI382+IF(N($P382)&gt;0,$P382+FaceW,0))&lt;=114,4,5)))</f>
        <v/>
      </c>
      <c r="CC382" s="84">
        <f>IF($CB382="","",$CB382*(2+IF(N($Q382)&gt;0,IF($R382="LR",2,1),0)))</f>
        <v/>
      </c>
      <c r="CD382" s="84">
        <f>IF($CB382="","",(2+IF(N($Q382)&gt;0,IF($R382="LR",2,1),0)))</f>
        <v/>
      </c>
      <c r="CE382" s="84">
        <f>IF(N($BJ382)=0,"",IF(OR($AL382="",$AL382="FLUSH"),"FLUSH",IFERROR(LEFT($AL382,FIND("-",$AL382)-1),LEFT($AL382,2))))</f>
        <v/>
      </c>
      <c r="CF382" s="84">
        <f>IF($CE382="","",IFERROR(VALUE(MID($AL382,FIND("-",$AL382)+1,FIND(CHAR(34)&amp;"x",$AL382)-FIND("-",$AL382)-1)),0))</f>
        <v/>
      </c>
      <c r="CG382" s="84">
        <f>IF($CE382="","",IFERROR(VALUE(MID($AL382,FIND(CHAR(34)&amp;"x",$AL382)+2,FIND(CHAR(34),$AL382,FIND(CHAR(34)&amp;"x",$AL382)+2)-FIND(CHAR(34)&amp;"x",$AL382)-2)),0))</f>
        <v/>
      </c>
      <c r="CH382" s="90">
        <f>IF(OR($A382="",$H382="",$H382="NO LAB"),0,IFERROR(VALUE(LEFT($H382,FIND(" ",$H382)-1)),0))</f>
        <v/>
      </c>
      <c r="CI382" s="91">
        <f>IF(OR($A382="",$I382="",$I382="NON-RATED",N($J382)=0),"",IFERROR(VLOOKUP($I382&amp;"|"&amp;$J382,IBC,2,FALSE),"?"))</f>
        <v/>
      </c>
      <c r="CJ382" s="85">
        <f>IF(NOT(AND($A382&lt;&gt;"",$C382&lt;&gt;"DOOR ONLY")),"",TRIM(IFERROR(VLOOKUP($U382,CODES,2,FALSE),"")&amp;" "&amp;$BG382&amp;" "&amp;IFERROR(VLOOKUP($Z382,CODES,2,FALSE),"")&amp;" "&amp;IFERROR(VLOOKUP($X382,CODES,2,FALSE),"")&amp;" "&amp;IFERROR(VLOOKUP($S382,CODES,2,FALSE),"")&amp;IF(N($P382)&gt;0," w/TRANSOM "&amp;$P382&amp;CHAR(34),"")&amp;IF(N($Q382)&gt;0," w/SIDELITE "&amp;$Q382&amp;CHAR(34)&amp;" "&amp;IF($R382="","R",$R382),"")&amp;IF($Y382="","  |  "," | "&amp;IFERROR(VLOOKUP($Y382,CODES,2,FALSE),"")&amp;" | ")&amp;IFERROR(VLOOKUP($AC382,CODES,2,FALSE),"")&amp;" "&amp;IFERROR(VLOOKUP($AD382,CODES,2,FALSE),"")&amp;IF(OR($AE382="",$AE382="-"),""," "&amp;$AE382)&amp;IF(OR($AF382="",$AF382="-"),""," "&amp;$AF382)&amp;IF($AB382="Y"," 4"&amp;CHAR(34)&amp;" HEAD","")&amp;" "&amp;IFERROR(VLOOKUP($H382,CODES,2,FALSE),"")&amp;IF($CT382," | LOC "&amp;$CY382,"")))</f>
        <v/>
      </c>
      <c r="CK382" s="85">
        <f>IF(NOT(AND($A382&lt;&gt;"",N($BJ382)&gt;0)),"",TRIM(IFERROR(VLOOKUP($AH382,CODES,2,FALSE),"")&amp;IF($AI382=""," "," "&amp;$AI382&amp;"GA ")&amp;$BG382&amp;" "&amp;IF($AN382="",IFERROR(VLOOKUP($Z382,CODES,2,FALSE),""),IFERROR(VLOOKUP($AN382,CODES,2,FALSE),""))&amp;IF($BJ382=2," PAIR","")&amp;" DOOR | "&amp;IF($AL382="","?",$AL382)&amp;" | "&amp;IF($AO382="",IFERROR(VLOOKUP($AC382,CODES,2,FALSE),""),IFERROR(VLOOKUP($AO382,CODES,2,FALSE),""))&amp;" "&amp;IFERROR(VLOOKUP($AP382,CODES,2,FALSE),"")&amp;IF(OR($AQ382="",$AQ382="-"),""," SEAM "&amp;$AQ382)&amp;IF($AR382="Y"," ASTRAGAL","")&amp;IF($AJ382=""," "," "&amp;$AJ382)&amp;IF($AK382=""," "," "&amp;$AK382)&amp;IF(OR($AT382="",$AT382="ANSI/SDI",$AT382="CUSTOM LOC"),""," "&amp;$AT382)&amp;IF($AM382=""," "," SERIES "&amp;$AM382)&amp;" "&amp;IFERROR(VLOOKUP($H382,CODES,2,FALSE),"")&amp;IF($CT382," | LOC "&amp;$CZ382,"")))</f>
        <v/>
      </c>
      <c r="CL382" s="84">
        <f>IF(CP382="","",IF(COUNTIF($CP$6:CP382,CP382)=1,MAX($CL$5:CL381)+1,INDEX($CL$5:CL381,MATCH(CP382,$CP$5:CP381,0))))</f>
        <v/>
      </c>
      <c r="CM382" s="84">
        <f>IF(NOT(AND($A382&lt;&gt;"",$C382&lt;&gt;"DOOR ONLY")),"",MAX($CM$5:CM381)+1)</f>
        <v/>
      </c>
      <c r="CN382" s="84">
        <f>IF(NOT(AND($A382&lt;&gt;"",N($BJ382)&gt;0)),"",MAX($CN$5:CN381)+1)</f>
        <v/>
      </c>
      <c r="CO382" s="84">
        <f>IF($A382="","",MAX($CO$5:CO381)+1)</f>
        <v/>
      </c>
      <c r="CP382" s="84">
        <f>IF(OR($A382="",$BH382="",$BI382=""),"",$BG382&amp;"|"&amp;$O382&amp;"|"&amp;$AL382&amp;"|"&amp;$S382&amp;"|"&amp;$P382&amp;"|"&amp;$Q382&amp;$R382&amp;"|"&amp;$C382&amp;"|"&amp;$AB382)</f>
        <v/>
      </c>
      <c r="CQ382" s="84">
        <f>N($BS382)</f>
        <v/>
      </c>
      <c r="CR382" s="84">
        <f>IF(N($AU382)&gt;0,N($AU382),4.5)</f>
        <v/>
      </c>
      <c r="CS382" s="84">
        <f>OR($A382="",$BI382="",$S382="BL",AND($C382="FRAME ONLY",OR($AC382="",$AC382="BLK")))</f>
        <v/>
      </c>
      <c r="CT382" s="84">
        <f>AND(NOT($CS382),OR($AT382="CUSTOM LOC",N($AW382)+N($AX382)+N($AY382)+N($AZ382)+N($BA382)&gt;0))</f>
        <v/>
      </c>
      <c r="CU382" s="84">
        <f>IF($BI382="","",IF($BI382&lt;=80,80,IF($BI382&lt;=84,84,96)))</f>
        <v/>
      </c>
      <c r="CV382" s="84">
        <f>ISNUMBER(MATCH($AT382&amp;"|80",LocKeys,0))</f>
        <v/>
      </c>
      <c r="CW382" s="86">
        <f>IF($CS382,"",IF($CV382,VLOOKUP($AT382&amp;"|"&amp;$CU382,LocTable,4,FALSE),5))</f>
        <v/>
      </c>
      <c r="CX382" s="86">
        <f>IF($CS382,"",IF($CV382,IF(OR($BI382=$CU382,AND($BI382&lt;$CU382,$BI382-IF(N(VLOOKUP($AT382&amp;"|"&amp;$CU382,LocTable,7,FALSE))&gt;0,VLOOKUP($AT382&amp;"|"&amp;$CU382,LocTable,7,FALSE),VLOOKUP($AT382&amp;"|"&amp;$CU382,LocTable,6,FALSE))-$CR382-0.75&gt;=2.125)),IF(N(VLOOKUP($AT382&amp;"|"&amp;$CU382,LocTable,7,FALSE))&gt;0,VLOOKUP($AT382&amp;"|"&amp;$CU382,LocTable,7,FALSE),VLOOKUP($AT382&amp;"|"&amp;$CU382,LocTable,6,FALSE)),$BI382-($CU382-IF(N(VLOOKUP($AT382&amp;"|"&amp;$CU382,LocTable,7,FALSE))&gt;0,VLOOKUP($AT382&amp;"|"&amp;$CU382,LocTable,7,FALSE),VLOOKUP($AT382&amp;"|"&amp;$CU382,LocTable,6,FALSE)))),$BI382-10-$CR382))</f>
        <v/>
      </c>
      <c r="CY382" s="85">
        <f>IF($CS382,"",TRIM(IF(ISNUMBER($BU382),"A "&amp;TRIM(TEXT($BU382,"# ?/??"))&amp;CHAR(34)&amp;"  ","")&amp;IF(ISNUMBER($BV382),"B "&amp;TRIM(TEXT($BV382,"# ?/??"))&amp;CHAR(34)&amp;"  ","")&amp;IF(ISNUMBER($BW382),"C "&amp;TRIM(TEXT($BW382,"# ?/??"))&amp;CHAR(34)&amp;"  ","")&amp;IF(ISNUMBER($BX382),"D "&amp;TRIM(TEXT($BX382,"# ?/??"))&amp;CHAR(34)&amp;"  ","")&amp;IF(ISNUMBER($BY382),"F "&amp;TRIM(TEXT($BY382,"# ?/??"))&amp;CHAR(34)&amp;"  ","")&amp;IF(ISNUMBER($BZ382),"E "&amp;TRIM(TEXT($BZ382,"# ?/??"))&amp;CHAR(34)&amp;"  ","")))</f>
        <v/>
      </c>
      <c r="CZ382" s="85">
        <f>IF(OR($CS382,N($BJ382)=0),"",TRIM(IF(ISNUMBER($BU382),"A "&amp;TRIM(TEXT($BU382-HeadClr,"# ?/??"))&amp;CHAR(34)&amp;"  ","")&amp;IF(ISNUMBER($BV382),"B "&amp;TRIM(TEXT($BV382-HeadClr,"# ?/??"))&amp;CHAR(34)&amp;"  ","")&amp;IF(ISNUMBER($BW382),"C "&amp;TRIM(TEXT($BW382-HeadClr,"# ?/??"))&amp;CHAR(34)&amp;"  ","")&amp;IF(ISNUMBER($BX382),"D "&amp;TRIM(TEXT($BX382-HeadClr,"# ?/??"))&amp;CHAR(34)&amp;"  ","")&amp;IF(ISNUMBER($BY382),"F "&amp;TRIM(TEXT($BY382-HeadClr,"# ?/??"))&amp;CHAR(34)&amp;"  ","")&amp;IF(ISNUMBER($BZ382),"E "&amp;TRIM(TEXT($BZ382-HeadClr,"# ?/??"))&amp;CHAR(34)&amp;"  ","")))</f>
        <v/>
      </c>
      <c r="DA382" s="84">
        <f>IF($A382="","",IF($AN382="",IFERROR(VLOOKUP($Z382,CODES,2,FALSE),""),IFERROR(VLOOKUP($AN382,CODES,2,FALSE),"")))</f>
        <v/>
      </c>
      <c r="DB382" s="84">
        <f>IF($A382="","",IF($O382="Y","PR",IF(OR($Z382="L",$Z382="RR",LEFT($Z382,2)="L-",LEFT($Z382,3)="RR-"),"LH","RH")))</f>
        <v/>
      </c>
      <c r="DC382" s="84">
        <f>IF($A382="","","S.HM"&amp;IF(OR($C382="DOOR ONLY",$X382&lt;&gt;"KD"),"MASONRY","DRYWALL")&amp;IF($C382="DOOR ONLY","",$U382)&amp;IF(AND($C382&lt;&gt;"FRAME ONLY",OR(LEFT($AH382,3)="OAK",LEFT($AH382,3)="BIR",LEFT($AH382,3)="MAP",$AH382="PC",$AH382="MC",$AH382="SCLC",$AH382="P-LAM")),"WD","HM")&amp;"1.75")</f>
        <v/>
      </c>
      <c r="DD382" s="84">
        <f>IF($CJ382="","",IF($O382="Y",$CJ382,SUBSTITUTE($CJ382,$BG382&amp;" "&amp;IFERROR(VLOOKUP($Z382,CODES,2,FALSE),"")&amp;" ",$BG382&amp;" ")))</f>
        <v/>
      </c>
      <c r="DE382" s="84">
        <f>IF($CK382="","",IF($O382="Y",$CK382,SUBSTITUTE($CK382,$BG382&amp;" "&amp;IF($AN382="",IFERROR(VLOOKUP($Z382,CODES,2,FALSE),""),IFERROR(VLOOKUP($AN382,CODES,2,FALSE),""))&amp;" ",$BG382&amp;" ")))</f>
        <v/>
      </c>
      <c r="DF382" s="84">
        <f>IF($CJ382="","",$DC382&amp;"|"&amp;$DD382&amp;"|"&amp;$DB382&amp;"|"&amp;$AT382&amp;"|"&amp;$V382&amp;"|"&amp;$Y382&amp;"|"&amp;$AB382)</f>
        <v/>
      </c>
      <c r="DG382" s="84">
        <f>IF(DF382="","",IF(COUNTIF($DF$6:DF382,DF382)=1,MAX($DG$5:DG381)+1,INDEX($DG$5:DG381,MATCH(DF382,$DF$5:DF381,0))))</f>
        <v/>
      </c>
      <c r="DH382" s="84">
        <f>IF($CK382="","",$DC382&amp;"|"&amp;$DE382&amp;"|"&amp;$AI382&amp;"|"&amp;$BK382&amp;"|"&amp;$BL382)</f>
        <v/>
      </c>
      <c r="DI382" s="84">
        <f>IF(DH382="","",IF(COUNTIF($DH$6:DH382,DH382)=1,MAX($DI$5:DI381)+1,INDEX($DI$5:DI381,MATCH(DH382,$DH$5:DH381,0))))</f>
        <v/>
      </c>
      <c r="DJ382" s="84">
        <f>IF($A382="","",IF($B382="","qty, ","")&amp;IF($C382="","scope, ","")&amp;IF(OR($K382="",$M382=""),"size, ","")&amp;IF(AND($A382&lt;&gt;"",$C382&lt;&gt;"DOOR ONLY"),IF($U382="","jamb depth, ","")&amp;IF($X382="","construction, ","")&amp;IF($Y382="","anchor, ","")&amp;IF($S382="","frame type, ",""),"")&amp;IF(AND(N($BJ382)&gt;0,$Z382=""),"hand, ","")&amp;IF(N($BJ382)&gt;0,IF($AH382="","door material, ","")&amp;IF($AL382="","face type, ","")&amp;IF($AP382="","lock prep, ","")&amp;IF(AND($AO382="",$AC382=""),"hinge prep, ",""),"")&amp;IF(AND($CH382&gt;0,$AH382="FRP"),"FRP cannot carry a label, ","")&amp;IF(AND($O382="Y",OR($Z382="L",$Z382="R",$Z382="LR",$Z382="RR")),"pair marked but hand is single, ","")&amp;IF(AND($O382&lt;&gt;"Y",OR($Z382="PR",AND(LEN($Z382)&gt;1,ISNUMBER(SEARCH("-",$Z382))))),"pair hand on a single door, ","")&amp;IF(AND(ISNUMBER($CI382),$CH382&lt;N($CI382)),"wall needs a "&amp;$CI382&amp;" min door, ","")&amp;IF(AND($CH382&gt;=180,AND(OR($CE382="FG",$CE382="HG",$CE382="FNV",$CE382="FV"),N($CF382)*N($CG382)&gt;100)),"180 min lite over 100 sq in, ","")&amp;IF(N($BK382)&gt;48,"leaf wider than 4'-0"&amp;CHAR(34)&amp;", ","")&amp;IF(AND($CT382,COUNT($AW382:$AZ382)=0,$CQ382&gt;0),"CUSTOM LOC with no locations typed, ",""))</f>
        <v/>
      </c>
      <c r="DK382" s="84">
        <f>IF($A382="","",IF(AND($CH382&gt;0,AND($A382&lt;&gt;"",$C382&lt;&gt;"DOOR ONLY"),$X382="KD",$E382="EXTERIOR"),"KD label on an exterior opening, ","")&amp;IF(AND($E382="EXTERIOR",OR(AND(AND($A382&lt;&gt;"",$C382&lt;&gt;"DOOR ONLY"),$W382="CR"),AND(N($BJ382)&gt;0,$AH382="CR"))),"exterior in CR steel (G9?), ","")&amp;IF(AND(ISNUMBER($BQ382),N($BQ382)&lt;32),"clear width ~"&amp;TEXT($BQ382,"0.0")&amp;CHAR(34)&amp;" under 32"&amp;CHAR(34)&amp;" (ADA), ","")&amp;IF(AND($CH382=90,AND(OR($CE382="FG",$CE382="HG",$CE382="FNV",$CE382="FV"),N($CF382)*N($CG382)&gt;100)),"90 min lite over 100 sq in (stair/exit), ","")&amp;IF(AND($CH382&gt;0,AND($A382&lt;&gt;"",$C382&lt;&gt;"DOOR ONLY"),OR($AF382="",$AF382="-")),"rated: closer reinf.?, ","")&amp;IF(OR($I382="CORRIDOR",$I382="SMOKE BARRIER"),"S label + smoke gasketing, ","")&amp;IF($CI382="?","wall type/hr not in IBC table, ","")&amp;IF(AND(N($BJ382)&gt;0,$BB382=""),"no hardware set, ","")&amp;IF(AND($BB382&lt;&gt;"",ISNA(MATCH($BB382&amp;"",HWSets,0))),"set "&amp;$BB382&amp;" not on HW Sets, ","")&amp;IF(N($BL382)&gt;96,"leaf over 8'-0"&amp;CHAR(34)&amp;" - check listing, ","")&amp;IF(AND($CT382,COUNT($AW382:$AZ382)&gt;0,COUNT($AW382:$AZ382)&lt;&gt;$CQ382),COUNT($AW382:$AZ382)&amp;" custom hinges typed, "&amp;$CQ382&amp;" expected, ","")&amp;IF(AND(ISNUMBER($CA382),OR(N($CA382)&lt;34,N($CA382)&gt;48)),"lock "&amp;TEXT($CA382,"0.0")&amp;CHAR(34)&amp;" AFF outside 34-48"&amp;CHAR(34)&amp;" (ADA), ","")&amp;IF(AND(ISNUMBER($AV382),ISNUMBER($BL382),N($AV382)&lt;IF(N($BL382)&lt;=60,2,IF(N($BL382)&lt;=90,3,IF(N($BL382)&lt;=120,4,5)))),"fewer hinges than standard, ",""))</f>
        <v/>
      </c>
    </row>
    <row r="383" ht="15" customHeight="1">
      <c r="A383" s="77" t="n"/>
      <c r="B383" s="78" t="n"/>
      <c r="C383" s="78" t="n"/>
      <c r="D383" s="78" t="n"/>
      <c r="E383" s="78" t="n"/>
      <c r="F383" s="78" t="n"/>
      <c r="G383" s="78" t="n"/>
      <c r="H383" s="78" t="n"/>
      <c r="I383" s="78" t="n"/>
      <c r="J383" s="78" t="n"/>
      <c r="K383" s="78" t="n"/>
      <c r="L383" s="78" t="n"/>
      <c r="M383" s="78" t="n"/>
      <c r="N383" s="78" t="n"/>
      <c r="O383" s="78" t="n"/>
      <c r="P383" s="78" t="n"/>
      <c r="Q383" s="78" t="n"/>
      <c r="R383" s="78" t="n"/>
      <c r="S383" s="79" t="n"/>
      <c r="T383" s="79" t="n"/>
      <c r="U383" s="79" t="n"/>
      <c r="V383" s="79" t="n"/>
      <c r="W383" s="79" t="n"/>
      <c r="X383" s="79" t="n"/>
      <c r="Y383" s="79" t="n"/>
      <c r="Z383" s="79" t="n"/>
      <c r="AA383" s="79" t="n"/>
      <c r="AB383" s="79" t="n"/>
      <c r="AC383" s="79" t="n"/>
      <c r="AD383" s="79" t="n"/>
      <c r="AE383" s="79" t="n"/>
      <c r="AF383" s="79" t="n"/>
      <c r="AG383" s="79" t="n"/>
      <c r="AH383" s="80" t="n"/>
      <c r="AI383" s="80" t="n"/>
      <c r="AJ383" s="80" t="n"/>
      <c r="AK383" s="80" t="n"/>
      <c r="AL383" s="80" t="n"/>
      <c r="AM383" s="80" t="n"/>
      <c r="AN383" s="80" t="n"/>
      <c r="AO383" s="80" t="n"/>
      <c r="AP383" s="80" t="n"/>
      <c r="AQ383" s="80" t="n"/>
      <c r="AR383" s="80" t="n"/>
      <c r="AS383" s="80" t="n"/>
      <c r="AT383" s="81" t="n"/>
      <c r="AU383" s="81" t="n"/>
      <c r="AV383" s="81" t="n"/>
      <c r="AW383" s="82" t="n"/>
      <c r="AX383" s="82" t="n"/>
      <c r="AY383" s="82" t="n"/>
      <c r="AZ383" s="82" t="n"/>
      <c r="BA383" s="82" t="n"/>
      <c r="BB383" s="83" t="n"/>
      <c r="BC383" s="83" t="n"/>
      <c r="BD383" s="84">
        <f>IF($A383="","",IF($DJ383&lt;&gt;"","FIX",IF($DK383&lt;&gt;"","CHECK","OK")))</f>
        <v/>
      </c>
      <c r="BE383" s="85">
        <f>IF($A383="","",IF($DJ383&lt;&gt;"","FIX: "&amp;LEFT($DJ383,LEN($DJ383)-2)&amp;IF($DK383&lt;&gt;"","  ·  ",""),"")&amp;IF($DK383&lt;&gt;"","CHECK: "&amp;LEFT($DK383,LEN($DK383)-2),""))</f>
        <v/>
      </c>
      <c r="BF383" s="84">
        <f>IF(OR($A383="",$K383=""),"",$K383&amp;"'-"&amp;N($L383)&amp;CHAR(34)&amp;" x "&amp;$M383&amp;"'-"&amp;N($N383)&amp;CHAR(34))</f>
        <v/>
      </c>
      <c r="BG383" s="84">
        <f>IF(OR($A383="",$K383=""),"",$K383&amp;N($L383)&amp;$M383&amp;N($N383))</f>
        <v/>
      </c>
      <c r="BH383" s="84">
        <f>IF(OR($A383="",$K383=""),"",$K383*12+N($L383))</f>
        <v/>
      </c>
      <c r="BI383" s="84">
        <f>IF(OR($A383="",$M383=""),"",$M383*12+N($N383))</f>
        <v/>
      </c>
      <c r="BJ383" s="84">
        <f>IF($A383="","",IF(OR($C383="FRAME ONLY",$S383="BL"),0,IF($O383="Y",2,1)))</f>
        <v/>
      </c>
      <c r="BK383" s="86">
        <f>IF(OR(N($BJ383)=0,$BH383=""),"",($BH383-2*EdgeClr-IF($BJ383=2,MeetClr,0))/$BJ383)</f>
        <v/>
      </c>
      <c r="BL383" s="86">
        <f>IF(OR(N($BJ383)=0,$BI383=""),"",$BI383-HeadClr-Undercut)</f>
        <v/>
      </c>
      <c r="BM383" s="86">
        <f>IF($BH383="","",$BH383+2*FaceW+IF(N($Q383)&gt;0,($Q383+FaceW)*IF($R383="LR",2,1),0))</f>
        <v/>
      </c>
      <c r="BN383" s="86">
        <f>IF($BI383="","",$BI383+IF($AB383="Y",4,FaceW)+IF(N($P383)&gt;0,$P383+FaceW,0)+IF(OR($S383="4F",$S383="BL"),FaceW,0))</f>
        <v/>
      </c>
      <c r="BO383" s="86">
        <f>IF($BM383="","",$BM383+2*ROSide)</f>
        <v/>
      </c>
      <c r="BP383" s="86">
        <f>IF($BN383="","",$BN383+ROTop)</f>
        <v/>
      </c>
      <c r="BQ383" s="87">
        <f>IF(OR(N($BJ383)=0,$BH383=""),"",$BH383/$BJ383-ClearDeduct)</f>
        <v/>
      </c>
      <c r="BR383" s="84">
        <f>IF(N($CH383)=0,"",IF($CH383&gt;=180,"A · 3 HR",IF($CH383&gt;=90,"B · 1-1/2 HR",IF($CH383&gt;=60,"B · 1 HR",IF($CH383&gt;=45,"C · 3/4 HR","20 MIN")))))&amp;IF(AND(N($CH383)&gt;0,OR($I383="CORRIDOR",$I383="SMOKE BARRIER"))," · S","")</f>
        <v/>
      </c>
      <c r="BS383" s="84">
        <f>IF($CS383,"",IF($AV383&lt;&gt;"",$AV383,IF(OR($AC383="HGC",$AO383="HGC"),"CONT",IF(($BI383-HeadClr-Undercut)&lt;=60,2,IF(($BI383-HeadClr-Undercut)&lt;=90,3,IF(($BI383-HeadClr-Undercut)&lt;=120,4,5))))))</f>
        <v/>
      </c>
      <c r="BT383" s="84">
        <f>IF($CS383,"",IF($CT383,"CUSTOM (typed)",IF($CV383,$AT383&amp;" "&amp;$CU383&amp;CHAR(34)&amp;IF($CU383&lt;&gt;$BI383,IF(AND($BI383&lt;$CU383,$BI383-IF(N(VLOOKUP($AT383&amp;"|"&amp;$CU383,LocTable,7,FALSE))&gt;0,VLOOKUP($AT383&amp;"|"&amp;$CU383,LocTable,7,FALSE),VLOOKUP($AT383&amp;"|"&amp;$CU383,LocTable,6,FALSE))-$CR383-0.75&gt;=2.125)," cut down"," adj."),""),"ANSI/SDI A250.6")))</f>
        <v/>
      </c>
      <c r="BU383" s="88">
        <f>IF($CS383,"",IF($CT383,IF(N($AW383)&gt;0,N($AW383),""),IF(1&gt;$CQ383,"",IF($CQ383=1,$CW383,$CW383+($CX383-$CW383)*0/($CQ383-1)))))</f>
        <v/>
      </c>
      <c r="BV383" s="88">
        <f>IF($CS383,"",IF($CT383,IF(N($AX383)&gt;0,N($AX383),""),IF(2&gt;$CQ383,"",IF($CQ383=1,$CW383,$CW383+($CX383-$CW383)*1/($CQ383-1)))))</f>
        <v/>
      </c>
      <c r="BW383" s="88">
        <f>IF($CS383,"",IF($CT383,IF(N($AY383)&gt;0,N($AY383),""),IF(3&gt;$CQ383,"",IF($CQ383=1,$CW383,$CW383+($CX383-$CW383)*2/($CQ383-1)))))</f>
        <v/>
      </c>
      <c r="BX383" s="88">
        <f>IF($CS383,"",IF($CT383,IF(N($AZ383)&gt;0,N($AZ383),""),IF(4&gt;$CQ383,"",IF($CQ383=1,$CW383,$CW383+($CX383-$CW383)*3/($CQ383-1)))))</f>
        <v/>
      </c>
      <c r="BY383" s="88">
        <f>IF($CS383,"",IF($CT383,"",IF(5&gt;$CQ383,"",IF($CQ383=1,$CW383,$CW383+($CX383-$CW383)*4/($CQ383-1)))))</f>
        <v/>
      </c>
      <c r="BZ383" s="88">
        <f>IF(OR($CS383,$AP383="-",AND($AP383="",$AD383="")),"",IF(N($BA383)&gt;0,N($BA383),IF($CV383,IF(AND($BI383&lt;$CU383,$BI383-IF(N(VLOOKUP($AT383&amp;"|"&amp;$CU383,LocTable,7,FALSE))&gt;0,VLOOKUP($AT383&amp;"|"&amp;$CU383,LocTable,7,FALSE),VLOOKUP($AT383&amp;"|"&amp;$CU383,LocTable,6,FALSE))-$CR383-0.75&gt;=2.125),VLOOKUP($AT383&amp;"|"&amp;$CU383,LocTable,8,FALSE),VLOOKUP($AT383&amp;"|"&amp;$CU383,LocTable,8,FALSE)+($BI383-$CU383)),$BI383-LockAFF)))</f>
        <v/>
      </c>
      <c r="CA383" s="89">
        <f>IF($BZ383="","",$BI383-$BZ383)</f>
        <v/>
      </c>
      <c r="CB383" s="84">
        <f>IF(OR(NOT(AND($A383&lt;&gt;"",$C383&lt;&gt;"DOOR ONLY")),$BI383=""),"",IF(($BI383+IF(N($P383)&gt;0,$P383+FaceW,0))&lt;=90,3,IF(($BI383+IF(N($P383)&gt;0,$P383+FaceW,0))&lt;=114,4,5)))</f>
        <v/>
      </c>
      <c r="CC383" s="84">
        <f>IF($CB383="","",$CB383*(2+IF(N($Q383)&gt;0,IF($R383="LR",2,1),0)))</f>
        <v/>
      </c>
      <c r="CD383" s="84">
        <f>IF($CB383="","",(2+IF(N($Q383)&gt;0,IF($R383="LR",2,1),0)))</f>
        <v/>
      </c>
      <c r="CE383" s="84">
        <f>IF(N($BJ383)=0,"",IF(OR($AL383="",$AL383="FLUSH"),"FLUSH",IFERROR(LEFT($AL383,FIND("-",$AL383)-1),LEFT($AL383,2))))</f>
        <v/>
      </c>
      <c r="CF383" s="84">
        <f>IF($CE383="","",IFERROR(VALUE(MID($AL383,FIND("-",$AL383)+1,FIND(CHAR(34)&amp;"x",$AL383)-FIND("-",$AL383)-1)),0))</f>
        <v/>
      </c>
      <c r="CG383" s="84">
        <f>IF($CE383="","",IFERROR(VALUE(MID($AL383,FIND(CHAR(34)&amp;"x",$AL383)+2,FIND(CHAR(34),$AL383,FIND(CHAR(34)&amp;"x",$AL383)+2)-FIND(CHAR(34)&amp;"x",$AL383)-2)),0))</f>
        <v/>
      </c>
      <c r="CH383" s="90">
        <f>IF(OR($A383="",$H383="",$H383="NO LAB"),0,IFERROR(VALUE(LEFT($H383,FIND(" ",$H383)-1)),0))</f>
        <v/>
      </c>
      <c r="CI383" s="91">
        <f>IF(OR($A383="",$I383="",$I383="NON-RATED",N($J383)=0),"",IFERROR(VLOOKUP($I383&amp;"|"&amp;$J383,IBC,2,FALSE),"?"))</f>
        <v/>
      </c>
      <c r="CJ383" s="85">
        <f>IF(NOT(AND($A383&lt;&gt;"",$C383&lt;&gt;"DOOR ONLY")),"",TRIM(IFERROR(VLOOKUP($U383,CODES,2,FALSE),"")&amp;" "&amp;$BG383&amp;" "&amp;IFERROR(VLOOKUP($Z383,CODES,2,FALSE),"")&amp;" "&amp;IFERROR(VLOOKUP($X383,CODES,2,FALSE),"")&amp;" "&amp;IFERROR(VLOOKUP($S383,CODES,2,FALSE),"")&amp;IF(N($P383)&gt;0," w/TRANSOM "&amp;$P383&amp;CHAR(34),"")&amp;IF(N($Q383)&gt;0," w/SIDELITE "&amp;$Q383&amp;CHAR(34)&amp;" "&amp;IF($R383="","R",$R383),"")&amp;IF($Y383="","  |  "," | "&amp;IFERROR(VLOOKUP($Y383,CODES,2,FALSE),"")&amp;" | ")&amp;IFERROR(VLOOKUP($AC383,CODES,2,FALSE),"")&amp;" "&amp;IFERROR(VLOOKUP($AD383,CODES,2,FALSE),"")&amp;IF(OR($AE383="",$AE383="-"),""," "&amp;$AE383)&amp;IF(OR($AF383="",$AF383="-"),""," "&amp;$AF383)&amp;IF($AB383="Y"," 4"&amp;CHAR(34)&amp;" HEAD","")&amp;" "&amp;IFERROR(VLOOKUP($H383,CODES,2,FALSE),"")&amp;IF($CT383," | LOC "&amp;$CY383,"")))</f>
        <v/>
      </c>
      <c r="CK383" s="85">
        <f>IF(NOT(AND($A383&lt;&gt;"",N($BJ383)&gt;0)),"",TRIM(IFERROR(VLOOKUP($AH383,CODES,2,FALSE),"")&amp;IF($AI383=""," "," "&amp;$AI383&amp;"GA ")&amp;$BG383&amp;" "&amp;IF($AN383="",IFERROR(VLOOKUP($Z383,CODES,2,FALSE),""),IFERROR(VLOOKUP($AN383,CODES,2,FALSE),""))&amp;IF($BJ383=2," PAIR","")&amp;" DOOR | "&amp;IF($AL383="","?",$AL383)&amp;" | "&amp;IF($AO383="",IFERROR(VLOOKUP($AC383,CODES,2,FALSE),""),IFERROR(VLOOKUP($AO383,CODES,2,FALSE),""))&amp;" "&amp;IFERROR(VLOOKUP($AP383,CODES,2,FALSE),"")&amp;IF(OR($AQ383="",$AQ383="-"),""," SEAM "&amp;$AQ383)&amp;IF($AR383="Y"," ASTRAGAL","")&amp;IF($AJ383=""," "," "&amp;$AJ383)&amp;IF($AK383=""," "," "&amp;$AK383)&amp;IF(OR($AT383="",$AT383="ANSI/SDI",$AT383="CUSTOM LOC"),""," "&amp;$AT383)&amp;IF($AM383=""," "," SERIES "&amp;$AM383)&amp;" "&amp;IFERROR(VLOOKUP($H383,CODES,2,FALSE),"")&amp;IF($CT383," | LOC "&amp;$CZ383,"")))</f>
        <v/>
      </c>
      <c r="CL383" s="84">
        <f>IF(CP383="","",IF(COUNTIF($CP$6:CP383,CP383)=1,MAX($CL$5:CL382)+1,INDEX($CL$5:CL382,MATCH(CP383,$CP$5:CP382,0))))</f>
        <v/>
      </c>
      <c r="CM383" s="84">
        <f>IF(NOT(AND($A383&lt;&gt;"",$C383&lt;&gt;"DOOR ONLY")),"",MAX($CM$5:CM382)+1)</f>
        <v/>
      </c>
      <c r="CN383" s="84">
        <f>IF(NOT(AND($A383&lt;&gt;"",N($BJ383)&gt;0)),"",MAX($CN$5:CN382)+1)</f>
        <v/>
      </c>
      <c r="CO383" s="84">
        <f>IF($A383="","",MAX($CO$5:CO382)+1)</f>
        <v/>
      </c>
      <c r="CP383" s="84">
        <f>IF(OR($A383="",$BH383="",$BI383=""),"",$BG383&amp;"|"&amp;$O383&amp;"|"&amp;$AL383&amp;"|"&amp;$S383&amp;"|"&amp;$P383&amp;"|"&amp;$Q383&amp;$R383&amp;"|"&amp;$C383&amp;"|"&amp;$AB383)</f>
        <v/>
      </c>
      <c r="CQ383" s="84">
        <f>N($BS383)</f>
        <v/>
      </c>
      <c r="CR383" s="84">
        <f>IF(N($AU383)&gt;0,N($AU383),4.5)</f>
        <v/>
      </c>
      <c r="CS383" s="84">
        <f>OR($A383="",$BI383="",$S383="BL",AND($C383="FRAME ONLY",OR($AC383="",$AC383="BLK")))</f>
        <v/>
      </c>
      <c r="CT383" s="84">
        <f>AND(NOT($CS383),OR($AT383="CUSTOM LOC",N($AW383)+N($AX383)+N($AY383)+N($AZ383)+N($BA383)&gt;0))</f>
        <v/>
      </c>
      <c r="CU383" s="84">
        <f>IF($BI383="","",IF($BI383&lt;=80,80,IF($BI383&lt;=84,84,96)))</f>
        <v/>
      </c>
      <c r="CV383" s="84">
        <f>ISNUMBER(MATCH($AT383&amp;"|80",LocKeys,0))</f>
        <v/>
      </c>
      <c r="CW383" s="86">
        <f>IF($CS383,"",IF($CV383,VLOOKUP($AT383&amp;"|"&amp;$CU383,LocTable,4,FALSE),5))</f>
        <v/>
      </c>
      <c r="CX383" s="86">
        <f>IF($CS383,"",IF($CV383,IF(OR($BI383=$CU383,AND($BI383&lt;$CU383,$BI383-IF(N(VLOOKUP($AT383&amp;"|"&amp;$CU383,LocTable,7,FALSE))&gt;0,VLOOKUP($AT383&amp;"|"&amp;$CU383,LocTable,7,FALSE),VLOOKUP($AT383&amp;"|"&amp;$CU383,LocTable,6,FALSE))-$CR383-0.75&gt;=2.125)),IF(N(VLOOKUP($AT383&amp;"|"&amp;$CU383,LocTable,7,FALSE))&gt;0,VLOOKUP($AT383&amp;"|"&amp;$CU383,LocTable,7,FALSE),VLOOKUP($AT383&amp;"|"&amp;$CU383,LocTable,6,FALSE)),$BI383-($CU383-IF(N(VLOOKUP($AT383&amp;"|"&amp;$CU383,LocTable,7,FALSE))&gt;0,VLOOKUP($AT383&amp;"|"&amp;$CU383,LocTable,7,FALSE),VLOOKUP($AT383&amp;"|"&amp;$CU383,LocTable,6,FALSE)))),$BI383-10-$CR383))</f>
        <v/>
      </c>
      <c r="CY383" s="85">
        <f>IF($CS383,"",TRIM(IF(ISNUMBER($BU383),"A "&amp;TRIM(TEXT($BU383,"# ?/??"))&amp;CHAR(34)&amp;"  ","")&amp;IF(ISNUMBER($BV383),"B "&amp;TRIM(TEXT($BV383,"# ?/??"))&amp;CHAR(34)&amp;"  ","")&amp;IF(ISNUMBER($BW383),"C "&amp;TRIM(TEXT($BW383,"# ?/??"))&amp;CHAR(34)&amp;"  ","")&amp;IF(ISNUMBER($BX383),"D "&amp;TRIM(TEXT($BX383,"# ?/??"))&amp;CHAR(34)&amp;"  ","")&amp;IF(ISNUMBER($BY383),"F "&amp;TRIM(TEXT($BY383,"# ?/??"))&amp;CHAR(34)&amp;"  ","")&amp;IF(ISNUMBER($BZ383),"E "&amp;TRIM(TEXT($BZ383,"# ?/??"))&amp;CHAR(34)&amp;"  ","")))</f>
        <v/>
      </c>
      <c r="CZ383" s="85">
        <f>IF(OR($CS383,N($BJ383)=0),"",TRIM(IF(ISNUMBER($BU383),"A "&amp;TRIM(TEXT($BU383-HeadClr,"# ?/??"))&amp;CHAR(34)&amp;"  ","")&amp;IF(ISNUMBER($BV383),"B "&amp;TRIM(TEXT($BV383-HeadClr,"# ?/??"))&amp;CHAR(34)&amp;"  ","")&amp;IF(ISNUMBER($BW383),"C "&amp;TRIM(TEXT($BW383-HeadClr,"# ?/??"))&amp;CHAR(34)&amp;"  ","")&amp;IF(ISNUMBER($BX383),"D "&amp;TRIM(TEXT($BX383-HeadClr,"# ?/??"))&amp;CHAR(34)&amp;"  ","")&amp;IF(ISNUMBER($BY383),"F "&amp;TRIM(TEXT($BY383-HeadClr,"# ?/??"))&amp;CHAR(34)&amp;"  ","")&amp;IF(ISNUMBER($BZ383),"E "&amp;TRIM(TEXT($BZ383-HeadClr,"# ?/??"))&amp;CHAR(34)&amp;"  ","")))</f>
        <v/>
      </c>
      <c r="DA383" s="84">
        <f>IF($A383="","",IF($AN383="",IFERROR(VLOOKUP($Z383,CODES,2,FALSE),""),IFERROR(VLOOKUP($AN383,CODES,2,FALSE),"")))</f>
        <v/>
      </c>
      <c r="DB383" s="84">
        <f>IF($A383="","",IF($O383="Y","PR",IF(OR($Z383="L",$Z383="RR",LEFT($Z383,2)="L-",LEFT($Z383,3)="RR-"),"LH","RH")))</f>
        <v/>
      </c>
      <c r="DC383" s="84">
        <f>IF($A383="","","S.HM"&amp;IF(OR($C383="DOOR ONLY",$X383&lt;&gt;"KD"),"MASONRY","DRYWALL")&amp;IF($C383="DOOR ONLY","",$U383)&amp;IF(AND($C383&lt;&gt;"FRAME ONLY",OR(LEFT($AH383,3)="OAK",LEFT($AH383,3)="BIR",LEFT($AH383,3)="MAP",$AH383="PC",$AH383="MC",$AH383="SCLC",$AH383="P-LAM")),"WD","HM")&amp;"1.75")</f>
        <v/>
      </c>
      <c r="DD383" s="84">
        <f>IF($CJ383="","",IF($O383="Y",$CJ383,SUBSTITUTE($CJ383,$BG383&amp;" "&amp;IFERROR(VLOOKUP($Z383,CODES,2,FALSE),"")&amp;" ",$BG383&amp;" ")))</f>
        <v/>
      </c>
      <c r="DE383" s="84">
        <f>IF($CK383="","",IF($O383="Y",$CK383,SUBSTITUTE($CK383,$BG383&amp;" "&amp;IF($AN383="",IFERROR(VLOOKUP($Z383,CODES,2,FALSE),""),IFERROR(VLOOKUP($AN383,CODES,2,FALSE),""))&amp;" ",$BG383&amp;" ")))</f>
        <v/>
      </c>
      <c r="DF383" s="84">
        <f>IF($CJ383="","",$DC383&amp;"|"&amp;$DD383&amp;"|"&amp;$DB383&amp;"|"&amp;$AT383&amp;"|"&amp;$V383&amp;"|"&amp;$Y383&amp;"|"&amp;$AB383)</f>
        <v/>
      </c>
      <c r="DG383" s="84">
        <f>IF(DF383="","",IF(COUNTIF($DF$6:DF383,DF383)=1,MAX($DG$5:DG382)+1,INDEX($DG$5:DG382,MATCH(DF383,$DF$5:DF382,0))))</f>
        <v/>
      </c>
      <c r="DH383" s="84">
        <f>IF($CK383="","",$DC383&amp;"|"&amp;$DE383&amp;"|"&amp;$AI383&amp;"|"&amp;$BK383&amp;"|"&amp;$BL383)</f>
        <v/>
      </c>
      <c r="DI383" s="84">
        <f>IF(DH383="","",IF(COUNTIF($DH$6:DH383,DH383)=1,MAX($DI$5:DI382)+1,INDEX($DI$5:DI382,MATCH(DH383,$DH$5:DH382,0))))</f>
        <v/>
      </c>
      <c r="DJ383" s="84">
        <f>IF($A383="","",IF($B383="","qty, ","")&amp;IF($C383="","scope, ","")&amp;IF(OR($K383="",$M383=""),"size, ","")&amp;IF(AND($A383&lt;&gt;"",$C383&lt;&gt;"DOOR ONLY"),IF($U383="","jamb depth, ","")&amp;IF($X383="","construction, ","")&amp;IF($Y383="","anchor, ","")&amp;IF($S383="","frame type, ",""),"")&amp;IF(AND(N($BJ383)&gt;0,$Z383=""),"hand, ","")&amp;IF(N($BJ383)&gt;0,IF($AH383="","door material, ","")&amp;IF($AL383="","face type, ","")&amp;IF($AP383="","lock prep, ","")&amp;IF(AND($AO383="",$AC383=""),"hinge prep, ",""),"")&amp;IF(AND($CH383&gt;0,$AH383="FRP"),"FRP cannot carry a label, ","")&amp;IF(AND($O383="Y",OR($Z383="L",$Z383="R",$Z383="LR",$Z383="RR")),"pair marked but hand is single, ","")&amp;IF(AND($O383&lt;&gt;"Y",OR($Z383="PR",AND(LEN($Z383)&gt;1,ISNUMBER(SEARCH("-",$Z383))))),"pair hand on a single door, ","")&amp;IF(AND(ISNUMBER($CI383),$CH383&lt;N($CI383)),"wall needs a "&amp;$CI383&amp;" min door, ","")&amp;IF(AND($CH383&gt;=180,AND(OR($CE383="FG",$CE383="HG",$CE383="FNV",$CE383="FV"),N($CF383)*N($CG383)&gt;100)),"180 min lite over 100 sq in, ","")&amp;IF(N($BK383)&gt;48,"leaf wider than 4'-0"&amp;CHAR(34)&amp;", ","")&amp;IF(AND($CT383,COUNT($AW383:$AZ383)=0,$CQ383&gt;0),"CUSTOM LOC with no locations typed, ",""))</f>
        <v/>
      </c>
      <c r="DK383" s="84">
        <f>IF($A383="","",IF(AND($CH383&gt;0,AND($A383&lt;&gt;"",$C383&lt;&gt;"DOOR ONLY"),$X383="KD",$E383="EXTERIOR"),"KD label on an exterior opening, ","")&amp;IF(AND($E383="EXTERIOR",OR(AND(AND($A383&lt;&gt;"",$C383&lt;&gt;"DOOR ONLY"),$W383="CR"),AND(N($BJ383)&gt;0,$AH383="CR"))),"exterior in CR steel (G9?), ","")&amp;IF(AND(ISNUMBER($BQ383),N($BQ383)&lt;32),"clear width ~"&amp;TEXT($BQ383,"0.0")&amp;CHAR(34)&amp;" under 32"&amp;CHAR(34)&amp;" (ADA), ","")&amp;IF(AND($CH383=90,AND(OR($CE383="FG",$CE383="HG",$CE383="FNV",$CE383="FV"),N($CF383)*N($CG383)&gt;100)),"90 min lite over 100 sq in (stair/exit), ","")&amp;IF(AND($CH383&gt;0,AND($A383&lt;&gt;"",$C383&lt;&gt;"DOOR ONLY"),OR($AF383="",$AF383="-")),"rated: closer reinf.?, ","")&amp;IF(OR($I383="CORRIDOR",$I383="SMOKE BARRIER"),"S label + smoke gasketing, ","")&amp;IF($CI383="?","wall type/hr not in IBC table, ","")&amp;IF(AND(N($BJ383)&gt;0,$BB383=""),"no hardware set, ","")&amp;IF(AND($BB383&lt;&gt;"",ISNA(MATCH($BB383&amp;"",HWSets,0))),"set "&amp;$BB383&amp;" not on HW Sets, ","")&amp;IF(N($BL383)&gt;96,"leaf over 8'-0"&amp;CHAR(34)&amp;" - check listing, ","")&amp;IF(AND($CT383,COUNT($AW383:$AZ383)&gt;0,COUNT($AW383:$AZ383)&lt;&gt;$CQ383),COUNT($AW383:$AZ383)&amp;" custom hinges typed, "&amp;$CQ383&amp;" expected, ","")&amp;IF(AND(ISNUMBER($CA383),OR(N($CA383)&lt;34,N($CA383)&gt;48)),"lock "&amp;TEXT($CA383,"0.0")&amp;CHAR(34)&amp;" AFF outside 34-48"&amp;CHAR(34)&amp;" (ADA), ","")&amp;IF(AND(ISNUMBER($AV383),ISNUMBER($BL383),N($AV383)&lt;IF(N($BL383)&lt;=60,2,IF(N($BL383)&lt;=90,3,IF(N($BL383)&lt;=120,4,5)))),"fewer hinges than standard, ",""))</f>
        <v/>
      </c>
    </row>
    <row r="384" ht="15" customHeight="1">
      <c r="A384" s="77" t="n"/>
      <c r="B384" s="78" t="n"/>
      <c r="C384" s="78" t="n"/>
      <c r="D384" s="78" t="n"/>
      <c r="E384" s="78" t="n"/>
      <c r="F384" s="78" t="n"/>
      <c r="G384" s="78" t="n"/>
      <c r="H384" s="78" t="n"/>
      <c r="I384" s="78" t="n"/>
      <c r="J384" s="78" t="n"/>
      <c r="K384" s="78" t="n"/>
      <c r="L384" s="78" t="n"/>
      <c r="M384" s="78" t="n"/>
      <c r="N384" s="78" t="n"/>
      <c r="O384" s="78" t="n"/>
      <c r="P384" s="78" t="n"/>
      <c r="Q384" s="78" t="n"/>
      <c r="R384" s="78" t="n"/>
      <c r="S384" s="79" t="n"/>
      <c r="T384" s="79" t="n"/>
      <c r="U384" s="79" t="n"/>
      <c r="V384" s="79" t="n"/>
      <c r="W384" s="79" t="n"/>
      <c r="X384" s="79" t="n"/>
      <c r="Y384" s="79" t="n"/>
      <c r="Z384" s="79" t="n"/>
      <c r="AA384" s="79" t="n"/>
      <c r="AB384" s="79" t="n"/>
      <c r="AC384" s="79" t="n"/>
      <c r="AD384" s="79" t="n"/>
      <c r="AE384" s="79" t="n"/>
      <c r="AF384" s="79" t="n"/>
      <c r="AG384" s="79" t="n"/>
      <c r="AH384" s="80" t="n"/>
      <c r="AI384" s="80" t="n"/>
      <c r="AJ384" s="80" t="n"/>
      <c r="AK384" s="80" t="n"/>
      <c r="AL384" s="80" t="n"/>
      <c r="AM384" s="80" t="n"/>
      <c r="AN384" s="80" t="n"/>
      <c r="AO384" s="80" t="n"/>
      <c r="AP384" s="80" t="n"/>
      <c r="AQ384" s="80" t="n"/>
      <c r="AR384" s="80" t="n"/>
      <c r="AS384" s="80" t="n"/>
      <c r="AT384" s="81" t="n"/>
      <c r="AU384" s="81" t="n"/>
      <c r="AV384" s="81" t="n"/>
      <c r="AW384" s="82" t="n"/>
      <c r="AX384" s="82" t="n"/>
      <c r="AY384" s="82" t="n"/>
      <c r="AZ384" s="82" t="n"/>
      <c r="BA384" s="82" t="n"/>
      <c r="BB384" s="83" t="n"/>
      <c r="BC384" s="83" t="n"/>
      <c r="BD384" s="84">
        <f>IF($A384="","",IF($DJ384&lt;&gt;"","FIX",IF($DK384&lt;&gt;"","CHECK","OK")))</f>
        <v/>
      </c>
      <c r="BE384" s="85">
        <f>IF($A384="","",IF($DJ384&lt;&gt;"","FIX: "&amp;LEFT($DJ384,LEN($DJ384)-2)&amp;IF($DK384&lt;&gt;"","  ·  ",""),"")&amp;IF($DK384&lt;&gt;"","CHECK: "&amp;LEFT($DK384,LEN($DK384)-2),""))</f>
        <v/>
      </c>
      <c r="BF384" s="84">
        <f>IF(OR($A384="",$K384=""),"",$K384&amp;"'-"&amp;N($L384)&amp;CHAR(34)&amp;" x "&amp;$M384&amp;"'-"&amp;N($N384)&amp;CHAR(34))</f>
        <v/>
      </c>
      <c r="BG384" s="84">
        <f>IF(OR($A384="",$K384=""),"",$K384&amp;N($L384)&amp;$M384&amp;N($N384))</f>
        <v/>
      </c>
      <c r="BH384" s="84">
        <f>IF(OR($A384="",$K384=""),"",$K384*12+N($L384))</f>
        <v/>
      </c>
      <c r="BI384" s="84">
        <f>IF(OR($A384="",$M384=""),"",$M384*12+N($N384))</f>
        <v/>
      </c>
      <c r="BJ384" s="84">
        <f>IF($A384="","",IF(OR($C384="FRAME ONLY",$S384="BL"),0,IF($O384="Y",2,1)))</f>
        <v/>
      </c>
      <c r="BK384" s="86">
        <f>IF(OR(N($BJ384)=0,$BH384=""),"",($BH384-2*EdgeClr-IF($BJ384=2,MeetClr,0))/$BJ384)</f>
        <v/>
      </c>
      <c r="BL384" s="86">
        <f>IF(OR(N($BJ384)=0,$BI384=""),"",$BI384-HeadClr-Undercut)</f>
        <v/>
      </c>
      <c r="BM384" s="86">
        <f>IF($BH384="","",$BH384+2*FaceW+IF(N($Q384)&gt;0,($Q384+FaceW)*IF($R384="LR",2,1),0))</f>
        <v/>
      </c>
      <c r="BN384" s="86">
        <f>IF($BI384="","",$BI384+IF($AB384="Y",4,FaceW)+IF(N($P384)&gt;0,$P384+FaceW,0)+IF(OR($S384="4F",$S384="BL"),FaceW,0))</f>
        <v/>
      </c>
      <c r="BO384" s="86">
        <f>IF($BM384="","",$BM384+2*ROSide)</f>
        <v/>
      </c>
      <c r="BP384" s="86">
        <f>IF($BN384="","",$BN384+ROTop)</f>
        <v/>
      </c>
      <c r="BQ384" s="87">
        <f>IF(OR(N($BJ384)=0,$BH384=""),"",$BH384/$BJ384-ClearDeduct)</f>
        <v/>
      </c>
      <c r="BR384" s="84">
        <f>IF(N($CH384)=0,"",IF($CH384&gt;=180,"A · 3 HR",IF($CH384&gt;=90,"B · 1-1/2 HR",IF($CH384&gt;=60,"B · 1 HR",IF($CH384&gt;=45,"C · 3/4 HR","20 MIN")))))&amp;IF(AND(N($CH384)&gt;0,OR($I384="CORRIDOR",$I384="SMOKE BARRIER"))," · S","")</f>
        <v/>
      </c>
      <c r="BS384" s="84">
        <f>IF($CS384,"",IF($AV384&lt;&gt;"",$AV384,IF(OR($AC384="HGC",$AO384="HGC"),"CONT",IF(($BI384-HeadClr-Undercut)&lt;=60,2,IF(($BI384-HeadClr-Undercut)&lt;=90,3,IF(($BI384-HeadClr-Undercut)&lt;=120,4,5))))))</f>
        <v/>
      </c>
      <c r="BT384" s="84">
        <f>IF($CS384,"",IF($CT384,"CUSTOM (typed)",IF($CV384,$AT384&amp;" "&amp;$CU384&amp;CHAR(34)&amp;IF($CU384&lt;&gt;$BI384,IF(AND($BI384&lt;$CU384,$BI384-IF(N(VLOOKUP($AT384&amp;"|"&amp;$CU384,LocTable,7,FALSE))&gt;0,VLOOKUP($AT384&amp;"|"&amp;$CU384,LocTable,7,FALSE),VLOOKUP($AT384&amp;"|"&amp;$CU384,LocTable,6,FALSE))-$CR384-0.75&gt;=2.125)," cut down"," adj."),""),"ANSI/SDI A250.6")))</f>
        <v/>
      </c>
      <c r="BU384" s="88">
        <f>IF($CS384,"",IF($CT384,IF(N($AW384)&gt;0,N($AW384),""),IF(1&gt;$CQ384,"",IF($CQ384=1,$CW384,$CW384+($CX384-$CW384)*0/($CQ384-1)))))</f>
        <v/>
      </c>
      <c r="BV384" s="88">
        <f>IF($CS384,"",IF($CT384,IF(N($AX384)&gt;0,N($AX384),""),IF(2&gt;$CQ384,"",IF($CQ384=1,$CW384,$CW384+($CX384-$CW384)*1/($CQ384-1)))))</f>
        <v/>
      </c>
      <c r="BW384" s="88">
        <f>IF($CS384,"",IF($CT384,IF(N($AY384)&gt;0,N($AY384),""),IF(3&gt;$CQ384,"",IF($CQ384=1,$CW384,$CW384+($CX384-$CW384)*2/($CQ384-1)))))</f>
        <v/>
      </c>
      <c r="BX384" s="88">
        <f>IF($CS384,"",IF($CT384,IF(N($AZ384)&gt;0,N($AZ384),""),IF(4&gt;$CQ384,"",IF($CQ384=1,$CW384,$CW384+($CX384-$CW384)*3/($CQ384-1)))))</f>
        <v/>
      </c>
      <c r="BY384" s="88">
        <f>IF($CS384,"",IF($CT384,"",IF(5&gt;$CQ384,"",IF($CQ384=1,$CW384,$CW384+($CX384-$CW384)*4/($CQ384-1)))))</f>
        <v/>
      </c>
      <c r="BZ384" s="88">
        <f>IF(OR($CS384,$AP384="-",AND($AP384="",$AD384="")),"",IF(N($BA384)&gt;0,N($BA384),IF($CV384,IF(AND($BI384&lt;$CU384,$BI384-IF(N(VLOOKUP($AT384&amp;"|"&amp;$CU384,LocTable,7,FALSE))&gt;0,VLOOKUP($AT384&amp;"|"&amp;$CU384,LocTable,7,FALSE),VLOOKUP($AT384&amp;"|"&amp;$CU384,LocTable,6,FALSE))-$CR384-0.75&gt;=2.125),VLOOKUP($AT384&amp;"|"&amp;$CU384,LocTable,8,FALSE),VLOOKUP($AT384&amp;"|"&amp;$CU384,LocTable,8,FALSE)+($BI384-$CU384)),$BI384-LockAFF)))</f>
        <v/>
      </c>
      <c r="CA384" s="89">
        <f>IF($BZ384="","",$BI384-$BZ384)</f>
        <v/>
      </c>
      <c r="CB384" s="84">
        <f>IF(OR(NOT(AND($A384&lt;&gt;"",$C384&lt;&gt;"DOOR ONLY")),$BI384=""),"",IF(($BI384+IF(N($P384)&gt;0,$P384+FaceW,0))&lt;=90,3,IF(($BI384+IF(N($P384)&gt;0,$P384+FaceW,0))&lt;=114,4,5)))</f>
        <v/>
      </c>
      <c r="CC384" s="84">
        <f>IF($CB384="","",$CB384*(2+IF(N($Q384)&gt;0,IF($R384="LR",2,1),0)))</f>
        <v/>
      </c>
      <c r="CD384" s="84">
        <f>IF($CB384="","",(2+IF(N($Q384)&gt;0,IF($R384="LR",2,1),0)))</f>
        <v/>
      </c>
      <c r="CE384" s="84">
        <f>IF(N($BJ384)=0,"",IF(OR($AL384="",$AL384="FLUSH"),"FLUSH",IFERROR(LEFT($AL384,FIND("-",$AL384)-1),LEFT($AL384,2))))</f>
        <v/>
      </c>
      <c r="CF384" s="84">
        <f>IF($CE384="","",IFERROR(VALUE(MID($AL384,FIND("-",$AL384)+1,FIND(CHAR(34)&amp;"x",$AL384)-FIND("-",$AL384)-1)),0))</f>
        <v/>
      </c>
      <c r="CG384" s="84">
        <f>IF($CE384="","",IFERROR(VALUE(MID($AL384,FIND(CHAR(34)&amp;"x",$AL384)+2,FIND(CHAR(34),$AL384,FIND(CHAR(34)&amp;"x",$AL384)+2)-FIND(CHAR(34)&amp;"x",$AL384)-2)),0))</f>
        <v/>
      </c>
      <c r="CH384" s="90">
        <f>IF(OR($A384="",$H384="",$H384="NO LAB"),0,IFERROR(VALUE(LEFT($H384,FIND(" ",$H384)-1)),0))</f>
        <v/>
      </c>
      <c r="CI384" s="91">
        <f>IF(OR($A384="",$I384="",$I384="NON-RATED",N($J384)=0),"",IFERROR(VLOOKUP($I384&amp;"|"&amp;$J384,IBC,2,FALSE),"?"))</f>
        <v/>
      </c>
      <c r="CJ384" s="85">
        <f>IF(NOT(AND($A384&lt;&gt;"",$C384&lt;&gt;"DOOR ONLY")),"",TRIM(IFERROR(VLOOKUP($U384,CODES,2,FALSE),"")&amp;" "&amp;$BG384&amp;" "&amp;IFERROR(VLOOKUP($Z384,CODES,2,FALSE),"")&amp;" "&amp;IFERROR(VLOOKUP($X384,CODES,2,FALSE),"")&amp;" "&amp;IFERROR(VLOOKUP($S384,CODES,2,FALSE),"")&amp;IF(N($P384)&gt;0," w/TRANSOM "&amp;$P384&amp;CHAR(34),"")&amp;IF(N($Q384)&gt;0," w/SIDELITE "&amp;$Q384&amp;CHAR(34)&amp;" "&amp;IF($R384="","R",$R384),"")&amp;IF($Y384="","  |  "," | "&amp;IFERROR(VLOOKUP($Y384,CODES,2,FALSE),"")&amp;" | ")&amp;IFERROR(VLOOKUP($AC384,CODES,2,FALSE),"")&amp;" "&amp;IFERROR(VLOOKUP($AD384,CODES,2,FALSE),"")&amp;IF(OR($AE384="",$AE384="-"),""," "&amp;$AE384)&amp;IF(OR($AF384="",$AF384="-"),""," "&amp;$AF384)&amp;IF($AB384="Y"," 4"&amp;CHAR(34)&amp;" HEAD","")&amp;" "&amp;IFERROR(VLOOKUP($H384,CODES,2,FALSE),"")&amp;IF($CT384," | LOC "&amp;$CY384,"")))</f>
        <v/>
      </c>
      <c r="CK384" s="85">
        <f>IF(NOT(AND($A384&lt;&gt;"",N($BJ384)&gt;0)),"",TRIM(IFERROR(VLOOKUP($AH384,CODES,2,FALSE),"")&amp;IF($AI384=""," "," "&amp;$AI384&amp;"GA ")&amp;$BG384&amp;" "&amp;IF($AN384="",IFERROR(VLOOKUP($Z384,CODES,2,FALSE),""),IFERROR(VLOOKUP($AN384,CODES,2,FALSE),""))&amp;IF($BJ384=2," PAIR","")&amp;" DOOR | "&amp;IF($AL384="","?",$AL384)&amp;" | "&amp;IF($AO384="",IFERROR(VLOOKUP($AC384,CODES,2,FALSE),""),IFERROR(VLOOKUP($AO384,CODES,2,FALSE),""))&amp;" "&amp;IFERROR(VLOOKUP($AP384,CODES,2,FALSE),"")&amp;IF(OR($AQ384="",$AQ384="-"),""," SEAM "&amp;$AQ384)&amp;IF($AR384="Y"," ASTRAGAL","")&amp;IF($AJ384=""," "," "&amp;$AJ384)&amp;IF($AK384=""," "," "&amp;$AK384)&amp;IF(OR($AT384="",$AT384="ANSI/SDI",$AT384="CUSTOM LOC"),""," "&amp;$AT384)&amp;IF($AM384=""," "," SERIES "&amp;$AM384)&amp;" "&amp;IFERROR(VLOOKUP($H384,CODES,2,FALSE),"")&amp;IF($CT384," | LOC "&amp;$CZ384,"")))</f>
        <v/>
      </c>
      <c r="CL384" s="84">
        <f>IF(CP384="","",IF(COUNTIF($CP$6:CP384,CP384)=1,MAX($CL$5:CL383)+1,INDEX($CL$5:CL383,MATCH(CP384,$CP$5:CP383,0))))</f>
        <v/>
      </c>
      <c r="CM384" s="84">
        <f>IF(NOT(AND($A384&lt;&gt;"",$C384&lt;&gt;"DOOR ONLY")),"",MAX($CM$5:CM383)+1)</f>
        <v/>
      </c>
      <c r="CN384" s="84">
        <f>IF(NOT(AND($A384&lt;&gt;"",N($BJ384)&gt;0)),"",MAX($CN$5:CN383)+1)</f>
        <v/>
      </c>
      <c r="CO384" s="84">
        <f>IF($A384="","",MAX($CO$5:CO383)+1)</f>
        <v/>
      </c>
      <c r="CP384" s="84">
        <f>IF(OR($A384="",$BH384="",$BI384=""),"",$BG384&amp;"|"&amp;$O384&amp;"|"&amp;$AL384&amp;"|"&amp;$S384&amp;"|"&amp;$P384&amp;"|"&amp;$Q384&amp;$R384&amp;"|"&amp;$C384&amp;"|"&amp;$AB384)</f>
        <v/>
      </c>
      <c r="CQ384" s="84">
        <f>N($BS384)</f>
        <v/>
      </c>
      <c r="CR384" s="84">
        <f>IF(N($AU384)&gt;0,N($AU384),4.5)</f>
        <v/>
      </c>
      <c r="CS384" s="84">
        <f>OR($A384="",$BI384="",$S384="BL",AND($C384="FRAME ONLY",OR($AC384="",$AC384="BLK")))</f>
        <v/>
      </c>
      <c r="CT384" s="84">
        <f>AND(NOT($CS384),OR($AT384="CUSTOM LOC",N($AW384)+N($AX384)+N($AY384)+N($AZ384)+N($BA384)&gt;0))</f>
        <v/>
      </c>
      <c r="CU384" s="84">
        <f>IF($BI384="","",IF($BI384&lt;=80,80,IF($BI384&lt;=84,84,96)))</f>
        <v/>
      </c>
      <c r="CV384" s="84">
        <f>ISNUMBER(MATCH($AT384&amp;"|80",LocKeys,0))</f>
        <v/>
      </c>
      <c r="CW384" s="86">
        <f>IF($CS384,"",IF($CV384,VLOOKUP($AT384&amp;"|"&amp;$CU384,LocTable,4,FALSE),5))</f>
        <v/>
      </c>
      <c r="CX384" s="86">
        <f>IF($CS384,"",IF($CV384,IF(OR($BI384=$CU384,AND($BI384&lt;$CU384,$BI384-IF(N(VLOOKUP($AT384&amp;"|"&amp;$CU384,LocTable,7,FALSE))&gt;0,VLOOKUP($AT384&amp;"|"&amp;$CU384,LocTable,7,FALSE),VLOOKUP($AT384&amp;"|"&amp;$CU384,LocTable,6,FALSE))-$CR384-0.75&gt;=2.125)),IF(N(VLOOKUP($AT384&amp;"|"&amp;$CU384,LocTable,7,FALSE))&gt;0,VLOOKUP($AT384&amp;"|"&amp;$CU384,LocTable,7,FALSE),VLOOKUP($AT384&amp;"|"&amp;$CU384,LocTable,6,FALSE)),$BI384-($CU384-IF(N(VLOOKUP($AT384&amp;"|"&amp;$CU384,LocTable,7,FALSE))&gt;0,VLOOKUP($AT384&amp;"|"&amp;$CU384,LocTable,7,FALSE),VLOOKUP($AT384&amp;"|"&amp;$CU384,LocTable,6,FALSE)))),$BI384-10-$CR384))</f>
        <v/>
      </c>
      <c r="CY384" s="85">
        <f>IF($CS384,"",TRIM(IF(ISNUMBER($BU384),"A "&amp;TRIM(TEXT($BU384,"# ?/??"))&amp;CHAR(34)&amp;"  ","")&amp;IF(ISNUMBER($BV384),"B "&amp;TRIM(TEXT($BV384,"# ?/??"))&amp;CHAR(34)&amp;"  ","")&amp;IF(ISNUMBER($BW384),"C "&amp;TRIM(TEXT($BW384,"# ?/??"))&amp;CHAR(34)&amp;"  ","")&amp;IF(ISNUMBER($BX384),"D "&amp;TRIM(TEXT($BX384,"# ?/??"))&amp;CHAR(34)&amp;"  ","")&amp;IF(ISNUMBER($BY384),"F "&amp;TRIM(TEXT($BY384,"# ?/??"))&amp;CHAR(34)&amp;"  ","")&amp;IF(ISNUMBER($BZ384),"E "&amp;TRIM(TEXT($BZ384,"# ?/??"))&amp;CHAR(34)&amp;"  ","")))</f>
        <v/>
      </c>
      <c r="CZ384" s="85">
        <f>IF(OR($CS384,N($BJ384)=0),"",TRIM(IF(ISNUMBER($BU384),"A "&amp;TRIM(TEXT($BU384-HeadClr,"# ?/??"))&amp;CHAR(34)&amp;"  ","")&amp;IF(ISNUMBER($BV384),"B "&amp;TRIM(TEXT($BV384-HeadClr,"# ?/??"))&amp;CHAR(34)&amp;"  ","")&amp;IF(ISNUMBER($BW384),"C "&amp;TRIM(TEXT($BW384-HeadClr,"# ?/??"))&amp;CHAR(34)&amp;"  ","")&amp;IF(ISNUMBER($BX384),"D "&amp;TRIM(TEXT($BX384-HeadClr,"# ?/??"))&amp;CHAR(34)&amp;"  ","")&amp;IF(ISNUMBER($BY384),"F "&amp;TRIM(TEXT($BY384-HeadClr,"# ?/??"))&amp;CHAR(34)&amp;"  ","")&amp;IF(ISNUMBER($BZ384),"E "&amp;TRIM(TEXT($BZ384-HeadClr,"# ?/??"))&amp;CHAR(34)&amp;"  ","")))</f>
        <v/>
      </c>
      <c r="DA384" s="84">
        <f>IF($A384="","",IF($AN384="",IFERROR(VLOOKUP($Z384,CODES,2,FALSE),""),IFERROR(VLOOKUP($AN384,CODES,2,FALSE),"")))</f>
        <v/>
      </c>
      <c r="DB384" s="84">
        <f>IF($A384="","",IF($O384="Y","PR",IF(OR($Z384="L",$Z384="RR",LEFT($Z384,2)="L-",LEFT($Z384,3)="RR-"),"LH","RH")))</f>
        <v/>
      </c>
      <c r="DC384" s="84">
        <f>IF($A384="","","S.HM"&amp;IF(OR($C384="DOOR ONLY",$X384&lt;&gt;"KD"),"MASONRY","DRYWALL")&amp;IF($C384="DOOR ONLY","",$U384)&amp;IF(AND($C384&lt;&gt;"FRAME ONLY",OR(LEFT($AH384,3)="OAK",LEFT($AH384,3)="BIR",LEFT($AH384,3)="MAP",$AH384="PC",$AH384="MC",$AH384="SCLC",$AH384="P-LAM")),"WD","HM")&amp;"1.75")</f>
        <v/>
      </c>
      <c r="DD384" s="84">
        <f>IF($CJ384="","",IF($O384="Y",$CJ384,SUBSTITUTE($CJ384,$BG384&amp;" "&amp;IFERROR(VLOOKUP($Z384,CODES,2,FALSE),"")&amp;" ",$BG384&amp;" ")))</f>
        <v/>
      </c>
      <c r="DE384" s="84">
        <f>IF($CK384="","",IF($O384="Y",$CK384,SUBSTITUTE($CK384,$BG384&amp;" "&amp;IF($AN384="",IFERROR(VLOOKUP($Z384,CODES,2,FALSE),""),IFERROR(VLOOKUP($AN384,CODES,2,FALSE),""))&amp;" ",$BG384&amp;" ")))</f>
        <v/>
      </c>
      <c r="DF384" s="84">
        <f>IF($CJ384="","",$DC384&amp;"|"&amp;$DD384&amp;"|"&amp;$DB384&amp;"|"&amp;$AT384&amp;"|"&amp;$V384&amp;"|"&amp;$Y384&amp;"|"&amp;$AB384)</f>
        <v/>
      </c>
      <c r="DG384" s="84">
        <f>IF(DF384="","",IF(COUNTIF($DF$6:DF384,DF384)=1,MAX($DG$5:DG383)+1,INDEX($DG$5:DG383,MATCH(DF384,$DF$5:DF383,0))))</f>
        <v/>
      </c>
      <c r="DH384" s="84">
        <f>IF($CK384="","",$DC384&amp;"|"&amp;$DE384&amp;"|"&amp;$AI384&amp;"|"&amp;$BK384&amp;"|"&amp;$BL384)</f>
        <v/>
      </c>
      <c r="DI384" s="84">
        <f>IF(DH384="","",IF(COUNTIF($DH$6:DH384,DH384)=1,MAX($DI$5:DI383)+1,INDEX($DI$5:DI383,MATCH(DH384,$DH$5:DH383,0))))</f>
        <v/>
      </c>
      <c r="DJ384" s="84">
        <f>IF($A384="","",IF($B384="","qty, ","")&amp;IF($C384="","scope, ","")&amp;IF(OR($K384="",$M384=""),"size, ","")&amp;IF(AND($A384&lt;&gt;"",$C384&lt;&gt;"DOOR ONLY"),IF($U384="","jamb depth, ","")&amp;IF($X384="","construction, ","")&amp;IF($Y384="","anchor, ","")&amp;IF($S384="","frame type, ",""),"")&amp;IF(AND(N($BJ384)&gt;0,$Z384=""),"hand, ","")&amp;IF(N($BJ384)&gt;0,IF($AH384="","door material, ","")&amp;IF($AL384="","face type, ","")&amp;IF($AP384="","lock prep, ","")&amp;IF(AND($AO384="",$AC384=""),"hinge prep, ",""),"")&amp;IF(AND($CH384&gt;0,$AH384="FRP"),"FRP cannot carry a label, ","")&amp;IF(AND($O384="Y",OR($Z384="L",$Z384="R",$Z384="LR",$Z384="RR")),"pair marked but hand is single, ","")&amp;IF(AND($O384&lt;&gt;"Y",OR($Z384="PR",AND(LEN($Z384)&gt;1,ISNUMBER(SEARCH("-",$Z384))))),"pair hand on a single door, ","")&amp;IF(AND(ISNUMBER($CI384),$CH384&lt;N($CI384)),"wall needs a "&amp;$CI384&amp;" min door, ","")&amp;IF(AND($CH384&gt;=180,AND(OR($CE384="FG",$CE384="HG",$CE384="FNV",$CE384="FV"),N($CF384)*N($CG384)&gt;100)),"180 min lite over 100 sq in, ","")&amp;IF(N($BK384)&gt;48,"leaf wider than 4'-0"&amp;CHAR(34)&amp;", ","")&amp;IF(AND($CT384,COUNT($AW384:$AZ384)=0,$CQ384&gt;0),"CUSTOM LOC with no locations typed, ",""))</f>
        <v/>
      </c>
      <c r="DK384" s="84">
        <f>IF($A384="","",IF(AND($CH384&gt;0,AND($A384&lt;&gt;"",$C384&lt;&gt;"DOOR ONLY"),$X384="KD",$E384="EXTERIOR"),"KD label on an exterior opening, ","")&amp;IF(AND($E384="EXTERIOR",OR(AND(AND($A384&lt;&gt;"",$C384&lt;&gt;"DOOR ONLY"),$W384="CR"),AND(N($BJ384)&gt;0,$AH384="CR"))),"exterior in CR steel (G9?), ","")&amp;IF(AND(ISNUMBER($BQ384),N($BQ384)&lt;32),"clear width ~"&amp;TEXT($BQ384,"0.0")&amp;CHAR(34)&amp;" under 32"&amp;CHAR(34)&amp;" (ADA), ","")&amp;IF(AND($CH384=90,AND(OR($CE384="FG",$CE384="HG",$CE384="FNV",$CE384="FV"),N($CF384)*N($CG384)&gt;100)),"90 min lite over 100 sq in (stair/exit), ","")&amp;IF(AND($CH384&gt;0,AND($A384&lt;&gt;"",$C384&lt;&gt;"DOOR ONLY"),OR($AF384="",$AF384="-")),"rated: closer reinf.?, ","")&amp;IF(OR($I384="CORRIDOR",$I384="SMOKE BARRIER"),"S label + smoke gasketing, ","")&amp;IF($CI384="?","wall type/hr not in IBC table, ","")&amp;IF(AND(N($BJ384)&gt;0,$BB384=""),"no hardware set, ","")&amp;IF(AND($BB384&lt;&gt;"",ISNA(MATCH($BB384&amp;"",HWSets,0))),"set "&amp;$BB384&amp;" not on HW Sets, ","")&amp;IF(N($BL384)&gt;96,"leaf over 8'-0"&amp;CHAR(34)&amp;" - check listing, ","")&amp;IF(AND($CT384,COUNT($AW384:$AZ384)&gt;0,COUNT($AW384:$AZ384)&lt;&gt;$CQ384),COUNT($AW384:$AZ384)&amp;" custom hinges typed, "&amp;$CQ384&amp;" expected, ","")&amp;IF(AND(ISNUMBER($CA384),OR(N($CA384)&lt;34,N($CA384)&gt;48)),"lock "&amp;TEXT($CA384,"0.0")&amp;CHAR(34)&amp;" AFF outside 34-48"&amp;CHAR(34)&amp;" (ADA), ","")&amp;IF(AND(ISNUMBER($AV384),ISNUMBER($BL384),N($AV384)&lt;IF(N($BL384)&lt;=60,2,IF(N($BL384)&lt;=90,3,IF(N($BL384)&lt;=120,4,5)))),"fewer hinges than standard, ",""))</f>
        <v/>
      </c>
    </row>
    <row r="385" ht="15" customHeight="1">
      <c r="A385" s="92" t="n"/>
      <c r="B385" s="93" t="n"/>
      <c r="C385" s="93" t="n"/>
      <c r="D385" s="93" t="n"/>
      <c r="E385" s="93" t="n"/>
      <c r="F385" s="93" t="n"/>
      <c r="G385" s="93" t="n"/>
      <c r="H385" s="93" t="n"/>
      <c r="I385" s="93" t="n"/>
      <c r="J385" s="93" t="n"/>
      <c r="K385" s="93" t="n"/>
      <c r="L385" s="93" t="n"/>
      <c r="M385" s="93" t="n"/>
      <c r="N385" s="93" t="n"/>
      <c r="O385" s="93" t="n"/>
      <c r="P385" s="93" t="n"/>
      <c r="Q385" s="93" t="n"/>
      <c r="R385" s="93" t="n"/>
      <c r="S385" s="94" t="n"/>
      <c r="T385" s="94" t="n"/>
      <c r="U385" s="94" t="n"/>
      <c r="V385" s="94" t="n"/>
      <c r="W385" s="94" t="n"/>
      <c r="X385" s="94" t="n"/>
      <c r="Y385" s="94" t="n"/>
      <c r="Z385" s="94" t="n"/>
      <c r="AA385" s="94" t="n"/>
      <c r="AB385" s="94" t="n"/>
      <c r="AC385" s="94" t="n"/>
      <c r="AD385" s="94" t="n"/>
      <c r="AE385" s="94" t="n"/>
      <c r="AF385" s="94" t="n"/>
      <c r="AG385" s="94" t="n"/>
      <c r="AH385" s="95" t="n"/>
      <c r="AI385" s="95" t="n"/>
      <c r="AJ385" s="95" t="n"/>
      <c r="AK385" s="95" t="n"/>
      <c r="AL385" s="95" t="n"/>
      <c r="AM385" s="95" t="n"/>
      <c r="AN385" s="95" t="n"/>
      <c r="AO385" s="95" t="n"/>
      <c r="AP385" s="95" t="n"/>
      <c r="AQ385" s="95" t="n"/>
      <c r="AR385" s="95" t="n"/>
      <c r="AS385" s="95" t="n"/>
      <c r="AT385" s="96" t="n"/>
      <c r="AU385" s="96" t="n"/>
      <c r="AV385" s="96" t="n"/>
      <c r="AW385" s="97" t="n"/>
      <c r="AX385" s="97" t="n"/>
      <c r="AY385" s="97" t="n"/>
      <c r="AZ385" s="97" t="n"/>
      <c r="BA385" s="97" t="n"/>
      <c r="BB385" s="98" t="n"/>
      <c r="BC385" s="98" t="n"/>
      <c r="BD385" s="99">
        <f>IF($A385="","",IF($DJ385&lt;&gt;"","FIX",IF($DK385&lt;&gt;"","CHECK","OK")))</f>
        <v/>
      </c>
      <c r="BE385" s="100">
        <f>IF($A385="","",IF($DJ385&lt;&gt;"","FIX: "&amp;LEFT($DJ385,LEN($DJ385)-2)&amp;IF($DK385&lt;&gt;"","  ·  ",""),"")&amp;IF($DK385&lt;&gt;"","CHECK: "&amp;LEFT($DK385,LEN($DK385)-2),""))</f>
        <v/>
      </c>
      <c r="BF385" s="99">
        <f>IF(OR($A385="",$K385=""),"",$K385&amp;"'-"&amp;N($L385)&amp;CHAR(34)&amp;" x "&amp;$M385&amp;"'-"&amp;N($N385)&amp;CHAR(34))</f>
        <v/>
      </c>
      <c r="BG385" s="99">
        <f>IF(OR($A385="",$K385=""),"",$K385&amp;N($L385)&amp;$M385&amp;N($N385))</f>
        <v/>
      </c>
      <c r="BH385" s="99">
        <f>IF(OR($A385="",$K385=""),"",$K385*12+N($L385))</f>
        <v/>
      </c>
      <c r="BI385" s="99">
        <f>IF(OR($A385="",$M385=""),"",$M385*12+N($N385))</f>
        <v/>
      </c>
      <c r="BJ385" s="99">
        <f>IF($A385="","",IF(OR($C385="FRAME ONLY",$S385="BL"),0,IF($O385="Y",2,1)))</f>
        <v/>
      </c>
      <c r="BK385" s="101">
        <f>IF(OR(N($BJ385)=0,$BH385=""),"",($BH385-2*EdgeClr-IF($BJ385=2,MeetClr,0))/$BJ385)</f>
        <v/>
      </c>
      <c r="BL385" s="101">
        <f>IF(OR(N($BJ385)=0,$BI385=""),"",$BI385-HeadClr-Undercut)</f>
        <v/>
      </c>
      <c r="BM385" s="101">
        <f>IF($BH385="","",$BH385+2*FaceW+IF(N($Q385)&gt;0,($Q385+FaceW)*IF($R385="LR",2,1),0))</f>
        <v/>
      </c>
      <c r="BN385" s="101">
        <f>IF($BI385="","",$BI385+IF($AB385="Y",4,FaceW)+IF(N($P385)&gt;0,$P385+FaceW,0)+IF(OR($S385="4F",$S385="BL"),FaceW,0))</f>
        <v/>
      </c>
      <c r="BO385" s="101">
        <f>IF($BM385="","",$BM385+2*ROSide)</f>
        <v/>
      </c>
      <c r="BP385" s="101">
        <f>IF($BN385="","",$BN385+ROTop)</f>
        <v/>
      </c>
      <c r="BQ385" s="102">
        <f>IF(OR(N($BJ385)=0,$BH385=""),"",$BH385/$BJ385-ClearDeduct)</f>
        <v/>
      </c>
      <c r="BR385" s="99">
        <f>IF(N($CH385)=0,"",IF($CH385&gt;=180,"A · 3 HR",IF($CH385&gt;=90,"B · 1-1/2 HR",IF($CH385&gt;=60,"B · 1 HR",IF($CH385&gt;=45,"C · 3/4 HR","20 MIN")))))&amp;IF(AND(N($CH385)&gt;0,OR($I385="CORRIDOR",$I385="SMOKE BARRIER"))," · S","")</f>
        <v/>
      </c>
      <c r="BS385" s="99">
        <f>IF($CS385,"",IF($AV385&lt;&gt;"",$AV385,IF(OR($AC385="HGC",$AO385="HGC"),"CONT",IF(($BI385-HeadClr-Undercut)&lt;=60,2,IF(($BI385-HeadClr-Undercut)&lt;=90,3,IF(($BI385-HeadClr-Undercut)&lt;=120,4,5))))))</f>
        <v/>
      </c>
      <c r="BT385" s="99">
        <f>IF($CS385,"",IF($CT385,"CUSTOM (typed)",IF($CV385,$AT385&amp;" "&amp;$CU385&amp;CHAR(34)&amp;IF($CU385&lt;&gt;$BI385,IF(AND($BI385&lt;$CU385,$BI385-IF(N(VLOOKUP($AT385&amp;"|"&amp;$CU385,LocTable,7,FALSE))&gt;0,VLOOKUP($AT385&amp;"|"&amp;$CU385,LocTable,7,FALSE),VLOOKUP($AT385&amp;"|"&amp;$CU385,LocTable,6,FALSE))-$CR385-0.75&gt;=2.125)," cut down"," adj."),""),"ANSI/SDI A250.6")))</f>
        <v/>
      </c>
      <c r="BU385" s="103">
        <f>IF($CS385,"",IF($CT385,IF(N($AW385)&gt;0,N($AW385),""),IF(1&gt;$CQ385,"",IF($CQ385=1,$CW385,$CW385+($CX385-$CW385)*0/($CQ385-1)))))</f>
        <v/>
      </c>
      <c r="BV385" s="103">
        <f>IF($CS385,"",IF($CT385,IF(N($AX385)&gt;0,N($AX385),""),IF(2&gt;$CQ385,"",IF($CQ385=1,$CW385,$CW385+($CX385-$CW385)*1/($CQ385-1)))))</f>
        <v/>
      </c>
      <c r="BW385" s="103">
        <f>IF($CS385,"",IF($CT385,IF(N($AY385)&gt;0,N($AY385),""),IF(3&gt;$CQ385,"",IF($CQ385=1,$CW385,$CW385+($CX385-$CW385)*2/($CQ385-1)))))</f>
        <v/>
      </c>
      <c r="BX385" s="103">
        <f>IF($CS385,"",IF($CT385,IF(N($AZ385)&gt;0,N($AZ385),""),IF(4&gt;$CQ385,"",IF($CQ385=1,$CW385,$CW385+($CX385-$CW385)*3/($CQ385-1)))))</f>
        <v/>
      </c>
      <c r="BY385" s="103">
        <f>IF($CS385,"",IF($CT385,"",IF(5&gt;$CQ385,"",IF($CQ385=1,$CW385,$CW385+($CX385-$CW385)*4/($CQ385-1)))))</f>
        <v/>
      </c>
      <c r="BZ385" s="103">
        <f>IF(OR($CS385,$AP385="-",AND($AP385="",$AD385="")),"",IF(N($BA385)&gt;0,N($BA385),IF($CV385,IF(AND($BI385&lt;$CU385,$BI385-IF(N(VLOOKUP($AT385&amp;"|"&amp;$CU385,LocTable,7,FALSE))&gt;0,VLOOKUP($AT385&amp;"|"&amp;$CU385,LocTable,7,FALSE),VLOOKUP($AT385&amp;"|"&amp;$CU385,LocTable,6,FALSE))-$CR385-0.75&gt;=2.125),VLOOKUP($AT385&amp;"|"&amp;$CU385,LocTable,8,FALSE),VLOOKUP($AT385&amp;"|"&amp;$CU385,LocTable,8,FALSE)+($BI385-$CU385)),$BI385-LockAFF)))</f>
        <v/>
      </c>
      <c r="CA385" s="104">
        <f>IF($BZ385="","",$BI385-$BZ385)</f>
        <v/>
      </c>
      <c r="CB385" s="99">
        <f>IF(OR(NOT(AND($A385&lt;&gt;"",$C385&lt;&gt;"DOOR ONLY")),$BI385=""),"",IF(($BI385+IF(N($P385)&gt;0,$P385+FaceW,0))&lt;=90,3,IF(($BI385+IF(N($P385)&gt;0,$P385+FaceW,0))&lt;=114,4,5)))</f>
        <v/>
      </c>
      <c r="CC385" s="99">
        <f>IF($CB385="","",$CB385*(2+IF(N($Q385)&gt;0,IF($R385="LR",2,1),0)))</f>
        <v/>
      </c>
      <c r="CD385" s="99">
        <f>IF($CB385="","",(2+IF(N($Q385)&gt;0,IF($R385="LR",2,1),0)))</f>
        <v/>
      </c>
      <c r="CE385" s="99">
        <f>IF(N($BJ385)=0,"",IF(OR($AL385="",$AL385="FLUSH"),"FLUSH",IFERROR(LEFT($AL385,FIND("-",$AL385)-1),LEFT($AL385,2))))</f>
        <v/>
      </c>
      <c r="CF385" s="99">
        <f>IF($CE385="","",IFERROR(VALUE(MID($AL385,FIND("-",$AL385)+1,FIND(CHAR(34)&amp;"x",$AL385)-FIND("-",$AL385)-1)),0))</f>
        <v/>
      </c>
      <c r="CG385" s="99">
        <f>IF($CE385="","",IFERROR(VALUE(MID($AL385,FIND(CHAR(34)&amp;"x",$AL385)+2,FIND(CHAR(34),$AL385,FIND(CHAR(34)&amp;"x",$AL385)+2)-FIND(CHAR(34)&amp;"x",$AL385)-2)),0))</f>
        <v/>
      </c>
      <c r="CH385" s="105">
        <f>IF(OR($A385="",$H385="",$H385="NO LAB"),0,IFERROR(VALUE(LEFT($H385,FIND(" ",$H385)-1)),0))</f>
        <v/>
      </c>
      <c r="CI385" s="106">
        <f>IF(OR($A385="",$I385="",$I385="NON-RATED",N($J385)=0),"",IFERROR(VLOOKUP($I385&amp;"|"&amp;$J385,IBC,2,FALSE),"?"))</f>
        <v/>
      </c>
      <c r="CJ385" s="100">
        <f>IF(NOT(AND($A385&lt;&gt;"",$C385&lt;&gt;"DOOR ONLY")),"",TRIM(IFERROR(VLOOKUP($U385,CODES,2,FALSE),"")&amp;" "&amp;$BG385&amp;" "&amp;IFERROR(VLOOKUP($Z385,CODES,2,FALSE),"")&amp;" "&amp;IFERROR(VLOOKUP($X385,CODES,2,FALSE),"")&amp;" "&amp;IFERROR(VLOOKUP($S385,CODES,2,FALSE),"")&amp;IF(N($P385)&gt;0," w/TRANSOM "&amp;$P385&amp;CHAR(34),"")&amp;IF(N($Q385)&gt;0," w/SIDELITE "&amp;$Q385&amp;CHAR(34)&amp;" "&amp;IF($R385="","R",$R385),"")&amp;IF($Y385="","  |  "," | "&amp;IFERROR(VLOOKUP($Y385,CODES,2,FALSE),"")&amp;" | ")&amp;IFERROR(VLOOKUP($AC385,CODES,2,FALSE),"")&amp;" "&amp;IFERROR(VLOOKUP($AD385,CODES,2,FALSE),"")&amp;IF(OR($AE385="",$AE385="-"),""," "&amp;$AE385)&amp;IF(OR($AF385="",$AF385="-"),""," "&amp;$AF385)&amp;IF($AB385="Y"," 4"&amp;CHAR(34)&amp;" HEAD","")&amp;" "&amp;IFERROR(VLOOKUP($H385,CODES,2,FALSE),"")&amp;IF($CT385," | LOC "&amp;$CY385,"")))</f>
        <v/>
      </c>
      <c r="CK385" s="100">
        <f>IF(NOT(AND($A385&lt;&gt;"",N($BJ385)&gt;0)),"",TRIM(IFERROR(VLOOKUP($AH385,CODES,2,FALSE),"")&amp;IF($AI385=""," "," "&amp;$AI385&amp;"GA ")&amp;$BG385&amp;" "&amp;IF($AN385="",IFERROR(VLOOKUP($Z385,CODES,2,FALSE),""),IFERROR(VLOOKUP($AN385,CODES,2,FALSE),""))&amp;IF($BJ385=2," PAIR","")&amp;" DOOR | "&amp;IF($AL385="","?",$AL385)&amp;" | "&amp;IF($AO385="",IFERROR(VLOOKUP($AC385,CODES,2,FALSE),""),IFERROR(VLOOKUP($AO385,CODES,2,FALSE),""))&amp;" "&amp;IFERROR(VLOOKUP($AP385,CODES,2,FALSE),"")&amp;IF(OR($AQ385="",$AQ385="-"),""," SEAM "&amp;$AQ385)&amp;IF($AR385="Y"," ASTRAGAL","")&amp;IF($AJ385=""," "," "&amp;$AJ385)&amp;IF($AK385=""," "," "&amp;$AK385)&amp;IF(OR($AT385="",$AT385="ANSI/SDI",$AT385="CUSTOM LOC"),""," "&amp;$AT385)&amp;IF($AM385=""," "," SERIES "&amp;$AM385)&amp;" "&amp;IFERROR(VLOOKUP($H385,CODES,2,FALSE),"")&amp;IF($CT385," | LOC "&amp;$CZ385,"")))</f>
        <v/>
      </c>
      <c r="CL385" s="99">
        <f>IF(CP385="","",IF(COUNTIF($CP$6:CP385,CP385)=1,MAX($CL$5:CL384)+1,INDEX($CL$5:CL384,MATCH(CP385,$CP$5:CP384,0))))</f>
        <v/>
      </c>
      <c r="CM385" s="99">
        <f>IF(NOT(AND($A385&lt;&gt;"",$C385&lt;&gt;"DOOR ONLY")),"",MAX($CM$5:CM384)+1)</f>
        <v/>
      </c>
      <c r="CN385" s="99">
        <f>IF(NOT(AND($A385&lt;&gt;"",N($BJ385)&gt;0)),"",MAX($CN$5:CN384)+1)</f>
        <v/>
      </c>
      <c r="CO385" s="99">
        <f>IF($A385="","",MAX($CO$5:CO384)+1)</f>
        <v/>
      </c>
      <c r="CP385" s="99">
        <f>IF(OR($A385="",$BH385="",$BI385=""),"",$BG385&amp;"|"&amp;$O385&amp;"|"&amp;$AL385&amp;"|"&amp;$S385&amp;"|"&amp;$P385&amp;"|"&amp;$Q385&amp;$R385&amp;"|"&amp;$C385&amp;"|"&amp;$AB385)</f>
        <v/>
      </c>
      <c r="CQ385" s="99">
        <f>N($BS385)</f>
        <v/>
      </c>
      <c r="CR385" s="99">
        <f>IF(N($AU385)&gt;0,N($AU385),4.5)</f>
        <v/>
      </c>
      <c r="CS385" s="99">
        <f>OR($A385="",$BI385="",$S385="BL",AND($C385="FRAME ONLY",OR($AC385="",$AC385="BLK")))</f>
        <v/>
      </c>
      <c r="CT385" s="99">
        <f>AND(NOT($CS385),OR($AT385="CUSTOM LOC",N($AW385)+N($AX385)+N($AY385)+N($AZ385)+N($BA385)&gt;0))</f>
        <v/>
      </c>
      <c r="CU385" s="99">
        <f>IF($BI385="","",IF($BI385&lt;=80,80,IF($BI385&lt;=84,84,96)))</f>
        <v/>
      </c>
      <c r="CV385" s="99">
        <f>ISNUMBER(MATCH($AT385&amp;"|80",LocKeys,0))</f>
        <v/>
      </c>
      <c r="CW385" s="101">
        <f>IF($CS385,"",IF($CV385,VLOOKUP($AT385&amp;"|"&amp;$CU385,LocTable,4,FALSE),5))</f>
        <v/>
      </c>
      <c r="CX385" s="101">
        <f>IF($CS385,"",IF($CV385,IF(OR($BI385=$CU385,AND($BI385&lt;$CU385,$BI385-IF(N(VLOOKUP($AT385&amp;"|"&amp;$CU385,LocTable,7,FALSE))&gt;0,VLOOKUP($AT385&amp;"|"&amp;$CU385,LocTable,7,FALSE),VLOOKUP($AT385&amp;"|"&amp;$CU385,LocTable,6,FALSE))-$CR385-0.75&gt;=2.125)),IF(N(VLOOKUP($AT385&amp;"|"&amp;$CU385,LocTable,7,FALSE))&gt;0,VLOOKUP($AT385&amp;"|"&amp;$CU385,LocTable,7,FALSE),VLOOKUP($AT385&amp;"|"&amp;$CU385,LocTable,6,FALSE)),$BI385-($CU385-IF(N(VLOOKUP($AT385&amp;"|"&amp;$CU385,LocTable,7,FALSE))&gt;0,VLOOKUP($AT385&amp;"|"&amp;$CU385,LocTable,7,FALSE),VLOOKUP($AT385&amp;"|"&amp;$CU385,LocTable,6,FALSE)))),$BI385-10-$CR385))</f>
        <v/>
      </c>
      <c r="CY385" s="100">
        <f>IF($CS385,"",TRIM(IF(ISNUMBER($BU385),"A "&amp;TRIM(TEXT($BU385,"# ?/??"))&amp;CHAR(34)&amp;"  ","")&amp;IF(ISNUMBER($BV385),"B "&amp;TRIM(TEXT($BV385,"# ?/??"))&amp;CHAR(34)&amp;"  ","")&amp;IF(ISNUMBER($BW385),"C "&amp;TRIM(TEXT($BW385,"# ?/??"))&amp;CHAR(34)&amp;"  ","")&amp;IF(ISNUMBER($BX385),"D "&amp;TRIM(TEXT($BX385,"# ?/??"))&amp;CHAR(34)&amp;"  ","")&amp;IF(ISNUMBER($BY385),"F "&amp;TRIM(TEXT($BY385,"# ?/??"))&amp;CHAR(34)&amp;"  ","")&amp;IF(ISNUMBER($BZ385),"E "&amp;TRIM(TEXT($BZ385,"# ?/??"))&amp;CHAR(34)&amp;"  ","")))</f>
        <v/>
      </c>
      <c r="CZ385" s="100">
        <f>IF(OR($CS385,N($BJ385)=0),"",TRIM(IF(ISNUMBER($BU385),"A "&amp;TRIM(TEXT($BU385-HeadClr,"# ?/??"))&amp;CHAR(34)&amp;"  ","")&amp;IF(ISNUMBER($BV385),"B "&amp;TRIM(TEXT($BV385-HeadClr,"# ?/??"))&amp;CHAR(34)&amp;"  ","")&amp;IF(ISNUMBER($BW385),"C "&amp;TRIM(TEXT($BW385-HeadClr,"# ?/??"))&amp;CHAR(34)&amp;"  ","")&amp;IF(ISNUMBER($BX385),"D "&amp;TRIM(TEXT($BX385-HeadClr,"# ?/??"))&amp;CHAR(34)&amp;"  ","")&amp;IF(ISNUMBER($BY385),"F "&amp;TRIM(TEXT($BY385-HeadClr,"# ?/??"))&amp;CHAR(34)&amp;"  ","")&amp;IF(ISNUMBER($BZ385),"E "&amp;TRIM(TEXT($BZ385-HeadClr,"# ?/??"))&amp;CHAR(34)&amp;"  ","")))</f>
        <v/>
      </c>
      <c r="DA385" s="99">
        <f>IF($A385="","",IF($AN385="",IFERROR(VLOOKUP($Z385,CODES,2,FALSE),""),IFERROR(VLOOKUP($AN385,CODES,2,FALSE),"")))</f>
        <v/>
      </c>
      <c r="DB385" s="99">
        <f>IF($A385="","",IF($O385="Y","PR",IF(OR($Z385="L",$Z385="RR",LEFT($Z385,2)="L-",LEFT($Z385,3)="RR-"),"LH","RH")))</f>
        <v/>
      </c>
      <c r="DC385" s="99">
        <f>IF($A385="","","S.HM"&amp;IF(OR($C385="DOOR ONLY",$X385&lt;&gt;"KD"),"MASONRY","DRYWALL")&amp;IF($C385="DOOR ONLY","",$U385)&amp;IF(AND($C385&lt;&gt;"FRAME ONLY",OR(LEFT($AH385,3)="OAK",LEFT($AH385,3)="BIR",LEFT($AH385,3)="MAP",$AH385="PC",$AH385="MC",$AH385="SCLC",$AH385="P-LAM")),"WD","HM")&amp;"1.75")</f>
        <v/>
      </c>
      <c r="DD385" s="99">
        <f>IF($CJ385="","",IF($O385="Y",$CJ385,SUBSTITUTE($CJ385,$BG385&amp;" "&amp;IFERROR(VLOOKUP($Z385,CODES,2,FALSE),"")&amp;" ",$BG385&amp;" ")))</f>
        <v/>
      </c>
      <c r="DE385" s="99">
        <f>IF($CK385="","",IF($O385="Y",$CK385,SUBSTITUTE($CK385,$BG385&amp;" "&amp;IF($AN385="",IFERROR(VLOOKUP($Z385,CODES,2,FALSE),""),IFERROR(VLOOKUP($AN385,CODES,2,FALSE),""))&amp;" ",$BG385&amp;" ")))</f>
        <v/>
      </c>
      <c r="DF385" s="99">
        <f>IF($CJ385="","",$DC385&amp;"|"&amp;$DD385&amp;"|"&amp;$DB385&amp;"|"&amp;$AT385&amp;"|"&amp;$V385&amp;"|"&amp;$Y385&amp;"|"&amp;$AB385)</f>
        <v/>
      </c>
      <c r="DG385" s="99">
        <f>IF(DF385="","",IF(COUNTIF($DF$6:DF385,DF385)=1,MAX($DG$5:DG384)+1,INDEX($DG$5:DG384,MATCH(DF385,$DF$5:DF384,0))))</f>
        <v/>
      </c>
      <c r="DH385" s="99">
        <f>IF($CK385="","",$DC385&amp;"|"&amp;$DE385&amp;"|"&amp;$AI385&amp;"|"&amp;$BK385&amp;"|"&amp;$BL385)</f>
        <v/>
      </c>
      <c r="DI385" s="99">
        <f>IF(DH385="","",IF(COUNTIF($DH$6:DH385,DH385)=1,MAX($DI$5:DI384)+1,INDEX($DI$5:DI384,MATCH(DH385,$DH$5:DH384,0))))</f>
        <v/>
      </c>
      <c r="DJ385" s="99">
        <f>IF($A385="","",IF($B385="","qty, ","")&amp;IF($C385="","scope, ","")&amp;IF(OR($K385="",$M385=""),"size, ","")&amp;IF(AND($A385&lt;&gt;"",$C385&lt;&gt;"DOOR ONLY"),IF($U385="","jamb depth, ","")&amp;IF($X385="","construction, ","")&amp;IF($Y385="","anchor, ","")&amp;IF($S385="","frame type, ",""),"")&amp;IF(AND(N($BJ385)&gt;0,$Z385=""),"hand, ","")&amp;IF(N($BJ385)&gt;0,IF($AH385="","door material, ","")&amp;IF($AL385="","face type, ","")&amp;IF($AP385="","lock prep, ","")&amp;IF(AND($AO385="",$AC385=""),"hinge prep, ",""),"")&amp;IF(AND($CH385&gt;0,$AH385="FRP"),"FRP cannot carry a label, ","")&amp;IF(AND($O385="Y",OR($Z385="L",$Z385="R",$Z385="LR",$Z385="RR")),"pair marked but hand is single, ","")&amp;IF(AND($O385&lt;&gt;"Y",OR($Z385="PR",AND(LEN($Z385)&gt;1,ISNUMBER(SEARCH("-",$Z385))))),"pair hand on a single door, ","")&amp;IF(AND(ISNUMBER($CI385),$CH385&lt;N($CI385)),"wall needs a "&amp;$CI385&amp;" min door, ","")&amp;IF(AND($CH385&gt;=180,AND(OR($CE385="FG",$CE385="HG",$CE385="FNV",$CE385="FV"),N($CF385)*N($CG385)&gt;100)),"180 min lite over 100 sq in, ","")&amp;IF(N($BK385)&gt;48,"leaf wider than 4'-0"&amp;CHAR(34)&amp;", ","")&amp;IF(AND($CT385,COUNT($AW385:$AZ385)=0,$CQ385&gt;0),"CUSTOM LOC with no locations typed, ",""))</f>
        <v/>
      </c>
      <c r="DK385" s="99">
        <f>IF($A385="","",IF(AND($CH385&gt;0,AND($A385&lt;&gt;"",$C385&lt;&gt;"DOOR ONLY"),$X385="KD",$E385="EXTERIOR"),"KD label on an exterior opening, ","")&amp;IF(AND($E385="EXTERIOR",OR(AND(AND($A385&lt;&gt;"",$C385&lt;&gt;"DOOR ONLY"),$W385="CR"),AND(N($BJ385)&gt;0,$AH385="CR"))),"exterior in CR steel (G9?), ","")&amp;IF(AND(ISNUMBER($BQ385),N($BQ385)&lt;32),"clear width ~"&amp;TEXT($BQ385,"0.0")&amp;CHAR(34)&amp;" under 32"&amp;CHAR(34)&amp;" (ADA), ","")&amp;IF(AND($CH385=90,AND(OR($CE385="FG",$CE385="HG",$CE385="FNV",$CE385="FV"),N($CF385)*N($CG385)&gt;100)),"90 min lite over 100 sq in (stair/exit), ","")&amp;IF(AND($CH385&gt;0,AND($A385&lt;&gt;"",$C385&lt;&gt;"DOOR ONLY"),OR($AF385="",$AF385="-")),"rated: closer reinf.?, ","")&amp;IF(OR($I385="CORRIDOR",$I385="SMOKE BARRIER"),"S label + smoke gasketing, ","")&amp;IF($CI385="?","wall type/hr not in IBC table, ","")&amp;IF(AND(N($BJ385)&gt;0,$BB385=""),"no hardware set, ","")&amp;IF(AND($BB385&lt;&gt;"",ISNA(MATCH($BB385&amp;"",HWSets,0))),"set "&amp;$BB385&amp;" not on HW Sets, ","")&amp;IF(N($BL385)&gt;96,"leaf over 8'-0"&amp;CHAR(34)&amp;" - check listing, ","")&amp;IF(AND($CT385,COUNT($AW385:$AZ385)&gt;0,COUNT($AW385:$AZ385)&lt;&gt;$CQ385),COUNT($AW385:$AZ385)&amp;" custom hinges typed, "&amp;$CQ385&amp;" expected, ","")&amp;IF(AND(ISNUMBER($CA385),OR(N($CA385)&lt;34,N($CA385)&gt;48)),"lock "&amp;TEXT($CA385,"0.0")&amp;CHAR(34)&amp;" AFF outside 34-48"&amp;CHAR(34)&amp;" (ADA), ","")&amp;IF(AND(ISNUMBER($AV385),ISNUMBER($BL385),N($AV385)&lt;IF(N($BL385)&lt;=60,2,IF(N($BL385)&lt;=90,3,IF(N($BL385)&lt;=120,4,5)))),"fewer hinges than standard, ",""))</f>
        <v/>
      </c>
    </row>
    <row r="386" ht="15" customHeight="1">
      <c r="A386" s="77" t="n"/>
      <c r="B386" s="78" t="n"/>
      <c r="C386" s="78" t="n"/>
      <c r="D386" s="78" t="n"/>
      <c r="E386" s="78" t="n"/>
      <c r="F386" s="78" t="n"/>
      <c r="G386" s="78" t="n"/>
      <c r="H386" s="78" t="n"/>
      <c r="I386" s="78" t="n"/>
      <c r="J386" s="78" t="n"/>
      <c r="K386" s="78" t="n"/>
      <c r="L386" s="78" t="n"/>
      <c r="M386" s="78" t="n"/>
      <c r="N386" s="78" t="n"/>
      <c r="O386" s="78" t="n"/>
      <c r="P386" s="78" t="n"/>
      <c r="Q386" s="78" t="n"/>
      <c r="R386" s="78" t="n"/>
      <c r="S386" s="79" t="n"/>
      <c r="T386" s="79" t="n"/>
      <c r="U386" s="79" t="n"/>
      <c r="V386" s="79" t="n"/>
      <c r="W386" s="79" t="n"/>
      <c r="X386" s="79" t="n"/>
      <c r="Y386" s="79" t="n"/>
      <c r="Z386" s="79" t="n"/>
      <c r="AA386" s="79" t="n"/>
      <c r="AB386" s="79" t="n"/>
      <c r="AC386" s="79" t="n"/>
      <c r="AD386" s="79" t="n"/>
      <c r="AE386" s="79" t="n"/>
      <c r="AF386" s="79" t="n"/>
      <c r="AG386" s="79" t="n"/>
      <c r="AH386" s="80" t="n"/>
      <c r="AI386" s="80" t="n"/>
      <c r="AJ386" s="80" t="n"/>
      <c r="AK386" s="80" t="n"/>
      <c r="AL386" s="80" t="n"/>
      <c r="AM386" s="80" t="n"/>
      <c r="AN386" s="80" t="n"/>
      <c r="AO386" s="80" t="n"/>
      <c r="AP386" s="80" t="n"/>
      <c r="AQ386" s="80" t="n"/>
      <c r="AR386" s="80" t="n"/>
      <c r="AS386" s="80" t="n"/>
      <c r="AT386" s="81" t="n"/>
      <c r="AU386" s="81" t="n"/>
      <c r="AV386" s="81" t="n"/>
      <c r="AW386" s="82" t="n"/>
      <c r="AX386" s="82" t="n"/>
      <c r="AY386" s="82" t="n"/>
      <c r="AZ386" s="82" t="n"/>
      <c r="BA386" s="82" t="n"/>
      <c r="BB386" s="83" t="n"/>
      <c r="BC386" s="83" t="n"/>
      <c r="BD386" s="84">
        <f>IF($A386="","",IF($DJ386&lt;&gt;"","FIX",IF($DK386&lt;&gt;"","CHECK","OK")))</f>
        <v/>
      </c>
      <c r="BE386" s="85">
        <f>IF($A386="","",IF($DJ386&lt;&gt;"","FIX: "&amp;LEFT($DJ386,LEN($DJ386)-2)&amp;IF($DK386&lt;&gt;"","  ·  ",""),"")&amp;IF($DK386&lt;&gt;"","CHECK: "&amp;LEFT($DK386,LEN($DK386)-2),""))</f>
        <v/>
      </c>
      <c r="BF386" s="84">
        <f>IF(OR($A386="",$K386=""),"",$K386&amp;"'-"&amp;N($L386)&amp;CHAR(34)&amp;" x "&amp;$M386&amp;"'-"&amp;N($N386)&amp;CHAR(34))</f>
        <v/>
      </c>
      <c r="BG386" s="84">
        <f>IF(OR($A386="",$K386=""),"",$K386&amp;N($L386)&amp;$M386&amp;N($N386))</f>
        <v/>
      </c>
      <c r="BH386" s="84">
        <f>IF(OR($A386="",$K386=""),"",$K386*12+N($L386))</f>
        <v/>
      </c>
      <c r="BI386" s="84">
        <f>IF(OR($A386="",$M386=""),"",$M386*12+N($N386))</f>
        <v/>
      </c>
      <c r="BJ386" s="84">
        <f>IF($A386="","",IF(OR($C386="FRAME ONLY",$S386="BL"),0,IF($O386="Y",2,1)))</f>
        <v/>
      </c>
      <c r="BK386" s="86">
        <f>IF(OR(N($BJ386)=0,$BH386=""),"",($BH386-2*EdgeClr-IF($BJ386=2,MeetClr,0))/$BJ386)</f>
        <v/>
      </c>
      <c r="BL386" s="86">
        <f>IF(OR(N($BJ386)=0,$BI386=""),"",$BI386-HeadClr-Undercut)</f>
        <v/>
      </c>
      <c r="BM386" s="86">
        <f>IF($BH386="","",$BH386+2*FaceW+IF(N($Q386)&gt;0,($Q386+FaceW)*IF($R386="LR",2,1),0))</f>
        <v/>
      </c>
      <c r="BN386" s="86">
        <f>IF($BI386="","",$BI386+IF($AB386="Y",4,FaceW)+IF(N($P386)&gt;0,$P386+FaceW,0)+IF(OR($S386="4F",$S386="BL"),FaceW,0))</f>
        <v/>
      </c>
      <c r="BO386" s="86">
        <f>IF($BM386="","",$BM386+2*ROSide)</f>
        <v/>
      </c>
      <c r="BP386" s="86">
        <f>IF($BN386="","",$BN386+ROTop)</f>
        <v/>
      </c>
      <c r="BQ386" s="87">
        <f>IF(OR(N($BJ386)=0,$BH386=""),"",$BH386/$BJ386-ClearDeduct)</f>
        <v/>
      </c>
      <c r="BR386" s="84">
        <f>IF(N($CH386)=0,"",IF($CH386&gt;=180,"A · 3 HR",IF($CH386&gt;=90,"B · 1-1/2 HR",IF($CH386&gt;=60,"B · 1 HR",IF($CH386&gt;=45,"C · 3/4 HR","20 MIN")))))&amp;IF(AND(N($CH386)&gt;0,OR($I386="CORRIDOR",$I386="SMOKE BARRIER"))," · S","")</f>
        <v/>
      </c>
      <c r="BS386" s="84">
        <f>IF($CS386,"",IF($AV386&lt;&gt;"",$AV386,IF(OR($AC386="HGC",$AO386="HGC"),"CONT",IF(($BI386-HeadClr-Undercut)&lt;=60,2,IF(($BI386-HeadClr-Undercut)&lt;=90,3,IF(($BI386-HeadClr-Undercut)&lt;=120,4,5))))))</f>
        <v/>
      </c>
      <c r="BT386" s="84">
        <f>IF($CS386,"",IF($CT386,"CUSTOM (typed)",IF($CV386,$AT386&amp;" "&amp;$CU386&amp;CHAR(34)&amp;IF($CU386&lt;&gt;$BI386,IF(AND($BI386&lt;$CU386,$BI386-IF(N(VLOOKUP($AT386&amp;"|"&amp;$CU386,LocTable,7,FALSE))&gt;0,VLOOKUP($AT386&amp;"|"&amp;$CU386,LocTable,7,FALSE),VLOOKUP($AT386&amp;"|"&amp;$CU386,LocTable,6,FALSE))-$CR386-0.75&gt;=2.125)," cut down"," adj."),""),"ANSI/SDI A250.6")))</f>
        <v/>
      </c>
      <c r="BU386" s="88">
        <f>IF($CS386,"",IF($CT386,IF(N($AW386)&gt;0,N($AW386),""),IF(1&gt;$CQ386,"",IF($CQ386=1,$CW386,$CW386+($CX386-$CW386)*0/($CQ386-1)))))</f>
        <v/>
      </c>
      <c r="BV386" s="88">
        <f>IF($CS386,"",IF($CT386,IF(N($AX386)&gt;0,N($AX386),""),IF(2&gt;$CQ386,"",IF($CQ386=1,$CW386,$CW386+($CX386-$CW386)*1/($CQ386-1)))))</f>
        <v/>
      </c>
      <c r="BW386" s="88">
        <f>IF($CS386,"",IF($CT386,IF(N($AY386)&gt;0,N($AY386),""),IF(3&gt;$CQ386,"",IF($CQ386=1,$CW386,$CW386+($CX386-$CW386)*2/($CQ386-1)))))</f>
        <v/>
      </c>
      <c r="BX386" s="88">
        <f>IF($CS386,"",IF($CT386,IF(N($AZ386)&gt;0,N($AZ386),""),IF(4&gt;$CQ386,"",IF($CQ386=1,$CW386,$CW386+($CX386-$CW386)*3/($CQ386-1)))))</f>
        <v/>
      </c>
      <c r="BY386" s="88">
        <f>IF($CS386,"",IF($CT386,"",IF(5&gt;$CQ386,"",IF($CQ386=1,$CW386,$CW386+($CX386-$CW386)*4/($CQ386-1)))))</f>
        <v/>
      </c>
      <c r="BZ386" s="88">
        <f>IF(OR($CS386,$AP386="-",AND($AP386="",$AD386="")),"",IF(N($BA386)&gt;0,N($BA386),IF($CV386,IF(AND($BI386&lt;$CU386,$BI386-IF(N(VLOOKUP($AT386&amp;"|"&amp;$CU386,LocTable,7,FALSE))&gt;0,VLOOKUP($AT386&amp;"|"&amp;$CU386,LocTable,7,FALSE),VLOOKUP($AT386&amp;"|"&amp;$CU386,LocTable,6,FALSE))-$CR386-0.75&gt;=2.125),VLOOKUP($AT386&amp;"|"&amp;$CU386,LocTable,8,FALSE),VLOOKUP($AT386&amp;"|"&amp;$CU386,LocTable,8,FALSE)+($BI386-$CU386)),$BI386-LockAFF)))</f>
        <v/>
      </c>
      <c r="CA386" s="89">
        <f>IF($BZ386="","",$BI386-$BZ386)</f>
        <v/>
      </c>
      <c r="CB386" s="84">
        <f>IF(OR(NOT(AND($A386&lt;&gt;"",$C386&lt;&gt;"DOOR ONLY")),$BI386=""),"",IF(($BI386+IF(N($P386)&gt;0,$P386+FaceW,0))&lt;=90,3,IF(($BI386+IF(N($P386)&gt;0,$P386+FaceW,0))&lt;=114,4,5)))</f>
        <v/>
      </c>
      <c r="CC386" s="84">
        <f>IF($CB386="","",$CB386*(2+IF(N($Q386)&gt;0,IF($R386="LR",2,1),0)))</f>
        <v/>
      </c>
      <c r="CD386" s="84">
        <f>IF($CB386="","",(2+IF(N($Q386)&gt;0,IF($R386="LR",2,1),0)))</f>
        <v/>
      </c>
      <c r="CE386" s="84">
        <f>IF(N($BJ386)=0,"",IF(OR($AL386="",$AL386="FLUSH"),"FLUSH",IFERROR(LEFT($AL386,FIND("-",$AL386)-1),LEFT($AL386,2))))</f>
        <v/>
      </c>
      <c r="CF386" s="84">
        <f>IF($CE386="","",IFERROR(VALUE(MID($AL386,FIND("-",$AL386)+1,FIND(CHAR(34)&amp;"x",$AL386)-FIND("-",$AL386)-1)),0))</f>
        <v/>
      </c>
      <c r="CG386" s="84">
        <f>IF($CE386="","",IFERROR(VALUE(MID($AL386,FIND(CHAR(34)&amp;"x",$AL386)+2,FIND(CHAR(34),$AL386,FIND(CHAR(34)&amp;"x",$AL386)+2)-FIND(CHAR(34)&amp;"x",$AL386)-2)),0))</f>
        <v/>
      </c>
      <c r="CH386" s="90">
        <f>IF(OR($A386="",$H386="",$H386="NO LAB"),0,IFERROR(VALUE(LEFT($H386,FIND(" ",$H386)-1)),0))</f>
        <v/>
      </c>
      <c r="CI386" s="91">
        <f>IF(OR($A386="",$I386="",$I386="NON-RATED",N($J386)=0),"",IFERROR(VLOOKUP($I386&amp;"|"&amp;$J386,IBC,2,FALSE),"?"))</f>
        <v/>
      </c>
      <c r="CJ386" s="85">
        <f>IF(NOT(AND($A386&lt;&gt;"",$C386&lt;&gt;"DOOR ONLY")),"",TRIM(IFERROR(VLOOKUP($U386,CODES,2,FALSE),"")&amp;" "&amp;$BG386&amp;" "&amp;IFERROR(VLOOKUP($Z386,CODES,2,FALSE),"")&amp;" "&amp;IFERROR(VLOOKUP($X386,CODES,2,FALSE),"")&amp;" "&amp;IFERROR(VLOOKUP($S386,CODES,2,FALSE),"")&amp;IF(N($P386)&gt;0," w/TRANSOM "&amp;$P386&amp;CHAR(34),"")&amp;IF(N($Q386)&gt;0," w/SIDELITE "&amp;$Q386&amp;CHAR(34)&amp;" "&amp;IF($R386="","R",$R386),"")&amp;IF($Y386="","  |  "," | "&amp;IFERROR(VLOOKUP($Y386,CODES,2,FALSE),"")&amp;" | ")&amp;IFERROR(VLOOKUP($AC386,CODES,2,FALSE),"")&amp;" "&amp;IFERROR(VLOOKUP($AD386,CODES,2,FALSE),"")&amp;IF(OR($AE386="",$AE386="-"),""," "&amp;$AE386)&amp;IF(OR($AF386="",$AF386="-"),""," "&amp;$AF386)&amp;IF($AB386="Y"," 4"&amp;CHAR(34)&amp;" HEAD","")&amp;" "&amp;IFERROR(VLOOKUP($H386,CODES,2,FALSE),"")&amp;IF($CT386," | LOC "&amp;$CY386,"")))</f>
        <v/>
      </c>
      <c r="CK386" s="85">
        <f>IF(NOT(AND($A386&lt;&gt;"",N($BJ386)&gt;0)),"",TRIM(IFERROR(VLOOKUP($AH386,CODES,2,FALSE),"")&amp;IF($AI386=""," "," "&amp;$AI386&amp;"GA ")&amp;$BG386&amp;" "&amp;IF($AN386="",IFERROR(VLOOKUP($Z386,CODES,2,FALSE),""),IFERROR(VLOOKUP($AN386,CODES,2,FALSE),""))&amp;IF($BJ386=2," PAIR","")&amp;" DOOR | "&amp;IF($AL386="","?",$AL386)&amp;" | "&amp;IF($AO386="",IFERROR(VLOOKUP($AC386,CODES,2,FALSE),""),IFERROR(VLOOKUP($AO386,CODES,2,FALSE),""))&amp;" "&amp;IFERROR(VLOOKUP($AP386,CODES,2,FALSE),"")&amp;IF(OR($AQ386="",$AQ386="-"),""," SEAM "&amp;$AQ386)&amp;IF($AR386="Y"," ASTRAGAL","")&amp;IF($AJ386=""," "," "&amp;$AJ386)&amp;IF($AK386=""," "," "&amp;$AK386)&amp;IF(OR($AT386="",$AT386="ANSI/SDI",$AT386="CUSTOM LOC"),""," "&amp;$AT386)&amp;IF($AM386=""," "," SERIES "&amp;$AM386)&amp;" "&amp;IFERROR(VLOOKUP($H386,CODES,2,FALSE),"")&amp;IF($CT386," | LOC "&amp;$CZ386,"")))</f>
        <v/>
      </c>
      <c r="CL386" s="84">
        <f>IF(CP386="","",IF(COUNTIF($CP$6:CP386,CP386)=1,MAX($CL$5:CL385)+1,INDEX($CL$5:CL385,MATCH(CP386,$CP$5:CP385,0))))</f>
        <v/>
      </c>
      <c r="CM386" s="84">
        <f>IF(NOT(AND($A386&lt;&gt;"",$C386&lt;&gt;"DOOR ONLY")),"",MAX($CM$5:CM385)+1)</f>
        <v/>
      </c>
      <c r="CN386" s="84">
        <f>IF(NOT(AND($A386&lt;&gt;"",N($BJ386)&gt;0)),"",MAX($CN$5:CN385)+1)</f>
        <v/>
      </c>
      <c r="CO386" s="84">
        <f>IF($A386="","",MAX($CO$5:CO385)+1)</f>
        <v/>
      </c>
      <c r="CP386" s="84">
        <f>IF(OR($A386="",$BH386="",$BI386=""),"",$BG386&amp;"|"&amp;$O386&amp;"|"&amp;$AL386&amp;"|"&amp;$S386&amp;"|"&amp;$P386&amp;"|"&amp;$Q386&amp;$R386&amp;"|"&amp;$C386&amp;"|"&amp;$AB386)</f>
        <v/>
      </c>
      <c r="CQ386" s="84">
        <f>N($BS386)</f>
        <v/>
      </c>
      <c r="CR386" s="84">
        <f>IF(N($AU386)&gt;0,N($AU386),4.5)</f>
        <v/>
      </c>
      <c r="CS386" s="84">
        <f>OR($A386="",$BI386="",$S386="BL",AND($C386="FRAME ONLY",OR($AC386="",$AC386="BLK")))</f>
        <v/>
      </c>
      <c r="CT386" s="84">
        <f>AND(NOT($CS386),OR($AT386="CUSTOM LOC",N($AW386)+N($AX386)+N($AY386)+N($AZ386)+N($BA386)&gt;0))</f>
        <v/>
      </c>
      <c r="CU386" s="84">
        <f>IF($BI386="","",IF($BI386&lt;=80,80,IF($BI386&lt;=84,84,96)))</f>
        <v/>
      </c>
      <c r="CV386" s="84">
        <f>ISNUMBER(MATCH($AT386&amp;"|80",LocKeys,0))</f>
        <v/>
      </c>
      <c r="CW386" s="86">
        <f>IF($CS386,"",IF($CV386,VLOOKUP($AT386&amp;"|"&amp;$CU386,LocTable,4,FALSE),5))</f>
        <v/>
      </c>
      <c r="CX386" s="86">
        <f>IF($CS386,"",IF($CV386,IF(OR($BI386=$CU386,AND($BI386&lt;$CU386,$BI386-IF(N(VLOOKUP($AT386&amp;"|"&amp;$CU386,LocTable,7,FALSE))&gt;0,VLOOKUP($AT386&amp;"|"&amp;$CU386,LocTable,7,FALSE),VLOOKUP($AT386&amp;"|"&amp;$CU386,LocTable,6,FALSE))-$CR386-0.75&gt;=2.125)),IF(N(VLOOKUP($AT386&amp;"|"&amp;$CU386,LocTable,7,FALSE))&gt;0,VLOOKUP($AT386&amp;"|"&amp;$CU386,LocTable,7,FALSE),VLOOKUP($AT386&amp;"|"&amp;$CU386,LocTable,6,FALSE)),$BI386-($CU386-IF(N(VLOOKUP($AT386&amp;"|"&amp;$CU386,LocTable,7,FALSE))&gt;0,VLOOKUP($AT386&amp;"|"&amp;$CU386,LocTable,7,FALSE),VLOOKUP($AT386&amp;"|"&amp;$CU386,LocTable,6,FALSE)))),$BI386-10-$CR386))</f>
        <v/>
      </c>
      <c r="CY386" s="85">
        <f>IF($CS386,"",TRIM(IF(ISNUMBER($BU386),"A "&amp;TRIM(TEXT($BU386,"# ?/??"))&amp;CHAR(34)&amp;"  ","")&amp;IF(ISNUMBER($BV386),"B "&amp;TRIM(TEXT($BV386,"# ?/??"))&amp;CHAR(34)&amp;"  ","")&amp;IF(ISNUMBER($BW386),"C "&amp;TRIM(TEXT($BW386,"# ?/??"))&amp;CHAR(34)&amp;"  ","")&amp;IF(ISNUMBER($BX386),"D "&amp;TRIM(TEXT($BX386,"# ?/??"))&amp;CHAR(34)&amp;"  ","")&amp;IF(ISNUMBER($BY386),"F "&amp;TRIM(TEXT($BY386,"# ?/??"))&amp;CHAR(34)&amp;"  ","")&amp;IF(ISNUMBER($BZ386),"E "&amp;TRIM(TEXT($BZ386,"# ?/??"))&amp;CHAR(34)&amp;"  ","")))</f>
        <v/>
      </c>
      <c r="CZ386" s="85">
        <f>IF(OR($CS386,N($BJ386)=0),"",TRIM(IF(ISNUMBER($BU386),"A "&amp;TRIM(TEXT($BU386-HeadClr,"# ?/??"))&amp;CHAR(34)&amp;"  ","")&amp;IF(ISNUMBER($BV386),"B "&amp;TRIM(TEXT($BV386-HeadClr,"# ?/??"))&amp;CHAR(34)&amp;"  ","")&amp;IF(ISNUMBER($BW386),"C "&amp;TRIM(TEXT($BW386-HeadClr,"# ?/??"))&amp;CHAR(34)&amp;"  ","")&amp;IF(ISNUMBER($BX386),"D "&amp;TRIM(TEXT($BX386-HeadClr,"# ?/??"))&amp;CHAR(34)&amp;"  ","")&amp;IF(ISNUMBER($BY386),"F "&amp;TRIM(TEXT($BY386-HeadClr,"# ?/??"))&amp;CHAR(34)&amp;"  ","")&amp;IF(ISNUMBER($BZ386),"E "&amp;TRIM(TEXT($BZ386-HeadClr,"# ?/??"))&amp;CHAR(34)&amp;"  ","")))</f>
        <v/>
      </c>
      <c r="DA386" s="84">
        <f>IF($A386="","",IF($AN386="",IFERROR(VLOOKUP($Z386,CODES,2,FALSE),""),IFERROR(VLOOKUP($AN386,CODES,2,FALSE),"")))</f>
        <v/>
      </c>
      <c r="DB386" s="84">
        <f>IF($A386="","",IF($O386="Y","PR",IF(OR($Z386="L",$Z386="RR",LEFT($Z386,2)="L-",LEFT($Z386,3)="RR-"),"LH","RH")))</f>
        <v/>
      </c>
      <c r="DC386" s="84">
        <f>IF($A386="","","S.HM"&amp;IF(OR($C386="DOOR ONLY",$X386&lt;&gt;"KD"),"MASONRY","DRYWALL")&amp;IF($C386="DOOR ONLY","",$U386)&amp;IF(AND($C386&lt;&gt;"FRAME ONLY",OR(LEFT($AH386,3)="OAK",LEFT($AH386,3)="BIR",LEFT($AH386,3)="MAP",$AH386="PC",$AH386="MC",$AH386="SCLC",$AH386="P-LAM")),"WD","HM")&amp;"1.75")</f>
        <v/>
      </c>
      <c r="DD386" s="84">
        <f>IF($CJ386="","",IF($O386="Y",$CJ386,SUBSTITUTE($CJ386,$BG386&amp;" "&amp;IFERROR(VLOOKUP($Z386,CODES,2,FALSE),"")&amp;" ",$BG386&amp;" ")))</f>
        <v/>
      </c>
      <c r="DE386" s="84">
        <f>IF($CK386="","",IF($O386="Y",$CK386,SUBSTITUTE($CK386,$BG386&amp;" "&amp;IF($AN386="",IFERROR(VLOOKUP($Z386,CODES,2,FALSE),""),IFERROR(VLOOKUP($AN386,CODES,2,FALSE),""))&amp;" ",$BG386&amp;" ")))</f>
        <v/>
      </c>
      <c r="DF386" s="84">
        <f>IF($CJ386="","",$DC386&amp;"|"&amp;$DD386&amp;"|"&amp;$DB386&amp;"|"&amp;$AT386&amp;"|"&amp;$V386&amp;"|"&amp;$Y386&amp;"|"&amp;$AB386)</f>
        <v/>
      </c>
      <c r="DG386" s="84">
        <f>IF(DF386="","",IF(COUNTIF($DF$6:DF386,DF386)=1,MAX($DG$5:DG385)+1,INDEX($DG$5:DG385,MATCH(DF386,$DF$5:DF385,0))))</f>
        <v/>
      </c>
      <c r="DH386" s="84">
        <f>IF($CK386="","",$DC386&amp;"|"&amp;$DE386&amp;"|"&amp;$AI386&amp;"|"&amp;$BK386&amp;"|"&amp;$BL386)</f>
        <v/>
      </c>
      <c r="DI386" s="84">
        <f>IF(DH386="","",IF(COUNTIF($DH$6:DH386,DH386)=1,MAX($DI$5:DI385)+1,INDEX($DI$5:DI385,MATCH(DH386,$DH$5:DH385,0))))</f>
        <v/>
      </c>
      <c r="DJ386" s="84">
        <f>IF($A386="","",IF($B386="","qty, ","")&amp;IF($C386="","scope, ","")&amp;IF(OR($K386="",$M386=""),"size, ","")&amp;IF(AND($A386&lt;&gt;"",$C386&lt;&gt;"DOOR ONLY"),IF($U386="","jamb depth, ","")&amp;IF($X386="","construction, ","")&amp;IF($Y386="","anchor, ","")&amp;IF($S386="","frame type, ",""),"")&amp;IF(AND(N($BJ386)&gt;0,$Z386=""),"hand, ","")&amp;IF(N($BJ386)&gt;0,IF($AH386="","door material, ","")&amp;IF($AL386="","face type, ","")&amp;IF($AP386="","lock prep, ","")&amp;IF(AND($AO386="",$AC386=""),"hinge prep, ",""),"")&amp;IF(AND($CH386&gt;0,$AH386="FRP"),"FRP cannot carry a label, ","")&amp;IF(AND($O386="Y",OR($Z386="L",$Z386="R",$Z386="LR",$Z386="RR")),"pair marked but hand is single, ","")&amp;IF(AND($O386&lt;&gt;"Y",OR($Z386="PR",AND(LEN($Z386)&gt;1,ISNUMBER(SEARCH("-",$Z386))))),"pair hand on a single door, ","")&amp;IF(AND(ISNUMBER($CI386),$CH386&lt;N($CI386)),"wall needs a "&amp;$CI386&amp;" min door, ","")&amp;IF(AND($CH386&gt;=180,AND(OR($CE386="FG",$CE386="HG",$CE386="FNV",$CE386="FV"),N($CF386)*N($CG386)&gt;100)),"180 min lite over 100 sq in, ","")&amp;IF(N($BK386)&gt;48,"leaf wider than 4'-0"&amp;CHAR(34)&amp;", ","")&amp;IF(AND($CT386,COUNT($AW386:$AZ386)=0,$CQ386&gt;0),"CUSTOM LOC with no locations typed, ",""))</f>
        <v/>
      </c>
      <c r="DK386" s="84">
        <f>IF($A386="","",IF(AND($CH386&gt;0,AND($A386&lt;&gt;"",$C386&lt;&gt;"DOOR ONLY"),$X386="KD",$E386="EXTERIOR"),"KD label on an exterior opening, ","")&amp;IF(AND($E386="EXTERIOR",OR(AND(AND($A386&lt;&gt;"",$C386&lt;&gt;"DOOR ONLY"),$W386="CR"),AND(N($BJ386)&gt;0,$AH386="CR"))),"exterior in CR steel (G9?), ","")&amp;IF(AND(ISNUMBER($BQ386),N($BQ386)&lt;32),"clear width ~"&amp;TEXT($BQ386,"0.0")&amp;CHAR(34)&amp;" under 32"&amp;CHAR(34)&amp;" (ADA), ","")&amp;IF(AND($CH386=90,AND(OR($CE386="FG",$CE386="HG",$CE386="FNV",$CE386="FV"),N($CF386)*N($CG386)&gt;100)),"90 min lite over 100 sq in (stair/exit), ","")&amp;IF(AND($CH386&gt;0,AND($A386&lt;&gt;"",$C386&lt;&gt;"DOOR ONLY"),OR($AF386="",$AF386="-")),"rated: closer reinf.?, ","")&amp;IF(OR($I386="CORRIDOR",$I386="SMOKE BARRIER"),"S label + smoke gasketing, ","")&amp;IF($CI386="?","wall type/hr not in IBC table, ","")&amp;IF(AND(N($BJ386)&gt;0,$BB386=""),"no hardware set, ","")&amp;IF(AND($BB386&lt;&gt;"",ISNA(MATCH($BB386&amp;"",HWSets,0))),"set "&amp;$BB386&amp;" not on HW Sets, ","")&amp;IF(N($BL386)&gt;96,"leaf over 8'-0"&amp;CHAR(34)&amp;" - check listing, ","")&amp;IF(AND($CT386,COUNT($AW386:$AZ386)&gt;0,COUNT($AW386:$AZ386)&lt;&gt;$CQ386),COUNT($AW386:$AZ386)&amp;" custom hinges typed, "&amp;$CQ386&amp;" expected, ","")&amp;IF(AND(ISNUMBER($CA386),OR(N($CA386)&lt;34,N($CA386)&gt;48)),"lock "&amp;TEXT($CA386,"0.0")&amp;CHAR(34)&amp;" AFF outside 34-48"&amp;CHAR(34)&amp;" (ADA), ","")&amp;IF(AND(ISNUMBER($AV386),ISNUMBER($BL386),N($AV386)&lt;IF(N($BL386)&lt;=60,2,IF(N($BL386)&lt;=90,3,IF(N($BL386)&lt;=120,4,5)))),"fewer hinges than standard, ",""))</f>
        <v/>
      </c>
    </row>
    <row r="387" ht="15" customHeight="1">
      <c r="A387" s="77" t="n"/>
      <c r="B387" s="78" t="n"/>
      <c r="C387" s="78" t="n"/>
      <c r="D387" s="78" t="n"/>
      <c r="E387" s="78" t="n"/>
      <c r="F387" s="78" t="n"/>
      <c r="G387" s="78" t="n"/>
      <c r="H387" s="78" t="n"/>
      <c r="I387" s="78" t="n"/>
      <c r="J387" s="78" t="n"/>
      <c r="K387" s="78" t="n"/>
      <c r="L387" s="78" t="n"/>
      <c r="M387" s="78" t="n"/>
      <c r="N387" s="78" t="n"/>
      <c r="O387" s="78" t="n"/>
      <c r="P387" s="78" t="n"/>
      <c r="Q387" s="78" t="n"/>
      <c r="R387" s="78" t="n"/>
      <c r="S387" s="79" t="n"/>
      <c r="T387" s="79" t="n"/>
      <c r="U387" s="79" t="n"/>
      <c r="V387" s="79" t="n"/>
      <c r="W387" s="79" t="n"/>
      <c r="X387" s="79" t="n"/>
      <c r="Y387" s="79" t="n"/>
      <c r="Z387" s="79" t="n"/>
      <c r="AA387" s="79" t="n"/>
      <c r="AB387" s="79" t="n"/>
      <c r="AC387" s="79" t="n"/>
      <c r="AD387" s="79" t="n"/>
      <c r="AE387" s="79" t="n"/>
      <c r="AF387" s="79" t="n"/>
      <c r="AG387" s="79" t="n"/>
      <c r="AH387" s="80" t="n"/>
      <c r="AI387" s="80" t="n"/>
      <c r="AJ387" s="80" t="n"/>
      <c r="AK387" s="80" t="n"/>
      <c r="AL387" s="80" t="n"/>
      <c r="AM387" s="80" t="n"/>
      <c r="AN387" s="80" t="n"/>
      <c r="AO387" s="80" t="n"/>
      <c r="AP387" s="80" t="n"/>
      <c r="AQ387" s="80" t="n"/>
      <c r="AR387" s="80" t="n"/>
      <c r="AS387" s="80" t="n"/>
      <c r="AT387" s="81" t="n"/>
      <c r="AU387" s="81" t="n"/>
      <c r="AV387" s="81" t="n"/>
      <c r="AW387" s="82" t="n"/>
      <c r="AX387" s="82" t="n"/>
      <c r="AY387" s="82" t="n"/>
      <c r="AZ387" s="82" t="n"/>
      <c r="BA387" s="82" t="n"/>
      <c r="BB387" s="83" t="n"/>
      <c r="BC387" s="83" t="n"/>
      <c r="BD387" s="84">
        <f>IF($A387="","",IF($DJ387&lt;&gt;"","FIX",IF($DK387&lt;&gt;"","CHECK","OK")))</f>
        <v/>
      </c>
      <c r="BE387" s="85">
        <f>IF($A387="","",IF($DJ387&lt;&gt;"","FIX: "&amp;LEFT($DJ387,LEN($DJ387)-2)&amp;IF($DK387&lt;&gt;"","  ·  ",""),"")&amp;IF($DK387&lt;&gt;"","CHECK: "&amp;LEFT($DK387,LEN($DK387)-2),""))</f>
        <v/>
      </c>
      <c r="BF387" s="84">
        <f>IF(OR($A387="",$K387=""),"",$K387&amp;"'-"&amp;N($L387)&amp;CHAR(34)&amp;" x "&amp;$M387&amp;"'-"&amp;N($N387)&amp;CHAR(34))</f>
        <v/>
      </c>
      <c r="BG387" s="84">
        <f>IF(OR($A387="",$K387=""),"",$K387&amp;N($L387)&amp;$M387&amp;N($N387))</f>
        <v/>
      </c>
      <c r="BH387" s="84">
        <f>IF(OR($A387="",$K387=""),"",$K387*12+N($L387))</f>
        <v/>
      </c>
      <c r="BI387" s="84">
        <f>IF(OR($A387="",$M387=""),"",$M387*12+N($N387))</f>
        <v/>
      </c>
      <c r="BJ387" s="84">
        <f>IF($A387="","",IF(OR($C387="FRAME ONLY",$S387="BL"),0,IF($O387="Y",2,1)))</f>
        <v/>
      </c>
      <c r="BK387" s="86">
        <f>IF(OR(N($BJ387)=0,$BH387=""),"",($BH387-2*EdgeClr-IF($BJ387=2,MeetClr,0))/$BJ387)</f>
        <v/>
      </c>
      <c r="BL387" s="86">
        <f>IF(OR(N($BJ387)=0,$BI387=""),"",$BI387-HeadClr-Undercut)</f>
        <v/>
      </c>
      <c r="BM387" s="86">
        <f>IF($BH387="","",$BH387+2*FaceW+IF(N($Q387)&gt;0,($Q387+FaceW)*IF($R387="LR",2,1),0))</f>
        <v/>
      </c>
      <c r="BN387" s="86">
        <f>IF($BI387="","",$BI387+IF($AB387="Y",4,FaceW)+IF(N($P387)&gt;0,$P387+FaceW,0)+IF(OR($S387="4F",$S387="BL"),FaceW,0))</f>
        <v/>
      </c>
      <c r="BO387" s="86">
        <f>IF($BM387="","",$BM387+2*ROSide)</f>
        <v/>
      </c>
      <c r="BP387" s="86">
        <f>IF($BN387="","",$BN387+ROTop)</f>
        <v/>
      </c>
      <c r="BQ387" s="87">
        <f>IF(OR(N($BJ387)=0,$BH387=""),"",$BH387/$BJ387-ClearDeduct)</f>
        <v/>
      </c>
      <c r="BR387" s="84">
        <f>IF(N($CH387)=0,"",IF($CH387&gt;=180,"A · 3 HR",IF($CH387&gt;=90,"B · 1-1/2 HR",IF($CH387&gt;=60,"B · 1 HR",IF($CH387&gt;=45,"C · 3/4 HR","20 MIN")))))&amp;IF(AND(N($CH387)&gt;0,OR($I387="CORRIDOR",$I387="SMOKE BARRIER"))," · S","")</f>
        <v/>
      </c>
      <c r="BS387" s="84">
        <f>IF($CS387,"",IF($AV387&lt;&gt;"",$AV387,IF(OR($AC387="HGC",$AO387="HGC"),"CONT",IF(($BI387-HeadClr-Undercut)&lt;=60,2,IF(($BI387-HeadClr-Undercut)&lt;=90,3,IF(($BI387-HeadClr-Undercut)&lt;=120,4,5))))))</f>
        <v/>
      </c>
      <c r="BT387" s="84">
        <f>IF($CS387,"",IF($CT387,"CUSTOM (typed)",IF($CV387,$AT387&amp;" "&amp;$CU387&amp;CHAR(34)&amp;IF($CU387&lt;&gt;$BI387,IF(AND($BI387&lt;$CU387,$BI387-IF(N(VLOOKUP($AT387&amp;"|"&amp;$CU387,LocTable,7,FALSE))&gt;0,VLOOKUP($AT387&amp;"|"&amp;$CU387,LocTable,7,FALSE),VLOOKUP($AT387&amp;"|"&amp;$CU387,LocTable,6,FALSE))-$CR387-0.75&gt;=2.125)," cut down"," adj."),""),"ANSI/SDI A250.6")))</f>
        <v/>
      </c>
      <c r="BU387" s="88">
        <f>IF($CS387,"",IF($CT387,IF(N($AW387)&gt;0,N($AW387),""),IF(1&gt;$CQ387,"",IF($CQ387=1,$CW387,$CW387+($CX387-$CW387)*0/($CQ387-1)))))</f>
        <v/>
      </c>
      <c r="BV387" s="88">
        <f>IF($CS387,"",IF($CT387,IF(N($AX387)&gt;0,N($AX387),""),IF(2&gt;$CQ387,"",IF($CQ387=1,$CW387,$CW387+($CX387-$CW387)*1/($CQ387-1)))))</f>
        <v/>
      </c>
      <c r="BW387" s="88">
        <f>IF($CS387,"",IF($CT387,IF(N($AY387)&gt;0,N($AY387),""),IF(3&gt;$CQ387,"",IF($CQ387=1,$CW387,$CW387+($CX387-$CW387)*2/($CQ387-1)))))</f>
        <v/>
      </c>
      <c r="BX387" s="88">
        <f>IF($CS387,"",IF($CT387,IF(N($AZ387)&gt;0,N($AZ387),""),IF(4&gt;$CQ387,"",IF($CQ387=1,$CW387,$CW387+($CX387-$CW387)*3/($CQ387-1)))))</f>
        <v/>
      </c>
      <c r="BY387" s="88">
        <f>IF($CS387,"",IF($CT387,"",IF(5&gt;$CQ387,"",IF($CQ387=1,$CW387,$CW387+($CX387-$CW387)*4/($CQ387-1)))))</f>
        <v/>
      </c>
      <c r="BZ387" s="88">
        <f>IF(OR($CS387,$AP387="-",AND($AP387="",$AD387="")),"",IF(N($BA387)&gt;0,N($BA387),IF($CV387,IF(AND($BI387&lt;$CU387,$BI387-IF(N(VLOOKUP($AT387&amp;"|"&amp;$CU387,LocTable,7,FALSE))&gt;0,VLOOKUP($AT387&amp;"|"&amp;$CU387,LocTable,7,FALSE),VLOOKUP($AT387&amp;"|"&amp;$CU387,LocTable,6,FALSE))-$CR387-0.75&gt;=2.125),VLOOKUP($AT387&amp;"|"&amp;$CU387,LocTable,8,FALSE),VLOOKUP($AT387&amp;"|"&amp;$CU387,LocTable,8,FALSE)+($BI387-$CU387)),$BI387-LockAFF)))</f>
        <v/>
      </c>
      <c r="CA387" s="89">
        <f>IF($BZ387="","",$BI387-$BZ387)</f>
        <v/>
      </c>
      <c r="CB387" s="84">
        <f>IF(OR(NOT(AND($A387&lt;&gt;"",$C387&lt;&gt;"DOOR ONLY")),$BI387=""),"",IF(($BI387+IF(N($P387)&gt;0,$P387+FaceW,0))&lt;=90,3,IF(($BI387+IF(N($P387)&gt;0,$P387+FaceW,0))&lt;=114,4,5)))</f>
        <v/>
      </c>
      <c r="CC387" s="84">
        <f>IF($CB387="","",$CB387*(2+IF(N($Q387)&gt;0,IF($R387="LR",2,1),0)))</f>
        <v/>
      </c>
      <c r="CD387" s="84">
        <f>IF($CB387="","",(2+IF(N($Q387)&gt;0,IF($R387="LR",2,1),0)))</f>
        <v/>
      </c>
      <c r="CE387" s="84">
        <f>IF(N($BJ387)=0,"",IF(OR($AL387="",$AL387="FLUSH"),"FLUSH",IFERROR(LEFT($AL387,FIND("-",$AL387)-1),LEFT($AL387,2))))</f>
        <v/>
      </c>
      <c r="CF387" s="84">
        <f>IF($CE387="","",IFERROR(VALUE(MID($AL387,FIND("-",$AL387)+1,FIND(CHAR(34)&amp;"x",$AL387)-FIND("-",$AL387)-1)),0))</f>
        <v/>
      </c>
      <c r="CG387" s="84">
        <f>IF($CE387="","",IFERROR(VALUE(MID($AL387,FIND(CHAR(34)&amp;"x",$AL387)+2,FIND(CHAR(34),$AL387,FIND(CHAR(34)&amp;"x",$AL387)+2)-FIND(CHAR(34)&amp;"x",$AL387)-2)),0))</f>
        <v/>
      </c>
      <c r="CH387" s="90">
        <f>IF(OR($A387="",$H387="",$H387="NO LAB"),0,IFERROR(VALUE(LEFT($H387,FIND(" ",$H387)-1)),0))</f>
        <v/>
      </c>
      <c r="CI387" s="91">
        <f>IF(OR($A387="",$I387="",$I387="NON-RATED",N($J387)=0),"",IFERROR(VLOOKUP($I387&amp;"|"&amp;$J387,IBC,2,FALSE),"?"))</f>
        <v/>
      </c>
      <c r="CJ387" s="85">
        <f>IF(NOT(AND($A387&lt;&gt;"",$C387&lt;&gt;"DOOR ONLY")),"",TRIM(IFERROR(VLOOKUP($U387,CODES,2,FALSE),"")&amp;" "&amp;$BG387&amp;" "&amp;IFERROR(VLOOKUP($Z387,CODES,2,FALSE),"")&amp;" "&amp;IFERROR(VLOOKUP($X387,CODES,2,FALSE),"")&amp;" "&amp;IFERROR(VLOOKUP($S387,CODES,2,FALSE),"")&amp;IF(N($P387)&gt;0," w/TRANSOM "&amp;$P387&amp;CHAR(34),"")&amp;IF(N($Q387)&gt;0," w/SIDELITE "&amp;$Q387&amp;CHAR(34)&amp;" "&amp;IF($R387="","R",$R387),"")&amp;IF($Y387="","  |  "," | "&amp;IFERROR(VLOOKUP($Y387,CODES,2,FALSE),"")&amp;" | ")&amp;IFERROR(VLOOKUP($AC387,CODES,2,FALSE),"")&amp;" "&amp;IFERROR(VLOOKUP($AD387,CODES,2,FALSE),"")&amp;IF(OR($AE387="",$AE387="-"),""," "&amp;$AE387)&amp;IF(OR($AF387="",$AF387="-"),""," "&amp;$AF387)&amp;IF($AB387="Y"," 4"&amp;CHAR(34)&amp;" HEAD","")&amp;" "&amp;IFERROR(VLOOKUP($H387,CODES,2,FALSE),"")&amp;IF($CT387," | LOC "&amp;$CY387,"")))</f>
        <v/>
      </c>
      <c r="CK387" s="85">
        <f>IF(NOT(AND($A387&lt;&gt;"",N($BJ387)&gt;0)),"",TRIM(IFERROR(VLOOKUP($AH387,CODES,2,FALSE),"")&amp;IF($AI387=""," "," "&amp;$AI387&amp;"GA ")&amp;$BG387&amp;" "&amp;IF($AN387="",IFERROR(VLOOKUP($Z387,CODES,2,FALSE),""),IFERROR(VLOOKUP($AN387,CODES,2,FALSE),""))&amp;IF($BJ387=2," PAIR","")&amp;" DOOR | "&amp;IF($AL387="","?",$AL387)&amp;" | "&amp;IF($AO387="",IFERROR(VLOOKUP($AC387,CODES,2,FALSE),""),IFERROR(VLOOKUP($AO387,CODES,2,FALSE),""))&amp;" "&amp;IFERROR(VLOOKUP($AP387,CODES,2,FALSE),"")&amp;IF(OR($AQ387="",$AQ387="-"),""," SEAM "&amp;$AQ387)&amp;IF($AR387="Y"," ASTRAGAL","")&amp;IF($AJ387=""," "," "&amp;$AJ387)&amp;IF($AK387=""," "," "&amp;$AK387)&amp;IF(OR($AT387="",$AT387="ANSI/SDI",$AT387="CUSTOM LOC"),""," "&amp;$AT387)&amp;IF($AM387=""," "," SERIES "&amp;$AM387)&amp;" "&amp;IFERROR(VLOOKUP($H387,CODES,2,FALSE),"")&amp;IF($CT387," | LOC "&amp;$CZ387,"")))</f>
        <v/>
      </c>
      <c r="CL387" s="84">
        <f>IF(CP387="","",IF(COUNTIF($CP$6:CP387,CP387)=1,MAX($CL$5:CL386)+1,INDEX($CL$5:CL386,MATCH(CP387,$CP$5:CP386,0))))</f>
        <v/>
      </c>
      <c r="CM387" s="84">
        <f>IF(NOT(AND($A387&lt;&gt;"",$C387&lt;&gt;"DOOR ONLY")),"",MAX($CM$5:CM386)+1)</f>
        <v/>
      </c>
      <c r="CN387" s="84">
        <f>IF(NOT(AND($A387&lt;&gt;"",N($BJ387)&gt;0)),"",MAX($CN$5:CN386)+1)</f>
        <v/>
      </c>
      <c r="CO387" s="84">
        <f>IF($A387="","",MAX($CO$5:CO386)+1)</f>
        <v/>
      </c>
      <c r="CP387" s="84">
        <f>IF(OR($A387="",$BH387="",$BI387=""),"",$BG387&amp;"|"&amp;$O387&amp;"|"&amp;$AL387&amp;"|"&amp;$S387&amp;"|"&amp;$P387&amp;"|"&amp;$Q387&amp;$R387&amp;"|"&amp;$C387&amp;"|"&amp;$AB387)</f>
        <v/>
      </c>
      <c r="CQ387" s="84">
        <f>N($BS387)</f>
        <v/>
      </c>
      <c r="CR387" s="84">
        <f>IF(N($AU387)&gt;0,N($AU387),4.5)</f>
        <v/>
      </c>
      <c r="CS387" s="84">
        <f>OR($A387="",$BI387="",$S387="BL",AND($C387="FRAME ONLY",OR($AC387="",$AC387="BLK")))</f>
        <v/>
      </c>
      <c r="CT387" s="84">
        <f>AND(NOT($CS387),OR($AT387="CUSTOM LOC",N($AW387)+N($AX387)+N($AY387)+N($AZ387)+N($BA387)&gt;0))</f>
        <v/>
      </c>
      <c r="CU387" s="84">
        <f>IF($BI387="","",IF($BI387&lt;=80,80,IF($BI387&lt;=84,84,96)))</f>
        <v/>
      </c>
      <c r="CV387" s="84">
        <f>ISNUMBER(MATCH($AT387&amp;"|80",LocKeys,0))</f>
        <v/>
      </c>
      <c r="CW387" s="86">
        <f>IF($CS387,"",IF($CV387,VLOOKUP($AT387&amp;"|"&amp;$CU387,LocTable,4,FALSE),5))</f>
        <v/>
      </c>
      <c r="CX387" s="86">
        <f>IF($CS387,"",IF($CV387,IF(OR($BI387=$CU387,AND($BI387&lt;$CU387,$BI387-IF(N(VLOOKUP($AT387&amp;"|"&amp;$CU387,LocTable,7,FALSE))&gt;0,VLOOKUP($AT387&amp;"|"&amp;$CU387,LocTable,7,FALSE),VLOOKUP($AT387&amp;"|"&amp;$CU387,LocTable,6,FALSE))-$CR387-0.75&gt;=2.125)),IF(N(VLOOKUP($AT387&amp;"|"&amp;$CU387,LocTable,7,FALSE))&gt;0,VLOOKUP($AT387&amp;"|"&amp;$CU387,LocTable,7,FALSE),VLOOKUP($AT387&amp;"|"&amp;$CU387,LocTable,6,FALSE)),$BI387-($CU387-IF(N(VLOOKUP($AT387&amp;"|"&amp;$CU387,LocTable,7,FALSE))&gt;0,VLOOKUP($AT387&amp;"|"&amp;$CU387,LocTable,7,FALSE),VLOOKUP($AT387&amp;"|"&amp;$CU387,LocTable,6,FALSE)))),$BI387-10-$CR387))</f>
        <v/>
      </c>
      <c r="CY387" s="85">
        <f>IF($CS387,"",TRIM(IF(ISNUMBER($BU387),"A "&amp;TRIM(TEXT($BU387,"# ?/??"))&amp;CHAR(34)&amp;"  ","")&amp;IF(ISNUMBER($BV387),"B "&amp;TRIM(TEXT($BV387,"# ?/??"))&amp;CHAR(34)&amp;"  ","")&amp;IF(ISNUMBER($BW387),"C "&amp;TRIM(TEXT($BW387,"# ?/??"))&amp;CHAR(34)&amp;"  ","")&amp;IF(ISNUMBER($BX387),"D "&amp;TRIM(TEXT($BX387,"# ?/??"))&amp;CHAR(34)&amp;"  ","")&amp;IF(ISNUMBER($BY387),"F "&amp;TRIM(TEXT($BY387,"# ?/??"))&amp;CHAR(34)&amp;"  ","")&amp;IF(ISNUMBER($BZ387),"E "&amp;TRIM(TEXT($BZ387,"# ?/??"))&amp;CHAR(34)&amp;"  ","")))</f>
        <v/>
      </c>
      <c r="CZ387" s="85">
        <f>IF(OR($CS387,N($BJ387)=0),"",TRIM(IF(ISNUMBER($BU387),"A "&amp;TRIM(TEXT($BU387-HeadClr,"# ?/??"))&amp;CHAR(34)&amp;"  ","")&amp;IF(ISNUMBER($BV387),"B "&amp;TRIM(TEXT($BV387-HeadClr,"# ?/??"))&amp;CHAR(34)&amp;"  ","")&amp;IF(ISNUMBER($BW387),"C "&amp;TRIM(TEXT($BW387-HeadClr,"# ?/??"))&amp;CHAR(34)&amp;"  ","")&amp;IF(ISNUMBER($BX387),"D "&amp;TRIM(TEXT($BX387-HeadClr,"# ?/??"))&amp;CHAR(34)&amp;"  ","")&amp;IF(ISNUMBER($BY387),"F "&amp;TRIM(TEXT($BY387-HeadClr,"# ?/??"))&amp;CHAR(34)&amp;"  ","")&amp;IF(ISNUMBER($BZ387),"E "&amp;TRIM(TEXT($BZ387-HeadClr,"# ?/??"))&amp;CHAR(34)&amp;"  ","")))</f>
        <v/>
      </c>
      <c r="DA387" s="84">
        <f>IF($A387="","",IF($AN387="",IFERROR(VLOOKUP($Z387,CODES,2,FALSE),""),IFERROR(VLOOKUP($AN387,CODES,2,FALSE),"")))</f>
        <v/>
      </c>
      <c r="DB387" s="84">
        <f>IF($A387="","",IF($O387="Y","PR",IF(OR($Z387="L",$Z387="RR",LEFT($Z387,2)="L-",LEFT($Z387,3)="RR-"),"LH","RH")))</f>
        <v/>
      </c>
      <c r="DC387" s="84">
        <f>IF($A387="","","S.HM"&amp;IF(OR($C387="DOOR ONLY",$X387&lt;&gt;"KD"),"MASONRY","DRYWALL")&amp;IF($C387="DOOR ONLY","",$U387)&amp;IF(AND($C387&lt;&gt;"FRAME ONLY",OR(LEFT($AH387,3)="OAK",LEFT($AH387,3)="BIR",LEFT($AH387,3)="MAP",$AH387="PC",$AH387="MC",$AH387="SCLC",$AH387="P-LAM")),"WD","HM")&amp;"1.75")</f>
        <v/>
      </c>
      <c r="DD387" s="84">
        <f>IF($CJ387="","",IF($O387="Y",$CJ387,SUBSTITUTE($CJ387,$BG387&amp;" "&amp;IFERROR(VLOOKUP($Z387,CODES,2,FALSE),"")&amp;" ",$BG387&amp;" ")))</f>
        <v/>
      </c>
      <c r="DE387" s="84">
        <f>IF($CK387="","",IF($O387="Y",$CK387,SUBSTITUTE($CK387,$BG387&amp;" "&amp;IF($AN387="",IFERROR(VLOOKUP($Z387,CODES,2,FALSE),""),IFERROR(VLOOKUP($AN387,CODES,2,FALSE),""))&amp;" ",$BG387&amp;" ")))</f>
        <v/>
      </c>
      <c r="DF387" s="84">
        <f>IF($CJ387="","",$DC387&amp;"|"&amp;$DD387&amp;"|"&amp;$DB387&amp;"|"&amp;$AT387&amp;"|"&amp;$V387&amp;"|"&amp;$Y387&amp;"|"&amp;$AB387)</f>
        <v/>
      </c>
      <c r="DG387" s="84">
        <f>IF(DF387="","",IF(COUNTIF($DF$6:DF387,DF387)=1,MAX($DG$5:DG386)+1,INDEX($DG$5:DG386,MATCH(DF387,$DF$5:DF386,0))))</f>
        <v/>
      </c>
      <c r="DH387" s="84">
        <f>IF($CK387="","",$DC387&amp;"|"&amp;$DE387&amp;"|"&amp;$AI387&amp;"|"&amp;$BK387&amp;"|"&amp;$BL387)</f>
        <v/>
      </c>
      <c r="DI387" s="84">
        <f>IF(DH387="","",IF(COUNTIF($DH$6:DH387,DH387)=1,MAX($DI$5:DI386)+1,INDEX($DI$5:DI386,MATCH(DH387,$DH$5:DH386,0))))</f>
        <v/>
      </c>
      <c r="DJ387" s="84">
        <f>IF($A387="","",IF($B387="","qty, ","")&amp;IF($C387="","scope, ","")&amp;IF(OR($K387="",$M387=""),"size, ","")&amp;IF(AND($A387&lt;&gt;"",$C387&lt;&gt;"DOOR ONLY"),IF($U387="","jamb depth, ","")&amp;IF($X387="","construction, ","")&amp;IF($Y387="","anchor, ","")&amp;IF($S387="","frame type, ",""),"")&amp;IF(AND(N($BJ387)&gt;0,$Z387=""),"hand, ","")&amp;IF(N($BJ387)&gt;0,IF($AH387="","door material, ","")&amp;IF($AL387="","face type, ","")&amp;IF($AP387="","lock prep, ","")&amp;IF(AND($AO387="",$AC387=""),"hinge prep, ",""),"")&amp;IF(AND($CH387&gt;0,$AH387="FRP"),"FRP cannot carry a label, ","")&amp;IF(AND($O387="Y",OR($Z387="L",$Z387="R",$Z387="LR",$Z387="RR")),"pair marked but hand is single, ","")&amp;IF(AND($O387&lt;&gt;"Y",OR($Z387="PR",AND(LEN($Z387)&gt;1,ISNUMBER(SEARCH("-",$Z387))))),"pair hand on a single door, ","")&amp;IF(AND(ISNUMBER($CI387),$CH387&lt;N($CI387)),"wall needs a "&amp;$CI387&amp;" min door, ","")&amp;IF(AND($CH387&gt;=180,AND(OR($CE387="FG",$CE387="HG",$CE387="FNV",$CE387="FV"),N($CF387)*N($CG387)&gt;100)),"180 min lite over 100 sq in, ","")&amp;IF(N($BK387)&gt;48,"leaf wider than 4'-0"&amp;CHAR(34)&amp;", ","")&amp;IF(AND($CT387,COUNT($AW387:$AZ387)=0,$CQ387&gt;0),"CUSTOM LOC with no locations typed, ",""))</f>
        <v/>
      </c>
      <c r="DK387" s="84">
        <f>IF($A387="","",IF(AND($CH387&gt;0,AND($A387&lt;&gt;"",$C387&lt;&gt;"DOOR ONLY"),$X387="KD",$E387="EXTERIOR"),"KD label on an exterior opening, ","")&amp;IF(AND($E387="EXTERIOR",OR(AND(AND($A387&lt;&gt;"",$C387&lt;&gt;"DOOR ONLY"),$W387="CR"),AND(N($BJ387)&gt;0,$AH387="CR"))),"exterior in CR steel (G9?), ","")&amp;IF(AND(ISNUMBER($BQ387),N($BQ387)&lt;32),"clear width ~"&amp;TEXT($BQ387,"0.0")&amp;CHAR(34)&amp;" under 32"&amp;CHAR(34)&amp;" (ADA), ","")&amp;IF(AND($CH387=90,AND(OR($CE387="FG",$CE387="HG",$CE387="FNV",$CE387="FV"),N($CF387)*N($CG387)&gt;100)),"90 min lite over 100 sq in (stair/exit), ","")&amp;IF(AND($CH387&gt;0,AND($A387&lt;&gt;"",$C387&lt;&gt;"DOOR ONLY"),OR($AF387="",$AF387="-")),"rated: closer reinf.?, ","")&amp;IF(OR($I387="CORRIDOR",$I387="SMOKE BARRIER"),"S label + smoke gasketing, ","")&amp;IF($CI387="?","wall type/hr not in IBC table, ","")&amp;IF(AND(N($BJ387)&gt;0,$BB387=""),"no hardware set, ","")&amp;IF(AND($BB387&lt;&gt;"",ISNA(MATCH($BB387&amp;"",HWSets,0))),"set "&amp;$BB387&amp;" not on HW Sets, ","")&amp;IF(N($BL387)&gt;96,"leaf over 8'-0"&amp;CHAR(34)&amp;" - check listing, ","")&amp;IF(AND($CT387,COUNT($AW387:$AZ387)&gt;0,COUNT($AW387:$AZ387)&lt;&gt;$CQ387),COUNT($AW387:$AZ387)&amp;" custom hinges typed, "&amp;$CQ387&amp;" expected, ","")&amp;IF(AND(ISNUMBER($CA387),OR(N($CA387)&lt;34,N($CA387)&gt;48)),"lock "&amp;TEXT($CA387,"0.0")&amp;CHAR(34)&amp;" AFF outside 34-48"&amp;CHAR(34)&amp;" (ADA), ","")&amp;IF(AND(ISNUMBER($AV387),ISNUMBER($BL387),N($AV387)&lt;IF(N($BL387)&lt;=60,2,IF(N($BL387)&lt;=90,3,IF(N($BL387)&lt;=120,4,5)))),"fewer hinges than standard, ",""))</f>
        <v/>
      </c>
    </row>
    <row r="388" ht="15" customHeight="1">
      <c r="A388" s="77" t="n"/>
      <c r="B388" s="78" t="n"/>
      <c r="C388" s="78" t="n"/>
      <c r="D388" s="78" t="n"/>
      <c r="E388" s="78" t="n"/>
      <c r="F388" s="78" t="n"/>
      <c r="G388" s="78" t="n"/>
      <c r="H388" s="78" t="n"/>
      <c r="I388" s="78" t="n"/>
      <c r="J388" s="78" t="n"/>
      <c r="K388" s="78" t="n"/>
      <c r="L388" s="78" t="n"/>
      <c r="M388" s="78" t="n"/>
      <c r="N388" s="78" t="n"/>
      <c r="O388" s="78" t="n"/>
      <c r="P388" s="78" t="n"/>
      <c r="Q388" s="78" t="n"/>
      <c r="R388" s="78" t="n"/>
      <c r="S388" s="79" t="n"/>
      <c r="T388" s="79" t="n"/>
      <c r="U388" s="79" t="n"/>
      <c r="V388" s="79" t="n"/>
      <c r="W388" s="79" t="n"/>
      <c r="X388" s="79" t="n"/>
      <c r="Y388" s="79" t="n"/>
      <c r="Z388" s="79" t="n"/>
      <c r="AA388" s="79" t="n"/>
      <c r="AB388" s="79" t="n"/>
      <c r="AC388" s="79" t="n"/>
      <c r="AD388" s="79" t="n"/>
      <c r="AE388" s="79" t="n"/>
      <c r="AF388" s="79" t="n"/>
      <c r="AG388" s="79" t="n"/>
      <c r="AH388" s="80" t="n"/>
      <c r="AI388" s="80" t="n"/>
      <c r="AJ388" s="80" t="n"/>
      <c r="AK388" s="80" t="n"/>
      <c r="AL388" s="80" t="n"/>
      <c r="AM388" s="80" t="n"/>
      <c r="AN388" s="80" t="n"/>
      <c r="AO388" s="80" t="n"/>
      <c r="AP388" s="80" t="n"/>
      <c r="AQ388" s="80" t="n"/>
      <c r="AR388" s="80" t="n"/>
      <c r="AS388" s="80" t="n"/>
      <c r="AT388" s="81" t="n"/>
      <c r="AU388" s="81" t="n"/>
      <c r="AV388" s="81" t="n"/>
      <c r="AW388" s="82" t="n"/>
      <c r="AX388" s="82" t="n"/>
      <c r="AY388" s="82" t="n"/>
      <c r="AZ388" s="82" t="n"/>
      <c r="BA388" s="82" t="n"/>
      <c r="BB388" s="83" t="n"/>
      <c r="BC388" s="83" t="n"/>
      <c r="BD388" s="84">
        <f>IF($A388="","",IF($DJ388&lt;&gt;"","FIX",IF($DK388&lt;&gt;"","CHECK","OK")))</f>
        <v/>
      </c>
      <c r="BE388" s="85">
        <f>IF($A388="","",IF($DJ388&lt;&gt;"","FIX: "&amp;LEFT($DJ388,LEN($DJ388)-2)&amp;IF($DK388&lt;&gt;"","  ·  ",""),"")&amp;IF($DK388&lt;&gt;"","CHECK: "&amp;LEFT($DK388,LEN($DK388)-2),""))</f>
        <v/>
      </c>
      <c r="BF388" s="84">
        <f>IF(OR($A388="",$K388=""),"",$K388&amp;"'-"&amp;N($L388)&amp;CHAR(34)&amp;" x "&amp;$M388&amp;"'-"&amp;N($N388)&amp;CHAR(34))</f>
        <v/>
      </c>
      <c r="BG388" s="84">
        <f>IF(OR($A388="",$K388=""),"",$K388&amp;N($L388)&amp;$M388&amp;N($N388))</f>
        <v/>
      </c>
      <c r="BH388" s="84">
        <f>IF(OR($A388="",$K388=""),"",$K388*12+N($L388))</f>
        <v/>
      </c>
      <c r="BI388" s="84">
        <f>IF(OR($A388="",$M388=""),"",$M388*12+N($N388))</f>
        <v/>
      </c>
      <c r="BJ388" s="84">
        <f>IF($A388="","",IF(OR($C388="FRAME ONLY",$S388="BL"),0,IF($O388="Y",2,1)))</f>
        <v/>
      </c>
      <c r="BK388" s="86">
        <f>IF(OR(N($BJ388)=0,$BH388=""),"",($BH388-2*EdgeClr-IF($BJ388=2,MeetClr,0))/$BJ388)</f>
        <v/>
      </c>
      <c r="BL388" s="86">
        <f>IF(OR(N($BJ388)=0,$BI388=""),"",$BI388-HeadClr-Undercut)</f>
        <v/>
      </c>
      <c r="BM388" s="86">
        <f>IF($BH388="","",$BH388+2*FaceW+IF(N($Q388)&gt;0,($Q388+FaceW)*IF($R388="LR",2,1),0))</f>
        <v/>
      </c>
      <c r="BN388" s="86">
        <f>IF($BI388="","",$BI388+IF($AB388="Y",4,FaceW)+IF(N($P388)&gt;0,$P388+FaceW,0)+IF(OR($S388="4F",$S388="BL"),FaceW,0))</f>
        <v/>
      </c>
      <c r="BO388" s="86">
        <f>IF($BM388="","",$BM388+2*ROSide)</f>
        <v/>
      </c>
      <c r="BP388" s="86">
        <f>IF($BN388="","",$BN388+ROTop)</f>
        <v/>
      </c>
      <c r="BQ388" s="87">
        <f>IF(OR(N($BJ388)=0,$BH388=""),"",$BH388/$BJ388-ClearDeduct)</f>
        <v/>
      </c>
      <c r="BR388" s="84">
        <f>IF(N($CH388)=0,"",IF($CH388&gt;=180,"A · 3 HR",IF($CH388&gt;=90,"B · 1-1/2 HR",IF($CH388&gt;=60,"B · 1 HR",IF($CH388&gt;=45,"C · 3/4 HR","20 MIN")))))&amp;IF(AND(N($CH388)&gt;0,OR($I388="CORRIDOR",$I388="SMOKE BARRIER"))," · S","")</f>
        <v/>
      </c>
      <c r="BS388" s="84">
        <f>IF($CS388,"",IF($AV388&lt;&gt;"",$AV388,IF(OR($AC388="HGC",$AO388="HGC"),"CONT",IF(($BI388-HeadClr-Undercut)&lt;=60,2,IF(($BI388-HeadClr-Undercut)&lt;=90,3,IF(($BI388-HeadClr-Undercut)&lt;=120,4,5))))))</f>
        <v/>
      </c>
      <c r="BT388" s="84">
        <f>IF($CS388,"",IF($CT388,"CUSTOM (typed)",IF($CV388,$AT388&amp;" "&amp;$CU388&amp;CHAR(34)&amp;IF($CU388&lt;&gt;$BI388,IF(AND($BI388&lt;$CU388,$BI388-IF(N(VLOOKUP($AT388&amp;"|"&amp;$CU388,LocTable,7,FALSE))&gt;0,VLOOKUP($AT388&amp;"|"&amp;$CU388,LocTable,7,FALSE),VLOOKUP($AT388&amp;"|"&amp;$CU388,LocTable,6,FALSE))-$CR388-0.75&gt;=2.125)," cut down"," adj."),""),"ANSI/SDI A250.6")))</f>
        <v/>
      </c>
      <c r="BU388" s="88">
        <f>IF($CS388,"",IF($CT388,IF(N($AW388)&gt;0,N($AW388),""),IF(1&gt;$CQ388,"",IF($CQ388=1,$CW388,$CW388+($CX388-$CW388)*0/($CQ388-1)))))</f>
        <v/>
      </c>
      <c r="BV388" s="88">
        <f>IF($CS388,"",IF($CT388,IF(N($AX388)&gt;0,N($AX388),""),IF(2&gt;$CQ388,"",IF($CQ388=1,$CW388,$CW388+($CX388-$CW388)*1/($CQ388-1)))))</f>
        <v/>
      </c>
      <c r="BW388" s="88">
        <f>IF($CS388,"",IF($CT388,IF(N($AY388)&gt;0,N($AY388),""),IF(3&gt;$CQ388,"",IF($CQ388=1,$CW388,$CW388+($CX388-$CW388)*2/($CQ388-1)))))</f>
        <v/>
      </c>
      <c r="BX388" s="88">
        <f>IF($CS388,"",IF($CT388,IF(N($AZ388)&gt;0,N($AZ388),""),IF(4&gt;$CQ388,"",IF($CQ388=1,$CW388,$CW388+($CX388-$CW388)*3/($CQ388-1)))))</f>
        <v/>
      </c>
      <c r="BY388" s="88">
        <f>IF($CS388,"",IF($CT388,"",IF(5&gt;$CQ388,"",IF($CQ388=1,$CW388,$CW388+($CX388-$CW388)*4/($CQ388-1)))))</f>
        <v/>
      </c>
      <c r="BZ388" s="88">
        <f>IF(OR($CS388,$AP388="-",AND($AP388="",$AD388="")),"",IF(N($BA388)&gt;0,N($BA388),IF($CV388,IF(AND($BI388&lt;$CU388,$BI388-IF(N(VLOOKUP($AT388&amp;"|"&amp;$CU388,LocTable,7,FALSE))&gt;0,VLOOKUP($AT388&amp;"|"&amp;$CU388,LocTable,7,FALSE),VLOOKUP($AT388&amp;"|"&amp;$CU388,LocTable,6,FALSE))-$CR388-0.75&gt;=2.125),VLOOKUP($AT388&amp;"|"&amp;$CU388,LocTable,8,FALSE),VLOOKUP($AT388&amp;"|"&amp;$CU388,LocTable,8,FALSE)+($BI388-$CU388)),$BI388-LockAFF)))</f>
        <v/>
      </c>
      <c r="CA388" s="89">
        <f>IF($BZ388="","",$BI388-$BZ388)</f>
        <v/>
      </c>
      <c r="CB388" s="84">
        <f>IF(OR(NOT(AND($A388&lt;&gt;"",$C388&lt;&gt;"DOOR ONLY")),$BI388=""),"",IF(($BI388+IF(N($P388)&gt;0,$P388+FaceW,0))&lt;=90,3,IF(($BI388+IF(N($P388)&gt;0,$P388+FaceW,0))&lt;=114,4,5)))</f>
        <v/>
      </c>
      <c r="CC388" s="84">
        <f>IF($CB388="","",$CB388*(2+IF(N($Q388)&gt;0,IF($R388="LR",2,1),0)))</f>
        <v/>
      </c>
      <c r="CD388" s="84">
        <f>IF($CB388="","",(2+IF(N($Q388)&gt;0,IF($R388="LR",2,1),0)))</f>
        <v/>
      </c>
      <c r="CE388" s="84">
        <f>IF(N($BJ388)=0,"",IF(OR($AL388="",$AL388="FLUSH"),"FLUSH",IFERROR(LEFT($AL388,FIND("-",$AL388)-1),LEFT($AL388,2))))</f>
        <v/>
      </c>
      <c r="CF388" s="84">
        <f>IF($CE388="","",IFERROR(VALUE(MID($AL388,FIND("-",$AL388)+1,FIND(CHAR(34)&amp;"x",$AL388)-FIND("-",$AL388)-1)),0))</f>
        <v/>
      </c>
      <c r="CG388" s="84">
        <f>IF($CE388="","",IFERROR(VALUE(MID($AL388,FIND(CHAR(34)&amp;"x",$AL388)+2,FIND(CHAR(34),$AL388,FIND(CHAR(34)&amp;"x",$AL388)+2)-FIND(CHAR(34)&amp;"x",$AL388)-2)),0))</f>
        <v/>
      </c>
      <c r="CH388" s="90">
        <f>IF(OR($A388="",$H388="",$H388="NO LAB"),0,IFERROR(VALUE(LEFT($H388,FIND(" ",$H388)-1)),0))</f>
        <v/>
      </c>
      <c r="CI388" s="91">
        <f>IF(OR($A388="",$I388="",$I388="NON-RATED",N($J388)=0),"",IFERROR(VLOOKUP($I388&amp;"|"&amp;$J388,IBC,2,FALSE),"?"))</f>
        <v/>
      </c>
      <c r="CJ388" s="85">
        <f>IF(NOT(AND($A388&lt;&gt;"",$C388&lt;&gt;"DOOR ONLY")),"",TRIM(IFERROR(VLOOKUP($U388,CODES,2,FALSE),"")&amp;" "&amp;$BG388&amp;" "&amp;IFERROR(VLOOKUP($Z388,CODES,2,FALSE),"")&amp;" "&amp;IFERROR(VLOOKUP($X388,CODES,2,FALSE),"")&amp;" "&amp;IFERROR(VLOOKUP($S388,CODES,2,FALSE),"")&amp;IF(N($P388)&gt;0," w/TRANSOM "&amp;$P388&amp;CHAR(34),"")&amp;IF(N($Q388)&gt;0," w/SIDELITE "&amp;$Q388&amp;CHAR(34)&amp;" "&amp;IF($R388="","R",$R388),"")&amp;IF($Y388="","  |  "," | "&amp;IFERROR(VLOOKUP($Y388,CODES,2,FALSE),"")&amp;" | ")&amp;IFERROR(VLOOKUP($AC388,CODES,2,FALSE),"")&amp;" "&amp;IFERROR(VLOOKUP($AD388,CODES,2,FALSE),"")&amp;IF(OR($AE388="",$AE388="-"),""," "&amp;$AE388)&amp;IF(OR($AF388="",$AF388="-"),""," "&amp;$AF388)&amp;IF($AB388="Y"," 4"&amp;CHAR(34)&amp;" HEAD","")&amp;" "&amp;IFERROR(VLOOKUP($H388,CODES,2,FALSE),"")&amp;IF($CT388," | LOC "&amp;$CY388,"")))</f>
        <v/>
      </c>
      <c r="CK388" s="85">
        <f>IF(NOT(AND($A388&lt;&gt;"",N($BJ388)&gt;0)),"",TRIM(IFERROR(VLOOKUP($AH388,CODES,2,FALSE),"")&amp;IF($AI388=""," "," "&amp;$AI388&amp;"GA ")&amp;$BG388&amp;" "&amp;IF($AN388="",IFERROR(VLOOKUP($Z388,CODES,2,FALSE),""),IFERROR(VLOOKUP($AN388,CODES,2,FALSE),""))&amp;IF($BJ388=2," PAIR","")&amp;" DOOR | "&amp;IF($AL388="","?",$AL388)&amp;" | "&amp;IF($AO388="",IFERROR(VLOOKUP($AC388,CODES,2,FALSE),""),IFERROR(VLOOKUP($AO388,CODES,2,FALSE),""))&amp;" "&amp;IFERROR(VLOOKUP($AP388,CODES,2,FALSE),"")&amp;IF(OR($AQ388="",$AQ388="-"),""," SEAM "&amp;$AQ388)&amp;IF($AR388="Y"," ASTRAGAL","")&amp;IF($AJ388=""," "," "&amp;$AJ388)&amp;IF($AK388=""," "," "&amp;$AK388)&amp;IF(OR($AT388="",$AT388="ANSI/SDI",$AT388="CUSTOM LOC"),""," "&amp;$AT388)&amp;IF($AM388=""," "," SERIES "&amp;$AM388)&amp;" "&amp;IFERROR(VLOOKUP($H388,CODES,2,FALSE),"")&amp;IF($CT388," | LOC "&amp;$CZ388,"")))</f>
        <v/>
      </c>
      <c r="CL388" s="84">
        <f>IF(CP388="","",IF(COUNTIF($CP$6:CP388,CP388)=1,MAX($CL$5:CL387)+1,INDEX($CL$5:CL387,MATCH(CP388,$CP$5:CP387,0))))</f>
        <v/>
      </c>
      <c r="CM388" s="84">
        <f>IF(NOT(AND($A388&lt;&gt;"",$C388&lt;&gt;"DOOR ONLY")),"",MAX($CM$5:CM387)+1)</f>
        <v/>
      </c>
      <c r="CN388" s="84">
        <f>IF(NOT(AND($A388&lt;&gt;"",N($BJ388)&gt;0)),"",MAX($CN$5:CN387)+1)</f>
        <v/>
      </c>
      <c r="CO388" s="84">
        <f>IF($A388="","",MAX($CO$5:CO387)+1)</f>
        <v/>
      </c>
      <c r="CP388" s="84">
        <f>IF(OR($A388="",$BH388="",$BI388=""),"",$BG388&amp;"|"&amp;$O388&amp;"|"&amp;$AL388&amp;"|"&amp;$S388&amp;"|"&amp;$P388&amp;"|"&amp;$Q388&amp;$R388&amp;"|"&amp;$C388&amp;"|"&amp;$AB388)</f>
        <v/>
      </c>
      <c r="CQ388" s="84">
        <f>N($BS388)</f>
        <v/>
      </c>
      <c r="CR388" s="84">
        <f>IF(N($AU388)&gt;0,N($AU388),4.5)</f>
        <v/>
      </c>
      <c r="CS388" s="84">
        <f>OR($A388="",$BI388="",$S388="BL",AND($C388="FRAME ONLY",OR($AC388="",$AC388="BLK")))</f>
        <v/>
      </c>
      <c r="CT388" s="84">
        <f>AND(NOT($CS388),OR($AT388="CUSTOM LOC",N($AW388)+N($AX388)+N($AY388)+N($AZ388)+N($BA388)&gt;0))</f>
        <v/>
      </c>
      <c r="CU388" s="84">
        <f>IF($BI388="","",IF($BI388&lt;=80,80,IF($BI388&lt;=84,84,96)))</f>
        <v/>
      </c>
      <c r="CV388" s="84">
        <f>ISNUMBER(MATCH($AT388&amp;"|80",LocKeys,0))</f>
        <v/>
      </c>
      <c r="CW388" s="86">
        <f>IF($CS388,"",IF($CV388,VLOOKUP($AT388&amp;"|"&amp;$CU388,LocTable,4,FALSE),5))</f>
        <v/>
      </c>
      <c r="CX388" s="86">
        <f>IF($CS388,"",IF($CV388,IF(OR($BI388=$CU388,AND($BI388&lt;$CU388,$BI388-IF(N(VLOOKUP($AT388&amp;"|"&amp;$CU388,LocTable,7,FALSE))&gt;0,VLOOKUP($AT388&amp;"|"&amp;$CU388,LocTable,7,FALSE),VLOOKUP($AT388&amp;"|"&amp;$CU388,LocTable,6,FALSE))-$CR388-0.75&gt;=2.125)),IF(N(VLOOKUP($AT388&amp;"|"&amp;$CU388,LocTable,7,FALSE))&gt;0,VLOOKUP($AT388&amp;"|"&amp;$CU388,LocTable,7,FALSE),VLOOKUP($AT388&amp;"|"&amp;$CU388,LocTable,6,FALSE)),$BI388-($CU388-IF(N(VLOOKUP($AT388&amp;"|"&amp;$CU388,LocTable,7,FALSE))&gt;0,VLOOKUP($AT388&amp;"|"&amp;$CU388,LocTable,7,FALSE),VLOOKUP($AT388&amp;"|"&amp;$CU388,LocTable,6,FALSE)))),$BI388-10-$CR388))</f>
        <v/>
      </c>
      <c r="CY388" s="85">
        <f>IF($CS388,"",TRIM(IF(ISNUMBER($BU388),"A "&amp;TRIM(TEXT($BU388,"# ?/??"))&amp;CHAR(34)&amp;"  ","")&amp;IF(ISNUMBER($BV388),"B "&amp;TRIM(TEXT($BV388,"# ?/??"))&amp;CHAR(34)&amp;"  ","")&amp;IF(ISNUMBER($BW388),"C "&amp;TRIM(TEXT($BW388,"# ?/??"))&amp;CHAR(34)&amp;"  ","")&amp;IF(ISNUMBER($BX388),"D "&amp;TRIM(TEXT($BX388,"# ?/??"))&amp;CHAR(34)&amp;"  ","")&amp;IF(ISNUMBER($BY388),"F "&amp;TRIM(TEXT($BY388,"# ?/??"))&amp;CHAR(34)&amp;"  ","")&amp;IF(ISNUMBER($BZ388),"E "&amp;TRIM(TEXT($BZ388,"# ?/??"))&amp;CHAR(34)&amp;"  ","")))</f>
        <v/>
      </c>
      <c r="CZ388" s="85">
        <f>IF(OR($CS388,N($BJ388)=0),"",TRIM(IF(ISNUMBER($BU388),"A "&amp;TRIM(TEXT($BU388-HeadClr,"# ?/??"))&amp;CHAR(34)&amp;"  ","")&amp;IF(ISNUMBER($BV388),"B "&amp;TRIM(TEXT($BV388-HeadClr,"# ?/??"))&amp;CHAR(34)&amp;"  ","")&amp;IF(ISNUMBER($BW388),"C "&amp;TRIM(TEXT($BW388-HeadClr,"# ?/??"))&amp;CHAR(34)&amp;"  ","")&amp;IF(ISNUMBER($BX388),"D "&amp;TRIM(TEXT($BX388-HeadClr,"# ?/??"))&amp;CHAR(34)&amp;"  ","")&amp;IF(ISNUMBER($BY388),"F "&amp;TRIM(TEXT($BY388-HeadClr,"# ?/??"))&amp;CHAR(34)&amp;"  ","")&amp;IF(ISNUMBER($BZ388),"E "&amp;TRIM(TEXT($BZ388-HeadClr,"# ?/??"))&amp;CHAR(34)&amp;"  ","")))</f>
        <v/>
      </c>
      <c r="DA388" s="84">
        <f>IF($A388="","",IF($AN388="",IFERROR(VLOOKUP($Z388,CODES,2,FALSE),""),IFERROR(VLOOKUP($AN388,CODES,2,FALSE),"")))</f>
        <v/>
      </c>
      <c r="DB388" s="84">
        <f>IF($A388="","",IF($O388="Y","PR",IF(OR($Z388="L",$Z388="RR",LEFT($Z388,2)="L-",LEFT($Z388,3)="RR-"),"LH","RH")))</f>
        <v/>
      </c>
      <c r="DC388" s="84">
        <f>IF($A388="","","S.HM"&amp;IF(OR($C388="DOOR ONLY",$X388&lt;&gt;"KD"),"MASONRY","DRYWALL")&amp;IF($C388="DOOR ONLY","",$U388)&amp;IF(AND($C388&lt;&gt;"FRAME ONLY",OR(LEFT($AH388,3)="OAK",LEFT($AH388,3)="BIR",LEFT($AH388,3)="MAP",$AH388="PC",$AH388="MC",$AH388="SCLC",$AH388="P-LAM")),"WD","HM")&amp;"1.75")</f>
        <v/>
      </c>
      <c r="DD388" s="84">
        <f>IF($CJ388="","",IF($O388="Y",$CJ388,SUBSTITUTE($CJ388,$BG388&amp;" "&amp;IFERROR(VLOOKUP($Z388,CODES,2,FALSE),"")&amp;" ",$BG388&amp;" ")))</f>
        <v/>
      </c>
      <c r="DE388" s="84">
        <f>IF($CK388="","",IF($O388="Y",$CK388,SUBSTITUTE($CK388,$BG388&amp;" "&amp;IF($AN388="",IFERROR(VLOOKUP($Z388,CODES,2,FALSE),""),IFERROR(VLOOKUP($AN388,CODES,2,FALSE),""))&amp;" ",$BG388&amp;" ")))</f>
        <v/>
      </c>
      <c r="DF388" s="84">
        <f>IF($CJ388="","",$DC388&amp;"|"&amp;$DD388&amp;"|"&amp;$DB388&amp;"|"&amp;$AT388&amp;"|"&amp;$V388&amp;"|"&amp;$Y388&amp;"|"&amp;$AB388)</f>
        <v/>
      </c>
      <c r="DG388" s="84">
        <f>IF(DF388="","",IF(COUNTIF($DF$6:DF388,DF388)=1,MAX($DG$5:DG387)+1,INDEX($DG$5:DG387,MATCH(DF388,$DF$5:DF387,0))))</f>
        <v/>
      </c>
      <c r="DH388" s="84">
        <f>IF($CK388="","",$DC388&amp;"|"&amp;$DE388&amp;"|"&amp;$AI388&amp;"|"&amp;$BK388&amp;"|"&amp;$BL388)</f>
        <v/>
      </c>
      <c r="DI388" s="84">
        <f>IF(DH388="","",IF(COUNTIF($DH$6:DH388,DH388)=1,MAX($DI$5:DI387)+1,INDEX($DI$5:DI387,MATCH(DH388,$DH$5:DH387,0))))</f>
        <v/>
      </c>
      <c r="DJ388" s="84">
        <f>IF($A388="","",IF($B388="","qty, ","")&amp;IF($C388="","scope, ","")&amp;IF(OR($K388="",$M388=""),"size, ","")&amp;IF(AND($A388&lt;&gt;"",$C388&lt;&gt;"DOOR ONLY"),IF($U388="","jamb depth, ","")&amp;IF($X388="","construction, ","")&amp;IF($Y388="","anchor, ","")&amp;IF($S388="","frame type, ",""),"")&amp;IF(AND(N($BJ388)&gt;0,$Z388=""),"hand, ","")&amp;IF(N($BJ388)&gt;0,IF($AH388="","door material, ","")&amp;IF($AL388="","face type, ","")&amp;IF($AP388="","lock prep, ","")&amp;IF(AND($AO388="",$AC388=""),"hinge prep, ",""),"")&amp;IF(AND($CH388&gt;0,$AH388="FRP"),"FRP cannot carry a label, ","")&amp;IF(AND($O388="Y",OR($Z388="L",$Z388="R",$Z388="LR",$Z388="RR")),"pair marked but hand is single, ","")&amp;IF(AND($O388&lt;&gt;"Y",OR($Z388="PR",AND(LEN($Z388)&gt;1,ISNUMBER(SEARCH("-",$Z388))))),"pair hand on a single door, ","")&amp;IF(AND(ISNUMBER($CI388),$CH388&lt;N($CI388)),"wall needs a "&amp;$CI388&amp;" min door, ","")&amp;IF(AND($CH388&gt;=180,AND(OR($CE388="FG",$CE388="HG",$CE388="FNV",$CE388="FV"),N($CF388)*N($CG388)&gt;100)),"180 min lite over 100 sq in, ","")&amp;IF(N($BK388)&gt;48,"leaf wider than 4'-0"&amp;CHAR(34)&amp;", ","")&amp;IF(AND($CT388,COUNT($AW388:$AZ388)=0,$CQ388&gt;0),"CUSTOM LOC with no locations typed, ",""))</f>
        <v/>
      </c>
      <c r="DK388" s="84">
        <f>IF($A388="","",IF(AND($CH388&gt;0,AND($A388&lt;&gt;"",$C388&lt;&gt;"DOOR ONLY"),$X388="KD",$E388="EXTERIOR"),"KD label on an exterior opening, ","")&amp;IF(AND($E388="EXTERIOR",OR(AND(AND($A388&lt;&gt;"",$C388&lt;&gt;"DOOR ONLY"),$W388="CR"),AND(N($BJ388)&gt;0,$AH388="CR"))),"exterior in CR steel (G9?), ","")&amp;IF(AND(ISNUMBER($BQ388),N($BQ388)&lt;32),"clear width ~"&amp;TEXT($BQ388,"0.0")&amp;CHAR(34)&amp;" under 32"&amp;CHAR(34)&amp;" (ADA), ","")&amp;IF(AND($CH388=90,AND(OR($CE388="FG",$CE388="HG",$CE388="FNV",$CE388="FV"),N($CF388)*N($CG388)&gt;100)),"90 min lite over 100 sq in (stair/exit), ","")&amp;IF(AND($CH388&gt;0,AND($A388&lt;&gt;"",$C388&lt;&gt;"DOOR ONLY"),OR($AF388="",$AF388="-")),"rated: closer reinf.?, ","")&amp;IF(OR($I388="CORRIDOR",$I388="SMOKE BARRIER"),"S label + smoke gasketing, ","")&amp;IF($CI388="?","wall type/hr not in IBC table, ","")&amp;IF(AND(N($BJ388)&gt;0,$BB388=""),"no hardware set, ","")&amp;IF(AND($BB388&lt;&gt;"",ISNA(MATCH($BB388&amp;"",HWSets,0))),"set "&amp;$BB388&amp;" not on HW Sets, ","")&amp;IF(N($BL388)&gt;96,"leaf over 8'-0"&amp;CHAR(34)&amp;" - check listing, ","")&amp;IF(AND($CT388,COUNT($AW388:$AZ388)&gt;0,COUNT($AW388:$AZ388)&lt;&gt;$CQ388),COUNT($AW388:$AZ388)&amp;" custom hinges typed, "&amp;$CQ388&amp;" expected, ","")&amp;IF(AND(ISNUMBER($CA388),OR(N($CA388)&lt;34,N($CA388)&gt;48)),"lock "&amp;TEXT($CA388,"0.0")&amp;CHAR(34)&amp;" AFF outside 34-48"&amp;CHAR(34)&amp;" (ADA), ","")&amp;IF(AND(ISNUMBER($AV388),ISNUMBER($BL388),N($AV388)&lt;IF(N($BL388)&lt;=60,2,IF(N($BL388)&lt;=90,3,IF(N($BL388)&lt;=120,4,5)))),"fewer hinges than standard, ",""))</f>
        <v/>
      </c>
    </row>
    <row r="389" ht="15" customHeight="1">
      <c r="A389" s="77" t="n"/>
      <c r="B389" s="78" t="n"/>
      <c r="C389" s="78" t="n"/>
      <c r="D389" s="78" t="n"/>
      <c r="E389" s="78" t="n"/>
      <c r="F389" s="78" t="n"/>
      <c r="G389" s="78" t="n"/>
      <c r="H389" s="78" t="n"/>
      <c r="I389" s="78" t="n"/>
      <c r="J389" s="78" t="n"/>
      <c r="K389" s="78" t="n"/>
      <c r="L389" s="78" t="n"/>
      <c r="M389" s="78" t="n"/>
      <c r="N389" s="78" t="n"/>
      <c r="O389" s="78" t="n"/>
      <c r="P389" s="78" t="n"/>
      <c r="Q389" s="78" t="n"/>
      <c r="R389" s="78" t="n"/>
      <c r="S389" s="79" t="n"/>
      <c r="T389" s="79" t="n"/>
      <c r="U389" s="79" t="n"/>
      <c r="V389" s="79" t="n"/>
      <c r="W389" s="79" t="n"/>
      <c r="X389" s="79" t="n"/>
      <c r="Y389" s="79" t="n"/>
      <c r="Z389" s="79" t="n"/>
      <c r="AA389" s="79" t="n"/>
      <c r="AB389" s="79" t="n"/>
      <c r="AC389" s="79" t="n"/>
      <c r="AD389" s="79" t="n"/>
      <c r="AE389" s="79" t="n"/>
      <c r="AF389" s="79" t="n"/>
      <c r="AG389" s="79" t="n"/>
      <c r="AH389" s="80" t="n"/>
      <c r="AI389" s="80" t="n"/>
      <c r="AJ389" s="80" t="n"/>
      <c r="AK389" s="80" t="n"/>
      <c r="AL389" s="80" t="n"/>
      <c r="AM389" s="80" t="n"/>
      <c r="AN389" s="80" t="n"/>
      <c r="AO389" s="80" t="n"/>
      <c r="AP389" s="80" t="n"/>
      <c r="AQ389" s="80" t="n"/>
      <c r="AR389" s="80" t="n"/>
      <c r="AS389" s="80" t="n"/>
      <c r="AT389" s="81" t="n"/>
      <c r="AU389" s="81" t="n"/>
      <c r="AV389" s="81" t="n"/>
      <c r="AW389" s="82" t="n"/>
      <c r="AX389" s="82" t="n"/>
      <c r="AY389" s="82" t="n"/>
      <c r="AZ389" s="82" t="n"/>
      <c r="BA389" s="82" t="n"/>
      <c r="BB389" s="83" t="n"/>
      <c r="BC389" s="83" t="n"/>
      <c r="BD389" s="84">
        <f>IF($A389="","",IF($DJ389&lt;&gt;"","FIX",IF($DK389&lt;&gt;"","CHECK","OK")))</f>
        <v/>
      </c>
      <c r="BE389" s="85">
        <f>IF($A389="","",IF($DJ389&lt;&gt;"","FIX: "&amp;LEFT($DJ389,LEN($DJ389)-2)&amp;IF($DK389&lt;&gt;"","  ·  ",""),"")&amp;IF($DK389&lt;&gt;"","CHECK: "&amp;LEFT($DK389,LEN($DK389)-2),""))</f>
        <v/>
      </c>
      <c r="BF389" s="84">
        <f>IF(OR($A389="",$K389=""),"",$K389&amp;"'-"&amp;N($L389)&amp;CHAR(34)&amp;" x "&amp;$M389&amp;"'-"&amp;N($N389)&amp;CHAR(34))</f>
        <v/>
      </c>
      <c r="BG389" s="84">
        <f>IF(OR($A389="",$K389=""),"",$K389&amp;N($L389)&amp;$M389&amp;N($N389))</f>
        <v/>
      </c>
      <c r="BH389" s="84">
        <f>IF(OR($A389="",$K389=""),"",$K389*12+N($L389))</f>
        <v/>
      </c>
      <c r="BI389" s="84">
        <f>IF(OR($A389="",$M389=""),"",$M389*12+N($N389))</f>
        <v/>
      </c>
      <c r="BJ389" s="84">
        <f>IF($A389="","",IF(OR($C389="FRAME ONLY",$S389="BL"),0,IF($O389="Y",2,1)))</f>
        <v/>
      </c>
      <c r="BK389" s="86">
        <f>IF(OR(N($BJ389)=0,$BH389=""),"",($BH389-2*EdgeClr-IF($BJ389=2,MeetClr,0))/$BJ389)</f>
        <v/>
      </c>
      <c r="BL389" s="86">
        <f>IF(OR(N($BJ389)=0,$BI389=""),"",$BI389-HeadClr-Undercut)</f>
        <v/>
      </c>
      <c r="BM389" s="86">
        <f>IF($BH389="","",$BH389+2*FaceW+IF(N($Q389)&gt;0,($Q389+FaceW)*IF($R389="LR",2,1),0))</f>
        <v/>
      </c>
      <c r="BN389" s="86">
        <f>IF($BI389="","",$BI389+IF($AB389="Y",4,FaceW)+IF(N($P389)&gt;0,$P389+FaceW,0)+IF(OR($S389="4F",$S389="BL"),FaceW,0))</f>
        <v/>
      </c>
      <c r="BO389" s="86">
        <f>IF($BM389="","",$BM389+2*ROSide)</f>
        <v/>
      </c>
      <c r="BP389" s="86">
        <f>IF($BN389="","",$BN389+ROTop)</f>
        <v/>
      </c>
      <c r="BQ389" s="87">
        <f>IF(OR(N($BJ389)=0,$BH389=""),"",$BH389/$BJ389-ClearDeduct)</f>
        <v/>
      </c>
      <c r="BR389" s="84">
        <f>IF(N($CH389)=0,"",IF($CH389&gt;=180,"A · 3 HR",IF($CH389&gt;=90,"B · 1-1/2 HR",IF($CH389&gt;=60,"B · 1 HR",IF($CH389&gt;=45,"C · 3/4 HR","20 MIN")))))&amp;IF(AND(N($CH389)&gt;0,OR($I389="CORRIDOR",$I389="SMOKE BARRIER"))," · S","")</f>
        <v/>
      </c>
      <c r="BS389" s="84">
        <f>IF($CS389,"",IF($AV389&lt;&gt;"",$AV389,IF(OR($AC389="HGC",$AO389="HGC"),"CONT",IF(($BI389-HeadClr-Undercut)&lt;=60,2,IF(($BI389-HeadClr-Undercut)&lt;=90,3,IF(($BI389-HeadClr-Undercut)&lt;=120,4,5))))))</f>
        <v/>
      </c>
      <c r="BT389" s="84">
        <f>IF($CS389,"",IF($CT389,"CUSTOM (typed)",IF($CV389,$AT389&amp;" "&amp;$CU389&amp;CHAR(34)&amp;IF($CU389&lt;&gt;$BI389,IF(AND($BI389&lt;$CU389,$BI389-IF(N(VLOOKUP($AT389&amp;"|"&amp;$CU389,LocTable,7,FALSE))&gt;0,VLOOKUP($AT389&amp;"|"&amp;$CU389,LocTable,7,FALSE),VLOOKUP($AT389&amp;"|"&amp;$CU389,LocTable,6,FALSE))-$CR389-0.75&gt;=2.125)," cut down"," adj."),""),"ANSI/SDI A250.6")))</f>
        <v/>
      </c>
      <c r="BU389" s="88">
        <f>IF($CS389,"",IF($CT389,IF(N($AW389)&gt;0,N($AW389),""),IF(1&gt;$CQ389,"",IF($CQ389=1,$CW389,$CW389+($CX389-$CW389)*0/($CQ389-1)))))</f>
        <v/>
      </c>
      <c r="BV389" s="88">
        <f>IF($CS389,"",IF($CT389,IF(N($AX389)&gt;0,N($AX389),""),IF(2&gt;$CQ389,"",IF($CQ389=1,$CW389,$CW389+($CX389-$CW389)*1/($CQ389-1)))))</f>
        <v/>
      </c>
      <c r="BW389" s="88">
        <f>IF($CS389,"",IF($CT389,IF(N($AY389)&gt;0,N($AY389),""),IF(3&gt;$CQ389,"",IF($CQ389=1,$CW389,$CW389+($CX389-$CW389)*2/($CQ389-1)))))</f>
        <v/>
      </c>
      <c r="BX389" s="88">
        <f>IF($CS389,"",IF($CT389,IF(N($AZ389)&gt;0,N($AZ389),""),IF(4&gt;$CQ389,"",IF($CQ389=1,$CW389,$CW389+($CX389-$CW389)*3/($CQ389-1)))))</f>
        <v/>
      </c>
      <c r="BY389" s="88">
        <f>IF($CS389,"",IF($CT389,"",IF(5&gt;$CQ389,"",IF($CQ389=1,$CW389,$CW389+($CX389-$CW389)*4/($CQ389-1)))))</f>
        <v/>
      </c>
      <c r="BZ389" s="88">
        <f>IF(OR($CS389,$AP389="-",AND($AP389="",$AD389="")),"",IF(N($BA389)&gt;0,N($BA389),IF($CV389,IF(AND($BI389&lt;$CU389,$BI389-IF(N(VLOOKUP($AT389&amp;"|"&amp;$CU389,LocTable,7,FALSE))&gt;0,VLOOKUP($AT389&amp;"|"&amp;$CU389,LocTable,7,FALSE),VLOOKUP($AT389&amp;"|"&amp;$CU389,LocTable,6,FALSE))-$CR389-0.75&gt;=2.125),VLOOKUP($AT389&amp;"|"&amp;$CU389,LocTable,8,FALSE),VLOOKUP($AT389&amp;"|"&amp;$CU389,LocTable,8,FALSE)+($BI389-$CU389)),$BI389-LockAFF)))</f>
        <v/>
      </c>
      <c r="CA389" s="89">
        <f>IF($BZ389="","",$BI389-$BZ389)</f>
        <v/>
      </c>
      <c r="CB389" s="84">
        <f>IF(OR(NOT(AND($A389&lt;&gt;"",$C389&lt;&gt;"DOOR ONLY")),$BI389=""),"",IF(($BI389+IF(N($P389)&gt;0,$P389+FaceW,0))&lt;=90,3,IF(($BI389+IF(N($P389)&gt;0,$P389+FaceW,0))&lt;=114,4,5)))</f>
        <v/>
      </c>
      <c r="CC389" s="84">
        <f>IF($CB389="","",$CB389*(2+IF(N($Q389)&gt;0,IF($R389="LR",2,1),0)))</f>
        <v/>
      </c>
      <c r="CD389" s="84">
        <f>IF($CB389="","",(2+IF(N($Q389)&gt;0,IF($R389="LR",2,1),0)))</f>
        <v/>
      </c>
      <c r="CE389" s="84">
        <f>IF(N($BJ389)=0,"",IF(OR($AL389="",$AL389="FLUSH"),"FLUSH",IFERROR(LEFT($AL389,FIND("-",$AL389)-1),LEFT($AL389,2))))</f>
        <v/>
      </c>
      <c r="CF389" s="84">
        <f>IF($CE389="","",IFERROR(VALUE(MID($AL389,FIND("-",$AL389)+1,FIND(CHAR(34)&amp;"x",$AL389)-FIND("-",$AL389)-1)),0))</f>
        <v/>
      </c>
      <c r="CG389" s="84">
        <f>IF($CE389="","",IFERROR(VALUE(MID($AL389,FIND(CHAR(34)&amp;"x",$AL389)+2,FIND(CHAR(34),$AL389,FIND(CHAR(34)&amp;"x",$AL389)+2)-FIND(CHAR(34)&amp;"x",$AL389)-2)),0))</f>
        <v/>
      </c>
      <c r="CH389" s="90">
        <f>IF(OR($A389="",$H389="",$H389="NO LAB"),0,IFERROR(VALUE(LEFT($H389,FIND(" ",$H389)-1)),0))</f>
        <v/>
      </c>
      <c r="CI389" s="91">
        <f>IF(OR($A389="",$I389="",$I389="NON-RATED",N($J389)=0),"",IFERROR(VLOOKUP($I389&amp;"|"&amp;$J389,IBC,2,FALSE),"?"))</f>
        <v/>
      </c>
      <c r="CJ389" s="85">
        <f>IF(NOT(AND($A389&lt;&gt;"",$C389&lt;&gt;"DOOR ONLY")),"",TRIM(IFERROR(VLOOKUP($U389,CODES,2,FALSE),"")&amp;" "&amp;$BG389&amp;" "&amp;IFERROR(VLOOKUP($Z389,CODES,2,FALSE),"")&amp;" "&amp;IFERROR(VLOOKUP($X389,CODES,2,FALSE),"")&amp;" "&amp;IFERROR(VLOOKUP($S389,CODES,2,FALSE),"")&amp;IF(N($P389)&gt;0," w/TRANSOM "&amp;$P389&amp;CHAR(34),"")&amp;IF(N($Q389)&gt;0," w/SIDELITE "&amp;$Q389&amp;CHAR(34)&amp;" "&amp;IF($R389="","R",$R389),"")&amp;IF($Y389="","  |  "," | "&amp;IFERROR(VLOOKUP($Y389,CODES,2,FALSE),"")&amp;" | ")&amp;IFERROR(VLOOKUP($AC389,CODES,2,FALSE),"")&amp;" "&amp;IFERROR(VLOOKUP($AD389,CODES,2,FALSE),"")&amp;IF(OR($AE389="",$AE389="-"),""," "&amp;$AE389)&amp;IF(OR($AF389="",$AF389="-"),""," "&amp;$AF389)&amp;IF($AB389="Y"," 4"&amp;CHAR(34)&amp;" HEAD","")&amp;" "&amp;IFERROR(VLOOKUP($H389,CODES,2,FALSE),"")&amp;IF($CT389," | LOC "&amp;$CY389,"")))</f>
        <v/>
      </c>
      <c r="CK389" s="85">
        <f>IF(NOT(AND($A389&lt;&gt;"",N($BJ389)&gt;0)),"",TRIM(IFERROR(VLOOKUP($AH389,CODES,2,FALSE),"")&amp;IF($AI389=""," "," "&amp;$AI389&amp;"GA ")&amp;$BG389&amp;" "&amp;IF($AN389="",IFERROR(VLOOKUP($Z389,CODES,2,FALSE),""),IFERROR(VLOOKUP($AN389,CODES,2,FALSE),""))&amp;IF($BJ389=2," PAIR","")&amp;" DOOR | "&amp;IF($AL389="","?",$AL389)&amp;" | "&amp;IF($AO389="",IFERROR(VLOOKUP($AC389,CODES,2,FALSE),""),IFERROR(VLOOKUP($AO389,CODES,2,FALSE),""))&amp;" "&amp;IFERROR(VLOOKUP($AP389,CODES,2,FALSE),"")&amp;IF(OR($AQ389="",$AQ389="-"),""," SEAM "&amp;$AQ389)&amp;IF($AR389="Y"," ASTRAGAL","")&amp;IF($AJ389=""," "," "&amp;$AJ389)&amp;IF($AK389=""," "," "&amp;$AK389)&amp;IF(OR($AT389="",$AT389="ANSI/SDI",$AT389="CUSTOM LOC"),""," "&amp;$AT389)&amp;IF($AM389=""," "," SERIES "&amp;$AM389)&amp;" "&amp;IFERROR(VLOOKUP($H389,CODES,2,FALSE),"")&amp;IF($CT389," | LOC "&amp;$CZ389,"")))</f>
        <v/>
      </c>
      <c r="CL389" s="84">
        <f>IF(CP389="","",IF(COUNTIF($CP$6:CP389,CP389)=1,MAX($CL$5:CL388)+1,INDEX($CL$5:CL388,MATCH(CP389,$CP$5:CP388,0))))</f>
        <v/>
      </c>
      <c r="CM389" s="84">
        <f>IF(NOT(AND($A389&lt;&gt;"",$C389&lt;&gt;"DOOR ONLY")),"",MAX($CM$5:CM388)+1)</f>
        <v/>
      </c>
      <c r="CN389" s="84">
        <f>IF(NOT(AND($A389&lt;&gt;"",N($BJ389)&gt;0)),"",MAX($CN$5:CN388)+1)</f>
        <v/>
      </c>
      <c r="CO389" s="84">
        <f>IF($A389="","",MAX($CO$5:CO388)+1)</f>
        <v/>
      </c>
      <c r="CP389" s="84">
        <f>IF(OR($A389="",$BH389="",$BI389=""),"",$BG389&amp;"|"&amp;$O389&amp;"|"&amp;$AL389&amp;"|"&amp;$S389&amp;"|"&amp;$P389&amp;"|"&amp;$Q389&amp;$R389&amp;"|"&amp;$C389&amp;"|"&amp;$AB389)</f>
        <v/>
      </c>
      <c r="CQ389" s="84">
        <f>N($BS389)</f>
        <v/>
      </c>
      <c r="CR389" s="84">
        <f>IF(N($AU389)&gt;0,N($AU389),4.5)</f>
        <v/>
      </c>
      <c r="CS389" s="84">
        <f>OR($A389="",$BI389="",$S389="BL",AND($C389="FRAME ONLY",OR($AC389="",$AC389="BLK")))</f>
        <v/>
      </c>
      <c r="CT389" s="84">
        <f>AND(NOT($CS389),OR($AT389="CUSTOM LOC",N($AW389)+N($AX389)+N($AY389)+N($AZ389)+N($BA389)&gt;0))</f>
        <v/>
      </c>
      <c r="CU389" s="84">
        <f>IF($BI389="","",IF($BI389&lt;=80,80,IF($BI389&lt;=84,84,96)))</f>
        <v/>
      </c>
      <c r="CV389" s="84">
        <f>ISNUMBER(MATCH($AT389&amp;"|80",LocKeys,0))</f>
        <v/>
      </c>
      <c r="CW389" s="86">
        <f>IF($CS389,"",IF($CV389,VLOOKUP($AT389&amp;"|"&amp;$CU389,LocTable,4,FALSE),5))</f>
        <v/>
      </c>
      <c r="CX389" s="86">
        <f>IF($CS389,"",IF($CV389,IF(OR($BI389=$CU389,AND($BI389&lt;$CU389,$BI389-IF(N(VLOOKUP($AT389&amp;"|"&amp;$CU389,LocTable,7,FALSE))&gt;0,VLOOKUP($AT389&amp;"|"&amp;$CU389,LocTable,7,FALSE),VLOOKUP($AT389&amp;"|"&amp;$CU389,LocTable,6,FALSE))-$CR389-0.75&gt;=2.125)),IF(N(VLOOKUP($AT389&amp;"|"&amp;$CU389,LocTable,7,FALSE))&gt;0,VLOOKUP($AT389&amp;"|"&amp;$CU389,LocTable,7,FALSE),VLOOKUP($AT389&amp;"|"&amp;$CU389,LocTable,6,FALSE)),$BI389-($CU389-IF(N(VLOOKUP($AT389&amp;"|"&amp;$CU389,LocTable,7,FALSE))&gt;0,VLOOKUP($AT389&amp;"|"&amp;$CU389,LocTable,7,FALSE),VLOOKUP($AT389&amp;"|"&amp;$CU389,LocTable,6,FALSE)))),$BI389-10-$CR389))</f>
        <v/>
      </c>
      <c r="CY389" s="85">
        <f>IF($CS389,"",TRIM(IF(ISNUMBER($BU389),"A "&amp;TRIM(TEXT($BU389,"# ?/??"))&amp;CHAR(34)&amp;"  ","")&amp;IF(ISNUMBER($BV389),"B "&amp;TRIM(TEXT($BV389,"# ?/??"))&amp;CHAR(34)&amp;"  ","")&amp;IF(ISNUMBER($BW389),"C "&amp;TRIM(TEXT($BW389,"# ?/??"))&amp;CHAR(34)&amp;"  ","")&amp;IF(ISNUMBER($BX389),"D "&amp;TRIM(TEXT($BX389,"# ?/??"))&amp;CHAR(34)&amp;"  ","")&amp;IF(ISNUMBER($BY389),"F "&amp;TRIM(TEXT($BY389,"# ?/??"))&amp;CHAR(34)&amp;"  ","")&amp;IF(ISNUMBER($BZ389),"E "&amp;TRIM(TEXT($BZ389,"# ?/??"))&amp;CHAR(34)&amp;"  ","")))</f>
        <v/>
      </c>
      <c r="CZ389" s="85">
        <f>IF(OR($CS389,N($BJ389)=0),"",TRIM(IF(ISNUMBER($BU389),"A "&amp;TRIM(TEXT($BU389-HeadClr,"# ?/??"))&amp;CHAR(34)&amp;"  ","")&amp;IF(ISNUMBER($BV389),"B "&amp;TRIM(TEXT($BV389-HeadClr,"# ?/??"))&amp;CHAR(34)&amp;"  ","")&amp;IF(ISNUMBER($BW389),"C "&amp;TRIM(TEXT($BW389-HeadClr,"# ?/??"))&amp;CHAR(34)&amp;"  ","")&amp;IF(ISNUMBER($BX389),"D "&amp;TRIM(TEXT($BX389-HeadClr,"# ?/??"))&amp;CHAR(34)&amp;"  ","")&amp;IF(ISNUMBER($BY389),"F "&amp;TRIM(TEXT($BY389-HeadClr,"# ?/??"))&amp;CHAR(34)&amp;"  ","")&amp;IF(ISNUMBER($BZ389),"E "&amp;TRIM(TEXT($BZ389-HeadClr,"# ?/??"))&amp;CHAR(34)&amp;"  ","")))</f>
        <v/>
      </c>
      <c r="DA389" s="84">
        <f>IF($A389="","",IF($AN389="",IFERROR(VLOOKUP($Z389,CODES,2,FALSE),""),IFERROR(VLOOKUP($AN389,CODES,2,FALSE),"")))</f>
        <v/>
      </c>
      <c r="DB389" s="84">
        <f>IF($A389="","",IF($O389="Y","PR",IF(OR($Z389="L",$Z389="RR",LEFT($Z389,2)="L-",LEFT($Z389,3)="RR-"),"LH","RH")))</f>
        <v/>
      </c>
      <c r="DC389" s="84">
        <f>IF($A389="","","S.HM"&amp;IF(OR($C389="DOOR ONLY",$X389&lt;&gt;"KD"),"MASONRY","DRYWALL")&amp;IF($C389="DOOR ONLY","",$U389)&amp;IF(AND($C389&lt;&gt;"FRAME ONLY",OR(LEFT($AH389,3)="OAK",LEFT($AH389,3)="BIR",LEFT($AH389,3)="MAP",$AH389="PC",$AH389="MC",$AH389="SCLC",$AH389="P-LAM")),"WD","HM")&amp;"1.75")</f>
        <v/>
      </c>
      <c r="DD389" s="84">
        <f>IF($CJ389="","",IF($O389="Y",$CJ389,SUBSTITUTE($CJ389,$BG389&amp;" "&amp;IFERROR(VLOOKUP($Z389,CODES,2,FALSE),"")&amp;" ",$BG389&amp;" ")))</f>
        <v/>
      </c>
      <c r="DE389" s="84">
        <f>IF($CK389="","",IF($O389="Y",$CK389,SUBSTITUTE($CK389,$BG389&amp;" "&amp;IF($AN389="",IFERROR(VLOOKUP($Z389,CODES,2,FALSE),""),IFERROR(VLOOKUP($AN389,CODES,2,FALSE),""))&amp;" ",$BG389&amp;" ")))</f>
        <v/>
      </c>
      <c r="DF389" s="84">
        <f>IF($CJ389="","",$DC389&amp;"|"&amp;$DD389&amp;"|"&amp;$DB389&amp;"|"&amp;$AT389&amp;"|"&amp;$V389&amp;"|"&amp;$Y389&amp;"|"&amp;$AB389)</f>
        <v/>
      </c>
      <c r="DG389" s="84">
        <f>IF(DF389="","",IF(COUNTIF($DF$6:DF389,DF389)=1,MAX($DG$5:DG388)+1,INDEX($DG$5:DG388,MATCH(DF389,$DF$5:DF388,0))))</f>
        <v/>
      </c>
      <c r="DH389" s="84">
        <f>IF($CK389="","",$DC389&amp;"|"&amp;$DE389&amp;"|"&amp;$AI389&amp;"|"&amp;$BK389&amp;"|"&amp;$BL389)</f>
        <v/>
      </c>
      <c r="DI389" s="84">
        <f>IF(DH389="","",IF(COUNTIF($DH$6:DH389,DH389)=1,MAX($DI$5:DI388)+1,INDEX($DI$5:DI388,MATCH(DH389,$DH$5:DH388,0))))</f>
        <v/>
      </c>
      <c r="DJ389" s="84">
        <f>IF($A389="","",IF($B389="","qty, ","")&amp;IF($C389="","scope, ","")&amp;IF(OR($K389="",$M389=""),"size, ","")&amp;IF(AND($A389&lt;&gt;"",$C389&lt;&gt;"DOOR ONLY"),IF($U389="","jamb depth, ","")&amp;IF($X389="","construction, ","")&amp;IF($Y389="","anchor, ","")&amp;IF($S389="","frame type, ",""),"")&amp;IF(AND(N($BJ389)&gt;0,$Z389=""),"hand, ","")&amp;IF(N($BJ389)&gt;0,IF($AH389="","door material, ","")&amp;IF($AL389="","face type, ","")&amp;IF($AP389="","lock prep, ","")&amp;IF(AND($AO389="",$AC389=""),"hinge prep, ",""),"")&amp;IF(AND($CH389&gt;0,$AH389="FRP"),"FRP cannot carry a label, ","")&amp;IF(AND($O389="Y",OR($Z389="L",$Z389="R",$Z389="LR",$Z389="RR")),"pair marked but hand is single, ","")&amp;IF(AND($O389&lt;&gt;"Y",OR($Z389="PR",AND(LEN($Z389)&gt;1,ISNUMBER(SEARCH("-",$Z389))))),"pair hand on a single door, ","")&amp;IF(AND(ISNUMBER($CI389),$CH389&lt;N($CI389)),"wall needs a "&amp;$CI389&amp;" min door, ","")&amp;IF(AND($CH389&gt;=180,AND(OR($CE389="FG",$CE389="HG",$CE389="FNV",$CE389="FV"),N($CF389)*N($CG389)&gt;100)),"180 min lite over 100 sq in, ","")&amp;IF(N($BK389)&gt;48,"leaf wider than 4'-0"&amp;CHAR(34)&amp;", ","")&amp;IF(AND($CT389,COUNT($AW389:$AZ389)=0,$CQ389&gt;0),"CUSTOM LOC with no locations typed, ",""))</f>
        <v/>
      </c>
      <c r="DK389" s="84">
        <f>IF($A389="","",IF(AND($CH389&gt;0,AND($A389&lt;&gt;"",$C389&lt;&gt;"DOOR ONLY"),$X389="KD",$E389="EXTERIOR"),"KD label on an exterior opening, ","")&amp;IF(AND($E389="EXTERIOR",OR(AND(AND($A389&lt;&gt;"",$C389&lt;&gt;"DOOR ONLY"),$W389="CR"),AND(N($BJ389)&gt;0,$AH389="CR"))),"exterior in CR steel (G9?), ","")&amp;IF(AND(ISNUMBER($BQ389),N($BQ389)&lt;32),"clear width ~"&amp;TEXT($BQ389,"0.0")&amp;CHAR(34)&amp;" under 32"&amp;CHAR(34)&amp;" (ADA), ","")&amp;IF(AND($CH389=90,AND(OR($CE389="FG",$CE389="HG",$CE389="FNV",$CE389="FV"),N($CF389)*N($CG389)&gt;100)),"90 min lite over 100 sq in (stair/exit), ","")&amp;IF(AND($CH389&gt;0,AND($A389&lt;&gt;"",$C389&lt;&gt;"DOOR ONLY"),OR($AF389="",$AF389="-")),"rated: closer reinf.?, ","")&amp;IF(OR($I389="CORRIDOR",$I389="SMOKE BARRIER"),"S label + smoke gasketing, ","")&amp;IF($CI389="?","wall type/hr not in IBC table, ","")&amp;IF(AND(N($BJ389)&gt;0,$BB389=""),"no hardware set, ","")&amp;IF(AND($BB389&lt;&gt;"",ISNA(MATCH($BB389&amp;"",HWSets,0))),"set "&amp;$BB389&amp;" not on HW Sets, ","")&amp;IF(N($BL389)&gt;96,"leaf over 8'-0"&amp;CHAR(34)&amp;" - check listing, ","")&amp;IF(AND($CT389,COUNT($AW389:$AZ389)&gt;0,COUNT($AW389:$AZ389)&lt;&gt;$CQ389),COUNT($AW389:$AZ389)&amp;" custom hinges typed, "&amp;$CQ389&amp;" expected, ","")&amp;IF(AND(ISNUMBER($CA389),OR(N($CA389)&lt;34,N($CA389)&gt;48)),"lock "&amp;TEXT($CA389,"0.0")&amp;CHAR(34)&amp;" AFF outside 34-48"&amp;CHAR(34)&amp;" (ADA), ","")&amp;IF(AND(ISNUMBER($AV389),ISNUMBER($BL389),N($AV389)&lt;IF(N($BL389)&lt;=60,2,IF(N($BL389)&lt;=90,3,IF(N($BL389)&lt;=120,4,5)))),"fewer hinges than standard, ",""))</f>
        <v/>
      </c>
    </row>
    <row r="390" ht="15" customHeight="1">
      <c r="A390" s="92" t="n"/>
      <c r="B390" s="93" t="n"/>
      <c r="C390" s="93" t="n"/>
      <c r="D390" s="93" t="n"/>
      <c r="E390" s="93" t="n"/>
      <c r="F390" s="93" t="n"/>
      <c r="G390" s="93" t="n"/>
      <c r="H390" s="93" t="n"/>
      <c r="I390" s="93" t="n"/>
      <c r="J390" s="93" t="n"/>
      <c r="K390" s="93" t="n"/>
      <c r="L390" s="93" t="n"/>
      <c r="M390" s="93" t="n"/>
      <c r="N390" s="93" t="n"/>
      <c r="O390" s="93" t="n"/>
      <c r="P390" s="93" t="n"/>
      <c r="Q390" s="93" t="n"/>
      <c r="R390" s="93" t="n"/>
      <c r="S390" s="94" t="n"/>
      <c r="T390" s="94" t="n"/>
      <c r="U390" s="94" t="n"/>
      <c r="V390" s="94" t="n"/>
      <c r="W390" s="94" t="n"/>
      <c r="X390" s="94" t="n"/>
      <c r="Y390" s="94" t="n"/>
      <c r="Z390" s="94" t="n"/>
      <c r="AA390" s="94" t="n"/>
      <c r="AB390" s="94" t="n"/>
      <c r="AC390" s="94" t="n"/>
      <c r="AD390" s="94" t="n"/>
      <c r="AE390" s="94" t="n"/>
      <c r="AF390" s="94" t="n"/>
      <c r="AG390" s="94" t="n"/>
      <c r="AH390" s="95" t="n"/>
      <c r="AI390" s="95" t="n"/>
      <c r="AJ390" s="95" t="n"/>
      <c r="AK390" s="95" t="n"/>
      <c r="AL390" s="95" t="n"/>
      <c r="AM390" s="95" t="n"/>
      <c r="AN390" s="95" t="n"/>
      <c r="AO390" s="95" t="n"/>
      <c r="AP390" s="95" t="n"/>
      <c r="AQ390" s="95" t="n"/>
      <c r="AR390" s="95" t="n"/>
      <c r="AS390" s="95" t="n"/>
      <c r="AT390" s="96" t="n"/>
      <c r="AU390" s="96" t="n"/>
      <c r="AV390" s="96" t="n"/>
      <c r="AW390" s="97" t="n"/>
      <c r="AX390" s="97" t="n"/>
      <c r="AY390" s="97" t="n"/>
      <c r="AZ390" s="97" t="n"/>
      <c r="BA390" s="97" t="n"/>
      <c r="BB390" s="98" t="n"/>
      <c r="BC390" s="98" t="n"/>
      <c r="BD390" s="99">
        <f>IF($A390="","",IF($DJ390&lt;&gt;"","FIX",IF($DK390&lt;&gt;"","CHECK","OK")))</f>
        <v/>
      </c>
      <c r="BE390" s="100">
        <f>IF($A390="","",IF($DJ390&lt;&gt;"","FIX: "&amp;LEFT($DJ390,LEN($DJ390)-2)&amp;IF($DK390&lt;&gt;"","  ·  ",""),"")&amp;IF($DK390&lt;&gt;"","CHECK: "&amp;LEFT($DK390,LEN($DK390)-2),""))</f>
        <v/>
      </c>
      <c r="BF390" s="99">
        <f>IF(OR($A390="",$K390=""),"",$K390&amp;"'-"&amp;N($L390)&amp;CHAR(34)&amp;" x "&amp;$M390&amp;"'-"&amp;N($N390)&amp;CHAR(34))</f>
        <v/>
      </c>
      <c r="BG390" s="99">
        <f>IF(OR($A390="",$K390=""),"",$K390&amp;N($L390)&amp;$M390&amp;N($N390))</f>
        <v/>
      </c>
      <c r="BH390" s="99">
        <f>IF(OR($A390="",$K390=""),"",$K390*12+N($L390))</f>
        <v/>
      </c>
      <c r="BI390" s="99">
        <f>IF(OR($A390="",$M390=""),"",$M390*12+N($N390))</f>
        <v/>
      </c>
      <c r="BJ390" s="99">
        <f>IF($A390="","",IF(OR($C390="FRAME ONLY",$S390="BL"),0,IF($O390="Y",2,1)))</f>
        <v/>
      </c>
      <c r="BK390" s="101">
        <f>IF(OR(N($BJ390)=0,$BH390=""),"",($BH390-2*EdgeClr-IF($BJ390=2,MeetClr,0))/$BJ390)</f>
        <v/>
      </c>
      <c r="BL390" s="101">
        <f>IF(OR(N($BJ390)=0,$BI390=""),"",$BI390-HeadClr-Undercut)</f>
        <v/>
      </c>
      <c r="BM390" s="101">
        <f>IF($BH390="","",$BH390+2*FaceW+IF(N($Q390)&gt;0,($Q390+FaceW)*IF($R390="LR",2,1),0))</f>
        <v/>
      </c>
      <c r="BN390" s="101">
        <f>IF($BI390="","",$BI390+IF($AB390="Y",4,FaceW)+IF(N($P390)&gt;0,$P390+FaceW,0)+IF(OR($S390="4F",$S390="BL"),FaceW,0))</f>
        <v/>
      </c>
      <c r="BO390" s="101">
        <f>IF($BM390="","",$BM390+2*ROSide)</f>
        <v/>
      </c>
      <c r="BP390" s="101">
        <f>IF($BN390="","",$BN390+ROTop)</f>
        <v/>
      </c>
      <c r="BQ390" s="102">
        <f>IF(OR(N($BJ390)=0,$BH390=""),"",$BH390/$BJ390-ClearDeduct)</f>
        <v/>
      </c>
      <c r="BR390" s="99">
        <f>IF(N($CH390)=0,"",IF($CH390&gt;=180,"A · 3 HR",IF($CH390&gt;=90,"B · 1-1/2 HR",IF($CH390&gt;=60,"B · 1 HR",IF($CH390&gt;=45,"C · 3/4 HR","20 MIN")))))&amp;IF(AND(N($CH390)&gt;0,OR($I390="CORRIDOR",$I390="SMOKE BARRIER"))," · S","")</f>
        <v/>
      </c>
      <c r="BS390" s="99">
        <f>IF($CS390,"",IF($AV390&lt;&gt;"",$AV390,IF(OR($AC390="HGC",$AO390="HGC"),"CONT",IF(($BI390-HeadClr-Undercut)&lt;=60,2,IF(($BI390-HeadClr-Undercut)&lt;=90,3,IF(($BI390-HeadClr-Undercut)&lt;=120,4,5))))))</f>
        <v/>
      </c>
      <c r="BT390" s="99">
        <f>IF($CS390,"",IF($CT390,"CUSTOM (typed)",IF($CV390,$AT390&amp;" "&amp;$CU390&amp;CHAR(34)&amp;IF($CU390&lt;&gt;$BI390,IF(AND($BI390&lt;$CU390,$BI390-IF(N(VLOOKUP($AT390&amp;"|"&amp;$CU390,LocTable,7,FALSE))&gt;0,VLOOKUP($AT390&amp;"|"&amp;$CU390,LocTable,7,FALSE),VLOOKUP($AT390&amp;"|"&amp;$CU390,LocTable,6,FALSE))-$CR390-0.75&gt;=2.125)," cut down"," adj."),""),"ANSI/SDI A250.6")))</f>
        <v/>
      </c>
      <c r="BU390" s="103">
        <f>IF($CS390,"",IF($CT390,IF(N($AW390)&gt;0,N($AW390),""),IF(1&gt;$CQ390,"",IF($CQ390=1,$CW390,$CW390+($CX390-$CW390)*0/($CQ390-1)))))</f>
        <v/>
      </c>
      <c r="BV390" s="103">
        <f>IF($CS390,"",IF($CT390,IF(N($AX390)&gt;0,N($AX390),""),IF(2&gt;$CQ390,"",IF($CQ390=1,$CW390,$CW390+($CX390-$CW390)*1/($CQ390-1)))))</f>
        <v/>
      </c>
      <c r="BW390" s="103">
        <f>IF($CS390,"",IF($CT390,IF(N($AY390)&gt;0,N($AY390),""),IF(3&gt;$CQ390,"",IF($CQ390=1,$CW390,$CW390+($CX390-$CW390)*2/($CQ390-1)))))</f>
        <v/>
      </c>
      <c r="BX390" s="103">
        <f>IF($CS390,"",IF($CT390,IF(N($AZ390)&gt;0,N($AZ390),""),IF(4&gt;$CQ390,"",IF($CQ390=1,$CW390,$CW390+($CX390-$CW390)*3/($CQ390-1)))))</f>
        <v/>
      </c>
      <c r="BY390" s="103">
        <f>IF($CS390,"",IF($CT390,"",IF(5&gt;$CQ390,"",IF($CQ390=1,$CW390,$CW390+($CX390-$CW390)*4/($CQ390-1)))))</f>
        <v/>
      </c>
      <c r="BZ390" s="103">
        <f>IF(OR($CS390,$AP390="-",AND($AP390="",$AD390="")),"",IF(N($BA390)&gt;0,N($BA390),IF($CV390,IF(AND($BI390&lt;$CU390,$BI390-IF(N(VLOOKUP($AT390&amp;"|"&amp;$CU390,LocTable,7,FALSE))&gt;0,VLOOKUP($AT390&amp;"|"&amp;$CU390,LocTable,7,FALSE),VLOOKUP($AT390&amp;"|"&amp;$CU390,LocTable,6,FALSE))-$CR390-0.75&gt;=2.125),VLOOKUP($AT390&amp;"|"&amp;$CU390,LocTable,8,FALSE),VLOOKUP($AT390&amp;"|"&amp;$CU390,LocTable,8,FALSE)+($BI390-$CU390)),$BI390-LockAFF)))</f>
        <v/>
      </c>
      <c r="CA390" s="104">
        <f>IF($BZ390="","",$BI390-$BZ390)</f>
        <v/>
      </c>
      <c r="CB390" s="99">
        <f>IF(OR(NOT(AND($A390&lt;&gt;"",$C390&lt;&gt;"DOOR ONLY")),$BI390=""),"",IF(($BI390+IF(N($P390)&gt;0,$P390+FaceW,0))&lt;=90,3,IF(($BI390+IF(N($P390)&gt;0,$P390+FaceW,0))&lt;=114,4,5)))</f>
        <v/>
      </c>
      <c r="CC390" s="99">
        <f>IF($CB390="","",$CB390*(2+IF(N($Q390)&gt;0,IF($R390="LR",2,1),0)))</f>
        <v/>
      </c>
      <c r="CD390" s="99">
        <f>IF($CB390="","",(2+IF(N($Q390)&gt;0,IF($R390="LR",2,1),0)))</f>
        <v/>
      </c>
      <c r="CE390" s="99">
        <f>IF(N($BJ390)=0,"",IF(OR($AL390="",$AL390="FLUSH"),"FLUSH",IFERROR(LEFT($AL390,FIND("-",$AL390)-1),LEFT($AL390,2))))</f>
        <v/>
      </c>
      <c r="CF390" s="99">
        <f>IF($CE390="","",IFERROR(VALUE(MID($AL390,FIND("-",$AL390)+1,FIND(CHAR(34)&amp;"x",$AL390)-FIND("-",$AL390)-1)),0))</f>
        <v/>
      </c>
      <c r="CG390" s="99">
        <f>IF($CE390="","",IFERROR(VALUE(MID($AL390,FIND(CHAR(34)&amp;"x",$AL390)+2,FIND(CHAR(34),$AL390,FIND(CHAR(34)&amp;"x",$AL390)+2)-FIND(CHAR(34)&amp;"x",$AL390)-2)),0))</f>
        <v/>
      </c>
      <c r="CH390" s="105">
        <f>IF(OR($A390="",$H390="",$H390="NO LAB"),0,IFERROR(VALUE(LEFT($H390,FIND(" ",$H390)-1)),0))</f>
        <v/>
      </c>
      <c r="CI390" s="106">
        <f>IF(OR($A390="",$I390="",$I390="NON-RATED",N($J390)=0),"",IFERROR(VLOOKUP($I390&amp;"|"&amp;$J390,IBC,2,FALSE),"?"))</f>
        <v/>
      </c>
      <c r="CJ390" s="100">
        <f>IF(NOT(AND($A390&lt;&gt;"",$C390&lt;&gt;"DOOR ONLY")),"",TRIM(IFERROR(VLOOKUP($U390,CODES,2,FALSE),"")&amp;" "&amp;$BG390&amp;" "&amp;IFERROR(VLOOKUP($Z390,CODES,2,FALSE),"")&amp;" "&amp;IFERROR(VLOOKUP($X390,CODES,2,FALSE),"")&amp;" "&amp;IFERROR(VLOOKUP($S390,CODES,2,FALSE),"")&amp;IF(N($P390)&gt;0," w/TRANSOM "&amp;$P390&amp;CHAR(34),"")&amp;IF(N($Q390)&gt;0," w/SIDELITE "&amp;$Q390&amp;CHAR(34)&amp;" "&amp;IF($R390="","R",$R390),"")&amp;IF($Y390="","  |  "," | "&amp;IFERROR(VLOOKUP($Y390,CODES,2,FALSE),"")&amp;" | ")&amp;IFERROR(VLOOKUP($AC390,CODES,2,FALSE),"")&amp;" "&amp;IFERROR(VLOOKUP($AD390,CODES,2,FALSE),"")&amp;IF(OR($AE390="",$AE390="-"),""," "&amp;$AE390)&amp;IF(OR($AF390="",$AF390="-"),""," "&amp;$AF390)&amp;IF($AB390="Y"," 4"&amp;CHAR(34)&amp;" HEAD","")&amp;" "&amp;IFERROR(VLOOKUP($H390,CODES,2,FALSE),"")&amp;IF($CT390," | LOC "&amp;$CY390,"")))</f>
        <v/>
      </c>
      <c r="CK390" s="100">
        <f>IF(NOT(AND($A390&lt;&gt;"",N($BJ390)&gt;0)),"",TRIM(IFERROR(VLOOKUP($AH390,CODES,2,FALSE),"")&amp;IF($AI390=""," "," "&amp;$AI390&amp;"GA ")&amp;$BG390&amp;" "&amp;IF($AN390="",IFERROR(VLOOKUP($Z390,CODES,2,FALSE),""),IFERROR(VLOOKUP($AN390,CODES,2,FALSE),""))&amp;IF($BJ390=2," PAIR","")&amp;" DOOR | "&amp;IF($AL390="","?",$AL390)&amp;" | "&amp;IF($AO390="",IFERROR(VLOOKUP($AC390,CODES,2,FALSE),""),IFERROR(VLOOKUP($AO390,CODES,2,FALSE),""))&amp;" "&amp;IFERROR(VLOOKUP($AP390,CODES,2,FALSE),"")&amp;IF(OR($AQ390="",$AQ390="-"),""," SEAM "&amp;$AQ390)&amp;IF($AR390="Y"," ASTRAGAL","")&amp;IF($AJ390=""," "," "&amp;$AJ390)&amp;IF($AK390=""," "," "&amp;$AK390)&amp;IF(OR($AT390="",$AT390="ANSI/SDI",$AT390="CUSTOM LOC"),""," "&amp;$AT390)&amp;IF($AM390=""," "," SERIES "&amp;$AM390)&amp;" "&amp;IFERROR(VLOOKUP($H390,CODES,2,FALSE),"")&amp;IF($CT390," | LOC "&amp;$CZ390,"")))</f>
        <v/>
      </c>
      <c r="CL390" s="99">
        <f>IF(CP390="","",IF(COUNTIF($CP$6:CP390,CP390)=1,MAX($CL$5:CL389)+1,INDEX($CL$5:CL389,MATCH(CP390,$CP$5:CP389,0))))</f>
        <v/>
      </c>
      <c r="CM390" s="99">
        <f>IF(NOT(AND($A390&lt;&gt;"",$C390&lt;&gt;"DOOR ONLY")),"",MAX($CM$5:CM389)+1)</f>
        <v/>
      </c>
      <c r="CN390" s="99">
        <f>IF(NOT(AND($A390&lt;&gt;"",N($BJ390)&gt;0)),"",MAX($CN$5:CN389)+1)</f>
        <v/>
      </c>
      <c r="CO390" s="99">
        <f>IF($A390="","",MAX($CO$5:CO389)+1)</f>
        <v/>
      </c>
      <c r="CP390" s="99">
        <f>IF(OR($A390="",$BH390="",$BI390=""),"",$BG390&amp;"|"&amp;$O390&amp;"|"&amp;$AL390&amp;"|"&amp;$S390&amp;"|"&amp;$P390&amp;"|"&amp;$Q390&amp;$R390&amp;"|"&amp;$C390&amp;"|"&amp;$AB390)</f>
        <v/>
      </c>
      <c r="CQ390" s="99">
        <f>N($BS390)</f>
        <v/>
      </c>
      <c r="CR390" s="99">
        <f>IF(N($AU390)&gt;0,N($AU390),4.5)</f>
        <v/>
      </c>
      <c r="CS390" s="99">
        <f>OR($A390="",$BI390="",$S390="BL",AND($C390="FRAME ONLY",OR($AC390="",$AC390="BLK")))</f>
        <v/>
      </c>
      <c r="CT390" s="99">
        <f>AND(NOT($CS390),OR($AT390="CUSTOM LOC",N($AW390)+N($AX390)+N($AY390)+N($AZ390)+N($BA390)&gt;0))</f>
        <v/>
      </c>
      <c r="CU390" s="99">
        <f>IF($BI390="","",IF($BI390&lt;=80,80,IF($BI390&lt;=84,84,96)))</f>
        <v/>
      </c>
      <c r="CV390" s="99">
        <f>ISNUMBER(MATCH($AT390&amp;"|80",LocKeys,0))</f>
        <v/>
      </c>
      <c r="CW390" s="101">
        <f>IF($CS390,"",IF($CV390,VLOOKUP($AT390&amp;"|"&amp;$CU390,LocTable,4,FALSE),5))</f>
        <v/>
      </c>
      <c r="CX390" s="101">
        <f>IF($CS390,"",IF($CV390,IF(OR($BI390=$CU390,AND($BI390&lt;$CU390,$BI390-IF(N(VLOOKUP($AT390&amp;"|"&amp;$CU390,LocTable,7,FALSE))&gt;0,VLOOKUP($AT390&amp;"|"&amp;$CU390,LocTable,7,FALSE),VLOOKUP($AT390&amp;"|"&amp;$CU390,LocTable,6,FALSE))-$CR390-0.75&gt;=2.125)),IF(N(VLOOKUP($AT390&amp;"|"&amp;$CU390,LocTable,7,FALSE))&gt;0,VLOOKUP($AT390&amp;"|"&amp;$CU390,LocTable,7,FALSE),VLOOKUP($AT390&amp;"|"&amp;$CU390,LocTable,6,FALSE)),$BI390-($CU390-IF(N(VLOOKUP($AT390&amp;"|"&amp;$CU390,LocTable,7,FALSE))&gt;0,VLOOKUP($AT390&amp;"|"&amp;$CU390,LocTable,7,FALSE),VLOOKUP($AT390&amp;"|"&amp;$CU390,LocTable,6,FALSE)))),$BI390-10-$CR390))</f>
        <v/>
      </c>
      <c r="CY390" s="100">
        <f>IF($CS390,"",TRIM(IF(ISNUMBER($BU390),"A "&amp;TRIM(TEXT($BU390,"# ?/??"))&amp;CHAR(34)&amp;"  ","")&amp;IF(ISNUMBER($BV390),"B "&amp;TRIM(TEXT($BV390,"# ?/??"))&amp;CHAR(34)&amp;"  ","")&amp;IF(ISNUMBER($BW390),"C "&amp;TRIM(TEXT($BW390,"# ?/??"))&amp;CHAR(34)&amp;"  ","")&amp;IF(ISNUMBER($BX390),"D "&amp;TRIM(TEXT($BX390,"# ?/??"))&amp;CHAR(34)&amp;"  ","")&amp;IF(ISNUMBER($BY390),"F "&amp;TRIM(TEXT($BY390,"# ?/??"))&amp;CHAR(34)&amp;"  ","")&amp;IF(ISNUMBER($BZ390),"E "&amp;TRIM(TEXT($BZ390,"# ?/??"))&amp;CHAR(34)&amp;"  ","")))</f>
        <v/>
      </c>
      <c r="CZ390" s="100">
        <f>IF(OR($CS390,N($BJ390)=0),"",TRIM(IF(ISNUMBER($BU390),"A "&amp;TRIM(TEXT($BU390-HeadClr,"# ?/??"))&amp;CHAR(34)&amp;"  ","")&amp;IF(ISNUMBER($BV390),"B "&amp;TRIM(TEXT($BV390-HeadClr,"# ?/??"))&amp;CHAR(34)&amp;"  ","")&amp;IF(ISNUMBER($BW390),"C "&amp;TRIM(TEXT($BW390-HeadClr,"# ?/??"))&amp;CHAR(34)&amp;"  ","")&amp;IF(ISNUMBER($BX390),"D "&amp;TRIM(TEXT($BX390-HeadClr,"# ?/??"))&amp;CHAR(34)&amp;"  ","")&amp;IF(ISNUMBER($BY390),"F "&amp;TRIM(TEXT($BY390-HeadClr,"# ?/??"))&amp;CHAR(34)&amp;"  ","")&amp;IF(ISNUMBER($BZ390),"E "&amp;TRIM(TEXT($BZ390-HeadClr,"# ?/??"))&amp;CHAR(34)&amp;"  ","")))</f>
        <v/>
      </c>
      <c r="DA390" s="99">
        <f>IF($A390="","",IF($AN390="",IFERROR(VLOOKUP($Z390,CODES,2,FALSE),""),IFERROR(VLOOKUP($AN390,CODES,2,FALSE),"")))</f>
        <v/>
      </c>
      <c r="DB390" s="99">
        <f>IF($A390="","",IF($O390="Y","PR",IF(OR($Z390="L",$Z390="RR",LEFT($Z390,2)="L-",LEFT($Z390,3)="RR-"),"LH","RH")))</f>
        <v/>
      </c>
      <c r="DC390" s="99">
        <f>IF($A390="","","S.HM"&amp;IF(OR($C390="DOOR ONLY",$X390&lt;&gt;"KD"),"MASONRY","DRYWALL")&amp;IF($C390="DOOR ONLY","",$U390)&amp;IF(AND($C390&lt;&gt;"FRAME ONLY",OR(LEFT($AH390,3)="OAK",LEFT($AH390,3)="BIR",LEFT($AH390,3)="MAP",$AH390="PC",$AH390="MC",$AH390="SCLC",$AH390="P-LAM")),"WD","HM")&amp;"1.75")</f>
        <v/>
      </c>
      <c r="DD390" s="99">
        <f>IF($CJ390="","",IF($O390="Y",$CJ390,SUBSTITUTE($CJ390,$BG390&amp;" "&amp;IFERROR(VLOOKUP($Z390,CODES,2,FALSE),"")&amp;" ",$BG390&amp;" ")))</f>
        <v/>
      </c>
      <c r="DE390" s="99">
        <f>IF($CK390="","",IF($O390="Y",$CK390,SUBSTITUTE($CK390,$BG390&amp;" "&amp;IF($AN390="",IFERROR(VLOOKUP($Z390,CODES,2,FALSE),""),IFERROR(VLOOKUP($AN390,CODES,2,FALSE),""))&amp;" ",$BG390&amp;" ")))</f>
        <v/>
      </c>
      <c r="DF390" s="99">
        <f>IF($CJ390="","",$DC390&amp;"|"&amp;$DD390&amp;"|"&amp;$DB390&amp;"|"&amp;$AT390&amp;"|"&amp;$V390&amp;"|"&amp;$Y390&amp;"|"&amp;$AB390)</f>
        <v/>
      </c>
      <c r="DG390" s="99">
        <f>IF(DF390="","",IF(COUNTIF($DF$6:DF390,DF390)=1,MAX($DG$5:DG389)+1,INDEX($DG$5:DG389,MATCH(DF390,$DF$5:DF389,0))))</f>
        <v/>
      </c>
      <c r="DH390" s="99">
        <f>IF($CK390="","",$DC390&amp;"|"&amp;$DE390&amp;"|"&amp;$AI390&amp;"|"&amp;$BK390&amp;"|"&amp;$BL390)</f>
        <v/>
      </c>
      <c r="DI390" s="99">
        <f>IF(DH390="","",IF(COUNTIF($DH$6:DH390,DH390)=1,MAX($DI$5:DI389)+1,INDEX($DI$5:DI389,MATCH(DH390,$DH$5:DH389,0))))</f>
        <v/>
      </c>
      <c r="DJ390" s="99">
        <f>IF($A390="","",IF($B390="","qty, ","")&amp;IF($C390="","scope, ","")&amp;IF(OR($K390="",$M390=""),"size, ","")&amp;IF(AND($A390&lt;&gt;"",$C390&lt;&gt;"DOOR ONLY"),IF($U390="","jamb depth, ","")&amp;IF($X390="","construction, ","")&amp;IF($Y390="","anchor, ","")&amp;IF($S390="","frame type, ",""),"")&amp;IF(AND(N($BJ390)&gt;0,$Z390=""),"hand, ","")&amp;IF(N($BJ390)&gt;0,IF($AH390="","door material, ","")&amp;IF($AL390="","face type, ","")&amp;IF($AP390="","lock prep, ","")&amp;IF(AND($AO390="",$AC390=""),"hinge prep, ",""),"")&amp;IF(AND($CH390&gt;0,$AH390="FRP"),"FRP cannot carry a label, ","")&amp;IF(AND($O390="Y",OR($Z390="L",$Z390="R",$Z390="LR",$Z390="RR")),"pair marked but hand is single, ","")&amp;IF(AND($O390&lt;&gt;"Y",OR($Z390="PR",AND(LEN($Z390)&gt;1,ISNUMBER(SEARCH("-",$Z390))))),"pair hand on a single door, ","")&amp;IF(AND(ISNUMBER($CI390),$CH390&lt;N($CI390)),"wall needs a "&amp;$CI390&amp;" min door, ","")&amp;IF(AND($CH390&gt;=180,AND(OR($CE390="FG",$CE390="HG",$CE390="FNV",$CE390="FV"),N($CF390)*N($CG390)&gt;100)),"180 min lite over 100 sq in, ","")&amp;IF(N($BK390)&gt;48,"leaf wider than 4'-0"&amp;CHAR(34)&amp;", ","")&amp;IF(AND($CT390,COUNT($AW390:$AZ390)=0,$CQ390&gt;0),"CUSTOM LOC with no locations typed, ",""))</f>
        <v/>
      </c>
      <c r="DK390" s="99">
        <f>IF($A390="","",IF(AND($CH390&gt;0,AND($A390&lt;&gt;"",$C390&lt;&gt;"DOOR ONLY"),$X390="KD",$E390="EXTERIOR"),"KD label on an exterior opening, ","")&amp;IF(AND($E390="EXTERIOR",OR(AND(AND($A390&lt;&gt;"",$C390&lt;&gt;"DOOR ONLY"),$W390="CR"),AND(N($BJ390)&gt;0,$AH390="CR"))),"exterior in CR steel (G9?), ","")&amp;IF(AND(ISNUMBER($BQ390),N($BQ390)&lt;32),"clear width ~"&amp;TEXT($BQ390,"0.0")&amp;CHAR(34)&amp;" under 32"&amp;CHAR(34)&amp;" (ADA), ","")&amp;IF(AND($CH390=90,AND(OR($CE390="FG",$CE390="HG",$CE390="FNV",$CE390="FV"),N($CF390)*N($CG390)&gt;100)),"90 min lite over 100 sq in (stair/exit), ","")&amp;IF(AND($CH390&gt;0,AND($A390&lt;&gt;"",$C390&lt;&gt;"DOOR ONLY"),OR($AF390="",$AF390="-")),"rated: closer reinf.?, ","")&amp;IF(OR($I390="CORRIDOR",$I390="SMOKE BARRIER"),"S label + smoke gasketing, ","")&amp;IF($CI390="?","wall type/hr not in IBC table, ","")&amp;IF(AND(N($BJ390)&gt;0,$BB390=""),"no hardware set, ","")&amp;IF(AND($BB390&lt;&gt;"",ISNA(MATCH($BB390&amp;"",HWSets,0))),"set "&amp;$BB390&amp;" not on HW Sets, ","")&amp;IF(N($BL390)&gt;96,"leaf over 8'-0"&amp;CHAR(34)&amp;" - check listing, ","")&amp;IF(AND($CT390,COUNT($AW390:$AZ390)&gt;0,COUNT($AW390:$AZ390)&lt;&gt;$CQ390),COUNT($AW390:$AZ390)&amp;" custom hinges typed, "&amp;$CQ390&amp;" expected, ","")&amp;IF(AND(ISNUMBER($CA390),OR(N($CA390)&lt;34,N($CA390)&gt;48)),"lock "&amp;TEXT($CA390,"0.0")&amp;CHAR(34)&amp;" AFF outside 34-48"&amp;CHAR(34)&amp;" (ADA), ","")&amp;IF(AND(ISNUMBER($AV390),ISNUMBER($BL390),N($AV390)&lt;IF(N($BL390)&lt;=60,2,IF(N($BL390)&lt;=90,3,IF(N($BL390)&lt;=120,4,5)))),"fewer hinges than standard, ",""))</f>
        <v/>
      </c>
    </row>
    <row r="391" ht="15" customHeight="1">
      <c r="A391" s="77" t="n"/>
      <c r="B391" s="78" t="n"/>
      <c r="C391" s="78" t="n"/>
      <c r="D391" s="78" t="n"/>
      <c r="E391" s="78" t="n"/>
      <c r="F391" s="78" t="n"/>
      <c r="G391" s="78" t="n"/>
      <c r="H391" s="78" t="n"/>
      <c r="I391" s="78" t="n"/>
      <c r="J391" s="78" t="n"/>
      <c r="K391" s="78" t="n"/>
      <c r="L391" s="78" t="n"/>
      <c r="M391" s="78" t="n"/>
      <c r="N391" s="78" t="n"/>
      <c r="O391" s="78" t="n"/>
      <c r="P391" s="78" t="n"/>
      <c r="Q391" s="78" t="n"/>
      <c r="R391" s="78" t="n"/>
      <c r="S391" s="79" t="n"/>
      <c r="T391" s="79" t="n"/>
      <c r="U391" s="79" t="n"/>
      <c r="V391" s="79" t="n"/>
      <c r="W391" s="79" t="n"/>
      <c r="X391" s="79" t="n"/>
      <c r="Y391" s="79" t="n"/>
      <c r="Z391" s="79" t="n"/>
      <c r="AA391" s="79" t="n"/>
      <c r="AB391" s="79" t="n"/>
      <c r="AC391" s="79" t="n"/>
      <c r="AD391" s="79" t="n"/>
      <c r="AE391" s="79" t="n"/>
      <c r="AF391" s="79" t="n"/>
      <c r="AG391" s="79" t="n"/>
      <c r="AH391" s="80" t="n"/>
      <c r="AI391" s="80" t="n"/>
      <c r="AJ391" s="80" t="n"/>
      <c r="AK391" s="80" t="n"/>
      <c r="AL391" s="80" t="n"/>
      <c r="AM391" s="80" t="n"/>
      <c r="AN391" s="80" t="n"/>
      <c r="AO391" s="80" t="n"/>
      <c r="AP391" s="80" t="n"/>
      <c r="AQ391" s="80" t="n"/>
      <c r="AR391" s="80" t="n"/>
      <c r="AS391" s="80" t="n"/>
      <c r="AT391" s="81" t="n"/>
      <c r="AU391" s="81" t="n"/>
      <c r="AV391" s="81" t="n"/>
      <c r="AW391" s="82" t="n"/>
      <c r="AX391" s="82" t="n"/>
      <c r="AY391" s="82" t="n"/>
      <c r="AZ391" s="82" t="n"/>
      <c r="BA391" s="82" t="n"/>
      <c r="BB391" s="83" t="n"/>
      <c r="BC391" s="83" t="n"/>
      <c r="BD391" s="84">
        <f>IF($A391="","",IF($DJ391&lt;&gt;"","FIX",IF($DK391&lt;&gt;"","CHECK","OK")))</f>
        <v/>
      </c>
      <c r="BE391" s="85">
        <f>IF($A391="","",IF($DJ391&lt;&gt;"","FIX: "&amp;LEFT($DJ391,LEN($DJ391)-2)&amp;IF($DK391&lt;&gt;"","  ·  ",""),"")&amp;IF($DK391&lt;&gt;"","CHECK: "&amp;LEFT($DK391,LEN($DK391)-2),""))</f>
        <v/>
      </c>
      <c r="BF391" s="84">
        <f>IF(OR($A391="",$K391=""),"",$K391&amp;"'-"&amp;N($L391)&amp;CHAR(34)&amp;" x "&amp;$M391&amp;"'-"&amp;N($N391)&amp;CHAR(34))</f>
        <v/>
      </c>
      <c r="BG391" s="84">
        <f>IF(OR($A391="",$K391=""),"",$K391&amp;N($L391)&amp;$M391&amp;N($N391))</f>
        <v/>
      </c>
      <c r="BH391" s="84">
        <f>IF(OR($A391="",$K391=""),"",$K391*12+N($L391))</f>
        <v/>
      </c>
      <c r="BI391" s="84">
        <f>IF(OR($A391="",$M391=""),"",$M391*12+N($N391))</f>
        <v/>
      </c>
      <c r="BJ391" s="84">
        <f>IF($A391="","",IF(OR($C391="FRAME ONLY",$S391="BL"),0,IF($O391="Y",2,1)))</f>
        <v/>
      </c>
      <c r="BK391" s="86">
        <f>IF(OR(N($BJ391)=0,$BH391=""),"",($BH391-2*EdgeClr-IF($BJ391=2,MeetClr,0))/$BJ391)</f>
        <v/>
      </c>
      <c r="BL391" s="86">
        <f>IF(OR(N($BJ391)=0,$BI391=""),"",$BI391-HeadClr-Undercut)</f>
        <v/>
      </c>
      <c r="BM391" s="86">
        <f>IF($BH391="","",$BH391+2*FaceW+IF(N($Q391)&gt;0,($Q391+FaceW)*IF($R391="LR",2,1),0))</f>
        <v/>
      </c>
      <c r="BN391" s="86">
        <f>IF($BI391="","",$BI391+IF($AB391="Y",4,FaceW)+IF(N($P391)&gt;0,$P391+FaceW,0)+IF(OR($S391="4F",$S391="BL"),FaceW,0))</f>
        <v/>
      </c>
      <c r="BO391" s="86">
        <f>IF($BM391="","",$BM391+2*ROSide)</f>
        <v/>
      </c>
      <c r="BP391" s="86">
        <f>IF($BN391="","",$BN391+ROTop)</f>
        <v/>
      </c>
      <c r="BQ391" s="87">
        <f>IF(OR(N($BJ391)=0,$BH391=""),"",$BH391/$BJ391-ClearDeduct)</f>
        <v/>
      </c>
      <c r="BR391" s="84">
        <f>IF(N($CH391)=0,"",IF($CH391&gt;=180,"A · 3 HR",IF($CH391&gt;=90,"B · 1-1/2 HR",IF($CH391&gt;=60,"B · 1 HR",IF($CH391&gt;=45,"C · 3/4 HR","20 MIN")))))&amp;IF(AND(N($CH391)&gt;0,OR($I391="CORRIDOR",$I391="SMOKE BARRIER"))," · S","")</f>
        <v/>
      </c>
      <c r="BS391" s="84">
        <f>IF($CS391,"",IF($AV391&lt;&gt;"",$AV391,IF(OR($AC391="HGC",$AO391="HGC"),"CONT",IF(($BI391-HeadClr-Undercut)&lt;=60,2,IF(($BI391-HeadClr-Undercut)&lt;=90,3,IF(($BI391-HeadClr-Undercut)&lt;=120,4,5))))))</f>
        <v/>
      </c>
      <c r="BT391" s="84">
        <f>IF($CS391,"",IF($CT391,"CUSTOM (typed)",IF($CV391,$AT391&amp;" "&amp;$CU391&amp;CHAR(34)&amp;IF($CU391&lt;&gt;$BI391,IF(AND($BI391&lt;$CU391,$BI391-IF(N(VLOOKUP($AT391&amp;"|"&amp;$CU391,LocTable,7,FALSE))&gt;0,VLOOKUP($AT391&amp;"|"&amp;$CU391,LocTable,7,FALSE),VLOOKUP($AT391&amp;"|"&amp;$CU391,LocTable,6,FALSE))-$CR391-0.75&gt;=2.125)," cut down"," adj."),""),"ANSI/SDI A250.6")))</f>
        <v/>
      </c>
      <c r="BU391" s="88">
        <f>IF($CS391,"",IF($CT391,IF(N($AW391)&gt;0,N($AW391),""),IF(1&gt;$CQ391,"",IF($CQ391=1,$CW391,$CW391+($CX391-$CW391)*0/($CQ391-1)))))</f>
        <v/>
      </c>
      <c r="BV391" s="88">
        <f>IF($CS391,"",IF($CT391,IF(N($AX391)&gt;0,N($AX391),""),IF(2&gt;$CQ391,"",IF($CQ391=1,$CW391,$CW391+($CX391-$CW391)*1/($CQ391-1)))))</f>
        <v/>
      </c>
      <c r="BW391" s="88">
        <f>IF($CS391,"",IF($CT391,IF(N($AY391)&gt;0,N($AY391),""),IF(3&gt;$CQ391,"",IF($CQ391=1,$CW391,$CW391+($CX391-$CW391)*2/($CQ391-1)))))</f>
        <v/>
      </c>
      <c r="BX391" s="88">
        <f>IF($CS391,"",IF($CT391,IF(N($AZ391)&gt;0,N($AZ391),""),IF(4&gt;$CQ391,"",IF($CQ391=1,$CW391,$CW391+($CX391-$CW391)*3/($CQ391-1)))))</f>
        <v/>
      </c>
      <c r="BY391" s="88">
        <f>IF($CS391,"",IF($CT391,"",IF(5&gt;$CQ391,"",IF($CQ391=1,$CW391,$CW391+($CX391-$CW391)*4/($CQ391-1)))))</f>
        <v/>
      </c>
      <c r="BZ391" s="88">
        <f>IF(OR($CS391,$AP391="-",AND($AP391="",$AD391="")),"",IF(N($BA391)&gt;0,N($BA391),IF($CV391,IF(AND($BI391&lt;$CU391,$BI391-IF(N(VLOOKUP($AT391&amp;"|"&amp;$CU391,LocTable,7,FALSE))&gt;0,VLOOKUP($AT391&amp;"|"&amp;$CU391,LocTable,7,FALSE),VLOOKUP($AT391&amp;"|"&amp;$CU391,LocTable,6,FALSE))-$CR391-0.75&gt;=2.125),VLOOKUP($AT391&amp;"|"&amp;$CU391,LocTable,8,FALSE),VLOOKUP($AT391&amp;"|"&amp;$CU391,LocTable,8,FALSE)+($BI391-$CU391)),$BI391-LockAFF)))</f>
        <v/>
      </c>
      <c r="CA391" s="89">
        <f>IF($BZ391="","",$BI391-$BZ391)</f>
        <v/>
      </c>
      <c r="CB391" s="84">
        <f>IF(OR(NOT(AND($A391&lt;&gt;"",$C391&lt;&gt;"DOOR ONLY")),$BI391=""),"",IF(($BI391+IF(N($P391)&gt;0,$P391+FaceW,0))&lt;=90,3,IF(($BI391+IF(N($P391)&gt;0,$P391+FaceW,0))&lt;=114,4,5)))</f>
        <v/>
      </c>
      <c r="CC391" s="84">
        <f>IF($CB391="","",$CB391*(2+IF(N($Q391)&gt;0,IF($R391="LR",2,1),0)))</f>
        <v/>
      </c>
      <c r="CD391" s="84">
        <f>IF($CB391="","",(2+IF(N($Q391)&gt;0,IF($R391="LR",2,1),0)))</f>
        <v/>
      </c>
      <c r="CE391" s="84">
        <f>IF(N($BJ391)=0,"",IF(OR($AL391="",$AL391="FLUSH"),"FLUSH",IFERROR(LEFT($AL391,FIND("-",$AL391)-1),LEFT($AL391,2))))</f>
        <v/>
      </c>
      <c r="CF391" s="84">
        <f>IF($CE391="","",IFERROR(VALUE(MID($AL391,FIND("-",$AL391)+1,FIND(CHAR(34)&amp;"x",$AL391)-FIND("-",$AL391)-1)),0))</f>
        <v/>
      </c>
      <c r="CG391" s="84">
        <f>IF($CE391="","",IFERROR(VALUE(MID($AL391,FIND(CHAR(34)&amp;"x",$AL391)+2,FIND(CHAR(34),$AL391,FIND(CHAR(34)&amp;"x",$AL391)+2)-FIND(CHAR(34)&amp;"x",$AL391)-2)),0))</f>
        <v/>
      </c>
      <c r="CH391" s="90">
        <f>IF(OR($A391="",$H391="",$H391="NO LAB"),0,IFERROR(VALUE(LEFT($H391,FIND(" ",$H391)-1)),0))</f>
        <v/>
      </c>
      <c r="CI391" s="91">
        <f>IF(OR($A391="",$I391="",$I391="NON-RATED",N($J391)=0),"",IFERROR(VLOOKUP($I391&amp;"|"&amp;$J391,IBC,2,FALSE),"?"))</f>
        <v/>
      </c>
      <c r="CJ391" s="85">
        <f>IF(NOT(AND($A391&lt;&gt;"",$C391&lt;&gt;"DOOR ONLY")),"",TRIM(IFERROR(VLOOKUP($U391,CODES,2,FALSE),"")&amp;" "&amp;$BG391&amp;" "&amp;IFERROR(VLOOKUP($Z391,CODES,2,FALSE),"")&amp;" "&amp;IFERROR(VLOOKUP($X391,CODES,2,FALSE),"")&amp;" "&amp;IFERROR(VLOOKUP($S391,CODES,2,FALSE),"")&amp;IF(N($P391)&gt;0," w/TRANSOM "&amp;$P391&amp;CHAR(34),"")&amp;IF(N($Q391)&gt;0," w/SIDELITE "&amp;$Q391&amp;CHAR(34)&amp;" "&amp;IF($R391="","R",$R391),"")&amp;IF($Y391="","  |  "," | "&amp;IFERROR(VLOOKUP($Y391,CODES,2,FALSE),"")&amp;" | ")&amp;IFERROR(VLOOKUP($AC391,CODES,2,FALSE),"")&amp;" "&amp;IFERROR(VLOOKUP($AD391,CODES,2,FALSE),"")&amp;IF(OR($AE391="",$AE391="-"),""," "&amp;$AE391)&amp;IF(OR($AF391="",$AF391="-"),""," "&amp;$AF391)&amp;IF($AB391="Y"," 4"&amp;CHAR(34)&amp;" HEAD","")&amp;" "&amp;IFERROR(VLOOKUP($H391,CODES,2,FALSE),"")&amp;IF($CT391," | LOC "&amp;$CY391,"")))</f>
        <v/>
      </c>
      <c r="CK391" s="85">
        <f>IF(NOT(AND($A391&lt;&gt;"",N($BJ391)&gt;0)),"",TRIM(IFERROR(VLOOKUP($AH391,CODES,2,FALSE),"")&amp;IF($AI391=""," "," "&amp;$AI391&amp;"GA ")&amp;$BG391&amp;" "&amp;IF($AN391="",IFERROR(VLOOKUP($Z391,CODES,2,FALSE),""),IFERROR(VLOOKUP($AN391,CODES,2,FALSE),""))&amp;IF($BJ391=2," PAIR","")&amp;" DOOR | "&amp;IF($AL391="","?",$AL391)&amp;" | "&amp;IF($AO391="",IFERROR(VLOOKUP($AC391,CODES,2,FALSE),""),IFERROR(VLOOKUP($AO391,CODES,2,FALSE),""))&amp;" "&amp;IFERROR(VLOOKUP($AP391,CODES,2,FALSE),"")&amp;IF(OR($AQ391="",$AQ391="-"),""," SEAM "&amp;$AQ391)&amp;IF($AR391="Y"," ASTRAGAL","")&amp;IF($AJ391=""," "," "&amp;$AJ391)&amp;IF($AK391=""," "," "&amp;$AK391)&amp;IF(OR($AT391="",$AT391="ANSI/SDI",$AT391="CUSTOM LOC"),""," "&amp;$AT391)&amp;IF($AM391=""," "," SERIES "&amp;$AM391)&amp;" "&amp;IFERROR(VLOOKUP($H391,CODES,2,FALSE),"")&amp;IF($CT391," | LOC "&amp;$CZ391,"")))</f>
        <v/>
      </c>
      <c r="CL391" s="84">
        <f>IF(CP391="","",IF(COUNTIF($CP$6:CP391,CP391)=1,MAX($CL$5:CL390)+1,INDEX($CL$5:CL390,MATCH(CP391,$CP$5:CP390,0))))</f>
        <v/>
      </c>
      <c r="CM391" s="84">
        <f>IF(NOT(AND($A391&lt;&gt;"",$C391&lt;&gt;"DOOR ONLY")),"",MAX($CM$5:CM390)+1)</f>
        <v/>
      </c>
      <c r="CN391" s="84">
        <f>IF(NOT(AND($A391&lt;&gt;"",N($BJ391)&gt;0)),"",MAX($CN$5:CN390)+1)</f>
        <v/>
      </c>
      <c r="CO391" s="84">
        <f>IF($A391="","",MAX($CO$5:CO390)+1)</f>
        <v/>
      </c>
      <c r="CP391" s="84">
        <f>IF(OR($A391="",$BH391="",$BI391=""),"",$BG391&amp;"|"&amp;$O391&amp;"|"&amp;$AL391&amp;"|"&amp;$S391&amp;"|"&amp;$P391&amp;"|"&amp;$Q391&amp;$R391&amp;"|"&amp;$C391&amp;"|"&amp;$AB391)</f>
        <v/>
      </c>
      <c r="CQ391" s="84">
        <f>N($BS391)</f>
        <v/>
      </c>
      <c r="CR391" s="84">
        <f>IF(N($AU391)&gt;0,N($AU391),4.5)</f>
        <v/>
      </c>
      <c r="CS391" s="84">
        <f>OR($A391="",$BI391="",$S391="BL",AND($C391="FRAME ONLY",OR($AC391="",$AC391="BLK")))</f>
        <v/>
      </c>
      <c r="CT391" s="84">
        <f>AND(NOT($CS391),OR($AT391="CUSTOM LOC",N($AW391)+N($AX391)+N($AY391)+N($AZ391)+N($BA391)&gt;0))</f>
        <v/>
      </c>
      <c r="CU391" s="84">
        <f>IF($BI391="","",IF($BI391&lt;=80,80,IF($BI391&lt;=84,84,96)))</f>
        <v/>
      </c>
      <c r="CV391" s="84">
        <f>ISNUMBER(MATCH($AT391&amp;"|80",LocKeys,0))</f>
        <v/>
      </c>
      <c r="CW391" s="86">
        <f>IF($CS391,"",IF($CV391,VLOOKUP($AT391&amp;"|"&amp;$CU391,LocTable,4,FALSE),5))</f>
        <v/>
      </c>
      <c r="CX391" s="86">
        <f>IF($CS391,"",IF($CV391,IF(OR($BI391=$CU391,AND($BI391&lt;$CU391,$BI391-IF(N(VLOOKUP($AT391&amp;"|"&amp;$CU391,LocTable,7,FALSE))&gt;0,VLOOKUP($AT391&amp;"|"&amp;$CU391,LocTable,7,FALSE),VLOOKUP($AT391&amp;"|"&amp;$CU391,LocTable,6,FALSE))-$CR391-0.75&gt;=2.125)),IF(N(VLOOKUP($AT391&amp;"|"&amp;$CU391,LocTable,7,FALSE))&gt;0,VLOOKUP($AT391&amp;"|"&amp;$CU391,LocTable,7,FALSE),VLOOKUP($AT391&amp;"|"&amp;$CU391,LocTable,6,FALSE)),$BI391-($CU391-IF(N(VLOOKUP($AT391&amp;"|"&amp;$CU391,LocTable,7,FALSE))&gt;0,VLOOKUP($AT391&amp;"|"&amp;$CU391,LocTable,7,FALSE),VLOOKUP($AT391&amp;"|"&amp;$CU391,LocTable,6,FALSE)))),$BI391-10-$CR391))</f>
        <v/>
      </c>
      <c r="CY391" s="85">
        <f>IF($CS391,"",TRIM(IF(ISNUMBER($BU391),"A "&amp;TRIM(TEXT($BU391,"# ?/??"))&amp;CHAR(34)&amp;"  ","")&amp;IF(ISNUMBER($BV391),"B "&amp;TRIM(TEXT($BV391,"# ?/??"))&amp;CHAR(34)&amp;"  ","")&amp;IF(ISNUMBER($BW391),"C "&amp;TRIM(TEXT($BW391,"# ?/??"))&amp;CHAR(34)&amp;"  ","")&amp;IF(ISNUMBER($BX391),"D "&amp;TRIM(TEXT($BX391,"# ?/??"))&amp;CHAR(34)&amp;"  ","")&amp;IF(ISNUMBER($BY391),"F "&amp;TRIM(TEXT($BY391,"# ?/??"))&amp;CHAR(34)&amp;"  ","")&amp;IF(ISNUMBER($BZ391),"E "&amp;TRIM(TEXT($BZ391,"# ?/??"))&amp;CHAR(34)&amp;"  ","")))</f>
        <v/>
      </c>
      <c r="CZ391" s="85">
        <f>IF(OR($CS391,N($BJ391)=0),"",TRIM(IF(ISNUMBER($BU391),"A "&amp;TRIM(TEXT($BU391-HeadClr,"# ?/??"))&amp;CHAR(34)&amp;"  ","")&amp;IF(ISNUMBER($BV391),"B "&amp;TRIM(TEXT($BV391-HeadClr,"# ?/??"))&amp;CHAR(34)&amp;"  ","")&amp;IF(ISNUMBER($BW391),"C "&amp;TRIM(TEXT($BW391-HeadClr,"# ?/??"))&amp;CHAR(34)&amp;"  ","")&amp;IF(ISNUMBER($BX391),"D "&amp;TRIM(TEXT($BX391-HeadClr,"# ?/??"))&amp;CHAR(34)&amp;"  ","")&amp;IF(ISNUMBER($BY391),"F "&amp;TRIM(TEXT($BY391-HeadClr,"# ?/??"))&amp;CHAR(34)&amp;"  ","")&amp;IF(ISNUMBER($BZ391),"E "&amp;TRIM(TEXT($BZ391-HeadClr,"# ?/??"))&amp;CHAR(34)&amp;"  ","")))</f>
        <v/>
      </c>
      <c r="DA391" s="84">
        <f>IF($A391="","",IF($AN391="",IFERROR(VLOOKUP($Z391,CODES,2,FALSE),""),IFERROR(VLOOKUP($AN391,CODES,2,FALSE),"")))</f>
        <v/>
      </c>
      <c r="DB391" s="84">
        <f>IF($A391="","",IF($O391="Y","PR",IF(OR($Z391="L",$Z391="RR",LEFT($Z391,2)="L-",LEFT($Z391,3)="RR-"),"LH","RH")))</f>
        <v/>
      </c>
      <c r="DC391" s="84">
        <f>IF($A391="","","S.HM"&amp;IF(OR($C391="DOOR ONLY",$X391&lt;&gt;"KD"),"MASONRY","DRYWALL")&amp;IF($C391="DOOR ONLY","",$U391)&amp;IF(AND($C391&lt;&gt;"FRAME ONLY",OR(LEFT($AH391,3)="OAK",LEFT($AH391,3)="BIR",LEFT($AH391,3)="MAP",$AH391="PC",$AH391="MC",$AH391="SCLC",$AH391="P-LAM")),"WD","HM")&amp;"1.75")</f>
        <v/>
      </c>
      <c r="DD391" s="84">
        <f>IF($CJ391="","",IF($O391="Y",$CJ391,SUBSTITUTE($CJ391,$BG391&amp;" "&amp;IFERROR(VLOOKUP($Z391,CODES,2,FALSE),"")&amp;" ",$BG391&amp;" ")))</f>
        <v/>
      </c>
      <c r="DE391" s="84">
        <f>IF($CK391="","",IF($O391="Y",$CK391,SUBSTITUTE($CK391,$BG391&amp;" "&amp;IF($AN391="",IFERROR(VLOOKUP($Z391,CODES,2,FALSE),""),IFERROR(VLOOKUP($AN391,CODES,2,FALSE),""))&amp;" ",$BG391&amp;" ")))</f>
        <v/>
      </c>
      <c r="DF391" s="84">
        <f>IF($CJ391="","",$DC391&amp;"|"&amp;$DD391&amp;"|"&amp;$DB391&amp;"|"&amp;$AT391&amp;"|"&amp;$V391&amp;"|"&amp;$Y391&amp;"|"&amp;$AB391)</f>
        <v/>
      </c>
      <c r="DG391" s="84">
        <f>IF(DF391="","",IF(COUNTIF($DF$6:DF391,DF391)=1,MAX($DG$5:DG390)+1,INDEX($DG$5:DG390,MATCH(DF391,$DF$5:DF390,0))))</f>
        <v/>
      </c>
      <c r="DH391" s="84">
        <f>IF($CK391="","",$DC391&amp;"|"&amp;$DE391&amp;"|"&amp;$AI391&amp;"|"&amp;$BK391&amp;"|"&amp;$BL391)</f>
        <v/>
      </c>
      <c r="DI391" s="84">
        <f>IF(DH391="","",IF(COUNTIF($DH$6:DH391,DH391)=1,MAX($DI$5:DI390)+1,INDEX($DI$5:DI390,MATCH(DH391,$DH$5:DH390,0))))</f>
        <v/>
      </c>
      <c r="DJ391" s="84">
        <f>IF($A391="","",IF($B391="","qty, ","")&amp;IF($C391="","scope, ","")&amp;IF(OR($K391="",$M391=""),"size, ","")&amp;IF(AND($A391&lt;&gt;"",$C391&lt;&gt;"DOOR ONLY"),IF($U391="","jamb depth, ","")&amp;IF($X391="","construction, ","")&amp;IF($Y391="","anchor, ","")&amp;IF($S391="","frame type, ",""),"")&amp;IF(AND(N($BJ391)&gt;0,$Z391=""),"hand, ","")&amp;IF(N($BJ391)&gt;0,IF($AH391="","door material, ","")&amp;IF($AL391="","face type, ","")&amp;IF($AP391="","lock prep, ","")&amp;IF(AND($AO391="",$AC391=""),"hinge prep, ",""),"")&amp;IF(AND($CH391&gt;0,$AH391="FRP"),"FRP cannot carry a label, ","")&amp;IF(AND($O391="Y",OR($Z391="L",$Z391="R",$Z391="LR",$Z391="RR")),"pair marked but hand is single, ","")&amp;IF(AND($O391&lt;&gt;"Y",OR($Z391="PR",AND(LEN($Z391)&gt;1,ISNUMBER(SEARCH("-",$Z391))))),"pair hand on a single door, ","")&amp;IF(AND(ISNUMBER($CI391),$CH391&lt;N($CI391)),"wall needs a "&amp;$CI391&amp;" min door, ","")&amp;IF(AND($CH391&gt;=180,AND(OR($CE391="FG",$CE391="HG",$CE391="FNV",$CE391="FV"),N($CF391)*N($CG391)&gt;100)),"180 min lite over 100 sq in, ","")&amp;IF(N($BK391)&gt;48,"leaf wider than 4'-0"&amp;CHAR(34)&amp;", ","")&amp;IF(AND($CT391,COUNT($AW391:$AZ391)=0,$CQ391&gt;0),"CUSTOM LOC with no locations typed, ",""))</f>
        <v/>
      </c>
      <c r="DK391" s="84">
        <f>IF($A391="","",IF(AND($CH391&gt;0,AND($A391&lt;&gt;"",$C391&lt;&gt;"DOOR ONLY"),$X391="KD",$E391="EXTERIOR"),"KD label on an exterior opening, ","")&amp;IF(AND($E391="EXTERIOR",OR(AND(AND($A391&lt;&gt;"",$C391&lt;&gt;"DOOR ONLY"),$W391="CR"),AND(N($BJ391)&gt;0,$AH391="CR"))),"exterior in CR steel (G9?), ","")&amp;IF(AND(ISNUMBER($BQ391),N($BQ391)&lt;32),"clear width ~"&amp;TEXT($BQ391,"0.0")&amp;CHAR(34)&amp;" under 32"&amp;CHAR(34)&amp;" (ADA), ","")&amp;IF(AND($CH391=90,AND(OR($CE391="FG",$CE391="HG",$CE391="FNV",$CE391="FV"),N($CF391)*N($CG391)&gt;100)),"90 min lite over 100 sq in (stair/exit), ","")&amp;IF(AND($CH391&gt;0,AND($A391&lt;&gt;"",$C391&lt;&gt;"DOOR ONLY"),OR($AF391="",$AF391="-")),"rated: closer reinf.?, ","")&amp;IF(OR($I391="CORRIDOR",$I391="SMOKE BARRIER"),"S label + smoke gasketing, ","")&amp;IF($CI391="?","wall type/hr not in IBC table, ","")&amp;IF(AND(N($BJ391)&gt;0,$BB391=""),"no hardware set, ","")&amp;IF(AND($BB391&lt;&gt;"",ISNA(MATCH($BB391&amp;"",HWSets,0))),"set "&amp;$BB391&amp;" not on HW Sets, ","")&amp;IF(N($BL391)&gt;96,"leaf over 8'-0"&amp;CHAR(34)&amp;" - check listing, ","")&amp;IF(AND($CT391,COUNT($AW391:$AZ391)&gt;0,COUNT($AW391:$AZ391)&lt;&gt;$CQ391),COUNT($AW391:$AZ391)&amp;" custom hinges typed, "&amp;$CQ391&amp;" expected, ","")&amp;IF(AND(ISNUMBER($CA391),OR(N($CA391)&lt;34,N($CA391)&gt;48)),"lock "&amp;TEXT($CA391,"0.0")&amp;CHAR(34)&amp;" AFF outside 34-48"&amp;CHAR(34)&amp;" (ADA), ","")&amp;IF(AND(ISNUMBER($AV391),ISNUMBER($BL391),N($AV391)&lt;IF(N($BL391)&lt;=60,2,IF(N($BL391)&lt;=90,3,IF(N($BL391)&lt;=120,4,5)))),"fewer hinges than standard, ",""))</f>
        <v/>
      </c>
    </row>
    <row r="392" ht="15" customHeight="1">
      <c r="A392" s="77" t="n"/>
      <c r="B392" s="78" t="n"/>
      <c r="C392" s="78" t="n"/>
      <c r="D392" s="78" t="n"/>
      <c r="E392" s="78" t="n"/>
      <c r="F392" s="78" t="n"/>
      <c r="G392" s="78" t="n"/>
      <c r="H392" s="78" t="n"/>
      <c r="I392" s="78" t="n"/>
      <c r="J392" s="78" t="n"/>
      <c r="K392" s="78" t="n"/>
      <c r="L392" s="78" t="n"/>
      <c r="M392" s="78" t="n"/>
      <c r="N392" s="78" t="n"/>
      <c r="O392" s="78" t="n"/>
      <c r="P392" s="78" t="n"/>
      <c r="Q392" s="78" t="n"/>
      <c r="R392" s="78" t="n"/>
      <c r="S392" s="79" t="n"/>
      <c r="T392" s="79" t="n"/>
      <c r="U392" s="79" t="n"/>
      <c r="V392" s="79" t="n"/>
      <c r="W392" s="79" t="n"/>
      <c r="X392" s="79" t="n"/>
      <c r="Y392" s="79" t="n"/>
      <c r="Z392" s="79" t="n"/>
      <c r="AA392" s="79" t="n"/>
      <c r="AB392" s="79" t="n"/>
      <c r="AC392" s="79" t="n"/>
      <c r="AD392" s="79" t="n"/>
      <c r="AE392" s="79" t="n"/>
      <c r="AF392" s="79" t="n"/>
      <c r="AG392" s="79" t="n"/>
      <c r="AH392" s="80" t="n"/>
      <c r="AI392" s="80" t="n"/>
      <c r="AJ392" s="80" t="n"/>
      <c r="AK392" s="80" t="n"/>
      <c r="AL392" s="80" t="n"/>
      <c r="AM392" s="80" t="n"/>
      <c r="AN392" s="80" t="n"/>
      <c r="AO392" s="80" t="n"/>
      <c r="AP392" s="80" t="n"/>
      <c r="AQ392" s="80" t="n"/>
      <c r="AR392" s="80" t="n"/>
      <c r="AS392" s="80" t="n"/>
      <c r="AT392" s="81" t="n"/>
      <c r="AU392" s="81" t="n"/>
      <c r="AV392" s="81" t="n"/>
      <c r="AW392" s="82" t="n"/>
      <c r="AX392" s="82" t="n"/>
      <c r="AY392" s="82" t="n"/>
      <c r="AZ392" s="82" t="n"/>
      <c r="BA392" s="82" t="n"/>
      <c r="BB392" s="83" t="n"/>
      <c r="BC392" s="83" t="n"/>
      <c r="BD392" s="84">
        <f>IF($A392="","",IF($DJ392&lt;&gt;"","FIX",IF($DK392&lt;&gt;"","CHECK","OK")))</f>
        <v/>
      </c>
      <c r="BE392" s="85">
        <f>IF($A392="","",IF($DJ392&lt;&gt;"","FIX: "&amp;LEFT($DJ392,LEN($DJ392)-2)&amp;IF($DK392&lt;&gt;"","  ·  ",""),"")&amp;IF($DK392&lt;&gt;"","CHECK: "&amp;LEFT($DK392,LEN($DK392)-2),""))</f>
        <v/>
      </c>
      <c r="BF392" s="84">
        <f>IF(OR($A392="",$K392=""),"",$K392&amp;"'-"&amp;N($L392)&amp;CHAR(34)&amp;" x "&amp;$M392&amp;"'-"&amp;N($N392)&amp;CHAR(34))</f>
        <v/>
      </c>
      <c r="BG392" s="84">
        <f>IF(OR($A392="",$K392=""),"",$K392&amp;N($L392)&amp;$M392&amp;N($N392))</f>
        <v/>
      </c>
      <c r="BH392" s="84">
        <f>IF(OR($A392="",$K392=""),"",$K392*12+N($L392))</f>
        <v/>
      </c>
      <c r="BI392" s="84">
        <f>IF(OR($A392="",$M392=""),"",$M392*12+N($N392))</f>
        <v/>
      </c>
      <c r="BJ392" s="84">
        <f>IF($A392="","",IF(OR($C392="FRAME ONLY",$S392="BL"),0,IF($O392="Y",2,1)))</f>
        <v/>
      </c>
      <c r="BK392" s="86">
        <f>IF(OR(N($BJ392)=0,$BH392=""),"",($BH392-2*EdgeClr-IF($BJ392=2,MeetClr,0))/$BJ392)</f>
        <v/>
      </c>
      <c r="BL392" s="86">
        <f>IF(OR(N($BJ392)=0,$BI392=""),"",$BI392-HeadClr-Undercut)</f>
        <v/>
      </c>
      <c r="BM392" s="86">
        <f>IF($BH392="","",$BH392+2*FaceW+IF(N($Q392)&gt;0,($Q392+FaceW)*IF($R392="LR",2,1),0))</f>
        <v/>
      </c>
      <c r="BN392" s="86">
        <f>IF($BI392="","",$BI392+IF($AB392="Y",4,FaceW)+IF(N($P392)&gt;0,$P392+FaceW,0)+IF(OR($S392="4F",$S392="BL"),FaceW,0))</f>
        <v/>
      </c>
      <c r="BO392" s="86">
        <f>IF($BM392="","",$BM392+2*ROSide)</f>
        <v/>
      </c>
      <c r="BP392" s="86">
        <f>IF($BN392="","",$BN392+ROTop)</f>
        <v/>
      </c>
      <c r="BQ392" s="87">
        <f>IF(OR(N($BJ392)=0,$BH392=""),"",$BH392/$BJ392-ClearDeduct)</f>
        <v/>
      </c>
      <c r="BR392" s="84">
        <f>IF(N($CH392)=0,"",IF($CH392&gt;=180,"A · 3 HR",IF($CH392&gt;=90,"B · 1-1/2 HR",IF($CH392&gt;=60,"B · 1 HR",IF($CH392&gt;=45,"C · 3/4 HR","20 MIN")))))&amp;IF(AND(N($CH392)&gt;0,OR($I392="CORRIDOR",$I392="SMOKE BARRIER"))," · S","")</f>
        <v/>
      </c>
      <c r="BS392" s="84">
        <f>IF($CS392,"",IF($AV392&lt;&gt;"",$AV392,IF(OR($AC392="HGC",$AO392="HGC"),"CONT",IF(($BI392-HeadClr-Undercut)&lt;=60,2,IF(($BI392-HeadClr-Undercut)&lt;=90,3,IF(($BI392-HeadClr-Undercut)&lt;=120,4,5))))))</f>
        <v/>
      </c>
      <c r="BT392" s="84">
        <f>IF($CS392,"",IF($CT392,"CUSTOM (typed)",IF($CV392,$AT392&amp;" "&amp;$CU392&amp;CHAR(34)&amp;IF($CU392&lt;&gt;$BI392,IF(AND($BI392&lt;$CU392,$BI392-IF(N(VLOOKUP($AT392&amp;"|"&amp;$CU392,LocTable,7,FALSE))&gt;0,VLOOKUP($AT392&amp;"|"&amp;$CU392,LocTable,7,FALSE),VLOOKUP($AT392&amp;"|"&amp;$CU392,LocTable,6,FALSE))-$CR392-0.75&gt;=2.125)," cut down"," adj."),""),"ANSI/SDI A250.6")))</f>
        <v/>
      </c>
      <c r="BU392" s="88">
        <f>IF($CS392,"",IF($CT392,IF(N($AW392)&gt;0,N($AW392),""),IF(1&gt;$CQ392,"",IF($CQ392=1,$CW392,$CW392+($CX392-$CW392)*0/($CQ392-1)))))</f>
        <v/>
      </c>
      <c r="BV392" s="88">
        <f>IF($CS392,"",IF($CT392,IF(N($AX392)&gt;0,N($AX392),""),IF(2&gt;$CQ392,"",IF($CQ392=1,$CW392,$CW392+($CX392-$CW392)*1/($CQ392-1)))))</f>
        <v/>
      </c>
      <c r="BW392" s="88">
        <f>IF($CS392,"",IF($CT392,IF(N($AY392)&gt;0,N($AY392),""),IF(3&gt;$CQ392,"",IF($CQ392=1,$CW392,$CW392+($CX392-$CW392)*2/($CQ392-1)))))</f>
        <v/>
      </c>
      <c r="BX392" s="88">
        <f>IF($CS392,"",IF($CT392,IF(N($AZ392)&gt;0,N($AZ392),""),IF(4&gt;$CQ392,"",IF($CQ392=1,$CW392,$CW392+($CX392-$CW392)*3/($CQ392-1)))))</f>
        <v/>
      </c>
      <c r="BY392" s="88">
        <f>IF($CS392,"",IF($CT392,"",IF(5&gt;$CQ392,"",IF($CQ392=1,$CW392,$CW392+($CX392-$CW392)*4/($CQ392-1)))))</f>
        <v/>
      </c>
      <c r="BZ392" s="88">
        <f>IF(OR($CS392,$AP392="-",AND($AP392="",$AD392="")),"",IF(N($BA392)&gt;0,N($BA392),IF($CV392,IF(AND($BI392&lt;$CU392,$BI392-IF(N(VLOOKUP($AT392&amp;"|"&amp;$CU392,LocTable,7,FALSE))&gt;0,VLOOKUP($AT392&amp;"|"&amp;$CU392,LocTable,7,FALSE),VLOOKUP($AT392&amp;"|"&amp;$CU392,LocTable,6,FALSE))-$CR392-0.75&gt;=2.125),VLOOKUP($AT392&amp;"|"&amp;$CU392,LocTable,8,FALSE),VLOOKUP($AT392&amp;"|"&amp;$CU392,LocTable,8,FALSE)+($BI392-$CU392)),$BI392-LockAFF)))</f>
        <v/>
      </c>
      <c r="CA392" s="89">
        <f>IF($BZ392="","",$BI392-$BZ392)</f>
        <v/>
      </c>
      <c r="CB392" s="84">
        <f>IF(OR(NOT(AND($A392&lt;&gt;"",$C392&lt;&gt;"DOOR ONLY")),$BI392=""),"",IF(($BI392+IF(N($P392)&gt;0,$P392+FaceW,0))&lt;=90,3,IF(($BI392+IF(N($P392)&gt;0,$P392+FaceW,0))&lt;=114,4,5)))</f>
        <v/>
      </c>
      <c r="CC392" s="84">
        <f>IF($CB392="","",$CB392*(2+IF(N($Q392)&gt;0,IF($R392="LR",2,1),0)))</f>
        <v/>
      </c>
      <c r="CD392" s="84">
        <f>IF($CB392="","",(2+IF(N($Q392)&gt;0,IF($R392="LR",2,1),0)))</f>
        <v/>
      </c>
      <c r="CE392" s="84">
        <f>IF(N($BJ392)=0,"",IF(OR($AL392="",$AL392="FLUSH"),"FLUSH",IFERROR(LEFT($AL392,FIND("-",$AL392)-1),LEFT($AL392,2))))</f>
        <v/>
      </c>
      <c r="CF392" s="84">
        <f>IF($CE392="","",IFERROR(VALUE(MID($AL392,FIND("-",$AL392)+1,FIND(CHAR(34)&amp;"x",$AL392)-FIND("-",$AL392)-1)),0))</f>
        <v/>
      </c>
      <c r="CG392" s="84">
        <f>IF($CE392="","",IFERROR(VALUE(MID($AL392,FIND(CHAR(34)&amp;"x",$AL392)+2,FIND(CHAR(34),$AL392,FIND(CHAR(34)&amp;"x",$AL392)+2)-FIND(CHAR(34)&amp;"x",$AL392)-2)),0))</f>
        <v/>
      </c>
      <c r="CH392" s="90">
        <f>IF(OR($A392="",$H392="",$H392="NO LAB"),0,IFERROR(VALUE(LEFT($H392,FIND(" ",$H392)-1)),0))</f>
        <v/>
      </c>
      <c r="CI392" s="91">
        <f>IF(OR($A392="",$I392="",$I392="NON-RATED",N($J392)=0),"",IFERROR(VLOOKUP($I392&amp;"|"&amp;$J392,IBC,2,FALSE),"?"))</f>
        <v/>
      </c>
      <c r="CJ392" s="85">
        <f>IF(NOT(AND($A392&lt;&gt;"",$C392&lt;&gt;"DOOR ONLY")),"",TRIM(IFERROR(VLOOKUP($U392,CODES,2,FALSE),"")&amp;" "&amp;$BG392&amp;" "&amp;IFERROR(VLOOKUP($Z392,CODES,2,FALSE),"")&amp;" "&amp;IFERROR(VLOOKUP($X392,CODES,2,FALSE),"")&amp;" "&amp;IFERROR(VLOOKUP($S392,CODES,2,FALSE),"")&amp;IF(N($P392)&gt;0," w/TRANSOM "&amp;$P392&amp;CHAR(34),"")&amp;IF(N($Q392)&gt;0," w/SIDELITE "&amp;$Q392&amp;CHAR(34)&amp;" "&amp;IF($R392="","R",$R392),"")&amp;IF($Y392="","  |  "," | "&amp;IFERROR(VLOOKUP($Y392,CODES,2,FALSE),"")&amp;" | ")&amp;IFERROR(VLOOKUP($AC392,CODES,2,FALSE),"")&amp;" "&amp;IFERROR(VLOOKUP($AD392,CODES,2,FALSE),"")&amp;IF(OR($AE392="",$AE392="-"),""," "&amp;$AE392)&amp;IF(OR($AF392="",$AF392="-"),""," "&amp;$AF392)&amp;IF($AB392="Y"," 4"&amp;CHAR(34)&amp;" HEAD","")&amp;" "&amp;IFERROR(VLOOKUP($H392,CODES,2,FALSE),"")&amp;IF($CT392," | LOC "&amp;$CY392,"")))</f>
        <v/>
      </c>
      <c r="CK392" s="85">
        <f>IF(NOT(AND($A392&lt;&gt;"",N($BJ392)&gt;0)),"",TRIM(IFERROR(VLOOKUP($AH392,CODES,2,FALSE),"")&amp;IF($AI392=""," "," "&amp;$AI392&amp;"GA ")&amp;$BG392&amp;" "&amp;IF($AN392="",IFERROR(VLOOKUP($Z392,CODES,2,FALSE),""),IFERROR(VLOOKUP($AN392,CODES,2,FALSE),""))&amp;IF($BJ392=2," PAIR","")&amp;" DOOR | "&amp;IF($AL392="","?",$AL392)&amp;" | "&amp;IF($AO392="",IFERROR(VLOOKUP($AC392,CODES,2,FALSE),""),IFERROR(VLOOKUP($AO392,CODES,2,FALSE),""))&amp;" "&amp;IFERROR(VLOOKUP($AP392,CODES,2,FALSE),"")&amp;IF(OR($AQ392="",$AQ392="-"),""," SEAM "&amp;$AQ392)&amp;IF($AR392="Y"," ASTRAGAL","")&amp;IF($AJ392=""," "," "&amp;$AJ392)&amp;IF($AK392=""," "," "&amp;$AK392)&amp;IF(OR($AT392="",$AT392="ANSI/SDI",$AT392="CUSTOM LOC"),""," "&amp;$AT392)&amp;IF($AM392=""," "," SERIES "&amp;$AM392)&amp;" "&amp;IFERROR(VLOOKUP($H392,CODES,2,FALSE),"")&amp;IF($CT392," | LOC "&amp;$CZ392,"")))</f>
        <v/>
      </c>
      <c r="CL392" s="84">
        <f>IF(CP392="","",IF(COUNTIF($CP$6:CP392,CP392)=1,MAX($CL$5:CL391)+1,INDEX($CL$5:CL391,MATCH(CP392,$CP$5:CP391,0))))</f>
        <v/>
      </c>
      <c r="CM392" s="84">
        <f>IF(NOT(AND($A392&lt;&gt;"",$C392&lt;&gt;"DOOR ONLY")),"",MAX($CM$5:CM391)+1)</f>
        <v/>
      </c>
      <c r="CN392" s="84">
        <f>IF(NOT(AND($A392&lt;&gt;"",N($BJ392)&gt;0)),"",MAX($CN$5:CN391)+1)</f>
        <v/>
      </c>
      <c r="CO392" s="84">
        <f>IF($A392="","",MAX($CO$5:CO391)+1)</f>
        <v/>
      </c>
      <c r="CP392" s="84">
        <f>IF(OR($A392="",$BH392="",$BI392=""),"",$BG392&amp;"|"&amp;$O392&amp;"|"&amp;$AL392&amp;"|"&amp;$S392&amp;"|"&amp;$P392&amp;"|"&amp;$Q392&amp;$R392&amp;"|"&amp;$C392&amp;"|"&amp;$AB392)</f>
        <v/>
      </c>
      <c r="CQ392" s="84">
        <f>N($BS392)</f>
        <v/>
      </c>
      <c r="CR392" s="84">
        <f>IF(N($AU392)&gt;0,N($AU392),4.5)</f>
        <v/>
      </c>
      <c r="CS392" s="84">
        <f>OR($A392="",$BI392="",$S392="BL",AND($C392="FRAME ONLY",OR($AC392="",$AC392="BLK")))</f>
        <v/>
      </c>
      <c r="CT392" s="84">
        <f>AND(NOT($CS392),OR($AT392="CUSTOM LOC",N($AW392)+N($AX392)+N($AY392)+N($AZ392)+N($BA392)&gt;0))</f>
        <v/>
      </c>
      <c r="CU392" s="84">
        <f>IF($BI392="","",IF($BI392&lt;=80,80,IF($BI392&lt;=84,84,96)))</f>
        <v/>
      </c>
      <c r="CV392" s="84">
        <f>ISNUMBER(MATCH($AT392&amp;"|80",LocKeys,0))</f>
        <v/>
      </c>
      <c r="CW392" s="86">
        <f>IF($CS392,"",IF($CV392,VLOOKUP($AT392&amp;"|"&amp;$CU392,LocTable,4,FALSE),5))</f>
        <v/>
      </c>
      <c r="CX392" s="86">
        <f>IF($CS392,"",IF($CV392,IF(OR($BI392=$CU392,AND($BI392&lt;$CU392,$BI392-IF(N(VLOOKUP($AT392&amp;"|"&amp;$CU392,LocTable,7,FALSE))&gt;0,VLOOKUP($AT392&amp;"|"&amp;$CU392,LocTable,7,FALSE),VLOOKUP($AT392&amp;"|"&amp;$CU392,LocTable,6,FALSE))-$CR392-0.75&gt;=2.125)),IF(N(VLOOKUP($AT392&amp;"|"&amp;$CU392,LocTable,7,FALSE))&gt;0,VLOOKUP($AT392&amp;"|"&amp;$CU392,LocTable,7,FALSE),VLOOKUP($AT392&amp;"|"&amp;$CU392,LocTable,6,FALSE)),$BI392-($CU392-IF(N(VLOOKUP($AT392&amp;"|"&amp;$CU392,LocTable,7,FALSE))&gt;0,VLOOKUP($AT392&amp;"|"&amp;$CU392,LocTable,7,FALSE),VLOOKUP($AT392&amp;"|"&amp;$CU392,LocTable,6,FALSE)))),$BI392-10-$CR392))</f>
        <v/>
      </c>
      <c r="CY392" s="85">
        <f>IF($CS392,"",TRIM(IF(ISNUMBER($BU392),"A "&amp;TRIM(TEXT($BU392,"# ?/??"))&amp;CHAR(34)&amp;"  ","")&amp;IF(ISNUMBER($BV392),"B "&amp;TRIM(TEXT($BV392,"# ?/??"))&amp;CHAR(34)&amp;"  ","")&amp;IF(ISNUMBER($BW392),"C "&amp;TRIM(TEXT($BW392,"# ?/??"))&amp;CHAR(34)&amp;"  ","")&amp;IF(ISNUMBER($BX392),"D "&amp;TRIM(TEXT($BX392,"# ?/??"))&amp;CHAR(34)&amp;"  ","")&amp;IF(ISNUMBER($BY392),"F "&amp;TRIM(TEXT($BY392,"# ?/??"))&amp;CHAR(34)&amp;"  ","")&amp;IF(ISNUMBER($BZ392),"E "&amp;TRIM(TEXT($BZ392,"# ?/??"))&amp;CHAR(34)&amp;"  ","")))</f>
        <v/>
      </c>
      <c r="CZ392" s="85">
        <f>IF(OR($CS392,N($BJ392)=0),"",TRIM(IF(ISNUMBER($BU392),"A "&amp;TRIM(TEXT($BU392-HeadClr,"# ?/??"))&amp;CHAR(34)&amp;"  ","")&amp;IF(ISNUMBER($BV392),"B "&amp;TRIM(TEXT($BV392-HeadClr,"# ?/??"))&amp;CHAR(34)&amp;"  ","")&amp;IF(ISNUMBER($BW392),"C "&amp;TRIM(TEXT($BW392-HeadClr,"# ?/??"))&amp;CHAR(34)&amp;"  ","")&amp;IF(ISNUMBER($BX392),"D "&amp;TRIM(TEXT($BX392-HeadClr,"# ?/??"))&amp;CHAR(34)&amp;"  ","")&amp;IF(ISNUMBER($BY392),"F "&amp;TRIM(TEXT($BY392-HeadClr,"# ?/??"))&amp;CHAR(34)&amp;"  ","")&amp;IF(ISNUMBER($BZ392),"E "&amp;TRIM(TEXT($BZ392-HeadClr,"# ?/??"))&amp;CHAR(34)&amp;"  ","")))</f>
        <v/>
      </c>
      <c r="DA392" s="84">
        <f>IF($A392="","",IF($AN392="",IFERROR(VLOOKUP($Z392,CODES,2,FALSE),""),IFERROR(VLOOKUP($AN392,CODES,2,FALSE),"")))</f>
        <v/>
      </c>
      <c r="DB392" s="84">
        <f>IF($A392="","",IF($O392="Y","PR",IF(OR($Z392="L",$Z392="RR",LEFT($Z392,2)="L-",LEFT($Z392,3)="RR-"),"LH","RH")))</f>
        <v/>
      </c>
      <c r="DC392" s="84">
        <f>IF($A392="","","S.HM"&amp;IF(OR($C392="DOOR ONLY",$X392&lt;&gt;"KD"),"MASONRY","DRYWALL")&amp;IF($C392="DOOR ONLY","",$U392)&amp;IF(AND($C392&lt;&gt;"FRAME ONLY",OR(LEFT($AH392,3)="OAK",LEFT($AH392,3)="BIR",LEFT($AH392,3)="MAP",$AH392="PC",$AH392="MC",$AH392="SCLC",$AH392="P-LAM")),"WD","HM")&amp;"1.75")</f>
        <v/>
      </c>
      <c r="DD392" s="84">
        <f>IF($CJ392="","",IF($O392="Y",$CJ392,SUBSTITUTE($CJ392,$BG392&amp;" "&amp;IFERROR(VLOOKUP($Z392,CODES,2,FALSE),"")&amp;" ",$BG392&amp;" ")))</f>
        <v/>
      </c>
      <c r="DE392" s="84">
        <f>IF($CK392="","",IF($O392="Y",$CK392,SUBSTITUTE($CK392,$BG392&amp;" "&amp;IF($AN392="",IFERROR(VLOOKUP($Z392,CODES,2,FALSE),""),IFERROR(VLOOKUP($AN392,CODES,2,FALSE),""))&amp;" ",$BG392&amp;" ")))</f>
        <v/>
      </c>
      <c r="DF392" s="84">
        <f>IF($CJ392="","",$DC392&amp;"|"&amp;$DD392&amp;"|"&amp;$DB392&amp;"|"&amp;$AT392&amp;"|"&amp;$V392&amp;"|"&amp;$Y392&amp;"|"&amp;$AB392)</f>
        <v/>
      </c>
      <c r="DG392" s="84">
        <f>IF(DF392="","",IF(COUNTIF($DF$6:DF392,DF392)=1,MAX($DG$5:DG391)+1,INDEX($DG$5:DG391,MATCH(DF392,$DF$5:DF391,0))))</f>
        <v/>
      </c>
      <c r="DH392" s="84">
        <f>IF($CK392="","",$DC392&amp;"|"&amp;$DE392&amp;"|"&amp;$AI392&amp;"|"&amp;$BK392&amp;"|"&amp;$BL392)</f>
        <v/>
      </c>
      <c r="DI392" s="84">
        <f>IF(DH392="","",IF(COUNTIF($DH$6:DH392,DH392)=1,MAX($DI$5:DI391)+1,INDEX($DI$5:DI391,MATCH(DH392,$DH$5:DH391,0))))</f>
        <v/>
      </c>
      <c r="DJ392" s="84">
        <f>IF($A392="","",IF($B392="","qty, ","")&amp;IF($C392="","scope, ","")&amp;IF(OR($K392="",$M392=""),"size, ","")&amp;IF(AND($A392&lt;&gt;"",$C392&lt;&gt;"DOOR ONLY"),IF($U392="","jamb depth, ","")&amp;IF($X392="","construction, ","")&amp;IF($Y392="","anchor, ","")&amp;IF($S392="","frame type, ",""),"")&amp;IF(AND(N($BJ392)&gt;0,$Z392=""),"hand, ","")&amp;IF(N($BJ392)&gt;0,IF($AH392="","door material, ","")&amp;IF($AL392="","face type, ","")&amp;IF($AP392="","lock prep, ","")&amp;IF(AND($AO392="",$AC392=""),"hinge prep, ",""),"")&amp;IF(AND($CH392&gt;0,$AH392="FRP"),"FRP cannot carry a label, ","")&amp;IF(AND($O392="Y",OR($Z392="L",$Z392="R",$Z392="LR",$Z392="RR")),"pair marked but hand is single, ","")&amp;IF(AND($O392&lt;&gt;"Y",OR($Z392="PR",AND(LEN($Z392)&gt;1,ISNUMBER(SEARCH("-",$Z392))))),"pair hand on a single door, ","")&amp;IF(AND(ISNUMBER($CI392),$CH392&lt;N($CI392)),"wall needs a "&amp;$CI392&amp;" min door, ","")&amp;IF(AND($CH392&gt;=180,AND(OR($CE392="FG",$CE392="HG",$CE392="FNV",$CE392="FV"),N($CF392)*N($CG392)&gt;100)),"180 min lite over 100 sq in, ","")&amp;IF(N($BK392)&gt;48,"leaf wider than 4'-0"&amp;CHAR(34)&amp;", ","")&amp;IF(AND($CT392,COUNT($AW392:$AZ392)=0,$CQ392&gt;0),"CUSTOM LOC with no locations typed, ",""))</f>
        <v/>
      </c>
      <c r="DK392" s="84">
        <f>IF($A392="","",IF(AND($CH392&gt;0,AND($A392&lt;&gt;"",$C392&lt;&gt;"DOOR ONLY"),$X392="KD",$E392="EXTERIOR"),"KD label on an exterior opening, ","")&amp;IF(AND($E392="EXTERIOR",OR(AND(AND($A392&lt;&gt;"",$C392&lt;&gt;"DOOR ONLY"),$W392="CR"),AND(N($BJ392)&gt;0,$AH392="CR"))),"exterior in CR steel (G9?), ","")&amp;IF(AND(ISNUMBER($BQ392),N($BQ392)&lt;32),"clear width ~"&amp;TEXT($BQ392,"0.0")&amp;CHAR(34)&amp;" under 32"&amp;CHAR(34)&amp;" (ADA), ","")&amp;IF(AND($CH392=90,AND(OR($CE392="FG",$CE392="HG",$CE392="FNV",$CE392="FV"),N($CF392)*N($CG392)&gt;100)),"90 min lite over 100 sq in (stair/exit), ","")&amp;IF(AND($CH392&gt;0,AND($A392&lt;&gt;"",$C392&lt;&gt;"DOOR ONLY"),OR($AF392="",$AF392="-")),"rated: closer reinf.?, ","")&amp;IF(OR($I392="CORRIDOR",$I392="SMOKE BARRIER"),"S label + smoke gasketing, ","")&amp;IF($CI392="?","wall type/hr not in IBC table, ","")&amp;IF(AND(N($BJ392)&gt;0,$BB392=""),"no hardware set, ","")&amp;IF(AND($BB392&lt;&gt;"",ISNA(MATCH($BB392&amp;"",HWSets,0))),"set "&amp;$BB392&amp;" not on HW Sets, ","")&amp;IF(N($BL392)&gt;96,"leaf over 8'-0"&amp;CHAR(34)&amp;" - check listing, ","")&amp;IF(AND($CT392,COUNT($AW392:$AZ392)&gt;0,COUNT($AW392:$AZ392)&lt;&gt;$CQ392),COUNT($AW392:$AZ392)&amp;" custom hinges typed, "&amp;$CQ392&amp;" expected, ","")&amp;IF(AND(ISNUMBER($CA392),OR(N($CA392)&lt;34,N($CA392)&gt;48)),"lock "&amp;TEXT($CA392,"0.0")&amp;CHAR(34)&amp;" AFF outside 34-48"&amp;CHAR(34)&amp;" (ADA), ","")&amp;IF(AND(ISNUMBER($AV392),ISNUMBER($BL392),N($AV392)&lt;IF(N($BL392)&lt;=60,2,IF(N($BL392)&lt;=90,3,IF(N($BL392)&lt;=120,4,5)))),"fewer hinges than standard, ",""))</f>
        <v/>
      </c>
    </row>
    <row r="393" ht="15" customHeight="1">
      <c r="A393" s="77" t="n"/>
      <c r="B393" s="78" t="n"/>
      <c r="C393" s="78" t="n"/>
      <c r="D393" s="78" t="n"/>
      <c r="E393" s="78" t="n"/>
      <c r="F393" s="78" t="n"/>
      <c r="G393" s="78" t="n"/>
      <c r="H393" s="78" t="n"/>
      <c r="I393" s="78" t="n"/>
      <c r="J393" s="78" t="n"/>
      <c r="K393" s="78" t="n"/>
      <c r="L393" s="78" t="n"/>
      <c r="M393" s="78" t="n"/>
      <c r="N393" s="78" t="n"/>
      <c r="O393" s="78" t="n"/>
      <c r="P393" s="78" t="n"/>
      <c r="Q393" s="78" t="n"/>
      <c r="R393" s="78" t="n"/>
      <c r="S393" s="79" t="n"/>
      <c r="T393" s="79" t="n"/>
      <c r="U393" s="79" t="n"/>
      <c r="V393" s="79" t="n"/>
      <c r="W393" s="79" t="n"/>
      <c r="X393" s="79" t="n"/>
      <c r="Y393" s="79" t="n"/>
      <c r="Z393" s="79" t="n"/>
      <c r="AA393" s="79" t="n"/>
      <c r="AB393" s="79" t="n"/>
      <c r="AC393" s="79" t="n"/>
      <c r="AD393" s="79" t="n"/>
      <c r="AE393" s="79" t="n"/>
      <c r="AF393" s="79" t="n"/>
      <c r="AG393" s="79" t="n"/>
      <c r="AH393" s="80" t="n"/>
      <c r="AI393" s="80" t="n"/>
      <c r="AJ393" s="80" t="n"/>
      <c r="AK393" s="80" t="n"/>
      <c r="AL393" s="80" t="n"/>
      <c r="AM393" s="80" t="n"/>
      <c r="AN393" s="80" t="n"/>
      <c r="AO393" s="80" t="n"/>
      <c r="AP393" s="80" t="n"/>
      <c r="AQ393" s="80" t="n"/>
      <c r="AR393" s="80" t="n"/>
      <c r="AS393" s="80" t="n"/>
      <c r="AT393" s="81" t="n"/>
      <c r="AU393" s="81" t="n"/>
      <c r="AV393" s="81" t="n"/>
      <c r="AW393" s="82" t="n"/>
      <c r="AX393" s="82" t="n"/>
      <c r="AY393" s="82" t="n"/>
      <c r="AZ393" s="82" t="n"/>
      <c r="BA393" s="82" t="n"/>
      <c r="BB393" s="83" t="n"/>
      <c r="BC393" s="83" t="n"/>
      <c r="BD393" s="84">
        <f>IF($A393="","",IF($DJ393&lt;&gt;"","FIX",IF($DK393&lt;&gt;"","CHECK","OK")))</f>
        <v/>
      </c>
      <c r="BE393" s="85">
        <f>IF($A393="","",IF($DJ393&lt;&gt;"","FIX: "&amp;LEFT($DJ393,LEN($DJ393)-2)&amp;IF($DK393&lt;&gt;"","  ·  ",""),"")&amp;IF($DK393&lt;&gt;"","CHECK: "&amp;LEFT($DK393,LEN($DK393)-2),""))</f>
        <v/>
      </c>
      <c r="BF393" s="84">
        <f>IF(OR($A393="",$K393=""),"",$K393&amp;"'-"&amp;N($L393)&amp;CHAR(34)&amp;" x "&amp;$M393&amp;"'-"&amp;N($N393)&amp;CHAR(34))</f>
        <v/>
      </c>
      <c r="BG393" s="84">
        <f>IF(OR($A393="",$K393=""),"",$K393&amp;N($L393)&amp;$M393&amp;N($N393))</f>
        <v/>
      </c>
      <c r="BH393" s="84">
        <f>IF(OR($A393="",$K393=""),"",$K393*12+N($L393))</f>
        <v/>
      </c>
      <c r="BI393" s="84">
        <f>IF(OR($A393="",$M393=""),"",$M393*12+N($N393))</f>
        <v/>
      </c>
      <c r="BJ393" s="84">
        <f>IF($A393="","",IF(OR($C393="FRAME ONLY",$S393="BL"),0,IF($O393="Y",2,1)))</f>
        <v/>
      </c>
      <c r="BK393" s="86">
        <f>IF(OR(N($BJ393)=0,$BH393=""),"",($BH393-2*EdgeClr-IF($BJ393=2,MeetClr,0))/$BJ393)</f>
        <v/>
      </c>
      <c r="BL393" s="86">
        <f>IF(OR(N($BJ393)=0,$BI393=""),"",$BI393-HeadClr-Undercut)</f>
        <v/>
      </c>
      <c r="BM393" s="86">
        <f>IF($BH393="","",$BH393+2*FaceW+IF(N($Q393)&gt;0,($Q393+FaceW)*IF($R393="LR",2,1),0))</f>
        <v/>
      </c>
      <c r="BN393" s="86">
        <f>IF($BI393="","",$BI393+IF($AB393="Y",4,FaceW)+IF(N($P393)&gt;0,$P393+FaceW,0)+IF(OR($S393="4F",$S393="BL"),FaceW,0))</f>
        <v/>
      </c>
      <c r="BO393" s="86">
        <f>IF($BM393="","",$BM393+2*ROSide)</f>
        <v/>
      </c>
      <c r="BP393" s="86">
        <f>IF($BN393="","",$BN393+ROTop)</f>
        <v/>
      </c>
      <c r="BQ393" s="87">
        <f>IF(OR(N($BJ393)=0,$BH393=""),"",$BH393/$BJ393-ClearDeduct)</f>
        <v/>
      </c>
      <c r="BR393" s="84">
        <f>IF(N($CH393)=0,"",IF($CH393&gt;=180,"A · 3 HR",IF($CH393&gt;=90,"B · 1-1/2 HR",IF($CH393&gt;=60,"B · 1 HR",IF($CH393&gt;=45,"C · 3/4 HR","20 MIN")))))&amp;IF(AND(N($CH393)&gt;0,OR($I393="CORRIDOR",$I393="SMOKE BARRIER"))," · S","")</f>
        <v/>
      </c>
      <c r="BS393" s="84">
        <f>IF($CS393,"",IF($AV393&lt;&gt;"",$AV393,IF(OR($AC393="HGC",$AO393="HGC"),"CONT",IF(($BI393-HeadClr-Undercut)&lt;=60,2,IF(($BI393-HeadClr-Undercut)&lt;=90,3,IF(($BI393-HeadClr-Undercut)&lt;=120,4,5))))))</f>
        <v/>
      </c>
      <c r="BT393" s="84">
        <f>IF($CS393,"",IF($CT393,"CUSTOM (typed)",IF($CV393,$AT393&amp;" "&amp;$CU393&amp;CHAR(34)&amp;IF($CU393&lt;&gt;$BI393,IF(AND($BI393&lt;$CU393,$BI393-IF(N(VLOOKUP($AT393&amp;"|"&amp;$CU393,LocTable,7,FALSE))&gt;0,VLOOKUP($AT393&amp;"|"&amp;$CU393,LocTable,7,FALSE),VLOOKUP($AT393&amp;"|"&amp;$CU393,LocTable,6,FALSE))-$CR393-0.75&gt;=2.125)," cut down"," adj."),""),"ANSI/SDI A250.6")))</f>
        <v/>
      </c>
      <c r="BU393" s="88">
        <f>IF($CS393,"",IF($CT393,IF(N($AW393)&gt;0,N($AW393),""),IF(1&gt;$CQ393,"",IF($CQ393=1,$CW393,$CW393+($CX393-$CW393)*0/($CQ393-1)))))</f>
        <v/>
      </c>
      <c r="BV393" s="88">
        <f>IF($CS393,"",IF($CT393,IF(N($AX393)&gt;0,N($AX393),""),IF(2&gt;$CQ393,"",IF($CQ393=1,$CW393,$CW393+($CX393-$CW393)*1/($CQ393-1)))))</f>
        <v/>
      </c>
      <c r="BW393" s="88">
        <f>IF($CS393,"",IF($CT393,IF(N($AY393)&gt;0,N($AY393),""),IF(3&gt;$CQ393,"",IF($CQ393=1,$CW393,$CW393+($CX393-$CW393)*2/($CQ393-1)))))</f>
        <v/>
      </c>
      <c r="BX393" s="88">
        <f>IF($CS393,"",IF($CT393,IF(N($AZ393)&gt;0,N($AZ393),""),IF(4&gt;$CQ393,"",IF($CQ393=1,$CW393,$CW393+($CX393-$CW393)*3/($CQ393-1)))))</f>
        <v/>
      </c>
      <c r="BY393" s="88">
        <f>IF($CS393,"",IF($CT393,"",IF(5&gt;$CQ393,"",IF($CQ393=1,$CW393,$CW393+($CX393-$CW393)*4/($CQ393-1)))))</f>
        <v/>
      </c>
      <c r="BZ393" s="88">
        <f>IF(OR($CS393,$AP393="-",AND($AP393="",$AD393="")),"",IF(N($BA393)&gt;0,N($BA393),IF($CV393,IF(AND($BI393&lt;$CU393,$BI393-IF(N(VLOOKUP($AT393&amp;"|"&amp;$CU393,LocTable,7,FALSE))&gt;0,VLOOKUP($AT393&amp;"|"&amp;$CU393,LocTable,7,FALSE),VLOOKUP($AT393&amp;"|"&amp;$CU393,LocTable,6,FALSE))-$CR393-0.75&gt;=2.125),VLOOKUP($AT393&amp;"|"&amp;$CU393,LocTable,8,FALSE),VLOOKUP($AT393&amp;"|"&amp;$CU393,LocTable,8,FALSE)+($BI393-$CU393)),$BI393-LockAFF)))</f>
        <v/>
      </c>
      <c r="CA393" s="89">
        <f>IF($BZ393="","",$BI393-$BZ393)</f>
        <v/>
      </c>
      <c r="CB393" s="84">
        <f>IF(OR(NOT(AND($A393&lt;&gt;"",$C393&lt;&gt;"DOOR ONLY")),$BI393=""),"",IF(($BI393+IF(N($P393)&gt;0,$P393+FaceW,0))&lt;=90,3,IF(($BI393+IF(N($P393)&gt;0,$P393+FaceW,0))&lt;=114,4,5)))</f>
        <v/>
      </c>
      <c r="CC393" s="84">
        <f>IF($CB393="","",$CB393*(2+IF(N($Q393)&gt;0,IF($R393="LR",2,1),0)))</f>
        <v/>
      </c>
      <c r="CD393" s="84">
        <f>IF($CB393="","",(2+IF(N($Q393)&gt;0,IF($R393="LR",2,1),0)))</f>
        <v/>
      </c>
      <c r="CE393" s="84">
        <f>IF(N($BJ393)=0,"",IF(OR($AL393="",$AL393="FLUSH"),"FLUSH",IFERROR(LEFT($AL393,FIND("-",$AL393)-1),LEFT($AL393,2))))</f>
        <v/>
      </c>
      <c r="CF393" s="84">
        <f>IF($CE393="","",IFERROR(VALUE(MID($AL393,FIND("-",$AL393)+1,FIND(CHAR(34)&amp;"x",$AL393)-FIND("-",$AL393)-1)),0))</f>
        <v/>
      </c>
      <c r="CG393" s="84">
        <f>IF($CE393="","",IFERROR(VALUE(MID($AL393,FIND(CHAR(34)&amp;"x",$AL393)+2,FIND(CHAR(34),$AL393,FIND(CHAR(34)&amp;"x",$AL393)+2)-FIND(CHAR(34)&amp;"x",$AL393)-2)),0))</f>
        <v/>
      </c>
      <c r="CH393" s="90">
        <f>IF(OR($A393="",$H393="",$H393="NO LAB"),0,IFERROR(VALUE(LEFT($H393,FIND(" ",$H393)-1)),0))</f>
        <v/>
      </c>
      <c r="CI393" s="91">
        <f>IF(OR($A393="",$I393="",$I393="NON-RATED",N($J393)=0),"",IFERROR(VLOOKUP($I393&amp;"|"&amp;$J393,IBC,2,FALSE),"?"))</f>
        <v/>
      </c>
      <c r="CJ393" s="85">
        <f>IF(NOT(AND($A393&lt;&gt;"",$C393&lt;&gt;"DOOR ONLY")),"",TRIM(IFERROR(VLOOKUP($U393,CODES,2,FALSE),"")&amp;" "&amp;$BG393&amp;" "&amp;IFERROR(VLOOKUP($Z393,CODES,2,FALSE),"")&amp;" "&amp;IFERROR(VLOOKUP($X393,CODES,2,FALSE),"")&amp;" "&amp;IFERROR(VLOOKUP($S393,CODES,2,FALSE),"")&amp;IF(N($P393)&gt;0," w/TRANSOM "&amp;$P393&amp;CHAR(34),"")&amp;IF(N($Q393)&gt;0," w/SIDELITE "&amp;$Q393&amp;CHAR(34)&amp;" "&amp;IF($R393="","R",$R393),"")&amp;IF($Y393="","  |  "," | "&amp;IFERROR(VLOOKUP($Y393,CODES,2,FALSE),"")&amp;" | ")&amp;IFERROR(VLOOKUP($AC393,CODES,2,FALSE),"")&amp;" "&amp;IFERROR(VLOOKUP($AD393,CODES,2,FALSE),"")&amp;IF(OR($AE393="",$AE393="-"),""," "&amp;$AE393)&amp;IF(OR($AF393="",$AF393="-"),""," "&amp;$AF393)&amp;IF($AB393="Y"," 4"&amp;CHAR(34)&amp;" HEAD","")&amp;" "&amp;IFERROR(VLOOKUP($H393,CODES,2,FALSE),"")&amp;IF($CT393," | LOC "&amp;$CY393,"")))</f>
        <v/>
      </c>
      <c r="CK393" s="85">
        <f>IF(NOT(AND($A393&lt;&gt;"",N($BJ393)&gt;0)),"",TRIM(IFERROR(VLOOKUP($AH393,CODES,2,FALSE),"")&amp;IF($AI393=""," "," "&amp;$AI393&amp;"GA ")&amp;$BG393&amp;" "&amp;IF($AN393="",IFERROR(VLOOKUP($Z393,CODES,2,FALSE),""),IFERROR(VLOOKUP($AN393,CODES,2,FALSE),""))&amp;IF($BJ393=2," PAIR","")&amp;" DOOR | "&amp;IF($AL393="","?",$AL393)&amp;" | "&amp;IF($AO393="",IFERROR(VLOOKUP($AC393,CODES,2,FALSE),""),IFERROR(VLOOKUP($AO393,CODES,2,FALSE),""))&amp;" "&amp;IFERROR(VLOOKUP($AP393,CODES,2,FALSE),"")&amp;IF(OR($AQ393="",$AQ393="-"),""," SEAM "&amp;$AQ393)&amp;IF($AR393="Y"," ASTRAGAL","")&amp;IF($AJ393=""," "," "&amp;$AJ393)&amp;IF($AK393=""," "," "&amp;$AK393)&amp;IF(OR($AT393="",$AT393="ANSI/SDI",$AT393="CUSTOM LOC"),""," "&amp;$AT393)&amp;IF($AM393=""," "," SERIES "&amp;$AM393)&amp;" "&amp;IFERROR(VLOOKUP($H393,CODES,2,FALSE),"")&amp;IF($CT393," | LOC "&amp;$CZ393,"")))</f>
        <v/>
      </c>
      <c r="CL393" s="84">
        <f>IF(CP393="","",IF(COUNTIF($CP$6:CP393,CP393)=1,MAX($CL$5:CL392)+1,INDEX($CL$5:CL392,MATCH(CP393,$CP$5:CP392,0))))</f>
        <v/>
      </c>
      <c r="CM393" s="84">
        <f>IF(NOT(AND($A393&lt;&gt;"",$C393&lt;&gt;"DOOR ONLY")),"",MAX($CM$5:CM392)+1)</f>
        <v/>
      </c>
      <c r="CN393" s="84">
        <f>IF(NOT(AND($A393&lt;&gt;"",N($BJ393)&gt;0)),"",MAX($CN$5:CN392)+1)</f>
        <v/>
      </c>
      <c r="CO393" s="84">
        <f>IF($A393="","",MAX($CO$5:CO392)+1)</f>
        <v/>
      </c>
      <c r="CP393" s="84">
        <f>IF(OR($A393="",$BH393="",$BI393=""),"",$BG393&amp;"|"&amp;$O393&amp;"|"&amp;$AL393&amp;"|"&amp;$S393&amp;"|"&amp;$P393&amp;"|"&amp;$Q393&amp;$R393&amp;"|"&amp;$C393&amp;"|"&amp;$AB393)</f>
        <v/>
      </c>
      <c r="CQ393" s="84">
        <f>N($BS393)</f>
        <v/>
      </c>
      <c r="CR393" s="84">
        <f>IF(N($AU393)&gt;0,N($AU393),4.5)</f>
        <v/>
      </c>
      <c r="CS393" s="84">
        <f>OR($A393="",$BI393="",$S393="BL",AND($C393="FRAME ONLY",OR($AC393="",$AC393="BLK")))</f>
        <v/>
      </c>
      <c r="CT393" s="84">
        <f>AND(NOT($CS393),OR($AT393="CUSTOM LOC",N($AW393)+N($AX393)+N($AY393)+N($AZ393)+N($BA393)&gt;0))</f>
        <v/>
      </c>
      <c r="CU393" s="84">
        <f>IF($BI393="","",IF($BI393&lt;=80,80,IF($BI393&lt;=84,84,96)))</f>
        <v/>
      </c>
      <c r="CV393" s="84">
        <f>ISNUMBER(MATCH($AT393&amp;"|80",LocKeys,0))</f>
        <v/>
      </c>
      <c r="CW393" s="86">
        <f>IF($CS393,"",IF($CV393,VLOOKUP($AT393&amp;"|"&amp;$CU393,LocTable,4,FALSE),5))</f>
        <v/>
      </c>
      <c r="CX393" s="86">
        <f>IF($CS393,"",IF($CV393,IF(OR($BI393=$CU393,AND($BI393&lt;$CU393,$BI393-IF(N(VLOOKUP($AT393&amp;"|"&amp;$CU393,LocTable,7,FALSE))&gt;0,VLOOKUP($AT393&amp;"|"&amp;$CU393,LocTable,7,FALSE),VLOOKUP($AT393&amp;"|"&amp;$CU393,LocTable,6,FALSE))-$CR393-0.75&gt;=2.125)),IF(N(VLOOKUP($AT393&amp;"|"&amp;$CU393,LocTable,7,FALSE))&gt;0,VLOOKUP($AT393&amp;"|"&amp;$CU393,LocTable,7,FALSE),VLOOKUP($AT393&amp;"|"&amp;$CU393,LocTable,6,FALSE)),$BI393-($CU393-IF(N(VLOOKUP($AT393&amp;"|"&amp;$CU393,LocTable,7,FALSE))&gt;0,VLOOKUP($AT393&amp;"|"&amp;$CU393,LocTable,7,FALSE),VLOOKUP($AT393&amp;"|"&amp;$CU393,LocTable,6,FALSE)))),$BI393-10-$CR393))</f>
        <v/>
      </c>
      <c r="CY393" s="85">
        <f>IF($CS393,"",TRIM(IF(ISNUMBER($BU393),"A "&amp;TRIM(TEXT($BU393,"# ?/??"))&amp;CHAR(34)&amp;"  ","")&amp;IF(ISNUMBER($BV393),"B "&amp;TRIM(TEXT($BV393,"# ?/??"))&amp;CHAR(34)&amp;"  ","")&amp;IF(ISNUMBER($BW393),"C "&amp;TRIM(TEXT($BW393,"# ?/??"))&amp;CHAR(34)&amp;"  ","")&amp;IF(ISNUMBER($BX393),"D "&amp;TRIM(TEXT($BX393,"# ?/??"))&amp;CHAR(34)&amp;"  ","")&amp;IF(ISNUMBER($BY393),"F "&amp;TRIM(TEXT($BY393,"# ?/??"))&amp;CHAR(34)&amp;"  ","")&amp;IF(ISNUMBER($BZ393),"E "&amp;TRIM(TEXT($BZ393,"# ?/??"))&amp;CHAR(34)&amp;"  ","")))</f>
        <v/>
      </c>
      <c r="CZ393" s="85">
        <f>IF(OR($CS393,N($BJ393)=0),"",TRIM(IF(ISNUMBER($BU393),"A "&amp;TRIM(TEXT($BU393-HeadClr,"# ?/??"))&amp;CHAR(34)&amp;"  ","")&amp;IF(ISNUMBER($BV393),"B "&amp;TRIM(TEXT($BV393-HeadClr,"# ?/??"))&amp;CHAR(34)&amp;"  ","")&amp;IF(ISNUMBER($BW393),"C "&amp;TRIM(TEXT($BW393-HeadClr,"# ?/??"))&amp;CHAR(34)&amp;"  ","")&amp;IF(ISNUMBER($BX393),"D "&amp;TRIM(TEXT($BX393-HeadClr,"# ?/??"))&amp;CHAR(34)&amp;"  ","")&amp;IF(ISNUMBER($BY393),"F "&amp;TRIM(TEXT($BY393-HeadClr,"# ?/??"))&amp;CHAR(34)&amp;"  ","")&amp;IF(ISNUMBER($BZ393),"E "&amp;TRIM(TEXT($BZ393-HeadClr,"# ?/??"))&amp;CHAR(34)&amp;"  ","")))</f>
        <v/>
      </c>
      <c r="DA393" s="84">
        <f>IF($A393="","",IF($AN393="",IFERROR(VLOOKUP($Z393,CODES,2,FALSE),""),IFERROR(VLOOKUP($AN393,CODES,2,FALSE),"")))</f>
        <v/>
      </c>
      <c r="DB393" s="84">
        <f>IF($A393="","",IF($O393="Y","PR",IF(OR($Z393="L",$Z393="RR",LEFT($Z393,2)="L-",LEFT($Z393,3)="RR-"),"LH","RH")))</f>
        <v/>
      </c>
      <c r="DC393" s="84">
        <f>IF($A393="","","S.HM"&amp;IF(OR($C393="DOOR ONLY",$X393&lt;&gt;"KD"),"MASONRY","DRYWALL")&amp;IF($C393="DOOR ONLY","",$U393)&amp;IF(AND($C393&lt;&gt;"FRAME ONLY",OR(LEFT($AH393,3)="OAK",LEFT($AH393,3)="BIR",LEFT($AH393,3)="MAP",$AH393="PC",$AH393="MC",$AH393="SCLC",$AH393="P-LAM")),"WD","HM")&amp;"1.75")</f>
        <v/>
      </c>
      <c r="DD393" s="84">
        <f>IF($CJ393="","",IF($O393="Y",$CJ393,SUBSTITUTE($CJ393,$BG393&amp;" "&amp;IFERROR(VLOOKUP($Z393,CODES,2,FALSE),"")&amp;" ",$BG393&amp;" ")))</f>
        <v/>
      </c>
      <c r="DE393" s="84">
        <f>IF($CK393="","",IF($O393="Y",$CK393,SUBSTITUTE($CK393,$BG393&amp;" "&amp;IF($AN393="",IFERROR(VLOOKUP($Z393,CODES,2,FALSE),""),IFERROR(VLOOKUP($AN393,CODES,2,FALSE),""))&amp;" ",$BG393&amp;" ")))</f>
        <v/>
      </c>
      <c r="DF393" s="84">
        <f>IF($CJ393="","",$DC393&amp;"|"&amp;$DD393&amp;"|"&amp;$DB393&amp;"|"&amp;$AT393&amp;"|"&amp;$V393&amp;"|"&amp;$Y393&amp;"|"&amp;$AB393)</f>
        <v/>
      </c>
      <c r="DG393" s="84">
        <f>IF(DF393="","",IF(COUNTIF($DF$6:DF393,DF393)=1,MAX($DG$5:DG392)+1,INDEX($DG$5:DG392,MATCH(DF393,$DF$5:DF392,0))))</f>
        <v/>
      </c>
      <c r="DH393" s="84">
        <f>IF($CK393="","",$DC393&amp;"|"&amp;$DE393&amp;"|"&amp;$AI393&amp;"|"&amp;$BK393&amp;"|"&amp;$BL393)</f>
        <v/>
      </c>
      <c r="DI393" s="84">
        <f>IF(DH393="","",IF(COUNTIF($DH$6:DH393,DH393)=1,MAX($DI$5:DI392)+1,INDEX($DI$5:DI392,MATCH(DH393,$DH$5:DH392,0))))</f>
        <v/>
      </c>
      <c r="DJ393" s="84">
        <f>IF($A393="","",IF($B393="","qty, ","")&amp;IF($C393="","scope, ","")&amp;IF(OR($K393="",$M393=""),"size, ","")&amp;IF(AND($A393&lt;&gt;"",$C393&lt;&gt;"DOOR ONLY"),IF($U393="","jamb depth, ","")&amp;IF($X393="","construction, ","")&amp;IF($Y393="","anchor, ","")&amp;IF($S393="","frame type, ",""),"")&amp;IF(AND(N($BJ393)&gt;0,$Z393=""),"hand, ","")&amp;IF(N($BJ393)&gt;0,IF($AH393="","door material, ","")&amp;IF($AL393="","face type, ","")&amp;IF($AP393="","lock prep, ","")&amp;IF(AND($AO393="",$AC393=""),"hinge prep, ",""),"")&amp;IF(AND($CH393&gt;0,$AH393="FRP"),"FRP cannot carry a label, ","")&amp;IF(AND($O393="Y",OR($Z393="L",$Z393="R",$Z393="LR",$Z393="RR")),"pair marked but hand is single, ","")&amp;IF(AND($O393&lt;&gt;"Y",OR($Z393="PR",AND(LEN($Z393)&gt;1,ISNUMBER(SEARCH("-",$Z393))))),"pair hand on a single door, ","")&amp;IF(AND(ISNUMBER($CI393),$CH393&lt;N($CI393)),"wall needs a "&amp;$CI393&amp;" min door, ","")&amp;IF(AND($CH393&gt;=180,AND(OR($CE393="FG",$CE393="HG",$CE393="FNV",$CE393="FV"),N($CF393)*N($CG393)&gt;100)),"180 min lite over 100 sq in, ","")&amp;IF(N($BK393)&gt;48,"leaf wider than 4'-0"&amp;CHAR(34)&amp;", ","")&amp;IF(AND($CT393,COUNT($AW393:$AZ393)=0,$CQ393&gt;0),"CUSTOM LOC with no locations typed, ",""))</f>
        <v/>
      </c>
      <c r="DK393" s="84">
        <f>IF($A393="","",IF(AND($CH393&gt;0,AND($A393&lt;&gt;"",$C393&lt;&gt;"DOOR ONLY"),$X393="KD",$E393="EXTERIOR"),"KD label on an exterior opening, ","")&amp;IF(AND($E393="EXTERIOR",OR(AND(AND($A393&lt;&gt;"",$C393&lt;&gt;"DOOR ONLY"),$W393="CR"),AND(N($BJ393)&gt;0,$AH393="CR"))),"exterior in CR steel (G9?), ","")&amp;IF(AND(ISNUMBER($BQ393),N($BQ393)&lt;32),"clear width ~"&amp;TEXT($BQ393,"0.0")&amp;CHAR(34)&amp;" under 32"&amp;CHAR(34)&amp;" (ADA), ","")&amp;IF(AND($CH393=90,AND(OR($CE393="FG",$CE393="HG",$CE393="FNV",$CE393="FV"),N($CF393)*N($CG393)&gt;100)),"90 min lite over 100 sq in (stair/exit), ","")&amp;IF(AND($CH393&gt;0,AND($A393&lt;&gt;"",$C393&lt;&gt;"DOOR ONLY"),OR($AF393="",$AF393="-")),"rated: closer reinf.?, ","")&amp;IF(OR($I393="CORRIDOR",$I393="SMOKE BARRIER"),"S label + smoke gasketing, ","")&amp;IF($CI393="?","wall type/hr not in IBC table, ","")&amp;IF(AND(N($BJ393)&gt;0,$BB393=""),"no hardware set, ","")&amp;IF(AND($BB393&lt;&gt;"",ISNA(MATCH($BB393&amp;"",HWSets,0))),"set "&amp;$BB393&amp;" not on HW Sets, ","")&amp;IF(N($BL393)&gt;96,"leaf over 8'-0"&amp;CHAR(34)&amp;" - check listing, ","")&amp;IF(AND($CT393,COUNT($AW393:$AZ393)&gt;0,COUNT($AW393:$AZ393)&lt;&gt;$CQ393),COUNT($AW393:$AZ393)&amp;" custom hinges typed, "&amp;$CQ393&amp;" expected, ","")&amp;IF(AND(ISNUMBER($CA393),OR(N($CA393)&lt;34,N($CA393)&gt;48)),"lock "&amp;TEXT($CA393,"0.0")&amp;CHAR(34)&amp;" AFF outside 34-48"&amp;CHAR(34)&amp;" (ADA), ","")&amp;IF(AND(ISNUMBER($AV393),ISNUMBER($BL393),N($AV393)&lt;IF(N($BL393)&lt;=60,2,IF(N($BL393)&lt;=90,3,IF(N($BL393)&lt;=120,4,5)))),"fewer hinges than standard, ",""))</f>
        <v/>
      </c>
    </row>
    <row r="394" ht="15" customHeight="1">
      <c r="A394" s="77" t="n"/>
      <c r="B394" s="78" t="n"/>
      <c r="C394" s="78" t="n"/>
      <c r="D394" s="78" t="n"/>
      <c r="E394" s="78" t="n"/>
      <c r="F394" s="78" t="n"/>
      <c r="G394" s="78" t="n"/>
      <c r="H394" s="78" t="n"/>
      <c r="I394" s="78" t="n"/>
      <c r="J394" s="78" t="n"/>
      <c r="K394" s="78" t="n"/>
      <c r="L394" s="78" t="n"/>
      <c r="M394" s="78" t="n"/>
      <c r="N394" s="78" t="n"/>
      <c r="O394" s="78" t="n"/>
      <c r="P394" s="78" t="n"/>
      <c r="Q394" s="78" t="n"/>
      <c r="R394" s="78" t="n"/>
      <c r="S394" s="79" t="n"/>
      <c r="T394" s="79" t="n"/>
      <c r="U394" s="79" t="n"/>
      <c r="V394" s="79" t="n"/>
      <c r="W394" s="79" t="n"/>
      <c r="X394" s="79" t="n"/>
      <c r="Y394" s="79" t="n"/>
      <c r="Z394" s="79" t="n"/>
      <c r="AA394" s="79" t="n"/>
      <c r="AB394" s="79" t="n"/>
      <c r="AC394" s="79" t="n"/>
      <c r="AD394" s="79" t="n"/>
      <c r="AE394" s="79" t="n"/>
      <c r="AF394" s="79" t="n"/>
      <c r="AG394" s="79" t="n"/>
      <c r="AH394" s="80" t="n"/>
      <c r="AI394" s="80" t="n"/>
      <c r="AJ394" s="80" t="n"/>
      <c r="AK394" s="80" t="n"/>
      <c r="AL394" s="80" t="n"/>
      <c r="AM394" s="80" t="n"/>
      <c r="AN394" s="80" t="n"/>
      <c r="AO394" s="80" t="n"/>
      <c r="AP394" s="80" t="n"/>
      <c r="AQ394" s="80" t="n"/>
      <c r="AR394" s="80" t="n"/>
      <c r="AS394" s="80" t="n"/>
      <c r="AT394" s="81" t="n"/>
      <c r="AU394" s="81" t="n"/>
      <c r="AV394" s="81" t="n"/>
      <c r="AW394" s="82" t="n"/>
      <c r="AX394" s="82" t="n"/>
      <c r="AY394" s="82" t="n"/>
      <c r="AZ394" s="82" t="n"/>
      <c r="BA394" s="82" t="n"/>
      <c r="BB394" s="83" t="n"/>
      <c r="BC394" s="83" t="n"/>
      <c r="BD394" s="84">
        <f>IF($A394="","",IF($DJ394&lt;&gt;"","FIX",IF($DK394&lt;&gt;"","CHECK","OK")))</f>
        <v/>
      </c>
      <c r="BE394" s="85">
        <f>IF($A394="","",IF($DJ394&lt;&gt;"","FIX: "&amp;LEFT($DJ394,LEN($DJ394)-2)&amp;IF($DK394&lt;&gt;"","  ·  ",""),"")&amp;IF($DK394&lt;&gt;"","CHECK: "&amp;LEFT($DK394,LEN($DK394)-2),""))</f>
        <v/>
      </c>
      <c r="BF394" s="84">
        <f>IF(OR($A394="",$K394=""),"",$K394&amp;"'-"&amp;N($L394)&amp;CHAR(34)&amp;" x "&amp;$M394&amp;"'-"&amp;N($N394)&amp;CHAR(34))</f>
        <v/>
      </c>
      <c r="BG394" s="84">
        <f>IF(OR($A394="",$K394=""),"",$K394&amp;N($L394)&amp;$M394&amp;N($N394))</f>
        <v/>
      </c>
      <c r="BH394" s="84">
        <f>IF(OR($A394="",$K394=""),"",$K394*12+N($L394))</f>
        <v/>
      </c>
      <c r="BI394" s="84">
        <f>IF(OR($A394="",$M394=""),"",$M394*12+N($N394))</f>
        <v/>
      </c>
      <c r="BJ394" s="84">
        <f>IF($A394="","",IF(OR($C394="FRAME ONLY",$S394="BL"),0,IF($O394="Y",2,1)))</f>
        <v/>
      </c>
      <c r="BK394" s="86">
        <f>IF(OR(N($BJ394)=0,$BH394=""),"",($BH394-2*EdgeClr-IF($BJ394=2,MeetClr,0))/$BJ394)</f>
        <v/>
      </c>
      <c r="BL394" s="86">
        <f>IF(OR(N($BJ394)=0,$BI394=""),"",$BI394-HeadClr-Undercut)</f>
        <v/>
      </c>
      <c r="BM394" s="86">
        <f>IF($BH394="","",$BH394+2*FaceW+IF(N($Q394)&gt;0,($Q394+FaceW)*IF($R394="LR",2,1),0))</f>
        <v/>
      </c>
      <c r="BN394" s="86">
        <f>IF($BI394="","",$BI394+IF($AB394="Y",4,FaceW)+IF(N($P394)&gt;0,$P394+FaceW,0)+IF(OR($S394="4F",$S394="BL"),FaceW,0))</f>
        <v/>
      </c>
      <c r="BO394" s="86">
        <f>IF($BM394="","",$BM394+2*ROSide)</f>
        <v/>
      </c>
      <c r="BP394" s="86">
        <f>IF($BN394="","",$BN394+ROTop)</f>
        <v/>
      </c>
      <c r="BQ394" s="87">
        <f>IF(OR(N($BJ394)=0,$BH394=""),"",$BH394/$BJ394-ClearDeduct)</f>
        <v/>
      </c>
      <c r="BR394" s="84">
        <f>IF(N($CH394)=0,"",IF($CH394&gt;=180,"A · 3 HR",IF($CH394&gt;=90,"B · 1-1/2 HR",IF($CH394&gt;=60,"B · 1 HR",IF($CH394&gt;=45,"C · 3/4 HR","20 MIN")))))&amp;IF(AND(N($CH394)&gt;0,OR($I394="CORRIDOR",$I394="SMOKE BARRIER"))," · S","")</f>
        <v/>
      </c>
      <c r="BS394" s="84">
        <f>IF($CS394,"",IF($AV394&lt;&gt;"",$AV394,IF(OR($AC394="HGC",$AO394="HGC"),"CONT",IF(($BI394-HeadClr-Undercut)&lt;=60,2,IF(($BI394-HeadClr-Undercut)&lt;=90,3,IF(($BI394-HeadClr-Undercut)&lt;=120,4,5))))))</f>
        <v/>
      </c>
      <c r="BT394" s="84">
        <f>IF($CS394,"",IF($CT394,"CUSTOM (typed)",IF($CV394,$AT394&amp;" "&amp;$CU394&amp;CHAR(34)&amp;IF($CU394&lt;&gt;$BI394,IF(AND($BI394&lt;$CU394,$BI394-IF(N(VLOOKUP($AT394&amp;"|"&amp;$CU394,LocTable,7,FALSE))&gt;0,VLOOKUP($AT394&amp;"|"&amp;$CU394,LocTable,7,FALSE),VLOOKUP($AT394&amp;"|"&amp;$CU394,LocTable,6,FALSE))-$CR394-0.75&gt;=2.125)," cut down"," adj."),""),"ANSI/SDI A250.6")))</f>
        <v/>
      </c>
      <c r="BU394" s="88">
        <f>IF($CS394,"",IF($CT394,IF(N($AW394)&gt;0,N($AW394),""),IF(1&gt;$CQ394,"",IF($CQ394=1,$CW394,$CW394+($CX394-$CW394)*0/($CQ394-1)))))</f>
        <v/>
      </c>
      <c r="BV394" s="88">
        <f>IF($CS394,"",IF($CT394,IF(N($AX394)&gt;0,N($AX394),""),IF(2&gt;$CQ394,"",IF($CQ394=1,$CW394,$CW394+($CX394-$CW394)*1/($CQ394-1)))))</f>
        <v/>
      </c>
      <c r="BW394" s="88">
        <f>IF($CS394,"",IF($CT394,IF(N($AY394)&gt;0,N($AY394),""),IF(3&gt;$CQ394,"",IF($CQ394=1,$CW394,$CW394+($CX394-$CW394)*2/($CQ394-1)))))</f>
        <v/>
      </c>
      <c r="BX394" s="88">
        <f>IF($CS394,"",IF($CT394,IF(N($AZ394)&gt;0,N($AZ394),""),IF(4&gt;$CQ394,"",IF($CQ394=1,$CW394,$CW394+($CX394-$CW394)*3/($CQ394-1)))))</f>
        <v/>
      </c>
      <c r="BY394" s="88">
        <f>IF($CS394,"",IF($CT394,"",IF(5&gt;$CQ394,"",IF($CQ394=1,$CW394,$CW394+($CX394-$CW394)*4/($CQ394-1)))))</f>
        <v/>
      </c>
      <c r="BZ394" s="88">
        <f>IF(OR($CS394,$AP394="-",AND($AP394="",$AD394="")),"",IF(N($BA394)&gt;0,N($BA394),IF($CV394,IF(AND($BI394&lt;$CU394,$BI394-IF(N(VLOOKUP($AT394&amp;"|"&amp;$CU394,LocTable,7,FALSE))&gt;0,VLOOKUP($AT394&amp;"|"&amp;$CU394,LocTable,7,FALSE),VLOOKUP($AT394&amp;"|"&amp;$CU394,LocTable,6,FALSE))-$CR394-0.75&gt;=2.125),VLOOKUP($AT394&amp;"|"&amp;$CU394,LocTable,8,FALSE),VLOOKUP($AT394&amp;"|"&amp;$CU394,LocTable,8,FALSE)+($BI394-$CU394)),$BI394-LockAFF)))</f>
        <v/>
      </c>
      <c r="CA394" s="89">
        <f>IF($BZ394="","",$BI394-$BZ394)</f>
        <v/>
      </c>
      <c r="CB394" s="84">
        <f>IF(OR(NOT(AND($A394&lt;&gt;"",$C394&lt;&gt;"DOOR ONLY")),$BI394=""),"",IF(($BI394+IF(N($P394)&gt;0,$P394+FaceW,0))&lt;=90,3,IF(($BI394+IF(N($P394)&gt;0,$P394+FaceW,0))&lt;=114,4,5)))</f>
        <v/>
      </c>
      <c r="CC394" s="84">
        <f>IF($CB394="","",$CB394*(2+IF(N($Q394)&gt;0,IF($R394="LR",2,1),0)))</f>
        <v/>
      </c>
      <c r="CD394" s="84">
        <f>IF($CB394="","",(2+IF(N($Q394)&gt;0,IF($R394="LR",2,1),0)))</f>
        <v/>
      </c>
      <c r="CE394" s="84">
        <f>IF(N($BJ394)=0,"",IF(OR($AL394="",$AL394="FLUSH"),"FLUSH",IFERROR(LEFT($AL394,FIND("-",$AL394)-1),LEFT($AL394,2))))</f>
        <v/>
      </c>
      <c r="CF394" s="84">
        <f>IF($CE394="","",IFERROR(VALUE(MID($AL394,FIND("-",$AL394)+1,FIND(CHAR(34)&amp;"x",$AL394)-FIND("-",$AL394)-1)),0))</f>
        <v/>
      </c>
      <c r="CG394" s="84">
        <f>IF($CE394="","",IFERROR(VALUE(MID($AL394,FIND(CHAR(34)&amp;"x",$AL394)+2,FIND(CHAR(34),$AL394,FIND(CHAR(34)&amp;"x",$AL394)+2)-FIND(CHAR(34)&amp;"x",$AL394)-2)),0))</f>
        <v/>
      </c>
      <c r="CH394" s="90">
        <f>IF(OR($A394="",$H394="",$H394="NO LAB"),0,IFERROR(VALUE(LEFT($H394,FIND(" ",$H394)-1)),0))</f>
        <v/>
      </c>
      <c r="CI394" s="91">
        <f>IF(OR($A394="",$I394="",$I394="NON-RATED",N($J394)=0),"",IFERROR(VLOOKUP($I394&amp;"|"&amp;$J394,IBC,2,FALSE),"?"))</f>
        <v/>
      </c>
      <c r="CJ394" s="85">
        <f>IF(NOT(AND($A394&lt;&gt;"",$C394&lt;&gt;"DOOR ONLY")),"",TRIM(IFERROR(VLOOKUP($U394,CODES,2,FALSE),"")&amp;" "&amp;$BG394&amp;" "&amp;IFERROR(VLOOKUP($Z394,CODES,2,FALSE),"")&amp;" "&amp;IFERROR(VLOOKUP($X394,CODES,2,FALSE),"")&amp;" "&amp;IFERROR(VLOOKUP($S394,CODES,2,FALSE),"")&amp;IF(N($P394)&gt;0," w/TRANSOM "&amp;$P394&amp;CHAR(34),"")&amp;IF(N($Q394)&gt;0," w/SIDELITE "&amp;$Q394&amp;CHAR(34)&amp;" "&amp;IF($R394="","R",$R394),"")&amp;IF($Y394="","  |  "," | "&amp;IFERROR(VLOOKUP($Y394,CODES,2,FALSE),"")&amp;" | ")&amp;IFERROR(VLOOKUP($AC394,CODES,2,FALSE),"")&amp;" "&amp;IFERROR(VLOOKUP($AD394,CODES,2,FALSE),"")&amp;IF(OR($AE394="",$AE394="-"),""," "&amp;$AE394)&amp;IF(OR($AF394="",$AF394="-"),""," "&amp;$AF394)&amp;IF($AB394="Y"," 4"&amp;CHAR(34)&amp;" HEAD","")&amp;" "&amp;IFERROR(VLOOKUP($H394,CODES,2,FALSE),"")&amp;IF($CT394," | LOC "&amp;$CY394,"")))</f>
        <v/>
      </c>
      <c r="CK394" s="85">
        <f>IF(NOT(AND($A394&lt;&gt;"",N($BJ394)&gt;0)),"",TRIM(IFERROR(VLOOKUP($AH394,CODES,2,FALSE),"")&amp;IF($AI394=""," "," "&amp;$AI394&amp;"GA ")&amp;$BG394&amp;" "&amp;IF($AN394="",IFERROR(VLOOKUP($Z394,CODES,2,FALSE),""),IFERROR(VLOOKUP($AN394,CODES,2,FALSE),""))&amp;IF($BJ394=2," PAIR","")&amp;" DOOR | "&amp;IF($AL394="","?",$AL394)&amp;" | "&amp;IF($AO394="",IFERROR(VLOOKUP($AC394,CODES,2,FALSE),""),IFERROR(VLOOKUP($AO394,CODES,2,FALSE),""))&amp;" "&amp;IFERROR(VLOOKUP($AP394,CODES,2,FALSE),"")&amp;IF(OR($AQ394="",$AQ394="-"),""," SEAM "&amp;$AQ394)&amp;IF($AR394="Y"," ASTRAGAL","")&amp;IF($AJ394=""," "," "&amp;$AJ394)&amp;IF($AK394=""," "," "&amp;$AK394)&amp;IF(OR($AT394="",$AT394="ANSI/SDI",$AT394="CUSTOM LOC"),""," "&amp;$AT394)&amp;IF($AM394=""," "," SERIES "&amp;$AM394)&amp;" "&amp;IFERROR(VLOOKUP($H394,CODES,2,FALSE),"")&amp;IF($CT394," | LOC "&amp;$CZ394,"")))</f>
        <v/>
      </c>
      <c r="CL394" s="84">
        <f>IF(CP394="","",IF(COUNTIF($CP$6:CP394,CP394)=1,MAX($CL$5:CL393)+1,INDEX($CL$5:CL393,MATCH(CP394,$CP$5:CP393,0))))</f>
        <v/>
      </c>
      <c r="CM394" s="84">
        <f>IF(NOT(AND($A394&lt;&gt;"",$C394&lt;&gt;"DOOR ONLY")),"",MAX($CM$5:CM393)+1)</f>
        <v/>
      </c>
      <c r="CN394" s="84">
        <f>IF(NOT(AND($A394&lt;&gt;"",N($BJ394)&gt;0)),"",MAX($CN$5:CN393)+1)</f>
        <v/>
      </c>
      <c r="CO394" s="84">
        <f>IF($A394="","",MAX($CO$5:CO393)+1)</f>
        <v/>
      </c>
      <c r="CP394" s="84">
        <f>IF(OR($A394="",$BH394="",$BI394=""),"",$BG394&amp;"|"&amp;$O394&amp;"|"&amp;$AL394&amp;"|"&amp;$S394&amp;"|"&amp;$P394&amp;"|"&amp;$Q394&amp;$R394&amp;"|"&amp;$C394&amp;"|"&amp;$AB394)</f>
        <v/>
      </c>
      <c r="CQ394" s="84">
        <f>N($BS394)</f>
        <v/>
      </c>
      <c r="CR394" s="84">
        <f>IF(N($AU394)&gt;0,N($AU394),4.5)</f>
        <v/>
      </c>
      <c r="CS394" s="84">
        <f>OR($A394="",$BI394="",$S394="BL",AND($C394="FRAME ONLY",OR($AC394="",$AC394="BLK")))</f>
        <v/>
      </c>
      <c r="CT394" s="84">
        <f>AND(NOT($CS394),OR($AT394="CUSTOM LOC",N($AW394)+N($AX394)+N($AY394)+N($AZ394)+N($BA394)&gt;0))</f>
        <v/>
      </c>
      <c r="CU394" s="84">
        <f>IF($BI394="","",IF($BI394&lt;=80,80,IF($BI394&lt;=84,84,96)))</f>
        <v/>
      </c>
      <c r="CV394" s="84">
        <f>ISNUMBER(MATCH($AT394&amp;"|80",LocKeys,0))</f>
        <v/>
      </c>
      <c r="CW394" s="86">
        <f>IF($CS394,"",IF($CV394,VLOOKUP($AT394&amp;"|"&amp;$CU394,LocTable,4,FALSE),5))</f>
        <v/>
      </c>
      <c r="CX394" s="86">
        <f>IF($CS394,"",IF($CV394,IF(OR($BI394=$CU394,AND($BI394&lt;$CU394,$BI394-IF(N(VLOOKUP($AT394&amp;"|"&amp;$CU394,LocTable,7,FALSE))&gt;0,VLOOKUP($AT394&amp;"|"&amp;$CU394,LocTable,7,FALSE),VLOOKUP($AT394&amp;"|"&amp;$CU394,LocTable,6,FALSE))-$CR394-0.75&gt;=2.125)),IF(N(VLOOKUP($AT394&amp;"|"&amp;$CU394,LocTable,7,FALSE))&gt;0,VLOOKUP($AT394&amp;"|"&amp;$CU394,LocTable,7,FALSE),VLOOKUP($AT394&amp;"|"&amp;$CU394,LocTable,6,FALSE)),$BI394-($CU394-IF(N(VLOOKUP($AT394&amp;"|"&amp;$CU394,LocTable,7,FALSE))&gt;0,VLOOKUP($AT394&amp;"|"&amp;$CU394,LocTable,7,FALSE),VLOOKUP($AT394&amp;"|"&amp;$CU394,LocTable,6,FALSE)))),$BI394-10-$CR394))</f>
        <v/>
      </c>
      <c r="CY394" s="85">
        <f>IF($CS394,"",TRIM(IF(ISNUMBER($BU394),"A "&amp;TRIM(TEXT($BU394,"# ?/??"))&amp;CHAR(34)&amp;"  ","")&amp;IF(ISNUMBER($BV394),"B "&amp;TRIM(TEXT($BV394,"# ?/??"))&amp;CHAR(34)&amp;"  ","")&amp;IF(ISNUMBER($BW394),"C "&amp;TRIM(TEXT($BW394,"# ?/??"))&amp;CHAR(34)&amp;"  ","")&amp;IF(ISNUMBER($BX394),"D "&amp;TRIM(TEXT($BX394,"# ?/??"))&amp;CHAR(34)&amp;"  ","")&amp;IF(ISNUMBER($BY394),"F "&amp;TRIM(TEXT($BY394,"# ?/??"))&amp;CHAR(34)&amp;"  ","")&amp;IF(ISNUMBER($BZ394),"E "&amp;TRIM(TEXT($BZ394,"# ?/??"))&amp;CHAR(34)&amp;"  ","")))</f>
        <v/>
      </c>
      <c r="CZ394" s="85">
        <f>IF(OR($CS394,N($BJ394)=0),"",TRIM(IF(ISNUMBER($BU394),"A "&amp;TRIM(TEXT($BU394-HeadClr,"# ?/??"))&amp;CHAR(34)&amp;"  ","")&amp;IF(ISNUMBER($BV394),"B "&amp;TRIM(TEXT($BV394-HeadClr,"# ?/??"))&amp;CHAR(34)&amp;"  ","")&amp;IF(ISNUMBER($BW394),"C "&amp;TRIM(TEXT($BW394-HeadClr,"# ?/??"))&amp;CHAR(34)&amp;"  ","")&amp;IF(ISNUMBER($BX394),"D "&amp;TRIM(TEXT($BX394-HeadClr,"# ?/??"))&amp;CHAR(34)&amp;"  ","")&amp;IF(ISNUMBER($BY394),"F "&amp;TRIM(TEXT($BY394-HeadClr,"# ?/??"))&amp;CHAR(34)&amp;"  ","")&amp;IF(ISNUMBER($BZ394),"E "&amp;TRIM(TEXT($BZ394-HeadClr,"# ?/??"))&amp;CHAR(34)&amp;"  ","")))</f>
        <v/>
      </c>
      <c r="DA394" s="84">
        <f>IF($A394="","",IF($AN394="",IFERROR(VLOOKUP($Z394,CODES,2,FALSE),""),IFERROR(VLOOKUP($AN394,CODES,2,FALSE),"")))</f>
        <v/>
      </c>
      <c r="DB394" s="84">
        <f>IF($A394="","",IF($O394="Y","PR",IF(OR($Z394="L",$Z394="RR",LEFT($Z394,2)="L-",LEFT($Z394,3)="RR-"),"LH","RH")))</f>
        <v/>
      </c>
      <c r="DC394" s="84">
        <f>IF($A394="","","S.HM"&amp;IF(OR($C394="DOOR ONLY",$X394&lt;&gt;"KD"),"MASONRY","DRYWALL")&amp;IF($C394="DOOR ONLY","",$U394)&amp;IF(AND($C394&lt;&gt;"FRAME ONLY",OR(LEFT($AH394,3)="OAK",LEFT($AH394,3)="BIR",LEFT($AH394,3)="MAP",$AH394="PC",$AH394="MC",$AH394="SCLC",$AH394="P-LAM")),"WD","HM")&amp;"1.75")</f>
        <v/>
      </c>
      <c r="DD394" s="84">
        <f>IF($CJ394="","",IF($O394="Y",$CJ394,SUBSTITUTE($CJ394,$BG394&amp;" "&amp;IFERROR(VLOOKUP($Z394,CODES,2,FALSE),"")&amp;" ",$BG394&amp;" ")))</f>
        <v/>
      </c>
      <c r="DE394" s="84">
        <f>IF($CK394="","",IF($O394="Y",$CK394,SUBSTITUTE($CK394,$BG394&amp;" "&amp;IF($AN394="",IFERROR(VLOOKUP($Z394,CODES,2,FALSE),""),IFERROR(VLOOKUP($AN394,CODES,2,FALSE),""))&amp;" ",$BG394&amp;" ")))</f>
        <v/>
      </c>
      <c r="DF394" s="84">
        <f>IF($CJ394="","",$DC394&amp;"|"&amp;$DD394&amp;"|"&amp;$DB394&amp;"|"&amp;$AT394&amp;"|"&amp;$V394&amp;"|"&amp;$Y394&amp;"|"&amp;$AB394)</f>
        <v/>
      </c>
      <c r="DG394" s="84">
        <f>IF(DF394="","",IF(COUNTIF($DF$6:DF394,DF394)=1,MAX($DG$5:DG393)+1,INDEX($DG$5:DG393,MATCH(DF394,$DF$5:DF393,0))))</f>
        <v/>
      </c>
      <c r="DH394" s="84">
        <f>IF($CK394="","",$DC394&amp;"|"&amp;$DE394&amp;"|"&amp;$AI394&amp;"|"&amp;$BK394&amp;"|"&amp;$BL394)</f>
        <v/>
      </c>
      <c r="DI394" s="84">
        <f>IF(DH394="","",IF(COUNTIF($DH$6:DH394,DH394)=1,MAX($DI$5:DI393)+1,INDEX($DI$5:DI393,MATCH(DH394,$DH$5:DH393,0))))</f>
        <v/>
      </c>
      <c r="DJ394" s="84">
        <f>IF($A394="","",IF($B394="","qty, ","")&amp;IF($C394="","scope, ","")&amp;IF(OR($K394="",$M394=""),"size, ","")&amp;IF(AND($A394&lt;&gt;"",$C394&lt;&gt;"DOOR ONLY"),IF($U394="","jamb depth, ","")&amp;IF($X394="","construction, ","")&amp;IF($Y394="","anchor, ","")&amp;IF($S394="","frame type, ",""),"")&amp;IF(AND(N($BJ394)&gt;0,$Z394=""),"hand, ","")&amp;IF(N($BJ394)&gt;0,IF($AH394="","door material, ","")&amp;IF($AL394="","face type, ","")&amp;IF($AP394="","lock prep, ","")&amp;IF(AND($AO394="",$AC394=""),"hinge prep, ",""),"")&amp;IF(AND($CH394&gt;0,$AH394="FRP"),"FRP cannot carry a label, ","")&amp;IF(AND($O394="Y",OR($Z394="L",$Z394="R",$Z394="LR",$Z394="RR")),"pair marked but hand is single, ","")&amp;IF(AND($O394&lt;&gt;"Y",OR($Z394="PR",AND(LEN($Z394)&gt;1,ISNUMBER(SEARCH("-",$Z394))))),"pair hand on a single door, ","")&amp;IF(AND(ISNUMBER($CI394),$CH394&lt;N($CI394)),"wall needs a "&amp;$CI394&amp;" min door, ","")&amp;IF(AND($CH394&gt;=180,AND(OR($CE394="FG",$CE394="HG",$CE394="FNV",$CE394="FV"),N($CF394)*N($CG394)&gt;100)),"180 min lite over 100 sq in, ","")&amp;IF(N($BK394)&gt;48,"leaf wider than 4'-0"&amp;CHAR(34)&amp;", ","")&amp;IF(AND($CT394,COUNT($AW394:$AZ394)=0,$CQ394&gt;0),"CUSTOM LOC with no locations typed, ",""))</f>
        <v/>
      </c>
      <c r="DK394" s="84">
        <f>IF($A394="","",IF(AND($CH394&gt;0,AND($A394&lt;&gt;"",$C394&lt;&gt;"DOOR ONLY"),$X394="KD",$E394="EXTERIOR"),"KD label on an exterior opening, ","")&amp;IF(AND($E394="EXTERIOR",OR(AND(AND($A394&lt;&gt;"",$C394&lt;&gt;"DOOR ONLY"),$W394="CR"),AND(N($BJ394)&gt;0,$AH394="CR"))),"exterior in CR steel (G9?), ","")&amp;IF(AND(ISNUMBER($BQ394),N($BQ394)&lt;32),"clear width ~"&amp;TEXT($BQ394,"0.0")&amp;CHAR(34)&amp;" under 32"&amp;CHAR(34)&amp;" (ADA), ","")&amp;IF(AND($CH394=90,AND(OR($CE394="FG",$CE394="HG",$CE394="FNV",$CE394="FV"),N($CF394)*N($CG394)&gt;100)),"90 min lite over 100 sq in (stair/exit), ","")&amp;IF(AND($CH394&gt;0,AND($A394&lt;&gt;"",$C394&lt;&gt;"DOOR ONLY"),OR($AF394="",$AF394="-")),"rated: closer reinf.?, ","")&amp;IF(OR($I394="CORRIDOR",$I394="SMOKE BARRIER"),"S label + smoke gasketing, ","")&amp;IF($CI394="?","wall type/hr not in IBC table, ","")&amp;IF(AND(N($BJ394)&gt;0,$BB394=""),"no hardware set, ","")&amp;IF(AND($BB394&lt;&gt;"",ISNA(MATCH($BB394&amp;"",HWSets,0))),"set "&amp;$BB394&amp;" not on HW Sets, ","")&amp;IF(N($BL394)&gt;96,"leaf over 8'-0"&amp;CHAR(34)&amp;" - check listing, ","")&amp;IF(AND($CT394,COUNT($AW394:$AZ394)&gt;0,COUNT($AW394:$AZ394)&lt;&gt;$CQ394),COUNT($AW394:$AZ394)&amp;" custom hinges typed, "&amp;$CQ394&amp;" expected, ","")&amp;IF(AND(ISNUMBER($CA394),OR(N($CA394)&lt;34,N($CA394)&gt;48)),"lock "&amp;TEXT($CA394,"0.0")&amp;CHAR(34)&amp;" AFF outside 34-48"&amp;CHAR(34)&amp;" (ADA), ","")&amp;IF(AND(ISNUMBER($AV394),ISNUMBER($BL394),N($AV394)&lt;IF(N($BL394)&lt;=60,2,IF(N($BL394)&lt;=90,3,IF(N($BL394)&lt;=120,4,5)))),"fewer hinges than standard, ",""))</f>
        <v/>
      </c>
    </row>
    <row r="395" ht="15" customHeight="1">
      <c r="A395" s="92" t="n"/>
      <c r="B395" s="93" t="n"/>
      <c r="C395" s="93" t="n"/>
      <c r="D395" s="93" t="n"/>
      <c r="E395" s="93" t="n"/>
      <c r="F395" s="93" t="n"/>
      <c r="G395" s="93" t="n"/>
      <c r="H395" s="93" t="n"/>
      <c r="I395" s="93" t="n"/>
      <c r="J395" s="93" t="n"/>
      <c r="K395" s="93" t="n"/>
      <c r="L395" s="93" t="n"/>
      <c r="M395" s="93" t="n"/>
      <c r="N395" s="93" t="n"/>
      <c r="O395" s="93" t="n"/>
      <c r="P395" s="93" t="n"/>
      <c r="Q395" s="93" t="n"/>
      <c r="R395" s="93" t="n"/>
      <c r="S395" s="94" t="n"/>
      <c r="T395" s="94" t="n"/>
      <c r="U395" s="94" t="n"/>
      <c r="V395" s="94" t="n"/>
      <c r="W395" s="94" t="n"/>
      <c r="X395" s="94" t="n"/>
      <c r="Y395" s="94" t="n"/>
      <c r="Z395" s="94" t="n"/>
      <c r="AA395" s="94" t="n"/>
      <c r="AB395" s="94" t="n"/>
      <c r="AC395" s="94" t="n"/>
      <c r="AD395" s="94" t="n"/>
      <c r="AE395" s="94" t="n"/>
      <c r="AF395" s="94" t="n"/>
      <c r="AG395" s="94" t="n"/>
      <c r="AH395" s="95" t="n"/>
      <c r="AI395" s="95" t="n"/>
      <c r="AJ395" s="95" t="n"/>
      <c r="AK395" s="95" t="n"/>
      <c r="AL395" s="95" t="n"/>
      <c r="AM395" s="95" t="n"/>
      <c r="AN395" s="95" t="n"/>
      <c r="AO395" s="95" t="n"/>
      <c r="AP395" s="95" t="n"/>
      <c r="AQ395" s="95" t="n"/>
      <c r="AR395" s="95" t="n"/>
      <c r="AS395" s="95" t="n"/>
      <c r="AT395" s="96" t="n"/>
      <c r="AU395" s="96" t="n"/>
      <c r="AV395" s="96" t="n"/>
      <c r="AW395" s="97" t="n"/>
      <c r="AX395" s="97" t="n"/>
      <c r="AY395" s="97" t="n"/>
      <c r="AZ395" s="97" t="n"/>
      <c r="BA395" s="97" t="n"/>
      <c r="BB395" s="98" t="n"/>
      <c r="BC395" s="98" t="n"/>
      <c r="BD395" s="99">
        <f>IF($A395="","",IF($DJ395&lt;&gt;"","FIX",IF($DK395&lt;&gt;"","CHECK","OK")))</f>
        <v/>
      </c>
      <c r="BE395" s="100">
        <f>IF($A395="","",IF($DJ395&lt;&gt;"","FIX: "&amp;LEFT($DJ395,LEN($DJ395)-2)&amp;IF($DK395&lt;&gt;"","  ·  ",""),"")&amp;IF($DK395&lt;&gt;"","CHECK: "&amp;LEFT($DK395,LEN($DK395)-2),""))</f>
        <v/>
      </c>
      <c r="BF395" s="99">
        <f>IF(OR($A395="",$K395=""),"",$K395&amp;"'-"&amp;N($L395)&amp;CHAR(34)&amp;" x "&amp;$M395&amp;"'-"&amp;N($N395)&amp;CHAR(34))</f>
        <v/>
      </c>
      <c r="BG395" s="99">
        <f>IF(OR($A395="",$K395=""),"",$K395&amp;N($L395)&amp;$M395&amp;N($N395))</f>
        <v/>
      </c>
      <c r="BH395" s="99">
        <f>IF(OR($A395="",$K395=""),"",$K395*12+N($L395))</f>
        <v/>
      </c>
      <c r="BI395" s="99">
        <f>IF(OR($A395="",$M395=""),"",$M395*12+N($N395))</f>
        <v/>
      </c>
      <c r="BJ395" s="99">
        <f>IF($A395="","",IF(OR($C395="FRAME ONLY",$S395="BL"),0,IF($O395="Y",2,1)))</f>
        <v/>
      </c>
      <c r="BK395" s="101">
        <f>IF(OR(N($BJ395)=0,$BH395=""),"",($BH395-2*EdgeClr-IF($BJ395=2,MeetClr,0))/$BJ395)</f>
        <v/>
      </c>
      <c r="BL395" s="101">
        <f>IF(OR(N($BJ395)=0,$BI395=""),"",$BI395-HeadClr-Undercut)</f>
        <v/>
      </c>
      <c r="BM395" s="101">
        <f>IF($BH395="","",$BH395+2*FaceW+IF(N($Q395)&gt;0,($Q395+FaceW)*IF($R395="LR",2,1),0))</f>
        <v/>
      </c>
      <c r="BN395" s="101">
        <f>IF($BI395="","",$BI395+IF($AB395="Y",4,FaceW)+IF(N($P395)&gt;0,$P395+FaceW,0)+IF(OR($S395="4F",$S395="BL"),FaceW,0))</f>
        <v/>
      </c>
      <c r="BO395" s="101">
        <f>IF($BM395="","",$BM395+2*ROSide)</f>
        <v/>
      </c>
      <c r="BP395" s="101">
        <f>IF($BN395="","",$BN395+ROTop)</f>
        <v/>
      </c>
      <c r="BQ395" s="102">
        <f>IF(OR(N($BJ395)=0,$BH395=""),"",$BH395/$BJ395-ClearDeduct)</f>
        <v/>
      </c>
      <c r="BR395" s="99">
        <f>IF(N($CH395)=0,"",IF($CH395&gt;=180,"A · 3 HR",IF($CH395&gt;=90,"B · 1-1/2 HR",IF($CH395&gt;=60,"B · 1 HR",IF($CH395&gt;=45,"C · 3/4 HR","20 MIN")))))&amp;IF(AND(N($CH395)&gt;0,OR($I395="CORRIDOR",$I395="SMOKE BARRIER"))," · S","")</f>
        <v/>
      </c>
      <c r="BS395" s="99">
        <f>IF($CS395,"",IF($AV395&lt;&gt;"",$AV395,IF(OR($AC395="HGC",$AO395="HGC"),"CONT",IF(($BI395-HeadClr-Undercut)&lt;=60,2,IF(($BI395-HeadClr-Undercut)&lt;=90,3,IF(($BI395-HeadClr-Undercut)&lt;=120,4,5))))))</f>
        <v/>
      </c>
      <c r="BT395" s="99">
        <f>IF($CS395,"",IF($CT395,"CUSTOM (typed)",IF($CV395,$AT395&amp;" "&amp;$CU395&amp;CHAR(34)&amp;IF($CU395&lt;&gt;$BI395,IF(AND($BI395&lt;$CU395,$BI395-IF(N(VLOOKUP($AT395&amp;"|"&amp;$CU395,LocTable,7,FALSE))&gt;0,VLOOKUP($AT395&amp;"|"&amp;$CU395,LocTable,7,FALSE),VLOOKUP($AT395&amp;"|"&amp;$CU395,LocTable,6,FALSE))-$CR395-0.75&gt;=2.125)," cut down"," adj."),""),"ANSI/SDI A250.6")))</f>
        <v/>
      </c>
      <c r="BU395" s="103">
        <f>IF($CS395,"",IF($CT395,IF(N($AW395)&gt;0,N($AW395),""),IF(1&gt;$CQ395,"",IF($CQ395=1,$CW395,$CW395+($CX395-$CW395)*0/($CQ395-1)))))</f>
        <v/>
      </c>
      <c r="BV395" s="103">
        <f>IF($CS395,"",IF($CT395,IF(N($AX395)&gt;0,N($AX395),""),IF(2&gt;$CQ395,"",IF($CQ395=1,$CW395,$CW395+($CX395-$CW395)*1/($CQ395-1)))))</f>
        <v/>
      </c>
      <c r="BW395" s="103">
        <f>IF($CS395,"",IF($CT395,IF(N($AY395)&gt;0,N($AY395),""),IF(3&gt;$CQ395,"",IF($CQ395=1,$CW395,$CW395+($CX395-$CW395)*2/($CQ395-1)))))</f>
        <v/>
      </c>
      <c r="BX395" s="103">
        <f>IF($CS395,"",IF($CT395,IF(N($AZ395)&gt;0,N($AZ395),""),IF(4&gt;$CQ395,"",IF($CQ395=1,$CW395,$CW395+($CX395-$CW395)*3/($CQ395-1)))))</f>
        <v/>
      </c>
      <c r="BY395" s="103">
        <f>IF($CS395,"",IF($CT395,"",IF(5&gt;$CQ395,"",IF($CQ395=1,$CW395,$CW395+($CX395-$CW395)*4/($CQ395-1)))))</f>
        <v/>
      </c>
      <c r="BZ395" s="103">
        <f>IF(OR($CS395,$AP395="-",AND($AP395="",$AD395="")),"",IF(N($BA395)&gt;0,N($BA395),IF($CV395,IF(AND($BI395&lt;$CU395,$BI395-IF(N(VLOOKUP($AT395&amp;"|"&amp;$CU395,LocTable,7,FALSE))&gt;0,VLOOKUP($AT395&amp;"|"&amp;$CU395,LocTable,7,FALSE),VLOOKUP($AT395&amp;"|"&amp;$CU395,LocTable,6,FALSE))-$CR395-0.75&gt;=2.125),VLOOKUP($AT395&amp;"|"&amp;$CU395,LocTable,8,FALSE),VLOOKUP($AT395&amp;"|"&amp;$CU395,LocTable,8,FALSE)+($BI395-$CU395)),$BI395-LockAFF)))</f>
        <v/>
      </c>
      <c r="CA395" s="104">
        <f>IF($BZ395="","",$BI395-$BZ395)</f>
        <v/>
      </c>
      <c r="CB395" s="99">
        <f>IF(OR(NOT(AND($A395&lt;&gt;"",$C395&lt;&gt;"DOOR ONLY")),$BI395=""),"",IF(($BI395+IF(N($P395)&gt;0,$P395+FaceW,0))&lt;=90,3,IF(($BI395+IF(N($P395)&gt;0,$P395+FaceW,0))&lt;=114,4,5)))</f>
        <v/>
      </c>
      <c r="CC395" s="99">
        <f>IF($CB395="","",$CB395*(2+IF(N($Q395)&gt;0,IF($R395="LR",2,1),0)))</f>
        <v/>
      </c>
      <c r="CD395" s="99">
        <f>IF($CB395="","",(2+IF(N($Q395)&gt;0,IF($R395="LR",2,1),0)))</f>
        <v/>
      </c>
      <c r="CE395" s="99">
        <f>IF(N($BJ395)=0,"",IF(OR($AL395="",$AL395="FLUSH"),"FLUSH",IFERROR(LEFT($AL395,FIND("-",$AL395)-1),LEFT($AL395,2))))</f>
        <v/>
      </c>
      <c r="CF395" s="99">
        <f>IF($CE395="","",IFERROR(VALUE(MID($AL395,FIND("-",$AL395)+1,FIND(CHAR(34)&amp;"x",$AL395)-FIND("-",$AL395)-1)),0))</f>
        <v/>
      </c>
      <c r="CG395" s="99">
        <f>IF($CE395="","",IFERROR(VALUE(MID($AL395,FIND(CHAR(34)&amp;"x",$AL395)+2,FIND(CHAR(34),$AL395,FIND(CHAR(34)&amp;"x",$AL395)+2)-FIND(CHAR(34)&amp;"x",$AL395)-2)),0))</f>
        <v/>
      </c>
      <c r="CH395" s="105">
        <f>IF(OR($A395="",$H395="",$H395="NO LAB"),0,IFERROR(VALUE(LEFT($H395,FIND(" ",$H395)-1)),0))</f>
        <v/>
      </c>
      <c r="CI395" s="106">
        <f>IF(OR($A395="",$I395="",$I395="NON-RATED",N($J395)=0),"",IFERROR(VLOOKUP($I395&amp;"|"&amp;$J395,IBC,2,FALSE),"?"))</f>
        <v/>
      </c>
      <c r="CJ395" s="100">
        <f>IF(NOT(AND($A395&lt;&gt;"",$C395&lt;&gt;"DOOR ONLY")),"",TRIM(IFERROR(VLOOKUP($U395,CODES,2,FALSE),"")&amp;" "&amp;$BG395&amp;" "&amp;IFERROR(VLOOKUP($Z395,CODES,2,FALSE),"")&amp;" "&amp;IFERROR(VLOOKUP($X395,CODES,2,FALSE),"")&amp;" "&amp;IFERROR(VLOOKUP($S395,CODES,2,FALSE),"")&amp;IF(N($P395)&gt;0," w/TRANSOM "&amp;$P395&amp;CHAR(34),"")&amp;IF(N($Q395)&gt;0," w/SIDELITE "&amp;$Q395&amp;CHAR(34)&amp;" "&amp;IF($R395="","R",$R395),"")&amp;IF($Y395="","  |  "," | "&amp;IFERROR(VLOOKUP($Y395,CODES,2,FALSE),"")&amp;" | ")&amp;IFERROR(VLOOKUP($AC395,CODES,2,FALSE),"")&amp;" "&amp;IFERROR(VLOOKUP($AD395,CODES,2,FALSE),"")&amp;IF(OR($AE395="",$AE395="-"),""," "&amp;$AE395)&amp;IF(OR($AF395="",$AF395="-"),""," "&amp;$AF395)&amp;IF($AB395="Y"," 4"&amp;CHAR(34)&amp;" HEAD","")&amp;" "&amp;IFERROR(VLOOKUP($H395,CODES,2,FALSE),"")&amp;IF($CT395," | LOC "&amp;$CY395,"")))</f>
        <v/>
      </c>
      <c r="CK395" s="100">
        <f>IF(NOT(AND($A395&lt;&gt;"",N($BJ395)&gt;0)),"",TRIM(IFERROR(VLOOKUP($AH395,CODES,2,FALSE),"")&amp;IF($AI395=""," "," "&amp;$AI395&amp;"GA ")&amp;$BG395&amp;" "&amp;IF($AN395="",IFERROR(VLOOKUP($Z395,CODES,2,FALSE),""),IFERROR(VLOOKUP($AN395,CODES,2,FALSE),""))&amp;IF($BJ395=2," PAIR","")&amp;" DOOR | "&amp;IF($AL395="","?",$AL395)&amp;" | "&amp;IF($AO395="",IFERROR(VLOOKUP($AC395,CODES,2,FALSE),""),IFERROR(VLOOKUP($AO395,CODES,2,FALSE),""))&amp;" "&amp;IFERROR(VLOOKUP($AP395,CODES,2,FALSE),"")&amp;IF(OR($AQ395="",$AQ395="-"),""," SEAM "&amp;$AQ395)&amp;IF($AR395="Y"," ASTRAGAL","")&amp;IF($AJ395=""," "," "&amp;$AJ395)&amp;IF($AK395=""," "," "&amp;$AK395)&amp;IF(OR($AT395="",$AT395="ANSI/SDI",$AT395="CUSTOM LOC"),""," "&amp;$AT395)&amp;IF($AM395=""," "," SERIES "&amp;$AM395)&amp;" "&amp;IFERROR(VLOOKUP($H395,CODES,2,FALSE),"")&amp;IF($CT395," | LOC "&amp;$CZ395,"")))</f>
        <v/>
      </c>
      <c r="CL395" s="99">
        <f>IF(CP395="","",IF(COUNTIF($CP$6:CP395,CP395)=1,MAX($CL$5:CL394)+1,INDEX($CL$5:CL394,MATCH(CP395,$CP$5:CP394,0))))</f>
        <v/>
      </c>
      <c r="CM395" s="99">
        <f>IF(NOT(AND($A395&lt;&gt;"",$C395&lt;&gt;"DOOR ONLY")),"",MAX($CM$5:CM394)+1)</f>
        <v/>
      </c>
      <c r="CN395" s="99">
        <f>IF(NOT(AND($A395&lt;&gt;"",N($BJ395)&gt;0)),"",MAX($CN$5:CN394)+1)</f>
        <v/>
      </c>
      <c r="CO395" s="99">
        <f>IF($A395="","",MAX($CO$5:CO394)+1)</f>
        <v/>
      </c>
      <c r="CP395" s="99">
        <f>IF(OR($A395="",$BH395="",$BI395=""),"",$BG395&amp;"|"&amp;$O395&amp;"|"&amp;$AL395&amp;"|"&amp;$S395&amp;"|"&amp;$P395&amp;"|"&amp;$Q395&amp;$R395&amp;"|"&amp;$C395&amp;"|"&amp;$AB395)</f>
        <v/>
      </c>
      <c r="CQ395" s="99">
        <f>N($BS395)</f>
        <v/>
      </c>
      <c r="CR395" s="99">
        <f>IF(N($AU395)&gt;0,N($AU395),4.5)</f>
        <v/>
      </c>
      <c r="CS395" s="99">
        <f>OR($A395="",$BI395="",$S395="BL",AND($C395="FRAME ONLY",OR($AC395="",$AC395="BLK")))</f>
        <v/>
      </c>
      <c r="CT395" s="99">
        <f>AND(NOT($CS395),OR($AT395="CUSTOM LOC",N($AW395)+N($AX395)+N($AY395)+N($AZ395)+N($BA395)&gt;0))</f>
        <v/>
      </c>
      <c r="CU395" s="99">
        <f>IF($BI395="","",IF($BI395&lt;=80,80,IF($BI395&lt;=84,84,96)))</f>
        <v/>
      </c>
      <c r="CV395" s="99">
        <f>ISNUMBER(MATCH($AT395&amp;"|80",LocKeys,0))</f>
        <v/>
      </c>
      <c r="CW395" s="101">
        <f>IF($CS395,"",IF($CV395,VLOOKUP($AT395&amp;"|"&amp;$CU395,LocTable,4,FALSE),5))</f>
        <v/>
      </c>
      <c r="CX395" s="101">
        <f>IF($CS395,"",IF($CV395,IF(OR($BI395=$CU395,AND($BI395&lt;$CU395,$BI395-IF(N(VLOOKUP($AT395&amp;"|"&amp;$CU395,LocTable,7,FALSE))&gt;0,VLOOKUP($AT395&amp;"|"&amp;$CU395,LocTable,7,FALSE),VLOOKUP($AT395&amp;"|"&amp;$CU395,LocTable,6,FALSE))-$CR395-0.75&gt;=2.125)),IF(N(VLOOKUP($AT395&amp;"|"&amp;$CU395,LocTable,7,FALSE))&gt;0,VLOOKUP($AT395&amp;"|"&amp;$CU395,LocTable,7,FALSE),VLOOKUP($AT395&amp;"|"&amp;$CU395,LocTable,6,FALSE)),$BI395-($CU395-IF(N(VLOOKUP($AT395&amp;"|"&amp;$CU395,LocTable,7,FALSE))&gt;0,VLOOKUP($AT395&amp;"|"&amp;$CU395,LocTable,7,FALSE),VLOOKUP($AT395&amp;"|"&amp;$CU395,LocTable,6,FALSE)))),$BI395-10-$CR395))</f>
        <v/>
      </c>
      <c r="CY395" s="100">
        <f>IF($CS395,"",TRIM(IF(ISNUMBER($BU395),"A "&amp;TRIM(TEXT($BU395,"# ?/??"))&amp;CHAR(34)&amp;"  ","")&amp;IF(ISNUMBER($BV395),"B "&amp;TRIM(TEXT($BV395,"# ?/??"))&amp;CHAR(34)&amp;"  ","")&amp;IF(ISNUMBER($BW395),"C "&amp;TRIM(TEXT($BW395,"# ?/??"))&amp;CHAR(34)&amp;"  ","")&amp;IF(ISNUMBER($BX395),"D "&amp;TRIM(TEXT($BX395,"# ?/??"))&amp;CHAR(34)&amp;"  ","")&amp;IF(ISNUMBER($BY395),"F "&amp;TRIM(TEXT($BY395,"# ?/??"))&amp;CHAR(34)&amp;"  ","")&amp;IF(ISNUMBER($BZ395),"E "&amp;TRIM(TEXT($BZ395,"# ?/??"))&amp;CHAR(34)&amp;"  ","")))</f>
        <v/>
      </c>
      <c r="CZ395" s="100">
        <f>IF(OR($CS395,N($BJ395)=0),"",TRIM(IF(ISNUMBER($BU395),"A "&amp;TRIM(TEXT($BU395-HeadClr,"# ?/??"))&amp;CHAR(34)&amp;"  ","")&amp;IF(ISNUMBER($BV395),"B "&amp;TRIM(TEXT($BV395-HeadClr,"# ?/??"))&amp;CHAR(34)&amp;"  ","")&amp;IF(ISNUMBER($BW395),"C "&amp;TRIM(TEXT($BW395-HeadClr,"# ?/??"))&amp;CHAR(34)&amp;"  ","")&amp;IF(ISNUMBER($BX395),"D "&amp;TRIM(TEXT($BX395-HeadClr,"# ?/??"))&amp;CHAR(34)&amp;"  ","")&amp;IF(ISNUMBER($BY395),"F "&amp;TRIM(TEXT($BY395-HeadClr,"# ?/??"))&amp;CHAR(34)&amp;"  ","")&amp;IF(ISNUMBER($BZ395),"E "&amp;TRIM(TEXT($BZ395-HeadClr,"# ?/??"))&amp;CHAR(34)&amp;"  ","")))</f>
        <v/>
      </c>
      <c r="DA395" s="99">
        <f>IF($A395="","",IF($AN395="",IFERROR(VLOOKUP($Z395,CODES,2,FALSE),""),IFERROR(VLOOKUP($AN395,CODES,2,FALSE),"")))</f>
        <v/>
      </c>
      <c r="DB395" s="99">
        <f>IF($A395="","",IF($O395="Y","PR",IF(OR($Z395="L",$Z395="RR",LEFT($Z395,2)="L-",LEFT($Z395,3)="RR-"),"LH","RH")))</f>
        <v/>
      </c>
      <c r="DC395" s="99">
        <f>IF($A395="","","S.HM"&amp;IF(OR($C395="DOOR ONLY",$X395&lt;&gt;"KD"),"MASONRY","DRYWALL")&amp;IF($C395="DOOR ONLY","",$U395)&amp;IF(AND($C395&lt;&gt;"FRAME ONLY",OR(LEFT($AH395,3)="OAK",LEFT($AH395,3)="BIR",LEFT($AH395,3)="MAP",$AH395="PC",$AH395="MC",$AH395="SCLC",$AH395="P-LAM")),"WD","HM")&amp;"1.75")</f>
        <v/>
      </c>
      <c r="DD395" s="99">
        <f>IF($CJ395="","",IF($O395="Y",$CJ395,SUBSTITUTE($CJ395,$BG395&amp;" "&amp;IFERROR(VLOOKUP($Z395,CODES,2,FALSE),"")&amp;" ",$BG395&amp;" ")))</f>
        <v/>
      </c>
      <c r="DE395" s="99">
        <f>IF($CK395="","",IF($O395="Y",$CK395,SUBSTITUTE($CK395,$BG395&amp;" "&amp;IF($AN395="",IFERROR(VLOOKUP($Z395,CODES,2,FALSE),""),IFERROR(VLOOKUP($AN395,CODES,2,FALSE),""))&amp;" ",$BG395&amp;" ")))</f>
        <v/>
      </c>
      <c r="DF395" s="99">
        <f>IF($CJ395="","",$DC395&amp;"|"&amp;$DD395&amp;"|"&amp;$DB395&amp;"|"&amp;$AT395&amp;"|"&amp;$V395&amp;"|"&amp;$Y395&amp;"|"&amp;$AB395)</f>
        <v/>
      </c>
      <c r="DG395" s="99">
        <f>IF(DF395="","",IF(COUNTIF($DF$6:DF395,DF395)=1,MAX($DG$5:DG394)+1,INDEX($DG$5:DG394,MATCH(DF395,$DF$5:DF394,0))))</f>
        <v/>
      </c>
      <c r="DH395" s="99">
        <f>IF($CK395="","",$DC395&amp;"|"&amp;$DE395&amp;"|"&amp;$AI395&amp;"|"&amp;$BK395&amp;"|"&amp;$BL395)</f>
        <v/>
      </c>
      <c r="DI395" s="99">
        <f>IF(DH395="","",IF(COUNTIF($DH$6:DH395,DH395)=1,MAX($DI$5:DI394)+1,INDEX($DI$5:DI394,MATCH(DH395,$DH$5:DH394,0))))</f>
        <v/>
      </c>
      <c r="DJ395" s="99">
        <f>IF($A395="","",IF($B395="","qty, ","")&amp;IF($C395="","scope, ","")&amp;IF(OR($K395="",$M395=""),"size, ","")&amp;IF(AND($A395&lt;&gt;"",$C395&lt;&gt;"DOOR ONLY"),IF($U395="","jamb depth, ","")&amp;IF($X395="","construction, ","")&amp;IF($Y395="","anchor, ","")&amp;IF($S395="","frame type, ",""),"")&amp;IF(AND(N($BJ395)&gt;0,$Z395=""),"hand, ","")&amp;IF(N($BJ395)&gt;0,IF($AH395="","door material, ","")&amp;IF($AL395="","face type, ","")&amp;IF($AP395="","lock prep, ","")&amp;IF(AND($AO395="",$AC395=""),"hinge prep, ",""),"")&amp;IF(AND($CH395&gt;0,$AH395="FRP"),"FRP cannot carry a label, ","")&amp;IF(AND($O395="Y",OR($Z395="L",$Z395="R",$Z395="LR",$Z395="RR")),"pair marked but hand is single, ","")&amp;IF(AND($O395&lt;&gt;"Y",OR($Z395="PR",AND(LEN($Z395)&gt;1,ISNUMBER(SEARCH("-",$Z395))))),"pair hand on a single door, ","")&amp;IF(AND(ISNUMBER($CI395),$CH395&lt;N($CI395)),"wall needs a "&amp;$CI395&amp;" min door, ","")&amp;IF(AND($CH395&gt;=180,AND(OR($CE395="FG",$CE395="HG",$CE395="FNV",$CE395="FV"),N($CF395)*N($CG395)&gt;100)),"180 min lite over 100 sq in, ","")&amp;IF(N($BK395)&gt;48,"leaf wider than 4'-0"&amp;CHAR(34)&amp;", ","")&amp;IF(AND($CT395,COUNT($AW395:$AZ395)=0,$CQ395&gt;0),"CUSTOM LOC with no locations typed, ",""))</f>
        <v/>
      </c>
      <c r="DK395" s="99">
        <f>IF($A395="","",IF(AND($CH395&gt;0,AND($A395&lt;&gt;"",$C395&lt;&gt;"DOOR ONLY"),$X395="KD",$E395="EXTERIOR"),"KD label on an exterior opening, ","")&amp;IF(AND($E395="EXTERIOR",OR(AND(AND($A395&lt;&gt;"",$C395&lt;&gt;"DOOR ONLY"),$W395="CR"),AND(N($BJ395)&gt;0,$AH395="CR"))),"exterior in CR steel (G9?), ","")&amp;IF(AND(ISNUMBER($BQ395),N($BQ395)&lt;32),"clear width ~"&amp;TEXT($BQ395,"0.0")&amp;CHAR(34)&amp;" under 32"&amp;CHAR(34)&amp;" (ADA), ","")&amp;IF(AND($CH395=90,AND(OR($CE395="FG",$CE395="HG",$CE395="FNV",$CE395="FV"),N($CF395)*N($CG395)&gt;100)),"90 min lite over 100 sq in (stair/exit), ","")&amp;IF(AND($CH395&gt;0,AND($A395&lt;&gt;"",$C395&lt;&gt;"DOOR ONLY"),OR($AF395="",$AF395="-")),"rated: closer reinf.?, ","")&amp;IF(OR($I395="CORRIDOR",$I395="SMOKE BARRIER"),"S label + smoke gasketing, ","")&amp;IF($CI395="?","wall type/hr not in IBC table, ","")&amp;IF(AND(N($BJ395)&gt;0,$BB395=""),"no hardware set, ","")&amp;IF(AND($BB395&lt;&gt;"",ISNA(MATCH($BB395&amp;"",HWSets,0))),"set "&amp;$BB395&amp;" not on HW Sets, ","")&amp;IF(N($BL395)&gt;96,"leaf over 8'-0"&amp;CHAR(34)&amp;" - check listing, ","")&amp;IF(AND($CT395,COUNT($AW395:$AZ395)&gt;0,COUNT($AW395:$AZ395)&lt;&gt;$CQ395),COUNT($AW395:$AZ395)&amp;" custom hinges typed, "&amp;$CQ395&amp;" expected, ","")&amp;IF(AND(ISNUMBER($CA395),OR(N($CA395)&lt;34,N($CA395)&gt;48)),"lock "&amp;TEXT($CA395,"0.0")&amp;CHAR(34)&amp;" AFF outside 34-48"&amp;CHAR(34)&amp;" (ADA), ","")&amp;IF(AND(ISNUMBER($AV395),ISNUMBER($BL395),N($AV395)&lt;IF(N($BL395)&lt;=60,2,IF(N($BL395)&lt;=90,3,IF(N($BL395)&lt;=120,4,5)))),"fewer hinges than standard, ",""))</f>
        <v/>
      </c>
    </row>
    <row r="396" ht="15" customHeight="1">
      <c r="A396" s="77" t="n"/>
      <c r="B396" s="78" t="n"/>
      <c r="C396" s="78" t="n"/>
      <c r="D396" s="78" t="n"/>
      <c r="E396" s="78" t="n"/>
      <c r="F396" s="78" t="n"/>
      <c r="G396" s="78" t="n"/>
      <c r="H396" s="78" t="n"/>
      <c r="I396" s="78" t="n"/>
      <c r="J396" s="78" t="n"/>
      <c r="K396" s="78" t="n"/>
      <c r="L396" s="78" t="n"/>
      <c r="M396" s="78" t="n"/>
      <c r="N396" s="78" t="n"/>
      <c r="O396" s="78" t="n"/>
      <c r="P396" s="78" t="n"/>
      <c r="Q396" s="78" t="n"/>
      <c r="R396" s="78" t="n"/>
      <c r="S396" s="79" t="n"/>
      <c r="T396" s="79" t="n"/>
      <c r="U396" s="79" t="n"/>
      <c r="V396" s="79" t="n"/>
      <c r="W396" s="79" t="n"/>
      <c r="X396" s="79" t="n"/>
      <c r="Y396" s="79" t="n"/>
      <c r="Z396" s="79" t="n"/>
      <c r="AA396" s="79" t="n"/>
      <c r="AB396" s="79" t="n"/>
      <c r="AC396" s="79" t="n"/>
      <c r="AD396" s="79" t="n"/>
      <c r="AE396" s="79" t="n"/>
      <c r="AF396" s="79" t="n"/>
      <c r="AG396" s="79" t="n"/>
      <c r="AH396" s="80" t="n"/>
      <c r="AI396" s="80" t="n"/>
      <c r="AJ396" s="80" t="n"/>
      <c r="AK396" s="80" t="n"/>
      <c r="AL396" s="80" t="n"/>
      <c r="AM396" s="80" t="n"/>
      <c r="AN396" s="80" t="n"/>
      <c r="AO396" s="80" t="n"/>
      <c r="AP396" s="80" t="n"/>
      <c r="AQ396" s="80" t="n"/>
      <c r="AR396" s="80" t="n"/>
      <c r="AS396" s="80" t="n"/>
      <c r="AT396" s="81" t="n"/>
      <c r="AU396" s="81" t="n"/>
      <c r="AV396" s="81" t="n"/>
      <c r="AW396" s="82" t="n"/>
      <c r="AX396" s="82" t="n"/>
      <c r="AY396" s="82" t="n"/>
      <c r="AZ396" s="82" t="n"/>
      <c r="BA396" s="82" t="n"/>
      <c r="BB396" s="83" t="n"/>
      <c r="BC396" s="83" t="n"/>
      <c r="BD396" s="84">
        <f>IF($A396="","",IF($DJ396&lt;&gt;"","FIX",IF($DK396&lt;&gt;"","CHECK","OK")))</f>
        <v/>
      </c>
      <c r="BE396" s="85">
        <f>IF($A396="","",IF($DJ396&lt;&gt;"","FIX: "&amp;LEFT($DJ396,LEN($DJ396)-2)&amp;IF($DK396&lt;&gt;"","  ·  ",""),"")&amp;IF($DK396&lt;&gt;"","CHECK: "&amp;LEFT($DK396,LEN($DK396)-2),""))</f>
        <v/>
      </c>
      <c r="BF396" s="84">
        <f>IF(OR($A396="",$K396=""),"",$K396&amp;"'-"&amp;N($L396)&amp;CHAR(34)&amp;" x "&amp;$M396&amp;"'-"&amp;N($N396)&amp;CHAR(34))</f>
        <v/>
      </c>
      <c r="BG396" s="84">
        <f>IF(OR($A396="",$K396=""),"",$K396&amp;N($L396)&amp;$M396&amp;N($N396))</f>
        <v/>
      </c>
      <c r="BH396" s="84">
        <f>IF(OR($A396="",$K396=""),"",$K396*12+N($L396))</f>
        <v/>
      </c>
      <c r="BI396" s="84">
        <f>IF(OR($A396="",$M396=""),"",$M396*12+N($N396))</f>
        <v/>
      </c>
      <c r="BJ396" s="84">
        <f>IF($A396="","",IF(OR($C396="FRAME ONLY",$S396="BL"),0,IF($O396="Y",2,1)))</f>
        <v/>
      </c>
      <c r="BK396" s="86">
        <f>IF(OR(N($BJ396)=0,$BH396=""),"",($BH396-2*EdgeClr-IF($BJ396=2,MeetClr,0))/$BJ396)</f>
        <v/>
      </c>
      <c r="BL396" s="86">
        <f>IF(OR(N($BJ396)=0,$BI396=""),"",$BI396-HeadClr-Undercut)</f>
        <v/>
      </c>
      <c r="BM396" s="86">
        <f>IF($BH396="","",$BH396+2*FaceW+IF(N($Q396)&gt;0,($Q396+FaceW)*IF($R396="LR",2,1),0))</f>
        <v/>
      </c>
      <c r="BN396" s="86">
        <f>IF($BI396="","",$BI396+IF($AB396="Y",4,FaceW)+IF(N($P396)&gt;0,$P396+FaceW,0)+IF(OR($S396="4F",$S396="BL"),FaceW,0))</f>
        <v/>
      </c>
      <c r="BO396" s="86">
        <f>IF($BM396="","",$BM396+2*ROSide)</f>
        <v/>
      </c>
      <c r="BP396" s="86">
        <f>IF($BN396="","",$BN396+ROTop)</f>
        <v/>
      </c>
      <c r="BQ396" s="87">
        <f>IF(OR(N($BJ396)=0,$BH396=""),"",$BH396/$BJ396-ClearDeduct)</f>
        <v/>
      </c>
      <c r="BR396" s="84">
        <f>IF(N($CH396)=0,"",IF($CH396&gt;=180,"A · 3 HR",IF($CH396&gt;=90,"B · 1-1/2 HR",IF($CH396&gt;=60,"B · 1 HR",IF($CH396&gt;=45,"C · 3/4 HR","20 MIN")))))&amp;IF(AND(N($CH396)&gt;0,OR($I396="CORRIDOR",$I396="SMOKE BARRIER"))," · S","")</f>
        <v/>
      </c>
      <c r="BS396" s="84">
        <f>IF($CS396,"",IF($AV396&lt;&gt;"",$AV396,IF(OR($AC396="HGC",$AO396="HGC"),"CONT",IF(($BI396-HeadClr-Undercut)&lt;=60,2,IF(($BI396-HeadClr-Undercut)&lt;=90,3,IF(($BI396-HeadClr-Undercut)&lt;=120,4,5))))))</f>
        <v/>
      </c>
      <c r="BT396" s="84">
        <f>IF($CS396,"",IF($CT396,"CUSTOM (typed)",IF($CV396,$AT396&amp;" "&amp;$CU396&amp;CHAR(34)&amp;IF($CU396&lt;&gt;$BI396,IF(AND($BI396&lt;$CU396,$BI396-IF(N(VLOOKUP($AT396&amp;"|"&amp;$CU396,LocTable,7,FALSE))&gt;0,VLOOKUP($AT396&amp;"|"&amp;$CU396,LocTable,7,FALSE),VLOOKUP($AT396&amp;"|"&amp;$CU396,LocTable,6,FALSE))-$CR396-0.75&gt;=2.125)," cut down"," adj."),""),"ANSI/SDI A250.6")))</f>
        <v/>
      </c>
      <c r="BU396" s="88">
        <f>IF($CS396,"",IF($CT396,IF(N($AW396)&gt;0,N($AW396),""),IF(1&gt;$CQ396,"",IF($CQ396=1,$CW396,$CW396+($CX396-$CW396)*0/($CQ396-1)))))</f>
        <v/>
      </c>
      <c r="BV396" s="88">
        <f>IF($CS396,"",IF($CT396,IF(N($AX396)&gt;0,N($AX396),""),IF(2&gt;$CQ396,"",IF($CQ396=1,$CW396,$CW396+($CX396-$CW396)*1/($CQ396-1)))))</f>
        <v/>
      </c>
      <c r="BW396" s="88">
        <f>IF($CS396,"",IF($CT396,IF(N($AY396)&gt;0,N($AY396),""),IF(3&gt;$CQ396,"",IF($CQ396=1,$CW396,$CW396+($CX396-$CW396)*2/($CQ396-1)))))</f>
        <v/>
      </c>
      <c r="BX396" s="88">
        <f>IF($CS396,"",IF($CT396,IF(N($AZ396)&gt;0,N($AZ396),""),IF(4&gt;$CQ396,"",IF($CQ396=1,$CW396,$CW396+($CX396-$CW396)*3/($CQ396-1)))))</f>
        <v/>
      </c>
      <c r="BY396" s="88">
        <f>IF($CS396,"",IF($CT396,"",IF(5&gt;$CQ396,"",IF($CQ396=1,$CW396,$CW396+($CX396-$CW396)*4/($CQ396-1)))))</f>
        <v/>
      </c>
      <c r="BZ396" s="88">
        <f>IF(OR($CS396,$AP396="-",AND($AP396="",$AD396="")),"",IF(N($BA396)&gt;0,N($BA396),IF($CV396,IF(AND($BI396&lt;$CU396,$BI396-IF(N(VLOOKUP($AT396&amp;"|"&amp;$CU396,LocTable,7,FALSE))&gt;0,VLOOKUP($AT396&amp;"|"&amp;$CU396,LocTable,7,FALSE),VLOOKUP($AT396&amp;"|"&amp;$CU396,LocTable,6,FALSE))-$CR396-0.75&gt;=2.125),VLOOKUP($AT396&amp;"|"&amp;$CU396,LocTable,8,FALSE),VLOOKUP($AT396&amp;"|"&amp;$CU396,LocTable,8,FALSE)+($BI396-$CU396)),$BI396-LockAFF)))</f>
        <v/>
      </c>
      <c r="CA396" s="89">
        <f>IF($BZ396="","",$BI396-$BZ396)</f>
        <v/>
      </c>
      <c r="CB396" s="84">
        <f>IF(OR(NOT(AND($A396&lt;&gt;"",$C396&lt;&gt;"DOOR ONLY")),$BI396=""),"",IF(($BI396+IF(N($P396)&gt;0,$P396+FaceW,0))&lt;=90,3,IF(($BI396+IF(N($P396)&gt;0,$P396+FaceW,0))&lt;=114,4,5)))</f>
        <v/>
      </c>
      <c r="CC396" s="84">
        <f>IF($CB396="","",$CB396*(2+IF(N($Q396)&gt;0,IF($R396="LR",2,1),0)))</f>
        <v/>
      </c>
      <c r="CD396" s="84">
        <f>IF($CB396="","",(2+IF(N($Q396)&gt;0,IF($R396="LR",2,1),0)))</f>
        <v/>
      </c>
      <c r="CE396" s="84">
        <f>IF(N($BJ396)=0,"",IF(OR($AL396="",$AL396="FLUSH"),"FLUSH",IFERROR(LEFT($AL396,FIND("-",$AL396)-1),LEFT($AL396,2))))</f>
        <v/>
      </c>
      <c r="CF396" s="84">
        <f>IF($CE396="","",IFERROR(VALUE(MID($AL396,FIND("-",$AL396)+1,FIND(CHAR(34)&amp;"x",$AL396)-FIND("-",$AL396)-1)),0))</f>
        <v/>
      </c>
      <c r="CG396" s="84">
        <f>IF($CE396="","",IFERROR(VALUE(MID($AL396,FIND(CHAR(34)&amp;"x",$AL396)+2,FIND(CHAR(34),$AL396,FIND(CHAR(34)&amp;"x",$AL396)+2)-FIND(CHAR(34)&amp;"x",$AL396)-2)),0))</f>
        <v/>
      </c>
      <c r="CH396" s="90">
        <f>IF(OR($A396="",$H396="",$H396="NO LAB"),0,IFERROR(VALUE(LEFT($H396,FIND(" ",$H396)-1)),0))</f>
        <v/>
      </c>
      <c r="CI396" s="91">
        <f>IF(OR($A396="",$I396="",$I396="NON-RATED",N($J396)=0),"",IFERROR(VLOOKUP($I396&amp;"|"&amp;$J396,IBC,2,FALSE),"?"))</f>
        <v/>
      </c>
      <c r="CJ396" s="85">
        <f>IF(NOT(AND($A396&lt;&gt;"",$C396&lt;&gt;"DOOR ONLY")),"",TRIM(IFERROR(VLOOKUP($U396,CODES,2,FALSE),"")&amp;" "&amp;$BG396&amp;" "&amp;IFERROR(VLOOKUP($Z396,CODES,2,FALSE),"")&amp;" "&amp;IFERROR(VLOOKUP($X396,CODES,2,FALSE),"")&amp;" "&amp;IFERROR(VLOOKUP($S396,CODES,2,FALSE),"")&amp;IF(N($P396)&gt;0," w/TRANSOM "&amp;$P396&amp;CHAR(34),"")&amp;IF(N($Q396)&gt;0," w/SIDELITE "&amp;$Q396&amp;CHAR(34)&amp;" "&amp;IF($R396="","R",$R396),"")&amp;IF($Y396="","  |  "," | "&amp;IFERROR(VLOOKUP($Y396,CODES,2,FALSE),"")&amp;" | ")&amp;IFERROR(VLOOKUP($AC396,CODES,2,FALSE),"")&amp;" "&amp;IFERROR(VLOOKUP($AD396,CODES,2,FALSE),"")&amp;IF(OR($AE396="",$AE396="-"),""," "&amp;$AE396)&amp;IF(OR($AF396="",$AF396="-"),""," "&amp;$AF396)&amp;IF($AB396="Y"," 4"&amp;CHAR(34)&amp;" HEAD","")&amp;" "&amp;IFERROR(VLOOKUP($H396,CODES,2,FALSE),"")&amp;IF($CT396," | LOC "&amp;$CY396,"")))</f>
        <v/>
      </c>
      <c r="CK396" s="85">
        <f>IF(NOT(AND($A396&lt;&gt;"",N($BJ396)&gt;0)),"",TRIM(IFERROR(VLOOKUP($AH396,CODES,2,FALSE),"")&amp;IF($AI396=""," "," "&amp;$AI396&amp;"GA ")&amp;$BG396&amp;" "&amp;IF($AN396="",IFERROR(VLOOKUP($Z396,CODES,2,FALSE),""),IFERROR(VLOOKUP($AN396,CODES,2,FALSE),""))&amp;IF($BJ396=2," PAIR","")&amp;" DOOR | "&amp;IF($AL396="","?",$AL396)&amp;" | "&amp;IF($AO396="",IFERROR(VLOOKUP($AC396,CODES,2,FALSE),""),IFERROR(VLOOKUP($AO396,CODES,2,FALSE),""))&amp;" "&amp;IFERROR(VLOOKUP($AP396,CODES,2,FALSE),"")&amp;IF(OR($AQ396="",$AQ396="-"),""," SEAM "&amp;$AQ396)&amp;IF($AR396="Y"," ASTRAGAL","")&amp;IF($AJ396=""," "," "&amp;$AJ396)&amp;IF($AK396=""," "," "&amp;$AK396)&amp;IF(OR($AT396="",$AT396="ANSI/SDI",$AT396="CUSTOM LOC"),""," "&amp;$AT396)&amp;IF($AM396=""," "," SERIES "&amp;$AM396)&amp;" "&amp;IFERROR(VLOOKUP($H396,CODES,2,FALSE),"")&amp;IF($CT396," | LOC "&amp;$CZ396,"")))</f>
        <v/>
      </c>
      <c r="CL396" s="84">
        <f>IF(CP396="","",IF(COUNTIF($CP$6:CP396,CP396)=1,MAX($CL$5:CL395)+1,INDEX($CL$5:CL395,MATCH(CP396,$CP$5:CP395,0))))</f>
        <v/>
      </c>
      <c r="CM396" s="84">
        <f>IF(NOT(AND($A396&lt;&gt;"",$C396&lt;&gt;"DOOR ONLY")),"",MAX($CM$5:CM395)+1)</f>
        <v/>
      </c>
      <c r="CN396" s="84">
        <f>IF(NOT(AND($A396&lt;&gt;"",N($BJ396)&gt;0)),"",MAX($CN$5:CN395)+1)</f>
        <v/>
      </c>
      <c r="CO396" s="84">
        <f>IF($A396="","",MAX($CO$5:CO395)+1)</f>
        <v/>
      </c>
      <c r="CP396" s="84">
        <f>IF(OR($A396="",$BH396="",$BI396=""),"",$BG396&amp;"|"&amp;$O396&amp;"|"&amp;$AL396&amp;"|"&amp;$S396&amp;"|"&amp;$P396&amp;"|"&amp;$Q396&amp;$R396&amp;"|"&amp;$C396&amp;"|"&amp;$AB396)</f>
        <v/>
      </c>
      <c r="CQ396" s="84">
        <f>N($BS396)</f>
        <v/>
      </c>
      <c r="CR396" s="84">
        <f>IF(N($AU396)&gt;0,N($AU396),4.5)</f>
        <v/>
      </c>
      <c r="CS396" s="84">
        <f>OR($A396="",$BI396="",$S396="BL",AND($C396="FRAME ONLY",OR($AC396="",$AC396="BLK")))</f>
        <v/>
      </c>
      <c r="CT396" s="84">
        <f>AND(NOT($CS396),OR($AT396="CUSTOM LOC",N($AW396)+N($AX396)+N($AY396)+N($AZ396)+N($BA396)&gt;0))</f>
        <v/>
      </c>
      <c r="CU396" s="84">
        <f>IF($BI396="","",IF($BI396&lt;=80,80,IF($BI396&lt;=84,84,96)))</f>
        <v/>
      </c>
      <c r="CV396" s="84">
        <f>ISNUMBER(MATCH($AT396&amp;"|80",LocKeys,0))</f>
        <v/>
      </c>
      <c r="CW396" s="86">
        <f>IF($CS396,"",IF($CV396,VLOOKUP($AT396&amp;"|"&amp;$CU396,LocTable,4,FALSE),5))</f>
        <v/>
      </c>
      <c r="CX396" s="86">
        <f>IF($CS396,"",IF($CV396,IF(OR($BI396=$CU396,AND($BI396&lt;$CU396,$BI396-IF(N(VLOOKUP($AT396&amp;"|"&amp;$CU396,LocTable,7,FALSE))&gt;0,VLOOKUP($AT396&amp;"|"&amp;$CU396,LocTable,7,FALSE),VLOOKUP($AT396&amp;"|"&amp;$CU396,LocTable,6,FALSE))-$CR396-0.75&gt;=2.125)),IF(N(VLOOKUP($AT396&amp;"|"&amp;$CU396,LocTable,7,FALSE))&gt;0,VLOOKUP($AT396&amp;"|"&amp;$CU396,LocTable,7,FALSE),VLOOKUP($AT396&amp;"|"&amp;$CU396,LocTable,6,FALSE)),$BI396-($CU396-IF(N(VLOOKUP($AT396&amp;"|"&amp;$CU396,LocTable,7,FALSE))&gt;0,VLOOKUP($AT396&amp;"|"&amp;$CU396,LocTable,7,FALSE),VLOOKUP($AT396&amp;"|"&amp;$CU396,LocTable,6,FALSE)))),$BI396-10-$CR396))</f>
        <v/>
      </c>
      <c r="CY396" s="85">
        <f>IF($CS396,"",TRIM(IF(ISNUMBER($BU396),"A "&amp;TRIM(TEXT($BU396,"# ?/??"))&amp;CHAR(34)&amp;"  ","")&amp;IF(ISNUMBER($BV396),"B "&amp;TRIM(TEXT($BV396,"# ?/??"))&amp;CHAR(34)&amp;"  ","")&amp;IF(ISNUMBER($BW396),"C "&amp;TRIM(TEXT($BW396,"# ?/??"))&amp;CHAR(34)&amp;"  ","")&amp;IF(ISNUMBER($BX396),"D "&amp;TRIM(TEXT($BX396,"# ?/??"))&amp;CHAR(34)&amp;"  ","")&amp;IF(ISNUMBER($BY396),"F "&amp;TRIM(TEXT($BY396,"# ?/??"))&amp;CHAR(34)&amp;"  ","")&amp;IF(ISNUMBER($BZ396),"E "&amp;TRIM(TEXT($BZ396,"# ?/??"))&amp;CHAR(34)&amp;"  ","")))</f>
        <v/>
      </c>
      <c r="CZ396" s="85">
        <f>IF(OR($CS396,N($BJ396)=0),"",TRIM(IF(ISNUMBER($BU396),"A "&amp;TRIM(TEXT($BU396-HeadClr,"# ?/??"))&amp;CHAR(34)&amp;"  ","")&amp;IF(ISNUMBER($BV396),"B "&amp;TRIM(TEXT($BV396-HeadClr,"# ?/??"))&amp;CHAR(34)&amp;"  ","")&amp;IF(ISNUMBER($BW396),"C "&amp;TRIM(TEXT($BW396-HeadClr,"# ?/??"))&amp;CHAR(34)&amp;"  ","")&amp;IF(ISNUMBER($BX396),"D "&amp;TRIM(TEXT($BX396-HeadClr,"# ?/??"))&amp;CHAR(34)&amp;"  ","")&amp;IF(ISNUMBER($BY396),"F "&amp;TRIM(TEXT($BY396-HeadClr,"# ?/??"))&amp;CHAR(34)&amp;"  ","")&amp;IF(ISNUMBER($BZ396),"E "&amp;TRIM(TEXT($BZ396-HeadClr,"# ?/??"))&amp;CHAR(34)&amp;"  ","")))</f>
        <v/>
      </c>
      <c r="DA396" s="84">
        <f>IF($A396="","",IF($AN396="",IFERROR(VLOOKUP($Z396,CODES,2,FALSE),""),IFERROR(VLOOKUP($AN396,CODES,2,FALSE),"")))</f>
        <v/>
      </c>
      <c r="DB396" s="84">
        <f>IF($A396="","",IF($O396="Y","PR",IF(OR($Z396="L",$Z396="RR",LEFT($Z396,2)="L-",LEFT($Z396,3)="RR-"),"LH","RH")))</f>
        <v/>
      </c>
      <c r="DC396" s="84">
        <f>IF($A396="","","S.HM"&amp;IF(OR($C396="DOOR ONLY",$X396&lt;&gt;"KD"),"MASONRY","DRYWALL")&amp;IF($C396="DOOR ONLY","",$U396)&amp;IF(AND($C396&lt;&gt;"FRAME ONLY",OR(LEFT($AH396,3)="OAK",LEFT($AH396,3)="BIR",LEFT($AH396,3)="MAP",$AH396="PC",$AH396="MC",$AH396="SCLC",$AH396="P-LAM")),"WD","HM")&amp;"1.75")</f>
        <v/>
      </c>
      <c r="DD396" s="84">
        <f>IF($CJ396="","",IF($O396="Y",$CJ396,SUBSTITUTE($CJ396,$BG396&amp;" "&amp;IFERROR(VLOOKUP($Z396,CODES,2,FALSE),"")&amp;" ",$BG396&amp;" ")))</f>
        <v/>
      </c>
      <c r="DE396" s="84">
        <f>IF($CK396="","",IF($O396="Y",$CK396,SUBSTITUTE($CK396,$BG396&amp;" "&amp;IF($AN396="",IFERROR(VLOOKUP($Z396,CODES,2,FALSE),""),IFERROR(VLOOKUP($AN396,CODES,2,FALSE),""))&amp;" ",$BG396&amp;" ")))</f>
        <v/>
      </c>
      <c r="DF396" s="84">
        <f>IF($CJ396="","",$DC396&amp;"|"&amp;$DD396&amp;"|"&amp;$DB396&amp;"|"&amp;$AT396&amp;"|"&amp;$V396&amp;"|"&amp;$Y396&amp;"|"&amp;$AB396)</f>
        <v/>
      </c>
      <c r="DG396" s="84">
        <f>IF(DF396="","",IF(COUNTIF($DF$6:DF396,DF396)=1,MAX($DG$5:DG395)+1,INDEX($DG$5:DG395,MATCH(DF396,$DF$5:DF395,0))))</f>
        <v/>
      </c>
      <c r="DH396" s="84">
        <f>IF($CK396="","",$DC396&amp;"|"&amp;$DE396&amp;"|"&amp;$AI396&amp;"|"&amp;$BK396&amp;"|"&amp;$BL396)</f>
        <v/>
      </c>
      <c r="DI396" s="84">
        <f>IF(DH396="","",IF(COUNTIF($DH$6:DH396,DH396)=1,MAX($DI$5:DI395)+1,INDEX($DI$5:DI395,MATCH(DH396,$DH$5:DH395,0))))</f>
        <v/>
      </c>
      <c r="DJ396" s="84">
        <f>IF($A396="","",IF($B396="","qty, ","")&amp;IF($C396="","scope, ","")&amp;IF(OR($K396="",$M396=""),"size, ","")&amp;IF(AND($A396&lt;&gt;"",$C396&lt;&gt;"DOOR ONLY"),IF($U396="","jamb depth, ","")&amp;IF($X396="","construction, ","")&amp;IF($Y396="","anchor, ","")&amp;IF($S396="","frame type, ",""),"")&amp;IF(AND(N($BJ396)&gt;0,$Z396=""),"hand, ","")&amp;IF(N($BJ396)&gt;0,IF($AH396="","door material, ","")&amp;IF($AL396="","face type, ","")&amp;IF($AP396="","lock prep, ","")&amp;IF(AND($AO396="",$AC396=""),"hinge prep, ",""),"")&amp;IF(AND($CH396&gt;0,$AH396="FRP"),"FRP cannot carry a label, ","")&amp;IF(AND($O396="Y",OR($Z396="L",$Z396="R",$Z396="LR",$Z396="RR")),"pair marked but hand is single, ","")&amp;IF(AND($O396&lt;&gt;"Y",OR($Z396="PR",AND(LEN($Z396)&gt;1,ISNUMBER(SEARCH("-",$Z396))))),"pair hand on a single door, ","")&amp;IF(AND(ISNUMBER($CI396),$CH396&lt;N($CI396)),"wall needs a "&amp;$CI396&amp;" min door, ","")&amp;IF(AND($CH396&gt;=180,AND(OR($CE396="FG",$CE396="HG",$CE396="FNV",$CE396="FV"),N($CF396)*N($CG396)&gt;100)),"180 min lite over 100 sq in, ","")&amp;IF(N($BK396)&gt;48,"leaf wider than 4'-0"&amp;CHAR(34)&amp;", ","")&amp;IF(AND($CT396,COUNT($AW396:$AZ396)=0,$CQ396&gt;0),"CUSTOM LOC with no locations typed, ",""))</f>
        <v/>
      </c>
      <c r="DK396" s="84">
        <f>IF($A396="","",IF(AND($CH396&gt;0,AND($A396&lt;&gt;"",$C396&lt;&gt;"DOOR ONLY"),$X396="KD",$E396="EXTERIOR"),"KD label on an exterior opening, ","")&amp;IF(AND($E396="EXTERIOR",OR(AND(AND($A396&lt;&gt;"",$C396&lt;&gt;"DOOR ONLY"),$W396="CR"),AND(N($BJ396)&gt;0,$AH396="CR"))),"exterior in CR steel (G9?), ","")&amp;IF(AND(ISNUMBER($BQ396),N($BQ396)&lt;32),"clear width ~"&amp;TEXT($BQ396,"0.0")&amp;CHAR(34)&amp;" under 32"&amp;CHAR(34)&amp;" (ADA), ","")&amp;IF(AND($CH396=90,AND(OR($CE396="FG",$CE396="HG",$CE396="FNV",$CE396="FV"),N($CF396)*N($CG396)&gt;100)),"90 min lite over 100 sq in (stair/exit), ","")&amp;IF(AND($CH396&gt;0,AND($A396&lt;&gt;"",$C396&lt;&gt;"DOOR ONLY"),OR($AF396="",$AF396="-")),"rated: closer reinf.?, ","")&amp;IF(OR($I396="CORRIDOR",$I396="SMOKE BARRIER"),"S label + smoke gasketing, ","")&amp;IF($CI396="?","wall type/hr not in IBC table, ","")&amp;IF(AND(N($BJ396)&gt;0,$BB396=""),"no hardware set, ","")&amp;IF(AND($BB396&lt;&gt;"",ISNA(MATCH($BB396&amp;"",HWSets,0))),"set "&amp;$BB396&amp;" not on HW Sets, ","")&amp;IF(N($BL396)&gt;96,"leaf over 8'-0"&amp;CHAR(34)&amp;" - check listing, ","")&amp;IF(AND($CT396,COUNT($AW396:$AZ396)&gt;0,COUNT($AW396:$AZ396)&lt;&gt;$CQ396),COUNT($AW396:$AZ396)&amp;" custom hinges typed, "&amp;$CQ396&amp;" expected, ","")&amp;IF(AND(ISNUMBER($CA396),OR(N($CA396)&lt;34,N($CA396)&gt;48)),"lock "&amp;TEXT($CA396,"0.0")&amp;CHAR(34)&amp;" AFF outside 34-48"&amp;CHAR(34)&amp;" (ADA), ","")&amp;IF(AND(ISNUMBER($AV396),ISNUMBER($BL396),N($AV396)&lt;IF(N($BL396)&lt;=60,2,IF(N($BL396)&lt;=90,3,IF(N($BL396)&lt;=120,4,5)))),"fewer hinges than standard, ",""))</f>
        <v/>
      </c>
    </row>
    <row r="397" ht="15" customHeight="1">
      <c r="A397" s="77" t="n"/>
      <c r="B397" s="78" t="n"/>
      <c r="C397" s="78" t="n"/>
      <c r="D397" s="78" t="n"/>
      <c r="E397" s="78" t="n"/>
      <c r="F397" s="78" t="n"/>
      <c r="G397" s="78" t="n"/>
      <c r="H397" s="78" t="n"/>
      <c r="I397" s="78" t="n"/>
      <c r="J397" s="78" t="n"/>
      <c r="K397" s="78" t="n"/>
      <c r="L397" s="78" t="n"/>
      <c r="M397" s="78" t="n"/>
      <c r="N397" s="78" t="n"/>
      <c r="O397" s="78" t="n"/>
      <c r="P397" s="78" t="n"/>
      <c r="Q397" s="78" t="n"/>
      <c r="R397" s="78" t="n"/>
      <c r="S397" s="79" t="n"/>
      <c r="T397" s="79" t="n"/>
      <c r="U397" s="79" t="n"/>
      <c r="V397" s="79" t="n"/>
      <c r="W397" s="79" t="n"/>
      <c r="X397" s="79" t="n"/>
      <c r="Y397" s="79" t="n"/>
      <c r="Z397" s="79" t="n"/>
      <c r="AA397" s="79" t="n"/>
      <c r="AB397" s="79" t="n"/>
      <c r="AC397" s="79" t="n"/>
      <c r="AD397" s="79" t="n"/>
      <c r="AE397" s="79" t="n"/>
      <c r="AF397" s="79" t="n"/>
      <c r="AG397" s="79" t="n"/>
      <c r="AH397" s="80" t="n"/>
      <c r="AI397" s="80" t="n"/>
      <c r="AJ397" s="80" t="n"/>
      <c r="AK397" s="80" t="n"/>
      <c r="AL397" s="80" t="n"/>
      <c r="AM397" s="80" t="n"/>
      <c r="AN397" s="80" t="n"/>
      <c r="AO397" s="80" t="n"/>
      <c r="AP397" s="80" t="n"/>
      <c r="AQ397" s="80" t="n"/>
      <c r="AR397" s="80" t="n"/>
      <c r="AS397" s="80" t="n"/>
      <c r="AT397" s="81" t="n"/>
      <c r="AU397" s="81" t="n"/>
      <c r="AV397" s="81" t="n"/>
      <c r="AW397" s="82" t="n"/>
      <c r="AX397" s="82" t="n"/>
      <c r="AY397" s="82" t="n"/>
      <c r="AZ397" s="82" t="n"/>
      <c r="BA397" s="82" t="n"/>
      <c r="BB397" s="83" t="n"/>
      <c r="BC397" s="83" t="n"/>
      <c r="BD397" s="84">
        <f>IF($A397="","",IF($DJ397&lt;&gt;"","FIX",IF($DK397&lt;&gt;"","CHECK","OK")))</f>
        <v/>
      </c>
      <c r="BE397" s="85">
        <f>IF($A397="","",IF($DJ397&lt;&gt;"","FIX: "&amp;LEFT($DJ397,LEN($DJ397)-2)&amp;IF($DK397&lt;&gt;"","  ·  ",""),"")&amp;IF($DK397&lt;&gt;"","CHECK: "&amp;LEFT($DK397,LEN($DK397)-2),""))</f>
        <v/>
      </c>
      <c r="BF397" s="84">
        <f>IF(OR($A397="",$K397=""),"",$K397&amp;"'-"&amp;N($L397)&amp;CHAR(34)&amp;" x "&amp;$M397&amp;"'-"&amp;N($N397)&amp;CHAR(34))</f>
        <v/>
      </c>
      <c r="BG397" s="84">
        <f>IF(OR($A397="",$K397=""),"",$K397&amp;N($L397)&amp;$M397&amp;N($N397))</f>
        <v/>
      </c>
      <c r="BH397" s="84">
        <f>IF(OR($A397="",$K397=""),"",$K397*12+N($L397))</f>
        <v/>
      </c>
      <c r="BI397" s="84">
        <f>IF(OR($A397="",$M397=""),"",$M397*12+N($N397))</f>
        <v/>
      </c>
      <c r="BJ397" s="84">
        <f>IF($A397="","",IF(OR($C397="FRAME ONLY",$S397="BL"),0,IF($O397="Y",2,1)))</f>
        <v/>
      </c>
      <c r="BK397" s="86">
        <f>IF(OR(N($BJ397)=0,$BH397=""),"",($BH397-2*EdgeClr-IF($BJ397=2,MeetClr,0))/$BJ397)</f>
        <v/>
      </c>
      <c r="BL397" s="86">
        <f>IF(OR(N($BJ397)=0,$BI397=""),"",$BI397-HeadClr-Undercut)</f>
        <v/>
      </c>
      <c r="BM397" s="86">
        <f>IF($BH397="","",$BH397+2*FaceW+IF(N($Q397)&gt;0,($Q397+FaceW)*IF($R397="LR",2,1),0))</f>
        <v/>
      </c>
      <c r="BN397" s="86">
        <f>IF($BI397="","",$BI397+IF($AB397="Y",4,FaceW)+IF(N($P397)&gt;0,$P397+FaceW,0)+IF(OR($S397="4F",$S397="BL"),FaceW,0))</f>
        <v/>
      </c>
      <c r="BO397" s="86">
        <f>IF($BM397="","",$BM397+2*ROSide)</f>
        <v/>
      </c>
      <c r="BP397" s="86">
        <f>IF($BN397="","",$BN397+ROTop)</f>
        <v/>
      </c>
      <c r="BQ397" s="87">
        <f>IF(OR(N($BJ397)=0,$BH397=""),"",$BH397/$BJ397-ClearDeduct)</f>
        <v/>
      </c>
      <c r="BR397" s="84">
        <f>IF(N($CH397)=0,"",IF($CH397&gt;=180,"A · 3 HR",IF($CH397&gt;=90,"B · 1-1/2 HR",IF($CH397&gt;=60,"B · 1 HR",IF($CH397&gt;=45,"C · 3/4 HR","20 MIN")))))&amp;IF(AND(N($CH397)&gt;0,OR($I397="CORRIDOR",$I397="SMOKE BARRIER"))," · S","")</f>
        <v/>
      </c>
      <c r="BS397" s="84">
        <f>IF($CS397,"",IF($AV397&lt;&gt;"",$AV397,IF(OR($AC397="HGC",$AO397="HGC"),"CONT",IF(($BI397-HeadClr-Undercut)&lt;=60,2,IF(($BI397-HeadClr-Undercut)&lt;=90,3,IF(($BI397-HeadClr-Undercut)&lt;=120,4,5))))))</f>
        <v/>
      </c>
      <c r="BT397" s="84">
        <f>IF($CS397,"",IF($CT397,"CUSTOM (typed)",IF($CV397,$AT397&amp;" "&amp;$CU397&amp;CHAR(34)&amp;IF($CU397&lt;&gt;$BI397,IF(AND($BI397&lt;$CU397,$BI397-IF(N(VLOOKUP($AT397&amp;"|"&amp;$CU397,LocTable,7,FALSE))&gt;0,VLOOKUP($AT397&amp;"|"&amp;$CU397,LocTable,7,FALSE),VLOOKUP($AT397&amp;"|"&amp;$CU397,LocTable,6,FALSE))-$CR397-0.75&gt;=2.125)," cut down"," adj."),""),"ANSI/SDI A250.6")))</f>
        <v/>
      </c>
      <c r="BU397" s="88">
        <f>IF($CS397,"",IF($CT397,IF(N($AW397)&gt;0,N($AW397),""),IF(1&gt;$CQ397,"",IF($CQ397=1,$CW397,$CW397+($CX397-$CW397)*0/($CQ397-1)))))</f>
        <v/>
      </c>
      <c r="BV397" s="88">
        <f>IF($CS397,"",IF($CT397,IF(N($AX397)&gt;0,N($AX397),""),IF(2&gt;$CQ397,"",IF($CQ397=1,$CW397,$CW397+($CX397-$CW397)*1/($CQ397-1)))))</f>
        <v/>
      </c>
      <c r="BW397" s="88">
        <f>IF($CS397,"",IF($CT397,IF(N($AY397)&gt;0,N($AY397),""),IF(3&gt;$CQ397,"",IF($CQ397=1,$CW397,$CW397+($CX397-$CW397)*2/($CQ397-1)))))</f>
        <v/>
      </c>
      <c r="BX397" s="88">
        <f>IF($CS397,"",IF($CT397,IF(N($AZ397)&gt;0,N($AZ397),""),IF(4&gt;$CQ397,"",IF($CQ397=1,$CW397,$CW397+($CX397-$CW397)*3/($CQ397-1)))))</f>
        <v/>
      </c>
      <c r="BY397" s="88">
        <f>IF($CS397,"",IF($CT397,"",IF(5&gt;$CQ397,"",IF($CQ397=1,$CW397,$CW397+($CX397-$CW397)*4/($CQ397-1)))))</f>
        <v/>
      </c>
      <c r="BZ397" s="88">
        <f>IF(OR($CS397,$AP397="-",AND($AP397="",$AD397="")),"",IF(N($BA397)&gt;0,N($BA397),IF($CV397,IF(AND($BI397&lt;$CU397,$BI397-IF(N(VLOOKUP($AT397&amp;"|"&amp;$CU397,LocTable,7,FALSE))&gt;0,VLOOKUP($AT397&amp;"|"&amp;$CU397,LocTable,7,FALSE),VLOOKUP($AT397&amp;"|"&amp;$CU397,LocTable,6,FALSE))-$CR397-0.75&gt;=2.125),VLOOKUP($AT397&amp;"|"&amp;$CU397,LocTable,8,FALSE),VLOOKUP($AT397&amp;"|"&amp;$CU397,LocTable,8,FALSE)+($BI397-$CU397)),$BI397-LockAFF)))</f>
        <v/>
      </c>
      <c r="CA397" s="89">
        <f>IF($BZ397="","",$BI397-$BZ397)</f>
        <v/>
      </c>
      <c r="CB397" s="84">
        <f>IF(OR(NOT(AND($A397&lt;&gt;"",$C397&lt;&gt;"DOOR ONLY")),$BI397=""),"",IF(($BI397+IF(N($P397)&gt;0,$P397+FaceW,0))&lt;=90,3,IF(($BI397+IF(N($P397)&gt;0,$P397+FaceW,0))&lt;=114,4,5)))</f>
        <v/>
      </c>
      <c r="CC397" s="84">
        <f>IF($CB397="","",$CB397*(2+IF(N($Q397)&gt;0,IF($R397="LR",2,1),0)))</f>
        <v/>
      </c>
      <c r="CD397" s="84">
        <f>IF($CB397="","",(2+IF(N($Q397)&gt;0,IF($R397="LR",2,1),0)))</f>
        <v/>
      </c>
      <c r="CE397" s="84">
        <f>IF(N($BJ397)=0,"",IF(OR($AL397="",$AL397="FLUSH"),"FLUSH",IFERROR(LEFT($AL397,FIND("-",$AL397)-1),LEFT($AL397,2))))</f>
        <v/>
      </c>
      <c r="CF397" s="84">
        <f>IF($CE397="","",IFERROR(VALUE(MID($AL397,FIND("-",$AL397)+1,FIND(CHAR(34)&amp;"x",$AL397)-FIND("-",$AL397)-1)),0))</f>
        <v/>
      </c>
      <c r="CG397" s="84">
        <f>IF($CE397="","",IFERROR(VALUE(MID($AL397,FIND(CHAR(34)&amp;"x",$AL397)+2,FIND(CHAR(34),$AL397,FIND(CHAR(34)&amp;"x",$AL397)+2)-FIND(CHAR(34)&amp;"x",$AL397)-2)),0))</f>
        <v/>
      </c>
      <c r="CH397" s="90">
        <f>IF(OR($A397="",$H397="",$H397="NO LAB"),0,IFERROR(VALUE(LEFT($H397,FIND(" ",$H397)-1)),0))</f>
        <v/>
      </c>
      <c r="CI397" s="91">
        <f>IF(OR($A397="",$I397="",$I397="NON-RATED",N($J397)=0),"",IFERROR(VLOOKUP($I397&amp;"|"&amp;$J397,IBC,2,FALSE),"?"))</f>
        <v/>
      </c>
      <c r="CJ397" s="85">
        <f>IF(NOT(AND($A397&lt;&gt;"",$C397&lt;&gt;"DOOR ONLY")),"",TRIM(IFERROR(VLOOKUP($U397,CODES,2,FALSE),"")&amp;" "&amp;$BG397&amp;" "&amp;IFERROR(VLOOKUP($Z397,CODES,2,FALSE),"")&amp;" "&amp;IFERROR(VLOOKUP($X397,CODES,2,FALSE),"")&amp;" "&amp;IFERROR(VLOOKUP($S397,CODES,2,FALSE),"")&amp;IF(N($P397)&gt;0," w/TRANSOM "&amp;$P397&amp;CHAR(34),"")&amp;IF(N($Q397)&gt;0," w/SIDELITE "&amp;$Q397&amp;CHAR(34)&amp;" "&amp;IF($R397="","R",$R397),"")&amp;IF($Y397="","  |  "," | "&amp;IFERROR(VLOOKUP($Y397,CODES,2,FALSE),"")&amp;" | ")&amp;IFERROR(VLOOKUP($AC397,CODES,2,FALSE),"")&amp;" "&amp;IFERROR(VLOOKUP($AD397,CODES,2,FALSE),"")&amp;IF(OR($AE397="",$AE397="-"),""," "&amp;$AE397)&amp;IF(OR($AF397="",$AF397="-"),""," "&amp;$AF397)&amp;IF($AB397="Y"," 4"&amp;CHAR(34)&amp;" HEAD","")&amp;" "&amp;IFERROR(VLOOKUP($H397,CODES,2,FALSE),"")&amp;IF($CT397," | LOC "&amp;$CY397,"")))</f>
        <v/>
      </c>
      <c r="CK397" s="85">
        <f>IF(NOT(AND($A397&lt;&gt;"",N($BJ397)&gt;0)),"",TRIM(IFERROR(VLOOKUP($AH397,CODES,2,FALSE),"")&amp;IF($AI397=""," "," "&amp;$AI397&amp;"GA ")&amp;$BG397&amp;" "&amp;IF($AN397="",IFERROR(VLOOKUP($Z397,CODES,2,FALSE),""),IFERROR(VLOOKUP($AN397,CODES,2,FALSE),""))&amp;IF($BJ397=2," PAIR","")&amp;" DOOR | "&amp;IF($AL397="","?",$AL397)&amp;" | "&amp;IF($AO397="",IFERROR(VLOOKUP($AC397,CODES,2,FALSE),""),IFERROR(VLOOKUP($AO397,CODES,2,FALSE),""))&amp;" "&amp;IFERROR(VLOOKUP($AP397,CODES,2,FALSE),"")&amp;IF(OR($AQ397="",$AQ397="-"),""," SEAM "&amp;$AQ397)&amp;IF($AR397="Y"," ASTRAGAL","")&amp;IF($AJ397=""," "," "&amp;$AJ397)&amp;IF($AK397=""," "," "&amp;$AK397)&amp;IF(OR($AT397="",$AT397="ANSI/SDI",$AT397="CUSTOM LOC"),""," "&amp;$AT397)&amp;IF($AM397=""," "," SERIES "&amp;$AM397)&amp;" "&amp;IFERROR(VLOOKUP($H397,CODES,2,FALSE),"")&amp;IF($CT397," | LOC "&amp;$CZ397,"")))</f>
        <v/>
      </c>
      <c r="CL397" s="84">
        <f>IF(CP397="","",IF(COUNTIF($CP$6:CP397,CP397)=1,MAX($CL$5:CL396)+1,INDEX($CL$5:CL396,MATCH(CP397,$CP$5:CP396,0))))</f>
        <v/>
      </c>
      <c r="CM397" s="84">
        <f>IF(NOT(AND($A397&lt;&gt;"",$C397&lt;&gt;"DOOR ONLY")),"",MAX($CM$5:CM396)+1)</f>
        <v/>
      </c>
      <c r="CN397" s="84">
        <f>IF(NOT(AND($A397&lt;&gt;"",N($BJ397)&gt;0)),"",MAX($CN$5:CN396)+1)</f>
        <v/>
      </c>
      <c r="CO397" s="84">
        <f>IF($A397="","",MAX($CO$5:CO396)+1)</f>
        <v/>
      </c>
      <c r="CP397" s="84">
        <f>IF(OR($A397="",$BH397="",$BI397=""),"",$BG397&amp;"|"&amp;$O397&amp;"|"&amp;$AL397&amp;"|"&amp;$S397&amp;"|"&amp;$P397&amp;"|"&amp;$Q397&amp;$R397&amp;"|"&amp;$C397&amp;"|"&amp;$AB397)</f>
        <v/>
      </c>
      <c r="CQ397" s="84">
        <f>N($BS397)</f>
        <v/>
      </c>
      <c r="CR397" s="84">
        <f>IF(N($AU397)&gt;0,N($AU397),4.5)</f>
        <v/>
      </c>
      <c r="CS397" s="84">
        <f>OR($A397="",$BI397="",$S397="BL",AND($C397="FRAME ONLY",OR($AC397="",$AC397="BLK")))</f>
        <v/>
      </c>
      <c r="CT397" s="84">
        <f>AND(NOT($CS397),OR($AT397="CUSTOM LOC",N($AW397)+N($AX397)+N($AY397)+N($AZ397)+N($BA397)&gt;0))</f>
        <v/>
      </c>
      <c r="CU397" s="84">
        <f>IF($BI397="","",IF($BI397&lt;=80,80,IF($BI397&lt;=84,84,96)))</f>
        <v/>
      </c>
      <c r="CV397" s="84">
        <f>ISNUMBER(MATCH($AT397&amp;"|80",LocKeys,0))</f>
        <v/>
      </c>
      <c r="CW397" s="86">
        <f>IF($CS397,"",IF($CV397,VLOOKUP($AT397&amp;"|"&amp;$CU397,LocTable,4,FALSE),5))</f>
        <v/>
      </c>
      <c r="CX397" s="86">
        <f>IF($CS397,"",IF($CV397,IF(OR($BI397=$CU397,AND($BI397&lt;$CU397,$BI397-IF(N(VLOOKUP($AT397&amp;"|"&amp;$CU397,LocTable,7,FALSE))&gt;0,VLOOKUP($AT397&amp;"|"&amp;$CU397,LocTable,7,FALSE),VLOOKUP($AT397&amp;"|"&amp;$CU397,LocTable,6,FALSE))-$CR397-0.75&gt;=2.125)),IF(N(VLOOKUP($AT397&amp;"|"&amp;$CU397,LocTable,7,FALSE))&gt;0,VLOOKUP($AT397&amp;"|"&amp;$CU397,LocTable,7,FALSE),VLOOKUP($AT397&amp;"|"&amp;$CU397,LocTable,6,FALSE)),$BI397-($CU397-IF(N(VLOOKUP($AT397&amp;"|"&amp;$CU397,LocTable,7,FALSE))&gt;0,VLOOKUP($AT397&amp;"|"&amp;$CU397,LocTable,7,FALSE),VLOOKUP($AT397&amp;"|"&amp;$CU397,LocTable,6,FALSE)))),$BI397-10-$CR397))</f>
        <v/>
      </c>
      <c r="CY397" s="85">
        <f>IF($CS397,"",TRIM(IF(ISNUMBER($BU397),"A "&amp;TRIM(TEXT($BU397,"# ?/??"))&amp;CHAR(34)&amp;"  ","")&amp;IF(ISNUMBER($BV397),"B "&amp;TRIM(TEXT($BV397,"# ?/??"))&amp;CHAR(34)&amp;"  ","")&amp;IF(ISNUMBER($BW397),"C "&amp;TRIM(TEXT($BW397,"# ?/??"))&amp;CHAR(34)&amp;"  ","")&amp;IF(ISNUMBER($BX397),"D "&amp;TRIM(TEXT($BX397,"# ?/??"))&amp;CHAR(34)&amp;"  ","")&amp;IF(ISNUMBER($BY397),"F "&amp;TRIM(TEXT($BY397,"# ?/??"))&amp;CHAR(34)&amp;"  ","")&amp;IF(ISNUMBER($BZ397),"E "&amp;TRIM(TEXT($BZ397,"# ?/??"))&amp;CHAR(34)&amp;"  ","")))</f>
        <v/>
      </c>
      <c r="CZ397" s="85">
        <f>IF(OR($CS397,N($BJ397)=0),"",TRIM(IF(ISNUMBER($BU397),"A "&amp;TRIM(TEXT($BU397-HeadClr,"# ?/??"))&amp;CHAR(34)&amp;"  ","")&amp;IF(ISNUMBER($BV397),"B "&amp;TRIM(TEXT($BV397-HeadClr,"# ?/??"))&amp;CHAR(34)&amp;"  ","")&amp;IF(ISNUMBER($BW397),"C "&amp;TRIM(TEXT($BW397-HeadClr,"# ?/??"))&amp;CHAR(34)&amp;"  ","")&amp;IF(ISNUMBER($BX397),"D "&amp;TRIM(TEXT($BX397-HeadClr,"# ?/??"))&amp;CHAR(34)&amp;"  ","")&amp;IF(ISNUMBER($BY397),"F "&amp;TRIM(TEXT($BY397-HeadClr,"# ?/??"))&amp;CHAR(34)&amp;"  ","")&amp;IF(ISNUMBER($BZ397),"E "&amp;TRIM(TEXT($BZ397-HeadClr,"# ?/??"))&amp;CHAR(34)&amp;"  ","")))</f>
        <v/>
      </c>
      <c r="DA397" s="84">
        <f>IF($A397="","",IF($AN397="",IFERROR(VLOOKUP($Z397,CODES,2,FALSE),""),IFERROR(VLOOKUP($AN397,CODES,2,FALSE),"")))</f>
        <v/>
      </c>
      <c r="DB397" s="84">
        <f>IF($A397="","",IF($O397="Y","PR",IF(OR($Z397="L",$Z397="RR",LEFT($Z397,2)="L-",LEFT($Z397,3)="RR-"),"LH","RH")))</f>
        <v/>
      </c>
      <c r="DC397" s="84">
        <f>IF($A397="","","S.HM"&amp;IF(OR($C397="DOOR ONLY",$X397&lt;&gt;"KD"),"MASONRY","DRYWALL")&amp;IF($C397="DOOR ONLY","",$U397)&amp;IF(AND($C397&lt;&gt;"FRAME ONLY",OR(LEFT($AH397,3)="OAK",LEFT($AH397,3)="BIR",LEFT($AH397,3)="MAP",$AH397="PC",$AH397="MC",$AH397="SCLC",$AH397="P-LAM")),"WD","HM")&amp;"1.75")</f>
        <v/>
      </c>
      <c r="DD397" s="84">
        <f>IF($CJ397="","",IF($O397="Y",$CJ397,SUBSTITUTE($CJ397,$BG397&amp;" "&amp;IFERROR(VLOOKUP($Z397,CODES,2,FALSE),"")&amp;" ",$BG397&amp;" ")))</f>
        <v/>
      </c>
      <c r="DE397" s="84">
        <f>IF($CK397="","",IF($O397="Y",$CK397,SUBSTITUTE($CK397,$BG397&amp;" "&amp;IF($AN397="",IFERROR(VLOOKUP($Z397,CODES,2,FALSE),""),IFERROR(VLOOKUP($AN397,CODES,2,FALSE),""))&amp;" ",$BG397&amp;" ")))</f>
        <v/>
      </c>
      <c r="DF397" s="84">
        <f>IF($CJ397="","",$DC397&amp;"|"&amp;$DD397&amp;"|"&amp;$DB397&amp;"|"&amp;$AT397&amp;"|"&amp;$V397&amp;"|"&amp;$Y397&amp;"|"&amp;$AB397)</f>
        <v/>
      </c>
      <c r="DG397" s="84">
        <f>IF(DF397="","",IF(COUNTIF($DF$6:DF397,DF397)=1,MAX($DG$5:DG396)+1,INDEX($DG$5:DG396,MATCH(DF397,$DF$5:DF396,0))))</f>
        <v/>
      </c>
      <c r="DH397" s="84">
        <f>IF($CK397="","",$DC397&amp;"|"&amp;$DE397&amp;"|"&amp;$AI397&amp;"|"&amp;$BK397&amp;"|"&amp;$BL397)</f>
        <v/>
      </c>
      <c r="DI397" s="84">
        <f>IF(DH397="","",IF(COUNTIF($DH$6:DH397,DH397)=1,MAX($DI$5:DI396)+1,INDEX($DI$5:DI396,MATCH(DH397,$DH$5:DH396,0))))</f>
        <v/>
      </c>
      <c r="DJ397" s="84">
        <f>IF($A397="","",IF($B397="","qty, ","")&amp;IF($C397="","scope, ","")&amp;IF(OR($K397="",$M397=""),"size, ","")&amp;IF(AND($A397&lt;&gt;"",$C397&lt;&gt;"DOOR ONLY"),IF($U397="","jamb depth, ","")&amp;IF($X397="","construction, ","")&amp;IF($Y397="","anchor, ","")&amp;IF($S397="","frame type, ",""),"")&amp;IF(AND(N($BJ397)&gt;0,$Z397=""),"hand, ","")&amp;IF(N($BJ397)&gt;0,IF($AH397="","door material, ","")&amp;IF($AL397="","face type, ","")&amp;IF($AP397="","lock prep, ","")&amp;IF(AND($AO397="",$AC397=""),"hinge prep, ",""),"")&amp;IF(AND($CH397&gt;0,$AH397="FRP"),"FRP cannot carry a label, ","")&amp;IF(AND($O397="Y",OR($Z397="L",$Z397="R",$Z397="LR",$Z397="RR")),"pair marked but hand is single, ","")&amp;IF(AND($O397&lt;&gt;"Y",OR($Z397="PR",AND(LEN($Z397)&gt;1,ISNUMBER(SEARCH("-",$Z397))))),"pair hand on a single door, ","")&amp;IF(AND(ISNUMBER($CI397),$CH397&lt;N($CI397)),"wall needs a "&amp;$CI397&amp;" min door, ","")&amp;IF(AND($CH397&gt;=180,AND(OR($CE397="FG",$CE397="HG",$CE397="FNV",$CE397="FV"),N($CF397)*N($CG397)&gt;100)),"180 min lite over 100 sq in, ","")&amp;IF(N($BK397)&gt;48,"leaf wider than 4'-0"&amp;CHAR(34)&amp;", ","")&amp;IF(AND($CT397,COUNT($AW397:$AZ397)=0,$CQ397&gt;0),"CUSTOM LOC with no locations typed, ",""))</f>
        <v/>
      </c>
      <c r="DK397" s="84">
        <f>IF($A397="","",IF(AND($CH397&gt;0,AND($A397&lt;&gt;"",$C397&lt;&gt;"DOOR ONLY"),$X397="KD",$E397="EXTERIOR"),"KD label on an exterior opening, ","")&amp;IF(AND($E397="EXTERIOR",OR(AND(AND($A397&lt;&gt;"",$C397&lt;&gt;"DOOR ONLY"),$W397="CR"),AND(N($BJ397)&gt;0,$AH397="CR"))),"exterior in CR steel (G9?), ","")&amp;IF(AND(ISNUMBER($BQ397),N($BQ397)&lt;32),"clear width ~"&amp;TEXT($BQ397,"0.0")&amp;CHAR(34)&amp;" under 32"&amp;CHAR(34)&amp;" (ADA), ","")&amp;IF(AND($CH397=90,AND(OR($CE397="FG",$CE397="HG",$CE397="FNV",$CE397="FV"),N($CF397)*N($CG397)&gt;100)),"90 min lite over 100 sq in (stair/exit), ","")&amp;IF(AND($CH397&gt;0,AND($A397&lt;&gt;"",$C397&lt;&gt;"DOOR ONLY"),OR($AF397="",$AF397="-")),"rated: closer reinf.?, ","")&amp;IF(OR($I397="CORRIDOR",$I397="SMOKE BARRIER"),"S label + smoke gasketing, ","")&amp;IF($CI397="?","wall type/hr not in IBC table, ","")&amp;IF(AND(N($BJ397)&gt;0,$BB397=""),"no hardware set, ","")&amp;IF(AND($BB397&lt;&gt;"",ISNA(MATCH($BB397&amp;"",HWSets,0))),"set "&amp;$BB397&amp;" not on HW Sets, ","")&amp;IF(N($BL397)&gt;96,"leaf over 8'-0"&amp;CHAR(34)&amp;" - check listing, ","")&amp;IF(AND($CT397,COUNT($AW397:$AZ397)&gt;0,COUNT($AW397:$AZ397)&lt;&gt;$CQ397),COUNT($AW397:$AZ397)&amp;" custom hinges typed, "&amp;$CQ397&amp;" expected, ","")&amp;IF(AND(ISNUMBER($CA397),OR(N($CA397)&lt;34,N($CA397)&gt;48)),"lock "&amp;TEXT($CA397,"0.0")&amp;CHAR(34)&amp;" AFF outside 34-48"&amp;CHAR(34)&amp;" (ADA), ","")&amp;IF(AND(ISNUMBER($AV397),ISNUMBER($BL397),N($AV397)&lt;IF(N($BL397)&lt;=60,2,IF(N($BL397)&lt;=90,3,IF(N($BL397)&lt;=120,4,5)))),"fewer hinges than standard, ",""))</f>
        <v/>
      </c>
    </row>
    <row r="398" ht="15" customHeight="1">
      <c r="A398" s="77" t="n"/>
      <c r="B398" s="78" t="n"/>
      <c r="C398" s="78" t="n"/>
      <c r="D398" s="78" t="n"/>
      <c r="E398" s="78" t="n"/>
      <c r="F398" s="78" t="n"/>
      <c r="G398" s="78" t="n"/>
      <c r="H398" s="78" t="n"/>
      <c r="I398" s="78" t="n"/>
      <c r="J398" s="78" t="n"/>
      <c r="K398" s="78" t="n"/>
      <c r="L398" s="78" t="n"/>
      <c r="M398" s="78" t="n"/>
      <c r="N398" s="78" t="n"/>
      <c r="O398" s="78" t="n"/>
      <c r="P398" s="78" t="n"/>
      <c r="Q398" s="78" t="n"/>
      <c r="R398" s="78" t="n"/>
      <c r="S398" s="79" t="n"/>
      <c r="T398" s="79" t="n"/>
      <c r="U398" s="79" t="n"/>
      <c r="V398" s="79" t="n"/>
      <c r="W398" s="79" t="n"/>
      <c r="X398" s="79" t="n"/>
      <c r="Y398" s="79" t="n"/>
      <c r="Z398" s="79" t="n"/>
      <c r="AA398" s="79" t="n"/>
      <c r="AB398" s="79" t="n"/>
      <c r="AC398" s="79" t="n"/>
      <c r="AD398" s="79" t="n"/>
      <c r="AE398" s="79" t="n"/>
      <c r="AF398" s="79" t="n"/>
      <c r="AG398" s="79" t="n"/>
      <c r="AH398" s="80" t="n"/>
      <c r="AI398" s="80" t="n"/>
      <c r="AJ398" s="80" t="n"/>
      <c r="AK398" s="80" t="n"/>
      <c r="AL398" s="80" t="n"/>
      <c r="AM398" s="80" t="n"/>
      <c r="AN398" s="80" t="n"/>
      <c r="AO398" s="80" t="n"/>
      <c r="AP398" s="80" t="n"/>
      <c r="AQ398" s="80" t="n"/>
      <c r="AR398" s="80" t="n"/>
      <c r="AS398" s="80" t="n"/>
      <c r="AT398" s="81" t="n"/>
      <c r="AU398" s="81" t="n"/>
      <c r="AV398" s="81" t="n"/>
      <c r="AW398" s="82" t="n"/>
      <c r="AX398" s="82" t="n"/>
      <c r="AY398" s="82" t="n"/>
      <c r="AZ398" s="82" t="n"/>
      <c r="BA398" s="82" t="n"/>
      <c r="BB398" s="83" t="n"/>
      <c r="BC398" s="83" t="n"/>
      <c r="BD398" s="84">
        <f>IF($A398="","",IF($DJ398&lt;&gt;"","FIX",IF($DK398&lt;&gt;"","CHECK","OK")))</f>
        <v/>
      </c>
      <c r="BE398" s="85">
        <f>IF($A398="","",IF($DJ398&lt;&gt;"","FIX: "&amp;LEFT($DJ398,LEN($DJ398)-2)&amp;IF($DK398&lt;&gt;"","  ·  ",""),"")&amp;IF($DK398&lt;&gt;"","CHECK: "&amp;LEFT($DK398,LEN($DK398)-2),""))</f>
        <v/>
      </c>
      <c r="BF398" s="84">
        <f>IF(OR($A398="",$K398=""),"",$K398&amp;"'-"&amp;N($L398)&amp;CHAR(34)&amp;" x "&amp;$M398&amp;"'-"&amp;N($N398)&amp;CHAR(34))</f>
        <v/>
      </c>
      <c r="BG398" s="84">
        <f>IF(OR($A398="",$K398=""),"",$K398&amp;N($L398)&amp;$M398&amp;N($N398))</f>
        <v/>
      </c>
      <c r="BH398" s="84">
        <f>IF(OR($A398="",$K398=""),"",$K398*12+N($L398))</f>
        <v/>
      </c>
      <c r="BI398" s="84">
        <f>IF(OR($A398="",$M398=""),"",$M398*12+N($N398))</f>
        <v/>
      </c>
      <c r="BJ398" s="84">
        <f>IF($A398="","",IF(OR($C398="FRAME ONLY",$S398="BL"),0,IF($O398="Y",2,1)))</f>
        <v/>
      </c>
      <c r="BK398" s="86">
        <f>IF(OR(N($BJ398)=0,$BH398=""),"",($BH398-2*EdgeClr-IF($BJ398=2,MeetClr,0))/$BJ398)</f>
        <v/>
      </c>
      <c r="BL398" s="86">
        <f>IF(OR(N($BJ398)=0,$BI398=""),"",$BI398-HeadClr-Undercut)</f>
        <v/>
      </c>
      <c r="BM398" s="86">
        <f>IF($BH398="","",$BH398+2*FaceW+IF(N($Q398)&gt;0,($Q398+FaceW)*IF($R398="LR",2,1),0))</f>
        <v/>
      </c>
      <c r="BN398" s="86">
        <f>IF($BI398="","",$BI398+IF($AB398="Y",4,FaceW)+IF(N($P398)&gt;0,$P398+FaceW,0)+IF(OR($S398="4F",$S398="BL"),FaceW,0))</f>
        <v/>
      </c>
      <c r="BO398" s="86">
        <f>IF($BM398="","",$BM398+2*ROSide)</f>
        <v/>
      </c>
      <c r="BP398" s="86">
        <f>IF($BN398="","",$BN398+ROTop)</f>
        <v/>
      </c>
      <c r="BQ398" s="87">
        <f>IF(OR(N($BJ398)=0,$BH398=""),"",$BH398/$BJ398-ClearDeduct)</f>
        <v/>
      </c>
      <c r="BR398" s="84">
        <f>IF(N($CH398)=0,"",IF($CH398&gt;=180,"A · 3 HR",IF($CH398&gt;=90,"B · 1-1/2 HR",IF($CH398&gt;=60,"B · 1 HR",IF($CH398&gt;=45,"C · 3/4 HR","20 MIN")))))&amp;IF(AND(N($CH398)&gt;0,OR($I398="CORRIDOR",$I398="SMOKE BARRIER"))," · S","")</f>
        <v/>
      </c>
      <c r="BS398" s="84">
        <f>IF($CS398,"",IF($AV398&lt;&gt;"",$AV398,IF(OR($AC398="HGC",$AO398="HGC"),"CONT",IF(($BI398-HeadClr-Undercut)&lt;=60,2,IF(($BI398-HeadClr-Undercut)&lt;=90,3,IF(($BI398-HeadClr-Undercut)&lt;=120,4,5))))))</f>
        <v/>
      </c>
      <c r="BT398" s="84">
        <f>IF($CS398,"",IF($CT398,"CUSTOM (typed)",IF($CV398,$AT398&amp;" "&amp;$CU398&amp;CHAR(34)&amp;IF($CU398&lt;&gt;$BI398,IF(AND($BI398&lt;$CU398,$BI398-IF(N(VLOOKUP($AT398&amp;"|"&amp;$CU398,LocTable,7,FALSE))&gt;0,VLOOKUP($AT398&amp;"|"&amp;$CU398,LocTable,7,FALSE),VLOOKUP($AT398&amp;"|"&amp;$CU398,LocTable,6,FALSE))-$CR398-0.75&gt;=2.125)," cut down"," adj."),""),"ANSI/SDI A250.6")))</f>
        <v/>
      </c>
      <c r="BU398" s="88">
        <f>IF($CS398,"",IF($CT398,IF(N($AW398)&gt;0,N($AW398),""),IF(1&gt;$CQ398,"",IF($CQ398=1,$CW398,$CW398+($CX398-$CW398)*0/($CQ398-1)))))</f>
        <v/>
      </c>
      <c r="BV398" s="88">
        <f>IF($CS398,"",IF($CT398,IF(N($AX398)&gt;0,N($AX398),""),IF(2&gt;$CQ398,"",IF($CQ398=1,$CW398,$CW398+($CX398-$CW398)*1/($CQ398-1)))))</f>
        <v/>
      </c>
      <c r="BW398" s="88">
        <f>IF($CS398,"",IF($CT398,IF(N($AY398)&gt;0,N($AY398),""),IF(3&gt;$CQ398,"",IF($CQ398=1,$CW398,$CW398+($CX398-$CW398)*2/($CQ398-1)))))</f>
        <v/>
      </c>
      <c r="BX398" s="88">
        <f>IF($CS398,"",IF($CT398,IF(N($AZ398)&gt;0,N($AZ398),""),IF(4&gt;$CQ398,"",IF($CQ398=1,$CW398,$CW398+($CX398-$CW398)*3/($CQ398-1)))))</f>
        <v/>
      </c>
      <c r="BY398" s="88">
        <f>IF($CS398,"",IF($CT398,"",IF(5&gt;$CQ398,"",IF($CQ398=1,$CW398,$CW398+($CX398-$CW398)*4/($CQ398-1)))))</f>
        <v/>
      </c>
      <c r="BZ398" s="88">
        <f>IF(OR($CS398,$AP398="-",AND($AP398="",$AD398="")),"",IF(N($BA398)&gt;0,N($BA398),IF($CV398,IF(AND($BI398&lt;$CU398,$BI398-IF(N(VLOOKUP($AT398&amp;"|"&amp;$CU398,LocTable,7,FALSE))&gt;0,VLOOKUP($AT398&amp;"|"&amp;$CU398,LocTable,7,FALSE),VLOOKUP($AT398&amp;"|"&amp;$CU398,LocTable,6,FALSE))-$CR398-0.75&gt;=2.125),VLOOKUP($AT398&amp;"|"&amp;$CU398,LocTable,8,FALSE),VLOOKUP($AT398&amp;"|"&amp;$CU398,LocTable,8,FALSE)+($BI398-$CU398)),$BI398-LockAFF)))</f>
        <v/>
      </c>
      <c r="CA398" s="89">
        <f>IF($BZ398="","",$BI398-$BZ398)</f>
        <v/>
      </c>
      <c r="CB398" s="84">
        <f>IF(OR(NOT(AND($A398&lt;&gt;"",$C398&lt;&gt;"DOOR ONLY")),$BI398=""),"",IF(($BI398+IF(N($P398)&gt;0,$P398+FaceW,0))&lt;=90,3,IF(($BI398+IF(N($P398)&gt;0,$P398+FaceW,0))&lt;=114,4,5)))</f>
        <v/>
      </c>
      <c r="CC398" s="84">
        <f>IF($CB398="","",$CB398*(2+IF(N($Q398)&gt;0,IF($R398="LR",2,1),0)))</f>
        <v/>
      </c>
      <c r="CD398" s="84">
        <f>IF($CB398="","",(2+IF(N($Q398)&gt;0,IF($R398="LR",2,1),0)))</f>
        <v/>
      </c>
      <c r="CE398" s="84">
        <f>IF(N($BJ398)=0,"",IF(OR($AL398="",$AL398="FLUSH"),"FLUSH",IFERROR(LEFT($AL398,FIND("-",$AL398)-1),LEFT($AL398,2))))</f>
        <v/>
      </c>
      <c r="CF398" s="84">
        <f>IF($CE398="","",IFERROR(VALUE(MID($AL398,FIND("-",$AL398)+1,FIND(CHAR(34)&amp;"x",$AL398)-FIND("-",$AL398)-1)),0))</f>
        <v/>
      </c>
      <c r="CG398" s="84">
        <f>IF($CE398="","",IFERROR(VALUE(MID($AL398,FIND(CHAR(34)&amp;"x",$AL398)+2,FIND(CHAR(34),$AL398,FIND(CHAR(34)&amp;"x",$AL398)+2)-FIND(CHAR(34)&amp;"x",$AL398)-2)),0))</f>
        <v/>
      </c>
      <c r="CH398" s="90">
        <f>IF(OR($A398="",$H398="",$H398="NO LAB"),0,IFERROR(VALUE(LEFT($H398,FIND(" ",$H398)-1)),0))</f>
        <v/>
      </c>
      <c r="CI398" s="91">
        <f>IF(OR($A398="",$I398="",$I398="NON-RATED",N($J398)=0),"",IFERROR(VLOOKUP($I398&amp;"|"&amp;$J398,IBC,2,FALSE),"?"))</f>
        <v/>
      </c>
      <c r="CJ398" s="85">
        <f>IF(NOT(AND($A398&lt;&gt;"",$C398&lt;&gt;"DOOR ONLY")),"",TRIM(IFERROR(VLOOKUP($U398,CODES,2,FALSE),"")&amp;" "&amp;$BG398&amp;" "&amp;IFERROR(VLOOKUP($Z398,CODES,2,FALSE),"")&amp;" "&amp;IFERROR(VLOOKUP($X398,CODES,2,FALSE),"")&amp;" "&amp;IFERROR(VLOOKUP($S398,CODES,2,FALSE),"")&amp;IF(N($P398)&gt;0," w/TRANSOM "&amp;$P398&amp;CHAR(34),"")&amp;IF(N($Q398)&gt;0," w/SIDELITE "&amp;$Q398&amp;CHAR(34)&amp;" "&amp;IF($R398="","R",$R398),"")&amp;IF($Y398="","  |  "," | "&amp;IFERROR(VLOOKUP($Y398,CODES,2,FALSE),"")&amp;" | ")&amp;IFERROR(VLOOKUP($AC398,CODES,2,FALSE),"")&amp;" "&amp;IFERROR(VLOOKUP($AD398,CODES,2,FALSE),"")&amp;IF(OR($AE398="",$AE398="-"),""," "&amp;$AE398)&amp;IF(OR($AF398="",$AF398="-"),""," "&amp;$AF398)&amp;IF($AB398="Y"," 4"&amp;CHAR(34)&amp;" HEAD","")&amp;" "&amp;IFERROR(VLOOKUP($H398,CODES,2,FALSE),"")&amp;IF($CT398," | LOC "&amp;$CY398,"")))</f>
        <v/>
      </c>
      <c r="CK398" s="85">
        <f>IF(NOT(AND($A398&lt;&gt;"",N($BJ398)&gt;0)),"",TRIM(IFERROR(VLOOKUP($AH398,CODES,2,FALSE),"")&amp;IF($AI398=""," "," "&amp;$AI398&amp;"GA ")&amp;$BG398&amp;" "&amp;IF($AN398="",IFERROR(VLOOKUP($Z398,CODES,2,FALSE),""),IFERROR(VLOOKUP($AN398,CODES,2,FALSE),""))&amp;IF($BJ398=2," PAIR","")&amp;" DOOR | "&amp;IF($AL398="","?",$AL398)&amp;" | "&amp;IF($AO398="",IFERROR(VLOOKUP($AC398,CODES,2,FALSE),""),IFERROR(VLOOKUP($AO398,CODES,2,FALSE),""))&amp;" "&amp;IFERROR(VLOOKUP($AP398,CODES,2,FALSE),"")&amp;IF(OR($AQ398="",$AQ398="-"),""," SEAM "&amp;$AQ398)&amp;IF($AR398="Y"," ASTRAGAL","")&amp;IF($AJ398=""," "," "&amp;$AJ398)&amp;IF($AK398=""," "," "&amp;$AK398)&amp;IF(OR($AT398="",$AT398="ANSI/SDI",$AT398="CUSTOM LOC"),""," "&amp;$AT398)&amp;IF($AM398=""," "," SERIES "&amp;$AM398)&amp;" "&amp;IFERROR(VLOOKUP($H398,CODES,2,FALSE),"")&amp;IF($CT398," | LOC "&amp;$CZ398,"")))</f>
        <v/>
      </c>
      <c r="CL398" s="84">
        <f>IF(CP398="","",IF(COUNTIF($CP$6:CP398,CP398)=1,MAX($CL$5:CL397)+1,INDEX($CL$5:CL397,MATCH(CP398,$CP$5:CP397,0))))</f>
        <v/>
      </c>
      <c r="CM398" s="84">
        <f>IF(NOT(AND($A398&lt;&gt;"",$C398&lt;&gt;"DOOR ONLY")),"",MAX($CM$5:CM397)+1)</f>
        <v/>
      </c>
      <c r="CN398" s="84">
        <f>IF(NOT(AND($A398&lt;&gt;"",N($BJ398)&gt;0)),"",MAX($CN$5:CN397)+1)</f>
        <v/>
      </c>
      <c r="CO398" s="84">
        <f>IF($A398="","",MAX($CO$5:CO397)+1)</f>
        <v/>
      </c>
      <c r="CP398" s="84">
        <f>IF(OR($A398="",$BH398="",$BI398=""),"",$BG398&amp;"|"&amp;$O398&amp;"|"&amp;$AL398&amp;"|"&amp;$S398&amp;"|"&amp;$P398&amp;"|"&amp;$Q398&amp;$R398&amp;"|"&amp;$C398&amp;"|"&amp;$AB398)</f>
        <v/>
      </c>
      <c r="CQ398" s="84">
        <f>N($BS398)</f>
        <v/>
      </c>
      <c r="CR398" s="84">
        <f>IF(N($AU398)&gt;0,N($AU398),4.5)</f>
        <v/>
      </c>
      <c r="CS398" s="84">
        <f>OR($A398="",$BI398="",$S398="BL",AND($C398="FRAME ONLY",OR($AC398="",$AC398="BLK")))</f>
        <v/>
      </c>
      <c r="CT398" s="84">
        <f>AND(NOT($CS398),OR($AT398="CUSTOM LOC",N($AW398)+N($AX398)+N($AY398)+N($AZ398)+N($BA398)&gt;0))</f>
        <v/>
      </c>
      <c r="CU398" s="84">
        <f>IF($BI398="","",IF($BI398&lt;=80,80,IF($BI398&lt;=84,84,96)))</f>
        <v/>
      </c>
      <c r="CV398" s="84">
        <f>ISNUMBER(MATCH($AT398&amp;"|80",LocKeys,0))</f>
        <v/>
      </c>
      <c r="CW398" s="86">
        <f>IF($CS398,"",IF($CV398,VLOOKUP($AT398&amp;"|"&amp;$CU398,LocTable,4,FALSE),5))</f>
        <v/>
      </c>
      <c r="CX398" s="86">
        <f>IF($CS398,"",IF($CV398,IF(OR($BI398=$CU398,AND($BI398&lt;$CU398,$BI398-IF(N(VLOOKUP($AT398&amp;"|"&amp;$CU398,LocTable,7,FALSE))&gt;0,VLOOKUP($AT398&amp;"|"&amp;$CU398,LocTable,7,FALSE),VLOOKUP($AT398&amp;"|"&amp;$CU398,LocTable,6,FALSE))-$CR398-0.75&gt;=2.125)),IF(N(VLOOKUP($AT398&amp;"|"&amp;$CU398,LocTable,7,FALSE))&gt;0,VLOOKUP($AT398&amp;"|"&amp;$CU398,LocTable,7,FALSE),VLOOKUP($AT398&amp;"|"&amp;$CU398,LocTable,6,FALSE)),$BI398-($CU398-IF(N(VLOOKUP($AT398&amp;"|"&amp;$CU398,LocTable,7,FALSE))&gt;0,VLOOKUP($AT398&amp;"|"&amp;$CU398,LocTable,7,FALSE),VLOOKUP($AT398&amp;"|"&amp;$CU398,LocTable,6,FALSE)))),$BI398-10-$CR398))</f>
        <v/>
      </c>
      <c r="CY398" s="85">
        <f>IF($CS398,"",TRIM(IF(ISNUMBER($BU398),"A "&amp;TRIM(TEXT($BU398,"# ?/??"))&amp;CHAR(34)&amp;"  ","")&amp;IF(ISNUMBER($BV398),"B "&amp;TRIM(TEXT($BV398,"# ?/??"))&amp;CHAR(34)&amp;"  ","")&amp;IF(ISNUMBER($BW398),"C "&amp;TRIM(TEXT($BW398,"# ?/??"))&amp;CHAR(34)&amp;"  ","")&amp;IF(ISNUMBER($BX398),"D "&amp;TRIM(TEXT($BX398,"# ?/??"))&amp;CHAR(34)&amp;"  ","")&amp;IF(ISNUMBER($BY398),"F "&amp;TRIM(TEXT($BY398,"# ?/??"))&amp;CHAR(34)&amp;"  ","")&amp;IF(ISNUMBER($BZ398),"E "&amp;TRIM(TEXT($BZ398,"# ?/??"))&amp;CHAR(34)&amp;"  ","")))</f>
        <v/>
      </c>
      <c r="CZ398" s="85">
        <f>IF(OR($CS398,N($BJ398)=0),"",TRIM(IF(ISNUMBER($BU398),"A "&amp;TRIM(TEXT($BU398-HeadClr,"# ?/??"))&amp;CHAR(34)&amp;"  ","")&amp;IF(ISNUMBER($BV398),"B "&amp;TRIM(TEXT($BV398-HeadClr,"# ?/??"))&amp;CHAR(34)&amp;"  ","")&amp;IF(ISNUMBER($BW398),"C "&amp;TRIM(TEXT($BW398-HeadClr,"# ?/??"))&amp;CHAR(34)&amp;"  ","")&amp;IF(ISNUMBER($BX398),"D "&amp;TRIM(TEXT($BX398-HeadClr,"# ?/??"))&amp;CHAR(34)&amp;"  ","")&amp;IF(ISNUMBER($BY398),"F "&amp;TRIM(TEXT($BY398-HeadClr,"# ?/??"))&amp;CHAR(34)&amp;"  ","")&amp;IF(ISNUMBER($BZ398),"E "&amp;TRIM(TEXT($BZ398-HeadClr,"# ?/??"))&amp;CHAR(34)&amp;"  ","")))</f>
        <v/>
      </c>
      <c r="DA398" s="84">
        <f>IF($A398="","",IF($AN398="",IFERROR(VLOOKUP($Z398,CODES,2,FALSE),""),IFERROR(VLOOKUP($AN398,CODES,2,FALSE),"")))</f>
        <v/>
      </c>
      <c r="DB398" s="84">
        <f>IF($A398="","",IF($O398="Y","PR",IF(OR($Z398="L",$Z398="RR",LEFT($Z398,2)="L-",LEFT($Z398,3)="RR-"),"LH","RH")))</f>
        <v/>
      </c>
      <c r="DC398" s="84">
        <f>IF($A398="","","S.HM"&amp;IF(OR($C398="DOOR ONLY",$X398&lt;&gt;"KD"),"MASONRY","DRYWALL")&amp;IF($C398="DOOR ONLY","",$U398)&amp;IF(AND($C398&lt;&gt;"FRAME ONLY",OR(LEFT($AH398,3)="OAK",LEFT($AH398,3)="BIR",LEFT($AH398,3)="MAP",$AH398="PC",$AH398="MC",$AH398="SCLC",$AH398="P-LAM")),"WD","HM")&amp;"1.75")</f>
        <v/>
      </c>
      <c r="DD398" s="84">
        <f>IF($CJ398="","",IF($O398="Y",$CJ398,SUBSTITUTE($CJ398,$BG398&amp;" "&amp;IFERROR(VLOOKUP($Z398,CODES,2,FALSE),"")&amp;" ",$BG398&amp;" ")))</f>
        <v/>
      </c>
      <c r="DE398" s="84">
        <f>IF($CK398="","",IF($O398="Y",$CK398,SUBSTITUTE($CK398,$BG398&amp;" "&amp;IF($AN398="",IFERROR(VLOOKUP($Z398,CODES,2,FALSE),""),IFERROR(VLOOKUP($AN398,CODES,2,FALSE),""))&amp;" ",$BG398&amp;" ")))</f>
        <v/>
      </c>
      <c r="DF398" s="84">
        <f>IF($CJ398="","",$DC398&amp;"|"&amp;$DD398&amp;"|"&amp;$DB398&amp;"|"&amp;$AT398&amp;"|"&amp;$V398&amp;"|"&amp;$Y398&amp;"|"&amp;$AB398)</f>
        <v/>
      </c>
      <c r="DG398" s="84">
        <f>IF(DF398="","",IF(COUNTIF($DF$6:DF398,DF398)=1,MAX($DG$5:DG397)+1,INDEX($DG$5:DG397,MATCH(DF398,$DF$5:DF397,0))))</f>
        <v/>
      </c>
      <c r="DH398" s="84">
        <f>IF($CK398="","",$DC398&amp;"|"&amp;$DE398&amp;"|"&amp;$AI398&amp;"|"&amp;$BK398&amp;"|"&amp;$BL398)</f>
        <v/>
      </c>
      <c r="DI398" s="84">
        <f>IF(DH398="","",IF(COUNTIF($DH$6:DH398,DH398)=1,MAX($DI$5:DI397)+1,INDEX($DI$5:DI397,MATCH(DH398,$DH$5:DH397,0))))</f>
        <v/>
      </c>
      <c r="DJ398" s="84">
        <f>IF($A398="","",IF($B398="","qty, ","")&amp;IF($C398="","scope, ","")&amp;IF(OR($K398="",$M398=""),"size, ","")&amp;IF(AND($A398&lt;&gt;"",$C398&lt;&gt;"DOOR ONLY"),IF($U398="","jamb depth, ","")&amp;IF($X398="","construction, ","")&amp;IF($Y398="","anchor, ","")&amp;IF($S398="","frame type, ",""),"")&amp;IF(AND(N($BJ398)&gt;0,$Z398=""),"hand, ","")&amp;IF(N($BJ398)&gt;0,IF($AH398="","door material, ","")&amp;IF($AL398="","face type, ","")&amp;IF($AP398="","lock prep, ","")&amp;IF(AND($AO398="",$AC398=""),"hinge prep, ",""),"")&amp;IF(AND($CH398&gt;0,$AH398="FRP"),"FRP cannot carry a label, ","")&amp;IF(AND($O398="Y",OR($Z398="L",$Z398="R",$Z398="LR",$Z398="RR")),"pair marked but hand is single, ","")&amp;IF(AND($O398&lt;&gt;"Y",OR($Z398="PR",AND(LEN($Z398)&gt;1,ISNUMBER(SEARCH("-",$Z398))))),"pair hand on a single door, ","")&amp;IF(AND(ISNUMBER($CI398),$CH398&lt;N($CI398)),"wall needs a "&amp;$CI398&amp;" min door, ","")&amp;IF(AND($CH398&gt;=180,AND(OR($CE398="FG",$CE398="HG",$CE398="FNV",$CE398="FV"),N($CF398)*N($CG398)&gt;100)),"180 min lite over 100 sq in, ","")&amp;IF(N($BK398)&gt;48,"leaf wider than 4'-0"&amp;CHAR(34)&amp;", ","")&amp;IF(AND($CT398,COUNT($AW398:$AZ398)=0,$CQ398&gt;0),"CUSTOM LOC with no locations typed, ",""))</f>
        <v/>
      </c>
      <c r="DK398" s="84">
        <f>IF($A398="","",IF(AND($CH398&gt;0,AND($A398&lt;&gt;"",$C398&lt;&gt;"DOOR ONLY"),$X398="KD",$E398="EXTERIOR"),"KD label on an exterior opening, ","")&amp;IF(AND($E398="EXTERIOR",OR(AND(AND($A398&lt;&gt;"",$C398&lt;&gt;"DOOR ONLY"),$W398="CR"),AND(N($BJ398)&gt;0,$AH398="CR"))),"exterior in CR steel (G9?), ","")&amp;IF(AND(ISNUMBER($BQ398),N($BQ398)&lt;32),"clear width ~"&amp;TEXT($BQ398,"0.0")&amp;CHAR(34)&amp;" under 32"&amp;CHAR(34)&amp;" (ADA), ","")&amp;IF(AND($CH398=90,AND(OR($CE398="FG",$CE398="HG",$CE398="FNV",$CE398="FV"),N($CF398)*N($CG398)&gt;100)),"90 min lite over 100 sq in (stair/exit), ","")&amp;IF(AND($CH398&gt;0,AND($A398&lt;&gt;"",$C398&lt;&gt;"DOOR ONLY"),OR($AF398="",$AF398="-")),"rated: closer reinf.?, ","")&amp;IF(OR($I398="CORRIDOR",$I398="SMOKE BARRIER"),"S label + smoke gasketing, ","")&amp;IF($CI398="?","wall type/hr not in IBC table, ","")&amp;IF(AND(N($BJ398)&gt;0,$BB398=""),"no hardware set, ","")&amp;IF(AND($BB398&lt;&gt;"",ISNA(MATCH($BB398&amp;"",HWSets,0))),"set "&amp;$BB398&amp;" not on HW Sets, ","")&amp;IF(N($BL398)&gt;96,"leaf over 8'-0"&amp;CHAR(34)&amp;" - check listing, ","")&amp;IF(AND($CT398,COUNT($AW398:$AZ398)&gt;0,COUNT($AW398:$AZ398)&lt;&gt;$CQ398),COUNT($AW398:$AZ398)&amp;" custom hinges typed, "&amp;$CQ398&amp;" expected, ","")&amp;IF(AND(ISNUMBER($CA398),OR(N($CA398)&lt;34,N($CA398)&gt;48)),"lock "&amp;TEXT($CA398,"0.0")&amp;CHAR(34)&amp;" AFF outside 34-48"&amp;CHAR(34)&amp;" (ADA), ","")&amp;IF(AND(ISNUMBER($AV398),ISNUMBER($BL398),N($AV398)&lt;IF(N($BL398)&lt;=60,2,IF(N($BL398)&lt;=90,3,IF(N($BL398)&lt;=120,4,5)))),"fewer hinges than standard, ",""))</f>
        <v/>
      </c>
    </row>
    <row r="399" ht="15" customHeight="1">
      <c r="A399" s="77" t="n"/>
      <c r="B399" s="78" t="n"/>
      <c r="C399" s="78" t="n"/>
      <c r="D399" s="78" t="n"/>
      <c r="E399" s="78" t="n"/>
      <c r="F399" s="78" t="n"/>
      <c r="G399" s="78" t="n"/>
      <c r="H399" s="78" t="n"/>
      <c r="I399" s="78" t="n"/>
      <c r="J399" s="78" t="n"/>
      <c r="K399" s="78" t="n"/>
      <c r="L399" s="78" t="n"/>
      <c r="M399" s="78" t="n"/>
      <c r="N399" s="78" t="n"/>
      <c r="O399" s="78" t="n"/>
      <c r="P399" s="78" t="n"/>
      <c r="Q399" s="78" t="n"/>
      <c r="R399" s="78" t="n"/>
      <c r="S399" s="79" t="n"/>
      <c r="T399" s="79" t="n"/>
      <c r="U399" s="79" t="n"/>
      <c r="V399" s="79" t="n"/>
      <c r="W399" s="79" t="n"/>
      <c r="X399" s="79" t="n"/>
      <c r="Y399" s="79" t="n"/>
      <c r="Z399" s="79" t="n"/>
      <c r="AA399" s="79" t="n"/>
      <c r="AB399" s="79" t="n"/>
      <c r="AC399" s="79" t="n"/>
      <c r="AD399" s="79" t="n"/>
      <c r="AE399" s="79" t="n"/>
      <c r="AF399" s="79" t="n"/>
      <c r="AG399" s="79" t="n"/>
      <c r="AH399" s="80" t="n"/>
      <c r="AI399" s="80" t="n"/>
      <c r="AJ399" s="80" t="n"/>
      <c r="AK399" s="80" t="n"/>
      <c r="AL399" s="80" t="n"/>
      <c r="AM399" s="80" t="n"/>
      <c r="AN399" s="80" t="n"/>
      <c r="AO399" s="80" t="n"/>
      <c r="AP399" s="80" t="n"/>
      <c r="AQ399" s="80" t="n"/>
      <c r="AR399" s="80" t="n"/>
      <c r="AS399" s="80" t="n"/>
      <c r="AT399" s="81" t="n"/>
      <c r="AU399" s="81" t="n"/>
      <c r="AV399" s="81" t="n"/>
      <c r="AW399" s="82" t="n"/>
      <c r="AX399" s="82" t="n"/>
      <c r="AY399" s="82" t="n"/>
      <c r="AZ399" s="82" t="n"/>
      <c r="BA399" s="82" t="n"/>
      <c r="BB399" s="83" t="n"/>
      <c r="BC399" s="83" t="n"/>
      <c r="BD399" s="84">
        <f>IF($A399="","",IF($DJ399&lt;&gt;"","FIX",IF($DK399&lt;&gt;"","CHECK","OK")))</f>
        <v/>
      </c>
      <c r="BE399" s="85">
        <f>IF($A399="","",IF($DJ399&lt;&gt;"","FIX: "&amp;LEFT($DJ399,LEN($DJ399)-2)&amp;IF($DK399&lt;&gt;"","  ·  ",""),"")&amp;IF($DK399&lt;&gt;"","CHECK: "&amp;LEFT($DK399,LEN($DK399)-2),""))</f>
        <v/>
      </c>
      <c r="BF399" s="84">
        <f>IF(OR($A399="",$K399=""),"",$K399&amp;"'-"&amp;N($L399)&amp;CHAR(34)&amp;" x "&amp;$M399&amp;"'-"&amp;N($N399)&amp;CHAR(34))</f>
        <v/>
      </c>
      <c r="BG399" s="84">
        <f>IF(OR($A399="",$K399=""),"",$K399&amp;N($L399)&amp;$M399&amp;N($N399))</f>
        <v/>
      </c>
      <c r="BH399" s="84">
        <f>IF(OR($A399="",$K399=""),"",$K399*12+N($L399))</f>
        <v/>
      </c>
      <c r="BI399" s="84">
        <f>IF(OR($A399="",$M399=""),"",$M399*12+N($N399))</f>
        <v/>
      </c>
      <c r="BJ399" s="84">
        <f>IF($A399="","",IF(OR($C399="FRAME ONLY",$S399="BL"),0,IF($O399="Y",2,1)))</f>
        <v/>
      </c>
      <c r="BK399" s="86">
        <f>IF(OR(N($BJ399)=0,$BH399=""),"",($BH399-2*EdgeClr-IF($BJ399=2,MeetClr,0))/$BJ399)</f>
        <v/>
      </c>
      <c r="BL399" s="86">
        <f>IF(OR(N($BJ399)=0,$BI399=""),"",$BI399-HeadClr-Undercut)</f>
        <v/>
      </c>
      <c r="BM399" s="86">
        <f>IF($BH399="","",$BH399+2*FaceW+IF(N($Q399)&gt;0,($Q399+FaceW)*IF($R399="LR",2,1),0))</f>
        <v/>
      </c>
      <c r="BN399" s="86">
        <f>IF($BI399="","",$BI399+IF($AB399="Y",4,FaceW)+IF(N($P399)&gt;0,$P399+FaceW,0)+IF(OR($S399="4F",$S399="BL"),FaceW,0))</f>
        <v/>
      </c>
      <c r="BO399" s="86">
        <f>IF($BM399="","",$BM399+2*ROSide)</f>
        <v/>
      </c>
      <c r="BP399" s="86">
        <f>IF($BN399="","",$BN399+ROTop)</f>
        <v/>
      </c>
      <c r="BQ399" s="87">
        <f>IF(OR(N($BJ399)=0,$BH399=""),"",$BH399/$BJ399-ClearDeduct)</f>
        <v/>
      </c>
      <c r="BR399" s="84">
        <f>IF(N($CH399)=0,"",IF($CH399&gt;=180,"A · 3 HR",IF($CH399&gt;=90,"B · 1-1/2 HR",IF($CH399&gt;=60,"B · 1 HR",IF($CH399&gt;=45,"C · 3/4 HR","20 MIN")))))&amp;IF(AND(N($CH399)&gt;0,OR($I399="CORRIDOR",$I399="SMOKE BARRIER"))," · S","")</f>
        <v/>
      </c>
      <c r="BS399" s="84">
        <f>IF($CS399,"",IF($AV399&lt;&gt;"",$AV399,IF(OR($AC399="HGC",$AO399="HGC"),"CONT",IF(($BI399-HeadClr-Undercut)&lt;=60,2,IF(($BI399-HeadClr-Undercut)&lt;=90,3,IF(($BI399-HeadClr-Undercut)&lt;=120,4,5))))))</f>
        <v/>
      </c>
      <c r="BT399" s="84">
        <f>IF($CS399,"",IF($CT399,"CUSTOM (typed)",IF($CV399,$AT399&amp;" "&amp;$CU399&amp;CHAR(34)&amp;IF($CU399&lt;&gt;$BI399,IF(AND($BI399&lt;$CU399,$BI399-IF(N(VLOOKUP($AT399&amp;"|"&amp;$CU399,LocTable,7,FALSE))&gt;0,VLOOKUP($AT399&amp;"|"&amp;$CU399,LocTable,7,FALSE),VLOOKUP($AT399&amp;"|"&amp;$CU399,LocTable,6,FALSE))-$CR399-0.75&gt;=2.125)," cut down"," adj."),""),"ANSI/SDI A250.6")))</f>
        <v/>
      </c>
      <c r="BU399" s="88">
        <f>IF($CS399,"",IF($CT399,IF(N($AW399)&gt;0,N($AW399),""),IF(1&gt;$CQ399,"",IF($CQ399=1,$CW399,$CW399+($CX399-$CW399)*0/($CQ399-1)))))</f>
        <v/>
      </c>
      <c r="BV399" s="88">
        <f>IF($CS399,"",IF($CT399,IF(N($AX399)&gt;0,N($AX399),""),IF(2&gt;$CQ399,"",IF($CQ399=1,$CW399,$CW399+($CX399-$CW399)*1/($CQ399-1)))))</f>
        <v/>
      </c>
      <c r="BW399" s="88">
        <f>IF($CS399,"",IF($CT399,IF(N($AY399)&gt;0,N($AY399),""),IF(3&gt;$CQ399,"",IF($CQ399=1,$CW399,$CW399+($CX399-$CW399)*2/($CQ399-1)))))</f>
        <v/>
      </c>
      <c r="BX399" s="88">
        <f>IF($CS399,"",IF($CT399,IF(N($AZ399)&gt;0,N($AZ399),""),IF(4&gt;$CQ399,"",IF($CQ399=1,$CW399,$CW399+($CX399-$CW399)*3/($CQ399-1)))))</f>
        <v/>
      </c>
      <c r="BY399" s="88">
        <f>IF($CS399,"",IF($CT399,"",IF(5&gt;$CQ399,"",IF($CQ399=1,$CW399,$CW399+($CX399-$CW399)*4/($CQ399-1)))))</f>
        <v/>
      </c>
      <c r="BZ399" s="88">
        <f>IF(OR($CS399,$AP399="-",AND($AP399="",$AD399="")),"",IF(N($BA399)&gt;0,N($BA399),IF($CV399,IF(AND($BI399&lt;$CU399,$BI399-IF(N(VLOOKUP($AT399&amp;"|"&amp;$CU399,LocTable,7,FALSE))&gt;0,VLOOKUP($AT399&amp;"|"&amp;$CU399,LocTable,7,FALSE),VLOOKUP($AT399&amp;"|"&amp;$CU399,LocTable,6,FALSE))-$CR399-0.75&gt;=2.125),VLOOKUP($AT399&amp;"|"&amp;$CU399,LocTable,8,FALSE),VLOOKUP($AT399&amp;"|"&amp;$CU399,LocTable,8,FALSE)+($BI399-$CU399)),$BI399-LockAFF)))</f>
        <v/>
      </c>
      <c r="CA399" s="89">
        <f>IF($BZ399="","",$BI399-$BZ399)</f>
        <v/>
      </c>
      <c r="CB399" s="84">
        <f>IF(OR(NOT(AND($A399&lt;&gt;"",$C399&lt;&gt;"DOOR ONLY")),$BI399=""),"",IF(($BI399+IF(N($P399)&gt;0,$P399+FaceW,0))&lt;=90,3,IF(($BI399+IF(N($P399)&gt;0,$P399+FaceW,0))&lt;=114,4,5)))</f>
        <v/>
      </c>
      <c r="CC399" s="84">
        <f>IF($CB399="","",$CB399*(2+IF(N($Q399)&gt;0,IF($R399="LR",2,1),0)))</f>
        <v/>
      </c>
      <c r="CD399" s="84">
        <f>IF($CB399="","",(2+IF(N($Q399)&gt;0,IF($R399="LR",2,1),0)))</f>
        <v/>
      </c>
      <c r="CE399" s="84">
        <f>IF(N($BJ399)=0,"",IF(OR($AL399="",$AL399="FLUSH"),"FLUSH",IFERROR(LEFT($AL399,FIND("-",$AL399)-1),LEFT($AL399,2))))</f>
        <v/>
      </c>
      <c r="CF399" s="84">
        <f>IF($CE399="","",IFERROR(VALUE(MID($AL399,FIND("-",$AL399)+1,FIND(CHAR(34)&amp;"x",$AL399)-FIND("-",$AL399)-1)),0))</f>
        <v/>
      </c>
      <c r="CG399" s="84">
        <f>IF($CE399="","",IFERROR(VALUE(MID($AL399,FIND(CHAR(34)&amp;"x",$AL399)+2,FIND(CHAR(34),$AL399,FIND(CHAR(34)&amp;"x",$AL399)+2)-FIND(CHAR(34)&amp;"x",$AL399)-2)),0))</f>
        <v/>
      </c>
      <c r="CH399" s="90">
        <f>IF(OR($A399="",$H399="",$H399="NO LAB"),0,IFERROR(VALUE(LEFT($H399,FIND(" ",$H399)-1)),0))</f>
        <v/>
      </c>
      <c r="CI399" s="91">
        <f>IF(OR($A399="",$I399="",$I399="NON-RATED",N($J399)=0),"",IFERROR(VLOOKUP($I399&amp;"|"&amp;$J399,IBC,2,FALSE),"?"))</f>
        <v/>
      </c>
      <c r="CJ399" s="85">
        <f>IF(NOT(AND($A399&lt;&gt;"",$C399&lt;&gt;"DOOR ONLY")),"",TRIM(IFERROR(VLOOKUP($U399,CODES,2,FALSE),"")&amp;" "&amp;$BG399&amp;" "&amp;IFERROR(VLOOKUP($Z399,CODES,2,FALSE),"")&amp;" "&amp;IFERROR(VLOOKUP($X399,CODES,2,FALSE),"")&amp;" "&amp;IFERROR(VLOOKUP($S399,CODES,2,FALSE),"")&amp;IF(N($P399)&gt;0," w/TRANSOM "&amp;$P399&amp;CHAR(34),"")&amp;IF(N($Q399)&gt;0," w/SIDELITE "&amp;$Q399&amp;CHAR(34)&amp;" "&amp;IF($R399="","R",$R399),"")&amp;IF($Y399="","  |  "," | "&amp;IFERROR(VLOOKUP($Y399,CODES,2,FALSE),"")&amp;" | ")&amp;IFERROR(VLOOKUP($AC399,CODES,2,FALSE),"")&amp;" "&amp;IFERROR(VLOOKUP($AD399,CODES,2,FALSE),"")&amp;IF(OR($AE399="",$AE399="-"),""," "&amp;$AE399)&amp;IF(OR($AF399="",$AF399="-"),""," "&amp;$AF399)&amp;IF($AB399="Y"," 4"&amp;CHAR(34)&amp;" HEAD","")&amp;" "&amp;IFERROR(VLOOKUP($H399,CODES,2,FALSE),"")&amp;IF($CT399," | LOC "&amp;$CY399,"")))</f>
        <v/>
      </c>
      <c r="CK399" s="85">
        <f>IF(NOT(AND($A399&lt;&gt;"",N($BJ399)&gt;0)),"",TRIM(IFERROR(VLOOKUP($AH399,CODES,2,FALSE),"")&amp;IF($AI399=""," "," "&amp;$AI399&amp;"GA ")&amp;$BG399&amp;" "&amp;IF($AN399="",IFERROR(VLOOKUP($Z399,CODES,2,FALSE),""),IFERROR(VLOOKUP($AN399,CODES,2,FALSE),""))&amp;IF($BJ399=2," PAIR","")&amp;" DOOR | "&amp;IF($AL399="","?",$AL399)&amp;" | "&amp;IF($AO399="",IFERROR(VLOOKUP($AC399,CODES,2,FALSE),""),IFERROR(VLOOKUP($AO399,CODES,2,FALSE),""))&amp;" "&amp;IFERROR(VLOOKUP($AP399,CODES,2,FALSE),"")&amp;IF(OR($AQ399="",$AQ399="-"),""," SEAM "&amp;$AQ399)&amp;IF($AR399="Y"," ASTRAGAL","")&amp;IF($AJ399=""," "," "&amp;$AJ399)&amp;IF($AK399=""," "," "&amp;$AK399)&amp;IF(OR($AT399="",$AT399="ANSI/SDI",$AT399="CUSTOM LOC"),""," "&amp;$AT399)&amp;IF($AM399=""," "," SERIES "&amp;$AM399)&amp;" "&amp;IFERROR(VLOOKUP($H399,CODES,2,FALSE),"")&amp;IF($CT399," | LOC "&amp;$CZ399,"")))</f>
        <v/>
      </c>
      <c r="CL399" s="84">
        <f>IF(CP399="","",IF(COUNTIF($CP$6:CP399,CP399)=1,MAX($CL$5:CL398)+1,INDEX($CL$5:CL398,MATCH(CP399,$CP$5:CP398,0))))</f>
        <v/>
      </c>
      <c r="CM399" s="84">
        <f>IF(NOT(AND($A399&lt;&gt;"",$C399&lt;&gt;"DOOR ONLY")),"",MAX($CM$5:CM398)+1)</f>
        <v/>
      </c>
      <c r="CN399" s="84">
        <f>IF(NOT(AND($A399&lt;&gt;"",N($BJ399)&gt;0)),"",MAX($CN$5:CN398)+1)</f>
        <v/>
      </c>
      <c r="CO399" s="84">
        <f>IF($A399="","",MAX($CO$5:CO398)+1)</f>
        <v/>
      </c>
      <c r="CP399" s="84">
        <f>IF(OR($A399="",$BH399="",$BI399=""),"",$BG399&amp;"|"&amp;$O399&amp;"|"&amp;$AL399&amp;"|"&amp;$S399&amp;"|"&amp;$P399&amp;"|"&amp;$Q399&amp;$R399&amp;"|"&amp;$C399&amp;"|"&amp;$AB399)</f>
        <v/>
      </c>
      <c r="CQ399" s="84">
        <f>N($BS399)</f>
        <v/>
      </c>
      <c r="CR399" s="84">
        <f>IF(N($AU399)&gt;0,N($AU399),4.5)</f>
        <v/>
      </c>
      <c r="CS399" s="84">
        <f>OR($A399="",$BI399="",$S399="BL",AND($C399="FRAME ONLY",OR($AC399="",$AC399="BLK")))</f>
        <v/>
      </c>
      <c r="CT399" s="84">
        <f>AND(NOT($CS399),OR($AT399="CUSTOM LOC",N($AW399)+N($AX399)+N($AY399)+N($AZ399)+N($BA399)&gt;0))</f>
        <v/>
      </c>
      <c r="CU399" s="84">
        <f>IF($BI399="","",IF($BI399&lt;=80,80,IF($BI399&lt;=84,84,96)))</f>
        <v/>
      </c>
      <c r="CV399" s="84">
        <f>ISNUMBER(MATCH($AT399&amp;"|80",LocKeys,0))</f>
        <v/>
      </c>
      <c r="CW399" s="86">
        <f>IF($CS399,"",IF($CV399,VLOOKUP($AT399&amp;"|"&amp;$CU399,LocTable,4,FALSE),5))</f>
        <v/>
      </c>
      <c r="CX399" s="86">
        <f>IF($CS399,"",IF($CV399,IF(OR($BI399=$CU399,AND($BI399&lt;$CU399,$BI399-IF(N(VLOOKUP($AT399&amp;"|"&amp;$CU399,LocTable,7,FALSE))&gt;0,VLOOKUP($AT399&amp;"|"&amp;$CU399,LocTable,7,FALSE),VLOOKUP($AT399&amp;"|"&amp;$CU399,LocTable,6,FALSE))-$CR399-0.75&gt;=2.125)),IF(N(VLOOKUP($AT399&amp;"|"&amp;$CU399,LocTable,7,FALSE))&gt;0,VLOOKUP($AT399&amp;"|"&amp;$CU399,LocTable,7,FALSE),VLOOKUP($AT399&amp;"|"&amp;$CU399,LocTable,6,FALSE)),$BI399-($CU399-IF(N(VLOOKUP($AT399&amp;"|"&amp;$CU399,LocTable,7,FALSE))&gt;0,VLOOKUP($AT399&amp;"|"&amp;$CU399,LocTable,7,FALSE),VLOOKUP($AT399&amp;"|"&amp;$CU399,LocTable,6,FALSE)))),$BI399-10-$CR399))</f>
        <v/>
      </c>
      <c r="CY399" s="85">
        <f>IF($CS399,"",TRIM(IF(ISNUMBER($BU399),"A "&amp;TRIM(TEXT($BU399,"# ?/??"))&amp;CHAR(34)&amp;"  ","")&amp;IF(ISNUMBER($BV399),"B "&amp;TRIM(TEXT($BV399,"# ?/??"))&amp;CHAR(34)&amp;"  ","")&amp;IF(ISNUMBER($BW399),"C "&amp;TRIM(TEXT($BW399,"# ?/??"))&amp;CHAR(34)&amp;"  ","")&amp;IF(ISNUMBER($BX399),"D "&amp;TRIM(TEXT($BX399,"# ?/??"))&amp;CHAR(34)&amp;"  ","")&amp;IF(ISNUMBER($BY399),"F "&amp;TRIM(TEXT($BY399,"# ?/??"))&amp;CHAR(34)&amp;"  ","")&amp;IF(ISNUMBER($BZ399),"E "&amp;TRIM(TEXT($BZ399,"# ?/??"))&amp;CHAR(34)&amp;"  ","")))</f>
        <v/>
      </c>
      <c r="CZ399" s="85">
        <f>IF(OR($CS399,N($BJ399)=0),"",TRIM(IF(ISNUMBER($BU399),"A "&amp;TRIM(TEXT($BU399-HeadClr,"# ?/??"))&amp;CHAR(34)&amp;"  ","")&amp;IF(ISNUMBER($BV399),"B "&amp;TRIM(TEXT($BV399-HeadClr,"# ?/??"))&amp;CHAR(34)&amp;"  ","")&amp;IF(ISNUMBER($BW399),"C "&amp;TRIM(TEXT($BW399-HeadClr,"# ?/??"))&amp;CHAR(34)&amp;"  ","")&amp;IF(ISNUMBER($BX399),"D "&amp;TRIM(TEXT($BX399-HeadClr,"# ?/??"))&amp;CHAR(34)&amp;"  ","")&amp;IF(ISNUMBER($BY399),"F "&amp;TRIM(TEXT($BY399-HeadClr,"# ?/??"))&amp;CHAR(34)&amp;"  ","")&amp;IF(ISNUMBER($BZ399),"E "&amp;TRIM(TEXT($BZ399-HeadClr,"# ?/??"))&amp;CHAR(34)&amp;"  ","")))</f>
        <v/>
      </c>
      <c r="DA399" s="84">
        <f>IF($A399="","",IF($AN399="",IFERROR(VLOOKUP($Z399,CODES,2,FALSE),""),IFERROR(VLOOKUP($AN399,CODES,2,FALSE),"")))</f>
        <v/>
      </c>
      <c r="DB399" s="84">
        <f>IF($A399="","",IF($O399="Y","PR",IF(OR($Z399="L",$Z399="RR",LEFT($Z399,2)="L-",LEFT($Z399,3)="RR-"),"LH","RH")))</f>
        <v/>
      </c>
      <c r="DC399" s="84">
        <f>IF($A399="","","S.HM"&amp;IF(OR($C399="DOOR ONLY",$X399&lt;&gt;"KD"),"MASONRY","DRYWALL")&amp;IF($C399="DOOR ONLY","",$U399)&amp;IF(AND($C399&lt;&gt;"FRAME ONLY",OR(LEFT($AH399,3)="OAK",LEFT($AH399,3)="BIR",LEFT($AH399,3)="MAP",$AH399="PC",$AH399="MC",$AH399="SCLC",$AH399="P-LAM")),"WD","HM")&amp;"1.75")</f>
        <v/>
      </c>
      <c r="DD399" s="84">
        <f>IF($CJ399="","",IF($O399="Y",$CJ399,SUBSTITUTE($CJ399,$BG399&amp;" "&amp;IFERROR(VLOOKUP($Z399,CODES,2,FALSE),"")&amp;" ",$BG399&amp;" ")))</f>
        <v/>
      </c>
      <c r="DE399" s="84">
        <f>IF($CK399="","",IF($O399="Y",$CK399,SUBSTITUTE($CK399,$BG399&amp;" "&amp;IF($AN399="",IFERROR(VLOOKUP($Z399,CODES,2,FALSE),""),IFERROR(VLOOKUP($AN399,CODES,2,FALSE),""))&amp;" ",$BG399&amp;" ")))</f>
        <v/>
      </c>
      <c r="DF399" s="84">
        <f>IF($CJ399="","",$DC399&amp;"|"&amp;$DD399&amp;"|"&amp;$DB399&amp;"|"&amp;$AT399&amp;"|"&amp;$V399&amp;"|"&amp;$Y399&amp;"|"&amp;$AB399)</f>
        <v/>
      </c>
      <c r="DG399" s="84">
        <f>IF(DF399="","",IF(COUNTIF($DF$6:DF399,DF399)=1,MAX($DG$5:DG398)+1,INDEX($DG$5:DG398,MATCH(DF399,$DF$5:DF398,0))))</f>
        <v/>
      </c>
      <c r="DH399" s="84">
        <f>IF($CK399="","",$DC399&amp;"|"&amp;$DE399&amp;"|"&amp;$AI399&amp;"|"&amp;$BK399&amp;"|"&amp;$BL399)</f>
        <v/>
      </c>
      <c r="DI399" s="84">
        <f>IF(DH399="","",IF(COUNTIF($DH$6:DH399,DH399)=1,MAX($DI$5:DI398)+1,INDEX($DI$5:DI398,MATCH(DH399,$DH$5:DH398,0))))</f>
        <v/>
      </c>
      <c r="DJ399" s="84">
        <f>IF($A399="","",IF($B399="","qty, ","")&amp;IF($C399="","scope, ","")&amp;IF(OR($K399="",$M399=""),"size, ","")&amp;IF(AND($A399&lt;&gt;"",$C399&lt;&gt;"DOOR ONLY"),IF($U399="","jamb depth, ","")&amp;IF($X399="","construction, ","")&amp;IF($Y399="","anchor, ","")&amp;IF($S399="","frame type, ",""),"")&amp;IF(AND(N($BJ399)&gt;0,$Z399=""),"hand, ","")&amp;IF(N($BJ399)&gt;0,IF($AH399="","door material, ","")&amp;IF($AL399="","face type, ","")&amp;IF($AP399="","lock prep, ","")&amp;IF(AND($AO399="",$AC399=""),"hinge prep, ",""),"")&amp;IF(AND($CH399&gt;0,$AH399="FRP"),"FRP cannot carry a label, ","")&amp;IF(AND($O399="Y",OR($Z399="L",$Z399="R",$Z399="LR",$Z399="RR")),"pair marked but hand is single, ","")&amp;IF(AND($O399&lt;&gt;"Y",OR($Z399="PR",AND(LEN($Z399)&gt;1,ISNUMBER(SEARCH("-",$Z399))))),"pair hand on a single door, ","")&amp;IF(AND(ISNUMBER($CI399),$CH399&lt;N($CI399)),"wall needs a "&amp;$CI399&amp;" min door, ","")&amp;IF(AND($CH399&gt;=180,AND(OR($CE399="FG",$CE399="HG",$CE399="FNV",$CE399="FV"),N($CF399)*N($CG399)&gt;100)),"180 min lite over 100 sq in, ","")&amp;IF(N($BK399)&gt;48,"leaf wider than 4'-0"&amp;CHAR(34)&amp;", ","")&amp;IF(AND($CT399,COUNT($AW399:$AZ399)=0,$CQ399&gt;0),"CUSTOM LOC with no locations typed, ",""))</f>
        <v/>
      </c>
      <c r="DK399" s="84">
        <f>IF($A399="","",IF(AND($CH399&gt;0,AND($A399&lt;&gt;"",$C399&lt;&gt;"DOOR ONLY"),$X399="KD",$E399="EXTERIOR"),"KD label on an exterior opening, ","")&amp;IF(AND($E399="EXTERIOR",OR(AND(AND($A399&lt;&gt;"",$C399&lt;&gt;"DOOR ONLY"),$W399="CR"),AND(N($BJ399)&gt;0,$AH399="CR"))),"exterior in CR steel (G9?), ","")&amp;IF(AND(ISNUMBER($BQ399),N($BQ399)&lt;32),"clear width ~"&amp;TEXT($BQ399,"0.0")&amp;CHAR(34)&amp;" under 32"&amp;CHAR(34)&amp;" (ADA), ","")&amp;IF(AND($CH399=90,AND(OR($CE399="FG",$CE399="HG",$CE399="FNV",$CE399="FV"),N($CF399)*N($CG399)&gt;100)),"90 min lite over 100 sq in (stair/exit), ","")&amp;IF(AND($CH399&gt;0,AND($A399&lt;&gt;"",$C399&lt;&gt;"DOOR ONLY"),OR($AF399="",$AF399="-")),"rated: closer reinf.?, ","")&amp;IF(OR($I399="CORRIDOR",$I399="SMOKE BARRIER"),"S label + smoke gasketing, ","")&amp;IF($CI399="?","wall type/hr not in IBC table, ","")&amp;IF(AND(N($BJ399)&gt;0,$BB399=""),"no hardware set, ","")&amp;IF(AND($BB399&lt;&gt;"",ISNA(MATCH($BB399&amp;"",HWSets,0))),"set "&amp;$BB399&amp;" not on HW Sets, ","")&amp;IF(N($BL399)&gt;96,"leaf over 8'-0"&amp;CHAR(34)&amp;" - check listing, ","")&amp;IF(AND($CT399,COUNT($AW399:$AZ399)&gt;0,COUNT($AW399:$AZ399)&lt;&gt;$CQ399),COUNT($AW399:$AZ399)&amp;" custom hinges typed, "&amp;$CQ399&amp;" expected, ","")&amp;IF(AND(ISNUMBER($CA399),OR(N($CA399)&lt;34,N($CA399)&gt;48)),"lock "&amp;TEXT($CA399,"0.0")&amp;CHAR(34)&amp;" AFF outside 34-48"&amp;CHAR(34)&amp;" (ADA), ","")&amp;IF(AND(ISNUMBER($AV399),ISNUMBER($BL399),N($AV399)&lt;IF(N($BL399)&lt;=60,2,IF(N($BL399)&lt;=90,3,IF(N($BL399)&lt;=120,4,5)))),"fewer hinges than standard, ",""))</f>
        <v/>
      </c>
    </row>
    <row r="400" ht="15" customHeight="1">
      <c r="A400" s="92" t="n"/>
      <c r="B400" s="93" t="n"/>
      <c r="C400" s="93" t="n"/>
      <c r="D400" s="93" t="n"/>
      <c r="E400" s="93" t="n"/>
      <c r="F400" s="93" t="n"/>
      <c r="G400" s="93" t="n"/>
      <c r="H400" s="93" t="n"/>
      <c r="I400" s="93" t="n"/>
      <c r="J400" s="93" t="n"/>
      <c r="K400" s="93" t="n"/>
      <c r="L400" s="93" t="n"/>
      <c r="M400" s="93" t="n"/>
      <c r="N400" s="93" t="n"/>
      <c r="O400" s="93" t="n"/>
      <c r="P400" s="93" t="n"/>
      <c r="Q400" s="93" t="n"/>
      <c r="R400" s="93" t="n"/>
      <c r="S400" s="94" t="n"/>
      <c r="T400" s="94" t="n"/>
      <c r="U400" s="94" t="n"/>
      <c r="V400" s="94" t="n"/>
      <c r="W400" s="94" t="n"/>
      <c r="X400" s="94" t="n"/>
      <c r="Y400" s="94" t="n"/>
      <c r="Z400" s="94" t="n"/>
      <c r="AA400" s="94" t="n"/>
      <c r="AB400" s="94" t="n"/>
      <c r="AC400" s="94" t="n"/>
      <c r="AD400" s="94" t="n"/>
      <c r="AE400" s="94" t="n"/>
      <c r="AF400" s="94" t="n"/>
      <c r="AG400" s="94" t="n"/>
      <c r="AH400" s="95" t="n"/>
      <c r="AI400" s="95" t="n"/>
      <c r="AJ400" s="95" t="n"/>
      <c r="AK400" s="95" t="n"/>
      <c r="AL400" s="95" t="n"/>
      <c r="AM400" s="95" t="n"/>
      <c r="AN400" s="95" t="n"/>
      <c r="AO400" s="95" t="n"/>
      <c r="AP400" s="95" t="n"/>
      <c r="AQ400" s="95" t="n"/>
      <c r="AR400" s="95" t="n"/>
      <c r="AS400" s="95" t="n"/>
      <c r="AT400" s="96" t="n"/>
      <c r="AU400" s="96" t="n"/>
      <c r="AV400" s="96" t="n"/>
      <c r="AW400" s="97" t="n"/>
      <c r="AX400" s="97" t="n"/>
      <c r="AY400" s="97" t="n"/>
      <c r="AZ400" s="97" t="n"/>
      <c r="BA400" s="97" t="n"/>
      <c r="BB400" s="98" t="n"/>
      <c r="BC400" s="98" t="n"/>
      <c r="BD400" s="99">
        <f>IF($A400="","",IF($DJ400&lt;&gt;"","FIX",IF($DK400&lt;&gt;"","CHECK","OK")))</f>
        <v/>
      </c>
      <c r="BE400" s="100">
        <f>IF($A400="","",IF($DJ400&lt;&gt;"","FIX: "&amp;LEFT($DJ400,LEN($DJ400)-2)&amp;IF($DK400&lt;&gt;"","  ·  ",""),"")&amp;IF($DK400&lt;&gt;"","CHECK: "&amp;LEFT($DK400,LEN($DK400)-2),""))</f>
        <v/>
      </c>
      <c r="BF400" s="99">
        <f>IF(OR($A400="",$K400=""),"",$K400&amp;"'-"&amp;N($L400)&amp;CHAR(34)&amp;" x "&amp;$M400&amp;"'-"&amp;N($N400)&amp;CHAR(34))</f>
        <v/>
      </c>
      <c r="BG400" s="99">
        <f>IF(OR($A400="",$K400=""),"",$K400&amp;N($L400)&amp;$M400&amp;N($N400))</f>
        <v/>
      </c>
      <c r="BH400" s="99">
        <f>IF(OR($A400="",$K400=""),"",$K400*12+N($L400))</f>
        <v/>
      </c>
      <c r="BI400" s="99">
        <f>IF(OR($A400="",$M400=""),"",$M400*12+N($N400))</f>
        <v/>
      </c>
      <c r="BJ400" s="99">
        <f>IF($A400="","",IF(OR($C400="FRAME ONLY",$S400="BL"),0,IF($O400="Y",2,1)))</f>
        <v/>
      </c>
      <c r="BK400" s="101">
        <f>IF(OR(N($BJ400)=0,$BH400=""),"",($BH400-2*EdgeClr-IF($BJ400=2,MeetClr,0))/$BJ400)</f>
        <v/>
      </c>
      <c r="BL400" s="101">
        <f>IF(OR(N($BJ400)=0,$BI400=""),"",$BI400-HeadClr-Undercut)</f>
        <v/>
      </c>
      <c r="BM400" s="101">
        <f>IF($BH400="","",$BH400+2*FaceW+IF(N($Q400)&gt;0,($Q400+FaceW)*IF($R400="LR",2,1),0))</f>
        <v/>
      </c>
      <c r="BN400" s="101">
        <f>IF($BI400="","",$BI400+IF($AB400="Y",4,FaceW)+IF(N($P400)&gt;0,$P400+FaceW,0)+IF(OR($S400="4F",$S400="BL"),FaceW,0))</f>
        <v/>
      </c>
      <c r="BO400" s="101">
        <f>IF($BM400="","",$BM400+2*ROSide)</f>
        <v/>
      </c>
      <c r="BP400" s="101">
        <f>IF($BN400="","",$BN400+ROTop)</f>
        <v/>
      </c>
      <c r="BQ400" s="102">
        <f>IF(OR(N($BJ400)=0,$BH400=""),"",$BH400/$BJ400-ClearDeduct)</f>
        <v/>
      </c>
      <c r="BR400" s="99">
        <f>IF(N($CH400)=0,"",IF($CH400&gt;=180,"A · 3 HR",IF($CH400&gt;=90,"B · 1-1/2 HR",IF($CH400&gt;=60,"B · 1 HR",IF($CH400&gt;=45,"C · 3/4 HR","20 MIN")))))&amp;IF(AND(N($CH400)&gt;0,OR($I400="CORRIDOR",$I400="SMOKE BARRIER"))," · S","")</f>
        <v/>
      </c>
      <c r="BS400" s="99">
        <f>IF($CS400,"",IF($AV400&lt;&gt;"",$AV400,IF(OR($AC400="HGC",$AO400="HGC"),"CONT",IF(($BI400-HeadClr-Undercut)&lt;=60,2,IF(($BI400-HeadClr-Undercut)&lt;=90,3,IF(($BI400-HeadClr-Undercut)&lt;=120,4,5))))))</f>
        <v/>
      </c>
      <c r="BT400" s="99">
        <f>IF($CS400,"",IF($CT400,"CUSTOM (typed)",IF($CV400,$AT400&amp;" "&amp;$CU400&amp;CHAR(34)&amp;IF($CU400&lt;&gt;$BI400,IF(AND($BI400&lt;$CU400,$BI400-IF(N(VLOOKUP($AT400&amp;"|"&amp;$CU400,LocTable,7,FALSE))&gt;0,VLOOKUP($AT400&amp;"|"&amp;$CU400,LocTable,7,FALSE),VLOOKUP($AT400&amp;"|"&amp;$CU400,LocTable,6,FALSE))-$CR400-0.75&gt;=2.125)," cut down"," adj."),""),"ANSI/SDI A250.6")))</f>
        <v/>
      </c>
      <c r="BU400" s="103">
        <f>IF($CS400,"",IF($CT400,IF(N($AW400)&gt;0,N($AW400),""),IF(1&gt;$CQ400,"",IF($CQ400=1,$CW400,$CW400+($CX400-$CW400)*0/($CQ400-1)))))</f>
        <v/>
      </c>
      <c r="BV400" s="103">
        <f>IF($CS400,"",IF($CT400,IF(N($AX400)&gt;0,N($AX400),""),IF(2&gt;$CQ400,"",IF($CQ400=1,$CW400,$CW400+($CX400-$CW400)*1/($CQ400-1)))))</f>
        <v/>
      </c>
      <c r="BW400" s="103">
        <f>IF($CS400,"",IF($CT400,IF(N($AY400)&gt;0,N($AY400),""),IF(3&gt;$CQ400,"",IF($CQ400=1,$CW400,$CW400+($CX400-$CW400)*2/($CQ400-1)))))</f>
        <v/>
      </c>
      <c r="BX400" s="103">
        <f>IF($CS400,"",IF($CT400,IF(N($AZ400)&gt;0,N($AZ400),""),IF(4&gt;$CQ400,"",IF($CQ400=1,$CW400,$CW400+($CX400-$CW400)*3/($CQ400-1)))))</f>
        <v/>
      </c>
      <c r="BY400" s="103">
        <f>IF($CS400,"",IF($CT400,"",IF(5&gt;$CQ400,"",IF($CQ400=1,$CW400,$CW400+($CX400-$CW400)*4/($CQ400-1)))))</f>
        <v/>
      </c>
      <c r="BZ400" s="103">
        <f>IF(OR($CS400,$AP400="-",AND($AP400="",$AD400="")),"",IF(N($BA400)&gt;0,N($BA400),IF($CV400,IF(AND($BI400&lt;$CU400,$BI400-IF(N(VLOOKUP($AT400&amp;"|"&amp;$CU400,LocTable,7,FALSE))&gt;0,VLOOKUP($AT400&amp;"|"&amp;$CU400,LocTable,7,FALSE),VLOOKUP($AT400&amp;"|"&amp;$CU400,LocTable,6,FALSE))-$CR400-0.75&gt;=2.125),VLOOKUP($AT400&amp;"|"&amp;$CU400,LocTable,8,FALSE),VLOOKUP($AT400&amp;"|"&amp;$CU400,LocTable,8,FALSE)+($BI400-$CU400)),$BI400-LockAFF)))</f>
        <v/>
      </c>
      <c r="CA400" s="104">
        <f>IF($BZ400="","",$BI400-$BZ400)</f>
        <v/>
      </c>
      <c r="CB400" s="99">
        <f>IF(OR(NOT(AND($A400&lt;&gt;"",$C400&lt;&gt;"DOOR ONLY")),$BI400=""),"",IF(($BI400+IF(N($P400)&gt;0,$P400+FaceW,0))&lt;=90,3,IF(($BI400+IF(N($P400)&gt;0,$P400+FaceW,0))&lt;=114,4,5)))</f>
        <v/>
      </c>
      <c r="CC400" s="99">
        <f>IF($CB400="","",$CB400*(2+IF(N($Q400)&gt;0,IF($R400="LR",2,1),0)))</f>
        <v/>
      </c>
      <c r="CD400" s="99">
        <f>IF($CB400="","",(2+IF(N($Q400)&gt;0,IF($R400="LR",2,1),0)))</f>
        <v/>
      </c>
      <c r="CE400" s="99">
        <f>IF(N($BJ400)=0,"",IF(OR($AL400="",$AL400="FLUSH"),"FLUSH",IFERROR(LEFT($AL400,FIND("-",$AL400)-1),LEFT($AL400,2))))</f>
        <v/>
      </c>
      <c r="CF400" s="99">
        <f>IF($CE400="","",IFERROR(VALUE(MID($AL400,FIND("-",$AL400)+1,FIND(CHAR(34)&amp;"x",$AL400)-FIND("-",$AL400)-1)),0))</f>
        <v/>
      </c>
      <c r="CG400" s="99">
        <f>IF($CE400="","",IFERROR(VALUE(MID($AL400,FIND(CHAR(34)&amp;"x",$AL400)+2,FIND(CHAR(34),$AL400,FIND(CHAR(34)&amp;"x",$AL400)+2)-FIND(CHAR(34)&amp;"x",$AL400)-2)),0))</f>
        <v/>
      </c>
      <c r="CH400" s="105">
        <f>IF(OR($A400="",$H400="",$H400="NO LAB"),0,IFERROR(VALUE(LEFT($H400,FIND(" ",$H400)-1)),0))</f>
        <v/>
      </c>
      <c r="CI400" s="106">
        <f>IF(OR($A400="",$I400="",$I400="NON-RATED",N($J400)=0),"",IFERROR(VLOOKUP($I400&amp;"|"&amp;$J400,IBC,2,FALSE),"?"))</f>
        <v/>
      </c>
      <c r="CJ400" s="100">
        <f>IF(NOT(AND($A400&lt;&gt;"",$C400&lt;&gt;"DOOR ONLY")),"",TRIM(IFERROR(VLOOKUP($U400,CODES,2,FALSE),"")&amp;" "&amp;$BG400&amp;" "&amp;IFERROR(VLOOKUP($Z400,CODES,2,FALSE),"")&amp;" "&amp;IFERROR(VLOOKUP($X400,CODES,2,FALSE),"")&amp;" "&amp;IFERROR(VLOOKUP($S400,CODES,2,FALSE),"")&amp;IF(N($P400)&gt;0," w/TRANSOM "&amp;$P400&amp;CHAR(34),"")&amp;IF(N($Q400)&gt;0," w/SIDELITE "&amp;$Q400&amp;CHAR(34)&amp;" "&amp;IF($R400="","R",$R400),"")&amp;IF($Y400="","  |  "," | "&amp;IFERROR(VLOOKUP($Y400,CODES,2,FALSE),"")&amp;" | ")&amp;IFERROR(VLOOKUP($AC400,CODES,2,FALSE),"")&amp;" "&amp;IFERROR(VLOOKUP($AD400,CODES,2,FALSE),"")&amp;IF(OR($AE400="",$AE400="-"),""," "&amp;$AE400)&amp;IF(OR($AF400="",$AF400="-"),""," "&amp;$AF400)&amp;IF($AB400="Y"," 4"&amp;CHAR(34)&amp;" HEAD","")&amp;" "&amp;IFERROR(VLOOKUP($H400,CODES,2,FALSE),"")&amp;IF($CT400," | LOC "&amp;$CY400,"")))</f>
        <v/>
      </c>
      <c r="CK400" s="100">
        <f>IF(NOT(AND($A400&lt;&gt;"",N($BJ400)&gt;0)),"",TRIM(IFERROR(VLOOKUP($AH400,CODES,2,FALSE),"")&amp;IF($AI400=""," "," "&amp;$AI400&amp;"GA ")&amp;$BG400&amp;" "&amp;IF($AN400="",IFERROR(VLOOKUP($Z400,CODES,2,FALSE),""),IFERROR(VLOOKUP($AN400,CODES,2,FALSE),""))&amp;IF($BJ400=2," PAIR","")&amp;" DOOR | "&amp;IF($AL400="","?",$AL400)&amp;" | "&amp;IF($AO400="",IFERROR(VLOOKUP($AC400,CODES,2,FALSE),""),IFERROR(VLOOKUP($AO400,CODES,2,FALSE),""))&amp;" "&amp;IFERROR(VLOOKUP($AP400,CODES,2,FALSE),"")&amp;IF(OR($AQ400="",$AQ400="-"),""," SEAM "&amp;$AQ400)&amp;IF($AR400="Y"," ASTRAGAL","")&amp;IF($AJ400=""," "," "&amp;$AJ400)&amp;IF($AK400=""," "," "&amp;$AK400)&amp;IF(OR($AT400="",$AT400="ANSI/SDI",$AT400="CUSTOM LOC"),""," "&amp;$AT400)&amp;IF($AM400=""," "," SERIES "&amp;$AM400)&amp;" "&amp;IFERROR(VLOOKUP($H400,CODES,2,FALSE),"")&amp;IF($CT400," | LOC "&amp;$CZ400,"")))</f>
        <v/>
      </c>
      <c r="CL400" s="99">
        <f>IF(CP400="","",IF(COUNTIF($CP$6:CP400,CP400)=1,MAX($CL$5:CL399)+1,INDEX($CL$5:CL399,MATCH(CP400,$CP$5:CP399,0))))</f>
        <v/>
      </c>
      <c r="CM400" s="99">
        <f>IF(NOT(AND($A400&lt;&gt;"",$C400&lt;&gt;"DOOR ONLY")),"",MAX($CM$5:CM399)+1)</f>
        <v/>
      </c>
      <c r="CN400" s="99">
        <f>IF(NOT(AND($A400&lt;&gt;"",N($BJ400)&gt;0)),"",MAX($CN$5:CN399)+1)</f>
        <v/>
      </c>
      <c r="CO400" s="99">
        <f>IF($A400="","",MAX($CO$5:CO399)+1)</f>
        <v/>
      </c>
      <c r="CP400" s="99">
        <f>IF(OR($A400="",$BH400="",$BI400=""),"",$BG400&amp;"|"&amp;$O400&amp;"|"&amp;$AL400&amp;"|"&amp;$S400&amp;"|"&amp;$P400&amp;"|"&amp;$Q400&amp;$R400&amp;"|"&amp;$C400&amp;"|"&amp;$AB400)</f>
        <v/>
      </c>
      <c r="CQ400" s="99">
        <f>N($BS400)</f>
        <v/>
      </c>
      <c r="CR400" s="99">
        <f>IF(N($AU400)&gt;0,N($AU400),4.5)</f>
        <v/>
      </c>
      <c r="CS400" s="99">
        <f>OR($A400="",$BI400="",$S400="BL",AND($C400="FRAME ONLY",OR($AC400="",$AC400="BLK")))</f>
        <v/>
      </c>
      <c r="CT400" s="99">
        <f>AND(NOT($CS400),OR($AT400="CUSTOM LOC",N($AW400)+N($AX400)+N($AY400)+N($AZ400)+N($BA400)&gt;0))</f>
        <v/>
      </c>
      <c r="CU400" s="99">
        <f>IF($BI400="","",IF($BI400&lt;=80,80,IF($BI400&lt;=84,84,96)))</f>
        <v/>
      </c>
      <c r="CV400" s="99">
        <f>ISNUMBER(MATCH($AT400&amp;"|80",LocKeys,0))</f>
        <v/>
      </c>
      <c r="CW400" s="101">
        <f>IF($CS400,"",IF($CV400,VLOOKUP($AT400&amp;"|"&amp;$CU400,LocTable,4,FALSE),5))</f>
        <v/>
      </c>
      <c r="CX400" s="101">
        <f>IF($CS400,"",IF($CV400,IF(OR($BI400=$CU400,AND($BI400&lt;$CU400,$BI400-IF(N(VLOOKUP($AT400&amp;"|"&amp;$CU400,LocTable,7,FALSE))&gt;0,VLOOKUP($AT400&amp;"|"&amp;$CU400,LocTable,7,FALSE),VLOOKUP($AT400&amp;"|"&amp;$CU400,LocTable,6,FALSE))-$CR400-0.75&gt;=2.125)),IF(N(VLOOKUP($AT400&amp;"|"&amp;$CU400,LocTable,7,FALSE))&gt;0,VLOOKUP($AT400&amp;"|"&amp;$CU400,LocTable,7,FALSE),VLOOKUP($AT400&amp;"|"&amp;$CU400,LocTable,6,FALSE)),$BI400-($CU400-IF(N(VLOOKUP($AT400&amp;"|"&amp;$CU400,LocTable,7,FALSE))&gt;0,VLOOKUP($AT400&amp;"|"&amp;$CU400,LocTable,7,FALSE),VLOOKUP($AT400&amp;"|"&amp;$CU400,LocTable,6,FALSE)))),$BI400-10-$CR400))</f>
        <v/>
      </c>
      <c r="CY400" s="100">
        <f>IF($CS400,"",TRIM(IF(ISNUMBER($BU400),"A "&amp;TRIM(TEXT($BU400,"# ?/??"))&amp;CHAR(34)&amp;"  ","")&amp;IF(ISNUMBER($BV400),"B "&amp;TRIM(TEXT($BV400,"# ?/??"))&amp;CHAR(34)&amp;"  ","")&amp;IF(ISNUMBER($BW400),"C "&amp;TRIM(TEXT($BW400,"# ?/??"))&amp;CHAR(34)&amp;"  ","")&amp;IF(ISNUMBER($BX400),"D "&amp;TRIM(TEXT($BX400,"# ?/??"))&amp;CHAR(34)&amp;"  ","")&amp;IF(ISNUMBER($BY400),"F "&amp;TRIM(TEXT($BY400,"# ?/??"))&amp;CHAR(34)&amp;"  ","")&amp;IF(ISNUMBER($BZ400),"E "&amp;TRIM(TEXT($BZ400,"# ?/??"))&amp;CHAR(34)&amp;"  ","")))</f>
        <v/>
      </c>
      <c r="CZ400" s="100">
        <f>IF(OR($CS400,N($BJ400)=0),"",TRIM(IF(ISNUMBER($BU400),"A "&amp;TRIM(TEXT($BU400-HeadClr,"# ?/??"))&amp;CHAR(34)&amp;"  ","")&amp;IF(ISNUMBER($BV400),"B "&amp;TRIM(TEXT($BV400-HeadClr,"# ?/??"))&amp;CHAR(34)&amp;"  ","")&amp;IF(ISNUMBER($BW400),"C "&amp;TRIM(TEXT($BW400-HeadClr,"# ?/??"))&amp;CHAR(34)&amp;"  ","")&amp;IF(ISNUMBER($BX400),"D "&amp;TRIM(TEXT($BX400-HeadClr,"# ?/??"))&amp;CHAR(34)&amp;"  ","")&amp;IF(ISNUMBER($BY400),"F "&amp;TRIM(TEXT($BY400-HeadClr,"# ?/??"))&amp;CHAR(34)&amp;"  ","")&amp;IF(ISNUMBER($BZ400),"E "&amp;TRIM(TEXT($BZ400-HeadClr,"# ?/??"))&amp;CHAR(34)&amp;"  ","")))</f>
        <v/>
      </c>
      <c r="DA400" s="99">
        <f>IF($A400="","",IF($AN400="",IFERROR(VLOOKUP($Z400,CODES,2,FALSE),""),IFERROR(VLOOKUP($AN400,CODES,2,FALSE),"")))</f>
        <v/>
      </c>
      <c r="DB400" s="99">
        <f>IF($A400="","",IF($O400="Y","PR",IF(OR($Z400="L",$Z400="RR",LEFT($Z400,2)="L-",LEFT($Z400,3)="RR-"),"LH","RH")))</f>
        <v/>
      </c>
      <c r="DC400" s="99">
        <f>IF($A400="","","S.HM"&amp;IF(OR($C400="DOOR ONLY",$X400&lt;&gt;"KD"),"MASONRY","DRYWALL")&amp;IF($C400="DOOR ONLY","",$U400)&amp;IF(AND($C400&lt;&gt;"FRAME ONLY",OR(LEFT($AH400,3)="OAK",LEFT($AH400,3)="BIR",LEFT($AH400,3)="MAP",$AH400="PC",$AH400="MC",$AH400="SCLC",$AH400="P-LAM")),"WD","HM")&amp;"1.75")</f>
        <v/>
      </c>
      <c r="DD400" s="99">
        <f>IF($CJ400="","",IF($O400="Y",$CJ400,SUBSTITUTE($CJ400,$BG400&amp;" "&amp;IFERROR(VLOOKUP($Z400,CODES,2,FALSE),"")&amp;" ",$BG400&amp;" ")))</f>
        <v/>
      </c>
      <c r="DE400" s="99">
        <f>IF($CK400="","",IF($O400="Y",$CK400,SUBSTITUTE($CK400,$BG400&amp;" "&amp;IF($AN400="",IFERROR(VLOOKUP($Z400,CODES,2,FALSE),""),IFERROR(VLOOKUP($AN400,CODES,2,FALSE),""))&amp;" ",$BG400&amp;" ")))</f>
        <v/>
      </c>
      <c r="DF400" s="99">
        <f>IF($CJ400="","",$DC400&amp;"|"&amp;$DD400&amp;"|"&amp;$DB400&amp;"|"&amp;$AT400&amp;"|"&amp;$V400&amp;"|"&amp;$Y400&amp;"|"&amp;$AB400)</f>
        <v/>
      </c>
      <c r="DG400" s="99">
        <f>IF(DF400="","",IF(COUNTIF($DF$6:DF400,DF400)=1,MAX($DG$5:DG399)+1,INDEX($DG$5:DG399,MATCH(DF400,$DF$5:DF399,0))))</f>
        <v/>
      </c>
      <c r="DH400" s="99">
        <f>IF($CK400="","",$DC400&amp;"|"&amp;$DE400&amp;"|"&amp;$AI400&amp;"|"&amp;$BK400&amp;"|"&amp;$BL400)</f>
        <v/>
      </c>
      <c r="DI400" s="99">
        <f>IF(DH400="","",IF(COUNTIF($DH$6:DH400,DH400)=1,MAX($DI$5:DI399)+1,INDEX($DI$5:DI399,MATCH(DH400,$DH$5:DH399,0))))</f>
        <v/>
      </c>
      <c r="DJ400" s="99">
        <f>IF($A400="","",IF($B400="","qty, ","")&amp;IF($C400="","scope, ","")&amp;IF(OR($K400="",$M400=""),"size, ","")&amp;IF(AND($A400&lt;&gt;"",$C400&lt;&gt;"DOOR ONLY"),IF($U400="","jamb depth, ","")&amp;IF($X400="","construction, ","")&amp;IF($Y400="","anchor, ","")&amp;IF($S400="","frame type, ",""),"")&amp;IF(AND(N($BJ400)&gt;0,$Z400=""),"hand, ","")&amp;IF(N($BJ400)&gt;0,IF($AH400="","door material, ","")&amp;IF($AL400="","face type, ","")&amp;IF($AP400="","lock prep, ","")&amp;IF(AND($AO400="",$AC400=""),"hinge prep, ",""),"")&amp;IF(AND($CH400&gt;0,$AH400="FRP"),"FRP cannot carry a label, ","")&amp;IF(AND($O400="Y",OR($Z400="L",$Z400="R",$Z400="LR",$Z400="RR")),"pair marked but hand is single, ","")&amp;IF(AND($O400&lt;&gt;"Y",OR($Z400="PR",AND(LEN($Z400)&gt;1,ISNUMBER(SEARCH("-",$Z400))))),"pair hand on a single door, ","")&amp;IF(AND(ISNUMBER($CI400),$CH400&lt;N($CI400)),"wall needs a "&amp;$CI400&amp;" min door, ","")&amp;IF(AND($CH400&gt;=180,AND(OR($CE400="FG",$CE400="HG",$CE400="FNV",$CE400="FV"),N($CF400)*N($CG400)&gt;100)),"180 min lite over 100 sq in, ","")&amp;IF(N($BK400)&gt;48,"leaf wider than 4'-0"&amp;CHAR(34)&amp;", ","")&amp;IF(AND($CT400,COUNT($AW400:$AZ400)=0,$CQ400&gt;0),"CUSTOM LOC with no locations typed, ",""))</f>
        <v/>
      </c>
      <c r="DK400" s="99">
        <f>IF($A400="","",IF(AND($CH400&gt;0,AND($A400&lt;&gt;"",$C400&lt;&gt;"DOOR ONLY"),$X400="KD",$E400="EXTERIOR"),"KD label on an exterior opening, ","")&amp;IF(AND($E400="EXTERIOR",OR(AND(AND($A400&lt;&gt;"",$C400&lt;&gt;"DOOR ONLY"),$W400="CR"),AND(N($BJ400)&gt;0,$AH400="CR"))),"exterior in CR steel (G9?), ","")&amp;IF(AND(ISNUMBER($BQ400),N($BQ400)&lt;32),"clear width ~"&amp;TEXT($BQ400,"0.0")&amp;CHAR(34)&amp;" under 32"&amp;CHAR(34)&amp;" (ADA), ","")&amp;IF(AND($CH400=90,AND(OR($CE400="FG",$CE400="HG",$CE400="FNV",$CE400="FV"),N($CF400)*N($CG400)&gt;100)),"90 min lite over 100 sq in (stair/exit), ","")&amp;IF(AND($CH400&gt;0,AND($A400&lt;&gt;"",$C400&lt;&gt;"DOOR ONLY"),OR($AF400="",$AF400="-")),"rated: closer reinf.?, ","")&amp;IF(OR($I400="CORRIDOR",$I400="SMOKE BARRIER"),"S label + smoke gasketing, ","")&amp;IF($CI400="?","wall type/hr not in IBC table, ","")&amp;IF(AND(N($BJ400)&gt;0,$BB400=""),"no hardware set, ","")&amp;IF(AND($BB400&lt;&gt;"",ISNA(MATCH($BB400&amp;"",HWSets,0))),"set "&amp;$BB400&amp;" not on HW Sets, ","")&amp;IF(N($BL400)&gt;96,"leaf over 8'-0"&amp;CHAR(34)&amp;" - check listing, ","")&amp;IF(AND($CT400,COUNT($AW400:$AZ400)&gt;0,COUNT($AW400:$AZ400)&lt;&gt;$CQ400),COUNT($AW400:$AZ400)&amp;" custom hinges typed, "&amp;$CQ400&amp;" expected, ","")&amp;IF(AND(ISNUMBER($CA400),OR(N($CA400)&lt;34,N($CA400)&gt;48)),"lock "&amp;TEXT($CA400,"0.0")&amp;CHAR(34)&amp;" AFF outside 34-48"&amp;CHAR(34)&amp;" (ADA), ","")&amp;IF(AND(ISNUMBER($AV400),ISNUMBER($BL400),N($AV400)&lt;IF(N($BL400)&lt;=60,2,IF(N($BL400)&lt;=90,3,IF(N($BL400)&lt;=120,4,5)))),"fewer hinges than standard, ",""))</f>
        <v/>
      </c>
    </row>
    <row r="401" ht="15" customHeight="1">
      <c r="A401" s="77" t="n"/>
      <c r="B401" s="78" t="n"/>
      <c r="C401" s="78" t="n"/>
      <c r="D401" s="78" t="n"/>
      <c r="E401" s="78" t="n"/>
      <c r="F401" s="78" t="n"/>
      <c r="G401" s="78" t="n"/>
      <c r="H401" s="78" t="n"/>
      <c r="I401" s="78" t="n"/>
      <c r="J401" s="78" t="n"/>
      <c r="K401" s="78" t="n"/>
      <c r="L401" s="78" t="n"/>
      <c r="M401" s="78" t="n"/>
      <c r="N401" s="78" t="n"/>
      <c r="O401" s="78" t="n"/>
      <c r="P401" s="78" t="n"/>
      <c r="Q401" s="78" t="n"/>
      <c r="R401" s="78" t="n"/>
      <c r="S401" s="79" t="n"/>
      <c r="T401" s="79" t="n"/>
      <c r="U401" s="79" t="n"/>
      <c r="V401" s="79" t="n"/>
      <c r="W401" s="79" t="n"/>
      <c r="X401" s="79" t="n"/>
      <c r="Y401" s="79" t="n"/>
      <c r="Z401" s="79" t="n"/>
      <c r="AA401" s="79" t="n"/>
      <c r="AB401" s="79" t="n"/>
      <c r="AC401" s="79" t="n"/>
      <c r="AD401" s="79" t="n"/>
      <c r="AE401" s="79" t="n"/>
      <c r="AF401" s="79" t="n"/>
      <c r="AG401" s="79" t="n"/>
      <c r="AH401" s="80" t="n"/>
      <c r="AI401" s="80" t="n"/>
      <c r="AJ401" s="80" t="n"/>
      <c r="AK401" s="80" t="n"/>
      <c r="AL401" s="80" t="n"/>
      <c r="AM401" s="80" t="n"/>
      <c r="AN401" s="80" t="n"/>
      <c r="AO401" s="80" t="n"/>
      <c r="AP401" s="80" t="n"/>
      <c r="AQ401" s="80" t="n"/>
      <c r="AR401" s="80" t="n"/>
      <c r="AS401" s="80" t="n"/>
      <c r="AT401" s="81" t="n"/>
      <c r="AU401" s="81" t="n"/>
      <c r="AV401" s="81" t="n"/>
      <c r="AW401" s="82" t="n"/>
      <c r="AX401" s="82" t="n"/>
      <c r="AY401" s="82" t="n"/>
      <c r="AZ401" s="82" t="n"/>
      <c r="BA401" s="82" t="n"/>
      <c r="BB401" s="83" t="n"/>
      <c r="BC401" s="83" t="n"/>
      <c r="BD401" s="84">
        <f>IF($A401="","",IF($DJ401&lt;&gt;"","FIX",IF($DK401&lt;&gt;"","CHECK","OK")))</f>
        <v/>
      </c>
      <c r="BE401" s="85">
        <f>IF($A401="","",IF($DJ401&lt;&gt;"","FIX: "&amp;LEFT($DJ401,LEN($DJ401)-2)&amp;IF($DK401&lt;&gt;"","  ·  ",""),"")&amp;IF($DK401&lt;&gt;"","CHECK: "&amp;LEFT($DK401,LEN($DK401)-2),""))</f>
        <v/>
      </c>
      <c r="BF401" s="84">
        <f>IF(OR($A401="",$K401=""),"",$K401&amp;"'-"&amp;N($L401)&amp;CHAR(34)&amp;" x "&amp;$M401&amp;"'-"&amp;N($N401)&amp;CHAR(34))</f>
        <v/>
      </c>
      <c r="BG401" s="84">
        <f>IF(OR($A401="",$K401=""),"",$K401&amp;N($L401)&amp;$M401&amp;N($N401))</f>
        <v/>
      </c>
      <c r="BH401" s="84">
        <f>IF(OR($A401="",$K401=""),"",$K401*12+N($L401))</f>
        <v/>
      </c>
      <c r="BI401" s="84">
        <f>IF(OR($A401="",$M401=""),"",$M401*12+N($N401))</f>
        <v/>
      </c>
      <c r="BJ401" s="84">
        <f>IF($A401="","",IF(OR($C401="FRAME ONLY",$S401="BL"),0,IF($O401="Y",2,1)))</f>
        <v/>
      </c>
      <c r="BK401" s="86">
        <f>IF(OR(N($BJ401)=0,$BH401=""),"",($BH401-2*EdgeClr-IF($BJ401=2,MeetClr,0))/$BJ401)</f>
        <v/>
      </c>
      <c r="BL401" s="86">
        <f>IF(OR(N($BJ401)=0,$BI401=""),"",$BI401-HeadClr-Undercut)</f>
        <v/>
      </c>
      <c r="BM401" s="86">
        <f>IF($BH401="","",$BH401+2*FaceW+IF(N($Q401)&gt;0,($Q401+FaceW)*IF($R401="LR",2,1),0))</f>
        <v/>
      </c>
      <c r="BN401" s="86">
        <f>IF($BI401="","",$BI401+IF($AB401="Y",4,FaceW)+IF(N($P401)&gt;0,$P401+FaceW,0)+IF(OR($S401="4F",$S401="BL"),FaceW,0))</f>
        <v/>
      </c>
      <c r="BO401" s="86">
        <f>IF($BM401="","",$BM401+2*ROSide)</f>
        <v/>
      </c>
      <c r="BP401" s="86">
        <f>IF($BN401="","",$BN401+ROTop)</f>
        <v/>
      </c>
      <c r="BQ401" s="87">
        <f>IF(OR(N($BJ401)=0,$BH401=""),"",$BH401/$BJ401-ClearDeduct)</f>
        <v/>
      </c>
      <c r="BR401" s="84">
        <f>IF(N($CH401)=0,"",IF($CH401&gt;=180,"A · 3 HR",IF($CH401&gt;=90,"B · 1-1/2 HR",IF($CH401&gt;=60,"B · 1 HR",IF($CH401&gt;=45,"C · 3/4 HR","20 MIN")))))&amp;IF(AND(N($CH401)&gt;0,OR($I401="CORRIDOR",$I401="SMOKE BARRIER"))," · S","")</f>
        <v/>
      </c>
      <c r="BS401" s="84">
        <f>IF($CS401,"",IF($AV401&lt;&gt;"",$AV401,IF(OR($AC401="HGC",$AO401="HGC"),"CONT",IF(($BI401-HeadClr-Undercut)&lt;=60,2,IF(($BI401-HeadClr-Undercut)&lt;=90,3,IF(($BI401-HeadClr-Undercut)&lt;=120,4,5))))))</f>
        <v/>
      </c>
      <c r="BT401" s="84">
        <f>IF($CS401,"",IF($CT401,"CUSTOM (typed)",IF($CV401,$AT401&amp;" "&amp;$CU401&amp;CHAR(34)&amp;IF($CU401&lt;&gt;$BI401,IF(AND($BI401&lt;$CU401,$BI401-IF(N(VLOOKUP($AT401&amp;"|"&amp;$CU401,LocTable,7,FALSE))&gt;0,VLOOKUP($AT401&amp;"|"&amp;$CU401,LocTable,7,FALSE),VLOOKUP($AT401&amp;"|"&amp;$CU401,LocTable,6,FALSE))-$CR401-0.75&gt;=2.125)," cut down"," adj."),""),"ANSI/SDI A250.6")))</f>
        <v/>
      </c>
      <c r="BU401" s="88">
        <f>IF($CS401,"",IF($CT401,IF(N($AW401)&gt;0,N($AW401),""),IF(1&gt;$CQ401,"",IF($CQ401=1,$CW401,$CW401+($CX401-$CW401)*0/($CQ401-1)))))</f>
        <v/>
      </c>
      <c r="BV401" s="88">
        <f>IF($CS401,"",IF($CT401,IF(N($AX401)&gt;0,N($AX401),""),IF(2&gt;$CQ401,"",IF($CQ401=1,$CW401,$CW401+($CX401-$CW401)*1/($CQ401-1)))))</f>
        <v/>
      </c>
      <c r="BW401" s="88">
        <f>IF($CS401,"",IF($CT401,IF(N($AY401)&gt;0,N($AY401),""),IF(3&gt;$CQ401,"",IF($CQ401=1,$CW401,$CW401+($CX401-$CW401)*2/($CQ401-1)))))</f>
        <v/>
      </c>
      <c r="BX401" s="88">
        <f>IF($CS401,"",IF($CT401,IF(N($AZ401)&gt;0,N($AZ401),""),IF(4&gt;$CQ401,"",IF($CQ401=1,$CW401,$CW401+($CX401-$CW401)*3/($CQ401-1)))))</f>
        <v/>
      </c>
      <c r="BY401" s="88">
        <f>IF($CS401,"",IF($CT401,"",IF(5&gt;$CQ401,"",IF($CQ401=1,$CW401,$CW401+($CX401-$CW401)*4/($CQ401-1)))))</f>
        <v/>
      </c>
      <c r="BZ401" s="88">
        <f>IF(OR($CS401,$AP401="-",AND($AP401="",$AD401="")),"",IF(N($BA401)&gt;0,N($BA401),IF($CV401,IF(AND($BI401&lt;$CU401,$BI401-IF(N(VLOOKUP($AT401&amp;"|"&amp;$CU401,LocTable,7,FALSE))&gt;0,VLOOKUP($AT401&amp;"|"&amp;$CU401,LocTable,7,FALSE),VLOOKUP($AT401&amp;"|"&amp;$CU401,LocTable,6,FALSE))-$CR401-0.75&gt;=2.125),VLOOKUP($AT401&amp;"|"&amp;$CU401,LocTable,8,FALSE),VLOOKUP($AT401&amp;"|"&amp;$CU401,LocTable,8,FALSE)+($BI401-$CU401)),$BI401-LockAFF)))</f>
        <v/>
      </c>
      <c r="CA401" s="89">
        <f>IF($BZ401="","",$BI401-$BZ401)</f>
        <v/>
      </c>
      <c r="CB401" s="84">
        <f>IF(OR(NOT(AND($A401&lt;&gt;"",$C401&lt;&gt;"DOOR ONLY")),$BI401=""),"",IF(($BI401+IF(N($P401)&gt;0,$P401+FaceW,0))&lt;=90,3,IF(($BI401+IF(N($P401)&gt;0,$P401+FaceW,0))&lt;=114,4,5)))</f>
        <v/>
      </c>
      <c r="CC401" s="84">
        <f>IF($CB401="","",$CB401*(2+IF(N($Q401)&gt;0,IF($R401="LR",2,1),0)))</f>
        <v/>
      </c>
      <c r="CD401" s="84">
        <f>IF($CB401="","",(2+IF(N($Q401)&gt;0,IF($R401="LR",2,1),0)))</f>
        <v/>
      </c>
      <c r="CE401" s="84">
        <f>IF(N($BJ401)=0,"",IF(OR($AL401="",$AL401="FLUSH"),"FLUSH",IFERROR(LEFT($AL401,FIND("-",$AL401)-1),LEFT($AL401,2))))</f>
        <v/>
      </c>
      <c r="CF401" s="84">
        <f>IF($CE401="","",IFERROR(VALUE(MID($AL401,FIND("-",$AL401)+1,FIND(CHAR(34)&amp;"x",$AL401)-FIND("-",$AL401)-1)),0))</f>
        <v/>
      </c>
      <c r="CG401" s="84">
        <f>IF($CE401="","",IFERROR(VALUE(MID($AL401,FIND(CHAR(34)&amp;"x",$AL401)+2,FIND(CHAR(34),$AL401,FIND(CHAR(34)&amp;"x",$AL401)+2)-FIND(CHAR(34)&amp;"x",$AL401)-2)),0))</f>
        <v/>
      </c>
      <c r="CH401" s="90">
        <f>IF(OR($A401="",$H401="",$H401="NO LAB"),0,IFERROR(VALUE(LEFT($H401,FIND(" ",$H401)-1)),0))</f>
        <v/>
      </c>
      <c r="CI401" s="91">
        <f>IF(OR($A401="",$I401="",$I401="NON-RATED",N($J401)=0),"",IFERROR(VLOOKUP($I401&amp;"|"&amp;$J401,IBC,2,FALSE),"?"))</f>
        <v/>
      </c>
      <c r="CJ401" s="85">
        <f>IF(NOT(AND($A401&lt;&gt;"",$C401&lt;&gt;"DOOR ONLY")),"",TRIM(IFERROR(VLOOKUP($U401,CODES,2,FALSE),"")&amp;" "&amp;$BG401&amp;" "&amp;IFERROR(VLOOKUP($Z401,CODES,2,FALSE),"")&amp;" "&amp;IFERROR(VLOOKUP($X401,CODES,2,FALSE),"")&amp;" "&amp;IFERROR(VLOOKUP($S401,CODES,2,FALSE),"")&amp;IF(N($P401)&gt;0," w/TRANSOM "&amp;$P401&amp;CHAR(34),"")&amp;IF(N($Q401)&gt;0," w/SIDELITE "&amp;$Q401&amp;CHAR(34)&amp;" "&amp;IF($R401="","R",$R401),"")&amp;IF($Y401="","  |  "," | "&amp;IFERROR(VLOOKUP($Y401,CODES,2,FALSE),"")&amp;" | ")&amp;IFERROR(VLOOKUP($AC401,CODES,2,FALSE),"")&amp;" "&amp;IFERROR(VLOOKUP($AD401,CODES,2,FALSE),"")&amp;IF(OR($AE401="",$AE401="-"),""," "&amp;$AE401)&amp;IF(OR($AF401="",$AF401="-"),""," "&amp;$AF401)&amp;IF($AB401="Y"," 4"&amp;CHAR(34)&amp;" HEAD","")&amp;" "&amp;IFERROR(VLOOKUP($H401,CODES,2,FALSE),"")&amp;IF($CT401," | LOC "&amp;$CY401,"")))</f>
        <v/>
      </c>
      <c r="CK401" s="85">
        <f>IF(NOT(AND($A401&lt;&gt;"",N($BJ401)&gt;0)),"",TRIM(IFERROR(VLOOKUP($AH401,CODES,2,FALSE),"")&amp;IF($AI401=""," "," "&amp;$AI401&amp;"GA ")&amp;$BG401&amp;" "&amp;IF($AN401="",IFERROR(VLOOKUP($Z401,CODES,2,FALSE),""),IFERROR(VLOOKUP($AN401,CODES,2,FALSE),""))&amp;IF($BJ401=2," PAIR","")&amp;" DOOR | "&amp;IF($AL401="","?",$AL401)&amp;" | "&amp;IF($AO401="",IFERROR(VLOOKUP($AC401,CODES,2,FALSE),""),IFERROR(VLOOKUP($AO401,CODES,2,FALSE),""))&amp;" "&amp;IFERROR(VLOOKUP($AP401,CODES,2,FALSE),"")&amp;IF(OR($AQ401="",$AQ401="-"),""," SEAM "&amp;$AQ401)&amp;IF($AR401="Y"," ASTRAGAL","")&amp;IF($AJ401=""," "," "&amp;$AJ401)&amp;IF($AK401=""," "," "&amp;$AK401)&amp;IF(OR($AT401="",$AT401="ANSI/SDI",$AT401="CUSTOM LOC"),""," "&amp;$AT401)&amp;IF($AM401=""," "," SERIES "&amp;$AM401)&amp;" "&amp;IFERROR(VLOOKUP($H401,CODES,2,FALSE),"")&amp;IF($CT401," | LOC "&amp;$CZ401,"")))</f>
        <v/>
      </c>
      <c r="CL401" s="84">
        <f>IF(CP401="","",IF(COUNTIF($CP$6:CP401,CP401)=1,MAX($CL$5:CL400)+1,INDEX($CL$5:CL400,MATCH(CP401,$CP$5:CP400,0))))</f>
        <v/>
      </c>
      <c r="CM401" s="84">
        <f>IF(NOT(AND($A401&lt;&gt;"",$C401&lt;&gt;"DOOR ONLY")),"",MAX($CM$5:CM400)+1)</f>
        <v/>
      </c>
      <c r="CN401" s="84">
        <f>IF(NOT(AND($A401&lt;&gt;"",N($BJ401)&gt;0)),"",MAX($CN$5:CN400)+1)</f>
        <v/>
      </c>
      <c r="CO401" s="84">
        <f>IF($A401="","",MAX($CO$5:CO400)+1)</f>
        <v/>
      </c>
      <c r="CP401" s="84">
        <f>IF(OR($A401="",$BH401="",$BI401=""),"",$BG401&amp;"|"&amp;$O401&amp;"|"&amp;$AL401&amp;"|"&amp;$S401&amp;"|"&amp;$P401&amp;"|"&amp;$Q401&amp;$R401&amp;"|"&amp;$C401&amp;"|"&amp;$AB401)</f>
        <v/>
      </c>
      <c r="CQ401" s="84">
        <f>N($BS401)</f>
        <v/>
      </c>
      <c r="CR401" s="84">
        <f>IF(N($AU401)&gt;0,N($AU401),4.5)</f>
        <v/>
      </c>
      <c r="CS401" s="84">
        <f>OR($A401="",$BI401="",$S401="BL",AND($C401="FRAME ONLY",OR($AC401="",$AC401="BLK")))</f>
        <v/>
      </c>
      <c r="CT401" s="84">
        <f>AND(NOT($CS401),OR($AT401="CUSTOM LOC",N($AW401)+N($AX401)+N($AY401)+N($AZ401)+N($BA401)&gt;0))</f>
        <v/>
      </c>
      <c r="CU401" s="84">
        <f>IF($BI401="","",IF($BI401&lt;=80,80,IF($BI401&lt;=84,84,96)))</f>
        <v/>
      </c>
      <c r="CV401" s="84">
        <f>ISNUMBER(MATCH($AT401&amp;"|80",LocKeys,0))</f>
        <v/>
      </c>
      <c r="CW401" s="86">
        <f>IF($CS401,"",IF($CV401,VLOOKUP($AT401&amp;"|"&amp;$CU401,LocTable,4,FALSE),5))</f>
        <v/>
      </c>
      <c r="CX401" s="86">
        <f>IF($CS401,"",IF($CV401,IF(OR($BI401=$CU401,AND($BI401&lt;$CU401,$BI401-IF(N(VLOOKUP($AT401&amp;"|"&amp;$CU401,LocTable,7,FALSE))&gt;0,VLOOKUP($AT401&amp;"|"&amp;$CU401,LocTable,7,FALSE),VLOOKUP($AT401&amp;"|"&amp;$CU401,LocTable,6,FALSE))-$CR401-0.75&gt;=2.125)),IF(N(VLOOKUP($AT401&amp;"|"&amp;$CU401,LocTable,7,FALSE))&gt;0,VLOOKUP($AT401&amp;"|"&amp;$CU401,LocTable,7,FALSE),VLOOKUP($AT401&amp;"|"&amp;$CU401,LocTable,6,FALSE)),$BI401-($CU401-IF(N(VLOOKUP($AT401&amp;"|"&amp;$CU401,LocTable,7,FALSE))&gt;0,VLOOKUP($AT401&amp;"|"&amp;$CU401,LocTable,7,FALSE),VLOOKUP($AT401&amp;"|"&amp;$CU401,LocTable,6,FALSE)))),$BI401-10-$CR401))</f>
        <v/>
      </c>
      <c r="CY401" s="85">
        <f>IF($CS401,"",TRIM(IF(ISNUMBER($BU401),"A "&amp;TRIM(TEXT($BU401,"# ?/??"))&amp;CHAR(34)&amp;"  ","")&amp;IF(ISNUMBER($BV401),"B "&amp;TRIM(TEXT($BV401,"# ?/??"))&amp;CHAR(34)&amp;"  ","")&amp;IF(ISNUMBER($BW401),"C "&amp;TRIM(TEXT($BW401,"# ?/??"))&amp;CHAR(34)&amp;"  ","")&amp;IF(ISNUMBER($BX401),"D "&amp;TRIM(TEXT($BX401,"# ?/??"))&amp;CHAR(34)&amp;"  ","")&amp;IF(ISNUMBER($BY401),"F "&amp;TRIM(TEXT($BY401,"# ?/??"))&amp;CHAR(34)&amp;"  ","")&amp;IF(ISNUMBER($BZ401),"E "&amp;TRIM(TEXT($BZ401,"# ?/??"))&amp;CHAR(34)&amp;"  ","")))</f>
        <v/>
      </c>
      <c r="CZ401" s="85">
        <f>IF(OR($CS401,N($BJ401)=0),"",TRIM(IF(ISNUMBER($BU401),"A "&amp;TRIM(TEXT($BU401-HeadClr,"# ?/??"))&amp;CHAR(34)&amp;"  ","")&amp;IF(ISNUMBER($BV401),"B "&amp;TRIM(TEXT($BV401-HeadClr,"# ?/??"))&amp;CHAR(34)&amp;"  ","")&amp;IF(ISNUMBER($BW401),"C "&amp;TRIM(TEXT($BW401-HeadClr,"# ?/??"))&amp;CHAR(34)&amp;"  ","")&amp;IF(ISNUMBER($BX401),"D "&amp;TRIM(TEXT($BX401-HeadClr,"# ?/??"))&amp;CHAR(34)&amp;"  ","")&amp;IF(ISNUMBER($BY401),"F "&amp;TRIM(TEXT($BY401-HeadClr,"# ?/??"))&amp;CHAR(34)&amp;"  ","")&amp;IF(ISNUMBER($BZ401),"E "&amp;TRIM(TEXT($BZ401-HeadClr,"# ?/??"))&amp;CHAR(34)&amp;"  ","")))</f>
        <v/>
      </c>
      <c r="DA401" s="84">
        <f>IF($A401="","",IF($AN401="",IFERROR(VLOOKUP($Z401,CODES,2,FALSE),""),IFERROR(VLOOKUP($AN401,CODES,2,FALSE),"")))</f>
        <v/>
      </c>
      <c r="DB401" s="84">
        <f>IF($A401="","",IF($O401="Y","PR",IF(OR($Z401="L",$Z401="RR",LEFT($Z401,2)="L-",LEFT($Z401,3)="RR-"),"LH","RH")))</f>
        <v/>
      </c>
      <c r="DC401" s="84">
        <f>IF($A401="","","S.HM"&amp;IF(OR($C401="DOOR ONLY",$X401&lt;&gt;"KD"),"MASONRY","DRYWALL")&amp;IF($C401="DOOR ONLY","",$U401)&amp;IF(AND($C401&lt;&gt;"FRAME ONLY",OR(LEFT($AH401,3)="OAK",LEFT($AH401,3)="BIR",LEFT($AH401,3)="MAP",$AH401="PC",$AH401="MC",$AH401="SCLC",$AH401="P-LAM")),"WD","HM")&amp;"1.75")</f>
        <v/>
      </c>
      <c r="DD401" s="84">
        <f>IF($CJ401="","",IF($O401="Y",$CJ401,SUBSTITUTE($CJ401,$BG401&amp;" "&amp;IFERROR(VLOOKUP($Z401,CODES,2,FALSE),"")&amp;" ",$BG401&amp;" ")))</f>
        <v/>
      </c>
      <c r="DE401" s="84">
        <f>IF($CK401="","",IF($O401="Y",$CK401,SUBSTITUTE($CK401,$BG401&amp;" "&amp;IF($AN401="",IFERROR(VLOOKUP($Z401,CODES,2,FALSE),""),IFERROR(VLOOKUP($AN401,CODES,2,FALSE),""))&amp;" ",$BG401&amp;" ")))</f>
        <v/>
      </c>
      <c r="DF401" s="84">
        <f>IF($CJ401="","",$DC401&amp;"|"&amp;$DD401&amp;"|"&amp;$DB401&amp;"|"&amp;$AT401&amp;"|"&amp;$V401&amp;"|"&amp;$Y401&amp;"|"&amp;$AB401)</f>
        <v/>
      </c>
      <c r="DG401" s="84">
        <f>IF(DF401="","",IF(COUNTIF($DF$6:DF401,DF401)=1,MAX($DG$5:DG400)+1,INDEX($DG$5:DG400,MATCH(DF401,$DF$5:DF400,0))))</f>
        <v/>
      </c>
      <c r="DH401" s="84">
        <f>IF($CK401="","",$DC401&amp;"|"&amp;$DE401&amp;"|"&amp;$AI401&amp;"|"&amp;$BK401&amp;"|"&amp;$BL401)</f>
        <v/>
      </c>
      <c r="DI401" s="84">
        <f>IF(DH401="","",IF(COUNTIF($DH$6:DH401,DH401)=1,MAX($DI$5:DI400)+1,INDEX($DI$5:DI400,MATCH(DH401,$DH$5:DH400,0))))</f>
        <v/>
      </c>
      <c r="DJ401" s="84">
        <f>IF($A401="","",IF($B401="","qty, ","")&amp;IF($C401="","scope, ","")&amp;IF(OR($K401="",$M401=""),"size, ","")&amp;IF(AND($A401&lt;&gt;"",$C401&lt;&gt;"DOOR ONLY"),IF($U401="","jamb depth, ","")&amp;IF($X401="","construction, ","")&amp;IF($Y401="","anchor, ","")&amp;IF($S401="","frame type, ",""),"")&amp;IF(AND(N($BJ401)&gt;0,$Z401=""),"hand, ","")&amp;IF(N($BJ401)&gt;0,IF($AH401="","door material, ","")&amp;IF($AL401="","face type, ","")&amp;IF($AP401="","lock prep, ","")&amp;IF(AND($AO401="",$AC401=""),"hinge prep, ",""),"")&amp;IF(AND($CH401&gt;0,$AH401="FRP"),"FRP cannot carry a label, ","")&amp;IF(AND($O401="Y",OR($Z401="L",$Z401="R",$Z401="LR",$Z401="RR")),"pair marked but hand is single, ","")&amp;IF(AND($O401&lt;&gt;"Y",OR($Z401="PR",AND(LEN($Z401)&gt;1,ISNUMBER(SEARCH("-",$Z401))))),"pair hand on a single door, ","")&amp;IF(AND(ISNUMBER($CI401),$CH401&lt;N($CI401)),"wall needs a "&amp;$CI401&amp;" min door, ","")&amp;IF(AND($CH401&gt;=180,AND(OR($CE401="FG",$CE401="HG",$CE401="FNV",$CE401="FV"),N($CF401)*N($CG401)&gt;100)),"180 min lite over 100 sq in, ","")&amp;IF(N($BK401)&gt;48,"leaf wider than 4'-0"&amp;CHAR(34)&amp;", ","")&amp;IF(AND($CT401,COUNT($AW401:$AZ401)=0,$CQ401&gt;0),"CUSTOM LOC with no locations typed, ",""))</f>
        <v/>
      </c>
      <c r="DK401" s="84">
        <f>IF($A401="","",IF(AND($CH401&gt;0,AND($A401&lt;&gt;"",$C401&lt;&gt;"DOOR ONLY"),$X401="KD",$E401="EXTERIOR"),"KD label on an exterior opening, ","")&amp;IF(AND($E401="EXTERIOR",OR(AND(AND($A401&lt;&gt;"",$C401&lt;&gt;"DOOR ONLY"),$W401="CR"),AND(N($BJ401)&gt;0,$AH401="CR"))),"exterior in CR steel (G9?), ","")&amp;IF(AND(ISNUMBER($BQ401),N($BQ401)&lt;32),"clear width ~"&amp;TEXT($BQ401,"0.0")&amp;CHAR(34)&amp;" under 32"&amp;CHAR(34)&amp;" (ADA), ","")&amp;IF(AND($CH401=90,AND(OR($CE401="FG",$CE401="HG",$CE401="FNV",$CE401="FV"),N($CF401)*N($CG401)&gt;100)),"90 min lite over 100 sq in (stair/exit), ","")&amp;IF(AND($CH401&gt;0,AND($A401&lt;&gt;"",$C401&lt;&gt;"DOOR ONLY"),OR($AF401="",$AF401="-")),"rated: closer reinf.?, ","")&amp;IF(OR($I401="CORRIDOR",$I401="SMOKE BARRIER"),"S label + smoke gasketing, ","")&amp;IF($CI401="?","wall type/hr not in IBC table, ","")&amp;IF(AND(N($BJ401)&gt;0,$BB401=""),"no hardware set, ","")&amp;IF(AND($BB401&lt;&gt;"",ISNA(MATCH($BB401&amp;"",HWSets,0))),"set "&amp;$BB401&amp;" not on HW Sets, ","")&amp;IF(N($BL401)&gt;96,"leaf over 8'-0"&amp;CHAR(34)&amp;" - check listing, ","")&amp;IF(AND($CT401,COUNT($AW401:$AZ401)&gt;0,COUNT($AW401:$AZ401)&lt;&gt;$CQ401),COUNT($AW401:$AZ401)&amp;" custom hinges typed, "&amp;$CQ401&amp;" expected, ","")&amp;IF(AND(ISNUMBER($CA401),OR(N($CA401)&lt;34,N($CA401)&gt;48)),"lock "&amp;TEXT($CA401,"0.0")&amp;CHAR(34)&amp;" AFF outside 34-48"&amp;CHAR(34)&amp;" (ADA), ","")&amp;IF(AND(ISNUMBER($AV401),ISNUMBER($BL401),N($AV401)&lt;IF(N($BL401)&lt;=60,2,IF(N($BL401)&lt;=90,3,IF(N($BL401)&lt;=120,4,5)))),"fewer hinges than standard, ",""))</f>
        <v/>
      </c>
    </row>
    <row r="402" ht="15" customHeight="1">
      <c r="A402" s="77" t="n"/>
      <c r="B402" s="78" t="n"/>
      <c r="C402" s="78" t="n"/>
      <c r="D402" s="78" t="n"/>
      <c r="E402" s="78" t="n"/>
      <c r="F402" s="78" t="n"/>
      <c r="G402" s="78" t="n"/>
      <c r="H402" s="78" t="n"/>
      <c r="I402" s="78" t="n"/>
      <c r="J402" s="78" t="n"/>
      <c r="K402" s="78" t="n"/>
      <c r="L402" s="78" t="n"/>
      <c r="M402" s="78" t="n"/>
      <c r="N402" s="78" t="n"/>
      <c r="O402" s="78" t="n"/>
      <c r="P402" s="78" t="n"/>
      <c r="Q402" s="78" t="n"/>
      <c r="R402" s="78" t="n"/>
      <c r="S402" s="79" t="n"/>
      <c r="T402" s="79" t="n"/>
      <c r="U402" s="79" t="n"/>
      <c r="V402" s="79" t="n"/>
      <c r="W402" s="79" t="n"/>
      <c r="X402" s="79" t="n"/>
      <c r="Y402" s="79" t="n"/>
      <c r="Z402" s="79" t="n"/>
      <c r="AA402" s="79" t="n"/>
      <c r="AB402" s="79" t="n"/>
      <c r="AC402" s="79" t="n"/>
      <c r="AD402" s="79" t="n"/>
      <c r="AE402" s="79" t="n"/>
      <c r="AF402" s="79" t="n"/>
      <c r="AG402" s="79" t="n"/>
      <c r="AH402" s="80" t="n"/>
      <c r="AI402" s="80" t="n"/>
      <c r="AJ402" s="80" t="n"/>
      <c r="AK402" s="80" t="n"/>
      <c r="AL402" s="80" t="n"/>
      <c r="AM402" s="80" t="n"/>
      <c r="AN402" s="80" t="n"/>
      <c r="AO402" s="80" t="n"/>
      <c r="AP402" s="80" t="n"/>
      <c r="AQ402" s="80" t="n"/>
      <c r="AR402" s="80" t="n"/>
      <c r="AS402" s="80" t="n"/>
      <c r="AT402" s="81" t="n"/>
      <c r="AU402" s="81" t="n"/>
      <c r="AV402" s="81" t="n"/>
      <c r="AW402" s="82" t="n"/>
      <c r="AX402" s="82" t="n"/>
      <c r="AY402" s="82" t="n"/>
      <c r="AZ402" s="82" t="n"/>
      <c r="BA402" s="82" t="n"/>
      <c r="BB402" s="83" t="n"/>
      <c r="BC402" s="83" t="n"/>
      <c r="BD402" s="84">
        <f>IF($A402="","",IF($DJ402&lt;&gt;"","FIX",IF($DK402&lt;&gt;"","CHECK","OK")))</f>
        <v/>
      </c>
      <c r="BE402" s="85">
        <f>IF($A402="","",IF($DJ402&lt;&gt;"","FIX: "&amp;LEFT($DJ402,LEN($DJ402)-2)&amp;IF($DK402&lt;&gt;"","  ·  ",""),"")&amp;IF($DK402&lt;&gt;"","CHECK: "&amp;LEFT($DK402,LEN($DK402)-2),""))</f>
        <v/>
      </c>
      <c r="BF402" s="84">
        <f>IF(OR($A402="",$K402=""),"",$K402&amp;"'-"&amp;N($L402)&amp;CHAR(34)&amp;" x "&amp;$M402&amp;"'-"&amp;N($N402)&amp;CHAR(34))</f>
        <v/>
      </c>
      <c r="BG402" s="84">
        <f>IF(OR($A402="",$K402=""),"",$K402&amp;N($L402)&amp;$M402&amp;N($N402))</f>
        <v/>
      </c>
      <c r="BH402" s="84">
        <f>IF(OR($A402="",$K402=""),"",$K402*12+N($L402))</f>
        <v/>
      </c>
      <c r="BI402" s="84">
        <f>IF(OR($A402="",$M402=""),"",$M402*12+N($N402))</f>
        <v/>
      </c>
      <c r="BJ402" s="84">
        <f>IF($A402="","",IF(OR($C402="FRAME ONLY",$S402="BL"),0,IF($O402="Y",2,1)))</f>
        <v/>
      </c>
      <c r="BK402" s="86">
        <f>IF(OR(N($BJ402)=0,$BH402=""),"",($BH402-2*EdgeClr-IF($BJ402=2,MeetClr,0))/$BJ402)</f>
        <v/>
      </c>
      <c r="BL402" s="86">
        <f>IF(OR(N($BJ402)=0,$BI402=""),"",$BI402-HeadClr-Undercut)</f>
        <v/>
      </c>
      <c r="BM402" s="86">
        <f>IF($BH402="","",$BH402+2*FaceW+IF(N($Q402)&gt;0,($Q402+FaceW)*IF($R402="LR",2,1),0))</f>
        <v/>
      </c>
      <c r="BN402" s="86">
        <f>IF($BI402="","",$BI402+IF($AB402="Y",4,FaceW)+IF(N($P402)&gt;0,$P402+FaceW,0)+IF(OR($S402="4F",$S402="BL"),FaceW,0))</f>
        <v/>
      </c>
      <c r="BO402" s="86">
        <f>IF($BM402="","",$BM402+2*ROSide)</f>
        <v/>
      </c>
      <c r="BP402" s="86">
        <f>IF($BN402="","",$BN402+ROTop)</f>
        <v/>
      </c>
      <c r="BQ402" s="87">
        <f>IF(OR(N($BJ402)=0,$BH402=""),"",$BH402/$BJ402-ClearDeduct)</f>
        <v/>
      </c>
      <c r="BR402" s="84">
        <f>IF(N($CH402)=0,"",IF($CH402&gt;=180,"A · 3 HR",IF($CH402&gt;=90,"B · 1-1/2 HR",IF($CH402&gt;=60,"B · 1 HR",IF($CH402&gt;=45,"C · 3/4 HR","20 MIN")))))&amp;IF(AND(N($CH402)&gt;0,OR($I402="CORRIDOR",$I402="SMOKE BARRIER"))," · S","")</f>
        <v/>
      </c>
      <c r="BS402" s="84">
        <f>IF($CS402,"",IF($AV402&lt;&gt;"",$AV402,IF(OR($AC402="HGC",$AO402="HGC"),"CONT",IF(($BI402-HeadClr-Undercut)&lt;=60,2,IF(($BI402-HeadClr-Undercut)&lt;=90,3,IF(($BI402-HeadClr-Undercut)&lt;=120,4,5))))))</f>
        <v/>
      </c>
      <c r="BT402" s="84">
        <f>IF($CS402,"",IF($CT402,"CUSTOM (typed)",IF($CV402,$AT402&amp;" "&amp;$CU402&amp;CHAR(34)&amp;IF($CU402&lt;&gt;$BI402,IF(AND($BI402&lt;$CU402,$BI402-IF(N(VLOOKUP($AT402&amp;"|"&amp;$CU402,LocTable,7,FALSE))&gt;0,VLOOKUP($AT402&amp;"|"&amp;$CU402,LocTable,7,FALSE),VLOOKUP($AT402&amp;"|"&amp;$CU402,LocTable,6,FALSE))-$CR402-0.75&gt;=2.125)," cut down"," adj."),""),"ANSI/SDI A250.6")))</f>
        <v/>
      </c>
      <c r="BU402" s="88">
        <f>IF($CS402,"",IF($CT402,IF(N($AW402)&gt;0,N($AW402),""),IF(1&gt;$CQ402,"",IF($CQ402=1,$CW402,$CW402+($CX402-$CW402)*0/($CQ402-1)))))</f>
        <v/>
      </c>
      <c r="BV402" s="88">
        <f>IF($CS402,"",IF($CT402,IF(N($AX402)&gt;0,N($AX402),""),IF(2&gt;$CQ402,"",IF($CQ402=1,$CW402,$CW402+($CX402-$CW402)*1/($CQ402-1)))))</f>
        <v/>
      </c>
      <c r="BW402" s="88">
        <f>IF($CS402,"",IF($CT402,IF(N($AY402)&gt;0,N($AY402),""),IF(3&gt;$CQ402,"",IF($CQ402=1,$CW402,$CW402+($CX402-$CW402)*2/($CQ402-1)))))</f>
        <v/>
      </c>
      <c r="BX402" s="88">
        <f>IF($CS402,"",IF($CT402,IF(N($AZ402)&gt;0,N($AZ402),""),IF(4&gt;$CQ402,"",IF($CQ402=1,$CW402,$CW402+($CX402-$CW402)*3/($CQ402-1)))))</f>
        <v/>
      </c>
      <c r="BY402" s="88">
        <f>IF($CS402,"",IF($CT402,"",IF(5&gt;$CQ402,"",IF($CQ402=1,$CW402,$CW402+($CX402-$CW402)*4/($CQ402-1)))))</f>
        <v/>
      </c>
      <c r="BZ402" s="88">
        <f>IF(OR($CS402,$AP402="-",AND($AP402="",$AD402="")),"",IF(N($BA402)&gt;0,N($BA402),IF($CV402,IF(AND($BI402&lt;$CU402,$BI402-IF(N(VLOOKUP($AT402&amp;"|"&amp;$CU402,LocTable,7,FALSE))&gt;0,VLOOKUP($AT402&amp;"|"&amp;$CU402,LocTable,7,FALSE),VLOOKUP($AT402&amp;"|"&amp;$CU402,LocTable,6,FALSE))-$CR402-0.75&gt;=2.125),VLOOKUP($AT402&amp;"|"&amp;$CU402,LocTable,8,FALSE),VLOOKUP($AT402&amp;"|"&amp;$CU402,LocTable,8,FALSE)+($BI402-$CU402)),$BI402-LockAFF)))</f>
        <v/>
      </c>
      <c r="CA402" s="89">
        <f>IF($BZ402="","",$BI402-$BZ402)</f>
        <v/>
      </c>
      <c r="CB402" s="84">
        <f>IF(OR(NOT(AND($A402&lt;&gt;"",$C402&lt;&gt;"DOOR ONLY")),$BI402=""),"",IF(($BI402+IF(N($P402)&gt;0,$P402+FaceW,0))&lt;=90,3,IF(($BI402+IF(N($P402)&gt;0,$P402+FaceW,0))&lt;=114,4,5)))</f>
        <v/>
      </c>
      <c r="CC402" s="84">
        <f>IF($CB402="","",$CB402*(2+IF(N($Q402)&gt;0,IF($R402="LR",2,1),0)))</f>
        <v/>
      </c>
      <c r="CD402" s="84">
        <f>IF($CB402="","",(2+IF(N($Q402)&gt;0,IF($R402="LR",2,1),0)))</f>
        <v/>
      </c>
      <c r="CE402" s="84">
        <f>IF(N($BJ402)=0,"",IF(OR($AL402="",$AL402="FLUSH"),"FLUSH",IFERROR(LEFT($AL402,FIND("-",$AL402)-1),LEFT($AL402,2))))</f>
        <v/>
      </c>
      <c r="CF402" s="84">
        <f>IF($CE402="","",IFERROR(VALUE(MID($AL402,FIND("-",$AL402)+1,FIND(CHAR(34)&amp;"x",$AL402)-FIND("-",$AL402)-1)),0))</f>
        <v/>
      </c>
      <c r="CG402" s="84">
        <f>IF($CE402="","",IFERROR(VALUE(MID($AL402,FIND(CHAR(34)&amp;"x",$AL402)+2,FIND(CHAR(34),$AL402,FIND(CHAR(34)&amp;"x",$AL402)+2)-FIND(CHAR(34)&amp;"x",$AL402)-2)),0))</f>
        <v/>
      </c>
      <c r="CH402" s="90">
        <f>IF(OR($A402="",$H402="",$H402="NO LAB"),0,IFERROR(VALUE(LEFT($H402,FIND(" ",$H402)-1)),0))</f>
        <v/>
      </c>
      <c r="CI402" s="91">
        <f>IF(OR($A402="",$I402="",$I402="NON-RATED",N($J402)=0),"",IFERROR(VLOOKUP($I402&amp;"|"&amp;$J402,IBC,2,FALSE),"?"))</f>
        <v/>
      </c>
      <c r="CJ402" s="85">
        <f>IF(NOT(AND($A402&lt;&gt;"",$C402&lt;&gt;"DOOR ONLY")),"",TRIM(IFERROR(VLOOKUP($U402,CODES,2,FALSE),"")&amp;" "&amp;$BG402&amp;" "&amp;IFERROR(VLOOKUP($Z402,CODES,2,FALSE),"")&amp;" "&amp;IFERROR(VLOOKUP($X402,CODES,2,FALSE),"")&amp;" "&amp;IFERROR(VLOOKUP($S402,CODES,2,FALSE),"")&amp;IF(N($P402)&gt;0," w/TRANSOM "&amp;$P402&amp;CHAR(34),"")&amp;IF(N($Q402)&gt;0," w/SIDELITE "&amp;$Q402&amp;CHAR(34)&amp;" "&amp;IF($R402="","R",$R402),"")&amp;IF($Y402="","  |  "," | "&amp;IFERROR(VLOOKUP($Y402,CODES,2,FALSE),"")&amp;" | ")&amp;IFERROR(VLOOKUP($AC402,CODES,2,FALSE),"")&amp;" "&amp;IFERROR(VLOOKUP($AD402,CODES,2,FALSE),"")&amp;IF(OR($AE402="",$AE402="-"),""," "&amp;$AE402)&amp;IF(OR($AF402="",$AF402="-"),""," "&amp;$AF402)&amp;IF($AB402="Y"," 4"&amp;CHAR(34)&amp;" HEAD","")&amp;" "&amp;IFERROR(VLOOKUP($H402,CODES,2,FALSE),"")&amp;IF($CT402," | LOC "&amp;$CY402,"")))</f>
        <v/>
      </c>
      <c r="CK402" s="85">
        <f>IF(NOT(AND($A402&lt;&gt;"",N($BJ402)&gt;0)),"",TRIM(IFERROR(VLOOKUP($AH402,CODES,2,FALSE),"")&amp;IF($AI402=""," "," "&amp;$AI402&amp;"GA ")&amp;$BG402&amp;" "&amp;IF($AN402="",IFERROR(VLOOKUP($Z402,CODES,2,FALSE),""),IFERROR(VLOOKUP($AN402,CODES,2,FALSE),""))&amp;IF($BJ402=2," PAIR","")&amp;" DOOR | "&amp;IF($AL402="","?",$AL402)&amp;" | "&amp;IF($AO402="",IFERROR(VLOOKUP($AC402,CODES,2,FALSE),""),IFERROR(VLOOKUP($AO402,CODES,2,FALSE),""))&amp;" "&amp;IFERROR(VLOOKUP($AP402,CODES,2,FALSE),"")&amp;IF(OR($AQ402="",$AQ402="-"),""," SEAM "&amp;$AQ402)&amp;IF($AR402="Y"," ASTRAGAL","")&amp;IF($AJ402=""," "," "&amp;$AJ402)&amp;IF($AK402=""," "," "&amp;$AK402)&amp;IF(OR($AT402="",$AT402="ANSI/SDI",$AT402="CUSTOM LOC"),""," "&amp;$AT402)&amp;IF($AM402=""," "," SERIES "&amp;$AM402)&amp;" "&amp;IFERROR(VLOOKUP($H402,CODES,2,FALSE),"")&amp;IF($CT402," | LOC "&amp;$CZ402,"")))</f>
        <v/>
      </c>
      <c r="CL402" s="84">
        <f>IF(CP402="","",IF(COUNTIF($CP$6:CP402,CP402)=1,MAX($CL$5:CL401)+1,INDEX($CL$5:CL401,MATCH(CP402,$CP$5:CP401,0))))</f>
        <v/>
      </c>
      <c r="CM402" s="84">
        <f>IF(NOT(AND($A402&lt;&gt;"",$C402&lt;&gt;"DOOR ONLY")),"",MAX($CM$5:CM401)+1)</f>
        <v/>
      </c>
      <c r="CN402" s="84">
        <f>IF(NOT(AND($A402&lt;&gt;"",N($BJ402)&gt;0)),"",MAX($CN$5:CN401)+1)</f>
        <v/>
      </c>
      <c r="CO402" s="84">
        <f>IF($A402="","",MAX($CO$5:CO401)+1)</f>
        <v/>
      </c>
      <c r="CP402" s="84">
        <f>IF(OR($A402="",$BH402="",$BI402=""),"",$BG402&amp;"|"&amp;$O402&amp;"|"&amp;$AL402&amp;"|"&amp;$S402&amp;"|"&amp;$P402&amp;"|"&amp;$Q402&amp;$R402&amp;"|"&amp;$C402&amp;"|"&amp;$AB402)</f>
        <v/>
      </c>
      <c r="CQ402" s="84">
        <f>N($BS402)</f>
        <v/>
      </c>
      <c r="CR402" s="84">
        <f>IF(N($AU402)&gt;0,N($AU402),4.5)</f>
        <v/>
      </c>
      <c r="CS402" s="84">
        <f>OR($A402="",$BI402="",$S402="BL",AND($C402="FRAME ONLY",OR($AC402="",$AC402="BLK")))</f>
        <v/>
      </c>
      <c r="CT402" s="84">
        <f>AND(NOT($CS402),OR($AT402="CUSTOM LOC",N($AW402)+N($AX402)+N($AY402)+N($AZ402)+N($BA402)&gt;0))</f>
        <v/>
      </c>
      <c r="CU402" s="84">
        <f>IF($BI402="","",IF($BI402&lt;=80,80,IF($BI402&lt;=84,84,96)))</f>
        <v/>
      </c>
      <c r="CV402" s="84">
        <f>ISNUMBER(MATCH($AT402&amp;"|80",LocKeys,0))</f>
        <v/>
      </c>
      <c r="CW402" s="86">
        <f>IF($CS402,"",IF($CV402,VLOOKUP($AT402&amp;"|"&amp;$CU402,LocTable,4,FALSE),5))</f>
        <v/>
      </c>
      <c r="CX402" s="86">
        <f>IF($CS402,"",IF($CV402,IF(OR($BI402=$CU402,AND($BI402&lt;$CU402,$BI402-IF(N(VLOOKUP($AT402&amp;"|"&amp;$CU402,LocTable,7,FALSE))&gt;0,VLOOKUP($AT402&amp;"|"&amp;$CU402,LocTable,7,FALSE),VLOOKUP($AT402&amp;"|"&amp;$CU402,LocTable,6,FALSE))-$CR402-0.75&gt;=2.125)),IF(N(VLOOKUP($AT402&amp;"|"&amp;$CU402,LocTable,7,FALSE))&gt;0,VLOOKUP($AT402&amp;"|"&amp;$CU402,LocTable,7,FALSE),VLOOKUP($AT402&amp;"|"&amp;$CU402,LocTable,6,FALSE)),$BI402-($CU402-IF(N(VLOOKUP($AT402&amp;"|"&amp;$CU402,LocTable,7,FALSE))&gt;0,VLOOKUP($AT402&amp;"|"&amp;$CU402,LocTable,7,FALSE),VLOOKUP($AT402&amp;"|"&amp;$CU402,LocTable,6,FALSE)))),$BI402-10-$CR402))</f>
        <v/>
      </c>
      <c r="CY402" s="85">
        <f>IF($CS402,"",TRIM(IF(ISNUMBER($BU402),"A "&amp;TRIM(TEXT($BU402,"# ?/??"))&amp;CHAR(34)&amp;"  ","")&amp;IF(ISNUMBER($BV402),"B "&amp;TRIM(TEXT($BV402,"# ?/??"))&amp;CHAR(34)&amp;"  ","")&amp;IF(ISNUMBER($BW402),"C "&amp;TRIM(TEXT($BW402,"# ?/??"))&amp;CHAR(34)&amp;"  ","")&amp;IF(ISNUMBER($BX402),"D "&amp;TRIM(TEXT($BX402,"# ?/??"))&amp;CHAR(34)&amp;"  ","")&amp;IF(ISNUMBER($BY402),"F "&amp;TRIM(TEXT($BY402,"# ?/??"))&amp;CHAR(34)&amp;"  ","")&amp;IF(ISNUMBER($BZ402),"E "&amp;TRIM(TEXT($BZ402,"# ?/??"))&amp;CHAR(34)&amp;"  ","")))</f>
        <v/>
      </c>
      <c r="CZ402" s="85">
        <f>IF(OR($CS402,N($BJ402)=0),"",TRIM(IF(ISNUMBER($BU402),"A "&amp;TRIM(TEXT($BU402-HeadClr,"# ?/??"))&amp;CHAR(34)&amp;"  ","")&amp;IF(ISNUMBER($BV402),"B "&amp;TRIM(TEXT($BV402-HeadClr,"# ?/??"))&amp;CHAR(34)&amp;"  ","")&amp;IF(ISNUMBER($BW402),"C "&amp;TRIM(TEXT($BW402-HeadClr,"# ?/??"))&amp;CHAR(34)&amp;"  ","")&amp;IF(ISNUMBER($BX402),"D "&amp;TRIM(TEXT($BX402-HeadClr,"# ?/??"))&amp;CHAR(34)&amp;"  ","")&amp;IF(ISNUMBER($BY402),"F "&amp;TRIM(TEXT($BY402-HeadClr,"# ?/??"))&amp;CHAR(34)&amp;"  ","")&amp;IF(ISNUMBER($BZ402),"E "&amp;TRIM(TEXT($BZ402-HeadClr,"# ?/??"))&amp;CHAR(34)&amp;"  ","")))</f>
        <v/>
      </c>
      <c r="DA402" s="84">
        <f>IF($A402="","",IF($AN402="",IFERROR(VLOOKUP($Z402,CODES,2,FALSE),""),IFERROR(VLOOKUP($AN402,CODES,2,FALSE),"")))</f>
        <v/>
      </c>
      <c r="DB402" s="84">
        <f>IF($A402="","",IF($O402="Y","PR",IF(OR($Z402="L",$Z402="RR",LEFT($Z402,2)="L-",LEFT($Z402,3)="RR-"),"LH","RH")))</f>
        <v/>
      </c>
      <c r="DC402" s="84">
        <f>IF($A402="","","S.HM"&amp;IF(OR($C402="DOOR ONLY",$X402&lt;&gt;"KD"),"MASONRY","DRYWALL")&amp;IF($C402="DOOR ONLY","",$U402)&amp;IF(AND($C402&lt;&gt;"FRAME ONLY",OR(LEFT($AH402,3)="OAK",LEFT($AH402,3)="BIR",LEFT($AH402,3)="MAP",$AH402="PC",$AH402="MC",$AH402="SCLC",$AH402="P-LAM")),"WD","HM")&amp;"1.75")</f>
        <v/>
      </c>
      <c r="DD402" s="84">
        <f>IF($CJ402="","",IF($O402="Y",$CJ402,SUBSTITUTE($CJ402,$BG402&amp;" "&amp;IFERROR(VLOOKUP($Z402,CODES,2,FALSE),"")&amp;" ",$BG402&amp;" ")))</f>
        <v/>
      </c>
      <c r="DE402" s="84">
        <f>IF($CK402="","",IF($O402="Y",$CK402,SUBSTITUTE($CK402,$BG402&amp;" "&amp;IF($AN402="",IFERROR(VLOOKUP($Z402,CODES,2,FALSE),""),IFERROR(VLOOKUP($AN402,CODES,2,FALSE),""))&amp;" ",$BG402&amp;" ")))</f>
        <v/>
      </c>
      <c r="DF402" s="84">
        <f>IF($CJ402="","",$DC402&amp;"|"&amp;$DD402&amp;"|"&amp;$DB402&amp;"|"&amp;$AT402&amp;"|"&amp;$V402&amp;"|"&amp;$Y402&amp;"|"&amp;$AB402)</f>
        <v/>
      </c>
      <c r="DG402" s="84">
        <f>IF(DF402="","",IF(COUNTIF($DF$6:DF402,DF402)=1,MAX($DG$5:DG401)+1,INDEX($DG$5:DG401,MATCH(DF402,$DF$5:DF401,0))))</f>
        <v/>
      </c>
      <c r="DH402" s="84">
        <f>IF($CK402="","",$DC402&amp;"|"&amp;$DE402&amp;"|"&amp;$AI402&amp;"|"&amp;$BK402&amp;"|"&amp;$BL402)</f>
        <v/>
      </c>
      <c r="DI402" s="84">
        <f>IF(DH402="","",IF(COUNTIF($DH$6:DH402,DH402)=1,MAX($DI$5:DI401)+1,INDEX($DI$5:DI401,MATCH(DH402,$DH$5:DH401,0))))</f>
        <v/>
      </c>
      <c r="DJ402" s="84">
        <f>IF($A402="","",IF($B402="","qty, ","")&amp;IF($C402="","scope, ","")&amp;IF(OR($K402="",$M402=""),"size, ","")&amp;IF(AND($A402&lt;&gt;"",$C402&lt;&gt;"DOOR ONLY"),IF($U402="","jamb depth, ","")&amp;IF($X402="","construction, ","")&amp;IF($Y402="","anchor, ","")&amp;IF($S402="","frame type, ",""),"")&amp;IF(AND(N($BJ402)&gt;0,$Z402=""),"hand, ","")&amp;IF(N($BJ402)&gt;0,IF($AH402="","door material, ","")&amp;IF($AL402="","face type, ","")&amp;IF($AP402="","lock prep, ","")&amp;IF(AND($AO402="",$AC402=""),"hinge prep, ",""),"")&amp;IF(AND($CH402&gt;0,$AH402="FRP"),"FRP cannot carry a label, ","")&amp;IF(AND($O402="Y",OR($Z402="L",$Z402="R",$Z402="LR",$Z402="RR")),"pair marked but hand is single, ","")&amp;IF(AND($O402&lt;&gt;"Y",OR($Z402="PR",AND(LEN($Z402)&gt;1,ISNUMBER(SEARCH("-",$Z402))))),"pair hand on a single door, ","")&amp;IF(AND(ISNUMBER($CI402),$CH402&lt;N($CI402)),"wall needs a "&amp;$CI402&amp;" min door, ","")&amp;IF(AND($CH402&gt;=180,AND(OR($CE402="FG",$CE402="HG",$CE402="FNV",$CE402="FV"),N($CF402)*N($CG402)&gt;100)),"180 min lite over 100 sq in, ","")&amp;IF(N($BK402)&gt;48,"leaf wider than 4'-0"&amp;CHAR(34)&amp;", ","")&amp;IF(AND($CT402,COUNT($AW402:$AZ402)=0,$CQ402&gt;0),"CUSTOM LOC with no locations typed, ",""))</f>
        <v/>
      </c>
      <c r="DK402" s="84">
        <f>IF($A402="","",IF(AND($CH402&gt;0,AND($A402&lt;&gt;"",$C402&lt;&gt;"DOOR ONLY"),$X402="KD",$E402="EXTERIOR"),"KD label on an exterior opening, ","")&amp;IF(AND($E402="EXTERIOR",OR(AND(AND($A402&lt;&gt;"",$C402&lt;&gt;"DOOR ONLY"),$W402="CR"),AND(N($BJ402)&gt;0,$AH402="CR"))),"exterior in CR steel (G9?), ","")&amp;IF(AND(ISNUMBER($BQ402),N($BQ402)&lt;32),"clear width ~"&amp;TEXT($BQ402,"0.0")&amp;CHAR(34)&amp;" under 32"&amp;CHAR(34)&amp;" (ADA), ","")&amp;IF(AND($CH402=90,AND(OR($CE402="FG",$CE402="HG",$CE402="FNV",$CE402="FV"),N($CF402)*N($CG402)&gt;100)),"90 min lite over 100 sq in (stair/exit), ","")&amp;IF(AND($CH402&gt;0,AND($A402&lt;&gt;"",$C402&lt;&gt;"DOOR ONLY"),OR($AF402="",$AF402="-")),"rated: closer reinf.?, ","")&amp;IF(OR($I402="CORRIDOR",$I402="SMOKE BARRIER"),"S label + smoke gasketing, ","")&amp;IF($CI402="?","wall type/hr not in IBC table, ","")&amp;IF(AND(N($BJ402)&gt;0,$BB402=""),"no hardware set, ","")&amp;IF(AND($BB402&lt;&gt;"",ISNA(MATCH($BB402&amp;"",HWSets,0))),"set "&amp;$BB402&amp;" not on HW Sets, ","")&amp;IF(N($BL402)&gt;96,"leaf over 8'-0"&amp;CHAR(34)&amp;" - check listing, ","")&amp;IF(AND($CT402,COUNT($AW402:$AZ402)&gt;0,COUNT($AW402:$AZ402)&lt;&gt;$CQ402),COUNT($AW402:$AZ402)&amp;" custom hinges typed, "&amp;$CQ402&amp;" expected, ","")&amp;IF(AND(ISNUMBER($CA402),OR(N($CA402)&lt;34,N($CA402)&gt;48)),"lock "&amp;TEXT($CA402,"0.0")&amp;CHAR(34)&amp;" AFF outside 34-48"&amp;CHAR(34)&amp;" (ADA), ","")&amp;IF(AND(ISNUMBER($AV402),ISNUMBER($BL402),N($AV402)&lt;IF(N($BL402)&lt;=60,2,IF(N($BL402)&lt;=90,3,IF(N($BL402)&lt;=120,4,5)))),"fewer hinges than standard, ",""))</f>
        <v/>
      </c>
    </row>
    <row r="403" ht="15" customHeight="1">
      <c r="A403" s="77" t="n"/>
      <c r="B403" s="78" t="n"/>
      <c r="C403" s="78" t="n"/>
      <c r="D403" s="78" t="n"/>
      <c r="E403" s="78" t="n"/>
      <c r="F403" s="78" t="n"/>
      <c r="G403" s="78" t="n"/>
      <c r="H403" s="78" t="n"/>
      <c r="I403" s="78" t="n"/>
      <c r="J403" s="78" t="n"/>
      <c r="K403" s="78" t="n"/>
      <c r="L403" s="78" t="n"/>
      <c r="M403" s="78" t="n"/>
      <c r="N403" s="78" t="n"/>
      <c r="O403" s="78" t="n"/>
      <c r="P403" s="78" t="n"/>
      <c r="Q403" s="78" t="n"/>
      <c r="R403" s="78" t="n"/>
      <c r="S403" s="79" t="n"/>
      <c r="T403" s="79" t="n"/>
      <c r="U403" s="79" t="n"/>
      <c r="V403" s="79" t="n"/>
      <c r="W403" s="79" t="n"/>
      <c r="X403" s="79" t="n"/>
      <c r="Y403" s="79" t="n"/>
      <c r="Z403" s="79" t="n"/>
      <c r="AA403" s="79" t="n"/>
      <c r="AB403" s="79" t="n"/>
      <c r="AC403" s="79" t="n"/>
      <c r="AD403" s="79" t="n"/>
      <c r="AE403" s="79" t="n"/>
      <c r="AF403" s="79" t="n"/>
      <c r="AG403" s="79" t="n"/>
      <c r="AH403" s="80" t="n"/>
      <c r="AI403" s="80" t="n"/>
      <c r="AJ403" s="80" t="n"/>
      <c r="AK403" s="80" t="n"/>
      <c r="AL403" s="80" t="n"/>
      <c r="AM403" s="80" t="n"/>
      <c r="AN403" s="80" t="n"/>
      <c r="AO403" s="80" t="n"/>
      <c r="AP403" s="80" t="n"/>
      <c r="AQ403" s="80" t="n"/>
      <c r="AR403" s="80" t="n"/>
      <c r="AS403" s="80" t="n"/>
      <c r="AT403" s="81" t="n"/>
      <c r="AU403" s="81" t="n"/>
      <c r="AV403" s="81" t="n"/>
      <c r="AW403" s="82" t="n"/>
      <c r="AX403" s="82" t="n"/>
      <c r="AY403" s="82" t="n"/>
      <c r="AZ403" s="82" t="n"/>
      <c r="BA403" s="82" t="n"/>
      <c r="BB403" s="83" t="n"/>
      <c r="BC403" s="83" t="n"/>
      <c r="BD403" s="84">
        <f>IF($A403="","",IF($DJ403&lt;&gt;"","FIX",IF($DK403&lt;&gt;"","CHECK","OK")))</f>
        <v/>
      </c>
      <c r="BE403" s="85">
        <f>IF($A403="","",IF($DJ403&lt;&gt;"","FIX: "&amp;LEFT($DJ403,LEN($DJ403)-2)&amp;IF($DK403&lt;&gt;"","  ·  ",""),"")&amp;IF($DK403&lt;&gt;"","CHECK: "&amp;LEFT($DK403,LEN($DK403)-2),""))</f>
        <v/>
      </c>
      <c r="BF403" s="84">
        <f>IF(OR($A403="",$K403=""),"",$K403&amp;"'-"&amp;N($L403)&amp;CHAR(34)&amp;" x "&amp;$M403&amp;"'-"&amp;N($N403)&amp;CHAR(34))</f>
        <v/>
      </c>
      <c r="BG403" s="84">
        <f>IF(OR($A403="",$K403=""),"",$K403&amp;N($L403)&amp;$M403&amp;N($N403))</f>
        <v/>
      </c>
      <c r="BH403" s="84">
        <f>IF(OR($A403="",$K403=""),"",$K403*12+N($L403))</f>
        <v/>
      </c>
      <c r="BI403" s="84">
        <f>IF(OR($A403="",$M403=""),"",$M403*12+N($N403))</f>
        <v/>
      </c>
      <c r="BJ403" s="84">
        <f>IF($A403="","",IF(OR($C403="FRAME ONLY",$S403="BL"),0,IF($O403="Y",2,1)))</f>
        <v/>
      </c>
      <c r="BK403" s="86">
        <f>IF(OR(N($BJ403)=0,$BH403=""),"",($BH403-2*EdgeClr-IF($BJ403=2,MeetClr,0))/$BJ403)</f>
        <v/>
      </c>
      <c r="BL403" s="86">
        <f>IF(OR(N($BJ403)=0,$BI403=""),"",$BI403-HeadClr-Undercut)</f>
        <v/>
      </c>
      <c r="BM403" s="86">
        <f>IF($BH403="","",$BH403+2*FaceW+IF(N($Q403)&gt;0,($Q403+FaceW)*IF($R403="LR",2,1),0))</f>
        <v/>
      </c>
      <c r="BN403" s="86">
        <f>IF($BI403="","",$BI403+IF($AB403="Y",4,FaceW)+IF(N($P403)&gt;0,$P403+FaceW,0)+IF(OR($S403="4F",$S403="BL"),FaceW,0))</f>
        <v/>
      </c>
      <c r="BO403" s="86">
        <f>IF($BM403="","",$BM403+2*ROSide)</f>
        <v/>
      </c>
      <c r="BP403" s="86">
        <f>IF($BN403="","",$BN403+ROTop)</f>
        <v/>
      </c>
      <c r="BQ403" s="87">
        <f>IF(OR(N($BJ403)=0,$BH403=""),"",$BH403/$BJ403-ClearDeduct)</f>
        <v/>
      </c>
      <c r="BR403" s="84">
        <f>IF(N($CH403)=0,"",IF($CH403&gt;=180,"A · 3 HR",IF($CH403&gt;=90,"B · 1-1/2 HR",IF($CH403&gt;=60,"B · 1 HR",IF($CH403&gt;=45,"C · 3/4 HR","20 MIN")))))&amp;IF(AND(N($CH403)&gt;0,OR($I403="CORRIDOR",$I403="SMOKE BARRIER"))," · S","")</f>
        <v/>
      </c>
      <c r="BS403" s="84">
        <f>IF($CS403,"",IF($AV403&lt;&gt;"",$AV403,IF(OR($AC403="HGC",$AO403="HGC"),"CONT",IF(($BI403-HeadClr-Undercut)&lt;=60,2,IF(($BI403-HeadClr-Undercut)&lt;=90,3,IF(($BI403-HeadClr-Undercut)&lt;=120,4,5))))))</f>
        <v/>
      </c>
      <c r="BT403" s="84">
        <f>IF($CS403,"",IF($CT403,"CUSTOM (typed)",IF($CV403,$AT403&amp;" "&amp;$CU403&amp;CHAR(34)&amp;IF($CU403&lt;&gt;$BI403,IF(AND($BI403&lt;$CU403,$BI403-IF(N(VLOOKUP($AT403&amp;"|"&amp;$CU403,LocTable,7,FALSE))&gt;0,VLOOKUP($AT403&amp;"|"&amp;$CU403,LocTable,7,FALSE),VLOOKUP($AT403&amp;"|"&amp;$CU403,LocTable,6,FALSE))-$CR403-0.75&gt;=2.125)," cut down"," adj."),""),"ANSI/SDI A250.6")))</f>
        <v/>
      </c>
      <c r="BU403" s="88">
        <f>IF($CS403,"",IF($CT403,IF(N($AW403)&gt;0,N($AW403),""),IF(1&gt;$CQ403,"",IF($CQ403=1,$CW403,$CW403+($CX403-$CW403)*0/($CQ403-1)))))</f>
        <v/>
      </c>
      <c r="BV403" s="88">
        <f>IF($CS403,"",IF($CT403,IF(N($AX403)&gt;0,N($AX403),""),IF(2&gt;$CQ403,"",IF($CQ403=1,$CW403,$CW403+($CX403-$CW403)*1/($CQ403-1)))))</f>
        <v/>
      </c>
      <c r="BW403" s="88">
        <f>IF($CS403,"",IF($CT403,IF(N($AY403)&gt;0,N($AY403),""),IF(3&gt;$CQ403,"",IF($CQ403=1,$CW403,$CW403+($CX403-$CW403)*2/($CQ403-1)))))</f>
        <v/>
      </c>
      <c r="BX403" s="88">
        <f>IF($CS403,"",IF($CT403,IF(N($AZ403)&gt;0,N($AZ403),""),IF(4&gt;$CQ403,"",IF($CQ403=1,$CW403,$CW403+($CX403-$CW403)*3/($CQ403-1)))))</f>
        <v/>
      </c>
      <c r="BY403" s="88">
        <f>IF($CS403,"",IF($CT403,"",IF(5&gt;$CQ403,"",IF($CQ403=1,$CW403,$CW403+($CX403-$CW403)*4/($CQ403-1)))))</f>
        <v/>
      </c>
      <c r="BZ403" s="88">
        <f>IF(OR($CS403,$AP403="-",AND($AP403="",$AD403="")),"",IF(N($BA403)&gt;0,N($BA403),IF($CV403,IF(AND($BI403&lt;$CU403,$BI403-IF(N(VLOOKUP($AT403&amp;"|"&amp;$CU403,LocTable,7,FALSE))&gt;0,VLOOKUP($AT403&amp;"|"&amp;$CU403,LocTable,7,FALSE),VLOOKUP($AT403&amp;"|"&amp;$CU403,LocTable,6,FALSE))-$CR403-0.75&gt;=2.125),VLOOKUP($AT403&amp;"|"&amp;$CU403,LocTable,8,FALSE),VLOOKUP($AT403&amp;"|"&amp;$CU403,LocTable,8,FALSE)+($BI403-$CU403)),$BI403-LockAFF)))</f>
        <v/>
      </c>
      <c r="CA403" s="89">
        <f>IF($BZ403="","",$BI403-$BZ403)</f>
        <v/>
      </c>
      <c r="CB403" s="84">
        <f>IF(OR(NOT(AND($A403&lt;&gt;"",$C403&lt;&gt;"DOOR ONLY")),$BI403=""),"",IF(($BI403+IF(N($P403)&gt;0,$P403+FaceW,0))&lt;=90,3,IF(($BI403+IF(N($P403)&gt;0,$P403+FaceW,0))&lt;=114,4,5)))</f>
        <v/>
      </c>
      <c r="CC403" s="84">
        <f>IF($CB403="","",$CB403*(2+IF(N($Q403)&gt;0,IF($R403="LR",2,1),0)))</f>
        <v/>
      </c>
      <c r="CD403" s="84">
        <f>IF($CB403="","",(2+IF(N($Q403)&gt;0,IF($R403="LR",2,1),0)))</f>
        <v/>
      </c>
      <c r="CE403" s="84">
        <f>IF(N($BJ403)=0,"",IF(OR($AL403="",$AL403="FLUSH"),"FLUSH",IFERROR(LEFT($AL403,FIND("-",$AL403)-1),LEFT($AL403,2))))</f>
        <v/>
      </c>
      <c r="CF403" s="84">
        <f>IF($CE403="","",IFERROR(VALUE(MID($AL403,FIND("-",$AL403)+1,FIND(CHAR(34)&amp;"x",$AL403)-FIND("-",$AL403)-1)),0))</f>
        <v/>
      </c>
      <c r="CG403" s="84">
        <f>IF($CE403="","",IFERROR(VALUE(MID($AL403,FIND(CHAR(34)&amp;"x",$AL403)+2,FIND(CHAR(34),$AL403,FIND(CHAR(34)&amp;"x",$AL403)+2)-FIND(CHAR(34)&amp;"x",$AL403)-2)),0))</f>
        <v/>
      </c>
      <c r="CH403" s="90">
        <f>IF(OR($A403="",$H403="",$H403="NO LAB"),0,IFERROR(VALUE(LEFT($H403,FIND(" ",$H403)-1)),0))</f>
        <v/>
      </c>
      <c r="CI403" s="91">
        <f>IF(OR($A403="",$I403="",$I403="NON-RATED",N($J403)=0),"",IFERROR(VLOOKUP($I403&amp;"|"&amp;$J403,IBC,2,FALSE),"?"))</f>
        <v/>
      </c>
      <c r="CJ403" s="85">
        <f>IF(NOT(AND($A403&lt;&gt;"",$C403&lt;&gt;"DOOR ONLY")),"",TRIM(IFERROR(VLOOKUP($U403,CODES,2,FALSE),"")&amp;" "&amp;$BG403&amp;" "&amp;IFERROR(VLOOKUP($Z403,CODES,2,FALSE),"")&amp;" "&amp;IFERROR(VLOOKUP($X403,CODES,2,FALSE),"")&amp;" "&amp;IFERROR(VLOOKUP($S403,CODES,2,FALSE),"")&amp;IF(N($P403)&gt;0," w/TRANSOM "&amp;$P403&amp;CHAR(34),"")&amp;IF(N($Q403)&gt;0," w/SIDELITE "&amp;$Q403&amp;CHAR(34)&amp;" "&amp;IF($R403="","R",$R403),"")&amp;IF($Y403="","  |  "," | "&amp;IFERROR(VLOOKUP($Y403,CODES,2,FALSE),"")&amp;" | ")&amp;IFERROR(VLOOKUP($AC403,CODES,2,FALSE),"")&amp;" "&amp;IFERROR(VLOOKUP($AD403,CODES,2,FALSE),"")&amp;IF(OR($AE403="",$AE403="-"),""," "&amp;$AE403)&amp;IF(OR($AF403="",$AF403="-"),""," "&amp;$AF403)&amp;IF($AB403="Y"," 4"&amp;CHAR(34)&amp;" HEAD","")&amp;" "&amp;IFERROR(VLOOKUP($H403,CODES,2,FALSE),"")&amp;IF($CT403," | LOC "&amp;$CY403,"")))</f>
        <v/>
      </c>
      <c r="CK403" s="85">
        <f>IF(NOT(AND($A403&lt;&gt;"",N($BJ403)&gt;0)),"",TRIM(IFERROR(VLOOKUP($AH403,CODES,2,FALSE),"")&amp;IF($AI403=""," "," "&amp;$AI403&amp;"GA ")&amp;$BG403&amp;" "&amp;IF($AN403="",IFERROR(VLOOKUP($Z403,CODES,2,FALSE),""),IFERROR(VLOOKUP($AN403,CODES,2,FALSE),""))&amp;IF($BJ403=2," PAIR","")&amp;" DOOR | "&amp;IF($AL403="","?",$AL403)&amp;" | "&amp;IF($AO403="",IFERROR(VLOOKUP($AC403,CODES,2,FALSE),""),IFERROR(VLOOKUP($AO403,CODES,2,FALSE),""))&amp;" "&amp;IFERROR(VLOOKUP($AP403,CODES,2,FALSE),"")&amp;IF(OR($AQ403="",$AQ403="-"),""," SEAM "&amp;$AQ403)&amp;IF($AR403="Y"," ASTRAGAL","")&amp;IF($AJ403=""," "," "&amp;$AJ403)&amp;IF($AK403=""," "," "&amp;$AK403)&amp;IF(OR($AT403="",$AT403="ANSI/SDI",$AT403="CUSTOM LOC"),""," "&amp;$AT403)&amp;IF($AM403=""," "," SERIES "&amp;$AM403)&amp;" "&amp;IFERROR(VLOOKUP($H403,CODES,2,FALSE),"")&amp;IF($CT403," | LOC "&amp;$CZ403,"")))</f>
        <v/>
      </c>
      <c r="CL403" s="84">
        <f>IF(CP403="","",IF(COUNTIF($CP$6:CP403,CP403)=1,MAX($CL$5:CL402)+1,INDEX($CL$5:CL402,MATCH(CP403,$CP$5:CP402,0))))</f>
        <v/>
      </c>
      <c r="CM403" s="84">
        <f>IF(NOT(AND($A403&lt;&gt;"",$C403&lt;&gt;"DOOR ONLY")),"",MAX($CM$5:CM402)+1)</f>
        <v/>
      </c>
      <c r="CN403" s="84">
        <f>IF(NOT(AND($A403&lt;&gt;"",N($BJ403)&gt;0)),"",MAX($CN$5:CN402)+1)</f>
        <v/>
      </c>
      <c r="CO403" s="84">
        <f>IF($A403="","",MAX($CO$5:CO402)+1)</f>
        <v/>
      </c>
      <c r="CP403" s="84">
        <f>IF(OR($A403="",$BH403="",$BI403=""),"",$BG403&amp;"|"&amp;$O403&amp;"|"&amp;$AL403&amp;"|"&amp;$S403&amp;"|"&amp;$P403&amp;"|"&amp;$Q403&amp;$R403&amp;"|"&amp;$C403&amp;"|"&amp;$AB403)</f>
        <v/>
      </c>
      <c r="CQ403" s="84">
        <f>N($BS403)</f>
        <v/>
      </c>
      <c r="CR403" s="84">
        <f>IF(N($AU403)&gt;0,N($AU403),4.5)</f>
        <v/>
      </c>
      <c r="CS403" s="84">
        <f>OR($A403="",$BI403="",$S403="BL",AND($C403="FRAME ONLY",OR($AC403="",$AC403="BLK")))</f>
        <v/>
      </c>
      <c r="CT403" s="84">
        <f>AND(NOT($CS403),OR($AT403="CUSTOM LOC",N($AW403)+N($AX403)+N($AY403)+N($AZ403)+N($BA403)&gt;0))</f>
        <v/>
      </c>
      <c r="CU403" s="84">
        <f>IF($BI403="","",IF($BI403&lt;=80,80,IF($BI403&lt;=84,84,96)))</f>
        <v/>
      </c>
      <c r="CV403" s="84">
        <f>ISNUMBER(MATCH($AT403&amp;"|80",LocKeys,0))</f>
        <v/>
      </c>
      <c r="CW403" s="86">
        <f>IF($CS403,"",IF($CV403,VLOOKUP($AT403&amp;"|"&amp;$CU403,LocTable,4,FALSE),5))</f>
        <v/>
      </c>
      <c r="CX403" s="86">
        <f>IF($CS403,"",IF($CV403,IF(OR($BI403=$CU403,AND($BI403&lt;$CU403,$BI403-IF(N(VLOOKUP($AT403&amp;"|"&amp;$CU403,LocTable,7,FALSE))&gt;0,VLOOKUP($AT403&amp;"|"&amp;$CU403,LocTable,7,FALSE),VLOOKUP($AT403&amp;"|"&amp;$CU403,LocTable,6,FALSE))-$CR403-0.75&gt;=2.125)),IF(N(VLOOKUP($AT403&amp;"|"&amp;$CU403,LocTable,7,FALSE))&gt;0,VLOOKUP($AT403&amp;"|"&amp;$CU403,LocTable,7,FALSE),VLOOKUP($AT403&amp;"|"&amp;$CU403,LocTable,6,FALSE)),$BI403-($CU403-IF(N(VLOOKUP($AT403&amp;"|"&amp;$CU403,LocTable,7,FALSE))&gt;0,VLOOKUP($AT403&amp;"|"&amp;$CU403,LocTable,7,FALSE),VLOOKUP($AT403&amp;"|"&amp;$CU403,LocTable,6,FALSE)))),$BI403-10-$CR403))</f>
        <v/>
      </c>
      <c r="CY403" s="85">
        <f>IF($CS403,"",TRIM(IF(ISNUMBER($BU403),"A "&amp;TRIM(TEXT($BU403,"# ?/??"))&amp;CHAR(34)&amp;"  ","")&amp;IF(ISNUMBER($BV403),"B "&amp;TRIM(TEXT($BV403,"# ?/??"))&amp;CHAR(34)&amp;"  ","")&amp;IF(ISNUMBER($BW403),"C "&amp;TRIM(TEXT($BW403,"# ?/??"))&amp;CHAR(34)&amp;"  ","")&amp;IF(ISNUMBER($BX403),"D "&amp;TRIM(TEXT($BX403,"# ?/??"))&amp;CHAR(34)&amp;"  ","")&amp;IF(ISNUMBER($BY403),"F "&amp;TRIM(TEXT($BY403,"# ?/??"))&amp;CHAR(34)&amp;"  ","")&amp;IF(ISNUMBER($BZ403),"E "&amp;TRIM(TEXT($BZ403,"# ?/??"))&amp;CHAR(34)&amp;"  ","")))</f>
        <v/>
      </c>
      <c r="CZ403" s="85">
        <f>IF(OR($CS403,N($BJ403)=0),"",TRIM(IF(ISNUMBER($BU403),"A "&amp;TRIM(TEXT($BU403-HeadClr,"# ?/??"))&amp;CHAR(34)&amp;"  ","")&amp;IF(ISNUMBER($BV403),"B "&amp;TRIM(TEXT($BV403-HeadClr,"# ?/??"))&amp;CHAR(34)&amp;"  ","")&amp;IF(ISNUMBER($BW403),"C "&amp;TRIM(TEXT($BW403-HeadClr,"# ?/??"))&amp;CHAR(34)&amp;"  ","")&amp;IF(ISNUMBER($BX403),"D "&amp;TRIM(TEXT($BX403-HeadClr,"# ?/??"))&amp;CHAR(34)&amp;"  ","")&amp;IF(ISNUMBER($BY403),"F "&amp;TRIM(TEXT($BY403-HeadClr,"# ?/??"))&amp;CHAR(34)&amp;"  ","")&amp;IF(ISNUMBER($BZ403),"E "&amp;TRIM(TEXT($BZ403-HeadClr,"# ?/??"))&amp;CHAR(34)&amp;"  ","")))</f>
        <v/>
      </c>
      <c r="DA403" s="84">
        <f>IF($A403="","",IF($AN403="",IFERROR(VLOOKUP($Z403,CODES,2,FALSE),""),IFERROR(VLOOKUP($AN403,CODES,2,FALSE),"")))</f>
        <v/>
      </c>
      <c r="DB403" s="84">
        <f>IF($A403="","",IF($O403="Y","PR",IF(OR($Z403="L",$Z403="RR",LEFT($Z403,2)="L-",LEFT($Z403,3)="RR-"),"LH","RH")))</f>
        <v/>
      </c>
      <c r="DC403" s="84">
        <f>IF($A403="","","S.HM"&amp;IF(OR($C403="DOOR ONLY",$X403&lt;&gt;"KD"),"MASONRY","DRYWALL")&amp;IF($C403="DOOR ONLY","",$U403)&amp;IF(AND($C403&lt;&gt;"FRAME ONLY",OR(LEFT($AH403,3)="OAK",LEFT($AH403,3)="BIR",LEFT($AH403,3)="MAP",$AH403="PC",$AH403="MC",$AH403="SCLC",$AH403="P-LAM")),"WD","HM")&amp;"1.75")</f>
        <v/>
      </c>
      <c r="DD403" s="84">
        <f>IF($CJ403="","",IF($O403="Y",$CJ403,SUBSTITUTE($CJ403,$BG403&amp;" "&amp;IFERROR(VLOOKUP($Z403,CODES,2,FALSE),"")&amp;" ",$BG403&amp;" ")))</f>
        <v/>
      </c>
      <c r="DE403" s="84">
        <f>IF($CK403="","",IF($O403="Y",$CK403,SUBSTITUTE($CK403,$BG403&amp;" "&amp;IF($AN403="",IFERROR(VLOOKUP($Z403,CODES,2,FALSE),""),IFERROR(VLOOKUP($AN403,CODES,2,FALSE),""))&amp;" ",$BG403&amp;" ")))</f>
        <v/>
      </c>
      <c r="DF403" s="84">
        <f>IF($CJ403="","",$DC403&amp;"|"&amp;$DD403&amp;"|"&amp;$DB403&amp;"|"&amp;$AT403&amp;"|"&amp;$V403&amp;"|"&amp;$Y403&amp;"|"&amp;$AB403)</f>
        <v/>
      </c>
      <c r="DG403" s="84">
        <f>IF(DF403="","",IF(COUNTIF($DF$6:DF403,DF403)=1,MAX($DG$5:DG402)+1,INDEX($DG$5:DG402,MATCH(DF403,$DF$5:DF402,0))))</f>
        <v/>
      </c>
      <c r="DH403" s="84">
        <f>IF($CK403="","",$DC403&amp;"|"&amp;$DE403&amp;"|"&amp;$AI403&amp;"|"&amp;$BK403&amp;"|"&amp;$BL403)</f>
        <v/>
      </c>
      <c r="DI403" s="84">
        <f>IF(DH403="","",IF(COUNTIF($DH$6:DH403,DH403)=1,MAX($DI$5:DI402)+1,INDEX($DI$5:DI402,MATCH(DH403,$DH$5:DH402,0))))</f>
        <v/>
      </c>
      <c r="DJ403" s="84">
        <f>IF($A403="","",IF($B403="","qty, ","")&amp;IF($C403="","scope, ","")&amp;IF(OR($K403="",$M403=""),"size, ","")&amp;IF(AND($A403&lt;&gt;"",$C403&lt;&gt;"DOOR ONLY"),IF($U403="","jamb depth, ","")&amp;IF($X403="","construction, ","")&amp;IF($Y403="","anchor, ","")&amp;IF($S403="","frame type, ",""),"")&amp;IF(AND(N($BJ403)&gt;0,$Z403=""),"hand, ","")&amp;IF(N($BJ403)&gt;0,IF($AH403="","door material, ","")&amp;IF($AL403="","face type, ","")&amp;IF($AP403="","lock prep, ","")&amp;IF(AND($AO403="",$AC403=""),"hinge prep, ",""),"")&amp;IF(AND($CH403&gt;0,$AH403="FRP"),"FRP cannot carry a label, ","")&amp;IF(AND($O403="Y",OR($Z403="L",$Z403="R",$Z403="LR",$Z403="RR")),"pair marked but hand is single, ","")&amp;IF(AND($O403&lt;&gt;"Y",OR($Z403="PR",AND(LEN($Z403)&gt;1,ISNUMBER(SEARCH("-",$Z403))))),"pair hand on a single door, ","")&amp;IF(AND(ISNUMBER($CI403),$CH403&lt;N($CI403)),"wall needs a "&amp;$CI403&amp;" min door, ","")&amp;IF(AND($CH403&gt;=180,AND(OR($CE403="FG",$CE403="HG",$CE403="FNV",$CE403="FV"),N($CF403)*N($CG403)&gt;100)),"180 min lite over 100 sq in, ","")&amp;IF(N($BK403)&gt;48,"leaf wider than 4'-0"&amp;CHAR(34)&amp;", ","")&amp;IF(AND($CT403,COUNT($AW403:$AZ403)=0,$CQ403&gt;0),"CUSTOM LOC with no locations typed, ",""))</f>
        <v/>
      </c>
      <c r="DK403" s="84">
        <f>IF($A403="","",IF(AND($CH403&gt;0,AND($A403&lt;&gt;"",$C403&lt;&gt;"DOOR ONLY"),$X403="KD",$E403="EXTERIOR"),"KD label on an exterior opening, ","")&amp;IF(AND($E403="EXTERIOR",OR(AND(AND($A403&lt;&gt;"",$C403&lt;&gt;"DOOR ONLY"),$W403="CR"),AND(N($BJ403)&gt;0,$AH403="CR"))),"exterior in CR steel (G9?), ","")&amp;IF(AND(ISNUMBER($BQ403),N($BQ403)&lt;32),"clear width ~"&amp;TEXT($BQ403,"0.0")&amp;CHAR(34)&amp;" under 32"&amp;CHAR(34)&amp;" (ADA), ","")&amp;IF(AND($CH403=90,AND(OR($CE403="FG",$CE403="HG",$CE403="FNV",$CE403="FV"),N($CF403)*N($CG403)&gt;100)),"90 min lite over 100 sq in (stair/exit), ","")&amp;IF(AND($CH403&gt;0,AND($A403&lt;&gt;"",$C403&lt;&gt;"DOOR ONLY"),OR($AF403="",$AF403="-")),"rated: closer reinf.?, ","")&amp;IF(OR($I403="CORRIDOR",$I403="SMOKE BARRIER"),"S label + smoke gasketing, ","")&amp;IF($CI403="?","wall type/hr not in IBC table, ","")&amp;IF(AND(N($BJ403)&gt;0,$BB403=""),"no hardware set, ","")&amp;IF(AND($BB403&lt;&gt;"",ISNA(MATCH($BB403&amp;"",HWSets,0))),"set "&amp;$BB403&amp;" not on HW Sets, ","")&amp;IF(N($BL403)&gt;96,"leaf over 8'-0"&amp;CHAR(34)&amp;" - check listing, ","")&amp;IF(AND($CT403,COUNT($AW403:$AZ403)&gt;0,COUNT($AW403:$AZ403)&lt;&gt;$CQ403),COUNT($AW403:$AZ403)&amp;" custom hinges typed, "&amp;$CQ403&amp;" expected, ","")&amp;IF(AND(ISNUMBER($CA403),OR(N($CA403)&lt;34,N($CA403)&gt;48)),"lock "&amp;TEXT($CA403,"0.0")&amp;CHAR(34)&amp;" AFF outside 34-48"&amp;CHAR(34)&amp;" (ADA), ","")&amp;IF(AND(ISNUMBER($AV403),ISNUMBER($BL403),N($AV403)&lt;IF(N($BL403)&lt;=60,2,IF(N($BL403)&lt;=90,3,IF(N($BL403)&lt;=120,4,5)))),"fewer hinges than standard, ",""))</f>
        <v/>
      </c>
    </row>
    <row r="404" ht="15" customHeight="1">
      <c r="A404" s="77" t="n"/>
      <c r="B404" s="78" t="n"/>
      <c r="C404" s="78" t="n"/>
      <c r="D404" s="78" t="n"/>
      <c r="E404" s="78" t="n"/>
      <c r="F404" s="78" t="n"/>
      <c r="G404" s="78" t="n"/>
      <c r="H404" s="78" t="n"/>
      <c r="I404" s="78" t="n"/>
      <c r="J404" s="78" t="n"/>
      <c r="K404" s="78" t="n"/>
      <c r="L404" s="78" t="n"/>
      <c r="M404" s="78" t="n"/>
      <c r="N404" s="78" t="n"/>
      <c r="O404" s="78" t="n"/>
      <c r="P404" s="78" t="n"/>
      <c r="Q404" s="78" t="n"/>
      <c r="R404" s="78" t="n"/>
      <c r="S404" s="79" t="n"/>
      <c r="T404" s="79" t="n"/>
      <c r="U404" s="79" t="n"/>
      <c r="V404" s="79" t="n"/>
      <c r="W404" s="79" t="n"/>
      <c r="X404" s="79" t="n"/>
      <c r="Y404" s="79" t="n"/>
      <c r="Z404" s="79" t="n"/>
      <c r="AA404" s="79" t="n"/>
      <c r="AB404" s="79" t="n"/>
      <c r="AC404" s="79" t="n"/>
      <c r="AD404" s="79" t="n"/>
      <c r="AE404" s="79" t="n"/>
      <c r="AF404" s="79" t="n"/>
      <c r="AG404" s="79" t="n"/>
      <c r="AH404" s="80" t="n"/>
      <c r="AI404" s="80" t="n"/>
      <c r="AJ404" s="80" t="n"/>
      <c r="AK404" s="80" t="n"/>
      <c r="AL404" s="80" t="n"/>
      <c r="AM404" s="80" t="n"/>
      <c r="AN404" s="80" t="n"/>
      <c r="AO404" s="80" t="n"/>
      <c r="AP404" s="80" t="n"/>
      <c r="AQ404" s="80" t="n"/>
      <c r="AR404" s="80" t="n"/>
      <c r="AS404" s="80" t="n"/>
      <c r="AT404" s="81" t="n"/>
      <c r="AU404" s="81" t="n"/>
      <c r="AV404" s="81" t="n"/>
      <c r="AW404" s="82" t="n"/>
      <c r="AX404" s="82" t="n"/>
      <c r="AY404" s="82" t="n"/>
      <c r="AZ404" s="82" t="n"/>
      <c r="BA404" s="82" t="n"/>
      <c r="BB404" s="83" t="n"/>
      <c r="BC404" s="83" t="n"/>
      <c r="BD404" s="84">
        <f>IF($A404="","",IF($DJ404&lt;&gt;"","FIX",IF($DK404&lt;&gt;"","CHECK","OK")))</f>
        <v/>
      </c>
      <c r="BE404" s="85">
        <f>IF($A404="","",IF($DJ404&lt;&gt;"","FIX: "&amp;LEFT($DJ404,LEN($DJ404)-2)&amp;IF($DK404&lt;&gt;"","  ·  ",""),"")&amp;IF($DK404&lt;&gt;"","CHECK: "&amp;LEFT($DK404,LEN($DK404)-2),""))</f>
        <v/>
      </c>
      <c r="BF404" s="84">
        <f>IF(OR($A404="",$K404=""),"",$K404&amp;"'-"&amp;N($L404)&amp;CHAR(34)&amp;" x "&amp;$M404&amp;"'-"&amp;N($N404)&amp;CHAR(34))</f>
        <v/>
      </c>
      <c r="BG404" s="84">
        <f>IF(OR($A404="",$K404=""),"",$K404&amp;N($L404)&amp;$M404&amp;N($N404))</f>
        <v/>
      </c>
      <c r="BH404" s="84">
        <f>IF(OR($A404="",$K404=""),"",$K404*12+N($L404))</f>
        <v/>
      </c>
      <c r="BI404" s="84">
        <f>IF(OR($A404="",$M404=""),"",$M404*12+N($N404))</f>
        <v/>
      </c>
      <c r="BJ404" s="84">
        <f>IF($A404="","",IF(OR($C404="FRAME ONLY",$S404="BL"),0,IF($O404="Y",2,1)))</f>
        <v/>
      </c>
      <c r="BK404" s="86">
        <f>IF(OR(N($BJ404)=0,$BH404=""),"",($BH404-2*EdgeClr-IF($BJ404=2,MeetClr,0))/$BJ404)</f>
        <v/>
      </c>
      <c r="BL404" s="86">
        <f>IF(OR(N($BJ404)=0,$BI404=""),"",$BI404-HeadClr-Undercut)</f>
        <v/>
      </c>
      <c r="BM404" s="86">
        <f>IF($BH404="","",$BH404+2*FaceW+IF(N($Q404)&gt;0,($Q404+FaceW)*IF($R404="LR",2,1),0))</f>
        <v/>
      </c>
      <c r="BN404" s="86">
        <f>IF($BI404="","",$BI404+IF($AB404="Y",4,FaceW)+IF(N($P404)&gt;0,$P404+FaceW,0)+IF(OR($S404="4F",$S404="BL"),FaceW,0))</f>
        <v/>
      </c>
      <c r="BO404" s="86">
        <f>IF($BM404="","",$BM404+2*ROSide)</f>
        <v/>
      </c>
      <c r="BP404" s="86">
        <f>IF($BN404="","",$BN404+ROTop)</f>
        <v/>
      </c>
      <c r="BQ404" s="87">
        <f>IF(OR(N($BJ404)=0,$BH404=""),"",$BH404/$BJ404-ClearDeduct)</f>
        <v/>
      </c>
      <c r="BR404" s="84">
        <f>IF(N($CH404)=0,"",IF($CH404&gt;=180,"A · 3 HR",IF($CH404&gt;=90,"B · 1-1/2 HR",IF($CH404&gt;=60,"B · 1 HR",IF($CH404&gt;=45,"C · 3/4 HR","20 MIN")))))&amp;IF(AND(N($CH404)&gt;0,OR($I404="CORRIDOR",$I404="SMOKE BARRIER"))," · S","")</f>
        <v/>
      </c>
      <c r="BS404" s="84">
        <f>IF($CS404,"",IF($AV404&lt;&gt;"",$AV404,IF(OR($AC404="HGC",$AO404="HGC"),"CONT",IF(($BI404-HeadClr-Undercut)&lt;=60,2,IF(($BI404-HeadClr-Undercut)&lt;=90,3,IF(($BI404-HeadClr-Undercut)&lt;=120,4,5))))))</f>
        <v/>
      </c>
      <c r="BT404" s="84">
        <f>IF($CS404,"",IF($CT404,"CUSTOM (typed)",IF($CV404,$AT404&amp;" "&amp;$CU404&amp;CHAR(34)&amp;IF($CU404&lt;&gt;$BI404,IF(AND($BI404&lt;$CU404,$BI404-IF(N(VLOOKUP($AT404&amp;"|"&amp;$CU404,LocTable,7,FALSE))&gt;0,VLOOKUP($AT404&amp;"|"&amp;$CU404,LocTable,7,FALSE),VLOOKUP($AT404&amp;"|"&amp;$CU404,LocTable,6,FALSE))-$CR404-0.75&gt;=2.125)," cut down"," adj."),""),"ANSI/SDI A250.6")))</f>
        <v/>
      </c>
      <c r="BU404" s="88">
        <f>IF($CS404,"",IF($CT404,IF(N($AW404)&gt;0,N($AW404),""),IF(1&gt;$CQ404,"",IF($CQ404=1,$CW404,$CW404+($CX404-$CW404)*0/($CQ404-1)))))</f>
        <v/>
      </c>
      <c r="BV404" s="88">
        <f>IF($CS404,"",IF($CT404,IF(N($AX404)&gt;0,N($AX404),""),IF(2&gt;$CQ404,"",IF($CQ404=1,$CW404,$CW404+($CX404-$CW404)*1/($CQ404-1)))))</f>
        <v/>
      </c>
      <c r="BW404" s="88">
        <f>IF($CS404,"",IF($CT404,IF(N($AY404)&gt;0,N($AY404),""),IF(3&gt;$CQ404,"",IF($CQ404=1,$CW404,$CW404+($CX404-$CW404)*2/($CQ404-1)))))</f>
        <v/>
      </c>
      <c r="BX404" s="88">
        <f>IF($CS404,"",IF($CT404,IF(N($AZ404)&gt;0,N($AZ404),""),IF(4&gt;$CQ404,"",IF($CQ404=1,$CW404,$CW404+($CX404-$CW404)*3/($CQ404-1)))))</f>
        <v/>
      </c>
      <c r="BY404" s="88">
        <f>IF($CS404,"",IF($CT404,"",IF(5&gt;$CQ404,"",IF($CQ404=1,$CW404,$CW404+($CX404-$CW404)*4/($CQ404-1)))))</f>
        <v/>
      </c>
      <c r="BZ404" s="88">
        <f>IF(OR($CS404,$AP404="-",AND($AP404="",$AD404="")),"",IF(N($BA404)&gt;0,N($BA404),IF($CV404,IF(AND($BI404&lt;$CU404,$BI404-IF(N(VLOOKUP($AT404&amp;"|"&amp;$CU404,LocTable,7,FALSE))&gt;0,VLOOKUP($AT404&amp;"|"&amp;$CU404,LocTable,7,FALSE),VLOOKUP($AT404&amp;"|"&amp;$CU404,LocTable,6,FALSE))-$CR404-0.75&gt;=2.125),VLOOKUP($AT404&amp;"|"&amp;$CU404,LocTable,8,FALSE),VLOOKUP($AT404&amp;"|"&amp;$CU404,LocTable,8,FALSE)+($BI404-$CU404)),$BI404-LockAFF)))</f>
        <v/>
      </c>
      <c r="CA404" s="89">
        <f>IF($BZ404="","",$BI404-$BZ404)</f>
        <v/>
      </c>
      <c r="CB404" s="84">
        <f>IF(OR(NOT(AND($A404&lt;&gt;"",$C404&lt;&gt;"DOOR ONLY")),$BI404=""),"",IF(($BI404+IF(N($P404)&gt;0,$P404+FaceW,0))&lt;=90,3,IF(($BI404+IF(N($P404)&gt;0,$P404+FaceW,0))&lt;=114,4,5)))</f>
        <v/>
      </c>
      <c r="CC404" s="84">
        <f>IF($CB404="","",$CB404*(2+IF(N($Q404)&gt;0,IF($R404="LR",2,1),0)))</f>
        <v/>
      </c>
      <c r="CD404" s="84">
        <f>IF($CB404="","",(2+IF(N($Q404)&gt;0,IF($R404="LR",2,1),0)))</f>
        <v/>
      </c>
      <c r="CE404" s="84">
        <f>IF(N($BJ404)=0,"",IF(OR($AL404="",$AL404="FLUSH"),"FLUSH",IFERROR(LEFT($AL404,FIND("-",$AL404)-1),LEFT($AL404,2))))</f>
        <v/>
      </c>
      <c r="CF404" s="84">
        <f>IF($CE404="","",IFERROR(VALUE(MID($AL404,FIND("-",$AL404)+1,FIND(CHAR(34)&amp;"x",$AL404)-FIND("-",$AL404)-1)),0))</f>
        <v/>
      </c>
      <c r="CG404" s="84">
        <f>IF($CE404="","",IFERROR(VALUE(MID($AL404,FIND(CHAR(34)&amp;"x",$AL404)+2,FIND(CHAR(34),$AL404,FIND(CHAR(34)&amp;"x",$AL404)+2)-FIND(CHAR(34)&amp;"x",$AL404)-2)),0))</f>
        <v/>
      </c>
      <c r="CH404" s="90">
        <f>IF(OR($A404="",$H404="",$H404="NO LAB"),0,IFERROR(VALUE(LEFT($H404,FIND(" ",$H404)-1)),0))</f>
        <v/>
      </c>
      <c r="CI404" s="91">
        <f>IF(OR($A404="",$I404="",$I404="NON-RATED",N($J404)=0),"",IFERROR(VLOOKUP($I404&amp;"|"&amp;$J404,IBC,2,FALSE),"?"))</f>
        <v/>
      </c>
      <c r="CJ404" s="85">
        <f>IF(NOT(AND($A404&lt;&gt;"",$C404&lt;&gt;"DOOR ONLY")),"",TRIM(IFERROR(VLOOKUP($U404,CODES,2,FALSE),"")&amp;" "&amp;$BG404&amp;" "&amp;IFERROR(VLOOKUP($Z404,CODES,2,FALSE),"")&amp;" "&amp;IFERROR(VLOOKUP($X404,CODES,2,FALSE),"")&amp;" "&amp;IFERROR(VLOOKUP($S404,CODES,2,FALSE),"")&amp;IF(N($P404)&gt;0," w/TRANSOM "&amp;$P404&amp;CHAR(34),"")&amp;IF(N($Q404)&gt;0," w/SIDELITE "&amp;$Q404&amp;CHAR(34)&amp;" "&amp;IF($R404="","R",$R404),"")&amp;IF($Y404="","  |  "," | "&amp;IFERROR(VLOOKUP($Y404,CODES,2,FALSE),"")&amp;" | ")&amp;IFERROR(VLOOKUP($AC404,CODES,2,FALSE),"")&amp;" "&amp;IFERROR(VLOOKUP($AD404,CODES,2,FALSE),"")&amp;IF(OR($AE404="",$AE404="-"),""," "&amp;$AE404)&amp;IF(OR($AF404="",$AF404="-"),""," "&amp;$AF404)&amp;IF($AB404="Y"," 4"&amp;CHAR(34)&amp;" HEAD","")&amp;" "&amp;IFERROR(VLOOKUP($H404,CODES,2,FALSE),"")&amp;IF($CT404," | LOC "&amp;$CY404,"")))</f>
        <v/>
      </c>
      <c r="CK404" s="85">
        <f>IF(NOT(AND($A404&lt;&gt;"",N($BJ404)&gt;0)),"",TRIM(IFERROR(VLOOKUP($AH404,CODES,2,FALSE),"")&amp;IF($AI404=""," "," "&amp;$AI404&amp;"GA ")&amp;$BG404&amp;" "&amp;IF($AN404="",IFERROR(VLOOKUP($Z404,CODES,2,FALSE),""),IFERROR(VLOOKUP($AN404,CODES,2,FALSE),""))&amp;IF($BJ404=2," PAIR","")&amp;" DOOR | "&amp;IF($AL404="","?",$AL404)&amp;" | "&amp;IF($AO404="",IFERROR(VLOOKUP($AC404,CODES,2,FALSE),""),IFERROR(VLOOKUP($AO404,CODES,2,FALSE),""))&amp;" "&amp;IFERROR(VLOOKUP($AP404,CODES,2,FALSE),"")&amp;IF(OR($AQ404="",$AQ404="-"),""," SEAM "&amp;$AQ404)&amp;IF($AR404="Y"," ASTRAGAL","")&amp;IF($AJ404=""," "," "&amp;$AJ404)&amp;IF($AK404=""," "," "&amp;$AK404)&amp;IF(OR($AT404="",$AT404="ANSI/SDI",$AT404="CUSTOM LOC"),""," "&amp;$AT404)&amp;IF($AM404=""," "," SERIES "&amp;$AM404)&amp;" "&amp;IFERROR(VLOOKUP($H404,CODES,2,FALSE),"")&amp;IF($CT404," | LOC "&amp;$CZ404,"")))</f>
        <v/>
      </c>
      <c r="CL404" s="84">
        <f>IF(CP404="","",IF(COUNTIF($CP$6:CP404,CP404)=1,MAX($CL$5:CL403)+1,INDEX($CL$5:CL403,MATCH(CP404,$CP$5:CP403,0))))</f>
        <v/>
      </c>
      <c r="CM404" s="84">
        <f>IF(NOT(AND($A404&lt;&gt;"",$C404&lt;&gt;"DOOR ONLY")),"",MAX($CM$5:CM403)+1)</f>
        <v/>
      </c>
      <c r="CN404" s="84">
        <f>IF(NOT(AND($A404&lt;&gt;"",N($BJ404)&gt;0)),"",MAX($CN$5:CN403)+1)</f>
        <v/>
      </c>
      <c r="CO404" s="84">
        <f>IF($A404="","",MAX($CO$5:CO403)+1)</f>
        <v/>
      </c>
      <c r="CP404" s="84">
        <f>IF(OR($A404="",$BH404="",$BI404=""),"",$BG404&amp;"|"&amp;$O404&amp;"|"&amp;$AL404&amp;"|"&amp;$S404&amp;"|"&amp;$P404&amp;"|"&amp;$Q404&amp;$R404&amp;"|"&amp;$C404&amp;"|"&amp;$AB404)</f>
        <v/>
      </c>
      <c r="CQ404" s="84">
        <f>N($BS404)</f>
        <v/>
      </c>
      <c r="CR404" s="84">
        <f>IF(N($AU404)&gt;0,N($AU404),4.5)</f>
        <v/>
      </c>
      <c r="CS404" s="84">
        <f>OR($A404="",$BI404="",$S404="BL",AND($C404="FRAME ONLY",OR($AC404="",$AC404="BLK")))</f>
        <v/>
      </c>
      <c r="CT404" s="84">
        <f>AND(NOT($CS404),OR($AT404="CUSTOM LOC",N($AW404)+N($AX404)+N($AY404)+N($AZ404)+N($BA404)&gt;0))</f>
        <v/>
      </c>
      <c r="CU404" s="84">
        <f>IF($BI404="","",IF($BI404&lt;=80,80,IF($BI404&lt;=84,84,96)))</f>
        <v/>
      </c>
      <c r="CV404" s="84">
        <f>ISNUMBER(MATCH($AT404&amp;"|80",LocKeys,0))</f>
        <v/>
      </c>
      <c r="CW404" s="86">
        <f>IF($CS404,"",IF($CV404,VLOOKUP($AT404&amp;"|"&amp;$CU404,LocTable,4,FALSE),5))</f>
        <v/>
      </c>
      <c r="CX404" s="86">
        <f>IF($CS404,"",IF($CV404,IF(OR($BI404=$CU404,AND($BI404&lt;$CU404,$BI404-IF(N(VLOOKUP($AT404&amp;"|"&amp;$CU404,LocTable,7,FALSE))&gt;0,VLOOKUP($AT404&amp;"|"&amp;$CU404,LocTable,7,FALSE),VLOOKUP($AT404&amp;"|"&amp;$CU404,LocTable,6,FALSE))-$CR404-0.75&gt;=2.125)),IF(N(VLOOKUP($AT404&amp;"|"&amp;$CU404,LocTable,7,FALSE))&gt;0,VLOOKUP($AT404&amp;"|"&amp;$CU404,LocTable,7,FALSE),VLOOKUP($AT404&amp;"|"&amp;$CU404,LocTable,6,FALSE)),$BI404-($CU404-IF(N(VLOOKUP($AT404&amp;"|"&amp;$CU404,LocTable,7,FALSE))&gt;0,VLOOKUP($AT404&amp;"|"&amp;$CU404,LocTable,7,FALSE),VLOOKUP($AT404&amp;"|"&amp;$CU404,LocTable,6,FALSE)))),$BI404-10-$CR404))</f>
        <v/>
      </c>
      <c r="CY404" s="85">
        <f>IF($CS404,"",TRIM(IF(ISNUMBER($BU404),"A "&amp;TRIM(TEXT($BU404,"# ?/??"))&amp;CHAR(34)&amp;"  ","")&amp;IF(ISNUMBER($BV404),"B "&amp;TRIM(TEXT($BV404,"# ?/??"))&amp;CHAR(34)&amp;"  ","")&amp;IF(ISNUMBER($BW404),"C "&amp;TRIM(TEXT($BW404,"# ?/??"))&amp;CHAR(34)&amp;"  ","")&amp;IF(ISNUMBER($BX404),"D "&amp;TRIM(TEXT($BX404,"# ?/??"))&amp;CHAR(34)&amp;"  ","")&amp;IF(ISNUMBER($BY404),"F "&amp;TRIM(TEXT($BY404,"# ?/??"))&amp;CHAR(34)&amp;"  ","")&amp;IF(ISNUMBER($BZ404),"E "&amp;TRIM(TEXT($BZ404,"# ?/??"))&amp;CHAR(34)&amp;"  ","")))</f>
        <v/>
      </c>
      <c r="CZ404" s="85">
        <f>IF(OR($CS404,N($BJ404)=0),"",TRIM(IF(ISNUMBER($BU404),"A "&amp;TRIM(TEXT($BU404-HeadClr,"# ?/??"))&amp;CHAR(34)&amp;"  ","")&amp;IF(ISNUMBER($BV404),"B "&amp;TRIM(TEXT($BV404-HeadClr,"# ?/??"))&amp;CHAR(34)&amp;"  ","")&amp;IF(ISNUMBER($BW404),"C "&amp;TRIM(TEXT($BW404-HeadClr,"# ?/??"))&amp;CHAR(34)&amp;"  ","")&amp;IF(ISNUMBER($BX404),"D "&amp;TRIM(TEXT($BX404-HeadClr,"# ?/??"))&amp;CHAR(34)&amp;"  ","")&amp;IF(ISNUMBER($BY404),"F "&amp;TRIM(TEXT($BY404-HeadClr,"# ?/??"))&amp;CHAR(34)&amp;"  ","")&amp;IF(ISNUMBER($BZ404),"E "&amp;TRIM(TEXT($BZ404-HeadClr,"# ?/??"))&amp;CHAR(34)&amp;"  ","")))</f>
        <v/>
      </c>
      <c r="DA404" s="84">
        <f>IF($A404="","",IF($AN404="",IFERROR(VLOOKUP($Z404,CODES,2,FALSE),""),IFERROR(VLOOKUP($AN404,CODES,2,FALSE),"")))</f>
        <v/>
      </c>
      <c r="DB404" s="84">
        <f>IF($A404="","",IF($O404="Y","PR",IF(OR($Z404="L",$Z404="RR",LEFT($Z404,2)="L-",LEFT($Z404,3)="RR-"),"LH","RH")))</f>
        <v/>
      </c>
      <c r="DC404" s="84">
        <f>IF($A404="","","S.HM"&amp;IF(OR($C404="DOOR ONLY",$X404&lt;&gt;"KD"),"MASONRY","DRYWALL")&amp;IF($C404="DOOR ONLY","",$U404)&amp;IF(AND($C404&lt;&gt;"FRAME ONLY",OR(LEFT($AH404,3)="OAK",LEFT($AH404,3)="BIR",LEFT($AH404,3)="MAP",$AH404="PC",$AH404="MC",$AH404="SCLC",$AH404="P-LAM")),"WD","HM")&amp;"1.75")</f>
        <v/>
      </c>
      <c r="DD404" s="84">
        <f>IF($CJ404="","",IF($O404="Y",$CJ404,SUBSTITUTE($CJ404,$BG404&amp;" "&amp;IFERROR(VLOOKUP($Z404,CODES,2,FALSE),"")&amp;" ",$BG404&amp;" ")))</f>
        <v/>
      </c>
      <c r="DE404" s="84">
        <f>IF($CK404="","",IF($O404="Y",$CK404,SUBSTITUTE($CK404,$BG404&amp;" "&amp;IF($AN404="",IFERROR(VLOOKUP($Z404,CODES,2,FALSE),""),IFERROR(VLOOKUP($AN404,CODES,2,FALSE),""))&amp;" ",$BG404&amp;" ")))</f>
        <v/>
      </c>
      <c r="DF404" s="84">
        <f>IF($CJ404="","",$DC404&amp;"|"&amp;$DD404&amp;"|"&amp;$DB404&amp;"|"&amp;$AT404&amp;"|"&amp;$V404&amp;"|"&amp;$Y404&amp;"|"&amp;$AB404)</f>
        <v/>
      </c>
      <c r="DG404" s="84">
        <f>IF(DF404="","",IF(COUNTIF($DF$6:DF404,DF404)=1,MAX($DG$5:DG403)+1,INDEX($DG$5:DG403,MATCH(DF404,$DF$5:DF403,0))))</f>
        <v/>
      </c>
      <c r="DH404" s="84">
        <f>IF($CK404="","",$DC404&amp;"|"&amp;$DE404&amp;"|"&amp;$AI404&amp;"|"&amp;$BK404&amp;"|"&amp;$BL404)</f>
        <v/>
      </c>
      <c r="DI404" s="84">
        <f>IF(DH404="","",IF(COUNTIF($DH$6:DH404,DH404)=1,MAX($DI$5:DI403)+1,INDEX($DI$5:DI403,MATCH(DH404,$DH$5:DH403,0))))</f>
        <v/>
      </c>
      <c r="DJ404" s="84">
        <f>IF($A404="","",IF($B404="","qty, ","")&amp;IF($C404="","scope, ","")&amp;IF(OR($K404="",$M404=""),"size, ","")&amp;IF(AND($A404&lt;&gt;"",$C404&lt;&gt;"DOOR ONLY"),IF($U404="","jamb depth, ","")&amp;IF($X404="","construction, ","")&amp;IF($Y404="","anchor, ","")&amp;IF($S404="","frame type, ",""),"")&amp;IF(AND(N($BJ404)&gt;0,$Z404=""),"hand, ","")&amp;IF(N($BJ404)&gt;0,IF($AH404="","door material, ","")&amp;IF($AL404="","face type, ","")&amp;IF($AP404="","lock prep, ","")&amp;IF(AND($AO404="",$AC404=""),"hinge prep, ",""),"")&amp;IF(AND($CH404&gt;0,$AH404="FRP"),"FRP cannot carry a label, ","")&amp;IF(AND($O404="Y",OR($Z404="L",$Z404="R",$Z404="LR",$Z404="RR")),"pair marked but hand is single, ","")&amp;IF(AND($O404&lt;&gt;"Y",OR($Z404="PR",AND(LEN($Z404)&gt;1,ISNUMBER(SEARCH("-",$Z404))))),"pair hand on a single door, ","")&amp;IF(AND(ISNUMBER($CI404),$CH404&lt;N($CI404)),"wall needs a "&amp;$CI404&amp;" min door, ","")&amp;IF(AND($CH404&gt;=180,AND(OR($CE404="FG",$CE404="HG",$CE404="FNV",$CE404="FV"),N($CF404)*N($CG404)&gt;100)),"180 min lite over 100 sq in, ","")&amp;IF(N($BK404)&gt;48,"leaf wider than 4'-0"&amp;CHAR(34)&amp;", ","")&amp;IF(AND($CT404,COUNT($AW404:$AZ404)=0,$CQ404&gt;0),"CUSTOM LOC with no locations typed, ",""))</f>
        <v/>
      </c>
      <c r="DK404" s="84">
        <f>IF($A404="","",IF(AND($CH404&gt;0,AND($A404&lt;&gt;"",$C404&lt;&gt;"DOOR ONLY"),$X404="KD",$E404="EXTERIOR"),"KD label on an exterior opening, ","")&amp;IF(AND($E404="EXTERIOR",OR(AND(AND($A404&lt;&gt;"",$C404&lt;&gt;"DOOR ONLY"),$W404="CR"),AND(N($BJ404)&gt;0,$AH404="CR"))),"exterior in CR steel (G9?), ","")&amp;IF(AND(ISNUMBER($BQ404),N($BQ404)&lt;32),"clear width ~"&amp;TEXT($BQ404,"0.0")&amp;CHAR(34)&amp;" under 32"&amp;CHAR(34)&amp;" (ADA), ","")&amp;IF(AND($CH404=90,AND(OR($CE404="FG",$CE404="HG",$CE404="FNV",$CE404="FV"),N($CF404)*N($CG404)&gt;100)),"90 min lite over 100 sq in (stair/exit), ","")&amp;IF(AND($CH404&gt;0,AND($A404&lt;&gt;"",$C404&lt;&gt;"DOOR ONLY"),OR($AF404="",$AF404="-")),"rated: closer reinf.?, ","")&amp;IF(OR($I404="CORRIDOR",$I404="SMOKE BARRIER"),"S label + smoke gasketing, ","")&amp;IF($CI404="?","wall type/hr not in IBC table, ","")&amp;IF(AND(N($BJ404)&gt;0,$BB404=""),"no hardware set, ","")&amp;IF(AND($BB404&lt;&gt;"",ISNA(MATCH($BB404&amp;"",HWSets,0))),"set "&amp;$BB404&amp;" not on HW Sets, ","")&amp;IF(N($BL404)&gt;96,"leaf over 8'-0"&amp;CHAR(34)&amp;" - check listing, ","")&amp;IF(AND($CT404,COUNT($AW404:$AZ404)&gt;0,COUNT($AW404:$AZ404)&lt;&gt;$CQ404),COUNT($AW404:$AZ404)&amp;" custom hinges typed, "&amp;$CQ404&amp;" expected, ","")&amp;IF(AND(ISNUMBER($CA404),OR(N($CA404)&lt;34,N($CA404)&gt;48)),"lock "&amp;TEXT($CA404,"0.0")&amp;CHAR(34)&amp;" AFF outside 34-48"&amp;CHAR(34)&amp;" (ADA), ","")&amp;IF(AND(ISNUMBER($AV404),ISNUMBER($BL404),N($AV404)&lt;IF(N($BL404)&lt;=60,2,IF(N($BL404)&lt;=90,3,IF(N($BL404)&lt;=120,4,5)))),"fewer hinges than standard, ",""))</f>
        <v/>
      </c>
    </row>
    <row r="405" ht="15" customHeight="1">
      <c r="A405" s="92" t="n"/>
      <c r="B405" s="93" t="n"/>
      <c r="C405" s="93" t="n"/>
      <c r="D405" s="93" t="n"/>
      <c r="E405" s="93" t="n"/>
      <c r="F405" s="93" t="n"/>
      <c r="G405" s="93" t="n"/>
      <c r="H405" s="93" t="n"/>
      <c r="I405" s="93" t="n"/>
      <c r="J405" s="93" t="n"/>
      <c r="K405" s="93" t="n"/>
      <c r="L405" s="93" t="n"/>
      <c r="M405" s="93" t="n"/>
      <c r="N405" s="93" t="n"/>
      <c r="O405" s="93" t="n"/>
      <c r="P405" s="93" t="n"/>
      <c r="Q405" s="93" t="n"/>
      <c r="R405" s="93" t="n"/>
      <c r="S405" s="94" t="n"/>
      <c r="T405" s="94" t="n"/>
      <c r="U405" s="94" t="n"/>
      <c r="V405" s="94" t="n"/>
      <c r="W405" s="94" t="n"/>
      <c r="X405" s="94" t="n"/>
      <c r="Y405" s="94" t="n"/>
      <c r="Z405" s="94" t="n"/>
      <c r="AA405" s="94" t="n"/>
      <c r="AB405" s="94" t="n"/>
      <c r="AC405" s="94" t="n"/>
      <c r="AD405" s="94" t="n"/>
      <c r="AE405" s="94" t="n"/>
      <c r="AF405" s="94" t="n"/>
      <c r="AG405" s="94" t="n"/>
      <c r="AH405" s="95" t="n"/>
      <c r="AI405" s="95" t="n"/>
      <c r="AJ405" s="95" t="n"/>
      <c r="AK405" s="95" t="n"/>
      <c r="AL405" s="95" t="n"/>
      <c r="AM405" s="95" t="n"/>
      <c r="AN405" s="95" t="n"/>
      <c r="AO405" s="95" t="n"/>
      <c r="AP405" s="95" t="n"/>
      <c r="AQ405" s="95" t="n"/>
      <c r="AR405" s="95" t="n"/>
      <c r="AS405" s="95" t="n"/>
      <c r="AT405" s="96" t="n"/>
      <c r="AU405" s="96" t="n"/>
      <c r="AV405" s="96" t="n"/>
      <c r="AW405" s="97" t="n"/>
      <c r="AX405" s="97" t="n"/>
      <c r="AY405" s="97" t="n"/>
      <c r="AZ405" s="97" t="n"/>
      <c r="BA405" s="97" t="n"/>
      <c r="BB405" s="98" t="n"/>
      <c r="BC405" s="98" t="n"/>
      <c r="BD405" s="99">
        <f>IF($A405="","",IF($DJ405&lt;&gt;"","FIX",IF($DK405&lt;&gt;"","CHECK","OK")))</f>
        <v/>
      </c>
      <c r="BE405" s="100">
        <f>IF($A405="","",IF($DJ405&lt;&gt;"","FIX: "&amp;LEFT($DJ405,LEN($DJ405)-2)&amp;IF($DK405&lt;&gt;"","  ·  ",""),"")&amp;IF($DK405&lt;&gt;"","CHECK: "&amp;LEFT($DK405,LEN($DK405)-2),""))</f>
        <v/>
      </c>
      <c r="BF405" s="99">
        <f>IF(OR($A405="",$K405=""),"",$K405&amp;"'-"&amp;N($L405)&amp;CHAR(34)&amp;" x "&amp;$M405&amp;"'-"&amp;N($N405)&amp;CHAR(34))</f>
        <v/>
      </c>
      <c r="BG405" s="99">
        <f>IF(OR($A405="",$K405=""),"",$K405&amp;N($L405)&amp;$M405&amp;N($N405))</f>
        <v/>
      </c>
      <c r="BH405" s="99">
        <f>IF(OR($A405="",$K405=""),"",$K405*12+N($L405))</f>
        <v/>
      </c>
      <c r="BI405" s="99">
        <f>IF(OR($A405="",$M405=""),"",$M405*12+N($N405))</f>
        <v/>
      </c>
      <c r="BJ405" s="99">
        <f>IF($A405="","",IF(OR($C405="FRAME ONLY",$S405="BL"),0,IF($O405="Y",2,1)))</f>
        <v/>
      </c>
      <c r="BK405" s="101">
        <f>IF(OR(N($BJ405)=0,$BH405=""),"",($BH405-2*EdgeClr-IF($BJ405=2,MeetClr,0))/$BJ405)</f>
        <v/>
      </c>
      <c r="BL405" s="101">
        <f>IF(OR(N($BJ405)=0,$BI405=""),"",$BI405-HeadClr-Undercut)</f>
        <v/>
      </c>
      <c r="BM405" s="101">
        <f>IF($BH405="","",$BH405+2*FaceW+IF(N($Q405)&gt;0,($Q405+FaceW)*IF($R405="LR",2,1),0))</f>
        <v/>
      </c>
      <c r="BN405" s="101">
        <f>IF($BI405="","",$BI405+IF($AB405="Y",4,FaceW)+IF(N($P405)&gt;0,$P405+FaceW,0)+IF(OR($S405="4F",$S405="BL"),FaceW,0))</f>
        <v/>
      </c>
      <c r="BO405" s="101">
        <f>IF($BM405="","",$BM405+2*ROSide)</f>
        <v/>
      </c>
      <c r="BP405" s="101">
        <f>IF($BN405="","",$BN405+ROTop)</f>
        <v/>
      </c>
      <c r="BQ405" s="102">
        <f>IF(OR(N($BJ405)=0,$BH405=""),"",$BH405/$BJ405-ClearDeduct)</f>
        <v/>
      </c>
      <c r="BR405" s="99">
        <f>IF(N($CH405)=0,"",IF($CH405&gt;=180,"A · 3 HR",IF($CH405&gt;=90,"B · 1-1/2 HR",IF($CH405&gt;=60,"B · 1 HR",IF($CH405&gt;=45,"C · 3/4 HR","20 MIN")))))&amp;IF(AND(N($CH405)&gt;0,OR($I405="CORRIDOR",$I405="SMOKE BARRIER"))," · S","")</f>
        <v/>
      </c>
      <c r="BS405" s="99">
        <f>IF($CS405,"",IF($AV405&lt;&gt;"",$AV405,IF(OR($AC405="HGC",$AO405="HGC"),"CONT",IF(($BI405-HeadClr-Undercut)&lt;=60,2,IF(($BI405-HeadClr-Undercut)&lt;=90,3,IF(($BI405-HeadClr-Undercut)&lt;=120,4,5))))))</f>
        <v/>
      </c>
      <c r="BT405" s="99">
        <f>IF($CS405,"",IF($CT405,"CUSTOM (typed)",IF($CV405,$AT405&amp;" "&amp;$CU405&amp;CHAR(34)&amp;IF($CU405&lt;&gt;$BI405,IF(AND($BI405&lt;$CU405,$BI405-IF(N(VLOOKUP($AT405&amp;"|"&amp;$CU405,LocTable,7,FALSE))&gt;0,VLOOKUP($AT405&amp;"|"&amp;$CU405,LocTable,7,FALSE),VLOOKUP($AT405&amp;"|"&amp;$CU405,LocTable,6,FALSE))-$CR405-0.75&gt;=2.125)," cut down"," adj."),""),"ANSI/SDI A250.6")))</f>
        <v/>
      </c>
      <c r="BU405" s="103">
        <f>IF($CS405,"",IF($CT405,IF(N($AW405)&gt;0,N($AW405),""),IF(1&gt;$CQ405,"",IF($CQ405=1,$CW405,$CW405+($CX405-$CW405)*0/($CQ405-1)))))</f>
        <v/>
      </c>
      <c r="BV405" s="103">
        <f>IF($CS405,"",IF($CT405,IF(N($AX405)&gt;0,N($AX405),""),IF(2&gt;$CQ405,"",IF($CQ405=1,$CW405,$CW405+($CX405-$CW405)*1/($CQ405-1)))))</f>
        <v/>
      </c>
      <c r="BW405" s="103">
        <f>IF($CS405,"",IF($CT405,IF(N($AY405)&gt;0,N($AY405),""),IF(3&gt;$CQ405,"",IF($CQ405=1,$CW405,$CW405+($CX405-$CW405)*2/($CQ405-1)))))</f>
        <v/>
      </c>
      <c r="BX405" s="103">
        <f>IF($CS405,"",IF($CT405,IF(N($AZ405)&gt;0,N($AZ405),""),IF(4&gt;$CQ405,"",IF($CQ405=1,$CW405,$CW405+($CX405-$CW405)*3/($CQ405-1)))))</f>
        <v/>
      </c>
      <c r="BY405" s="103">
        <f>IF($CS405,"",IF($CT405,"",IF(5&gt;$CQ405,"",IF($CQ405=1,$CW405,$CW405+($CX405-$CW405)*4/($CQ405-1)))))</f>
        <v/>
      </c>
      <c r="BZ405" s="103">
        <f>IF(OR($CS405,$AP405="-",AND($AP405="",$AD405="")),"",IF(N($BA405)&gt;0,N($BA405),IF($CV405,IF(AND($BI405&lt;$CU405,$BI405-IF(N(VLOOKUP($AT405&amp;"|"&amp;$CU405,LocTable,7,FALSE))&gt;0,VLOOKUP($AT405&amp;"|"&amp;$CU405,LocTable,7,FALSE),VLOOKUP($AT405&amp;"|"&amp;$CU405,LocTable,6,FALSE))-$CR405-0.75&gt;=2.125),VLOOKUP($AT405&amp;"|"&amp;$CU405,LocTable,8,FALSE),VLOOKUP($AT405&amp;"|"&amp;$CU405,LocTable,8,FALSE)+($BI405-$CU405)),$BI405-LockAFF)))</f>
        <v/>
      </c>
      <c r="CA405" s="104">
        <f>IF($BZ405="","",$BI405-$BZ405)</f>
        <v/>
      </c>
      <c r="CB405" s="99">
        <f>IF(OR(NOT(AND($A405&lt;&gt;"",$C405&lt;&gt;"DOOR ONLY")),$BI405=""),"",IF(($BI405+IF(N($P405)&gt;0,$P405+FaceW,0))&lt;=90,3,IF(($BI405+IF(N($P405)&gt;0,$P405+FaceW,0))&lt;=114,4,5)))</f>
        <v/>
      </c>
      <c r="CC405" s="99">
        <f>IF($CB405="","",$CB405*(2+IF(N($Q405)&gt;0,IF($R405="LR",2,1),0)))</f>
        <v/>
      </c>
      <c r="CD405" s="99">
        <f>IF($CB405="","",(2+IF(N($Q405)&gt;0,IF($R405="LR",2,1),0)))</f>
        <v/>
      </c>
      <c r="CE405" s="99">
        <f>IF(N($BJ405)=0,"",IF(OR($AL405="",$AL405="FLUSH"),"FLUSH",IFERROR(LEFT($AL405,FIND("-",$AL405)-1),LEFT($AL405,2))))</f>
        <v/>
      </c>
      <c r="CF405" s="99">
        <f>IF($CE405="","",IFERROR(VALUE(MID($AL405,FIND("-",$AL405)+1,FIND(CHAR(34)&amp;"x",$AL405)-FIND("-",$AL405)-1)),0))</f>
        <v/>
      </c>
      <c r="CG405" s="99">
        <f>IF($CE405="","",IFERROR(VALUE(MID($AL405,FIND(CHAR(34)&amp;"x",$AL405)+2,FIND(CHAR(34),$AL405,FIND(CHAR(34)&amp;"x",$AL405)+2)-FIND(CHAR(34)&amp;"x",$AL405)-2)),0))</f>
        <v/>
      </c>
      <c r="CH405" s="105">
        <f>IF(OR($A405="",$H405="",$H405="NO LAB"),0,IFERROR(VALUE(LEFT($H405,FIND(" ",$H405)-1)),0))</f>
        <v/>
      </c>
      <c r="CI405" s="106">
        <f>IF(OR($A405="",$I405="",$I405="NON-RATED",N($J405)=0),"",IFERROR(VLOOKUP($I405&amp;"|"&amp;$J405,IBC,2,FALSE),"?"))</f>
        <v/>
      </c>
      <c r="CJ405" s="100">
        <f>IF(NOT(AND($A405&lt;&gt;"",$C405&lt;&gt;"DOOR ONLY")),"",TRIM(IFERROR(VLOOKUP($U405,CODES,2,FALSE),"")&amp;" "&amp;$BG405&amp;" "&amp;IFERROR(VLOOKUP($Z405,CODES,2,FALSE),"")&amp;" "&amp;IFERROR(VLOOKUP($X405,CODES,2,FALSE),"")&amp;" "&amp;IFERROR(VLOOKUP($S405,CODES,2,FALSE),"")&amp;IF(N($P405)&gt;0," w/TRANSOM "&amp;$P405&amp;CHAR(34),"")&amp;IF(N($Q405)&gt;0," w/SIDELITE "&amp;$Q405&amp;CHAR(34)&amp;" "&amp;IF($R405="","R",$R405),"")&amp;IF($Y405="","  |  "," | "&amp;IFERROR(VLOOKUP($Y405,CODES,2,FALSE),"")&amp;" | ")&amp;IFERROR(VLOOKUP($AC405,CODES,2,FALSE),"")&amp;" "&amp;IFERROR(VLOOKUP($AD405,CODES,2,FALSE),"")&amp;IF(OR($AE405="",$AE405="-"),""," "&amp;$AE405)&amp;IF(OR($AF405="",$AF405="-"),""," "&amp;$AF405)&amp;IF($AB405="Y"," 4"&amp;CHAR(34)&amp;" HEAD","")&amp;" "&amp;IFERROR(VLOOKUP($H405,CODES,2,FALSE),"")&amp;IF($CT405," | LOC "&amp;$CY405,"")))</f>
        <v/>
      </c>
      <c r="CK405" s="100">
        <f>IF(NOT(AND($A405&lt;&gt;"",N($BJ405)&gt;0)),"",TRIM(IFERROR(VLOOKUP($AH405,CODES,2,FALSE),"")&amp;IF($AI405=""," "," "&amp;$AI405&amp;"GA ")&amp;$BG405&amp;" "&amp;IF($AN405="",IFERROR(VLOOKUP($Z405,CODES,2,FALSE),""),IFERROR(VLOOKUP($AN405,CODES,2,FALSE),""))&amp;IF($BJ405=2," PAIR","")&amp;" DOOR | "&amp;IF($AL405="","?",$AL405)&amp;" | "&amp;IF($AO405="",IFERROR(VLOOKUP($AC405,CODES,2,FALSE),""),IFERROR(VLOOKUP($AO405,CODES,2,FALSE),""))&amp;" "&amp;IFERROR(VLOOKUP($AP405,CODES,2,FALSE),"")&amp;IF(OR($AQ405="",$AQ405="-"),""," SEAM "&amp;$AQ405)&amp;IF($AR405="Y"," ASTRAGAL","")&amp;IF($AJ405=""," "," "&amp;$AJ405)&amp;IF($AK405=""," "," "&amp;$AK405)&amp;IF(OR($AT405="",$AT405="ANSI/SDI",$AT405="CUSTOM LOC"),""," "&amp;$AT405)&amp;IF($AM405=""," "," SERIES "&amp;$AM405)&amp;" "&amp;IFERROR(VLOOKUP($H405,CODES,2,FALSE),"")&amp;IF($CT405," | LOC "&amp;$CZ405,"")))</f>
        <v/>
      </c>
      <c r="CL405" s="99">
        <f>IF(CP405="","",IF(COUNTIF($CP$6:CP405,CP405)=1,MAX($CL$5:CL404)+1,INDEX($CL$5:CL404,MATCH(CP405,$CP$5:CP404,0))))</f>
        <v/>
      </c>
      <c r="CM405" s="99">
        <f>IF(NOT(AND($A405&lt;&gt;"",$C405&lt;&gt;"DOOR ONLY")),"",MAX($CM$5:CM404)+1)</f>
        <v/>
      </c>
      <c r="CN405" s="99">
        <f>IF(NOT(AND($A405&lt;&gt;"",N($BJ405)&gt;0)),"",MAX($CN$5:CN404)+1)</f>
        <v/>
      </c>
      <c r="CO405" s="99">
        <f>IF($A405="","",MAX($CO$5:CO404)+1)</f>
        <v/>
      </c>
      <c r="CP405" s="99">
        <f>IF(OR($A405="",$BH405="",$BI405=""),"",$BG405&amp;"|"&amp;$O405&amp;"|"&amp;$AL405&amp;"|"&amp;$S405&amp;"|"&amp;$P405&amp;"|"&amp;$Q405&amp;$R405&amp;"|"&amp;$C405&amp;"|"&amp;$AB405)</f>
        <v/>
      </c>
      <c r="CQ405" s="99">
        <f>N($BS405)</f>
        <v/>
      </c>
      <c r="CR405" s="99">
        <f>IF(N($AU405)&gt;0,N($AU405),4.5)</f>
        <v/>
      </c>
      <c r="CS405" s="99">
        <f>OR($A405="",$BI405="",$S405="BL",AND($C405="FRAME ONLY",OR($AC405="",$AC405="BLK")))</f>
        <v/>
      </c>
      <c r="CT405" s="99">
        <f>AND(NOT($CS405),OR($AT405="CUSTOM LOC",N($AW405)+N($AX405)+N($AY405)+N($AZ405)+N($BA405)&gt;0))</f>
        <v/>
      </c>
      <c r="CU405" s="99">
        <f>IF($BI405="","",IF($BI405&lt;=80,80,IF($BI405&lt;=84,84,96)))</f>
        <v/>
      </c>
      <c r="CV405" s="99">
        <f>ISNUMBER(MATCH($AT405&amp;"|80",LocKeys,0))</f>
        <v/>
      </c>
      <c r="CW405" s="101">
        <f>IF($CS405,"",IF($CV405,VLOOKUP($AT405&amp;"|"&amp;$CU405,LocTable,4,FALSE),5))</f>
        <v/>
      </c>
      <c r="CX405" s="101">
        <f>IF($CS405,"",IF($CV405,IF(OR($BI405=$CU405,AND($BI405&lt;$CU405,$BI405-IF(N(VLOOKUP($AT405&amp;"|"&amp;$CU405,LocTable,7,FALSE))&gt;0,VLOOKUP($AT405&amp;"|"&amp;$CU405,LocTable,7,FALSE),VLOOKUP($AT405&amp;"|"&amp;$CU405,LocTable,6,FALSE))-$CR405-0.75&gt;=2.125)),IF(N(VLOOKUP($AT405&amp;"|"&amp;$CU405,LocTable,7,FALSE))&gt;0,VLOOKUP($AT405&amp;"|"&amp;$CU405,LocTable,7,FALSE),VLOOKUP($AT405&amp;"|"&amp;$CU405,LocTable,6,FALSE)),$BI405-($CU405-IF(N(VLOOKUP($AT405&amp;"|"&amp;$CU405,LocTable,7,FALSE))&gt;0,VLOOKUP($AT405&amp;"|"&amp;$CU405,LocTable,7,FALSE),VLOOKUP($AT405&amp;"|"&amp;$CU405,LocTable,6,FALSE)))),$BI405-10-$CR405))</f>
        <v/>
      </c>
      <c r="CY405" s="100">
        <f>IF($CS405,"",TRIM(IF(ISNUMBER($BU405),"A "&amp;TRIM(TEXT($BU405,"# ?/??"))&amp;CHAR(34)&amp;"  ","")&amp;IF(ISNUMBER($BV405),"B "&amp;TRIM(TEXT($BV405,"# ?/??"))&amp;CHAR(34)&amp;"  ","")&amp;IF(ISNUMBER($BW405),"C "&amp;TRIM(TEXT($BW405,"# ?/??"))&amp;CHAR(34)&amp;"  ","")&amp;IF(ISNUMBER($BX405),"D "&amp;TRIM(TEXT($BX405,"# ?/??"))&amp;CHAR(34)&amp;"  ","")&amp;IF(ISNUMBER($BY405),"F "&amp;TRIM(TEXT($BY405,"# ?/??"))&amp;CHAR(34)&amp;"  ","")&amp;IF(ISNUMBER($BZ405),"E "&amp;TRIM(TEXT($BZ405,"# ?/??"))&amp;CHAR(34)&amp;"  ","")))</f>
        <v/>
      </c>
      <c r="CZ405" s="100">
        <f>IF(OR($CS405,N($BJ405)=0),"",TRIM(IF(ISNUMBER($BU405),"A "&amp;TRIM(TEXT($BU405-HeadClr,"# ?/??"))&amp;CHAR(34)&amp;"  ","")&amp;IF(ISNUMBER($BV405),"B "&amp;TRIM(TEXT($BV405-HeadClr,"# ?/??"))&amp;CHAR(34)&amp;"  ","")&amp;IF(ISNUMBER($BW405),"C "&amp;TRIM(TEXT($BW405-HeadClr,"# ?/??"))&amp;CHAR(34)&amp;"  ","")&amp;IF(ISNUMBER($BX405),"D "&amp;TRIM(TEXT($BX405-HeadClr,"# ?/??"))&amp;CHAR(34)&amp;"  ","")&amp;IF(ISNUMBER($BY405),"F "&amp;TRIM(TEXT($BY405-HeadClr,"# ?/??"))&amp;CHAR(34)&amp;"  ","")&amp;IF(ISNUMBER($BZ405),"E "&amp;TRIM(TEXT($BZ405-HeadClr,"# ?/??"))&amp;CHAR(34)&amp;"  ","")))</f>
        <v/>
      </c>
      <c r="DA405" s="99">
        <f>IF($A405="","",IF($AN405="",IFERROR(VLOOKUP($Z405,CODES,2,FALSE),""),IFERROR(VLOOKUP($AN405,CODES,2,FALSE),"")))</f>
        <v/>
      </c>
      <c r="DB405" s="99">
        <f>IF($A405="","",IF($O405="Y","PR",IF(OR($Z405="L",$Z405="RR",LEFT($Z405,2)="L-",LEFT($Z405,3)="RR-"),"LH","RH")))</f>
        <v/>
      </c>
      <c r="DC405" s="99">
        <f>IF($A405="","","S.HM"&amp;IF(OR($C405="DOOR ONLY",$X405&lt;&gt;"KD"),"MASONRY","DRYWALL")&amp;IF($C405="DOOR ONLY","",$U405)&amp;IF(AND($C405&lt;&gt;"FRAME ONLY",OR(LEFT($AH405,3)="OAK",LEFT($AH405,3)="BIR",LEFT($AH405,3)="MAP",$AH405="PC",$AH405="MC",$AH405="SCLC",$AH405="P-LAM")),"WD","HM")&amp;"1.75")</f>
        <v/>
      </c>
      <c r="DD405" s="99">
        <f>IF($CJ405="","",IF($O405="Y",$CJ405,SUBSTITUTE($CJ405,$BG405&amp;" "&amp;IFERROR(VLOOKUP($Z405,CODES,2,FALSE),"")&amp;" ",$BG405&amp;" ")))</f>
        <v/>
      </c>
      <c r="DE405" s="99">
        <f>IF($CK405="","",IF($O405="Y",$CK405,SUBSTITUTE($CK405,$BG405&amp;" "&amp;IF($AN405="",IFERROR(VLOOKUP($Z405,CODES,2,FALSE),""),IFERROR(VLOOKUP($AN405,CODES,2,FALSE),""))&amp;" ",$BG405&amp;" ")))</f>
        <v/>
      </c>
      <c r="DF405" s="99">
        <f>IF($CJ405="","",$DC405&amp;"|"&amp;$DD405&amp;"|"&amp;$DB405&amp;"|"&amp;$AT405&amp;"|"&amp;$V405&amp;"|"&amp;$Y405&amp;"|"&amp;$AB405)</f>
        <v/>
      </c>
      <c r="DG405" s="99">
        <f>IF(DF405="","",IF(COUNTIF($DF$6:DF405,DF405)=1,MAX($DG$5:DG404)+1,INDEX($DG$5:DG404,MATCH(DF405,$DF$5:DF404,0))))</f>
        <v/>
      </c>
      <c r="DH405" s="99">
        <f>IF($CK405="","",$DC405&amp;"|"&amp;$DE405&amp;"|"&amp;$AI405&amp;"|"&amp;$BK405&amp;"|"&amp;$BL405)</f>
        <v/>
      </c>
      <c r="DI405" s="99">
        <f>IF(DH405="","",IF(COUNTIF($DH$6:DH405,DH405)=1,MAX($DI$5:DI404)+1,INDEX($DI$5:DI404,MATCH(DH405,$DH$5:DH404,0))))</f>
        <v/>
      </c>
      <c r="DJ405" s="99">
        <f>IF($A405="","",IF($B405="","qty, ","")&amp;IF($C405="","scope, ","")&amp;IF(OR($K405="",$M405=""),"size, ","")&amp;IF(AND($A405&lt;&gt;"",$C405&lt;&gt;"DOOR ONLY"),IF($U405="","jamb depth, ","")&amp;IF($X405="","construction, ","")&amp;IF($Y405="","anchor, ","")&amp;IF($S405="","frame type, ",""),"")&amp;IF(AND(N($BJ405)&gt;0,$Z405=""),"hand, ","")&amp;IF(N($BJ405)&gt;0,IF($AH405="","door material, ","")&amp;IF($AL405="","face type, ","")&amp;IF($AP405="","lock prep, ","")&amp;IF(AND($AO405="",$AC405=""),"hinge prep, ",""),"")&amp;IF(AND($CH405&gt;0,$AH405="FRP"),"FRP cannot carry a label, ","")&amp;IF(AND($O405="Y",OR($Z405="L",$Z405="R",$Z405="LR",$Z405="RR")),"pair marked but hand is single, ","")&amp;IF(AND($O405&lt;&gt;"Y",OR($Z405="PR",AND(LEN($Z405)&gt;1,ISNUMBER(SEARCH("-",$Z405))))),"pair hand on a single door, ","")&amp;IF(AND(ISNUMBER($CI405),$CH405&lt;N($CI405)),"wall needs a "&amp;$CI405&amp;" min door, ","")&amp;IF(AND($CH405&gt;=180,AND(OR($CE405="FG",$CE405="HG",$CE405="FNV",$CE405="FV"),N($CF405)*N($CG405)&gt;100)),"180 min lite over 100 sq in, ","")&amp;IF(N($BK405)&gt;48,"leaf wider than 4'-0"&amp;CHAR(34)&amp;", ","")&amp;IF(AND($CT405,COUNT($AW405:$AZ405)=0,$CQ405&gt;0),"CUSTOM LOC with no locations typed, ",""))</f>
        <v/>
      </c>
      <c r="DK405" s="99">
        <f>IF($A405="","",IF(AND($CH405&gt;0,AND($A405&lt;&gt;"",$C405&lt;&gt;"DOOR ONLY"),$X405="KD",$E405="EXTERIOR"),"KD label on an exterior opening, ","")&amp;IF(AND($E405="EXTERIOR",OR(AND(AND($A405&lt;&gt;"",$C405&lt;&gt;"DOOR ONLY"),$W405="CR"),AND(N($BJ405)&gt;0,$AH405="CR"))),"exterior in CR steel (G9?), ","")&amp;IF(AND(ISNUMBER($BQ405),N($BQ405)&lt;32),"clear width ~"&amp;TEXT($BQ405,"0.0")&amp;CHAR(34)&amp;" under 32"&amp;CHAR(34)&amp;" (ADA), ","")&amp;IF(AND($CH405=90,AND(OR($CE405="FG",$CE405="HG",$CE405="FNV",$CE405="FV"),N($CF405)*N($CG405)&gt;100)),"90 min lite over 100 sq in (stair/exit), ","")&amp;IF(AND($CH405&gt;0,AND($A405&lt;&gt;"",$C405&lt;&gt;"DOOR ONLY"),OR($AF405="",$AF405="-")),"rated: closer reinf.?, ","")&amp;IF(OR($I405="CORRIDOR",$I405="SMOKE BARRIER"),"S label + smoke gasketing, ","")&amp;IF($CI405="?","wall type/hr not in IBC table, ","")&amp;IF(AND(N($BJ405)&gt;0,$BB405=""),"no hardware set, ","")&amp;IF(AND($BB405&lt;&gt;"",ISNA(MATCH($BB405&amp;"",HWSets,0))),"set "&amp;$BB405&amp;" not on HW Sets, ","")&amp;IF(N($BL405)&gt;96,"leaf over 8'-0"&amp;CHAR(34)&amp;" - check listing, ","")&amp;IF(AND($CT405,COUNT($AW405:$AZ405)&gt;0,COUNT($AW405:$AZ405)&lt;&gt;$CQ405),COUNT($AW405:$AZ405)&amp;" custom hinges typed, "&amp;$CQ405&amp;" expected, ","")&amp;IF(AND(ISNUMBER($CA405),OR(N($CA405)&lt;34,N($CA405)&gt;48)),"lock "&amp;TEXT($CA405,"0.0")&amp;CHAR(34)&amp;" AFF outside 34-48"&amp;CHAR(34)&amp;" (ADA), ","")&amp;IF(AND(ISNUMBER($AV405),ISNUMBER($BL405),N($AV405)&lt;IF(N($BL405)&lt;=60,2,IF(N($BL405)&lt;=90,3,IF(N($BL405)&lt;=120,4,5)))),"fewer hinges than standard, ",""))</f>
        <v/>
      </c>
    </row>
    <row r="406" ht="15" customHeight="1">
      <c r="A406" s="77" t="n"/>
      <c r="B406" s="78" t="n"/>
      <c r="C406" s="78" t="n"/>
      <c r="D406" s="78" t="n"/>
      <c r="E406" s="78" t="n"/>
      <c r="F406" s="78" t="n"/>
      <c r="G406" s="78" t="n"/>
      <c r="H406" s="78" t="n"/>
      <c r="I406" s="78" t="n"/>
      <c r="J406" s="78" t="n"/>
      <c r="K406" s="78" t="n"/>
      <c r="L406" s="78" t="n"/>
      <c r="M406" s="78" t="n"/>
      <c r="N406" s="78" t="n"/>
      <c r="O406" s="78" t="n"/>
      <c r="P406" s="78" t="n"/>
      <c r="Q406" s="78" t="n"/>
      <c r="R406" s="78" t="n"/>
      <c r="S406" s="79" t="n"/>
      <c r="T406" s="79" t="n"/>
      <c r="U406" s="79" t="n"/>
      <c r="V406" s="79" t="n"/>
      <c r="W406" s="79" t="n"/>
      <c r="X406" s="79" t="n"/>
      <c r="Y406" s="79" t="n"/>
      <c r="Z406" s="79" t="n"/>
      <c r="AA406" s="79" t="n"/>
      <c r="AB406" s="79" t="n"/>
      <c r="AC406" s="79" t="n"/>
      <c r="AD406" s="79" t="n"/>
      <c r="AE406" s="79" t="n"/>
      <c r="AF406" s="79" t="n"/>
      <c r="AG406" s="79" t="n"/>
      <c r="AH406" s="80" t="n"/>
      <c r="AI406" s="80" t="n"/>
      <c r="AJ406" s="80" t="n"/>
      <c r="AK406" s="80" t="n"/>
      <c r="AL406" s="80" t="n"/>
      <c r="AM406" s="80" t="n"/>
      <c r="AN406" s="80" t="n"/>
      <c r="AO406" s="80" t="n"/>
      <c r="AP406" s="80" t="n"/>
      <c r="AQ406" s="80" t="n"/>
      <c r="AR406" s="80" t="n"/>
      <c r="AS406" s="80" t="n"/>
      <c r="AT406" s="81" t="n"/>
      <c r="AU406" s="81" t="n"/>
      <c r="AV406" s="81" t="n"/>
      <c r="AW406" s="82" t="n"/>
      <c r="AX406" s="82" t="n"/>
      <c r="AY406" s="82" t="n"/>
      <c r="AZ406" s="82" t="n"/>
      <c r="BA406" s="82" t="n"/>
      <c r="BB406" s="83" t="n"/>
      <c r="BC406" s="83" t="n"/>
      <c r="BD406" s="84">
        <f>IF($A406="","",IF($DJ406&lt;&gt;"","FIX",IF($DK406&lt;&gt;"","CHECK","OK")))</f>
        <v/>
      </c>
      <c r="BE406" s="85">
        <f>IF($A406="","",IF($DJ406&lt;&gt;"","FIX: "&amp;LEFT($DJ406,LEN($DJ406)-2)&amp;IF($DK406&lt;&gt;"","  ·  ",""),"")&amp;IF($DK406&lt;&gt;"","CHECK: "&amp;LEFT($DK406,LEN($DK406)-2),""))</f>
        <v/>
      </c>
      <c r="BF406" s="84">
        <f>IF(OR($A406="",$K406=""),"",$K406&amp;"'-"&amp;N($L406)&amp;CHAR(34)&amp;" x "&amp;$M406&amp;"'-"&amp;N($N406)&amp;CHAR(34))</f>
        <v/>
      </c>
      <c r="BG406" s="84">
        <f>IF(OR($A406="",$K406=""),"",$K406&amp;N($L406)&amp;$M406&amp;N($N406))</f>
        <v/>
      </c>
      <c r="BH406" s="84">
        <f>IF(OR($A406="",$K406=""),"",$K406*12+N($L406))</f>
        <v/>
      </c>
      <c r="BI406" s="84">
        <f>IF(OR($A406="",$M406=""),"",$M406*12+N($N406))</f>
        <v/>
      </c>
      <c r="BJ406" s="84">
        <f>IF($A406="","",IF(OR($C406="FRAME ONLY",$S406="BL"),0,IF($O406="Y",2,1)))</f>
        <v/>
      </c>
      <c r="BK406" s="86">
        <f>IF(OR(N($BJ406)=0,$BH406=""),"",($BH406-2*EdgeClr-IF($BJ406=2,MeetClr,0))/$BJ406)</f>
        <v/>
      </c>
      <c r="BL406" s="86">
        <f>IF(OR(N($BJ406)=0,$BI406=""),"",$BI406-HeadClr-Undercut)</f>
        <v/>
      </c>
      <c r="BM406" s="86">
        <f>IF($BH406="","",$BH406+2*FaceW+IF(N($Q406)&gt;0,($Q406+FaceW)*IF($R406="LR",2,1),0))</f>
        <v/>
      </c>
      <c r="BN406" s="86">
        <f>IF($BI406="","",$BI406+IF($AB406="Y",4,FaceW)+IF(N($P406)&gt;0,$P406+FaceW,0)+IF(OR($S406="4F",$S406="BL"),FaceW,0))</f>
        <v/>
      </c>
      <c r="BO406" s="86">
        <f>IF($BM406="","",$BM406+2*ROSide)</f>
        <v/>
      </c>
      <c r="BP406" s="86">
        <f>IF($BN406="","",$BN406+ROTop)</f>
        <v/>
      </c>
      <c r="BQ406" s="87">
        <f>IF(OR(N($BJ406)=0,$BH406=""),"",$BH406/$BJ406-ClearDeduct)</f>
        <v/>
      </c>
      <c r="BR406" s="84">
        <f>IF(N($CH406)=0,"",IF($CH406&gt;=180,"A · 3 HR",IF($CH406&gt;=90,"B · 1-1/2 HR",IF($CH406&gt;=60,"B · 1 HR",IF($CH406&gt;=45,"C · 3/4 HR","20 MIN")))))&amp;IF(AND(N($CH406)&gt;0,OR($I406="CORRIDOR",$I406="SMOKE BARRIER"))," · S","")</f>
        <v/>
      </c>
      <c r="BS406" s="84">
        <f>IF($CS406,"",IF($AV406&lt;&gt;"",$AV406,IF(OR($AC406="HGC",$AO406="HGC"),"CONT",IF(($BI406-HeadClr-Undercut)&lt;=60,2,IF(($BI406-HeadClr-Undercut)&lt;=90,3,IF(($BI406-HeadClr-Undercut)&lt;=120,4,5))))))</f>
        <v/>
      </c>
      <c r="BT406" s="84">
        <f>IF($CS406,"",IF($CT406,"CUSTOM (typed)",IF($CV406,$AT406&amp;" "&amp;$CU406&amp;CHAR(34)&amp;IF($CU406&lt;&gt;$BI406,IF(AND($BI406&lt;$CU406,$BI406-IF(N(VLOOKUP($AT406&amp;"|"&amp;$CU406,LocTable,7,FALSE))&gt;0,VLOOKUP($AT406&amp;"|"&amp;$CU406,LocTable,7,FALSE),VLOOKUP($AT406&amp;"|"&amp;$CU406,LocTable,6,FALSE))-$CR406-0.75&gt;=2.125)," cut down"," adj."),""),"ANSI/SDI A250.6")))</f>
        <v/>
      </c>
      <c r="BU406" s="88">
        <f>IF($CS406,"",IF($CT406,IF(N($AW406)&gt;0,N($AW406),""),IF(1&gt;$CQ406,"",IF($CQ406=1,$CW406,$CW406+($CX406-$CW406)*0/($CQ406-1)))))</f>
        <v/>
      </c>
      <c r="BV406" s="88">
        <f>IF($CS406,"",IF($CT406,IF(N($AX406)&gt;0,N($AX406),""),IF(2&gt;$CQ406,"",IF($CQ406=1,$CW406,$CW406+($CX406-$CW406)*1/($CQ406-1)))))</f>
        <v/>
      </c>
      <c r="BW406" s="88">
        <f>IF($CS406,"",IF($CT406,IF(N($AY406)&gt;0,N($AY406),""),IF(3&gt;$CQ406,"",IF($CQ406=1,$CW406,$CW406+($CX406-$CW406)*2/($CQ406-1)))))</f>
        <v/>
      </c>
      <c r="BX406" s="88">
        <f>IF($CS406,"",IF($CT406,IF(N($AZ406)&gt;0,N($AZ406),""),IF(4&gt;$CQ406,"",IF($CQ406=1,$CW406,$CW406+($CX406-$CW406)*3/($CQ406-1)))))</f>
        <v/>
      </c>
      <c r="BY406" s="88">
        <f>IF($CS406,"",IF($CT406,"",IF(5&gt;$CQ406,"",IF($CQ406=1,$CW406,$CW406+($CX406-$CW406)*4/($CQ406-1)))))</f>
        <v/>
      </c>
      <c r="BZ406" s="88">
        <f>IF(OR($CS406,$AP406="-",AND($AP406="",$AD406="")),"",IF(N($BA406)&gt;0,N($BA406),IF($CV406,IF(AND($BI406&lt;$CU406,$BI406-IF(N(VLOOKUP($AT406&amp;"|"&amp;$CU406,LocTable,7,FALSE))&gt;0,VLOOKUP($AT406&amp;"|"&amp;$CU406,LocTable,7,FALSE),VLOOKUP($AT406&amp;"|"&amp;$CU406,LocTable,6,FALSE))-$CR406-0.75&gt;=2.125),VLOOKUP($AT406&amp;"|"&amp;$CU406,LocTable,8,FALSE),VLOOKUP($AT406&amp;"|"&amp;$CU406,LocTable,8,FALSE)+($BI406-$CU406)),$BI406-LockAFF)))</f>
        <v/>
      </c>
      <c r="CA406" s="89">
        <f>IF($BZ406="","",$BI406-$BZ406)</f>
        <v/>
      </c>
      <c r="CB406" s="84">
        <f>IF(OR(NOT(AND($A406&lt;&gt;"",$C406&lt;&gt;"DOOR ONLY")),$BI406=""),"",IF(($BI406+IF(N($P406)&gt;0,$P406+FaceW,0))&lt;=90,3,IF(($BI406+IF(N($P406)&gt;0,$P406+FaceW,0))&lt;=114,4,5)))</f>
        <v/>
      </c>
      <c r="CC406" s="84">
        <f>IF($CB406="","",$CB406*(2+IF(N($Q406)&gt;0,IF($R406="LR",2,1),0)))</f>
        <v/>
      </c>
      <c r="CD406" s="84">
        <f>IF($CB406="","",(2+IF(N($Q406)&gt;0,IF($R406="LR",2,1),0)))</f>
        <v/>
      </c>
      <c r="CE406" s="84">
        <f>IF(N($BJ406)=0,"",IF(OR($AL406="",$AL406="FLUSH"),"FLUSH",IFERROR(LEFT($AL406,FIND("-",$AL406)-1),LEFT($AL406,2))))</f>
        <v/>
      </c>
      <c r="CF406" s="84">
        <f>IF($CE406="","",IFERROR(VALUE(MID($AL406,FIND("-",$AL406)+1,FIND(CHAR(34)&amp;"x",$AL406)-FIND("-",$AL406)-1)),0))</f>
        <v/>
      </c>
      <c r="CG406" s="84">
        <f>IF($CE406="","",IFERROR(VALUE(MID($AL406,FIND(CHAR(34)&amp;"x",$AL406)+2,FIND(CHAR(34),$AL406,FIND(CHAR(34)&amp;"x",$AL406)+2)-FIND(CHAR(34)&amp;"x",$AL406)-2)),0))</f>
        <v/>
      </c>
      <c r="CH406" s="90">
        <f>IF(OR($A406="",$H406="",$H406="NO LAB"),0,IFERROR(VALUE(LEFT($H406,FIND(" ",$H406)-1)),0))</f>
        <v/>
      </c>
      <c r="CI406" s="91">
        <f>IF(OR($A406="",$I406="",$I406="NON-RATED",N($J406)=0),"",IFERROR(VLOOKUP($I406&amp;"|"&amp;$J406,IBC,2,FALSE),"?"))</f>
        <v/>
      </c>
      <c r="CJ406" s="85">
        <f>IF(NOT(AND($A406&lt;&gt;"",$C406&lt;&gt;"DOOR ONLY")),"",TRIM(IFERROR(VLOOKUP($U406,CODES,2,FALSE),"")&amp;" "&amp;$BG406&amp;" "&amp;IFERROR(VLOOKUP($Z406,CODES,2,FALSE),"")&amp;" "&amp;IFERROR(VLOOKUP($X406,CODES,2,FALSE),"")&amp;" "&amp;IFERROR(VLOOKUP($S406,CODES,2,FALSE),"")&amp;IF(N($P406)&gt;0," w/TRANSOM "&amp;$P406&amp;CHAR(34),"")&amp;IF(N($Q406)&gt;0," w/SIDELITE "&amp;$Q406&amp;CHAR(34)&amp;" "&amp;IF($R406="","R",$R406),"")&amp;IF($Y406="","  |  "," | "&amp;IFERROR(VLOOKUP($Y406,CODES,2,FALSE),"")&amp;" | ")&amp;IFERROR(VLOOKUP($AC406,CODES,2,FALSE),"")&amp;" "&amp;IFERROR(VLOOKUP($AD406,CODES,2,FALSE),"")&amp;IF(OR($AE406="",$AE406="-"),""," "&amp;$AE406)&amp;IF(OR($AF406="",$AF406="-"),""," "&amp;$AF406)&amp;IF($AB406="Y"," 4"&amp;CHAR(34)&amp;" HEAD","")&amp;" "&amp;IFERROR(VLOOKUP($H406,CODES,2,FALSE),"")&amp;IF($CT406," | LOC "&amp;$CY406,"")))</f>
        <v/>
      </c>
      <c r="CK406" s="85">
        <f>IF(NOT(AND($A406&lt;&gt;"",N($BJ406)&gt;0)),"",TRIM(IFERROR(VLOOKUP($AH406,CODES,2,FALSE),"")&amp;IF($AI406=""," "," "&amp;$AI406&amp;"GA ")&amp;$BG406&amp;" "&amp;IF($AN406="",IFERROR(VLOOKUP($Z406,CODES,2,FALSE),""),IFERROR(VLOOKUP($AN406,CODES,2,FALSE),""))&amp;IF($BJ406=2," PAIR","")&amp;" DOOR | "&amp;IF($AL406="","?",$AL406)&amp;" | "&amp;IF($AO406="",IFERROR(VLOOKUP($AC406,CODES,2,FALSE),""),IFERROR(VLOOKUP($AO406,CODES,2,FALSE),""))&amp;" "&amp;IFERROR(VLOOKUP($AP406,CODES,2,FALSE),"")&amp;IF(OR($AQ406="",$AQ406="-"),""," SEAM "&amp;$AQ406)&amp;IF($AR406="Y"," ASTRAGAL","")&amp;IF($AJ406=""," "," "&amp;$AJ406)&amp;IF($AK406=""," "," "&amp;$AK406)&amp;IF(OR($AT406="",$AT406="ANSI/SDI",$AT406="CUSTOM LOC"),""," "&amp;$AT406)&amp;IF($AM406=""," "," SERIES "&amp;$AM406)&amp;" "&amp;IFERROR(VLOOKUP($H406,CODES,2,FALSE),"")&amp;IF($CT406," | LOC "&amp;$CZ406,"")))</f>
        <v/>
      </c>
      <c r="CL406" s="84">
        <f>IF(CP406="","",IF(COUNTIF($CP$6:CP406,CP406)=1,MAX($CL$5:CL405)+1,INDEX($CL$5:CL405,MATCH(CP406,$CP$5:CP405,0))))</f>
        <v/>
      </c>
      <c r="CM406" s="84">
        <f>IF(NOT(AND($A406&lt;&gt;"",$C406&lt;&gt;"DOOR ONLY")),"",MAX($CM$5:CM405)+1)</f>
        <v/>
      </c>
      <c r="CN406" s="84">
        <f>IF(NOT(AND($A406&lt;&gt;"",N($BJ406)&gt;0)),"",MAX($CN$5:CN405)+1)</f>
        <v/>
      </c>
      <c r="CO406" s="84">
        <f>IF($A406="","",MAX($CO$5:CO405)+1)</f>
        <v/>
      </c>
      <c r="CP406" s="84">
        <f>IF(OR($A406="",$BH406="",$BI406=""),"",$BG406&amp;"|"&amp;$O406&amp;"|"&amp;$AL406&amp;"|"&amp;$S406&amp;"|"&amp;$P406&amp;"|"&amp;$Q406&amp;$R406&amp;"|"&amp;$C406&amp;"|"&amp;$AB406)</f>
        <v/>
      </c>
      <c r="CQ406" s="84">
        <f>N($BS406)</f>
        <v/>
      </c>
      <c r="CR406" s="84">
        <f>IF(N($AU406)&gt;0,N($AU406),4.5)</f>
        <v/>
      </c>
      <c r="CS406" s="84">
        <f>OR($A406="",$BI406="",$S406="BL",AND($C406="FRAME ONLY",OR($AC406="",$AC406="BLK")))</f>
        <v/>
      </c>
      <c r="CT406" s="84">
        <f>AND(NOT($CS406),OR($AT406="CUSTOM LOC",N($AW406)+N($AX406)+N($AY406)+N($AZ406)+N($BA406)&gt;0))</f>
        <v/>
      </c>
      <c r="CU406" s="84">
        <f>IF($BI406="","",IF($BI406&lt;=80,80,IF($BI406&lt;=84,84,96)))</f>
        <v/>
      </c>
      <c r="CV406" s="84">
        <f>ISNUMBER(MATCH($AT406&amp;"|80",LocKeys,0))</f>
        <v/>
      </c>
      <c r="CW406" s="86">
        <f>IF($CS406,"",IF($CV406,VLOOKUP($AT406&amp;"|"&amp;$CU406,LocTable,4,FALSE),5))</f>
        <v/>
      </c>
      <c r="CX406" s="86">
        <f>IF($CS406,"",IF($CV406,IF(OR($BI406=$CU406,AND($BI406&lt;$CU406,$BI406-IF(N(VLOOKUP($AT406&amp;"|"&amp;$CU406,LocTable,7,FALSE))&gt;0,VLOOKUP($AT406&amp;"|"&amp;$CU406,LocTable,7,FALSE),VLOOKUP($AT406&amp;"|"&amp;$CU406,LocTable,6,FALSE))-$CR406-0.75&gt;=2.125)),IF(N(VLOOKUP($AT406&amp;"|"&amp;$CU406,LocTable,7,FALSE))&gt;0,VLOOKUP($AT406&amp;"|"&amp;$CU406,LocTable,7,FALSE),VLOOKUP($AT406&amp;"|"&amp;$CU406,LocTable,6,FALSE)),$BI406-($CU406-IF(N(VLOOKUP($AT406&amp;"|"&amp;$CU406,LocTable,7,FALSE))&gt;0,VLOOKUP($AT406&amp;"|"&amp;$CU406,LocTable,7,FALSE),VLOOKUP($AT406&amp;"|"&amp;$CU406,LocTable,6,FALSE)))),$BI406-10-$CR406))</f>
        <v/>
      </c>
      <c r="CY406" s="85">
        <f>IF($CS406,"",TRIM(IF(ISNUMBER($BU406),"A "&amp;TRIM(TEXT($BU406,"# ?/??"))&amp;CHAR(34)&amp;"  ","")&amp;IF(ISNUMBER($BV406),"B "&amp;TRIM(TEXT($BV406,"# ?/??"))&amp;CHAR(34)&amp;"  ","")&amp;IF(ISNUMBER($BW406),"C "&amp;TRIM(TEXT($BW406,"# ?/??"))&amp;CHAR(34)&amp;"  ","")&amp;IF(ISNUMBER($BX406),"D "&amp;TRIM(TEXT($BX406,"# ?/??"))&amp;CHAR(34)&amp;"  ","")&amp;IF(ISNUMBER($BY406),"F "&amp;TRIM(TEXT($BY406,"# ?/??"))&amp;CHAR(34)&amp;"  ","")&amp;IF(ISNUMBER($BZ406),"E "&amp;TRIM(TEXT($BZ406,"# ?/??"))&amp;CHAR(34)&amp;"  ","")))</f>
        <v/>
      </c>
      <c r="CZ406" s="85">
        <f>IF(OR($CS406,N($BJ406)=0),"",TRIM(IF(ISNUMBER($BU406),"A "&amp;TRIM(TEXT($BU406-HeadClr,"# ?/??"))&amp;CHAR(34)&amp;"  ","")&amp;IF(ISNUMBER($BV406),"B "&amp;TRIM(TEXT($BV406-HeadClr,"# ?/??"))&amp;CHAR(34)&amp;"  ","")&amp;IF(ISNUMBER($BW406),"C "&amp;TRIM(TEXT($BW406-HeadClr,"# ?/??"))&amp;CHAR(34)&amp;"  ","")&amp;IF(ISNUMBER($BX406),"D "&amp;TRIM(TEXT($BX406-HeadClr,"# ?/??"))&amp;CHAR(34)&amp;"  ","")&amp;IF(ISNUMBER($BY406),"F "&amp;TRIM(TEXT($BY406-HeadClr,"# ?/??"))&amp;CHAR(34)&amp;"  ","")&amp;IF(ISNUMBER($BZ406),"E "&amp;TRIM(TEXT($BZ406-HeadClr,"# ?/??"))&amp;CHAR(34)&amp;"  ","")))</f>
        <v/>
      </c>
      <c r="DA406" s="84">
        <f>IF($A406="","",IF($AN406="",IFERROR(VLOOKUP($Z406,CODES,2,FALSE),""),IFERROR(VLOOKUP($AN406,CODES,2,FALSE),"")))</f>
        <v/>
      </c>
      <c r="DB406" s="84">
        <f>IF($A406="","",IF($O406="Y","PR",IF(OR($Z406="L",$Z406="RR",LEFT($Z406,2)="L-",LEFT($Z406,3)="RR-"),"LH","RH")))</f>
        <v/>
      </c>
      <c r="DC406" s="84">
        <f>IF($A406="","","S.HM"&amp;IF(OR($C406="DOOR ONLY",$X406&lt;&gt;"KD"),"MASONRY","DRYWALL")&amp;IF($C406="DOOR ONLY","",$U406)&amp;IF(AND($C406&lt;&gt;"FRAME ONLY",OR(LEFT($AH406,3)="OAK",LEFT($AH406,3)="BIR",LEFT($AH406,3)="MAP",$AH406="PC",$AH406="MC",$AH406="SCLC",$AH406="P-LAM")),"WD","HM")&amp;"1.75")</f>
        <v/>
      </c>
      <c r="DD406" s="84">
        <f>IF($CJ406="","",IF($O406="Y",$CJ406,SUBSTITUTE($CJ406,$BG406&amp;" "&amp;IFERROR(VLOOKUP($Z406,CODES,2,FALSE),"")&amp;" ",$BG406&amp;" ")))</f>
        <v/>
      </c>
      <c r="DE406" s="84">
        <f>IF($CK406="","",IF($O406="Y",$CK406,SUBSTITUTE($CK406,$BG406&amp;" "&amp;IF($AN406="",IFERROR(VLOOKUP($Z406,CODES,2,FALSE),""),IFERROR(VLOOKUP($AN406,CODES,2,FALSE),""))&amp;" ",$BG406&amp;" ")))</f>
        <v/>
      </c>
      <c r="DF406" s="84">
        <f>IF($CJ406="","",$DC406&amp;"|"&amp;$DD406&amp;"|"&amp;$DB406&amp;"|"&amp;$AT406&amp;"|"&amp;$V406&amp;"|"&amp;$Y406&amp;"|"&amp;$AB406)</f>
        <v/>
      </c>
      <c r="DG406" s="84">
        <f>IF(DF406="","",IF(COUNTIF($DF$6:DF406,DF406)=1,MAX($DG$5:DG405)+1,INDEX($DG$5:DG405,MATCH(DF406,$DF$5:DF405,0))))</f>
        <v/>
      </c>
      <c r="DH406" s="84">
        <f>IF($CK406="","",$DC406&amp;"|"&amp;$DE406&amp;"|"&amp;$AI406&amp;"|"&amp;$BK406&amp;"|"&amp;$BL406)</f>
        <v/>
      </c>
      <c r="DI406" s="84">
        <f>IF(DH406="","",IF(COUNTIF($DH$6:DH406,DH406)=1,MAX($DI$5:DI405)+1,INDEX($DI$5:DI405,MATCH(DH406,$DH$5:DH405,0))))</f>
        <v/>
      </c>
      <c r="DJ406" s="84">
        <f>IF($A406="","",IF($B406="","qty, ","")&amp;IF($C406="","scope, ","")&amp;IF(OR($K406="",$M406=""),"size, ","")&amp;IF(AND($A406&lt;&gt;"",$C406&lt;&gt;"DOOR ONLY"),IF($U406="","jamb depth, ","")&amp;IF($X406="","construction, ","")&amp;IF($Y406="","anchor, ","")&amp;IF($S406="","frame type, ",""),"")&amp;IF(AND(N($BJ406)&gt;0,$Z406=""),"hand, ","")&amp;IF(N($BJ406)&gt;0,IF($AH406="","door material, ","")&amp;IF($AL406="","face type, ","")&amp;IF($AP406="","lock prep, ","")&amp;IF(AND($AO406="",$AC406=""),"hinge prep, ",""),"")&amp;IF(AND($CH406&gt;0,$AH406="FRP"),"FRP cannot carry a label, ","")&amp;IF(AND($O406="Y",OR($Z406="L",$Z406="R",$Z406="LR",$Z406="RR")),"pair marked but hand is single, ","")&amp;IF(AND($O406&lt;&gt;"Y",OR($Z406="PR",AND(LEN($Z406)&gt;1,ISNUMBER(SEARCH("-",$Z406))))),"pair hand on a single door, ","")&amp;IF(AND(ISNUMBER($CI406),$CH406&lt;N($CI406)),"wall needs a "&amp;$CI406&amp;" min door, ","")&amp;IF(AND($CH406&gt;=180,AND(OR($CE406="FG",$CE406="HG",$CE406="FNV",$CE406="FV"),N($CF406)*N($CG406)&gt;100)),"180 min lite over 100 sq in, ","")&amp;IF(N($BK406)&gt;48,"leaf wider than 4'-0"&amp;CHAR(34)&amp;", ","")&amp;IF(AND($CT406,COUNT($AW406:$AZ406)=0,$CQ406&gt;0),"CUSTOM LOC with no locations typed, ",""))</f>
        <v/>
      </c>
      <c r="DK406" s="84">
        <f>IF($A406="","",IF(AND($CH406&gt;0,AND($A406&lt;&gt;"",$C406&lt;&gt;"DOOR ONLY"),$X406="KD",$E406="EXTERIOR"),"KD label on an exterior opening, ","")&amp;IF(AND($E406="EXTERIOR",OR(AND(AND($A406&lt;&gt;"",$C406&lt;&gt;"DOOR ONLY"),$W406="CR"),AND(N($BJ406)&gt;0,$AH406="CR"))),"exterior in CR steel (G9?), ","")&amp;IF(AND(ISNUMBER($BQ406),N($BQ406)&lt;32),"clear width ~"&amp;TEXT($BQ406,"0.0")&amp;CHAR(34)&amp;" under 32"&amp;CHAR(34)&amp;" (ADA), ","")&amp;IF(AND($CH406=90,AND(OR($CE406="FG",$CE406="HG",$CE406="FNV",$CE406="FV"),N($CF406)*N($CG406)&gt;100)),"90 min lite over 100 sq in (stair/exit), ","")&amp;IF(AND($CH406&gt;0,AND($A406&lt;&gt;"",$C406&lt;&gt;"DOOR ONLY"),OR($AF406="",$AF406="-")),"rated: closer reinf.?, ","")&amp;IF(OR($I406="CORRIDOR",$I406="SMOKE BARRIER"),"S label + smoke gasketing, ","")&amp;IF($CI406="?","wall type/hr not in IBC table, ","")&amp;IF(AND(N($BJ406)&gt;0,$BB406=""),"no hardware set, ","")&amp;IF(AND($BB406&lt;&gt;"",ISNA(MATCH($BB406&amp;"",HWSets,0))),"set "&amp;$BB406&amp;" not on HW Sets, ","")&amp;IF(N($BL406)&gt;96,"leaf over 8'-0"&amp;CHAR(34)&amp;" - check listing, ","")&amp;IF(AND($CT406,COUNT($AW406:$AZ406)&gt;0,COUNT($AW406:$AZ406)&lt;&gt;$CQ406),COUNT($AW406:$AZ406)&amp;" custom hinges typed, "&amp;$CQ406&amp;" expected, ","")&amp;IF(AND(ISNUMBER($CA406),OR(N($CA406)&lt;34,N($CA406)&gt;48)),"lock "&amp;TEXT($CA406,"0.0")&amp;CHAR(34)&amp;" AFF outside 34-48"&amp;CHAR(34)&amp;" (ADA), ","")&amp;IF(AND(ISNUMBER($AV406),ISNUMBER($BL406),N($AV406)&lt;IF(N($BL406)&lt;=60,2,IF(N($BL406)&lt;=90,3,IF(N($BL406)&lt;=120,4,5)))),"fewer hinges than standard, ",""))</f>
        <v/>
      </c>
    </row>
    <row r="407" ht="15" customHeight="1">
      <c r="A407" s="77" t="n"/>
      <c r="B407" s="78" t="n"/>
      <c r="C407" s="78" t="n"/>
      <c r="D407" s="78" t="n"/>
      <c r="E407" s="78" t="n"/>
      <c r="F407" s="78" t="n"/>
      <c r="G407" s="78" t="n"/>
      <c r="H407" s="78" t="n"/>
      <c r="I407" s="78" t="n"/>
      <c r="J407" s="78" t="n"/>
      <c r="K407" s="78" t="n"/>
      <c r="L407" s="78" t="n"/>
      <c r="M407" s="78" t="n"/>
      <c r="N407" s="78" t="n"/>
      <c r="O407" s="78" t="n"/>
      <c r="P407" s="78" t="n"/>
      <c r="Q407" s="78" t="n"/>
      <c r="R407" s="78" t="n"/>
      <c r="S407" s="79" t="n"/>
      <c r="T407" s="79" t="n"/>
      <c r="U407" s="79" t="n"/>
      <c r="V407" s="79" t="n"/>
      <c r="W407" s="79" t="n"/>
      <c r="X407" s="79" t="n"/>
      <c r="Y407" s="79" t="n"/>
      <c r="Z407" s="79" t="n"/>
      <c r="AA407" s="79" t="n"/>
      <c r="AB407" s="79" t="n"/>
      <c r="AC407" s="79" t="n"/>
      <c r="AD407" s="79" t="n"/>
      <c r="AE407" s="79" t="n"/>
      <c r="AF407" s="79" t="n"/>
      <c r="AG407" s="79" t="n"/>
      <c r="AH407" s="80" t="n"/>
      <c r="AI407" s="80" t="n"/>
      <c r="AJ407" s="80" t="n"/>
      <c r="AK407" s="80" t="n"/>
      <c r="AL407" s="80" t="n"/>
      <c r="AM407" s="80" t="n"/>
      <c r="AN407" s="80" t="n"/>
      <c r="AO407" s="80" t="n"/>
      <c r="AP407" s="80" t="n"/>
      <c r="AQ407" s="80" t="n"/>
      <c r="AR407" s="80" t="n"/>
      <c r="AS407" s="80" t="n"/>
      <c r="AT407" s="81" t="n"/>
      <c r="AU407" s="81" t="n"/>
      <c r="AV407" s="81" t="n"/>
      <c r="AW407" s="82" t="n"/>
      <c r="AX407" s="82" t="n"/>
      <c r="AY407" s="82" t="n"/>
      <c r="AZ407" s="82" t="n"/>
      <c r="BA407" s="82" t="n"/>
      <c r="BB407" s="83" t="n"/>
      <c r="BC407" s="83" t="n"/>
      <c r="BD407" s="84">
        <f>IF($A407="","",IF($DJ407&lt;&gt;"","FIX",IF($DK407&lt;&gt;"","CHECK","OK")))</f>
        <v/>
      </c>
      <c r="BE407" s="85">
        <f>IF($A407="","",IF($DJ407&lt;&gt;"","FIX: "&amp;LEFT($DJ407,LEN($DJ407)-2)&amp;IF($DK407&lt;&gt;"","  ·  ",""),"")&amp;IF($DK407&lt;&gt;"","CHECK: "&amp;LEFT($DK407,LEN($DK407)-2),""))</f>
        <v/>
      </c>
      <c r="BF407" s="84">
        <f>IF(OR($A407="",$K407=""),"",$K407&amp;"'-"&amp;N($L407)&amp;CHAR(34)&amp;" x "&amp;$M407&amp;"'-"&amp;N($N407)&amp;CHAR(34))</f>
        <v/>
      </c>
      <c r="BG407" s="84">
        <f>IF(OR($A407="",$K407=""),"",$K407&amp;N($L407)&amp;$M407&amp;N($N407))</f>
        <v/>
      </c>
      <c r="BH407" s="84">
        <f>IF(OR($A407="",$K407=""),"",$K407*12+N($L407))</f>
        <v/>
      </c>
      <c r="BI407" s="84">
        <f>IF(OR($A407="",$M407=""),"",$M407*12+N($N407))</f>
        <v/>
      </c>
      <c r="BJ407" s="84">
        <f>IF($A407="","",IF(OR($C407="FRAME ONLY",$S407="BL"),0,IF($O407="Y",2,1)))</f>
        <v/>
      </c>
      <c r="BK407" s="86">
        <f>IF(OR(N($BJ407)=0,$BH407=""),"",($BH407-2*EdgeClr-IF($BJ407=2,MeetClr,0))/$BJ407)</f>
        <v/>
      </c>
      <c r="BL407" s="86">
        <f>IF(OR(N($BJ407)=0,$BI407=""),"",$BI407-HeadClr-Undercut)</f>
        <v/>
      </c>
      <c r="BM407" s="86">
        <f>IF($BH407="","",$BH407+2*FaceW+IF(N($Q407)&gt;0,($Q407+FaceW)*IF($R407="LR",2,1),0))</f>
        <v/>
      </c>
      <c r="BN407" s="86">
        <f>IF($BI407="","",$BI407+IF($AB407="Y",4,FaceW)+IF(N($P407)&gt;0,$P407+FaceW,0)+IF(OR($S407="4F",$S407="BL"),FaceW,0))</f>
        <v/>
      </c>
      <c r="BO407" s="86">
        <f>IF($BM407="","",$BM407+2*ROSide)</f>
        <v/>
      </c>
      <c r="BP407" s="86">
        <f>IF($BN407="","",$BN407+ROTop)</f>
        <v/>
      </c>
      <c r="BQ407" s="87">
        <f>IF(OR(N($BJ407)=0,$BH407=""),"",$BH407/$BJ407-ClearDeduct)</f>
        <v/>
      </c>
      <c r="BR407" s="84">
        <f>IF(N($CH407)=0,"",IF($CH407&gt;=180,"A · 3 HR",IF($CH407&gt;=90,"B · 1-1/2 HR",IF($CH407&gt;=60,"B · 1 HR",IF($CH407&gt;=45,"C · 3/4 HR","20 MIN")))))&amp;IF(AND(N($CH407)&gt;0,OR($I407="CORRIDOR",$I407="SMOKE BARRIER"))," · S","")</f>
        <v/>
      </c>
      <c r="BS407" s="84">
        <f>IF($CS407,"",IF($AV407&lt;&gt;"",$AV407,IF(OR($AC407="HGC",$AO407="HGC"),"CONT",IF(($BI407-HeadClr-Undercut)&lt;=60,2,IF(($BI407-HeadClr-Undercut)&lt;=90,3,IF(($BI407-HeadClr-Undercut)&lt;=120,4,5))))))</f>
        <v/>
      </c>
      <c r="BT407" s="84">
        <f>IF($CS407,"",IF($CT407,"CUSTOM (typed)",IF($CV407,$AT407&amp;" "&amp;$CU407&amp;CHAR(34)&amp;IF($CU407&lt;&gt;$BI407,IF(AND($BI407&lt;$CU407,$BI407-IF(N(VLOOKUP($AT407&amp;"|"&amp;$CU407,LocTable,7,FALSE))&gt;0,VLOOKUP($AT407&amp;"|"&amp;$CU407,LocTable,7,FALSE),VLOOKUP($AT407&amp;"|"&amp;$CU407,LocTable,6,FALSE))-$CR407-0.75&gt;=2.125)," cut down"," adj."),""),"ANSI/SDI A250.6")))</f>
        <v/>
      </c>
      <c r="BU407" s="88">
        <f>IF($CS407,"",IF($CT407,IF(N($AW407)&gt;0,N($AW407),""),IF(1&gt;$CQ407,"",IF($CQ407=1,$CW407,$CW407+($CX407-$CW407)*0/($CQ407-1)))))</f>
        <v/>
      </c>
      <c r="BV407" s="88">
        <f>IF($CS407,"",IF($CT407,IF(N($AX407)&gt;0,N($AX407),""),IF(2&gt;$CQ407,"",IF($CQ407=1,$CW407,$CW407+($CX407-$CW407)*1/($CQ407-1)))))</f>
        <v/>
      </c>
      <c r="BW407" s="88">
        <f>IF($CS407,"",IF($CT407,IF(N($AY407)&gt;0,N($AY407),""),IF(3&gt;$CQ407,"",IF($CQ407=1,$CW407,$CW407+($CX407-$CW407)*2/($CQ407-1)))))</f>
        <v/>
      </c>
      <c r="BX407" s="88">
        <f>IF($CS407,"",IF($CT407,IF(N($AZ407)&gt;0,N($AZ407),""),IF(4&gt;$CQ407,"",IF($CQ407=1,$CW407,$CW407+($CX407-$CW407)*3/($CQ407-1)))))</f>
        <v/>
      </c>
      <c r="BY407" s="88">
        <f>IF($CS407,"",IF($CT407,"",IF(5&gt;$CQ407,"",IF($CQ407=1,$CW407,$CW407+($CX407-$CW407)*4/($CQ407-1)))))</f>
        <v/>
      </c>
      <c r="BZ407" s="88">
        <f>IF(OR($CS407,$AP407="-",AND($AP407="",$AD407="")),"",IF(N($BA407)&gt;0,N($BA407),IF($CV407,IF(AND($BI407&lt;$CU407,$BI407-IF(N(VLOOKUP($AT407&amp;"|"&amp;$CU407,LocTable,7,FALSE))&gt;0,VLOOKUP($AT407&amp;"|"&amp;$CU407,LocTable,7,FALSE),VLOOKUP($AT407&amp;"|"&amp;$CU407,LocTable,6,FALSE))-$CR407-0.75&gt;=2.125),VLOOKUP($AT407&amp;"|"&amp;$CU407,LocTable,8,FALSE),VLOOKUP($AT407&amp;"|"&amp;$CU407,LocTable,8,FALSE)+($BI407-$CU407)),$BI407-LockAFF)))</f>
        <v/>
      </c>
      <c r="CA407" s="89">
        <f>IF($BZ407="","",$BI407-$BZ407)</f>
        <v/>
      </c>
      <c r="CB407" s="84">
        <f>IF(OR(NOT(AND($A407&lt;&gt;"",$C407&lt;&gt;"DOOR ONLY")),$BI407=""),"",IF(($BI407+IF(N($P407)&gt;0,$P407+FaceW,0))&lt;=90,3,IF(($BI407+IF(N($P407)&gt;0,$P407+FaceW,0))&lt;=114,4,5)))</f>
        <v/>
      </c>
      <c r="CC407" s="84">
        <f>IF($CB407="","",$CB407*(2+IF(N($Q407)&gt;0,IF($R407="LR",2,1),0)))</f>
        <v/>
      </c>
      <c r="CD407" s="84">
        <f>IF($CB407="","",(2+IF(N($Q407)&gt;0,IF($R407="LR",2,1),0)))</f>
        <v/>
      </c>
      <c r="CE407" s="84">
        <f>IF(N($BJ407)=0,"",IF(OR($AL407="",$AL407="FLUSH"),"FLUSH",IFERROR(LEFT($AL407,FIND("-",$AL407)-1),LEFT($AL407,2))))</f>
        <v/>
      </c>
      <c r="CF407" s="84">
        <f>IF($CE407="","",IFERROR(VALUE(MID($AL407,FIND("-",$AL407)+1,FIND(CHAR(34)&amp;"x",$AL407)-FIND("-",$AL407)-1)),0))</f>
        <v/>
      </c>
      <c r="CG407" s="84">
        <f>IF($CE407="","",IFERROR(VALUE(MID($AL407,FIND(CHAR(34)&amp;"x",$AL407)+2,FIND(CHAR(34),$AL407,FIND(CHAR(34)&amp;"x",$AL407)+2)-FIND(CHAR(34)&amp;"x",$AL407)-2)),0))</f>
        <v/>
      </c>
      <c r="CH407" s="90">
        <f>IF(OR($A407="",$H407="",$H407="NO LAB"),0,IFERROR(VALUE(LEFT($H407,FIND(" ",$H407)-1)),0))</f>
        <v/>
      </c>
      <c r="CI407" s="91">
        <f>IF(OR($A407="",$I407="",$I407="NON-RATED",N($J407)=0),"",IFERROR(VLOOKUP($I407&amp;"|"&amp;$J407,IBC,2,FALSE),"?"))</f>
        <v/>
      </c>
      <c r="CJ407" s="85">
        <f>IF(NOT(AND($A407&lt;&gt;"",$C407&lt;&gt;"DOOR ONLY")),"",TRIM(IFERROR(VLOOKUP($U407,CODES,2,FALSE),"")&amp;" "&amp;$BG407&amp;" "&amp;IFERROR(VLOOKUP($Z407,CODES,2,FALSE),"")&amp;" "&amp;IFERROR(VLOOKUP($X407,CODES,2,FALSE),"")&amp;" "&amp;IFERROR(VLOOKUP($S407,CODES,2,FALSE),"")&amp;IF(N($P407)&gt;0," w/TRANSOM "&amp;$P407&amp;CHAR(34),"")&amp;IF(N($Q407)&gt;0," w/SIDELITE "&amp;$Q407&amp;CHAR(34)&amp;" "&amp;IF($R407="","R",$R407),"")&amp;IF($Y407="","  |  "," | "&amp;IFERROR(VLOOKUP($Y407,CODES,2,FALSE),"")&amp;" | ")&amp;IFERROR(VLOOKUP($AC407,CODES,2,FALSE),"")&amp;" "&amp;IFERROR(VLOOKUP($AD407,CODES,2,FALSE),"")&amp;IF(OR($AE407="",$AE407="-"),""," "&amp;$AE407)&amp;IF(OR($AF407="",$AF407="-"),""," "&amp;$AF407)&amp;IF($AB407="Y"," 4"&amp;CHAR(34)&amp;" HEAD","")&amp;" "&amp;IFERROR(VLOOKUP($H407,CODES,2,FALSE),"")&amp;IF($CT407," | LOC "&amp;$CY407,"")))</f>
        <v/>
      </c>
      <c r="CK407" s="85">
        <f>IF(NOT(AND($A407&lt;&gt;"",N($BJ407)&gt;0)),"",TRIM(IFERROR(VLOOKUP($AH407,CODES,2,FALSE),"")&amp;IF($AI407=""," "," "&amp;$AI407&amp;"GA ")&amp;$BG407&amp;" "&amp;IF($AN407="",IFERROR(VLOOKUP($Z407,CODES,2,FALSE),""),IFERROR(VLOOKUP($AN407,CODES,2,FALSE),""))&amp;IF($BJ407=2," PAIR","")&amp;" DOOR | "&amp;IF($AL407="","?",$AL407)&amp;" | "&amp;IF($AO407="",IFERROR(VLOOKUP($AC407,CODES,2,FALSE),""),IFERROR(VLOOKUP($AO407,CODES,2,FALSE),""))&amp;" "&amp;IFERROR(VLOOKUP($AP407,CODES,2,FALSE),"")&amp;IF(OR($AQ407="",$AQ407="-"),""," SEAM "&amp;$AQ407)&amp;IF($AR407="Y"," ASTRAGAL","")&amp;IF($AJ407=""," "," "&amp;$AJ407)&amp;IF($AK407=""," "," "&amp;$AK407)&amp;IF(OR($AT407="",$AT407="ANSI/SDI",$AT407="CUSTOM LOC"),""," "&amp;$AT407)&amp;IF($AM407=""," "," SERIES "&amp;$AM407)&amp;" "&amp;IFERROR(VLOOKUP($H407,CODES,2,FALSE),"")&amp;IF($CT407," | LOC "&amp;$CZ407,"")))</f>
        <v/>
      </c>
      <c r="CL407" s="84">
        <f>IF(CP407="","",IF(COUNTIF($CP$6:CP407,CP407)=1,MAX($CL$5:CL406)+1,INDEX($CL$5:CL406,MATCH(CP407,$CP$5:CP406,0))))</f>
        <v/>
      </c>
      <c r="CM407" s="84">
        <f>IF(NOT(AND($A407&lt;&gt;"",$C407&lt;&gt;"DOOR ONLY")),"",MAX($CM$5:CM406)+1)</f>
        <v/>
      </c>
      <c r="CN407" s="84">
        <f>IF(NOT(AND($A407&lt;&gt;"",N($BJ407)&gt;0)),"",MAX($CN$5:CN406)+1)</f>
        <v/>
      </c>
      <c r="CO407" s="84">
        <f>IF($A407="","",MAX($CO$5:CO406)+1)</f>
        <v/>
      </c>
      <c r="CP407" s="84">
        <f>IF(OR($A407="",$BH407="",$BI407=""),"",$BG407&amp;"|"&amp;$O407&amp;"|"&amp;$AL407&amp;"|"&amp;$S407&amp;"|"&amp;$P407&amp;"|"&amp;$Q407&amp;$R407&amp;"|"&amp;$C407&amp;"|"&amp;$AB407)</f>
        <v/>
      </c>
      <c r="CQ407" s="84">
        <f>N($BS407)</f>
        <v/>
      </c>
      <c r="CR407" s="84">
        <f>IF(N($AU407)&gt;0,N($AU407),4.5)</f>
        <v/>
      </c>
      <c r="CS407" s="84">
        <f>OR($A407="",$BI407="",$S407="BL",AND($C407="FRAME ONLY",OR($AC407="",$AC407="BLK")))</f>
        <v/>
      </c>
      <c r="CT407" s="84">
        <f>AND(NOT($CS407),OR($AT407="CUSTOM LOC",N($AW407)+N($AX407)+N($AY407)+N($AZ407)+N($BA407)&gt;0))</f>
        <v/>
      </c>
      <c r="CU407" s="84">
        <f>IF($BI407="","",IF($BI407&lt;=80,80,IF($BI407&lt;=84,84,96)))</f>
        <v/>
      </c>
      <c r="CV407" s="84">
        <f>ISNUMBER(MATCH($AT407&amp;"|80",LocKeys,0))</f>
        <v/>
      </c>
      <c r="CW407" s="86">
        <f>IF($CS407,"",IF($CV407,VLOOKUP($AT407&amp;"|"&amp;$CU407,LocTable,4,FALSE),5))</f>
        <v/>
      </c>
      <c r="CX407" s="86">
        <f>IF($CS407,"",IF($CV407,IF(OR($BI407=$CU407,AND($BI407&lt;$CU407,$BI407-IF(N(VLOOKUP($AT407&amp;"|"&amp;$CU407,LocTable,7,FALSE))&gt;0,VLOOKUP($AT407&amp;"|"&amp;$CU407,LocTable,7,FALSE),VLOOKUP($AT407&amp;"|"&amp;$CU407,LocTable,6,FALSE))-$CR407-0.75&gt;=2.125)),IF(N(VLOOKUP($AT407&amp;"|"&amp;$CU407,LocTable,7,FALSE))&gt;0,VLOOKUP($AT407&amp;"|"&amp;$CU407,LocTable,7,FALSE),VLOOKUP($AT407&amp;"|"&amp;$CU407,LocTable,6,FALSE)),$BI407-($CU407-IF(N(VLOOKUP($AT407&amp;"|"&amp;$CU407,LocTable,7,FALSE))&gt;0,VLOOKUP($AT407&amp;"|"&amp;$CU407,LocTable,7,FALSE),VLOOKUP($AT407&amp;"|"&amp;$CU407,LocTable,6,FALSE)))),$BI407-10-$CR407))</f>
        <v/>
      </c>
      <c r="CY407" s="85">
        <f>IF($CS407,"",TRIM(IF(ISNUMBER($BU407),"A "&amp;TRIM(TEXT($BU407,"# ?/??"))&amp;CHAR(34)&amp;"  ","")&amp;IF(ISNUMBER($BV407),"B "&amp;TRIM(TEXT($BV407,"# ?/??"))&amp;CHAR(34)&amp;"  ","")&amp;IF(ISNUMBER($BW407),"C "&amp;TRIM(TEXT($BW407,"# ?/??"))&amp;CHAR(34)&amp;"  ","")&amp;IF(ISNUMBER($BX407),"D "&amp;TRIM(TEXT($BX407,"# ?/??"))&amp;CHAR(34)&amp;"  ","")&amp;IF(ISNUMBER($BY407),"F "&amp;TRIM(TEXT($BY407,"# ?/??"))&amp;CHAR(34)&amp;"  ","")&amp;IF(ISNUMBER($BZ407),"E "&amp;TRIM(TEXT($BZ407,"# ?/??"))&amp;CHAR(34)&amp;"  ","")))</f>
        <v/>
      </c>
      <c r="CZ407" s="85">
        <f>IF(OR($CS407,N($BJ407)=0),"",TRIM(IF(ISNUMBER($BU407),"A "&amp;TRIM(TEXT($BU407-HeadClr,"# ?/??"))&amp;CHAR(34)&amp;"  ","")&amp;IF(ISNUMBER($BV407),"B "&amp;TRIM(TEXT($BV407-HeadClr,"# ?/??"))&amp;CHAR(34)&amp;"  ","")&amp;IF(ISNUMBER($BW407),"C "&amp;TRIM(TEXT($BW407-HeadClr,"# ?/??"))&amp;CHAR(34)&amp;"  ","")&amp;IF(ISNUMBER($BX407),"D "&amp;TRIM(TEXT($BX407-HeadClr,"# ?/??"))&amp;CHAR(34)&amp;"  ","")&amp;IF(ISNUMBER($BY407),"F "&amp;TRIM(TEXT($BY407-HeadClr,"# ?/??"))&amp;CHAR(34)&amp;"  ","")&amp;IF(ISNUMBER($BZ407),"E "&amp;TRIM(TEXT($BZ407-HeadClr,"# ?/??"))&amp;CHAR(34)&amp;"  ","")))</f>
        <v/>
      </c>
      <c r="DA407" s="84">
        <f>IF($A407="","",IF($AN407="",IFERROR(VLOOKUP($Z407,CODES,2,FALSE),""),IFERROR(VLOOKUP($AN407,CODES,2,FALSE),"")))</f>
        <v/>
      </c>
      <c r="DB407" s="84">
        <f>IF($A407="","",IF($O407="Y","PR",IF(OR($Z407="L",$Z407="RR",LEFT($Z407,2)="L-",LEFT($Z407,3)="RR-"),"LH","RH")))</f>
        <v/>
      </c>
      <c r="DC407" s="84">
        <f>IF($A407="","","S.HM"&amp;IF(OR($C407="DOOR ONLY",$X407&lt;&gt;"KD"),"MASONRY","DRYWALL")&amp;IF($C407="DOOR ONLY","",$U407)&amp;IF(AND($C407&lt;&gt;"FRAME ONLY",OR(LEFT($AH407,3)="OAK",LEFT($AH407,3)="BIR",LEFT($AH407,3)="MAP",$AH407="PC",$AH407="MC",$AH407="SCLC",$AH407="P-LAM")),"WD","HM")&amp;"1.75")</f>
        <v/>
      </c>
      <c r="DD407" s="84">
        <f>IF($CJ407="","",IF($O407="Y",$CJ407,SUBSTITUTE($CJ407,$BG407&amp;" "&amp;IFERROR(VLOOKUP($Z407,CODES,2,FALSE),"")&amp;" ",$BG407&amp;" ")))</f>
        <v/>
      </c>
      <c r="DE407" s="84">
        <f>IF($CK407="","",IF($O407="Y",$CK407,SUBSTITUTE($CK407,$BG407&amp;" "&amp;IF($AN407="",IFERROR(VLOOKUP($Z407,CODES,2,FALSE),""),IFERROR(VLOOKUP($AN407,CODES,2,FALSE),""))&amp;" ",$BG407&amp;" ")))</f>
        <v/>
      </c>
      <c r="DF407" s="84">
        <f>IF($CJ407="","",$DC407&amp;"|"&amp;$DD407&amp;"|"&amp;$DB407&amp;"|"&amp;$AT407&amp;"|"&amp;$V407&amp;"|"&amp;$Y407&amp;"|"&amp;$AB407)</f>
        <v/>
      </c>
      <c r="DG407" s="84">
        <f>IF(DF407="","",IF(COUNTIF($DF$6:DF407,DF407)=1,MAX($DG$5:DG406)+1,INDEX($DG$5:DG406,MATCH(DF407,$DF$5:DF406,0))))</f>
        <v/>
      </c>
      <c r="DH407" s="84">
        <f>IF($CK407="","",$DC407&amp;"|"&amp;$DE407&amp;"|"&amp;$AI407&amp;"|"&amp;$BK407&amp;"|"&amp;$BL407)</f>
        <v/>
      </c>
      <c r="DI407" s="84">
        <f>IF(DH407="","",IF(COUNTIF($DH$6:DH407,DH407)=1,MAX($DI$5:DI406)+1,INDEX($DI$5:DI406,MATCH(DH407,$DH$5:DH406,0))))</f>
        <v/>
      </c>
      <c r="DJ407" s="84">
        <f>IF($A407="","",IF($B407="","qty, ","")&amp;IF($C407="","scope, ","")&amp;IF(OR($K407="",$M407=""),"size, ","")&amp;IF(AND($A407&lt;&gt;"",$C407&lt;&gt;"DOOR ONLY"),IF($U407="","jamb depth, ","")&amp;IF($X407="","construction, ","")&amp;IF($Y407="","anchor, ","")&amp;IF($S407="","frame type, ",""),"")&amp;IF(AND(N($BJ407)&gt;0,$Z407=""),"hand, ","")&amp;IF(N($BJ407)&gt;0,IF($AH407="","door material, ","")&amp;IF($AL407="","face type, ","")&amp;IF($AP407="","lock prep, ","")&amp;IF(AND($AO407="",$AC407=""),"hinge prep, ",""),"")&amp;IF(AND($CH407&gt;0,$AH407="FRP"),"FRP cannot carry a label, ","")&amp;IF(AND($O407="Y",OR($Z407="L",$Z407="R",$Z407="LR",$Z407="RR")),"pair marked but hand is single, ","")&amp;IF(AND($O407&lt;&gt;"Y",OR($Z407="PR",AND(LEN($Z407)&gt;1,ISNUMBER(SEARCH("-",$Z407))))),"pair hand on a single door, ","")&amp;IF(AND(ISNUMBER($CI407),$CH407&lt;N($CI407)),"wall needs a "&amp;$CI407&amp;" min door, ","")&amp;IF(AND($CH407&gt;=180,AND(OR($CE407="FG",$CE407="HG",$CE407="FNV",$CE407="FV"),N($CF407)*N($CG407)&gt;100)),"180 min lite over 100 sq in, ","")&amp;IF(N($BK407)&gt;48,"leaf wider than 4'-0"&amp;CHAR(34)&amp;", ","")&amp;IF(AND($CT407,COUNT($AW407:$AZ407)=0,$CQ407&gt;0),"CUSTOM LOC with no locations typed, ",""))</f>
        <v/>
      </c>
      <c r="DK407" s="84">
        <f>IF($A407="","",IF(AND($CH407&gt;0,AND($A407&lt;&gt;"",$C407&lt;&gt;"DOOR ONLY"),$X407="KD",$E407="EXTERIOR"),"KD label on an exterior opening, ","")&amp;IF(AND($E407="EXTERIOR",OR(AND(AND($A407&lt;&gt;"",$C407&lt;&gt;"DOOR ONLY"),$W407="CR"),AND(N($BJ407)&gt;0,$AH407="CR"))),"exterior in CR steel (G9?), ","")&amp;IF(AND(ISNUMBER($BQ407),N($BQ407)&lt;32),"clear width ~"&amp;TEXT($BQ407,"0.0")&amp;CHAR(34)&amp;" under 32"&amp;CHAR(34)&amp;" (ADA), ","")&amp;IF(AND($CH407=90,AND(OR($CE407="FG",$CE407="HG",$CE407="FNV",$CE407="FV"),N($CF407)*N($CG407)&gt;100)),"90 min lite over 100 sq in (stair/exit), ","")&amp;IF(AND($CH407&gt;0,AND($A407&lt;&gt;"",$C407&lt;&gt;"DOOR ONLY"),OR($AF407="",$AF407="-")),"rated: closer reinf.?, ","")&amp;IF(OR($I407="CORRIDOR",$I407="SMOKE BARRIER"),"S label + smoke gasketing, ","")&amp;IF($CI407="?","wall type/hr not in IBC table, ","")&amp;IF(AND(N($BJ407)&gt;0,$BB407=""),"no hardware set, ","")&amp;IF(AND($BB407&lt;&gt;"",ISNA(MATCH($BB407&amp;"",HWSets,0))),"set "&amp;$BB407&amp;" not on HW Sets, ","")&amp;IF(N($BL407)&gt;96,"leaf over 8'-0"&amp;CHAR(34)&amp;" - check listing, ","")&amp;IF(AND($CT407,COUNT($AW407:$AZ407)&gt;0,COUNT($AW407:$AZ407)&lt;&gt;$CQ407),COUNT($AW407:$AZ407)&amp;" custom hinges typed, "&amp;$CQ407&amp;" expected, ","")&amp;IF(AND(ISNUMBER($CA407),OR(N($CA407)&lt;34,N($CA407)&gt;48)),"lock "&amp;TEXT($CA407,"0.0")&amp;CHAR(34)&amp;" AFF outside 34-48"&amp;CHAR(34)&amp;" (ADA), ","")&amp;IF(AND(ISNUMBER($AV407),ISNUMBER($BL407),N($AV407)&lt;IF(N($BL407)&lt;=60,2,IF(N($BL407)&lt;=90,3,IF(N($BL407)&lt;=120,4,5)))),"fewer hinges than standard, ",""))</f>
        <v/>
      </c>
    </row>
    <row r="408" ht="15" customHeight="1">
      <c r="A408" s="77" t="n"/>
      <c r="B408" s="78" t="n"/>
      <c r="C408" s="78" t="n"/>
      <c r="D408" s="78" t="n"/>
      <c r="E408" s="78" t="n"/>
      <c r="F408" s="78" t="n"/>
      <c r="G408" s="78" t="n"/>
      <c r="H408" s="78" t="n"/>
      <c r="I408" s="78" t="n"/>
      <c r="J408" s="78" t="n"/>
      <c r="K408" s="78" t="n"/>
      <c r="L408" s="78" t="n"/>
      <c r="M408" s="78" t="n"/>
      <c r="N408" s="78" t="n"/>
      <c r="O408" s="78" t="n"/>
      <c r="P408" s="78" t="n"/>
      <c r="Q408" s="78" t="n"/>
      <c r="R408" s="78" t="n"/>
      <c r="S408" s="79" t="n"/>
      <c r="T408" s="79" t="n"/>
      <c r="U408" s="79" t="n"/>
      <c r="V408" s="79" t="n"/>
      <c r="W408" s="79" t="n"/>
      <c r="X408" s="79" t="n"/>
      <c r="Y408" s="79" t="n"/>
      <c r="Z408" s="79" t="n"/>
      <c r="AA408" s="79" t="n"/>
      <c r="AB408" s="79" t="n"/>
      <c r="AC408" s="79" t="n"/>
      <c r="AD408" s="79" t="n"/>
      <c r="AE408" s="79" t="n"/>
      <c r="AF408" s="79" t="n"/>
      <c r="AG408" s="79" t="n"/>
      <c r="AH408" s="80" t="n"/>
      <c r="AI408" s="80" t="n"/>
      <c r="AJ408" s="80" t="n"/>
      <c r="AK408" s="80" t="n"/>
      <c r="AL408" s="80" t="n"/>
      <c r="AM408" s="80" t="n"/>
      <c r="AN408" s="80" t="n"/>
      <c r="AO408" s="80" t="n"/>
      <c r="AP408" s="80" t="n"/>
      <c r="AQ408" s="80" t="n"/>
      <c r="AR408" s="80" t="n"/>
      <c r="AS408" s="80" t="n"/>
      <c r="AT408" s="81" t="n"/>
      <c r="AU408" s="81" t="n"/>
      <c r="AV408" s="81" t="n"/>
      <c r="AW408" s="82" t="n"/>
      <c r="AX408" s="82" t="n"/>
      <c r="AY408" s="82" t="n"/>
      <c r="AZ408" s="82" t="n"/>
      <c r="BA408" s="82" t="n"/>
      <c r="BB408" s="83" t="n"/>
      <c r="BC408" s="83" t="n"/>
      <c r="BD408" s="84">
        <f>IF($A408="","",IF($DJ408&lt;&gt;"","FIX",IF($DK408&lt;&gt;"","CHECK","OK")))</f>
        <v/>
      </c>
      <c r="BE408" s="85">
        <f>IF($A408="","",IF($DJ408&lt;&gt;"","FIX: "&amp;LEFT($DJ408,LEN($DJ408)-2)&amp;IF($DK408&lt;&gt;"","  ·  ",""),"")&amp;IF($DK408&lt;&gt;"","CHECK: "&amp;LEFT($DK408,LEN($DK408)-2),""))</f>
        <v/>
      </c>
      <c r="BF408" s="84">
        <f>IF(OR($A408="",$K408=""),"",$K408&amp;"'-"&amp;N($L408)&amp;CHAR(34)&amp;" x "&amp;$M408&amp;"'-"&amp;N($N408)&amp;CHAR(34))</f>
        <v/>
      </c>
      <c r="BG408" s="84">
        <f>IF(OR($A408="",$K408=""),"",$K408&amp;N($L408)&amp;$M408&amp;N($N408))</f>
        <v/>
      </c>
      <c r="BH408" s="84">
        <f>IF(OR($A408="",$K408=""),"",$K408*12+N($L408))</f>
        <v/>
      </c>
      <c r="BI408" s="84">
        <f>IF(OR($A408="",$M408=""),"",$M408*12+N($N408))</f>
        <v/>
      </c>
      <c r="BJ408" s="84">
        <f>IF($A408="","",IF(OR($C408="FRAME ONLY",$S408="BL"),0,IF($O408="Y",2,1)))</f>
        <v/>
      </c>
      <c r="BK408" s="86">
        <f>IF(OR(N($BJ408)=0,$BH408=""),"",($BH408-2*EdgeClr-IF($BJ408=2,MeetClr,0))/$BJ408)</f>
        <v/>
      </c>
      <c r="BL408" s="86">
        <f>IF(OR(N($BJ408)=0,$BI408=""),"",$BI408-HeadClr-Undercut)</f>
        <v/>
      </c>
      <c r="BM408" s="86">
        <f>IF($BH408="","",$BH408+2*FaceW+IF(N($Q408)&gt;0,($Q408+FaceW)*IF($R408="LR",2,1),0))</f>
        <v/>
      </c>
      <c r="BN408" s="86">
        <f>IF($BI408="","",$BI408+IF($AB408="Y",4,FaceW)+IF(N($P408)&gt;0,$P408+FaceW,0)+IF(OR($S408="4F",$S408="BL"),FaceW,0))</f>
        <v/>
      </c>
      <c r="BO408" s="86">
        <f>IF($BM408="","",$BM408+2*ROSide)</f>
        <v/>
      </c>
      <c r="BP408" s="86">
        <f>IF($BN408="","",$BN408+ROTop)</f>
        <v/>
      </c>
      <c r="BQ408" s="87">
        <f>IF(OR(N($BJ408)=0,$BH408=""),"",$BH408/$BJ408-ClearDeduct)</f>
        <v/>
      </c>
      <c r="BR408" s="84">
        <f>IF(N($CH408)=0,"",IF($CH408&gt;=180,"A · 3 HR",IF($CH408&gt;=90,"B · 1-1/2 HR",IF($CH408&gt;=60,"B · 1 HR",IF($CH408&gt;=45,"C · 3/4 HR","20 MIN")))))&amp;IF(AND(N($CH408)&gt;0,OR($I408="CORRIDOR",$I408="SMOKE BARRIER"))," · S","")</f>
        <v/>
      </c>
      <c r="BS408" s="84">
        <f>IF($CS408,"",IF($AV408&lt;&gt;"",$AV408,IF(OR($AC408="HGC",$AO408="HGC"),"CONT",IF(($BI408-HeadClr-Undercut)&lt;=60,2,IF(($BI408-HeadClr-Undercut)&lt;=90,3,IF(($BI408-HeadClr-Undercut)&lt;=120,4,5))))))</f>
        <v/>
      </c>
      <c r="BT408" s="84">
        <f>IF($CS408,"",IF($CT408,"CUSTOM (typed)",IF($CV408,$AT408&amp;" "&amp;$CU408&amp;CHAR(34)&amp;IF($CU408&lt;&gt;$BI408,IF(AND($BI408&lt;$CU408,$BI408-IF(N(VLOOKUP($AT408&amp;"|"&amp;$CU408,LocTable,7,FALSE))&gt;0,VLOOKUP($AT408&amp;"|"&amp;$CU408,LocTable,7,FALSE),VLOOKUP($AT408&amp;"|"&amp;$CU408,LocTable,6,FALSE))-$CR408-0.75&gt;=2.125)," cut down"," adj."),""),"ANSI/SDI A250.6")))</f>
        <v/>
      </c>
      <c r="BU408" s="88">
        <f>IF($CS408,"",IF($CT408,IF(N($AW408)&gt;0,N($AW408),""),IF(1&gt;$CQ408,"",IF($CQ408=1,$CW408,$CW408+($CX408-$CW408)*0/($CQ408-1)))))</f>
        <v/>
      </c>
      <c r="BV408" s="88">
        <f>IF($CS408,"",IF($CT408,IF(N($AX408)&gt;0,N($AX408),""),IF(2&gt;$CQ408,"",IF($CQ408=1,$CW408,$CW408+($CX408-$CW408)*1/($CQ408-1)))))</f>
        <v/>
      </c>
      <c r="BW408" s="88">
        <f>IF($CS408,"",IF($CT408,IF(N($AY408)&gt;0,N($AY408),""),IF(3&gt;$CQ408,"",IF($CQ408=1,$CW408,$CW408+($CX408-$CW408)*2/($CQ408-1)))))</f>
        <v/>
      </c>
      <c r="BX408" s="88">
        <f>IF($CS408,"",IF($CT408,IF(N($AZ408)&gt;0,N($AZ408),""),IF(4&gt;$CQ408,"",IF($CQ408=1,$CW408,$CW408+($CX408-$CW408)*3/($CQ408-1)))))</f>
        <v/>
      </c>
      <c r="BY408" s="88">
        <f>IF($CS408,"",IF($CT408,"",IF(5&gt;$CQ408,"",IF($CQ408=1,$CW408,$CW408+($CX408-$CW408)*4/($CQ408-1)))))</f>
        <v/>
      </c>
      <c r="BZ408" s="88">
        <f>IF(OR($CS408,$AP408="-",AND($AP408="",$AD408="")),"",IF(N($BA408)&gt;0,N($BA408),IF($CV408,IF(AND($BI408&lt;$CU408,$BI408-IF(N(VLOOKUP($AT408&amp;"|"&amp;$CU408,LocTable,7,FALSE))&gt;0,VLOOKUP($AT408&amp;"|"&amp;$CU408,LocTable,7,FALSE),VLOOKUP($AT408&amp;"|"&amp;$CU408,LocTable,6,FALSE))-$CR408-0.75&gt;=2.125),VLOOKUP($AT408&amp;"|"&amp;$CU408,LocTable,8,FALSE),VLOOKUP($AT408&amp;"|"&amp;$CU408,LocTable,8,FALSE)+($BI408-$CU408)),$BI408-LockAFF)))</f>
        <v/>
      </c>
      <c r="CA408" s="89">
        <f>IF($BZ408="","",$BI408-$BZ408)</f>
        <v/>
      </c>
      <c r="CB408" s="84">
        <f>IF(OR(NOT(AND($A408&lt;&gt;"",$C408&lt;&gt;"DOOR ONLY")),$BI408=""),"",IF(($BI408+IF(N($P408)&gt;0,$P408+FaceW,0))&lt;=90,3,IF(($BI408+IF(N($P408)&gt;0,$P408+FaceW,0))&lt;=114,4,5)))</f>
        <v/>
      </c>
      <c r="CC408" s="84">
        <f>IF($CB408="","",$CB408*(2+IF(N($Q408)&gt;0,IF($R408="LR",2,1),0)))</f>
        <v/>
      </c>
      <c r="CD408" s="84">
        <f>IF($CB408="","",(2+IF(N($Q408)&gt;0,IF($R408="LR",2,1),0)))</f>
        <v/>
      </c>
      <c r="CE408" s="84">
        <f>IF(N($BJ408)=0,"",IF(OR($AL408="",$AL408="FLUSH"),"FLUSH",IFERROR(LEFT($AL408,FIND("-",$AL408)-1),LEFT($AL408,2))))</f>
        <v/>
      </c>
      <c r="CF408" s="84">
        <f>IF($CE408="","",IFERROR(VALUE(MID($AL408,FIND("-",$AL408)+1,FIND(CHAR(34)&amp;"x",$AL408)-FIND("-",$AL408)-1)),0))</f>
        <v/>
      </c>
      <c r="CG408" s="84">
        <f>IF($CE408="","",IFERROR(VALUE(MID($AL408,FIND(CHAR(34)&amp;"x",$AL408)+2,FIND(CHAR(34),$AL408,FIND(CHAR(34)&amp;"x",$AL408)+2)-FIND(CHAR(34)&amp;"x",$AL408)-2)),0))</f>
        <v/>
      </c>
      <c r="CH408" s="90">
        <f>IF(OR($A408="",$H408="",$H408="NO LAB"),0,IFERROR(VALUE(LEFT($H408,FIND(" ",$H408)-1)),0))</f>
        <v/>
      </c>
      <c r="CI408" s="91">
        <f>IF(OR($A408="",$I408="",$I408="NON-RATED",N($J408)=0),"",IFERROR(VLOOKUP($I408&amp;"|"&amp;$J408,IBC,2,FALSE),"?"))</f>
        <v/>
      </c>
      <c r="CJ408" s="85">
        <f>IF(NOT(AND($A408&lt;&gt;"",$C408&lt;&gt;"DOOR ONLY")),"",TRIM(IFERROR(VLOOKUP($U408,CODES,2,FALSE),"")&amp;" "&amp;$BG408&amp;" "&amp;IFERROR(VLOOKUP($Z408,CODES,2,FALSE),"")&amp;" "&amp;IFERROR(VLOOKUP($X408,CODES,2,FALSE),"")&amp;" "&amp;IFERROR(VLOOKUP($S408,CODES,2,FALSE),"")&amp;IF(N($P408)&gt;0," w/TRANSOM "&amp;$P408&amp;CHAR(34),"")&amp;IF(N($Q408)&gt;0," w/SIDELITE "&amp;$Q408&amp;CHAR(34)&amp;" "&amp;IF($R408="","R",$R408),"")&amp;IF($Y408="","  |  "," | "&amp;IFERROR(VLOOKUP($Y408,CODES,2,FALSE),"")&amp;" | ")&amp;IFERROR(VLOOKUP($AC408,CODES,2,FALSE),"")&amp;" "&amp;IFERROR(VLOOKUP($AD408,CODES,2,FALSE),"")&amp;IF(OR($AE408="",$AE408="-"),""," "&amp;$AE408)&amp;IF(OR($AF408="",$AF408="-"),""," "&amp;$AF408)&amp;IF($AB408="Y"," 4"&amp;CHAR(34)&amp;" HEAD","")&amp;" "&amp;IFERROR(VLOOKUP($H408,CODES,2,FALSE),"")&amp;IF($CT408," | LOC "&amp;$CY408,"")))</f>
        <v/>
      </c>
      <c r="CK408" s="85">
        <f>IF(NOT(AND($A408&lt;&gt;"",N($BJ408)&gt;0)),"",TRIM(IFERROR(VLOOKUP($AH408,CODES,2,FALSE),"")&amp;IF($AI408=""," "," "&amp;$AI408&amp;"GA ")&amp;$BG408&amp;" "&amp;IF($AN408="",IFERROR(VLOOKUP($Z408,CODES,2,FALSE),""),IFERROR(VLOOKUP($AN408,CODES,2,FALSE),""))&amp;IF($BJ408=2," PAIR","")&amp;" DOOR | "&amp;IF($AL408="","?",$AL408)&amp;" | "&amp;IF($AO408="",IFERROR(VLOOKUP($AC408,CODES,2,FALSE),""),IFERROR(VLOOKUP($AO408,CODES,2,FALSE),""))&amp;" "&amp;IFERROR(VLOOKUP($AP408,CODES,2,FALSE),"")&amp;IF(OR($AQ408="",$AQ408="-"),""," SEAM "&amp;$AQ408)&amp;IF($AR408="Y"," ASTRAGAL","")&amp;IF($AJ408=""," "," "&amp;$AJ408)&amp;IF($AK408=""," "," "&amp;$AK408)&amp;IF(OR($AT408="",$AT408="ANSI/SDI",$AT408="CUSTOM LOC"),""," "&amp;$AT408)&amp;IF($AM408=""," "," SERIES "&amp;$AM408)&amp;" "&amp;IFERROR(VLOOKUP($H408,CODES,2,FALSE),"")&amp;IF($CT408," | LOC "&amp;$CZ408,"")))</f>
        <v/>
      </c>
      <c r="CL408" s="84">
        <f>IF(CP408="","",IF(COUNTIF($CP$6:CP408,CP408)=1,MAX($CL$5:CL407)+1,INDEX($CL$5:CL407,MATCH(CP408,$CP$5:CP407,0))))</f>
        <v/>
      </c>
      <c r="CM408" s="84">
        <f>IF(NOT(AND($A408&lt;&gt;"",$C408&lt;&gt;"DOOR ONLY")),"",MAX($CM$5:CM407)+1)</f>
        <v/>
      </c>
      <c r="CN408" s="84">
        <f>IF(NOT(AND($A408&lt;&gt;"",N($BJ408)&gt;0)),"",MAX($CN$5:CN407)+1)</f>
        <v/>
      </c>
      <c r="CO408" s="84">
        <f>IF($A408="","",MAX($CO$5:CO407)+1)</f>
        <v/>
      </c>
      <c r="CP408" s="84">
        <f>IF(OR($A408="",$BH408="",$BI408=""),"",$BG408&amp;"|"&amp;$O408&amp;"|"&amp;$AL408&amp;"|"&amp;$S408&amp;"|"&amp;$P408&amp;"|"&amp;$Q408&amp;$R408&amp;"|"&amp;$C408&amp;"|"&amp;$AB408)</f>
        <v/>
      </c>
      <c r="CQ408" s="84">
        <f>N($BS408)</f>
        <v/>
      </c>
      <c r="CR408" s="84">
        <f>IF(N($AU408)&gt;0,N($AU408),4.5)</f>
        <v/>
      </c>
      <c r="CS408" s="84">
        <f>OR($A408="",$BI408="",$S408="BL",AND($C408="FRAME ONLY",OR($AC408="",$AC408="BLK")))</f>
        <v/>
      </c>
      <c r="CT408" s="84">
        <f>AND(NOT($CS408),OR($AT408="CUSTOM LOC",N($AW408)+N($AX408)+N($AY408)+N($AZ408)+N($BA408)&gt;0))</f>
        <v/>
      </c>
      <c r="CU408" s="84">
        <f>IF($BI408="","",IF($BI408&lt;=80,80,IF($BI408&lt;=84,84,96)))</f>
        <v/>
      </c>
      <c r="CV408" s="84">
        <f>ISNUMBER(MATCH($AT408&amp;"|80",LocKeys,0))</f>
        <v/>
      </c>
      <c r="CW408" s="86">
        <f>IF($CS408,"",IF($CV408,VLOOKUP($AT408&amp;"|"&amp;$CU408,LocTable,4,FALSE),5))</f>
        <v/>
      </c>
      <c r="CX408" s="86">
        <f>IF($CS408,"",IF($CV408,IF(OR($BI408=$CU408,AND($BI408&lt;$CU408,$BI408-IF(N(VLOOKUP($AT408&amp;"|"&amp;$CU408,LocTable,7,FALSE))&gt;0,VLOOKUP($AT408&amp;"|"&amp;$CU408,LocTable,7,FALSE),VLOOKUP($AT408&amp;"|"&amp;$CU408,LocTable,6,FALSE))-$CR408-0.75&gt;=2.125)),IF(N(VLOOKUP($AT408&amp;"|"&amp;$CU408,LocTable,7,FALSE))&gt;0,VLOOKUP($AT408&amp;"|"&amp;$CU408,LocTable,7,FALSE),VLOOKUP($AT408&amp;"|"&amp;$CU408,LocTable,6,FALSE)),$BI408-($CU408-IF(N(VLOOKUP($AT408&amp;"|"&amp;$CU408,LocTable,7,FALSE))&gt;0,VLOOKUP($AT408&amp;"|"&amp;$CU408,LocTable,7,FALSE),VLOOKUP($AT408&amp;"|"&amp;$CU408,LocTable,6,FALSE)))),$BI408-10-$CR408))</f>
        <v/>
      </c>
      <c r="CY408" s="85">
        <f>IF($CS408,"",TRIM(IF(ISNUMBER($BU408),"A "&amp;TRIM(TEXT($BU408,"# ?/??"))&amp;CHAR(34)&amp;"  ","")&amp;IF(ISNUMBER($BV408),"B "&amp;TRIM(TEXT($BV408,"# ?/??"))&amp;CHAR(34)&amp;"  ","")&amp;IF(ISNUMBER($BW408),"C "&amp;TRIM(TEXT($BW408,"# ?/??"))&amp;CHAR(34)&amp;"  ","")&amp;IF(ISNUMBER($BX408),"D "&amp;TRIM(TEXT($BX408,"# ?/??"))&amp;CHAR(34)&amp;"  ","")&amp;IF(ISNUMBER($BY408),"F "&amp;TRIM(TEXT($BY408,"# ?/??"))&amp;CHAR(34)&amp;"  ","")&amp;IF(ISNUMBER($BZ408),"E "&amp;TRIM(TEXT($BZ408,"# ?/??"))&amp;CHAR(34)&amp;"  ","")))</f>
        <v/>
      </c>
      <c r="CZ408" s="85">
        <f>IF(OR($CS408,N($BJ408)=0),"",TRIM(IF(ISNUMBER($BU408),"A "&amp;TRIM(TEXT($BU408-HeadClr,"# ?/??"))&amp;CHAR(34)&amp;"  ","")&amp;IF(ISNUMBER($BV408),"B "&amp;TRIM(TEXT($BV408-HeadClr,"# ?/??"))&amp;CHAR(34)&amp;"  ","")&amp;IF(ISNUMBER($BW408),"C "&amp;TRIM(TEXT($BW408-HeadClr,"# ?/??"))&amp;CHAR(34)&amp;"  ","")&amp;IF(ISNUMBER($BX408),"D "&amp;TRIM(TEXT($BX408-HeadClr,"# ?/??"))&amp;CHAR(34)&amp;"  ","")&amp;IF(ISNUMBER($BY408),"F "&amp;TRIM(TEXT($BY408-HeadClr,"# ?/??"))&amp;CHAR(34)&amp;"  ","")&amp;IF(ISNUMBER($BZ408),"E "&amp;TRIM(TEXT($BZ408-HeadClr,"# ?/??"))&amp;CHAR(34)&amp;"  ","")))</f>
        <v/>
      </c>
      <c r="DA408" s="84">
        <f>IF($A408="","",IF($AN408="",IFERROR(VLOOKUP($Z408,CODES,2,FALSE),""),IFERROR(VLOOKUP($AN408,CODES,2,FALSE),"")))</f>
        <v/>
      </c>
      <c r="DB408" s="84">
        <f>IF($A408="","",IF($O408="Y","PR",IF(OR($Z408="L",$Z408="RR",LEFT($Z408,2)="L-",LEFT($Z408,3)="RR-"),"LH","RH")))</f>
        <v/>
      </c>
      <c r="DC408" s="84">
        <f>IF($A408="","","S.HM"&amp;IF(OR($C408="DOOR ONLY",$X408&lt;&gt;"KD"),"MASONRY","DRYWALL")&amp;IF($C408="DOOR ONLY","",$U408)&amp;IF(AND($C408&lt;&gt;"FRAME ONLY",OR(LEFT($AH408,3)="OAK",LEFT($AH408,3)="BIR",LEFT($AH408,3)="MAP",$AH408="PC",$AH408="MC",$AH408="SCLC",$AH408="P-LAM")),"WD","HM")&amp;"1.75")</f>
        <v/>
      </c>
      <c r="DD408" s="84">
        <f>IF($CJ408="","",IF($O408="Y",$CJ408,SUBSTITUTE($CJ408,$BG408&amp;" "&amp;IFERROR(VLOOKUP($Z408,CODES,2,FALSE),"")&amp;" ",$BG408&amp;" ")))</f>
        <v/>
      </c>
      <c r="DE408" s="84">
        <f>IF($CK408="","",IF($O408="Y",$CK408,SUBSTITUTE($CK408,$BG408&amp;" "&amp;IF($AN408="",IFERROR(VLOOKUP($Z408,CODES,2,FALSE),""),IFERROR(VLOOKUP($AN408,CODES,2,FALSE),""))&amp;" ",$BG408&amp;" ")))</f>
        <v/>
      </c>
      <c r="DF408" s="84">
        <f>IF($CJ408="","",$DC408&amp;"|"&amp;$DD408&amp;"|"&amp;$DB408&amp;"|"&amp;$AT408&amp;"|"&amp;$V408&amp;"|"&amp;$Y408&amp;"|"&amp;$AB408)</f>
        <v/>
      </c>
      <c r="DG408" s="84">
        <f>IF(DF408="","",IF(COUNTIF($DF$6:DF408,DF408)=1,MAX($DG$5:DG407)+1,INDEX($DG$5:DG407,MATCH(DF408,$DF$5:DF407,0))))</f>
        <v/>
      </c>
      <c r="DH408" s="84">
        <f>IF($CK408="","",$DC408&amp;"|"&amp;$DE408&amp;"|"&amp;$AI408&amp;"|"&amp;$BK408&amp;"|"&amp;$BL408)</f>
        <v/>
      </c>
      <c r="DI408" s="84">
        <f>IF(DH408="","",IF(COUNTIF($DH$6:DH408,DH408)=1,MAX($DI$5:DI407)+1,INDEX($DI$5:DI407,MATCH(DH408,$DH$5:DH407,0))))</f>
        <v/>
      </c>
      <c r="DJ408" s="84">
        <f>IF($A408="","",IF($B408="","qty, ","")&amp;IF($C408="","scope, ","")&amp;IF(OR($K408="",$M408=""),"size, ","")&amp;IF(AND($A408&lt;&gt;"",$C408&lt;&gt;"DOOR ONLY"),IF($U408="","jamb depth, ","")&amp;IF($X408="","construction, ","")&amp;IF($Y408="","anchor, ","")&amp;IF($S408="","frame type, ",""),"")&amp;IF(AND(N($BJ408)&gt;0,$Z408=""),"hand, ","")&amp;IF(N($BJ408)&gt;0,IF($AH408="","door material, ","")&amp;IF($AL408="","face type, ","")&amp;IF($AP408="","lock prep, ","")&amp;IF(AND($AO408="",$AC408=""),"hinge prep, ",""),"")&amp;IF(AND($CH408&gt;0,$AH408="FRP"),"FRP cannot carry a label, ","")&amp;IF(AND($O408="Y",OR($Z408="L",$Z408="R",$Z408="LR",$Z408="RR")),"pair marked but hand is single, ","")&amp;IF(AND($O408&lt;&gt;"Y",OR($Z408="PR",AND(LEN($Z408)&gt;1,ISNUMBER(SEARCH("-",$Z408))))),"pair hand on a single door, ","")&amp;IF(AND(ISNUMBER($CI408),$CH408&lt;N($CI408)),"wall needs a "&amp;$CI408&amp;" min door, ","")&amp;IF(AND($CH408&gt;=180,AND(OR($CE408="FG",$CE408="HG",$CE408="FNV",$CE408="FV"),N($CF408)*N($CG408)&gt;100)),"180 min lite over 100 sq in, ","")&amp;IF(N($BK408)&gt;48,"leaf wider than 4'-0"&amp;CHAR(34)&amp;", ","")&amp;IF(AND($CT408,COUNT($AW408:$AZ408)=0,$CQ408&gt;0),"CUSTOM LOC with no locations typed, ",""))</f>
        <v/>
      </c>
      <c r="DK408" s="84">
        <f>IF($A408="","",IF(AND($CH408&gt;0,AND($A408&lt;&gt;"",$C408&lt;&gt;"DOOR ONLY"),$X408="KD",$E408="EXTERIOR"),"KD label on an exterior opening, ","")&amp;IF(AND($E408="EXTERIOR",OR(AND(AND($A408&lt;&gt;"",$C408&lt;&gt;"DOOR ONLY"),$W408="CR"),AND(N($BJ408)&gt;0,$AH408="CR"))),"exterior in CR steel (G9?), ","")&amp;IF(AND(ISNUMBER($BQ408),N($BQ408)&lt;32),"clear width ~"&amp;TEXT($BQ408,"0.0")&amp;CHAR(34)&amp;" under 32"&amp;CHAR(34)&amp;" (ADA), ","")&amp;IF(AND($CH408=90,AND(OR($CE408="FG",$CE408="HG",$CE408="FNV",$CE408="FV"),N($CF408)*N($CG408)&gt;100)),"90 min lite over 100 sq in (stair/exit), ","")&amp;IF(AND($CH408&gt;0,AND($A408&lt;&gt;"",$C408&lt;&gt;"DOOR ONLY"),OR($AF408="",$AF408="-")),"rated: closer reinf.?, ","")&amp;IF(OR($I408="CORRIDOR",$I408="SMOKE BARRIER"),"S label + smoke gasketing, ","")&amp;IF($CI408="?","wall type/hr not in IBC table, ","")&amp;IF(AND(N($BJ408)&gt;0,$BB408=""),"no hardware set, ","")&amp;IF(AND($BB408&lt;&gt;"",ISNA(MATCH($BB408&amp;"",HWSets,0))),"set "&amp;$BB408&amp;" not on HW Sets, ","")&amp;IF(N($BL408)&gt;96,"leaf over 8'-0"&amp;CHAR(34)&amp;" - check listing, ","")&amp;IF(AND($CT408,COUNT($AW408:$AZ408)&gt;0,COUNT($AW408:$AZ408)&lt;&gt;$CQ408),COUNT($AW408:$AZ408)&amp;" custom hinges typed, "&amp;$CQ408&amp;" expected, ","")&amp;IF(AND(ISNUMBER($CA408),OR(N($CA408)&lt;34,N($CA408)&gt;48)),"lock "&amp;TEXT($CA408,"0.0")&amp;CHAR(34)&amp;" AFF outside 34-48"&amp;CHAR(34)&amp;" (ADA), ","")&amp;IF(AND(ISNUMBER($AV408),ISNUMBER($BL408),N($AV408)&lt;IF(N($BL408)&lt;=60,2,IF(N($BL408)&lt;=90,3,IF(N($BL408)&lt;=120,4,5)))),"fewer hinges than standard, ",""))</f>
        <v/>
      </c>
    </row>
    <row r="409" ht="15" customHeight="1">
      <c r="A409" s="77" t="n"/>
      <c r="B409" s="78" t="n"/>
      <c r="C409" s="78" t="n"/>
      <c r="D409" s="78" t="n"/>
      <c r="E409" s="78" t="n"/>
      <c r="F409" s="78" t="n"/>
      <c r="G409" s="78" t="n"/>
      <c r="H409" s="78" t="n"/>
      <c r="I409" s="78" t="n"/>
      <c r="J409" s="78" t="n"/>
      <c r="K409" s="78" t="n"/>
      <c r="L409" s="78" t="n"/>
      <c r="M409" s="78" t="n"/>
      <c r="N409" s="78" t="n"/>
      <c r="O409" s="78" t="n"/>
      <c r="P409" s="78" t="n"/>
      <c r="Q409" s="78" t="n"/>
      <c r="R409" s="78" t="n"/>
      <c r="S409" s="79" t="n"/>
      <c r="T409" s="79" t="n"/>
      <c r="U409" s="79" t="n"/>
      <c r="V409" s="79" t="n"/>
      <c r="W409" s="79" t="n"/>
      <c r="X409" s="79" t="n"/>
      <c r="Y409" s="79" t="n"/>
      <c r="Z409" s="79" t="n"/>
      <c r="AA409" s="79" t="n"/>
      <c r="AB409" s="79" t="n"/>
      <c r="AC409" s="79" t="n"/>
      <c r="AD409" s="79" t="n"/>
      <c r="AE409" s="79" t="n"/>
      <c r="AF409" s="79" t="n"/>
      <c r="AG409" s="79" t="n"/>
      <c r="AH409" s="80" t="n"/>
      <c r="AI409" s="80" t="n"/>
      <c r="AJ409" s="80" t="n"/>
      <c r="AK409" s="80" t="n"/>
      <c r="AL409" s="80" t="n"/>
      <c r="AM409" s="80" t="n"/>
      <c r="AN409" s="80" t="n"/>
      <c r="AO409" s="80" t="n"/>
      <c r="AP409" s="80" t="n"/>
      <c r="AQ409" s="80" t="n"/>
      <c r="AR409" s="80" t="n"/>
      <c r="AS409" s="80" t="n"/>
      <c r="AT409" s="81" t="n"/>
      <c r="AU409" s="81" t="n"/>
      <c r="AV409" s="81" t="n"/>
      <c r="AW409" s="82" t="n"/>
      <c r="AX409" s="82" t="n"/>
      <c r="AY409" s="82" t="n"/>
      <c r="AZ409" s="82" t="n"/>
      <c r="BA409" s="82" t="n"/>
      <c r="BB409" s="83" t="n"/>
      <c r="BC409" s="83" t="n"/>
      <c r="BD409" s="84">
        <f>IF($A409="","",IF($DJ409&lt;&gt;"","FIX",IF($DK409&lt;&gt;"","CHECK","OK")))</f>
        <v/>
      </c>
      <c r="BE409" s="85">
        <f>IF($A409="","",IF($DJ409&lt;&gt;"","FIX: "&amp;LEFT($DJ409,LEN($DJ409)-2)&amp;IF($DK409&lt;&gt;"","  ·  ",""),"")&amp;IF($DK409&lt;&gt;"","CHECK: "&amp;LEFT($DK409,LEN($DK409)-2),""))</f>
        <v/>
      </c>
      <c r="BF409" s="84">
        <f>IF(OR($A409="",$K409=""),"",$K409&amp;"'-"&amp;N($L409)&amp;CHAR(34)&amp;" x "&amp;$M409&amp;"'-"&amp;N($N409)&amp;CHAR(34))</f>
        <v/>
      </c>
      <c r="BG409" s="84">
        <f>IF(OR($A409="",$K409=""),"",$K409&amp;N($L409)&amp;$M409&amp;N($N409))</f>
        <v/>
      </c>
      <c r="BH409" s="84">
        <f>IF(OR($A409="",$K409=""),"",$K409*12+N($L409))</f>
        <v/>
      </c>
      <c r="BI409" s="84">
        <f>IF(OR($A409="",$M409=""),"",$M409*12+N($N409))</f>
        <v/>
      </c>
      <c r="BJ409" s="84">
        <f>IF($A409="","",IF(OR($C409="FRAME ONLY",$S409="BL"),0,IF($O409="Y",2,1)))</f>
        <v/>
      </c>
      <c r="BK409" s="86">
        <f>IF(OR(N($BJ409)=0,$BH409=""),"",($BH409-2*EdgeClr-IF($BJ409=2,MeetClr,0))/$BJ409)</f>
        <v/>
      </c>
      <c r="BL409" s="86">
        <f>IF(OR(N($BJ409)=0,$BI409=""),"",$BI409-HeadClr-Undercut)</f>
        <v/>
      </c>
      <c r="BM409" s="86">
        <f>IF($BH409="","",$BH409+2*FaceW+IF(N($Q409)&gt;0,($Q409+FaceW)*IF($R409="LR",2,1),0))</f>
        <v/>
      </c>
      <c r="BN409" s="86">
        <f>IF($BI409="","",$BI409+IF($AB409="Y",4,FaceW)+IF(N($P409)&gt;0,$P409+FaceW,0)+IF(OR($S409="4F",$S409="BL"),FaceW,0))</f>
        <v/>
      </c>
      <c r="BO409" s="86">
        <f>IF($BM409="","",$BM409+2*ROSide)</f>
        <v/>
      </c>
      <c r="BP409" s="86">
        <f>IF($BN409="","",$BN409+ROTop)</f>
        <v/>
      </c>
      <c r="BQ409" s="87">
        <f>IF(OR(N($BJ409)=0,$BH409=""),"",$BH409/$BJ409-ClearDeduct)</f>
        <v/>
      </c>
      <c r="BR409" s="84">
        <f>IF(N($CH409)=0,"",IF($CH409&gt;=180,"A · 3 HR",IF($CH409&gt;=90,"B · 1-1/2 HR",IF($CH409&gt;=60,"B · 1 HR",IF($CH409&gt;=45,"C · 3/4 HR","20 MIN")))))&amp;IF(AND(N($CH409)&gt;0,OR($I409="CORRIDOR",$I409="SMOKE BARRIER"))," · S","")</f>
        <v/>
      </c>
      <c r="BS409" s="84">
        <f>IF($CS409,"",IF($AV409&lt;&gt;"",$AV409,IF(OR($AC409="HGC",$AO409="HGC"),"CONT",IF(($BI409-HeadClr-Undercut)&lt;=60,2,IF(($BI409-HeadClr-Undercut)&lt;=90,3,IF(($BI409-HeadClr-Undercut)&lt;=120,4,5))))))</f>
        <v/>
      </c>
      <c r="BT409" s="84">
        <f>IF($CS409,"",IF($CT409,"CUSTOM (typed)",IF($CV409,$AT409&amp;" "&amp;$CU409&amp;CHAR(34)&amp;IF($CU409&lt;&gt;$BI409,IF(AND($BI409&lt;$CU409,$BI409-IF(N(VLOOKUP($AT409&amp;"|"&amp;$CU409,LocTable,7,FALSE))&gt;0,VLOOKUP($AT409&amp;"|"&amp;$CU409,LocTable,7,FALSE),VLOOKUP($AT409&amp;"|"&amp;$CU409,LocTable,6,FALSE))-$CR409-0.75&gt;=2.125)," cut down"," adj."),""),"ANSI/SDI A250.6")))</f>
        <v/>
      </c>
      <c r="BU409" s="88">
        <f>IF($CS409,"",IF($CT409,IF(N($AW409)&gt;0,N($AW409),""),IF(1&gt;$CQ409,"",IF($CQ409=1,$CW409,$CW409+($CX409-$CW409)*0/($CQ409-1)))))</f>
        <v/>
      </c>
      <c r="BV409" s="88">
        <f>IF($CS409,"",IF($CT409,IF(N($AX409)&gt;0,N($AX409),""),IF(2&gt;$CQ409,"",IF($CQ409=1,$CW409,$CW409+($CX409-$CW409)*1/($CQ409-1)))))</f>
        <v/>
      </c>
      <c r="BW409" s="88">
        <f>IF($CS409,"",IF($CT409,IF(N($AY409)&gt;0,N($AY409),""),IF(3&gt;$CQ409,"",IF($CQ409=1,$CW409,$CW409+($CX409-$CW409)*2/($CQ409-1)))))</f>
        <v/>
      </c>
      <c r="BX409" s="88">
        <f>IF($CS409,"",IF($CT409,IF(N($AZ409)&gt;0,N($AZ409),""),IF(4&gt;$CQ409,"",IF($CQ409=1,$CW409,$CW409+($CX409-$CW409)*3/($CQ409-1)))))</f>
        <v/>
      </c>
      <c r="BY409" s="88">
        <f>IF($CS409,"",IF($CT409,"",IF(5&gt;$CQ409,"",IF($CQ409=1,$CW409,$CW409+($CX409-$CW409)*4/($CQ409-1)))))</f>
        <v/>
      </c>
      <c r="BZ409" s="88">
        <f>IF(OR($CS409,$AP409="-",AND($AP409="",$AD409="")),"",IF(N($BA409)&gt;0,N($BA409),IF($CV409,IF(AND($BI409&lt;$CU409,$BI409-IF(N(VLOOKUP($AT409&amp;"|"&amp;$CU409,LocTable,7,FALSE))&gt;0,VLOOKUP($AT409&amp;"|"&amp;$CU409,LocTable,7,FALSE),VLOOKUP($AT409&amp;"|"&amp;$CU409,LocTable,6,FALSE))-$CR409-0.75&gt;=2.125),VLOOKUP($AT409&amp;"|"&amp;$CU409,LocTable,8,FALSE),VLOOKUP($AT409&amp;"|"&amp;$CU409,LocTable,8,FALSE)+($BI409-$CU409)),$BI409-LockAFF)))</f>
        <v/>
      </c>
      <c r="CA409" s="89">
        <f>IF($BZ409="","",$BI409-$BZ409)</f>
        <v/>
      </c>
      <c r="CB409" s="84">
        <f>IF(OR(NOT(AND($A409&lt;&gt;"",$C409&lt;&gt;"DOOR ONLY")),$BI409=""),"",IF(($BI409+IF(N($P409)&gt;0,$P409+FaceW,0))&lt;=90,3,IF(($BI409+IF(N($P409)&gt;0,$P409+FaceW,0))&lt;=114,4,5)))</f>
        <v/>
      </c>
      <c r="CC409" s="84">
        <f>IF($CB409="","",$CB409*(2+IF(N($Q409)&gt;0,IF($R409="LR",2,1),0)))</f>
        <v/>
      </c>
      <c r="CD409" s="84">
        <f>IF($CB409="","",(2+IF(N($Q409)&gt;0,IF($R409="LR",2,1),0)))</f>
        <v/>
      </c>
      <c r="CE409" s="84">
        <f>IF(N($BJ409)=0,"",IF(OR($AL409="",$AL409="FLUSH"),"FLUSH",IFERROR(LEFT($AL409,FIND("-",$AL409)-1),LEFT($AL409,2))))</f>
        <v/>
      </c>
      <c r="CF409" s="84">
        <f>IF($CE409="","",IFERROR(VALUE(MID($AL409,FIND("-",$AL409)+1,FIND(CHAR(34)&amp;"x",$AL409)-FIND("-",$AL409)-1)),0))</f>
        <v/>
      </c>
      <c r="CG409" s="84">
        <f>IF($CE409="","",IFERROR(VALUE(MID($AL409,FIND(CHAR(34)&amp;"x",$AL409)+2,FIND(CHAR(34),$AL409,FIND(CHAR(34)&amp;"x",$AL409)+2)-FIND(CHAR(34)&amp;"x",$AL409)-2)),0))</f>
        <v/>
      </c>
      <c r="CH409" s="90">
        <f>IF(OR($A409="",$H409="",$H409="NO LAB"),0,IFERROR(VALUE(LEFT($H409,FIND(" ",$H409)-1)),0))</f>
        <v/>
      </c>
      <c r="CI409" s="91">
        <f>IF(OR($A409="",$I409="",$I409="NON-RATED",N($J409)=0),"",IFERROR(VLOOKUP($I409&amp;"|"&amp;$J409,IBC,2,FALSE),"?"))</f>
        <v/>
      </c>
      <c r="CJ409" s="85">
        <f>IF(NOT(AND($A409&lt;&gt;"",$C409&lt;&gt;"DOOR ONLY")),"",TRIM(IFERROR(VLOOKUP($U409,CODES,2,FALSE),"")&amp;" "&amp;$BG409&amp;" "&amp;IFERROR(VLOOKUP($Z409,CODES,2,FALSE),"")&amp;" "&amp;IFERROR(VLOOKUP($X409,CODES,2,FALSE),"")&amp;" "&amp;IFERROR(VLOOKUP($S409,CODES,2,FALSE),"")&amp;IF(N($P409)&gt;0," w/TRANSOM "&amp;$P409&amp;CHAR(34),"")&amp;IF(N($Q409)&gt;0," w/SIDELITE "&amp;$Q409&amp;CHAR(34)&amp;" "&amp;IF($R409="","R",$R409),"")&amp;IF($Y409="","  |  "," | "&amp;IFERROR(VLOOKUP($Y409,CODES,2,FALSE),"")&amp;" | ")&amp;IFERROR(VLOOKUP($AC409,CODES,2,FALSE),"")&amp;" "&amp;IFERROR(VLOOKUP($AD409,CODES,2,FALSE),"")&amp;IF(OR($AE409="",$AE409="-"),""," "&amp;$AE409)&amp;IF(OR($AF409="",$AF409="-"),""," "&amp;$AF409)&amp;IF($AB409="Y"," 4"&amp;CHAR(34)&amp;" HEAD","")&amp;" "&amp;IFERROR(VLOOKUP($H409,CODES,2,FALSE),"")&amp;IF($CT409," | LOC "&amp;$CY409,"")))</f>
        <v/>
      </c>
      <c r="CK409" s="85">
        <f>IF(NOT(AND($A409&lt;&gt;"",N($BJ409)&gt;0)),"",TRIM(IFERROR(VLOOKUP($AH409,CODES,2,FALSE),"")&amp;IF($AI409=""," "," "&amp;$AI409&amp;"GA ")&amp;$BG409&amp;" "&amp;IF($AN409="",IFERROR(VLOOKUP($Z409,CODES,2,FALSE),""),IFERROR(VLOOKUP($AN409,CODES,2,FALSE),""))&amp;IF($BJ409=2," PAIR","")&amp;" DOOR | "&amp;IF($AL409="","?",$AL409)&amp;" | "&amp;IF($AO409="",IFERROR(VLOOKUP($AC409,CODES,2,FALSE),""),IFERROR(VLOOKUP($AO409,CODES,2,FALSE),""))&amp;" "&amp;IFERROR(VLOOKUP($AP409,CODES,2,FALSE),"")&amp;IF(OR($AQ409="",$AQ409="-"),""," SEAM "&amp;$AQ409)&amp;IF($AR409="Y"," ASTRAGAL","")&amp;IF($AJ409=""," "," "&amp;$AJ409)&amp;IF($AK409=""," "," "&amp;$AK409)&amp;IF(OR($AT409="",$AT409="ANSI/SDI",$AT409="CUSTOM LOC"),""," "&amp;$AT409)&amp;IF($AM409=""," "," SERIES "&amp;$AM409)&amp;" "&amp;IFERROR(VLOOKUP($H409,CODES,2,FALSE),"")&amp;IF($CT409," | LOC "&amp;$CZ409,"")))</f>
        <v/>
      </c>
      <c r="CL409" s="84">
        <f>IF(CP409="","",IF(COUNTIF($CP$6:CP409,CP409)=1,MAX($CL$5:CL408)+1,INDEX($CL$5:CL408,MATCH(CP409,$CP$5:CP408,0))))</f>
        <v/>
      </c>
      <c r="CM409" s="84">
        <f>IF(NOT(AND($A409&lt;&gt;"",$C409&lt;&gt;"DOOR ONLY")),"",MAX($CM$5:CM408)+1)</f>
        <v/>
      </c>
      <c r="CN409" s="84">
        <f>IF(NOT(AND($A409&lt;&gt;"",N($BJ409)&gt;0)),"",MAX($CN$5:CN408)+1)</f>
        <v/>
      </c>
      <c r="CO409" s="84">
        <f>IF($A409="","",MAX($CO$5:CO408)+1)</f>
        <v/>
      </c>
      <c r="CP409" s="84">
        <f>IF(OR($A409="",$BH409="",$BI409=""),"",$BG409&amp;"|"&amp;$O409&amp;"|"&amp;$AL409&amp;"|"&amp;$S409&amp;"|"&amp;$P409&amp;"|"&amp;$Q409&amp;$R409&amp;"|"&amp;$C409&amp;"|"&amp;$AB409)</f>
        <v/>
      </c>
      <c r="CQ409" s="84">
        <f>N($BS409)</f>
        <v/>
      </c>
      <c r="CR409" s="84">
        <f>IF(N($AU409)&gt;0,N($AU409),4.5)</f>
        <v/>
      </c>
      <c r="CS409" s="84">
        <f>OR($A409="",$BI409="",$S409="BL",AND($C409="FRAME ONLY",OR($AC409="",$AC409="BLK")))</f>
        <v/>
      </c>
      <c r="CT409" s="84">
        <f>AND(NOT($CS409),OR($AT409="CUSTOM LOC",N($AW409)+N($AX409)+N($AY409)+N($AZ409)+N($BA409)&gt;0))</f>
        <v/>
      </c>
      <c r="CU409" s="84">
        <f>IF($BI409="","",IF($BI409&lt;=80,80,IF($BI409&lt;=84,84,96)))</f>
        <v/>
      </c>
      <c r="CV409" s="84">
        <f>ISNUMBER(MATCH($AT409&amp;"|80",LocKeys,0))</f>
        <v/>
      </c>
      <c r="CW409" s="86">
        <f>IF($CS409,"",IF($CV409,VLOOKUP($AT409&amp;"|"&amp;$CU409,LocTable,4,FALSE),5))</f>
        <v/>
      </c>
      <c r="CX409" s="86">
        <f>IF($CS409,"",IF($CV409,IF(OR($BI409=$CU409,AND($BI409&lt;$CU409,$BI409-IF(N(VLOOKUP($AT409&amp;"|"&amp;$CU409,LocTable,7,FALSE))&gt;0,VLOOKUP($AT409&amp;"|"&amp;$CU409,LocTable,7,FALSE),VLOOKUP($AT409&amp;"|"&amp;$CU409,LocTable,6,FALSE))-$CR409-0.75&gt;=2.125)),IF(N(VLOOKUP($AT409&amp;"|"&amp;$CU409,LocTable,7,FALSE))&gt;0,VLOOKUP($AT409&amp;"|"&amp;$CU409,LocTable,7,FALSE),VLOOKUP($AT409&amp;"|"&amp;$CU409,LocTable,6,FALSE)),$BI409-($CU409-IF(N(VLOOKUP($AT409&amp;"|"&amp;$CU409,LocTable,7,FALSE))&gt;0,VLOOKUP($AT409&amp;"|"&amp;$CU409,LocTable,7,FALSE),VLOOKUP($AT409&amp;"|"&amp;$CU409,LocTable,6,FALSE)))),$BI409-10-$CR409))</f>
        <v/>
      </c>
      <c r="CY409" s="85">
        <f>IF($CS409,"",TRIM(IF(ISNUMBER($BU409),"A "&amp;TRIM(TEXT($BU409,"# ?/??"))&amp;CHAR(34)&amp;"  ","")&amp;IF(ISNUMBER($BV409),"B "&amp;TRIM(TEXT($BV409,"# ?/??"))&amp;CHAR(34)&amp;"  ","")&amp;IF(ISNUMBER($BW409),"C "&amp;TRIM(TEXT($BW409,"# ?/??"))&amp;CHAR(34)&amp;"  ","")&amp;IF(ISNUMBER($BX409),"D "&amp;TRIM(TEXT($BX409,"# ?/??"))&amp;CHAR(34)&amp;"  ","")&amp;IF(ISNUMBER($BY409),"F "&amp;TRIM(TEXT($BY409,"# ?/??"))&amp;CHAR(34)&amp;"  ","")&amp;IF(ISNUMBER($BZ409),"E "&amp;TRIM(TEXT($BZ409,"# ?/??"))&amp;CHAR(34)&amp;"  ","")))</f>
        <v/>
      </c>
      <c r="CZ409" s="85">
        <f>IF(OR($CS409,N($BJ409)=0),"",TRIM(IF(ISNUMBER($BU409),"A "&amp;TRIM(TEXT($BU409-HeadClr,"# ?/??"))&amp;CHAR(34)&amp;"  ","")&amp;IF(ISNUMBER($BV409),"B "&amp;TRIM(TEXT($BV409-HeadClr,"# ?/??"))&amp;CHAR(34)&amp;"  ","")&amp;IF(ISNUMBER($BW409),"C "&amp;TRIM(TEXT($BW409-HeadClr,"# ?/??"))&amp;CHAR(34)&amp;"  ","")&amp;IF(ISNUMBER($BX409),"D "&amp;TRIM(TEXT($BX409-HeadClr,"# ?/??"))&amp;CHAR(34)&amp;"  ","")&amp;IF(ISNUMBER($BY409),"F "&amp;TRIM(TEXT($BY409-HeadClr,"# ?/??"))&amp;CHAR(34)&amp;"  ","")&amp;IF(ISNUMBER($BZ409),"E "&amp;TRIM(TEXT($BZ409-HeadClr,"# ?/??"))&amp;CHAR(34)&amp;"  ","")))</f>
        <v/>
      </c>
      <c r="DA409" s="84">
        <f>IF($A409="","",IF($AN409="",IFERROR(VLOOKUP($Z409,CODES,2,FALSE),""),IFERROR(VLOOKUP($AN409,CODES,2,FALSE),"")))</f>
        <v/>
      </c>
      <c r="DB409" s="84">
        <f>IF($A409="","",IF($O409="Y","PR",IF(OR($Z409="L",$Z409="RR",LEFT($Z409,2)="L-",LEFT($Z409,3)="RR-"),"LH","RH")))</f>
        <v/>
      </c>
      <c r="DC409" s="84">
        <f>IF($A409="","","S.HM"&amp;IF(OR($C409="DOOR ONLY",$X409&lt;&gt;"KD"),"MASONRY","DRYWALL")&amp;IF($C409="DOOR ONLY","",$U409)&amp;IF(AND($C409&lt;&gt;"FRAME ONLY",OR(LEFT($AH409,3)="OAK",LEFT($AH409,3)="BIR",LEFT($AH409,3)="MAP",$AH409="PC",$AH409="MC",$AH409="SCLC",$AH409="P-LAM")),"WD","HM")&amp;"1.75")</f>
        <v/>
      </c>
      <c r="DD409" s="84">
        <f>IF($CJ409="","",IF($O409="Y",$CJ409,SUBSTITUTE($CJ409,$BG409&amp;" "&amp;IFERROR(VLOOKUP($Z409,CODES,2,FALSE),"")&amp;" ",$BG409&amp;" ")))</f>
        <v/>
      </c>
      <c r="DE409" s="84">
        <f>IF($CK409="","",IF($O409="Y",$CK409,SUBSTITUTE($CK409,$BG409&amp;" "&amp;IF($AN409="",IFERROR(VLOOKUP($Z409,CODES,2,FALSE),""),IFERROR(VLOOKUP($AN409,CODES,2,FALSE),""))&amp;" ",$BG409&amp;" ")))</f>
        <v/>
      </c>
      <c r="DF409" s="84">
        <f>IF($CJ409="","",$DC409&amp;"|"&amp;$DD409&amp;"|"&amp;$DB409&amp;"|"&amp;$AT409&amp;"|"&amp;$V409&amp;"|"&amp;$Y409&amp;"|"&amp;$AB409)</f>
        <v/>
      </c>
      <c r="DG409" s="84">
        <f>IF(DF409="","",IF(COUNTIF($DF$6:DF409,DF409)=1,MAX($DG$5:DG408)+1,INDEX($DG$5:DG408,MATCH(DF409,$DF$5:DF408,0))))</f>
        <v/>
      </c>
      <c r="DH409" s="84">
        <f>IF($CK409="","",$DC409&amp;"|"&amp;$DE409&amp;"|"&amp;$AI409&amp;"|"&amp;$BK409&amp;"|"&amp;$BL409)</f>
        <v/>
      </c>
      <c r="DI409" s="84">
        <f>IF(DH409="","",IF(COUNTIF($DH$6:DH409,DH409)=1,MAX($DI$5:DI408)+1,INDEX($DI$5:DI408,MATCH(DH409,$DH$5:DH408,0))))</f>
        <v/>
      </c>
      <c r="DJ409" s="84">
        <f>IF($A409="","",IF($B409="","qty, ","")&amp;IF($C409="","scope, ","")&amp;IF(OR($K409="",$M409=""),"size, ","")&amp;IF(AND($A409&lt;&gt;"",$C409&lt;&gt;"DOOR ONLY"),IF($U409="","jamb depth, ","")&amp;IF($X409="","construction, ","")&amp;IF($Y409="","anchor, ","")&amp;IF($S409="","frame type, ",""),"")&amp;IF(AND(N($BJ409)&gt;0,$Z409=""),"hand, ","")&amp;IF(N($BJ409)&gt;0,IF($AH409="","door material, ","")&amp;IF($AL409="","face type, ","")&amp;IF($AP409="","lock prep, ","")&amp;IF(AND($AO409="",$AC409=""),"hinge prep, ",""),"")&amp;IF(AND($CH409&gt;0,$AH409="FRP"),"FRP cannot carry a label, ","")&amp;IF(AND($O409="Y",OR($Z409="L",$Z409="R",$Z409="LR",$Z409="RR")),"pair marked but hand is single, ","")&amp;IF(AND($O409&lt;&gt;"Y",OR($Z409="PR",AND(LEN($Z409)&gt;1,ISNUMBER(SEARCH("-",$Z409))))),"pair hand on a single door, ","")&amp;IF(AND(ISNUMBER($CI409),$CH409&lt;N($CI409)),"wall needs a "&amp;$CI409&amp;" min door, ","")&amp;IF(AND($CH409&gt;=180,AND(OR($CE409="FG",$CE409="HG",$CE409="FNV",$CE409="FV"),N($CF409)*N($CG409)&gt;100)),"180 min lite over 100 sq in, ","")&amp;IF(N($BK409)&gt;48,"leaf wider than 4'-0"&amp;CHAR(34)&amp;", ","")&amp;IF(AND($CT409,COUNT($AW409:$AZ409)=0,$CQ409&gt;0),"CUSTOM LOC with no locations typed, ",""))</f>
        <v/>
      </c>
      <c r="DK409" s="84">
        <f>IF($A409="","",IF(AND($CH409&gt;0,AND($A409&lt;&gt;"",$C409&lt;&gt;"DOOR ONLY"),$X409="KD",$E409="EXTERIOR"),"KD label on an exterior opening, ","")&amp;IF(AND($E409="EXTERIOR",OR(AND(AND($A409&lt;&gt;"",$C409&lt;&gt;"DOOR ONLY"),$W409="CR"),AND(N($BJ409)&gt;0,$AH409="CR"))),"exterior in CR steel (G9?), ","")&amp;IF(AND(ISNUMBER($BQ409),N($BQ409)&lt;32),"clear width ~"&amp;TEXT($BQ409,"0.0")&amp;CHAR(34)&amp;" under 32"&amp;CHAR(34)&amp;" (ADA), ","")&amp;IF(AND($CH409=90,AND(OR($CE409="FG",$CE409="HG",$CE409="FNV",$CE409="FV"),N($CF409)*N($CG409)&gt;100)),"90 min lite over 100 sq in (stair/exit), ","")&amp;IF(AND($CH409&gt;0,AND($A409&lt;&gt;"",$C409&lt;&gt;"DOOR ONLY"),OR($AF409="",$AF409="-")),"rated: closer reinf.?, ","")&amp;IF(OR($I409="CORRIDOR",$I409="SMOKE BARRIER"),"S label + smoke gasketing, ","")&amp;IF($CI409="?","wall type/hr not in IBC table, ","")&amp;IF(AND(N($BJ409)&gt;0,$BB409=""),"no hardware set, ","")&amp;IF(AND($BB409&lt;&gt;"",ISNA(MATCH($BB409&amp;"",HWSets,0))),"set "&amp;$BB409&amp;" not on HW Sets, ","")&amp;IF(N($BL409)&gt;96,"leaf over 8'-0"&amp;CHAR(34)&amp;" - check listing, ","")&amp;IF(AND($CT409,COUNT($AW409:$AZ409)&gt;0,COUNT($AW409:$AZ409)&lt;&gt;$CQ409),COUNT($AW409:$AZ409)&amp;" custom hinges typed, "&amp;$CQ409&amp;" expected, ","")&amp;IF(AND(ISNUMBER($CA409),OR(N($CA409)&lt;34,N($CA409)&gt;48)),"lock "&amp;TEXT($CA409,"0.0")&amp;CHAR(34)&amp;" AFF outside 34-48"&amp;CHAR(34)&amp;" (ADA), ","")&amp;IF(AND(ISNUMBER($AV409),ISNUMBER($BL409),N($AV409)&lt;IF(N($BL409)&lt;=60,2,IF(N($BL409)&lt;=90,3,IF(N($BL409)&lt;=120,4,5)))),"fewer hinges than standard, ",""))</f>
        <v/>
      </c>
    </row>
    <row r="410" ht="15" customHeight="1">
      <c r="A410" s="92" t="n"/>
      <c r="B410" s="93" t="n"/>
      <c r="C410" s="93" t="n"/>
      <c r="D410" s="93" t="n"/>
      <c r="E410" s="93" t="n"/>
      <c r="F410" s="93" t="n"/>
      <c r="G410" s="93" t="n"/>
      <c r="H410" s="93" t="n"/>
      <c r="I410" s="93" t="n"/>
      <c r="J410" s="93" t="n"/>
      <c r="K410" s="93" t="n"/>
      <c r="L410" s="93" t="n"/>
      <c r="M410" s="93" t="n"/>
      <c r="N410" s="93" t="n"/>
      <c r="O410" s="93" t="n"/>
      <c r="P410" s="93" t="n"/>
      <c r="Q410" s="93" t="n"/>
      <c r="R410" s="93" t="n"/>
      <c r="S410" s="94" t="n"/>
      <c r="T410" s="94" t="n"/>
      <c r="U410" s="94" t="n"/>
      <c r="V410" s="94" t="n"/>
      <c r="W410" s="94" t="n"/>
      <c r="X410" s="94" t="n"/>
      <c r="Y410" s="94" t="n"/>
      <c r="Z410" s="94" t="n"/>
      <c r="AA410" s="94" t="n"/>
      <c r="AB410" s="94" t="n"/>
      <c r="AC410" s="94" t="n"/>
      <c r="AD410" s="94" t="n"/>
      <c r="AE410" s="94" t="n"/>
      <c r="AF410" s="94" t="n"/>
      <c r="AG410" s="94" t="n"/>
      <c r="AH410" s="95" t="n"/>
      <c r="AI410" s="95" t="n"/>
      <c r="AJ410" s="95" t="n"/>
      <c r="AK410" s="95" t="n"/>
      <c r="AL410" s="95" t="n"/>
      <c r="AM410" s="95" t="n"/>
      <c r="AN410" s="95" t="n"/>
      <c r="AO410" s="95" t="n"/>
      <c r="AP410" s="95" t="n"/>
      <c r="AQ410" s="95" t="n"/>
      <c r="AR410" s="95" t="n"/>
      <c r="AS410" s="95" t="n"/>
      <c r="AT410" s="96" t="n"/>
      <c r="AU410" s="96" t="n"/>
      <c r="AV410" s="96" t="n"/>
      <c r="AW410" s="97" t="n"/>
      <c r="AX410" s="97" t="n"/>
      <c r="AY410" s="97" t="n"/>
      <c r="AZ410" s="97" t="n"/>
      <c r="BA410" s="97" t="n"/>
      <c r="BB410" s="98" t="n"/>
      <c r="BC410" s="98" t="n"/>
      <c r="BD410" s="99">
        <f>IF($A410="","",IF($DJ410&lt;&gt;"","FIX",IF($DK410&lt;&gt;"","CHECK","OK")))</f>
        <v/>
      </c>
      <c r="BE410" s="100">
        <f>IF($A410="","",IF($DJ410&lt;&gt;"","FIX: "&amp;LEFT($DJ410,LEN($DJ410)-2)&amp;IF($DK410&lt;&gt;"","  ·  ",""),"")&amp;IF($DK410&lt;&gt;"","CHECK: "&amp;LEFT($DK410,LEN($DK410)-2),""))</f>
        <v/>
      </c>
      <c r="BF410" s="99">
        <f>IF(OR($A410="",$K410=""),"",$K410&amp;"'-"&amp;N($L410)&amp;CHAR(34)&amp;" x "&amp;$M410&amp;"'-"&amp;N($N410)&amp;CHAR(34))</f>
        <v/>
      </c>
      <c r="BG410" s="99">
        <f>IF(OR($A410="",$K410=""),"",$K410&amp;N($L410)&amp;$M410&amp;N($N410))</f>
        <v/>
      </c>
      <c r="BH410" s="99">
        <f>IF(OR($A410="",$K410=""),"",$K410*12+N($L410))</f>
        <v/>
      </c>
      <c r="BI410" s="99">
        <f>IF(OR($A410="",$M410=""),"",$M410*12+N($N410))</f>
        <v/>
      </c>
      <c r="BJ410" s="99">
        <f>IF($A410="","",IF(OR($C410="FRAME ONLY",$S410="BL"),0,IF($O410="Y",2,1)))</f>
        <v/>
      </c>
      <c r="BK410" s="101">
        <f>IF(OR(N($BJ410)=0,$BH410=""),"",($BH410-2*EdgeClr-IF($BJ410=2,MeetClr,0))/$BJ410)</f>
        <v/>
      </c>
      <c r="BL410" s="101">
        <f>IF(OR(N($BJ410)=0,$BI410=""),"",$BI410-HeadClr-Undercut)</f>
        <v/>
      </c>
      <c r="BM410" s="101">
        <f>IF($BH410="","",$BH410+2*FaceW+IF(N($Q410)&gt;0,($Q410+FaceW)*IF($R410="LR",2,1),0))</f>
        <v/>
      </c>
      <c r="BN410" s="101">
        <f>IF($BI410="","",$BI410+IF($AB410="Y",4,FaceW)+IF(N($P410)&gt;0,$P410+FaceW,0)+IF(OR($S410="4F",$S410="BL"),FaceW,0))</f>
        <v/>
      </c>
      <c r="BO410" s="101">
        <f>IF($BM410="","",$BM410+2*ROSide)</f>
        <v/>
      </c>
      <c r="BP410" s="101">
        <f>IF($BN410="","",$BN410+ROTop)</f>
        <v/>
      </c>
      <c r="BQ410" s="102">
        <f>IF(OR(N($BJ410)=0,$BH410=""),"",$BH410/$BJ410-ClearDeduct)</f>
        <v/>
      </c>
      <c r="BR410" s="99">
        <f>IF(N($CH410)=0,"",IF($CH410&gt;=180,"A · 3 HR",IF($CH410&gt;=90,"B · 1-1/2 HR",IF($CH410&gt;=60,"B · 1 HR",IF($CH410&gt;=45,"C · 3/4 HR","20 MIN")))))&amp;IF(AND(N($CH410)&gt;0,OR($I410="CORRIDOR",$I410="SMOKE BARRIER"))," · S","")</f>
        <v/>
      </c>
      <c r="BS410" s="99">
        <f>IF($CS410,"",IF($AV410&lt;&gt;"",$AV410,IF(OR($AC410="HGC",$AO410="HGC"),"CONT",IF(($BI410-HeadClr-Undercut)&lt;=60,2,IF(($BI410-HeadClr-Undercut)&lt;=90,3,IF(($BI410-HeadClr-Undercut)&lt;=120,4,5))))))</f>
        <v/>
      </c>
      <c r="BT410" s="99">
        <f>IF($CS410,"",IF($CT410,"CUSTOM (typed)",IF($CV410,$AT410&amp;" "&amp;$CU410&amp;CHAR(34)&amp;IF($CU410&lt;&gt;$BI410,IF(AND($BI410&lt;$CU410,$BI410-IF(N(VLOOKUP($AT410&amp;"|"&amp;$CU410,LocTable,7,FALSE))&gt;0,VLOOKUP($AT410&amp;"|"&amp;$CU410,LocTable,7,FALSE),VLOOKUP($AT410&amp;"|"&amp;$CU410,LocTable,6,FALSE))-$CR410-0.75&gt;=2.125)," cut down"," adj."),""),"ANSI/SDI A250.6")))</f>
        <v/>
      </c>
      <c r="BU410" s="103">
        <f>IF($CS410,"",IF($CT410,IF(N($AW410)&gt;0,N($AW410),""),IF(1&gt;$CQ410,"",IF($CQ410=1,$CW410,$CW410+($CX410-$CW410)*0/($CQ410-1)))))</f>
        <v/>
      </c>
      <c r="BV410" s="103">
        <f>IF($CS410,"",IF($CT410,IF(N($AX410)&gt;0,N($AX410),""),IF(2&gt;$CQ410,"",IF($CQ410=1,$CW410,$CW410+($CX410-$CW410)*1/($CQ410-1)))))</f>
        <v/>
      </c>
      <c r="BW410" s="103">
        <f>IF($CS410,"",IF($CT410,IF(N($AY410)&gt;0,N($AY410),""),IF(3&gt;$CQ410,"",IF($CQ410=1,$CW410,$CW410+($CX410-$CW410)*2/($CQ410-1)))))</f>
        <v/>
      </c>
      <c r="BX410" s="103">
        <f>IF($CS410,"",IF($CT410,IF(N($AZ410)&gt;0,N($AZ410),""),IF(4&gt;$CQ410,"",IF($CQ410=1,$CW410,$CW410+($CX410-$CW410)*3/($CQ410-1)))))</f>
        <v/>
      </c>
      <c r="BY410" s="103">
        <f>IF($CS410,"",IF($CT410,"",IF(5&gt;$CQ410,"",IF($CQ410=1,$CW410,$CW410+($CX410-$CW410)*4/($CQ410-1)))))</f>
        <v/>
      </c>
      <c r="BZ410" s="103">
        <f>IF(OR($CS410,$AP410="-",AND($AP410="",$AD410="")),"",IF(N($BA410)&gt;0,N($BA410),IF($CV410,IF(AND($BI410&lt;$CU410,$BI410-IF(N(VLOOKUP($AT410&amp;"|"&amp;$CU410,LocTable,7,FALSE))&gt;0,VLOOKUP($AT410&amp;"|"&amp;$CU410,LocTable,7,FALSE),VLOOKUP($AT410&amp;"|"&amp;$CU410,LocTable,6,FALSE))-$CR410-0.75&gt;=2.125),VLOOKUP($AT410&amp;"|"&amp;$CU410,LocTable,8,FALSE),VLOOKUP($AT410&amp;"|"&amp;$CU410,LocTable,8,FALSE)+($BI410-$CU410)),$BI410-LockAFF)))</f>
        <v/>
      </c>
      <c r="CA410" s="104">
        <f>IF($BZ410="","",$BI410-$BZ410)</f>
        <v/>
      </c>
      <c r="CB410" s="99">
        <f>IF(OR(NOT(AND($A410&lt;&gt;"",$C410&lt;&gt;"DOOR ONLY")),$BI410=""),"",IF(($BI410+IF(N($P410)&gt;0,$P410+FaceW,0))&lt;=90,3,IF(($BI410+IF(N($P410)&gt;0,$P410+FaceW,0))&lt;=114,4,5)))</f>
        <v/>
      </c>
      <c r="CC410" s="99">
        <f>IF($CB410="","",$CB410*(2+IF(N($Q410)&gt;0,IF($R410="LR",2,1),0)))</f>
        <v/>
      </c>
      <c r="CD410" s="99">
        <f>IF($CB410="","",(2+IF(N($Q410)&gt;0,IF($R410="LR",2,1),0)))</f>
        <v/>
      </c>
      <c r="CE410" s="99">
        <f>IF(N($BJ410)=0,"",IF(OR($AL410="",$AL410="FLUSH"),"FLUSH",IFERROR(LEFT($AL410,FIND("-",$AL410)-1),LEFT($AL410,2))))</f>
        <v/>
      </c>
      <c r="CF410" s="99">
        <f>IF($CE410="","",IFERROR(VALUE(MID($AL410,FIND("-",$AL410)+1,FIND(CHAR(34)&amp;"x",$AL410)-FIND("-",$AL410)-1)),0))</f>
        <v/>
      </c>
      <c r="CG410" s="99">
        <f>IF($CE410="","",IFERROR(VALUE(MID($AL410,FIND(CHAR(34)&amp;"x",$AL410)+2,FIND(CHAR(34),$AL410,FIND(CHAR(34)&amp;"x",$AL410)+2)-FIND(CHAR(34)&amp;"x",$AL410)-2)),0))</f>
        <v/>
      </c>
      <c r="CH410" s="105">
        <f>IF(OR($A410="",$H410="",$H410="NO LAB"),0,IFERROR(VALUE(LEFT($H410,FIND(" ",$H410)-1)),0))</f>
        <v/>
      </c>
      <c r="CI410" s="106">
        <f>IF(OR($A410="",$I410="",$I410="NON-RATED",N($J410)=0),"",IFERROR(VLOOKUP($I410&amp;"|"&amp;$J410,IBC,2,FALSE),"?"))</f>
        <v/>
      </c>
      <c r="CJ410" s="100">
        <f>IF(NOT(AND($A410&lt;&gt;"",$C410&lt;&gt;"DOOR ONLY")),"",TRIM(IFERROR(VLOOKUP($U410,CODES,2,FALSE),"")&amp;" "&amp;$BG410&amp;" "&amp;IFERROR(VLOOKUP($Z410,CODES,2,FALSE),"")&amp;" "&amp;IFERROR(VLOOKUP($X410,CODES,2,FALSE),"")&amp;" "&amp;IFERROR(VLOOKUP($S410,CODES,2,FALSE),"")&amp;IF(N($P410)&gt;0," w/TRANSOM "&amp;$P410&amp;CHAR(34),"")&amp;IF(N($Q410)&gt;0," w/SIDELITE "&amp;$Q410&amp;CHAR(34)&amp;" "&amp;IF($R410="","R",$R410),"")&amp;IF($Y410="","  |  "," | "&amp;IFERROR(VLOOKUP($Y410,CODES,2,FALSE),"")&amp;" | ")&amp;IFERROR(VLOOKUP($AC410,CODES,2,FALSE),"")&amp;" "&amp;IFERROR(VLOOKUP($AD410,CODES,2,FALSE),"")&amp;IF(OR($AE410="",$AE410="-"),""," "&amp;$AE410)&amp;IF(OR($AF410="",$AF410="-"),""," "&amp;$AF410)&amp;IF($AB410="Y"," 4"&amp;CHAR(34)&amp;" HEAD","")&amp;" "&amp;IFERROR(VLOOKUP($H410,CODES,2,FALSE),"")&amp;IF($CT410," | LOC "&amp;$CY410,"")))</f>
        <v/>
      </c>
      <c r="CK410" s="100">
        <f>IF(NOT(AND($A410&lt;&gt;"",N($BJ410)&gt;0)),"",TRIM(IFERROR(VLOOKUP($AH410,CODES,2,FALSE),"")&amp;IF($AI410=""," "," "&amp;$AI410&amp;"GA ")&amp;$BG410&amp;" "&amp;IF($AN410="",IFERROR(VLOOKUP($Z410,CODES,2,FALSE),""),IFERROR(VLOOKUP($AN410,CODES,2,FALSE),""))&amp;IF($BJ410=2," PAIR","")&amp;" DOOR | "&amp;IF($AL410="","?",$AL410)&amp;" | "&amp;IF($AO410="",IFERROR(VLOOKUP($AC410,CODES,2,FALSE),""),IFERROR(VLOOKUP($AO410,CODES,2,FALSE),""))&amp;" "&amp;IFERROR(VLOOKUP($AP410,CODES,2,FALSE),"")&amp;IF(OR($AQ410="",$AQ410="-"),""," SEAM "&amp;$AQ410)&amp;IF($AR410="Y"," ASTRAGAL","")&amp;IF($AJ410=""," "," "&amp;$AJ410)&amp;IF($AK410=""," "," "&amp;$AK410)&amp;IF(OR($AT410="",$AT410="ANSI/SDI",$AT410="CUSTOM LOC"),""," "&amp;$AT410)&amp;IF($AM410=""," "," SERIES "&amp;$AM410)&amp;" "&amp;IFERROR(VLOOKUP($H410,CODES,2,FALSE),"")&amp;IF($CT410," | LOC "&amp;$CZ410,"")))</f>
        <v/>
      </c>
      <c r="CL410" s="99">
        <f>IF(CP410="","",IF(COUNTIF($CP$6:CP410,CP410)=1,MAX($CL$5:CL409)+1,INDEX($CL$5:CL409,MATCH(CP410,$CP$5:CP409,0))))</f>
        <v/>
      </c>
      <c r="CM410" s="99">
        <f>IF(NOT(AND($A410&lt;&gt;"",$C410&lt;&gt;"DOOR ONLY")),"",MAX($CM$5:CM409)+1)</f>
        <v/>
      </c>
      <c r="CN410" s="99">
        <f>IF(NOT(AND($A410&lt;&gt;"",N($BJ410)&gt;0)),"",MAX($CN$5:CN409)+1)</f>
        <v/>
      </c>
      <c r="CO410" s="99">
        <f>IF($A410="","",MAX($CO$5:CO409)+1)</f>
        <v/>
      </c>
      <c r="CP410" s="99">
        <f>IF(OR($A410="",$BH410="",$BI410=""),"",$BG410&amp;"|"&amp;$O410&amp;"|"&amp;$AL410&amp;"|"&amp;$S410&amp;"|"&amp;$P410&amp;"|"&amp;$Q410&amp;$R410&amp;"|"&amp;$C410&amp;"|"&amp;$AB410)</f>
        <v/>
      </c>
      <c r="CQ410" s="99">
        <f>N($BS410)</f>
        <v/>
      </c>
      <c r="CR410" s="99">
        <f>IF(N($AU410)&gt;0,N($AU410),4.5)</f>
        <v/>
      </c>
      <c r="CS410" s="99">
        <f>OR($A410="",$BI410="",$S410="BL",AND($C410="FRAME ONLY",OR($AC410="",$AC410="BLK")))</f>
        <v/>
      </c>
      <c r="CT410" s="99">
        <f>AND(NOT($CS410),OR($AT410="CUSTOM LOC",N($AW410)+N($AX410)+N($AY410)+N($AZ410)+N($BA410)&gt;0))</f>
        <v/>
      </c>
      <c r="CU410" s="99">
        <f>IF($BI410="","",IF($BI410&lt;=80,80,IF($BI410&lt;=84,84,96)))</f>
        <v/>
      </c>
      <c r="CV410" s="99">
        <f>ISNUMBER(MATCH($AT410&amp;"|80",LocKeys,0))</f>
        <v/>
      </c>
      <c r="CW410" s="101">
        <f>IF($CS410,"",IF($CV410,VLOOKUP($AT410&amp;"|"&amp;$CU410,LocTable,4,FALSE),5))</f>
        <v/>
      </c>
      <c r="CX410" s="101">
        <f>IF($CS410,"",IF($CV410,IF(OR($BI410=$CU410,AND($BI410&lt;$CU410,$BI410-IF(N(VLOOKUP($AT410&amp;"|"&amp;$CU410,LocTable,7,FALSE))&gt;0,VLOOKUP($AT410&amp;"|"&amp;$CU410,LocTable,7,FALSE),VLOOKUP($AT410&amp;"|"&amp;$CU410,LocTable,6,FALSE))-$CR410-0.75&gt;=2.125)),IF(N(VLOOKUP($AT410&amp;"|"&amp;$CU410,LocTable,7,FALSE))&gt;0,VLOOKUP($AT410&amp;"|"&amp;$CU410,LocTable,7,FALSE),VLOOKUP($AT410&amp;"|"&amp;$CU410,LocTable,6,FALSE)),$BI410-($CU410-IF(N(VLOOKUP($AT410&amp;"|"&amp;$CU410,LocTable,7,FALSE))&gt;0,VLOOKUP($AT410&amp;"|"&amp;$CU410,LocTable,7,FALSE),VLOOKUP($AT410&amp;"|"&amp;$CU410,LocTable,6,FALSE)))),$BI410-10-$CR410))</f>
        <v/>
      </c>
      <c r="CY410" s="100">
        <f>IF($CS410,"",TRIM(IF(ISNUMBER($BU410),"A "&amp;TRIM(TEXT($BU410,"# ?/??"))&amp;CHAR(34)&amp;"  ","")&amp;IF(ISNUMBER($BV410),"B "&amp;TRIM(TEXT($BV410,"# ?/??"))&amp;CHAR(34)&amp;"  ","")&amp;IF(ISNUMBER($BW410),"C "&amp;TRIM(TEXT($BW410,"# ?/??"))&amp;CHAR(34)&amp;"  ","")&amp;IF(ISNUMBER($BX410),"D "&amp;TRIM(TEXT($BX410,"# ?/??"))&amp;CHAR(34)&amp;"  ","")&amp;IF(ISNUMBER($BY410),"F "&amp;TRIM(TEXT($BY410,"# ?/??"))&amp;CHAR(34)&amp;"  ","")&amp;IF(ISNUMBER($BZ410),"E "&amp;TRIM(TEXT($BZ410,"# ?/??"))&amp;CHAR(34)&amp;"  ","")))</f>
        <v/>
      </c>
      <c r="CZ410" s="100">
        <f>IF(OR($CS410,N($BJ410)=0),"",TRIM(IF(ISNUMBER($BU410),"A "&amp;TRIM(TEXT($BU410-HeadClr,"# ?/??"))&amp;CHAR(34)&amp;"  ","")&amp;IF(ISNUMBER($BV410),"B "&amp;TRIM(TEXT($BV410-HeadClr,"# ?/??"))&amp;CHAR(34)&amp;"  ","")&amp;IF(ISNUMBER($BW410),"C "&amp;TRIM(TEXT($BW410-HeadClr,"# ?/??"))&amp;CHAR(34)&amp;"  ","")&amp;IF(ISNUMBER($BX410),"D "&amp;TRIM(TEXT($BX410-HeadClr,"# ?/??"))&amp;CHAR(34)&amp;"  ","")&amp;IF(ISNUMBER($BY410),"F "&amp;TRIM(TEXT($BY410-HeadClr,"# ?/??"))&amp;CHAR(34)&amp;"  ","")&amp;IF(ISNUMBER($BZ410),"E "&amp;TRIM(TEXT($BZ410-HeadClr,"# ?/??"))&amp;CHAR(34)&amp;"  ","")))</f>
        <v/>
      </c>
      <c r="DA410" s="99">
        <f>IF($A410="","",IF($AN410="",IFERROR(VLOOKUP($Z410,CODES,2,FALSE),""),IFERROR(VLOOKUP($AN410,CODES,2,FALSE),"")))</f>
        <v/>
      </c>
      <c r="DB410" s="99">
        <f>IF($A410="","",IF($O410="Y","PR",IF(OR($Z410="L",$Z410="RR",LEFT($Z410,2)="L-",LEFT($Z410,3)="RR-"),"LH","RH")))</f>
        <v/>
      </c>
      <c r="DC410" s="99">
        <f>IF($A410="","","S.HM"&amp;IF(OR($C410="DOOR ONLY",$X410&lt;&gt;"KD"),"MASONRY","DRYWALL")&amp;IF($C410="DOOR ONLY","",$U410)&amp;IF(AND($C410&lt;&gt;"FRAME ONLY",OR(LEFT($AH410,3)="OAK",LEFT($AH410,3)="BIR",LEFT($AH410,3)="MAP",$AH410="PC",$AH410="MC",$AH410="SCLC",$AH410="P-LAM")),"WD","HM")&amp;"1.75")</f>
        <v/>
      </c>
      <c r="DD410" s="99">
        <f>IF($CJ410="","",IF($O410="Y",$CJ410,SUBSTITUTE($CJ410,$BG410&amp;" "&amp;IFERROR(VLOOKUP($Z410,CODES,2,FALSE),"")&amp;" ",$BG410&amp;" ")))</f>
        <v/>
      </c>
      <c r="DE410" s="99">
        <f>IF($CK410="","",IF($O410="Y",$CK410,SUBSTITUTE($CK410,$BG410&amp;" "&amp;IF($AN410="",IFERROR(VLOOKUP($Z410,CODES,2,FALSE),""),IFERROR(VLOOKUP($AN410,CODES,2,FALSE),""))&amp;" ",$BG410&amp;" ")))</f>
        <v/>
      </c>
      <c r="DF410" s="99">
        <f>IF($CJ410="","",$DC410&amp;"|"&amp;$DD410&amp;"|"&amp;$DB410&amp;"|"&amp;$AT410&amp;"|"&amp;$V410&amp;"|"&amp;$Y410&amp;"|"&amp;$AB410)</f>
        <v/>
      </c>
      <c r="DG410" s="99">
        <f>IF(DF410="","",IF(COUNTIF($DF$6:DF410,DF410)=1,MAX($DG$5:DG409)+1,INDEX($DG$5:DG409,MATCH(DF410,$DF$5:DF409,0))))</f>
        <v/>
      </c>
      <c r="DH410" s="99">
        <f>IF($CK410="","",$DC410&amp;"|"&amp;$DE410&amp;"|"&amp;$AI410&amp;"|"&amp;$BK410&amp;"|"&amp;$BL410)</f>
        <v/>
      </c>
      <c r="DI410" s="99">
        <f>IF(DH410="","",IF(COUNTIF($DH$6:DH410,DH410)=1,MAX($DI$5:DI409)+1,INDEX($DI$5:DI409,MATCH(DH410,$DH$5:DH409,0))))</f>
        <v/>
      </c>
      <c r="DJ410" s="99">
        <f>IF($A410="","",IF($B410="","qty, ","")&amp;IF($C410="","scope, ","")&amp;IF(OR($K410="",$M410=""),"size, ","")&amp;IF(AND($A410&lt;&gt;"",$C410&lt;&gt;"DOOR ONLY"),IF($U410="","jamb depth, ","")&amp;IF($X410="","construction, ","")&amp;IF($Y410="","anchor, ","")&amp;IF($S410="","frame type, ",""),"")&amp;IF(AND(N($BJ410)&gt;0,$Z410=""),"hand, ","")&amp;IF(N($BJ410)&gt;0,IF($AH410="","door material, ","")&amp;IF($AL410="","face type, ","")&amp;IF($AP410="","lock prep, ","")&amp;IF(AND($AO410="",$AC410=""),"hinge prep, ",""),"")&amp;IF(AND($CH410&gt;0,$AH410="FRP"),"FRP cannot carry a label, ","")&amp;IF(AND($O410="Y",OR($Z410="L",$Z410="R",$Z410="LR",$Z410="RR")),"pair marked but hand is single, ","")&amp;IF(AND($O410&lt;&gt;"Y",OR($Z410="PR",AND(LEN($Z410)&gt;1,ISNUMBER(SEARCH("-",$Z410))))),"pair hand on a single door, ","")&amp;IF(AND(ISNUMBER($CI410),$CH410&lt;N($CI410)),"wall needs a "&amp;$CI410&amp;" min door, ","")&amp;IF(AND($CH410&gt;=180,AND(OR($CE410="FG",$CE410="HG",$CE410="FNV",$CE410="FV"),N($CF410)*N($CG410)&gt;100)),"180 min lite over 100 sq in, ","")&amp;IF(N($BK410)&gt;48,"leaf wider than 4'-0"&amp;CHAR(34)&amp;", ","")&amp;IF(AND($CT410,COUNT($AW410:$AZ410)=0,$CQ410&gt;0),"CUSTOM LOC with no locations typed, ",""))</f>
        <v/>
      </c>
      <c r="DK410" s="99">
        <f>IF($A410="","",IF(AND($CH410&gt;0,AND($A410&lt;&gt;"",$C410&lt;&gt;"DOOR ONLY"),$X410="KD",$E410="EXTERIOR"),"KD label on an exterior opening, ","")&amp;IF(AND($E410="EXTERIOR",OR(AND(AND($A410&lt;&gt;"",$C410&lt;&gt;"DOOR ONLY"),$W410="CR"),AND(N($BJ410)&gt;0,$AH410="CR"))),"exterior in CR steel (G9?), ","")&amp;IF(AND(ISNUMBER($BQ410),N($BQ410)&lt;32),"clear width ~"&amp;TEXT($BQ410,"0.0")&amp;CHAR(34)&amp;" under 32"&amp;CHAR(34)&amp;" (ADA), ","")&amp;IF(AND($CH410=90,AND(OR($CE410="FG",$CE410="HG",$CE410="FNV",$CE410="FV"),N($CF410)*N($CG410)&gt;100)),"90 min lite over 100 sq in (stair/exit), ","")&amp;IF(AND($CH410&gt;0,AND($A410&lt;&gt;"",$C410&lt;&gt;"DOOR ONLY"),OR($AF410="",$AF410="-")),"rated: closer reinf.?, ","")&amp;IF(OR($I410="CORRIDOR",$I410="SMOKE BARRIER"),"S label + smoke gasketing, ","")&amp;IF($CI410="?","wall type/hr not in IBC table, ","")&amp;IF(AND(N($BJ410)&gt;0,$BB410=""),"no hardware set, ","")&amp;IF(AND($BB410&lt;&gt;"",ISNA(MATCH($BB410&amp;"",HWSets,0))),"set "&amp;$BB410&amp;" not on HW Sets, ","")&amp;IF(N($BL410)&gt;96,"leaf over 8'-0"&amp;CHAR(34)&amp;" - check listing, ","")&amp;IF(AND($CT410,COUNT($AW410:$AZ410)&gt;0,COUNT($AW410:$AZ410)&lt;&gt;$CQ410),COUNT($AW410:$AZ410)&amp;" custom hinges typed, "&amp;$CQ410&amp;" expected, ","")&amp;IF(AND(ISNUMBER($CA410),OR(N($CA410)&lt;34,N($CA410)&gt;48)),"lock "&amp;TEXT($CA410,"0.0")&amp;CHAR(34)&amp;" AFF outside 34-48"&amp;CHAR(34)&amp;" (ADA), ","")&amp;IF(AND(ISNUMBER($AV410),ISNUMBER($BL410),N($AV410)&lt;IF(N($BL410)&lt;=60,2,IF(N($BL410)&lt;=90,3,IF(N($BL410)&lt;=120,4,5)))),"fewer hinges than standard, ",""))</f>
        <v/>
      </c>
    </row>
    <row r="411" ht="15" customHeight="1">
      <c r="A411" s="77" t="n"/>
      <c r="B411" s="78" t="n"/>
      <c r="C411" s="78" t="n"/>
      <c r="D411" s="78" t="n"/>
      <c r="E411" s="78" t="n"/>
      <c r="F411" s="78" t="n"/>
      <c r="G411" s="78" t="n"/>
      <c r="H411" s="78" t="n"/>
      <c r="I411" s="78" t="n"/>
      <c r="J411" s="78" t="n"/>
      <c r="K411" s="78" t="n"/>
      <c r="L411" s="78" t="n"/>
      <c r="M411" s="78" t="n"/>
      <c r="N411" s="78" t="n"/>
      <c r="O411" s="78" t="n"/>
      <c r="P411" s="78" t="n"/>
      <c r="Q411" s="78" t="n"/>
      <c r="R411" s="78" t="n"/>
      <c r="S411" s="79" t="n"/>
      <c r="T411" s="79" t="n"/>
      <c r="U411" s="79" t="n"/>
      <c r="V411" s="79" t="n"/>
      <c r="W411" s="79" t="n"/>
      <c r="X411" s="79" t="n"/>
      <c r="Y411" s="79" t="n"/>
      <c r="Z411" s="79" t="n"/>
      <c r="AA411" s="79" t="n"/>
      <c r="AB411" s="79" t="n"/>
      <c r="AC411" s="79" t="n"/>
      <c r="AD411" s="79" t="n"/>
      <c r="AE411" s="79" t="n"/>
      <c r="AF411" s="79" t="n"/>
      <c r="AG411" s="79" t="n"/>
      <c r="AH411" s="80" t="n"/>
      <c r="AI411" s="80" t="n"/>
      <c r="AJ411" s="80" t="n"/>
      <c r="AK411" s="80" t="n"/>
      <c r="AL411" s="80" t="n"/>
      <c r="AM411" s="80" t="n"/>
      <c r="AN411" s="80" t="n"/>
      <c r="AO411" s="80" t="n"/>
      <c r="AP411" s="80" t="n"/>
      <c r="AQ411" s="80" t="n"/>
      <c r="AR411" s="80" t="n"/>
      <c r="AS411" s="80" t="n"/>
      <c r="AT411" s="81" t="n"/>
      <c r="AU411" s="81" t="n"/>
      <c r="AV411" s="81" t="n"/>
      <c r="AW411" s="82" t="n"/>
      <c r="AX411" s="82" t="n"/>
      <c r="AY411" s="82" t="n"/>
      <c r="AZ411" s="82" t="n"/>
      <c r="BA411" s="82" t="n"/>
      <c r="BB411" s="83" t="n"/>
      <c r="BC411" s="83" t="n"/>
      <c r="BD411" s="84">
        <f>IF($A411="","",IF($DJ411&lt;&gt;"","FIX",IF($DK411&lt;&gt;"","CHECK","OK")))</f>
        <v/>
      </c>
      <c r="BE411" s="85">
        <f>IF($A411="","",IF($DJ411&lt;&gt;"","FIX: "&amp;LEFT($DJ411,LEN($DJ411)-2)&amp;IF($DK411&lt;&gt;"","  ·  ",""),"")&amp;IF($DK411&lt;&gt;"","CHECK: "&amp;LEFT($DK411,LEN($DK411)-2),""))</f>
        <v/>
      </c>
      <c r="BF411" s="84">
        <f>IF(OR($A411="",$K411=""),"",$K411&amp;"'-"&amp;N($L411)&amp;CHAR(34)&amp;" x "&amp;$M411&amp;"'-"&amp;N($N411)&amp;CHAR(34))</f>
        <v/>
      </c>
      <c r="BG411" s="84">
        <f>IF(OR($A411="",$K411=""),"",$K411&amp;N($L411)&amp;$M411&amp;N($N411))</f>
        <v/>
      </c>
      <c r="BH411" s="84">
        <f>IF(OR($A411="",$K411=""),"",$K411*12+N($L411))</f>
        <v/>
      </c>
      <c r="BI411" s="84">
        <f>IF(OR($A411="",$M411=""),"",$M411*12+N($N411))</f>
        <v/>
      </c>
      <c r="BJ411" s="84">
        <f>IF($A411="","",IF(OR($C411="FRAME ONLY",$S411="BL"),0,IF($O411="Y",2,1)))</f>
        <v/>
      </c>
      <c r="BK411" s="86">
        <f>IF(OR(N($BJ411)=0,$BH411=""),"",($BH411-2*EdgeClr-IF($BJ411=2,MeetClr,0))/$BJ411)</f>
        <v/>
      </c>
      <c r="BL411" s="86">
        <f>IF(OR(N($BJ411)=0,$BI411=""),"",$BI411-HeadClr-Undercut)</f>
        <v/>
      </c>
      <c r="BM411" s="86">
        <f>IF($BH411="","",$BH411+2*FaceW+IF(N($Q411)&gt;0,($Q411+FaceW)*IF($R411="LR",2,1),0))</f>
        <v/>
      </c>
      <c r="BN411" s="86">
        <f>IF($BI411="","",$BI411+IF($AB411="Y",4,FaceW)+IF(N($P411)&gt;0,$P411+FaceW,0)+IF(OR($S411="4F",$S411="BL"),FaceW,0))</f>
        <v/>
      </c>
      <c r="BO411" s="86">
        <f>IF($BM411="","",$BM411+2*ROSide)</f>
        <v/>
      </c>
      <c r="BP411" s="86">
        <f>IF($BN411="","",$BN411+ROTop)</f>
        <v/>
      </c>
      <c r="BQ411" s="87">
        <f>IF(OR(N($BJ411)=0,$BH411=""),"",$BH411/$BJ411-ClearDeduct)</f>
        <v/>
      </c>
      <c r="BR411" s="84">
        <f>IF(N($CH411)=0,"",IF($CH411&gt;=180,"A · 3 HR",IF($CH411&gt;=90,"B · 1-1/2 HR",IF($CH411&gt;=60,"B · 1 HR",IF($CH411&gt;=45,"C · 3/4 HR","20 MIN")))))&amp;IF(AND(N($CH411)&gt;0,OR($I411="CORRIDOR",$I411="SMOKE BARRIER"))," · S","")</f>
        <v/>
      </c>
      <c r="BS411" s="84">
        <f>IF($CS411,"",IF($AV411&lt;&gt;"",$AV411,IF(OR($AC411="HGC",$AO411="HGC"),"CONT",IF(($BI411-HeadClr-Undercut)&lt;=60,2,IF(($BI411-HeadClr-Undercut)&lt;=90,3,IF(($BI411-HeadClr-Undercut)&lt;=120,4,5))))))</f>
        <v/>
      </c>
      <c r="BT411" s="84">
        <f>IF($CS411,"",IF($CT411,"CUSTOM (typed)",IF($CV411,$AT411&amp;" "&amp;$CU411&amp;CHAR(34)&amp;IF($CU411&lt;&gt;$BI411,IF(AND($BI411&lt;$CU411,$BI411-IF(N(VLOOKUP($AT411&amp;"|"&amp;$CU411,LocTable,7,FALSE))&gt;0,VLOOKUP($AT411&amp;"|"&amp;$CU411,LocTable,7,FALSE),VLOOKUP($AT411&amp;"|"&amp;$CU411,LocTable,6,FALSE))-$CR411-0.75&gt;=2.125)," cut down"," adj."),""),"ANSI/SDI A250.6")))</f>
        <v/>
      </c>
      <c r="BU411" s="88">
        <f>IF($CS411,"",IF($CT411,IF(N($AW411)&gt;0,N($AW411),""),IF(1&gt;$CQ411,"",IF($CQ411=1,$CW411,$CW411+($CX411-$CW411)*0/($CQ411-1)))))</f>
        <v/>
      </c>
      <c r="BV411" s="88">
        <f>IF($CS411,"",IF($CT411,IF(N($AX411)&gt;0,N($AX411),""),IF(2&gt;$CQ411,"",IF($CQ411=1,$CW411,$CW411+($CX411-$CW411)*1/($CQ411-1)))))</f>
        <v/>
      </c>
      <c r="BW411" s="88">
        <f>IF($CS411,"",IF($CT411,IF(N($AY411)&gt;0,N($AY411),""),IF(3&gt;$CQ411,"",IF($CQ411=1,$CW411,$CW411+($CX411-$CW411)*2/($CQ411-1)))))</f>
        <v/>
      </c>
      <c r="BX411" s="88">
        <f>IF($CS411,"",IF($CT411,IF(N($AZ411)&gt;0,N($AZ411),""),IF(4&gt;$CQ411,"",IF($CQ411=1,$CW411,$CW411+($CX411-$CW411)*3/($CQ411-1)))))</f>
        <v/>
      </c>
      <c r="BY411" s="88">
        <f>IF($CS411,"",IF($CT411,"",IF(5&gt;$CQ411,"",IF($CQ411=1,$CW411,$CW411+($CX411-$CW411)*4/($CQ411-1)))))</f>
        <v/>
      </c>
      <c r="BZ411" s="88">
        <f>IF(OR($CS411,$AP411="-",AND($AP411="",$AD411="")),"",IF(N($BA411)&gt;0,N($BA411),IF($CV411,IF(AND($BI411&lt;$CU411,$BI411-IF(N(VLOOKUP($AT411&amp;"|"&amp;$CU411,LocTable,7,FALSE))&gt;0,VLOOKUP($AT411&amp;"|"&amp;$CU411,LocTable,7,FALSE),VLOOKUP($AT411&amp;"|"&amp;$CU411,LocTable,6,FALSE))-$CR411-0.75&gt;=2.125),VLOOKUP($AT411&amp;"|"&amp;$CU411,LocTable,8,FALSE),VLOOKUP($AT411&amp;"|"&amp;$CU411,LocTable,8,FALSE)+($BI411-$CU411)),$BI411-LockAFF)))</f>
        <v/>
      </c>
      <c r="CA411" s="89">
        <f>IF($BZ411="","",$BI411-$BZ411)</f>
        <v/>
      </c>
      <c r="CB411" s="84">
        <f>IF(OR(NOT(AND($A411&lt;&gt;"",$C411&lt;&gt;"DOOR ONLY")),$BI411=""),"",IF(($BI411+IF(N($P411)&gt;0,$P411+FaceW,0))&lt;=90,3,IF(($BI411+IF(N($P411)&gt;0,$P411+FaceW,0))&lt;=114,4,5)))</f>
        <v/>
      </c>
      <c r="CC411" s="84">
        <f>IF($CB411="","",$CB411*(2+IF(N($Q411)&gt;0,IF($R411="LR",2,1),0)))</f>
        <v/>
      </c>
      <c r="CD411" s="84">
        <f>IF($CB411="","",(2+IF(N($Q411)&gt;0,IF($R411="LR",2,1),0)))</f>
        <v/>
      </c>
      <c r="CE411" s="84">
        <f>IF(N($BJ411)=0,"",IF(OR($AL411="",$AL411="FLUSH"),"FLUSH",IFERROR(LEFT($AL411,FIND("-",$AL411)-1),LEFT($AL411,2))))</f>
        <v/>
      </c>
      <c r="CF411" s="84">
        <f>IF($CE411="","",IFERROR(VALUE(MID($AL411,FIND("-",$AL411)+1,FIND(CHAR(34)&amp;"x",$AL411)-FIND("-",$AL411)-1)),0))</f>
        <v/>
      </c>
      <c r="CG411" s="84">
        <f>IF($CE411="","",IFERROR(VALUE(MID($AL411,FIND(CHAR(34)&amp;"x",$AL411)+2,FIND(CHAR(34),$AL411,FIND(CHAR(34)&amp;"x",$AL411)+2)-FIND(CHAR(34)&amp;"x",$AL411)-2)),0))</f>
        <v/>
      </c>
      <c r="CH411" s="90">
        <f>IF(OR($A411="",$H411="",$H411="NO LAB"),0,IFERROR(VALUE(LEFT($H411,FIND(" ",$H411)-1)),0))</f>
        <v/>
      </c>
      <c r="CI411" s="91">
        <f>IF(OR($A411="",$I411="",$I411="NON-RATED",N($J411)=0),"",IFERROR(VLOOKUP($I411&amp;"|"&amp;$J411,IBC,2,FALSE),"?"))</f>
        <v/>
      </c>
      <c r="CJ411" s="85">
        <f>IF(NOT(AND($A411&lt;&gt;"",$C411&lt;&gt;"DOOR ONLY")),"",TRIM(IFERROR(VLOOKUP($U411,CODES,2,FALSE),"")&amp;" "&amp;$BG411&amp;" "&amp;IFERROR(VLOOKUP($Z411,CODES,2,FALSE),"")&amp;" "&amp;IFERROR(VLOOKUP($X411,CODES,2,FALSE),"")&amp;" "&amp;IFERROR(VLOOKUP($S411,CODES,2,FALSE),"")&amp;IF(N($P411)&gt;0," w/TRANSOM "&amp;$P411&amp;CHAR(34),"")&amp;IF(N($Q411)&gt;0," w/SIDELITE "&amp;$Q411&amp;CHAR(34)&amp;" "&amp;IF($R411="","R",$R411),"")&amp;IF($Y411="","  |  "," | "&amp;IFERROR(VLOOKUP($Y411,CODES,2,FALSE),"")&amp;" | ")&amp;IFERROR(VLOOKUP($AC411,CODES,2,FALSE),"")&amp;" "&amp;IFERROR(VLOOKUP($AD411,CODES,2,FALSE),"")&amp;IF(OR($AE411="",$AE411="-"),""," "&amp;$AE411)&amp;IF(OR($AF411="",$AF411="-"),""," "&amp;$AF411)&amp;IF($AB411="Y"," 4"&amp;CHAR(34)&amp;" HEAD","")&amp;" "&amp;IFERROR(VLOOKUP($H411,CODES,2,FALSE),"")&amp;IF($CT411," | LOC "&amp;$CY411,"")))</f>
        <v/>
      </c>
      <c r="CK411" s="85">
        <f>IF(NOT(AND($A411&lt;&gt;"",N($BJ411)&gt;0)),"",TRIM(IFERROR(VLOOKUP($AH411,CODES,2,FALSE),"")&amp;IF($AI411=""," "," "&amp;$AI411&amp;"GA ")&amp;$BG411&amp;" "&amp;IF($AN411="",IFERROR(VLOOKUP($Z411,CODES,2,FALSE),""),IFERROR(VLOOKUP($AN411,CODES,2,FALSE),""))&amp;IF($BJ411=2," PAIR","")&amp;" DOOR | "&amp;IF($AL411="","?",$AL411)&amp;" | "&amp;IF($AO411="",IFERROR(VLOOKUP($AC411,CODES,2,FALSE),""),IFERROR(VLOOKUP($AO411,CODES,2,FALSE),""))&amp;" "&amp;IFERROR(VLOOKUP($AP411,CODES,2,FALSE),"")&amp;IF(OR($AQ411="",$AQ411="-"),""," SEAM "&amp;$AQ411)&amp;IF($AR411="Y"," ASTRAGAL","")&amp;IF($AJ411=""," "," "&amp;$AJ411)&amp;IF($AK411=""," "," "&amp;$AK411)&amp;IF(OR($AT411="",$AT411="ANSI/SDI",$AT411="CUSTOM LOC"),""," "&amp;$AT411)&amp;IF($AM411=""," "," SERIES "&amp;$AM411)&amp;" "&amp;IFERROR(VLOOKUP($H411,CODES,2,FALSE),"")&amp;IF($CT411," | LOC "&amp;$CZ411,"")))</f>
        <v/>
      </c>
      <c r="CL411" s="84">
        <f>IF(CP411="","",IF(COUNTIF($CP$6:CP411,CP411)=1,MAX($CL$5:CL410)+1,INDEX($CL$5:CL410,MATCH(CP411,$CP$5:CP410,0))))</f>
        <v/>
      </c>
      <c r="CM411" s="84">
        <f>IF(NOT(AND($A411&lt;&gt;"",$C411&lt;&gt;"DOOR ONLY")),"",MAX($CM$5:CM410)+1)</f>
        <v/>
      </c>
      <c r="CN411" s="84">
        <f>IF(NOT(AND($A411&lt;&gt;"",N($BJ411)&gt;0)),"",MAX($CN$5:CN410)+1)</f>
        <v/>
      </c>
      <c r="CO411" s="84">
        <f>IF($A411="","",MAX($CO$5:CO410)+1)</f>
        <v/>
      </c>
      <c r="CP411" s="84">
        <f>IF(OR($A411="",$BH411="",$BI411=""),"",$BG411&amp;"|"&amp;$O411&amp;"|"&amp;$AL411&amp;"|"&amp;$S411&amp;"|"&amp;$P411&amp;"|"&amp;$Q411&amp;$R411&amp;"|"&amp;$C411&amp;"|"&amp;$AB411)</f>
        <v/>
      </c>
      <c r="CQ411" s="84">
        <f>N($BS411)</f>
        <v/>
      </c>
      <c r="CR411" s="84">
        <f>IF(N($AU411)&gt;0,N($AU411),4.5)</f>
        <v/>
      </c>
      <c r="CS411" s="84">
        <f>OR($A411="",$BI411="",$S411="BL",AND($C411="FRAME ONLY",OR($AC411="",$AC411="BLK")))</f>
        <v/>
      </c>
      <c r="CT411" s="84">
        <f>AND(NOT($CS411),OR($AT411="CUSTOM LOC",N($AW411)+N($AX411)+N($AY411)+N($AZ411)+N($BA411)&gt;0))</f>
        <v/>
      </c>
      <c r="CU411" s="84">
        <f>IF($BI411="","",IF($BI411&lt;=80,80,IF($BI411&lt;=84,84,96)))</f>
        <v/>
      </c>
      <c r="CV411" s="84">
        <f>ISNUMBER(MATCH($AT411&amp;"|80",LocKeys,0))</f>
        <v/>
      </c>
      <c r="CW411" s="86">
        <f>IF($CS411,"",IF($CV411,VLOOKUP($AT411&amp;"|"&amp;$CU411,LocTable,4,FALSE),5))</f>
        <v/>
      </c>
      <c r="CX411" s="86">
        <f>IF($CS411,"",IF($CV411,IF(OR($BI411=$CU411,AND($BI411&lt;$CU411,$BI411-IF(N(VLOOKUP($AT411&amp;"|"&amp;$CU411,LocTable,7,FALSE))&gt;0,VLOOKUP($AT411&amp;"|"&amp;$CU411,LocTable,7,FALSE),VLOOKUP($AT411&amp;"|"&amp;$CU411,LocTable,6,FALSE))-$CR411-0.75&gt;=2.125)),IF(N(VLOOKUP($AT411&amp;"|"&amp;$CU411,LocTable,7,FALSE))&gt;0,VLOOKUP($AT411&amp;"|"&amp;$CU411,LocTable,7,FALSE),VLOOKUP($AT411&amp;"|"&amp;$CU411,LocTable,6,FALSE)),$BI411-($CU411-IF(N(VLOOKUP($AT411&amp;"|"&amp;$CU411,LocTable,7,FALSE))&gt;0,VLOOKUP($AT411&amp;"|"&amp;$CU411,LocTable,7,FALSE),VLOOKUP($AT411&amp;"|"&amp;$CU411,LocTable,6,FALSE)))),$BI411-10-$CR411))</f>
        <v/>
      </c>
      <c r="CY411" s="85">
        <f>IF($CS411,"",TRIM(IF(ISNUMBER($BU411),"A "&amp;TRIM(TEXT($BU411,"# ?/??"))&amp;CHAR(34)&amp;"  ","")&amp;IF(ISNUMBER($BV411),"B "&amp;TRIM(TEXT($BV411,"# ?/??"))&amp;CHAR(34)&amp;"  ","")&amp;IF(ISNUMBER($BW411),"C "&amp;TRIM(TEXT($BW411,"# ?/??"))&amp;CHAR(34)&amp;"  ","")&amp;IF(ISNUMBER($BX411),"D "&amp;TRIM(TEXT($BX411,"# ?/??"))&amp;CHAR(34)&amp;"  ","")&amp;IF(ISNUMBER($BY411),"F "&amp;TRIM(TEXT($BY411,"# ?/??"))&amp;CHAR(34)&amp;"  ","")&amp;IF(ISNUMBER($BZ411),"E "&amp;TRIM(TEXT($BZ411,"# ?/??"))&amp;CHAR(34)&amp;"  ","")))</f>
        <v/>
      </c>
      <c r="CZ411" s="85">
        <f>IF(OR($CS411,N($BJ411)=0),"",TRIM(IF(ISNUMBER($BU411),"A "&amp;TRIM(TEXT($BU411-HeadClr,"# ?/??"))&amp;CHAR(34)&amp;"  ","")&amp;IF(ISNUMBER($BV411),"B "&amp;TRIM(TEXT($BV411-HeadClr,"# ?/??"))&amp;CHAR(34)&amp;"  ","")&amp;IF(ISNUMBER($BW411),"C "&amp;TRIM(TEXT($BW411-HeadClr,"# ?/??"))&amp;CHAR(34)&amp;"  ","")&amp;IF(ISNUMBER($BX411),"D "&amp;TRIM(TEXT($BX411-HeadClr,"# ?/??"))&amp;CHAR(34)&amp;"  ","")&amp;IF(ISNUMBER($BY411),"F "&amp;TRIM(TEXT($BY411-HeadClr,"# ?/??"))&amp;CHAR(34)&amp;"  ","")&amp;IF(ISNUMBER($BZ411),"E "&amp;TRIM(TEXT($BZ411-HeadClr,"# ?/??"))&amp;CHAR(34)&amp;"  ","")))</f>
        <v/>
      </c>
      <c r="DA411" s="84">
        <f>IF($A411="","",IF($AN411="",IFERROR(VLOOKUP($Z411,CODES,2,FALSE),""),IFERROR(VLOOKUP($AN411,CODES,2,FALSE),"")))</f>
        <v/>
      </c>
      <c r="DB411" s="84">
        <f>IF($A411="","",IF($O411="Y","PR",IF(OR($Z411="L",$Z411="RR",LEFT($Z411,2)="L-",LEFT($Z411,3)="RR-"),"LH","RH")))</f>
        <v/>
      </c>
      <c r="DC411" s="84">
        <f>IF($A411="","","S.HM"&amp;IF(OR($C411="DOOR ONLY",$X411&lt;&gt;"KD"),"MASONRY","DRYWALL")&amp;IF($C411="DOOR ONLY","",$U411)&amp;IF(AND($C411&lt;&gt;"FRAME ONLY",OR(LEFT($AH411,3)="OAK",LEFT($AH411,3)="BIR",LEFT($AH411,3)="MAP",$AH411="PC",$AH411="MC",$AH411="SCLC",$AH411="P-LAM")),"WD","HM")&amp;"1.75")</f>
        <v/>
      </c>
      <c r="DD411" s="84">
        <f>IF($CJ411="","",IF($O411="Y",$CJ411,SUBSTITUTE($CJ411,$BG411&amp;" "&amp;IFERROR(VLOOKUP($Z411,CODES,2,FALSE),"")&amp;" ",$BG411&amp;" ")))</f>
        <v/>
      </c>
      <c r="DE411" s="84">
        <f>IF($CK411="","",IF($O411="Y",$CK411,SUBSTITUTE($CK411,$BG411&amp;" "&amp;IF($AN411="",IFERROR(VLOOKUP($Z411,CODES,2,FALSE),""),IFERROR(VLOOKUP($AN411,CODES,2,FALSE),""))&amp;" ",$BG411&amp;" ")))</f>
        <v/>
      </c>
      <c r="DF411" s="84">
        <f>IF($CJ411="","",$DC411&amp;"|"&amp;$DD411&amp;"|"&amp;$DB411&amp;"|"&amp;$AT411&amp;"|"&amp;$V411&amp;"|"&amp;$Y411&amp;"|"&amp;$AB411)</f>
        <v/>
      </c>
      <c r="DG411" s="84">
        <f>IF(DF411="","",IF(COUNTIF($DF$6:DF411,DF411)=1,MAX($DG$5:DG410)+1,INDEX($DG$5:DG410,MATCH(DF411,$DF$5:DF410,0))))</f>
        <v/>
      </c>
      <c r="DH411" s="84">
        <f>IF($CK411="","",$DC411&amp;"|"&amp;$DE411&amp;"|"&amp;$AI411&amp;"|"&amp;$BK411&amp;"|"&amp;$BL411)</f>
        <v/>
      </c>
      <c r="DI411" s="84">
        <f>IF(DH411="","",IF(COUNTIF($DH$6:DH411,DH411)=1,MAX($DI$5:DI410)+1,INDEX($DI$5:DI410,MATCH(DH411,$DH$5:DH410,0))))</f>
        <v/>
      </c>
      <c r="DJ411" s="84">
        <f>IF($A411="","",IF($B411="","qty, ","")&amp;IF($C411="","scope, ","")&amp;IF(OR($K411="",$M411=""),"size, ","")&amp;IF(AND($A411&lt;&gt;"",$C411&lt;&gt;"DOOR ONLY"),IF($U411="","jamb depth, ","")&amp;IF($X411="","construction, ","")&amp;IF($Y411="","anchor, ","")&amp;IF($S411="","frame type, ",""),"")&amp;IF(AND(N($BJ411)&gt;0,$Z411=""),"hand, ","")&amp;IF(N($BJ411)&gt;0,IF($AH411="","door material, ","")&amp;IF($AL411="","face type, ","")&amp;IF($AP411="","lock prep, ","")&amp;IF(AND($AO411="",$AC411=""),"hinge prep, ",""),"")&amp;IF(AND($CH411&gt;0,$AH411="FRP"),"FRP cannot carry a label, ","")&amp;IF(AND($O411="Y",OR($Z411="L",$Z411="R",$Z411="LR",$Z411="RR")),"pair marked but hand is single, ","")&amp;IF(AND($O411&lt;&gt;"Y",OR($Z411="PR",AND(LEN($Z411)&gt;1,ISNUMBER(SEARCH("-",$Z411))))),"pair hand on a single door, ","")&amp;IF(AND(ISNUMBER($CI411),$CH411&lt;N($CI411)),"wall needs a "&amp;$CI411&amp;" min door, ","")&amp;IF(AND($CH411&gt;=180,AND(OR($CE411="FG",$CE411="HG",$CE411="FNV",$CE411="FV"),N($CF411)*N($CG411)&gt;100)),"180 min lite over 100 sq in, ","")&amp;IF(N($BK411)&gt;48,"leaf wider than 4'-0"&amp;CHAR(34)&amp;", ","")&amp;IF(AND($CT411,COUNT($AW411:$AZ411)=0,$CQ411&gt;0),"CUSTOM LOC with no locations typed, ",""))</f>
        <v/>
      </c>
      <c r="DK411" s="84">
        <f>IF($A411="","",IF(AND($CH411&gt;0,AND($A411&lt;&gt;"",$C411&lt;&gt;"DOOR ONLY"),$X411="KD",$E411="EXTERIOR"),"KD label on an exterior opening, ","")&amp;IF(AND($E411="EXTERIOR",OR(AND(AND($A411&lt;&gt;"",$C411&lt;&gt;"DOOR ONLY"),$W411="CR"),AND(N($BJ411)&gt;0,$AH411="CR"))),"exterior in CR steel (G9?), ","")&amp;IF(AND(ISNUMBER($BQ411),N($BQ411)&lt;32),"clear width ~"&amp;TEXT($BQ411,"0.0")&amp;CHAR(34)&amp;" under 32"&amp;CHAR(34)&amp;" (ADA), ","")&amp;IF(AND($CH411=90,AND(OR($CE411="FG",$CE411="HG",$CE411="FNV",$CE411="FV"),N($CF411)*N($CG411)&gt;100)),"90 min lite over 100 sq in (stair/exit), ","")&amp;IF(AND($CH411&gt;0,AND($A411&lt;&gt;"",$C411&lt;&gt;"DOOR ONLY"),OR($AF411="",$AF411="-")),"rated: closer reinf.?, ","")&amp;IF(OR($I411="CORRIDOR",$I411="SMOKE BARRIER"),"S label + smoke gasketing, ","")&amp;IF($CI411="?","wall type/hr not in IBC table, ","")&amp;IF(AND(N($BJ411)&gt;0,$BB411=""),"no hardware set, ","")&amp;IF(AND($BB411&lt;&gt;"",ISNA(MATCH($BB411&amp;"",HWSets,0))),"set "&amp;$BB411&amp;" not on HW Sets, ","")&amp;IF(N($BL411)&gt;96,"leaf over 8'-0"&amp;CHAR(34)&amp;" - check listing, ","")&amp;IF(AND($CT411,COUNT($AW411:$AZ411)&gt;0,COUNT($AW411:$AZ411)&lt;&gt;$CQ411),COUNT($AW411:$AZ411)&amp;" custom hinges typed, "&amp;$CQ411&amp;" expected, ","")&amp;IF(AND(ISNUMBER($CA411),OR(N($CA411)&lt;34,N($CA411)&gt;48)),"lock "&amp;TEXT($CA411,"0.0")&amp;CHAR(34)&amp;" AFF outside 34-48"&amp;CHAR(34)&amp;" (ADA), ","")&amp;IF(AND(ISNUMBER($AV411),ISNUMBER($BL411),N($AV411)&lt;IF(N($BL411)&lt;=60,2,IF(N($BL411)&lt;=90,3,IF(N($BL411)&lt;=120,4,5)))),"fewer hinges than standard, ",""))</f>
        <v/>
      </c>
    </row>
    <row r="412" ht="15" customHeight="1">
      <c r="A412" s="77" t="n"/>
      <c r="B412" s="78" t="n"/>
      <c r="C412" s="78" t="n"/>
      <c r="D412" s="78" t="n"/>
      <c r="E412" s="78" t="n"/>
      <c r="F412" s="78" t="n"/>
      <c r="G412" s="78" t="n"/>
      <c r="H412" s="78" t="n"/>
      <c r="I412" s="78" t="n"/>
      <c r="J412" s="78" t="n"/>
      <c r="K412" s="78" t="n"/>
      <c r="L412" s="78" t="n"/>
      <c r="M412" s="78" t="n"/>
      <c r="N412" s="78" t="n"/>
      <c r="O412" s="78" t="n"/>
      <c r="P412" s="78" t="n"/>
      <c r="Q412" s="78" t="n"/>
      <c r="R412" s="78" t="n"/>
      <c r="S412" s="79" t="n"/>
      <c r="T412" s="79" t="n"/>
      <c r="U412" s="79" t="n"/>
      <c r="V412" s="79" t="n"/>
      <c r="W412" s="79" t="n"/>
      <c r="X412" s="79" t="n"/>
      <c r="Y412" s="79" t="n"/>
      <c r="Z412" s="79" t="n"/>
      <c r="AA412" s="79" t="n"/>
      <c r="AB412" s="79" t="n"/>
      <c r="AC412" s="79" t="n"/>
      <c r="AD412" s="79" t="n"/>
      <c r="AE412" s="79" t="n"/>
      <c r="AF412" s="79" t="n"/>
      <c r="AG412" s="79" t="n"/>
      <c r="AH412" s="80" t="n"/>
      <c r="AI412" s="80" t="n"/>
      <c r="AJ412" s="80" t="n"/>
      <c r="AK412" s="80" t="n"/>
      <c r="AL412" s="80" t="n"/>
      <c r="AM412" s="80" t="n"/>
      <c r="AN412" s="80" t="n"/>
      <c r="AO412" s="80" t="n"/>
      <c r="AP412" s="80" t="n"/>
      <c r="AQ412" s="80" t="n"/>
      <c r="AR412" s="80" t="n"/>
      <c r="AS412" s="80" t="n"/>
      <c r="AT412" s="81" t="n"/>
      <c r="AU412" s="81" t="n"/>
      <c r="AV412" s="81" t="n"/>
      <c r="AW412" s="82" t="n"/>
      <c r="AX412" s="82" t="n"/>
      <c r="AY412" s="82" t="n"/>
      <c r="AZ412" s="82" t="n"/>
      <c r="BA412" s="82" t="n"/>
      <c r="BB412" s="83" t="n"/>
      <c r="BC412" s="83" t="n"/>
      <c r="BD412" s="84">
        <f>IF($A412="","",IF($DJ412&lt;&gt;"","FIX",IF($DK412&lt;&gt;"","CHECK","OK")))</f>
        <v/>
      </c>
      <c r="BE412" s="85">
        <f>IF($A412="","",IF($DJ412&lt;&gt;"","FIX: "&amp;LEFT($DJ412,LEN($DJ412)-2)&amp;IF($DK412&lt;&gt;"","  ·  ",""),"")&amp;IF($DK412&lt;&gt;"","CHECK: "&amp;LEFT($DK412,LEN($DK412)-2),""))</f>
        <v/>
      </c>
      <c r="BF412" s="84">
        <f>IF(OR($A412="",$K412=""),"",$K412&amp;"'-"&amp;N($L412)&amp;CHAR(34)&amp;" x "&amp;$M412&amp;"'-"&amp;N($N412)&amp;CHAR(34))</f>
        <v/>
      </c>
      <c r="BG412" s="84">
        <f>IF(OR($A412="",$K412=""),"",$K412&amp;N($L412)&amp;$M412&amp;N($N412))</f>
        <v/>
      </c>
      <c r="BH412" s="84">
        <f>IF(OR($A412="",$K412=""),"",$K412*12+N($L412))</f>
        <v/>
      </c>
      <c r="BI412" s="84">
        <f>IF(OR($A412="",$M412=""),"",$M412*12+N($N412))</f>
        <v/>
      </c>
      <c r="BJ412" s="84">
        <f>IF($A412="","",IF(OR($C412="FRAME ONLY",$S412="BL"),0,IF($O412="Y",2,1)))</f>
        <v/>
      </c>
      <c r="BK412" s="86">
        <f>IF(OR(N($BJ412)=0,$BH412=""),"",($BH412-2*EdgeClr-IF($BJ412=2,MeetClr,0))/$BJ412)</f>
        <v/>
      </c>
      <c r="BL412" s="86">
        <f>IF(OR(N($BJ412)=0,$BI412=""),"",$BI412-HeadClr-Undercut)</f>
        <v/>
      </c>
      <c r="BM412" s="86">
        <f>IF($BH412="","",$BH412+2*FaceW+IF(N($Q412)&gt;0,($Q412+FaceW)*IF($R412="LR",2,1),0))</f>
        <v/>
      </c>
      <c r="BN412" s="86">
        <f>IF($BI412="","",$BI412+IF($AB412="Y",4,FaceW)+IF(N($P412)&gt;0,$P412+FaceW,0)+IF(OR($S412="4F",$S412="BL"),FaceW,0))</f>
        <v/>
      </c>
      <c r="BO412" s="86">
        <f>IF($BM412="","",$BM412+2*ROSide)</f>
        <v/>
      </c>
      <c r="BP412" s="86">
        <f>IF($BN412="","",$BN412+ROTop)</f>
        <v/>
      </c>
      <c r="BQ412" s="87">
        <f>IF(OR(N($BJ412)=0,$BH412=""),"",$BH412/$BJ412-ClearDeduct)</f>
        <v/>
      </c>
      <c r="BR412" s="84">
        <f>IF(N($CH412)=0,"",IF($CH412&gt;=180,"A · 3 HR",IF($CH412&gt;=90,"B · 1-1/2 HR",IF($CH412&gt;=60,"B · 1 HR",IF($CH412&gt;=45,"C · 3/4 HR","20 MIN")))))&amp;IF(AND(N($CH412)&gt;0,OR($I412="CORRIDOR",$I412="SMOKE BARRIER"))," · S","")</f>
        <v/>
      </c>
      <c r="BS412" s="84">
        <f>IF($CS412,"",IF($AV412&lt;&gt;"",$AV412,IF(OR($AC412="HGC",$AO412="HGC"),"CONT",IF(($BI412-HeadClr-Undercut)&lt;=60,2,IF(($BI412-HeadClr-Undercut)&lt;=90,3,IF(($BI412-HeadClr-Undercut)&lt;=120,4,5))))))</f>
        <v/>
      </c>
      <c r="BT412" s="84">
        <f>IF($CS412,"",IF($CT412,"CUSTOM (typed)",IF($CV412,$AT412&amp;" "&amp;$CU412&amp;CHAR(34)&amp;IF($CU412&lt;&gt;$BI412,IF(AND($BI412&lt;$CU412,$BI412-IF(N(VLOOKUP($AT412&amp;"|"&amp;$CU412,LocTable,7,FALSE))&gt;0,VLOOKUP($AT412&amp;"|"&amp;$CU412,LocTable,7,FALSE),VLOOKUP($AT412&amp;"|"&amp;$CU412,LocTable,6,FALSE))-$CR412-0.75&gt;=2.125)," cut down"," adj."),""),"ANSI/SDI A250.6")))</f>
        <v/>
      </c>
      <c r="BU412" s="88">
        <f>IF($CS412,"",IF($CT412,IF(N($AW412)&gt;0,N($AW412),""),IF(1&gt;$CQ412,"",IF($CQ412=1,$CW412,$CW412+($CX412-$CW412)*0/($CQ412-1)))))</f>
        <v/>
      </c>
      <c r="BV412" s="88">
        <f>IF($CS412,"",IF($CT412,IF(N($AX412)&gt;0,N($AX412),""),IF(2&gt;$CQ412,"",IF($CQ412=1,$CW412,$CW412+($CX412-$CW412)*1/($CQ412-1)))))</f>
        <v/>
      </c>
      <c r="BW412" s="88">
        <f>IF($CS412,"",IF($CT412,IF(N($AY412)&gt;0,N($AY412),""),IF(3&gt;$CQ412,"",IF($CQ412=1,$CW412,$CW412+($CX412-$CW412)*2/($CQ412-1)))))</f>
        <v/>
      </c>
      <c r="BX412" s="88">
        <f>IF($CS412,"",IF($CT412,IF(N($AZ412)&gt;0,N($AZ412),""),IF(4&gt;$CQ412,"",IF($CQ412=1,$CW412,$CW412+($CX412-$CW412)*3/($CQ412-1)))))</f>
        <v/>
      </c>
      <c r="BY412" s="88">
        <f>IF($CS412,"",IF($CT412,"",IF(5&gt;$CQ412,"",IF($CQ412=1,$CW412,$CW412+($CX412-$CW412)*4/($CQ412-1)))))</f>
        <v/>
      </c>
      <c r="BZ412" s="88">
        <f>IF(OR($CS412,$AP412="-",AND($AP412="",$AD412="")),"",IF(N($BA412)&gt;0,N($BA412),IF($CV412,IF(AND($BI412&lt;$CU412,$BI412-IF(N(VLOOKUP($AT412&amp;"|"&amp;$CU412,LocTable,7,FALSE))&gt;0,VLOOKUP($AT412&amp;"|"&amp;$CU412,LocTable,7,FALSE),VLOOKUP($AT412&amp;"|"&amp;$CU412,LocTable,6,FALSE))-$CR412-0.75&gt;=2.125),VLOOKUP($AT412&amp;"|"&amp;$CU412,LocTable,8,FALSE),VLOOKUP($AT412&amp;"|"&amp;$CU412,LocTable,8,FALSE)+($BI412-$CU412)),$BI412-LockAFF)))</f>
        <v/>
      </c>
      <c r="CA412" s="89">
        <f>IF($BZ412="","",$BI412-$BZ412)</f>
        <v/>
      </c>
      <c r="CB412" s="84">
        <f>IF(OR(NOT(AND($A412&lt;&gt;"",$C412&lt;&gt;"DOOR ONLY")),$BI412=""),"",IF(($BI412+IF(N($P412)&gt;0,$P412+FaceW,0))&lt;=90,3,IF(($BI412+IF(N($P412)&gt;0,$P412+FaceW,0))&lt;=114,4,5)))</f>
        <v/>
      </c>
      <c r="CC412" s="84">
        <f>IF($CB412="","",$CB412*(2+IF(N($Q412)&gt;0,IF($R412="LR",2,1),0)))</f>
        <v/>
      </c>
      <c r="CD412" s="84">
        <f>IF($CB412="","",(2+IF(N($Q412)&gt;0,IF($R412="LR",2,1),0)))</f>
        <v/>
      </c>
      <c r="CE412" s="84">
        <f>IF(N($BJ412)=0,"",IF(OR($AL412="",$AL412="FLUSH"),"FLUSH",IFERROR(LEFT($AL412,FIND("-",$AL412)-1),LEFT($AL412,2))))</f>
        <v/>
      </c>
      <c r="CF412" s="84">
        <f>IF($CE412="","",IFERROR(VALUE(MID($AL412,FIND("-",$AL412)+1,FIND(CHAR(34)&amp;"x",$AL412)-FIND("-",$AL412)-1)),0))</f>
        <v/>
      </c>
      <c r="CG412" s="84">
        <f>IF($CE412="","",IFERROR(VALUE(MID($AL412,FIND(CHAR(34)&amp;"x",$AL412)+2,FIND(CHAR(34),$AL412,FIND(CHAR(34)&amp;"x",$AL412)+2)-FIND(CHAR(34)&amp;"x",$AL412)-2)),0))</f>
        <v/>
      </c>
      <c r="CH412" s="90">
        <f>IF(OR($A412="",$H412="",$H412="NO LAB"),0,IFERROR(VALUE(LEFT($H412,FIND(" ",$H412)-1)),0))</f>
        <v/>
      </c>
      <c r="CI412" s="91">
        <f>IF(OR($A412="",$I412="",$I412="NON-RATED",N($J412)=0),"",IFERROR(VLOOKUP($I412&amp;"|"&amp;$J412,IBC,2,FALSE),"?"))</f>
        <v/>
      </c>
      <c r="CJ412" s="85">
        <f>IF(NOT(AND($A412&lt;&gt;"",$C412&lt;&gt;"DOOR ONLY")),"",TRIM(IFERROR(VLOOKUP($U412,CODES,2,FALSE),"")&amp;" "&amp;$BG412&amp;" "&amp;IFERROR(VLOOKUP($Z412,CODES,2,FALSE),"")&amp;" "&amp;IFERROR(VLOOKUP($X412,CODES,2,FALSE),"")&amp;" "&amp;IFERROR(VLOOKUP($S412,CODES,2,FALSE),"")&amp;IF(N($P412)&gt;0," w/TRANSOM "&amp;$P412&amp;CHAR(34),"")&amp;IF(N($Q412)&gt;0," w/SIDELITE "&amp;$Q412&amp;CHAR(34)&amp;" "&amp;IF($R412="","R",$R412),"")&amp;IF($Y412="","  |  "," | "&amp;IFERROR(VLOOKUP($Y412,CODES,2,FALSE),"")&amp;" | ")&amp;IFERROR(VLOOKUP($AC412,CODES,2,FALSE),"")&amp;" "&amp;IFERROR(VLOOKUP($AD412,CODES,2,FALSE),"")&amp;IF(OR($AE412="",$AE412="-"),""," "&amp;$AE412)&amp;IF(OR($AF412="",$AF412="-"),""," "&amp;$AF412)&amp;IF($AB412="Y"," 4"&amp;CHAR(34)&amp;" HEAD","")&amp;" "&amp;IFERROR(VLOOKUP($H412,CODES,2,FALSE),"")&amp;IF($CT412," | LOC "&amp;$CY412,"")))</f>
        <v/>
      </c>
      <c r="CK412" s="85">
        <f>IF(NOT(AND($A412&lt;&gt;"",N($BJ412)&gt;0)),"",TRIM(IFERROR(VLOOKUP($AH412,CODES,2,FALSE),"")&amp;IF($AI412=""," "," "&amp;$AI412&amp;"GA ")&amp;$BG412&amp;" "&amp;IF($AN412="",IFERROR(VLOOKUP($Z412,CODES,2,FALSE),""),IFERROR(VLOOKUP($AN412,CODES,2,FALSE),""))&amp;IF($BJ412=2," PAIR","")&amp;" DOOR | "&amp;IF($AL412="","?",$AL412)&amp;" | "&amp;IF($AO412="",IFERROR(VLOOKUP($AC412,CODES,2,FALSE),""),IFERROR(VLOOKUP($AO412,CODES,2,FALSE),""))&amp;" "&amp;IFERROR(VLOOKUP($AP412,CODES,2,FALSE),"")&amp;IF(OR($AQ412="",$AQ412="-"),""," SEAM "&amp;$AQ412)&amp;IF($AR412="Y"," ASTRAGAL","")&amp;IF($AJ412=""," "," "&amp;$AJ412)&amp;IF($AK412=""," "," "&amp;$AK412)&amp;IF(OR($AT412="",$AT412="ANSI/SDI",$AT412="CUSTOM LOC"),""," "&amp;$AT412)&amp;IF($AM412=""," "," SERIES "&amp;$AM412)&amp;" "&amp;IFERROR(VLOOKUP($H412,CODES,2,FALSE),"")&amp;IF($CT412," | LOC "&amp;$CZ412,"")))</f>
        <v/>
      </c>
      <c r="CL412" s="84">
        <f>IF(CP412="","",IF(COUNTIF($CP$6:CP412,CP412)=1,MAX($CL$5:CL411)+1,INDEX($CL$5:CL411,MATCH(CP412,$CP$5:CP411,0))))</f>
        <v/>
      </c>
      <c r="CM412" s="84">
        <f>IF(NOT(AND($A412&lt;&gt;"",$C412&lt;&gt;"DOOR ONLY")),"",MAX($CM$5:CM411)+1)</f>
        <v/>
      </c>
      <c r="CN412" s="84">
        <f>IF(NOT(AND($A412&lt;&gt;"",N($BJ412)&gt;0)),"",MAX($CN$5:CN411)+1)</f>
        <v/>
      </c>
      <c r="CO412" s="84">
        <f>IF($A412="","",MAX($CO$5:CO411)+1)</f>
        <v/>
      </c>
      <c r="CP412" s="84">
        <f>IF(OR($A412="",$BH412="",$BI412=""),"",$BG412&amp;"|"&amp;$O412&amp;"|"&amp;$AL412&amp;"|"&amp;$S412&amp;"|"&amp;$P412&amp;"|"&amp;$Q412&amp;$R412&amp;"|"&amp;$C412&amp;"|"&amp;$AB412)</f>
        <v/>
      </c>
      <c r="CQ412" s="84">
        <f>N($BS412)</f>
        <v/>
      </c>
      <c r="CR412" s="84">
        <f>IF(N($AU412)&gt;0,N($AU412),4.5)</f>
        <v/>
      </c>
      <c r="CS412" s="84">
        <f>OR($A412="",$BI412="",$S412="BL",AND($C412="FRAME ONLY",OR($AC412="",$AC412="BLK")))</f>
        <v/>
      </c>
      <c r="CT412" s="84">
        <f>AND(NOT($CS412),OR($AT412="CUSTOM LOC",N($AW412)+N($AX412)+N($AY412)+N($AZ412)+N($BA412)&gt;0))</f>
        <v/>
      </c>
      <c r="CU412" s="84">
        <f>IF($BI412="","",IF($BI412&lt;=80,80,IF($BI412&lt;=84,84,96)))</f>
        <v/>
      </c>
      <c r="CV412" s="84">
        <f>ISNUMBER(MATCH($AT412&amp;"|80",LocKeys,0))</f>
        <v/>
      </c>
      <c r="CW412" s="86">
        <f>IF($CS412,"",IF($CV412,VLOOKUP($AT412&amp;"|"&amp;$CU412,LocTable,4,FALSE),5))</f>
        <v/>
      </c>
      <c r="CX412" s="86">
        <f>IF($CS412,"",IF($CV412,IF(OR($BI412=$CU412,AND($BI412&lt;$CU412,$BI412-IF(N(VLOOKUP($AT412&amp;"|"&amp;$CU412,LocTable,7,FALSE))&gt;0,VLOOKUP($AT412&amp;"|"&amp;$CU412,LocTable,7,FALSE),VLOOKUP($AT412&amp;"|"&amp;$CU412,LocTable,6,FALSE))-$CR412-0.75&gt;=2.125)),IF(N(VLOOKUP($AT412&amp;"|"&amp;$CU412,LocTable,7,FALSE))&gt;0,VLOOKUP($AT412&amp;"|"&amp;$CU412,LocTable,7,FALSE),VLOOKUP($AT412&amp;"|"&amp;$CU412,LocTable,6,FALSE)),$BI412-($CU412-IF(N(VLOOKUP($AT412&amp;"|"&amp;$CU412,LocTable,7,FALSE))&gt;0,VLOOKUP($AT412&amp;"|"&amp;$CU412,LocTable,7,FALSE),VLOOKUP($AT412&amp;"|"&amp;$CU412,LocTable,6,FALSE)))),$BI412-10-$CR412))</f>
        <v/>
      </c>
      <c r="CY412" s="85">
        <f>IF($CS412,"",TRIM(IF(ISNUMBER($BU412),"A "&amp;TRIM(TEXT($BU412,"# ?/??"))&amp;CHAR(34)&amp;"  ","")&amp;IF(ISNUMBER($BV412),"B "&amp;TRIM(TEXT($BV412,"# ?/??"))&amp;CHAR(34)&amp;"  ","")&amp;IF(ISNUMBER($BW412),"C "&amp;TRIM(TEXT($BW412,"# ?/??"))&amp;CHAR(34)&amp;"  ","")&amp;IF(ISNUMBER($BX412),"D "&amp;TRIM(TEXT($BX412,"# ?/??"))&amp;CHAR(34)&amp;"  ","")&amp;IF(ISNUMBER($BY412),"F "&amp;TRIM(TEXT($BY412,"# ?/??"))&amp;CHAR(34)&amp;"  ","")&amp;IF(ISNUMBER($BZ412),"E "&amp;TRIM(TEXT($BZ412,"# ?/??"))&amp;CHAR(34)&amp;"  ","")))</f>
        <v/>
      </c>
      <c r="CZ412" s="85">
        <f>IF(OR($CS412,N($BJ412)=0),"",TRIM(IF(ISNUMBER($BU412),"A "&amp;TRIM(TEXT($BU412-HeadClr,"# ?/??"))&amp;CHAR(34)&amp;"  ","")&amp;IF(ISNUMBER($BV412),"B "&amp;TRIM(TEXT($BV412-HeadClr,"# ?/??"))&amp;CHAR(34)&amp;"  ","")&amp;IF(ISNUMBER($BW412),"C "&amp;TRIM(TEXT($BW412-HeadClr,"# ?/??"))&amp;CHAR(34)&amp;"  ","")&amp;IF(ISNUMBER($BX412),"D "&amp;TRIM(TEXT($BX412-HeadClr,"# ?/??"))&amp;CHAR(34)&amp;"  ","")&amp;IF(ISNUMBER($BY412),"F "&amp;TRIM(TEXT($BY412-HeadClr,"# ?/??"))&amp;CHAR(34)&amp;"  ","")&amp;IF(ISNUMBER($BZ412),"E "&amp;TRIM(TEXT($BZ412-HeadClr,"# ?/??"))&amp;CHAR(34)&amp;"  ","")))</f>
        <v/>
      </c>
      <c r="DA412" s="84">
        <f>IF($A412="","",IF($AN412="",IFERROR(VLOOKUP($Z412,CODES,2,FALSE),""),IFERROR(VLOOKUP($AN412,CODES,2,FALSE),"")))</f>
        <v/>
      </c>
      <c r="DB412" s="84">
        <f>IF($A412="","",IF($O412="Y","PR",IF(OR($Z412="L",$Z412="RR",LEFT($Z412,2)="L-",LEFT($Z412,3)="RR-"),"LH","RH")))</f>
        <v/>
      </c>
      <c r="DC412" s="84">
        <f>IF($A412="","","S.HM"&amp;IF(OR($C412="DOOR ONLY",$X412&lt;&gt;"KD"),"MASONRY","DRYWALL")&amp;IF($C412="DOOR ONLY","",$U412)&amp;IF(AND($C412&lt;&gt;"FRAME ONLY",OR(LEFT($AH412,3)="OAK",LEFT($AH412,3)="BIR",LEFT($AH412,3)="MAP",$AH412="PC",$AH412="MC",$AH412="SCLC",$AH412="P-LAM")),"WD","HM")&amp;"1.75")</f>
        <v/>
      </c>
      <c r="DD412" s="84">
        <f>IF($CJ412="","",IF($O412="Y",$CJ412,SUBSTITUTE($CJ412,$BG412&amp;" "&amp;IFERROR(VLOOKUP($Z412,CODES,2,FALSE),"")&amp;" ",$BG412&amp;" ")))</f>
        <v/>
      </c>
      <c r="DE412" s="84">
        <f>IF($CK412="","",IF($O412="Y",$CK412,SUBSTITUTE($CK412,$BG412&amp;" "&amp;IF($AN412="",IFERROR(VLOOKUP($Z412,CODES,2,FALSE),""),IFERROR(VLOOKUP($AN412,CODES,2,FALSE),""))&amp;" ",$BG412&amp;" ")))</f>
        <v/>
      </c>
      <c r="DF412" s="84">
        <f>IF($CJ412="","",$DC412&amp;"|"&amp;$DD412&amp;"|"&amp;$DB412&amp;"|"&amp;$AT412&amp;"|"&amp;$V412&amp;"|"&amp;$Y412&amp;"|"&amp;$AB412)</f>
        <v/>
      </c>
      <c r="DG412" s="84">
        <f>IF(DF412="","",IF(COUNTIF($DF$6:DF412,DF412)=1,MAX($DG$5:DG411)+1,INDEX($DG$5:DG411,MATCH(DF412,$DF$5:DF411,0))))</f>
        <v/>
      </c>
      <c r="DH412" s="84">
        <f>IF($CK412="","",$DC412&amp;"|"&amp;$DE412&amp;"|"&amp;$AI412&amp;"|"&amp;$BK412&amp;"|"&amp;$BL412)</f>
        <v/>
      </c>
      <c r="DI412" s="84">
        <f>IF(DH412="","",IF(COUNTIF($DH$6:DH412,DH412)=1,MAX($DI$5:DI411)+1,INDEX($DI$5:DI411,MATCH(DH412,$DH$5:DH411,0))))</f>
        <v/>
      </c>
      <c r="DJ412" s="84">
        <f>IF($A412="","",IF($B412="","qty, ","")&amp;IF($C412="","scope, ","")&amp;IF(OR($K412="",$M412=""),"size, ","")&amp;IF(AND($A412&lt;&gt;"",$C412&lt;&gt;"DOOR ONLY"),IF($U412="","jamb depth, ","")&amp;IF($X412="","construction, ","")&amp;IF($Y412="","anchor, ","")&amp;IF($S412="","frame type, ",""),"")&amp;IF(AND(N($BJ412)&gt;0,$Z412=""),"hand, ","")&amp;IF(N($BJ412)&gt;0,IF($AH412="","door material, ","")&amp;IF($AL412="","face type, ","")&amp;IF($AP412="","lock prep, ","")&amp;IF(AND($AO412="",$AC412=""),"hinge prep, ",""),"")&amp;IF(AND($CH412&gt;0,$AH412="FRP"),"FRP cannot carry a label, ","")&amp;IF(AND($O412="Y",OR($Z412="L",$Z412="R",$Z412="LR",$Z412="RR")),"pair marked but hand is single, ","")&amp;IF(AND($O412&lt;&gt;"Y",OR($Z412="PR",AND(LEN($Z412)&gt;1,ISNUMBER(SEARCH("-",$Z412))))),"pair hand on a single door, ","")&amp;IF(AND(ISNUMBER($CI412),$CH412&lt;N($CI412)),"wall needs a "&amp;$CI412&amp;" min door, ","")&amp;IF(AND($CH412&gt;=180,AND(OR($CE412="FG",$CE412="HG",$CE412="FNV",$CE412="FV"),N($CF412)*N($CG412)&gt;100)),"180 min lite over 100 sq in, ","")&amp;IF(N($BK412)&gt;48,"leaf wider than 4'-0"&amp;CHAR(34)&amp;", ","")&amp;IF(AND($CT412,COUNT($AW412:$AZ412)=0,$CQ412&gt;0),"CUSTOM LOC with no locations typed, ",""))</f>
        <v/>
      </c>
      <c r="DK412" s="84">
        <f>IF($A412="","",IF(AND($CH412&gt;0,AND($A412&lt;&gt;"",$C412&lt;&gt;"DOOR ONLY"),$X412="KD",$E412="EXTERIOR"),"KD label on an exterior opening, ","")&amp;IF(AND($E412="EXTERIOR",OR(AND(AND($A412&lt;&gt;"",$C412&lt;&gt;"DOOR ONLY"),$W412="CR"),AND(N($BJ412)&gt;0,$AH412="CR"))),"exterior in CR steel (G9?), ","")&amp;IF(AND(ISNUMBER($BQ412),N($BQ412)&lt;32),"clear width ~"&amp;TEXT($BQ412,"0.0")&amp;CHAR(34)&amp;" under 32"&amp;CHAR(34)&amp;" (ADA), ","")&amp;IF(AND($CH412=90,AND(OR($CE412="FG",$CE412="HG",$CE412="FNV",$CE412="FV"),N($CF412)*N($CG412)&gt;100)),"90 min lite over 100 sq in (stair/exit), ","")&amp;IF(AND($CH412&gt;0,AND($A412&lt;&gt;"",$C412&lt;&gt;"DOOR ONLY"),OR($AF412="",$AF412="-")),"rated: closer reinf.?, ","")&amp;IF(OR($I412="CORRIDOR",$I412="SMOKE BARRIER"),"S label + smoke gasketing, ","")&amp;IF($CI412="?","wall type/hr not in IBC table, ","")&amp;IF(AND(N($BJ412)&gt;0,$BB412=""),"no hardware set, ","")&amp;IF(AND($BB412&lt;&gt;"",ISNA(MATCH($BB412&amp;"",HWSets,0))),"set "&amp;$BB412&amp;" not on HW Sets, ","")&amp;IF(N($BL412)&gt;96,"leaf over 8'-0"&amp;CHAR(34)&amp;" - check listing, ","")&amp;IF(AND($CT412,COUNT($AW412:$AZ412)&gt;0,COUNT($AW412:$AZ412)&lt;&gt;$CQ412),COUNT($AW412:$AZ412)&amp;" custom hinges typed, "&amp;$CQ412&amp;" expected, ","")&amp;IF(AND(ISNUMBER($CA412),OR(N($CA412)&lt;34,N($CA412)&gt;48)),"lock "&amp;TEXT($CA412,"0.0")&amp;CHAR(34)&amp;" AFF outside 34-48"&amp;CHAR(34)&amp;" (ADA), ","")&amp;IF(AND(ISNUMBER($AV412),ISNUMBER($BL412),N($AV412)&lt;IF(N($BL412)&lt;=60,2,IF(N($BL412)&lt;=90,3,IF(N($BL412)&lt;=120,4,5)))),"fewer hinges than standard, ",""))</f>
        <v/>
      </c>
    </row>
    <row r="413" ht="15" customHeight="1">
      <c r="A413" s="77" t="n"/>
      <c r="B413" s="78" t="n"/>
      <c r="C413" s="78" t="n"/>
      <c r="D413" s="78" t="n"/>
      <c r="E413" s="78" t="n"/>
      <c r="F413" s="78" t="n"/>
      <c r="G413" s="78" t="n"/>
      <c r="H413" s="78" t="n"/>
      <c r="I413" s="78" t="n"/>
      <c r="J413" s="78" t="n"/>
      <c r="K413" s="78" t="n"/>
      <c r="L413" s="78" t="n"/>
      <c r="M413" s="78" t="n"/>
      <c r="N413" s="78" t="n"/>
      <c r="O413" s="78" t="n"/>
      <c r="P413" s="78" t="n"/>
      <c r="Q413" s="78" t="n"/>
      <c r="R413" s="78" t="n"/>
      <c r="S413" s="79" t="n"/>
      <c r="T413" s="79" t="n"/>
      <c r="U413" s="79" t="n"/>
      <c r="V413" s="79" t="n"/>
      <c r="W413" s="79" t="n"/>
      <c r="X413" s="79" t="n"/>
      <c r="Y413" s="79" t="n"/>
      <c r="Z413" s="79" t="n"/>
      <c r="AA413" s="79" t="n"/>
      <c r="AB413" s="79" t="n"/>
      <c r="AC413" s="79" t="n"/>
      <c r="AD413" s="79" t="n"/>
      <c r="AE413" s="79" t="n"/>
      <c r="AF413" s="79" t="n"/>
      <c r="AG413" s="79" t="n"/>
      <c r="AH413" s="80" t="n"/>
      <c r="AI413" s="80" t="n"/>
      <c r="AJ413" s="80" t="n"/>
      <c r="AK413" s="80" t="n"/>
      <c r="AL413" s="80" t="n"/>
      <c r="AM413" s="80" t="n"/>
      <c r="AN413" s="80" t="n"/>
      <c r="AO413" s="80" t="n"/>
      <c r="AP413" s="80" t="n"/>
      <c r="AQ413" s="80" t="n"/>
      <c r="AR413" s="80" t="n"/>
      <c r="AS413" s="80" t="n"/>
      <c r="AT413" s="81" t="n"/>
      <c r="AU413" s="81" t="n"/>
      <c r="AV413" s="81" t="n"/>
      <c r="AW413" s="82" t="n"/>
      <c r="AX413" s="82" t="n"/>
      <c r="AY413" s="82" t="n"/>
      <c r="AZ413" s="82" t="n"/>
      <c r="BA413" s="82" t="n"/>
      <c r="BB413" s="83" t="n"/>
      <c r="BC413" s="83" t="n"/>
      <c r="BD413" s="84">
        <f>IF($A413="","",IF($DJ413&lt;&gt;"","FIX",IF($DK413&lt;&gt;"","CHECK","OK")))</f>
        <v/>
      </c>
      <c r="BE413" s="85">
        <f>IF($A413="","",IF($DJ413&lt;&gt;"","FIX: "&amp;LEFT($DJ413,LEN($DJ413)-2)&amp;IF($DK413&lt;&gt;"","  ·  ",""),"")&amp;IF($DK413&lt;&gt;"","CHECK: "&amp;LEFT($DK413,LEN($DK413)-2),""))</f>
        <v/>
      </c>
      <c r="BF413" s="84">
        <f>IF(OR($A413="",$K413=""),"",$K413&amp;"'-"&amp;N($L413)&amp;CHAR(34)&amp;" x "&amp;$M413&amp;"'-"&amp;N($N413)&amp;CHAR(34))</f>
        <v/>
      </c>
      <c r="BG413" s="84">
        <f>IF(OR($A413="",$K413=""),"",$K413&amp;N($L413)&amp;$M413&amp;N($N413))</f>
        <v/>
      </c>
      <c r="BH413" s="84">
        <f>IF(OR($A413="",$K413=""),"",$K413*12+N($L413))</f>
        <v/>
      </c>
      <c r="BI413" s="84">
        <f>IF(OR($A413="",$M413=""),"",$M413*12+N($N413))</f>
        <v/>
      </c>
      <c r="BJ413" s="84">
        <f>IF($A413="","",IF(OR($C413="FRAME ONLY",$S413="BL"),0,IF($O413="Y",2,1)))</f>
        <v/>
      </c>
      <c r="BK413" s="86">
        <f>IF(OR(N($BJ413)=0,$BH413=""),"",($BH413-2*EdgeClr-IF($BJ413=2,MeetClr,0))/$BJ413)</f>
        <v/>
      </c>
      <c r="BL413" s="86">
        <f>IF(OR(N($BJ413)=0,$BI413=""),"",$BI413-HeadClr-Undercut)</f>
        <v/>
      </c>
      <c r="BM413" s="86">
        <f>IF($BH413="","",$BH413+2*FaceW+IF(N($Q413)&gt;0,($Q413+FaceW)*IF($R413="LR",2,1),0))</f>
        <v/>
      </c>
      <c r="BN413" s="86">
        <f>IF($BI413="","",$BI413+IF($AB413="Y",4,FaceW)+IF(N($P413)&gt;0,$P413+FaceW,0)+IF(OR($S413="4F",$S413="BL"),FaceW,0))</f>
        <v/>
      </c>
      <c r="BO413" s="86">
        <f>IF($BM413="","",$BM413+2*ROSide)</f>
        <v/>
      </c>
      <c r="BP413" s="86">
        <f>IF($BN413="","",$BN413+ROTop)</f>
        <v/>
      </c>
      <c r="BQ413" s="87">
        <f>IF(OR(N($BJ413)=0,$BH413=""),"",$BH413/$BJ413-ClearDeduct)</f>
        <v/>
      </c>
      <c r="BR413" s="84">
        <f>IF(N($CH413)=0,"",IF($CH413&gt;=180,"A · 3 HR",IF($CH413&gt;=90,"B · 1-1/2 HR",IF($CH413&gt;=60,"B · 1 HR",IF($CH413&gt;=45,"C · 3/4 HR","20 MIN")))))&amp;IF(AND(N($CH413)&gt;0,OR($I413="CORRIDOR",$I413="SMOKE BARRIER"))," · S","")</f>
        <v/>
      </c>
      <c r="BS413" s="84">
        <f>IF($CS413,"",IF($AV413&lt;&gt;"",$AV413,IF(OR($AC413="HGC",$AO413="HGC"),"CONT",IF(($BI413-HeadClr-Undercut)&lt;=60,2,IF(($BI413-HeadClr-Undercut)&lt;=90,3,IF(($BI413-HeadClr-Undercut)&lt;=120,4,5))))))</f>
        <v/>
      </c>
      <c r="BT413" s="84">
        <f>IF($CS413,"",IF($CT413,"CUSTOM (typed)",IF($CV413,$AT413&amp;" "&amp;$CU413&amp;CHAR(34)&amp;IF($CU413&lt;&gt;$BI413,IF(AND($BI413&lt;$CU413,$BI413-IF(N(VLOOKUP($AT413&amp;"|"&amp;$CU413,LocTable,7,FALSE))&gt;0,VLOOKUP($AT413&amp;"|"&amp;$CU413,LocTable,7,FALSE),VLOOKUP($AT413&amp;"|"&amp;$CU413,LocTable,6,FALSE))-$CR413-0.75&gt;=2.125)," cut down"," adj."),""),"ANSI/SDI A250.6")))</f>
        <v/>
      </c>
      <c r="BU413" s="88">
        <f>IF($CS413,"",IF($CT413,IF(N($AW413)&gt;0,N($AW413),""),IF(1&gt;$CQ413,"",IF($CQ413=1,$CW413,$CW413+($CX413-$CW413)*0/($CQ413-1)))))</f>
        <v/>
      </c>
      <c r="BV413" s="88">
        <f>IF($CS413,"",IF($CT413,IF(N($AX413)&gt;0,N($AX413),""),IF(2&gt;$CQ413,"",IF($CQ413=1,$CW413,$CW413+($CX413-$CW413)*1/($CQ413-1)))))</f>
        <v/>
      </c>
      <c r="BW413" s="88">
        <f>IF($CS413,"",IF($CT413,IF(N($AY413)&gt;0,N($AY413),""),IF(3&gt;$CQ413,"",IF($CQ413=1,$CW413,$CW413+($CX413-$CW413)*2/($CQ413-1)))))</f>
        <v/>
      </c>
      <c r="BX413" s="88">
        <f>IF($CS413,"",IF($CT413,IF(N($AZ413)&gt;0,N($AZ413),""),IF(4&gt;$CQ413,"",IF($CQ413=1,$CW413,$CW413+($CX413-$CW413)*3/($CQ413-1)))))</f>
        <v/>
      </c>
      <c r="BY413" s="88">
        <f>IF($CS413,"",IF($CT413,"",IF(5&gt;$CQ413,"",IF($CQ413=1,$CW413,$CW413+($CX413-$CW413)*4/($CQ413-1)))))</f>
        <v/>
      </c>
      <c r="BZ413" s="88">
        <f>IF(OR($CS413,$AP413="-",AND($AP413="",$AD413="")),"",IF(N($BA413)&gt;0,N($BA413),IF($CV413,IF(AND($BI413&lt;$CU413,$BI413-IF(N(VLOOKUP($AT413&amp;"|"&amp;$CU413,LocTable,7,FALSE))&gt;0,VLOOKUP($AT413&amp;"|"&amp;$CU413,LocTable,7,FALSE),VLOOKUP($AT413&amp;"|"&amp;$CU413,LocTable,6,FALSE))-$CR413-0.75&gt;=2.125),VLOOKUP($AT413&amp;"|"&amp;$CU413,LocTable,8,FALSE),VLOOKUP($AT413&amp;"|"&amp;$CU413,LocTable,8,FALSE)+($BI413-$CU413)),$BI413-LockAFF)))</f>
        <v/>
      </c>
      <c r="CA413" s="89">
        <f>IF($BZ413="","",$BI413-$BZ413)</f>
        <v/>
      </c>
      <c r="CB413" s="84">
        <f>IF(OR(NOT(AND($A413&lt;&gt;"",$C413&lt;&gt;"DOOR ONLY")),$BI413=""),"",IF(($BI413+IF(N($P413)&gt;0,$P413+FaceW,0))&lt;=90,3,IF(($BI413+IF(N($P413)&gt;0,$P413+FaceW,0))&lt;=114,4,5)))</f>
        <v/>
      </c>
      <c r="CC413" s="84">
        <f>IF($CB413="","",$CB413*(2+IF(N($Q413)&gt;0,IF($R413="LR",2,1),0)))</f>
        <v/>
      </c>
      <c r="CD413" s="84">
        <f>IF($CB413="","",(2+IF(N($Q413)&gt;0,IF($R413="LR",2,1),0)))</f>
        <v/>
      </c>
      <c r="CE413" s="84">
        <f>IF(N($BJ413)=0,"",IF(OR($AL413="",$AL413="FLUSH"),"FLUSH",IFERROR(LEFT($AL413,FIND("-",$AL413)-1),LEFT($AL413,2))))</f>
        <v/>
      </c>
      <c r="CF413" s="84">
        <f>IF($CE413="","",IFERROR(VALUE(MID($AL413,FIND("-",$AL413)+1,FIND(CHAR(34)&amp;"x",$AL413)-FIND("-",$AL413)-1)),0))</f>
        <v/>
      </c>
      <c r="CG413" s="84">
        <f>IF($CE413="","",IFERROR(VALUE(MID($AL413,FIND(CHAR(34)&amp;"x",$AL413)+2,FIND(CHAR(34),$AL413,FIND(CHAR(34)&amp;"x",$AL413)+2)-FIND(CHAR(34)&amp;"x",$AL413)-2)),0))</f>
        <v/>
      </c>
      <c r="CH413" s="90">
        <f>IF(OR($A413="",$H413="",$H413="NO LAB"),0,IFERROR(VALUE(LEFT($H413,FIND(" ",$H413)-1)),0))</f>
        <v/>
      </c>
      <c r="CI413" s="91">
        <f>IF(OR($A413="",$I413="",$I413="NON-RATED",N($J413)=0),"",IFERROR(VLOOKUP($I413&amp;"|"&amp;$J413,IBC,2,FALSE),"?"))</f>
        <v/>
      </c>
      <c r="CJ413" s="85">
        <f>IF(NOT(AND($A413&lt;&gt;"",$C413&lt;&gt;"DOOR ONLY")),"",TRIM(IFERROR(VLOOKUP($U413,CODES,2,FALSE),"")&amp;" "&amp;$BG413&amp;" "&amp;IFERROR(VLOOKUP($Z413,CODES,2,FALSE),"")&amp;" "&amp;IFERROR(VLOOKUP($X413,CODES,2,FALSE),"")&amp;" "&amp;IFERROR(VLOOKUP($S413,CODES,2,FALSE),"")&amp;IF(N($P413)&gt;0," w/TRANSOM "&amp;$P413&amp;CHAR(34),"")&amp;IF(N($Q413)&gt;0," w/SIDELITE "&amp;$Q413&amp;CHAR(34)&amp;" "&amp;IF($R413="","R",$R413),"")&amp;IF($Y413="","  |  "," | "&amp;IFERROR(VLOOKUP($Y413,CODES,2,FALSE),"")&amp;" | ")&amp;IFERROR(VLOOKUP($AC413,CODES,2,FALSE),"")&amp;" "&amp;IFERROR(VLOOKUP($AD413,CODES,2,FALSE),"")&amp;IF(OR($AE413="",$AE413="-"),""," "&amp;$AE413)&amp;IF(OR($AF413="",$AF413="-"),""," "&amp;$AF413)&amp;IF($AB413="Y"," 4"&amp;CHAR(34)&amp;" HEAD","")&amp;" "&amp;IFERROR(VLOOKUP($H413,CODES,2,FALSE),"")&amp;IF($CT413," | LOC "&amp;$CY413,"")))</f>
        <v/>
      </c>
      <c r="CK413" s="85">
        <f>IF(NOT(AND($A413&lt;&gt;"",N($BJ413)&gt;0)),"",TRIM(IFERROR(VLOOKUP($AH413,CODES,2,FALSE),"")&amp;IF($AI413=""," "," "&amp;$AI413&amp;"GA ")&amp;$BG413&amp;" "&amp;IF($AN413="",IFERROR(VLOOKUP($Z413,CODES,2,FALSE),""),IFERROR(VLOOKUP($AN413,CODES,2,FALSE),""))&amp;IF($BJ413=2," PAIR","")&amp;" DOOR | "&amp;IF($AL413="","?",$AL413)&amp;" | "&amp;IF($AO413="",IFERROR(VLOOKUP($AC413,CODES,2,FALSE),""),IFERROR(VLOOKUP($AO413,CODES,2,FALSE),""))&amp;" "&amp;IFERROR(VLOOKUP($AP413,CODES,2,FALSE),"")&amp;IF(OR($AQ413="",$AQ413="-"),""," SEAM "&amp;$AQ413)&amp;IF($AR413="Y"," ASTRAGAL","")&amp;IF($AJ413=""," "," "&amp;$AJ413)&amp;IF($AK413=""," "," "&amp;$AK413)&amp;IF(OR($AT413="",$AT413="ANSI/SDI",$AT413="CUSTOM LOC"),""," "&amp;$AT413)&amp;IF($AM413=""," "," SERIES "&amp;$AM413)&amp;" "&amp;IFERROR(VLOOKUP($H413,CODES,2,FALSE),"")&amp;IF($CT413," | LOC "&amp;$CZ413,"")))</f>
        <v/>
      </c>
      <c r="CL413" s="84">
        <f>IF(CP413="","",IF(COUNTIF($CP$6:CP413,CP413)=1,MAX($CL$5:CL412)+1,INDEX($CL$5:CL412,MATCH(CP413,$CP$5:CP412,0))))</f>
        <v/>
      </c>
      <c r="CM413" s="84">
        <f>IF(NOT(AND($A413&lt;&gt;"",$C413&lt;&gt;"DOOR ONLY")),"",MAX($CM$5:CM412)+1)</f>
        <v/>
      </c>
      <c r="CN413" s="84">
        <f>IF(NOT(AND($A413&lt;&gt;"",N($BJ413)&gt;0)),"",MAX($CN$5:CN412)+1)</f>
        <v/>
      </c>
      <c r="CO413" s="84">
        <f>IF($A413="","",MAX($CO$5:CO412)+1)</f>
        <v/>
      </c>
      <c r="CP413" s="84">
        <f>IF(OR($A413="",$BH413="",$BI413=""),"",$BG413&amp;"|"&amp;$O413&amp;"|"&amp;$AL413&amp;"|"&amp;$S413&amp;"|"&amp;$P413&amp;"|"&amp;$Q413&amp;$R413&amp;"|"&amp;$C413&amp;"|"&amp;$AB413)</f>
        <v/>
      </c>
      <c r="CQ413" s="84">
        <f>N($BS413)</f>
        <v/>
      </c>
      <c r="CR413" s="84">
        <f>IF(N($AU413)&gt;0,N($AU413),4.5)</f>
        <v/>
      </c>
      <c r="CS413" s="84">
        <f>OR($A413="",$BI413="",$S413="BL",AND($C413="FRAME ONLY",OR($AC413="",$AC413="BLK")))</f>
        <v/>
      </c>
      <c r="CT413" s="84">
        <f>AND(NOT($CS413),OR($AT413="CUSTOM LOC",N($AW413)+N($AX413)+N($AY413)+N($AZ413)+N($BA413)&gt;0))</f>
        <v/>
      </c>
      <c r="CU413" s="84">
        <f>IF($BI413="","",IF($BI413&lt;=80,80,IF($BI413&lt;=84,84,96)))</f>
        <v/>
      </c>
      <c r="CV413" s="84">
        <f>ISNUMBER(MATCH($AT413&amp;"|80",LocKeys,0))</f>
        <v/>
      </c>
      <c r="CW413" s="86">
        <f>IF($CS413,"",IF($CV413,VLOOKUP($AT413&amp;"|"&amp;$CU413,LocTable,4,FALSE),5))</f>
        <v/>
      </c>
      <c r="CX413" s="86">
        <f>IF($CS413,"",IF($CV413,IF(OR($BI413=$CU413,AND($BI413&lt;$CU413,$BI413-IF(N(VLOOKUP($AT413&amp;"|"&amp;$CU413,LocTable,7,FALSE))&gt;0,VLOOKUP($AT413&amp;"|"&amp;$CU413,LocTable,7,FALSE),VLOOKUP($AT413&amp;"|"&amp;$CU413,LocTable,6,FALSE))-$CR413-0.75&gt;=2.125)),IF(N(VLOOKUP($AT413&amp;"|"&amp;$CU413,LocTable,7,FALSE))&gt;0,VLOOKUP($AT413&amp;"|"&amp;$CU413,LocTable,7,FALSE),VLOOKUP($AT413&amp;"|"&amp;$CU413,LocTable,6,FALSE)),$BI413-($CU413-IF(N(VLOOKUP($AT413&amp;"|"&amp;$CU413,LocTable,7,FALSE))&gt;0,VLOOKUP($AT413&amp;"|"&amp;$CU413,LocTable,7,FALSE),VLOOKUP($AT413&amp;"|"&amp;$CU413,LocTable,6,FALSE)))),$BI413-10-$CR413))</f>
        <v/>
      </c>
      <c r="CY413" s="85">
        <f>IF($CS413,"",TRIM(IF(ISNUMBER($BU413),"A "&amp;TRIM(TEXT($BU413,"# ?/??"))&amp;CHAR(34)&amp;"  ","")&amp;IF(ISNUMBER($BV413),"B "&amp;TRIM(TEXT($BV413,"# ?/??"))&amp;CHAR(34)&amp;"  ","")&amp;IF(ISNUMBER($BW413),"C "&amp;TRIM(TEXT($BW413,"# ?/??"))&amp;CHAR(34)&amp;"  ","")&amp;IF(ISNUMBER($BX413),"D "&amp;TRIM(TEXT($BX413,"# ?/??"))&amp;CHAR(34)&amp;"  ","")&amp;IF(ISNUMBER($BY413),"F "&amp;TRIM(TEXT($BY413,"# ?/??"))&amp;CHAR(34)&amp;"  ","")&amp;IF(ISNUMBER($BZ413),"E "&amp;TRIM(TEXT($BZ413,"# ?/??"))&amp;CHAR(34)&amp;"  ","")))</f>
        <v/>
      </c>
      <c r="CZ413" s="85">
        <f>IF(OR($CS413,N($BJ413)=0),"",TRIM(IF(ISNUMBER($BU413),"A "&amp;TRIM(TEXT($BU413-HeadClr,"# ?/??"))&amp;CHAR(34)&amp;"  ","")&amp;IF(ISNUMBER($BV413),"B "&amp;TRIM(TEXT($BV413-HeadClr,"# ?/??"))&amp;CHAR(34)&amp;"  ","")&amp;IF(ISNUMBER($BW413),"C "&amp;TRIM(TEXT($BW413-HeadClr,"# ?/??"))&amp;CHAR(34)&amp;"  ","")&amp;IF(ISNUMBER($BX413),"D "&amp;TRIM(TEXT($BX413-HeadClr,"# ?/??"))&amp;CHAR(34)&amp;"  ","")&amp;IF(ISNUMBER($BY413),"F "&amp;TRIM(TEXT($BY413-HeadClr,"# ?/??"))&amp;CHAR(34)&amp;"  ","")&amp;IF(ISNUMBER($BZ413),"E "&amp;TRIM(TEXT($BZ413-HeadClr,"# ?/??"))&amp;CHAR(34)&amp;"  ","")))</f>
        <v/>
      </c>
      <c r="DA413" s="84">
        <f>IF($A413="","",IF($AN413="",IFERROR(VLOOKUP($Z413,CODES,2,FALSE),""),IFERROR(VLOOKUP($AN413,CODES,2,FALSE),"")))</f>
        <v/>
      </c>
      <c r="DB413" s="84">
        <f>IF($A413="","",IF($O413="Y","PR",IF(OR($Z413="L",$Z413="RR",LEFT($Z413,2)="L-",LEFT($Z413,3)="RR-"),"LH","RH")))</f>
        <v/>
      </c>
      <c r="DC413" s="84">
        <f>IF($A413="","","S.HM"&amp;IF(OR($C413="DOOR ONLY",$X413&lt;&gt;"KD"),"MASONRY","DRYWALL")&amp;IF($C413="DOOR ONLY","",$U413)&amp;IF(AND($C413&lt;&gt;"FRAME ONLY",OR(LEFT($AH413,3)="OAK",LEFT($AH413,3)="BIR",LEFT($AH413,3)="MAP",$AH413="PC",$AH413="MC",$AH413="SCLC",$AH413="P-LAM")),"WD","HM")&amp;"1.75")</f>
        <v/>
      </c>
      <c r="DD413" s="84">
        <f>IF($CJ413="","",IF($O413="Y",$CJ413,SUBSTITUTE($CJ413,$BG413&amp;" "&amp;IFERROR(VLOOKUP($Z413,CODES,2,FALSE),"")&amp;" ",$BG413&amp;" ")))</f>
        <v/>
      </c>
      <c r="DE413" s="84">
        <f>IF($CK413="","",IF($O413="Y",$CK413,SUBSTITUTE($CK413,$BG413&amp;" "&amp;IF($AN413="",IFERROR(VLOOKUP($Z413,CODES,2,FALSE),""),IFERROR(VLOOKUP($AN413,CODES,2,FALSE),""))&amp;" ",$BG413&amp;" ")))</f>
        <v/>
      </c>
      <c r="DF413" s="84">
        <f>IF($CJ413="","",$DC413&amp;"|"&amp;$DD413&amp;"|"&amp;$DB413&amp;"|"&amp;$AT413&amp;"|"&amp;$V413&amp;"|"&amp;$Y413&amp;"|"&amp;$AB413)</f>
        <v/>
      </c>
      <c r="DG413" s="84">
        <f>IF(DF413="","",IF(COUNTIF($DF$6:DF413,DF413)=1,MAX($DG$5:DG412)+1,INDEX($DG$5:DG412,MATCH(DF413,$DF$5:DF412,0))))</f>
        <v/>
      </c>
      <c r="DH413" s="84">
        <f>IF($CK413="","",$DC413&amp;"|"&amp;$DE413&amp;"|"&amp;$AI413&amp;"|"&amp;$BK413&amp;"|"&amp;$BL413)</f>
        <v/>
      </c>
      <c r="DI413" s="84">
        <f>IF(DH413="","",IF(COUNTIF($DH$6:DH413,DH413)=1,MAX($DI$5:DI412)+1,INDEX($DI$5:DI412,MATCH(DH413,$DH$5:DH412,0))))</f>
        <v/>
      </c>
      <c r="DJ413" s="84">
        <f>IF($A413="","",IF($B413="","qty, ","")&amp;IF($C413="","scope, ","")&amp;IF(OR($K413="",$M413=""),"size, ","")&amp;IF(AND($A413&lt;&gt;"",$C413&lt;&gt;"DOOR ONLY"),IF($U413="","jamb depth, ","")&amp;IF($X413="","construction, ","")&amp;IF($Y413="","anchor, ","")&amp;IF($S413="","frame type, ",""),"")&amp;IF(AND(N($BJ413)&gt;0,$Z413=""),"hand, ","")&amp;IF(N($BJ413)&gt;0,IF($AH413="","door material, ","")&amp;IF($AL413="","face type, ","")&amp;IF($AP413="","lock prep, ","")&amp;IF(AND($AO413="",$AC413=""),"hinge prep, ",""),"")&amp;IF(AND($CH413&gt;0,$AH413="FRP"),"FRP cannot carry a label, ","")&amp;IF(AND($O413="Y",OR($Z413="L",$Z413="R",$Z413="LR",$Z413="RR")),"pair marked but hand is single, ","")&amp;IF(AND($O413&lt;&gt;"Y",OR($Z413="PR",AND(LEN($Z413)&gt;1,ISNUMBER(SEARCH("-",$Z413))))),"pair hand on a single door, ","")&amp;IF(AND(ISNUMBER($CI413),$CH413&lt;N($CI413)),"wall needs a "&amp;$CI413&amp;" min door, ","")&amp;IF(AND($CH413&gt;=180,AND(OR($CE413="FG",$CE413="HG",$CE413="FNV",$CE413="FV"),N($CF413)*N($CG413)&gt;100)),"180 min lite over 100 sq in, ","")&amp;IF(N($BK413)&gt;48,"leaf wider than 4'-0"&amp;CHAR(34)&amp;", ","")&amp;IF(AND($CT413,COUNT($AW413:$AZ413)=0,$CQ413&gt;0),"CUSTOM LOC with no locations typed, ",""))</f>
        <v/>
      </c>
      <c r="DK413" s="84">
        <f>IF($A413="","",IF(AND($CH413&gt;0,AND($A413&lt;&gt;"",$C413&lt;&gt;"DOOR ONLY"),$X413="KD",$E413="EXTERIOR"),"KD label on an exterior opening, ","")&amp;IF(AND($E413="EXTERIOR",OR(AND(AND($A413&lt;&gt;"",$C413&lt;&gt;"DOOR ONLY"),$W413="CR"),AND(N($BJ413)&gt;0,$AH413="CR"))),"exterior in CR steel (G9?), ","")&amp;IF(AND(ISNUMBER($BQ413),N($BQ413)&lt;32),"clear width ~"&amp;TEXT($BQ413,"0.0")&amp;CHAR(34)&amp;" under 32"&amp;CHAR(34)&amp;" (ADA), ","")&amp;IF(AND($CH413=90,AND(OR($CE413="FG",$CE413="HG",$CE413="FNV",$CE413="FV"),N($CF413)*N($CG413)&gt;100)),"90 min lite over 100 sq in (stair/exit), ","")&amp;IF(AND($CH413&gt;0,AND($A413&lt;&gt;"",$C413&lt;&gt;"DOOR ONLY"),OR($AF413="",$AF413="-")),"rated: closer reinf.?, ","")&amp;IF(OR($I413="CORRIDOR",$I413="SMOKE BARRIER"),"S label + smoke gasketing, ","")&amp;IF($CI413="?","wall type/hr not in IBC table, ","")&amp;IF(AND(N($BJ413)&gt;0,$BB413=""),"no hardware set, ","")&amp;IF(AND($BB413&lt;&gt;"",ISNA(MATCH($BB413&amp;"",HWSets,0))),"set "&amp;$BB413&amp;" not on HW Sets, ","")&amp;IF(N($BL413)&gt;96,"leaf over 8'-0"&amp;CHAR(34)&amp;" - check listing, ","")&amp;IF(AND($CT413,COUNT($AW413:$AZ413)&gt;0,COUNT($AW413:$AZ413)&lt;&gt;$CQ413),COUNT($AW413:$AZ413)&amp;" custom hinges typed, "&amp;$CQ413&amp;" expected, ","")&amp;IF(AND(ISNUMBER($CA413),OR(N($CA413)&lt;34,N($CA413)&gt;48)),"lock "&amp;TEXT($CA413,"0.0")&amp;CHAR(34)&amp;" AFF outside 34-48"&amp;CHAR(34)&amp;" (ADA), ","")&amp;IF(AND(ISNUMBER($AV413),ISNUMBER($BL413),N($AV413)&lt;IF(N($BL413)&lt;=60,2,IF(N($BL413)&lt;=90,3,IF(N($BL413)&lt;=120,4,5)))),"fewer hinges than standard, ",""))</f>
        <v/>
      </c>
    </row>
    <row r="414" ht="15" customHeight="1">
      <c r="A414" s="77" t="n"/>
      <c r="B414" s="78" t="n"/>
      <c r="C414" s="78" t="n"/>
      <c r="D414" s="78" t="n"/>
      <c r="E414" s="78" t="n"/>
      <c r="F414" s="78" t="n"/>
      <c r="G414" s="78" t="n"/>
      <c r="H414" s="78" t="n"/>
      <c r="I414" s="78" t="n"/>
      <c r="J414" s="78" t="n"/>
      <c r="K414" s="78" t="n"/>
      <c r="L414" s="78" t="n"/>
      <c r="M414" s="78" t="n"/>
      <c r="N414" s="78" t="n"/>
      <c r="O414" s="78" t="n"/>
      <c r="P414" s="78" t="n"/>
      <c r="Q414" s="78" t="n"/>
      <c r="R414" s="78" t="n"/>
      <c r="S414" s="79" t="n"/>
      <c r="T414" s="79" t="n"/>
      <c r="U414" s="79" t="n"/>
      <c r="V414" s="79" t="n"/>
      <c r="W414" s="79" t="n"/>
      <c r="X414" s="79" t="n"/>
      <c r="Y414" s="79" t="n"/>
      <c r="Z414" s="79" t="n"/>
      <c r="AA414" s="79" t="n"/>
      <c r="AB414" s="79" t="n"/>
      <c r="AC414" s="79" t="n"/>
      <c r="AD414" s="79" t="n"/>
      <c r="AE414" s="79" t="n"/>
      <c r="AF414" s="79" t="n"/>
      <c r="AG414" s="79" t="n"/>
      <c r="AH414" s="80" t="n"/>
      <c r="AI414" s="80" t="n"/>
      <c r="AJ414" s="80" t="n"/>
      <c r="AK414" s="80" t="n"/>
      <c r="AL414" s="80" t="n"/>
      <c r="AM414" s="80" t="n"/>
      <c r="AN414" s="80" t="n"/>
      <c r="AO414" s="80" t="n"/>
      <c r="AP414" s="80" t="n"/>
      <c r="AQ414" s="80" t="n"/>
      <c r="AR414" s="80" t="n"/>
      <c r="AS414" s="80" t="n"/>
      <c r="AT414" s="81" t="n"/>
      <c r="AU414" s="81" t="n"/>
      <c r="AV414" s="81" t="n"/>
      <c r="AW414" s="82" t="n"/>
      <c r="AX414" s="82" t="n"/>
      <c r="AY414" s="82" t="n"/>
      <c r="AZ414" s="82" t="n"/>
      <c r="BA414" s="82" t="n"/>
      <c r="BB414" s="83" t="n"/>
      <c r="BC414" s="83" t="n"/>
      <c r="BD414" s="84">
        <f>IF($A414="","",IF($DJ414&lt;&gt;"","FIX",IF($DK414&lt;&gt;"","CHECK","OK")))</f>
        <v/>
      </c>
      <c r="BE414" s="85">
        <f>IF($A414="","",IF($DJ414&lt;&gt;"","FIX: "&amp;LEFT($DJ414,LEN($DJ414)-2)&amp;IF($DK414&lt;&gt;"","  ·  ",""),"")&amp;IF($DK414&lt;&gt;"","CHECK: "&amp;LEFT($DK414,LEN($DK414)-2),""))</f>
        <v/>
      </c>
      <c r="BF414" s="84">
        <f>IF(OR($A414="",$K414=""),"",$K414&amp;"'-"&amp;N($L414)&amp;CHAR(34)&amp;" x "&amp;$M414&amp;"'-"&amp;N($N414)&amp;CHAR(34))</f>
        <v/>
      </c>
      <c r="BG414" s="84">
        <f>IF(OR($A414="",$K414=""),"",$K414&amp;N($L414)&amp;$M414&amp;N($N414))</f>
        <v/>
      </c>
      <c r="BH414" s="84">
        <f>IF(OR($A414="",$K414=""),"",$K414*12+N($L414))</f>
        <v/>
      </c>
      <c r="BI414" s="84">
        <f>IF(OR($A414="",$M414=""),"",$M414*12+N($N414))</f>
        <v/>
      </c>
      <c r="BJ414" s="84">
        <f>IF($A414="","",IF(OR($C414="FRAME ONLY",$S414="BL"),0,IF($O414="Y",2,1)))</f>
        <v/>
      </c>
      <c r="BK414" s="86">
        <f>IF(OR(N($BJ414)=0,$BH414=""),"",($BH414-2*EdgeClr-IF($BJ414=2,MeetClr,0))/$BJ414)</f>
        <v/>
      </c>
      <c r="BL414" s="86">
        <f>IF(OR(N($BJ414)=0,$BI414=""),"",$BI414-HeadClr-Undercut)</f>
        <v/>
      </c>
      <c r="BM414" s="86">
        <f>IF($BH414="","",$BH414+2*FaceW+IF(N($Q414)&gt;0,($Q414+FaceW)*IF($R414="LR",2,1),0))</f>
        <v/>
      </c>
      <c r="BN414" s="86">
        <f>IF($BI414="","",$BI414+IF($AB414="Y",4,FaceW)+IF(N($P414)&gt;0,$P414+FaceW,0)+IF(OR($S414="4F",$S414="BL"),FaceW,0))</f>
        <v/>
      </c>
      <c r="BO414" s="86">
        <f>IF($BM414="","",$BM414+2*ROSide)</f>
        <v/>
      </c>
      <c r="BP414" s="86">
        <f>IF($BN414="","",$BN414+ROTop)</f>
        <v/>
      </c>
      <c r="BQ414" s="87">
        <f>IF(OR(N($BJ414)=0,$BH414=""),"",$BH414/$BJ414-ClearDeduct)</f>
        <v/>
      </c>
      <c r="BR414" s="84">
        <f>IF(N($CH414)=0,"",IF($CH414&gt;=180,"A · 3 HR",IF($CH414&gt;=90,"B · 1-1/2 HR",IF($CH414&gt;=60,"B · 1 HR",IF($CH414&gt;=45,"C · 3/4 HR","20 MIN")))))&amp;IF(AND(N($CH414)&gt;0,OR($I414="CORRIDOR",$I414="SMOKE BARRIER"))," · S","")</f>
        <v/>
      </c>
      <c r="BS414" s="84">
        <f>IF($CS414,"",IF($AV414&lt;&gt;"",$AV414,IF(OR($AC414="HGC",$AO414="HGC"),"CONT",IF(($BI414-HeadClr-Undercut)&lt;=60,2,IF(($BI414-HeadClr-Undercut)&lt;=90,3,IF(($BI414-HeadClr-Undercut)&lt;=120,4,5))))))</f>
        <v/>
      </c>
      <c r="BT414" s="84">
        <f>IF($CS414,"",IF($CT414,"CUSTOM (typed)",IF($CV414,$AT414&amp;" "&amp;$CU414&amp;CHAR(34)&amp;IF($CU414&lt;&gt;$BI414,IF(AND($BI414&lt;$CU414,$BI414-IF(N(VLOOKUP($AT414&amp;"|"&amp;$CU414,LocTable,7,FALSE))&gt;0,VLOOKUP($AT414&amp;"|"&amp;$CU414,LocTable,7,FALSE),VLOOKUP($AT414&amp;"|"&amp;$CU414,LocTable,6,FALSE))-$CR414-0.75&gt;=2.125)," cut down"," adj."),""),"ANSI/SDI A250.6")))</f>
        <v/>
      </c>
      <c r="BU414" s="88">
        <f>IF($CS414,"",IF($CT414,IF(N($AW414)&gt;0,N($AW414),""),IF(1&gt;$CQ414,"",IF($CQ414=1,$CW414,$CW414+($CX414-$CW414)*0/($CQ414-1)))))</f>
        <v/>
      </c>
      <c r="BV414" s="88">
        <f>IF($CS414,"",IF($CT414,IF(N($AX414)&gt;0,N($AX414),""),IF(2&gt;$CQ414,"",IF($CQ414=1,$CW414,$CW414+($CX414-$CW414)*1/($CQ414-1)))))</f>
        <v/>
      </c>
      <c r="BW414" s="88">
        <f>IF($CS414,"",IF($CT414,IF(N($AY414)&gt;0,N($AY414),""),IF(3&gt;$CQ414,"",IF($CQ414=1,$CW414,$CW414+($CX414-$CW414)*2/($CQ414-1)))))</f>
        <v/>
      </c>
      <c r="BX414" s="88">
        <f>IF($CS414,"",IF($CT414,IF(N($AZ414)&gt;0,N($AZ414),""),IF(4&gt;$CQ414,"",IF($CQ414=1,$CW414,$CW414+($CX414-$CW414)*3/($CQ414-1)))))</f>
        <v/>
      </c>
      <c r="BY414" s="88">
        <f>IF($CS414,"",IF($CT414,"",IF(5&gt;$CQ414,"",IF($CQ414=1,$CW414,$CW414+($CX414-$CW414)*4/($CQ414-1)))))</f>
        <v/>
      </c>
      <c r="BZ414" s="88">
        <f>IF(OR($CS414,$AP414="-",AND($AP414="",$AD414="")),"",IF(N($BA414)&gt;0,N($BA414),IF($CV414,IF(AND($BI414&lt;$CU414,$BI414-IF(N(VLOOKUP($AT414&amp;"|"&amp;$CU414,LocTable,7,FALSE))&gt;0,VLOOKUP($AT414&amp;"|"&amp;$CU414,LocTable,7,FALSE),VLOOKUP($AT414&amp;"|"&amp;$CU414,LocTable,6,FALSE))-$CR414-0.75&gt;=2.125),VLOOKUP($AT414&amp;"|"&amp;$CU414,LocTable,8,FALSE),VLOOKUP($AT414&amp;"|"&amp;$CU414,LocTable,8,FALSE)+($BI414-$CU414)),$BI414-LockAFF)))</f>
        <v/>
      </c>
      <c r="CA414" s="89">
        <f>IF($BZ414="","",$BI414-$BZ414)</f>
        <v/>
      </c>
      <c r="CB414" s="84">
        <f>IF(OR(NOT(AND($A414&lt;&gt;"",$C414&lt;&gt;"DOOR ONLY")),$BI414=""),"",IF(($BI414+IF(N($P414)&gt;0,$P414+FaceW,0))&lt;=90,3,IF(($BI414+IF(N($P414)&gt;0,$P414+FaceW,0))&lt;=114,4,5)))</f>
        <v/>
      </c>
      <c r="CC414" s="84">
        <f>IF($CB414="","",$CB414*(2+IF(N($Q414)&gt;0,IF($R414="LR",2,1),0)))</f>
        <v/>
      </c>
      <c r="CD414" s="84">
        <f>IF($CB414="","",(2+IF(N($Q414)&gt;0,IF($R414="LR",2,1),0)))</f>
        <v/>
      </c>
      <c r="CE414" s="84">
        <f>IF(N($BJ414)=0,"",IF(OR($AL414="",$AL414="FLUSH"),"FLUSH",IFERROR(LEFT($AL414,FIND("-",$AL414)-1),LEFT($AL414,2))))</f>
        <v/>
      </c>
      <c r="CF414" s="84">
        <f>IF($CE414="","",IFERROR(VALUE(MID($AL414,FIND("-",$AL414)+1,FIND(CHAR(34)&amp;"x",$AL414)-FIND("-",$AL414)-1)),0))</f>
        <v/>
      </c>
      <c r="CG414" s="84">
        <f>IF($CE414="","",IFERROR(VALUE(MID($AL414,FIND(CHAR(34)&amp;"x",$AL414)+2,FIND(CHAR(34),$AL414,FIND(CHAR(34)&amp;"x",$AL414)+2)-FIND(CHAR(34)&amp;"x",$AL414)-2)),0))</f>
        <v/>
      </c>
      <c r="CH414" s="90">
        <f>IF(OR($A414="",$H414="",$H414="NO LAB"),0,IFERROR(VALUE(LEFT($H414,FIND(" ",$H414)-1)),0))</f>
        <v/>
      </c>
      <c r="CI414" s="91">
        <f>IF(OR($A414="",$I414="",$I414="NON-RATED",N($J414)=0),"",IFERROR(VLOOKUP($I414&amp;"|"&amp;$J414,IBC,2,FALSE),"?"))</f>
        <v/>
      </c>
      <c r="CJ414" s="85">
        <f>IF(NOT(AND($A414&lt;&gt;"",$C414&lt;&gt;"DOOR ONLY")),"",TRIM(IFERROR(VLOOKUP($U414,CODES,2,FALSE),"")&amp;" "&amp;$BG414&amp;" "&amp;IFERROR(VLOOKUP($Z414,CODES,2,FALSE),"")&amp;" "&amp;IFERROR(VLOOKUP($X414,CODES,2,FALSE),"")&amp;" "&amp;IFERROR(VLOOKUP($S414,CODES,2,FALSE),"")&amp;IF(N($P414)&gt;0," w/TRANSOM "&amp;$P414&amp;CHAR(34),"")&amp;IF(N($Q414)&gt;0," w/SIDELITE "&amp;$Q414&amp;CHAR(34)&amp;" "&amp;IF($R414="","R",$R414),"")&amp;IF($Y414="","  |  "," | "&amp;IFERROR(VLOOKUP($Y414,CODES,2,FALSE),"")&amp;" | ")&amp;IFERROR(VLOOKUP($AC414,CODES,2,FALSE),"")&amp;" "&amp;IFERROR(VLOOKUP($AD414,CODES,2,FALSE),"")&amp;IF(OR($AE414="",$AE414="-"),""," "&amp;$AE414)&amp;IF(OR($AF414="",$AF414="-"),""," "&amp;$AF414)&amp;IF($AB414="Y"," 4"&amp;CHAR(34)&amp;" HEAD","")&amp;" "&amp;IFERROR(VLOOKUP($H414,CODES,2,FALSE),"")&amp;IF($CT414," | LOC "&amp;$CY414,"")))</f>
        <v/>
      </c>
      <c r="CK414" s="85">
        <f>IF(NOT(AND($A414&lt;&gt;"",N($BJ414)&gt;0)),"",TRIM(IFERROR(VLOOKUP($AH414,CODES,2,FALSE),"")&amp;IF($AI414=""," "," "&amp;$AI414&amp;"GA ")&amp;$BG414&amp;" "&amp;IF($AN414="",IFERROR(VLOOKUP($Z414,CODES,2,FALSE),""),IFERROR(VLOOKUP($AN414,CODES,2,FALSE),""))&amp;IF($BJ414=2," PAIR","")&amp;" DOOR | "&amp;IF($AL414="","?",$AL414)&amp;" | "&amp;IF($AO414="",IFERROR(VLOOKUP($AC414,CODES,2,FALSE),""),IFERROR(VLOOKUP($AO414,CODES,2,FALSE),""))&amp;" "&amp;IFERROR(VLOOKUP($AP414,CODES,2,FALSE),"")&amp;IF(OR($AQ414="",$AQ414="-"),""," SEAM "&amp;$AQ414)&amp;IF($AR414="Y"," ASTRAGAL","")&amp;IF($AJ414=""," "," "&amp;$AJ414)&amp;IF($AK414=""," "," "&amp;$AK414)&amp;IF(OR($AT414="",$AT414="ANSI/SDI",$AT414="CUSTOM LOC"),""," "&amp;$AT414)&amp;IF($AM414=""," "," SERIES "&amp;$AM414)&amp;" "&amp;IFERROR(VLOOKUP($H414,CODES,2,FALSE),"")&amp;IF($CT414," | LOC "&amp;$CZ414,"")))</f>
        <v/>
      </c>
      <c r="CL414" s="84">
        <f>IF(CP414="","",IF(COUNTIF($CP$6:CP414,CP414)=1,MAX($CL$5:CL413)+1,INDEX($CL$5:CL413,MATCH(CP414,$CP$5:CP413,0))))</f>
        <v/>
      </c>
      <c r="CM414" s="84">
        <f>IF(NOT(AND($A414&lt;&gt;"",$C414&lt;&gt;"DOOR ONLY")),"",MAX($CM$5:CM413)+1)</f>
        <v/>
      </c>
      <c r="CN414" s="84">
        <f>IF(NOT(AND($A414&lt;&gt;"",N($BJ414)&gt;0)),"",MAX($CN$5:CN413)+1)</f>
        <v/>
      </c>
      <c r="CO414" s="84">
        <f>IF($A414="","",MAX($CO$5:CO413)+1)</f>
        <v/>
      </c>
      <c r="CP414" s="84">
        <f>IF(OR($A414="",$BH414="",$BI414=""),"",$BG414&amp;"|"&amp;$O414&amp;"|"&amp;$AL414&amp;"|"&amp;$S414&amp;"|"&amp;$P414&amp;"|"&amp;$Q414&amp;$R414&amp;"|"&amp;$C414&amp;"|"&amp;$AB414)</f>
        <v/>
      </c>
      <c r="CQ414" s="84">
        <f>N($BS414)</f>
        <v/>
      </c>
      <c r="CR414" s="84">
        <f>IF(N($AU414)&gt;0,N($AU414),4.5)</f>
        <v/>
      </c>
      <c r="CS414" s="84">
        <f>OR($A414="",$BI414="",$S414="BL",AND($C414="FRAME ONLY",OR($AC414="",$AC414="BLK")))</f>
        <v/>
      </c>
      <c r="CT414" s="84">
        <f>AND(NOT($CS414),OR($AT414="CUSTOM LOC",N($AW414)+N($AX414)+N($AY414)+N($AZ414)+N($BA414)&gt;0))</f>
        <v/>
      </c>
      <c r="CU414" s="84">
        <f>IF($BI414="","",IF($BI414&lt;=80,80,IF($BI414&lt;=84,84,96)))</f>
        <v/>
      </c>
      <c r="CV414" s="84">
        <f>ISNUMBER(MATCH($AT414&amp;"|80",LocKeys,0))</f>
        <v/>
      </c>
      <c r="CW414" s="86">
        <f>IF($CS414,"",IF($CV414,VLOOKUP($AT414&amp;"|"&amp;$CU414,LocTable,4,FALSE),5))</f>
        <v/>
      </c>
      <c r="CX414" s="86">
        <f>IF($CS414,"",IF($CV414,IF(OR($BI414=$CU414,AND($BI414&lt;$CU414,$BI414-IF(N(VLOOKUP($AT414&amp;"|"&amp;$CU414,LocTable,7,FALSE))&gt;0,VLOOKUP($AT414&amp;"|"&amp;$CU414,LocTable,7,FALSE),VLOOKUP($AT414&amp;"|"&amp;$CU414,LocTable,6,FALSE))-$CR414-0.75&gt;=2.125)),IF(N(VLOOKUP($AT414&amp;"|"&amp;$CU414,LocTable,7,FALSE))&gt;0,VLOOKUP($AT414&amp;"|"&amp;$CU414,LocTable,7,FALSE),VLOOKUP($AT414&amp;"|"&amp;$CU414,LocTable,6,FALSE)),$BI414-($CU414-IF(N(VLOOKUP($AT414&amp;"|"&amp;$CU414,LocTable,7,FALSE))&gt;0,VLOOKUP($AT414&amp;"|"&amp;$CU414,LocTable,7,FALSE),VLOOKUP($AT414&amp;"|"&amp;$CU414,LocTable,6,FALSE)))),$BI414-10-$CR414))</f>
        <v/>
      </c>
      <c r="CY414" s="85">
        <f>IF($CS414,"",TRIM(IF(ISNUMBER($BU414),"A "&amp;TRIM(TEXT($BU414,"# ?/??"))&amp;CHAR(34)&amp;"  ","")&amp;IF(ISNUMBER($BV414),"B "&amp;TRIM(TEXT($BV414,"# ?/??"))&amp;CHAR(34)&amp;"  ","")&amp;IF(ISNUMBER($BW414),"C "&amp;TRIM(TEXT($BW414,"# ?/??"))&amp;CHAR(34)&amp;"  ","")&amp;IF(ISNUMBER($BX414),"D "&amp;TRIM(TEXT($BX414,"# ?/??"))&amp;CHAR(34)&amp;"  ","")&amp;IF(ISNUMBER($BY414),"F "&amp;TRIM(TEXT($BY414,"# ?/??"))&amp;CHAR(34)&amp;"  ","")&amp;IF(ISNUMBER($BZ414),"E "&amp;TRIM(TEXT($BZ414,"# ?/??"))&amp;CHAR(34)&amp;"  ","")))</f>
        <v/>
      </c>
      <c r="CZ414" s="85">
        <f>IF(OR($CS414,N($BJ414)=0),"",TRIM(IF(ISNUMBER($BU414),"A "&amp;TRIM(TEXT($BU414-HeadClr,"# ?/??"))&amp;CHAR(34)&amp;"  ","")&amp;IF(ISNUMBER($BV414),"B "&amp;TRIM(TEXT($BV414-HeadClr,"# ?/??"))&amp;CHAR(34)&amp;"  ","")&amp;IF(ISNUMBER($BW414),"C "&amp;TRIM(TEXT($BW414-HeadClr,"# ?/??"))&amp;CHAR(34)&amp;"  ","")&amp;IF(ISNUMBER($BX414),"D "&amp;TRIM(TEXT($BX414-HeadClr,"# ?/??"))&amp;CHAR(34)&amp;"  ","")&amp;IF(ISNUMBER($BY414),"F "&amp;TRIM(TEXT($BY414-HeadClr,"# ?/??"))&amp;CHAR(34)&amp;"  ","")&amp;IF(ISNUMBER($BZ414),"E "&amp;TRIM(TEXT($BZ414-HeadClr,"# ?/??"))&amp;CHAR(34)&amp;"  ","")))</f>
        <v/>
      </c>
      <c r="DA414" s="84">
        <f>IF($A414="","",IF($AN414="",IFERROR(VLOOKUP($Z414,CODES,2,FALSE),""),IFERROR(VLOOKUP($AN414,CODES,2,FALSE),"")))</f>
        <v/>
      </c>
      <c r="DB414" s="84">
        <f>IF($A414="","",IF($O414="Y","PR",IF(OR($Z414="L",$Z414="RR",LEFT($Z414,2)="L-",LEFT($Z414,3)="RR-"),"LH","RH")))</f>
        <v/>
      </c>
      <c r="DC414" s="84">
        <f>IF($A414="","","S.HM"&amp;IF(OR($C414="DOOR ONLY",$X414&lt;&gt;"KD"),"MASONRY","DRYWALL")&amp;IF($C414="DOOR ONLY","",$U414)&amp;IF(AND($C414&lt;&gt;"FRAME ONLY",OR(LEFT($AH414,3)="OAK",LEFT($AH414,3)="BIR",LEFT($AH414,3)="MAP",$AH414="PC",$AH414="MC",$AH414="SCLC",$AH414="P-LAM")),"WD","HM")&amp;"1.75")</f>
        <v/>
      </c>
      <c r="DD414" s="84">
        <f>IF($CJ414="","",IF($O414="Y",$CJ414,SUBSTITUTE($CJ414,$BG414&amp;" "&amp;IFERROR(VLOOKUP($Z414,CODES,2,FALSE),"")&amp;" ",$BG414&amp;" ")))</f>
        <v/>
      </c>
      <c r="DE414" s="84">
        <f>IF($CK414="","",IF($O414="Y",$CK414,SUBSTITUTE($CK414,$BG414&amp;" "&amp;IF($AN414="",IFERROR(VLOOKUP($Z414,CODES,2,FALSE),""),IFERROR(VLOOKUP($AN414,CODES,2,FALSE),""))&amp;" ",$BG414&amp;" ")))</f>
        <v/>
      </c>
      <c r="DF414" s="84">
        <f>IF($CJ414="","",$DC414&amp;"|"&amp;$DD414&amp;"|"&amp;$DB414&amp;"|"&amp;$AT414&amp;"|"&amp;$V414&amp;"|"&amp;$Y414&amp;"|"&amp;$AB414)</f>
        <v/>
      </c>
      <c r="DG414" s="84">
        <f>IF(DF414="","",IF(COUNTIF($DF$6:DF414,DF414)=1,MAX($DG$5:DG413)+1,INDEX($DG$5:DG413,MATCH(DF414,$DF$5:DF413,0))))</f>
        <v/>
      </c>
      <c r="DH414" s="84">
        <f>IF($CK414="","",$DC414&amp;"|"&amp;$DE414&amp;"|"&amp;$AI414&amp;"|"&amp;$BK414&amp;"|"&amp;$BL414)</f>
        <v/>
      </c>
      <c r="DI414" s="84">
        <f>IF(DH414="","",IF(COUNTIF($DH$6:DH414,DH414)=1,MAX($DI$5:DI413)+1,INDEX($DI$5:DI413,MATCH(DH414,$DH$5:DH413,0))))</f>
        <v/>
      </c>
      <c r="DJ414" s="84">
        <f>IF($A414="","",IF($B414="","qty, ","")&amp;IF($C414="","scope, ","")&amp;IF(OR($K414="",$M414=""),"size, ","")&amp;IF(AND($A414&lt;&gt;"",$C414&lt;&gt;"DOOR ONLY"),IF($U414="","jamb depth, ","")&amp;IF($X414="","construction, ","")&amp;IF($Y414="","anchor, ","")&amp;IF($S414="","frame type, ",""),"")&amp;IF(AND(N($BJ414)&gt;0,$Z414=""),"hand, ","")&amp;IF(N($BJ414)&gt;0,IF($AH414="","door material, ","")&amp;IF($AL414="","face type, ","")&amp;IF($AP414="","lock prep, ","")&amp;IF(AND($AO414="",$AC414=""),"hinge prep, ",""),"")&amp;IF(AND($CH414&gt;0,$AH414="FRP"),"FRP cannot carry a label, ","")&amp;IF(AND($O414="Y",OR($Z414="L",$Z414="R",$Z414="LR",$Z414="RR")),"pair marked but hand is single, ","")&amp;IF(AND($O414&lt;&gt;"Y",OR($Z414="PR",AND(LEN($Z414)&gt;1,ISNUMBER(SEARCH("-",$Z414))))),"pair hand on a single door, ","")&amp;IF(AND(ISNUMBER($CI414),$CH414&lt;N($CI414)),"wall needs a "&amp;$CI414&amp;" min door, ","")&amp;IF(AND($CH414&gt;=180,AND(OR($CE414="FG",$CE414="HG",$CE414="FNV",$CE414="FV"),N($CF414)*N($CG414)&gt;100)),"180 min lite over 100 sq in, ","")&amp;IF(N($BK414)&gt;48,"leaf wider than 4'-0"&amp;CHAR(34)&amp;", ","")&amp;IF(AND($CT414,COUNT($AW414:$AZ414)=0,$CQ414&gt;0),"CUSTOM LOC with no locations typed, ",""))</f>
        <v/>
      </c>
      <c r="DK414" s="84">
        <f>IF($A414="","",IF(AND($CH414&gt;0,AND($A414&lt;&gt;"",$C414&lt;&gt;"DOOR ONLY"),$X414="KD",$E414="EXTERIOR"),"KD label on an exterior opening, ","")&amp;IF(AND($E414="EXTERIOR",OR(AND(AND($A414&lt;&gt;"",$C414&lt;&gt;"DOOR ONLY"),$W414="CR"),AND(N($BJ414)&gt;0,$AH414="CR"))),"exterior in CR steel (G9?), ","")&amp;IF(AND(ISNUMBER($BQ414),N($BQ414)&lt;32),"clear width ~"&amp;TEXT($BQ414,"0.0")&amp;CHAR(34)&amp;" under 32"&amp;CHAR(34)&amp;" (ADA), ","")&amp;IF(AND($CH414=90,AND(OR($CE414="FG",$CE414="HG",$CE414="FNV",$CE414="FV"),N($CF414)*N($CG414)&gt;100)),"90 min lite over 100 sq in (stair/exit), ","")&amp;IF(AND($CH414&gt;0,AND($A414&lt;&gt;"",$C414&lt;&gt;"DOOR ONLY"),OR($AF414="",$AF414="-")),"rated: closer reinf.?, ","")&amp;IF(OR($I414="CORRIDOR",$I414="SMOKE BARRIER"),"S label + smoke gasketing, ","")&amp;IF($CI414="?","wall type/hr not in IBC table, ","")&amp;IF(AND(N($BJ414)&gt;0,$BB414=""),"no hardware set, ","")&amp;IF(AND($BB414&lt;&gt;"",ISNA(MATCH($BB414&amp;"",HWSets,0))),"set "&amp;$BB414&amp;" not on HW Sets, ","")&amp;IF(N($BL414)&gt;96,"leaf over 8'-0"&amp;CHAR(34)&amp;" - check listing, ","")&amp;IF(AND($CT414,COUNT($AW414:$AZ414)&gt;0,COUNT($AW414:$AZ414)&lt;&gt;$CQ414),COUNT($AW414:$AZ414)&amp;" custom hinges typed, "&amp;$CQ414&amp;" expected, ","")&amp;IF(AND(ISNUMBER($CA414),OR(N($CA414)&lt;34,N($CA414)&gt;48)),"lock "&amp;TEXT($CA414,"0.0")&amp;CHAR(34)&amp;" AFF outside 34-48"&amp;CHAR(34)&amp;" (ADA), ","")&amp;IF(AND(ISNUMBER($AV414),ISNUMBER($BL414),N($AV414)&lt;IF(N($BL414)&lt;=60,2,IF(N($BL414)&lt;=90,3,IF(N($BL414)&lt;=120,4,5)))),"fewer hinges than standard, ",""))</f>
        <v/>
      </c>
    </row>
    <row r="415" ht="15" customHeight="1">
      <c r="A415" s="92" t="n"/>
      <c r="B415" s="93" t="n"/>
      <c r="C415" s="93" t="n"/>
      <c r="D415" s="93" t="n"/>
      <c r="E415" s="93" t="n"/>
      <c r="F415" s="93" t="n"/>
      <c r="G415" s="93" t="n"/>
      <c r="H415" s="93" t="n"/>
      <c r="I415" s="93" t="n"/>
      <c r="J415" s="93" t="n"/>
      <c r="K415" s="93" t="n"/>
      <c r="L415" s="93" t="n"/>
      <c r="M415" s="93" t="n"/>
      <c r="N415" s="93" t="n"/>
      <c r="O415" s="93" t="n"/>
      <c r="P415" s="93" t="n"/>
      <c r="Q415" s="93" t="n"/>
      <c r="R415" s="93" t="n"/>
      <c r="S415" s="94" t="n"/>
      <c r="T415" s="94" t="n"/>
      <c r="U415" s="94" t="n"/>
      <c r="V415" s="94" t="n"/>
      <c r="W415" s="94" t="n"/>
      <c r="X415" s="94" t="n"/>
      <c r="Y415" s="94" t="n"/>
      <c r="Z415" s="94" t="n"/>
      <c r="AA415" s="94" t="n"/>
      <c r="AB415" s="94" t="n"/>
      <c r="AC415" s="94" t="n"/>
      <c r="AD415" s="94" t="n"/>
      <c r="AE415" s="94" t="n"/>
      <c r="AF415" s="94" t="n"/>
      <c r="AG415" s="94" t="n"/>
      <c r="AH415" s="95" t="n"/>
      <c r="AI415" s="95" t="n"/>
      <c r="AJ415" s="95" t="n"/>
      <c r="AK415" s="95" t="n"/>
      <c r="AL415" s="95" t="n"/>
      <c r="AM415" s="95" t="n"/>
      <c r="AN415" s="95" t="n"/>
      <c r="AO415" s="95" t="n"/>
      <c r="AP415" s="95" t="n"/>
      <c r="AQ415" s="95" t="n"/>
      <c r="AR415" s="95" t="n"/>
      <c r="AS415" s="95" t="n"/>
      <c r="AT415" s="96" t="n"/>
      <c r="AU415" s="96" t="n"/>
      <c r="AV415" s="96" t="n"/>
      <c r="AW415" s="97" t="n"/>
      <c r="AX415" s="97" t="n"/>
      <c r="AY415" s="97" t="n"/>
      <c r="AZ415" s="97" t="n"/>
      <c r="BA415" s="97" t="n"/>
      <c r="BB415" s="98" t="n"/>
      <c r="BC415" s="98" t="n"/>
      <c r="BD415" s="99">
        <f>IF($A415="","",IF($DJ415&lt;&gt;"","FIX",IF($DK415&lt;&gt;"","CHECK","OK")))</f>
        <v/>
      </c>
      <c r="BE415" s="100">
        <f>IF($A415="","",IF($DJ415&lt;&gt;"","FIX: "&amp;LEFT($DJ415,LEN($DJ415)-2)&amp;IF($DK415&lt;&gt;"","  ·  ",""),"")&amp;IF($DK415&lt;&gt;"","CHECK: "&amp;LEFT($DK415,LEN($DK415)-2),""))</f>
        <v/>
      </c>
      <c r="BF415" s="99">
        <f>IF(OR($A415="",$K415=""),"",$K415&amp;"'-"&amp;N($L415)&amp;CHAR(34)&amp;" x "&amp;$M415&amp;"'-"&amp;N($N415)&amp;CHAR(34))</f>
        <v/>
      </c>
      <c r="BG415" s="99">
        <f>IF(OR($A415="",$K415=""),"",$K415&amp;N($L415)&amp;$M415&amp;N($N415))</f>
        <v/>
      </c>
      <c r="BH415" s="99">
        <f>IF(OR($A415="",$K415=""),"",$K415*12+N($L415))</f>
        <v/>
      </c>
      <c r="BI415" s="99">
        <f>IF(OR($A415="",$M415=""),"",$M415*12+N($N415))</f>
        <v/>
      </c>
      <c r="BJ415" s="99">
        <f>IF($A415="","",IF(OR($C415="FRAME ONLY",$S415="BL"),0,IF($O415="Y",2,1)))</f>
        <v/>
      </c>
      <c r="BK415" s="101">
        <f>IF(OR(N($BJ415)=0,$BH415=""),"",($BH415-2*EdgeClr-IF($BJ415=2,MeetClr,0))/$BJ415)</f>
        <v/>
      </c>
      <c r="BL415" s="101">
        <f>IF(OR(N($BJ415)=0,$BI415=""),"",$BI415-HeadClr-Undercut)</f>
        <v/>
      </c>
      <c r="BM415" s="101">
        <f>IF($BH415="","",$BH415+2*FaceW+IF(N($Q415)&gt;0,($Q415+FaceW)*IF($R415="LR",2,1),0))</f>
        <v/>
      </c>
      <c r="BN415" s="101">
        <f>IF($BI415="","",$BI415+IF($AB415="Y",4,FaceW)+IF(N($P415)&gt;0,$P415+FaceW,0)+IF(OR($S415="4F",$S415="BL"),FaceW,0))</f>
        <v/>
      </c>
      <c r="BO415" s="101">
        <f>IF($BM415="","",$BM415+2*ROSide)</f>
        <v/>
      </c>
      <c r="BP415" s="101">
        <f>IF($BN415="","",$BN415+ROTop)</f>
        <v/>
      </c>
      <c r="BQ415" s="102">
        <f>IF(OR(N($BJ415)=0,$BH415=""),"",$BH415/$BJ415-ClearDeduct)</f>
        <v/>
      </c>
      <c r="BR415" s="99">
        <f>IF(N($CH415)=0,"",IF($CH415&gt;=180,"A · 3 HR",IF($CH415&gt;=90,"B · 1-1/2 HR",IF($CH415&gt;=60,"B · 1 HR",IF($CH415&gt;=45,"C · 3/4 HR","20 MIN")))))&amp;IF(AND(N($CH415)&gt;0,OR($I415="CORRIDOR",$I415="SMOKE BARRIER"))," · S","")</f>
        <v/>
      </c>
      <c r="BS415" s="99">
        <f>IF($CS415,"",IF($AV415&lt;&gt;"",$AV415,IF(OR($AC415="HGC",$AO415="HGC"),"CONT",IF(($BI415-HeadClr-Undercut)&lt;=60,2,IF(($BI415-HeadClr-Undercut)&lt;=90,3,IF(($BI415-HeadClr-Undercut)&lt;=120,4,5))))))</f>
        <v/>
      </c>
      <c r="BT415" s="99">
        <f>IF($CS415,"",IF($CT415,"CUSTOM (typed)",IF($CV415,$AT415&amp;" "&amp;$CU415&amp;CHAR(34)&amp;IF($CU415&lt;&gt;$BI415,IF(AND($BI415&lt;$CU415,$BI415-IF(N(VLOOKUP($AT415&amp;"|"&amp;$CU415,LocTable,7,FALSE))&gt;0,VLOOKUP($AT415&amp;"|"&amp;$CU415,LocTable,7,FALSE),VLOOKUP($AT415&amp;"|"&amp;$CU415,LocTable,6,FALSE))-$CR415-0.75&gt;=2.125)," cut down"," adj."),""),"ANSI/SDI A250.6")))</f>
        <v/>
      </c>
      <c r="BU415" s="103">
        <f>IF($CS415,"",IF($CT415,IF(N($AW415)&gt;0,N($AW415),""),IF(1&gt;$CQ415,"",IF($CQ415=1,$CW415,$CW415+($CX415-$CW415)*0/($CQ415-1)))))</f>
        <v/>
      </c>
      <c r="BV415" s="103">
        <f>IF($CS415,"",IF($CT415,IF(N($AX415)&gt;0,N($AX415),""),IF(2&gt;$CQ415,"",IF($CQ415=1,$CW415,$CW415+($CX415-$CW415)*1/($CQ415-1)))))</f>
        <v/>
      </c>
      <c r="BW415" s="103">
        <f>IF($CS415,"",IF($CT415,IF(N($AY415)&gt;0,N($AY415),""),IF(3&gt;$CQ415,"",IF($CQ415=1,$CW415,$CW415+($CX415-$CW415)*2/($CQ415-1)))))</f>
        <v/>
      </c>
      <c r="BX415" s="103">
        <f>IF($CS415,"",IF($CT415,IF(N($AZ415)&gt;0,N($AZ415),""),IF(4&gt;$CQ415,"",IF($CQ415=1,$CW415,$CW415+($CX415-$CW415)*3/($CQ415-1)))))</f>
        <v/>
      </c>
      <c r="BY415" s="103">
        <f>IF($CS415,"",IF($CT415,"",IF(5&gt;$CQ415,"",IF($CQ415=1,$CW415,$CW415+($CX415-$CW415)*4/($CQ415-1)))))</f>
        <v/>
      </c>
      <c r="BZ415" s="103">
        <f>IF(OR($CS415,$AP415="-",AND($AP415="",$AD415="")),"",IF(N($BA415)&gt;0,N($BA415),IF($CV415,IF(AND($BI415&lt;$CU415,$BI415-IF(N(VLOOKUP($AT415&amp;"|"&amp;$CU415,LocTable,7,FALSE))&gt;0,VLOOKUP($AT415&amp;"|"&amp;$CU415,LocTable,7,FALSE),VLOOKUP($AT415&amp;"|"&amp;$CU415,LocTable,6,FALSE))-$CR415-0.75&gt;=2.125),VLOOKUP($AT415&amp;"|"&amp;$CU415,LocTable,8,FALSE),VLOOKUP($AT415&amp;"|"&amp;$CU415,LocTable,8,FALSE)+($BI415-$CU415)),$BI415-LockAFF)))</f>
        <v/>
      </c>
      <c r="CA415" s="104">
        <f>IF($BZ415="","",$BI415-$BZ415)</f>
        <v/>
      </c>
      <c r="CB415" s="99">
        <f>IF(OR(NOT(AND($A415&lt;&gt;"",$C415&lt;&gt;"DOOR ONLY")),$BI415=""),"",IF(($BI415+IF(N($P415)&gt;0,$P415+FaceW,0))&lt;=90,3,IF(($BI415+IF(N($P415)&gt;0,$P415+FaceW,0))&lt;=114,4,5)))</f>
        <v/>
      </c>
      <c r="CC415" s="99">
        <f>IF($CB415="","",$CB415*(2+IF(N($Q415)&gt;0,IF($R415="LR",2,1),0)))</f>
        <v/>
      </c>
      <c r="CD415" s="99">
        <f>IF($CB415="","",(2+IF(N($Q415)&gt;0,IF($R415="LR",2,1),0)))</f>
        <v/>
      </c>
      <c r="CE415" s="99">
        <f>IF(N($BJ415)=0,"",IF(OR($AL415="",$AL415="FLUSH"),"FLUSH",IFERROR(LEFT($AL415,FIND("-",$AL415)-1),LEFT($AL415,2))))</f>
        <v/>
      </c>
      <c r="CF415" s="99">
        <f>IF($CE415="","",IFERROR(VALUE(MID($AL415,FIND("-",$AL415)+1,FIND(CHAR(34)&amp;"x",$AL415)-FIND("-",$AL415)-1)),0))</f>
        <v/>
      </c>
      <c r="CG415" s="99">
        <f>IF($CE415="","",IFERROR(VALUE(MID($AL415,FIND(CHAR(34)&amp;"x",$AL415)+2,FIND(CHAR(34),$AL415,FIND(CHAR(34)&amp;"x",$AL415)+2)-FIND(CHAR(34)&amp;"x",$AL415)-2)),0))</f>
        <v/>
      </c>
      <c r="CH415" s="105">
        <f>IF(OR($A415="",$H415="",$H415="NO LAB"),0,IFERROR(VALUE(LEFT($H415,FIND(" ",$H415)-1)),0))</f>
        <v/>
      </c>
      <c r="CI415" s="106">
        <f>IF(OR($A415="",$I415="",$I415="NON-RATED",N($J415)=0),"",IFERROR(VLOOKUP($I415&amp;"|"&amp;$J415,IBC,2,FALSE),"?"))</f>
        <v/>
      </c>
      <c r="CJ415" s="100">
        <f>IF(NOT(AND($A415&lt;&gt;"",$C415&lt;&gt;"DOOR ONLY")),"",TRIM(IFERROR(VLOOKUP($U415,CODES,2,FALSE),"")&amp;" "&amp;$BG415&amp;" "&amp;IFERROR(VLOOKUP($Z415,CODES,2,FALSE),"")&amp;" "&amp;IFERROR(VLOOKUP($X415,CODES,2,FALSE),"")&amp;" "&amp;IFERROR(VLOOKUP($S415,CODES,2,FALSE),"")&amp;IF(N($P415)&gt;0," w/TRANSOM "&amp;$P415&amp;CHAR(34),"")&amp;IF(N($Q415)&gt;0," w/SIDELITE "&amp;$Q415&amp;CHAR(34)&amp;" "&amp;IF($R415="","R",$R415),"")&amp;IF($Y415="","  |  "," | "&amp;IFERROR(VLOOKUP($Y415,CODES,2,FALSE),"")&amp;" | ")&amp;IFERROR(VLOOKUP($AC415,CODES,2,FALSE),"")&amp;" "&amp;IFERROR(VLOOKUP($AD415,CODES,2,FALSE),"")&amp;IF(OR($AE415="",$AE415="-"),""," "&amp;$AE415)&amp;IF(OR($AF415="",$AF415="-"),""," "&amp;$AF415)&amp;IF($AB415="Y"," 4"&amp;CHAR(34)&amp;" HEAD","")&amp;" "&amp;IFERROR(VLOOKUP($H415,CODES,2,FALSE),"")&amp;IF($CT415," | LOC "&amp;$CY415,"")))</f>
        <v/>
      </c>
      <c r="CK415" s="100">
        <f>IF(NOT(AND($A415&lt;&gt;"",N($BJ415)&gt;0)),"",TRIM(IFERROR(VLOOKUP($AH415,CODES,2,FALSE),"")&amp;IF($AI415=""," "," "&amp;$AI415&amp;"GA ")&amp;$BG415&amp;" "&amp;IF($AN415="",IFERROR(VLOOKUP($Z415,CODES,2,FALSE),""),IFERROR(VLOOKUP($AN415,CODES,2,FALSE),""))&amp;IF($BJ415=2," PAIR","")&amp;" DOOR | "&amp;IF($AL415="","?",$AL415)&amp;" | "&amp;IF($AO415="",IFERROR(VLOOKUP($AC415,CODES,2,FALSE),""),IFERROR(VLOOKUP($AO415,CODES,2,FALSE),""))&amp;" "&amp;IFERROR(VLOOKUP($AP415,CODES,2,FALSE),"")&amp;IF(OR($AQ415="",$AQ415="-"),""," SEAM "&amp;$AQ415)&amp;IF($AR415="Y"," ASTRAGAL","")&amp;IF($AJ415=""," "," "&amp;$AJ415)&amp;IF($AK415=""," "," "&amp;$AK415)&amp;IF(OR($AT415="",$AT415="ANSI/SDI",$AT415="CUSTOM LOC"),""," "&amp;$AT415)&amp;IF($AM415=""," "," SERIES "&amp;$AM415)&amp;" "&amp;IFERROR(VLOOKUP($H415,CODES,2,FALSE),"")&amp;IF($CT415," | LOC "&amp;$CZ415,"")))</f>
        <v/>
      </c>
      <c r="CL415" s="99">
        <f>IF(CP415="","",IF(COUNTIF($CP$6:CP415,CP415)=1,MAX($CL$5:CL414)+1,INDEX($CL$5:CL414,MATCH(CP415,$CP$5:CP414,0))))</f>
        <v/>
      </c>
      <c r="CM415" s="99">
        <f>IF(NOT(AND($A415&lt;&gt;"",$C415&lt;&gt;"DOOR ONLY")),"",MAX($CM$5:CM414)+1)</f>
        <v/>
      </c>
      <c r="CN415" s="99">
        <f>IF(NOT(AND($A415&lt;&gt;"",N($BJ415)&gt;0)),"",MAX($CN$5:CN414)+1)</f>
        <v/>
      </c>
      <c r="CO415" s="99">
        <f>IF($A415="","",MAX($CO$5:CO414)+1)</f>
        <v/>
      </c>
      <c r="CP415" s="99">
        <f>IF(OR($A415="",$BH415="",$BI415=""),"",$BG415&amp;"|"&amp;$O415&amp;"|"&amp;$AL415&amp;"|"&amp;$S415&amp;"|"&amp;$P415&amp;"|"&amp;$Q415&amp;$R415&amp;"|"&amp;$C415&amp;"|"&amp;$AB415)</f>
        <v/>
      </c>
      <c r="CQ415" s="99">
        <f>N($BS415)</f>
        <v/>
      </c>
      <c r="CR415" s="99">
        <f>IF(N($AU415)&gt;0,N($AU415),4.5)</f>
        <v/>
      </c>
      <c r="CS415" s="99">
        <f>OR($A415="",$BI415="",$S415="BL",AND($C415="FRAME ONLY",OR($AC415="",$AC415="BLK")))</f>
        <v/>
      </c>
      <c r="CT415" s="99">
        <f>AND(NOT($CS415),OR($AT415="CUSTOM LOC",N($AW415)+N($AX415)+N($AY415)+N($AZ415)+N($BA415)&gt;0))</f>
        <v/>
      </c>
      <c r="CU415" s="99">
        <f>IF($BI415="","",IF($BI415&lt;=80,80,IF($BI415&lt;=84,84,96)))</f>
        <v/>
      </c>
      <c r="CV415" s="99">
        <f>ISNUMBER(MATCH($AT415&amp;"|80",LocKeys,0))</f>
        <v/>
      </c>
      <c r="CW415" s="101">
        <f>IF($CS415,"",IF($CV415,VLOOKUP($AT415&amp;"|"&amp;$CU415,LocTable,4,FALSE),5))</f>
        <v/>
      </c>
      <c r="CX415" s="101">
        <f>IF($CS415,"",IF($CV415,IF(OR($BI415=$CU415,AND($BI415&lt;$CU415,$BI415-IF(N(VLOOKUP($AT415&amp;"|"&amp;$CU415,LocTable,7,FALSE))&gt;0,VLOOKUP($AT415&amp;"|"&amp;$CU415,LocTable,7,FALSE),VLOOKUP($AT415&amp;"|"&amp;$CU415,LocTable,6,FALSE))-$CR415-0.75&gt;=2.125)),IF(N(VLOOKUP($AT415&amp;"|"&amp;$CU415,LocTable,7,FALSE))&gt;0,VLOOKUP($AT415&amp;"|"&amp;$CU415,LocTable,7,FALSE),VLOOKUP($AT415&amp;"|"&amp;$CU415,LocTable,6,FALSE)),$BI415-($CU415-IF(N(VLOOKUP($AT415&amp;"|"&amp;$CU415,LocTable,7,FALSE))&gt;0,VLOOKUP($AT415&amp;"|"&amp;$CU415,LocTable,7,FALSE),VLOOKUP($AT415&amp;"|"&amp;$CU415,LocTable,6,FALSE)))),$BI415-10-$CR415))</f>
        <v/>
      </c>
      <c r="CY415" s="100">
        <f>IF($CS415,"",TRIM(IF(ISNUMBER($BU415),"A "&amp;TRIM(TEXT($BU415,"# ?/??"))&amp;CHAR(34)&amp;"  ","")&amp;IF(ISNUMBER($BV415),"B "&amp;TRIM(TEXT($BV415,"# ?/??"))&amp;CHAR(34)&amp;"  ","")&amp;IF(ISNUMBER($BW415),"C "&amp;TRIM(TEXT($BW415,"# ?/??"))&amp;CHAR(34)&amp;"  ","")&amp;IF(ISNUMBER($BX415),"D "&amp;TRIM(TEXT($BX415,"# ?/??"))&amp;CHAR(34)&amp;"  ","")&amp;IF(ISNUMBER($BY415),"F "&amp;TRIM(TEXT($BY415,"# ?/??"))&amp;CHAR(34)&amp;"  ","")&amp;IF(ISNUMBER($BZ415),"E "&amp;TRIM(TEXT($BZ415,"# ?/??"))&amp;CHAR(34)&amp;"  ","")))</f>
        <v/>
      </c>
      <c r="CZ415" s="100">
        <f>IF(OR($CS415,N($BJ415)=0),"",TRIM(IF(ISNUMBER($BU415),"A "&amp;TRIM(TEXT($BU415-HeadClr,"# ?/??"))&amp;CHAR(34)&amp;"  ","")&amp;IF(ISNUMBER($BV415),"B "&amp;TRIM(TEXT($BV415-HeadClr,"# ?/??"))&amp;CHAR(34)&amp;"  ","")&amp;IF(ISNUMBER($BW415),"C "&amp;TRIM(TEXT($BW415-HeadClr,"# ?/??"))&amp;CHAR(34)&amp;"  ","")&amp;IF(ISNUMBER($BX415),"D "&amp;TRIM(TEXT($BX415-HeadClr,"# ?/??"))&amp;CHAR(34)&amp;"  ","")&amp;IF(ISNUMBER($BY415),"F "&amp;TRIM(TEXT($BY415-HeadClr,"# ?/??"))&amp;CHAR(34)&amp;"  ","")&amp;IF(ISNUMBER($BZ415),"E "&amp;TRIM(TEXT($BZ415-HeadClr,"# ?/??"))&amp;CHAR(34)&amp;"  ","")))</f>
        <v/>
      </c>
      <c r="DA415" s="99">
        <f>IF($A415="","",IF($AN415="",IFERROR(VLOOKUP($Z415,CODES,2,FALSE),""),IFERROR(VLOOKUP($AN415,CODES,2,FALSE),"")))</f>
        <v/>
      </c>
      <c r="DB415" s="99">
        <f>IF($A415="","",IF($O415="Y","PR",IF(OR($Z415="L",$Z415="RR",LEFT($Z415,2)="L-",LEFT($Z415,3)="RR-"),"LH","RH")))</f>
        <v/>
      </c>
      <c r="DC415" s="99">
        <f>IF($A415="","","S.HM"&amp;IF(OR($C415="DOOR ONLY",$X415&lt;&gt;"KD"),"MASONRY","DRYWALL")&amp;IF($C415="DOOR ONLY","",$U415)&amp;IF(AND($C415&lt;&gt;"FRAME ONLY",OR(LEFT($AH415,3)="OAK",LEFT($AH415,3)="BIR",LEFT($AH415,3)="MAP",$AH415="PC",$AH415="MC",$AH415="SCLC",$AH415="P-LAM")),"WD","HM")&amp;"1.75")</f>
        <v/>
      </c>
      <c r="DD415" s="99">
        <f>IF($CJ415="","",IF($O415="Y",$CJ415,SUBSTITUTE($CJ415,$BG415&amp;" "&amp;IFERROR(VLOOKUP($Z415,CODES,2,FALSE),"")&amp;" ",$BG415&amp;" ")))</f>
        <v/>
      </c>
      <c r="DE415" s="99">
        <f>IF($CK415="","",IF($O415="Y",$CK415,SUBSTITUTE($CK415,$BG415&amp;" "&amp;IF($AN415="",IFERROR(VLOOKUP($Z415,CODES,2,FALSE),""),IFERROR(VLOOKUP($AN415,CODES,2,FALSE),""))&amp;" ",$BG415&amp;" ")))</f>
        <v/>
      </c>
      <c r="DF415" s="99">
        <f>IF($CJ415="","",$DC415&amp;"|"&amp;$DD415&amp;"|"&amp;$DB415&amp;"|"&amp;$AT415&amp;"|"&amp;$V415&amp;"|"&amp;$Y415&amp;"|"&amp;$AB415)</f>
        <v/>
      </c>
      <c r="DG415" s="99">
        <f>IF(DF415="","",IF(COUNTIF($DF$6:DF415,DF415)=1,MAX($DG$5:DG414)+1,INDEX($DG$5:DG414,MATCH(DF415,$DF$5:DF414,0))))</f>
        <v/>
      </c>
      <c r="DH415" s="99">
        <f>IF($CK415="","",$DC415&amp;"|"&amp;$DE415&amp;"|"&amp;$AI415&amp;"|"&amp;$BK415&amp;"|"&amp;$BL415)</f>
        <v/>
      </c>
      <c r="DI415" s="99">
        <f>IF(DH415="","",IF(COUNTIF($DH$6:DH415,DH415)=1,MAX($DI$5:DI414)+1,INDEX($DI$5:DI414,MATCH(DH415,$DH$5:DH414,0))))</f>
        <v/>
      </c>
      <c r="DJ415" s="99">
        <f>IF($A415="","",IF($B415="","qty, ","")&amp;IF($C415="","scope, ","")&amp;IF(OR($K415="",$M415=""),"size, ","")&amp;IF(AND($A415&lt;&gt;"",$C415&lt;&gt;"DOOR ONLY"),IF($U415="","jamb depth, ","")&amp;IF($X415="","construction, ","")&amp;IF($Y415="","anchor, ","")&amp;IF($S415="","frame type, ",""),"")&amp;IF(AND(N($BJ415)&gt;0,$Z415=""),"hand, ","")&amp;IF(N($BJ415)&gt;0,IF($AH415="","door material, ","")&amp;IF($AL415="","face type, ","")&amp;IF($AP415="","lock prep, ","")&amp;IF(AND($AO415="",$AC415=""),"hinge prep, ",""),"")&amp;IF(AND($CH415&gt;0,$AH415="FRP"),"FRP cannot carry a label, ","")&amp;IF(AND($O415="Y",OR($Z415="L",$Z415="R",$Z415="LR",$Z415="RR")),"pair marked but hand is single, ","")&amp;IF(AND($O415&lt;&gt;"Y",OR($Z415="PR",AND(LEN($Z415)&gt;1,ISNUMBER(SEARCH("-",$Z415))))),"pair hand on a single door, ","")&amp;IF(AND(ISNUMBER($CI415),$CH415&lt;N($CI415)),"wall needs a "&amp;$CI415&amp;" min door, ","")&amp;IF(AND($CH415&gt;=180,AND(OR($CE415="FG",$CE415="HG",$CE415="FNV",$CE415="FV"),N($CF415)*N($CG415)&gt;100)),"180 min lite over 100 sq in, ","")&amp;IF(N($BK415)&gt;48,"leaf wider than 4'-0"&amp;CHAR(34)&amp;", ","")&amp;IF(AND($CT415,COUNT($AW415:$AZ415)=0,$CQ415&gt;0),"CUSTOM LOC with no locations typed, ",""))</f>
        <v/>
      </c>
      <c r="DK415" s="99">
        <f>IF($A415="","",IF(AND($CH415&gt;0,AND($A415&lt;&gt;"",$C415&lt;&gt;"DOOR ONLY"),$X415="KD",$E415="EXTERIOR"),"KD label on an exterior opening, ","")&amp;IF(AND($E415="EXTERIOR",OR(AND(AND($A415&lt;&gt;"",$C415&lt;&gt;"DOOR ONLY"),$W415="CR"),AND(N($BJ415)&gt;0,$AH415="CR"))),"exterior in CR steel (G9?), ","")&amp;IF(AND(ISNUMBER($BQ415),N($BQ415)&lt;32),"clear width ~"&amp;TEXT($BQ415,"0.0")&amp;CHAR(34)&amp;" under 32"&amp;CHAR(34)&amp;" (ADA), ","")&amp;IF(AND($CH415=90,AND(OR($CE415="FG",$CE415="HG",$CE415="FNV",$CE415="FV"),N($CF415)*N($CG415)&gt;100)),"90 min lite over 100 sq in (stair/exit), ","")&amp;IF(AND($CH415&gt;0,AND($A415&lt;&gt;"",$C415&lt;&gt;"DOOR ONLY"),OR($AF415="",$AF415="-")),"rated: closer reinf.?, ","")&amp;IF(OR($I415="CORRIDOR",$I415="SMOKE BARRIER"),"S label + smoke gasketing, ","")&amp;IF($CI415="?","wall type/hr not in IBC table, ","")&amp;IF(AND(N($BJ415)&gt;0,$BB415=""),"no hardware set, ","")&amp;IF(AND($BB415&lt;&gt;"",ISNA(MATCH($BB415&amp;"",HWSets,0))),"set "&amp;$BB415&amp;" not on HW Sets, ","")&amp;IF(N($BL415)&gt;96,"leaf over 8'-0"&amp;CHAR(34)&amp;" - check listing, ","")&amp;IF(AND($CT415,COUNT($AW415:$AZ415)&gt;0,COUNT($AW415:$AZ415)&lt;&gt;$CQ415),COUNT($AW415:$AZ415)&amp;" custom hinges typed, "&amp;$CQ415&amp;" expected, ","")&amp;IF(AND(ISNUMBER($CA415),OR(N($CA415)&lt;34,N($CA415)&gt;48)),"lock "&amp;TEXT($CA415,"0.0")&amp;CHAR(34)&amp;" AFF outside 34-48"&amp;CHAR(34)&amp;" (ADA), ","")&amp;IF(AND(ISNUMBER($AV415),ISNUMBER($BL415),N($AV415)&lt;IF(N($BL415)&lt;=60,2,IF(N($BL415)&lt;=90,3,IF(N($BL415)&lt;=120,4,5)))),"fewer hinges than standard, ",""))</f>
        <v/>
      </c>
    </row>
    <row r="416" ht="15" customHeight="1">
      <c r="A416" s="77" t="n"/>
      <c r="B416" s="78" t="n"/>
      <c r="C416" s="78" t="n"/>
      <c r="D416" s="78" t="n"/>
      <c r="E416" s="78" t="n"/>
      <c r="F416" s="78" t="n"/>
      <c r="G416" s="78" t="n"/>
      <c r="H416" s="78" t="n"/>
      <c r="I416" s="78" t="n"/>
      <c r="J416" s="78" t="n"/>
      <c r="K416" s="78" t="n"/>
      <c r="L416" s="78" t="n"/>
      <c r="M416" s="78" t="n"/>
      <c r="N416" s="78" t="n"/>
      <c r="O416" s="78" t="n"/>
      <c r="P416" s="78" t="n"/>
      <c r="Q416" s="78" t="n"/>
      <c r="R416" s="78" t="n"/>
      <c r="S416" s="79" t="n"/>
      <c r="T416" s="79" t="n"/>
      <c r="U416" s="79" t="n"/>
      <c r="V416" s="79" t="n"/>
      <c r="W416" s="79" t="n"/>
      <c r="X416" s="79" t="n"/>
      <c r="Y416" s="79" t="n"/>
      <c r="Z416" s="79" t="n"/>
      <c r="AA416" s="79" t="n"/>
      <c r="AB416" s="79" t="n"/>
      <c r="AC416" s="79" t="n"/>
      <c r="AD416" s="79" t="n"/>
      <c r="AE416" s="79" t="n"/>
      <c r="AF416" s="79" t="n"/>
      <c r="AG416" s="79" t="n"/>
      <c r="AH416" s="80" t="n"/>
      <c r="AI416" s="80" t="n"/>
      <c r="AJ416" s="80" t="n"/>
      <c r="AK416" s="80" t="n"/>
      <c r="AL416" s="80" t="n"/>
      <c r="AM416" s="80" t="n"/>
      <c r="AN416" s="80" t="n"/>
      <c r="AO416" s="80" t="n"/>
      <c r="AP416" s="80" t="n"/>
      <c r="AQ416" s="80" t="n"/>
      <c r="AR416" s="80" t="n"/>
      <c r="AS416" s="80" t="n"/>
      <c r="AT416" s="81" t="n"/>
      <c r="AU416" s="81" t="n"/>
      <c r="AV416" s="81" t="n"/>
      <c r="AW416" s="82" t="n"/>
      <c r="AX416" s="82" t="n"/>
      <c r="AY416" s="82" t="n"/>
      <c r="AZ416" s="82" t="n"/>
      <c r="BA416" s="82" t="n"/>
      <c r="BB416" s="83" t="n"/>
      <c r="BC416" s="83" t="n"/>
      <c r="BD416" s="84">
        <f>IF($A416="","",IF($DJ416&lt;&gt;"","FIX",IF($DK416&lt;&gt;"","CHECK","OK")))</f>
        <v/>
      </c>
      <c r="BE416" s="85">
        <f>IF($A416="","",IF($DJ416&lt;&gt;"","FIX: "&amp;LEFT($DJ416,LEN($DJ416)-2)&amp;IF($DK416&lt;&gt;"","  ·  ",""),"")&amp;IF($DK416&lt;&gt;"","CHECK: "&amp;LEFT($DK416,LEN($DK416)-2),""))</f>
        <v/>
      </c>
      <c r="BF416" s="84">
        <f>IF(OR($A416="",$K416=""),"",$K416&amp;"'-"&amp;N($L416)&amp;CHAR(34)&amp;" x "&amp;$M416&amp;"'-"&amp;N($N416)&amp;CHAR(34))</f>
        <v/>
      </c>
      <c r="BG416" s="84">
        <f>IF(OR($A416="",$K416=""),"",$K416&amp;N($L416)&amp;$M416&amp;N($N416))</f>
        <v/>
      </c>
      <c r="BH416" s="84">
        <f>IF(OR($A416="",$K416=""),"",$K416*12+N($L416))</f>
        <v/>
      </c>
      <c r="BI416" s="84">
        <f>IF(OR($A416="",$M416=""),"",$M416*12+N($N416))</f>
        <v/>
      </c>
      <c r="BJ416" s="84">
        <f>IF($A416="","",IF(OR($C416="FRAME ONLY",$S416="BL"),0,IF($O416="Y",2,1)))</f>
        <v/>
      </c>
      <c r="BK416" s="86">
        <f>IF(OR(N($BJ416)=0,$BH416=""),"",($BH416-2*EdgeClr-IF($BJ416=2,MeetClr,0))/$BJ416)</f>
        <v/>
      </c>
      <c r="BL416" s="86">
        <f>IF(OR(N($BJ416)=0,$BI416=""),"",$BI416-HeadClr-Undercut)</f>
        <v/>
      </c>
      <c r="BM416" s="86">
        <f>IF($BH416="","",$BH416+2*FaceW+IF(N($Q416)&gt;0,($Q416+FaceW)*IF($R416="LR",2,1),0))</f>
        <v/>
      </c>
      <c r="BN416" s="86">
        <f>IF($BI416="","",$BI416+IF($AB416="Y",4,FaceW)+IF(N($P416)&gt;0,$P416+FaceW,0)+IF(OR($S416="4F",$S416="BL"),FaceW,0))</f>
        <v/>
      </c>
      <c r="BO416" s="86">
        <f>IF($BM416="","",$BM416+2*ROSide)</f>
        <v/>
      </c>
      <c r="BP416" s="86">
        <f>IF($BN416="","",$BN416+ROTop)</f>
        <v/>
      </c>
      <c r="BQ416" s="87">
        <f>IF(OR(N($BJ416)=0,$BH416=""),"",$BH416/$BJ416-ClearDeduct)</f>
        <v/>
      </c>
      <c r="BR416" s="84">
        <f>IF(N($CH416)=0,"",IF($CH416&gt;=180,"A · 3 HR",IF($CH416&gt;=90,"B · 1-1/2 HR",IF($CH416&gt;=60,"B · 1 HR",IF($CH416&gt;=45,"C · 3/4 HR","20 MIN")))))&amp;IF(AND(N($CH416)&gt;0,OR($I416="CORRIDOR",$I416="SMOKE BARRIER"))," · S","")</f>
        <v/>
      </c>
      <c r="BS416" s="84">
        <f>IF($CS416,"",IF($AV416&lt;&gt;"",$AV416,IF(OR($AC416="HGC",$AO416="HGC"),"CONT",IF(($BI416-HeadClr-Undercut)&lt;=60,2,IF(($BI416-HeadClr-Undercut)&lt;=90,3,IF(($BI416-HeadClr-Undercut)&lt;=120,4,5))))))</f>
        <v/>
      </c>
      <c r="BT416" s="84">
        <f>IF($CS416,"",IF($CT416,"CUSTOM (typed)",IF($CV416,$AT416&amp;" "&amp;$CU416&amp;CHAR(34)&amp;IF($CU416&lt;&gt;$BI416,IF(AND($BI416&lt;$CU416,$BI416-IF(N(VLOOKUP($AT416&amp;"|"&amp;$CU416,LocTable,7,FALSE))&gt;0,VLOOKUP($AT416&amp;"|"&amp;$CU416,LocTable,7,FALSE),VLOOKUP($AT416&amp;"|"&amp;$CU416,LocTable,6,FALSE))-$CR416-0.75&gt;=2.125)," cut down"," adj."),""),"ANSI/SDI A250.6")))</f>
        <v/>
      </c>
      <c r="BU416" s="88">
        <f>IF($CS416,"",IF($CT416,IF(N($AW416)&gt;0,N($AW416),""),IF(1&gt;$CQ416,"",IF($CQ416=1,$CW416,$CW416+($CX416-$CW416)*0/($CQ416-1)))))</f>
        <v/>
      </c>
      <c r="BV416" s="88">
        <f>IF($CS416,"",IF($CT416,IF(N($AX416)&gt;0,N($AX416),""),IF(2&gt;$CQ416,"",IF($CQ416=1,$CW416,$CW416+($CX416-$CW416)*1/($CQ416-1)))))</f>
        <v/>
      </c>
      <c r="BW416" s="88">
        <f>IF($CS416,"",IF($CT416,IF(N($AY416)&gt;0,N($AY416),""),IF(3&gt;$CQ416,"",IF($CQ416=1,$CW416,$CW416+($CX416-$CW416)*2/($CQ416-1)))))</f>
        <v/>
      </c>
      <c r="BX416" s="88">
        <f>IF($CS416,"",IF($CT416,IF(N($AZ416)&gt;0,N($AZ416),""),IF(4&gt;$CQ416,"",IF($CQ416=1,$CW416,$CW416+($CX416-$CW416)*3/($CQ416-1)))))</f>
        <v/>
      </c>
      <c r="BY416" s="88">
        <f>IF($CS416,"",IF($CT416,"",IF(5&gt;$CQ416,"",IF($CQ416=1,$CW416,$CW416+($CX416-$CW416)*4/($CQ416-1)))))</f>
        <v/>
      </c>
      <c r="BZ416" s="88">
        <f>IF(OR($CS416,$AP416="-",AND($AP416="",$AD416="")),"",IF(N($BA416)&gt;0,N($BA416),IF($CV416,IF(AND($BI416&lt;$CU416,$BI416-IF(N(VLOOKUP($AT416&amp;"|"&amp;$CU416,LocTable,7,FALSE))&gt;0,VLOOKUP($AT416&amp;"|"&amp;$CU416,LocTable,7,FALSE),VLOOKUP($AT416&amp;"|"&amp;$CU416,LocTable,6,FALSE))-$CR416-0.75&gt;=2.125),VLOOKUP($AT416&amp;"|"&amp;$CU416,LocTable,8,FALSE),VLOOKUP($AT416&amp;"|"&amp;$CU416,LocTable,8,FALSE)+($BI416-$CU416)),$BI416-LockAFF)))</f>
        <v/>
      </c>
      <c r="CA416" s="89">
        <f>IF($BZ416="","",$BI416-$BZ416)</f>
        <v/>
      </c>
      <c r="CB416" s="84">
        <f>IF(OR(NOT(AND($A416&lt;&gt;"",$C416&lt;&gt;"DOOR ONLY")),$BI416=""),"",IF(($BI416+IF(N($P416)&gt;0,$P416+FaceW,0))&lt;=90,3,IF(($BI416+IF(N($P416)&gt;0,$P416+FaceW,0))&lt;=114,4,5)))</f>
        <v/>
      </c>
      <c r="CC416" s="84">
        <f>IF($CB416="","",$CB416*(2+IF(N($Q416)&gt;0,IF($R416="LR",2,1),0)))</f>
        <v/>
      </c>
      <c r="CD416" s="84">
        <f>IF($CB416="","",(2+IF(N($Q416)&gt;0,IF($R416="LR",2,1),0)))</f>
        <v/>
      </c>
      <c r="CE416" s="84">
        <f>IF(N($BJ416)=0,"",IF(OR($AL416="",$AL416="FLUSH"),"FLUSH",IFERROR(LEFT($AL416,FIND("-",$AL416)-1),LEFT($AL416,2))))</f>
        <v/>
      </c>
      <c r="CF416" s="84">
        <f>IF($CE416="","",IFERROR(VALUE(MID($AL416,FIND("-",$AL416)+1,FIND(CHAR(34)&amp;"x",$AL416)-FIND("-",$AL416)-1)),0))</f>
        <v/>
      </c>
      <c r="CG416" s="84">
        <f>IF($CE416="","",IFERROR(VALUE(MID($AL416,FIND(CHAR(34)&amp;"x",$AL416)+2,FIND(CHAR(34),$AL416,FIND(CHAR(34)&amp;"x",$AL416)+2)-FIND(CHAR(34)&amp;"x",$AL416)-2)),0))</f>
        <v/>
      </c>
      <c r="CH416" s="90">
        <f>IF(OR($A416="",$H416="",$H416="NO LAB"),0,IFERROR(VALUE(LEFT($H416,FIND(" ",$H416)-1)),0))</f>
        <v/>
      </c>
      <c r="CI416" s="91">
        <f>IF(OR($A416="",$I416="",$I416="NON-RATED",N($J416)=0),"",IFERROR(VLOOKUP($I416&amp;"|"&amp;$J416,IBC,2,FALSE),"?"))</f>
        <v/>
      </c>
      <c r="CJ416" s="85">
        <f>IF(NOT(AND($A416&lt;&gt;"",$C416&lt;&gt;"DOOR ONLY")),"",TRIM(IFERROR(VLOOKUP($U416,CODES,2,FALSE),"")&amp;" "&amp;$BG416&amp;" "&amp;IFERROR(VLOOKUP($Z416,CODES,2,FALSE),"")&amp;" "&amp;IFERROR(VLOOKUP($X416,CODES,2,FALSE),"")&amp;" "&amp;IFERROR(VLOOKUP($S416,CODES,2,FALSE),"")&amp;IF(N($P416)&gt;0," w/TRANSOM "&amp;$P416&amp;CHAR(34),"")&amp;IF(N($Q416)&gt;0," w/SIDELITE "&amp;$Q416&amp;CHAR(34)&amp;" "&amp;IF($R416="","R",$R416),"")&amp;IF($Y416="","  |  "," | "&amp;IFERROR(VLOOKUP($Y416,CODES,2,FALSE),"")&amp;" | ")&amp;IFERROR(VLOOKUP($AC416,CODES,2,FALSE),"")&amp;" "&amp;IFERROR(VLOOKUP($AD416,CODES,2,FALSE),"")&amp;IF(OR($AE416="",$AE416="-"),""," "&amp;$AE416)&amp;IF(OR($AF416="",$AF416="-"),""," "&amp;$AF416)&amp;IF($AB416="Y"," 4"&amp;CHAR(34)&amp;" HEAD","")&amp;" "&amp;IFERROR(VLOOKUP($H416,CODES,2,FALSE),"")&amp;IF($CT416," | LOC "&amp;$CY416,"")))</f>
        <v/>
      </c>
      <c r="CK416" s="85">
        <f>IF(NOT(AND($A416&lt;&gt;"",N($BJ416)&gt;0)),"",TRIM(IFERROR(VLOOKUP($AH416,CODES,2,FALSE),"")&amp;IF($AI416=""," "," "&amp;$AI416&amp;"GA ")&amp;$BG416&amp;" "&amp;IF($AN416="",IFERROR(VLOOKUP($Z416,CODES,2,FALSE),""),IFERROR(VLOOKUP($AN416,CODES,2,FALSE),""))&amp;IF($BJ416=2," PAIR","")&amp;" DOOR | "&amp;IF($AL416="","?",$AL416)&amp;" | "&amp;IF($AO416="",IFERROR(VLOOKUP($AC416,CODES,2,FALSE),""),IFERROR(VLOOKUP($AO416,CODES,2,FALSE),""))&amp;" "&amp;IFERROR(VLOOKUP($AP416,CODES,2,FALSE),"")&amp;IF(OR($AQ416="",$AQ416="-"),""," SEAM "&amp;$AQ416)&amp;IF($AR416="Y"," ASTRAGAL","")&amp;IF($AJ416=""," "," "&amp;$AJ416)&amp;IF($AK416=""," "," "&amp;$AK416)&amp;IF(OR($AT416="",$AT416="ANSI/SDI",$AT416="CUSTOM LOC"),""," "&amp;$AT416)&amp;IF($AM416=""," "," SERIES "&amp;$AM416)&amp;" "&amp;IFERROR(VLOOKUP($H416,CODES,2,FALSE),"")&amp;IF($CT416," | LOC "&amp;$CZ416,"")))</f>
        <v/>
      </c>
      <c r="CL416" s="84">
        <f>IF(CP416="","",IF(COUNTIF($CP$6:CP416,CP416)=1,MAX($CL$5:CL415)+1,INDEX($CL$5:CL415,MATCH(CP416,$CP$5:CP415,0))))</f>
        <v/>
      </c>
      <c r="CM416" s="84">
        <f>IF(NOT(AND($A416&lt;&gt;"",$C416&lt;&gt;"DOOR ONLY")),"",MAX($CM$5:CM415)+1)</f>
        <v/>
      </c>
      <c r="CN416" s="84">
        <f>IF(NOT(AND($A416&lt;&gt;"",N($BJ416)&gt;0)),"",MAX($CN$5:CN415)+1)</f>
        <v/>
      </c>
      <c r="CO416" s="84">
        <f>IF($A416="","",MAX($CO$5:CO415)+1)</f>
        <v/>
      </c>
      <c r="CP416" s="84">
        <f>IF(OR($A416="",$BH416="",$BI416=""),"",$BG416&amp;"|"&amp;$O416&amp;"|"&amp;$AL416&amp;"|"&amp;$S416&amp;"|"&amp;$P416&amp;"|"&amp;$Q416&amp;$R416&amp;"|"&amp;$C416&amp;"|"&amp;$AB416)</f>
        <v/>
      </c>
      <c r="CQ416" s="84">
        <f>N($BS416)</f>
        <v/>
      </c>
      <c r="CR416" s="84">
        <f>IF(N($AU416)&gt;0,N($AU416),4.5)</f>
        <v/>
      </c>
      <c r="CS416" s="84">
        <f>OR($A416="",$BI416="",$S416="BL",AND($C416="FRAME ONLY",OR($AC416="",$AC416="BLK")))</f>
        <v/>
      </c>
      <c r="CT416" s="84">
        <f>AND(NOT($CS416),OR($AT416="CUSTOM LOC",N($AW416)+N($AX416)+N($AY416)+N($AZ416)+N($BA416)&gt;0))</f>
        <v/>
      </c>
      <c r="CU416" s="84">
        <f>IF($BI416="","",IF($BI416&lt;=80,80,IF($BI416&lt;=84,84,96)))</f>
        <v/>
      </c>
      <c r="CV416" s="84">
        <f>ISNUMBER(MATCH($AT416&amp;"|80",LocKeys,0))</f>
        <v/>
      </c>
      <c r="CW416" s="86">
        <f>IF($CS416,"",IF($CV416,VLOOKUP($AT416&amp;"|"&amp;$CU416,LocTable,4,FALSE),5))</f>
        <v/>
      </c>
      <c r="CX416" s="86">
        <f>IF($CS416,"",IF($CV416,IF(OR($BI416=$CU416,AND($BI416&lt;$CU416,$BI416-IF(N(VLOOKUP($AT416&amp;"|"&amp;$CU416,LocTable,7,FALSE))&gt;0,VLOOKUP($AT416&amp;"|"&amp;$CU416,LocTable,7,FALSE),VLOOKUP($AT416&amp;"|"&amp;$CU416,LocTable,6,FALSE))-$CR416-0.75&gt;=2.125)),IF(N(VLOOKUP($AT416&amp;"|"&amp;$CU416,LocTable,7,FALSE))&gt;0,VLOOKUP($AT416&amp;"|"&amp;$CU416,LocTable,7,FALSE),VLOOKUP($AT416&amp;"|"&amp;$CU416,LocTable,6,FALSE)),$BI416-($CU416-IF(N(VLOOKUP($AT416&amp;"|"&amp;$CU416,LocTable,7,FALSE))&gt;0,VLOOKUP($AT416&amp;"|"&amp;$CU416,LocTable,7,FALSE),VLOOKUP($AT416&amp;"|"&amp;$CU416,LocTable,6,FALSE)))),$BI416-10-$CR416))</f>
        <v/>
      </c>
      <c r="CY416" s="85">
        <f>IF($CS416,"",TRIM(IF(ISNUMBER($BU416),"A "&amp;TRIM(TEXT($BU416,"# ?/??"))&amp;CHAR(34)&amp;"  ","")&amp;IF(ISNUMBER($BV416),"B "&amp;TRIM(TEXT($BV416,"# ?/??"))&amp;CHAR(34)&amp;"  ","")&amp;IF(ISNUMBER($BW416),"C "&amp;TRIM(TEXT($BW416,"# ?/??"))&amp;CHAR(34)&amp;"  ","")&amp;IF(ISNUMBER($BX416),"D "&amp;TRIM(TEXT($BX416,"# ?/??"))&amp;CHAR(34)&amp;"  ","")&amp;IF(ISNUMBER($BY416),"F "&amp;TRIM(TEXT($BY416,"# ?/??"))&amp;CHAR(34)&amp;"  ","")&amp;IF(ISNUMBER($BZ416),"E "&amp;TRIM(TEXT($BZ416,"# ?/??"))&amp;CHAR(34)&amp;"  ","")))</f>
        <v/>
      </c>
      <c r="CZ416" s="85">
        <f>IF(OR($CS416,N($BJ416)=0),"",TRIM(IF(ISNUMBER($BU416),"A "&amp;TRIM(TEXT($BU416-HeadClr,"# ?/??"))&amp;CHAR(34)&amp;"  ","")&amp;IF(ISNUMBER($BV416),"B "&amp;TRIM(TEXT($BV416-HeadClr,"# ?/??"))&amp;CHAR(34)&amp;"  ","")&amp;IF(ISNUMBER($BW416),"C "&amp;TRIM(TEXT($BW416-HeadClr,"# ?/??"))&amp;CHAR(34)&amp;"  ","")&amp;IF(ISNUMBER($BX416),"D "&amp;TRIM(TEXT($BX416-HeadClr,"# ?/??"))&amp;CHAR(34)&amp;"  ","")&amp;IF(ISNUMBER($BY416),"F "&amp;TRIM(TEXT($BY416-HeadClr,"# ?/??"))&amp;CHAR(34)&amp;"  ","")&amp;IF(ISNUMBER($BZ416),"E "&amp;TRIM(TEXT($BZ416-HeadClr,"# ?/??"))&amp;CHAR(34)&amp;"  ","")))</f>
        <v/>
      </c>
      <c r="DA416" s="84">
        <f>IF($A416="","",IF($AN416="",IFERROR(VLOOKUP($Z416,CODES,2,FALSE),""),IFERROR(VLOOKUP($AN416,CODES,2,FALSE),"")))</f>
        <v/>
      </c>
      <c r="DB416" s="84">
        <f>IF($A416="","",IF($O416="Y","PR",IF(OR($Z416="L",$Z416="RR",LEFT($Z416,2)="L-",LEFT($Z416,3)="RR-"),"LH","RH")))</f>
        <v/>
      </c>
      <c r="DC416" s="84">
        <f>IF($A416="","","S.HM"&amp;IF(OR($C416="DOOR ONLY",$X416&lt;&gt;"KD"),"MASONRY","DRYWALL")&amp;IF($C416="DOOR ONLY","",$U416)&amp;IF(AND($C416&lt;&gt;"FRAME ONLY",OR(LEFT($AH416,3)="OAK",LEFT($AH416,3)="BIR",LEFT($AH416,3)="MAP",$AH416="PC",$AH416="MC",$AH416="SCLC",$AH416="P-LAM")),"WD","HM")&amp;"1.75")</f>
        <v/>
      </c>
      <c r="DD416" s="84">
        <f>IF($CJ416="","",IF($O416="Y",$CJ416,SUBSTITUTE($CJ416,$BG416&amp;" "&amp;IFERROR(VLOOKUP($Z416,CODES,2,FALSE),"")&amp;" ",$BG416&amp;" ")))</f>
        <v/>
      </c>
      <c r="DE416" s="84">
        <f>IF($CK416="","",IF($O416="Y",$CK416,SUBSTITUTE($CK416,$BG416&amp;" "&amp;IF($AN416="",IFERROR(VLOOKUP($Z416,CODES,2,FALSE),""),IFERROR(VLOOKUP($AN416,CODES,2,FALSE),""))&amp;" ",$BG416&amp;" ")))</f>
        <v/>
      </c>
      <c r="DF416" s="84">
        <f>IF($CJ416="","",$DC416&amp;"|"&amp;$DD416&amp;"|"&amp;$DB416&amp;"|"&amp;$AT416&amp;"|"&amp;$V416&amp;"|"&amp;$Y416&amp;"|"&amp;$AB416)</f>
        <v/>
      </c>
      <c r="DG416" s="84">
        <f>IF(DF416="","",IF(COUNTIF($DF$6:DF416,DF416)=1,MAX($DG$5:DG415)+1,INDEX($DG$5:DG415,MATCH(DF416,$DF$5:DF415,0))))</f>
        <v/>
      </c>
      <c r="DH416" s="84">
        <f>IF($CK416="","",$DC416&amp;"|"&amp;$DE416&amp;"|"&amp;$AI416&amp;"|"&amp;$BK416&amp;"|"&amp;$BL416)</f>
        <v/>
      </c>
      <c r="DI416" s="84">
        <f>IF(DH416="","",IF(COUNTIF($DH$6:DH416,DH416)=1,MAX($DI$5:DI415)+1,INDEX($DI$5:DI415,MATCH(DH416,$DH$5:DH415,0))))</f>
        <v/>
      </c>
      <c r="DJ416" s="84">
        <f>IF($A416="","",IF($B416="","qty, ","")&amp;IF($C416="","scope, ","")&amp;IF(OR($K416="",$M416=""),"size, ","")&amp;IF(AND($A416&lt;&gt;"",$C416&lt;&gt;"DOOR ONLY"),IF($U416="","jamb depth, ","")&amp;IF($X416="","construction, ","")&amp;IF($Y416="","anchor, ","")&amp;IF($S416="","frame type, ",""),"")&amp;IF(AND(N($BJ416)&gt;0,$Z416=""),"hand, ","")&amp;IF(N($BJ416)&gt;0,IF($AH416="","door material, ","")&amp;IF($AL416="","face type, ","")&amp;IF($AP416="","lock prep, ","")&amp;IF(AND($AO416="",$AC416=""),"hinge prep, ",""),"")&amp;IF(AND($CH416&gt;0,$AH416="FRP"),"FRP cannot carry a label, ","")&amp;IF(AND($O416="Y",OR($Z416="L",$Z416="R",$Z416="LR",$Z416="RR")),"pair marked but hand is single, ","")&amp;IF(AND($O416&lt;&gt;"Y",OR($Z416="PR",AND(LEN($Z416)&gt;1,ISNUMBER(SEARCH("-",$Z416))))),"pair hand on a single door, ","")&amp;IF(AND(ISNUMBER($CI416),$CH416&lt;N($CI416)),"wall needs a "&amp;$CI416&amp;" min door, ","")&amp;IF(AND($CH416&gt;=180,AND(OR($CE416="FG",$CE416="HG",$CE416="FNV",$CE416="FV"),N($CF416)*N($CG416)&gt;100)),"180 min lite over 100 sq in, ","")&amp;IF(N($BK416)&gt;48,"leaf wider than 4'-0"&amp;CHAR(34)&amp;", ","")&amp;IF(AND($CT416,COUNT($AW416:$AZ416)=0,$CQ416&gt;0),"CUSTOM LOC with no locations typed, ",""))</f>
        <v/>
      </c>
      <c r="DK416" s="84">
        <f>IF($A416="","",IF(AND($CH416&gt;0,AND($A416&lt;&gt;"",$C416&lt;&gt;"DOOR ONLY"),$X416="KD",$E416="EXTERIOR"),"KD label on an exterior opening, ","")&amp;IF(AND($E416="EXTERIOR",OR(AND(AND($A416&lt;&gt;"",$C416&lt;&gt;"DOOR ONLY"),$W416="CR"),AND(N($BJ416)&gt;0,$AH416="CR"))),"exterior in CR steel (G9?), ","")&amp;IF(AND(ISNUMBER($BQ416),N($BQ416)&lt;32),"clear width ~"&amp;TEXT($BQ416,"0.0")&amp;CHAR(34)&amp;" under 32"&amp;CHAR(34)&amp;" (ADA), ","")&amp;IF(AND($CH416=90,AND(OR($CE416="FG",$CE416="HG",$CE416="FNV",$CE416="FV"),N($CF416)*N($CG416)&gt;100)),"90 min lite over 100 sq in (stair/exit), ","")&amp;IF(AND($CH416&gt;0,AND($A416&lt;&gt;"",$C416&lt;&gt;"DOOR ONLY"),OR($AF416="",$AF416="-")),"rated: closer reinf.?, ","")&amp;IF(OR($I416="CORRIDOR",$I416="SMOKE BARRIER"),"S label + smoke gasketing, ","")&amp;IF($CI416="?","wall type/hr not in IBC table, ","")&amp;IF(AND(N($BJ416)&gt;0,$BB416=""),"no hardware set, ","")&amp;IF(AND($BB416&lt;&gt;"",ISNA(MATCH($BB416&amp;"",HWSets,0))),"set "&amp;$BB416&amp;" not on HW Sets, ","")&amp;IF(N($BL416)&gt;96,"leaf over 8'-0"&amp;CHAR(34)&amp;" - check listing, ","")&amp;IF(AND($CT416,COUNT($AW416:$AZ416)&gt;0,COUNT($AW416:$AZ416)&lt;&gt;$CQ416),COUNT($AW416:$AZ416)&amp;" custom hinges typed, "&amp;$CQ416&amp;" expected, ","")&amp;IF(AND(ISNUMBER($CA416),OR(N($CA416)&lt;34,N($CA416)&gt;48)),"lock "&amp;TEXT($CA416,"0.0")&amp;CHAR(34)&amp;" AFF outside 34-48"&amp;CHAR(34)&amp;" (ADA), ","")&amp;IF(AND(ISNUMBER($AV416),ISNUMBER($BL416),N($AV416)&lt;IF(N($BL416)&lt;=60,2,IF(N($BL416)&lt;=90,3,IF(N($BL416)&lt;=120,4,5)))),"fewer hinges than standard, ",""))</f>
        <v/>
      </c>
    </row>
    <row r="417" ht="15" customHeight="1">
      <c r="A417" s="77" t="n"/>
      <c r="B417" s="78" t="n"/>
      <c r="C417" s="78" t="n"/>
      <c r="D417" s="78" t="n"/>
      <c r="E417" s="78" t="n"/>
      <c r="F417" s="78" t="n"/>
      <c r="G417" s="78" t="n"/>
      <c r="H417" s="78" t="n"/>
      <c r="I417" s="78" t="n"/>
      <c r="J417" s="78" t="n"/>
      <c r="K417" s="78" t="n"/>
      <c r="L417" s="78" t="n"/>
      <c r="M417" s="78" t="n"/>
      <c r="N417" s="78" t="n"/>
      <c r="O417" s="78" t="n"/>
      <c r="P417" s="78" t="n"/>
      <c r="Q417" s="78" t="n"/>
      <c r="R417" s="78" t="n"/>
      <c r="S417" s="79" t="n"/>
      <c r="T417" s="79" t="n"/>
      <c r="U417" s="79" t="n"/>
      <c r="V417" s="79" t="n"/>
      <c r="W417" s="79" t="n"/>
      <c r="X417" s="79" t="n"/>
      <c r="Y417" s="79" t="n"/>
      <c r="Z417" s="79" t="n"/>
      <c r="AA417" s="79" t="n"/>
      <c r="AB417" s="79" t="n"/>
      <c r="AC417" s="79" t="n"/>
      <c r="AD417" s="79" t="n"/>
      <c r="AE417" s="79" t="n"/>
      <c r="AF417" s="79" t="n"/>
      <c r="AG417" s="79" t="n"/>
      <c r="AH417" s="80" t="n"/>
      <c r="AI417" s="80" t="n"/>
      <c r="AJ417" s="80" t="n"/>
      <c r="AK417" s="80" t="n"/>
      <c r="AL417" s="80" t="n"/>
      <c r="AM417" s="80" t="n"/>
      <c r="AN417" s="80" t="n"/>
      <c r="AO417" s="80" t="n"/>
      <c r="AP417" s="80" t="n"/>
      <c r="AQ417" s="80" t="n"/>
      <c r="AR417" s="80" t="n"/>
      <c r="AS417" s="80" t="n"/>
      <c r="AT417" s="81" t="n"/>
      <c r="AU417" s="81" t="n"/>
      <c r="AV417" s="81" t="n"/>
      <c r="AW417" s="82" t="n"/>
      <c r="AX417" s="82" t="n"/>
      <c r="AY417" s="82" t="n"/>
      <c r="AZ417" s="82" t="n"/>
      <c r="BA417" s="82" t="n"/>
      <c r="BB417" s="83" t="n"/>
      <c r="BC417" s="83" t="n"/>
      <c r="BD417" s="84">
        <f>IF($A417="","",IF($DJ417&lt;&gt;"","FIX",IF($DK417&lt;&gt;"","CHECK","OK")))</f>
        <v/>
      </c>
      <c r="BE417" s="85">
        <f>IF($A417="","",IF($DJ417&lt;&gt;"","FIX: "&amp;LEFT($DJ417,LEN($DJ417)-2)&amp;IF($DK417&lt;&gt;"","  ·  ",""),"")&amp;IF($DK417&lt;&gt;"","CHECK: "&amp;LEFT($DK417,LEN($DK417)-2),""))</f>
        <v/>
      </c>
      <c r="BF417" s="84">
        <f>IF(OR($A417="",$K417=""),"",$K417&amp;"'-"&amp;N($L417)&amp;CHAR(34)&amp;" x "&amp;$M417&amp;"'-"&amp;N($N417)&amp;CHAR(34))</f>
        <v/>
      </c>
      <c r="BG417" s="84">
        <f>IF(OR($A417="",$K417=""),"",$K417&amp;N($L417)&amp;$M417&amp;N($N417))</f>
        <v/>
      </c>
      <c r="BH417" s="84">
        <f>IF(OR($A417="",$K417=""),"",$K417*12+N($L417))</f>
        <v/>
      </c>
      <c r="BI417" s="84">
        <f>IF(OR($A417="",$M417=""),"",$M417*12+N($N417))</f>
        <v/>
      </c>
      <c r="BJ417" s="84">
        <f>IF($A417="","",IF(OR($C417="FRAME ONLY",$S417="BL"),0,IF($O417="Y",2,1)))</f>
        <v/>
      </c>
      <c r="BK417" s="86">
        <f>IF(OR(N($BJ417)=0,$BH417=""),"",($BH417-2*EdgeClr-IF($BJ417=2,MeetClr,0))/$BJ417)</f>
        <v/>
      </c>
      <c r="BL417" s="86">
        <f>IF(OR(N($BJ417)=0,$BI417=""),"",$BI417-HeadClr-Undercut)</f>
        <v/>
      </c>
      <c r="BM417" s="86">
        <f>IF($BH417="","",$BH417+2*FaceW+IF(N($Q417)&gt;0,($Q417+FaceW)*IF($R417="LR",2,1),0))</f>
        <v/>
      </c>
      <c r="BN417" s="86">
        <f>IF($BI417="","",$BI417+IF($AB417="Y",4,FaceW)+IF(N($P417)&gt;0,$P417+FaceW,0)+IF(OR($S417="4F",$S417="BL"),FaceW,0))</f>
        <v/>
      </c>
      <c r="BO417" s="86">
        <f>IF($BM417="","",$BM417+2*ROSide)</f>
        <v/>
      </c>
      <c r="BP417" s="86">
        <f>IF($BN417="","",$BN417+ROTop)</f>
        <v/>
      </c>
      <c r="BQ417" s="87">
        <f>IF(OR(N($BJ417)=0,$BH417=""),"",$BH417/$BJ417-ClearDeduct)</f>
        <v/>
      </c>
      <c r="BR417" s="84">
        <f>IF(N($CH417)=0,"",IF($CH417&gt;=180,"A · 3 HR",IF($CH417&gt;=90,"B · 1-1/2 HR",IF($CH417&gt;=60,"B · 1 HR",IF($CH417&gt;=45,"C · 3/4 HR","20 MIN")))))&amp;IF(AND(N($CH417)&gt;0,OR($I417="CORRIDOR",$I417="SMOKE BARRIER"))," · S","")</f>
        <v/>
      </c>
      <c r="BS417" s="84">
        <f>IF($CS417,"",IF($AV417&lt;&gt;"",$AV417,IF(OR($AC417="HGC",$AO417="HGC"),"CONT",IF(($BI417-HeadClr-Undercut)&lt;=60,2,IF(($BI417-HeadClr-Undercut)&lt;=90,3,IF(($BI417-HeadClr-Undercut)&lt;=120,4,5))))))</f>
        <v/>
      </c>
      <c r="BT417" s="84">
        <f>IF($CS417,"",IF($CT417,"CUSTOM (typed)",IF($CV417,$AT417&amp;" "&amp;$CU417&amp;CHAR(34)&amp;IF($CU417&lt;&gt;$BI417,IF(AND($BI417&lt;$CU417,$BI417-IF(N(VLOOKUP($AT417&amp;"|"&amp;$CU417,LocTable,7,FALSE))&gt;0,VLOOKUP($AT417&amp;"|"&amp;$CU417,LocTable,7,FALSE),VLOOKUP($AT417&amp;"|"&amp;$CU417,LocTable,6,FALSE))-$CR417-0.75&gt;=2.125)," cut down"," adj."),""),"ANSI/SDI A250.6")))</f>
        <v/>
      </c>
      <c r="BU417" s="88">
        <f>IF($CS417,"",IF($CT417,IF(N($AW417)&gt;0,N($AW417),""),IF(1&gt;$CQ417,"",IF($CQ417=1,$CW417,$CW417+($CX417-$CW417)*0/($CQ417-1)))))</f>
        <v/>
      </c>
      <c r="BV417" s="88">
        <f>IF($CS417,"",IF($CT417,IF(N($AX417)&gt;0,N($AX417),""),IF(2&gt;$CQ417,"",IF($CQ417=1,$CW417,$CW417+($CX417-$CW417)*1/($CQ417-1)))))</f>
        <v/>
      </c>
      <c r="BW417" s="88">
        <f>IF($CS417,"",IF($CT417,IF(N($AY417)&gt;0,N($AY417),""),IF(3&gt;$CQ417,"",IF($CQ417=1,$CW417,$CW417+($CX417-$CW417)*2/($CQ417-1)))))</f>
        <v/>
      </c>
      <c r="BX417" s="88">
        <f>IF($CS417,"",IF($CT417,IF(N($AZ417)&gt;0,N($AZ417),""),IF(4&gt;$CQ417,"",IF($CQ417=1,$CW417,$CW417+($CX417-$CW417)*3/($CQ417-1)))))</f>
        <v/>
      </c>
      <c r="BY417" s="88">
        <f>IF($CS417,"",IF($CT417,"",IF(5&gt;$CQ417,"",IF($CQ417=1,$CW417,$CW417+($CX417-$CW417)*4/($CQ417-1)))))</f>
        <v/>
      </c>
      <c r="BZ417" s="88">
        <f>IF(OR($CS417,$AP417="-",AND($AP417="",$AD417="")),"",IF(N($BA417)&gt;0,N($BA417),IF($CV417,IF(AND($BI417&lt;$CU417,$BI417-IF(N(VLOOKUP($AT417&amp;"|"&amp;$CU417,LocTable,7,FALSE))&gt;0,VLOOKUP($AT417&amp;"|"&amp;$CU417,LocTable,7,FALSE),VLOOKUP($AT417&amp;"|"&amp;$CU417,LocTable,6,FALSE))-$CR417-0.75&gt;=2.125),VLOOKUP($AT417&amp;"|"&amp;$CU417,LocTable,8,FALSE),VLOOKUP($AT417&amp;"|"&amp;$CU417,LocTable,8,FALSE)+($BI417-$CU417)),$BI417-LockAFF)))</f>
        <v/>
      </c>
      <c r="CA417" s="89">
        <f>IF($BZ417="","",$BI417-$BZ417)</f>
        <v/>
      </c>
      <c r="CB417" s="84">
        <f>IF(OR(NOT(AND($A417&lt;&gt;"",$C417&lt;&gt;"DOOR ONLY")),$BI417=""),"",IF(($BI417+IF(N($P417)&gt;0,$P417+FaceW,0))&lt;=90,3,IF(($BI417+IF(N($P417)&gt;0,$P417+FaceW,0))&lt;=114,4,5)))</f>
        <v/>
      </c>
      <c r="CC417" s="84">
        <f>IF($CB417="","",$CB417*(2+IF(N($Q417)&gt;0,IF($R417="LR",2,1),0)))</f>
        <v/>
      </c>
      <c r="CD417" s="84">
        <f>IF($CB417="","",(2+IF(N($Q417)&gt;0,IF($R417="LR",2,1),0)))</f>
        <v/>
      </c>
      <c r="CE417" s="84">
        <f>IF(N($BJ417)=0,"",IF(OR($AL417="",$AL417="FLUSH"),"FLUSH",IFERROR(LEFT($AL417,FIND("-",$AL417)-1),LEFT($AL417,2))))</f>
        <v/>
      </c>
      <c r="CF417" s="84">
        <f>IF($CE417="","",IFERROR(VALUE(MID($AL417,FIND("-",$AL417)+1,FIND(CHAR(34)&amp;"x",$AL417)-FIND("-",$AL417)-1)),0))</f>
        <v/>
      </c>
      <c r="CG417" s="84">
        <f>IF($CE417="","",IFERROR(VALUE(MID($AL417,FIND(CHAR(34)&amp;"x",$AL417)+2,FIND(CHAR(34),$AL417,FIND(CHAR(34)&amp;"x",$AL417)+2)-FIND(CHAR(34)&amp;"x",$AL417)-2)),0))</f>
        <v/>
      </c>
      <c r="CH417" s="90">
        <f>IF(OR($A417="",$H417="",$H417="NO LAB"),0,IFERROR(VALUE(LEFT($H417,FIND(" ",$H417)-1)),0))</f>
        <v/>
      </c>
      <c r="CI417" s="91">
        <f>IF(OR($A417="",$I417="",$I417="NON-RATED",N($J417)=0),"",IFERROR(VLOOKUP($I417&amp;"|"&amp;$J417,IBC,2,FALSE),"?"))</f>
        <v/>
      </c>
      <c r="CJ417" s="85">
        <f>IF(NOT(AND($A417&lt;&gt;"",$C417&lt;&gt;"DOOR ONLY")),"",TRIM(IFERROR(VLOOKUP($U417,CODES,2,FALSE),"")&amp;" "&amp;$BG417&amp;" "&amp;IFERROR(VLOOKUP($Z417,CODES,2,FALSE),"")&amp;" "&amp;IFERROR(VLOOKUP($X417,CODES,2,FALSE),"")&amp;" "&amp;IFERROR(VLOOKUP($S417,CODES,2,FALSE),"")&amp;IF(N($P417)&gt;0," w/TRANSOM "&amp;$P417&amp;CHAR(34),"")&amp;IF(N($Q417)&gt;0," w/SIDELITE "&amp;$Q417&amp;CHAR(34)&amp;" "&amp;IF($R417="","R",$R417),"")&amp;IF($Y417="","  |  "," | "&amp;IFERROR(VLOOKUP($Y417,CODES,2,FALSE),"")&amp;" | ")&amp;IFERROR(VLOOKUP($AC417,CODES,2,FALSE),"")&amp;" "&amp;IFERROR(VLOOKUP($AD417,CODES,2,FALSE),"")&amp;IF(OR($AE417="",$AE417="-"),""," "&amp;$AE417)&amp;IF(OR($AF417="",$AF417="-"),""," "&amp;$AF417)&amp;IF($AB417="Y"," 4"&amp;CHAR(34)&amp;" HEAD","")&amp;" "&amp;IFERROR(VLOOKUP($H417,CODES,2,FALSE),"")&amp;IF($CT417," | LOC "&amp;$CY417,"")))</f>
        <v/>
      </c>
      <c r="CK417" s="85">
        <f>IF(NOT(AND($A417&lt;&gt;"",N($BJ417)&gt;0)),"",TRIM(IFERROR(VLOOKUP($AH417,CODES,2,FALSE),"")&amp;IF($AI417=""," "," "&amp;$AI417&amp;"GA ")&amp;$BG417&amp;" "&amp;IF($AN417="",IFERROR(VLOOKUP($Z417,CODES,2,FALSE),""),IFERROR(VLOOKUP($AN417,CODES,2,FALSE),""))&amp;IF($BJ417=2," PAIR","")&amp;" DOOR | "&amp;IF($AL417="","?",$AL417)&amp;" | "&amp;IF($AO417="",IFERROR(VLOOKUP($AC417,CODES,2,FALSE),""),IFERROR(VLOOKUP($AO417,CODES,2,FALSE),""))&amp;" "&amp;IFERROR(VLOOKUP($AP417,CODES,2,FALSE),"")&amp;IF(OR($AQ417="",$AQ417="-"),""," SEAM "&amp;$AQ417)&amp;IF($AR417="Y"," ASTRAGAL","")&amp;IF($AJ417=""," "," "&amp;$AJ417)&amp;IF($AK417=""," "," "&amp;$AK417)&amp;IF(OR($AT417="",$AT417="ANSI/SDI",$AT417="CUSTOM LOC"),""," "&amp;$AT417)&amp;IF($AM417=""," "," SERIES "&amp;$AM417)&amp;" "&amp;IFERROR(VLOOKUP($H417,CODES,2,FALSE),"")&amp;IF($CT417," | LOC "&amp;$CZ417,"")))</f>
        <v/>
      </c>
      <c r="CL417" s="84">
        <f>IF(CP417="","",IF(COUNTIF($CP$6:CP417,CP417)=1,MAX($CL$5:CL416)+1,INDEX($CL$5:CL416,MATCH(CP417,$CP$5:CP416,0))))</f>
        <v/>
      </c>
      <c r="CM417" s="84">
        <f>IF(NOT(AND($A417&lt;&gt;"",$C417&lt;&gt;"DOOR ONLY")),"",MAX($CM$5:CM416)+1)</f>
        <v/>
      </c>
      <c r="CN417" s="84">
        <f>IF(NOT(AND($A417&lt;&gt;"",N($BJ417)&gt;0)),"",MAX($CN$5:CN416)+1)</f>
        <v/>
      </c>
      <c r="CO417" s="84">
        <f>IF($A417="","",MAX($CO$5:CO416)+1)</f>
        <v/>
      </c>
      <c r="CP417" s="84">
        <f>IF(OR($A417="",$BH417="",$BI417=""),"",$BG417&amp;"|"&amp;$O417&amp;"|"&amp;$AL417&amp;"|"&amp;$S417&amp;"|"&amp;$P417&amp;"|"&amp;$Q417&amp;$R417&amp;"|"&amp;$C417&amp;"|"&amp;$AB417)</f>
        <v/>
      </c>
      <c r="CQ417" s="84">
        <f>N($BS417)</f>
        <v/>
      </c>
      <c r="CR417" s="84">
        <f>IF(N($AU417)&gt;0,N($AU417),4.5)</f>
        <v/>
      </c>
      <c r="CS417" s="84">
        <f>OR($A417="",$BI417="",$S417="BL",AND($C417="FRAME ONLY",OR($AC417="",$AC417="BLK")))</f>
        <v/>
      </c>
      <c r="CT417" s="84">
        <f>AND(NOT($CS417),OR($AT417="CUSTOM LOC",N($AW417)+N($AX417)+N($AY417)+N($AZ417)+N($BA417)&gt;0))</f>
        <v/>
      </c>
      <c r="CU417" s="84">
        <f>IF($BI417="","",IF($BI417&lt;=80,80,IF($BI417&lt;=84,84,96)))</f>
        <v/>
      </c>
      <c r="CV417" s="84">
        <f>ISNUMBER(MATCH($AT417&amp;"|80",LocKeys,0))</f>
        <v/>
      </c>
      <c r="CW417" s="86">
        <f>IF($CS417,"",IF($CV417,VLOOKUP($AT417&amp;"|"&amp;$CU417,LocTable,4,FALSE),5))</f>
        <v/>
      </c>
      <c r="CX417" s="86">
        <f>IF($CS417,"",IF($CV417,IF(OR($BI417=$CU417,AND($BI417&lt;$CU417,$BI417-IF(N(VLOOKUP($AT417&amp;"|"&amp;$CU417,LocTable,7,FALSE))&gt;0,VLOOKUP($AT417&amp;"|"&amp;$CU417,LocTable,7,FALSE),VLOOKUP($AT417&amp;"|"&amp;$CU417,LocTable,6,FALSE))-$CR417-0.75&gt;=2.125)),IF(N(VLOOKUP($AT417&amp;"|"&amp;$CU417,LocTable,7,FALSE))&gt;0,VLOOKUP($AT417&amp;"|"&amp;$CU417,LocTable,7,FALSE),VLOOKUP($AT417&amp;"|"&amp;$CU417,LocTable,6,FALSE)),$BI417-($CU417-IF(N(VLOOKUP($AT417&amp;"|"&amp;$CU417,LocTable,7,FALSE))&gt;0,VLOOKUP($AT417&amp;"|"&amp;$CU417,LocTable,7,FALSE),VLOOKUP($AT417&amp;"|"&amp;$CU417,LocTable,6,FALSE)))),$BI417-10-$CR417))</f>
        <v/>
      </c>
      <c r="CY417" s="85">
        <f>IF($CS417,"",TRIM(IF(ISNUMBER($BU417),"A "&amp;TRIM(TEXT($BU417,"# ?/??"))&amp;CHAR(34)&amp;"  ","")&amp;IF(ISNUMBER($BV417),"B "&amp;TRIM(TEXT($BV417,"# ?/??"))&amp;CHAR(34)&amp;"  ","")&amp;IF(ISNUMBER($BW417),"C "&amp;TRIM(TEXT($BW417,"# ?/??"))&amp;CHAR(34)&amp;"  ","")&amp;IF(ISNUMBER($BX417),"D "&amp;TRIM(TEXT($BX417,"# ?/??"))&amp;CHAR(34)&amp;"  ","")&amp;IF(ISNUMBER($BY417),"F "&amp;TRIM(TEXT($BY417,"# ?/??"))&amp;CHAR(34)&amp;"  ","")&amp;IF(ISNUMBER($BZ417),"E "&amp;TRIM(TEXT($BZ417,"# ?/??"))&amp;CHAR(34)&amp;"  ","")))</f>
        <v/>
      </c>
      <c r="CZ417" s="85">
        <f>IF(OR($CS417,N($BJ417)=0),"",TRIM(IF(ISNUMBER($BU417),"A "&amp;TRIM(TEXT($BU417-HeadClr,"# ?/??"))&amp;CHAR(34)&amp;"  ","")&amp;IF(ISNUMBER($BV417),"B "&amp;TRIM(TEXT($BV417-HeadClr,"# ?/??"))&amp;CHAR(34)&amp;"  ","")&amp;IF(ISNUMBER($BW417),"C "&amp;TRIM(TEXT($BW417-HeadClr,"# ?/??"))&amp;CHAR(34)&amp;"  ","")&amp;IF(ISNUMBER($BX417),"D "&amp;TRIM(TEXT($BX417-HeadClr,"# ?/??"))&amp;CHAR(34)&amp;"  ","")&amp;IF(ISNUMBER($BY417),"F "&amp;TRIM(TEXT($BY417-HeadClr,"# ?/??"))&amp;CHAR(34)&amp;"  ","")&amp;IF(ISNUMBER($BZ417),"E "&amp;TRIM(TEXT($BZ417-HeadClr,"# ?/??"))&amp;CHAR(34)&amp;"  ","")))</f>
        <v/>
      </c>
      <c r="DA417" s="84">
        <f>IF($A417="","",IF($AN417="",IFERROR(VLOOKUP($Z417,CODES,2,FALSE),""),IFERROR(VLOOKUP($AN417,CODES,2,FALSE),"")))</f>
        <v/>
      </c>
      <c r="DB417" s="84">
        <f>IF($A417="","",IF($O417="Y","PR",IF(OR($Z417="L",$Z417="RR",LEFT($Z417,2)="L-",LEFT($Z417,3)="RR-"),"LH","RH")))</f>
        <v/>
      </c>
      <c r="DC417" s="84">
        <f>IF($A417="","","S.HM"&amp;IF(OR($C417="DOOR ONLY",$X417&lt;&gt;"KD"),"MASONRY","DRYWALL")&amp;IF($C417="DOOR ONLY","",$U417)&amp;IF(AND($C417&lt;&gt;"FRAME ONLY",OR(LEFT($AH417,3)="OAK",LEFT($AH417,3)="BIR",LEFT($AH417,3)="MAP",$AH417="PC",$AH417="MC",$AH417="SCLC",$AH417="P-LAM")),"WD","HM")&amp;"1.75")</f>
        <v/>
      </c>
      <c r="DD417" s="84">
        <f>IF($CJ417="","",IF($O417="Y",$CJ417,SUBSTITUTE($CJ417,$BG417&amp;" "&amp;IFERROR(VLOOKUP($Z417,CODES,2,FALSE),"")&amp;" ",$BG417&amp;" ")))</f>
        <v/>
      </c>
      <c r="DE417" s="84">
        <f>IF($CK417="","",IF($O417="Y",$CK417,SUBSTITUTE($CK417,$BG417&amp;" "&amp;IF($AN417="",IFERROR(VLOOKUP($Z417,CODES,2,FALSE),""),IFERROR(VLOOKUP($AN417,CODES,2,FALSE),""))&amp;" ",$BG417&amp;" ")))</f>
        <v/>
      </c>
      <c r="DF417" s="84">
        <f>IF($CJ417="","",$DC417&amp;"|"&amp;$DD417&amp;"|"&amp;$DB417&amp;"|"&amp;$AT417&amp;"|"&amp;$V417&amp;"|"&amp;$Y417&amp;"|"&amp;$AB417)</f>
        <v/>
      </c>
      <c r="DG417" s="84">
        <f>IF(DF417="","",IF(COUNTIF($DF$6:DF417,DF417)=1,MAX($DG$5:DG416)+1,INDEX($DG$5:DG416,MATCH(DF417,$DF$5:DF416,0))))</f>
        <v/>
      </c>
      <c r="DH417" s="84">
        <f>IF($CK417="","",$DC417&amp;"|"&amp;$DE417&amp;"|"&amp;$AI417&amp;"|"&amp;$BK417&amp;"|"&amp;$BL417)</f>
        <v/>
      </c>
      <c r="DI417" s="84">
        <f>IF(DH417="","",IF(COUNTIF($DH$6:DH417,DH417)=1,MAX($DI$5:DI416)+1,INDEX($DI$5:DI416,MATCH(DH417,$DH$5:DH416,0))))</f>
        <v/>
      </c>
      <c r="DJ417" s="84">
        <f>IF($A417="","",IF($B417="","qty, ","")&amp;IF($C417="","scope, ","")&amp;IF(OR($K417="",$M417=""),"size, ","")&amp;IF(AND($A417&lt;&gt;"",$C417&lt;&gt;"DOOR ONLY"),IF($U417="","jamb depth, ","")&amp;IF($X417="","construction, ","")&amp;IF($Y417="","anchor, ","")&amp;IF($S417="","frame type, ",""),"")&amp;IF(AND(N($BJ417)&gt;0,$Z417=""),"hand, ","")&amp;IF(N($BJ417)&gt;0,IF($AH417="","door material, ","")&amp;IF($AL417="","face type, ","")&amp;IF($AP417="","lock prep, ","")&amp;IF(AND($AO417="",$AC417=""),"hinge prep, ",""),"")&amp;IF(AND($CH417&gt;0,$AH417="FRP"),"FRP cannot carry a label, ","")&amp;IF(AND($O417="Y",OR($Z417="L",$Z417="R",$Z417="LR",$Z417="RR")),"pair marked but hand is single, ","")&amp;IF(AND($O417&lt;&gt;"Y",OR($Z417="PR",AND(LEN($Z417)&gt;1,ISNUMBER(SEARCH("-",$Z417))))),"pair hand on a single door, ","")&amp;IF(AND(ISNUMBER($CI417),$CH417&lt;N($CI417)),"wall needs a "&amp;$CI417&amp;" min door, ","")&amp;IF(AND($CH417&gt;=180,AND(OR($CE417="FG",$CE417="HG",$CE417="FNV",$CE417="FV"),N($CF417)*N($CG417)&gt;100)),"180 min lite over 100 sq in, ","")&amp;IF(N($BK417)&gt;48,"leaf wider than 4'-0"&amp;CHAR(34)&amp;", ","")&amp;IF(AND($CT417,COUNT($AW417:$AZ417)=0,$CQ417&gt;0),"CUSTOM LOC with no locations typed, ",""))</f>
        <v/>
      </c>
      <c r="DK417" s="84">
        <f>IF($A417="","",IF(AND($CH417&gt;0,AND($A417&lt;&gt;"",$C417&lt;&gt;"DOOR ONLY"),$X417="KD",$E417="EXTERIOR"),"KD label on an exterior opening, ","")&amp;IF(AND($E417="EXTERIOR",OR(AND(AND($A417&lt;&gt;"",$C417&lt;&gt;"DOOR ONLY"),$W417="CR"),AND(N($BJ417)&gt;0,$AH417="CR"))),"exterior in CR steel (G9?), ","")&amp;IF(AND(ISNUMBER($BQ417),N($BQ417)&lt;32),"clear width ~"&amp;TEXT($BQ417,"0.0")&amp;CHAR(34)&amp;" under 32"&amp;CHAR(34)&amp;" (ADA), ","")&amp;IF(AND($CH417=90,AND(OR($CE417="FG",$CE417="HG",$CE417="FNV",$CE417="FV"),N($CF417)*N($CG417)&gt;100)),"90 min lite over 100 sq in (stair/exit), ","")&amp;IF(AND($CH417&gt;0,AND($A417&lt;&gt;"",$C417&lt;&gt;"DOOR ONLY"),OR($AF417="",$AF417="-")),"rated: closer reinf.?, ","")&amp;IF(OR($I417="CORRIDOR",$I417="SMOKE BARRIER"),"S label + smoke gasketing, ","")&amp;IF($CI417="?","wall type/hr not in IBC table, ","")&amp;IF(AND(N($BJ417)&gt;0,$BB417=""),"no hardware set, ","")&amp;IF(AND($BB417&lt;&gt;"",ISNA(MATCH($BB417&amp;"",HWSets,0))),"set "&amp;$BB417&amp;" not on HW Sets, ","")&amp;IF(N($BL417)&gt;96,"leaf over 8'-0"&amp;CHAR(34)&amp;" - check listing, ","")&amp;IF(AND($CT417,COUNT($AW417:$AZ417)&gt;0,COUNT($AW417:$AZ417)&lt;&gt;$CQ417),COUNT($AW417:$AZ417)&amp;" custom hinges typed, "&amp;$CQ417&amp;" expected, ","")&amp;IF(AND(ISNUMBER($CA417),OR(N($CA417)&lt;34,N($CA417)&gt;48)),"lock "&amp;TEXT($CA417,"0.0")&amp;CHAR(34)&amp;" AFF outside 34-48"&amp;CHAR(34)&amp;" (ADA), ","")&amp;IF(AND(ISNUMBER($AV417),ISNUMBER($BL417),N($AV417)&lt;IF(N($BL417)&lt;=60,2,IF(N($BL417)&lt;=90,3,IF(N($BL417)&lt;=120,4,5)))),"fewer hinges than standard, ",""))</f>
        <v/>
      </c>
    </row>
    <row r="418" ht="15" customHeight="1">
      <c r="A418" s="77" t="n"/>
      <c r="B418" s="78" t="n"/>
      <c r="C418" s="78" t="n"/>
      <c r="D418" s="78" t="n"/>
      <c r="E418" s="78" t="n"/>
      <c r="F418" s="78" t="n"/>
      <c r="G418" s="78" t="n"/>
      <c r="H418" s="78" t="n"/>
      <c r="I418" s="78" t="n"/>
      <c r="J418" s="78" t="n"/>
      <c r="K418" s="78" t="n"/>
      <c r="L418" s="78" t="n"/>
      <c r="M418" s="78" t="n"/>
      <c r="N418" s="78" t="n"/>
      <c r="O418" s="78" t="n"/>
      <c r="P418" s="78" t="n"/>
      <c r="Q418" s="78" t="n"/>
      <c r="R418" s="78" t="n"/>
      <c r="S418" s="79" t="n"/>
      <c r="T418" s="79" t="n"/>
      <c r="U418" s="79" t="n"/>
      <c r="V418" s="79" t="n"/>
      <c r="W418" s="79" t="n"/>
      <c r="X418" s="79" t="n"/>
      <c r="Y418" s="79" t="n"/>
      <c r="Z418" s="79" t="n"/>
      <c r="AA418" s="79" t="n"/>
      <c r="AB418" s="79" t="n"/>
      <c r="AC418" s="79" t="n"/>
      <c r="AD418" s="79" t="n"/>
      <c r="AE418" s="79" t="n"/>
      <c r="AF418" s="79" t="n"/>
      <c r="AG418" s="79" t="n"/>
      <c r="AH418" s="80" t="n"/>
      <c r="AI418" s="80" t="n"/>
      <c r="AJ418" s="80" t="n"/>
      <c r="AK418" s="80" t="n"/>
      <c r="AL418" s="80" t="n"/>
      <c r="AM418" s="80" t="n"/>
      <c r="AN418" s="80" t="n"/>
      <c r="AO418" s="80" t="n"/>
      <c r="AP418" s="80" t="n"/>
      <c r="AQ418" s="80" t="n"/>
      <c r="AR418" s="80" t="n"/>
      <c r="AS418" s="80" t="n"/>
      <c r="AT418" s="81" t="n"/>
      <c r="AU418" s="81" t="n"/>
      <c r="AV418" s="81" t="n"/>
      <c r="AW418" s="82" t="n"/>
      <c r="AX418" s="82" t="n"/>
      <c r="AY418" s="82" t="n"/>
      <c r="AZ418" s="82" t="n"/>
      <c r="BA418" s="82" t="n"/>
      <c r="BB418" s="83" t="n"/>
      <c r="BC418" s="83" t="n"/>
      <c r="BD418" s="84">
        <f>IF($A418="","",IF($DJ418&lt;&gt;"","FIX",IF($DK418&lt;&gt;"","CHECK","OK")))</f>
        <v/>
      </c>
      <c r="BE418" s="85">
        <f>IF($A418="","",IF($DJ418&lt;&gt;"","FIX: "&amp;LEFT($DJ418,LEN($DJ418)-2)&amp;IF($DK418&lt;&gt;"","  ·  ",""),"")&amp;IF($DK418&lt;&gt;"","CHECK: "&amp;LEFT($DK418,LEN($DK418)-2),""))</f>
        <v/>
      </c>
      <c r="BF418" s="84">
        <f>IF(OR($A418="",$K418=""),"",$K418&amp;"'-"&amp;N($L418)&amp;CHAR(34)&amp;" x "&amp;$M418&amp;"'-"&amp;N($N418)&amp;CHAR(34))</f>
        <v/>
      </c>
      <c r="BG418" s="84">
        <f>IF(OR($A418="",$K418=""),"",$K418&amp;N($L418)&amp;$M418&amp;N($N418))</f>
        <v/>
      </c>
      <c r="BH418" s="84">
        <f>IF(OR($A418="",$K418=""),"",$K418*12+N($L418))</f>
        <v/>
      </c>
      <c r="BI418" s="84">
        <f>IF(OR($A418="",$M418=""),"",$M418*12+N($N418))</f>
        <v/>
      </c>
      <c r="BJ418" s="84">
        <f>IF($A418="","",IF(OR($C418="FRAME ONLY",$S418="BL"),0,IF($O418="Y",2,1)))</f>
        <v/>
      </c>
      <c r="BK418" s="86">
        <f>IF(OR(N($BJ418)=0,$BH418=""),"",($BH418-2*EdgeClr-IF($BJ418=2,MeetClr,0))/$BJ418)</f>
        <v/>
      </c>
      <c r="BL418" s="86">
        <f>IF(OR(N($BJ418)=0,$BI418=""),"",$BI418-HeadClr-Undercut)</f>
        <v/>
      </c>
      <c r="BM418" s="86">
        <f>IF($BH418="","",$BH418+2*FaceW+IF(N($Q418)&gt;0,($Q418+FaceW)*IF($R418="LR",2,1),0))</f>
        <v/>
      </c>
      <c r="BN418" s="86">
        <f>IF($BI418="","",$BI418+IF($AB418="Y",4,FaceW)+IF(N($P418)&gt;0,$P418+FaceW,0)+IF(OR($S418="4F",$S418="BL"),FaceW,0))</f>
        <v/>
      </c>
      <c r="BO418" s="86">
        <f>IF($BM418="","",$BM418+2*ROSide)</f>
        <v/>
      </c>
      <c r="BP418" s="86">
        <f>IF($BN418="","",$BN418+ROTop)</f>
        <v/>
      </c>
      <c r="BQ418" s="87">
        <f>IF(OR(N($BJ418)=0,$BH418=""),"",$BH418/$BJ418-ClearDeduct)</f>
        <v/>
      </c>
      <c r="BR418" s="84">
        <f>IF(N($CH418)=0,"",IF($CH418&gt;=180,"A · 3 HR",IF($CH418&gt;=90,"B · 1-1/2 HR",IF($CH418&gt;=60,"B · 1 HR",IF($CH418&gt;=45,"C · 3/4 HR","20 MIN")))))&amp;IF(AND(N($CH418)&gt;0,OR($I418="CORRIDOR",$I418="SMOKE BARRIER"))," · S","")</f>
        <v/>
      </c>
      <c r="BS418" s="84">
        <f>IF($CS418,"",IF($AV418&lt;&gt;"",$AV418,IF(OR($AC418="HGC",$AO418="HGC"),"CONT",IF(($BI418-HeadClr-Undercut)&lt;=60,2,IF(($BI418-HeadClr-Undercut)&lt;=90,3,IF(($BI418-HeadClr-Undercut)&lt;=120,4,5))))))</f>
        <v/>
      </c>
      <c r="BT418" s="84">
        <f>IF($CS418,"",IF($CT418,"CUSTOM (typed)",IF($CV418,$AT418&amp;" "&amp;$CU418&amp;CHAR(34)&amp;IF($CU418&lt;&gt;$BI418,IF(AND($BI418&lt;$CU418,$BI418-IF(N(VLOOKUP($AT418&amp;"|"&amp;$CU418,LocTable,7,FALSE))&gt;0,VLOOKUP($AT418&amp;"|"&amp;$CU418,LocTable,7,FALSE),VLOOKUP($AT418&amp;"|"&amp;$CU418,LocTable,6,FALSE))-$CR418-0.75&gt;=2.125)," cut down"," adj."),""),"ANSI/SDI A250.6")))</f>
        <v/>
      </c>
      <c r="BU418" s="88">
        <f>IF($CS418,"",IF($CT418,IF(N($AW418)&gt;0,N($AW418),""),IF(1&gt;$CQ418,"",IF($CQ418=1,$CW418,$CW418+($CX418-$CW418)*0/($CQ418-1)))))</f>
        <v/>
      </c>
      <c r="BV418" s="88">
        <f>IF($CS418,"",IF($CT418,IF(N($AX418)&gt;0,N($AX418),""),IF(2&gt;$CQ418,"",IF($CQ418=1,$CW418,$CW418+($CX418-$CW418)*1/($CQ418-1)))))</f>
        <v/>
      </c>
      <c r="BW418" s="88">
        <f>IF($CS418,"",IF($CT418,IF(N($AY418)&gt;0,N($AY418),""),IF(3&gt;$CQ418,"",IF($CQ418=1,$CW418,$CW418+($CX418-$CW418)*2/($CQ418-1)))))</f>
        <v/>
      </c>
      <c r="BX418" s="88">
        <f>IF($CS418,"",IF($CT418,IF(N($AZ418)&gt;0,N($AZ418),""),IF(4&gt;$CQ418,"",IF($CQ418=1,$CW418,$CW418+($CX418-$CW418)*3/($CQ418-1)))))</f>
        <v/>
      </c>
      <c r="BY418" s="88">
        <f>IF($CS418,"",IF($CT418,"",IF(5&gt;$CQ418,"",IF($CQ418=1,$CW418,$CW418+($CX418-$CW418)*4/($CQ418-1)))))</f>
        <v/>
      </c>
      <c r="BZ418" s="88">
        <f>IF(OR($CS418,$AP418="-",AND($AP418="",$AD418="")),"",IF(N($BA418)&gt;0,N($BA418),IF($CV418,IF(AND($BI418&lt;$CU418,$BI418-IF(N(VLOOKUP($AT418&amp;"|"&amp;$CU418,LocTable,7,FALSE))&gt;0,VLOOKUP($AT418&amp;"|"&amp;$CU418,LocTable,7,FALSE),VLOOKUP($AT418&amp;"|"&amp;$CU418,LocTable,6,FALSE))-$CR418-0.75&gt;=2.125),VLOOKUP($AT418&amp;"|"&amp;$CU418,LocTable,8,FALSE),VLOOKUP($AT418&amp;"|"&amp;$CU418,LocTable,8,FALSE)+($BI418-$CU418)),$BI418-LockAFF)))</f>
        <v/>
      </c>
      <c r="CA418" s="89">
        <f>IF($BZ418="","",$BI418-$BZ418)</f>
        <v/>
      </c>
      <c r="CB418" s="84">
        <f>IF(OR(NOT(AND($A418&lt;&gt;"",$C418&lt;&gt;"DOOR ONLY")),$BI418=""),"",IF(($BI418+IF(N($P418)&gt;0,$P418+FaceW,0))&lt;=90,3,IF(($BI418+IF(N($P418)&gt;0,$P418+FaceW,0))&lt;=114,4,5)))</f>
        <v/>
      </c>
      <c r="CC418" s="84">
        <f>IF($CB418="","",$CB418*(2+IF(N($Q418)&gt;0,IF($R418="LR",2,1),0)))</f>
        <v/>
      </c>
      <c r="CD418" s="84">
        <f>IF($CB418="","",(2+IF(N($Q418)&gt;0,IF($R418="LR",2,1),0)))</f>
        <v/>
      </c>
      <c r="CE418" s="84">
        <f>IF(N($BJ418)=0,"",IF(OR($AL418="",$AL418="FLUSH"),"FLUSH",IFERROR(LEFT($AL418,FIND("-",$AL418)-1),LEFT($AL418,2))))</f>
        <v/>
      </c>
      <c r="CF418" s="84">
        <f>IF($CE418="","",IFERROR(VALUE(MID($AL418,FIND("-",$AL418)+1,FIND(CHAR(34)&amp;"x",$AL418)-FIND("-",$AL418)-1)),0))</f>
        <v/>
      </c>
      <c r="CG418" s="84">
        <f>IF($CE418="","",IFERROR(VALUE(MID($AL418,FIND(CHAR(34)&amp;"x",$AL418)+2,FIND(CHAR(34),$AL418,FIND(CHAR(34)&amp;"x",$AL418)+2)-FIND(CHAR(34)&amp;"x",$AL418)-2)),0))</f>
        <v/>
      </c>
      <c r="CH418" s="90">
        <f>IF(OR($A418="",$H418="",$H418="NO LAB"),0,IFERROR(VALUE(LEFT($H418,FIND(" ",$H418)-1)),0))</f>
        <v/>
      </c>
      <c r="CI418" s="91">
        <f>IF(OR($A418="",$I418="",$I418="NON-RATED",N($J418)=0),"",IFERROR(VLOOKUP($I418&amp;"|"&amp;$J418,IBC,2,FALSE),"?"))</f>
        <v/>
      </c>
      <c r="CJ418" s="85">
        <f>IF(NOT(AND($A418&lt;&gt;"",$C418&lt;&gt;"DOOR ONLY")),"",TRIM(IFERROR(VLOOKUP($U418,CODES,2,FALSE),"")&amp;" "&amp;$BG418&amp;" "&amp;IFERROR(VLOOKUP($Z418,CODES,2,FALSE),"")&amp;" "&amp;IFERROR(VLOOKUP($X418,CODES,2,FALSE),"")&amp;" "&amp;IFERROR(VLOOKUP($S418,CODES,2,FALSE),"")&amp;IF(N($P418)&gt;0," w/TRANSOM "&amp;$P418&amp;CHAR(34),"")&amp;IF(N($Q418)&gt;0," w/SIDELITE "&amp;$Q418&amp;CHAR(34)&amp;" "&amp;IF($R418="","R",$R418),"")&amp;IF($Y418="","  |  "," | "&amp;IFERROR(VLOOKUP($Y418,CODES,2,FALSE),"")&amp;" | ")&amp;IFERROR(VLOOKUP($AC418,CODES,2,FALSE),"")&amp;" "&amp;IFERROR(VLOOKUP($AD418,CODES,2,FALSE),"")&amp;IF(OR($AE418="",$AE418="-"),""," "&amp;$AE418)&amp;IF(OR($AF418="",$AF418="-"),""," "&amp;$AF418)&amp;IF($AB418="Y"," 4"&amp;CHAR(34)&amp;" HEAD","")&amp;" "&amp;IFERROR(VLOOKUP($H418,CODES,2,FALSE),"")&amp;IF($CT418," | LOC "&amp;$CY418,"")))</f>
        <v/>
      </c>
      <c r="CK418" s="85">
        <f>IF(NOT(AND($A418&lt;&gt;"",N($BJ418)&gt;0)),"",TRIM(IFERROR(VLOOKUP($AH418,CODES,2,FALSE),"")&amp;IF($AI418=""," "," "&amp;$AI418&amp;"GA ")&amp;$BG418&amp;" "&amp;IF($AN418="",IFERROR(VLOOKUP($Z418,CODES,2,FALSE),""),IFERROR(VLOOKUP($AN418,CODES,2,FALSE),""))&amp;IF($BJ418=2," PAIR","")&amp;" DOOR | "&amp;IF($AL418="","?",$AL418)&amp;" | "&amp;IF($AO418="",IFERROR(VLOOKUP($AC418,CODES,2,FALSE),""),IFERROR(VLOOKUP($AO418,CODES,2,FALSE),""))&amp;" "&amp;IFERROR(VLOOKUP($AP418,CODES,2,FALSE),"")&amp;IF(OR($AQ418="",$AQ418="-"),""," SEAM "&amp;$AQ418)&amp;IF($AR418="Y"," ASTRAGAL","")&amp;IF($AJ418=""," "," "&amp;$AJ418)&amp;IF($AK418=""," "," "&amp;$AK418)&amp;IF(OR($AT418="",$AT418="ANSI/SDI",$AT418="CUSTOM LOC"),""," "&amp;$AT418)&amp;IF($AM418=""," "," SERIES "&amp;$AM418)&amp;" "&amp;IFERROR(VLOOKUP($H418,CODES,2,FALSE),"")&amp;IF($CT418," | LOC "&amp;$CZ418,"")))</f>
        <v/>
      </c>
      <c r="CL418" s="84">
        <f>IF(CP418="","",IF(COUNTIF($CP$6:CP418,CP418)=1,MAX($CL$5:CL417)+1,INDEX($CL$5:CL417,MATCH(CP418,$CP$5:CP417,0))))</f>
        <v/>
      </c>
      <c r="CM418" s="84">
        <f>IF(NOT(AND($A418&lt;&gt;"",$C418&lt;&gt;"DOOR ONLY")),"",MAX($CM$5:CM417)+1)</f>
        <v/>
      </c>
      <c r="CN418" s="84">
        <f>IF(NOT(AND($A418&lt;&gt;"",N($BJ418)&gt;0)),"",MAX($CN$5:CN417)+1)</f>
        <v/>
      </c>
      <c r="CO418" s="84">
        <f>IF($A418="","",MAX($CO$5:CO417)+1)</f>
        <v/>
      </c>
      <c r="CP418" s="84">
        <f>IF(OR($A418="",$BH418="",$BI418=""),"",$BG418&amp;"|"&amp;$O418&amp;"|"&amp;$AL418&amp;"|"&amp;$S418&amp;"|"&amp;$P418&amp;"|"&amp;$Q418&amp;$R418&amp;"|"&amp;$C418&amp;"|"&amp;$AB418)</f>
        <v/>
      </c>
      <c r="CQ418" s="84">
        <f>N($BS418)</f>
        <v/>
      </c>
      <c r="CR418" s="84">
        <f>IF(N($AU418)&gt;0,N($AU418),4.5)</f>
        <v/>
      </c>
      <c r="CS418" s="84">
        <f>OR($A418="",$BI418="",$S418="BL",AND($C418="FRAME ONLY",OR($AC418="",$AC418="BLK")))</f>
        <v/>
      </c>
      <c r="CT418" s="84">
        <f>AND(NOT($CS418),OR($AT418="CUSTOM LOC",N($AW418)+N($AX418)+N($AY418)+N($AZ418)+N($BA418)&gt;0))</f>
        <v/>
      </c>
      <c r="CU418" s="84">
        <f>IF($BI418="","",IF($BI418&lt;=80,80,IF($BI418&lt;=84,84,96)))</f>
        <v/>
      </c>
      <c r="CV418" s="84">
        <f>ISNUMBER(MATCH($AT418&amp;"|80",LocKeys,0))</f>
        <v/>
      </c>
      <c r="CW418" s="86">
        <f>IF($CS418,"",IF($CV418,VLOOKUP($AT418&amp;"|"&amp;$CU418,LocTable,4,FALSE),5))</f>
        <v/>
      </c>
      <c r="CX418" s="86">
        <f>IF($CS418,"",IF($CV418,IF(OR($BI418=$CU418,AND($BI418&lt;$CU418,$BI418-IF(N(VLOOKUP($AT418&amp;"|"&amp;$CU418,LocTable,7,FALSE))&gt;0,VLOOKUP($AT418&amp;"|"&amp;$CU418,LocTable,7,FALSE),VLOOKUP($AT418&amp;"|"&amp;$CU418,LocTable,6,FALSE))-$CR418-0.75&gt;=2.125)),IF(N(VLOOKUP($AT418&amp;"|"&amp;$CU418,LocTable,7,FALSE))&gt;0,VLOOKUP($AT418&amp;"|"&amp;$CU418,LocTable,7,FALSE),VLOOKUP($AT418&amp;"|"&amp;$CU418,LocTable,6,FALSE)),$BI418-($CU418-IF(N(VLOOKUP($AT418&amp;"|"&amp;$CU418,LocTable,7,FALSE))&gt;0,VLOOKUP($AT418&amp;"|"&amp;$CU418,LocTable,7,FALSE),VLOOKUP($AT418&amp;"|"&amp;$CU418,LocTable,6,FALSE)))),$BI418-10-$CR418))</f>
        <v/>
      </c>
      <c r="CY418" s="85">
        <f>IF($CS418,"",TRIM(IF(ISNUMBER($BU418),"A "&amp;TRIM(TEXT($BU418,"# ?/??"))&amp;CHAR(34)&amp;"  ","")&amp;IF(ISNUMBER($BV418),"B "&amp;TRIM(TEXT($BV418,"# ?/??"))&amp;CHAR(34)&amp;"  ","")&amp;IF(ISNUMBER($BW418),"C "&amp;TRIM(TEXT($BW418,"# ?/??"))&amp;CHAR(34)&amp;"  ","")&amp;IF(ISNUMBER($BX418),"D "&amp;TRIM(TEXT($BX418,"# ?/??"))&amp;CHAR(34)&amp;"  ","")&amp;IF(ISNUMBER($BY418),"F "&amp;TRIM(TEXT($BY418,"# ?/??"))&amp;CHAR(34)&amp;"  ","")&amp;IF(ISNUMBER($BZ418),"E "&amp;TRIM(TEXT($BZ418,"# ?/??"))&amp;CHAR(34)&amp;"  ","")))</f>
        <v/>
      </c>
      <c r="CZ418" s="85">
        <f>IF(OR($CS418,N($BJ418)=0),"",TRIM(IF(ISNUMBER($BU418),"A "&amp;TRIM(TEXT($BU418-HeadClr,"# ?/??"))&amp;CHAR(34)&amp;"  ","")&amp;IF(ISNUMBER($BV418),"B "&amp;TRIM(TEXT($BV418-HeadClr,"# ?/??"))&amp;CHAR(34)&amp;"  ","")&amp;IF(ISNUMBER($BW418),"C "&amp;TRIM(TEXT($BW418-HeadClr,"# ?/??"))&amp;CHAR(34)&amp;"  ","")&amp;IF(ISNUMBER($BX418),"D "&amp;TRIM(TEXT($BX418-HeadClr,"# ?/??"))&amp;CHAR(34)&amp;"  ","")&amp;IF(ISNUMBER($BY418),"F "&amp;TRIM(TEXT($BY418-HeadClr,"# ?/??"))&amp;CHAR(34)&amp;"  ","")&amp;IF(ISNUMBER($BZ418),"E "&amp;TRIM(TEXT($BZ418-HeadClr,"# ?/??"))&amp;CHAR(34)&amp;"  ","")))</f>
        <v/>
      </c>
      <c r="DA418" s="84">
        <f>IF($A418="","",IF($AN418="",IFERROR(VLOOKUP($Z418,CODES,2,FALSE),""),IFERROR(VLOOKUP($AN418,CODES,2,FALSE),"")))</f>
        <v/>
      </c>
      <c r="DB418" s="84">
        <f>IF($A418="","",IF($O418="Y","PR",IF(OR($Z418="L",$Z418="RR",LEFT($Z418,2)="L-",LEFT($Z418,3)="RR-"),"LH","RH")))</f>
        <v/>
      </c>
      <c r="DC418" s="84">
        <f>IF($A418="","","S.HM"&amp;IF(OR($C418="DOOR ONLY",$X418&lt;&gt;"KD"),"MASONRY","DRYWALL")&amp;IF($C418="DOOR ONLY","",$U418)&amp;IF(AND($C418&lt;&gt;"FRAME ONLY",OR(LEFT($AH418,3)="OAK",LEFT($AH418,3)="BIR",LEFT($AH418,3)="MAP",$AH418="PC",$AH418="MC",$AH418="SCLC",$AH418="P-LAM")),"WD","HM")&amp;"1.75")</f>
        <v/>
      </c>
      <c r="DD418" s="84">
        <f>IF($CJ418="","",IF($O418="Y",$CJ418,SUBSTITUTE($CJ418,$BG418&amp;" "&amp;IFERROR(VLOOKUP($Z418,CODES,2,FALSE),"")&amp;" ",$BG418&amp;" ")))</f>
        <v/>
      </c>
      <c r="DE418" s="84">
        <f>IF($CK418="","",IF($O418="Y",$CK418,SUBSTITUTE($CK418,$BG418&amp;" "&amp;IF($AN418="",IFERROR(VLOOKUP($Z418,CODES,2,FALSE),""),IFERROR(VLOOKUP($AN418,CODES,2,FALSE),""))&amp;" ",$BG418&amp;" ")))</f>
        <v/>
      </c>
      <c r="DF418" s="84">
        <f>IF($CJ418="","",$DC418&amp;"|"&amp;$DD418&amp;"|"&amp;$DB418&amp;"|"&amp;$AT418&amp;"|"&amp;$V418&amp;"|"&amp;$Y418&amp;"|"&amp;$AB418)</f>
        <v/>
      </c>
      <c r="DG418" s="84">
        <f>IF(DF418="","",IF(COUNTIF($DF$6:DF418,DF418)=1,MAX($DG$5:DG417)+1,INDEX($DG$5:DG417,MATCH(DF418,$DF$5:DF417,0))))</f>
        <v/>
      </c>
      <c r="DH418" s="84">
        <f>IF($CK418="","",$DC418&amp;"|"&amp;$DE418&amp;"|"&amp;$AI418&amp;"|"&amp;$BK418&amp;"|"&amp;$BL418)</f>
        <v/>
      </c>
      <c r="DI418" s="84">
        <f>IF(DH418="","",IF(COUNTIF($DH$6:DH418,DH418)=1,MAX($DI$5:DI417)+1,INDEX($DI$5:DI417,MATCH(DH418,$DH$5:DH417,0))))</f>
        <v/>
      </c>
      <c r="DJ418" s="84">
        <f>IF($A418="","",IF($B418="","qty, ","")&amp;IF($C418="","scope, ","")&amp;IF(OR($K418="",$M418=""),"size, ","")&amp;IF(AND($A418&lt;&gt;"",$C418&lt;&gt;"DOOR ONLY"),IF($U418="","jamb depth, ","")&amp;IF($X418="","construction, ","")&amp;IF($Y418="","anchor, ","")&amp;IF($S418="","frame type, ",""),"")&amp;IF(AND(N($BJ418)&gt;0,$Z418=""),"hand, ","")&amp;IF(N($BJ418)&gt;0,IF($AH418="","door material, ","")&amp;IF($AL418="","face type, ","")&amp;IF($AP418="","lock prep, ","")&amp;IF(AND($AO418="",$AC418=""),"hinge prep, ",""),"")&amp;IF(AND($CH418&gt;0,$AH418="FRP"),"FRP cannot carry a label, ","")&amp;IF(AND($O418="Y",OR($Z418="L",$Z418="R",$Z418="LR",$Z418="RR")),"pair marked but hand is single, ","")&amp;IF(AND($O418&lt;&gt;"Y",OR($Z418="PR",AND(LEN($Z418)&gt;1,ISNUMBER(SEARCH("-",$Z418))))),"pair hand on a single door, ","")&amp;IF(AND(ISNUMBER($CI418),$CH418&lt;N($CI418)),"wall needs a "&amp;$CI418&amp;" min door, ","")&amp;IF(AND($CH418&gt;=180,AND(OR($CE418="FG",$CE418="HG",$CE418="FNV",$CE418="FV"),N($CF418)*N($CG418)&gt;100)),"180 min lite over 100 sq in, ","")&amp;IF(N($BK418)&gt;48,"leaf wider than 4'-0"&amp;CHAR(34)&amp;", ","")&amp;IF(AND($CT418,COUNT($AW418:$AZ418)=0,$CQ418&gt;0),"CUSTOM LOC with no locations typed, ",""))</f>
        <v/>
      </c>
      <c r="DK418" s="84">
        <f>IF($A418="","",IF(AND($CH418&gt;0,AND($A418&lt;&gt;"",$C418&lt;&gt;"DOOR ONLY"),$X418="KD",$E418="EXTERIOR"),"KD label on an exterior opening, ","")&amp;IF(AND($E418="EXTERIOR",OR(AND(AND($A418&lt;&gt;"",$C418&lt;&gt;"DOOR ONLY"),$W418="CR"),AND(N($BJ418)&gt;0,$AH418="CR"))),"exterior in CR steel (G9?), ","")&amp;IF(AND(ISNUMBER($BQ418),N($BQ418)&lt;32),"clear width ~"&amp;TEXT($BQ418,"0.0")&amp;CHAR(34)&amp;" under 32"&amp;CHAR(34)&amp;" (ADA), ","")&amp;IF(AND($CH418=90,AND(OR($CE418="FG",$CE418="HG",$CE418="FNV",$CE418="FV"),N($CF418)*N($CG418)&gt;100)),"90 min lite over 100 sq in (stair/exit), ","")&amp;IF(AND($CH418&gt;0,AND($A418&lt;&gt;"",$C418&lt;&gt;"DOOR ONLY"),OR($AF418="",$AF418="-")),"rated: closer reinf.?, ","")&amp;IF(OR($I418="CORRIDOR",$I418="SMOKE BARRIER"),"S label + smoke gasketing, ","")&amp;IF($CI418="?","wall type/hr not in IBC table, ","")&amp;IF(AND(N($BJ418)&gt;0,$BB418=""),"no hardware set, ","")&amp;IF(AND($BB418&lt;&gt;"",ISNA(MATCH($BB418&amp;"",HWSets,0))),"set "&amp;$BB418&amp;" not on HW Sets, ","")&amp;IF(N($BL418)&gt;96,"leaf over 8'-0"&amp;CHAR(34)&amp;" - check listing, ","")&amp;IF(AND($CT418,COUNT($AW418:$AZ418)&gt;0,COUNT($AW418:$AZ418)&lt;&gt;$CQ418),COUNT($AW418:$AZ418)&amp;" custom hinges typed, "&amp;$CQ418&amp;" expected, ","")&amp;IF(AND(ISNUMBER($CA418),OR(N($CA418)&lt;34,N($CA418)&gt;48)),"lock "&amp;TEXT($CA418,"0.0")&amp;CHAR(34)&amp;" AFF outside 34-48"&amp;CHAR(34)&amp;" (ADA), ","")&amp;IF(AND(ISNUMBER($AV418),ISNUMBER($BL418),N($AV418)&lt;IF(N($BL418)&lt;=60,2,IF(N($BL418)&lt;=90,3,IF(N($BL418)&lt;=120,4,5)))),"fewer hinges than standard, ",""))</f>
        <v/>
      </c>
    </row>
    <row r="419" ht="15" customHeight="1">
      <c r="A419" s="77" t="n"/>
      <c r="B419" s="78" t="n"/>
      <c r="C419" s="78" t="n"/>
      <c r="D419" s="78" t="n"/>
      <c r="E419" s="78" t="n"/>
      <c r="F419" s="78" t="n"/>
      <c r="G419" s="78" t="n"/>
      <c r="H419" s="78" t="n"/>
      <c r="I419" s="78" t="n"/>
      <c r="J419" s="78" t="n"/>
      <c r="K419" s="78" t="n"/>
      <c r="L419" s="78" t="n"/>
      <c r="M419" s="78" t="n"/>
      <c r="N419" s="78" t="n"/>
      <c r="O419" s="78" t="n"/>
      <c r="P419" s="78" t="n"/>
      <c r="Q419" s="78" t="n"/>
      <c r="R419" s="78" t="n"/>
      <c r="S419" s="79" t="n"/>
      <c r="T419" s="79" t="n"/>
      <c r="U419" s="79" t="n"/>
      <c r="V419" s="79" t="n"/>
      <c r="W419" s="79" t="n"/>
      <c r="X419" s="79" t="n"/>
      <c r="Y419" s="79" t="n"/>
      <c r="Z419" s="79" t="n"/>
      <c r="AA419" s="79" t="n"/>
      <c r="AB419" s="79" t="n"/>
      <c r="AC419" s="79" t="n"/>
      <c r="AD419" s="79" t="n"/>
      <c r="AE419" s="79" t="n"/>
      <c r="AF419" s="79" t="n"/>
      <c r="AG419" s="79" t="n"/>
      <c r="AH419" s="80" t="n"/>
      <c r="AI419" s="80" t="n"/>
      <c r="AJ419" s="80" t="n"/>
      <c r="AK419" s="80" t="n"/>
      <c r="AL419" s="80" t="n"/>
      <c r="AM419" s="80" t="n"/>
      <c r="AN419" s="80" t="n"/>
      <c r="AO419" s="80" t="n"/>
      <c r="AP419" s="80" t="n"/>
      <c r="AQ419" s="80" t="n"/>
      <c r="AR419" s="80" t="n"/>
      <c r="AS419" s="80" t="n"/>
      <c r="AT419" s="81" t="n"/>
      <c r="AU419" s="81" t="n"/>
      <c r="AV419" s="81" t="n"/>
      <c r="AW419" s="82" t="n"/>
      <c r="AX419" s="82" t="n"/>
      <c r="AY419" s="82" t="n"/>
      <c r="AZ419" s="82" t="n"/>
      <c r="BA419" s="82" t="n"/>
      <c r="BB419" s="83" t="n"/>
      <c r="BC419" s="83" t="n"/>
      <c r="BD419" s="84">
        <f>IF($A419="","",IF($DJ419&lt;&gt;"","FIX",IF($DK419&lt;&gt;"","CHECK","OK")))</f>
        <v/>
      </c>
      <c r="BE419" s="85">
        <f>IF($A419="","",IF($DJ419&lt;&gt;"","FIX: "&amp;LEFT($DJ419,LEN($DJ419)-2)&amp;IF($DK419&lt;&gt;"","  ·  ",""),"")&amp;IF($DK419&lt;&gt;"","CHECK: "&amp;LEFT($DK419,LEN($DK419)-2),""))</f>
        <v/>
      </c>
      <c r="BF419" s="84">
        <f>IF(OR($A419="",$K419=""),"",$K419&amp;"'-"&amp;N($L419)&amp;CHAR(34)&amp;" x "&amp;$M419&amp;"'-"&amp;N($N419)&amp;CHAR(34))</f>
        <v/>
      </c>
      <c r="BG419" s="84">
        <f>IF(OR($A419="",$K419=""),"",$K419&amp;N($L419)&amp;$M419&amp;N($N419))</f>
        <v/>
      </c>
      <c r="BH419" s="84">
        <f>IF(OR($A419="",$K419=""),"",$K419*12+N($L419))</f>
        <v/>
      </c>
      <c r="BI419" s="84">
        <f>IF(OR($A419="",$M419=""),"",$M419*12+N($N419))</f>
        <v/>
      </c>
      <c r="BJ419" s="84">
        <f>IF($A419="","",IF(OR($C419="FRAME ONLY",$S419="BL"),0,IF($O419="Y",2,1)))</f>
        <v/>
      </c>
      <c r="BK419" s="86">
        <f>IF(OR(N($BJ419)=0,$BH419=""),"",($BH419-2*EdgeClr-IF($BJ419=2,MeetClr,0))/$BJ419)</f>
        <v/>
      </c>
      <c r="BL419" s="86">
        <f>IF(OR(N($BJ419)=0,$BI419=""),"",$BI419-HeadClr-Undercut)</f>
        <v/>
      </c>
      <c r="BM419" s="86">
        <f>IF($BH419="","",$BH419+2*FaceW+IF(N($Q419)&gt;0,($Q419+FaceW)*IF($R419="LR",2,1),0))</f>
        <v/>
      </c>
      <c r="BN419" s="86">
        <f>IF($BI419="","",$BI419+IF($AB419="Y",4,FaceW)+IF(N($P419)&gt;0,$P419+FaceW,0)+IF(OR($S419="4F",$S419="BL"),FaceW,0))</f>
        <v/>
      </c>
      <c r="BO419" s="86">
        <f>IF($BM419="","",$BM419+2*ROSide)</f>
        <v/>
      </c>
      <c r="BP419" s="86">
        <f>IF($BN419="","",$BN419+ROTop)</f>
        <v/>
      </c>
      <c r="BQ419" s="87">
        <f>IF(OR(N($BJ419)=0,$BH419=""),"",$BH419/$BJ419-ClearDeduct)</f>
        <v/>
      </c>
      <c r="BR419" s="84">
        <f>IF(N($CH419)=0,"",IF($CH419&gt;=180,"A · 3 HR",IF($CH419&gt;=90,"B · 1-1/2 HR",IF($CH419&gt;=60,"B · 1 HR",IF($CH419&gt;=45,"C · 3/4 HR","20 MIN")))))&amp;IF(AND(N($CH419)&gt;0,OR($I419="CORRIDOR",$I419="SMOKE BARRIER"))," · S","")</f>
        <v/>
      </c>
      <c r="BS419" s="84">
        <f>IF($CS419,"",IF($AV419&lt;&gt;"",$AV419,IF(OR($AC419="HGC",$AO419="HGC"),"CONT",IF(($BI419-HeadClr-Undercut)&lt;=60,2,IF(($BI419-HeadClr-Undercut)&lt;=90,3,IF(($BI419-HeadClr-Undercut)&lt;=120,4,5))))))</f>
        <v/>
      </c>
      <c r="BT419" s="84">
        <f>IF($CS419,"",IF($CT419,"CUSTOM (typed)",IF($CV419,$AT419&amp;" "&amp;$CU419&amp;CHAR(34)&amp;IF($CU419&lt;&gt;$BI419,IF(AND($BI419&lt;$CU419,$BI419-IF(N(VLOOKUP($AT419&amp;"|"&amp;$CU419,LocTable,7,FALSE))&gt;0,VLOOKUP($AT419&amp;"|"&amp;$CU419,LocTable,7,FALSE),VLOOKUP($AT419&amp;"|"&amp;$CU419,LocTable,6,FALSE))-$CR419-0.75&gt;=2.125)," cut down"," adj."),""),"ANSI/SDI A250.6")))</f>
        <v/>
      </c>
      <c r="BU419" s="88">
        <f>IF($CS419,"",IF($CT419,IF(N($AW419)&gt;0,N($AW419),""),IF(1&gt;$CQ419,"",IF($CQ419=1,$CW419,$CW419+($CX419-$CW419)*0/($CQ419-1)))))</f>
        <v/>
      </c>
      <c r="BV419" s="88">
        <f>IF($CS419,"",IF($CT419,IF(N($AX419)&gt;0,N($AX419),""),IF(2&gt;$CQ419,"",IF($CQ419=1,$CW419,$CW419+($CX419-$CW419)*1/($CQ419-1)))))</f>
        <v/>
      </c>
      <c r="BW419" s="88">
        <f>IF($CS419,"",IF($CT419,IF(N($AY419)&gt;0,N($AY419),""),IF(3&gt;$CQ419,"",IF($CQ419=1,$CW419,$CW419+($CX419-$CW419)*2/($CQ419-1)))))</f>
        <v/>
      </c>
      <c r="BX419" s="88">
        <f>IF($CS419,"",IF($CT419,IF(N($AZ419)&gt;0,N($AZ419),""),IF(4&gt;$CQ419,"",IF($CQ419=1,$CW419,$CW419+($CX419-$CW419)*3/($CQ419-1)))))</f>
        <v/>
      </c>
      <c r="BY419" s="88">
        <f>IF($CS419,"",IF($CT419,"",IF(5&gt;$CQ419,"",IF($CQ419=1,$CW419,$CW419+($CX419-$CW419)*4/($CQ419-1)))))</f>
        <v/>
      </c>
      <c r="BZ419" s="88">
        <f>IF(OR($CS419,$AP419="-",AND($AP419="",$AD419="")),"",IF(N($BA419)&gt;0,N($BA419),IF($CV419,IF(AND($BI419&lt;$CU419,$BI419-IF(N(VLOOKUP($AT419&amp;"|"&amp;$CU419,LocTable,7,FALSE))&gt;0,VLOOKUP($AT419&amp;"|"&amp;$CU419,LocTable,7,FALSE),VLOOKUP($AT419&amp;"|"&amp;$CU419,LocTable,6,FALSE))-$CR419-0.75&gt;=2.125),VLOOKUP($AT419&amp;"|"&amp;$CU419,LocTable,8,FALSE),VLOOKUP($AT419&amp;"|"&amp;$CU419,LocTable,8,FALSE)+($BI419-$CU419)),$BI419-LockAFF)))</f>
        <v/>
      </c>
      <c r="CA419" s="89">
        <f>IF($BZ419="","",$BI419-$BZ419)</f>
        <v/>
      </c>
      <c r="CB419" s="84">
        <f>IF(OR(NOT(AND($A419&lt;&gt;"",$C419&lt;&gt;"DOOR ONLY")),$BI419=""),"",IF(($BI419+IF(N($P419)&gt;0,$P419+FaceW,0))&lt;=90,3,IF(($BI419+IF(N($P419)&gt;0,$P419+FaceW,0))&lt;=114,4,5)))</f>
        <v/>
      </c>
      <c r="CC419" s="84">
        <f>IF($CB419="","",$CB419*(2+IF(N($Q419)&gt;0,IF($R419="LR",2,1),0)))</f>
        <v/>
      </c>
      <c r="CD419" s="84">
        <f>IF($CB419="","",(2+IF(N($Q419)&gt;0,IF($R419="LR",2,1),0)))</f>
        <v/>
      </c>
      <c r="CE419" s="84">
        <f>IF(N($BJ419)=0,"",IF(OR($AL419="",$AL419="FLUSH"),"FLUSH",IFERROR(LEFT($AL419,FIND("-",$AL419)-1),LEFT($AL419,2))))</f>
        <v/>
      </c>
      <c r="CF419" s="84">
        <f>IF($CE419="","",IFERROR(VALUE(MID($AL419,FIND("-",$AL419)+1,FIND(CHAR(34)&amp;"x",$AL419)-FIND("-",$AL419)-1)),0))</f>
        <v/>
      </c>
      <c r="CG419" s="84">
        <f>IF($CE419="","",IFERROR(VALUE(MID($AL419,FIND(CHAR(34)&amp;"x",$AL419)+2,FIND(CHAR(34),$AL419,FIND(CHAR(34)&amp;"x",$AL419)+2)-FIND(CHAR(34)&amp;"x",$AL419)-2)),0))</f>
        <v/>
      </c>
      <c r="CH419" s="90">
        <f>IF(OR($A419="",$H419="",$H419="NO LAB"),0,IFERROR(VALUE(LEFT($H419,FIND(" ",$H419)-1)),0))</f>
        <v/>
      </c>
      <c r="CI419" s="91">
        <f>IF(OR($A419="",$I419="",$I419="NON-RATED",N($J419)=0),"",IFERROR(VLOOKUP($I419&amp;"|"&amp;$J419,IBC,2,FALSE),"?"))</f>
        <v/>
      </c>
      <c r="CJ419" s="85">
        <f>IF(NOT(AND($A419&lt;&gt;"",$C419&lt;&gt;"DOOR ONLY")),"",TRIM(IFERROR(VLOOKUP($U419,CODES,2,FALSE),"")&amp;" "&amp;$BG419&amp;" "&amp;IFERROR(VLOOKUP($Z419,CODES,2,FALSE),"")&amp;" "&amp;IFERROR(VLOOKUP($X419,CODES,2,FALSE),"")&amp;" "&amp;IFERROR(VLOOKUP($S419,CODES,2,FALSE),"")&amp;IF(N($P419)&gt;0," w/TRANSOM "&amp;$P419&amp;CHAR(34),"")&amp;IF(N($Q419)&gt;0," w/SIDELITE "&amp;$Q419&amp;CHAR(34)&amp;" "&amp;IF($R419="","R",$R419),"")&amp;IF($Y419="","  |  "," | "&amp;IFERROR(VLOOKUP($Y419,CODES,2,FALSE),"")&amp;" | ")&amp;IFERROR(VLOOKUP($AC419,CODES,2,FALSE),"")&amp;" "&amp;IFERROR(VLOOKUP($AD419,CODES,2,FALSE),"")&amp;IF(OR($AE419="",$AE419="-"),""," "&amp;$AE419)&amp;IF(OR($AF419="",$AF419="-"),""," "&amp;$AF419)&amp;IF($AB419="Y"," 4"&amp;CHAR(34)&amp;" HEAD","")&amp;" "&amp;IFERROR(VLOOKUP($H419,CODES,2,FALSE),"")&amp;IF($CT419," | LOC "&amp;$CY419,"")))</f>
        <v/>
      </c>
      <c r="CK419" s="85">
        <f>IF(NOT(AND($A419&lt;&gt;"",N($BJ419)&gt;0)),"",TRIM(IFERROR(VLOOKUP($AH419,CODES,2,FALSE),"")&amp;IF($AI419=""," "," "&amp;$AI419&amp;"GA ")&amp;$BG419&amp;" "&amp;IF($AN419="",IFERROR(VLOOKUP($Z419,CODES,2,FALSE),""),IFERROR(VLOOKUP($AN419,CODES,2,FALSE),""))&amp;IF($BJ419=2," PAIR","")&amp;" DOOR | "&amp;IF($AL419="","?",$AL419)&amp;" | "&amp;IF($AO419="",IFERROR(VLOOKUP($AC419,CODES,2,FALSE),""),IFERROR(VLOOKUP($AO419,CODES,2,FALSE),""))&amp;" "&amp;IFERROR(VLOOKUP($AP419,CODES,2,FALSE),"")&amp;IF(OR($AQ419="",$AQ419="-"),""," SEAM "&amp;$AQ419)&amp;IF($AR419="Y"," ASTRAGAL","")&amp;IF($AJ419=""," "," "&amp;$AJ419)&amp;IF($AK419=""," "," "&amp;$AK419)&amp;IF(OR($AT419="",$AT419="ANSI/SDI",$AT419="CUSTOM LOC"),""," "&amp;$AT419)&amp;IF($AM419=""," "," SERIES "&amp;$AM419)&amp;" "&amp;IFERROR(VLOOKUP($H419,CODES,2,FALSE),"")&amp;IF($CT419," | LOC "&amp;$CZ419,"")))</f>
        <v/>
      </c>
      <c r="CL419" s="84">
        <f>IF(CP419="","",IF(COUNTIF($CP$6:CP419,CP419)=1,MAX($CL$5:CL418)+1,INDEX($CL$5:CL418,MATCH(CP419,$CP$5:CP418,0))))</f>
        <v/>
      </c>
      <c r="CM419" s="84">
        <f>IF(NOT(AND($A419&lt;&gt;"",$C419&lt;&gt;"DOOR ONLY")),"",MAX($CM$5:CM418)+1)</f>
        <v/>
      </c>
      <c r="CN419" s="84">
        <f>IF(NOT(AND($A419&lt;&gt;"",N($BJ419)&gt;0)),"",MAX($CN$5:CN418)+1)</f>
        <v/>
      </c>
      <c r="CO419" s="84">
        <f>IF($A419="","",MAX($CO$5:CO418)+1)</f>
        <v/>
      </c>
      <c r="CP419" s="84">
        <f>IF(OR($A419="",$BH419="",$BI419=""),"",$BG419&amp;"|"&amp;$O419&amp;"|"&amp;$AL419&amp;"|"&amp;$S419&amp;"|"&amp;$P419&amp;"|"&amp;$Q419&amp;$R419&amp;"|"&amp;$C419&amp;"|"&amp;$AB419)</f>
        <v/>
      </c>
      <c r="CQ419" s="84">
        <f>N($BS419)</f>
        <v/>
      </c>
      <c r="CR419" s="84">
        <f>IF(N($AU419)&gt;0,N($AU419),4.5)</f>
        <v/>
      </c>
      <c r="CS419" s="84">
        <f>OR($A419="",$BI419="",$S419="BL",AND($C419="FRAME ONLY",OR($AC419="",$AC419="BLK")))</f>
        <v/>
      </c>
      <c r="CT419" s="84">
        <f>AND(NOT($CS419),OR($AT419="CUSTOM LOC",N($AW419)+N($AX419)+N($AY419)+N($AZ419)+N($BA419)&gt;0))</f>
        <v/>
      </c>
      <c r="CU419" s="84">
        <f>IF($BI419="","",IF($BI419&lt;=80,80,IF($BI419&lt;=84,84,96)))</f>
        <v/>
      </c>
      <c r="CV419" s="84">
        <f>ISNUMBER(MATCH($AT419&amp;"|80",LocKeys,0))</f>
        <v/>
      </c>
      <c r="CW419" s="86">
        <f>IF($CS419,"",IF($CV419,VLOOKUP($AT419&amp;"|"&amp;$CU419,LocTable,4,FALSE),5))</f>
        <v/>
      </c>
      <c r="CX419" s="86">
        <f>IF($CS419,"",IF($CV419,IF(OR($BI419=$CU419,AND($BI419&lt;$CU419,$BI419-IF(N(VLOOKUP($AT419&amp;"|"&amp;$CU419,LocTable,7,FALSE))&gt;0,VLOOKUP($AT419&amp;"|"&amp;$CU419,LocTable,7,FALSE),VLOOKUP($AT419&amp;"|"&amp;$CU419,LocTable,6,FALSE))-$CR419-0.75&gt;=2.125)),IF(N(VLOOKUP($AT419&amp;"|"&amp;$CU419,LocTable,7,FALSE))&gt;0,VLOOKUP($AT419&amp;"|"&amp;$CU419,LocTable,7,FALSE),VLOOKUP($AT419&amp;"|"&amp;$CU419,LocTable,6,FALSE)),$BI419-($CU419-IF(N(VLOOKUP($AT419&amp;"|"&amp;$CU419,LocTable,7,FALSE))&gt;0,VLOOKUP($AT419&amp;"|"&amp;$CU419,LocTable,7,FALSE),VLOOKUP($AT419&amp;"|"&amp;$CU419,LocTable,6,FALSE)))),$BI419-10-$CR419))</f>
        <v/>
      </c>
      <c r="CY419" s="85">
        <f>IF($CS419,"",TRIM(IF(ISNUMBER($BU419),"A "&amp;TRIM(TEXT($BU419,"# ?/??"))&amp;CHAR(34)&amp;"  ","")&amp;IF(ISNUMBER($BV419),"B "&amp;TRIM(TEXT($BV419,"# ?/??"))&amp;CHAR(34)&amp;"  ","")&amp;IF(ISNUMBER($BW419),"C "&amp;TRIM(TEXT($BW419,"# ?/??"))&amp;CHAR(34)&amp;"  ","")&amp;IF(ISNUMBER($BX419),"D "&amp;TRIM(TEXT($BX419,"# ?/??"))&amp;CHAR(34)&amp;"  ","")&amp;IF(ISNUMBER($BY419),"F "&amp;TRIM(TEXT($BY419,"# ?/??"))&amp;CHAR(34)&amp;"  ","")&amp;IF(ISNUMBER($BZ419),"E "&amp;TRIM(TEXT($BZ419,"# ?/??"))&amp;CHAR(34)&amp;"  ","")))</f>
        <v/>
      </c>
      <c r="CZ419" s="85">
        <f>IF(OR($CS419,N($BJ419)=0),"",TRIM(IF(ISNUMBER($BU419),"A "&amp;TRIM(TEXT($BU419-HeadClr,"# ?/??"))&amp;CHAR(34)&amp;"  ","")&amp;IF(ISNUMBER($BV419),"B "&amp;TRIM(TEXT($BV419-HeadClr,"# ?/??"))&amp;CHAR(34)&amp;"  ","")&amp;IF(ISNUMBER($BW419),"C "&amp;TRIM(TEXT($BW419-HeadClr,"# ?/??"))&amp;CHAR(34)&amp;"  ","")&amp;IF(ISNUMBER($BX419),"D "&amp;TRIM(TEXT($BX419-HeadClr,"# ?/??"))&amp;CHAR(34)&amp;"  ","")&amp;IF(ISNUMBER($BY419),"F "&amp;TRIM(TEXT($BY419-HeadClr,"# ?/??"))&amp;CHAR(34)&amp;"  ","")&amp;IF(ISNUMBER($BZ419),"E "&amp;TRIM(TEXT($BZ419-HeadClr,"# ?/??"))&amp;CHAR(34)&amp;"  ","")))</f>
        <v/>
      </c>
      <c r="DA419" s="84">
        <f>IF($A419="","",IF($AN419="",IFERROR(VLOOKUP($Z419,CODES,2,FALSE),""),IFERROR(VLOOKUP($AN419,CODES,2,FALSE),"")))</f>
        <v/>
      </c>
      <c r="DB419" s="84">
        <f>IF($A419="","",IF($O419="Y","PR",IF(OR($Z419="L",$Z419="RR",LEFT($Z419,2)="L-",LEFT($Z419,3)="RR-"),"LH","RH")))</f>
        <v/>
      </c>
      <c r="DC419" s="84">
        <f>IF($A419="","","S.HM"&amp;IF(OR($C419="DOOR ONLY",$X419&lt;&gt;"KD"),"MASONRY","DRYWALL")&amp;IF($C419="DOOR ONLY","",$U419)&amp;IF(AND($C419&lt;&gt;"FRAME ONLY",OR(LEFT($AH419,3)="OAK",LEFT($AH419,3)="BIR",LEFT($AH419,3)="MAP",$AH419="PC",$AH419="MC",$AH419="SCLC",$AH419="P-LAM")),"WD","HM")&amp;"1.75")</f>
        <v/>
      </c>
      <c r="DD419" s="84">
        <f>IF($CJ419="","",IF($O419="Y",$CJ419,SUBSTITUTE($CJ419,$BG419&amp;" "&amp;IFERROR(VLOOKUP($Z419,CODES,2,FALSE),"")&amp;" ",$BG419&amp;" ")))</f>
        <v/>
      </c>
      <c r="DE419" s="84">
        <f>IF($CK419="","",IF($O419="Y",$CK419,SUBSTITUTE($CK419,$BG419&amp;" "&amp;IF($AN419="",IFERROR(VLOOKUP($Z419,CODES,2,FALSE),""),IFERROR(VLOOKUP($AN419,CODES,2,FALSE),""))&amp;" ",$BG419&amp;" ")))</f>
        <v/>
      </c>
      <c r="DF419" s="84">
        <f>IF($CJ419="","",$DC419&amp;"|"&amp;$DD419&amp;"|"&amp;$DB419&amp;"|"&amp;$AT419&amp;"|"&amp;$V419&amp;"|"&amp;$Y419&amp;"|"&amp;$AB419)</f>
        <v/>
      </c>
      <c r="DG419" s="84">
        <f>IF(DF419="","",IF(COUNTIF($DF$6:DF419,DF419)=1,MAX($DG$5:DG418)+1,INDEX($DG$5:DG418,MATCH(DF419,$DF$5:DF418,0))))</f>
        <v/>
      </c>
      <c r="DH419" s="84">
        <f>IF($CK419="","",$DC419&amp;"|"&amp;$DE419&amp;"|"&amp;$AI419&amp;"|"&amp;$BK419&amp;"|"&amp;$BL419)</f>
        <v/>
      </c>
      <c r="DI419" s="84">
        <f>IF(DH419="","",IF(COUNTIF($DH$6:DH419,DH419)=1,MAX($DI$5:DI418)+1,INDEX($DI$5:DI418,MATCH(DH419,$DH$5:DH418,0))))</f>
        <v/>
      </c>
      <c r="DJ419" s="84">
        <f>IF($A419="","",IF($B419="","qty, ","")&amp;IF($C419="","scope, ","")&amp;IF(OR($K419="",$M419=""),"size, ","")&amp;IF(AND($A419&lt;&gt;"",$C419&lt;&gt;"DOOR ONLY"),IF($U419="","jamb depth, ","")&amp;IF($X419="","construction, ","")&amp;IF($Y419="","anchor, ","")&amp;IF($S419="","frame type, ",""),"")&amp;IF(AND(N($BJ419)&gt;0,$Z419=""),"hand, ","")&amp;IF(N($BJ419)&gt;0,IF($AH419="","door material, ","")&amp;IF($AL419="","face type, ","")&amp;IF($AP419="","lock prep, ","")&amp;IF(AND($AO419="",$AC419=""),"hinge prep, ",""),"")&amp;IF(AND($CH419&gt;0,$AH419="FRP"),"FRP cannot carry a label, ","")&amp;IF(AND($O419="Y",OR($Z419="L",$Z419="R",$Z419="LR",$Z419="RR")),"pair marked but hand is single, ","")&amp;IF(AND($O419&lt;&gt;"Y",OR($Z419="PR",AND(LEN($Z419)&gt;1,ISNUMBER(SEARCH("-",$Z419))))),"pair hand on a single door, ","")&amp;IF(AND(ISNUMBER($CI419),$CH419&lt;N($CI419)),"wall needs a "&amp;$CI419&amp;" min door, ","")&amp;IF(AND($CH419&gt;=180,AND(OR($CE419="FG",$CE419="HG",$CE419="FNV",$CE419="FV"),N($CF419)*N($CG419)&gt;100)),"180 min lite over 100 sq in, ","")&amp;IF(N($BK419)&gt;48,"leaf wider than 4'-0"&amp;CHAR(34)&amp;", ","")&amp;IF(AND($CT419,COUNT($AW419:$AZ419)=0,$CQ419&gt;0),"CUSTOM LOC with no locations typed, ",""))</f>
        <v/>
      </c>
      <c r="DK419" s="84">
        <f>IF($A419="","",IF(AND($CH419&gt;0,AND($A419&lt;&gt;"",$C419&lt;&gt;"DOOR ONLY"),$X419="KD",$E419="EXTERIOR"),"KD label on an exterior opening, ","")&amp;IF(AND($E419="EXTERIOR",OR(AND(AND($A419&lt;&gt;"",$C419&lt;&gt;"DOOR ONLY"),$W419="CR"),AND(N($BJ419)&gt;0,$AH419="CR"))),"exterior in CR steel (G9?), ","")&amp;IF(AND(ISNUMBER($BQ419),N($BQ419)&lt;32),"clear width ~"&amp;TEXT($BQ419,"0.0")&amp;CHAR(34)&amp;" under 32"&amp;CHAR(34)&amp;" (ADA), ","")&amp;IF(AND($CH419=90,AND(OR($CE419="FG",$CE419="HG",$CE419="FNV",$CE419="FV"),N($CF419)*N($CG419)&gt;100)),"90 min lite over 100 sq in (stair/exit), ","")&amp;IF(AND($CH419&gt;0,AND($A419&lt;&gt;"",$C419&lt;&gt;"DOOR ONLY"),OR($AF419="",$AF419="-")),"rated: closer reinf.?, ","")&amp;IF(OR($I419="CORRIDOR",$I419="SMOKE BARRIER"),"S label + smoke gasketing, ","")&amp;IF($CI419="?","wall type/hr not in IBC table, ","")&amp;IF(AND(N($BJ419)&gt;0,$BB419=""),"no hardware set, ","")&amp;IF(AND($BB419&lt;&gt;"",ISNA(MATCH($BB419&amp;"",HWSets,0))),"set "&amp;$BB419&amp;" not on HW Sets, ","")&amp;IF(N($BL419)&gt;96,"leaf over 8'-0"&amp;CHAR(34)&amp;" - check listing, ","")&amp;IF(AND($CT419,COUNT($AW419:$AZ419)&gt;0,COUNT($AW419:$AZ419)&lt;&gt;$CQ419),COUNT($AW419:$AZ419)&amp;" custom hinges typed, "&amp;$CQ419&amp;" expected, ","")&amp;IF(AND(ISNUMBER($CA419),OR(N($CA419)&lt;34,N($CA419)&gt;48)),"lock "&amp;TEXT($CA419,"0.0")&amp;CHAR(34)&amp;" AFF outside 34-48"&amp;CHAR(34)&amp;" (ADA), ","")&amp;IF(AND(ISNUMBER($AV419),ISNUMBER($BL419),N($AV419)&lt;IF(N($BL419)&lt;=60,2,IF(N($BL419)&lt;=90,3,IF(N($BL419)&lt;=120,4,5)))),"fewer hinges than standard, ",""))</f>
        <v/>
      </c>
    </row>
    <row r="420" ht="15" customHeight="1">
      <c r="A420" s="92" t="n"/>
      <c r="B420" s="93" t="n"/>
      <c r="C420" s="93" t="n"/>
      <c r="D420" s="93" t="n"/>
      <c r="E420" s="93" t="n"/>
      <c r="F420" s="93" t="n"/>
      <c r="G420" s="93" t="n"/>
      <c r="H420" s="93" t="n"/>
      <c r="I420" s="93" t="n"/>
      <c r="J420" s="93" t="n"/>
      <c r="K420" s="93" t="n"/>
      <c r="L420" s="93" t="n"/>
      <c r="M420" s="93" t="n"/>
      <c r="N420" s="93" t="n"/>
      <c r="O420" s="93" t="n"/>
      <c r="P420" s="93" t="n"/>
      <c r="Q420" s="93" t="n"/>
      <c r="R420" s="93" t="n"/>
      <c r="S420" s="94" t="n"/>
      <c r="T420" s="94" t="n"/>
      <c r="U420" s="94" t="n"/>
      <c r="V420" s="94" t="n"/>
      <c r="W420" s="94" t="n"/>
      <c r="X420" s="94" t="n"/>
      <c r="Y420" s="94" t="n"/>
      <c r="Z420" s="94" t="n"/>
      <c r="AA420" s="94" t="n"/>
      <c r="AB420" s="94" t="n"/>
      <c r="AC420" s="94" t="n"/>
      <c r="AD420" s="94" t="n"/>
      <c r="AE420" s="94" t="n"/>
      <c r="AF420" s="94" t="n"/>
      <c r="AG420" s="94" t="n"/>
      <c r="AH420" s="95" t="n"/>
      <c r="AI420" s="95" t="n"/>
      <c r="AJ420" s="95" t="n"/>
      <c r="AK420" s="95" t="n"/>
      <c r="AL420" s="95" t="n"/>
      <c r="AM420" s="95" t="n"/>
      <c r="AN420" s="95" t="n"/>
      <c r="AO420" s="95" t="n"/>
      <c r="AP420" s="95" t="n"/>
      <c r="AQ420" s="95" t="n"/>
      <c r="AR420" s="95" t="n"/>
      <c r="AS420" s="95" t="n"/>
      <c r="AT420" s="96" t="n"/>
      <c r="AU420" s="96" t="n"/>
      <c r="AV420" s="96" t="n"/>
      <c r="AW420" s="97" t="n"/>
      <c r="AX420" s="97" t="n"/>
      <c r="AY420" s="97" t="n"/>
      <c r="AZ420" s="97" t="n"/>
      <c r="BA420" s="97" t="n"/>
      <c r="BB420" s="98" t="n"/>
      <c r="BC420" s="98" t="n"/>
      <c r="BD420" s="99">
        <f>IF($A420="","",IF($DJ420&lt;&gt;"","FIX",IF($DK420&lt;&gt;"","CHECK","OK")))</f>
        <v/>
      </c>
      <c r="BE420" s="100">
        <f>IF($A420="","",IF($DJ420&lt;&gt;"","FIX: "&amp;LEFT($DJ420,LEN($DJ420)-2)&amp;IF($DK420&lt;&gt;"","  ·  ",""),"")&amp;IF($DK420&lt;&gt;"","CHECK: "&amp;LEFT($DK420,LEN($DK420)-2),""))</f>
        <v/>
      </c>
      <c r="BF420" s="99">
        <f>IF(OR($A420="",$K420=""),"",$K420&amp;"'-"&amp;N($L420)&amp;CHAR(34)&amp;" x "&amp;$M420&amp;"'-"&amp;N($N420)&amp;CHAR(34))</f>
        <v/>
      </c>
      <c r="BG420" s="99">
        <f>IF(OR($A420="",$K420=""),"",$K420&amp;N($L420)&amp;$M420&amp;N($N420))</f>
        <v/>
      </c>
      <c r="BH420" s="99">
        <f>IF(OR($A420="",$K420=""),"",$K420*12+N($L420))</f>
        <v/>
      </c>
      <c r="BI420" s="99">
        <f>IF(OR($A420="",$M420=""),"",$M420*12+N($N420))</f>
        <v/>
      </c>
      <c r="BJ420" s="99">
        <f>IF($A420="","",IF(OR($C420="FRAME ONLY",$S420="BL"),0,IF($O420="Y",2,1)))</f>
        <v/>
      </c>
      <c r="BK420" s="101">
        <f>IF(OR(N($BJ420)=0,$BH420=""),"",($BH420-2*EdgeClr-IF($BJ420=2,MeetClr,0))/$BJ420)</f>
        <v/>
      </c>
      <c r="BL420" s="101">
        <f>IF(OR(N($BJ420)=0,$BI420=""),"",$BI420-HeadClr-Undercut)</f>
        <v/>
      </c>
      <c r="BM420" s="101">
        <f>IF($BH420="","",$BH420+2*FaceW+IF(N($Q420)&gt;0,($Q420+FaceW)*IF($R420="LR",2,1),0))</f>
        <v/>
      </c>
      <c r="BN420" s="101">
        <f>IF($BI420="","",$BI420+IF($AB420="Y",4,FaceW)+IF(N($P420)&gt;0,$P420+FaceW,0)+IF(OR($S420="4F",$S420="BL"),FaceW,0))</f>
        <v/>
      </c>
      <c r="BO420" s="101">
        <f>IF($BM420="","",$BM420+2*ROSide)</f>
        <v/>
      </c>
      <c r="BP420" s="101">
        <f>IF($BN420="","",$BN420+ROTop)</f>
        <v/>
      </c>
      <c r="BQ420" s="102">
        <f>IF(OR(N($BJ420)=0,$BH420=""),"",$BH420/$BJ420-ClearDeduct)</f>
        <v/>
      </c>
      <c r="BR420" s="99">
        <f>IF(N($CH420)=0,"",IF($CH420&gt;=180,"A · 3 HR",IF($CH420&gt;=90,"B · 1-1/2 HR",IF($CH420&gt;=60,"B · 1 HR",IF($CH420&gt;=45,"C · 3/4 HR","20 MIN")))))&amp;IF(AND(N($CH420)&gt;0,OR($I420="CORRIDOR",$I420="SMOKE BARRIER"))," · S","")</f>
        <v/>
      </c>
      <c r="BS420" s="99">
        <f>IF($CS420,"",IF($AV420&lt;&gt;"",$AV420,IF(OR($AC420="HGC",$AO420="HGC"),"CONT",IF(($BI420-HeadClr-Undercut)&lt;=60,2,IF(($BI420-HeadClr-Undercut)&lt;=90,3,IF(($BI420-HeadClr-Undercut)&lt;=120,4,5))))))</f>
        <v/>
      </c>
      <c r="BT420" s="99">
        <f>IF($CS420,"",IF($CT420,"CUSTOM (typed)",IF($CV420,$AT420&amp;" "&amp;$CU420&amp;CHAR(34)&amp;IF($CU420&lt;&gt;$BI420,IF(AND($BI420&lt;$CU420,$BI420-IF(N(VLOOKUP($AT420&amp;"|"&amp;$CU420,LocTable,7,FALSE))&gt;0,VLOOKUP($AT420&amp;"|"&amp;$CU420,LocTable,7,FALSE),VLOOKUP($AT420&amp;"|"&amp;$CU420,LocTable,6,FALSE))-$CR420-0.75&gt;=2.125)," cut down"," adj."),""),"ANSI/SDI A250.6")))</f>
        <v/>
      </c>
      <c r="BU420" s="103">
        <f>IF($CS420,"",IF($CT420,IF(N($AW420)&gt;0,N($AW420),""),IF(1&gt;$CQ420,"",IF($CQ420=1,$CW420,$CW420+($CX420-$CW420)*0/($CQ420-1)))))</f>
        <v/>
      </c>
      <c r="BV420" s="103">
        <f>IF($CS420,"",IF($CT420,IF(N($AX420)&gt;0,N($AX420),""),IF(2&gt;$CQ420,"",IF($CQ420=1,$CW420,$CW420+($CX420-$CW420)*1/($CQ420-1)))))</f>
        <v/>
      </c>
      <c r="BW420" s="103">
        <f>IF($CS420,"",IF($CT420,IF(N($AY420)&gt;0,N($AY420),""),IF(3&gt;$CQ420,"",IF($CQ420=1,$CW420,$CW420+($CX420-$CW420)*2/($CQ420-1)))))</f>
        <v/>
      </c>
      <c r="BX420" s="103">
        <f>IF($CS420,"",IF($CT420,IF(N($AZ420)&gt;0,N($AZ420),""),IF(4&gt;$CQ420,"",IF($CQ420=1,$CW420,$CW420+($CX420-$CW420)*3/($CQ420-1)))))</f>
        <v/>
      </c>
      <c r="BY420" s="103">
        <f>IF($CS420,"",IF($CT420,"",IF(5&gt;$CQ420,"",IF($CQ420=1,$CW420,$CW420+($CX420-$CW420)*4/($CQ420-1)))))</f>
        <v/>
      </c>
      <c r="BZ420" s="103">
        <f>IF(OR($CS420,$AP420="-",AND($AP420="",$AD420="")),"",IF(N($BA420)&gt;0,N($BA420),IF($CV420,IF(AND($BI420&lt;$CU420,$BI420-IF(N(VLOOKUP($AT420&amp;"|"&amp;$CU420,LocTable,7,FALSE))&gt;0,VLOOKUP($AT420&amp;"|"&amp;$CU420,LocTable,7,FALSE),VLOOKUP($AT420&amp;"|"&amp;$CU420,LocTable,6,FALSE))-$CR420-0.75&gt;=2.125),VLOOKUP($AT420&amp;"|"&amp;$CU420,LocTable,8,FALSE),VLOOKUP($AT420&amp;"|"&amp;$CU420,LocTable,8,FALSE)+($BI420-$CU420)),$BI420-LockAFF)))</f>
        <v/>
      </c>
      <c r="CA420" s="104">
        <f>IF($BZ420="","",$BI420-$BZ420)</f>
        <v/>
      </c>
      <c r="CB420" s="99">
        <f>IF(OR(NOT(AND($A420&lt;&gt;"",$C420&lt;&gt;"DOOR ONLY")),$BI420=""),"",IF(($BI420+IF(N($P420)&gt;0,$P420+FaceW,0))&lt;=90,3,IF(($BI420+IF(N($P420)&gt;0,$P420+FaceW,0))&lt;=114,4,5)))</f>
        <v/>
      </c>
      <c r="CC420" s="99">
        <f>IF($CB420="","",$CB420*(2+IF(N($Q420)&gt;0,IF($R420="LR",2,1),0)))</f>
        <v/>
      </c>
      <c r="CD420" s="99">
        <f>IF($CB420="","",(2+IF(N($Q420)&gt;0,IF($R420="LR",2,1),0)))</f>
        <v/>
      </c>
      <c r="CE420" s="99">
        <f>IF(N($BJ420)=0,"",IF(OR($AL420="",$AL420="FLUSH"),"FLUSH",IFERROR(LEFT($AL420,FIND("-",$AL420)-1),LEFT($AL420,2))))</f>
        <v/>
      </c>
      <c r="CF420" s="99">
        <f>IF($CE420="","",IFERROR(VALUE(MID($AL420,FIND("-",$AL420)+1,FIND(CHAR(34)&amp;"x",$AL420)-FIND("-",$AL420)-1)),0))</f>
        <v/>
      </c>
      <c r="CG420" s="99">
        <f>IF($CE420="","",IFERROR(VALUE(MID($AL420,FIND(CHAR(34)&amp;"x",$AL420)+2,FIND(CHAR(34),$AL420,FIND(CHAR(34)&amp;"x",$AL420)+2)-FIND(CHAR(34)&amp;"x",$AL420)-2)),0))</f>
        <v/>
      </c>
      <c r="CH420" s="105">
        <f>IF(OR($A420="",$H420="",$H420="NO LAB"),0,IFERROR(VALUE(LEFT($H420,FIND(" ",$H420)-1)),0))</f>
        <v/>
      </c>
      <c r="CI420" s="106">
        <f>IF(OR($A420="",$I420="",$I420="NON-RATED",N($J420)=0),"",IFERROR(VLOOKUP($I420&amp;"|"&amp;$J420,IBC,2,FALSE),"?"))</f>
        <v/>
      </c>
      <c r="CJ420" s="100">
        <f>IF(NOT(AND($A420&lt;&gt;"",$C420&lt;&gt;"DOOR ONLY")),"",TRIM(IFERROR(VLOOKUP($U420,CODES,2,FALSE),"")&amp;" "&amp;$BG420&amp;" "&amp;IFERROR(VLOOKUP($Z420,CODES,2,FALSE),"")&amp;" "&amp;IFERROR(VLOOKUP($X420,CODES,2,FALSE),"")&amp;" "&amp;IFERROR(VLOOKUP($S420,CODES,2,FALSE),"")&amp;IF(N($P420)&gt;0," w/TRANSOM "&amp;$P420&amp;CHAR(34),"")&amp;IF(N($Q420)&gt;0," w/SIDELITE "&amp;$Q420&amp;CHAR(34)&amp;" "&amp;IF($R420="","R",$R420),"")&amp;IF($Y420="","  |  "," | "&amp;IFERROR(VLOOKUP($Y420,CODES,2,FALSE),"")&amp;" | ")&amp;IFERROR(VLOOKUP($AC420,CODES,2,FALSE),"")&amp;" "&amp;IFERROR(VLOOKUP($AD420,CODES,2,FALSE),"")&amp;IF(OR($AE420="",$AE420="-"),""," "&amp;$AE420)&amp;IF(OR($AF420="",$AF420="-"),""," "&amp;$AF420)&amp;IF($AB420="Y"," 4"&amp;CHAR(34)&amp;" HEAD","")&amp;" "&amp;IFERROR(VLOOKUP($H420,CODES,2,FALSE),"")&amp;IF($CT420," | LOC "&amp;$CY420,"")))</f>
        <v/>
      </c>
      <c r="CK420" s="100">
        <f>IF(NOT(AND($A420&lt;&gt;"",N($BJ420)&gt;0)),"",TRIM(IFERROR(VLOOKUP($AH420,CODES,2,FALSE),"")&amp;IF($AI420=""," "," "&amp;$AI420&amp;"GA ")&amp;$BG420&amp;" "&amp;IF($AN420="",IFERROR(VLOOKUP($Z420,CODES,2,FALSE),""),IFERROR(VLOOKUP($AN420,CODES,2,FALSE),""))&amp;IF($BJ420=2," PAIR","")&amp;" DOOR | "&amp;IF($AL420="","?",$AL420)&amp;" | "&amp;IF($AO420="",IFERROR(VLOOKUP($AC420,CODES,2,FALSE),""),IFERROR(VLOOKUP($AO420,CODES,2,FALSE),""))&amp;" "&amp;IFERROR(VLOOKUP($AP420,CODES,2,FALSE),"")&amp;IF(OR($AQ420="",$AQ420="-"),""," SEAM "&amp;$AQ420)&amp;IF($AR420="Y"," ASTRAGAL","")&amp;IF($AJ420=""," "," "&amp;$AJ420)&amp;IF($AK420=""," "," "&amp;$AK420)&amp;IF(OR($AT420="",$AT420="ANSI/SDI",$AT420="CUSTOM LOC"),""," "&amp;$AT420)&amp;IF($AM420=""," "," SERIES "&amp;$AM420)&amp;" "&amp;IFERROR(VLOOKUP($H420,CODES,2,FALSE),"")&amp;IF($CT420," | LOC "&amp;$CZ420,"")))</f>
        <v/>
      </c>
      <c r="CL420" s="99">
        <f>IF(CP420="","",IF(COUNTIF($CP$6:CP420,CP420)=1,MAX($CL$5:CL419)+1,INDEX($CL$5:CL419,MATCH(CP420,$CP$5:CP419,0))))</f>
        <v/>
      </c>
      <c r="CM420" s="99">
        <f>IF(NOT(AND($A420&lt;&gt;"",$C420&lt;&gt;"DOOR ONLY")),"",MAX($CM$5:CM419)+1)</f>
        <v/>
      </c>
      <c r="CN420" s="99">
        <f>IF(NOT(AND($A420&lt;&gt;"",N($BJ420)&gt;0)),"",MAX($CN$5:CN419)+1)</f>
        <v/>
      </c>
      <c r="CO420" s="99">
        <f>IF($A420="","",MAX($CO$5:CO419)+1)</f>
        <v/>
      </c>
      <c r="CP420" s="99">
        <f>IF(OR($A420="",$BH420="",$BI420=""),"",$BG420&amp;"|"&amp;$O420&amp;"|"&amp;$AL420&amp;"|"&amp;$S420&amp;"|"&amp;$P420&amp;"|"&amp;$Q420&amp;$R420&amp;"|"&amp;$C420&amp;"|"&amp;$AB420)</f>
        <v/>
      </c>
      <c r="CQ420" s="99">
        <f>N($BS420)</f>
        <v/>
      </c>
      <c r="CR420" s="99">
        <f>IF(N($AU420)&gt;0,N($AU420),4.5)</f>
        <v/>
      </c>
      <c r="CS420" s="99">
        <f>OR($A420="",$BI420="",$S420="BL",AND($C420="FRAME ONLY",OR($AC420="",$AC420="BLK")))</f>
        <v/>
      </c>
      <c r="CT420" s="99">
        <f>AND(NOT($CS420),OR($AT420="CUSTOM LOC",N($AW420)+N($AX420)+N($AY420)+N($AZ420)+N($BA420)&gt;0))</f>
        <v/>
      </c>
      <c r="CU420" s="99">
        <f>IF($BI420="","",IF($BI420&lt;=80,80,IF($BI420&lt;=84,84,96)))</f>
        <v/>
      </c>
      <c r="CV420" s="99">
        <f>ISNUMBER(MATCH($AT420&amp;"|80",LocKeys,0))</f>
        <v/>
      </c>
      <c r="CW420" s="101">
        <f>IF($CS420,"",IF($CV420,VLOOKUP($AT420&amp;"|"&amp;$CU420,LocTable,4,FALSE),5))</f>
        <v/>
      </c>
      <c r="CX420" s="101">
        <f>IF($CS420,"",IF($CV420,IF(OR($BI420=$CU420,AND($BI420&lt;$CU420,$BI420-IF(N(VLOOKUP($AT420&amp;"|"&amp;$CU420,LocTable,7,FALSE))&gt;0,VLOOKUP($AT420&amp;"|"&amp;$CU420,LocTable,7,FALSE),VLOOKUP($AT420&amp;"|"&amp;$CU420,LocTable,6,FALSE))-$CR420-0.75&gt;=2.125)),IF(N(VLOOKUP($AT420&amp;"|"&amp;$CU420,LocTable,7,FALSE))&gt;0,VLOOKUP($AT420&amp;"|"&amp;$CU420,LocTable,7,FALSE),VLOOKUP($AT420&amp;"|"&amp;$CU420,LocTable,6,FALSE)),$BI420-($CU420-IF(N(VLOOKUP($AT420&amp;"|"&amp;$CU420,LocTable,7,FALSE))&gt;0,VLOOKUP($AT420&amp;"|"&amp;$CU420,LocTable,7,FALSE),VLOOKUP($AT420&amp;"|"&amp;$CU420,LocTable,6,FALSE)))),$BI420-10-$CR420))</f>
        <v/>
      </c>
      <c r="CY420" s="100">
        <f>IF($CS420,"",TRIM(IF(ISNUMBER($BU420),"A "&amp;TRIM(TEXT($BU420,"# ?/??"))&amp;CHAR(34)&amp;"  ","")&amp;IF(ISNUMBER($BV420),"B "&amp;TRIM(TEXT($BV420,"# ?/??"))&amp;CHAR(34)&amp;"  ","")&amp;IF(ISNUMBER($BW420),"C "&amp;TRIM(TEXT($BW420,"# ?/??"))&amp;CHAR(34)&amp;"  ","")&amp;IF(ISNUMBER($BX420),"D "&amp;TRIM(TEXT($BX420,"# ?/??"))&amp;CHAR(34)&amp;"  ","")&amp;IF(ISNUMBER($BY420),"F "&amp;TRIM(TEXT($BY420,"# ?/??"))&amp;CHAR(34)&amp;"  ","")&amp;IF(ISNUMBER($BZ420),"E "&amp;TRIM(TEXT($BZ420,"# ?/??"))&amp;CHAR(34)&amp;"  ","")))</f>
        <v/>
      </c>
      <c r="CZ420" s="100">
        <f>IF(OR($CS420,N($BJ420)=0),"",TRIM(IF(ISNUMBER($BU420),"A "&amp;TRIM(TEXT($BU420-HeadClr,"# ?/??"))&amp;CHAR(34)&amp;"  ","")&amp;IF(ISNUMBER($BV420),"B "&amp;TRIM(TEXT($BV420-HeadClr,"# ?/??"))&amp;CHAR(34)&amp;"  ","")&amp;IF(ISNUMBER($BW420),"C "&amp;TRIM(TEXT($BW420-HeadClr,"# ?/??"))&amp;CHAR(34)&amp;"  ","")&amp;IF(ISNUMBER($BX420),"D "&amp;TRIM(TEXT($BX420-HeadClr,"# ?/??"))&amp;CHAR(34)&amp;"  ","")&amp;IF(ISNUMBER($BY420),"F "&amp;TRIM(TEXT($BY420-HeadClr,"# ?/??"))&amp;CHAR(34)&amp;"  ","")&amp;IF(ISNUMBER($BZ420),"E "&amp;TRIM(TEXT($BZ420-HeadClr,"# ?/??"))&amp;CHAR(34)&amp;"  ","")))</f>
        <v/>
      </c>
      <c r="DA420" s="99">
        <f>IF($A420="","",IF($AN420="",IFERROR(VLOOKUP($Z420,CODES,2,FALSE),""),IFERROR(VLOOKUP($AN420,CODES,2,FALSE),"")))</f>
        <v/>
      </c>
      <c r="DB420" s="99">
        <f>IF($A420="","",IF($O420="Y","PR",IF(OR($Z420="L",$Z420="RR",LEFT($Z420,2)="L-",LEFT($Z420,3)="RR-"),"LH","RH")))</f>
        <v/>
      </c>
      <c r="DC420" s="99">
        <f>IF($A420="","","S.HM"&amp;IF(OR($C420="DOOR ONLY",$X420&lt;&gt;"KD"),"MASONRY","DRYWALL")&amp;IF($C420="DOOR ONLY","",$U420)&amp;IF(AND($C420&lt;&gt;"FRAME ONLY",OR(LEFT($AH420,3)="OAK",LEFT($AH420,3)="BIR",LEFT($AH420,3)="MAP",$AH420="PC",$AH420="MC",$AH420="SCLC",$AH420="P-LAM")),"WD","HM")&amp;"1.75")</f>
        <v/>
      </c>
      <c r="DD420" s="99">
        <f>IF($CJ420="","",IF($O420="Y",$CJ420,SUBSTITUTE($CJ420,$BG420&amp;" "&amp;IFERROR(VLOOKUP($Z420,CODES,2,FALSE),"")&amp;" ",$BG420&amp;" ")))</f>
        <v/>
      </c>
      <c r="DE420" s="99">
        <f>IF($CK420="","",IF($O420="Y",$CK420,SUBSTITUTE($CK420,$BG420&amp;" "&amp;IF($AN420="",IFERROR(VLOOKUP($Z420,CODES,2,FALSE),""),IFERROR(VLOOKUP($AN420,CODES,2,FALSE),""))&amp;" ",$BG420&amp;" ")))</f>
        <v/>
      </c>
      <c r="DF420" s="99">
        <f>IF($CJ420="","",$DC420&amp;"|"&amp;$DD420&amp;"|"&amp;$DB420&amp;"|"&amp;$AT420&amp;"|"&amp;$V420&amp;"|"&amp;$Y420&amp;"|"&amp;$AB420)</f>
        <v/>
      </c>
      <c r="DG420" s="99">
        <f>IF(DF420="","",IF(COUNTIF($DF$6:DF420,DF420)=1,MAX($DG$5:DG419)+1,INDEX($DG$5:DG419,MATCH(DF420,$DF$5:DF419,0))))</f>
        <v/>
      </c>
      <c r="DH420" s="99">
        <f>IF($CK420="","",$DC420&amp;"|"&amp;$DE420&amp;"|"&amp;$AI420&amp;"|"&amp;$BK420&amp;"|"&amp;$BL420)</f>
        <v/>
      </c>
      <c r="DI420" s="99">
        <f>IF(DH420="","",IF(COUNTIF($DH$6:DH420,DH420)=1,MAX($DI$5:DI419)+1,INDEX($DI$5:DI419,MATCH(DH420,$DH$5:DH419,0))))</f>
        <v/>
      </c>
      <c r="DJ420" s="99">
        <f>IF($A420="","",IF($B420="","qty, ","")&amp;IF($C420="","scope, ","")&amp;IF(OR($K420="",$M420=""),"size, ","")&amp;IF(AND($A420&lt;&gt;"",$C420&lt;&gt;"DOOR ONLY"),IF($U420="","jamb depth, ","")&amp;IF($X420="","construction, ","")&amp;IF($Y420="","anchor, ","")&amp;IF($S420="","frame type, ",""),"")&amp;IF(AND(N($BJ420)&gt;0,$Z420=""),"hand, ","")&amp;IF(N($BJ420)&gt;0,IF($AH420="","door material, ","")&amp;IF($AL420="","face type, ","")&amp;IF($AP420="","lock prep, ","")&amp;IF(AND($AO420="",$AC420=""),"hinge prep, ",""),"")&amp;IF(AND($CH420&gt;0,$AH420="FRP"),"FRP cannot carry a label, ","")&amp;IF(AND($O420="Y",OR($Z420="L",$Z420="R",$Z420="LR",$Z420="RR")),"pair marked but hand is single, ","")&amp;IF(AND($O420&lt;&gt;"Y",OR($Z420="PR",AND(LEN($Z420)&gt;1,ISNUMBER(SEARCH("-",$Z420))))),"pair hand on a single door, ","")&amp;IF(AND(ISNUMBER($CI420),$CH420&lt;N($CI420)),"wall needs a "&amp;$CI420&amp;" min door, ","")&amp;IF(AND($CH420&gt;=180,AND(OR($CE420="FG",$CE420="HG",$CE420="FNV",$CE420="FV"),N($CF420)*N($CG420)&gt;100)),"180 min lite over 100 sq in, ","")&amp;IF(N($BK420)&gt;48,"leaf wider than 4'-0"&amp;CHAR(34)&amp;", ","")&amp;IF(AND($CT420,COUNT($AW420:$AZ420)=0,$CQ420&gt;0),"CUSTOM LOC with no locations typed, ",""))</f>
        <v/>
      </c>
      <c r="DK420" s="99">
        <f>IF($A420="","",IF(AND($CH420&gt;0,AND($A420&lt;&gt;"",$C420&lt;&gt;"DOOR ONLY"),$X420="KD",$E420="EXTERIOR"),"KD label on an exterior opening, ","")&amp;IF(AND($E420="EXTERIOR",OR(AND(AND($A420&lt;&gt;"",$C420&lt;&gt;"DOOR ONLY"),$W420="CR"),AND(N($BJ420)&gt;0,$AH420="CR"))),"exterior in CR steel (G9?), ","")&amp;IF(AND(ISNUMBER($BQ420),N($BQ420)&lt;32),"clear width ~"&amp;TEXT($BQ420,"0.0")&amp;CHAR(34)&amp;" under 32"&amp;CHAR(34)&amp;" (ADA), ","")&amp;IF(AND($CH420=90,AND(OR($CE420="FG",$CE420="HG",$CE420="FNV",$CE420="FV"),N($CF420)*N($CG420)&gt;100)),"90 min lite over 100 sq in (stair/exit), ","")&amp;IF(AND($CH420&gt;0,AND($A420&lt;&gt;"",$C420&lt;&gt;"DOOR ONLY"),OR($AF420="",$AF420="-")),"rated: closer reinf.?, ","")&amp;IF(OR($I420="CORRIDOR",$I420="SMOKE BARRIER"),"S label + smoke gasketing, ","")&amp;IF($CI420="?","wall type/hr not in IBC table, ","")&amp;IF(AND(N($BJ420)&gt;0,$BB420=""),"no hardware set, ","")&amp;IF(AND($BB420&lt;&gt;"",ISNA(MATCH($BB420&amp;"",HWSets,0))),"set "&amp;$BB420&amp;" not on HW Sets, ","")&amp;IF(N($BL420)&gt;96,"leaf over 8'-0"&amp;CHAR(34)&amp;" - check listing, ","")&amp;IF(AND($CT420,COUNT($AW420:$AZ420)&gt;0,COUNT($AW420:$AZ420)&lt;&gt;$CQ420),COUNT($AW420:$AZ420)&amp;" custom hinges typed, "&amp;$CQ420&amp;" expected, ","")&amp;IF(AND(ISNUMBER($CA420),OR(N($CA420)&lt;34,N($CA420)&gt;48)),"lock "&amp;TEXT($CA420,"0.0")&amp;CHAR(34)&amp;" AFF outside 34-48"&amp;CHAR(34)&amp;" (ADA), ","")&amp;IF(AND(ISNUMBER($AV420),ISNUMBER($BL420),N($AV420)&lt;IF(N($BL420)&lt;=60,2,IF(N($BL420)&lt;=90,3,IF(N($BL420)&lt;=120,4,5)))),"fewer hinges than standard, ",""))</f>
        <v/>
      </c>
    </row>
    <row r="421" ht="15" customHeight="1">
      <c r="A421" s="77" t="n"/>
      <c r="B421" s="78" t="n"/>
      <c r="C421" s="78" t="n"/>
      <c r="D421" s="78" t="n"/>
      <c r="E421" s="78" t="n"/>
      <c r="F421" s="78" t="n"/>
      <c r="G421" s="78" t="n"/>
      <c r="H421" s="78" t="n"/>
      <c r="I421" s="78" t="n"/>
      <c r="J421" s="78" t="n"/>
      <c r="K421" s="78" t="n"/>
      <c r="L421" s="78" t="n"/>
      <c r="M421" s="78" t="n"/>
      <c r="N421" s="78" t="n"/>
      <c r="O421" s="78" t="n"/>
      <c r="P421" s="78" t="n"/>
      <c r="Q421" s="78" t="n"/>
      <c r="R421" s="78" t="n"/>
      <c r="S421" s="79" t="n"/>
      <c r="T421" s="79" t="n"/>
      <c r="U421" s="79" t="n"/>
      <c r="V421" s="79" t="n"/>
      <c r="W421" s="79" t="n"/>
      <c r="X421" s="79" t="n"/>
      <c r="Y421" s="79" t="n"/>
      <c r="Z421" s="79" t="n"/>
      <c r="AA421" s="79" t="n"/>
      <c r="AB421" s="79" t="n"/>
      <c r="AC421" s="79" t="n"/>
      <c r="AD421" s="79" t="n"/>
      <c r="AE421" s="79" t="n"/>
      <c r="AF421" s="79" t="n"/>
      <c r="AG421" s="79" t="n"/>
      <c r="AH421" s="80" t="n"/>
      <c r="AI421" s="80" t="n"/>
      <c r="AJ421" s="80" t="n"/>
      <c r="AK421" s="80" t="n"/>
      <c r="AL421" s="80" t="n"/>
      <c r="AM421" s="80" t="n"/>
      <c r="AN421" s="80" t="n"/>
      <c r="AO421" s="80" t="n"/>
      <c r="AP421" s="80" t="n"/>
      <c r="AQ421" s="80" t="n"/>
      <c r="AR421" s="80" t="n"/>
      <c r="AS421" s="80" t="n"/>
      <c r="AT421" s="81" t="n"/>
      <c r="AU421" s="81" t="n"/>
      <c r="AV421" s="81" t="n"/>
      <c r="AW421" s="82" t="n"/>
      <c r="AX421" s="82" t="n"/>
      <c r="AY421" s="82" t="n"/>
      <c r="AZ421" s="82" t="n"/>
      <c r="BA421" s="82" t="n"/>
      <c r="BB421" s="83" t="n"/>
      <c r="BC421" s="83" t="n"/>
      <c r="BD421" s="84">
        <f>IF($A421="","",IF($DJ421&lt;&gt;"","FIX",IF($DK421&lt;&gt;"","CHECK","OK")))</f>
        <v/>
      </c>
      <c r="BE421" s="85">
        <f>IF($A421="","",IF($DJ421&lt;&gt;"","FIX: "&amp;LEFT($DJ421,LEN($DJ421)-2)&amp;IF($DK421&lt;&gt;"","  ·  ",""),"")&amp;IF($DK421&lt;&gt;"","CHECK: "&amp;LEFT($DK421,LEN($DK421)-2),""))</f>
        <v/>
      </c>
      <c r="BF421" s="84">
        <f>IF(OR($A421="",$K421=""),"",$K421&amp;"'-"&amp;N($L421)&amp;CHAR(34)&amp;" x "&amp;$M421&amp;"'-"&amp;N($N421)&amp;CHAR(34))</f>
        <v/>
      </c>
      <c r="BG421" s="84">
        <f>IF(OR($A421="",$K421=""),"",$K421&amp;N($L421)&amp;$M421&amp;N($N421))</f>
        <v/>
      </c>
      <c r="BH421" s="84">
        <f>IF(OR($A421="",$K421=""),"",$K421*12+N($L421))</f>
        <v/>
      </c>
      <c r="BI421" s="84">
        <f>IF(OR($A421="",$M421=""),"",$M421*12+N($N421))</f>
        <v/>
      </c>
      <c r="BJ421" s="84">
        <f>IF($A421="","",IF(OR($C421="FRAME ONLY",$S421="BL"),0,IF($O421="Y",2,1)))</f>
        <v/>
      </c>
      <c r="BK421" s="86">
        <f>IF(OR(N($BJ421)=0,$BH421=""),"",($BH421-2*EdgeClr-IF($BJ421=2,MeetClr,0))/$BJ421)</f>
        <v/>
      </c>
      <c r="BL421" s="86">
        <f>IF(OR(N($BJ421)=0,$BI421=""),"",$BI421-HeadClr-Undercut)</f>
        <v/>
      </c>
      <c r="BM421" s="86">
        <f>IF($BH421="","",$BH421+2*FaceW+IF(N($Q421)&gt;0,($Q421+FaceW)*IF($R421="LR",2,1),0))</f>
        <v/>
      </c>
      <c r="BN421" s="86">
        <f>IF($BI421="","",$BI421+IF($AB421="Y",4,FaceW)+IF(N($P421)&gt;0,$P421+FaceW,0)+IF(OR($S421="4F",$S421="BL"),FaceW,0))</f>
        <v/>
      </c>
      <c r="BO421" s="86">
        <f>IF($BM421="","",$BM421+2*ROSide)</f>
        <v/>
      </c>
      <c r="BP421" s="86">
        <f>IF($BN421="","",$BN421+ROTop)</f>
        <v/>
      </c>
      <c r="BQ421" s="87">
        <f>IF(OR(N($BJ421)=0,$BH421=""),"",$BH421/$BJ421-ClearDeduct)</f>
        <v/>
      </c>
      <c r="BR421" s="84">
        <f>IF(N($CH421)=0,"",IF($CH421&gt;=180,"A · 3 HR",IF($CH421&gt;=90,"B · 1-1/2 HR",IF($CH421&gt;=60,"B · 1 HR",IF($CH421&gt;=45,"C · 3/4 HR","20 MIN")))))&amp;IF(AND(N($CH421)&gt;0,OR($I421="CORRIDOR",$I421="SMOKE BARRIER"))," · S","")</f>
        <v/>
      </c>
      <c r="BS421" s="84">
        <f>IF($CS421,"",IF($AV421&lt;&gt;"",$AV421,IF(OR($AC421="HGC",$AO421="HGC"),"CONT",IF(($BI421-HeadClr-Undercut)&lt;=60,2,IF(($BI421-HeadClr-Undercut)&lt;=90,3,IF(($BI421-HeadClr-Undercut)&lt;=120,4,5))))))</f>
        <v/>
      </c>
      <c r="BT421" s="84">
        <f>IF($CS421,"",IF($CT421,"CUSTOM (typed)",IF($CV421,$AT421&amp;" "&amp;$CU421&amp;CHAR(34)&amp;IF($CU421&lt;&gt;$BI421,IF(AND($BI421&lt;$CU421,$BI421-IF(N(VLOOKUP($AT421&amp;"|"&amp;$CU421,LocTable,7,FALSE))&gt;0,VLOOKUP($AT421&amp;"|"&amp;$CU421,LocTable,7,FALSE),VLOOKUP($AT421&amp;"|"&amp;$CU421,LocTable,6,FALSE))-$CR421-0.75&gt;=2.125)," cut down"," adj."),""),"ANSI/SDI A250.6")))</f>
        <v/>
      </c>
      <c r="BU421" s="88">
        <f>IF($CS421,"",IF($CT421,IF(N($AW421)&gt;0,N($AW421),""),IF(1&gt;$CQ421,"",IF($CQ421=1,$CW421,$CW421+($CX421-$CW421)*0/($CQ421-1)))))</f>
        <v/>
      </c>
      <c r="BV421" s="88">
        <f>IF($CS421,"",IF($CT421,IF(N($AX421)&gt;0,N($AX421),""),IF(2&gt;$CQ421,"",IF($CQ421=1,$CW421,$CW421+($CX421-$CW421)*1/($CQ421-1)))))</f>
        <v/>
      </c>
      <c r="BW421" s="88">
        <f>IF($CS421,"",IF($CT421,IF(N($AY421)&gt;0,N($AY421),""),IF(3&gt;$CQ421,"",IF($CQ421=1,$CW421,$CW421+($CX421-$CW421)*2/($CQ421-1)))))</f>
        <v/>
      </c>
      <c r="BX421" s="88">
        <f>IF($CS421,"",IF($CT421,IF(N($AZ421)&gt;0,N($AZ421),""),IF(4&gt;$CQ421,"",IF($CQ421=1,$CW421,$CW421+($CX421-$CW421)*3/($CQ421-1)))))</f>
        <v/>
      </c>
      <c r="BY421" s="88">
        <f>IF($CS421,"",IF($CT421,"",IF(5&gt;$CQ421,"",IF($CQ421=1,$CW421,$CW421+($CX421-$CW421)*4/($CQ421-1)))))</f>
        <v/>
      </c>
      <c r="BZ421" s="88">
        <f>IF(OR($CS421,$AP421="-",AND($AP421="",$AD421="")),"",IF(N($BA421)&gt;0,N($BA421),IF($CV421,IF(AND($BI421&lt;$CU421,$BI421-IF(N(VLOOKUP($AT421&amp;"|"&amp;$CU421,LocTable,7,FALSE))&gt;0,VLOOKUP($AT421&amp;"|"&amp;$CU421,LocTable,7,FALSE),VLOOKUP($AT421&amp;"|"&amp;$CU421,LocTable,6,FALSE))-$CR421-0.75&gt;=2.125),VLOOKUP($AT421&amp;"|"&amp;$CU421,LocTable,8,FALSE),VLOOKUP($AT421&amp;"|"&amp;$CU421,LocTable,8,FALSE)+($BI421-$CU421)),$BI421-LockAFF)))</f>
        <v/>
      </c>
      <c r="CA421" s="89">
        <f>IF($BZ421="","",$BI421-$BZ421)</f>
        <v/>
      </c>
      <c r="CB421" s="84">
        <f>IF(OR(NOT(AND($A421&lt;&gt;"",$C421&lt;&gt;"DOOR ONLY")),$BI421=""),"",IF(($BI421+IF(N($P421)&gt;0,$P421+FaceW,0))&lt;=90,3,IF(($BI421+IF(N($P421)&gt;0,$P421+FaceW,0))&lt;=114,4,5)))</f>
        <v/>
      </c>
      <c r="CC421" s="84">
        <f>IF($CB421="","",$CB421*(2+IF(N($Q421)&gt;0,IF($R421="LR",2,1),0)))</f>
        <v/>
      </c>
      <c r="CD421" s="84">
        <f>IF($CB421="","",(2+IF(N($Q421)&gt;0,IF($R421="LR",2,1),0)))</f>
        <v/>
      </c>
      <c r="CE421" s="84">
        <f>IF(N($BJ421)=0,"",IF(OR($AL421="",$AL421="FLUSH"),"FLUSH",IFERROR(LEFT($AL421,FIND("-",$AL421)-1),LEFT($AL421,2))))</f>
        <v/>
      </c>
      <c r="CF421" s="84">
        <f>IF($CE421="","",IFERROR(VALUE(MID($AL421,FIND("-",$AL421)+1,FIND(CHAR(34)&amp;"x",$AL421)-FIND("-",$AL421)-1)),0))</f>
        <v/>
      </c>
      <c r="CG421" s="84">
        <f>IF($CE421="","",IFERROR(VALUE(MID($AL421,FIND(CHAR(34)&amp;"x",$AL421)+2,FIND(CHAR(34),$AL421,FIND(CHAR(34)&amp;"x",$AL421)+2)-FIND(CHAR(34)&amp;"x",$AL421)-2)),0))</f>
        <v/>
      </c>
      <c r="CH421" s="90">
        <f>IF(OR($A421="",$H421="",$H421="NO LAB"),0,IFERROR(VALUE(LEFT($H421,FIND(" ",$H421)-1)),0))</f>
        <v/>
      </c>
      <c r="CI421" s="91">
        <f>IF(OR($A421="",$I421="",$I421="NON-RATED",N($J421)=0),"",IFERROR(VLOOKUP($I421&amp;"|"&amp;$J421,IBC,2,FALSE),"?"))</f>
        <v/>
      </c>
      <c r="CJ421" s="85">
        <f>IF(NOT(AND($A421&lt;&gt;"",$C421&lt;&gt;"DOOR ONLY")),"",TRIM(IFERROR(VLOOKUP($U421,CODES,2,FALSE),"")&amp;" "&amp;$BG421&amp;" "&amp;IFERROR(VLOOKUP($Z421,CODES,2,FALSE),"")&amp;" "&amp;IFERROR(VLOOKUP($X421,CODES,2,FALSE),"")&amp;" "&amp;IFERROR(VLOOKUP($S421,CODES,2,FALSE),"")&amp;IF(N($P421)&gt;0," w/TRANSOM "&amp;$P421&amp;CHAR(34),"")&amp;IF(N($Q421)&gt;0," w/SIDELITE "&amp;$Q421&amp;CHAR(34)&amp;" "&amp;IF($R421="","R",$R421),"")&amp;IF($Y421="","  |  "," | "&amp;IFERROR(VLOOKUP($Y421,CODES,2,FALSE),"")&amp;" | ")&amp;IFERROR(VLOOKUP($AC421,CODES,2,FALSE),"")&amp;" "&amp;IFERROR(VLOOKUP($AD421,CODES,2,FALSE),"")&amp;IF(OR($AE421="",$AE421="-"),""," "&amp;$AE421)&amp;IF(OR($AF421="",$AF421="-"),""," "&amp;$AF421)&amp;IF($AB421="Y"," 4"&amp;CHAR(34)&amp;" HEAD","")&amp;" "&amp;IFERROR(VLOOKUP($H421,CODES,2,FALSE),"")&amp;IF($CT421," | LOC "&amp;$CY421,"")))</f>
        <v/>
      </c>
      <c r="CK421" s="85">
        <f>IF(NOT(AND($A421&lt;&gt;"",N($BJ421)&gt;0)),"",TRIM(IFERROR(VLOOKUP($AH421,CODES,2,FALSE),"")&amp;IF($AI421=""," "," "&amp;$AI421&amp;"GA ")&amp;$BG421&amp;" "&amp;IF($AN421="",IFERROR(VLOOKUP($Z421,CODES,2,FALSE),""),IFERROR(VLOOKUP($AN421,CODES,2,FALSE),""))&amp;IF($BJ421=2," PAIR","")&amp;" DOOR | "&amp;IF($AL421="","?",$AL421)&amp;" | "&amp;IF($AO421="",IFERROR(VLOOKUP($AC421,CODES,2,FALSE),""),IFERROR(VLOOKUP($AO421,CODES,2,FALSE),""))&amp;" "&amp;IFERROR(VLOOKUP($AP421,CODES,2,FALSE),"")&amp;IF(OR($AQ421="",$AQ421="-"),""," SEAM "&amp;$AQ421)&amp;IF($AR421="Y"," ASTRAGAL","")&amp;IF($AJ421=""," "," "&amp;$AJ421)&amp;IF($AK421=""," "," "&amp;$AK421)&amp;IF(OR($AT421="",$AT421="ANSI/SDI",$AT421="CUSTOM LOC"),""," "&amp;$AT421)&amp;IF($AM421=""," "," SERIES "&amp;$AM421)&amp;" "&amp;IFERROR(VLOOKUP($H421,CODES,2,FALSE),"")&amp;IF($CT421," | LOC "&amp;$CZ421,"")))</f>
        <v/>
      </c>
      <c r="CL421" s="84">
        <f>IF(CP421="","",IF(COUNTIF($CP$6:CP421,CP421)=1,MAX($CL$5:CL420)+1,INDEX($CL$5:CL420,MATCH(CP421,$CP$5:CP420,0))))</f>
        <v/>
      </c>
      <c r="CM421" s="84">
        <f>IF(NOT(AND($A421&lt;&gt;"",$C421&lt;&gt;"DOOR ONLY")),"",MAX($CM$5:CM420)+1)</f>
        <v/>
      </c>
      <c r="CN421" s="84">
        <f>IF(NOT(AND($A421&lt;&gt;"",N($BJ421)&gt;0)),"",MAX($CN$5:CN420)+1)</f>
        <v/>
      </c>
      <c r="CO421" s="84">
        <f>IF($A421="","",MAX($CO$5:CO420)+1)</f>
        <v/>
      </c>
      <c r="CP421" s="84">
        <f>IF(OR($A421="",$BH421="",$BI421=""),"",$BG421&amp;"|"&amp;$O421&amp;"|"&amp;$AL421&amp;"|"&amp;$S421&amp;"|"&amp;$P421&amp;"|"&amp;$Q421&amp;$R421&amp;"|"&amp;$C421&amp;"|"&amp;$AB421)</f>
        <v/>
      </c>
      <c r="CQ421" s="84">
        <f>N($BS421)</f>
        <v/>
      </c>
      <c r="CR421" s="84">
        <f>IF(N($AU421)&gt;0,N($AU421),4.5)</f>
        <v/>
      </c>
      <c r="CS421" s="84">
        <f>OR($A421="",$BI421="",$S421="BL",AND($C421="FRAME ONLY",OR($AC421="",$AC421="BLK")))</f>
        <v/>
      </c>
      <c r="CT421" s="84">
        <f>AND(NOT($CS421),OR($AT421="CUSTOM LOC",N($AW421)+N($AX421)+N($AY421)+N($AZ421)+N($BA421)&gt;0))</f>
        <v/>
      </c>
      <c r="CU421" s="84">
        <f>IF($BI421="","",IF($BI421&lt;=80,80,IF($BI421&lt;=84,84,96)))</f>
        <v/>
      </c>
      <c r="CV421" s="84">
        <f>ISNUMBER(MATCH($AT421&amp;"|80",LocKeys,0))</f>
        <v/>
      </c>
      <c r="CW421" s="86">
        <f>IF($CS421,"",IF($CV421,VLOOKUP($AT421&amp;"|"&amp;$CU421,LocTable,4,FALSE),5))</f>
        <v/>
      </c>
      <c r="CX421" s="86">
        <f>IF($CS421,"",IF($CV421,IF(OR($BI421=$CU421,AND($BI421&lt;$CU421,$BI421-IF(N(VLOOKUP($AT421&amp;"|"&amp;$CU421,LocTable,7,FALSE))&gt;0,VLOOKUP($AT421&amp;"|"&amp;$CU421,LocTable,7,FALSE),VLOOKUP($AT421&amp;"|"&amp;$CU421,LocTable,6,FALSE))-$CR421-0.75&gt;=2.125)),IF(N(VLOOKUP($AT421&amp;"|"&amp;$CU421,LocTable,7,FALSE))&gt;0,VLOOKUP($AT421&amp;"|"&amp;$CU421,LocTable,7,FALSE),VLOOKUP($AT421&amp;"|"&amp;$CU421,LocTable,6,FALSE)),$BI421-($CU421-IF(N(VLOOKUP($AT421&amp;"|"&amp;$CU421,LocTable,7,FALSE))&gt;0,VLOOKUP($AT421&amp;"|"&amp;$CU421,LocTable,7,FALSE),VLOOKUP($AT421&amp;"|"&amp;$CU421,LocTable,6,FALSE)))),$BI421-10-$CR421))</f>
        <v/>
      </c>
      <c r="CY421" s="85">
        <f>IF($CS421,"",TRIM(IF(ISNUMBER($BU421),"A "&amp;TRIM(TEXT($BU421,"# ?/??"))&amp;CHAR(34)&amp;"  ","")&amp;IF(ISNUMBER($BV421),"B "&amp;TRIM(TEXT($BV421,"# ?/??"))&amp;CHAR(34)&amp;"  ","")&amp;IF(ISNUMBER($BW421),"C "&amp;TRIM(TEXT($BW421,"# ?/??"))&amp;CHAR(34)&amp;"  ","")&amp;IF(ISNUMBER($BX421),"D "&amp;TRIM(TEXT($BX421,"# ?/??"))&amp;CHAR(34)&amp;"  ","")&amp;IF(ISNUMBER($BY421),"F "&amp;TRIM(TEXT($BY421,"# ?/??"))&amp;CHAR(34)&amp;"  ","")&amp;IF(ISNUMBER($BZ421),"E "&amp;TRIM(TEXT($BZ421,"# ?/??"))&amp;CHAR(34)&amp;"  ","")))</f>
        <v/>
      </c>
      <c r="CZ421" s="85">
        <f>IF(OR($CS421,N($BJ421)=0),"",TRIM(IF(ISNUMBER($BU421),"A "&amp;TRIM(TEXT($BU421-HeadClr,"# ?/??"))&amp;CHAR(34)&amp;"  ","")&amp;IF(ISNUMBER($BV421),"B "&amp;TRIM(TEXT($BV421-HeadClr,"# ?/??"))&amp;CHAR(34)&amp;"  ","")&amp;IF(ISNUMBER($BW421),"C "&amp;TRIM(TEXT($BW421-HeadClr,"# ?/??"))&amp;CHAR(34)&amp;"  ","")&amp;IF(ISNUMBER($BX421),"D "&amp;TRIM(TEXT($BX421-HeadClr,"# ?/??"))&amp;CHAR(34)&amp;"  ","")&amp;IF(ISNUMBER($BY421),"F "&amp;TRIM(TEXT($BY421-HeadClr,"# ?/??"))&amp;CHAR(34)&amp;"  ","")&amp;IF(ISNUMBER($BZ421),"E "&amp;TRIM(TEXT($BZ421-HeadClr,"# ?/??"))&amp;CHAR(34)&amp;"  ","")))</f>
        <v/>
      </c>
      <c r="DA421" s="84">
        <f>IF($A421="","",IF($AN421="",IFERROR(VLOOKUP($Z421,CODES,2,FALSE),""),IFERROR(VLOOKUP($AN421,CODES,2,FALSE),"")))</f>
        <v/>
      </c>
      <c r="DB421" s="84">
        <f>IF($A421="","",IF($O421="Y","PR",IF(OR($Z421="L",$Z421="RR",LEFT($Z421,2)="L-",LEFT($Z421,3)="RR-"),"LH","RH")))</f>
        <v/>
      </c>
      <c r="DC421" s="84">
        <f>IF($A421="","","S.HM"&amp;IF(OR($C421="DOOR ONLY",$X421&lt;&gt;"KD"),"MASONRY","DRYWALL")&amp;IF($C421="DOOR ONLY","",$U421)&amp;IF(AND($C421&lt;&gt;"FRAME ONLY",OR(LEFT($AH421,3)="OAK",LEFT($AH421,3)="BIR",LEFT($AH421,3)="MAP",$AH421="PC",$AH421="MC",$AH421="SCLC",$AH421="P-LAM")),"WD","HM")&amp;"1.75")</f>
        <v/>
      </c>
      <c r="DD421" s="84">
        <f>IF($CJ421="","",IF($O421="Y",$CJ421,SUBSTITUTE($CJ421,$BG421&amp;" "&amp;IFERROR(VLOOKUP($Z421,CODES,2,FALSE),"")&amp;" ",$BG421&amp;" ")))</f>
        <v/>
      </c>
      <c r="DE421" s="84">
        <f>IF($CK421="","",IF($O421="Y",$CK421,SUBSTITUTE($CK421,$BG421&amp;" "&amp;IF($AN421="",IFERROR(VLOOKUP($Z421,CODES,2,FALSE),""),IFERROR(VLOOKUP($AN421,CODES,2,FALSE),""))&amp;" ",$BG421&amp;" ")))</f>
        <v/>
      </c>
      <c r="DF421" s="84">
        <f>IF($CJ421="","",$DC421&amp;"|"&amp;$DD421&amp;"|"&amp;$DB421&amp;"|"&amp;$AT421&amp;"|"&amp;$V421&amp;"|"&amp;$Y421&amp;"|"&amp;$AB421)</f>
        <v/>
      </c>
      <c r="DG421" s="84">
        <f>IF(DF421="","",IF(COUNTIF($DF$6:DF421,DF421)=1,MAX($DG$5:DG420)+1,INDEX($DG$5:DG420,MATCH(DF421,$DF$5:DF420,0))))</f>
        <v/>
      </c>
      <c r="DH421" s="84">
        <f>IF($CK421="","",$DC421&amp;"|"&amp;$DE421&amp;"|"&amp;$AI421&amp;"|"&amp;$BK421&amp;"|"&amp;$BL421)</f>
        <v/>
      </c>
      <c r="DI421" s="84">
        <f>IF(DH421="","",IF(COUNTIF($DH$6:DH421,DH421)=1,MAX($DI$5:DI420)+1,INDEX($DI$5:DI420,MATCH(DH421,$DH$5:DH420,0))))</f>
        <v/>
      </c>
      <c r="DJ421" s="84">
        <f>IF($A421="","",IF($B421="","qty, ","")&amp;IF($C421="","scope, ","")&amp;IF(OR($K421="",$M421=""),"size, ","")&amp;IF(AND($A421&lt;&gt;"",$C421&lt;&gt;"DOOR ONLY"),IF($U421="","jamb depth, ","")&amp;IF($X421="","construction, ","")&amp;IF($Y421="","anchor, ","")&amp;IF($S421="","frame type, ",""),"")&amp;IF(AND(N($BJ421)&gt;0,$Z421=""),"hand, ","")&amp;IF(N($BJ421)&gt;0,IF($AH421="","door material, ","")&amp;IF($AL421="","face type, ","")&amp;IF($AP421="","lock prep, ","")&amp;IF(AND($AO421="",$AC421=""),"hinge prep, ",""),"")&amp;IF(AND($CH421&gt;0,$AH421="FRP"),"FRP cannot carry a label, ","")&amp;IF(AND($O421="Y",OR($Z421="L",$Z421="R",$Z421="LR",$Z421="RR")),"pair marked but hand is single, ","")&amp;IF(AND($O421&lt;&gt;"Y",OR($Z421="PR",AND(LEN($Z421)&gt;1,ISNUMBER(SEARCH("-",$Z421))))),"pair hand on a single door, ","")&amp;IF(AND(ISNUMBER($CI421),$CH421&lt;N($CI421)),"wall needs a "&amp;$CI421&amp;" min door, ","")&amp;IF(AND($CH421&gt;=180,AND(OR($CE421="FG",$CE421="HG",$CE421="FNV",$CE421="FV"),N($CF421)*N($CG421)&gt;100)),"180 min lite over 100 sq in, ","")&amp;IF(N($BK421)&gt;48,"leaf wider than 4'-0"&amp;CHAR(34)&amp;", ","")&amp;IF(AND($CT421,COUNT($AW421:$AZ421)=0,$CQ421&gt;0),"CUSTOM LOC with no locations typed, ",""))</f>
        <v/>
      </c>
      <c r="DK421" s="84">
        <f>IF($A421="","",IF(AND($CH421&gt;0,AND($A421&lt;&gt;"",$C421&lt;&gt;"DOOR ONLY"),$X421="KD",$E421="EXTERIOR"),"KD label on an exterior opening, ","")&amp;IF(AND($E421="EXTERIOR",OR(AND(AND($A421&lt;&gt;"",$C421&lt;&gt;"DOOR ONLY"),$W421="CR"),AND(N($BJ421)&gt;0,$AH421="CR"))),"exterior in CR steel (G9?), ","")&amp;IF(AND(ISNUMBER($BQ421),N($BQ421)&lt;32),"clear width ~"&amp;TEXT($BQ421,"0.0")&amp;CHAR(34)&amp;" under 32"&amp;CHAR(34)&amp;" (ADA), ","")&amp;IF(AND($CH421=90,AND(OR($CE421="FG",$CE421="HG",$CE421="FNV",$CE421="FV"),N($CF421)*N($CG421)&gt;100)),"90 min lite over 100 sq in (stair/exit), ","")&amp;IF(AND($CH421&gt;0,AND($A421&lt;&gt;"",$C421&lt;&gt;"DOOR ONLY"),OR($AF421="",$AF421="-")),"rated: closer reinf.?, ","")&amp;IF(OR($I421="CORRIDOR",$I421="SMOKE BARRIER"),"S label + smoke gasketing, ","")&amp;IF($CI421="?","wall type/hr not in IBC table, ","")&amp;IF(AND(N($BJ421)&gt;0,$BB421=""),"no hardware set, ","")&amp;IF(AND($BB421&lt;&gt;"",ISNA(MATCH($BB421&amp;"",HWSets,0))),"set "&amp;$BB421&amp;" not on HW Sets, ","")&amp;IF(N($BL421)&gt;96,"leaf over 8'-0"&amp;CHAR(34)&amp;" - check listing, ","")&amp;IF(AND($CT421,COUNT($AW421:$AZ421)&gt;0,COUNT($AW421:$AZ421)&lt;&gt;$CQ421),COUNT($AW421:$AZ421)&amp;" custom hinges typed, "&amp;$CQ421&amp;" expected, ","")&amp;IF(AND(ISNUMBER($CA421),OR(N($CA421)&lt;34,N($CA421)&gt;48)),"lock "&amp;TEXT($CA421,"0.0")&amp;CHAR(34)&amp;" AFF outside 34-48"&amp;CHAR(34)&amp;" (ADA), ","")&amp;IF(AND(ISNUMBER($AV421),ISNUMBER($BL421),N($AV421)&lt;IF(N($BL421)&lt;=60,2,IF(N($BL421)&lt;=90,3,IF(N($BL421)&lt;=120,4,5)))),"fewer hinges than standard, ",""))</f>
        <v/>
      </c>
    </row>
    <row r="422" ht="15" customHeight="1">
      <c r="A422" s="77" t="n"/>
      <c r="B422" s="78" t="n"/>
      <c r="C422" s="78" t="n"/>
      <c r="D422" s="78" t="n"/>
      <c r="E422" s="78" t="n"/>
      <c r="F422" s="78" t="n"/>
      <c r="G422" s="78" t="n"/>
      <c r="H422" s="78" t="n"/>
      <c r="I422" s="78" t="n"/>
      <c r="J422" s="78" t="n"/>
      <c r="K422" s="78" t="n"/>
      <c r="L422" s="78" t="n"/>
      <c r="M422" s="78" t="n"/>
      <c r="N422" s="78" t="n"/>
      <c r="O422" s="78" t="n"/>
      <c r="P422" s="78" t="n"/>
      <c r="Q422" s="78" t="n"/>
      <c r="R422" s="78" t="n"/>
      <c r="S422" s="79" t="n"/>
      <c r="T422" s="79" t="n"/>
      <c r="U422" s="79" t="n"/>
      <c r="V422" s="79" t="n"/>
      <c r="W422" s="79" t="n"/>
      <c r="X422" s="79" t="n"/>
      <c r="Y422" s="79" t="n"/>
      <c r="Z422" s="79" t="n"/>
      <c r="AA422" s="79" t="n"/>
      <c r="AB422" s="79" t="n"/>
      <c r="AC422" s="79" t="n"/>
      <c r="AD422" s="79" t="n"/>
      <c r="AE422" s="79" t="n"/>
      <c r="AF422" s="79" t="n"/>
      <c r="AG422" s="79" t="n"/>
      <c r="AH422" s="80" t="n"/>
      <c r="AI422" s="80" t="n"/>
      <c r="AJ422" s="80" t="n"/>
      <c r="AK422" s="80" t="n"/>
      <c r="AL422" s="80" t="n"/>
      <c r="AM422" s="80" t="n"/>
      <c r="AN422" s="80" t="n"/>
      <c r="AO422" s="80" t="n"/>
      <c r="AP422" s="80" t="n"/>
      <c r="AQ422" s="80" t="n"/>
      <c r="AR422" s="80" t="n"/>
      <c r="AS422" s="80" t="n"/>
      <c r="AT422" s="81" t="n"/>
      <c r="AU422" s="81" t="n"/>
      <c r="AV422" s="81" t="n"/>
      <c r="AW422" s="82" t="n"/>
      <c r="AX422" s="82" t="n"/>
      <c r="AY422" s="82" t="n"/>
      <c r="AZ422" s="82" t="n"/>
      <c r="BA422" s="82" t="n"/>
      <c r="BB422" s="83" t="n"/>
      <c r="BC422" s="83" t="n"/>
      <c r="BD422" s="84">
        <f>IF($A422="","",IF($DJ422&lt;&gt;"","FIX",IF($DK422&lt;&gt;"","CHECK","OK")))</f>
        <v/>
      </c>
      <c r="BE422" s="85">
        <f>IF($A422="","",IF($DJ422&lt;&gt;"","FIX: "&amp;LEFT($DJ422,LEN($DJ422)-2)&amp;IF($DK422&lt;&gt;"","  ·  ",""),"")&amp;IF($DK422&lt;&gt;"","CHECK: "&amp;LEFT($DK422,LEN($DK422)-2),""))</f>
        <v/>
      </c>
      <c r="BF422" s="84">
        <f>IF(OR($A422="",$K422=""),"",$K422&amp;"'-"&amp;N($L422)&amp;CHAR(34)&amp;" x "&amp;$M422&amp;"'-"&amp;N($N422)&amp;CHAR(34))</f>
        <v/>
      </c>
      <c r="BG422" s="84">
        <f>IF(OR($A422="",$K422=""),"",$K422&amp;N($L422)&amp;$M422&amp;N($N422))</f>
        <v/>
      </c>
      <c r="BH422" s="84">
        <f>IF(OR($A422="",$K422=""),"",$K422*12+N($L422))</f>
        <v/>
      </c>
      <c r="BI422" s="84">
        <f>IF(OR($A422="",$M422=""),"",$M422*12+N($N422))</f>
        <v/>
      </c>
      <c r="BJ422" s="84">
        <f>IF($A422="","",IF(OR($C422="FRAME ONLY",$S422="BL"),0,IF($O422="Y",2,1)))</f>
        <v/>
      </c>
      <c r="BK422" s="86">
        <f>IF(OR(N($BJ422)=0,$BH422=""),"",($BH422-2*EdgeClr-IF($BJ422=2,MeetClr,0))/$BJ422)</f>
        <v/>
      </c>
      <c r="BL422" s="86">
        <f>IF(OR(N($BJ422)=0,$BI422=""),"",$BI422-HeadClr-Undercut)</f>
        <v/>
      </c>
      <c r="BM422" s="86">
        <f>IF($BH422="","",$BH422+2*FaceW+IF(N($Q422)&gt;0,($Q422+FaceW)*IF($R422="LR",2,1),0))</f>
        <v/>
      </c>
      <c r="BN422" s="86">
        <f>IF($BI422="","",$BI422+IF($AB422="Y",4,FaceW)+IF(N($P422)&gt;0,$P422+FaceW,0)+IF(OR($S422="4F",$S422="BL"),FaceW,0))</f>
        <v/>
      </c>
      <c r="BO422" s="86">
        <f>IF($BM422="","",$BM422+2*ROSide)</f>
        <v/>
      </c>
      <c r="BP422" s="86">
        <f>IF($BN422="","",$BN422+ROTop)</f>
        <v/>
      </c>
      <c r="BQ422" s="87">
        <f>IF(OR(N($BJ422)=0,$BH422=""),"",$BH422/$BJ422-ClearDeduct)</f>
        <v/>
      </c>
      <c r="BR422" s="84">
        <f>IF(N($CH422)=0,"",IF($CH422&gt;=180,"A · 3 HR",IF($CH422&gt;=90,"B · 1-1/2 HR",IF($CH422&gt;=60,"B · 1 HR",IF($CH422&gt;=45,"C · 3/4 HR","20 MIN")))))&amp;IF(AND(N($CH422)&gt;0,OR($I422="CORRIDOR",$I422="SMOKE BARRIER"))," · S","")</f>
        <v/>
      </c>
      <c r="BS422" s="84">
        <f>IF($CS422,"",IF($AV422&lt;&gt;"",$AV422,IF(OR($AC422="HGC",$AO422="HGC"),"CONT",IF(($BI422-HeadClr-Undercut)&lt;=60,2,IF(($BI422-HeadClr-Undercut)&lt;=90,3,IF(($BI422-HeadClr-Undercut)&lt;=120,4,5))))))</f>
        <v/>
      </c>
      <c r="BT422" s="84">
        <f>IF($CS422,"",IF($CT422,"CUSTOM (typed)",IF($CV422,$AT422&amp;" "&amp;$CU422&amp;CHAR(34)&amp;IF($CU422&lt;&gt;$BI422,IF(AND($BI422&lt;$CU422,$BI422-IF(N(VLOOKUP($AT422&amp;"|"&amp;$CU422,LocTable,7,FALSE))&gt;0,VLOOKUP($AT422&amp;"|"&amp;$CU422,LocTable,7,FALSE),VLOOKUP($AT422&amp;"|"&amp;$CU422,LocTable,6,FALSE))-$CR422-0.75&gt;=2.125)," cut down"," adj."),""),"ANSI/SDI A250.6")))</f>
        <v/>
      </c>
      <c r="BU422" s="88">
        <f>IF($CS422,"",IF($CT422,IF(N($AW422)&gt;0,N($AW422),""),IF(1&gt;$CQ422,"",IF($CQ422=1,$CW422,$CW422+($CX422-$CW422)*0/($CQ422-1)))))</f>
        <v/>
      </c>
      <c r="BV422" s="88">
        <f>IF($CS422,"",IF($CT422,IF(N($AX422)&gt;0,N($AX422),""),IF(2&gt;$CQ422,"",IF($CQ422=1,$CW422,$CW422+($CX422-$CW422)*1/($CQ422-1)))))</f>
        <v/>
      </c>
      <c r="BW422" s="88">
        <f>IF($CS422,"",IF($CT422,IF(N($AY422)&gt;0,N($AY422),""),IF(3&gt;$CQ422,"",IF($CQ422=1,$CW422,$CW422+($CX422-$CW422)*2/($CQ422-1)))))</f>
        <v/>
      </c>
      <c r="BX422" s="88">
        <f>IF($CS422,"",IF($CT422,IF(N($AZ422)&gt;0,N($AZ422),""),IF(4&gt;$CQ422,"",IF($CQ422=1,$CW422,$CW422+($CX422-$CW422)*3/($CQ422-1)))))</f>
        <v/>
      </c>
      <c r="BY422" s="88">
        <f>IF($CS422,"",IF($CT422,"",IF(5&gt;$CQ422,"",IF($CQ422=1,$CW422,$CW422+($CX422-$CW422)*4/($CQ422-1)))))</f>
        <v/>
      </c>
      <c r="BZ422" s="88">
        <f>IF(OR($CS422,$AP422="-",AND($AP422="",$AD422="")),"",IF(N($BA422)&gt;0,N($BA422),IF($CV422,IF(AND($BI422&lt;$CU422,$BI422-IF(N(VLOOKUP($AT422&amp;"|"&amp;$CU422,LocTable,7,FALSE))&gt;0,VLOOKUP($AT422&amp;"|"&amp;$CU422,LocTable,7,FALSE),VLOOKUP($AT422&amp;"|"&amp;$CU422,LocTable,6,FALSE))-$CR422-0.75&gt;=2.125),VLOOKUP($AT422&amp;"|"&amp;$CU422,LocTable,8,FALSE),VLOOKUP($AT422&amp;"|"&amp;$CU422,LocTable,8,FALSE)+($BI422-$CU422)),$BI422-LockAFF)))</f>
        <v/>
      </c>
      <c r="CA422" s="89">
        <f>IF($BZ422="","",$BI422-$BZ422)</f>
        <v/>
      </c>
      <c r="CB422" s="84">
        <f>IF(OR(NOT(AND($A422&lt;&gt;"",$C422&lt;&gt;"DOOR ONLY")),$BI422=""),"",IF(($BI422+IF(N($P422)&gt;0,$P422+FaceW,0))&lt;=90,3,IF(($BI422+IF(N($P422)&gt;0,$P422+FaceW,0))&lt;=114,4,5)))</f>
        <v/>
      </c>
      <c r="CC422" s="84">
        <f>IF($CB422="","",$CB422*(2+IF(N($Q422)&gt;0,IF($R422="LR",2,1),0)))</f>
        <v/>
      </c>
      <c r="CD422" s="84">
        <f>IF($CB422="","",(2+IF(N($Q422)&gt;0,IF($R422="LR",2,1),0)))</f>
        <v/>
      </c>
      <c r="CE422" s="84">
        <f>IF(N($BJ422)=0,"",IF(OR($AL422="",$AL422="FLUSH"),"FLUSH",IFERROR(LEFT($AL422,FIND("-",$AL422)-1),LEFT($AL422,2))))</f>
        <v/>
      </c>
      <c r="CF422" s="84">
        <f>IF($CE422="","",IFERROR(VALUE(MID($AL422,FIND("-",$AL422)+1,FIND(CHAR(34)&amp;"x",$AL422)-FIND("-",$AL422)-1)),0))</f>
        <v/>
      </c>
      <c r="CG422" s="84">
        <f>IF($CE422="","",IFERROR(VALUE(MID($AL422,FIND(CHAR(34)&amp;"x",$AL422)+2,FIND(CHAR(34),$AL422,FIND(CHAR(34)&amp;"x",$AL422)+2)-FIND(CHAR(34)&amp;"x",$AL422)-2)),0))</f>
        <v/>
      </c>
      <c r="CH422" s="90">
        <f>IF(OR($A422="",$H422="",$H422="NO LAB"),0,IFERROR(VALUE(LEFT($H422,FIND(" ",$H422)-1)),0))</f>
        <v/>
      </c>
      <c r="CI422" s="91">
        <f>IF(OR($A422="",$I422="",$I422="NON-RATED",N($J422)=0),"",IFERROR(VLOOKUP($I422&amp;"|"&amp;$J422,IBC,2,FALSE),"?"))</f>
        <v/>
      </c>
      <c r="CJ422" s="85">
        <f>IF(NOT(AND($A422&lt;&gt;"",$C422&lt;&gt;"DOOR ONLY")),"",TRIM(IFERROR(VLOOKUP($U422,CODES,2,FALSE),"")&amp;" "&amp;$BG422&amp;" "&amp;IFERROR(VLOOKUP($Z422,CODES,2,FALSE),"")&amp;" "&amp;IFERROR(VLOOKUP($X422,CODES,2,FALSE),"")&amp;" "&amp;IFERROR(VLOOKUP($S422,CODES,2,FALSE),"")&amp;IF(N($P422)&gt;0," w/TRANSOM "&amp;$P422&amp;CHAR(34),"")&amp;IF(N($Q422)&gt;0," w/SIDELITE "&amp;$Q422&amp;CHAR(34)&amp;" "&amp;IF($R422="","R",$R422),"")&amp;IF($Y422="","  |  "," | "&amp;IFERROR(VLOOKUP($Y422,CODES,2,FALSE),"")&amp;" | ")&amp;IFERROR(VLOOKUP($AC422,CODES,2,FALSE),"")&amp;" "&amp;IFERROR(VLOOKUP($AD422,CODES,2,FALSE),"")&amp;IF(OR($AE422="",$AE422="-"),""," "&amp;$AE422)&amp;IF(OR($AF422="",$AF422="-"),""," "&amp;$AF422)&amp;IF($AB422="Y"," 4"&amp;CHAR(34)&amp;" HEAD","")&amp;" "&amp;IFERROR(VLOOKUP($H422,CODES,2,FALSE),"")&amp;IF($CT422," | LOC "&amp;$CY422,"")))</f>
        <v/>
      </c>
      <c r="CK422" s="85">
        <f>IF(NOT(AND($A422&lt;&gt;"",N($BJ422)&gt;0)),"",TRIM(IFERROR(VLOOKUP($AH422,CODES,2,FALSE),"")&amp;IF($AI422=""," "," "&amp;$AI422&amp;"GA ")&amp;$BG422&amp;" "&amp;IF($AN422="",IFERROR(VLOOKUP($Z422,CODES,2,FALSE),""),IFERROR(VLOOKUP($AN422,CODES,2,FALSE),""))&amp;IF($BJ422=2," PAIR","")&amp;" DOOR | "&amp;IF($AL422="","?",$AL422)&amp;" | "&amp;IF($AO422="",IFERROR(VLOOKUP($AC422,CODES,2,FALSE),""),IFERROR(VLOOKUP($AO422,CODES,2,FALSE),""))&amp;" "&amp;IFERROR(VLOOKUP($AP422,CODES,2,FALSE),"")&amp;IF(OR($AQ422="",$AQ422="-"),""," SEAM "&amp;$AQ422)&amp;IF($AR422="Y"," ASTRAGAL","")&amp;IF($AJ422=""," "," "&amp;$AJ422)&amp;IF($AK422=""," "," "&amp;$AK422)&amp;IF(OR($AT422="",$AT422="ANSI/SDI",$AT422="CUSTOM LOC"),""," "&amp;$AT422)&amp;IF($AM422=""," "," SERIES "&amp;$AM422)&amp;" "&amp;IFERROR(VLOOKUP($H422,CODES,2,FALSE),"")&amp;IF($CT422," | LOC "&amp;$CZ422,"")))</f>
        <v/>
      </c>
      <c r="CL422" s="84">
        <f>IF(CP422="","",IF(COUNTIF($CP$6:CP422,CP422)=1,MAX($CL$5:CL421)+1,INDEX($CL$5:CL421,MATCH(CP422,$CP$5:CP421,0))))</f>
        <v/>
      </c>
      <c r="CM422" s="84">
        <f>IF(NOT(AND($A422&lt;&gt;"",$C422&lt;&gt;"DOOR ONLY")),"",MAX($CM$5:CM421)+1)</f>
        <v/>
      </c>
      <c r="CN422" s="84">
        <f>IF(NOT(AND($A422&lt;&gt;"",N($BJ422)&gt;0)),"",MAX($CN$5:CN421)+1)</f>
        <v/>
      </c>
      <c r="CO422" s="84">
        <f>IF($A422="","",MAX($CO$5:CO421)+1)</f>
        <v/>
      </c>
      <c r="CP422" s="84">
        <f>IF(OR($A422="",$BH422="",$BI422=""),"",$BG422&amp;"|"&amp;$O422&amp;"|"&amp;$AL422&amp;"|"&amp;$S422&amp;"|"&amp;$P422&amp;"|"&amp;$Q422&amp;$R422&amp;"|"&amp;$C422&amp;"|"&amp;$AB422)</f>
        <v/>
      </c>
      <c r="CQ422" s="84">
        <f>N($BS422)</f>
        <v/>
      </c>
      <c r="CR422" s="84">
        <f>IF(N($AU422)&gt;0,N($AU422),4.5)</f>
        <v/>
      </c>
      <c r="CS422" s="84">
        <f>OR($A422="",$BI422="",$S422="BL",AND($C422="FRAME ONLY",OR($AC422="",$AC422="BLK")))</f>
        <v/>
      </c>
      <c r="CT422" s="84">
        <f>AND(NOT($CS422),OR($AT422="CUSTOM LOC",N($AW422)+N($AX422)+N($AY422)+N($AZ422)+N($BA422)&gt;0))</f>
        <v/>
      </c>
      <c r="CU422" s="84">
        <f>IF($BI422="","",IF($BI422&lt;=80,80,IF($BI422&lt;=84,84,96)))</f>
        <v/>
      </c>
      <c r="CV422" s="84">
        <f>ISNUMBER(MATCH($AT422&amp;"|80",LocKeys,0))</f>
        <v/>
      </c>
      <c r="CW422" s="86">
        <f>IF($CS422,"",IF($CV422,VLOOKUP($AT422&amp;"|"&amp;$CU422,LocTable,4,FALSE),5))</f>
        <v/>
      </c>
      <c r="CX422" s="86">
        <f>IF($CS422,"",IF($CV422,IF(OR($BI422=$CU422,AND($BI422&lt;$CU422,$BI422-IF(N(VLOOKUP($AT422&amp;"|"&amp;$CU422,LocTable,7,FALSE))&gt;0,VLOOKUP($AT422&amp;"|"&amp;$CU422,LocTable,7,FALSE),VLOOKUP($AT422&amp;"|"&amp;$CU422,LocTable,6,FALSE))-$CR422-0.75&gt;=2.125)),IF(N(VLOOKUP($AT422&amp;"|"&amp;$CU422,LocTable,7,FALSE))&gt;0,VLOOKUP($AT422&amp;"|"&amp;$CU422,LocTable,7,FALSE),VLOOKUP($AT422&amp;"|"&amp;$CU422,LocTable,6,FALSE)),$BI422-($CU422-IF(N(VLOOKUP($AT422&amp;"|"&amp;$CU422,LocTable,7,FALSE))&gt;0,VLOOKUP($AT422&amp;"|"&amp;$CU422,LocTable,7,FALSE),VLOOKUP($AT422&amp;"|"&amp;$CU422,LocTable,6,FALSE)))),$BI422-10-$CR422))</f>
        <v/>
      </c>
      <c r="CY422" s="85">
        <f>IF($CS422,"",TRIM(IF(ISNUMBER($BU422),"A "&amp;TRIM(TEXT($BU422,"# ?/??"))&amp;CHAR(34)&amp;"  ","")&amp;IF(ISNUMBER($BV422),"B "&amp;TRIM(TEXT($BV422,"# ?/??"))&amp;CHAR(34)&amp;"  ","")&amp;IF(ISNUMBER($BW422),"C "&amp;TRIM(TEXT($BW422,"# ?/??"))&amp;CHAR(34)&amp;"  ","")&amp;IF(ISNUMBER($BX422),"D "&amp;TRIM(TEXT($BX422,"# ?/??"))&amp;CHAR(34)&amp;"  ","")&amp;IF(ISNUMBER($BY422),"F "&amp;TRIM(TEXT($BY422,"# ?/??"))&amp;CHAR(34)&amp;"  ","")&amp;IF(ISNUMBER($BZ422),"E "&amp;TRIM(TEXT($BZ422,"# ?/??"))&amp;CHAR(34)&amp;"  ","")))</f>
        <v/>
      </c>
      <c r="CZ422" s="85">
        <f>IF(OR($CS422,N($BJ422)=0),"",TRIM(IF(ISNUMBER($BU422),"A "&amp;TRIM(TEXT($BU422-HeadClr,"# ?/??"))&amp;CHAR(34)&amp;"  ","")&amp;IF(ISNUMBER($BV422),"B "&amp;TRIM(TEXT($BV422-HeadClr,"# ?/??"))&amp;CHAR(34)&amp;"  ","")&amp;IF(ISNUMBER($BW422),"C "&amp;TRIM(TEXT($BW422-HeadClr,"# ?/??"))&amp;CHAR(34)&amp;"  ","")&amp;IF(ISNUMBER($BX422),"D "&amp;TRIM(TEXT($BX422-HeadClr,"# ?/??"))&amp;CHAR(34)&amp;"  ","")&amp;IF(ISNUMBER($BY422),"F "&amp;TRIM(TEXT($BY422-HeadClr,"# ?/??"))&amp;CHAR(34)&amp;"  ","")&amp;IF(ISNUMBER($BZ422),"E "&amp;TRIM(TEXT($BZ422-HeadClr,"# ?/??"))&amp;CHAR(34)&amp;"  ","")))</f>
        <v/>
      </c>
      <c r="DA422" s="84">
        <f>IF($A422="","",IF($AN422="",IFERROR(VLOOKUP($Z422,CODES,2,FALSE),""),IFERROR(VLOOKUP($AN422,CODES,2,FALSE),"")))</f>
        <v/>
      </c>
      <c r="DB422" s="84">
        <f>IF($A422="","",IF($O422="Y","PR",IF(OR($Z422="L",$Z422="RR",LEFT($Z422,2)="L-",LEFT($Z422,3)="RR-"),"LH","RH")))</f>
        <v/>
      </c>
      <c r="DC422" s="84">
        <f>IF($A422="","","S.HM"&amp;IF(OR($C422="DOOR ONLY",$X422&lt;&gt;"KD"),"MASONRY","DRYWALL")&amp;IF($C422="DOOR ONLY","",$U422)&amp;IF(AND($C422&lt;&gt;"FRAME ONLY",OR(LEFT($AH422,3)="OAK",LEFT($AH422,3)="BIR",LEFT($AH422,3)="MAP",$AH422="PC",$AH422="MC",$AH422="SCLC",$AH422="P-LAM")),"WD","HM")&amp;"1.75")</f>
        <v/>
      </c>
      <c r="DD422" s="84">
        <f>IF($CJ422="","",IF($O422="Y",$CJ422,SUBSTITUTE($CJ422,$BG422&amp;" "&amp;IFERROR(VLOOKUP($Z422,CODES,2,FALSE),"")&amp;" ",$BG422&amp;" ")))</f>
        <v/>
      </c>
      <c r="DE422" s="84">
        <f>IF($CK422="","",IF($O422="Y",$CK422,SUBSTITUTE($CK422,$BG422&amp;" "&amp;IF($AN422="",IFERROR(VLOOKUP($Z422,CODES,2,FALSE),""),IFERROR(VLOOKUP($AN422,CODES,2,FALSE),""))&amp;" ",$BG422&amp;" ")))</f>
        <v/>
      </c>
      <c r="DF422" s="84">
        <f>IF($CJ422="","",$DC422&amp;"|"&amp;$DD422&amp;"|"&amp;$DB422&amp;"|"&amp;$AT422&amp;"|"&amp;$V422&amp;"|"&amp;$Y422&amp;"|"&amp;$AB422)</f>
        <v/>
      </c>
      <c r="DG422" s="84">
        <f>IF(DF422="","",IF(COUNTIF($DF$6:DF422,DF422)=1,MAX($DG$5:DG421)+1,INDEX($DG$5:DG421,MATCH(DF422,$DF$5:DF421,0))))</f>
        <v/>
      </c>
      <c r="DH422" s="84">
        <f>IF($CK422="","",$DC422&amp;"|"&amp;$DE422&amp;"|"&amp;$AI422&amp;"|"&amp;$BK422&amp;"|"&amp;$BL422)</f>
        <v/>
      </c>
      <c r="DI422" s="84">
        <f>IF(DH422="","",IF(COUNTIF($DH$6:DH422,DH422)=1,MAX($DI$5:DI421)+1,INDEX($DI$5:DI421,MATCH(DH422,$DH$5:DH421,0))))</f>
        <v/>
      </c>
      <c r="DJ422" s="84">
        <f>IF($A422="","",IF($B422="","qty, ","")&amp;IF($C422="","scope, ","")&amp;IF(OR($K422="",$M422=""),"size, ","")&amp;IF(AND($A422&lt;&gt;"",$C422&lt;&gt;"DOOR ONLY"),IF($U422="","jamb depth, ","")&amp;IF($X422="","construction, ","")&amp;IF($Y422="","anchor, ","")&amp;IF($S422="","frame type, ",""),"")&amp;IF(AND(N($BJ422)&gt;0,$Z422=""),"hand, ","")&amp;IF(N($BJ422)&gt;0,IF($AH422="","door material, ","")&amp;IF($AL422="","face type, ","")&amp;IF($AP422="","lock prep, ","")&amp;IF(AND($AO422="",$AC422=""),"hinge prep, ",""),"")&amp;IF(AND($CH422&gt;0,$AH422="FRP"),"FRP cannot carry a label, ","")&amp;IF(AND($O422="Y",OR($Z422="L",$Z422="R",$Z422="LR",$Z422="RR")),"pair marked but hand is single, ","")&amp;IF(AND($O422&lt;&gt;"Y",OR($Z422="PR",AND(LEN($Z422)&gt;1,ISNUMBER(SEARCH("-",$Z422))))),"pair hand on a single door, ","")&amp;IF(AND(ISNUMBER($CI422),$CH422&lt;N($CI422)),"wall needs a "&amp;$CI422&amp;" min door, ","")&amp;IF(AND($CH422&gt;=180,AND(OR($CE422="FG",$CE422="HG",$CE422="FNV",$CE422="FV"),N($CF422)*N($CG422)&gt;100)),"180 min lite over 100 sq in, ","")&amp;IF(N($BK422)&gt;48,"leaf wider than 4'-0"&amp;CHAR(34)&amp;", ","")&amp;IF(AND($CT422,COUNT($AW422:$AZ422)=0,$CQ422&gt;0),"CUSTOM LOC with no locations typed, ",""))</f>
        <v/>
      </c>
      <c r="DK422" s="84">
        <f>IF($A422="","",IF(AND($CH422&gt;0,AND($A422&lt;&gt;"",$C422&lt;&gt;"DOOR ONLY"),$X422="KD",$E422="EXTERIOR"),"KD label on an exterior opening, ","")&amp;IF(AND($E422="EXTERIOR",OR(AND(AND($A422&lt;&gt;"",$C422&lt;&gt;"DOOR ONLY"),$W422="CR"),AND(N($BJ422)&gt;0,$AH422="CR"))),"exterior in CR steel (G9?), ","")&amp;IF(AND(ISNUMBER($BQ422),N($BQ422)&lt;32),"clear width ~"&amp;TEXT($BQ422,"0.0")&amp;CHAR(34)&amp;" under 32"&amp;CHAR(34)&amp;" (ADA), ","")&amp;IF(AND($CH422=90,AND(OR($CE422="FG",$CE422="HG",$CE422="FNV",$CE422="FV"),N($CF422)*N($CG422)&gt;100)),"90 min lite over 100 sq in (stair/exit), ","")&amp;IF(AND($CH422&gt;0,AND($A422&lt;&gt;"",$C422&lt;&gt;"DOOR ONLY"),OR($AF422="",$AF422="-")),"rated: closer reinf.?, ","")&amp;IF(OR($I422="CORRIDOR",$I422="SMOKE BARRIER"),"S label + smoke gasketing, ","")&amp;IF($CI422="?","wall type/hr not in IBC table, ","")&amp;IF(AND(N($BJ422)&gt;0,$BB422=""),"no hardware set, ","")&amp;IF(AND($BB422&lt;&gt;"",ISNA(MATCH($BB422&amp;"",HWSets,0))),"set "&amp;$BB422&amp;" not on HW Sets, ","")&amp;IF(N($BL422)&gt;96,"leaf over 8'-0"&amp;CHAR(34)&amp;" - check listing, ","")&amp;IF(AND($CT422,COUNT($AW422:$AZ422)&gt;0,COUNT($AW422:$AZ422)&lt;&gt;$CQ422),COUNT($AW422:$AZ422)&amp;" custom hinges typed, "&amp;$CQ422&amp;" expected, ","")&amp;IF(AND(ISNUMBER($CA422),OR(N($CA422)&lt;34,N($CA422)&gt;48)),"lock "&amp;TEXT($CA422,"0.0")&amp;CHAR(34)&amp;" AFF outside 34-48"&amp;CHAR(34)&amp;" (ADA), ","")&amp;IF(AND(ISNUMBER($AV422),ISNUMBER($BL422),N($AV422)&lt;IF(N($BL422)&lt;=60,2,IF(N($BL422)&lt;=90,3,IF(N($BL422)&lt;=120,4,5)))),"fewer hinges than standard, ",""))</f>
        <v/>
      </c>
    </row>
    <row r="423" ht="15" customHeight="1">
      <c r="A423" s="77" t="n"/>
      <c r="B423" s="78" t="n"/>
      <c r="C423" s="78" t="n"/>
      <c r="D423" s="78" t="n"/>
      <c r="E423" s="78" t="n"/>
      <c r="F423" s="78" t="n"/>
      <c r="G423" s="78" t="n"/>
      <c r="H423" s="78" t="n"/>
      <c r="I423" s="78" t="n"/>
      <c r="J423" s="78" t="n"/>
      <c r="K423" s="78" t="n"/>
      <c r="L423" s="78" t="n"/>
      <c r="M423" s="78" t="n"/>
      <c r="N423" s="78" t="n"/>
      <c r="O423" s="78" t="n"/>
      <c r="P423" s="78" t="n"/>
      <c r="Q423" s="78" t="n"/>
      <c r="R423" s="78" t="n"/>
      <c r="S423" s="79" t="n"/>
      <c r="T423" s="79" t="n"/>
      <c r="U423" s="79" t="n"/>
      <c r="V423" s="79" t="n"/>
      <c r="W423" s="79" t="n"/>
      <c r="X423" s="79" t="n"/>
      <c r="Y423" s="79" t="n"/>
      <c r="Z423" s="79" t="n"/>
      <c r="AA423" s="79" t="n"/>
      <c r="AB423" s="79" t="n"/>
      <c r="AC423" s="79" t="n"/>
      <c r="AD423" s="79" t="n"/>
      <c r="AE423" s="79" t="n"/>
      <c r="AF423" s="79" t="n"/>
      <c r="AG423" s="79" t="n"/>
      <c r="AH423" s="80" t="n"/>
      <c r="AI423" s="80" t="n"/>
      <c r="AJ423" s="80" t="n"/>
      <c r="AK423" s="80" t="n"/>
      <c r="AL423" s="80" t="n"/>
      <c r="AM423" s="80" t="n"/>
      <c r="AN423" s="80" t="n"/>
      <c r="AO423" s="80" t="n"/>
      <c r="AP423" s="80" t="n"/>
      <c r="AQ423" s="80" t="n"/>
      <c r="AR423" s="80" t="n"/>
      <c r="AS423" s="80" t="n"/>
      <c r="AT423" s="81" t="n"/>
      <c r="AU423" s="81" t="n"/>
      <c r="AV423" s="81" t="n"/>
      <c r="AW423" s="82" t="n"/>
      <c r="AX423" s="82" t="n"/>
      <c r="AY423" s="82" t="n"/>
      <c r="AZ423" s="82" t="n"/>
      <c r="BA423" s="82" t="n"/>
      <c r="BB423" s="83" t="n"/>
      <c r="BC423" s="83" t="n"/>
      <c r="BD423" s="84">
        <f>IF($A423="","",IF($DJ423&lt;&gt;"","FIX",IF($DK423&lt;&gt;"","CHECK","OK")))</f>
        <v/>
      </c>
      <c r="BE423" s="85">
        <f>IF($A423="","",IF($DJ423&lt;&gt;"","FIX: "&amp;LEFT($DJ423,LEN($DJ423)-2)&amp;IF($DK423&lt;&gt;"","  ·  ",""),"")&amp;IF($DK423&lt;&gt;"","CHECK: "&amp;LEFT($DK423,LEN($DK423)-2),""))</f>
        <v/>
      </c>
      <c r="BF423" s="84">
        <f>IF(OR($A423="",$K423=""),"",$K423&amp;"'-"&amp;N($L423)&amp;CHAR(34)&amp;" x "&amp;$M423&amp;"'-"&amp;N($N423)&amp;CHAR(34))</f>
        <v/>
      </c>
      <c r="BG423" s="84">
        <f>IF(OR($A423="",$K423=""),"",$K423&amp;N($L423)&amp;$M423&amp;N($N423))</f>
        <v/>
      </c>
      <c r="BH423" s="84">
        <f>IF(OR($A423="",$K423=""),"",$K423*12+N($L423))</f>
        <v/>
      </c>
      <c r="BI423" s="84">
        <f>IF(OR($A423="",$M423=""),"",$M423*12+N($N423))</f>
        <v/>
      </c>
      <c r="BJ423" s="84">
        <f>IF($A423="","",IF(OR($C423="FRAME ONLY",$S423="BL"),0,IF($O423="Y",2,1)))</f>
        <v/>
      </c>
      <c r="BK423" s="86">
        <f>IF(OR(N($BJ423)=0,$BH423=""),"",($BH423-2*EdgeClr-IF($BJ423=2,MeetClr,0))/$BJ423)</f>
        <v/>
      </c>
      <c r="BL423" s="86">
        <f>IF(OR(N($BJ423)=0,$BI423=""),"",$BI423-HeadClr-Undercut)</f>
        <v/>
      </c>
      <c r="BM423" s="86">
        <f>IF($BH423="","",$BH423+2*FaceW+IF(N($Q423)&gt;0,($Q423+FaceW)*IF($R423="LR",2,1),0))</f>
        <v/>
      </c>
      <c r="BN423" s="86">
        <f>IF($BI423="","",$BI423+IF($AB423="Y",4,FaceW)+IF(N($P423)&gt;0,$P423+FaceW,0)+IF(OR($S423="4F",$S423="BL"),FaceW,0))</f>
        <v/>
      </c>
      <c r="BO423" s="86">
        <f>IF($BM423="","",$BM423+2*ROSide)</f>
        <v/>
      </c>
      <c r="BP423" s="86">
        <f>IF($BN423="","",$BN423+ROTop)</f>
        <v/>
      </c>
      <c r="BQ423" s="87">
        <f>IF(OR(N($BJ423)=0,$BH423=""),"",$BH423/$BJ423-ClearDeduct)</f>
        <v/>
      </c>
      <c r="BR423" s="84">
        <f>IF(N($CH423)=0,"",IF($CH423&gt;=180,"A · 3 HR",IF($CH423&gt;=90,"B · 1-1/2 HR",IF($CH423&gt;=60,"B · 1 HR",IF($CH423&gt;=45,"C · 3/4 HR","20 MIN")))))&amp;IF(AND(N($CH423)&gt;0,OR($I423="CORRIDOR",$I423="SMOKE BARRIER"))," · S","")</f>
        <v/>
      </c>
      <c r="BS423" s="84">
        <f>IF($CS423,"",IF($AV423&lt;&gt;"",$AV423,IF(OR($AC423="HGC",$AO423="HGC"),"CONT",IF(($BI423-HeadClr-Undercut)&lt;=60,2,IF(($BI423-HeadClr-Undercut)&lt;=90,3,IF(($BI423-HeadClr-Undercut)&lt;=120,4,5))))))</f>
        <v/>
      </c>
      <c r="BT423" s="84">
        <f>IF($CS423,"",IF($CT423,"CUSTOM (typed)",IF($CV423,$AT423&amp;" "&amp;$CU423&amp;CHAR(34)&amp;IF($CU423&lt;&gt;$BI423,IF(AND($BI423&lt;$CU423,$BI423-IF(N(VLOOKUP($AT423&amp;"|"&amp;$CU423,LocTable,7,FALSE))&gt;0,VLOOKUP($AT423&amp;"|"&amp;$CU423,LocTable,7,FALSE),VLOOKUP($AT423&amp;"|"&amp;$CU423,LocTable,6,FALSE))-$CR423-0.75&gt;=2.125)," cut down"," adj."),""),"ANSI/SDI A250.6")))</f>
        <v/>
      </c>
      <c r="BU423" s="88">
        <f>IF($CS423,"",IF($CT423,IF(N($AW423)&gt;0,N($AW423),""),IF(1&gt;$CQ423,"",IF($CQ423=1,$CW423,$CW423+($CX423-$CW423)*0/($CQ423-1)))))</f>
        <v/>
      </c>
      <c r="BV423" s="88">
        <f>IF($CS423,"",IF($CT423,IF(N($AX423)&gt;0,N($AX423),""),IF(2&gt;$CQ423,"",IF($CQ423=1,$CW423,$CW423+($CX423-$CW423)*1/($CQ423-1)))))</f>
        <v/>
      </c>
      <c r="BW423" s="88">
        <f>IF($CS423,"",IF($CT423,IF(N($AY423)&gt;0,N($AY423),""),IF(3&gt;$CQ423,"",IF($CQ423=1,$CW423,$CW423+($CX423-$CW423)*2/($CQ423-1)))))</f>
        <v/>
      </c>
      <c r="BX423" s="88">
        <f>IF($CS423,"",IF($CT423,IF(N($AZ423)&gt;0,N($AZ423),""),IF(4&gt;$CQ423,"",IF($CQ423=1,$CW423,$CW423+($CX423-$CW423)*3/($CQ423-1)))))</f>
        <v/>
      </c>
      <c r="BY423" s="88">
        <f>IF($CS423,"",IF($CT423,"",IF(5&gt;$CQ423,"",IF($CQ423=1,$CW423,$CW423+($CX423-$CW423)*4/($CQ423-1)))))</f>
        <v/>
      </c>
      <c r="BZ423" s="88">
        <f>IF(OR($CS423,$AP423="-",AND($AP423="",$AD423="")),"",IF(N($BA423)&gt;0,N($BA423),IF($CV423,IF(AND($BI423&lt;$CU423,$BI423-IF(N(VLOOKUP($AT423&amp;"|"&amp;$CU423,LocTable,7,FALSE))&gt;0,VLOOKUP($AT423&amp;"|"&amp;$CU423,LocTable,7,FALSE),VLOOKUP($AT423&amp;"|"&amp;$CU423,LocTable,6,FALSE))-$CR423-0.75&gt;=2.125),VLOOKUP($AT423&amp;"|"&amp;$CU423,LocTable,8,FALSE),VLOOKUP($AT423&amp;"|"&amp;$CU423,LocTable,8,FALSE)+($BI423-$CU423)),$BI423-LockAFF)))</f>
        <v/>
      </c>
      <c r="CA423" s="89">
        <f>IF($BZ423="","",$BI423-$BZ423)</f>
        <v/>
      </c>
      <c r="CB423" s="84">
        <f>IF(OR(NOT(AND($A423&lt;&gt;"",$C423&lt;&gt;"DOOR ONLY")),$BI423=""),"",IF(($BI423+IF(N($P423)&gt;0,$P423+FaceW,0))&lt;=90,3,IF(($BI423+IF(N($P423)&gt;0,$P423+FaceW,0))&lt;=114,4,5)))</f>
        <v/>
      </c>
      <c r="CC423" s="84">
        <f>IF($CB423="","",$CB423*(2+IF(N($Q423)&gt;0,IF($R423="LR",2,1),0)))</f>
        <v/>
      </c>
      <c r="CD423" s="84">
        <f>IF($CB423="","",(2+IF(N($Q423)&gt;0,IF($R423="LR",2,1),0)))</f>
        <v/>
      </c>
      <c r="CE423" s="84">
        <f>IF(N($BJ423)=0,"",IF(OR($AL423="",$AL423="FLUSH"),"FLUSH",IFERROR(LEFT($AL423,FIND("-",$AL423)-1),LEFT($AL423,2))))</f>
        <v/>
      </c>
      <c r="CF423" s="84">
        <f>IF($CE423="","",IFERROR(VALUE(MID($AL423,FIND("-",$AL423)+1,FIND(CHAR(34)&amp;"x",$AL423)-FIND("-",$AL423)-1)),0))</f>
        <v/>
      </c>
      <c r="CG423" s="84">
        <f>IF($CE423="","",IFERROR(VALUE(MID($AL423,FIND(CHAR(34)&amp;"x",$AL423)+2,FIND(CHAR(34),$AL423,FIND(CHAR(34)&amp;"x",$AL423)+2)-FIND(CHAR(34)&amp;"x",$AL423)-2)),0))</f>
        <v/>
      </c>
      <c r="CH423" s="90">
        <f>IF(OR($A423="",$H423="",$H423="NO LAB"),0,IFERROR(VALUE(LEFT($H423,FIND(" ",$H423)-1)),0))</f>
        <v/>
      </c>
      <c r="CI423" s="91">
        <f>IF(OR($A423="",$I423="",$I423="NON-RATED",N($J423)=0),"",IFERROR(VLOOKUP($I423&amp;"|"&amp;$J423,IBC,2,FALSE),"?"))</f>
        <v/>
      </c>
      <c r="CJ423" s="85">
        <f>IF(NOT(AND($A423&lt;&gt;"",$C423&lt;&gt;"DOOR ONLY")),"",TRIM(IFERROR(VLOOKUP($U423,CODES,2,FALSE),"")&amp;" "&amp;$BG423&amp;" "&amp;IFERROR(VLOOKUP($Z423,CODES,2,FALSE),"")&amp;" "&amp;IFERROR(VLOOKUP($X423,CODES,2,FALSE),"")&amp;" "&amp;IFERROR(VLOOKUP($S423,CODES,2,FALSE),"")&amp;IF(N($P423)&gt;0," w/TRANSOM "&amp;$P423&amp;CHAR(34),"")&amp;IF(N($Q423)&gt;0," w/SIDELITE "&amp;$Q423&amp;CHAR(34)&amp;" "&amp;IF($R423="","R",$R423),"")&amp;IF($Y423="","  |  "," | "&amp;IFERROR(VLOOKUP($Y423,CODES,2,FALSE),"")&amp;" | ")&amp;IFERROR(VLOOKUP($AC423,CODES,2,FALSE),"")&amp;" "&amp;IFERROR(VLOOKUP($AD423,CODES,2,FALSE),"")&amp;IF(OR($AE423="",$AE423="-"),""," "&amp;$AE423)&amp;IF(OR($AF423="",$AF423="-"),""," "&amp;$AF423)&amp;IF($AB423="Y"," 4"&amp;CHAR(34)&amp;" HEAD","")&amp;" "&amp;IFERROR(VLOOKUP($H423,CODES,2,FALSE),"")&amp;IF($CT423," | LOC "&amp;$CY423,"")))</f>
        <v/>
      </c>
      <c r="CK423" s="85">
        <f>IF(NOT(AND($A423&lt;&gt;"",N($BJ423)&gt;0)),"",TRIM(IFERROR(VLOOKUP($AH423,CODES,2,FALSE),"")&amp;IF($AI423=""," "," "&amp;$AI423&amp;"GA ")&amp;$BG423&amp;" "&amp;IF($AN423="",IFERROR(VLOOKUP($Z423,CODES,2,FALSE),""),IFERROR(VLOOKUP($AN423,CODES,2,FALSE),""))&amp;IF($BJ423=2," PAIR","")&amp;" DOOR | "&amp;IF($AL423="","?",$AL423)&amp;" | "&amp;IF($AO423="",IFERROR(VLOOKUP($AC423,CODES,2,FALSE),""),IFERROR(VLOOKUP($AO423,CODES,2,FALSE),""))&amp;" "&amp;IFERROR(VLOOKUP($AP423,CODES,2,FALSE),"")&amp;IF(OR($AQ423="",$AQ423="-"),""," SEAM "&amp;$AQ423)&amp;IF($AR423="Y"," ASTRAGAL","")&amp;IF($AJ423=""," "," "&amp;$AJ423)&amp;IF($AK423=""," "," "&amp;$AK423)&amp;IF(OR($AT423="",$AT423="ANSI/SDI",$AT423="CUSTOM LOC"),""," "&amp;$AT423)&amp;IF($AM423=""," "," SERIES "&amp;$AM423)&amp;" "&amp;IFERROR(VLOOKUP($H423,CODES,2,FALSE),"")&amp;IF($CT423," | LOC "&amp;$CZ423,"")))</f>
        <v/>
      </c>
      <c r="CL423" s="84">
        <f>IF(CP423="","",IF(COUNTIF($CP$6:CP423,CP423)=1,MAX($CL$5:CL422)+1,INDEX($CL$5:CL422,MATCH(CP423,$CP$5:CP422,0))))</f>
        <v/>
      </c>
      <c r="CM423" s="84">
        <f>IF(NOT(AND($A423&lt;&gt;"",$C423&lt;&gt;"DOOR ONLY")),"",MAX($CM$5:CM422)+1)</f>
        <v/>
      </c>
      <c r="CN423" s="84">
        <f>IF(NOT(AND($A423&lt;&gt;"",N($BJ423)&gt;0)),"",MAX($CN$5:CN422)+1)</f>
        <v/>
      </c>
      <c r="CO423" s="84">
        <f>IF($A423="","",MAX($CO$5:CO422)+1)</f>
        <v/>
      </c>
      <c r="CP423" s="84">
        <f>IF(OR($A423="",$BH423="",$BI423=""),"",$BG423&amp;"|"&amp;$O423&amp;"|"&amp;$AL423&amp;"|"&amp;$S423&amp;"|"&amp;$P423&amp;"|"&amp;$Q423&amp;$R423&amp;"|"&amp;$C423&amp;"|"&amp;$AB423)</f>
        <v/>
      </c>
      <c r="CQ423" s="84">
        <f>N($BS423)</f>
        <v/>
      </c>
      <c r="CR423" s="84">
        <f>IF(N($AU423)&gt;0,N($AU423),4.5)</f>
        <v/>
      </c>
      <c r="CS423" s="84">
        <f>OR($A423="",$BI423="",$S423="BL",AND($C423="FRAME ONLY",OR($AC423="",$AC423="BLK")))</f>
        <v/>
      </c>
      <c r="CT423" s="84">
        <f>AND(NOT($CS423),OR($AT423="CUSTOM LOC",N($AW423)+N($AX423)+N($AY423)+N($AZ423)+N($BA423)&gt;0))</f>
        <v/>
      </c>
      <c r="CU423" s="84">
        <f>IF($BI423="","",IF($BI423&lt;=80,80,IF($BI423&lt;=84,84,96)))</f>
        <v/>
      </c>
      <c r="CV423" s="84">
        <f>ISNUMBER(MATCH($AT423&amp;"|80",LocKeys,0))</f>
        <v/>
      </c>
      <c r="CW423" s="86">
        <f>IF($CS423,"",IF($CV423,VLOOKUP($AT423&amp;"|"&amp;$CU423,LocTable,4,FALSE),5))</f>
        <v/>
      </c>
      <c r="CX423" s="86">
        <f>IF($CS423,"",IF($CV423,IF(OR($BI423=$CU423,AND($BI423&lt;$CU423,$BI423-IF(N(VLOOKUP($AT423&amp;"|"&amp;$CU423,LocTable,7,FALSE))&gt;0,VLOOKUP($AT423&amp;"|"&amp;$CU423,LocTable,7,FALSE),VLOOKUP($AT423&amp;"|"&amp;$CU423,LocTable,6,FALSE))-$CR423-0.75&gt;=2.125)),IF(N(VLOOKUP($AT423&amp;"|"&amp;$CU423,LocTable,7,FALSE))&gt;0,VLOOKUP($AT423&amp;"|"&amp;$CU423,LocTable,7,FALSE),VLOOKUP($AT423&amp;"|"&amp;$CU423,LocTable,6,FALSE)),$BI423-($CU423-IF(N(VLOOKUP($AT423&amp;"|"&amp;$CU423,LocTable,7,FALSE))&gt;0,VLOOKUP($AT423&amp;"|"&amp;$CU423,LocTable,7,FALSE),VLOOKUP($AT423&amp;"|"&amp;$CU423,LocTable,6,FALSE)))),$BI423-10-$CR423))</f>
        <v/>
      </c>
      <c r="CY423" s="85">
        <f>IF($CS423,"",TRIM(IF(ISNUMBER($BU423),"A "&amp;TRIM(TEXT($BU423,"# ?/??"))&amp;CHAR(34)&amp;"  ","")&amp;IF(ISNUMBER($BV423),"B "&amp;TRIM(TEXT($BV423,"# ?/??"))&amp;CHAR(34)&amp;"  ","")&amp;IF(ISNUMBER($BW423),"C "&amp;TRIM(TEXT($BW423,"# ?/??"))&amp;CHAR(34)&amp;"  ","")&amp;IF(ISNUMBER($BX423),"D "&amp;TRIM(TEXT($BX423,"# ?/??"))&amp;CHAR(34)&amp;"  ","")&amp;IF(ISNUMBER($BY423),"F "&amp;TRIM(TEXT($BY423,"# ?/??"))&amp;CHAR(34)&amp;"  ","")&amp;IF(ISNUMBER($BZ423),"E "&amp;TRIM(TEXT($BZ423,"# ?/??"))&amp;CHAR(34)&amp;"  ","")))</f>
        <v/>
      </c>
      <c r="CZ423" s="85">
        <f>IF(OR($CS423,N($BJ423)=0),"",TRIM(IF(ISNUMBER($BU423),"A "&amp;TRIM(TEXT($BU423-HeadClr,"# ?/??"))&amp;CHAR(34)&amp;"  ","")&amp;IF(ISNUMBER($BV423),"B "&amp;TRIM(TEXT($BV423-HeadClr,"# ?/??"))&amp;CHAR(34)&amp;"  ","")&amp;IF(ISNUMBER($BW423),"C "&amp;TRIM(TEXT($BW423-HeadClr,"# ?/??"))&amp;CHAR(34)&amp;"  ","")&amp;IF(ISNUMBER($BX423),"D "&amp;TRIM(TEXT($BX423-HeadClr,"# ?/??"))&amp;CHAR(34)&amp;"  ","")&amp;IF(ISNUMBER($BY423),"F "&amp;TRIM(TEXT($BY423-HeadClr,"# ?/??"))&amp;CHAR(34)&amp;"  ","")&amp;IF(ISNUMBER($BZ423),"E "&amp;TRIM(TEXT($BZ423-HeadClr,"# ?/??"))&amp;CHAR(34)&amp;"  ","")))</f>
        <v/>
      </c>
      <c r="DA423" s="84">
        <f>IF($A423="","",IF($AN423="",IFERROR(VLOOKUP($Z423,CODES,2,FALSE),""),IFERROR(VLOOKUP($AN423,CODES,2,FALSE),"")))</f>
        <v/>
      </c>
      <c r="DB423" s="84">
        <f>IF($A423="","",IF($O423="Y","PR",IF(OR($Z423="L",$Z423="RR",LEFT($Z423,2)="L-",LEFT($Z423,3)="RR-"),"LH","RH")))</f>
        <v/>
      </c>
      <c r="DC423" s="84">
        <f>IF($A423="","","S.HM"&amp;IF(OR($C423="DOOR ONLY",$X423&lt;&gt;"KD"),"MASONRY","DRYWALL")&amp;IF($C423="DOOR ONLY","",$U423)&amp;IF(AND($C423&lt;&gt;"FRAME ONLY",OR(LEFT($AH423,3)="OAK",LEFT($AH423,3)="BIR",LEFT($AH423,3)="MAP",$AH423="PC",$AH423="MC",$AH423="SCLC",$AH423="P-LAM")),"WD","HM")&amp;"1.75")</f>
        <v/>
      </c>
      <c r="DD423" s="84">
        <f>IF($CJ423="","",IF($O423="Y",$CJ423,SUBSTITUTE($CJ423,$BG423&amp;" "&amp;IFERROR(VLOOKUP($Z423,CODES,2,FALSE),"")&amp;" ",$BG423&amp;" ")))</f>
        <v/>
      </c>
      <c r="DE423" s="84">
        <f>IF($CK423="","",IF($O423="Y",$CK423,SUBSTITUTE($CK423,$BG423&amp;" "&amp;IF($AN423="",IFERROR(VLOOKUP($Z423,CODES,2,FALSE),""),IFERROR(VLOOKUP($AN423,CODES,2,FALSE),""))&amp;" ",$BG423&amp;" ")))</f>
        <v/>
      </c>
      <c r="DF423" s="84">
        <f>IF($CJ423="","",$DC423&amp;"|"&amp;$DD423&amp;"|"&amp;$DB423&amp;"|"&amp;$AT423&amp;"|"&amp;$V423&amp;"|"&amp;$Y423&amp;"|"&amp;$AB423)</f>
        <v/>
      </c>
      <c r="DG423" s="84">
        <f>IF(DF423="","",IF(COUNTIF($DF$6:DF423,DF423)=1,MAX($DG$5:DG422)+1,INDEX($DG$5:DG422,MATCH(DF423,$DF$5:DF422,0))))</f>
        <v/>
      </c>
      <c r="DH423" s="84">
        <f>IF($CK423="","",$DC423&amp;"|"&amp;$DE423&amp;"|"&amp;$AI423&amp;"|"&amp;$BK423&amp;"|"&amp;$BL423)</f>
        <v/>
      </c>
      <c r="DI423" s="84">
        <f>IF(DH423="","",IF(COUNTIF($DH$6:DH423,DH423)=1,MAX($DI$5:DI422)+1,INDEX($DI$5:DI422,MATCH(DH423,$DH$5:DH422,0))))</f>
        <v/>
      </c>
      <c r="DJ423" s="84">
        <f>IF($A423="","",IF($B423="","qty, ","")&amp;IF($C423="","scope, ","")&amp;IF(OR($K423="",$M423=""),"size, ","")&amp;IF(AND($A423&lt;&gt;"",$C423&lt;&gt;"DOOR ONLY"),IF($U423="","jamb depth, ","")&amp;IF($X423="","construction, ","")&amp;IF($Y423="","anchor, ","")&amp;IF($S423="","frame type, ",""),"")&amp;IF(AND(N($BJ423)&gt;0,$Z423=""),"hand, ","")&amp;IF(N($BJ423)&gt;0,IF($AH423="","door material, ","")&amp;IF($AL423="","face type, ","")&amp;IF($AP423="","lock prep, ","")&amp;IF(AND($AO423="",$AC423=""),"hinge prep, ",""),"")&amp;IF(AND($CH423&gt;0,$AH423="FRP"),"FRP cannot carry a label, ","")&amp;IF(AND($O423="Y",OR($Z423="L",$Z423="R",$Z423="LR",$Z423="RR")),"pair marked but hand is single, ","")&amp;IF(AND($O423&lt;&gt;"Y",OR($Z423="PR",AND(LEN($Z423)&gt;1,ISNUMBER(SEARCH("-",$Z423))))),"pair hand on a single door, ","")&amp;IF(AND(ISNUMBER($CI423),$CH423&lt;N($CI423)),"wall needs a "&amp;$CI423&amp;" min door, ","")&amp;IF(AND($CH423&gt;=180,AND(OR($CE423="FG",$CE423="HG",$CE423="FNV",$CE423="FV"),N($CF423)*N($CG423)&gt;100)),"180 min lite over 100 sq in, ","")&amp;IF(N($BK423)&gt;48,"leaf wider than 4'-0"&amp;CHAR(34)&amp;", ","")&amp;IF(AND($CT423,COUNT($AW423:$AZ423)=0,$CQ423&gt;0),"CUSTOM LOC with no locations typed, ",""))</f>
        <v/>
      </c>
      <c r="DK423" s="84">
        <f>IF($A423="","",IF(AND($CH423&gt;0,AND($A423&lt;&gt;"",$C423&lt;&gt;"DOOR ONLY"),$X423="KD",$E423="EXTERIOR"),"KD label on an exterior opening, ","")&amp;IF(AND($E423="EXTERIOR",OR(AND(AND($A423&lt;&gt;"",$C423&lt;&gt;"DOOR ONLY"),$W423="CR"),AND(N($BJ423)&gt;0,$AH423="CR"))),"exterior in CR steel (G9?), ","")&amp;IF(AND(ISNUMBER($BQ423),N($BQ423)&lt;32),"clear width ~"&amp;TEXT($BQ423,"0.0")&amp;CHAR(34)&amp;" under 32"&amp;CHAR(34)&amp;" (ADA), ","")&amp;IF(AND($CH423=90,AND(OR($CE423="FG",$CE423="HG",$CE423="FNV",$CE423="FV"),N($CF423)*N($CG423)&gt;100)),"90 min lite over 100 sq in (stair/exit), ","")&amp;IF(AND($CH423&gt;0,AND($A423&lt;&gt;"",$C423&lt;&gt;"DOOR ONLY"),OR($AF423="",$AF423="-")),"rated: closer reinf.?, ","")&amp;IF(OR($I423="CORRIDOR",$I423="SMOKE BARRIER"),"S label + smoke gasketing, ","")&amp;IF($CI423="?","wall type/hr not in IBC table, ","")&amp;IF(AND(N($BJ423)&gt;0,$BB423=""),"no hardware set, ","")&amp;IF(AND($BB423&lt;&gt;"",ISNA(MATCH($BB423&amp;"",HWSets,0))),"set "&amp;$BB423&amp;" not on HW Sets, ","")&amp;IF(N($BL423)&gt;96,"leaf over 8'-0"&amp;CHAR(34)&amp;" - check listing, ","")&amp;IF(AND($CT423,COUNT($AW423:$AZ423)&gt;0,COUNT($AW423:$AZ423)&lt;&gt;$CQ423),COUNT($AW423:$AZ423)&amp;" custom hinges typed, "&amp;$CQ423&amp;" expected, ","")&amp;IF(AND(ISNUMBER($CA423),OR(N($CA423)&lt;34,N($CA423)&gt;48)),"lock "&amp;TEXT($CA423,"0.0")&amp;CHAR(34)&amp;" AFF outside 34-48"&amp;CHAR(34)&amp;" (ADA), ","")&amp;IF(AND(ISNUMBER($AV423),ISNUMBER($BL423),N($AV423)&lt;IF(N($BL423)&lt;=60,2,IF(N($BL423)&lt;=90,3,IF(N($BL423)&lt;=120,4,5)))),"fewer hinges than standard, ",""))</f>
        <v/>
      </c>
    </row>
    <row r="424" ht="15" customHeight="1">
      <c r="A424" s="77" t="n"/>
      <c r="B424" s="78" t="n"/>
      <c r="C424" s="78" t="n"/>
      <c r="D424" s="78" t="n"/>
      <c r="E424" s="78" t="n"/>
      <c r="F424" s="78" t="n"/>
      <c r="G424" s="78" t="n"/>
      <c r="H424" s="78" t="n"/>
      <c r="I424" s="78" t="n"/>
      <c r="J424" s="78" t="n"/>
      <c r="K424" s="78" t="n"/>
      <c r="L424" s="78" t="n"/>
      <c r="M424" s="78" t="n"/>
      <c r="N424" s="78" t="n"/>
      <c r="O424" s="78" t="n"/>
      <c r="P424" s="78" t="n"/>
      <c r="Q424" s="78" t="n"/>
      <c r="R424" s="78" t="n"/>
      <c r="S424" s="79" t="n"/>
      <c r="T424" s="79" t="n"/>
      <c r="U424" s="79" t="n"/>
      <c r="V424" s="79" t="n"/>
      <c r="W424" s="79" t="n"/>
      <c r="X424" s="79" t="n"/>
      <c r="Y424" s="79" t="n"/>
      <c r="Z424" s="79" t="n"/>
      <c r="AA424" s="79" t="n"/>
      <c r="AB424" s="79" t="n"/>
      <c r="AC424" s="79" t="n"/>
      <c r="AD424" s="79" t="n"/>
      <c r="AE424" s="79" t="n"/>
      <c r="AF424" s="79" t="n"/>
      <c r="AG424" s="79" t="n"/>
      <c r="AH424" s="80" t="n"/>
      <c r="AI424" s="80" t="n"/>
      <c r="AJ424" s="80" t="n"/>
      <c r="AK424" s="80" t="n"/>
      <c r="AL424" s="80" t="n"/>
      <c r="AM424" s="80" t="n"/>
      <c r="AN424" s="80" t="n"/>
      <c r="AO424" s="80" t="n"/>
      <c r="AP424" s="80" t="n"/>
      <c r="AQ424" s="80" t="n"/>
      <c r="AR424" s="80" t="n"/>
      <c r="AS424" s="80" t="n"/>
      <c r="AT424" s="81" t="n"/>
      <c r="AU424" s="81" t="n"/>
      <c r="AV424" s="81" t="n"/>
      <c r="AW424" s="82" t="n"/>
      <c r="AX424" s="82" t="n"/>
      <c r="AY424" s="82" t="n"/>
      <c r="AZ424" s="82" t="n"/>
      <c r="BA424" s="82" t="n"/>
      <c r="BB424" s="83" t="n"/>
      <c r="BC424" s="83" t="n"/>
      <c r="BD424" s="84">
        <f>IF($A424="","",IF($DJ424&lt;&gt;"","FIX",IF($DK424&lt;&gt;"","CHECK","OK")))</f>
        <v/>
      </c>
      <c r="BE424" s="85">
        <f>IF($A424="","",IF($DJ424&lt;&gt;"","FIX: "&amp;LEFT($DJ424,LEN($DJ424)-2)&amp;IF($DK424&lt;&gt;"","  ·  ",""),"")&amp;IF($DK424&lt;&gt;"","CHECK: "&amp;LEFT($DK424,LEN($DK424)-2),""))</f>
        <v/>
      </c>
      <c r="BF424" s="84">
        <f>IF(OR($A424="",$K424=""),"",$K424&amp;"'-"&amp;N($L424)&amp;CHAR(34)&amp;" x "&amp;$M424&amp;"'-"&amp;N($N424)&amp;CHAR(34))</f>
        <v/>
      </c>
      <c r="BG424" s="84">
        <f>IF(OR($A424="",$K424=""),"",$K424&amp;N($L424)&amp;$M424&amp;N($N424))</f>
        <v/>
      </c>
      <c r="BH424" s="84">
        <f>IF(OR($A424="",$K424=""),"",$K424*12+N($L424))</f>
        <v/>
      </c>
      <c r="BI424" s="84">
        <f>IF(OR($A424="",$M424=""),"",$M424*12+N($N424))</f>
        <v/>
      </c>
      <c r="BJ424" s="84">
        <f>IF($A424="","",IF(OR($C424="FRAME ONLY",$S424="BL"),0,IF($O424="Y",2,1)))</f>
        <v/>
      </c>
      <c r="BK424" s="86">
        <f>IF(OR(N($BJ424)=0,$BH424=""),"",($BH424-2*EdgeClr-IF($BJ424=2,MeetClr,0))/$BJ424)</f>
        <v/>
      </c>
      <c r="BL424" s="86">
        <f>IF(OR(N($BJ424)=0,$BI424=""),"",$BI424-HeadClr-Undercut)</f>
        <v/>
      </c>
      <c r="BM424" s="86">
        <f>IF($BH424="","",$BH424+2*FaceW+IF(N($Q424)&gt;0,($Q424+FaceW)*IF($R424="LR",2,1),0))</f>
        <v/>
      </c>
      <c r="BN424" s="86">
        <f>IF($BI424="","",$BI424+IF($AB424="Y",4,FaceW)+IF(N($P424)&gt;0,$P424+FaceW,0)+IF(OR($S424="4F",$S424="BL"),FaceW,0))</f>
        <v/>
      </c>
      <c r="BO424" s="86">
        <f>IF($BM424="","",$BM424+2*ROSide)</f>
        <v/>
      </c>
      <c r="BP424" s="86">
        <f>IF($BN424="","",$BN424+ROTop)</f>
        <v/>
      </c>
      <c r="BQ424" s="87">
        <f>IF(OR(N($BJ424)=0,$BH424=""),"",$BH424/$BJ424-ClearDeduct)</f>
        <v/>
      </c>
      <c r="BR424" s="84">
        <f>IF(N($CH424)=0,"",IF($CH424&gt;=180,"A · 3 HR",IF($CH424&gt;=90,"B · 1-1/2 HR",IF($CH424&gt;=60,"B · 1 HR",IF($CH424&gt;=45,"C · 3/4 HR","20 MIN")))))&amp;IF(AND(N($CH424)&gt;0,OR($I424="CORRIDOR",$I424="SMOKE BARRIER"))," · S","")</f>
        <v/>
      </c>
      <c r="BS424" s="84">
        <f>IF($CS424,"",IF($AV424&lt;&gt;"",$AV424,IF(OR($AC424="HGC",$AO424="HGC"),"CONT",IF(($BI424-HeadClr-Undercut)&lt;=60,2,IF(($BI424-HeadClr-Undercut)&lt;=90,3,IF(($BI424-HeadClr-Undercut)&lt;=120,4,5))))))</f>
        <v/>
      </c>
      <c r="BT424" s="84">
        <f>IF($CS424,"",IF($CT424,"CUSTOM (typed)",IF($CV424,$AT424&amp;" "&amp;$CU424&amp;CHAR(34)&amp;IF($CU424&lt;&gt;$BI424,IF(AND($BI424&lt;$CU424,$BI424-IF(N(VLOOKUP($AT424&amp;"|"&amp;$CU424,LocTable,7,FALSE))&gt;0,VLOOKUP($AT424&amp;"|"&amp;$CU424,LocTable,7,FALSE),VLOOKUP($AT424&amp;"|"&amp;$CU424,LocTable,6,FALSE))-$CR424-0.75&gt;=2.125)," cut down"," adj."),""),"ANSI/SDI A250.6")))</f>
        <v/>
      </c>
      <c r="BU424" s="88">
        <f>IF($CS424,"",IF($CT424,IF(N($AW424)&gt;0,N($AW424),""),IF(1&gt;$CQ424,"",IF($CQ424=1,$CW424,$CW424+($CX424-$CW424)*0/($CQ424-1)))))</f>
        <v/>
      </c>
      <c r="BV424" s="88">
        <f>IF($CS424,"",IF($CT424,IF(N($AX424)&gt;0,N($AX424),""),IF(2&gt;$CQ424,"",IF($CQ424=1,$CW424,$CW424+($CX424-$CW424)*1/($CQ424-1)))))</f>
        <v/>
      </c>
      <c r="BW424" s="88">
        <f>IF($CS424,"",IF($CT424,IF(N($AY424)&gt;0,N($AY424),""),IF(3&gt;$CQ424,"",IF($CQ424=1,$CW424,$CW424+($CX424-$CW424)*2/($CQ424-1)))))</f>
        <v/>
      </c>
      <c r="BX424" s="88">
        <f>IF($CS424,"",IF($CT424,IF(N($AZ424)&gt;0,N($AZ424),""),IF(4&gt;$CQ424,"",IF($CQ424=1,$CW424,$CW424+($CX424-$CW424)*3/($CQ424-1)))))</f>
        <v/>
      </c>
      <c r="BY424" s="88">
        <f>IF($CS424,"",IF($CT424,"",IF(5&gt;$CQ424,"",IF($CQ424=1,$CW424,$CW424+($CX424-$CW424)*4/($CQ424-1)))))</f>
        <v/>
      </c>
      <c r="BZ424" s="88">
        <f>IF(OR($CS424,$AP424="-",AND($AP424="",$AD424="")),"",IF(N($BA424)&gt;0,N($BA424),IF($CV424,IF(AND($BI424&lt;$CU424,$BI424-IF(N(VLOOKUP($AT424&amp;"|"&amp;$CU424,LocTable,7,FALSE))&gt;0,VLOOKUP($AT424&amp;"|"&amp;$CU424,LocTable,7,FALSE),VLOOKUP($AT424&amp;"|"&amp;$CU424,LocTable,6,FALSE))-$CR424-0.75&gt;=2.125),VLOOKUP($AT424&amp;"|"&amp;$CU424,LocTable,8,FALSE),VLOOKUP($AT424&amp;"|"&amp;$CU424,LocTable,8,FALSE)+($BI424-$CU424)),$BI424-LockAFF)))</f>
        <v/>
      </c>
      <c r="CA424" s="89">
        <f>IF($BZ424="","",$BI424-$BZ424)</f>
        <v/>
      </c>
      <c r="CB424" s="84">
        <f>IF(OR(NOT(AND($A424&lt;&gt;"",$C424&lt;&gt;"DOOR ONLY")),$BI424=""),"",IF(($BI424+IF(N($P424)&gt;0,$P424+FaceW,0))&lt;=90,3,IF(($BI424+IF(N($P424)&gt;0,$P424+FaceW,0))&lt;=114,4,5)))</f>
        <v/>
      </c>
      <c r="CC424" s="84">
        <f>IF($CB424="","",$CB424*(2+IF(N($Q424)&gt;0,IF($R424="LR",2,1),0)))</f>
        <v/>
      </c>
      <c r="CD424" s="84">
        <f>IF($CB424="","",(2+IF(N($Q424)&gt;0,IF($R424="LR",2,1),0)))</f>
        <v/>
      </c>
      <c r="CE424" s="84">
        <f>IF(N($BJ424)=0,"",IF(OR($AL424="",$AL424="FLUSH"),"FLUSH",IFERROR(LEFT($AL424,FIND("-",$AL424)-1),LEFT($AL424,2))))</f>
        <v/>
      </c>
      <c r="CF424" s="84">
        <f>IF($CE424="","",IFERROR(VALUE(MID($AL424,FIND("-",$AL424)+1,FIND(CHAR(34)&amp;"x",$AL424)-FIND("-",$AL424)-1)),0))</f>
        <v/>
      </c>
      <c r="CG424" s="84">
        <f>IF($CE424="","",IFERROR(VALUE(MID($AL424,FIND(CHAR(34)&amp;"x",$AL424)+2,FIND(CHAR(34),$AL424,FIND(CHAR(34)&amp;"x",$AL424)+2)-FIND(CHAR(34)&amp;"x",$AL424)-2)),0))</f>
        <v/>
      </c>
      <c r="CH424" s="90">
        <f>IF(OR($A424="",$H424="",$H424="NO LAB"),0,IFERROR(VALUE(LEFT($H424,FIND(" ",$H424)-1)),0))</f>
        <v/>
      </c>
      <c r="CI424" s="91">
        <f>IF(OR($A424="",$I424="",$I424="NON-RATED",N($J424)=0),"",IFERROR(VLOOKUP($I424&amp;"|"&amp;$J424,IBC,2,FALSE),"?"))</f>
        <v/>
      </c>
      <c r="CJ424" s="85">
        <f>IF(NOT(AND($A424&lt;&gt;"",$C424&lt;&gt;"DOOR ONLY")),"",TRIM(IFERROR(VLOOKUP($U424,CODES,2,FALSE),"")&amp;" "&amp;$BG424&amp;" "&amp;IFERROR(VLOOKUP($Z424,CODES,2,FALSE),"")&amp;" "&amp;IFERROR(VLOOKUP($X424,CODES,2,FALSE),"")&amp;" "&amp;IFERROR(VLOOKUP($S424,CODES,2,FALSE),"")&amp;IF(N($P424)&gt;0," w/TRANSOM "&amp;$P424&amp;CHAR(34),"")&amp;IF(N($Q424)&gt;0," w/SIDELITE "&amp;$Q424&amp;CHAR(34)&amp;" "&amp;IF($R424="","R",$R424),"")&amp;IF($Y424="","  |  "," | "&amp;IFERROR(VLOOKUP($Y424,CODES,2,FALSE),"")&amp;" | ")&amp;IFERROR(VLOOKUP($AC424,CODES,2,FALSE),"")&amp;" "&amp;IFERROR(VLOOKUP($AD424,CODES,2,FALSE),"")&amp;IF(OR($AE424="",$AE424="-"),""," "&amp;$AE424)&amp;IF(OR($AF424="",$AF424="-"),""," "&amp;$AF424)&amp;IF($AB424="Y"," 4"&amp;CHAR(34)&amp;" HEAD","")&amp;" "&amp;IFERROR(VLOOKUP($H424,CODES,2,FALSE),"")&amp;IF($CT424," | LOC "&amp;$CY424,"")))</f>
        <v/>
      </c>
      <c r="CK424" s="85">
        <f>IF(NOT(AND($A424&lt;&gt;"",N($BJ424)&gt;0)),"",TRIM(IFERROR(VLOOKUP($AH424,CODES,2,FALSE),"")&amp;IF($AI424=""," "," "&amp;$AI424&amp;"GA ")&amp;$BG424&amp;" "&amp;IF($AN424="",IFERROR(VLOOKUP($Z424,CODES,2,FALSE),""),IFERROR(VLOOKUP($AN424,CODES,2,FALSE),""))&amp;IF($BJ424=2," PAIR","")&amp;" DOOR | "&amp;IF($AL424="","?",$AL424)&amp;" | "&amp;IF($AO424="",IFERROR(VLOOKUP($AC424,CODES,2,FALSE),""),IFERROR(VLOOKUP($AO424,CODES,2,FALSE),""))&amp;" "&amp;IFERROR(VLOOKUP($AP424,CODES,2,FALSE),"")&amp;IF(OR($AQ424="",$AQ424="-"),""," SEAM "&amp;$AQ424)&amp;IF($AR424="Y"," ASTRAGAL","")&amp;IF($AJ424=""," "," "&amp;$AJ424)&amp;IF($AK424=""," "," "&amp;$AK424)&amp;IF(OR($AT424="",$AT424="ANSI/SDI",$AT424="CUSTOM LOC"),""," "&amp;$AT424)&amp;IF($AM424=""," "," SERIES "&amp;$AM424)&amp;" "&amp;IFERROR(VLOOKUP($H424,CODES,2,FALSE),"")&amp;IF($CT424," | LOC "&amp;$CZ424,"")))</f>
        <v/>
      </c>
      <c r="CL424" s="84">
        <f>IF(CP424="","",IF(COUNTIF($CP$6:CP424,CP424)=1,MAX($CL$5:CL423)+1,INDEX($CL$5:CL423,MATCH(CP424,$CP$5:CP423,0))))</f>
        <v/>
      </c>
      <c r="CM424" s="84">
        <f>IF(NOT(AND($A424&lt;&gt;"",$C424&lt;&gt;"DOOR ONLY")),"",MAX($CM$5:CM423)+1)</f>
        <v/>
      </c>
      <c r="CN424" s="84">
        <f>IF(NOT(AND($A424&lt;&gt;"",N($BJ424)&gt;0)),"",MAX($CN$5:CN423)+1)</f>
        <v/>
      </c>
      <c r="CO424" s="84">
        <f>IF($A424="","",MAX($CO$5:CO423)+1)</f>
        <v/>
      </c>
      <c r="CP424" s="84">
        <f>IF(OR($A424="",$BH424="",$BI424=""),"",$BG424&amp;"|"&amp;$O424&amp;"|"&amp;$AL424&amp;"|"&amp;$S424&amp;"|"&amp;$P424&amp;"|"&amp;$Q424&amp;$R424&amp;"|"&amp;$C424&amp;"|"&amp;$AB424)</f>
        <v/>
      </c>
      <c r="CQ424" s="84">
        <f>N($BS424)</f>
        <v/>
      </c>
      <c r="CR424" s="84">
        <f>IF(N($AU424)&gt;0,N($AU424),4.5)</f>
        <v/>
      </c>
      <c r="CS424" s="84">
        <f>OR($A424="",$BI424="",$S424="BL",AND($C424="FRAME ONLY",OR($AC424="",$AC424="BLK")))</f>
        <v/>
      </c>
      <c r="CT424" s="84">
        <f>AND(NOT($CS424),OR($AT424="CUSTOM LOC",N($AW424)+N($AX424)+N($AY424)+N($AZ424)+N($BA424)&gt;0))</f>
        <v/>
      </c>
      <c r="CU424" s="84">
        <f>IF($BI424="","",IF($BI424&lt;=80,80,IF($BI424&lt;=84,84,96)))</f>
        <v/>
      </c>
      <c r="CV424" s="84">
        <f>ISNUMBER(MATCH($AT424&amp;"|80",LocKeys,0))</f>
        <v/>
      </c>
      <c r="CW424" s="86">
        <f>IF($CS424,"",IF($CV424,VLOOKUP($AT424&amp;"|"&amp;$CU424,LocTable,4,FALSE),5))</f>
        <v/>
      </c>
      <c r="CX424" s="86">
        <f>IF($CS424,"",IF($CV424,IF(OR($BI424=$CU424,AND($BI424&lt;$CU424,$BI424-IF(N(VLOOKUP($AT424&amp;"|"&amp;$CU424,LocTable,7,FALSE))&gt;0,VLOOKUP($AT424&amp;"|"&amp;$CU424,LocTable,7,FALSE),VLOOKUP($AT424&amp;"|"&amp;$CU424,LocTable,6,FALSE))-$CR424-0.75&gt;=2.125)),IF(N(VLOOKUP($AT424&amp;"|"&amp;$CU424,LocTable,7,FALSE))&gt;0,VLOOKUP($AT424&amp;"|"&amp;$CU424,LocTable,7,FALSE),VLOOKUP($AT424&amp;"|"&amp;$CU424,LocTable,6,FALSE)),$BI424-($CU424-IF(N(VLOOKUP($AT424&amp;"|"&amp;$CU424,LocTable,7,FALSE))&gt;0,VLOOKUP($AT424&amp;"|"&amp;$CU424,LocTable,7,FALSE),VLOOKUP($AT424&amp;"|"&amp;$CU424,LocTable,6,FALSE)))),$BI424-10-$CR424))</f>
        <v/>
      </c>
      <c r="CY424" s="85">
        <f>IF($CS424,"",TRIM(IF(ISNUMBER($BU424),"A "&amp;TRIM(TEXT($BU424,"# ?/??"))&amp;CHAR(34)&amp;"  ","")&amp;IF(ISNUMBER($BV424),"B "&amp;TRIM(TEXT($BV424,"# ?/??"))&amp;CHAR(34)&amp;"  ","")&amp;IF(ISNUMBER($BW424),"C "&amp;TRIM(TEXT($BW424,"# ?/??"))&amp;CHAR(34)&amp;"  ","")&amp;IF(ISNUMBER($BX424),"D "&amp;TRIM(TEXT($BX424,"# ?/??"))&amp;CHAR(34)&amp;"  ","")&amp;IF(ISNUMBER($BY424),"F "&amp;TRIM(TEXT($BY424,"# ?/??"))&amp;CHAR(34)&amp;"  ","")&amp;IF(ISNUMBER($BZ424),"E "&amp;TRIM(TEXT($BZ424,"# ?/??"))&amp;CHAR(34)&amp;"  ","")))</f>
        <v/>
      </c>
      <c r="CZ424" s="85">
        <f>IF(OR($CS424,N($BJ424)=0),"",TRIM(IF(ISNUMBER($BU424),"A "&amp;TRIM(TEXT($BU424-HeadClr,"# ?/??"))&amp;CHAR(34)&amp;"  ","")&amp;IF(ISNUMBER($BV424),"B "&amp;TRIM(TEXT($BV424-HeadClr,"# ?/??"))&amp;CHAR(34)&amp;"  ","")&amp;IF(ISNUMBER($BW424),"C "&amp;TRIM(TEXT($BW424-HeadClr,"# ?/??"))&amp;CHAR(34)&amp;"  ","")&amp;IF(ISNUMBER($BX424),"D "&amp;TRIM(TEXT($BX424-HeadClr,"# ?/??"))&amp;CHAR(34)&amp;"  ","")&amp;IF(ISNUMBER($BY424),"F "&amp;TRIM(TEXT($BY424-HeadClr,"# ?/??"))&amp;CHAR(34)&amp;"  ","")&amp;IF(ISNUMBER($BZ424),"E "&amp;TRIM(TEXT($BZ424-HeadClr,"# ?/??"))&amp;CHAR(34)&amp;"  ","")))</f>
        <v/>
      </c>
      <c r="DA424" s="84">
        <f>IF($A424="","",IF($AN424="",IFERROR(VLOOKUP($Z424,CODES,2,FALSE),""),IFERROR(VLOOKUP($AN424,CODES,2,FALSE),"")))</f>
        <v/>
      </c>
      <c r="DB424" s="84">
        <f>IF($A424="","",IF($O424="Y","PR",IF(OR($Z424="L",$Z424="RR",LEFT($Z424,2)="L-",LEFT($Z424,3)="RR-"),"LH","RH")))</f>
        <v/>
      </c>
      <c r="DC424" s="84">
        <f>IF($A424="","","S.HM"&amp;IF(OR($C424="DOOR ONLY",$X424&lt;&gt;"KD"),"MASONRY","DRYWALL")&amp;IF($C424="DOOR ONLY","",$U424)&amp;IF(AND($C424&lt;&gt;"FRAME ONLY",OR(LEFT($AH424,3)="OAK",LEFT($AH424,3)="BIR",LEFT($AH424,3)="MAP",$AH424="PC",$AH424="MC",$AH424="SCLC",$AH424="P-LAM")),"WD","HM")&amp;"1.75")</f>
        <v/>
      </c>
      <c r="DD424" s="84">
        <f>IF($CJ424="","",IF($O424="Y",$CJ424,SUBSTITUTE($CJ424,$BG424&amp;" "&amp;IFERROR(VLOOKUP($Z424,CODES,2,FALSE),"")&amp;" ",$BG424&amp;" ")))</f>
        <v/>
      </c>
      <c r="DE424" s="84">
        <f>IF($CK424="","",IF($O424="Y",$CK424,SUBSTITUTE($CK424,$BG424&amp;" "&amp;IF($AN424="",IFERROR(VLOOKUP($Z424,CODES,2,FALSE),""),IFERROR(VLOOKUP($AN424,CODES,2,FALSE),""))&amp;" ",$BG424&amp;" ")))</f>
        <v/>
      </c>
      <c r="DF424" s="84">
        <f>IF($CJ424="","",$DC424&amp;"|"&amp;$DD424&amp;"|"&amp;$DB424&amp;"|"&amp;$AT424&amp;"|"&amp;$V424&amp;"|"&amp;$Y424&amp;"|"&amp;$AB424)</f>
        <v/>
      </c>
      <c r="DG424" s="84">
        <f>IF(DF424="","",IF(COUNTIF($DF$6:DF424,DF424)=1,MAX($DG$5:DG423)+1,INDEX($DG$5:DG423,MATCH(DF424,$DF$5:DF423,0))))</f>
        <v/>
      </c>
      <c r="DH424" s="84">
        <f>IF($CK424="","",$DC424&amp;"|"&amp;$DE424&amp;"|"&amp;$AI424&amp;"|"&amp;$BK424&amp;"|"&amp;$BL424)</f>
        <v/>
      </c>
      <c r="DI424" s="84">
        <f>IF(DH424="","",IF(COUNTIF($DH$6:DH424,DH424)=1,MAX($DI$5:DI423)+1,INDEX($DI$5:DI423,MATCH(DH424,$DH$5:DH423,0))))</f>
        <v/>
      </c>
      <c r="DJ424" s="84">
        <f>IF($A424="","",IF($B424="","qty, ","")&amp;IF($C424="","scope, ","")&amp;IF(OR($K424="",$M424=""),"size, ","")&amp;IF(AND($A424&lt;&gt;"",$C424&lt;&gt;"DOOR ONLY"),IF($U424="","jamb depth, ","")&amp;IF($X424="","construction, ","")&amp;IF($Y424="","anchor, ","")&amp;IF($S424="","frame type, ",""),"")&amp;IF(AND(N($BJ424)&gt;0,$Z424=""),"hand, ","")&amp;IF(N($BJ424)&gt;0,IF($AH424="","door material, ","")&amp;IF($AL424="","face type, ","")&amp;IF($AP424="","lock prep, ","")&amp;IF(AND($AO424="",$AC424=""),"hinge prep, ",""),"")&amp;IF(AND($CH424&gt;0,$AH424="FRP"),"FRP cannot carry a label, ","")&amp;IF(AND($O424="Y",OR($Z424="L",$Z424="R",$Z424="LR",$Z424="RR")),"pair marked but hand is single, ","")&amp;IF(AND($O424&lt;&gt;"Y",OR($Z424="PR",AND(LEN($Z424)&gt;1,ISNUMBER(SEARCH("-",$Z424))))),"pair hand on a single door, ","")&amp;IF(AND(ISNUMBER($CI424),$CH424&lt;N($CI424)),"wall needs a "&amp;$CI424&amp;" min door, ","")&amp;IF(AND($CH424&gt;=180,AND(OR($CE424="FG",$CE424="HG",$CE424="FNV",$CE424="FV"),N($CF424)*N($CG424)&gt;100)),"180 min lite over 100 sq in, ","")&amp;IF(N($BK424)&gt;48,"leaf wider than 4'-0"&amp;CHAR(34)&amp;", ","")&amp;IF(AND($CT424,COUNT($AW424:$AZ424)=0,$CQ424&gt;0),"CUSTOM LOC with no locations typed, ",""))</f>
        <v/>
      </c>
      <c r="DK424" s="84">
        <f>IF($A424="","",IF(AND($CH424&gt;0,AND($A424&lt;&gt;"",$C424&lt;&gt;"DOOR ONLY"),$X424="KD",$E424="EXTERIOR"),"KD label on an exterior opening, ","")&amp;IF(AND($E424="EXTERIOR",OR(AND(AND($A424&lt;&gt;"",$C424&lt;&gt;"DOOR ONLY"),$W424="CR"),AND(N($BJ424)&gt;0,$AH424="CR"))),"exterior in CR steel (G9?), ","")&amp;IF(AND(ISNUMBER($BQ424),N($BQ424)&lt;32),"clear width ~"&amp;TEXT($BQ424,"0.0")&amp;CHAR(34)&amp;" under 32"&amp;CHAR(34)&amp;" (ADA), ","")&amp;IF(AND($CH424=90,AND(OR($CE424="FG",$CE424="HG",$CE424="FNV",$CE424="FV"),N($CF424)*N($CG424)&gt;100)),"90 min lite over 100 sq in (stair/exit), ","")&amp;IF(AND($CH424&gt;0,AND($A424&lt;&gt;"",$C424&lt;&gt;"DOOR ONLY"),OR($AF424="",$AF424="-")),"rated: closer reinf.?, ","")&amp;IF(OR($I424="CORRIDOR",$I424="SMOKE BARRIER"),"S label + smoke gasketing, ","")&amp;IF($CI424="?","wall type/hr not in IBC table, ","")&amp;IF(AND(N($BJ424)&gt;0,$BB424=""),"no hardware set, ","")&amp;IF(AND($BB424&lt;&gt;"",ISNA(MATCH($BB424&amp;"",HWSets,0))),"set "&amp;$BB424&amp;" not on HW Sets, ","")&amp;IF(N($BL424)&gt;96,"leaf over 8'-0"&amp;CHAR(34)&amp;" - check listing, ","")&amp;IF(AND($CT424,COUNT($AW424:$AZ424)&gt;0,COUNT($AW424:$AZ424)&lt;&gt;$CQ424),COUNT($AW424:$AZ424)&amp;" custom hinges typed, "&amp;$CQ424&amp;" expected, ","")&amp;IF(AND(ISNUMBER($CA424),OR(N($CA424)&lt;34,N($CA424)&gt;48)),"lock "&amp;TEXT($CA424,"0.0")&amp;CHAR(34)&amp;" AFF outside 34-48"&amp;CHAR(34)&amp;" (ADA), ","")&amp;IF(AND(ISNUMBER($AV424),ISNUMBER($BL424),N($AV424)&lt;IF(N($BL424)&lt;=60,2,IF(N($BL424)&lt;=90,3,IF(N($BL424)&lt;=120,4,5)))),"fewer hinges than standard, ",""))</f>
        <v/>
      </c>
    </row>
    <row r="425" ht="15" customHeight="1">
      <c r="A425" s="92" t="n"/>
      <c r="B425" s="93" t="n"/>
      <c r="C425" s="93" t="n"/>
      <c r="D425" s="93" t="n"/>
      <c r="E425" s="93" t="n"/>
      <c r="F425" s="93" t="n"/>
      <c r="G425" s="93" t="n"/>
      <c r="H425" s="93" t="n"/>
      <c r="I425" s="93" t="n"/>
      <c r="J425" s="93" t="n"/>
      <c r="K425" s="93" t="n"/>
      <c r="L425" s="93" t="n"/>
      <c r="M425" s="93" t="n"/>
      <c r="N425" s="93" t="n"/>
      <c r="O425" s="93" t="n"/>
      <c r="P425" s="93" t="n"/>
      <c r="Q425" s="93" t="n"/>
      <c r="R425" s="93" t="n"/>
      <c r="S425" s="94" t="n"/>
      <c r="T425" s="94" t="n"/>
      <c r="U425" s="94" t="n"/>
      <c r="V425" s="94" t="n"/>
      <c r="W425" s="94" t="n"/>
      <c r="X425" s="94" t="n"/>
      <c r="Y425" s="94" t="n"/>
      <c r="Z425" s="94" t="n"/>
      <c r="AA425" s="94" t="n"/>
      <c r="AB425" s="94" t="n"/>
      <c r="AC425" s="94" t="n"/>
      <c r="AD425" s="94" t="n"/>
      <c r="AE425" s="94" t="n"/>
      <c r="AF425" s="94" t="n"/>
      <c r="AG425" s="94" t="n"/>
      <c r="AH425" s="95" t="n"/>
      <c r="AI425" s="95" t="n"/>
      <c r="AJ425" s="95" t="n"/>
      <c r="AK425" s="95" t="n"/>
      <c r="AL425" s="95" t="n"/>
      <c r="AM425" s="95" t="n"/>
      <c r="AN425" s="95" t="n"/>
      <c r="AO425" s="95" t="n"/>
      <c r="AP425" s="95" t="n"/>
      <c r="AQ425" s="95" t="n"/>
      <c r="AR425" s="95" t="n"/>
      <c r="AS425" s="95" t="n"/>
      <c r="AT425" s="96" t="n"/>
      <c r="AU425" s="96" t="n"/>
      <c r="AV425" s="96" t="n"/>
      <c r="AW425" s="97" t="n"/>
      <c r="AX425" s="97" t="n"/>
      <c r="AY425" s="97" t="n"/>
      <c r="AZ425" s="97" t="n"/>
      <c r="BA425" s="97" t="n"/>
      <c r="BB425" s="98" t="n"/>
      <c r="BC425" s="98" t="n"/>
      <c r="BD425" s="99">
        <f>IF($A425="","",IF($DJ425&lt;&gt;"","FIX",IF($DK425&lt;&gt;"","CHECK","OK")))</f>
        <v/>
      </c>
      <c r="BE425" s="100">
        <f>IF($A425="","",IF($DJ425&lt;&gt;"","FIX: "&amp;LEFT($DJ425,LEN($DJ425)-2)&amp;IF($DK425&lt;&gt;"","  ·  ",""),"")&amp;IF($DK425&lt;&gt;"","CHECK: "&amp;LEFT($DK425,LEN($DK425)-2),""))</f>
        <v/>
      </c>
      <c r="BF425" s="99">
        <f>IF(OR($A425="",$K425=""),"",$K425&amp;"'-"&amp;N($L425)&amp;CHAR(34)&amp;" x "&amp;$M425&amp;"'-"&amp;N($N425)&amp;CHAR(34))</f>
        <v/>
      </c>
      <c r="BG425" s="99">
        <f>IF(OR($A425="",$K425=""),"",$K425&amp;N($L425)&amp;$M425&amp;N($N425))</f>
        <v/>
      </c>
      <c r="BH425" s="99">
        <f>IF(OR($A425="",$K425=""),"",$K425*12+N($L425))</f>
        <v/>
      </c>
      <c r="BI425" s="99">
        <f>IF(OR($A425="",$M425=""),"",$M425*12+N($N425))</f>
        <v/>
      </c>
      <c r="BJ425" s="99">
        <f>IF($A425="","",IF(OR($C425="FRAME ONLY",$S425="BL"),0,IF($O425="Y",2,1)))</f>
        <v/>
      </c>
      <c r="BK425" s="101">
        <f>IF(OR(N($BJ425)=0,$BH425=""),"",($BH425-2*EdgeClr-IF($BJ425=2,MeetClr,0))/$BJ425)</f>
        <v/>
      </c>
      <c r="BL425" s="101">
        <f>IF(OR(N($BJ425)=0,$BI425=""),"",$BI425-HeadClr-Undercut)</f>
        <v/>
      </c>
      <c r="BM425" s="101">
        <f>IF($BH425="","",$BH425+2*FaceW+IF(N($Q425)&gt;0,($Q425+FaceW)*IF($R425="LR",2,1),0))</f>
        <v/>
      </c>
      <c r="BN425" s="101">
        <f>IF($BI425="","",$BI425+IF($AB425="Y",4,FaceW)+IF(N($P425)&gt;0,$P425+FaceW,0)+IF(OR($S425="4F",$S425="BL"),FaceW,0))</f>
        <v/>
      </c>
      <c r="BO425" s="101">
        <f>IF($BM425="","",$BM425+2*ROSide)</f>
        <v/>
      </c>
      <c r="BP425" s="101">
        <f>IF($BN425="","",$BN425+ROTop)</f>
        <v/>
      </c>
      <c r="BQ425" s="102">
        <f>IF(OR(N($BJ425)=0,$BH425=""),"",$BH425/$BJ425-ClearDeduct)</f>
        <v/>
      </c>
      <c r="BR425" s="99">
        <f>IF(N($CH425)=0,"",IF($CH425&gt;=180,"A · 3 HR",IF($CH425&gt;=90,"B · 1-1/2 HR",IF($CH425&gt;=60,"B · 1 HR",IF($CH425&gt;=45,"C · 3/4 HR","20 MIN")))))&amp;IF(AND(N($CH425)&gt;0,OR($I425="CORRIDOR",$I425="SMOKE BARRIER"))," · S","")</f>
        <v/>
      </c>
      <c r="BS425" s="99">
        <f>IF($CS425,"",IF($AV425&lt;&gt;"",$AV425,IF(OR($AC425="HGC",$AO425="HGC"),"CONT",IF(($BI425-HeadClr-Undercut)&lt;=60,2,IF(($BI425-HeadClr-Undercut)&lt;=90,3,IF(($BI425-HeadClr-Undercut)&lt;=120,4,5))))))</f>
        <v/>
      </c>
      <c r="BT425" s="99">
        <f>IF($CS425,"",IF($CT425,"CUSTOM (typed)",IF($CV425,$AT425&amp;" "&amp;$CU425&amp;CHAR(34)&amp;IF($CU425&lt;&gt;$BI425,IF(AND($BI425&lt;$CU425,$BI425-IF(N(VLOOKUP($AT425&amp;"|"&amp;$CU425,LocTable,7,FALSE))&gt;0,VLOOKUP($AT425&amp;"|"&amp;$CU425,LocTable,7,FALSE),VLOOKUP($AT425&amp;"|"&amp;$CU425,LocTable,6,FALSE))-$CR425-0.75&gt;=2.125)," cut down"," adj."),""),"ANSI/SDI A250.6")))</f>
        <v/>
      </c>
      <c r="BU425" s="103">
        <f>IF($CS425,"",IF($CT425,IF(N($AW425)&gt;0,N($AW425),""),IF(1&gt;$CQ425,"",IF($CQ425=1,$CW425,$CW425+($CX425-$CW425)*0/($CQ425-1)))))</f>
        <v/>
      </c>
      <c r="BV425" s="103">
        <f>IF($CS425,"",IF($CT425,IF(N($AX425)&gt;0,N($AX425),""),IF(2&gt;$CQ425,"",IF($CQ425=1,$CW425,$CW425+($CX425-$CW425)*1/($CQ425-1)))))</f>
        <v/>
      </c>
      <c r="BW425" s="103">
        <f>IF($CS425,"",IF($CT425,IF(N($AY425)&gt;0,N($AY425),""),IF(3&gt;$CQ425,"",IF($CQ425=1,$CW425,$CW425+($CX425-$CW425)*2/($CQ425-1)))))</f>
        <v/>
      </c>
      <c r="BX425" s="103">
        <f>IF($CS425,"",IF($CT425,IF(N($AZ425)&gt;0,N($AZ425),""),IF(4&gt;$CQ425,"",IF($CQ425=1,$CW425,$CW425+($CX425-$CW425)*3/($CQ425-1)))))</f>
        <v/>
      </c>
      <c r="BY425" s="103">
        <f>IF($CS425,"",IF($CT425,"",IF(5&gt;$CQ425,"",IF($CQ425=1,$CW425,$CW425+($CX425-$CW425)*4/($CQ425-1)))))</f>
        <v/>
      </c>
      <c r="BZ425" s="103">
        <f>IF(OR($CS425,$AP425="-",AND($AP425="",$AD425="")),"",IF(N($BA425)&gt;0,N($BA425),IF($CV425,IF(AND($BI425&lt;$CU425,$BI425-IF(N(VLOOKUP($AT425&amp;"|"&amp;$CU425,LocTable,7,FALSE))&gt;0,VLOOKUP($AT425&amp;"|"&amp;$CU425,LocTable,7,FALSE),VLOOKUP($AT425&amp;"|"&amp;$CU425,LocTable,6,FALSE))-$CR425-0.75&gt;=2.125),VLOOKUP($AT425&amp;"|"&amp;$CU425,LocTable,8,FALSE),VLOOKUP($AT425&amp;"|"&amp;$CU425,LocTable,8,FALSE)+($BI425-$CU425)),$BI425-LockAFF)))</f>
        <v/>
      </c>
      <c r="CA425" s="104">
        <f>IF($BZ425="","",$BI425-$BZ425)</f>
        <v/>
      </c>
      <c r="CB425" s="99">
        <f>IF(OR(NOT(AND($A425&lt;&gt;"",$C425&lt;&gt;"DOOR ONLY")),$BI425=""),"",IF(($BI425+IF(N($P425)&gt;0,$P425+FaceW,0))&lt;=90,3,IF(($BI425+IF(N($P425)&gt;0,$P425+FaceW,0))&lt;=114,4,5)))</f>
        <v/>
      </c>
      <c r="CC425" s="99">
        <f>IF($CB425="","",$CB425*(2+IF(N($Q425)&gt;0,IF($R425="LR",2,1),0)))</f>
        <v/>
      </c>
      <c r="CD425" s="99">
        <f>IF($CB425="","",(2+IF(N($Q425)&gt;0,IF($R425="LR",2,1),0)))</f>
        <v/>
      </c>
      <c r="CE425" s="99">
        <f>IF(N($BJ425)=0,"",IF(OR($AL425="",$AL425="FLUSH"),"FLUSH",IFERROR(LEFT($AL425,FIND("-",$AL425)-1),LEFT($AL425,2))))</f>
        <v/>
      </c>
      <c r="CF425" s="99">
        <f>IF($CE425="","",IFERROR(VALUE(MID($AL425,FIND("-",$AL425)+1,FIND(CHAR(34)&amp;"x",$AL425)-FIND("-",$AL425)-1)),0))</f>
        <v/>
      </c>
      <c r="CG425" s="99">
        <f>IF($CE425="","",IFERROR(VALUE(MID($AL425,FIND(CHAR(34)&amp;"x",$AL425)+2,FIND(CHAR(34),$AL425,FIND(CHAR(34)&amp;"x",$AL425)+2)-FIND(CHAR(34)&amp;"x",$AL425)-2)),0))</f>
        <v/>
      </c>
      <c r="CH425" s="105">
        <f>IF(OR($A425="",$H425="",$H425="NO LAB"),0,IFERROR(VALUE(LEFT($H425,FIND(" ",$H425)-1)),0))</f>
        <v/>
      </c>
      <c r="CI425" s="106">
        <f>IF(OR($A425="",$I425="",$I425="NON-RATED",N($J425)=0),"",IFERROR(VLOOKUP($I425&amp;"|"&amp;$J425,IBC,2,FALSE),"?"))</f>
        <v/>
      </c>
      <c r="CJ425" s="100">
        <f>IF(NOT(AND($A425&lt;&gt;"",$C425&lt;&gt;"DOOR ONLY")),"",TRIM(IFERROR(VLOOKUP($U425,CODES,2,FALSE),"")&amp;" "&amp;$BG425&amp;" "&amp;IFERROR(VLOOKUP($Z425,CODES,2,FALSE),"")&amp;" "&amp;IFERROR(VLOOKUP($X425,CODES,2,FALSE),"")&amp;" "&amp;IFERROR(VLOOKUP($S425,CODES,2,FALSE),"")&amp;IF(N($P425)&gt;0," w/TRANSOM "&amp;$P425&amp;CHAR(34),"")&amp;IF(N($Q425)&gt;0," w/SIDELITE "&amp;$Q425&amp;CHAR(34)&amp;" "&amp;IF($R425="","R",$R425),"")&amp;IF($Y425="","  |  "," | "&amp;IFERROR(VLOOKUP($Y425,CODES,2,FALSE),"")&amp;" | ")&amp;IFERROR(VLOOKUP($AC425,CODES,2,FALSE),"")&amp;" "&amp;IFERROR(VLOOKUP($AD425,CODES,2,FALSE),"")&amp;IF(OR($AE425="",$AE425="-"),""," "&amp;$AE425)&amp;IF(OR($AF425="",$AF425="-"),""," "&amp;$AF425)&amp;IF($AB425="Y"," 4"&amp;CHAR(34)&amp;" HEAD","")&amp;" "&amp;IFERROR(VLOOKUP($H425,CODES,2,FALSE),"")&amp;IF($CT425," | LOC "&amp;$CY425,"")))</f>
        <v/>
      </c>
      <c r="CK425" s="100">
        <f>IF(NOT(AND($A425&lt;&gt;"",N($BJ425)&gt;0)),"",TRIM(IFERROR(VLOOKUP($AH425,CODES,2,FALSE),"")&amp;IF($AI425=""," "," "&amp;$AI425&amp;"GA ")&amp;$BG425&amp;" "&amp;IF($AN425="",IFERROR(VLOOKUP($Z425,CODES,2,FALSE),""),IFERROR(VLOOKUP($AN425,CODES,2,FALSE),""))&amp;IF($BJ425=2," PAIR","")&amp;" DOOR | "&amp;IF($AL425="","?",$AL425)&amp;" | "&amp;IF($AO425="",IFERROR(VLOOKUP($AC425,CODES,2,FALSE),""),IFERROR(VLOOKUP($AO425,CODES,2,FALSE),""))&amp;" "&amp;IFERROR(VLOOKUP($AP425,CODES,2,FALSE),"")&amp;IF(OR($AQ425="",$AQ425="-"),""," SEAM "&amp;$AQ425)&amp;IF($AR425="Y"," ASTRAGAL","")&amp;IF($AJ425=""," "," "&amp;$AJ425)&amp;IF($AK425=""," "," "&amp;$AK425)&amp;IF(OR($AT425="",$AT425="ANSI/SDI",$AT425="CUSTOM LOC"),""," "&amp;$AT425)&amp;IF($AM425=""," "," SERIES "&amp;$AM425)&amp;" "&amp;IFERROR(VLOOKUP($H425,CODES,2,FALSE),"")&amp;IF($CT425," | LOC "&amp;$CZ425,"")))</f>
        <v/>
      </c>
      <c r="CL425" s="99">
        <f>IF(CP425="","",IF(COUNTIF($CP$6:CP425,CP425)=1,MAX($CL$5:CL424)+1,INDEX($CL$5:CL424,MATCH(CP425,$CP$5:CP424,0))))</f>
        <v/>
      </c>
      <c r="CM425" s="99">
        <f>IF(NOT(AND($A425&lt;&gt;"",$C425&lt;&gt;"DOOR ONLY")),"",MAX($CM$5:CM424)+1)</f>
        <v/>
      </c>
      <c r="CN425" s="99">
        <f>IF(NOT(AND($A425&lt;&gt;"",N($BJ425)&gt;0)),"",MAX($CN$5:CN424)+1)</f>
        <v/>
      </c>
      <c r="CO425" s="99">
        <f>IF($A425="","",MAX($CO$5:CO424)+1)</f>
        <v/>
      </c>
      <c r="CP425" s="99">
        <f>IF(OR($A425="",$BH425="",$BI425=""),"",$BG425&amp;"|"&amp;$O425&amp;"|"&amp;$AL425&amp;"|"&amp;$S425&amp;"|"&amp;$P425&amp;"|"&amp;$Q425&amp;$R425&amp;"|"&amp;$C425&amp;"|"&amp;$AB425)</f>
        <v/>
      </c>
      <c r="CQ425" s="99">
        <f>N($BS425)</f>
        <v/>
      </c>
      <c r="CR425" s="99">
        <f>IF(N($AU425)&gt;0,N($AU425),4.5)</f>
        <v/>
      </c>
      <c r="CS425" s="99">
        <f>OR($A425="",$BI425="",$S425="BL",AND($C425="FRAME ONLY",OR($AC425="",$AC425="BLK")))</f>
        <v/>
      </c>
      <c r="CT425" s="99">
        <f>AND(NOT($CS425),OR($AT425="CUSTOM LOC",N($AW425)+N($AX425)+N($AY425)+N($AZ425)+N($BA425)&gt;0))</f>
        <v/>
      </c>
      <c r="CU425" s="99">
        <f>IF($BI425="","",IF($BI425&lt;=80,80,IF($BI425&lt;=84,84,96)))</f>
        <v/>
      </c>
      <c r="CV425" s="99">
        <f>ISNUMBER(MATCH($AT425&amp;"|80",LocKeys,0))</f>
        <v/>
      </c>
      <c r="CW425" s="101">
        <f>IF($CS425,"",IF($CV425,VLOOKUP($AT425&amp;"|"&amp;$CU425,LocTable,4,FALSE),5))</f>
        <v/>
      </c>
      <c r="CX425" s="101">
        <f>IF($CS425,"",IF($CV425,IF(OR($BI425=$CU425,AND($BI425&lt;$CU425,$BI425-IF(N(VLOOKUP($AT425&amp;"|"&amp;$CU425,LocTable,7,FALSE))&gt;0,VLOOKUP($AT425&amp;"|"&amp;$CU425,LocTable,7,FALSE),VLOOKUP($AT425&amp;"|"&amp;$CU425,LocTable,6,FALSE))-$CR425-0.75&gt;=2.125)),IF(N(VLOOKUP($AT425&amp;"|"&amp;$CU425,LocTable,7,FALSE))&gt;0,VLOOKUP($AT425&amp;"|"&amp;$CU425,LocTable,7,FALSE),VLOOKUP($AT425&amp;"|"&amp;$CU425,LocTable,6,FALSE)),$BI425-($CU425-IF(N(VLOOKUP($AT425&amp;"|"&amp;$CU425,LocTable,7,FALSE))&gt;0,VLOOKUP($AT425&amp;"|"&amp;$CU425,LocTable,7,FALSE),VLOOKUP($AT425&amp;"|"&amp;$CU425,LocTable,6,FALSE)))),$BI425-10-$CR425))</f>
        <v/>
      </c>
      <c r="CY425" s="100">
        <f>IF($CS425,"",TRIM(IF(ISNUMBER($BU425),"A "&amp;TRIM(TEXT($BU425,"# ?/??"))&amp;CHAR(34)&amp;"  ","")&amp;IF(ISNUMBER($BV425),"B "&amp;TRIM(TEXT($BV425,"# ?/??"))&amp;CHAR(34)&amp;"  ","")&amp;IF(ISNUMBER($BW425),"C "&amp;TRIM(TEXT($BW425,"# ?/??"))&amp;CHAR(34)&amp;"  ","")&amp;IF(ISNUMBER($BX425),"D "&amp;TRIM(TEXT($BX425,"# ?/??"))&amp;CHAR(34)&amp;"  ","")&amp;IF(ISNUMBER($BY425),"F "&amp;TRIM(TEXT($BY425,"# ?/??"))&amp;CHAR(34)&amp;"  ","")&amp;IF(ISNUMBER($BZ425),"E "&amp;TRIM(TEXT($BZ425,"# ?/??"))&amp;CHAR(34)&amp;"  ","")))</f>
        <v/>
      </c>
      <c r="CZ425" s="100">
        <f>IF(OR($CS425,N($BJ425)=0),"",TRIM(IF(ISNUMBER($BU425),"A "&amp;TRIM(TEXT($BU425-HeadClr,"# ?/??"))&amp;CHAR(34)&amp;"  ","")&amp;IF(ISNUMBER($BV425),"B "&amp;TRIM(TEXT($BV425-HeadClr,"# ?/??"))&amp;CHAR(34)&amp;"  ","")&amp;IF(ISNUMBER($BW425),"C "&amp;TRIM(TEXT($BW425-HeadClr,"# ?/??"))&amp;CHAR(34)&amp;"  ","")&amp;IF(ISNUMBER($BX425),"D "&amp;TRIM(TEXT($BX425-HeadClr,"# ?/??"))&amp;CHAR(34)&amp;"  ","")&amp;IF(ISNUMBER($BY425),"F "&amp;TRIM(TEXT($BY425-HeadClr,"# ?/??"))&amp;CHAR(34)&amp;"  ","")&amp;IF(ISNUMBER($BZ425),"E "&amp;TRIM(TEXT($BZ425-HeadClr,"# ?/??"))&amp;CHAR(34)&amp;"  ","")))</f>
        <v/>
      </c>
      <c r="DA425" s="99">
        <f>IF($A425="","",IF($AN425="",IFERROR(VLOOKUP($Z425,CODES,2,FALSE),""),IFERROR(VLOOKUP($AN425,CODES,2,FALSE),"")))</f>
        <v/>
      </c>
      <c r="DB425" s="99">
        <f>IF($A425="","",IF($O425="Y","PR",IF(OR($Z425="L",$Z425="RR",LEFT($Z425,2)="L-",LEFT($Z425,3)="RR-"),"LH","RH")))</f>
        <v/>
      </c>
      <c r="DC425" s="99">
        <f>IF($A425="","","S.HM"&amp;IF(OR($C425="DOOR ONLY",$X425&lt;&gt;"KD"),"MASONRY","DRYWALL")&amp;IF($C425="DOOR ONLY","",$U425)&amp;IF(AND($C425&lt;&gt;"FRAME ONLY",OR(LEFT($AH425,3)="OAK",LEFT($AH425,3)="BIR",LEFT($AH425,3)="MAP",$AH425="PC",$AH425="MC",$AH425="SCLC",$AH425="P-LAM")),"WD","HM")&amp;"1.75")</f>
        <v/>
      </c>
      <c r="DD425" s="99">
        <f>IF($CJ425="","",IF($O425="Y",$CJ425,SUBSTITUTE($CJ425,$BG425&amp;" "&amp;IFERROR(VLOOKUP($Z425,CODES,2,FALSE),"")&amp;" ",$BG425&amp;" ")))</f>
        <v/>
      </c>
      <c r="DE425" s="99">
        <f>IF($CK425="","",IF($O425="Y",$CK425,SUBSTITUTE($CK425,$BG425&amp;" "&amp;IF($AN425="",IFERROR(VLOOKUP($Z425,CODES,2,FALSE),""),IFERROR(VLOOKUP($AN425,CODES,2,FALSE),""))&amp;" ",$BG425&amp;" ")))</f>
        <v/>
      </c>
      <c r="DF425" s="99">
        <f>IF($CJ425="","",$DC425&amp;"|"&amp;$DD425&amp;"|"&amp;$DB425&amp;"|"&amp;$AT425&amp;"|"&amp;$V425&amp;"|"&amp;$Y425&amp;"|"&amp;$AB425)</f>
        <v/>
      </c>
      <c r="DG425" s="99">
        <f>IF(DF425="","",IF(COUNTIF($DF$6:DF425,DF425)=1,MAX($DG$5:DG424)+1,INDEX($DG$5:DG424,MATCH(DF425,$DF$5:DF424,0))))</f>
        <v/>
      </c>
      <c r="DH425" s="99">
        <f>IF($CK425="","",$DC425&amp;"|"&amp;$DE425&amp;"|"&amp;$AI425&amp;"|"&amp;$BK425&amp;"|"&amp;$BL425)</f>
        <v/>
      </c>
      <c r="DI425" s="99">
        <f>IF(DH425="","",IF(COUNTIF($DH$6:DH425,DH425)=1,MAX($DI$5:DI424)+1,INDEX($DI$5:DI424,MATCH(DH425,$DH$5:DH424,0))))</f>
        <v/>
      </c>
      <c r="DJ425" s="99">
        <f>IF($A425="","",IF($B425="","qty, ","")&amp;IF($C425="","scope, ","")&amp;IF(OR($K425="",$M425=""),"size, ","")&amp;IF(AND($A425&lt;&gt;"",$C425&lt;&gt;"DOOR ONLY"),IF($U425="","jamb depth, ","")&amp;IF($X425="","construction, ","")&amp;IF($Y425="","anchor, ","")&amp;IF($S425="","frame type, ",""),"")&amp;IF(AND(N($BJ425)&gt;0,$Z425=""),"hand, ","")&amp;IF(N($BJ425)&gt;0,IF($AH425="","door material, ","")&amp;IF($AL425="","face type, ","")&amp;IF($AP425="","lock prep, ","")&amp;IF(AND($AO425="",$AC425=""),"hinge prep, ",""),"")&amp;IF(AND($CH425&gt;0,$AH425="FRP"),"FRP cannot carry a label, ","")&amp;IF(AND($O425="Y",OR($Z425="L",$Z425="R",$Z425="LR",$Z425="RR")),"pair marked but hand is single, ","")&amp;IF(AND($O425&lt;&gt;"Y",OR($Z425="PR",AND(LEN($Z425)&gt;1,ISNUMBER(SEARCH("-",$Z425))))),"pair hand on a single door, ","")&amp;IF(AND(ISNUMBER($CI425),$CH425&lt;N($CI425)),"wall needs a "&amp;$CI425&amp;" min door, ","")&amp;IF(AND($CH425&gt;=180,AND(OR($CE425="FG",$CE425="HG",$CE425="FNV",$CE425="FV"),N($CF425)*N($CG425)&gt;100)),"180 min lite over 100 sq in, ","")&amp;IF(N($BK425)&gt;48,"leaf wider than 4'-0"&amp;CHAR(34)&amp;", ","")&amp;IF(AND($CT425,COUNT($AW425:$AZ425)=0,$CQ425&gt;0),"CUSTOM LOC with no locations typed, ",""))</f>
        <v/>
      </c>
      <c r="DK425" s="99">
        <f>IF($A425="","",IF(AND($CH425&gt;0,AND($A425&lt;&gt;"",$C425&lt;&gt;"DOOR ONLY"),$X425="KD",$E425="EXTERIOR"),"KD label on an exterior opening, ","")&amp;IF(AND($E425="EXTERIOR",OR(AND(AND($A425&lt;&gt;"",$C425&lt;&gt;"DOOR ONLY"),$W425="CR"),AND(N($BJ425)&gt;0,$AH425="CR"))),"exterior in CR steel (G9?), ","")&amp;IF(AND(ISNUMBER($BQ425),N($BQ425)&lt;32),"clear width ~"&amp;TEXT($BQ425,"0.0")&amp;CHAR(34)&amp;" under 32"&amp;CHAR(34)&amp;" (ADA), ","")&amp;IF(AND($CH425=90,AND(OR($CE425="FG",$CE425="HG",$CE425="FNV",$CE425="FV"),N($CF425)*N($CG425)&gt;100)),"90 min lite over 100 sq in (stair/exit), ","")&amp;IF(AND($CH425&gt;0,AND($A425&lt;&gt;"",$C425&lt;&gt;"DOOR ONLY"),OR($AF425="",$AF425="-")),"rated: closer reinf.?, ","")&amp;IF(OR($I425="CORRIDOR",$I425="SMOKE BARRIER"),"S label + smoke gasketing, ","")&amp;IF($CI425="?","wall type/hr not in IBC table, ","")&amp;IF(AND(N($BJ425)&gt;0,$BB425=""),"no hardware set, ","")&amp;IF(AND($BB425&lt;&gt;"",ISNA(MATCH($BB425&amp;"",HWSets,0))),"set "&amp;$BB425&amp;" not on HW Sets, ","")&amp;IF(N($BL425)&gt;96,"leaf over 8'-0"&amp;CHAR(34)&amp;" - check listing, ","")&amp;IF(AND($CT425,COUNT($AW425:$AZ425)&gt;0,COUNT($AW425:$AZ425)&lt;&gt;$CQ425),COUNT($AW425:$AZ425)&amp;" custom hinges typed, "&amp;$CQ425&amp;" expected, ","")&amp;IF(AND(ISNUMBER($CA425),OR(N($CA425)&lt;34,N($CA425)&gt;48)),"lock "&amp;TEXT($CA425,"0.0")&amp;CHAR(34)&amp;" AFF outside 34-48"&amp;CHAR(34)&amp;" (ADA), ","")&amp;IF(AND(ISNUMBER($AV425),ISNUMBER($BL425),N($AV425)&lt;IF(N($BL425)&lt;=60,2,IF(N($BL425)&lt;=90,3,IF(N($BL425)&lt;=120,4,5)))),"fewer hinges than standard, ",""))</f>
        <v/>
      </c>
    </row>
    <row r="426" ht="15" customHeight="1">
      <c r="A426" s="77" t="n"/>
      <c r="B426" s="78" t="n"/>
      <c r="C426" s="78" t="n"/>
      <c r="D426" s="78" t="n"/>
      <c r="E426" s="78" t="n"/>
      <c r="F426" s="78" t="n"/>
      <c r="G426" s="78" t="n"/>
      <c r="H426" s="78" t="n"/>
      <c r="I426" s="78" t="n"/>
      <c r="J426" s="78" t="n"/>
      <c r="K426" s="78" t="n"/>
      <c r="L426" s="78" t="n"/>
      <c r="M426" s="78" t="n"/>
      <c r="N426" s="78" t="n"/>
      <c r="O426" s="78" t="n"/>
      <c r="P426" s="78" t="n"/>
      <c r="Q426" s="78" t="n"/>
      <c r="R426" s="78" t="n"/>
      <c r="S426" s="79" t="n"/>
      <c r="T426" s="79" t="n"/>
      <c r="U426" s="79" t="n"/>
      <c r="V426" s="79" t="n"/>
      <c r="W426" s="79" t="n"/>
      <c r="X426" s="79" t="n"/>
      <c r="Y426" s="79" t="n"/>
      <c r="Z426" s="79" t="n"/>
      <c r="AA426" s="79" t="n"/>
      <c r="AB426" s="79" t="n"/>
      <c r="AC426" s="79" t="n"/>
      <c r="AD426" s="79" t="n"/>
      <c r="AE426" s="79" t="n"/>
      <c r="AF426" s="79" t="n"/>
      <c r="AG426" s="79" t="n"/>
      <c r="AH426" s="80" t="n"/>
      <c r="AI426" s="80" t="n"/>
      <c r="AJ426" s="80" t="n"/>
      <c r="AK426" s="80" t="n"/>
      <c r="AL426" s="80" t="n"/>
      <c r="AM426" s="80" t="n"/>
      <c r="AN426" s="80" t="n"/>
      <c r="AO426" s="80" t="n"/>
      <c r="AP426" s="80" t="n"/>
      <c r="AQ426" s="80" t="n"/>
      <c r="AR426" s="80" t="n"/>
      <c r="AS426" s="80" t="n"/>
      <c r="AT426" s="81" t="n"/>
      <c r="AU426" s="81" t="n"/>
      <c r="AV426" s="81" t="n"/>
      <c r="AW426" s="82" t="n"/>
      <c r="AX426" s="82" t="n"/>
      <c r="AY426" s="82" t="n"/>
      <c r="AZ426" s="82" t="n"/>
      <c r="BA426" s="82" t="n"/>
      <c r="BB426" s="83" t="n"/>
      <c r="BC426" s="83" t="n"/>
      <c r="BD426" s="84">
        <f>IF($A426="","",IF($DJ426&lt;&gt;"","FIX",IF($DK426&lt;&gt;"","CHECK","OK")))</f>
        <v/>
      </c>
      <c r="BE426" s="85">
        <f>IF($A426="","",IF($DJ426&lt;&gt;"","FIX: "&amp;LEFT($DJ426,LEN($DJ426)-2)&amp;IF($DK426&lt;&gt;"","  ·  ",""),"")&amp;IF($DK426&lt;&gt;"","CHECK: "&amp;LEFT($DK426,LEN($DK426)-2),""))</f>
        <v/>
      </c>
      <c r="BF426" s="84">
        <f>IF(OR($A426="",$K426=""),"",$K426&amp;"'-"&amp;N($L426)&amp;CHAR(34)&amp;" x "&amp;$M426&amp;"'-"&amp;N($N426)&amp;CHAR(34))</f>
        <v/>
      </c>
      <c r="BG426" s="84">
        <f>IF(OR($A426="",$K426=""),"",$K426&amp;N($L426)&amp;$M426&amp;N($N426))</f>
        <v/>
      </c>
      <c r="BH426" s="84">
        <f>IF(OR($A426="",$K426=""),"",$K426*12+N($L426))</f>
        <v/>
      </c>
      <c r="BI426" s="84">
        <f>IF(OR($A426="",$M426=""),"",$M426*12+N($N426))</f>
        <v/>
      </c>
      <c r="BJ426" s="84">
        <f>IF($A426="","",IF(OR($C426="FRAME ONLY",$S426="BL"),0,IF($O426="Y",2,1)))</f>
        <v/>
      </c>
      <c r="BK426" s="86">
        <f>IF(OR(N($BJ426)=0,$BH426=""),"",($BH426-2*EdgeClr-IF($BJ426=2,MeetClr,0))/$BJ426)</f>
        <v/>
      </c>
      <c r="BL426" s="86">
        <f>IF(OR(N($BJ426)=0,$BI426=""),"",$BI426-HeadClr-Undercut)</f>
        <v/>
      </c>
      <c r="BM426" s="86">
        <f>IF($BH426="","",$BH426+2*FaceW+IF(N($Q426)&gt;0,($Q426+FaceW)*IF($R426="LR",2,1),0))</f>
        <v/>
      </c>
      <c r="BN426" s="86">
        <f>IF($BI426="","",$BI426+IF($AB426="Y",4,FaceW)+IF(N($P426)&gt;0,$P426+FaceW,0)+IF(OR($S426="4F",$S426="BL"),FaceW,0))</f>
        <v/>
      </c>
      <c r="BO426" s="86">
        <f>IF($BM426="","",$BM426+2*ROSide)</f>
        <v/>
      </c>
      <c r="BP426" s="86">
        <f>IF($BN426="","",$BN426+ROTop)</f>
        <v/>
      </c>
      <c r="BQ426" s="87">
        <f>IF(OR(N($BJ426)=0,$BH426=""),"",$BH426/$BJ426-ClearDeduct)</f>
        <v/>
      </c>
      <c r="BR426" s="84">
        <f>IF(N($CH426)=0,"",IF($CH426&gt;=180,"A · 3 HR",IF($CH426&gt;=90,"B · 1-1/2 HR",IF($CH426&gt;=60,"B · 1 HR",IF($CH426&gt;=45,"C · 3/4 HR","20 MIN")))))&amp;IF(AND(N($CH426)&gt;0,OR($I426="CORRIDOR",$I426="SMOKE BARRIER"))," · S","")</f>
        <v/>
      </c>
      <c r="BS426" s="84">
        <f>IF($CS426,"",IF($AV426&lt;&gt;"",$AV426,IF(OR($AC426="HGC",$AO426="HGC"),"CONT",IF(($BI426-HeadClr-Undercut)&lt;=60,2,IF(($BI426-HeadClr-Undercut)&lt;=90,3,IF(($BI426-HeadClr-Undercut)&lt;=120,4,5))))))</f>
        <v/>
      </c>
      <c r="BT426" s="84">
        <f>IF($CS426,"",IF($CT426,"CUSTOM (typed)",IF($CV426,$AT426&amp;" "&amp;$CU426&amp;CHAR(34)&amp;IF($CU426&lt;&gt;$BI426,IF(AND($BI426&lt;$CU426,$BI426-IF(N(VLOOKUP($AT426&amp;"|"&amp;$CU426,LocTable,7,FALSE))&gt;0,VLOOKUP($AT426&amp;"|"&amp;$CU426,LocTable,7,FALSE),VLOOKUP($AT426&amp;"|"&amp;$CU426,LocTable,6,FALSE))-$CR426-0.75&gt;=2.125)," cut down"," adj."),""),"ANSI/SDI A250.6")))</f>
        <v/>
      </c>
      <c r="BU426" s="88">
        <f>IF($CS426,"",IF($CT426,IF(N($AW426)&gt;0,N($AW426),""),IF(1&gt;$CQ426,"",IF($CQ426=1,$CW426,$CW426+($CX426-$CW426)*0/($CQ426-1)))))</f>
        <v/>
      </c>
      <c r="BV426" s="88">
        <f>IF($CS426,"",IF($CT426,IF(N($AX426)&gt;0,N($AX426),""),IF(2&gt;$CQ426,"",IF($CQ426=1,$CW426,$CW426+($CX426-$CW426)*1/($CQ426-1)))))</f>
        <v/>
      </c>
      <c r="BW426" s="88">
        <f>IF($CS426,"",IF($CT426,IF(N($AY426)&gt;0,N($AY426),""),IF(3&gt;$CQ426,"",IF($CQ426=1,$CW426,$CW426+($CX426-$CW426)*2/($CQ426-1)))))</f>
        <v/>
      </c>
      <c r="BX426" s="88">
        <f>IF($CS426,"",IF($CT426,IF(N($AZ426)&gt;0,N($AZ426),""),IF(4&gt;$CQ426,"",IF($CQ426=1,$CW426,$CW426+($CX426-$CW426)*3/($CQ426-1)))))</f>
        <v/>
      </c>
      <c r="BY426" s="88">
        <f>IF($CS426,"",IF($CT426,"",IF(5&gt;$CQ426,"",IF($CQ426=1,$CW426,$CW426+($CX426-$CW426)*4/($CQ426-1)))))</f>
        <v/>
      </c>
      <c r="BZ426" s="88">
        <f>IF(OR($CS426,$AP426="-",AND($AP426="",$AD426="")),"",IF(N($BA426)&gt;0,N($BA426),IF($CV426,IF(AND($BI426&lt;$CU426,$BI426-IF(N(VLOOKUP($AT426&amp;"|"&amp;$CU426,LocTable,7,FALSE))&gt;0,VLOOKUP($AT426&amp;"|"&amp;$CU426,LocTable,7,FALSE),VLOOKUP($AT426&amp;"|"&amp;$CU426,LocTable,6,FALSE))-$CR426-0.75&gt;=2.125),VLOOKUP($AT426&amp;"|"&amp;$CU426,LocTable,8,FALSE),VLOOKUP($AT426&amp;"|"&amp;$CU426,LocTable,8,FALSE)+($BI426-$CU426)),$BI426-LockAFF)))</f>
        <v/>
      </c>
      <c r="CA426" s="89">
        <f>IF($BZ426="","",$BI426-$BZ426)</f>
        <v/>
      </c>
      <c r="CB426" s="84">
        <f>IF(OR(NOT(AND($A426&lt;&gt;"",$C426&lt;&gt;"DOOR ONLY")),$BI426=""),"",IF(($BI426+IF(N($P426)&gt;0,$P426+FaceW,0))&lt;=90,3,IF(($BI426+IF(N($P426)&gt;0,$P426+FaceW,0))&lt;=114,4,5)))</f>
        <v/>
      </c>
      <c r="CC426" s="84">
        <f>IF($CB426="","",$CB426*(2+IF(N($Q426)&gt;0,IF($R426="LR",2,1),0)))</f>
        <v/>
      </c>
      <c r="CD426" s="84">
        <f>IF($CB426="","",(2+IF(N($Q426)&gt;0,IF($R426="LR",2,1),0)))</f>
        <v/>
      </c>
      <c r="CE426" s="84">
        <f>IF(N($BJ426)=0,"",IF(OR($AL426="",$AL426="FLUSH"),"FLUSH",IFERROR(LEFT($AL426,FIND("-",$AL426)-1),LEFT($AL426,2))))</f>
        <v/>
      </c>
      <c r="CF426" s="84">
        <f>IF($CE426="","",IFERROR(VALUE(MID($AL426,FIND("-",$AL426)+1,FIND(CHAR(34)&amp;"x",$AL426)-FIND("-",$AL426)-1)),0))</f>
        <v/>
      </c>
      <c r="CG426" s="84">
        <f>IF($CE426="","",IFERROR(VALUE(MID($AL426,FIND(CHAR(34)&amp;"x",$AL426)+2,FIND(CHAR(34),$AL426,FIND(CHAR(34)&amp;"x",$AL426)+2)-FIND(CHAR(34)&amp;"x",$AL426)-2)),0))</f>
        <v/>
      </c>
      <c r="CH426" s="90">
        <f>IF(OR($A426="",$H426="",$H426="NO LAB"),0,IFERROR(VALUE(LEFT($H426,FIND(" ",$H426)-1)),0))</f>
        <v/>
      </c>
      <c r="CI426" s="91">
        <f>IF(OR($A426="",$I426="",$I426="NON-RATED",N($J426)=0),"",IFERROR(VLOOKUP($I426&amp;"|"&amp;$J426,IBC,2,FALSE),"?"))</f>
        <v/>
      </c>
      <c r="CJ426" s="85">
        <f>IF(NOT(AND($A426&lt;&gt;"",$C426&lt;&gt;"DOOR ONLY")),"",TRIM(IFERROR(VLOOKUP($U426,CODES,2,FALSE),"")&amp;" "&amp;$BG426&amp;" "&amp;IFERROR(VLOOKUP($Z426,CODES,2,FALSE),"")&amp;" "&amp;IFERROR(VLOOKUP($X426,CODES,2,FALSE),"")&amp;" "&amp;IFERROR(VLOOKUP($S426,CODES,2,FALSE),"")&amp;IF(N($P426)&gt;0," w/TRANSOM "&amp;$P426&amp;CHAR(34),"")&amp;IF(N($Q426)&gt;0," w/SIDELITE "&amp;$Q426&amp;CHAR(34)&amp;" "&amp;IF($R426="","R",$R426),"")&amp;IF($Y426="","  |  "," | "&amp;IFERROR(VLOOKUP($Y426,CODES,2,FALSE),"")&amp;" | ")&amp;IFERROR(VLOOKUP($AC426,CODES,2,FALSE),"")&amp;" "&amp;IFERROR(VLOOKUP($AD426,CODES,2,FALSE),"")&amp;IF(OR($AE426="",$AE426="-"),""," "&amp;$AE426)&amp;IF(OR($AF426="",$AF426="-"),""," "&amp;$AF426)&amp;IF($AB426="Y"," 4"&amp;CHAR(34)&amp;" HEAD","")&amp;" "&amp;IFERROR(VLOOKUP($H426,CODES,2,FALSE),"")&amp;IF($CT426," | LOC "&amp;$CY426,"")))</f>
        <v/>
      </c>
      <c r="CK426" s="85">
        <f>IF(NOT(AND($A426&lt;&gt;"",N($BJ426)&gt;0)),"",TRIM(IFERROR(VLOOKUP($AH426,CODES,2,FALSE),"")&amp;IF($AI426=""," "," "&amp;$AI426&amp;"GA ")&amp;$BG426&amp;" "&amp;IF($AN426="",IFERROR(VLOOKUP($Z426,CODES,2,FALSE),""),IFERROR(VLOOKUP($AN426,CODES,2,FALSE),""))&amp;IF($BJ426=2," PAIR","")&amp;" DOOR | "&amp;IF($AL426="","?",$AL426)&amp;" | "&amp;IF($AO426="",IFERROR(VLOOKUP($AC426,CODES,2,FALSE),""),IFERROR(VLOOKUP($AO426,CODES,2,FALSE),""))&amp;" "&amp;IFERROR(VLOOKUP($AP426,CODES,2,FALSE),"")&amp;IF(OR($AQ426="",$AQ426="-"),""," SEAM "&amp;$AQ426)&amp;IF($AR426="Y"," ASTRAGAL","")&amp;IF($AJ426=""," "," "&amp;$AJ426)&amp;IF($AK426=""," "," "&amp;$AK426)&amp;IF(OR($AT426="",$AT426="ANSI/SDI",$AT426="CUSTOM LOC"),""," "&amp;$AT426)&amp;IF($AM426=""," "," SERIES "&amp;$AM426)&amp;" "&amp;IFERROR(VLOOKUP($H426,CODES,2,FALSE),"")&amp;IF($CT426," | LOC "&amp;$CZ426,"")))</f>
        <v/>
      </c>
      <c r="CL426" s="84">
        <f>IF(CP426="","",IF(COUNTIF($CP$6:CP426,CP426)=1,MAX($CL$5:CL425)+1,INDEX($CL$5:CL425,MATCH(CP426,$CP$5:CP425,0))))</f>
        <v/>
      </c>
      <c r="CM426" s="84">
        <f>IF(NOT(AND($A426&lt;&gt;"",$C426&lt;&gt;"DOOR ONLY")),"",MAX($CM$5:CM425)+1)</f>
        <v/>
      </c>
      <c r="CN426" s="84">
        <f>IF(NOT(AND($A426&lt;&gt;"",N($BJ426)&gt;0)),"",MAX($CN$5:CN425)+1)</f>
        <v/>
      </c>
      <c r="CO426" s="84">
        <f>IF($A426="","",MAX($CO$5:CO425)+1)</f>
        <v/>
      </c>
      <c r="CP426" s="84">
        <f>IF(OR($A426="",$BH426="",$BI426=""),"",$BG426&amp;"|"&amp;$O426&amp;"|"&amp;$AL426&amp;"|"&amp;$S426&amp;"|"&amp;$P426&amp;"|"&amp;$Q426&amp;$R426&amp;"|"&amp;$C426&amp;"|"&amp;$AB426)</f>
        <v/>
      </c>
      <c r="CQ426" s="84">
        <f>N($BS426)</f>
        <v/>
      </c>
      <c r="CR426" s="84">
        <f>IF(N($AU426)&gt;0,N($AU426),4.5)</f>
        <v/>
      </c>
      <c r="CS426" s="84">
        <f>OR($A426="",$BI426="",$S426="BL",AND($C426="FRAME ONLY",OR($AC426="",$AC426="BLK")))</f>
        <v/>
      </c>
      <c r="CT426" s="84">
        <f>AND(NOT($CS426),OR($AT426="CUSTOM LOC",N($AW426)+N($AX426)+N($AY426)+N($AZ426)+N($BA426)&gt;0))</f>
        <v/>
      </c>
      <c r="CU426" s="84">
        <f>IF($BI426="","",IF($BI426&lt;=80,80,IF($BI426&lt;=84,84,96)))</f>
        <v/>
      </c>
      <c r="CV426" s="84">
        <f>ISNUMBER(MATCH($AT426&amp;"|80",LocKeys,0))</f>
        <v/>
      </c>
      <c r="CW426" s="86">
        <f>IF($CS426,"",IF($CV426,VLOOKUP($AT426&amp;"|"&amp;$CU426,LocTable,4,FALSE),5))</f>
        <v/>
      </c>
      <c r="CX426" s="86">
        <f>IF($CS426,"",IF($CV426,IF(OR($BI426=$CU426,AND($BI426&lt;$CU426,$BI426-IF(N(VLOOKUP($AT426&amp;"|"&amp;$CU426,LocTable,7,FALSE))&gt;0,VLOOKUP($AT426&amp;"|"&amp;$CU426,LocTable,7,FALSE),VLOOKUP($AT426&amp;"|"&amp;$CU426,LocTable,6,FALSE))-$CR426-0.75&gt;=2.125)),IF(N(VLOOKUP($AT426&amp;"|"&amp;$CU426,LocTable,7,FALSE))&gt;0,VLOOKUP($AT426&amp;"|"&amp;$CU426,LocTable,7,FALSE),VLOOKUP($AT426&amp;"|"&amp;$CU426,LocTable,6,FALSE)),$BI426-($CU426-IF(N(VLOOKUP($AT426&amp;"|"&amp;$CU426,LocTable,7,FALSE))&gt;0,VLOOKUP($AT426&amp;"|"&amp;$CU426,LocTable,7,FALSE),VLOOKUP($AT426&amp;"|"&amp;$CU426,LocTable,6,FALSE)))),$BI426-10-$CR426))</f>
        <v/>
      </c>
      <c r="CY426" s="85">
        <f>IF($CS426,"",TRIM(IF(ISNUMBER($BU426),"A "&amp;TRIM(TEXT($BU426,"# ?/??"))&amp;CHAR(34)&amp;"  ","")&amp;IF(ISNUMBER($BV426),"B "&amp;TRIM(TEXT($BV426,"# ?/??"))&amp;CHAR(34)&amp;"  ","")&amp;IF(ISNUMBER($BW426),"C "&amp;TRIM(TEXT($BW426,"# ?/??"))&amp;CHAR(34)&amp;"  ","")&amp;IF(ISNUMBER($BX426),"D "&amp;TRIM(TEXT($BX426,"# ?/??"))&amp;CHAR(34)&amp;"  ","")&amp;IF(ISNUMBER($BY426),"F "&amp;TRIM(TEXT($BY426,"# ?/??"))&amp;CHAR(34)&amp;"  ","")&amp;IF(ISNUMBER($BZ426),"E "&amp;TRIM(TEXT($BZ426,"# ?/??"))&amp;CHAR(34)&amp;"  ","")))</f>
        <v/>
      </c>
      <c r="CZ426" s="85">
        <f>IF(OR($CS426,N($BJ426)=0),"",TRIM(IF(ISNUMBER($BU426),"A "&amp;TRIM(TEXT($BU426-HeadClr,"# ?/??"))&amp;CHAR(34)&amp;"  ","")&amp;IF(ISNUMBER($BV426),"B "&amp;TRIM(TEXT($BV426-HeadClr,"# ?/??"))&amp;CHAR(34)&amp;"  ","")&amp;IF(ISNUMBER($BW426),"C "&amp;TRIM(TEXT($BW426-HeadClr,"# ?/??"))&amp;CHAR(34)&amp;"  ","")&amp;IF(ISNUMBER($BX426),"D "&amp;TRIM(TEXT($BX426-HeadClr,"# ?/??"))&amp;CHAR(34)&amp;"  ","")&amp;IF(ISNUMBER($BY426),"F "&amp;TRIM(TEXT($BY426-HeadClr,"# ?/??"))&amp;CHAR(34)&amp;"  ","")&amp;IF(ISNUMBER($BZ426),"E "&amp;TRIM(TEXT($BZ426-HeadClr,"# ?/??"))&amp;CHAR(34)&amp;"  ","")))</f>
        <v/>
      </c>
      <c r="DA426" s="84">
        <f>IF($A426="","",IF($AN426="",IFERROR(VLOOKUP($Z426,CODES,2,FALSE),""),IFERROR(VLOOKUP($AN426,CODES,2,FALSE),"")))</f>
        <v/>
      </c>
      <c r="DB426" s="84">
        <f>IF($A426="","",IF($O426="Y","PR",IF(OR($Z426="L",$Z426="RR",LEFT($Z426,2)="L-",LEFT($Z426,3)="RR-"),"LH","RH")))</f>
        <v/>
      </c>
      <c r="DC426" s="84">
        <f>IF($A426="","","S.HM"&amp;IF(OR($C426="DOOR ONLY",$X426&lt;&gt;"KD"),"MASONRY","DRYWALL")&amp;IF($C426="DOOR ONLY","",$U426)&amp;IF(AND($C426&lt;&gt;"FRAME ONLY",OR(LEFT($AH426,3)="OAK",LEFT($AH426,3)="BIR",LEFT($AH426,3)="MAP",$AH426="PC",$AH426="MC",$AH426="SCLC",$AH426="P-LAM")),"WD","HM")&amp;"1.75")</f>
        <v/>
      </c>
      <c r="DD426" s="84">
        <f>IF($CJ426="","",IF($O426="Y",$CJ426,SUBSTITUTE($CJ426,$BG426&amp;" "&amp;IFERROR(VLOOKUP($Z426,CODES,2,FALSE),"")&amp;" ",$BG426&amp;" ")))</f>
        <v/>
      </c>
      <c r="DE426" s="84">
        <f>IF($CK426="","",IF($O426="Y",$CK426,SUBSTITUTE($CK426,$BG426&amp;" "&amp;IF($AN426="",IFERROR(VLOOKUP($Z426,CODES,2,FALSE),""),IFERROR(VLOOKUP($AN426,CODES,2,FALSE),""))&amp;" ",$BG426&amp;" ")))</f>
        <v/>
      </c>
      <c r="DF426" s="84">
        <f>IF($CJ426="","",$DC426&amp;"|"&amp;$DD426&amp;"|"&amp;$DB426&amp;"|"&amp;$AT426&amp;"|"&amp;$V426&amp;"|"&amp;$Y426&amp;"|"&amp;$AB426)</f>
        <v/>
      </c>
      <c r="DG426" s="84">
        <f>IF(DF426="","",IF(COUNTIF($DF$6:DF426,DF426)=1,MAX($DG$5:DG425)+1,INDEX($DG$5:DG425,MATCH(DF426,$DF$5:DF425,0))))</f>
        <v/>
      </c>
      <c r="DH426" s="84">
        <f>IF($CK426="","",$DC426&amp;"|"&amp;$DE426&amp;"|"&amp;$AI426&amp;"|"&amp;$BK426&amp;"|"&amp;$BL426)</f>
        <v/>
      </c>
      <c r="DI426" s="84">
        <f>IF(DH426="","",IF(COUNTIF($DH$6:DH426,DH426)=1,MAX($DI$5:DI425)+1,INDEX($DI$5:DI425,MATCH(DH426,$DH$5:DH425,0))))</f>
        <v/>
      </c>
      <c r="DJ426" s="84">
        <f>IF($A426="","",IF($B426="","qty, ","")&amp;IF($C426="","scope, ","")&amp;IF(OR($K426="",$M426=""),"size, ","")&amp;IF(AND($A426&lt;&gt;"",$C426&lt;&gt;"DOOR ONLY"),IF($U426="","jamb depth, ","")&amp;IF($X426="","construction, ","")&amp;IF($Y426="","anchor, ","")&amp;IF($S426="","frame type, ",""),"")&amp;IF(AND(N($BJ426)&gt;0,$Z426=""),"hand, ","")&amp;IF(N($BJ426)&gt;0,IF($AH426="","door material, ","")&amp;IF($AL426="","face type, ","")&amp;IF($AP426="","lock prep, ","")&amp;IF(AND($AO426="",$AC426=""),"hinge prep, ",""),"")&amp;IF(AND($CH426&gt;0,$AH426="FRP"),"FRP cannot carry a label, ","")&amp;IF(AND($O426="Y",OR($Z426="L",$Z426="R",$Z426="LR",$Z426="RR")),"pair marked but hand is single, ","")&amp;IF(AND($O426&lt;&gt;"Y",OR($Z426="PR",AND(LEN($Z426)&gt;1,ISNUMBER(SEARCH("-",$Z426))))),"pair hand on a single door, ","")&amp;IF(AND(ISNUMBER($CI426),$CH426&lt;N($CI426)),"wall needs a "&amp;$CI426&amp;" min door, ","")&amp;IF(AND($CH426&gt;=180,AND(OR($CE426="FG",$CE426="HG",$CE426="FNV",$CE426="FV"),N($CF426)*N($CG426)&gt;100)),"180 min lite over 100 sq in, ","")&amp;IF(N($BK426)&gt;48,"leaf wider than 4'-0"&amp;CHAR(34)&amp;", ","")&amp;IF(AND($CT426,COUNT($AW426:$AZ426)=0,$CQ426&gt;0),"CUSTOM LOC with no locations typed, ",""))</f>
        <v/>
      </c>
      <c r="DK426" s="84">
        <f>IF($A426="","",IF(AND($CH426&gt;0,AND($A426&lt;&gt;"",$C426&lt;&gt;"DOOR ONLY"),$X426="KD",$E426="EXTERIOR"),"KD label on an exterior opening, ","")&amp;IF(AND($E426="EXTERIOR",OR(AND(AND($A426&lt;&gt;"",$C426&lt;&gt;"DOOR ONLY"),$W426="CR"),AND(N($BJ426)&gt;0,$AH426="CR"))),"exterior in CR steel (G9?), ","")&amp;IF(AND(ISNUMBER($BQ426),N($BQ426)&lt;32),"clear width ~"&amp;TEXT($BQ426,"0.0")&amp;CHAR(34)&amp;" under 32"&amp;CHAR(34)&amp;" (ADA), ","")&amp;IF(AND($CH426=90,AND(OR($CE426="FG",$CE426="HG",$CE426="FNV",$CE426="FV"),N($CF426)*N($CG426)&gt;100)),"90 min lite over 100 sq in (stair/exit), ","")&amp;IF(AND($CH426&gt;0,AND($A426&lt;&gt;"",$C426&lt;&gt;"DOOR ONLY"),OR($AF426="",$AF426="-")),"rated: closer reinf.?, ","")&amp;IF(OR($I426="CORRIDOR",$I426="SMOKE BARRIER"),"S label + smoke gasketing, ","")&amp;IF($CI426="?","wall type/hr not in IBC table, ","")&amp;IF(AND(N($BJ426)&gt;0,$BB426=""),"no hardware set, ","")&amp;IF(AND($BB426&lt;&gt;"",ISNA(MATCH($BB426&amp;"",HWSets,0))),"set "&amp;$BB426&amp;" not on HW Sets, ","")&amp;IF(N($BL426)&gt;96,"leaf over 8'-0"&amp;CHAR(34)&amp;" - check listing, ","")&amp;IF(AND($CT426,COUNT($AW426:$AZ426)&gt;0,COUNT($AW426:$AZ426)&lt;&gt;$CQ426),COUNT($AW426:$AZ426)&amp;" custom hinges typed, "&amp;$CQ426&amp;" expected, ","")&amp;IF(AND(ISNUMBER($CA426),OR(N($CA426)&lt;34,N($CA426)&gt;48)),"lock "&amp;TEXT($CA426,"0.0")&amp;CHAR(34)&amp;" AFF outside 34-48"&amp;CHAR(34)&amp;" (ADA), ","")&amp;IF(AND(ISNUMBER($AV426),ISNUMBER($BL426),N($AV426)&lt;IF(N($BL426)&lt;=60,2,IF(N($BL426)&lt;=90,3,IF(N($BL426)&lt;=120,4,5)))),"fewer hinges than standard, ",""))</f>
        <v/>
      </c>
    </row>
    <row r="427" ht="15" customHeight="1">
      <c r="A427" s="77" t="n"/>
      <c r="B427" s="78" t="n"/>
      <c r="C427" s="78" t="n"/>
      <c r="D427" s="78" t="n"/>
      <c r="E427" s="78" t="n"/>
      <c r="F427" s="78" t="n"/>
      <c r="G427" s="78" t="n"/>
      <c r="H427" s="78" t="n"/>
      <c r="I427" s="78" t="n"/>
      <c r="J427" s="78" t="n"/>
      <c r="K427" s="78" t="n"/>
      <c r="L427" s="78" t="n"/>
      <c r="M427" s="78" t="n"/>
      <c r="N427" s="78" t="n"/>
      <c r="O427" s="78" t="n"/>
      <c r="P427" s="78" t="n"/>
      <c r="Q427" s="78" t="n"/>
      <c r="R427" s="78" t="n"/>
      <c r="S427" s="79" t="n"/>
      <c r="T427" s="79" t="n"/>
      <c r="U427" s="79" t="n"/>
      <c r="V427" s="79" t="n"/>
      <c r="W427" s="79" t="n"/>
      <c r="X427" s="79" t="n"/>
      <c r="Y427" s="79" t="n"/>
      <c r="Z427" s="79" t="n"/>
      <c r="AA427" s="79" t="n"/>
      <c r="AB427" s="79" t="n"/>
      <c r="AC427" s="79" t="n"/>
      <c r="AD427" s="79" t="n"/>
      <c r="AE427" s="79" t="n"/>
      <c r="AF427" s="79" t="n"/>
      <c r="AG427" s="79" t="n"/>
      <c r="AH427" s="80" t="n"/>
      <c r="AI427" s="80" t="n"/>
      <c r="AJ427" s="80" t="n"/>
      <c r="AK427" s="80" t="n"/>
      <c r="AL427" s="80" t="n"/>
      <c r="AM427" s="80" t="n"/>
      <c r="AN427" s="80" t="n"/>
      <c r="AO427" s="80" t="n"/>
      <c r="AP427" s="80" t="n"/>
      <c r="AQ427" s="80" t="n"/>
      <c r="AR427" s="80" t="n"/>
      <c r="AS427" s="80" t="n"/>
      <c r="AT427" s="81" t="n"/>
      <c r="AU427" s="81" t="n"/>
      <c r="AV427" s="81" t="n"/>
      <c r="AW427" s="82" t="n"/>
      <c r="AX427" s="82" t="n"/>
      <c r="AY427" s="82" t="n"/>
      <c r="AZ427" s="82" t="n"/>
      <c r="BA427" s="82" t="n"/>
      <c r="BB427" s="83" t="n"/>
      <c r="BC427" s="83" t="n"/>
      <c r="BD427" s="84">
        <f>IF($A427="","",IF($DJ427&lt;&gt;"","FIX",IF($DK427&lt;&gt;"","CHECK","OK")))</f>
        <v/>
      </c>
      <c r="BE427" s="85">
        <f>IF($A427="","",IF($DJ427&lt;&gt;"","FIX: "&amp;LEFT($DJ427,LEN($DJ427)-2)&amp;IF($DK427&lt;&gt;"","  ·  ",""),"")&amp;IF($DK427&lt;&gt;"","CHECK: "&amp;LEFT($DK427,LEN($DK427)-2),""))</f>
        <v/>
      </c>
      <c r="BF427" s="84">
        <f>IF(OR($A427="",$K427=""),"",$K427&amp;"'-"&amp;N($L427)&amp;CHAR(34)&amp;" x "&amp;$M427&amp;"'-"&amp;N($N427)&amp;CHAR(34))</f>
        <v/>
      </c>
      <c r="BG427" s="84">
        <f>IF(OR($A427="",$K427=""),"",$K427&amp;N($L427)&amp;$M427&amp;N($N427))</f>
        <v/>
      </c>
      <c r="BH427" s="84">
        <f>IF(OR($A427="",$K427=""),"",$K427*12+N($L427))</f>
        <v/>
      </c>
      <c r="BI427" s="84">
        <f>IF(OR($A427="",$M427=""),"",$M427*12+N($N427))</f>
        <v/>
      </c>
      <c r="BJ427" s="84">
        <f>IF($A427="","",IF(OR($C427="FRAME ONLY",$S427="BL"),0,IF($O427="Y",2,1)))</f>
        <v/>
      </c>
      <c r="BK427" s="86">
        <f>IF(OR(N($BJ427)=0,$BH427=""),"",($BH427-2*EdgeClr-IF($BJ427=2,MeetClr,0))/$BJ427)</f>
        <v/>
      </c>
      <c r="BL427" s="86">
        <f>IF(OR(N($BJ427)=0,$BI427=""),"",$BI427-HeadClr-Undercut)</f>
        <v/>
      </c>
      <c r="BM427" s="86">
        <f>IF($BH427="","",$BH427+2*FaceW+IF(N($Q427)&gt;0,($Q427+FaceW)*IF($R427="LR",2,1),0))</f>
        <v/>
      </c>
      <c r="BN427" s="86">
        <f>IF($BI427="","",$BI427+IF($AB427="Y",4,FaceW)+IF(N($P427)&gt;0,$P427+FaceW,0)+IF(OR($S427="4F",$S427="BL"),FaceW,0))</f>
        <v/>
      </c>
      <c r="BO427" s="86">
        <f>IF($BM427="","",$BM427+2*ROSide)</f>
        <v/>
      </c>
      <c r="BP427" s="86">
        <f>IF($BN427="","",$BN427+ROTop)</f>
        <v/>
      </c>
      <c r="BQ427" s="87">
        <f>IF(OR(N($BJ427)=0,$BH427=""),"",$BH427/$BJ427-ClearDeduct)</f>
        <v/>
      </c>
      <c r="BR427" s="84">
        <f>IF(N($CH427)=0,"",IF($CH427&gt;=180,"A · 3 HR",IF($CH427&gt;=90,"B · 1-1/2 HR",IF($CH427&gt;=60,"B · 1 HR",IF($CH427&gt;=45,"C · 3/4 HR","20 MIN")))))&amp;IF(AND(N($CH427)&gt;0,OR($I427="CORRIDOR",$I427="SMOKE BARRIER"))," · S","")</f>
        <v/>
      </c>
      <c r="BS427" s="84">
        <f>IF($CS427,"",IF($AV427&lt;&gt;"",$AV427,IF(OR($AC427="HGC",$AO427="HGC"),"CONT",IF(($BI427-HeadClr-Undercut)&lt;=60,2,IF(($BI427-HeadClr-Undercut)&lt;=90,3,IF(($BI427-HeadClr-Undercut)&lt;=120,4,5))))))</f>
        <v/>
      </c>
      <c r="BT427" s="84">
        <f>IF($CS427,"",IF($CT427,"CUSTOM (typed)",IF($CV427,$AT427&amp;" "&amp;$CU427&amp;CHAR(34)&amp;IF($CU427&lt;&gt;$BI427,IF(AND($BI427&lt;$CU427,$BI427-IF(N(VLOOKUP($AT427&amp;"|"&amp;$CU427,LocTable,7,FALSE))&gt;0,VLOOKUP($AT427&amp;"|"&amp;$CU427,LocTable,7,FALSE),VLOOKUP($AT427&amp;"|"&amp;$CU427,LocTable,6,FALSE))-$CR427-0.75&gt;=2.125)," cut down"," adj."),""),"ANSI/SDI A250.6")))</f>
        <v/>
      </c>
      <c r="BU427" s="88">
        <f>IF($CS427,"",IF($CT427,IF(N($AW427)&gt;0,N($AW427),""),IF(1&gt;$CQ427,"",IF($CQ427=1,$CW427,$CW427+($CX427-$CW427)*0/($CQ427-1)))))</f>
        <v/>
      </c>
      <c r="BV427" s="88">
        <f>IF($CS427,"",IF($CT427,IF(N($AX427)&gt;0,N($AX427),""),IF(2&gt;$CQ427,"",IF($CQ427=1,$CW427,$CW427+($CX427-$CW427)*1/($CQ427-1)))))</f>
        <v/>
      </c>
      <c r="BW427" s="88">
        <f>IF($CS427,"",IF($CT427,IF(N($AY427)&gt;0,N($AY427),""),IF(3&gt;$CQ427,"",IF($CQ427=1,$CW427,$CW427+($CX427-$CW427)*2/($CQ427-1)))))</f>
        <v/>
      </c>
      <c r="BX427" s="88">
        <f>IF($CS427,"",IF($CT427,IF(N($AZ427)&gt;0,N($AZ427),""),IF(4&gt;$CQ427,"",IF($CQ427=1,$CW427,$CW427+($CX427-$CW427)*3/($CQ427-1)))))</f>
        <v/>
      </c>
      <c r="BY427" s="88">
        <f>IF($CS427,"",IF($CT427,"",IF(5&gt;$CQ427,"",IF($CQ427=1,$CW427,$CW427+($CX427-$CW427)*4/($CQ427-1)))))</f>
        <v/>
      </c>
      <c r="BZ427" s="88">
        <f>IF(OR($CS427,$AP427="-",AND($AP427="",$AD427="")),"",IF(N($BA427)&gt;0,N($BA427),IF($CV427,IF(AND($BI427&lt;$CU427,$BI427-IF(N(VLOOKUP($AT427&amp;"|"&amp;$CU427,LocTable,7,FALSE))&gt;0,VLOOKUP($AT427&amp;"|"&amp;$CU427,LocTable,7,FALSE),VLOOKUP($AT427&amp;"|"&amp;$CU427,LocTable,6,FALSE))-$CR427-0.75&gt;=2.125),VLOOKUP($AT427&amp;"|"&amp;$CU427,LocTable,8,FALSE),VLOOKUP($AT427&amp;"|"&amp;$CU427,LocTable,8,FALSE)+($BI427-$CU427)),$BI427-LockAFF)))</f>
        <v/>
      </c>
      <c r="CA427" s="89">
        <f>IF($BZ427="","",$BI427-$BZ427)</f>
        <v/>
      </c>
      <c r="CB427" s="84">
        <f>IF(OR(NOT(AND($A427&lt;&gt;"",$C427&lt;&gt;"DOOR ONLY")),$BI427=""),"",IF(($BI427+IF(N($P427)&gt;0,$P427+FaceW,0))&lt;=90,3,IF(($BI427+IF(N($P427)&gt;0,$P427+FaceW,0))&lt;=114,4,5)))</f>
        <v/>
      </c>
      <c r="CC427" s="84">
        <f>IF($CB427="","",$CB427*(2+IF(N($Q427)&gt;0,IF($R427="LR",2,1),0)))</f>
        <v/>
      </c>
      <c r="CD427" s="84">
        <f>IF($CB427="","",(2+IF(N($Q427)&gt;0,IF($R427="LR",2,1),0)))</f>
        <v/>
      </c>
      <c r="CE427" s="84">
        <f>IF(N($BJ427)=0,"",IF(OR($AL427="",$AL427="FLUSH"),"FLUSH",IFERROR(LEFT($AL427,FIND("-",$AL427)-1),LEFT($AL427,2))))</f>
        <v/>
      </c>
      <c r="CF427" s="84">
        <f>IF($CE427="","",IFERROR(VALUE(MID($AL427,FIND("-",$AL427)+1,FIND(CHAR(34)&amp;"x",$AL427)-FIND("-",$AL427)-1)),0))</f>
        <v/>
      </c>
      <c r="CG427" s="84">
        <f>IF($CE427="","",IFERROR(VALUE(MID($AL427,FIND(CHAR(34)&amp;"x",$AL427)+2,FIND(CHAR(34),$AL427,FIND(CHAR(34)&amp;"x",$AL427)+2)-FIND(CHAR(34)&amp;"x",$AL427)-2)),0))</f>
        <v/>
      </c>
      <c r="CH427" s="90">
        <f>IF(OR($A427="",$H427="",$H427="NO LAB"),0,IFERROR(VALUE(LEFT($H427,FIND(" ",$H427)-1)),0))</f>
        <v/>
      </c>
      <c r="CI427" s="91">
        <f>IF(OR($A427="",$I427="",$I427="NON-RATED",N($J427)=0),"",IFERROR(VLOOKUP($I427&amp;"|"&amp;$J427,IBC,2,FALSE),"?"))</f>
        <v/>
      </c>
      <c r="CJ427" s="85">
        <f>IF(NOT(AND($A427&lt;&gt;"",$C427&lt;&gt;"DOOR ONLY")),"",TRIM(IFERROR(VLOOKUP($U427,CODES,2,FALSE),"")&amp;" "&amp;$BG427&amp;" "&amp;IFERROR(VLOOKUP($Z427,CODES,2,FALSE),"")&amp;" "&amp;IFERROR(VLOOKUP($X427,CODES,2,FALSE),"")&amp;" "&amp;IFERROR(VLOOKUP($S427,CODES,2,FALSE),"")&amp;IF(N($P427)&gt;0," w/TRANSOM "&amp;$P427&amp;CHAR(34),"")&amp;IF(N($Q427)&gt;0," w/SIDELITE "&amp;$Q427&amp;CHAR(34)&amp;" "&amp;IF($R427="","R",$R427),"")&amp;IF($Y427="","  |  "," | "&amp;IFERROR(VLOOKUP($Y427,CODES,2,FALSE),"")&amp;" | ")&amp;IFERROR(VLOOKUP($AC427,CODES,2,FALSE),"")&amp;" "&amp;IFERROR(VLOOKUP($AD427,CODES,2,FALSE),"")&amp;IF(OR($AE427="",$AE427="-"),""," "&amp;$AE427)&amp;IF(OR($AF427="",$AF427="-"),""," "&amp;$AF427)&amp;IF($AB427="Y"," 4"&amp;CHAR(34)&amp;" HEAD","")&amp;" "&amp;IFERROR(VLOOKUP($H427,CODES,2,FALSE),"")&amp;IF($CT427," | LOC "&amp;$CY427,"")))</f>
        <v/>
      </c>
      <c r="CK427" s="85">
        <f>IF(NOT(AND($A427&lt;&gt;"",N($BJ427)&gt;0)),"",TRIM(IFERROR(VLOOKUP($AH427,CODES,2,FALSE),"")&amp;IF($AI427=""," "," "&amp;$AI427&amp;"GA ")&amp;$BG427&amp;" "&amp;IF($AN427="",IFERROR(VLOOKUP($Z427,CODES,2,FALSE),""),IFERROR(VLOOKUP($AN427,CODES,2,FALSE),""))&amp;IF($BJ427=2," PAIR","")&amp;" DOOR | "&amp;IF($AL427="","?",$AL427)&amp;" | "&amp;IF($AO427="",IFERROR(VLOOKUP($AC427,CODES,2,FALSE),""),IFERROR(VLOOKUP($AO427,CODES,2,FALSE),""))&amp;" "&amp;IFERROR(VLOOKUP($AP427,CODES,2,FALSE),"")&amp;IF(OR($AQ427="",$AQ427="-"),""," SEAM "&amp;$AQ427)&amp;IF($AR427="Y"," ASTRAGAL","")&amp;IF($AJ427=""," "," "&amp;$AJ427)&amp;IF($AK427=""," "," "&amp;$AK427)&amp;IF(OR($AT427="",$AT427="ANSI/SDI",$AT427="CUSTOM LOC"),""," "&amp;$AT427)&amp;IF($AM427=""," "," SERIES "&amp;$AM427)&amp;" "&amp;IFERROR(VLOOKUP($H427,CODES,2,FALSE),"")&amp;IF($CT427," | LOC "&amp;$CZ427,"")))</f>
        <v/>
      </c>
      <c r="CL427" s="84">
        <f>IF(CP427="","",IF(COUNTIF($CP$6:CP427,CP427)=1,MAX($CL$5:CL426)+1,INDEX($CL$5:CL426,MATCH(CP427,$CP$5:CP426,0))))</f>
        <v/>
      </c>
      <c r="CM427" s="84">
        <f>IF(NOT(AND($A427&lt;&gt;"",$C427&lt;&gt;"DOOR ONLY")),"",MAX($CM$5:CM426)+1)</f>
        <v/>
      </c>
      <c r="CN427" s="84">
        <f>IF(NOT(AND($A427&lt;&gt;"",N($BJ427)&gt;0)),"",MAX($CN$5:CN426)+1)</f>
        <v/>
      </c>
      <c r="CO427" s="84">
        <f>IF($A427="","",MAX($CO$5:CO426)+1)</f>
        <v/>
      </c>
      <c r="CP427" s="84">
        <f>IF(OR($A427="",$BH427="",$BI427=""),"",$BG427&amp;"|"&amp;$O427&amp;"|"&amp;$AL427&amp;"|"&amp;$S427&amp;"|"&amp;$P427&amp;"|"&amp;$Q427&amp;$R427&amp;"|"&amp;$C427&amp;"|"&amp;$AB427)</f>
        <v/>
      </c>
      <c r="CQ427" s="84">
        <f>N($BS427)</f>
        <v/>
      </c>
      <c r="CR427" s="84">
        <f>IF(N($AU427)&gt;0,N($AU427),4.5)</f>
        <v/>
      </c>
      <c r="CS427" s="84">
        <f>OR($A427="",$BI427="",$S427="BL",AND($C427="FRAME ONLY",OR($AC427="",$AC427="BLK")))</f>
        <v/>
      </c>
      <c r="CT427" s="84">
        <f>AND(NOT($CS427),OR($AT427="CUSTOM LOC",N($AW427)+N($AX427)+N($AY427)+N($AZ427)+N($BA427)&gt;0))</f>
        <v/>
      </c>
      <c r="CU427" s="84">
        <f>IF($BI427="","",IF($BI427&lt;=80,80,IF($BI427&lt;=84,84,96)))</f>
        <v/>
      </c>
      <c r="CV427" s="84">
        <f>ISNUMBER(MATCH($AT427&amp;"|80",LocKeys,0))</f>
        <v/>
      </c>
      <c r="CW427" s="86">
        <f>IF($CS427,"",IF($CV427,VLOOKUP($AT427&amp;"|"&amp;$CU427,LocTable,4,FALSE),5))</f>
        <v/>
      </c>
      <c r="CX427" s="86">
        <f>IF($CS427,"",IF($CV427,IF(OR($BI427=$CU427,AND($BI427&lt;$CU427,$BI427-IF(N(VLOOKUP($AT427&amp;"|"&amp;$CU427,LocTable,7,FALSE))&gt;0,VLOOKUP($AT427&amp;"|"&amp;$CU427,LocTable,7,FALSE),VLOOKUP($AT427&amp;"|"&amp;$CU427,LocTable,6,FALSE))-$CR427-0.75&gt;=2.125)),IF(N(VLOOKUP($AT427&amp;"|"&amp;$CU427,LocTable,7,FALSE))&gt;0,VLOOKUP($AT427&amp;"|"&amp;$CU427,LocTable,7,FALSE),VLOOKUP($AT427&amp;"|"&amp;$CU427,LocTable,6,FALSE)),$BI427-($CU427-IF(N(VLOOKUP($AT427&amp;"|"&amp;$CU427,LocTable,7,FALSE))&gt;0,VLOOKUP($AT427&amp;"|"&amp;$CU427,LocTable,7,FALSE),VLOOKUP($AT427&amp;"|"&amp;$CU427,LocTable,6,FALSE)))),$BI427-10-$CR427))</f>
        <v/>
      </c>
      <c r="CY427" s="85">
        <f>IF($CS427,"",TRIM(IF(ISNUMBER($BU427),"A "&amp;TRIM(TEXT($BU427,"# ?/??"))&amp;CHAR(34)&amp;"  ","")&amp;IF(ISNUMBER($BV427),"B "&amp;TRIM(TEXT($BV427,"# ?/??"))&amp;CHAR(34)&amp;"  ","")&amp;IF(ISNUMBER($BW427),"C "&amp;TRIM(TEXT($BW427,"# ?/??"))&amp;CHAR(34)&amp;"  ","")&amp;IF(ISNUMBER($BX427),"D "&amp;TRIM(TEXT($BX427,"# ?/??"))&amp;CHAR(34)&amp;"  ","")&amp;IF(ISNUMBER($BY427),"F "&amp;TRIM(TEXT($BY427,"# ?/??"))&amp;CHAR(34)&amp;"  ","")&amp;IF(ISNUMBER($BZ427),"E "&amp;TRIM(TEXT($BZ427,"# ?/??"))&amp;CHAR(34)&amp;"  ","")))</f>
        <v/>
      </c>
      <c r="CZ427" s="85">
        <f>IF(OR($CS427,N($BJ427)=0),"",TRIM(IF(ISNUMBER($BU427),"A "&amp;TRIM(TEXT($BU427-HeadClr,"# ?/??"))&amp;CHAR(34)&amp;"  ","")&amp;IF(ISNUMBER($BV427),"B "&amp;TRIM(TEXT($BV427-HeadClr,"# ?/??"))&amp;CHAR(34)&amp;"  ","")&amp;IF(ISNUMBER($BW427),"C "&amp;TRIM(TEXT($BW427-HeadClr,"# ?/??"))&amp;CHAR(34)&amp;"  ","")&amp;IF(ISNUMBER($BX427),"D "&amp;TRIM(TEXT($BX427-HeadClr,"# ?/??"))&amp;CHAR(34)&amp;"  ","")&amp;IF(ISNUMBER($BY427),"F "&amp;TRIM(TEXT($BY427-HeadClr,"# ?/??"))&amp;CHAR(34)&amp;"  ","")&amp;IF(ISNUMBER($BZ427),"E "&amp;TRIM(TEXT($BZ427-HeadClr,"# ?/??"))&amp;CHAR(34)&amp;"  ","")))</f>
        <v/>
      </c>
      <c r="DA427" s="84">
        <f>IF($A427="","",IF($AN427="",IFERROR(VLOOKUP($Z427,CODES,2,FALSE),""),IFERROR(VLOOKUP($AN427,CODES,2,FALSE),"")))</f>
        <v/>
      </c>
      <c r="DB427" s="84">
        <f>IF($A427="","",IF($O427="Y","PR",IF(OR($Z427="L",$Z427="RR",LEFT($Z427,2)="L-",LEFT($Z427,3)="RR-"),"LH","RH")))</f>
        <v/>
      </c>
      <c r="DC427" s="84">
        <f>IF($A427="","","S.HM"&amp;IF(OR($C427="DOOR ONLY",$X427&lt;&gt;"KD"),"MASONRY","DRYWALL")&amp;IF($C427="DOOR ONLY","",$U427)&amp;IF(AND($C427&lt;&gt;"FRAME ONLY",OR(LEFT($AH427,3)="OAK",LEFT($AH427,3)="BIR",LEFT($AH427,3)="MAP",$AH427="PC",$AH427="MC",$AH427="SCLC",$AH427="P-LAM")),"WD","HM")&amp;"1.75")</f>
        <v/>
      </c>
      <c r="DD427" s="84">
        <f>IF($CJ427="","",IF($O427="Y",$CJ427,SUBSTITUTE($CJ427,$BG427&amp;" "&amp;IFERROR(VLOOKUP($Z427,CODES,2,FALSE),"")&amp;" ",$BG427&amp;" ")))</f>
        <v/>
      </c>
      <c r="DE427" s="84">
        <f>IF($CK427="","",IF($O427="Y",$CK427,SUBSTITUTE($CK427,$BG427&amp;" "&amp;IF($AN427="",IFERROR(VLOOKUP($Z427,CODES,2,FALSE),""),IFERROR(VLOOKUP($AN427,CODES,2,FALSE),""))&amp;" ",$BG427&amp;" ")))</f>
        <v/>
      </c>
      <c r="DF427" s="84">
        <f>IF($CJ427="","",$DC427&amp;"|"&amp;$DD427&amp;"|"&amp;$DB427&amp;"|"&amp;$AT427&amp;"|"&amp;$V427&amp;"|"&amp;$Y427&amp;"|"&amp;$AB427)</f>
        <v/>
      </c>
      <c r="DG427" s="84">
        <f>IF(DF427="","",IF(COUNTIF($DF$6:DF427,DF427)=1,MAX($DG$5:DG426)+1,INDEX($DG$5:DG426,MATCH(DF427,$DF$5:DF426,0))))</f>
        <v/>
      </c>
      <c r="DH427" s="84">
        <f>IF($CK427="","",$DC427&amp;"|"&amp;$DE427&amp;"|"&amp;$AI427&amp;"|"&amp;$BK427&amp;"|"&amp;$BL427)</f>
        <v/>
      </c>
      <c r="DI427" s="84">
        <f>IF(DH427="","",IF(COUNTIF($DH$6:DH427,DH427)=1,MAX($DI$5:DI426)+1,INDEX($DI$5:DI426,MATCH(DH427,$DH$5:DH426,0))))</f>
        <v/>
      </c>
      <c r="DJ427" s="84">
        <f>IF($A427="","",IF($B427="","qty, ","")&amp;IF($C427="","scope, ","")&amp;IF(OR($K427="",$M427=""),"size, ","")&amp;IF(AND($A427&lt;&gt;"",$C427&lt;&gt;"DOOR ONLY"),IF($U427="","jamb depth, ","")&amp;IF($X427="","construction, ","")&amp;IF($Y427="","anchor, ","")&amp;IF($S427="","frame type, ",""),"")&amp;IF(AND(N($BJ427)&gt;0,$Z427=""),"hand, ","")&amp;IF(N($BJ427)&gt;0,IF($AH427="","door material, ","")&amp;IF($AL427="","face type, ","")&amp;IF($AP427="","lock prep, ","")&amp;IF(AND($AO427="",$AC427=""),"hinge prep, ",""),"")&amp;IF(AND($CH427&gt;0,$AH427="FRP"),"FRP cannot carry a label, ","")&amp;IF(AND($O427="Y",OR($Z427="L",$Z427="R",$Z427="LR",$Z427="RR")),"pair marked but hand is single, ","")&amp;IF(AND($O427&lt;&gt;"Y",OR($Z427="PR",AND(LEN($Z427)&gt;1,ISNUMBER(SEARCH("-",$Z427))))),"pair hand on a single door, ","")&amp;IF(AND(ISNUMBER($CI427),$CH427&lt;N($CI427)),"wall needs a "&amp;$CI427&amp;" min door, ","")&amp;IF(AND($CH427&gt;=180,AND(OR($CE427="FG",$CE427="HG",$CE427="FNV",$CE427="FV"),N($CF427)*N($CG427)&gt;100)),"180 min lite over 100 sq in, ","")&amp;IF(N($BK427)&gt;48,"leaf wider than 4'-0"&amp;CHAR(34)&amp;", ","")&amp;IF(AND($CT427,COUNT($AW427:$AZ427)=0,$CQ427&gt;0),"CUSTOM LOC with no locations typed, ",""))</f>
        <v/>
      </c>
      <c r="DK427" s="84">
        <f>IF($A427="","",IF(AND($CH427&gt;0,AND($A427&lt;&gt;"",$C427&lt;&gt;"DOOR ONLY"),$X427="KD",$E427="EXTERIOR"),"KD label on an exterior opening, ","")&amp;IF(AND($E427="EXTERIOR",OR(AND(AND($A427&lt;&gt;"",$C427&lt;&gt;"DOOR ONLY"),$W427="CR"),AND(N($BJ427)&gt;0,$AH427="CR"))),"exterior in CR steel (G9?), ","")&amp;IF(AND(ISNUMBER($BQ427),N($BQ427)&lt;32),"clear width ~"&amp;TEXT($BQ427,"0.0")&amp;CHAR(34)&amp;" under 32"&amp;CHAR(34)&amp;" (ADA), ","")&amp;IF(AND($CH427=90,AND(OR($CE427="FG",$CE427="HG",$CE427="FNV",$CE427="FV"),N($CF427)*N($CG427)&gt;100)),"90 min lite over 100 sq in (stair/exit), ","")&amp;IF(AND($CH427&gt;0,AND($A427&lt;&gt;"",$C427&lt;&gt;"DOOR ONLY"),OR($AF427="",$AF427="-")),"rated: closer reinf.?, ","")&amp;IF(OR($I427="CORRIDOR",$I427="SMOKE BARRIER"),"S label + smoke gasketing, ","")&amp;IF($CI427="?","wall type/hr not in IBC table, ","")&amp;IF(AND(N($BJ427)&gt;0,$BB427=""),"no hardware set, ","")&amp;IF(AND($BB427&lt;&gt;"",ISNA(MATCH($BB427&amp;"",HWSets,0))),"set "&amp;$BB427&amp;" not on HW Sets, ","")&amp;IF(N($BL427)&gt;96,"leaf over 8'-0"&amp;CHAR(34)&amp;" - check listing, ","")&amp;IF(AND($CT427,COUNT($AW427:$AZ427)&gt;0,COUNT($AW427:$AZ427)&lt;&gt;$CQ427),COUNT($AW427:$AZ427)&amp;" custom hinges typed, "&amp;$CQ427&amp;" expected, ","")&amp;IF(AND(ISNUMBER($CA427),OR(N($CA427)&lt;34,N($CA427)&gt;48)),"lock "&amp;TEXT($CA427,"0.0")&amp;CHAR(34)&amp;" AFF outside 34-48"&amp;CHAR(34)&amp;" (ADA), ","")&amp;IF(AND(ISNUMBER($AV427),ISNUMBER($BL427),N($AV427)&lt;IF(N($BL427)&lt;=60,2,IF(N($BL427)&lt;=90,3,IF(N($BL427)&lt;=120,4,5)))),"fewer hinges than standard, ",""))</f>
        <v/>
      </c>
    </row>
    <row r="428" ht="15" customHeight="1">
      <c r="A428" s="77" t="n"/>
      <c r="B428" s="78" t="n"/>
      <c r="C428" s="78" t="n"/>
      <c r="D428" s="78" t="n"/>
      <c r="E428" s="78" t="n"/>
      <c r="F428" s="78" t="n"/>
      <c r="G428" s="78" t="n"/>
      <c r="H428" s="78" t="n"/>
      <c r="I428" s="78" t="n"/>
      <c r="J428" s="78" t="n"/>
      <c r="K428" s="78" t="n"/>
      <c r="L428" s="78" t="n"/>
      <c r="M428" s="78" t="n"/>
      <c r="N428" s="78" t="n"/>
      <c r="O428" s="78" t="n"/>
      <c r="P428" s="78" t="n"/>
      <c r="Q428" s="78" t="n"/>
      <c r="R428" s="78" t="n"/>
      <c r="S428" s="79" t="n"/>
      <c r="T428" s="79" t="n"/>
      <c r="U428" s="79" t="n"/>
      <c r="V428" s="79" t="n"/>
      <c r="W428" s="79" t="n"/>
      <c r="X428" s="79" t="n"/>
      <c r="Y428" s="79" t="n"/>
      <c r="Z428" s="79" t="n"/>
      <c r="AA428" s="79" t="n"/>
      <c r="AB428" s="79" t="n"/>
      <c r="AC428" s="79" t="n"/>
      <c r="AD428" s="79" t="n"/>
      <c r="AE428" s="79" t="n"/>
      <c r="AF428" s="79" t="n"/>
      <c r="AG428" s="79" t="n"/>
      <c r="AH428" s="80" t="n"/>
      <c r="AI428" s="80" t="n"/>
      <c r="AJ428" s="80" t="n"/>
      <c r="AK428" s="80" t="n"/>
      <c r="AL428" s="80" t="n"/>
      <c r="AM428" s="80" t="n"/>
      <c r="AN428" s="80" t="n"/>
      <c r="AO428" s="80" t="n"/>
      <c r="AP428" s="80" t="n"/>
      <c r="AQ428" s="80" t="n"/>
      <c r="AR428" s="80" t="n"/>
      <c r="AS428" s="80" t="n"/>
      <c r="AT428" s="81" t="n"/>
      <c r="AU428" s="81" t="n"/>
      <c r="AV428" s="81" t="n"/>
      <c r="AW428" s="82" t="n"/>
      <c r="AX428" s="82" t="n"/>
      <c r="AY428" s="82" t="n"/>
      <c r="AZ428" s="82" t="n"/>
      <c r="BA428" s="82" t="n"/>
      <c r="BB428" s="83" t="n"/>
      <c r="BC428" s="83" t="n"/>
      <c r="BD428" s="84">
        <f>IF($A428="","",IF($DJ428&lt;&gt;"","FIX",IF($DK428&lt;&gt;"","CHECK","OK")))</f>
        <v/>
      </c>
      <c r="BE428" s="85">
        <f>IF($A428="","",IF($DJ428&lt;&gt;"","FIX: "&amp;LEFT($DJ428,LEN($DJ428)-2)&amp;IF($DK428&lt;&gt;"","  ·  ",""),"")&amp;IF($DK428&lt;&gt;"","CHECK: "&amp;LEFT($DK428,LEN($DK428)-2),""))</f>
        <v/>
      </c>
      <c r="BF428" s="84">
        <f>IF(OR($A428="",$K428=""),"",$K428&amp;"'-"&amp;N($L428)&amp;CHAR(34)&amp;" x "&amp;$M428&amp;"'-"&amp;N($N428)&amp;CHAR(34))</f>
        <v/>
      </c>
      <c r="BG428" s="84">
        <f>IF(OR($A428="",$K428=""),"",$K428&amp;N($L428)&amp;$M428&amp;N($N428))</f>
        <v/>
      </c>
      <c r="BH428" s="84">
        <f>IF(OR($A428="",$K428=""),"",$K428*12+N($L428))</f>
        <v/>
      </c>
      <c r="BI428" s="84">
        <f>IF(OR($A428="",$M428=""),"",$M428*12+N($N428))</f>
        <v/>
      </c>
      <c r="BJ428" s="84">
        <f>IF($A428="","",IF(OR($C428="FRAME ONLY",$S428="BL"),0,IF($O428="Y",2,1)))</f>
        <v/>
      </c>
      <c r="BK428" s="86">
        <f>IF(OR(N($BJ428)=0,$BH428=""),"",($BH428-2*EdgeClr-IF($BJ428=2,MeetClr,0))/$BJ428)</f>
        <v/>
      </c>
      <c r="BL428" s="86">
        <f>IF(OR(N($BJ428)=0,$BI428=""),"",$BI428-HeadClr-Undercut)</f>
        <v/>
      </c>
      <c r="BM428" s="86">
        <f>IF($BH428="","",$BH428+2*FaceW+IF(N($Q428)&gt;0,($Q428+FaceW)*IF($R428="LR",2,1),0))</f>
        <v/>
      </c>
      <c r="BN428" s="86">
        <f>IF($BI428="","",$BI428+IF($AB428="Y",4,FaceW)+IF(N($P428)&gt;0,$P428+FaceW,0)+IF(OR($S428="4F",$S428="BL"),FaceW,0))</f>
        <v/>
      </c>
      <c r="BO428" s="86">
        <f>IF($BM428="","",$BM428+2*ROSide)</f>
        <v/>
      </c>
      <c r="BP428" s="86">
        <f>IF($BN428="","",$BN428+ROTop)</f>
        <v/>
      </c>
      <c r="BQ428" s="87">
        <f>IF(OR(N($BJ428)=0,$BH428=""),"",$BH428/$BJ428-ClearDeduct)</f>
        <v/>
      </c>
      <c r="BR428" s="84">
        <f>IF(N($CH428)=0,"",IF($CH428&gt;=180,"A · 3 HR",IF($CH428&gt;=90,"B · 1-1/2 HR",IF($CH428&gt;=60,"B · 1 HR",IF($CH428&gt;=45,"C · 3/4 HR","20 MIN")))))&amp;IF(AND(N($CH428)&gt;0,OR($I428="CORRIDOR",$I428="SMOKE BARRIER"))," · S","")</f>
        <v/>
      </c>
      <c r="BS428" s="84">
        <f>IF($CS428,"",IF($AV428&lt;&gt;"",$AV428,IF(OR($AC428="HGC",$AO428="HGC"),"CONT",IF(($BI428-HeadClr-Undercut)&lt;=60,2,IF(($BI428-HeadClr-Undercut)&lt;=90,3,IF(($BI428-HeadClr-Undercut)&lt;=120,4,5))))))</f>
        <v/>
      </c>
      <c r="BT428" s="84">
        <f>IF($CS428,"",IF($CT428,"CUSTOM (typed)",IF($CV428,$AT428&amp;" "&amp;$CU428&amp;CHAR(34)&amp;IF($CU428&lt;&gt;$BI428,IF(AND($BI428&lt;$CU428,$BI428-IF(N(VLOOKUP($AT428&amp;"|"&amp;$CU428,LocTable,7,FALSE))&gt;0,VLOOKUP($AT428&amp;"|"&amp;$CU428,LocTable,7,FALSE),VLOOKUP($AT428&amp;"|"&amp;$CU428,LocTable,6,FALSE))-$CR428-0.75&gt;=2.125)," cut down"," adj."),""),"ANSI/SDI A250.6")))</f>
        <v/>
      </c>
      <c r="BU428" s="88">
        <f>IF($CS428,"",IF($CT428,IF(N($AW428)&gt;0,N($AW428),""),IF(1&gt;$CQ428,"",IF($CQ428=1,$CW428,$CW428+($CX428-$CW428)*0/($CQ428-1)))))</f>
        <v/>
      </c>
      <c r="BV428" s="88">
        <f>IF($CS428,"",IF($CT428,IF(N($AX428)&gt;0,N($AX428),""),IF(2&gt;$CQ428,"",IF($CQ428=1,$CW428,$CW428+($CX428-$CW428)*1/($CQ428-1)))))</f>
        <v/>
      </c>
      <c r="BW428" s="88">
        <f>IF($CS428,"",IF($CT428,IF(N($AY428)&gt;0,N($AY428),""),IF(3&gt;$CQ428,"",IF($CQ428=1,$CW428,$CW428+($CX428-$CW428)*2/($CQ428-1)))))</f>
        <v/>
      </c>
      <c r="BX428" s="88">
        <f>IF($CS428,"",IF($CT428,IF(N($AZ428)&gt;0,N($AZ428),""),IF(4&gt;$CQ428,"",IF($CQ428=1,$CW428,$CW428+($CX428-$CW428)*3/($CQ428-1)))))</f>
        <v/>
      </c>
      <c r="BY428" s="88">
        <f>IF($CS428,"",IF($CT428,"",IF(5&gt;$CQ428,"",IF($CQ428=1,$CW428,$CW428+($CX428-$CW428)*4/($CQ428-1)))))</f>
        <v/>
      </c>
      <c r="BZ428" s="88">
        <f>IF(OR($CS428,$AP428="-",AND($AP428="",$AD428="")),"",IF(N($BA428)&gt;0,N($BA428),IF($CV428,IF(AND($BI428&lt;$CU428,$BI428-IF(N(VLOOKUP($AT428&amp;"|"&amp;$CU428,LocTable,7,FALSE))&gt;0,VLOOKUP($AT428&amp;"|"&amp;$CU428,LocTable,7,FALSE),VLOOKUP($AT428&amp;"|"&amp;$CU428,LocTable,6,FALSE))-$CR428-0.75&gt;=2.125),VLOOKUP($AT428&amp;"|"&amp;$CU428,LocTable,8,FALSE),VLOOKUP($AT428&amp;"|"&amp;$CU428,LocTable,8,FALSE)+($BI428-$CU428)),$BI428-LockAFF)))</f>
        <v/>
      </c>
      <c r="CA428" s="89">
        <f>IF($BZ428="","",$BI428-$BZ428)</f>
        <v/>
      </c>
      <c r="CB428" s="84">
        <f>IF(OR(NOT(AND($A428&lt;&gt;"",$C428&lt;&gt;"DOOR ONLY")),$BI428=""),"",IF(($BI428+IF(N($P428)&gt;0,$P428+FaceW,0))&lt;=90,3,IF(($BI428+IF(N($P428)&gt;0,$P428+FaceW,0))&lt;=114,4,5)))</f>
        <v/>
      </c>
      <c r="CC428" s="84">
        <f>IF($CB428="","",$CB428*(2+IF(N($Q428)&gt;0,IF($R428="LR",2,1),0)))</f>
        <v/>
      </c>
      <c r="CD428" s="84">
        <f>IF($CB428="","",(2+IF(N($Q428)&gt;0,IF($R428="LR",2,1),0)))</f>
        <v/>
      </c>
      <c r="CE428" s="84">
        <f>IF(N($BJ428)=0,"",IF(OR($AL428="",$AL428="FLUSH"),"FLUSH",IFERROR(LEFT($AL428,FIND("-",$AL428)-1),LEFT($AL428,2))))</f>
        <v/>
      </c>
      <c r="CF428" s="84">
        <f>IF($CE428="","",IFERROR(VALUE(MID($AL428,FIND("-",$AL428)+1,FIND(CHAR(34)&amp;"x",$AL428)-FIND("-",$AL428)-1)),0))</f>
        <v/>
      </c>
      <c r="CG428" s="84">
        <f>IF($CE428="","",IFERROR(VALUE(MID($AL428,FIND(CHAR(34)&amp;"x",$AL428)+2,FIND(CHAR(34),$AL428,FIND(CHAR(34)&amp;"x",$AL428)+2)-FIND(CHAR(34)&amp;"x",$AL428)-2)),0))</f>
        <v/>
      </c>
      <c r="CH428" s="90">
        <f>IF(OR($A428="",$H428="",$H428="NO LAB"),0,IFERROR(VALUE(LEFT($H428,FIND(" ",$H428)-1)),0))</f>
        <v/>
      </c>
      <c r="CI428" s="91">
        <f>IF(OR($A428="",$I428="",$I428="NON-RATED",N($J428)=0),"",IFERROR(VLOOKUP($I428&amp;"|"&amp;$J428,IBC,2,FALSE),"?"))</f>
        <v/>
      </c>
      <c r="CJ428" s="85">
        <f>IF(NOT(AND($A428&lt;&gt;"",$C428&lt;&gt;"DOOR ONLY")),"",TRIM(IFERROR(VLOOKUP($U428,CODES,2,FALSE),"")&amp;" "&amp;$BG428&amp;" "&amp;IFERROR(VLOOKUP($Z428,CODES,2,FALSE),"")&amp;" "&amp;IFERROR(VLOOKUP($X428,CODES,2,FALSE),"")&amp;" "&amp;IFERROR(VLOOKUP($S428,CODES,2,FALSE),"")&amp;IF(N($P428)&gt;0," w/TRANSOM "&amp;$P428&amp;CHAR(34),"")&amp;IF(N($Q428)&gt;0," w/SIDELITE "&amp;$Q428&amp;CHAR(34)&amp;" "&amp;IF($R428="","R",$R428),"")&amp;IF($Y428="","  |  "," | "&amp;IFERROR(VLOOKUP($Y428,CODES,2,FALSE),"")&amp;" | ")&amp;IFERROR(VLOOKUP($AC428,CODES,2,FALSE),"")&amp;" "&amp;IFERROR(VLOOKUP($AD428,CODES,2,FALSE),"")&amp;IF(OR($AE428="",$AE428="-"),""," "&amp;$AE428)&amp;IF(OR($AF428="",$AF428="-"),""," "&amp;$AF428)&amp;IF($AB428="Y"," 4"&amp;CHAR(34)&amp;" HEAD","")&amp;" "&amp;IFERROR(VLOOKUP($H428,CODES,2,FALSE),"")&amp;IF($CT428," | LOC "&amp;$CY428,"")))</f>
        <v/>
      </c>
      <c r="CK428" s="85">
        <f>IF(NOT(AND($A428&lt;&gt;"",N($BJ428)&gt;0)),"",TRIM(IFERROR(VLOOKUP($AH428,CODES,2,FALSE),"")&amp;IF($AI428=""," "," "&amp;$AI428&amp;"GA ")&amp;$BG428&amp;" "&amp;IF($AN428="",IFERROR(VLOOKUP($Z428,CODES,2,FALSE),""),IFERROR(VLOOKUP($AN428,CODES,2,FALSE),""))&amp;IF($BJ428=2," PAIR","")&amp;" DOOR | "&amp;IF($AL428="","?",$AL428)&amp;" | "&amp;IF($AO428="",IFERROR(VLOOKUP($AC428,CODES,2,FALSE),""),IFERROR(VLOOKUP($AO428,CODES,2,FALSE),""))&amp;" "&amp;IFERROR(VLOOKUP($AP428,CODES,2,FALSE),"")&amp;IF(OR($AQ428="",$AQ428="-"),""," SEAM "&amp;$AQ428)&amp;IF($AR428="Y"," ASTRAGAL","")&amp;IF($AJ428=""," "," "&amp;$AJ428)&amp;IF($AK428=""," "," "&amp;$AK428)&amp;IF(OR($AT428="",$AT428="ANSI/SDI",$AT428="CUSTOM LOC"),""," "&amp;$AT428)&amp;IF($AM428=""," "," SERIES "&amp;$AM428)&amp;" "&amp;IFERROR(VLOOKUP($H428,CODES,2,FALSE),"")&amp;IF($CT428," | LOC "&amp;$CZ428,"")))</f>
        <v/>
      </c>
      <c r="CL428" s="84">
        <f>IF(CP428="","",IF(COUNTIF($CP$6:CP428,CP428)=1,MAX($CL$5:CL427)+1,INDEX($CL$5:CL427,MATCH(CP428,$CP$5:CP427,0))))</f>
        <v/>
      </c>
      <c r="CM428" s="84">
        <f>IF(NOT(AND($A428&lt;&gt;"",$C428&lt;&gt;"DOOR ONLY")),"",MAX($CM$5:CM427)+1)</f>
        <v/>
      </c>
      <c r="CN428" s="84">
        <f>IF(NOT(AND($A428&lt;&gt;"",N($BJ428)&gt;0)),"",MAX($CN$5:CN427)+1)</f>
        <v/>
      </c>
      <c r="CO428" s="84">
        <f>IF($A428="","",MAX($CO$5:CO427)+1)</f>
        <v/>
      </c>
      <c r="CP428" s="84">
        <f>IF(OR($A428="",$BH428="",$BI428=""),"",$BG428&amp;"|"&amp;$O428&amp;"|"&amp;$AL428&amp;"|"&amp;$S428&amp;"|"&amp;$P428&amp;"|"&amp;$Q428&amp;$R428&amp;"|"&amp;$C428&amp;"|"&amp;$AB428)</f>
        <v/>
      </c>
      <c r="CQ428" s="84">
        <f>N($BS428)</f>
        <v/>
      </c>
      <c r="CR428" s="84">
        <f>IF(N($AU428)&gt;0,N($AU428),4.5)</f>
        <v/>
      </c>
      <c r="CS428" s="84">
        <f>OR($A428="",$BI428="",$S428="BL",AND($C428="FRAME ONLY",OR($AC428="",$AC428="BLK")))</f>
        <v/>
      </c>
      <c r="CT428" s="84">
        <f>AND(NOT($CS428),OR($AT428="CUSTOM LOC",N($AW428)+N($AX428)+N($AY428)+N($AZ428)+N($BA428)&gt;0))</f>
        <v/>
      </c>
      <c r="CU428" s="84">
        <f>IF($BI428="","",IF($BI428&lt;=80,80,IF($BI428&lt;=84,84,96)))</f>
        <v/>
      </c>
      <c r="CV428" s="84">
        <f>ISNUMBER(MATCH($AT428&amp;"|80",LocKeys,0))</f>
        <v/>
      </c>
      <c r="CW428" s="86">
        <f>IF($CS428,"",IF($CV428,VLOOKUP($AT428&amp;"|"&amp;$CU428,LocTable,4,FALSE),5))</f>
        <v/>
      </c>
      <c r="CX428" s="86">
        <f>IF($CS428,"",IF($CV428,IF(OR($BI428=$CU428,AND($BI428&lt;$CU428,$BI428-IF(N(VLOOKUP($AT428&amp;"|"&amp;$CU428,LocTable,7,FALSE))&gt;0,VLOOKUP($AT428&amp;"|"&amp;$CU428,LocTable,7,FALSE),VLOOKUP($AT428&amp;"|"&amp;$CU428,LocTable,6,FALSE))-$CR428-0.75&gt;=2.125)),IF(N(VLOOKUP($AT428&amp;"|"&amp;$CU428,LocTable,7,FALSE))&gt;0,VLOOKUP($AT428&amp;"|"&amp;$CU428,LocTable,7,FALSE),VLOOKUP($AT428&amp;"|"&amp;$CU428,LocTable,6,FALSE)),$BI428-($CU428-IF(N(VLOOKUP($AT428&amp;"|"&amp;$CU428,LocTable,7,FALSE))&gt;0,VLOOKUP($AT428&amp;"|"&amp;$CU428,LocTable,7,FALSE),VLOOKUP($AT428&amp;"|"&amp;$CU428,LocTable,6,FALSE)))),$BI428-10-$CR428))</f>
        <v/>
      </c>
      <c r="CY428" s="85">
        <f>IF($CS428,"",TRIM(IF(ISNUMBER($BU428),"A "&amp;TRIM(TEXT($BU428,"# ?/??"))&amp;CHAR(34)&amp;"  ","")&amp;IF(ISNUMBER($BV428),"B "&amp;TRIM(TEXT($BV428,"# ?/??"))&amp;CHAR(34)&amp;"  ","")&amp;IF(ISNUMBER($BW428),"C "&amp;TRIM(TEXT($BW428,"# ?/??"))&amp;CHAR(34)&amp;"  ","")&amp;IF(ISNUMBER($BX428),"D "&amp;TRIM(TEXT($BX428,"# ?/??"))&amp;CHAR(34)&amp;"  ","")&amp;IF(ISNUMBER($BY428),"F "&amp;TRIM(TEXT($BY428,"# ?/??"))&amp;CHAR(34)&amp;"  ","")&amp;IF(ISNUMBER($BZ428),"E "&amp;TRIM(TEXT($BZ428,"# ?/??"))&amp;CHAR(34)&amp;"  ","")))</f>
        <v/>
      </c>
      <c r="CZ428" s="85">
        <f>IF(OR($CS428,N($BJ428)=0),"",TRIM(IF(ISNUMBER($BU428),"A "&amp;TRIM(TEXT($BU428-HeadClr,"# ?/??"))&amp;CHAR(34)&amp;"  ","")&amp;IF(ISNUMBER($BV428),"B "&amp;TRIM(TEXT($BV428-HeadClr,"# ?/??"))&amp;CHAR(34)&amp;"  ","")&amp;IF(ISNUMBER($BW428),"C "&amp;TRIM(TEXT($BW428-HeadClr,"# ?/??"))&amp;CHAR(34)&amp;"  ","")&amp;IF(ISNUMBER($BX428),"D "&amp;TRIM(TEXT($BX428-HeadClr,"# ?/??"))&amp;CHAR(34)&amp;"  ","")&amp;IF(ISNUMBER($BY428),"F "&amp;TRIM(TEXT($BY428-HeadClr,"# ?/??"))&amp;CHAR(34)&amp;"  ","")&amp;IF(ISNUMBER($BZ428),"E "&amp;TRIM(TEXT($BZ428-HeadClr,"# ?/??"))&amp;CHAR(34)&amp;"  ","")))</f>
        <v/>
      </c>
      <c r="DA428" s="84">
        <f>IF($A428="","",IF($AN428="",IFERROR(VLOOKUP($Z428,CODES,2,FALSE),""),IFERROR(VLOOKUP($AN428,CODES,2,FALSE),"")))</f>
        <v/>
      </c>
      <c r="DB428" s="84">
        <f>IF($A428="","",IF($O428="Y","PR",IF(OR($Z428="L",$Z428="RR",LEFT($Z428,2)="L-",LEFT($Z428,3)="RR-"),"LH","RH")))</f>
        <v/>
      </c>
      <c r="DC428" s="84">
        <f>IF($A428="","","S.HM"&amp;IF(OR($C428="DOOR ONLY",$X428&lt;&gt;"KD"),"MASONRY","DRYWALL")&amp;IF($C428="DOOR ONLY","",$U428)&amp;IF(AND($C428&lt;&gt;"FRAME ONLY",OR(LEFT($AH428,3)="OAK",LEFT($AH428,3)="BIR",LEFT($AH428,3)="MAP",$AH428="PC",$AH428="MC",$AH428="SCLC",$AH428="P-LAM")),"WD","HM")&amp;"1.75")</f>
        <v/>
      </c>
      <c r="DD428" s="84">
        <f>IF($CJ428="","",IF($O428="Y",$CJ428,SUBSTITUTE($CJ428,$BG428&amp;" "&amp;IFERROR(VLOOKUP($Z428,CODES,2,FALSE),"")&amp;" ",$BG428&amp;" ")))</f>
        <v/>
      </c>
      <c r="DE428" s="84">
        <f>IF($CK428="","",IF($O428="Y",$CK428,SUBSTITUTE($CK428,$BG428&amp;" "&amp;IF($AN428="",IFERROR(VLOOKUP($Z428,CODES,2,FALSE),""),IFERROR(VLOOKUP($AN428,CODES,2,FALSE),""))&amp;" ",$BG428&amp;" ")))</f>
        <v/>
      </c>
      <c r="DF428" s="84">
        <f>IF($CJ428="","",$DC428&amp;"|"&amp;$DD428&amp;"|"&amp;$DB428&amp;"|"&amp;$AT428&amp;"|"&amp;$V428&amp;"|"&amp;$Y428&amp;"|"&amp;$AB428)</f>
        <v/>
      </c>
      <c r="DG428" s="84">
        <f>IF(DF428="","",IF(COUNTIF($DF$6:DF428,DF428)=1,MAX($DG$5:DG427)+1,INDEX($DG$5:DG427,MATCH(DF428,$DF$5:DF427,0))))</f>
        <v/>
      </c>
      <c r="DH428" s="84">
        <f>IF($CK428="","",$DC428&amp;"|"&amp;$DE428&amp;"|"&amp;$AI428&amp;"|"&amp;$BK428&amp;"|"&amp;$BL428)</f>
        <v/>
      </c>
      <c r="DI428" s="84">
        <f>IF(DH428="","",IF(COUNTIF($DH$6:DH428,DH428)=1,MAX($DI$5:DI427)+1,INDEX($DI$5:DI427,MATCH(DH428,$DH$5:DH427,0))))</f>
        <v/>
      </c>
      <c r="DJ428" s="84">
        <f>IF($A428="","",IF($B428="","qty, ","")&amp;IF($C428="","scope, ","")&amp;IF(OR($K428="",$M428=""),"size, ","")&amp;IF(AND($A428&lt;&gt;"",$C428&lt;&gt;"DOOR ONLY"),IF($U428="","jamb depth, ","")&amp;IF($X428="","construction, ","")&amp;IF($Y428="","anchor, ","")&amp;IF($S428="","frame type, ",""),"")&amp;IF(AND(N($BJ428)&gt;0,$Z428=""),"hand, ","")&amp;IF(N($BJ428)&gt;0,IF($AH428="","door material, ","")&amp;IF($AL428="","face type, ","")&amp;IF($AP428="","lock prep, ","")&amp;IF(AND($AO428="",$AC428=""),"hinge prep, ",""),"")&amp;IF(AND($CH428&gt;0,$AH428="FRP"),"FRP cannot carry a label, ","")&amp;IF(AND($O428="Y",OR($Z428="L",$Z428="R",$Z428="LR",$Z428="RR")),"pair marked but hand is single, ","")&amp;IF(AND($O428&lt;&gt;"Y",OR($Z428="PR",AND(LEN($Z428)&gt;1,ISNUMBER(SEARCH("-",$Z428))))),"pair hand on a single door, ","")&amp;IF(AND(ISNUMBER($CI428),$CH428&lt;N($CI428)),"wall needs a "&amp;$CI428&amp;" min door, ","")&amp;IF(AND($CH428&gt;=180,AND(OR($CE428="FG",$CE428="HG",$CE428="FNV",$CE428="FV"),N($CF428)*N($CG428)&gt;100)),"180 min lite over 100 sq in, ","")&amp;IF(N($BK428)&gt;48,"leaf wider than 4'-0"&amp;CHAR(34)&amp;", ","")&amp;IF(AND($CT428,COUNT($AW428:$AZ428)=0,$CQ428&gt;0),"CUSTOM LOC with no locations typed, ",""))</f>
        <v/>
      </c>
      <c r="DK428" s="84">
        <f>IF($A428="","",IF(AND($CH428&gt;0,AND($A428&lt;&gt;"",$C428&lt;&gt;"DOOR ONLY"),$X428="KD",$E428="EXTERIOR"),"KD label on an exterior opening, ","")&amp;IF(AND($E428="EXTERIOR",OR(AND(AND($A428&lt;&gt;"",$C428&lt;&gt;"DOOR ONLY"),$W428="CR"),AND(N($BJ428)&gt;0,$AH428="CR"))),"exterior in CR steel (G9?), ","")&amp;IF(AND(ISNUMBER($BQ428),N($BQ428)&lt;32),"clear width ~"&amp;TEXT($BQ428,"0.0")&amp;CHAR(34)&amp;" under 32"&amp;CHAR(34)&amp;" (ADA), ","")&amp;IF(AND($CH428=90,AND(OR($CE428="FG",$CE428="HG",$CE428="FNV",$CE428="FV"),N($CF428)*N($CG428)&gt;100)),"90 min lite over 100 sq in (stair/exit), ","")&amp;IF(AND($CH428&gt;0,AND($A428&lt;&gt;"",$C428&lt;&gt;"DOOR ONLY"),OR($AF428="",$AF428="-")),"rated: closer reinf.?, ","")&amp;IF(OR($I428="CORRIDOR",$I428="SMOKE BARRIER"),"S label + smoke gasketing, ","")&amp;IF($CI428="?","wall type/hr not in IBC table, ","")&amp;IF(AND(N($BJ428)&gt;0,$BB428=""),"no hardware set, ","")&amp;IF(AND($BB428&lt;&gt;"",ISNA(MATCH($BB428&amp;"",HWSets,0))),"set "&amp;$BB428&amp;" not on HW Sets, ","")&amp;IF(N($BL428)&gt;96,"leaf over 8'-0"&amp;CHAR(34)&amp;" - check listing, ","")&amp;IF(AND($CT428,COUNT($AW428:$AZ428)&gt;0,COUNT($AW428:$AZ428)&lt;&gt;$CQ428),COUNT($AW428:$AZ428)&amp;" custom hinges typed, "&amp;$CQ428&amp;" expected, ","")&amp;IF(AND(ISNUMBER($CA428),OR(N($CA428)&lt;34,N($CA428)&gt;48)),"lock "&amp;TEXT($CA428,"0.0")&amp;CHAR(34)&amp;" AFF outside 34-48"&amp;CHAR(34)&amp;" (ADA), ","")&amp;IF(AND(ISNUMBER($AV428),ISNUMBER($BL428),N($AV428)&lt;IF(N($BL428)&lt;=60,2,IF(N($BL428)&lt;=90,3,IF(N($BL428)&lt;=120,4,5)))),"fewer hinges than standard, ",""))</f>
        <v/>
      </c>
    </row>
    <row r="429" ht="15" customHeight="1">
      <c r="A429" s="77" t="n"/>
      <c r="B429" s="78" t="n"/>
      <c r="C429" s="78" t="n"/>
      <c r="D429" s="78" t="n"/>
      <c r="E429" s="78" t="n"/>
      <c r="F429" s="78" t="n"/>
      <c r="G429" s="78" t="n"/>
      <c r="H429" s="78" t="n"/>
      <c r="I429" s="78" t="n"/>
      <c r="J429" s="78" t="n"/>
      <c r="K429" s="78" t="n"/>
      <c r="L429" s="78" t="n"/>
      <c r="M429" s="78" t="n"/>
      <c r="N429" s="78" t="n"/>
      <c r="O429" s="78" t="n"/>
      <c r="P429" s="78" t="n"/>
      <c r="Q429" s="78" t="n"/>
      <c r="R429" s="78" t="n"/>
      <c r="S429" s="79" t="n"/>
      <c r="T429" s="79" t="n"/>
      <c r="U429" s="79" t="n"/>
      <c r="V429" s="79" t="n"/>
      <c r="W429" s="79" t="n"/>
      <c r="X429" s="79" t="n"/>
      <c r="Y429" s="79" t="n"/>
      <c r="Z429" s="79" t="n"/>
      <c r="AA429" s="79" t="n"/>
      <c r="AB429" s="79" t="n"/>
      <c r="AC429" s="79" t="n"/>
      <c r="AD429" s="79" t="n"/>
      <c r="AE429" s="79" t="n"/>
      <c r="AF429" s="79" t="n"/>
      <c r="AG429" s="79" t="n"/>
      <c r="AH429" s="80" t="n"/>
      <c r="AI429" s="80" t="n"/>
      <c r="AJ429" s="80" t="n"/>
      <c r="AK429" s="80" t="n"/>
      <c r="AL429" s="80" t="n"/>
      <c r="AM429" s="80" t="n"/>
      <c r="AN429" s="80" t="n"/>
      <c r="AO429" s="80" t="n"/>
      <c r="AP429" s="80" t="n"/>
      <c r="AQ429" s="80" t="n"/>
      <c r="AR429" s="80" t="n"/>
      <c r="AS429" s="80" t="n"/>
      <c r="AT429" s="81" t="n"/>
      <c r="AU429" s="81" t="n"/>
      <c r="AV429" s="81" t="n"/>
      <c r="AW429" s="82" t="n"/>
      <c r="AX429" s="82" t="n"/>
      <c r="AY429" s="82" t="n"/>
      <c r="AZ429" s="82" t="n"/>
      <c r="BA429" s="82" t="n"/>
      <c r="BB429" s="83" t="n"/>
      <c r="BC429" s="83" t="n"/>
      <c r="BD429" s="84">
        <f>IF($A429="","",IF($DJ429&lt;&gt;"","FIX",IF($DK429&lt;&gt;"","CHECK","OK")))</f>
        <v/>
      </c>
      <c r="BE429" s="85">
        <f>IF($A429="","",IF($DJ429&lt;&gt;"","FIX: "&amp;LEFT($DJ429,LEN($DJ429)-2)&amp;IF($DK429&lt;&gt;"","  ·  ",""),"")&amp;IF($DK429&lt;&gt;"","CHECK: "&amp;LEFT($DK429,LEN($DK429)-2),""))</f>
        <v/>
      </c>
      <c r="BF429" s="84">
        <f>IF(OR($A429="",$K429=""),"",$K429&amp;"'-"&amp;N($L429)&amp;CHAR(34)&amp;" x "&amp;$M429&amp;"'-"&amp;N($N429)&amp;CHAR(34))</f>
        <v/>
      </c>
      <c r="BG429" s="84">
        <f>IF(OR($A429="",$K429=""),"",$K429&amp;N($L429)&amp;$M429&amp;N($N429))</f>
        <v/>
      </c>
      <c r="BH429" s="84">
        <f>IF(OR($A429="",$K429=""),"",$K429*12+N($L429))</f>
        <v/>
      </c>
      <c r="BI429" s="84">
        <f>IF(OR($A429="",$M429=""),"",$M429*12+N($N429))</f>
        <v/>
      </c>
      <c r="BJ429" s="84">
        <f>IF($A429="","",IF(OR($C429="FRAME ONLY",$S429="BL"),0,IF($O429="Y",2,1)))</f>
        <v/>
      </c>
      <c r="BK429" s="86">
        <f>IF(OR(N($BJ429)=0,$BH429=""),"",($BH429-2*EdgeClr-IF($BJ429=2,MeetClr,0))/$BJ429)</f>
        <v/>
      </c>
      <c r="BL429" s="86">
        <f>IF(OR(N($BJ429)=0,$BI429=""),"",$BI429-HeadClr-Undercut)</f>
        <v/>
      </c>
      <c r="BM429" s="86">
        <f>IF($BH429="","",$BH429+2*FaceW+IF(N($Q429)&gt;0,($Q429+FaceW)*IF($R429="LR",2,1),0))</f>
        <v/>
      </c>
      <c r="BN429" s="86">
        <f>IF($BI429="","",$BI429+IF($AB429="Y",4,FaceW)+IF(N($P429)&gt;0,$P429+FaceW,0)+IF(OR($S429="4F",$S429="BL"),FaceW,0))</f>
        <v/>
      </c>
      <c r="BO429" s="86">
        <f>IF($BM429="","",$BM429+2*ROSide)</f>
        <v/>
      </c>
      <c r="BP429" s="86">
        <f>IF($BN429="","",$BN429+ROTop)</f>
        <v/>
      </c>
      <c r="BQ429" s="87">
        <f>IF(OR(N($BJ429)=0,$BH429=""),"",$BH429/$BJ429-ClearDeduct)</f>
        <v/>
      </c>
      <c r="BR429" s="84">
        <f>IF(N($CH429)=0,"",IF($CH429&gt;=180,"A · 3 HR",IF($CH429&gt;=90,"B · 1-1/2 HR",IF($CH429&gt;=60,"B · 1 HR",IF($CH429&gt;=45,"C · 3/4 HR","20 MIN")))))&amp;IF(AND(N($CH429)&gt;0,OR($I429="CORRIDOR",$I429="SMOKE BARRIER"))," · S","")</f>
        <v/>
      </c>
      <c r="BS429" s="84">
        <f>IF($CS429,"",IF($AV429&lt;&gt;"",$AV429,IF(OR($AC429="HGC",$AO429="HGC"),"CONT",IF(($BI429-HeadClr-Undercut)&lt;=60,2,IF(($BI429-HeadClr-Undercut)&lt;=90,3,IF(($BI429-HeadClr-Undercut)&lt;=120,4,5))))))</f>
        <v/>
      </c>
      <c r="BT429" s="84">
        <f>IF($CS429,"",IF($CT429,"CUSTOM (typed)",IF($CV429,$AT429&amp;" "&amp;$CU429&amp;CHAR(34)&amp;IF($CU429&lt;&gt;$BI429,IF(AND($BI429&lt;$CU429,$BI429-IF(N(VLOOKUP($AT429&amp;"|"&amp;$CU429,LocTable,7,FALSE))&gt;0,VLOOKUP($AT429&amp;"|"&amp;$CU429,LocTable,7,FALSE),VLOOKUP($AT429&amp;"|"&amp;$CU429,LocTable,6,FALSE))-$CR429-0.75&gt;=2.125)," cut down"," adj."),""),"ANSI/SDI A250.6")))</f>
        <v/>
      </c>
      <c r="BU429" s="88">
        <f>IF($CS429,"",IF($CT429,IF(N($AW429)&gt;0,N($AW429),""),IF(1&gt;$CQ429,"",IF($CQ429=1,$CW429,$CW429+($CX429-$CW429)*0/($CQ429-1)))))</f>
        <v/>
      </c>
      <c r="BV429" s="88">
        <f>IF($CS429,"",IF($CT429,IF(N($AX429)&gt;0,N($AX429),""),IF(2&gt;$CQ429,"",IF($CQ429=1,$CW429,$CW429+($CX429-$CW429)*1/($CQ429-1)))))</f>
        <v/>
      </c>
      <c r="BW429" s="88">
        <f>IF($CS429,"",IF($CT429,IF(N($AY429)&gt;0,N($AY429),""),IF(3&gt;$CQ429,"",IF($CQ429=1,$CW429,$CW429+($CX429-$CW429)*2/($CQ429-1)))))</f>
        <v/>
      </c>
      <c r="BX429" s="88">
        <f>IF($CS429,"",IF($CT429,IF(N($AZ429)&gt;0,N($AZ429),""),IF(4&gt;$CQ429,"",IF($CQ429=1,$CW429,$CW429+($CX429-$CW429)*3/($CQ429-1)))))</f>
        <v/>
      </c>
      <c r="BY429" s="88">
        <f>IF($CS429,"",IF($CT429,"",IF(5&gt;$CQ429,"",IF($CQ429=1,$CW429,$CW429+($CX429-$CW429)*4/($CQ429-1)))))</f>
        <v/>
      </c>
      <c r="BZ429" s="88">
        <f>IF(OR($CS429,$AP429="-",AND($AP429="",$AD429="")),"",IF(N($BA429)&gt;0,N($BA429),IF($CV429,IF(AND($BI429&lt;$CU429,$BI429-IF(N(VLOOKUP($AT429&amp;"|"&amp;$CU429,LocTable,7,FALSE))&gt;0,VLOOKUP($AT429&amp;"|"&amp;$CU429,LocTable,7,FALSE),VLOOKUP($AT429&amp;"|"&amp;$CU429,LocTable,6,FALSE))-$CR429-0.75&gt;=2.125),VLOOKUP($AT429&amp;"|"&amp;$CU429,LocTable,8,FALSE),VLOOKUP($AT429&amp;"|"&amp;$CU429,LocTable,8,FALSE)+($BI429-$CU429)),$BI429-LockAFF)))</f>
        <v/>
      </c>
      <c r="CA429" s="89">
        <f>IF($BZ429="","",$BI429-$BZ429)</f>
        <v/>
      </c>
      <c r="CB429" s="84">
        <f>IF(OR(NOT(AND($A429&lt;&gt;"",$C429&lt;&gt;"DOOR ONLY")),$BI429=""),"",IF(($BI429+IF(N($P429)&gt;0,$P429+FaceW,0))&lt;=90,3,IF(($BI429+IF(N($P429)&gt;0,$P429+FaceW,0))&lt;=114,4,5)))</f>
        <v/>
      </c>
      <c r="CC429" s="84">
        <f>IF($CB429="","",$CB429*(2+IF(N($Q429)&gt;0,IF($R429="LR",2,1),0)))</f>
        <v/>
      </c>
      <c r="CD429" s="84">
        <f>IF($CB429="","",(2+IF(N($Q429)&gt;0,IF($R429="LR",2,1),0)))</f>
        <v/>
      </c>
      <c r="CE429" s="84">
        <f>IF(N($BJ429)=0,"",IF(OR($AL429="",$AL429="FLUSH"),"FLUSH",IFERROR(LEFT($AL429,FIND("-",$AL429)-1),LEFT($AL429,2))))</f>
        <v/>
      </c>
      <c r="CF429" s="84">
        <f>IF($CE429="","",IFERROR(VALUE(MID($AL429,FIND("-",$AL429)+1,FIND(CHAR(34)&amp;"x",$AL429)-FIND("-",$AL429)-1)),0))</f>
        <v/>
      </c>
      <c r="CG429" s="84">
        <f>IF($CE429="","",IFERROR(VALUE(MID($AL429,FIND(CHAR(34)&amp;"x",$AL429)+2,FIND(CHAR(34),$AL429,FIND(CHAR(34)&amp;"x",$AL429)+2)-FIND(CHAR(34)&amp;"x",$AL429)-2)),0))</f>
        <v/>
      </c>
      <c r="CH429" s="90">
        <f>IF(OR($A429="",$H429="",$H429="NO LAB"),0,IFERROR(VALUE(LEFT($H429,FIND(" ",$H429)-1)),0))</f>
        <v/>
      </c>
      <c r="CI429" s="91">
        <f>IF(OR($A429="",$I429="",$I429="NON-RATED",N($J429)=0),"",IFERROR(VLOOKUP($I429&amp;"|"&amp;$J429,IBC,2,FALSE),"?"))</f>
        <v/>
      </c>
      <c r="CJ429" s="85">
        <f>IF(NOT(AND($A429&lt;&gt;"",$C429&lt;&gt;"DOOR ONLY")),"",TRIM(IFERROR(VLOOKUP($U429,CODES,2,FALSE),"")&amp;" "&amp;$BG429&amp;" "&amp;IFERROR(VLOOKUP($Z429,CODES,2,FALSE),"")&amp;" "&amp;IFERROR(VLOOKUP($X429,CODES,2,FALSE),"")&amp;" "&amp;IFERROR(VLOOKUP($S429,CODES,2,FALSE),"")&amp;IF(N($P429)&gt;0," w/TRANSOM "&amp;$P429&amp;CHAR(34),"")&amp;IF(N($Q429)&gt;0," w/SIDELITE "&amp;$Q429&amp;CHAR(34)&amp;" "&amp;IF($R429="","R",$R429),"")&amp;IF($Y429="","  |  "," | "&amp;IFERROR(VLOOKUP($Y429,CODES,2,FALSE),"")&amp;" | ")&amp;IFERROR(VLOOKUP($AC429,CODES,2,FALSE),"")&amp;" "&amp;IFERROR(VLOOKUP($AD429,CODES,2,FALSE),"")&amp;IF(OR($AE429="",$AE429="-"),""," "&amp;$AE429)&amp;IF(OR($AF429="",$AF429="-"),""," "&amp;$AF429)&amp;IF($AB429="Y"," 4"&amp;CHAR(34)&amp;" HEAD","")&amp;" "&amp;IFERROR(VLOOKUP($H429,CODES,2,FALSE),"")&amp;IF($CT429," | LOC "&amp;$CY429,"")))</f>
        <v/>
      </c>
      <c r="CK429" s="85">
        <f>IF(NOT(AND($A429&lt;&gt;"",N($BJ429)&gt;0)),"",TRIM(IFERROR(VLOOKUP($AH429,CODES,2,FALSE),"")&amp;IF($AI429=""," "," "&amp;$AI429&amp;"GA ")&amp;$BG429&amp;" "&amp;IF($AN429="",IFERROR(VLOOKUP($Z429,CODES,2,FALSE),""),IFERROR(VLOOKUP($AN429,CODES,2,FALSE),""))&amp;IF($BJ429=2," PAIR","")&amp;" DOOR | "&amp;IF($AL429="","?",$AL429)&amp;" | "&amp;IF($AO429="",IFERROR(VLOOKUP($AC429,CODES,2,FALSE),""),IFERROR(VLOOKUP($AO429,CODES,2,FALSE),""))&amp;" "&amp;IFERROR(VLOOKUP($AP429,CODES,2,FALSE),"")&amp;IF(OR($AQ429="",$AQ429="-"),""," SEAM "&amp;$AQ429)&amp;IF($AR429="Y"," ASTRAGAL","")&amp;IF($AJ429=""," "," "&amp;$AJ429)&amp;IF($AK429=""," "," "&amp;$AK429)&amp;IF(OR($AT429="",$AT429="ANSI/SDI",$AT429="CUSTOM LOC"),""," "&amp;$AT429)&amp;IF($AM429=""," "," SERIES "&amp;$AM429)&amp;" "&amp;IFERROR(VLOOKUP($H429,CODES,2,FALSE),"")&amp;IF($CT429," | LOC "&amp;$CZ429,"")))</f>
        <v/>
      </c>
      <c r="CL429" s="84">
        <f>IF(CP429="","",IF(COUNTIF($CP$6:CP429,CP429)=1,MAX($CL$5:CL428)+1,INDEX($CL$5:CL428,MATCH(CP429,$CP$5:CP428,0))))</f>
        <v/>
      </c>
      <c r="CM429" s="84">
        <f>IF(NOT(AND($A429&lt;&gt;"",$C429&lt;&gt;"DOOR ONLY")),"",MAX($CM$5:CM428)+1)</f>
        <v/>
      </c>
      <c r="CN429" s="84">
        <f>IF(NOT(AND($A429&lt;&gt;"",N($BJ429)&gt;0)),"",MAX($CN$5:CN428)+1)</f>
        <v/>
      </c>
      <c r="CO429" s="84">
        <f>IF($A429="","",MAX($CO$5:CO428)+1)</f>
        <v/>
      </c>
      <c r="CP429" s="84">
        <f>IF(OR($A429="",$BH429="",$BI429=""),"",$BG429&amp;"|"&amp;$O429&amp;"|"&amp;$AL429&amp;"|"&amp;$S429&amp;"|"&amp;$P429&amp;"|"&amp;$Q429&amp;$R429&amp;"|"&amp;$C429&amp;"|"&amp;$AB429)</f>
        <v/>
      </c>
      <c r="CQ429" s="84">
        <f>N($BS429)</f>
        <v/>
      </c>
      <c r="CR429" s="84">
        <f>IF(N($AU429)&gt;0,N($AU429),4.5)</f>
        <v/>
      </c>
      <c r="CS429" s="84">
        <f>OR($A429="",$BI429="",$S429="BL",AND($C429="FRAME ONLY",OR($AC429="",$AC429="BLK")))</f>
        <v/>
      </c>
      <c r="CT429" s="84">
        <f>AND(NOT($CS429),OR($AT429="CUSTOM LOC",N($AW429)+N($AX429)+N($AY429)+N($AZ429)+N($BA429)&gt;0))</f>
        <v/>
      </c>
      <c r="CU429" s="84">
        <f>IF($BI429="","",IF($BI429&lt;=80,80,IF($BI429&lt;=84,84,96)))</f>
        <v/>
      </c>
      <c r="CV429" s="84">
        <f>ISNUMBER(MATCH($AT429&amp;"|80",LocKeys,0))</f>
        <v/>
      </c>
      <c r="CW429" s="86">
        <f>IF($CS429,"",IF($CV429,VLOOKUP($AT429&amp;"|"&amp;$CU429,LocTable,4,FALSE),5))</f>
        <v/>
      </c>
      <c r="CX429" s="86">
        <f>IF($CS429,"",IF($CV429,IF(OR($BI429=$CU429,AND($BI429&lt;$CU429,$BI429-IF(N(VLOOKUP($AT429&amp;"|"&amp;$CU429,LocTable,7,FALSE))&gt;0,VLOOKUP($AT429&amp;"|"&amp;$CU429,LocTable,7,FALSE),VLOOKUP($AT429&amp;"|"&amp;$CU429,LocTable,6,FALSE))-$CR429-0.75&gt;=2.125)),IF(N(VLOOKUP($AT429&amp;"|"&amp;$CU429,LocTable,7,FALSE))&gt;0,VLOOKUP($AT429&amp;"|"&amp;$CU429,LocTable,7,FALSE),VLOOKUP($AT429&amp;"|"&amp;$CU429,LocTable,6,FALSE)),$BI429-($CU429-IF(N(VLOOKUP($AT429&amp;"|"&amp;$CU429,LocTable,7,FALSE))&gt;0,VLOOKUP($AT429&amp;"|"&amp;$CU429,LocTable,7,FALSE),VLOOKUP($AT429&amp;"|"&amp;$CU429,LocTable,6,FALSE)))),$BI429-10-$CR429))</f>
        <v/>
      </c>
      <c r="CY429" s="85">
        <f>IF($CS429,"",TRIM(IF(ISNUMBER($BU429),"A "&amp;TRIM(TEXT($BU429,"# ?/??"))&amp;CHAR(34)&amp;"  ","")&amp;IF(ISNUMBER($BV429),"B "&amp;TRIM(TEXT($BV429,"# ?/??"))&amp;CHAR(34)&amp;"  ","")&amp;IF(ISNUMBER($BW429),"C "&amp;TRIM(TEXT($BW429,"# ?/??"))&amp;CHAR(34)&amp;"  ","")&amp;IF(ISNUMBER($BX429),"D "&amp;TRIM(TEXT($BX429,"# ?/??"))&amp;CHAR(34)&amp;"  ","")&amp;IF(ISNUMBER($BY429),"F "&amp;TRIM(TEXT($BY429,"# ?/??"))&amp;CHAR(34)&amp;"  ","")&amp;IF(ISNUMBER($BZ429),"E "&amp;TRIM(TEXT($BZ429,"# ?/??"))&amp;CHAR(34)&amp;"  ","")))</f>
        <v/>
      </c>
      <c r="CZ429" s="85">
        <f>IF(OR($CS429,N($BJ429)=0),"",TRIM(IF(ISNUMBER($BU429),"A "&amp;TRIM(TEXT($BU429-HeadClr,"# ?/??"))&amp;CHAR(34)&amp;"  ","")&amp;IF(ISNUMBER($BV429),"B "&amp;TRIM(TEXT($BV429-HeadClr,"# ?/??"))&amp;CHAR(34)&amp;"  ","")&amp;IF(ISNUMBER($BW429),"C "&amp;TRIM(TEXT($BW429-HeadClr,"# ?/??"))&amp;CHAR(34)&amp;"  ","")&amp;IF(ISNUMBER($BX429),"D "&amp;TRIM(TEXT($BX429-HeadClr,"# ?/??"))&amp;CHAR(34)&amp;"  ","")&amp;IF(ISNUMBER($BY429),"F "&amp;TRIM(TEXT($BY429-HeadClr,"# ?/??"))&amp;CHAR(34)&amp;"  ","")&amp;IF(ISNUMBER($BZ429),"E "&amp;TRIM(TEXT($BZ429-HeadClr,"# ?/??"))&amp;CHAR(34)&amp;"  ","")))</f>
        <v/>
      </c>
      <c r="DA429" s="84">
        <f>IF($A429="","",IF($AN429="",IFERROR(VLOOKUP($Z429,CODES,2,FALSE),""),IFERROR(VLOOKUP($AN429,CODES,2,FALSE),"")))</f>
        <v/>
      </c>
      <c r="DB429" s="84">
        <f>IF($A429="","",IF($O429="Y","PR",IF(OR($Z429="L",$Z429="RR",LEFT($Z429,2)="L-",LEFT($Z429,3)="RR-"),"LH","RH")))</f>
        <v/>
      </c>
      <c r="DC429" s="84">
        <f>IF($A429="","","S.HM"&amp;IF(OR($C429="DOOR ONLY",$X429&lt;&gt;"KD"),"MASONRY","DRYWALL")&amp;IF($C429="DOOR ONLY","",$U429)&amp;IF(AND($C429&lt;&gt;"FRAME ONLY",OR(LEFT($AH429,3)="OAK",LEFT($AH429,3)="BIR",LEFT($AH429,3)="MAP",$AH429="PC",$AH429="MC",$AH429="SCLC",$AH429="P-LAM")),"WD","HM")&amp;"1.75")</f>
        <v/>
      </c>
      <c r="DD429" s="84">
        <f>IF($CJ429="","",IF($O429="Y",$CJ429,SUBSTITUTE($CJ429,$BG429&amp;" "&amp;IFERROR(VLOOKUP($Z429,CODES,2,FALSE),"")&amp;" ",$BG429&amp;" ")))</f>
        <v/>
      </c>
      <c r="DE429" s="84">
        <f>IF($CK429="","",IF($O429="Y",$CK429,SUBSTITUTE($CK429,$BG429&amp;" "&amp;IF($AN429="",IFERROR(VLOOKUP($Z429,CODES,2,FALSE),""),IFERROR(VLOOKUP($AN429,CODES,2,FALSE),""))&amp;" ",$BG429&amp;" ")))</f>
        <v/>
      </c>
      <c r="DF429" s="84">
        <f>IF($CJ429="","",$DC429&amp;"|"&amp;$DD429&amp;"|"&amp;$DB429&amp;"|"&amp;$AT429&amp;"|"&amp;$V429&amp;"|"&amp;$Y429&amp;"|"&amp;$AB429)</f>
        <v/>
      </c>
      <c r="DG429" s="84">
        <f>IF(DF429="","",IF(COUNTIF($DF$6:DF429,DF429)=1,MAX($DG$5:DG428)+1,INDEX($DG$5:DG428,MATCH(DF429,$DF$5:DF428,0))))</f>
        <v/>
      </c>
      <c r="DH429" s="84">
        <f>IF($CK429="","",$DC429&amp;"|"&amp;$DE429&amp;"|"&amp;$AI429&amp;"|"&amp;$BK429&amp;"|"&amp;$BL429)</f>
        <v/>
      </c>
      <c r="DI429" s="84">
        <f>IF(DH429="","",IF(COUNTIF($DH$6:DH429,DH429)=1,MAX($DI$5:DI428)+1,INDEX($DI$5:DI428,MATCH(DH429,$DH$5:DH428,0))))</f>
        <v/>
      </c>
      <c r="DJ429" s="84">
        <f>IF($A429="","",IF($B429="","qty, ","")&amp;IF($C429="","scope, ","")&amp;IF(OR($K429="",$M429=""),"size, ","")&amp;IF(AND($A429&lt;&gt;"",$C429&lt;&gt;"DOOR ONLY"),IF($U429="","jamb depth, ","")&amp;IF($X429="","construction, ","")&amp;IF($Y429="","anchor, ","")&amp;IF($S429="","frame type, ",""),"")&amp;IF(AND(N($BJ429)&gt;0,$Z429=""),"hand, ","")&amp;IF(N($BJ429)&gt;0,IF($AH429="","door material, ","")&amp;IF($AL429="","face type, ","")&amp;IF($AP429="","lock prep, ","")&amp;IF(AND($AO429="",$AC429=""),"hinge prep, ",""),"")&amp;IF(AND($CH429&gt;0,$AH429="FRP"),"FRP cannot carry a label, ","")&amp;IF(AND($O429="Y",OR($Z429="L",$Z429="R",$Z429="LR",$Z429="RR")),"pair marked but hand is single, ","")&amp;IF(AND($O429&lt;&gt;"Y",OR($Z429="PR",AND(LEN($Z429)&gt;1,ISNUMBER(SEARCH("-",$Z429))))),"pair hand on a single door, ","")&amp;IF(AND(ISNUMBER($CI429),$CH429&lt;N($CI429)),"wall needs a "&amp;$CI429&amp;" min door, ","")&amp;IF(AND($CH429&gt;=180,AND(OR($CE429="FG",$CE429="HG",$CE429="FNV",$CE429="FV"),N($CF429)*N($CG429)&gt;100)),"180 min lite over 100 sq in, ","")&amp;IF(N($BK429)&gt;48,"leaf wider than 4'-0"&amp;CHAR(34)&amp;", ","")&amp;IF(AND($CT429,COUNT($AW429:$AZ429)=0,$CQ429&gt;0),"CUSTOM LOC with no locations typed, ",""))</f>
        <v/>
      </c>
      <c r="DK429" s="84">
        <f>IF($A429="","",IF(AND($CH429&gt;0,AND($A429&lt;&gt;"",$C429&lt;&gt;"DOOR ONLY"),$X429="KD",$E429="EXTERIOR"),"KD label on an exterior opening, ","")&amp;IF(AND($E429="EXTERIOR",OR(AND(AND($A429&lt;&gt;"",$C429&lt;&gt;"DOOR ONLY"),$W429="CR"),AND(N($BJ429)&gt;0,$AH429="CR"))),"exterior in CR steel (G9?), ","")&amp;IF(AND(ISNUMBER($BQ429),N($BQ429)&lt;32),"clear width ~"&amp;TEXT($BQ429,"0.0")&amp;CHAR(34)&amp;" under 32"&amp;CHAR(34)&amp;" (ADA), ","")&amp;IF(AND($CH429=90,AND(OR($CE429="FG",$CE429="HG",$CE429="FNV",$CE429="FV"),N($CF429)*N($CG429)&gt;100)),"90 min lite over 100 sq in (stair/exit), ","")&amp;IF(AND($CH429&gt;0,AND($A429&lt;&gt;"",$C429&lt;&gt;"DOOR ONLY"),OR($AF429="",$AF429="-")),"rated: closer reinf.?, ","")&amp;IF(OR($I429="CORRIDOR",$I429="SMOKE BARRIER"),"S label + smoke gasketing, ","")&amp;IF($CI429="?","wall type/hr not in IBC table, ","")&amp;IF(AND(N($BJ429)&gt;0,$BB429=""),"no hardware set, ","")&amp;IF(AND($BB429&lt;&gt;"",ISNA(MATCH($BB429&amp;"",HWSets,0))),"set "&amp;$BB429&amp;" not on HW Sets, ","")&amp;IF(N($BL429)&gt;96,"leaf over 8'-0"&amp;CHAR(34)&amp;" - check listing, ","")&amp;IF(AND($CT429,COUNT($AW429:$AZ429)&gt;0,COUNT($AW429:$AZ429)&lt;&gt;$CQ429),COUNT($AW429:$AZ429)&amp;" custom hinges typed, "&amp;$CQ429&amp;" expected, ","")&amp;IF(AND(ISNUMBER($CA429),OR(N($CA429)&lt;34,N($CA429)&gt;48)),"lock "&amp;TEXT($CA429,"0.0")&amp;CHAR(34)&amp;" AFF outside 34-48"&amp;CHAR(34)&amp;" (ADA), ","")&amp;IF(AND(ISNUMBER($AV429),ISNUMBER($BL429),N($AV429)&lt;IF(N($BL429)&lt;=60,2,IF(N($BL429)&lt;=90,3,IF(N($BL429)&lt;=120,4,5)))),"fewer hinges than standard, ",""))</f>
        <v/>
      </c>
    </row>
    <row r="430" ht="15" customHeight="1">
      <c r="A430" s="92" t="n"/>
      <c r="B430" s="93" t="n"/>
      <c r="C430" s="93" t="n"/>
      <c r="D430" s="93" t="n"/>
      <c r="E430" s="93" t="n"/>
      <c r="F430" s="93" t="n"/>
      <c r="G430" s="93" t="n"/>
      <c r="H430" s="93" t="n"/>
      <c r="I430" s="93" t="n"/>
      <c r="J430" s="93" t="n"/>
      <c r="K430" s="93" t="n"/>
      <c r="L430" s="93" t="n"/>
      <c r="M430" s="93" t="n"/>
      <c r="N430" s="93" t="n"/>
      <c r="O430" s="93" t="n"/>
      <c r="P430" s="93" t="n"/>
      <c r="Q430" s="93" t="n"/>
      <c r="R430" s="93" t="n"/>
      <c r="S430" s="94" t="n"/>
      <c r="T430" s="94" t="n"/>
      <c r="U430" s="94" t="n"/>
      <c r="V430" s="94" t="n"/>
      <c r="W430" s="94" t="n"/>
      <c r="X430" s="94" t="n"/>
      <c r="Y430" s="94" t="n"/>
      <c r="Z430" s="94" t="n"/>
      <c r="AA430" s="94" t="n"/>
      <c r="AB430" s="94" t="n"/>
      <c r="AC430" s="94" t="n"/>
      <c r="AD430" s="94" t="n"/>
      <c r="AE430" s="94" t="n"/>
      <c r="AF430" s="94" t="n"/>
      <c r="AG430" s="94" t="n"/>
      <c r="AH430" s="95" t="n"/>
      <c r="AI430" s="95" t="n"/>
      <c r="AJ430" s="95" t="n"/>
      <c r="AK430" s="95" t="n"/>
      <c r="AL430" s="95" t="n"/>
      <c r="AM430" s="95" t="n"/>
      <c r="AN430" s="95" t="n"/>
      <c r="AO430" s="95" t="n"/>
      <c r="AP430" s="95" t="n"/>
      <c r="AQ430" s="95" t="n"/>
      <c r="AR430" s="95" t="n"/>
      <c r="AS430" s="95" t="n"/>
      <c r="AT430" s="96" t="n"/>
      <c r="AU430" s="96" t="n"/>
      <c r="AV430" s="96" t="n"/>
      <c r="AW430" s="97" t="n"/>
      <c r="AX430" s="97" t="n"/>
      <c r="AY430" s="97" t="n"/>
      <c r="AZ430" s="97" t="n"/>
      <c r="BA430" s="97" t="n"/>
      <c r="BB430" s="98" t="n"/>
      <c r="BC430" s="98" t="n"/>
      <c r="BD430" s="99">
        <f>IF($A430="","",IF($DJ430&lt;&gt;"","FIX",IF($DK430&lt;&gt;"","CHECK","OK")))</f>
        <v/>
      </c>
      <c r="BE430" s="100">
        <f>IF($A430="","",IF($DJ430&lt;&gt;"","FIX: "&amp;LEFT($DJ430,LEN($DJ430)-2)&amp;IF($DK430&lt;&gt;"","  ·  ",""),"")&amp;IF($DK430&lt;&gt;"","CHECK: "&amp;LEFT($DK430,LEN($DK430)-2),""))</f>
        <v/>
      </c>
      <c r="BF430" s="99">
        <f>IF(OR($A430="",$K430=""),"",$K430&amp;"'-"&amp;N($L430)&amp;CHAR(34)&amp;" x "&amp;$M430&amp;"'-"&amp;N($N430)&amp;CHAR(34))</f>
        <v/>
      </c>
      <c r="BG430" s="99">
        <f>IF(OR($A430="",$K430=""),"",$K430&amp;N($L430)&amp;$M430&amp;N($N430))</f>
        <v/>
      </c>
      <c r="BH430" s="99">
        <f>IF(OR($A430="",$K430=""),"",$K430*12+N($L430))</f>
        <v/>
      </c>
      <c r="BI430" s="99">
        <f>IF(OR($A430="",$M430=""),"",$M430*12+N($N430))</f>
        <v/>
      </c>
      <c r="BJ430" s="99">
        <f>IF($A430="","",IF(OR($C430="FRAME ONLY",$S430="BL"),0,IF($O430="Y",2,1)))</f>
        <v/>
      </c>
      <c r="BK430" s="101">
        <f>IF(OR(N($BJ430)=0,$BH430=""),"",($BH430-2*EdgeClr-IF($BJ430=2,MeetClr,0))/$BJ430)</f>
        <v/>
      </c>
      <c r="BL430" s="101">
        <f>IF(OR(N($BJ430)=0,$BI430=""),"",$BI430-HeadClr-Undercut)</f>
        <v/>
      </c>
      <c r="BM430" s="101">
        <f>IF($BH430="","",$BH430+2*FaceW+IF(N($Q430)&gt;0,($Q430+FaceW)*IF($R430="LR",2,1),0))</f>
        <v/>
      </c>
      <c r="BN430" s="101">
        <f>IF($BI430="","",$BI430+IF($AB430="Y",4,FaceW)+IF(N($P430)&gt;0,$P430+FaceW,0)+IF(OR($S430="4F",$S430="BL"),FaceW,0))</f>
        <v/>
      </c>
      <c r="BO430" s="101">
        <f>IF($BM430="","",$BM430+2*ROSide)</f>
        <v/>
      </c>
      <c r="BP430" s="101">
        <f>IF($BN430="","",$BN430+ROTop)</f>
        <v/>
      </c>
      <c r="BQ430" s="102">
        <f>IF(OR(N($BJ430)=0,$BH430=""),"",$BH430/$BJ430-ClearDeduct)</f>
        <v/>
      </c>
      <c r="BR430" s="99">
        <f>IF(N($CH430)=0,"",IF($CH430&gt;=180,"A · 3 HR",IF($CH430&gt;=90,"B · 1-1/2 HR",IF($CH430&gt;=60,"B · 1 HR",IF($CH430&gt;=45,"C · 3/4 HR","20 MIN")))))&amp;IF(AND(N($CH430)&gt;0,OR($I430="CORRIDOR",$I430="SMOKE BARRIER"))," · S","")</f>
        <v/>
      </c>
      <c r="BS430" s="99">
        <f>IF($CS430,"",IF($AV430&lt;&gt;"",$AV430,IF(OR($AC430="HGC",$AO430="HGC"),"CONT",IF(($BI430-HeadClr-Undercut)&lt;=60,2,IF(($BI430-HeadClr-Undercut)&lt;=90,3,IF(($BI430-HeadClr-Undercut)&lt;=120,4,5))))))</f>
        <v/>
      </c>
      <c r="BT430" s="99">
        <f>IF($CS430,"",IF($CT430,"CUSTOM (typed)",IF($CV430,$AT430&amp;" "&amp;$CU430&amp;CHAR(34)&amp;IF($CU430&lt;&gt;$BI430,IF(AND($BI430&lt;$CU430,$BI430-IF(N(VLOOKUP($AT430&amp;"|"&amp;$CU430,LocTable,7,FALSE))&gt;0,VLOOKUP($AT430&amp;"|"&amp;$CU430,LocTable,7,FALSE),VLOOKUP($AT430&amp;"|"&amp;$CU430,LocTable,6,FALSE))-$CR430-0.75&gt;=2.125)," cut down"," adj."),""),"ANSI/SDI A250.6")))</f>
        <v/>
      </c>
      <c r="BU430" s="103">
        <f>IF($CS430,"",IF($CT430,IF(N($AW430)&gt;0,N($AW430),""),IF(1&gt;$CQ430,"",IF($CQ430=1,$CW430,$CW430+($CX430-$CW430)*0/($CQ430-1)))))</f>
        <v/>
      </c>
      <c r="BV430" s="103">
        <f>IF($CS430,"",IF($CT430,IF(N($AX430)&gt;0,N($AX430),""),IF(2&gt;$CQ430,"",IF($CQ430=1,$CW430,$CW430+($CX430-$CW430)*1/($CQ430-1)))))</f>
        <v/>
      </c>
      <c r="BW430" s="103">
        <f>IF($CS430,"",IF($CT430,IF(N($AY430)&gt;0,N($AY430),""),IF(3&gt;$CQ430,"",IF($CQ430=1,$CW430,$CW430+($CX430-$CW430)*2/($CQ430-1)))))</f>
        <v/>
      </c>
      <c r="BX430" s="103">
        <f>IF($CS430,"",IF($CT430,IF(N($AZ430)&gt;0,N($AZ430),""),IF(4&gt;$CQ430,"",IF($CQ430=1,$CW430,$CW430+($CX430-$CW430)*3/($CQ430-1)))))</f>
        <v/>
      </c>
      <c r="BY430" s="103">
        <f>IF($CS430,"",IF($CT430,"",IF(5&gt;$CQ430,"",IF($CQ430=1,$CW430,$CW430+($CX430-$CW430)*4/($CQ430-1)))))</f>
        <v/>
      </c>
      <c r="BZ430" s="103">
        <f>IF(OR($CS430,$AP430="-",AND($AP430="",$AD430="")),"",IF(N($BA430)&gt;0,N($BA430),IF($CV430,IF(AND($BI430&lt;$CU430,$BI430-IF(N(VLOOKUP($AT430&amp;"|"&amp;$CU430,LocTable,7,FALSE))&gt;0,VLOOKUP($AT430&amp;"|"&amp;$CU430,LocTable,7,FALSE),VLOOKUP($AT430&amp;"|"&amp;$CU430,LocTable,6,FALSE))-$CR430-0.75&gt;=2.125),VLOOKUP($AT430&amp;"|"&amp;$CU430,LocTable,8,FALSE),VLOOKUP($AT430&amp;"|"&amp;$CU430,LocTable,8,FALSE)+($BI430-$CU430)),$BI430-LockAFF)))</f>
        <v/>
      </c>
      <c r="CA430" s="104">
        <f>IF($BZ430="","",$BI430-$BZ430)</f>
        <v/>
      </c>
      <c r="CB430" s="99">
        <f>IF(OR(NOT(AND($A430&lt;&gt;"",$C430&lt;&gt;"DOOR ONLY")),$BI430=""),"",IF(($BI430+IF(N($P430)&gt;0,$P430+FaceW,0))&lt;=90,3,IF(($BI430+IF(N($P430)&gt;0,$P430+FaceW,0))&lt;=114,4,5)))</f>
        <v/>
      </c>
      <c r="CC430" s="99">
        <f>IF($CB430="","",$CB430*(2+IF(N($Q430)&gt;0,IF($R430="LR",2,1),0)))</f>
        <v/>
      </c>
      <c r="CD430" s="99">
        <f>IF($CB430="","",(2+IF(N($Q430)&gt;0,IF($R430="LR",2,1),0)))</f>
        <v/>
      </c>
      <c r="CE430" s="99">
        <f>IF(N($BJ430)=0,"",IF(OR($AL430="",$AL430="FLUSH"),"FLUSH",IFERROR(LEFT($AL430,FIND("-",$AL430)-1),LEFT($AL430,2))))</f>
        <v/>
      </c>
      <c r="CF430" s="99">
        <f>IF($CE430="","",IFERROR(VALUE(MID($AL430,FIND("-",$AL430)+1,FIND(CHAR(34)&amp;"x",$AL430)-FIND("-",$AL430)-1)),0))</f>
        <v/>
      </c>
      <c r="CG430" s="99">
        <f>IF($CE430="","",IFERROR(VALUE(MID($AL430,FIND(CHAR(34)&amp;"x",$AL430)+2,FIND(CHAR(34),$AL430,FIND(CHAR(34)&amp;"x",$AL430)+2)-FIND(CHAR(34)&amp;"x",$AL430)-2)),0))</f>
        <v/>
      </c>
      <c r="CH430" s="105">
        <f>IF(OR($A430="",$H430="",$H430="NO LAB"),0,IFERROR(VALUE(LEFT($H430,FIND(" ",$H430)-1)),0))</f>
        <v/>
      </c>
      <c r="CI430" s="106">
        <f>IF(OR($A430="",$I430="",$I430="NON-RATED",N($J430)=0),"",IFERROR(VLOOKUP($I430&amp;"|"&amp;$J430,IBC,2,FALSE),"?"))</f>
        <v/>
      </c>
      <c r="CJ430" s="100">
        <f>IF(NOT(AND($A430&lt;&gt;"",$C430&lt;&gt;"DOOR ONLY")),"",TRIM(IFERROR(VLOOKUP($U430,CODES,2,FALSE),"")&amp;" "&amp;$BG430&amp;" "&amp;IFERROR(VLOOKUP($Z430,CODES,2,FALSE),"")&amp;" "&amp;IFERROR(VLOOKUP($X430,CODES,2,FALSE),"")&amp;" "&amp;IFERROR(VLOOKUP($S430,CODES,2,FALSE),"")&amp;IF(N($P430)&gt;0," w/TRANSOM "&amp;$P430&amp;CHAR(34),"")&amp;IF(N($Q430)&gt;0," w/SIDELITE "&amp;$Q430&amp;CHAR(34)&amp;" "&amp;IF($R430="","R",$R430),"")&amp;IF($Y430="","  |  "," | "&amp;IFERROR(VLOOKUP($Y430,CODES,2,FALSE),"")&amp;" | ")&amp;IFERROR(VLOOKUP($AC430,CODES,2,FALSE),"")&amp;" "&amp;IFERROR(VLOOKUP($AD430,CODES,2,FALSE),"")&amp;IF(OR($AE430="",$AE430="-"),""," "&amp;$AE430)&amp;IF(OR($AF430="",$AF430="-"),""," "&amp;$AF430)&amp;IF($AB430="Y"," 4"&amp;CHAR(34)&amp;" HEAD","")&amp;" "&amp;IFERROR(VLOOKUP($H430,CODES,2,FALSE),"")&amp;IF($CT430," | LOC "&amp;$CY430,"")))</f>
        <v/>
      </c>
      <c r="CK430" s="100">
        <f>IF(NOT(AND($A430&lt;&gt;"",N($BJ430)&gt;0)),"",TRIM(IFERROR(VLOOKUP($AH430,CODES,2,FALSE),"")&amp;IF($AI430=""," "," "&amp;$AI430&amp;"GA ")&amp;$BG430&amp;" "&amp;IF($AN430="",IFERROR(VLOOKUP($Z430,CODES,2,FALSE),""),IFERROR(VLOOKUP($AN430,CODES,2,FALSE),""))&amp;IF($BJ430=2," PAIR","")&amp;" DOOR | "&amp;IF($AL430="","?",$AL430)&amp;" | "&amp;IF($AO430="",IFERROR(VLOOKUP($AC430,CODES,2,FALSE),""),IFERROR(VLOOKUP($AO430,CODES,2,FALSE),""))&amp;" "&amp;IFERROR(VLOOKUP($AP430,CODES,2,FALSE),"")&amp;IF(OR($AQ430="",$AQ430="-"),""," SEAM "&amp;$AQ430)&amp;IF($AR430="Y"," ASTRAGAL","")&amp;IF($AJ430=""," "," "&amp;$AJ430)&amp;IF($AK430=""," "," "&amp;$AK430)&amp;IF(OR($AT430="",$AT430="ANSI/SDI",$AT430="CUSTOM LOC"),""," "&amp;$AT430)&amp;IF($AM430=""," "," SERIES "&amp;$AM430)&amp;" "&amp;IFERROR(VLOOKUP($H430,CODES,2,FALSE),"")&amp;IF($CT430," | LOC "&amp;$CZ430,"")))</f>
        <v/>
      </c>
      <c r="CL430" s="99">
        <f>IF(CP430="","",IF(COUNTIF($CP$6:CP430,CP430)=1,MAX($CL$5:CL429)+1,INDEX($CL$5:CL429,MATCH(CP430,$CP$5:CP429,0))))</f>
        <v/>
      </c>
      <c r="CM430" s="99">
        <f>IF(NOT(AND($A430&lt;&gt;"",$C430&lt;&gt;"DOOR ONLY")),"",MAX($CM$5:CM429)+1)</f>
        <v/>
      </c>
      <c r="CN430" s="99">
        <f>IF(NOT(AND($A430&lt;&gt;"",N($BJ430)&gt;0)),"",MAX($CN$5:CN429)+1)</f>
        <v/>
      </c>
      <c r="CO430" s="99">
        <f>IF($A430="","",MAX($CO$5:CO429)+1)</f>
        <v/>
      </c>
      <c r="CP430" s="99">
        <f>IF(OR($A430="",$BH430="",$BI430=""),"",$BG430&amp;"|"&amp;$O430&amp;"|"&amp;$AL430&amp;"|"&amp;$S430&amp;"|"&amp;$P430&amp;"|"&amp;$Q430&amp;$R430&amp;"|"&amp;$C430&amp;"|"&amp;$AB430)</f>
        <v/>
      </c>
      <c r="CQ430" s="99">
        <f>N($BS430)</f>
        <v/>
      </c>
      <c r="CR430" s="99">
        <f>IF(N($AU430)&gt;0,N($AU430),4.5)</f>
        <v/>
      </c>
      <c r="CS430" s="99">
        <f>OR($A430="",$BI430="",$S430="BL",AND($C430="FRAME ONLY",OR($AC430="",$AC430="BLK")))</f>
        <v/>
      </c>
      <c r="CT430" s="99">
        <f>AND(NOT($CS430),OR($AT430="CUSTOM LOC",N($AW430)+N($AX430)+N($AY430)+N($AZ430)+N($BA430)&gt;0))</f>
        <v/>
      </c>
      <c r="CU430" s="99">
        <f>IF($BI430="","",IF($BI430&lt;=80,80,IF($BI430&lt;=84,84,96)))</f>
        <v/>
      </c>
      <c r="CV430" s="99">
        <f>ISNUMBER(MATCH($AT430&amp;"|80",LocKeys,0))</f>
        <v/>
      </c>
      <c r="CW430" s="101">
        <f>IF($CS430,"",IF($CV430,VLOOKUP($AT430&amp;"|"&amp;$CU430,LocTable,4,FALSE),5))</f>
        <v/>
      </c>
      <c r="CX430" s="101">
        <f>IF($CS430,"",IF($CV430,IF(OR($BI430=$CU430,AND($BI430&lt;$CU430,$BI430-IF(N(VLOOKUP($AT430&amp;"|"&amp;$CU430,LocTable,7,FALSE))&gt;0,VLOOKUP($AT430&amp;"|"&amp;$CU430,LocTable,7,FALSE),VLOOKUP($AT430&amp;"|"&amp;$CU430,LocTable,6,FALSE))-$CR430-0.75&gt;=2.125)),IF(N(VLOOKUP($AT430&amp;"|"&amp;$CU430,LocTable,7,FALSE))&gt;0,VLOOKUP($AT430&amp;"|"&amp;$CU430,LocTable,7,FALSE),VLOOKUP($AT430&amp;"|"&amp;$CU430,LocTable,6,FALSE)),$BI430-($CU430-IF(N(VLOOKUP($AT430&amp;"|"&amp;$CU430,LocTable,7,FALSE))&gt;0,VLOOKUP($AT430&amp;"|"&amp;$CU430,LocTable,7,FALSE),VLOOKUP($AT430&amp;"|"&amp;$CU430,LocTable,6,FALSE)))),$BI430-10-$CR430))</f>
        <v/>
      </c>
      <c r="CY430" s="100">
        <f>IF($CS430,"",TRIM(IF(ISNUMBER($BU430),"A "&amp;TRIM(TEXT($BU430,"# ?/??"))&amp;CHAR(34)&amp;"  ","")&amp;IF(ISNUMBER($BV430),"B "&amp;TRIM(TEXT($BV430,"# ?/??"))&amp;CHAR(34)&amp;"  ","")&amp;IF(ISNUMBER($BW430),"C "&amp;TRIM(TEXT($BW430,"# ?/??"))&amp;CHAR(34)&amp;"  ","")&amp;IF(ISNUMBER($BX430),"D "&amp;TRIM(TEXT($BX430,"# ?/??"))&amp;CHAR(34)&amp;"  ","")&amp;IF(ISNUMBER($BY430),"F "&amp;TRIM(TEXT($BY430,"# ?/??"))&amp;CHAR(34)&amp;"  ","")&amp;IF(ISNUMBER($BZ430),"E "&amp;TRIM(TEXT($BZ430,"# ?/??"))&amp;CHAR(34)&amp;"  ","")))</f>
        <v/>
      </c>
      <c r="CZ430" s="100">
        <f>IF(OR($CS430,N($BJ430)=0),"",TRIM(IF(ISNUMBER($BU430),"A "&amp;TRIM(TEXT($BU430-HeadClr,"# ?/??"))&amp;CHAR(34)&amp;"  ","")&amp;IF(ISNUMBER($BV430),"B "&amp;TRIM(TEXT($BV430-HeadClr,"# ?/??"))&amp;CHAR(34)&amp;"  ","")&amp;IF(ISNUMBER($BW430),"C "&amp;TRIM(TEXT($BW430-HeadClr,"# ?/??"))&amp;CHAR(34)&amp;"  ","")&amp;IF(ISNUMBER($BX430),"D "&amp;TRIM(TEXT($BX430-HeadClr,"# ?/??"))&amp;CHAR(34)&amp;"  ","")&amp;IF(ISNUMBER($BY430),"F "&amp;TRIM(TEXT($BY430-HeadClr,"# ?/??"))&amp;CHAR(34)&amp;"  ","")&amp;IF(ISNUMBER($BZ430),"E "&amp;TRIM(TEXT($BZ430-HeadClr,"# ?/??"))&amp;CHAR(34)&amp;"  ","")))</f>
        <v/>
      </c>
      <c r="DA430" s="99">
        <f>IF($A430="","",IF($AN430="",IFERROR(VLOOKUP($Z430,CODES,2,FALSE),""),IFERROR(VLOOKUP($AN430,CODES,2,FALSE),"")))</f>
        <v/>
      </c>
      <c r="DB430" s="99">
        <f>IF($A430="","",IF($O430="Y","PR",IF(OR($Z430="L",$Z430="RR",LEFT($Z430,2)="L-",LEFT($Z430,3)="RR-"),"LH","RH")))</f>
        <v/>
      </c>
      <c r="DC430" s="99">
        <f>IF($A430="","","S.HM"&amp;IF(OR($C430="DOOR ONLY",$X430&lt;&gt;"KD"),"MASONRY","DRYWALL")&amp;IF($C430="DOOR ONLY","",$U430)&amp;IF(AND($C430&lt;&gt;"FRAME ONLY",OR(LEFT($AH430,3)="OAK",LEFT($AH430,3)="BIR",LEFT($AH430,3)="MAP",$AH430="PC",$AH430="MC",$AH430="SCLC",$AH430="P-LAM")),"WD","HM")&amp;"1.75")</f>
        <v/>
      </c>
      <c r="DD430" s="99">
        <f>IF($CJ430="","",IF($O430="Y",$CJ430,SUBSTITUTE($CJ430,$BG430&amp;" "&amp;IFERROR(VLOOKUP($Z430,CODES,2,FALSE),"")&amp;" ",$BG430&amp;" ")))</f>
        <v/>
      </c>
      <c r="DE430" s="99">
        <f>IF($CK430="","",IF($O430="Y",$CK430,SUBSTITUTE($CK430,$BG430&amp;" "&amp;IF($AN430="",IFERROR(VLOOKUP($Z430,CODES,2,FALSE),""),IFERROR(VLOOKUP($AN430,CODES,2,FALSE),""))&amp;" ",$BG430&amp;" ")))</f>
        <v/>
      </c>
      <c r="DF430" s="99">
        <f>IF($CJ430="","",$DC430&amp;"|"&amp;$DD430&amp;"|"&amp;$DB430&amp;"|"&amp;$AT430&amp;"|"&amp;$V430&amp;"|"&amp;$Y430&amp;"|"&amp;$AB430)</f>
        <v/>
      </c>
      <c r="DG430" s="99">
        <f>IF(DF430="","",IF(COUNTIF($DF$6:DF430,DF430)=1,MAX($DG$5:DG429)+1,INDEX($DG$5:DG429,MATCH(DF430,$DF$5:DF429,0))))</f>
        <v/>
      </c>
      <c r="DH430" s="99">
        <f>IF($CK430="","",$DC430&amp;"|"&amp;$DE430&amp;"|"&amp;$AI430&amp;"|"&amp;$BK430&amp;"|"&amp;$BL430)</f>
        <v/>
      </c>
      <c r="DI430" s="99">
        <f>IF(DH430="","",IF(COUNTIF($DH$6:DH430,DH430)=1,MAX($DI$5:DI429)+1,INDEX($DI$5:DI429,MATCH(DH430,$DH$5:DH429,0))))</f>
        <v/>
      </c>
      <c r="DJ430" s="99">
        <f>IF($A430="","",IF($B430="","qty, ","")&amp;IF($C430="","scope, ","")&amp;IF(OR($K430="",$M430=""),"size, ","")&amp;IF(AND($A430&lt;&gt;"",$C430&lt;&gt;"DOOR ONLY"),IF($U430="","jamb depth, ","")&amp;IF($X430="","construction, ","")&amp;IF($Y430="","anchor, ","")&amp;IF($S430="","frame type, ",""),"")&amp;IF(AND(N($BJ430)&gt;0,$Z430=""),"hand, ","")&amp;IF(N($BJ430)&gt;0,IF($AH430="","door material, ","")&amp;IF($AL430="","face type, ","")&amp;IF($AP430="","lock prep, ","")&amp;IF(AND($AO430="",$AC430=""),"hinge prep, ",""),"")&amp;IF(AND($CH430&gt;0,$AH430="FRP"),"FRP cannot carry a label, ","")&amp;IF(AND($O430="Y",OR($Z430="L",$Z430="R",$Z430="LR",$Z430="RR")),"pair marked but hand is single, ","")&amp;IF(AND($O430&lt;&gt;"Y",OR($Z430="PR",AND(LEN($Z430)&gt;1,ISNUMBER(SEARCH("-",$Z430))))),"pair hand on a single door, ","")&amp;IF(AND(ISNUMBER($CI430),$CH430&lt;N($CI430)),"wall needs a "&amp;$CI430&amp;" min door, ","")&amp;IF(AND($CH430&gt;=180,AND(OR($CE430="FG",$CE430="HG",$CE430="FNV",$CE430="FV"),N($CF430)*N($CG430)&gt;100)),"180 min lite over 100 sq in, ","")&amp;IF(N($BK430)&gt;48,"leaf wider than 4'-0"&amp;CHAR(34)&amp;", ","")&amp;IF(AND($CT430,COUNT($AW430:$AZ430)=0,$CQ430&gt;0),"CUSTOM LOC with no locations typed, ",""))</f>
        <v/>
      </c>
      <c r="DK430" s="99">
        <f>IF($A430="","",IF(AND($CH430&gt;0,AND($A430&lt;&gt;"",$C430&lt;&gt;"DOOR ONLY"),$X430="KD",$E430="EXTERIOR"),"KD label on an exterior opening, ","")&amp;IF(AND($E430="EXTERIOR",OR(AND(AND($A430&lt;&gt;"",$C430&lt;&gt;"DOOR ONLY"),$W430="CR"),AND(N($BJ430)&gt;0,$AH430="CR"))),"exterior in CR steel (G9?), ","")&amp;IF(AND(ISNUMBER($BQ430),N($BQ430)&lt;32),"clear width ~"&amp;TEXT($BQ430,"0.0")&amp;CHAR(34)&amp;" under 32"&amp;CHAR(34)&amp;" (ADA), ","")&amp;IF(AND($CH430=90,AND(OR($CE430="FG",$CE430="HG",$CE430="FNV",$CE430="FV"),N($CF430)*N($CG430)&gt;100)),"90 min lite over 100 sq in (stair/exit), ","")&amp;IF(AND($CH430&gt;0,AND($A430&lt;&gt;"",$C430&lt;&gt;"DOOR ONLY"),OR($AF430="",$AF430="-")),"rated: closer reinf.?, ","")&amp;IF(OR($I430="CORRIDOR",$I430="SMOKE BARRIER"),"S label + smoke gasketing, ","")&amp;IF($CI430="?","wall type/hr not in IBC table, ","")&amp;IF(AND(N($BJ430)&gt;0,$BB430=""),"no hardware set, ","")&amp;IF(AND($BB430&lt;&gt;"",ISNA(MATCH($BB430&amp;"",HWSets,0))),"set "&amp;$BB430&amp;" not on HW Sets, ","")&amp;IF(N($BL430)&gt;96,"leaf over 8'-0"&amp;CHAR(34)&amp;" - check listing, ","")&amp;IF(AND($CT430,COUNT($AW430:$AZ430)&gt;0,COUNT($AW430:$AZ430)&lt;&gt;$CQ430),COUNT($AW430:$AZ430)&amp;" custom hinges typed, "&amp;$CQ430&amp;" expected, ","")&amp;IF(AND(ISNUMBER($CA430),OR(N($CA430)&lt;34,N($CA430)&gt;48)),"lock "&amp;TEXT($CA430,"0.0")&amp;CHAR(34)&amp;" AFF outside 34-48"&amp;CHAR(34)&amp;" (ADA), ","")&amp;IF(AND(ISNUMBER($AV430),ISNUMBER($BL430),N($AV430)&lt;IF(N($BL430)&lt;=60,2,IF(N($BL430)&lt;=90,3,IF(N($BL430)&lt;=120,4,5)))),"fewer hinges than standard, ",""))</f>
        <v/>
      </c>
    </row>
    <row r="431" ht="15" customHeight="1">
      <c r="A431" s="77" t="n"/>
      <c r="B431" s="78" t="n"/>
      <c r="C431" s="78" t="n"/>
      <c r="D431" s="78" t="n"/>
      <c r="E431" s="78" t="n"/>
      <c r="F431" s="78" t="n"/>
      <c r="G431" s="78" t="n"/>
      <c r="H431" s="78" t="n"/>
      <c r="I431" s="78" t="n"/>
      <c r="J431" s="78" t="n"/>
      <c r="K431" s="78" t="n"/>
      <c r="L431" s="78" t="n"/>
      <c r="M431" s="78" t="n"/>
      <c r="N431" s="78" t="n"/>
      <c r="O431" s="78" t="n"/>
      <c r="P431" s="78" t="n"/>
      <c r="Q431" s="78" t="n"/>
      <c r="R431" s="78" t="n"/>
      <c r="S431" s="79" t="n"/>
      <c r="T431" s="79" t="n"/>
      <c r="U431" s="79" t="n"/>
      <c r="V431" s="79" t="n"/>
      <c r="W431" s="79" t="n"/>
      <c r="X431" s="79" t="n"/>
      <c r="Y431" s="79" t="n"/>
      <c r="Z431" s="79" t="n"/>
      <c r="AA431" s="79" t="n"/>
      <c r="AB431" s="79" t="n"/>
      <c r="AC431" s="79" t="n"/>
      <c r="AD431" s="79" t="n"/>
      <c r="AE431" s="79" t="n"/>
      <c r="AF431" s="79" t="n"/>
      <c r="AG431" s="79" t="n"/>
      <c r="AH431" s="80" t="n"/>
      <c r="AI431" s="80" t="n"/>
      <c r="AJ431" s="80" t="n"/>
      <c r="AK431" s="80" t="n"/>
      <c r="AL431" s="80" t="n"/>
      <c r="AM431" s="80" t="n"/>
      <c r="AN431" s="80" t="n"/>
      <c r="AO431" s="80" t="n"/>
      <c r="AP431" s="80" t="n"/>
      <c r="AQ431" s="80" t="n"/>
      <c r="AR431" s="80" t="n"/>
      <c r="AS431" s="80" t="n"/>
      <c r="AT431" s="81" t="n"/>
      <c r="AU431" s="81" t="n"/>
      <c r="AV431" s="81" t="n"/>
      <c r="AW431" s="82" t="n"/>
      <c r="AX431" s="82" t="n"/>
      <c r="AY431" s="82" t="n"/>
      <c r="AZ431" s="82" t="n"/>
      <c r="BA431" s="82" t="n"/>
      <c r="BB431" s="83" t="n"/>
      <c r="BC431" s="83" t="n"/>
      <c r="BD431" s="84">
        <f>IF($A431="","",IF($DJ431&lt;&gt;"","FIX",IF($DK431&lt;&gt;"","CHECK","OK")))</f>
        <v/>
      </c>
      <c r="BE431" s="85">
        <f>IF($A431="","",IF($DJ431&lt;&gt;"","FIX: "&amp;LEFT($DJ431,LEN($DJ431)-2)&amp;IF($DK431&lt;&gt;"","  ·  ",""),"")&amp;IF($DK431&lt;&gt;"","CHECK: "&amp;LEFT($DK431,LEN($DK431)-2),""))</f>
        <v/>
      </c>
      <c r="BF431" s="84">
        <f>IF(OR($A431="",$K431=""),"",$K431&amp;"'-"&amp;N($L431)&amp;CHAR(34)&amp;" x "&amp;$M431&amp;"'-"&amp;N($N431)&amp;CHAR(34))</f>
        <v/>
      </c>
      <c r="BG431" s="84">
        <f>IF(OR($A431="",$K431=""),"",$K431&amp;N($L431)&amp;$M431&amp;N($N431))</f>
        <v/>
      </c>
      <c r="BH431" s="84">
        <f>IF(OR($A431="",$K431=""),"",$K431*12+N($L431))</f>
        <v/>
      </c>
      <c r="BI431" s="84">
        <f>IF(OR($A431="",$M431=""),"",$M431*12+N($N431))</f>
        <v/>
      </c>
      <c r="BJ431" s="84">
        <f>IF($A431="","",IF(OR($C431="FRAME ONLY",$S431="BL"),0,IF($O431="Y",2,1)))</f>
        <v/>
      </c>
      <c r="BK431" s="86">
        <f>IF(OR(N($BJ431)=0,$BH431=""),"",($BH431-2*EdgeClr-IF($BJ431=2,MeetClr,0))/$BJ431)</f>
        <v/>
      </c>
      <c r="BL431" s="86">
        <f>IF(OR(N($BJ431)=0,$BI431=""),"",$BI431-HeadClr-Undercut)</f>
        <v/>
      </c>
      <c r="BM431" s="86">
        <f>IF($BH431="","",$BH431+2*FaceW+IF(N($Q431)&gt;0,($Q431+FaceW)*IF($R431="LR",2,1),0))</f>
        <v/>
      </c>
      <c r="BN431" s="86">
        <f>IF($BI431="","",$BI431+IF($AB431="Y",4,FaceW)+IF(N($P431)&gt;0,$P431+FaceW,0)+IF(OR($S431="4F",$S431="BL"),FaceW,0))</f>
        <v/>
      </c>
      <c r="BO431" s="86">
        <f>IF($BM431="","",$BM431+2*ROSide)</f>
        <v/>
      </c>
      <c r="BP431" s="86">
        <f>IF($BN431="","",$BN431+ROTop)</f>
        <v/>
      </c>
      <c r="BQ431" s="87">
        <f>IF(OR(N($BJ431)=0,$BH431=""),"",$BH431/$BJ431-ClearDeduct)</f>
        <v/>
      </c>
      <c r="BR431" s="84">
        <f>IF(N($CH431)=0,"",IF($CH431&gt;=180,"A · 3 HR",IF($CH431&gt;=90,"B · 1-1/2 HR",IF($CH431&gt;=60,"B · 1 HR",IF($CH431&gt;=45,"C · 3/4 HR","20 MIN")))))&amp;IF(AND(N($CH431)&gt;0,OR($I431="CORRIDOR",$I431="SMOKE BARRIER"))," · S","")</f>
        <v/>
      </c>
      <c r="BS431" s="84">
        <f>IF($CS431,"",IF($AV431&lt;&gt;"",$AV431,IF(OR($AC431="HGC",$AO431="HGC"),"CONT",IF(($BI431-HeadClr-Undercut)&lt;=60,2,IF(($BI431-HeadClr-Undercut)&lt;=90,3,IF(($BI431-HeadClr-Undercut)&lt;=120,4,5))))))</f>
        <v/>
      </c>
      <c r="BT431" s="84">
        <f>IF($CS431,"",IF($CT431,"CUSTOM (typed)",IF($CV431,$AT431&amp;" "&amp;$CU431&amp;CHAR(34)&amp;IF($CU431&lt;&gt;$BI431,IF(AND($BI431&lt;$CU431,$BI431-IF(N(VLOOKUP($AT431&amp;"|"&amp;$CU431,LocTable,7,FALSE))&gt;0,VLOOKUP($AT431&amp;"|"&amp;$CU431,LocTable,7,FALSE),VLOOKUP($AT431&amp;"|"&amp;$CU431,LocTable,6,FALSE))-$CR431-0.75&gt;=2.125)," cut down"," adj."),""),"ANSI/SDI A250.6")))</f>
        <v/>
      </c>
      <c r="BU431" s="88">
        <f>IF($CS431,"",IF($CT431,IF(N($AW431)&gt;0,N($AW431),""),IF(1&gt;$CQ431,"",IF($CQ431=1,$CW431,$CW431+($CX431-$CW431)*0/($CQ431-1)))))</f>
        <v/>
      </c>
      <c r="BV431" s="88">
        <f>IF($CS431,"",IF($CT431,IF(N($AX431)&gt;0,N($AX431),""),IF(2&gt;$CQ431,"",IF($CQ431=1,$CW431,$CW431+($CX431-$CW431)*1/($CQ431-1)))))</f>
        <v/>
      </c>
      <c r="BW431" s="88">
        <f>IF($CS431,"",IF($CT431,IF(N($AY431)&gt;0,N($AY431),""),IF(3&gt;$CQ431,"",IF($CQ431=1,$CW431,$CW431+($CX431-$CW431)*2/($CQ431-1)))))</f>
        <v/>
      </c>
      <c r="BX431" s="88">
        <f>IF($CS431,"",IF($CT431,IF(N($AZ431)&gt;0,N($AZ431),""),IF(4&gt;$CQ431,"",IF($CQ431=1,$CW431,$CW431+($CX431-$CW431)*3/($CQ431-1)))))</f>
        <v/>
      </c>
      <c r="BY431" s="88">
        <f>IF($CS431,"",IF($CT431,"",IF(5&gt;$CQ431,"",IF($CQ431=1,$CW431,$CW431+($CX431-$CW431)*4/($CQ431-1)))))</f>
        <v/>
      </c>
      <c r="BZ431" s="88">
        <f>IF(OR($CS431,$AP431="-",AND($AP431="",$AD431="")),"",IF(N($BA431)&gt;0,N($BA431),IF($CV431,IF(AND($BI431&lt;$CU431,$BI431-IF(N(VLOOKUP($AT431&amp;"|"&amp;$CU431,LocTable,7,FALSE))&gt;0,VLOOKUP($AT431&amp;"|"&amp;$CU431,LocTable,7,FALSE),VLOOKUP($AT431&amp;"|"&amp;$CU431,LocTable,6,FALSE))-$CR431-0.75&gt;=2.125),VLOOKUP($AT431&amp;"|"&amp;$CU431,LocTable,8,FALSE),VLOOKUP($AT431&amp;"|"&amp;$CU431,LocTable,8,FALSE)+($BI431-$CU431)),$BI431-LockAFF)))</f>
        <v/>
      </c>
      <c r="CA431" s="89">
        <f>IF($BZ431="","",$BI431-$BZ431)</f>
        <v/>
      </c>
      <c r="CB431" s="84">
        <f>IF(OR(NOT(AND($A431&lt;&gt;"",$C431&lt;&gt;"DOOR ONLY")),$BI431=""),"",IF(($BI431+IF(N($P431)&gt;0,$P431+FaceW,0))&lt;=90,3,IF(($BI431+IF(N($P431)&gt;0,$P431+FaceW,0))&lt;=114,4,5)))</f>
        <v/>
      </c>
      <c r="CC431" s="84">
        <f>IF($CB431="","",$CB431*(2+IF(N($Q431)&gt;0,IF($R431="LR",2,1),0)))</f>
        <v/>
      </c>
      <c r="CD431" s="84">
        <f>IF($CB431="","",(2+IF(N($Q431)&gt;0,IF($R431="LR",2,1),0)))</f>
        <v/>
      </c>
      <c r="CE431" s="84">
        <f>IF(N($BJ431)=0,"",IF(OR($AL431="",$AL431="FLUSH"),"FLUSH",IFERROR(LEFT($AL431,FIND("-",$AL431)-1),LEFT($AL431,2))))</f>
        <v/>
      </c>
      <c r="CF431" s="84">
        <f>IF($CE431="","",IFERROR(VALUE(MID($AL431,FIND("-",$AL431)+1,FIND(CHAR(34)&amp;"x",$AL431)-FIND("-",$AL431)-1)),0))</f>
        <v/>
      </c>
      <c r="CG431" s="84">
        <f>IF($CE431="","",IFERROR(VALUE(MID($AL431,FIND(CHAR(34)&amp;"x",$AL431)+2,FIND(CHAR(34),$AL431,FIND(CHAR(34)&amp;"x",$AL431)+2)-FIND(CHAR(34)&amp;"x",$AL431)-2)),0))</f>
        <v/>
      </c>
      <c r="CH431" s="90">
        <f>IF(OR($A431="",$H431="",$H431="NO LAB"),0,IFERROR(VALUE(LEFT($H431,FIND(" ",$H431)-1)),0))</f>
        <v/>
      </c>
      <c r="CI431" s="91">
        <f>IF(OR($A431="",$I431="",$I431="NON-RATED",N($J431)=0),"",IFERROR(VLOOKUP($I431&amp;"|"&amp;$J431,IBC,2,FALSE),"?"))</f>
        <v/>
      </c>
      <c r="CJ431" s="85">
        <f>IF(NOT(AND($A431&lt;&gt;"",$C431&lt;&gt;"DOOR ONLY")),"",TRIM(IFERROR(VLOOKUP($U431,CODES,2,FALSE),"")&amp;" "&amp;$BG431&amp;" "&amp;IFERROR(VLOOKUP($Z431,CODES,2,FALSE),"")&amp;" "&amp;IFERROR(VLOOKUP($X431,CODES,2,FALSE),"")&amp;" "&amp;IFERROR(VLOOKUP($S431,CODES,2,FALSE),"")&amp;IF(N($P431)&gt;0," w/TRANSOM "&amp;$P431&amp;CHAR(34),"")&amp;IF(N($Q431)&gt;0," w/SIDELITE "&amp;$Q431&amp;CHAR(34)&amp;" "&amp;IF($R431="","R",$R431),"")&amp;IF($Y431="","  |  "," | "&amp;IFERROR(VLOOKUP($Y431,CODES,2,FALSE),"")&amp;" | ")&amp;IFERROR(VLOOKUP($AC431,CODES,2,FALSE),"")&amp;" "&amp;IFERROR(VLOOKUP($AD431,CODES,2,FALSE),"")&amp;IF(OR($AE431="",$AE431="-"),""," "&amp;$AE431)&amp;IF(OR($AF431="",$AF431="-"),""," "&amp;$AF431)&amp;IF($AB431="Y"," 4"&amp;CHAR(34)&amp;" HEAD","")&amp;" "&amp;IFERROR(VLOOKUP($H431,CODES,2,FALSE),"")&amp;IF($CT431," | LOC "&amp;$CY431,"")))</f>
        <v/>
      </c>
      <c r="CK431" s="85">
        <f>IF(NOT(AND($A431&lt;&gt;"",N($BJ431)&gt;0)),"",TRIM(IFERROR(VLOOKUP($AH431,CODES,2,FALSE),"")&amp;IF($AI431=""," "," "&amp;$AI431&amp;"GA ")&amp;$BG431&amp;" "&amp;IF($AN431="",IFERROR(VLOOKUP($Z431,CODES,2,FALSE),""),IFERROR(VLOOKUP($AN431,CODES,2,FALSE),""))&amp;IF($BJ431=2," PAIR","")&amp;" DOOR | "&amp;IF($AL431="","?",$AL431)&amp;" | "&amp;IF($AO431="",IFERROR(VLOOKUP($AC431,CODES,2,FALSE),""),IFERROR(VLOOKUP($AO431,CODES,2,FALSE),""))&amp;" "&amp;IFERROR(VLOOKUP($AP431,CODES,2,FALSE),"")&amp;IF(OR($AQ431="",$AQ431="-"),""," SEAM "&amp;$AQ431)&amp;IF($AR431="Y"," ASTRAGAL","")&amp;IF($AJ431=""," "," "&amp;$AJ431)&amp;IF($AK431=""," "," "&amp;$AK431)&amp;IF(OR($AT431="",$AT431="ANSI/SDI",$AT431="CUSTOM LOC"),""," "&amp;$AT431)&amp;IF($AM431=""," "," SERIES "&amp;$AM431)&amp;" "&amp;IFERROR(VLOOKUP($H431,CODES,2,FALSE),"")&amp;IF($CT431," | LOC "&amp;$CZ431,"")))</f>
        <v/>
      </c>
      <c r="CL431" s="84">
        <f>IF(CP431="","",IF(COUNTIF($CP$6:CP431,CP431)=1,MAX($CL$5:CL430)+1,INDEX($CL$5:CL430,MATCH(CP431,$CP$5:CP430,0))))</f>
        <v/>
      </c>
      <c r="CM431" s="84">
        <f>IF(NOT(AND($A431&lt;&gt;"",$C431&lt;&gt;"DOOR ONLY")),"",MAX($CM$5:CM430)+1)</f>
        <v/>
      </c>
      <c r="CN431" s="84">
        <f>IF(NOT(AND($A431&lt;&gt;"",N($BJ431)&gt;0)),"",MAX($CN$5:CN430)+1)</f>
        <v/>
      </c>
      <c r="CO431" s="84">
        <f>IF($A431="","",MAX($CO$5:CO430)+1)</f>
        <v/>
      </c>
      <c r="CP431" s="84">
        <f>IF(OR($A431="",$BH431="",$BI431=""),"",$BG431&amp;"|"&amp;$O431&amp;"|"&amp;$AL431&amp;"|"&amp;$S431&amp;"|"&amp;$P431&amp;"|"&amp;$Q431&amp;$R431&amp;"|"&amp;$C431&amp;"|"&amp;$AB431)</f>
        <v/>
      </c>
      <c r="CQ431" s="84">
        <f>N($BS431)</f>
        <v/>
      </c>
      <c r="CR431" s="84">
        <f>IF(N($AU431)&gt;0,N($AU431),4.5)</f>
        <v/>
      </c>
      <c r="CS431" s="84">
        <f>OR($A431="",$BI431="",$S431="BL",AND($C431="FRAME ONLY",OR($AC431="",$AC431="BLK")))</f>
        <v/>
      </c>
      <c r="CT431" s="84">
        <f>AND(NOT($CS431),OR($AT431="CUSTOM LOC",N($AW431)+N($AX431)+N($AY431)+N($AZ431)+N($BA431)&gt;0))</f>
        <v/>
      </c>
      <c r="CU431" s="84">
        <f>IF($BI431="","",IF($BI431&lt;=80,80,IF($BI431&lt;=84,84,96)))</f>
        <v/>
      </c>
      <c r="CV431" s="84">
        <f>ISNUMBER(MATCH($AT431&amp;"|80",LocKeys,0))</f>
        <v/>
      </c>
      <c r="CW431" s="86">
        <f>IF($CS431,"",IF($CV431,VLOOKUP($AT431&amp;"|"&amp;$CU431,LocTable,4,FALSE),5))</f>
        <v/>
      </c>
      <c r="CX431" s="86">
        <f>IF($CS431,"",IF($CV431,IF(OR($BI431=$CU431,AND($BI431&lt;$CU431,$BI431-IF(N(VLOOKUP($AT431&amp;"|"&amp;$CU431,LocTable,7,FALSE))&gt;0,VLOOKUP($AT431&amp;"|"&amp;$CU431,LocTable,7,FALSE),VLOOKUP($AT431&amp;"|"&amp;$CU431,LocTable,6,FALSE))-$CR431-0.75&gt;=2.125)),IF(N(VLOOKUP($AT431&amp;"|"&amp;$CU431,LocTable,7,FALSE))&gt;0,VLOOKUP($AT431&amp;"|"&amp;$CU431,LocTable,7,FALSE),VLOOKUP($AT431&amp;"|"&amp;$CU431,LocTable,6,FALSE)),$BI431-($CU431-IF(N(VLOOKUP($AT431&amp;"|"&amp;$CU431,LocTable,7,FALSE))&gt;0,VLOOKUP($AT431&amp;"|"&amp;$CU431,LocTable,7,FALSE),VLOOKUP($AT431&amp;"|"&amp;$CU431,LocTable,6,FALSE)))),$BI431-10-$CR431))</f>
        <v/>
      </c>
      <c r="CY431" s="85">
        <f>IF($CS431,"",TRIM(IF(ISNUMBER($BU431),"A "&amp;TRIM(TEXT($BU431,"# ?/??"))&amp;CHAR(34)&amp;"  ","")&amp;IF(ISNUMBER($BV431),"B "&amp;TRIM(TEXT($BV431,"# ?/??"))&amp;CHAR(34)&amp;"  ","")&amp;IF(ISNUMBER($BW431),"C "&amp;TRIM(TEXT($BW431,"# ?/??"))&amp;CHAR(34)&amp;"  ","")&amp;IF(ISNUMBER($BX431),"D "&amp;TRIM(TEXT($BX431,"# ?/??"))&amp;CHAR(34)&amp;"  ","")&amp;IF(ISNUMBER($BY431),"F "&amp;TRIM(TEXT($BY431,"# ?/??"))&amp;CHAR(34)&amp;"  ","")&amp;IF(ISNUMBER($BZ431),"E "&amp;TRIM(TEXT($BZ431,"# ?/??"))&amp;CHAR(34)&amp;"  ","")))</f>
        <v/>
      </c>
      <c r="CZ431" s="85">
        <f>IF(OR($CS431,N($BJ431)=0),"",TRIM(IF(ISNUMBER($BU431),"A "&amp;TRIM(TEXT($BU431-HeadClr,"# ?/??"))&amp;CHAR(34)&amp;"  ","")&amp;IF(ISNUMBER($BV431),"B "&amp;TRIM(TEXT($BV431-HeadClr,"# ?/??"))&amp;CHAR(34)&amp;"  ","")&amp;IF(ISNUMBER($BW431),"C "&amp;TRIM(TEXT($BW431-HeadClr,"# ?/??"))&amp;CHAR(34)&amp;"  ","")&amp;IF(ISNUMBER($BX431),"D "&amp;TRIM(TEXT($BX431-HeadClr,"# ?/??"))&amp;CHAR(34)&amp;"  ","")&amp;IF(ISNUMBER($BY431),"F "&amp;TRIM(TEXT($BY431-HeadClr,"# ?/??"))&amp;CHAR(34)&amp;"  ","")&amp;IF(ISNUMBER($BZ431),"E "&amp;TRIM(TEXT($BZ431-HeadClr,"# ?/??"))&amp;CHAR(34)&amp;"  ","")))</f>
        <v/>
      </c>
      <c r="DA431" s="84">
        <f>IF($A431="","",IF($AN431="",IFERROR(VLOOKUP($Z431,CODES,2,FALSE),""),IFERROR(VLOOKUP($AN431,CODES,2,FALSE),"")))</f>
        <v/>
      </c>
      <c r="DB431" s="84">
        <f>IF($A431="","",IF($O431="Y","PR",IF(OR($Z431="L",$Z431="RR",LEFT($Z431,2)="L-",LEFT($Z431,3)="RR-"),"LH","RH")))</f>
        <v/>
      </c>
      <c r="DC431" s="84">
        <f>IF($A431="","","S.HM"&amp;IF(OR($C431="DOOR ONLY",$X431&lt;&gt;"KD"),"MASONRY","DRYWALL")&amp;IF($C431="DOOR ONLY","",$U431)&amp;IF(AND($C431&lt;&gt;"FRAME ONLY",OR(LEFT($AH431,3)="OAK",LEFT($AH431,3)="BIR",LEFT($AH431,3)="MAP",$AH431="PC",$AH431="MC",$AH431="SCLC",$AH431="P-LAM")),"WD","HM")&amp;"1.75")</f>
        <v/>
      </c>
      <c r="DD431" s="84">
        <f>IF($CJ431="","",IF($O431="Y",$CJ431,SUBSTITUTE($CJ431,$BG431&amp;" "&amp;IFERROR(VLOOKUP($Z431,CODES,2,FALSE),"")&amp;" ",$BG431&amp;" ")))</f>
        <v/>
      </c>
      <c r="DE431" s="84">
        <f>IF($CK431="","",IF($O431="Y",$CK431,SUBSTITUTE($CK431,$BG431&amp;" "&amp;IF($AN431="",IFERROR(VLOOKUP($Z431,CODES,2,FALSE),""),IFERROR(VLOOKUP($AN431,CODES,2,FALSE),""))&amp;" ",$BG431&amp;" ")))</f>
        <v/>
      </c>
      <c r="DF431" s="84">
        <f>IF($CJ431="","",$DC431&amp;"|"&amp;$DD431&amp;"|"&amp;$DB431&amp;"|"&amp;$AT431&amp;"|"&amp;$V431&amp;"|"&amp;$Y431&amp;"|"&amp;$AB431)</f>
        <v/>
      </c>
      <c r="DG431" s="84">
        <f>IF(DF431="","",IF(COUNTIF($DF$6:DF431,DF431)=1,MAX($DG$5:DG430)+1,INDEX($DG$5:DG430,MATCH(DF431,$DF$5:DF430,0))))</f>
        <v/>
      </c>
      <c r="DH431" s="84">
        <f>IF($CK431="","",$DC431&amp;"|"&amp;$DE431&amp;"|"&amp;$AI431&amp;"|"&amp;$BK431&amp;"|"&amp;$BL431)</f>
        <v/>
      </c>
      <c r="DI431" s="84">
        <f>IF(DH431="","",IF(COUNTIF($DH$6:DH431,DH431)=1,MAX($DI$5:DI430)+1,INDEX($DI$5:DI430,MATCH(DH431,$DH$5:DH430,0))))</f>
        <v/>
      </c>
      <c r="DJ431" s="84">
        <f>IF($A431="","",IF($B431="","qty, ","")&amp;IF($C431="","scope, ","")&amp;IF(OR($K431="",$M431=""),"size, ","")&amp;IF(AND($A431&lt;&gt;"",$C431&lt;&gt;"DOOR ONLY"),IF($U431="","jamb depth, ","")&amp;IF($X431="","construction, ","")&amp;IF($Y431="","anchor, ","")&amp;IF($S431="","frame type, ",""),"")&amp;IF(AND(N($BJ431)&gt;0,$Z431=""),"hand, ","")&amp;IF(N($BJ431)&gt;0,IF($AH431="","door material, ","")&amp;IF($AL431="","face type, ","")&amp;IF($AP431="","lock prep, ","")&amp;IF(AND($AO431="",$AC431=""),"hinge prep, ",""),"")&amp;IF(AND($CH431&gt;0,$AH431="FRP"),"FRP cannot carry a label, ","")&amp;IF(AND($O431="Y",OR($Z431="L",$Z431="R",$Z431="LR",$Z431="RR")),"pair marked but hand is single, ","")&amp;IF(AND($O431&lt;&gt;"Y",OR($Z431="PR",AND(LEN($Z431)&gt;1,ISNUMBER(SEARCH("-",$Z431))))),"pair hand on a single door, ","")&amp;IF(AND(ISNUMBER($CI431),$CH431&lt;N($CI431)),"wall needs a "&amp;$CI431&amp;" min door, ","")&amp;IF(AND($CH431&gt;=180,AND(OR($CE431="FG",$CE431="HG",$CE431="FNV",$CE431="FV"),N($CF431)*N($CG431)&gt;100)),"180 min lite over 100 sq in, ","")&amp;IF(N($BK431)&gt;48,"leaf wider than 4'-0"&amp;CHAR(34)&amp;", ","")&amp;IF(AND($CT431,COUNT($AW431:$AZ431)=0,$CQ431&gt;0),"CUSTOM LOC with no locations typed, ",""))</f>
        <v/>
      </c>
      <c r="DK431" s="84">
        <f>IF($A431="","",IF(AND($CH431&gt;0,AND($A431&lt;&gt;"",$C431&lt;&gt;"DOOR ONLY"),$X431="KD",$E431="EXTERIOR"),"KD label on an exterior opening, ","")&amp;IF(AND($E431="EXTERIOR",OR(AND(AND($A431&lt;&gt;"",$C431&lt;&gt;"DOOR ONLY"),$W431="CR"),AND(N($BJ431)&gt;0,$AH431="CR"))),"exterior in CR steel (G9?), ","")&amp;IF(AND(ISNUMBER($BQ431),N($BQ431)&lt;32),"clear width ~"&amp;TEXT($BQ431,"0.0")&amp;CHAR(34)&amp;" under 32"&amp;CHAR(34)&amp;" (ADA), ","")&amp;IF(AND($CH431=90,AND(OR($CE431="FG",$CE431="HG",$CE431="FNV",$CE431="FV"),N($CF431)*N($CG431)&gt;100)),"90 min lite over 100 sq in (stair/exit), ","")&amp;IF(AND($CH431&gt;0,AND($A431&lt;&gt;"",$C431&lt;&gt;"DOOR ONLY"),OR($AF431="",$AF431="-")),"rated: closer reinf.?, ","")&amp;IF(OR($I431="CORRIDOR",$I431="SMOKE BARRIER"),"S label + smoke gasketing, ","")&amp;IF($CI431="?","wall type/hr not in IBC table, ","")&amp;IF(AND(N($BJ431)&gt;0,$BB431=""),"no hardware set, ","")&amp;IF(AND($BB431&lt;&gt;"",ISNA(MATCH($BB431&amp;"",HWSets,0))),"set "&amp;$BB431&amp;" not on HW Sets, ","")&amp;IF(N($BL431)&gt;96,"leaf over 8'-0"&amp;CHAR(34)&amp;" - check listing, ","")&amp;IF(AND($CT431,COUNT($AW431:$AZ431)&gt;0,COUNT($AW431:$AZ431)&lt;&gt;$CQ431),COUNT($AW431:$AZ431)&amp;" custom hinges typed, "&amp;$CQ431&amp;" expected, ","")&amp;IF(AND(ISNUMBER($CA431),OR(N($CA431)&lt;34,N($CA431)&gt;48)),"lock "&amp;TEXT($CA431,"0.0")&amp;CHAR(34)&amp;" AFF outside 34-48"&amp;CHAR(34)&amp;" (ADA), ","")&amp;IF(AND(ISNUMBER($AV431),ISNUMBER($BL431),N($AV431)&lt;IF(N($BL431)&lt;=60,2,IF(N($BL431)&lt;=90,3,IF(N($BL431)&lt;=120,4,5)))),"fewer hinges than standard, ",""))</f>
        <v/>
      </c>
    </row>
    <row r="432" ht="15" customHeight="1">
      <c r="A432" s="77" t="n"/>
      <c r="B432" s="78" t="n"/>
      <c r="C432" s="78" t="n"/>
      <c r="D432" s="78" t="n"/>
      <c r="E432" s="78" t="n"/>
      <c r="F432" s="78" t="n"/>
      <c r="G432" s="78" t="n"/>
      <c r="H432" s="78" t="n"/>
      <c r="I432" s="78" t="n"/>
      <c r="J432" s="78" t="n"/>
      <c r="K432" s="78" t="n"/>
      <c r="L432" s="78" t="n"/>
      <c r="M432" s="78" t="n"/>
      <c r="N432" s="78" t="n"/>
      <c r="O432" s="78" t="n"/>
      <c r="P432" s="78" t="n"/>
      <c r="Q432" s="78" t="n"/>
      <c r="R432" s="78" t="n"/>
      <c r="S432" s="79" t="n"/>
      <c r="T432" s="79" t="n"/>
      <c r="U432" s="79" t="n"/>
      <c r="V432" s="79" t="n"/>
      <c r="W432" s="79" t="n"/>
      <c r="X432" s="79" t="n"/>
      <c r="Y432" s="79" t="n"/>
      <c r="Z432" s="79" t="n"/>
      <c r="AA432" s="79" t="n"/>
      <c r="AB432" s="79" t="n"/>
      <c r="AC432" s="79" t="n"/>
      <c r="AD432" s="79" t="n"/>
      <c r="AE432" s="79" t="n"/>
      <c r="AF432" s="79" t="n"/>
      <c r="AG432" s="79" t="n"/>
      <c r="AH432" s="80" t="n"/>
      <c r="AI432" s="80" t="n"/>
      <c r="AJ432" s="80" t="n"/>
      <c r="AK432" s="80" t="n"/>
      <c r="AL432" s="80" t="n"/>
      <c r="AM432" s="80" t="n"/>
      <c r="AN432" s="80" t="n"/>
      <c r="AO432" s="80" t="n"/>
      <c r="AP432" s="80" t="n"/>
      <c r="AQ432" s="80" t="n"/>
      <c r="AR432" s="80" t="n"/>
      <c r="AS432" s="80" t="n"/>
      <c r="AT432" s="81" t="n"/>
      <c r="AU432" s="81" t="n"/>
      <c r="AV432" s="81" t="n"/>
      <c r="AW432" s="82" t="n"/>
      <c r="AX432" s="82" t="n"/>
      <c r="AY432" s="82" t="n"/>
      <c r="AZ432" s="82" t="n"/>
      <c r="BA432" s="82" t="n"/>
      <c r="BB432" s="83" t="n"/>
      <c r="BC432" s="83" t="n"/>
      <c r="BD432" s="84">
        <f>IF($A432="","",IF($DJ432&lt;&gt;"","FIX",IF($DK432&lt;&gt;"","CHECK","OK")))</f>
        <v/>
      </c>
      <c r="BE432" s="85">
        <f>IF($A432="","",IF($DJ432&lt;&gt;"","FIX: "&amp;LEFT($DJ432,LEN($DJ432)-2)&amp;IF($DK432&lt;&gt;"","  ·  ",""),"")&amp;IF($DK432&lt;&gt;"","CHECK: "&amp;LEFT($DK432,LEN($DK432)-2),""))</f>
        <v/>
      </c>
      <c r="BF432" s="84">
        <f>IF(OR($A432="",$K432=""),"",$K432&amp;"'-"&amp;N($L432)&amp;CHAR(34)&amp;" x "&amp;$M432&amp;"'-"&amp;N($N432)&amp;CHAR(34))</f>
        <v/>
      </c>
      <c r="BG432" s="84">
        <f>IF(OR($A432="",$K432=""),"",$K432&amp;N($L432)&amp;$M432&amp;N($N432))</f>
        <v/>
      </c>
      <c r="BH432" s="84">
        <f>IF(OR($A432="",$K432=""),"",$K432*12+N($L432))</f>
        <v/>
      </c>
      <c r="BI432" s="84">
        <f>IF(OR($A432="",$M432=""),"",$M432*12+N($N432))</f>
        <v/>
      </c>
      <c r="BJ432" s="84">
        <f>IF($A432="","",IF(OR($C432="FRAME ONLY",$S432="BL"),0,IF($O432="Y",2,1)))</f>
        <v/>
      </c>
      <c r="BK432" s="86">
        <f>IF(OR(N($BJ432)=0,$BH432=""),"",($BH432-2*EdgeClr-IF($BJ432=2,MeetClr,0))/$BJ432)</f>
        <v/>
      </c>
      <c r="BL432" s="86">
        <f>IF(OR(N($BJ432)=0,$BI432=""),"",$BI432-HeadClr-Undercut)</f>
        <v/>
      </c>
      <c r="BM432" s="86">
        <f>IF($BH432="","",$BH432+2*FaceW+IF(N($Q432)&gt;0,($Q432+FaceW)*IF($R432="LR",2,1),0))</f>
        <v/>
      </c>
      <c r="BN432" s="86">
        <f>IF($BI432="","",$BI432+IF($AB432="Y",4,FaceW)+IF(N($P432)&gt;0,$P432+FaceW,0)+IF(OR($S432="4F",$S432="BL"),FaceW,0))</f>
        <v/>
      </c>
      <c r="BO432" s="86">
        <f>IF($BM432="","",$BM432+2*ROSide)</f>
        <v/>
      </c>
      <c r="BP432" s="86">
        <f>IF($BN432="","",$BN432+ROTop)</f>
        <v/>
      </c>
      <c r="BQ432" s="87">
        <f>IF(OR(N($BJ432)=0,$BH432=""),"",$BH432/$BJ432-ClearDeduct)</f>
        <v/>
      </c>
      <c r="BR432" s="84">
        <f>IF(N($CH432)=0,"",IF($CH432&gt;=180,"A · 3 HR",IF($CH432&gt;=90,"B · 1-1/2 HR",IF($CH432&gt;=60,"B · 1 HR",IF($CH432&gt;=45,"C · 3/4 HR","20 MIN")))))&amp;IF(AND(N($CH432)&gt;0,OR($I432="CORRIDOR",$I432="SMOKE BARRIER"))," · S","")</f>
        <v/>
      </c>
      <c r="BS432" s="84">
        <f>IF($CS432,"",IF($AV432&lt;&gt;"",$AV432,IF(OR($AC432="HGC",$AO432="HGC"),"CONT",IF(($BI432-HeadClr-Undercut)&lt;=60,2,IF(($BI432-HeadClr-Undercut)&lt;=90,3,IF(($BI432-HeadClr-Undercut)&lt;=120,4,5))))))</f>
        <v/>
      </c>
      <c r="BT432" s="84">
        <f>IF($CS432,"",IF($CT432,"CUSTOM (typed)",IF($CV432,$AT432&amp;" "&amp;$CU432&amp;CHAR(34)&amp;IF($CU432&lt;&gt;$BI432,IF(AND($BI432&lt;$CU432,$BI432-IF(N(VLOOKUP($AT432&amp;"|"&amp;$CU432,LocTable,7,FALSE))&gt;0,VLOOKUP($AT432&amp;"|"&amp;$CU432,LocTable,7,FALSE),VLOOKUP($AT432&amp;"|"&amp;$CU432,LocTable,6,FALSE))-$CR432-0.75&gt;=2.125)," cut down"," adj."),""),"ANSI/SDI A250.6")))</f>
        <v/>
      </c>
      <c r="BU432" s="88">
        <f>IF($CS432,"",IF($CT432,IF(N($AW432)&gt;0,N($AW432),""),IF(1&gt;$CQ432,"",IF($CQ432=1,$CW432,$CW432+($CX432-$CW432)*0/($CQ432-1)))))</f>
        <v/>
      </c>
      <c r="BV432" s="88">
        <f>IF($CS432,"",IF($CT432,IF(N($AX432)&gt;0,N($AX432),""),IF(2&gt;$CQ432,"",IF($CQ432=1,$CW432,$CW432+($CX432-$CW432)*1/($CQ432-1)))))</f>
        <v/>
      </c>
      <c r="BW432" s="88">
        <f>IF($CS432,"",IF($CT432,IF(N($AY432)&gt;0,N($AY432),""),IF(3&gt;$CQ432,"",IF($CQ432=1,$CW432,$CW432+($CX432-$CW432)*2/($CQ432-1)))))</f>
        <v/>
      </c>
      <c r="BX432" s="88">
        <f>IF($CS432,"",IF($CT432,IF(N($AZ432)&gt;0,N($AZ432),""),IF(4&gt;$CQ432,"",IF($CQ432=1,$CW432,$CW432+($CX432-$CW432)*3/($CQ432-1)))))</f>
        <v/>
      </c>
      <c r="BY432" s="88">
        <f>IF($CS432,"",IF($CT432,"",IF(5&gt;$CQ432,"",IF($CQ432=1,$CW432,$CW432+($CX432-$CW432)*4/($CQ432-1)))))</f>
        <v/>
      </c>
      <c r="BZ432" s="88">
        <f>IF(OR($CS432,$AP432="-",AND($AP432="",$AD432="")),"",IF(N($BA432)&gt;0,N($BA432),IF($CV432,IF(AND($BI432&lt;$CU432,$BI432-IF(N(VLOOKUP($AT432&amp;"|"&amp;$CU432,LocTable,7,FALSE))&gt;0,VLOOKUP($AT432&amp;"|"&amp;$CU432,LocTable,7,FALSE),VLOOKUP($AT432&amp;"|"&amp;$CU432,LocTable,6,FALSE))-$CR432-0.75&gt;=2.125),VLOOKUP($AT432&amp;"|"&amp;$CU432,LocTable,8,FALSE),VLOOKUP($AT432&amp;"|"&amp;$CU432,LocTable,8,FALSE)+($BI432-$CU432)),$BI432-LockAFF)))</f>
        <v/>
      </c>
      <c r="CA432" s="89">
        <f>IF($BZ432="","",$BI432-$BZ432)</f>
        <v/>
      </c>
      <c r="CB432" s="84">
        <f>IF(OR(NOT(AND($A432&lt;&gt;"",$C432&lt;&gt;"DOOR ONLY")),$BI432=""),"",IF(($BI432+IF(N($P432)&gt;0,$P432+FaceW,0))&lt;=90,3,IF(($BI432+IF(N($P432)&gt;0,$P432+FaceW,0))&lt;=114,4,5)))</f>
        <v/>
      </c>
      <c r="CC432" s="84">
        <f>IF($CB432="","",$CB432*(2+IF(N($Q432)&gt;0,IF($R432="LR",2,1),0)))</f>
        <v/>
      </c>
      <c r="CD432" s="84">
        <f>IF($CB432="","",(2+IF(N($Q432)&gt;0,IF($R432="LR",2,1),0)))</f>
        <v/>
      </c>
      <c r="CE432" s="84">
        <f>IF(N($BJ432)=0,"",IF(OR($AL432="",$AL432="FLUSH"),"FLUSH",IFERROR(LEFT($AL432,FIND("-",$AL432)-1),LEFT($AL432,2))))</f>
        <v/>
      </c>
      <c r="CF432" s="84">
        <f>IF($CE432="","",IFERROR(VALUE(MID($AL432,FIND("-",$AL432)+1,FIND(CHAR(34)&amp;"x",$AL432)-FIND("-",$AL432)-1)),0))</f>
        <v/>
      </c>
      <c r="CG432" s="84">
        <f>IF($CE432="","",IFERROR(VALUE(MID($AL432,FIND(CHAR(34)&amp;"x",$AL432)+2,FIND(CHAR(34),$AL432,FIND(CHAR(34)&amp;"x",$AL432)+2)-FIND(CHAR(34)&amp;"x",$AL432)-2)),0))</f>
        <v/>
      </c>
      <c r="CH432" s="90">
        <f>IF(OR($A432="",$H432="",$H432="NO LAB"),0,IFERROR(VALUE(LEFT($H432,FIND(" ",$H432)-1)),0))</f>
        <v/>
      </c>
      <c r="CI432" s="91">
        <f>IF(OR($A432="",$I432="",$I432="NON-RATED",N($J432)=0),"",IFERROR(VLOOKUP($I432&amp;"|"&amp;$J432,IBC,2,FALSE),"?"))</f>
        <v/>
      </c>
      <c r="CJ432" s="85">
        <f>IF(NOT(AND($A432&lt;&gt;"",$C432&lt;&gt;"DOOR ONLY")),"",TRIM(IFERROR(VLOOKUP($U432,CODES,2,FALSE),"")&amp;" "&amp;$BG432&amp;" "&amp;IFERROR(VLOOKUP($Z432,CODES,2,FALSE),"")&amp;" "&amp;IFERROR(VLOOKUP($X432,CODES,2,FALSE),"")&amp;" "&amp;IFERROR(VLOOKUP($S432,CODES,2,FALSE),"")&amp;IF(N($P432)&gt;0," w/TRANSOM "&amp;$P432&amp;CHAR(34),"")&amp;IF(N($Q432)&gt;0," w/SIDELITE "&amp;$Q432&amp;CHAR(34)&amp;" "&amp;IF($R432="","R",$R432),"")&amp;IF($Y432="","  |  "," | "&amp;IFERROR(VLOOKUP($Y432,CODES,2,FALSE),"")&amp;" | ")&amp;IFERROR(VLOOKUP($AC432,CODES,2,FALSE),"")&amp;" "&amp;IFERROR(VLOOKUP($AD432,CODES,2,FALSE),"")&amp;IF(OR($AE432="",$AE432="-"),""," "&amp;$AE432)&amp;IF(OR($AF432="",$AF432="-"),""," "&amp;$AF432)&amp;IF($AB432="Y"," 4"&amp;CHAR(34)&amp;" HEAD","")&amp;" "&amp;IFERROR(VLOOKUP($H432,CODES,2,FALSE),"")&amp;IF($CT432," | LOC "&amp;$CY432,"")))</f>
        <v/>
      </c>
      <c r="CK432" s="85">
        <f>IF(NOT(AND($A432&lt;&gt;"",N($BJ432)&gt;0)),"",TRIM(IFERROR(VLOOKUP($AH432,CODES,2,FALSE),"")&amp;IF($AI432=""," "," "&amp;$AI432&amp;"GA ")&amp;$BG432&amp;" "&amp;IF($AN432="",IFERROR(VLOOKUP($Z432,CODES,2,FALSE),""),IFERROR(VLOOKUP($AN432,CODES,2,FALSE),""))&amp;IF($BJ432=2," PAIR","")&amp;" DOOR | "&amp;IF($AL432="","?",$AL432)&amp;" | "&amp;IF($AO432="",IFERROR(VLOOKUP($AC432,CODES,2,FALSE),""),IFERROR(VLOOKUP($AO432,CODES,2,FALSE),""))&amp;" "&amp;IFERROR(VLOOKUP($AP432,CODES,2,FALSE),"")&amp;IF(OR($AQ432="",$AQ432="-"),""," SEAM "&amp;$AQ432)&amp;IF($AR432="Y"," ASTRAGAL","")&amp;IF($AJ432=""," "," "&amp;$AJ432)&amp;IF($AK432=""," "," "&amp;$AK432)&amp;IF(OR($AT432="",$AT432="ANSI/SDI",$AT432="CUSTOM LOC"),""," "&amp;$AT432)&amp;IF($AM432=""," "," SERIES "&amp;$AM432)&amp;" "&amp;IFERROR(VLOOKUP($H432,CODES,2,FALSE),"")&amp;IF($CT432," | LOC "&amp;$CZ432,"")))</f>
        <v/>
      </c>
      <c r="CL432" s="84">
        <f>IF(CP432="","",IF(COUNTIF($CP$6:CP432,CP432)=1,MAX($CL$5:CL431)+1,INDEX($CL$5:CL431,MATCH(CP432,$CP$5:CP431,0))))</f>
        <v/>
      </c>
      <c r="CM432" s="84">
        <f>IF(NOT(AND($A432&lt;&gt;"",$C432&lt;&gt;"DOOR ONLY")),"",MAX($CM$5:CM431)+1)</f>
        <v/>
      </c>
      <c r="CN432" s="84">
        <f>IF(NOT(AND($A432&lt;&gt;"",N($BJ432)&gt;0)),"",MAX($CN$5:CN431)+1)</f>
        <v/>
      </c>
      <c r="CO432" s="84">
        <f>IF($A432="","",MAX($CO$5:CO431)+1)</f>
        <v/>
      </c>
      <c r="CP432" s="84">
        <f>IF(OR($A432="",$BH432="",$BI432=""),"",$BG432&amp;"|"&amp;$O432&amp;"|"&amp;$AL432&amp;"|"&amp;$S432&amp;"|"&amp;$P432&amp;"|"&amp;$Q432&amp;$R432&amp;"|"&amp;$C432&amp;"|"&amp;$AB432)</f>
        <v/>
      </c>
      <c r="CQ432" s="84">
        <f>N($BS432)</f>
        <v/>
      </c>
      <c r="CR432" s="84">
        <f>IF(N($AU432)&gt;0,N($AU432),4.5)</f>
        <v/>
      </c>
      <c r="CS432" s="84">
        <f>OR($A432="",$BI432="",$S432="BL",AND($C432="FRAME ONLY",OR($AC432="",$AC432="BLK")))</f>
        <v/>
      </c>
      <c r="CT432" s="84">
        <f>AND(NOT($CS432),OR($AT432="CUSTOM LOC",N($AW432)+N($AX432)+N($AY432)+N($AZ432)+N($BA432)&gt;0))</f>
        <v/>
      </c>
      <c r="CU432" s="84">
        <f>IF($BI432="","",IF($BI432&lt;=80,80,IF($BI432&lt;=84,84,96)))</f>
        <v/>
      </c>
      <c r="CV432" s="84">
        <f>ISNUMBER(MATCH($AT432&amp;"|80",LocKeys,0))</f>
        <v/>
      </c>
      <c r="CW432" s="86">
        <f>IF($CS432,"",IF($CV432,VLOOKUP($AT432&amp;"|"&amp;$CU432,LocTable,4,FALSE),5))</f>
        <v/>
      </c>
      <c r="CX432" s="86">
        <f>IF($CS432,"",IF($CV432,IF(OR($BI432=$CU432,AND($BI432&lt;$CU432,$BI432-IF(N(VLOOKUP($AT432&amp;"|"&amp;$CU432,LocTable,7,FALSE))&gt;0,VLOOKUP($AT432&amp;"|"&amp;$CU432,LocTable,7,FALSE),VLOOKUP($AT432&amp;"|"&amp;$CU432,LocTable,6,FALSE))-$CR432-0.75&gt;=2.125)),IF(N(VLOOKUP($AT432&amp;"|"&amp;$CU432,LocTable,7,FALSE))&gt;0,VLOOKUP($AT432&amp;"|"&amp;$CU432,LocTable,7,FALSE),VLOOKUP($AT432&amp;"|"&amp;$CU432,LocTable,6,FALSE)),$BI432-($CU432-IF(N(VLOOKUP($AT432&amp;"|"&amp;$CU432,LocTable,7,FALSE))&gt;0,VLOOKUP($AT432&amp;"|"&amp;$CU432,LocTable,7,FALSE),VLOOKUP($AT432&amp;"|"&amp;$CU432,LocTable,6,FALSE)))),$BI432-10-$CR432))</f>
        <v/>
      </c>
      <c r="CY432" s="85">
        <f>IF($CS432,"",TRIM(IF(ISNUMBER($BU432),"A "&amp;TRIM(TEXT($BU432,"# ?/??"))&amp;CHAR(34)&amp;"  ","")&amp;IF(ISNUMBER($BV432),"B "&amp;TRIM(TEXT($BV432,"# ?/??"))&amp;CHAR(34)&amp;"  ","")&amp;IF(ISNUMBER($BW432),"C "&amp;TRIM(TEXT($BW432,"# ?/??"))&amp;CHAR(34)&amp;"  ","")&amp;IF(ISNUMBER($BX432),"D "&amp;TRIM(TEXT($BX432,"# ?/??"))&amp;CHAR(34)&amp;"  ","")&amp;IF(ISNUMBER($BY432),"F "&amp;TRIM(TEXT($BY432,"# ?/??"))&amp;CHAR(34)&amp;"  ","")&amp;IF(ISNUMBER($BZ432),"E "&amp;TRIM(TEXT($BZ432,"# ?/??"))&amp;CHAR(34)&amp;"  ","")))</f>
        <v/>
      </c>
      <c r="CZ432" s="85">
        <f>IF(OR($CS432,N($BJ432)=0),"",TRIM(IF(ISNUMBER($BU432),"A "&amp;TRIM(TEXT($BU432-HeadClr,"# ?/??"))&amp;CHAR(34)&amp;"  ","")&amp;IF(ISNUMBER($BV432),"B "&amp;TRIM(TEXT($BV432-HeadClr,"# ?/??"))&amp;CHAR(34)&amp;"  ","")&amp;IF(ISNUMBER($BW432),"C "&amp;TRIM(TEXT($BW432-HeadClr,"# ?/??"))&amp;CHAR(34)&amp;"  ","")&amp;IF(ISNUMBER($BX432),"D "&amp;TRIM(TEXT($BX432-HeadClr,"# ?/??"))&amp;CHAR(34)&amp;"  ","")&amp;IF(ISNUMBER($BY432),"F "&amp;TRIM(TEXT($BY432-HeadClr,"# ?/??"))&amp;CHAR(34)&amp;"  ","")&amp;IF(ISNUMBER($BZ432),"E "&amp;TRIM(TEXT($BZ432-HeadClr,"# ?/??"))&amp;CHAR(34)&amp;"  ","")))</f>
        <v/>
      </c>
      <c r="DA432" s="84">
        <f>IF($A432="","",IF($AN432="",IFERROR(VLOOKUP($Z432,CODES,2,FALSE),""),IFERROR(VLOOKUP($AN432,CODES,2,FALSE),"")))</f>
        <v/>
      </c>
      <c r="DB432" s="84">
        <f>IF($A432="","",IF($O432="Y","PR",IF(OR($Z432="L",$Z432="RR",LEFT($Z432,2)="L-",LEFT($Z432,3)="RR-"),"LH","RH")))</f>
        <v/>
      </c>
      <c r="DC432" s="84">
        <f>IF($A432="","","S.HM"&amp;IF(OR($C432="DOOR ONLY",$X432&lt;&gt;"KD"),"MASONRY","DRYWALL")&amp;IF($C432="DOOR ONLY","",$U432)&amp;IF(AND($C432&lt;&gt;"FRAME ONLY",OR(LEFT($AH432,3)="OAK",LEFT($AH432,3)="BIR",LEFT($AH432,3)="MAP",$AH432="PC",$AH432="MC",$AH432="SCLC",$AH432="P-LAM")),"WD","HM")&amp;"1.75")</f>
        <v/>
      </c>
      <c r="DD432" s="84">
        <f>IF($CJ432="","",IF($O432="Y",$CJ432,SUBSTITUTE($CJ432,$BG432&amp;" "&amp;IFERROR(VLOOKUP($Z432,CODES,2,FALSE),"")&amp;" ",$BG432&amp;" ")))</f>
        <v/>
      </c>
      <c r="DE432" s="84">
        <f>IF($CK432="","",IF($O432="Y",$CK432,SUBSTITUTE($CK432,$BG432&amp;" "&amp;IF($AN432="",IFERROR(VLOOKUP($Z432,CODES,2,FALSE),""),IFERROR(VLOOKUP($AN432,CODES,2,FALSE),""))&amp;" ",$BG432&amp;" ")))</f>
        <v/>
      </c>
      <c r="DF432" s="84">
        <f>IF($CJ432="","",$DC432&amp;"|"&amp;$DD432&amp;"|"&amp;$DB432&amp;"|"&amp;$AT432&amp;"|"&amp;$V432&amp;"|"&amp;$Y432&amp;"|"&amp;$AB432)</f>
        <v/>
      </c>
      <c r="DG432" s="84">
        <f>IF(DF432="","",IF(COUNTIF($DF$6:DF432,DF432)=1,MAX($DG$5:DG431)+1,INDEX($DG$5:DG431,MATCH(DF432,$DF$5:DF431,0))))</f>
        <v/>
      </c>
      <c r="DH432" s="84">
        <f>IF($CK432="","",$DC432&amp;"|"&amp;$DE432&amp;"|"&amp;$AI432&amp;"|"&amp;$BK432&amp;"|"&amp;$BL432)</f>
        <v/>
      </c>
      <c r="DI432" s="84">
        <f>IF(DH432="","",IF(COUNTIF($DH$6:DH432,DH432)=1,MAX($DI$5:DI431)+1,INDEX($DI$5:DI431,MATCH(DH432,$DH$5:DH431,0))))</f>
        <v/>
      </c>
      <c r="DJ432" s="84">
        <f>IF($A432="","",IF($B432="","qty, ","")&amp;IF($C432="","scope, ","")&amp;IF(OR($K432="",$M432=""),"size, ","")&amp;IF(AND($A432&lt;&gt;"",$C432&lt;&gt;"DOOR ONLY"),IF($U432="","jamb depth, ","")&amp;IF($X432="","construction, ","")&amp;IF($Y432="","anchor, ","")&amp;IF($S432="","frame type, ",""),"")&amp;IF(AND(N($BJ432)&gt;0,$Z432=""),"hand, ","")&amp;IF(N($BJ432)&gt;0,IF($AH432="","door material, ","")&amp;IF($AL432="","face type, ","")&amp;IF($AP432="","lock prep, ","")&amp;IF(AND($AO432="",$AC432=""),"hinge prep, ",""),"")&amp;IF(AND($CH432&gt;0,$AH432="FRP"),"FRP cannot carry a label, ","")&amp;IF(AND($O432="Y",OR($Z432="L",$Z432="R",$Z432="LR",$Z432="RR")),"pair marked but hand is single, ","")&amp;IF(AND($O432&lt;&gt;"Y",OR($Z432="PR",AND(LEN($Z432)&gt;1,ISNUMBER(SEARCH("-",$Z432))))),"pair hand on a single door, ","")&amp;IF(AND(ISNUMBER($CI432),$CH432&lt;N($CI432)),"wall needs a "&amp;$CI432&amp;" min door, ","")&amp;IF(AND($CH432&gt;=180,AND(OR($CE432="FG",$CE432="HG",$CE432="FNV",$CE432="FV"),N($CF432)*N($CG432)&gt;100)),"180 min lite over 100 sq in, ","")&amp;IF(N($BK432)&gt;48,"leaf wider than 4'-0"&amp;CHAR(34)&amp;", ","")&amp;IF(AND($CT432,COUNT($AW432:$AZ432)=0,$CQ432&gt;0),"CUSTOM LOC with no locations typed, ",""))</f>
        <v/>
      </c>
      <c r="DK432" s="84">
        <f>IF($A432="","",IF(AND($CH432&gt;0,AND($A432&lt;&gt;"",$C432&lt;&gt;"DOOR ONLY"),$X432="KD",$E432="EXTERIOR"),"KD label on an exterior opening, ","")&amp;IF(AND($E432="EXTERIOR",OR(AND(AND($A432&lt;&gt;"",$C432&lt;&gt;"DOOR ONLY"),$W432="CR"),AND(N($BJ432)&gt;0,$AH432="CR"))),"exterior in CR steel (G9?), ","")&amp;IF(AND(ISNUMBER($BQ432),N($BQ432)&lt;32),"clear width ~"&amp;TEXT($BQ432,"0.0")&amp;CHAR(34)&amp;" under 32"&amp;CHAR(34)&amp;" (ADA), ","")&amp;IF(AND($CH432=90,AND(OR($CE432="FG",$CE432="HG",$CE432="FNV",$CE432="FV"),N($CF432)*N($CG432)&gt;100)),"90 min lite over 100 sq in (stair/exit), ","")&amp;IF(AND($CH432&gt;0,AND($A432&lt;&gt;"",$C432&lt;&gt;"DOOR ONLY"),OR($AF432="",$AF432="-")),"rated: closer reinf.?, ","")&amp;IF(OR($I432="CORRIDOR",$I432="SMOKE BARRIER"),"S label + smoke gasketing, ","")&amp;IF($CI432="?","wall type/hr not in IBC table, ","")&amp;IF(AND(N($BJ432)&gt;0,$BB432=""),"no hardware set, ","")&amp;IF(AND($BB432&lt;&gt;"",ISNA(MATCH($BB432&amp;"",HWSets,0))),"set "&amp;$BB432&amp;" not on HW Sets, ","")&amp;IF(N($BL432)&gt;96,"leaf over 8'-0"&amp;CHAR(34)&amp;" - check listing, ","")&amp;IF(AND($CT432,COUNT($AW432:$AZ432)&gt;0,COUNT($AW432:$AZ432)&lt;&gt;$CQ432),COUNT($AW432:$AZ432)&amp;" custom hinges typed, "&amp;$CQ432&amp;" expected, ","")&amp;IF(AND(ISNUMBER($CA432),OR(N($CA432)&lt;34,N($CA432)&gt;48)),"lock "&amp;TEXT($CA432,"0.0")&amp;CHAR(34)&amp;" AFF outside 34-48"&amp;CHAR(34)&amp;" (ADA), ","")&amp;IF(AND(ISNUMBER($AV432),ISNUMBER($BL432),N($AV432)&lt;IF(N($BL432)&lt;=60,2,IF(N($BL432)&lt;=90,3,IF(N($BL432)&lt;=120,4,5)))),"fewer hinges than standard, ",""))</f>
        <v/>
      </c>
    </row>
    <row r="433" ht="15" customHeight="1">
      <c r="A433" s="77" t="n"/>
      <c r="B433" s="78" t="n"/>
      <c r="C433" s="78" t="n"/>
      <c r="D433" s="78" t="n"/>
      <c r="E433" s="78" t="n"/>
      <c r="F433" s="78" t="n"/>
      <c r="G433" s="78" t="n"/>
      <c r="H433" s="78" t="n"/>
      <c r="I433" s="78" t="n"/>
      <c r="J433" s="78" t="n"/>
      <c r="K433" s="78" t="n"/>
      <c r="L433" s="78" t="n"/>
      <c r="M433" s="78" t="n"/>
      <c r="N433" s="78" t="n"/>
      <c r="O433" s="78" t="n"/>
      <c r="P433" s="78" t="n"/>
      <c r="Q433" s="78" t="n"/>
      <c r="R433" s="78" t="n"/>
      <c r="S433" s="79" t="n"/>
      <c r="T433" s="79" t="n"/>
      <c r="U433" s="79" t="n"/>
      <c r="V433" s="79" t="n"/>
      <c r="W433" s="79" t="n"/>
      <c r="X433" s="79" t="n"/>
      <c r="Y433" s="79" t="n"/>
      <c r="Z433" s="79" t="n"/>
      <c r="AA433" s="79" t="n"/>
      <c r="AB433" s="79" t="n"/>
      <c r="AC433" s="79" t="n"/>
      <c r="AD433" s="79" t="n"/>
      <c r="AE433" s="79" t="n"/>
      <c r="AF433" s="79" t="n"/>
      <c r="AG433" s="79" t="n"/>
      <c r="AH433" s="80" t="n"/>
      <c r="AI433" s="80" t="n"/>
      <c r="AJ433" s="80" t="n"/>
      <c r="AK433" s="80" t="n"/>
      <c r="AL433" s="80" t="n"/>
      <c r="AM433" s="80" t="n"/>
      <c r="AN433" s="80" t="n"/>
      <c r="AO433" s="80" t="n"/>
      <c r="AP433" s="80" t="n"/>
      <c r="AQ433" s="80" t="n"/>
      <c r="AR433" s="80" t="n"/>
      <c r="AS433" s="80" t="n"/>
      <c r="AT433" s="81" t="n"/>
      <c r="AU433" s="81" t="n"/>
      <c r="AV433" s="81" t="n"/>
      <c r="AW433" s="82" t="n"/>
      <c r="AX433" s="82" t="n"/>
      <c r="AY433" s="82" t="n"/>
      <c r="AZ433" s="82" t="n"/>
      <c r="BA433" s="82" t="n"/>
      <c r="BB433" s="83" t="n"/>
      <c r="BC433" s="83" t="n"/>
      <c r="BD433" s="84">
        <f>IF($A433="","",IF($DJ433&lt;&gt;"","FIX",IF($DK433&lt;&gt;"","CHECK","OK")))</f>
        <v/>
      </c>
      <c r="BE433" s="85">
        <f>IF($A433="","",IF($DJ433&lt;&gt;"","FIX: "&amp;LEFT($DJ433,LEN($DJ433)-2)&amp;IF($DK433&lt;&gt;"","  ·  ",""),"")&amp;IF($DK433&lt;&gt;"","CHECK: "&amp;LEFT($DK433,LEN($DK433)-2),""))</f>
        <v/>
      </c>
      <c r="BF433" s="84">
        <f>IF(OR($A433="",$K433=""),"",$K433&amp;"'-"&amp;N($L433)&amp;CHAR(34)&amp;" x "&amp;$M433&amp;"'-"&amp;N($N433)&amp;CHAR(34))</f>
        <v/>
      </c>
      <c r="BG433" s="84">
        <f>IF(OR($A433="",$K433=""),"",$K433&amp;N($L433)&amp;$M433&amp;N($N433))</f>
        <v/>
      </c>
      <c r="BH433" s="84">
        <f>IF(OR($A433="",$K433=""),"",$K433*12+N($L433))</f>
        <v/>
      </c>
      <c r="BI433" s="84">
        <f>IF(OR($A433="",$M433=""),"",$M433*12+N($N433))</f>
        <v/>
      </c>
      <c r="BJ433" s="84">
        <f>IF($A433="","",IF(OR($C433="FRAME ONLY",$S433="BL"),0,IF($O433="Y",2,1)))</f>
        <v/>
      </c>
      <c r="BK433" s="86">
        <f>IF(OR(N($BJ433)=0,$BH433=""),"",($BH433-2*EdgeClr-IF($BJ433=2,MeetClr,0))/$BJ433)</f>
        <v/>
      </c>
      <c r="BL433" s="86">
        <f>IF(OR(N($BJ433)=0,$BI433=""),"",$BI433-HeadClr-Undercut)</f>
        <v/>
      </c>
      <c r="BM433" s="86">
        <f>IF($BH433="","",$BH433+2*FaceW+IF(N($Q433)&gt;0,($Q433+FaceW)*IF($R433="LR",2,1),0))</f>
        <v/>
      </c>
      <c r="BN433" s="86">
        <f>IF($BI433="","",$BI433+IF($AB433="Y",4,FaceW)+IF(N($P433)&gt;0,$P433+FaceW,0)+IF(OR($S433="4F",$S433="BL"),FaceW,0))</f>
        <v/>
      </c>
      <c r="BO433" s="86">
        <f>IF($BM433="","",$BM433+2*ROSide)</f>
        <v/>
      </c>
      <c r="BP433" s="86">
        <f>IF($BN433="","",$BN433+ROTop)</f>
        <v/>
      </c>
      <c r="BQ433" s="87">
        <f>IF(OR(N($BJ433)=0,$BH433=""),"",$BH433/$BJ433-ClearDeduct)</f>
        <v/>
      </c>
      <c r="BR433" s="84">
        <f>IF(N($CH433)=0,"",IF($CH433&gt;=180,"A · 3 HR",IF($CH433&gt;=90,"B · 1-1/2 HR",IF($CH433&gt;=60,"B · 1 HR",IF($CH433&gt;=45,"C · 3/4 HR","20 MIN")))))&amp;IF(AND(N($CH433)&gt;0,OR($I433="CORRIDOR",$I433="SMOKE BARRIER"))," · S","")</f>
        <v/>
      </c>
      <c r="BS433" s="84">
        <f>IF($CS433,"",IF($AV433&lt;&gt;"",$AV433,IF(OR($AC433="HGC",$AO433="HGC"),"CONT",IF(($BI433-HeadClr-Undercut)&lt;=60,2,IF(($BI433-HeadClr-Undercut)&lt;=90,3,IF(($BI433-HeadClr-Undercut)&lt;=120,4,5))))))</f>
        <v/>
      </c>
      <c r="BT433" s="84">
        <f>IF($CS433,"",IF($CT433,"CUSTOM (typed)",IF($CV433,$AT433&amp;" "&amp;$CU433&amp;CHAR(34)&amp;IF($CU433&lt;&gt;$BI433,IF(AND($BI433&lt;$CU433,$BI433-IF(N(VLOOKUP($AT433&amp;"|"&amp;$CU433,LocTable,7,FALSE))&gt;0,VLOOKUP($AT433&amp;"|"&amp;$CU433,LocTable,7,FALSE),VLOOKUP($AT433&amp;"|"&amp;$CU433,LocTable,6,FALSE))-$CR433-0.75&gt;=2.125)," cut down"," adj."),""),"ANSI/SDI A250.6")))</f>
        <v/>
      </c>
      <c r="BU433" s="88">
        <f>IF($CS433,"",IF($CT433,IF(N($AW433)&gt;0,N($AW433),""),IF(1&gt;$CQ433,"",IF($CQ433=1,$CW433,$CW433+($CX433-$CW433)*0/($CQ433-1)))))</f>
        <v/>
      </c>
      <c r="BV433" s="88">
        <f>IF($CS433,"",IF($CT433,IF(N($AX433)&gt;0,N($AX433),""),IF(2&gt;$CQ433,"",IF($CQ433=1,$CW433,$CW433+($CX433-$CW433)*1/($CQ433-1)))))</f>
        <v/>
      </c>
      <c r="BW433" s="88">
        <f>IF($CS433,"",IF($CT433,IF(N($AY433)&gt;0,N($AY433),""),IF(3&gt;$CQ433,"",IF($CQ433=1,$CW433,$CW433+($CX433-$CW433)*2/($CQ433-1)))))</f>
        <v/>
      </c>
      <c r="BX433" s="88">
        <f>IF($CS433,"",IF($CT433,IF(N($AZ433)&gt;0,N($AZ433),""),IF(4&gt;$CQ433,"",IF($CQ433=1,$CW433,$CW433+($CX433-$CW433)*3/($CQ433-1)))))</f>
        <v/>
      </c>
      <c r="BY433" s="88">
        <f>IF($CS433,"",IF($CT433,"",IF(5&gt;$CQ433,"",IF($CQ433=1,$CW433,$CW433+($CX433-$CW433)*4/($CQ433-1)))))</f>
        <v/>
      </c>
      <c r="BZ433" s="88">
        <f>IF(OR($CS433,$AP433="-",AND($AP433="",$AD433="")),"",IF(N($BA433)&gt;0,N($BA433),IF($CV433,IF(AND($BI433&lt;$CU433,$BI433-IF(N(VLOOKUP($AT433&amp;"|"&amp;$CU433,LocTable,7,FALSE))&gt;0,VLOOKUP($AT433&amp;"|"&amp;$CU433,LocTable,7,FALSE),VLOOKUP($AT433&amp;"|"&amp;$CU433,LocTable,6,FALSE))-$CR433-0.75&gt;=2.125),VLOOKUP($AT433&amp;"|"&amp;$CU433,LocTable,8,FALSE),VLOOKUP($AT433&amp;"|"&amp;$CU433,LocTable,8,FALSE)+($BI433-$CU433)),$BI433-LockAFF)))</f>
        <v/>
      </c>
      <c r="CA433" s="89">
        <f>IF($BZ433="","",$BI433-$BZ433)</f>
        <v/>
      </c>
      <c r="CB433" s="84">
        <f>IF(OR(NOT(AND($A433&lt;&gt;"",$C433&lt;&gt;"DOOR ONLY")),$BI433=""),"",IF(($BI433+IF(N($P433)&gt;0,$P433+FaceW,0))&lt;=90,3,IF(($BI433+IF(N($P433)&gt;0,$P433+FaceW,0))&lt;=114,4,5)))</f>
        <v/>
      </c>
      <c r="CC433" s="84">
        <f>IF($CB433="","",$CB433*(2+IF(N($Q433)&gt;0,IF($R433="LR",2,1),0)))</f>
        <v/>
      </c>
      <c r="CD433" s="84">
        <f>IF($CB433="","",(2+IF(N($Q433)&gt;0,IF($R433="LR",2,1),0)))</f>
        <v/>
      </c>
      <c r="CE433" s="84">
        <f>IF(N($BJ433)=0,"",IF(OR($AL433="",$AL433="FLUSH"),"FLUSH",IFERROR(LEFT($AL433,FIND("-",$AL433)-1),LEFT($AL433,2))))</f>
        <v/>
      </c>
      <c r="CF433" s="84">
        <f>IF($CE433="","",IFERROR(VALUE(MID($AL433,FIND("-",$AL433)+1,FIND(CHAR(34)&amp;"x",$AL433)-FIND("-",$AL433)-1)),0))</f>
        <v/>
      </c>
      <c r="CG433" s="84">
        <f>IF($CE433="","",IFERROR(VALUE(MID($AL433,FIND(CHAR(34)&amp;"x",$AL433)+2,FIND(CHAR(34),$AL433,FIND(CHAR(34)&amp;"x",$AL433)+2)-FIND(CHAR(34)&amp;"x",$AL433)-2)),0))</f>
        <v/>
      </c>
      <c r="CH433" s="90">
        <f>IF(OR($A433="",$H433="",$H433="NO LAB"),0,IFERROR(VALUE(LEFT($H433,FIND(" ",$H433)-1)),0))</f>
        <v/>
      </c>
      <c r="CI433" s="91">
        <f>IF(OR($A433="",$I433="",$I433="NON-RATED",N($J433)=0),"",IFERROR(VLOOKUP($I433&amp;"|"&amp;$J433,IBC,2,FALSE),"?"))</f>
        <v/>
      </c>
      <c r="CJ433" s="85">
        <f>IF(NOT(AND($A433&lt;&gt;"",$C433&lt;&gt;"DOOR ONLY")),"",TRIM(IFERROR(VLOOKUP($U433,CODES,2,FALSE),"")&amp;" "&amp;$BG433&amp;" "&amp;IFERROR(VLOOKUP($Z433,CODES,2,FALSE),"")&amp;" "&amp;IFERROR(VLOOKUP($X433,CODES,2,FALSE),"")&amp;" "&amp;IFERROR(VLOOKUP($S433,CODES,2,FALSE),"")&amp;IF(N($P433)&gt;0," w/TRANSOM "&amp;$P433&amp;CHAR(34),"")&amp;IF(N($Q433)&gt;0," w/SIDELITE "&amp;$Q433&amp;CHAR(34)&amp;" "&amp;IF($R433="","R",$R433),"")&amp;IF($Y433="","  |  "," | "&amp;IFERROR(VLOOKUP($Y433,CODES,2,FALSE),"")&amp;" | ")&amp;IFERROR(VLOOKUP($AC433,CODES,2,FALSE),"")&amp;" "&amp;IFERROR(VLOOKUP($AD433,CODES,2,FALSE),"")&amp;IF(OR($AE433="",$AE433="-"),""," "&amp;$AE433)&amp;IF(OR($AF433="",$AF433="-"),""," "&amp;$AF433)&amp;IF($AB433="Y"," 4"&amp;CHAR(34)&amp;" HEAD","")&amp;" "&amp;IFERROR(VLOOKUP($H433,CODES,2,FALSE),"")&amp;IF($CT433," | LOC "&amp;$CY433,"")))</f>
        <v/>
      </c>
      <c r="CK433" s="85">
        <f>IF(NOT(AND($A433&lt;&gt;"",N($BJ433)&gt;0)),"",TRIM(IFERROR(VLOOKUP($AH433,CODES,2,FALSE),"")&amp;IF($AI433=""," "," "&amp;$AI433&amp;"GA ")&amp;$BG433&amp;" "&amp;IF($AN433="",IFERROR(VLOOKUP($Z433,CODES,2,FALSE),""),IFERROR(VLOOKUP($AN433,CODES,2,FALSE),""))&amp;IF($BJ433=2," PAIR","")&amp;" DOOR | "&amp;IF($AL433="","?",$AL433)&amp;" | "&amp;IF($AO433="",IFERROR(VLOOKUP($AC433,CODES,2,FALSE),""),IFERROR(VLOOKUP($AO433,CODES,2,FALSE),""))&amp;" "&amp;IFERROR(VLOOKUP($AP433,CODES,2,FALSE),"")&amp;IF(OR($AQ433="",$AQ433="-"),""," SEAM "&amp;$AQ433)&amp;IF($AR433="Y"," ASTRAGAL","")&amp;IF($AJ433=""," "," "&amp;$AJ433)&amp;IF($AK433=""," "," "&amp;$AK433)&amp;IF(OR($AT433="",$AT433="ANSI/SDI",$AT433="CUSTOM LOC"),""," "&amp;$AT433)&amp;IF($AM433=""," "," SERIES "&amp;$AM433)&amp;" "&amp;IFERROR(VLOOKUP($H433,CODES,2,FALSE),"")&amp;IF($CT433," | LOC "&amp;$CZ433,"")))</f>
        <v/>
      </c>
      <c r="CL433" s="84">
        <f>IF(CP433="","",IF(COUNTIF($CP$6:CP433,CP433)=1,MAX($CL$5:CL432)+1,INDEX($CL$5:CL432,MATCH(CP433,$CP$5:CP432,0))))</f>
        <v/>
      </c>
      <c r="CM433" s="84">
        <f>IF(NOT(AND($A433&lt;&gt;"",$C433&lt;&gt;"DOOR ONLY")),"",MAX($CM$5:CM432)+1)</f>
        <v/>
      </c>
      <c r="CN433" s="84">
        <f>IF(NOT(AND($A433&lt;&gt;"",N($BJ433)&gt;0)),"",MAX($CN$5:CN432)+1)</f>
        <v/>
      </c>
      <c r="CO433" s="84">
        <f>IF($A433="","",MAX($CO$5:CO432)+1)</f>
        <v/>
      </c>
      <c r="CP433" s="84">
        <f>IF(OR($A433="",$BH433="",$BI433=""),"",$BG433&amp;"|"&amp;$O433&amp;"|"&amp;$AL433&amp;"|"&amp;$S433&amp;"|"&amp;$P433&amp;"|"&amp;$Q433&amp;$R433&amp;"|"&amp;$C433&amp;"|"&amp;$AB433)</f>
        <v/>
      </c>
      <c r="CQ433" s="84">
        <f>N($BS433)</f>
        <v/>
      </c>
      <c r="CR433" s="84">
        <f>IF(N($AU433)&gt;0,N($AU433),4.5)</f>
        <v/>
      </c>
      <c r="CS433" s="84">
        <f>OR($A433="",$BI433="",$S433="BL",AND($C433="FRAME ONLY",OR($AC433="",$AC433="BLK")))</f>
        <v/>
      </c>
      <c r="CT433" s="84">
        <f>AND(NOT($CS433),OR($AT433="CUSTOM LOC",N($AW433)+N($AX433)+N($AY433)+N($AZ433)+N($BA433)&gt;0))</f>
        <v/>
      </c>
      <c r="CU433" s="84">
        <f>IF($BI433="","",IF($BI433&lt;=80,80,IF($BI433&lt;=84,84,96)))</f>
        <v/>
      </c>
      <c r="CV433" s="84">
        <f>ISNUMBER(MATCH($AT433&amp;"|80",LocKeys,0))</f>
        <v/>
      </c>
      <c r="CW433" s="86">
        <f>IF($CS433,"",IF($CV433,VLOOKUP($AT433&amp;"|"&amp;$CU433,LocTable,4,FALSE),5))</f>
        <v/>
      </c>
      <c r="CX433" s="86">
        <f>IF($CS433,"",IF($CV433,IF(OR($BI433=$CU433,AND($BI433&lt;$CU433,$BI433-IF(N(VLOOKUP($AT433&amp;"|"&amp;$CU433,LocTable,7,FALSE))&gt;0,VLOOKUP($AT433&amp;"|"&amp;$CU433,LocTable,7,FALSE),VLOOKUP($AT433&amp;"|"&amp;$CU433,LocTable,6,FALSE))-$CR433-0.75&gt;=2.125)),IF(N(VLOOKUP($AT433&amp;"|"&amp;$CU433,LocTable,7,FALSE))&gt;0,VLOOKUP($AT433&amp;"|"&amp;$CU433,LocTable,7,FALSE),VLOOKUP($AT433&amp;"|"&amp;$CU433,LocTable,6,FALSE)),$BI433-($CU433-IF(N(VLOOKUP($AT433&amp;"|"&amp;$CU433,LocTable,7,FALSE))&gt;0,VLOOKUP($AT433&amp;"|"&amp;$CU433,LocTable,7,FALSE),VLOOKUP($AT433&amp;"|"&amp;$CU433,LocTable,6,FALSE)))),$BI433-10-$CR433))</f>
        <v/>
      </c>
      <c r="CY433" s="85">
        <f>IF($CS433,"",TRIM(IF(ISNUMBER($BU433),"A "&amp;TRIM(TEXT($BU433,"# ?/??"))&amp;CHAR(34)&amp;"  ","")&amp;IF(ISNUMBER($BV433),"B "&amp;TRIM(TEXT($BV433,"# ?/??"))&amp;CHAR(34)&amp;"  ","")&amp;IF(ISNUMBER($BW433),"C "&amp;TRIM(TEXT($BW433,"# ?/??"))&amp;CHAR(34)&amp;"  ","")&amp;IF(ISNUMBER($BX433),"D "&amp;TRIM(TEXT($BX433,"# ?/??"))&amp;CHAR(34)&amp;"  ","")&amp;IF(ISNUMBER($BY433),"F "&amp;TRIM(TEXT($BY433,"# ?/??"))&amp;CHAR(34)&amp;"  ","")&amp;IF(ISNUMBER($BZ433),"E "&amp;TRIM(TEXT($BZ433,"# ?/??"))&amp;CHAR(34)&amp;"  ","")))</f>
        <v/>
      </c>
      <c r="CZ433" s="85">
        <f>IF(OR($CS433,N($BJ433)=0),"",TRIM(IF(ISNUMBER($BU433),"A "&amp;TRIM(TEXT($BU433-HeadClr,"# ?/??"))&amp;CHAR(34)&amp;"  ","")&amp;IF(ISNUMBER($BV433),"B "&amp;TRIM(TEXT($BV433-HeadClr,"# ?/??"))&amp;CHAR(34)&amp;"  ","")&amp;IF(ISNUMBER($BW433),"C "&amp;TRIM(TEXT($BW433-HeadClr,"# ?/??"))&amp;CHAR(34)&amp;"  ","")&amp;IF(ISNUMBER($BX433),"D "&amp;TRIM(TEXT($BX433-HeadClr,"# ?/??"))&amp;CHAR(34)&amp;"  ","")&amp;IF(ISNUMBER($BY433),"F "&amp;TRIM(TEXT($BY433-HeadClr,"# ?/??"))&amp;CHAR(34)&amp;"  ","")&amp;IF(ISNUMBER($BZ433),"E "&amp;TRIM(TEXT($BZ433-HeadClr,"# ?/??"))&amp;CHAR(34)&amp;"  ","")))</f>
        <v/>
      </c>
      <c r="DA433" s="84">
        <f>IF($A433="","",IF($AN433="",IFERROR(VLOOKUP($Z433,CODES,2,FALSE),""),IFERROR(VLOOKUP($AN433,CODES,2,FALSE),"")))</f>
        <v/>
      </c>
      <c r="DB433" s="84">
        <f>IF($A433="","",IF($O433="Y","PR",IF(OR($Z433="L",$Z433="RR",LEFT($Z433,2)="L-",LEFT($Z433,3)="RR-"),"LH","RH")))</f>
        <v/>
      </c>
      <c r="DC433" s="84">
        <f>IF($A433="","","S.HM"&amp;IF(OR($C433="DOOR ONLY",$X433&lt;&gt;"KD"),"MASONRY","DRYWALL")&amp;IF($C433="DOOR ONLY","",$U433)&amp;IF(AND($C433&lt;&gt;"FRAME ONLY",OR(LEFT($AH433,3)="OAK",LEFT($AH433,3)="BIR",LEFT($AH433,3)="MAP",$AH433="PC",$AH433="MC",$AH433="SCLC",$AH433="P-LAM")),"WD","HM")&amp;"1.75")</f>
        <v/>
      </c>
      <c r="DD433" s="84">
        <f>IF($CJ433="","",IF($O433="Y",$CJ433,SUBSTITUTE($CJ433,$BG433&amp;" "&amp;IFERROR(VLOOKUP($Z433,CODES,2,FALSE),"")&amp;" ",$BG433&amp;" ")))</f>
        <v/>
      </c>
      <c r="DE433" s="84">
        <f>IF($CK433="","",IF($O433="Y",$CK433,SUBSTITUTE($CK433,$BG433&amp;" "&amp;IF($AN433="",IFERROR(VLOOKUP($Z433,CODES,2,FALSE),""),IFERROR(VLOOKUP($AN433,CODES,2,FALSE),""))&amp;" ",$BG433&amp;" ")))</f>
        <v/>
      </c>
      <c r="DF433" s="84">
        <f>IF($CJ433="","",$DC433&amp;"|"&amp;$DD433&amp;"|"&amp;$DB433&amp;"|"&amp;$AT433&amp;"|"&amp;$V433&amp;"|"&amp;$Y433&amp;"|"&amp;$AB433)</f>
        <v/>
      </c>
      <c r="DG433" s="84">
        <f>IF(DF433="","",IF(COUNTIF($DF$6:DF433,DF433)=1,MAX($DG$5:DG432)+1,INDEX($DG$5:DG432,MATCH(DF433,$DF$5:DF432,0))))</f>
        <v/>
      </c>
      <c r="DH433" s="84">
        <f>IF($CK433="","",$DC433&amp;"|"&amp;$DE433&amp;"|"&amp;$AI433&amp;"|"&amp;$BK433&amp;"|"&amp;$BL433)</f>
        <v/>
      </c>
      <c r="DI433" s="84">
        <f>IF(DH433="","",IF(COUNTIF($DH$6:DH433,DH433)=1,MAX($DI$5:DI432)+1,INDEX($DI$5:DI432,MATCH(DH433,$DH$5:DH432,0))))</f>
        <v/>
      </c>
      <c r="DJ433" s="84">
        <f>IF($A433="","",IF($B433="","qty, ","")&amp;IF($C433="","scope, ","")&amp;IF(OR($K433="",$M433=""),"size, ","")&amp;IF(AND($A433&lt;&gt;"",$C433&lt;&gt;"DOOR ONLY"),IF($U433="","jamb depth, ","")&amp;IF($X433="","construction, ","")&amp;IF($Y433="","anchor, ","")&amp;IF($S433="","frame type, ",""),"")&amp;IF(AND(N($BJ433)&gt;0,$Z433=""),"hand, ","")&amp;IF(N($BJ433)&gt;0,IF($AH433="","door material, ","")&amp;IF($AL433="","face type, ","")&amp;IF($AP433="","lock prep, ","")&amp;IF(AND($AO433="",$AC433=""),"hinge prep, ",""),"")&amp;IF(AND($CH433&gt;0,$AH433="FRP"),"FRP cannot carry a label, ","")&amp;IF(AND($O433="Y",OR($Z433="L",$Z433="R",$Z433="LR",$Z433="RR")),"pair marked but hand is single, ","")&amp;IF(AND($O433&lt;&gt;"Y",OR($Z433="PR",AND(LEN($Z433)&gt;1,ISNUMBER(SEARCH("-",$Z433))))),"pair hand on a single door, ","")&amp;IF(AND(ISNUMBER($CI433),$CH433&lt;N($CI433)),"wall needs a "&amp;$CI433&amp;" min door, ","")&amp;IF(AND($CH433&gt;=180,AND(OR($CE433="FG",$CE433="HG",$CE433="FNV",$CE433="FV"),N($CF433)*N($CG433)&gt;100)),"180 min lite over 100 sq in, ","")&amp;IF(N($BK433)&gt;48,"leaf wider than 4'-0"&amp;CHAR(34)&amp;", ","")&amp;IF(AND($CT433,COUNT($AW433:$AZ433)=0,$CQ433&gt;0),"CUSTOM LOC with no locations typed, ",""))</f>
        <v/>
      </c>
      <c r="DK433" s="84">
        <f>IF($A433="","",IF(AND($CH433&gt;0,AND($A433&lt;&gt;"",$C433&lt;&gt;"DOOR ONLY"),$X433="KD",$E433="EXTERIOR"),"KD label on an exterior opening, ","")&amp;IF(AND($E433="EXTERIOR",OR(AND(AND($A433&lt;&gt;"",$C433&lt;&gt;"DOOR ONLY"),$W433="CR"),AND(N($BJ433)&gt;0,$AH433="CR"))),"exterior in CR steel (G9?), ","")&amp;IF(AND(ISNUMBER($BQ433),N($BQ433)&lt;32),"clear width ~"&amp;TEXT($BQ433,"0.0")&amp;CHAR(34)&amp;" under 32"&amp;CHAR(34)&amp;" (ADA), ","")&amp;IF(AND($CH433=90,AND(OR($CE433="FG",$CE433="HG",$CE433="FNV",$CE433="FV"),N($CF433)*N($CG433)&gt;100)),"90 min lite over 100 sq in (stair/exit), ","")&amp;IF(AND($CH433&gt;0,AND($A433&lt;&gt;"",$C433&lt;&gt;"DOOR ONLY"),OR($AF433="",$AF433="-")),"rated: closer reinf.?, ","")&amp;IF(OR($I433="CORRIDOR",$I433="SMOKE BARRIER"),"S label + smoke gasketing, ","")&amp;IF($CI433="?","wall type/hr not in IBC table, ","")&amp;IF(AND(N($BJ433)&gt;0,$BB433=""),"no hardware set, ","")&amp;IF(AND($BB433&lt;&gt;"",ISNA(MATCH($BB433&amp;"",HWSets,0))),"set "&amp;$BB433&amp;" not on HW Sets, ","")&amp;IF(N($BL433)&gt;96,"leaf over 8'-0"&amp;CHAR(34)&amp;" - check listing, ","")&amp;IF(AND($CT433,COUNT($AW433:$AZ433)&gt;0,COUNT($AW433:$AZ433)&lt;&gt;$CQ433),COUNT($AW433:$AZ433)&amp;" custom hinges typed, "&amp;$CQ433&amp;" expected, ","")&amp;IF(AND(ISNUMBER($CA433),OR(N($CA433)&lt;34,N($CA433)&gt;48)),"lock "&amp;TEXT($CA433,"0.0")&amp;CHAR(34)&amp;" AFF outside 34-48"&amp;CHAR(34)&amp;" (ADA), ","")&amp;IF(AND(ISNUMBER($AV433),ISNUMBER($BL433),N($AV433)&lt;IF(N($BL433)&lt;=60,2,IF(N($BL433)&lt;=90,3,IF(N($BL433)&lt;=120,4,5)))),"fewer hinges than standard, ",""))</f>
        <v/>
      </c>
    </row>
    <row r="434" ht="15" customHeight="1">
      <c r="A434" s="77" t="n"/>
      <c r="B434" s="78" t="n"/>
      <c r="C434" s="78" t="n"/>
      <c r="D434" s="78" t="n"/>
      <c r="E434" s="78" t="n"/>
      <c r="F434" s="78" t="n"/>
      <c r="G434" s="78" t="n"/>
      <c r="H434" s="78" t="n"/>
      <c r="I434" s="78" t="n"/>
      <c r="J434" s="78" t="n"/>
      <c r="K434" s="78" t="n"/>
      <c r="L434" s="78" t="n"/>
      <c r="M434" s="78" t="n"/>
      <c r="N434" s="78" t="n"/>
      <c r="O434" s="78" t="n"/>
      <c r="P434" s="78" t="n"/>
      <c r="Q434" s="78" t="n"/>
      <c r="R434" s="78" t="n"/>
      <c r="S434" s="79" t="n"/>
      <c r="T434" s="79" t="n"/>
      <c r="U434" s="79" t="n"/>
      <c r="V434" s="79" t="n"/>
      <c r="W434" s="79" t="n"/>
      <c r="X434" s="79" t="n"/>
      <c r="Y434" s="79" t="n"/>
      <c r="Z434" s="79" t="n"/>
      <c r="AA434" s="79" t="n"/>
      <c r="AB434" s="79" t="n"/>
      <c r="AC434" s="79" t="n"/>
      <c r="AD434" s="79" t="n"/>
      <c r="AE434" s="79" t="n"/>
      <c r="AF434" s="79" t="n"/>
      <c r="AG434" s="79" t="n"/>
      <c r="AH434" s="80" t="n"/>
      <c r="AI434" s="80" t="n"/>
      <c r="AJ434" s="80" t="n"/>
      <c r="AK434" s="80" t="n"/>
      <c r="AL434" s="80" t="n"/>
      <c r="AM434" s="80" t="n"/>
      <c r="AN434" s="80" t="n"/>
      <c r="AO434" s="80" t="n"/>
      <c r="AP434" s="80" t="n"/>
      <c r="AQ434" s="80" t="n"/>
      <c r="AR434" s="80" t="n"/>
      <c r="AS434" s="80" t="n"/>
      <c r="AT434" s="81" t="n"/>
      <c r="AU434" s="81" t="n"/>
      <c r="AV434" s="81" t="n"/>
      <c r="AW434" s="82" t="n"/>
      <c r="AX434" s="82" t="n"/>
      <c r="AY434" s="82" t="n"/>
      <c r="AZ434" s="82" t="n"/>
      <c r="BA434" s="82" t="n"/>
      <c r="BB434" s="83" t="n"/>
      <c r="BC434" s="83" t="n"/>
      <c r="BD434" s="84">
        <f>IF($A434="","",IF($DJ434&lt;&gt;"","FIX",IF($DK434&lt;&gt;"","CHECK","OK")))</f>
        <v/>
      </c>
      <c r="BE434" s="85">
        <f>IF($A434="","",IF($DJ434&lt;&gt;"","FIX: "&amp;LEFT($DJ434,LEN($DJ434)-2)&amp;IF($DK434&lt;&gt;"","  ·  ",""),"")&amp;IF($DK434&lt;&gt;"","CHECK: "&amp;LEFT($DK434,LEN($DK434)-2),""))</f>
        <v/>
      </c>
      <c r="BF434" s="84">
        <f>IF(OR($A434="",$K434=""),"",$K434&amp;"'-"&amp;N($L434)&amp;CHAR(34)&amp;" x "&amp;$M434&amp;"'-"&amp;N($N434)&amp;CHAR(34))</f>
        <v/>
      </c>
      <c r="BG434" s="84">
        <f>IF(OR($A434="",$K434=""),"",$K434&amp;N($L434)&amp;$M434&amp;N($N434))</f>
        <v/>
      </c>
      <c r="BH434" s="84">
        <f>IF(OR($A434="",$K434=""),"",$K434*12+N($L434))</f>
        <v/>
      </c>
      <c r="BI434" s="84">
        <f>IF(OR($A434="",$M434=""),"",$M434*12+N($N434))</f>
        <v/>
      </c>
      <c r="BJ434" s="84">
        <f>IF($A434="","",IF(OR($C434="FRAME ONLY",$S434="BL"),0,IF($O434="Y",2,1)))</f>
        <v/>
      </c>
      <c r="BK434" s="86">
        <f>IF(OR(N($BJ434)=0,$BH434=""),"",($BH434-2*EdgeClr-IF($BJ434=2,MeetClr,0))/$BJ434)</f>
        <v/>
      </c>
      <c r="BL434" s="86">
        <f>IF(OR(N($BJ434)=0,$BI434=""),"",$BI434-HeadClr-Undercut)</f>
        <v/>
      </c>
      <c r="BM434" s="86">
        <f>IF($BH434="","",$BH434+2*FaceW+IF(N($Q434)&gt;0,($Q434+FaceW)*IF($R434="LR",2,1),0))</f>
        <v/>
      </c>
      <c r="BN434" s="86">
        <f>IF($BI434="","",$BI434+IF($AB434="Y",4,FaceW)+IF(N($P434)&gt;0,$P434+FaceW,0)+IF(OR($S434="4F",$S434="BL"),FaceW,0))</f>
        <v/>
      </c>
      <c r="BO434" s="86">
        <f>IF($BM434="","",$BM434+2*ROSide)</f>
        <v/>
      </c>
      <c r="BP434" s="86">
        <f>IF($BN434="","",$BN434+ROTop)</f>
        <v/>
      </c>
      <c r="BQ434" s="87">
        <f>IF(OR(N($BJ434)=0,$BH434=""),"",$BH434/$BJ434-ClearDeduct)</f>
        <v/>
      </c>
      <c r="BR434" s="84">
        <f>IF(N($CH434)=0,"",IF($CH434&gt;=180,"A · 3 HR",IF($CH434&gt;=90,"B · 1-1/2 HR",IF($CH434&gt;=60,"B · 1 HR",IF($CH434&gt;=45,"C · 3/4 HR","20 MIN")))))&amp;IF(AND(N($CH434)&gt;0,OR($I434="CORRIDOR",$I434="SMOKE BARRIER"))," · S","")</f>
        <v/>
      </c>
      <c r="BS434" s="84">
        <f>IF($CS434,"",IF($AV434&lt;&gt;"",$AV434,IF(OR($AC434="HGC",$AO434="HGC"),"CONT",IF(($BI434-HeadClr-Undercut)&lt;=60,2,IF(($BI434-HeadClr-Undercut)&lt;=90,3,IF(($BI434-HeadClr-Undercut)&lt;=120,4,5))))))</f>
        <v/>
      </c>
      <c r="BT434" s="84">
        <f>IF($CS434,"",IF($CT434,"CUSTOM (typed)",IF($CV434,$AT434&amp;" "&amp;$CU434&amp;CHAR(34)&amp;IF($CU434&lt;&gt;$BI434,IF(AND($BI434&lt;$CU434,$BI434-IF(N(VLOOKUP($AT434&amp;"|"&amp;$CU434,LocTable,7,FALSE))&gt;0,VLOOKUP($AT434&amp;"|"&amp;$CU434,LocTable,7,FALSE),VLOOKUP($AT434&amp;"|"&amp;$CU434,LocTable,6,FALSE))-$CR434-0.75&gt;=2.125)," cut down"," adj."),""),"ANSI/SDI A250.6")))</f>
        <v/>
      </c>
      <c r="BU434" s="88">
        <f>IF($CS434,"",IF($CT434,IF(N($AW434)&gt;0,N($AW434),""),IF(1&gt;$CQ434,"",IF($CQ434=1,$CW434,$CW434+($CX434-$CW434)*0/($CQ434-1)))))</f>
        <v/>
      </c>
      <c r="BV434" s="88">
        <f>IF($CS434,"",IF($CT434,IF(N($AX434)&gt;0,N($AX434),""),IF(2&gt;$CQ434,"",IF($CQ434=1,$CW434,$CW434+($CX434-$CW434)*1/($CQ434-1)))))</f>
        <v/>
      </c>
      <c r="BW434" s="88">
        <f>IF($CS434,"",IF($CT434,IF(N($AY434)&gt;0,N($AY434),""),IF(3&gt;$CQ434,"",IF($CQ434=1,$CW434,$CW434+($CX434-$CW434)*2/($CQ434-1)))))</f>
        <v/>
      </c>
      <c r="BX434" s="88">
        <f>IF($CS434,"",IF($CT434,IF(N($AZ434)&gt;0,N($AZ434),""),IF(4&gt;$CQ434,"",IF($CQ434=1,$CW434,$CW434+($CX434-$CW434)*3/($CQ434-1)))))</f>
        <v/>
      </c>
      <c r="BY434" s="88">
        <f>IF($CS434,"",IF($CT434,"",IF(5&gt;$CQ434,"",IF($CQ434=1,$CW434,$CW434+($CX434-$CW434)*4/($CQ434-1)))))</f>
        <v/>
      </c>
      <c r="BZ434" s="88">
        <f>IF(OR($CS434,$AP434="-",AND($AP434="",$AD434="")),"",IF(N($BA434)&gt;0,N($BA434),IF($CV434,IF(AND($BI434&lt;$CU434,$BI434-IF(N(VLOOKUP($AT434&amp;"|"&amp;$CU434,LocTable,7,FALSE))&gt;0,VLOOKUP($AT434&amp;"|"&amp;$CU434,LocTable,7,FALSE),VLOOKUP($AT434&amp;"|"&amp;$CU434,LocTable,6,FALSE))-$CR434-0.75&gt;=2.125),VLOOKUP($AT434&amp;"|"&amp;$CU434,LocTable,8,FALSE),VLOOKUP($AT434&amp;"|"&amp;$CU434,LocTable,8,FALSE)+($BI434-$CU434)),$BI434-LockAFF)))</f>
        <v/>
      </c>
      <c r="CA434" s="89">
        <f>IF($BZ434="","",$BI434-$BZ434)</f>
        <v/>
      </c>
      <c r="CB434" s="84">
        <f>IF(OR(NOT(AND($A434&lt;&gt;"",$C434&lt;&gt;"DOOR ONLY")),$BI434=""),"",IF(($BI434+IF(N($P434)&gt;0,$P434+FaceW,0))&lt;=90,3,IF(($BI434+IF(N($P434)&gt;0,$P434+FaceW,0))&lt;=114,4,5)))</f>
        <v/>
      </c>
      <c r="CC434" s="84">
        <f>IF($CB434="","",$CB434*(2+IF(N($Q434)&gt;0,IF($R434="LR",2,1),0)))</f>
        <v/>
      </c>
      <c r="CD434" s="84">
        <f>IF($CB434="","",(2+IF(N($Q434)&gt;0,IF($R434="LR",2,1),0)))</f>
        <v/>
      </c>
      <c r="CE434" s="84">
        <f>IF(N($BJ434)=0,"",IF(OR($AL434="",$AL434="FLUSH"),"FLUSH",IFERROR(LEFT($AL434,FIND("-",$AL434)-1),LEFT($AL434,2))))</f>
        <v/>
      </c>
      <c r="CF434" s="84">
        <f>IF($CE434="","",IFERROR(VALUE(MID($AL434,FIND("-",$AL434)+1,FIND(CHAR(34)&amp;"x",$AL434)-FIND("-",$AL434)-1)),0))</f>
        <v/>
      </c>
      <c r="CG434" s="84">
        <f>IF($CE434="","",IFERROR(VALUE(MID($AL434,FIND(CHAR(34)&amp;"x",$AL434)+2,FIND(CHAR(34),$AL434,FIND(CHAR(34)&amp;"x",$AL434)+2)-FIND(CHAR(34)&amp;"x",$AL434)-2)),0))</f>
        <v/>
      </c>
      <c r="CH434" s="90">
        <f>IF(OR($A434="",$H434="",$H434="NO LAB"),0,IFERROR(VALUE(LEFT($H434,FIND(" ",$H434)-1)),0))</f>
        <v/>
      </c>
      <c r="CI434" s="91">
        <f>IF(OR($A434="",$I434="",$I434="NON-RATED",N($J434)=0),"",IFERROR(VLOOKUP($I434&amp;"|"&amp;$J434,IBC,2,FALSE),"?"))</f>
        <v/>
      </c>
      <c r="CJ434" s="85">
        <f>IF(NOT(AND($A434&lt;&gt;"",$C434&lt;&gt;"DOOR ONLY")),"",TRIM(IFERROR(VLOOKUP($U434,CODES,2,FALSE),"")&amp;" "&amp;$BG434&amp;" "&amp;IFERROR(VLOOKUP($Z434,CODES,2,FALSE),"")&amp;" "&amp;IFERROR(VLOOKUP($X434,CODES,2,FALSE),"")&amp;" "&amp;IFERROR(VLOOKUP($S434,CODES,2,FALSE),"")&amp;IF(N($P434)&gt;0," w/TRANSOM "&amp;$P434&amp;CHAR(34),"")&amp;IF(N($Q434)&gt;0," w/SIDELITE "&amp;$Q434&amp;CHAR(34)&amp;" "&amp;IF($R434="","R",$R434),"")&amp;IF($Y434="","  |  "," | "&amp;IFERROR(VLOOKUP($Y434,CODES,2,FALSE),"")&amp;" | ")&amp;IFERROR(VLOOKUP($AC434,CODES,2,FALSE),"")&amp;" "&amp;IFERROR(VLOOKUP($AD434,CODES,2,FALSE),"")&amp;IF(OR($AE434="",$AE434="-"),""," "&amp;$AE434)&amp;IF(OR($AF434="",$AF434="-"),""," "&amp;$AF434)&amp;IF($AB434="Y"," 4"&amp;CHAR(34)&amp;" HEAD","")&amp;" "&amp;IFERROR(VLOOKUP($H434,CODES,2,FALSE),"")&amp;IF($CT434," | LOC "&amp;$CY434,"")))</f>
        <v/>
      </c>
      <c r="CK434" s="85">
        <f>IF(NOT(AND($A434&lt;&gt;"",N($BJ434)&gt;0)),"",TRIM(IFERROR(VLOOKUP($AH434,CODES,2,FALSE),"")&amp;IF($AI434=""," "," "&amp;$AI434&amp;"GA ")&amp;$BG434&amp;" "&amp;IF($AN434="",IFERROR(VLOOKUP($Z434,CODES,2,FALSE),""),IFERROR(VLOOKUP($AN434,CODES,2,FALSE),""))&amp;IF($BJ434=2," PAIR","")&amp;" DOOR | "&amp;IF($AL434="","?",$AL434)&amp;" | "&amp;IF($AO434="",IFERROR(VLOOKUP($AC434,CODES,2,FALSE),""),IFERROR(VLOOKUP($AO434,CODES,2,FALSE),""))&amp;" "&amp;IFERROR(VLOOKUP($AP434,CODES,2,FALSE),"")&amp;IF(OR($AQ434="",$AQ434="-"),""," SEAM "&amp;$AQ434)&amp;IF($AR434="Y"," ASTRAGAL","")&amp;IF($AJ434=""," "," "&amp;$AJ434)&amp;IF($AK434=""," "," "&amp;$AK434)&amp;IF(OR($AT434="",$AT434="ANSI/SDI",$AT434="CUSTOM LOC"),""," "&amp;$AT434)&amp;IF($AM434=""," "," SERIES "&amp;$AM434)&amp;" "&amp;IFERROR(VLOOKUP($H434,CODES,2,FALSE),"")&amp;IF($CT434," | LOC "&amp;$CZ434,"")))</f>
        <v/>
      </c>
      <c r="CL434" s="84">
        <f>IF(CP434="","",IF(COUNTIF($CP$6:CP434,CP434)=1,MAX($CL$5:CL433)+1,INDEX($CL$5:CL433,MATCH(CP434,$CP$5:CP433,0))))</f>
        <v/>
      </c>
      <c r="CM434" s="84">
        <f>IF(NOT(AND($A434&lt;&gt;"",$C434&lt;&gt;"DOOR ONLY")),"",MAX($CM$5:CM433)+1)</f>
        <v/>
      </c>
      <c r="CN434" s="84">
        <f>IF(NOT(AND($A434&lt;&gt;"",N($BJ434)&gt;0)),"",MAX($CN$5:CN433)+1)</f>
        <v/>
      </c>
      <c r="CO434" s="84">
        <f>IF($A434="","",MAX($CO$5:CO433)+1)</f>
        <v/>
      </c>
      <c r="CP434" s="84">
        <f>IF(OR($A434="",$BH434="",$BI434=""),"",$BG434&amp;"|"&amp;$O434&amp;"|"&amp;$AL434&amp;"|"&amp;$S434&amp;"|"&amp;$P434&amp;"|"&amp;$Q434&amp;$R434&amp;"|"&amp;$C434&amp;"|"&amp;$AB434)</f>
        <v/>
      </c>
      <c r="CQ434" s="84">
        <f>N($BS434)</f>
        <v/>
      </c>
      <c r="CR434" s="84">
        <f>IF(N($AU434)&gt;0,N($AU434),4.5)</f>
        <v/>
      </c>
      <c r="CS434" s="84">
        <f>OR($A434="",$BI434="",$S434="BL",AND($C434="FRAME ONLY",OR($AC434="",$AC434="BLK")))</f>
        <v/>
      </c>
      <c r="CT434" s="84">
        <f>AND(NOT($CS434),OR($AT434="CUSTOM LOC",N($AW434)+N($AX434)+N($AY434)+N($AZ434)+N($BA434)&gt;0))</f>
        <v/>
      </c>
      <c r="CU434" s="84">
        <f>IF($BI434="","",IF($BI434&lt;=80,80,IF($BI434&lt;=84,84,96)))</f>
        <v/>
      </c>
      <c r="CV434" s="84">
        <f>ISNUMBER(MATCH($AT434&amp;"|80",LocKeys,0))</f>
        <v/>
      </c>
      <c r="CW434" s="86">
        <f>IF($CS434,"",IF($CV434,VLOOKUP($AT434&amp;"|"&amp;$CU434,LocTable,4,FALSE),5))</f>
        <v/>
      </c>
      <c r="CX434" s="86">
        <f>IF($CS434,"",IF($CV434,IF(OR($BI434=$CU434,AND($BI434&lt;$CU434,$BI434-IF(N(VLOOKUP($AT434&amp;"|"&amp;$CU434,LocTable,7,FALSE))&gt;0,VLOOKUP($AT434&amp;"|"&amp;$CU434,LocTable,7,FALSE),VLOOKUP($AT434&amp;"|"&amp;$CU434,LocTable,6,FALSE))-$CR434-0.75&gt;=2.125)),IF(N(VLOOKUP($AT434&amp;"|"&amp;$CU434,LocTable,7,FALSE))&gt;0,VLOOKUP($AT434&amp;"|"&amp;$CU434,LocTable,7,FALSE),VLOOKUP($AT434&amp;"|"&amp;$CU434,LocTable,6,FALSE)),$BI434-($CU434-IF(N(VLOOKUP($AT434&amp;"|"&amp;$CU434,LocTable,7,FALSE))&gt;0,VLOOKUP($AT434&amp;"|"&amp;$CU434,LocTable,7,FALSE),VLOOKUP($AT434&amp;"|"&amp;$CU434,LocTable,6,FALSE)))),$BI434-10-$CR434))</f>
        <v/>
      </c>
      <c r="CY434" s="85">
        <f>IF($CS434,"",TRIM(IF(ISNUMBER($BU434),"A "&amp;TRIM(TEXT($BU434,"# ?/??"))&amp;CHAR(34)&amp;"  ","")&amp;IF(ISNUMBER($BV434),"B "&amp;TRIM(TEXT($BV434,"# ?/??"))&amp;CHAR(34)&amp;"  ","")&amp;IF(ISNUMBER($BW434),"C "&amp;TRIM(TEXT($BW434,"# ?/??"))&amp;CHAR(34)&amp;"  ","")&amp;IF(ISNUMBER($BX434),"D "&amp;TRIM(TEXT($BX434,"# ?/??"))&amp;CHAR(34)&amp;"  ","")&amp;IF(ISNUMBER($BY434),"F "&amp;TRIM(TEXT($BY434,"# ?/??"))&amp;CHAR(34)&amp;"  ","")&amp;IF(ISNUMBER($BZ434),"E "&amp;TRIM(TEXT($BZ434,"# ?/??"))&amp;CHAR(34)&amp;"  ","")))</f>
        <v/>
      </c>
      <c r="CZ434" s="85">
        <f>IF(OR($CS434,N($BJ434)=0),"",TRIM(IF(ISNUMBER($BU434),"A "&amp;TRIM(TEXT($BU434-HeadClr,"# ?/??"))&amp;CHAR(34)&amp;"  ","")&amp;IF(ISNUMBER($BV434),"B "&amp;TRIM(TEXT($BV434-HeadClr,"# ?/??"))&amp;CHAR(34)&amp;"  ","")&amp;IF(ISNUMBER($BW434),"C "&amp;TRIM(TEXT($BW434-HeadClr,"# ?/??"))&amp;CHAR(34)&amp;"  ","")&amp;IF(ISNUMBER($BX434),"D "&amp;TRIM(TEXT($BX434-HeadClr,"# ?/??"))&amp;CHAR(34)&amp;"  ","")&amp;IF(ISNUMBER($BY434),"F "&amp;TRIM(TEXT($BY434-HeadClr,"# ?/??"))&amp;CHAR(34)&amp;"  ","")&amp;IF(ISNUMBER($BZ434),"E "&amp;TRIM(TEXT($BZ434-HeadClr,"# ?/??"))&amp;CHAR(34)&amp;"  ","")))</f>
        <v/>
      </c>
      <c r="DA434" s="84">
        <f>IF($A434="","",IF($AN434="",IFERROR(VLOOKUP($Z434,CODES,2,FALSE),""),IFERROR(VLOOKUP($AN434,CODES,2,FALSE),"")))</f>
        <v/>
      </c>
      <c r="DB434" s="84">
        <f>IF($A434="","",IF($O434="Y","PR",IF(OR($Z434="L",$Z434="RR",LEFT($Z434,2)="L-",LEFT($Z434,3)="RR-"),"LH","RH")))</f>
        <v/>
      </c>
      <c r="DC434" s="84">
        <f>IF($A434="","","S.HM"&amp;IF(OR($C434="DOOR ONLY",$X434&lt;&gt;"KD"),"MASONRY","DRYWALL")&amp;IF($C434="DOOR ONLY","",$U434)&amp;IF(AND($C434&lt;&gt;"FRAME ONLY",OR(LEFT($AH434,3)="OAK",LEFT($AH434,3)="BIR",LEFT($AH434,3)="MAP",$AH434="PC",$AH434="MC",$AH434="SCLC",$AH434="P-LAM")),"WD","HM")&amp;"1.75")</f>
        <v/>
      </c>
      <c r="DD434" s="84">
        <f>IF($CJ434="","",IF($O434="Y",$CJ434,SUBSTITUTE($CJ434,$BG434&amp;" "&amp;IFERROR(VLOOKUP($Z434,CODES,2,FALSE),"")&amp;" ",$BG434&amp;" ")))</f>
        <v/>
      </c>
      <c r="DE434" s="84">
        <f>IF($CK434="","",IF($O434="Y",$CK434,SUBSTITUTE($CK434,$BG434&amp;" "&amp;IF($AN434="",IFERROR(VLOOKUP($Z434,CODES,2,FALSE),""),IFERROR(VLOOKUP($AN434,CODES,2,FALSE),""))&amp;" ",$BG434&amp;" ")))</f>
        <v/>
      </c>
      <c r="DF434" s="84">
        <f>IF($CJ434="","",$DC434&amp;"|"&amp;$DD434&amp;"|"&amp;$DB434&amp;"|"&amp;$AT434&amp;"|"&amp;$V434&amp;"|"&amp;$Y434&amp;"|"&amp;$AB434)</f>
        <v/>
      </c>
      <c r="DG434" s="84">
        <f>IF(DF434="","",IF(COUNTIF($DF$6:DF434,DF434)=1,MAX($DG$5:DG433)+1,INDEX($DG$5:DG433,MATCH(DF434,$DF$5:DF433,0))))</f>
        <v/>
      </c>
      <c r="DH434" s="84">
        <f>IF($CK434="","",$DC434&amp;"|"&amp;$DE434&amp;"|"&amp;$AI434&amp;"|"&amp;$BK434&amp;"|"&amp;$BL434)</f>
        <v/>
      </c>
      <c r="DI434" s="84">
        <f>IF(DH434="","",IF(COUNTIF($DH$6:DH434,DH434)=1,MAX($DI$5:DI433)+1,INDEX($DI$5:DI433,MATCH(DH434,$DH$5:DH433,0))))</f>
        <v/>
      </c>
      <c r="DJ434" s="84">
        <f>IF($A434="","",IF($B434="","qty, ","")&amp;IF($C434="","scope, ","")&amp;IF(OR($K434="",$M434=""),"size, ","")&amp;IF(AND($A434&lt;&gt;"",$C434&lt;&gt;"DOOR ONLY"),IF($U434="","jamb depth, ","")&amp;IF($X434="","construction, ","")&amp;IF($Y434="","anchor, ","")&amp;IF($S434="","frame type, ",""),"")&amp;IF(AND(N($BJ434)&gt;0,$Z434=""),"hand, ","")&amp;IF(N($BJ434)&gt;0,IF($AH434="","door material, ","")&amp;IF($AL434="","face type, ","")&amp;IF($AP434="","lock prep, ","")&amp;IF(AND($AO434="",$AC434=""),"hinge prep, ",""),"")&amp;IF(AND($CH434&gt;0,$AH434="FRP"),"FRP cannot carry a label, ","")&amp;IF(AND($O434="Y",OR($Z434="L",$Z434="R",$Z434="LR",$Z434="RR")),"pair marked but hand is single, ","")&amp;IF(AND($O434&lt;&gt;"Y",OR($Z434="PR",AND(LEN($Z434)&gt;1,ISNUMBER(SEARCH("-",$Z434))))),"pair hand on a single door, ","")&amp;IF(AND(ISNUMBER($CI434),$CH434&lt;N($CI434)),"wall needs a "&amp;$CI434&amp;" min door, ","")&amp;IF(AND($CH434&gt;=180,AND(OR($CE434="FG",$CE434="HG",$CE434="FNV",$CE434="FV"),N($CF434)*N($CG434)&gt;100)),"180 min lite over 100 sq in, ","")&amp;IF(N($BK434)&gt;48,"leaf wider than 4'-0"&amp;CHAR(34)&amp;", ","")&amp;IF(AND($CT434,COUNT($AW434:$AZ434)=0,$CQ434&gt;0),"CUSTOM LOC with no locations typed, ",""))</f>
        <v/>
      </c>
      <c r="DK434" s="84">
        <f>IF($A434="","",IF(AND($CH434&gt;0,AND($A434&lt;&gt;"",$C434&lt;&gt;"DOOR ONLY"),$X434="KD",$E434="EXTERIOR"),"KD label on an exterior opening, ","")&amp;IF(AND($E434="EXTERIOR",OR(AND(AND($A434&lt;&gt;"",$C434&lt;&gt;"DOOR ONLY"),$W434="CR"),AND(N($BJ434)&gt;0,$AH434="CR"))),"exterior in CR steel (G9?), ","")&amp;IF(AND(ISNUMBER($BQ434),N($BQ434)&lt;32),"clear width ~"&amp;TEXT($BQ434,"0.0")&amp;CHAR(34)&amp;" under 32"&amp;CHAR(34)&amp;" (ADA), ","")&amp;IF(AND($CH434=90,AND(OR($CE434="FG",$CE434="HG",$CE434="FNV",$CE434="FV"),N($CF434)*N($CG434)&gt;100)),"90 min lite over 100 sq in (stair/exit), ","")&amp;IF(AND($CH434&gt;0,AND($A434&lt;&gt;"",$C434&lt;&gt;"DOOR ONLY"),OR($AF434="",$AF434="-")),"rated: closer reinf.?, ","")&amp;IF(OR($I434="CORRIDOR",$I434="SMOKE BARRIER"),"S label + smoke gasketing, ","")&amp;IF($CI434="?","wall type/hr not in IBC table, ","")&amp;IF(AND(N($BJ434)&gt;0,$BB434=""),"no hardware set, ","")&amp;IF(AND($BB434&lt;&gt;"",ISNA(MATCH($BB434&amp;"",HWSets,0))),"set "&amp;$BB434&amp;" not on HW Sets, ","")&amp;IF(N($BL434)&gt;96,"leaf over 8'-0"&amp;CHAR(34)&amp;" - check listing, ","")&amp;IF(AND($CT434,COUNT($AW434:$AZ434)&gt;0,COUNT($AW434:$AZ434)&lt;&gt;$CQ434),COUNT($AW434:$AZ434)&amp;" custom hinges typed, "&amp;$CQ434&amp;" expected, ","")&amp;IF(AND(ISNUMBER($CA434),OR(N($CA434)&lt;34,N($CA434)&gt;48)),"lock "&amp;TEXT($CA434,"0.0")&amp;CHAR(34)&amp;" AFF outside 34-48"&amp;CHAR(34)&amp;" (ADA), ","")&amp;IF(AND(ISNUMBER($AV434),ISNUMBER($BL434),N($AV434)&lt;IF(N($BL434)&lt;=60,2,IF(N($BL434)&lt;=90,3,IF(N($BL434)&lt;=120,4,5)))),"fewer hinges than standard, ",""))</f>
        <v/>
      </c>
    </row>
    <row r="435" ht="15" customHeight="1">
      <c r="A435" s="92" t="n"/>
      <c r="B435" s="93" t="n"/>
      <c r="C435" s="93" t="n"/>
      <c r="D435" s="93" t="n"/>
      <c r="E435" s="93" t="n"/>
      <c r="F435" s="93" t="n"/>
      <c r="G435" s="93" t="n"/>
      <c r="H435" s="93" t="n"/>
      <c r="I435" s="93" t="n"/>
      <c r="J435" s="93" t="n"/>
      <c r="K435" s="93" t="n"/>
      <c r="L435" s="93" t="n"/>
      <c r="M435" s="93" t="n"/>
      <c r="N435" s="93" t="n"/>
      <c r="O435" s="93" t="n"/>
      <c r="P435" s="93" t="n"/>
      <c r="Q435" s="93" t="n"/>
      <c r="R435" s="93" t="n"/>
      <c r="S435" s="94" t="n"/>
      <c r="T435" s="94" t="n"/>
      <c r="U435" s="94" t="n"/>
      <c r="V435" s="94" t="n"/>
      <c r="W435" s="94" t="n"/>
      <c r="X435" s="94" t="n"/>
      <c r="Y435" s="94" t="n"/>
      <c r="Z435" s="94" t="n"/>
      <c r="AA435" s="94" t="n"/>
      <c r="AB435" s="94" t="n"/>
      <c r="AC435" s="94" t="n"/>
      <c r="AD435" s="94" t="n"/>
      <c r="AE435" s="94" t="n"/>
      <c r="AF435" s="94" t="n"/>
      <c r="AG435" s="94" t="n"/>
      <c r="AH435" s="95" t="n"/>
      <c r="AI435" s="95" t="n"/>
      <c r="AJ435" s="95" t="n"/>
      <c r="AK435" s="95" t="n"/>
      <c r="AL435" s="95" t="n"/>
      <c r="AM435" s="95" t="n"/>
      <c r="AN435" s="95" t="n"/>
      <c r="AO435" s="95" t="n"/>
      <c r="AP435" s="95" t="n"/>
      <c r="AQ435" s="95" t="n"/>
      <c r="AR435" s="95" t="n"/>
      <c r="AS435" s="95" t="n"/>
      <c r="AT435" s="96" t="n"/>
      <c r="AU435" s="96" t="n"/>
      <c r="AV435" s="96" t="n"/>
      <c r="AW435" s="97" t="n"/>
      <c r="AX435" s="97" t="n"/>
      <c r="AY435" s="97" t="n"/>
      <c r="AZ435" s="97" t="n"/>
      <c r="BA435" s="97" t="n"/>
      <c r="BB435" s="98" t="n"/>
      <c r="BC435" s="98" t="n"/>
      <c r="BD435" s="99">
        <f>IF($A435="","",IF($DJ435&lt;&gt;"","FIX",IF($DK435&lt;&gt;"","CHECK","OK")))</f>
        <v/>
      </c>
      <c r="BE435" s="100">
        <f>IF($A435="","",IF($DJ435&lt;&gt;"","FIX: "&amp;LEFT($DJ435,LEN($DJ435)-2)&amp;IF($DK435&lt;&gt;"","  ·  ",""),"")&amp;IF($DK435&lt;&gt;"","CHECK: "&amp;LEFT($DK435,LEN($DK435)-2),""))</f>
        <v/>
      </c>
      <c r="BF435" s="99">
        <f>IF(OR($A435="",$K435=""),"",$K435&amp;"'-"&amp;N($L435)&amp;CHAR(34)&amp;" x "&amp;$M435&amp;"'-"&amp;N($N435)&amp;CHAR(34))</f>
        <v/>
      </c>
      <c r="BG435" s="99">
        <f>IF(OR($A435="",$K435=""),"",$K435&amp;N($L435)&amp;$M435&amp;N($N435))</f>
        <v/>
      </c>
      <c r="BH435" s="99">
        <f>IF(OR($A435="",$K435=""),"",$K435*12+N($L435))</f>
        <v/>
      </c>
      <c r="BI435" s="99">
        <f>IF(OR($A435="",$M435=""),"",$M435*12+N($N435))</f>
        <v/>
      </c>
      <c r="BJ435" s="99">
        <f>IF($A435="","",IF(OR($C435="FRAME ONLY",$S435="BL"),0,IF($O435="Y",2,1)))</f>
        <v/>
      </c>
      <c r="BK435" s="101">
        <f>IF(OR(N($BJ435)=0,$BH435=""),"",($BH435-2*EdgeClr-IF($BJ435=2,MeetClr,0))/$BJ435)</f>
        <v/>
      </c>
      <c r="BL435" s="101">
        <f>IF(OR(N($BJ435)=0,$BI435=""),"",$BI435-HeadClr-Undercut)</f>
        <v/>
      </c>
      <c r="BM435" s="101">
        <f>IF($BH435="","",$BH435+2*FaceW+IF(N($Q435)&gt;0,($Q435+FaceW)*IF($R435="LR",2,1),0))</f>
        <v/>
      </c>
      <c r="BN435" s="101">
        <f>IF($BI435="","",$BI435+IF($AB435="Y",4,FaceW)+IF(N($P435)&gt;0,$P435+FaceW,0)+IF(OR($S435="4F",$S435="BL"),FaceW,0))</f>
        <v/>
      </c>
      <c r="BO435" s="101">
        <f>IF($BM435="","",$BM435+2*ROSide)</f>
        <v/>
      </c>
      <c r="BP435" s="101">
        <f>IF($BN435="","",$BN435+ROTop)</f>
        <v/>
      </c>
      <c r="BQ435" s="102">
        <f>IF(OR(N($BJ435)=0,$BH435=""),"",$BH435/$BJ435-ClearDeduct)</f>
        <v/>
      </c>
      <c r="BR435" s="99">
        <f>IF(N($CH435)=0,"",IF($CH435&gt;=180,"A · 3 HR",IF($CH435&gt;=90,"B · 1-1/2 HR",IF($CH435&gt;=60,"B · 1 HR",IF($CH435&gt;=45,"C · 3/4 HR","20 MIN")))))&amp;IF(AND(N($CH435)&gt;0,OR($I435="CORRIDOR",$I435="SMOKE BARRIER"))," · S","")</f>
        <v/>
      </c>
      <c r="BS435" s="99">
        <f>IF($CS435,"",IF($AV435&lt;&gt;"",$AV435,IF(OR($AC435="HGC",$AO435="HGC"),"CONT",IF(($BI435-HeadClr-Undercut)&lt;=60,2,IF(($BI435-HeadClr-Undercut)&lt;=90,3,IF(($BI435-HeadClr-Undercut)&lt;=120,4,5))))))</f>
        <v/>
      </c>
      <c r="BT435" s="99">
        <f>IF($CS435,"",IF($CT435,"CUSTOM (typed)",IF($CV435,$AT435&amp;" "&amp;$CU435&amp;CHAR(34)&amp;IF($CU435&lt;&gt;$BI435,IF(AND($BI435&lt;$CU435,$BI435-IF(N(VLOOKUP($AT435&amp;"|"&amp;$CU435,LocTable,7,FALSE))&gt;0,VLOOKUP($AT435&amp;"|"&amp;$CU435,LocTable,7,FALSE),VLOOKUP($AT435&amp;"|"&amp;$CU435,LocTable,6,FALSE))-$CR435-0.75&gt;=2.125)," cut down"," adj."),""),"ANSI/SDI A250.6")))</f>
        <v/>
      </c>
      <c r="BU435" s="103">
        <f>IF($CS435,"",IF($CT435,IF(N($AW435)&gt;0,N($AW435),""),IF(1&gt;$CQ435,"",IF($CQ435=1,$CW435,$CW435+($CX435-$CW435)*0/($CQ435-1)))))</f>
        <v/>
      </c>
      <c r="BV435" s="103">
        <f>IF($CS435,"",IF($CT435,IF(N($AX435)&gt;0,N($AX435),""),IF(2&gt;$CQ435,"",IF($CQ435=1,$CW435,$CW435+($CX435-$CW435)*1/($CQ435-1)))))</f>
        <v/>
      </c>
      <c r="BW435" s="103">
        <f>IF($CS435,"",IF($CT435,IF(N($AY435)&gt;0,N($AY435),""),IF(3&gt;$CQ435,"",IF($CQ435=1,$CW435,$CW435+($CX435-$CW435)*2/($CQ435-1)))))</f>
        <v/>
      </c>
      <c r="BX435" s="103">
        <f>IF($CS435,"",IF($CT435,IF(N($AZ435)&gt;0,N($AZ435),""),IF(4&gt;$CQ435,"",IF($CQ435=1,$CW435,$CW435+($CX435-$CW435)*3/($CQ435-1)))))</f>
        <v/>
      </c>
      <c r="BY435" s="103">
        <f>IF($CS435,"",IF($CT435,"",IF(5&gt;$CQ435,"",IF($CQ435=1,$CW435,$CW435+($CX435-$CW435)*4/($CQ435-1)))))</f>
        <v/>
      </c>
      <c r="BZ435" s="103">
        <f>IF(OR($CS435,$AP435="-",AND($AP435="",$AD435="")),"",IF(N($BA435)&gt;0,N($BA435),IF($CV435,IF(AND($BI435&lt;$CU435,$BI435-IF(N(VLOOKUP($AT435&amp;"|"&amp;$CU435,LocTable,7,FALSE))&gt;0,VLOOKUP($AT435&amp;"|"&amp;$CU435,LocTable,7,FALSE),VLOOKUP($AT435&amp;"|"&amp;$CU435,LocTable,6,FALSE))-$CR435-0.75&gt;=2.125),VLOOKUP($AT435&amp;"|"&amp;$CU435,LocTable,8,FALSE),VLOOKUP($AT435&amp;"|"&amp;$CU435,LocTable,8,FALSE)+($BI435-$CU435)),$BI435-LockAFF)))</f>
        <v/>
      </c>
      <c r="CA435" s="104">
        <f>IF($BZ435="","",$BI435-$BZ435)</f>
        <v/>
      </c>
      <c r="CB435" s="99">
        <f>IF(OR(NOT(AND($A435&lt;&gt;"",$C435&lt;&gt;"DOOR ONLY")),$BI435=""),"",IF(($BI435+IF(N($P435)&gt;0,$P435+FaceW,0))&lt;=90,3,IF(($BI435+IF(N($P435)&gt;0,$P435+FaceW,0))&lt;=114,4,5)))</f>
        <v/>
      </c>
      <c r="CC435" s="99">
        <f>IF($CB435="","",$CB435*(2+IF(N($Q435)&gt;0,IF($R435="LR",2,1),0)))</f>
        <v/>
      </c>
      <c r="CD435" s="99">
        <f>IF($CB435="","",(2+IF(N($Q435)&gt;0,IF($R435="LR",2,1),0)))</f>
        <v/>
      </c>
      <c r="CE435" s="99">
        <f>IF(N($BJ435)=0,"",IF(OR($AL435="",$AL435="FLUSH"),"FLUSH",IFERROR(LEFT($AL435,FIND("-",$AL435)-1),LEFT($AL435,2))))</f>
        <v/>
      </c>
      <c r="CF435" s="99">
        <f>IF($CE435="","",IFERROR(VALUE(MID($AL435,FIND("-",$AL435)+1,FIND(CHAR(34)&amp;"x",$AL435)-FIND("-",$AL435)-1)),0))</f>
        <v/>
      </c>
      <c r="CG435" s="99">
        <f>IF($CE435="","",IFERROR(VALUE(MID($AL435,FIND(CHAR(34)&amp;"x",$AL435)+2,FIND(CHAR(34),$AL435,FIND(CHAR(34)&amp;"x",$AL435)+2)-FIND(CHAR(34)&amp;"x",$AL435)-2)),0))</f>
        <v/>
      </c>
      <c r="CH435" s="105">
        <f>IF(OR($A435="",$H435="",$H435="NO LAB"),0,IFERROR(VALUE(LEFT($H435,FIND(" ",$H435)-1)),0))</f>
        <v/>
      </c>
      <c r="CI435" s="106">
        <f>IF(OR($A435="",$I435="",$I435="NON-RATED",N($J435)=0),"",IFERROR(VLOOKUP($I435&amp;"|"&amp;$J435,IBC,2,FALSE),"?"))</f>
        <v/>
      </c>
      <c r="CJ435" s="100">
        <f>IF(NOT(AND($A435&lt;&gt;"",$C435&lt;&gt;"DOOR ONLY")),"",TRIM(IFERROR(VLOOKUP($U435,CODES,2,FALSE),"")&amp;" "&amp;$BG435&amp;" "&amp;IFERROR(VLOOKUP($Z435,CODES,2,FALSE),"")&amp;" "&amp;IFERROR(VLOOKUP($X435,CODES,2,FALSE),"")&amp;" "&amp;IFERROR(VLOOKUP($S435,CODES,2,FALSE),"")&amp;IF(N($P435)&gt;0," w/TRANSOM "&amp;$P435&amp;CHAR(34),"")&amp;IF(N($Q435)&gt;0," w/SIDELITE "&amp;$Q435&amp;CHAR(34)&amp;" "&amp;IF($R435="","R",$R435),"")&amp;IF($Y435="","  |  "," | "&amp;IFERROR(VLOOKUP($Y435,CODES,2,FALSE),"")&amp;" | ")&amp;IFERROR(VLOOKUP($AC435,CODES,2,FALSE),"")&amp;" "&amp;IFERROR(VLOOKUP($AD435,CODES,2,FALSE),"")&amp;IF(OR($AE435="",$AE435="-"),""," "&amp;$AE435)&amp;IF(OR($AF435="",$AF435="-"),""," "&amp;$AF435)&amp;IF($AB435="Y"," 4"&amp;CHAR(34)&amp;" HEAD","")&amp;" "&amp;IFERROR(VLOOKUP($H435,CODES,2,FALSE),"")&amp;IF($CT435," | LOC "&amp;$CY435,"")))</f>
        <v/>
      </c>
      <c r="CK435" s="100">
        <f>IF(NOT(AND($A435&lt;&gt;"",N($BJ435)&gt;0)),"",TRIM(IFERROR(VLOOKUP($AH435,CODES,2,FALSE),"")&amp;IF($AI435=""," "," "&amp;$AI435&amp;"GA ")&amp;$BG435&amp;" "&amp;IF($AN435="",IFERROR(VLOOKUP($Z435,CODES,2,FALSE),""),IFERROR(VLOOKUP($AN435,CODES,2,FALSE),""))&amp;IF($BJ435=2," PAIR","")&amp;" DOOR | "&amp;IF($AL435="","?",$AL435)&amp;" | "&amp;IF($AO435="",IFERROR(VLOOKUP($AC435,CODES,2,FALSE),""),IFERROR(VLOOKUP($AO435,CODES,2,FALSE),""))&amp;" "&amp;IFERROR(VLOOKUP($AP435,CODES,2,FALSE),"")&amp;IF(OR($AQ435="",$AQ435="-"),""," SEAM "&amp;$AQ435)&amp;IF($AR435="Y"," ASTRAGAL","")&amp;IF($AJ435=""," "," "&amp;$AJ435)&amp;IF($AK435=""," "," "&amp;$AK435)&amp;IF(OR($AT435="",$AT435="ANSI/SDI",$AT435="CUSTOM LOC"),""," "&amp;$AT435)&amp;IF($AM435=""," "," SERIES "&amp;$AM435)&amp;" "&amp;IFERROR(VLOOKUP($H435,CODES,2,FALSE),"")&amp;IF($CT435," | LOC "&amp;$CZ435,"")))</f>
        <v/>
      </c>
      <c r="CL435" s="99">
        <f>IF(CP435="","",IF(COUNTIF($CP$6:CP435,CP435)=1,MAX($CL$5:CL434)+1,INDEX($CL$5:CL434,MATCH(CP435,$CP$5:CP434,0))))</f>
        <v/>
      </c>
      <c r="CM435" s="99">
        <f>IF(NOT(AND($A435&lt;&gt;"",$C435&lt;&gt;"DOOR ONLY")),"",MAX($CM$5:CM434)+1)</f>
        <v/>
      </c>
      <c r="CN435" s="99">
        <f>IF(NOT(AND($A435&lt;&gt;"",N($BJ435)&gt;0)),"",MAX($CN$5:CN434)+1)</f>
        <v/>
      </c>
      <c r="CO435" s="99">
        <f>IF($A435="","",MAX($CO$5:CO434)+1)</f>
        <v/>
      </c>
      <c r="CP435" s="99">
        <f>IF(OR($A435="",$BH435="",$BI435=""),"",$BG435&amp;"|"&amp;$O435&amp;"|"&amp;$AL435&amp;"|"&amp;$S435&amp;"|"&amp;$P435&amp;"|"&amp;$Q435&amp;$R435&amp;"|"&amp;$C435&amp;"|"&amp;$AB435)</f>
        <v/>
      </c>
      <c r="CQ435" s="99">
        <f>N($BS435)</f>
        <v/>
      </c>
      <c r="CR435" s="99">
        <f>IF(N($AU435)&gt;0,N($AU435),4.5)</f>
        <v/>
      </c>
      <c r="CS435" s="99">
        <f>OR($A435="",$BI435="",$S435="BL",AND($C435="FRAME ONLY",OR($AC435="",$AC435="BLK")))</f>
        <v/>
      </c>
      <c r="CT435" s="99">
        <f>AND(NOT($CS435),OR($AT435="CUSTOM LOC",N($AW435)+N($AX435)+N($AY435)+N($AZ435)+N($BA435)&gt;0))</f>
        <v/>
      </c>
      <c r="CU435" s="99">
        <f>IF($BI435="","",IF($BI435&lt;=80,80,IF($BI435&lt;=84,84,96)))</f>
        <v/>
      </c>
      <c r="CV435" s="99">
        <f>ISNUMBER(MATCH($AT435&amp;"|80",LocKeys,0))</f>
        <v/>
      </c>
      <c r="CW435" s="101">
        <f>IF($CS435,"",IF($CV435,VLOOKUP($AT435&amp;"|"&amp;$CU435,LocTable,4,FALSE),5))</f>
        <v/>
      </c>
      <c r="CX435" s="101">
        <f>IF($CS435,"",IF($CV435,IF(OR($BI435=$CU435,AND($BI435&lt;$CU435,$BI435-IF(N(VLOOKUP($AT435&amp;"|"&amp;$CU435,LocTable,7,FALSE))&gt;0,VLOOKUP($AT435&amp;"|"&amp;$CU435,LocTable,7,FALSE),VLOOKUP($AT435&amp;"|"&amp;$CU435,LocTable,6,FALSE))-$CR435-0.75&gt;=2.125)),IF(N(VLOOKUP($AT435&amp;"|"&amp;$CU435,LocTable,7,FALSE))&gt;0,VLOOKUP($AT435&amp;"|"&amp;$CU435,LocTable,7,FALSE),VLOOKUP($AT435&amp;"|"&amp;$CU435,LocTable,6,FALSE)),$BI435-($CU435-IF(N(VLOOKUP($AT435&amp;"|"&amp;$CU435,LocTable,7,FALSE))&gt;0,VLOOKUP($AT435&amp;"|"&amp;$CU435,LocTable,7,FALSE),VLOOKUP($AT435&amp;"|"&amp;$CU435,LocTable,6,FALSE)))),$BI435-10-$CR435))</f>
        <v/>
      </c>
      <c r="CY435" s="100">
        <f>IF($CS435,"",TRIM(IF(ISNUMBER($BU435),"A "&amp;TRIM(TEXT($BU435,"# ?/??"))&amp;CHAR(34)&amp;"  ","")&amp;IF(ISNUMBER($BV435),"B "&amp;TRIM(TEXT($BV435,"# ?/??"))&amp;CHAR(34)&amp;"  ","")&amp;IF(ISNUMBER($BW435),"C "&amp;TRIM(TEXT($BW435,"# ?/??"))&amp;CHAR(34)&amp;"  ","")&amp;IF(ISNUMBER($BX435),"D "&amp;TRIM(TEXT($BX435,"# ?/??"))&amp;CHAR(34)&amp;"  ","")&amp;IF(ISNUMBER($BY435),"F "&amp;TRIM(TEXT($BY435,"# ?/??"))&amp;CHAR(34)&amp;"  ","")&amp;IF(ISNUMBER($BZ435),"E "&amp;TRIM(TEXT($BZ435,"# ?/??"))&amp;CHAR(34)&amp;"  ","")))</f>
        <v/>
      </c>
      <c r="CZ435" s="100">
        <f>IF(OR($CS435,N($BJ435)=0),"",TRIM(IF(ISNUMBER($BU435),"A "&amp;TRIM(TEXT($BU435-HeadClr,"# ?/??"))&amp;CHAR(34)&amp;"  ","")&amp;IF(ISNUMBER($BV435),"B "&amp;TRIM(TEXT($BV435-HeadClr,"# ?/??"))&amp;CHAR(34)&amp;"  ","")&amp;IF(ISNUMBER($BW435),"C "&amp;TRIM(TEXT($BW435-HeadClr,"# ?/??"))&amp;CHAR(34)&amp;"  ","")&amp;IF(ISNUMBER($BX435),"D "&amp;TRIM(TEXT($BX435-HeadClr,"# ?/??"))&amp;CHAR(34)&amp;"  ","")&amp;IF(ISNUMBER($BY435),"F "&amp;TRIM(TEXT($BY435-HeadClr,"# ?/??"))&amp;CHAR(34)&amp;"  ","")&amp;IF(ISNUMBER($BZ435),"E "&amp;TRIM(TEXT($BZ435-HeadClr,"# ?/??"))&amp;CHAR(34)&amp;"  ","")))</f>
        <v/>
      </c>
      <c r="DA435" s="99">
        <f>IF($A435="","",IF($AN435="",IFERROR(VLOOKUP($Z435,CODES,2,FALSE),""),IFERROR(VLOOKUP($AN435,CODES,2,FALSE),"")))</f>
        <v/>
      </c>
      <c r="DB435" s="99">
        <f>IF($A435="","",IF($O435="Y","PR",IF(OR($Z435="L",$Z435="RR",LEFT($Z435,2)="L-",LEFT($Z435,3)="RR-"),"LH","RH")))</f>
        <v/>
      </c>
      <c r="DC435" s="99">
        <f>IF($A435="","","S.HM"&amp;IF(OR($C435="DOOR ONLY",$X435&lt;&gt;"KD"),"MASONRY","DRYWALL")&amp;IF($C435="DOOR ONLY","",$U435)&amp;IF(AND($C435&lt;&gt;"FRAME ONLY",OR(LEFT($AH435,3)="OAK",LEFT($AH435,3)="BIR",LEFT($AH435,3)="MAP",$AH435="PC",$AH435="MC",$AH435="SCLC",$AH435="P-LAM")),"WD","HM")&amp;"1.75")</f>
        <v/>
      </c>
      <c r="DD435" s="99">
        <f>IF($CJ435="","",IF($O435="Y",$CJ435,SUBSTITUTE($CJ435,$BG435&amp;" "&amp;IFERROR(VLOOKUP($Z435,CODES,2,FALSE),"")&amp;" ",$BG435&amp;" ")))</f>
        <v/>
      </c>
      <c r="DE435" s="99">
        <f>IF($CK435="","",IF($O435="Y",$CK435,SUBSTITUTE($CK435,$BG435&amp;" "&amp;IF($AN435="",IFERROR(VLOOKUP($Z435,CODES,2,FALSE),""),IFERROR(VLOOKUP($AN435,CODES,2,FALSE),""))&amp;" ",$BG435&amp;" ")))</f>
        <v/>
      </c>
      <c r="DF435" s="99">
        <f>IF($CJ435="","",$DC435&amp;"|"&amp;$DD435&amp;"|"&amp;$DB435&amp;"|"&amp;$AT435&amp;"|"&amp;$V435&amp;"|"&amp;$Y435&amp;"|"&amp;$AB435)</f>
        <v/>
      </c>
      <c r="DG435" s="99">
        <f>IF(DF435="","",IF(COUNTIF($DF$6:DF435,DF435)=1,MAX($DG$5:DG434)+1,INDEX($DG$5:DG434,MATCH(DF435,$DF$5:DF434,0))))</f>
        <v/>
      </c>
      <c r="DH435" s="99">
        <f>IF($CK435="","",$DC435&amp;"|"&amp;$DE435&amp;"|"&amp;$AI435&amp;"|"&amp;$BK435&amp;"|"&amp;$BL435)</f>
        <v/>
      </c>
      <c r="DI435" s="99">
        <f>IF(DH435="","",IF(COUNTIF($DH$6:DH435,DH435)=1,MAX($DI$5:DI434)+1,INDEX($DI$5:DI434,MATCH(DH435,$DH$5:DH434,0))))</f>
        <v/>
      </c>
      <c r="DJ435" s="99">
        <f>IF($A435="","",IF($B435="","qty, ","")&amp;IF($C435="","scope, ","")&amp;IF(OR($K435="",$M435=""),"size, ","")&amp;IF(AND($A435&lt;&gt;"",$C435&lt;&gt;"DOOR ONLY"),IF($U435="","jamb depth, ","")&amp;IF($X435="","construction, ","")&amp;IF($Y435="","anchor, ","")&amp;IF($S435="","frame type, ",""),"")&amp;IF(AND(N($BJ435)&gt;0,$Z435=""),"hand, ","")&amp;IF(N($BJ435)&gt;0,IF($AH435="","door material, ","")&amp;IF($AL435="","face type, ","")&amp;IF($AP435="","lock prep, ","")&amp;IF(AND($AO435="",$AC435=""),"hinge prep, ",""),"")&amp;IF(AND($CH435&gt;0,$AH435="FRP"),"FRP cannot carry a label, ","")&amp;IF(AND($O435="Y",OR($Z435="L",$Z435="R",$Z435="LR",$Z435="RR")),"pair marked but hand is single, ","")&amp;IF(AND($O435&lt;&gt;"Y",OR($Z435="PR",AND(LEN($Z435)&gt;1,ISNUMBER(SEARCH("-",$Z435))))),"pair hand on a single door, ","")&amp;IF(AND(ISNUMBER($CI435),$CH435&lt;N($CI435)),"wall needs a "&amp;$CI435&amp;" min door, ","")&amp;IF(AND($CH435&gt;=180,AND(OR($CE435="FG",$CE435="HG",$CE435="FNV",$CE435="FV"),N($CF435)*N($CG435)&gt;100)),"180 min lite over 100 sq in, ","")&amp;IF(N($BK435)&gt;48,"leaf wider than 4'-0"&amp;CHAR(34)&amp;", ","")&amp;IF(AND($CT435,COUNT($AW435:$AZ435)=0,$CQ435&gt;0),"CUSTOM LOC with no locations typed, ",""))</f>
        <v/>
      </c>
      <c r="DK435" s="99">
        <f>IF($A435="","",IF(AND($CH435&gt;0,AND($A435&lt;&gt;"",$C435&lt;&gt;"DOOR ONLY"),$X435="KD",$E435="EXTERIOR"),"KD label on an exterior opening, ","")&amp;IF(AND($E435="EXTERIOR",OR(AND(AND($A435&lt;&gt;"",$C435&lt;&gt;"DOOR ONLY"),$W435="CR"),AND(N($BJ435)&gt;0,$AH435="CR"))),"exterior in CR steel (G9?), ","")&amp;IF(AND(ISNUMBER($BQ435),N($BQ435)&lt;32),"clear width ~"&amp;TEXT($BQ435,"0.0")&amp;CHAR(34)&amp;" under 32"&amp;CHAR(34)&amp;" (ADA), ","")&amp;IF(AND($CH435=90,AND(OR($CE435="FG",$CE435="HG",$CE435="FNV",$CE435="FV"),N($CF435)*N($CG435)&gt;100)),"90 min lite over 100 sq in (stair/exit), ","")&amp;IF(AND($CH435&gt;0,AND($A435&lt;&gt;"",$C435&lt;&gt;"DOOR ONLY"),OR($AF435="",$AF435="-")),"rated: closer reinf.?, ","")&amp;IF(OR($I435="CORRIDOR",$I435="SMOKE BARRIER"),"S label + smoke gasketing, ","")&amp;IF($CI435="?","wall type/hr not in IBC table, ","")&amp;IF(AND(N($BJ435)&gt;0,$BB435=""),"no hardware set, ","")&amp;IF(AND($BB435&lt;&gt;"",ISNA(MATCH($BB435&amp;"",HWSets,0))),"set "&amp;$BB435&amp;" not on HW Sets, ","")&amp;IF(N($BL435)&gt;96,"leaf over 8'-0"&amp;CHAR(34)&amp;" - check listing, ","")&amp;IF(AND($CT435,COUNT($AW435:$AZ435)&gt;0,COUNT($AW435:$AZ435)&lt;&gt;$CQ435),COUNT($AW435:$AZ435)&amp;" custom hinges typed, "&amp;$CQ435&amp;" expected, ","")&amp;IF(AND(ISNUMBER($CA435),OR(N($CA435)&lt;34,N($CA435)&gt;48)),"lock "&amp;TEXT($CA435,"0.0")&amp;CHAR(34)&amp;" AFF outside 34-48"&amp;CHAR(34)&amp;" (ADA), ","")&amp;IF(AND(ISNUMBER($AV435),ISNUMBER($BL435),N($AV435)&lt;IF(N($BL435)&lt;=60,2,IF(N($BL435)&lt;=90,3,IF(N($BL435)&lt;=120,4,5)))),"fewer hinges than standard, ",""))</f>
        <v/>
      </c>
    </row>
    <row r="436" ht="15" customHeight="1">
      <c r="A436" s="77" t="n"/>
      <c r="B436" s="78" t="n"/>
      <c r="C436" s="78" t="n"/>
      <c r="D436" s="78" t="n"/>
      <c r="E436" s="78" t="n"/>
      <c r="F436" s="78" t="n"/>
      <c r="G436" s="78" t="n"/>
      <c r="H436" s="78" t="n"/>
      <c r="I436" s="78" t="n"/>
      <c r="J436" s="78" t="n"/>
      <c r="K436" s="78" t="n"/>
      <c r="L436" s="78" t="n"/>
      <c r="M436" s="78" t="n"/>
      <c r="N436" s="78" t="n"/>
      <c r="O436" s="78" t="n"/>
      <c r="P436" s="78" t="n"/>
      <c r="Q436" s="78" t="n"/>
      <c r="R436" s="78" t="n"/>
      <c r="S436" s="79" t="n"/>
      <c r="T436" s="79" t="n"/>
      <c r="U436" s="79" t="n"/>
      <c r="V436" s="79" t="n"/>
      <c r="W436" s="79" t="n"/>
      <c r="X436" s="79" t="n"/>
      <c r="Y436" s="79" t="n"/>
      <c r="Z436" s="79" t="n"/>
      <c r="AA436" s="79" t="n"/>
      <c r="AB436" s="79" t="n"/>
      <c r="AC436" s="79" t="n"/>
      <c r="AD436" s="79" t="n"/>
      <c r="AE436" s="79" t="n"/>
      <c r="AF436" s="79" t="n"/>
      <c r="AG436" s="79" t="n"/>
      <c r="AH436" s="80" t="n"/>
      <c r="AI436" s="80" t="n"/>
      <c r="AJ436" s="80" t="n"/>
      <c r="AK436" s="80" t="n"/>
      <c r="AL436" s="80" t="n"/>
      <c r="AM436" s="80" t="n"/>
      <c r="AN436" s="80" t="n"/>
      <c r="AO436" s="80" t="n"/>
      <c r="AP436" s="80" t="n"/>
      <c r="AQ436" s="80" t="n"/>
      <c r="AR436" s="80" t="n"/>
      <c r="AS436" s="80" t="n"/>
      <c r="AT436" s="81" t="n"/>
      <c r="AU436" s="81" t="n"/>
      <c r="AV436" s="81" t="n"/>
      <c r="AW436" s="82" t="n"/>
      <c r="AX436" s="82" t="n"/>
      <c r="AY436" s="82" t="n"/>
      <c r="AZ436" s="82" t="n"/>
      <c r="BA436" s="82" t="n"/>
      <c r="BB436" s="83" t="n"/>
      <c r="BC436" s="83" t="n"/>
      <c r="BD436" s="84">
        <f>IF($A436="","",IF($DJ436&lt;&gt;"","FIX",IF($DK436&lt;&gt;"","CHECK","OK")))</f>
        <v/>
      </c>
      <c r="BE436" s="85">
        <f>IF($A436="","",IF($DJ436&lt;&gt;"","FIX: "&amp;LEFT($DJ436,LEN($DJ436)-2)&amp;IF($DK436&lt;&gt;"","  ·  ",""),"")&amp;IF($DK436&lt;&gt;"","CHECK: "&amp;LEFT($DK436,LEN($DK436)-2),""))</f>
        <v/>
      </c>
      <c r="BF436" s="84">
        <f>IF(OR($A436="",$K436=""),"",$K436&amp;"'-"&amp;N($L436)&amp;CHAR(34)&amp;" x "&amp;$M436&amp;"'-"&amp;N($N436)&amp;CHAR(34))</f>
        <v/>
      </c>
      <c r="BG436" s="84">
        <f>IF(OR($A436="",$K436=""),"",$K436&amp;N($L436)&amp;$M436&amp;N($N436))</f>
        <v/>
      </c>
      <c r="BH436" s="84">
        <f>IF(OR($A436="",$K436=""),"",$K436*12+N($L436))</f>
        <v/>
      </c>
      <c r="BI436" s="84">
        <f>IF(OR($A436="",$M436=""),"",$M436*12+N($N436))</f>
        <v/>
      </c>
      <c r="BJ436" s="84">
        <f>IF($A436="","",IF(OR($C436="FRAME ONLY",$S436="BL"),0,IF($O436="Y",2,1)))</f>
        <v/>
      </c>
      <c r="BK436" s="86">
        <f>IF(OR(N($BJ436)=0,$BH436=""),"",($BH436-2*EdgeClr-IF($BJ436=2,MeetClr,0))/$BJ436)</f>
        <v/>
      </c>
      <c r="BL436" s="86">
        <f>IF(OR(N($BJ436)=0,$BI436=""),"",$BI436-HeadClr-Undercut)</f>
        <v/>
      </c>
      <c r="BM436" s="86">
        <f>IF($BH436="","",$BH436+2*FaceW+IF(N($Q436)&gt;0,($Q436+FaceW)*IF($R436="LR",2,1),0))</f>
        <v/>
      </c>
      <c r="BN436" s="86">
        <f>IF($BI436="","",$BI436+IF($AB436="Y",4,FaceW)+IF(N($P436)&gt;0,$P436+FaceW,0)+IF(OR($S436="4F",$S436="BL"),FaceW,0))</f>
        <v/>
      </c>
      <c r="BO436" s="86">
        <f>IF($BM436="","",$BM436+2*ROSide)</f>
        <v/>
      </c>
      <c r="BP436" s="86">
        <f>IF($BN436="","",$BN436+ROTop)</f>
        <v/>
      </c>
      <c r="BQ436" s="87">
        <f>IF(OR(N($BJ436)=0,$BH436=""),"",$BH436/$BJ436-ClearDeduct)</f>
        <v/>
      </c>
      <c r="BR436" s="84">
        <f>IF(N($CH436)=0,"",IF($CH436&gt;=180,"A · 3 HR",IF($CH436&gt;=90,"B · 1-1/2 HR",IF($CH436&gt;=60,"B · 1 HR",IF($CH436&gt;=45,"C · 3/4 HR","20 MIN")))))&amp;IF(AND(N($CH436)&gt;0,OR($I436="CORRIDOR",$I436="SMOKE BARRIER"))," · S","")</f>
        <v/>
      </c>
      <c r="BS436" s="84">
        <f>IF($CS436,"",IF($AV436&lt;&gt;"",$AV436,IF(OR($AC436="HGC",$AO436="HGC"),"CONT",IF(($BI436-HeadClr-Undercut)&lt;=60,2,IF(($BI436-HeadClr-Undercut)&lt;=90,3,IF(($BI436-HeadClr-Undercut)&lt;=120,4,5))))))</f>
        <v/>
      </c>
      <c r="BT436" s="84">
        <f>IF($CS436,"",IF($CT436,"CUSTOM (typed)",IF($CV436,$AT436&amp;" "&amp;$CU436&amp;CHAR(34)&amp;IF($CU436&lt;&gt;$BI436,IF(AND($BI436&lt;$CU436,$BI436-IF(N(VLOOKUP($AT436&amp;"|"&amp;$CU436,LocTable,7,FALSE))&gt;0,VLOOKUP($AT436&amp;"|"&amp;$CU436,LocTable,7,FALSE),VLOOKUP($AT436&amp;"|"&amp;$CU436,LocTable,6,FALSE))-$CR436-0.75&gt;=2.125)," cut down"," adj."),""),"ANSI/SDI A250.6")))</f>
        <v/>
      </c>
      <c r="BU436" s="88">
        <f>IF($CS436,"",IF($CT436,IF(N($AW436)&gt;0,N($AW436),""),IF(1&gt;$CQ436,"",IF($CQ436=1,$CW436,$CW436+($CX436-$CW436)*0/($CQ436-1)))))</f>
        <v/>
      </c>
      <c r="BV436" s="88">
        <f>IF($CS436,"",IF($CT436,IF(N($AX436)&gt;0,N($AX436),""),IF(2&gt;$CQ436,"",IF($CQ436=1,$CW436,$CW436+($CX436-$CW436)*1/($CQ436-1)))))</f>
        <v/>
      </c>
      <c r="BW436" s="88">
        <f>IF($CS436,"",IF($CT436,IF(N($AY436)&gt;0,N($AY436),""),IF(3&gt;$CQ436,"",IF($CQ436=1,$CW436,$CW436+($CX436-$CW436)*2/($CQ436-1)))))</f>
        <v/>
      </c>
      <c r="BX436" s="88">
        <f>IF($CS436,"",IF($CT436,IF(N($AZ436)&gt;0,N($AZ436),""),IF(4&gt;$CQ436,"",IF($CQ436=1,$CW436,$CW436+($CX436-$CW436)*3/($CQ436-1)))))</f>
        <v/>
      </c>
      <c r="BY436" s="88">
        <f>IF($CS436,"",IF($CT436,"",IF(5&gt;$CQ436,"",IF($CQ436=1,$CW436,$CW436+($CX436-$CW436)*4/($CQ436-1)))))</f>
        <v/>
      </c>
      <c r="BZ436" s="88">
        <f>IF(OR($CS436,$AP436="-",AND($AP436="",$AD436="")),"",IF(N($BA436)&gt;0,N($BA436),IF($CV436,IF(AND($BI436&lt;$CU436,$BI436-IF(N(VLOOKUP($AT436&amp;"|"&amp;$CU436,LocTable,7,FALSE))&gt;0,VLOOKUP($AT436&amp;"|"&amp;$CU436,LocTable,7,FALSE),VLOOKUP($AT436&amp;"|"&amp;$CU436,LocTable,6,FALSE))-$CR436-0.75&gt;=2.125),VLOOKUP($AT436&amp;"|"&amp;$CU436,LocTable,8,FALSE),VLOOKUP($AT436&amp;"|"&amp;$CU436,LocTable,8,FALSE)+($BI436-$CU436)),$BI436-LockAFF)))</f>
        <v/>
      </c>
      <c r="CA436" s="89">
        <f>IF($BZ436="","",$BI436-$BZ436)</f>
        <v/>
      </c>
      <c r="CB436" s="84">
        <f>IF(OR(NOT(AND($A436&lt;&gt;"",$C436&lt;&gt;"DOOR ONLY")),$BI436=""),"",IF(($BI436+IF(N($P436)&gt;0,$P436+FaceW,0))&lt;=90,3,IF(($BI436+IF(N($P436)&gt;0,$P436+FaceW,0))&lt;=114,4,5)))</f>
        <v/>
      </c>
      <c r="CC436" s="84">
        <f>IF($CB436="","",$CB436*(2+IF(N($Q436)&gt;0,IF($R436="LR",2,1),0)))</f>
        <v/>
      </c>
      <c r="CD436" s="84">
        <f>IF($CB436="","",(2+IF(N($Q436)&gt;0,IF($R436="LR",2,1),0)))</f>
        <v/>
      </c>
      <c r="CE436" s="84">
        <f>IF(N($BJ436)=0,"",IF(OR($AL436="",$AL436="FLUSH"),"FLUSH",IFERROR(LEFT($AL436,FIND("-",$AL436)-1),LEFT($AL436,2))))</f>
        <v/>
      </c>
      <c r="CF436" s="84">
        <f>IF($CE436="","",IFERROR(VALUE(MID($AL436,FIND("-",$AL436)+1,FIND(CHAR(34)&amp;"x",$AL436)-FIND("-",$AL436)-1)),0))</f>
        <v/>
      </c>
      <c r="CG436" s="84">
        <f>IF($CE436="","",IFERROR(VALUE(MID($AL436,FIND(CHAR(34)&amp;"x",$AL436)+2,FIND(CHAR(34),$AL436,FIND(CHAR(34)&amp;"x",$AL436)+2)-FIND(CHAR(34)&amp;"x",$AL436)-2)),0))</f>
        <v/>
      </c>
      <c r="CH436" s="90">
        <f>IF(OR($A436="",$H436="",$H436="NO LAB"),0,IFERROR(VALUE(LEFT($H436,FIND(" ",$H436)-1)),0))</f>
        <v/>
      </c>
      <c r="CI436" s="91">
        <f>IF(OR($A436="",$I436="",$I436="NON-RATED",N($J436)=0),"",IFERROR(VLOOKUP($I436&amp;"|"&amp;$J436,IBC,2,FALSE),"?"))</f>
        <v/>
      </c>
      <c r="CJ436" s="85">
        <f>IF(NOT(AND($A436&lt;&gt;"",$C436&lt;&gt;"DOOR ONLY")),"",TRIM(IFERROR(VLOOKUP($U436,CODES,2,FALSE),"")&amp;" "&amp;$BG436&amp;" "&amp;IFERROR(VLOOKUP($Z436,CODES,2,FALSE),"")&amp;" "&amp;IFERROR(VLOOKUP($X436,CODES,2,FALSE),"")&amp;" "&amp;IFERROR(VLOOKUP($S436,CODES,2,FALSE),"")&amp;IF(N($P436)&gt;0," w/TRANSOM "&amp;$P436&amp;CHAR(34),"")&amp;IF(N($Q436)&gt;0," w/SIDELITE "&amp;$Q436&amp;CHAR(34)&amp;" "&amp;IF($R436="","R",$R436),"")&amp;IF($Y436="","  |  "," | "&amp;IFERROR(VLOOKUP($Y436,CODES,2,FALSE),"")&amp;" | ")&amp;IFERROR(VLOOKUP($AC436,CODES,2,FALSE),"")&amp;" "&amp;IFERROR(VLOOKUP($AD436,CODES,2,FALSE),"")&amp;IF(OR($AE436="",$AE436="-"),""," "&amp;$AE436)&amp;IF(OR($AF436="",$AF436="-"),""," "&amp;$AF436)&amp;IF($AB436="Y"," 4"&amp;CHAR(34)&amp;" HEAD","")&amp;" "&amp;IFERROR(VLOOKUP($H436,CODES,2,FALSE),"")&amp;IF($CT436," | LOC "&amp;$CY436,"")))</f>
        <v/>
      </c>
      <c r="CK436" s="85">
        <f>IF(NOT(AND($A436&lt;&gt;"",N($BJ436)&gt;0)),"",TRIM(IFERROR(VLOOKUP($AH436,CODES,2,FALSE),"")&amp;IF($AI436=""," "," "&amp;$AI436&amp;"GA ")&amp;$BG436&amp;" "&amp;IF($AN436="",IFERROR(VLOOKUP($Z436,CODES,2,FALSE),""),IFERROR(VLOOKUP($AN436,CODES,2,FALSE),""))&amp;IF($BJ436=2," PAIR","")&amp;" DOOR | "&amp;IF($AL436="","?",$AL436)&amp;" | "&amp;IF($AO436="",IFERROR(VLOOKUP($AC436,CODES,2,FALSE),""),IFERROR(VLOOKUP($AO436,CODES,2,FALSE),""))&amp;" "&amp;IFERROR(VLOOKUP($AP436,CODES,2,FALSE),"")&amp;IF(OR($AQ436="",$AQ436="-"),""," SEAM "&amp;$AQ436)&amp;IF($AR436="Y"," ASTRAGAL","")&amp;IF($AJ436=""," "," "&amp;$AJ436)&amp;IF($AK436=""," "," "&amp;$AK436)&amp;IF(OR($AT436="",$AT436="ANSI/SDI",$AT436="CUSTOM LOC"),""," "&amp;$AT436)&amp;IF($AM436=""," "," SERIES "&amp;$AM436)&amp;" "&amp;IFERROR(VLOOKUP($H436,CODES,2,FALSE),"")&amp;IF($CT436," | LOC "&amp;$CZ436,"")))</f>
        <v/>
      </c>
      <c r="CL436" s="84">
        <f>IF(CP436="","",IF(COUNTIF($CP$6:CP436,CP436)=1,MAX($CL$5:CL435)+1,INDEX($CL$5:CL435,MATCH(CP436,$CP$5:CP435,0))))</f>
        <v/>
      </c>
      <c r="CM436" s="84">
        <f>IF(NOT(AND($A436&lt;&gt;"",$C436&lt;&gt;"DOOR ONLY")),"",MAX($CM$5:CM435)+1)</f>
        <v/>
      </c>
      <c r="CN436" s="84">
        <f>IF(NOT(AND($A436&lt;&gt;"",N($BJ436)&gt;0)),"",MAX($CN$5:CN435)+1)</f>
        <v/>
      </c>
      <c r="CO436" s="84">
        <f>IF($A436="","",MAX($CO$5:CO435)+1)</f>
        <v/>
      </c>
      <c r="CP436" s="84">
        <f>IF(OR($A436="",$BH436="",$BI436=""),"",$BG436&amp;"|"&amp;$O436&amp;"|"&amp;$AL436&amp;"|"&amp;$S436&amp;"|"&amp;$P436&amp;"|"&amp;$Q436&amp;$R436&amp;"|"&amp;$C436&amp;"|"&amp;$AB436)</f>
        <v/>
      </c>
      <c r="CQ436" s="84">
        <f>N($BS436)</f>
        <v/>
      </c>
      <c r="CR436" s="84">
        <f>IF(N($AU436)&gt;0,N($AU436),4.5)</f>
        <v/>
      </c>
      <c r="CS436" s="84">
        <f>OR($A436="",$BI436="",$S436="BL",AND($C436="FRAME ONLY",OR($AC436="",$AC436="BLK")))</f>
        <v/>
      </c>
      <c r="CT436" s="84">
        <f>AND(NOT($CS436),OR($AT436="CUSTOM LOC",N($AW436)+N($AX436)+N($AY436)+N($AZ436)+N($BA436)&gt;0))</f>
        <v/>
      </c>
      <c r="CU436" s="84">
        <f>IF($BI436="","",IF($BI436&lt;=80,80,IF($BI436&lt;=84,84,96)))</f>
        <v/>
      </c>
      <c r="CV436" s="84">
        <f>ISNUMBER(MATCH($AT436&amp;"|80",LocKeys,0))</f>
        <v/>
      </c>
      <c r="CW436" s="86">
        <f>IF($CS436,"",IF($CV436,VLOOKUP($AT436&amp;"|"&amp;$CU436,LocTable,4,FALSE),5))</f>
        <v/>
      </c>
      <c r="CX436" s="86">
        <f>IF($CS436,"",IF($CV436,IF(OR($BI436=$CU436,AND($BI436&lt;$CU436,$BI436-IF(N(VLOOKUP($AT436&amp;"|"&amp;$CU436,LocTable,7,FALSE))&gt;0,VLOOKUP($AT436&amp;"|"&amp;$CU436,LocTable,7,FALSE),VLOOKUP($AT436&amp;"|"&amp;$CU436,LocTable,6,FALSE))-$CR436-0.75&gt;=2.125)),IF(N(VLOOKUP($AT436&amp;"|"&amp;$CU436,LocTable,7,FALSE))&gt;0,VLOOKUP($AT436&amp;"|"&amp;$CU436,LocTable,7,FALSE),VLOOKUP($AT436&amp;"|"&amp;$CU436,LocTable,6,FALSE)),$BI436-($CU436-IF(N(VLOOKUP($AT436&amp;"|"&amp;$CU436,LocTable,7,FALSE))&gt;0,VLOOKUP($AT436&amp;"|"&amp;$CU436,LocTable,7,FALSE),VLOOKUP($AT436&amp;"|"&amp;$CU436,LocTable,6,FALSE)))),$BI436-10-$CR436))</f>
        <v/>
      </c>
      <c r="CY436" s="85">
        <f>IF($CS436,"",TRIM(IF(ISNUMBER($BU436),"A "&amp;TRIM(TEXT($BU436,"# ?/??"))&amp;CHAR(34)&amp;"  ","")&amp;IF(ISNUMBER($BV436),"B "&amp;TRIM(TEXT($BV436,"# ?/??"))&amp;CHAR(34)&amp;"  ","")&amp;IF(ISNUMBER($BW436),"C "&amp;TRIM(TEXT($BW436,"# ?/??"))&amp;CHAR(34)&amp;"  ","")&amp;IF(ISNUMBER($BX436),"D "&amp;TRIM(TEXT($BX436,"# ?/??"))&amp;CHAR(34)&amp;"  ","")&amp;IF(ISNUMBER($BY436),"F "&amp;TRIM(TEXT($BY436,"# ?/??"))&amp;CHAR(34)&amp;"  ","")&amp;IF(ISNUMBER($BZ436),"E "&amp;TRIM(TEXT($BZ436,"# ?/??"))&amp;CHAR(34)&amp;"  ","")))</f>
        <v/>
      </c>
      <c r="CZ436" s="85">
        <f>IF(OR($CS436,N($BJ436)=0),"",TRIM(IF(ISNUMBER($BU436),"A "&amp;TRIM(TEXT($BU436-HeadClr,"# ?/??"))&amp;CHAR(34)&amp;"  ","")&amp;IF(ISNUMBER($BV436),"B "&amp;TRIM(TEXT($BV436-HeadClr,"# ?/??"))&amp;CHAR(34)&amp;"  ","")&amp;IF(ISNUMBER($BW436),"C "&amp;TRIM(TEXT($BW436-HeadClr,"# ?/??"))&amp;CHAR(34)&amp;"  ","")&amp;IF(ISNUMBER($BX436),"D "&amp;TRIM(TEXT($BX436-HeadClr,"# ?/??"))&amp;CHAR(34)&amp;"  ","")&amp;IF(ISNUMBER($BY436),"F "&amp;TRIM(TEXT($BY436-HeadClr,"# ?/??"))&amp;CHAR(34)&amp;"  ","")&amp;IF(ISNUMBER($BZ436),"E "&amp;TRIM(TEXT($BZ436-HeadClr,"# ?/??"))&amp;CHAR(34)&amp;"  ","")))</f>
        <v/>
      </c>
      <c r="DA436" s="84">
        <f>IF($A436="","",IF($AN436="",IFERROR(VLOOKUP($Z436,CODES,2,FALSE),""),IFERROR(VLOOKUP($AN436,CODES,2,FALSE),"")))</f>
        <v/>
      </c>
      <c r="DB436" s="84">
        <f>IF($A436="","",IF($O436="Y","PR",IF(OR($Z436="L",$Z436="RR",LEFT($Z436,2)="L-",LEFT($Z436,3)="RR-"),"LH","RH")))</f>
        <v/>
      </c>
      <c r="DC436" s="84">
        <f>IF($A436="","","S.HM"&amp;IF(OR($C436="DOOR ONLY",$X436&lt;&gt;"KD"),"MASONRY","DRYWALL")&amp;IF($C436="DOOR ONLY","",$U436)&amp;IF(AND($C436&lt;&gt;"FRAME ONLY",OR(LEFT($AH436,3)="OAK",LEFT($AH436,3)="BIR",LEFT($AH436,3)="MAP",$AH436="PC",$AH436="MC",$AH436="SCLC",$AH436="P-LAM")),"WD","HM")&amp;"1.75")</f>
        <v/>
      </c>
      <c r="DD436" s="84">
        <f>IF($CJ436="","",IF($O436="Y",$CJ436,SUBSTITUTE($CJ436,$BG436&amp;" "&amp;IFERROR(VLOOKUP($Z436,CODES,2,FALSE),"")&amp;" ",$BG436&amp;" ")))</f>
        <v/>
      </c>
      <c r="DE436" s="84">
        <f>IF($CK436="","",IF($O436="Y",$CK436,SUBSTITUTE($CK436,$BG436&amp;" "&amp;IF($AN436="",IFERROR(VLOOKUP($Z436,CODES,2,FALSE),""),IFERROR(VLOOKUP($AN436,CODES,2,FALSE),""))&amp;" ",$BG436&amp;" ")))</f>
        <v/>
      </c>
      <c r="DF436" s="84">
        <f>IF($CJ436="","",$DC436&amp;"|"&amp;$DD436&amp;"|"&amp;$DB436&amp;"|"&amp;$AT436&amp;"|"&amp;$V436&amp;"|"&amp;$Y436&amp;"|"&amp;$AB436)</f>
        <v/>
      </c>
      <c r="DG436" s="84">
        <f>IF(DF436="","",IF(COUNTIF($DF$6:DF436,DF436)=1,MAX($DG$5:DG435)+1,INDEX($DG$5:DG435,MATCH(DF436,$DF$5:DF435,0))))</f>
        <v/>
      </c>
      <c r="DH436" s="84">
        <f>IF($CK436="","",$DC436&amp;"|"&amp;$DE436&amp;"|"&amp;$AI436&amp;"|"&amp;$BK436&amp;"|"&amp;$BL436)</f>
        <v/>
      </c>
      <c r="DI436" s="84">
        <f>IF(DH436="","",IF(COUNTIF($DH$6:DH436,DH436)=1,MAX($DI$5:DI435)+1,INDEX($DI$5:DI435,MATCH(DH436,$DH$5:DH435,0))))</f>
        <v/>
      </c>
      <c r="DJ436" s="84">
        <f>IF($A436="","",IF($B436="","qty, ","")&amp;IF($C436="","scope, ","")&amp;IF(OR($K436="",$M436=""),"size, ","")&amp;IF(AND($A436&lt;&gt;"",$C436&lt;&gt;"DOOR ONLY"),IF($U436="","jamb depth, ","")&amp;IF($X436="","construction, ","")&amp;IF($Y436="","anchor, ","")&amp;IF($S436="","frame type, ",""),"")&amp;IF(AND(N($BJ436)&gt;0,$Z436=""),"hand, ","")&amp;IF(N($BJ436)&gt;0,IF($AH436="","door material, ","")&amp;IF($AL436="","face type, ","")&amp;IF($AP436="","lock prep, ","")&amp;IF(AND($AO436="",$AC436=""),"hinge prep, ",""),"")&amp;IF(AND($CH436&gt;0,$AH436="FRP"),"FRP cannot carry a label, ","")&amp;IF(AND($O436="Y",OR($Z436="L",$Z436="R",$Z436="LR",$Z436="RR")),"pair marked but hand is single, ","")&amp;IF(AND($O436&lt;&gt;"Y",OR($Z436="PR",AND(LEN($Z436)&gt;1,ISNUMBER(SEARCH("-",$Z436))))),"pair hand on a single door, ","")&amp;IF(AND(ISNUMBER($CI436),$CH436&lt;N($CI436)),"wall needs a "&amp;$CI436&amp;" min door, ","")&amp;IF(AND($CH436&gt;=180,AND(OR($CE436="FG",$CE436="HG",$CE436="FNV",$CE436="FV"),N($CF436)*N($CG436)&gt;100)),"180 min lite over 100 sq in, ","")&amp;IF(N($BK436)&gt;48,"leaf wider than 4'-0"&amp;CHAR(34)&amp;", ","")&amp;IF(AND($CT436,COUNT($AW436:$AZ436)=0,$CQ436&gt;0),"CUSTOM LOC with no locations typed, ",""))</f>
        <v/>
      </c>
      <c r="DK436" s="84">
        <f>IF($A436="","",IF(AND($CH436&gt;0,AND($A436&lt;&gt;"",$C436&lt;&gt;"DOOR ONLY"),$X436="KD",$E436="EXTERIOR"),"KD label on an exterior opening, ","")&amp;IF(AND($E436="EXTERIOR",OR(AND(AND($A436&lt;&gt;"",$C436&lt;&gt;"DOOR ONLY"),$W436="CR"),AND(N($BJ436)&gt;0,$AH436="CR"))),"exterior in CR steel (G9?), ","")&amp;IF(AND(ISNUMBER($BQ436),N($BQ436)&lt;32),"clear width ~"&amp;TEXT($BQ436,"0.0")&amp;CHAR(34)&amp;" under 32"&amp;CHAR(34)&amp;" (ADA), ","")&amp;IF(AND($CH436=90,AND(OR($CE436="FG",$CE436="HG",$CE436="FNV",$CE436="FV"),N($CF436)*N($CG436)&gt;100)),"90 min lite over 100 sq in (stair/exit), ","")&amp;IF(AND($CH436&gt;0,AND($A436&lt;&gt;"",$C436&lt;&gt;"DOOR ONLY"),OR($AF436="",$AF436="-")),"rated: closer reinf.?, ","")&amp;IF(OR($I436="CORRIDOR",$I436="SMOKE BARRIER"),"S label + smoke gasketing, ","")&amp;IF($CI436="?","wall type/hr not in IBC table, ","")&amp;IF(AND(N($BJ436)&gt;0,$BB436=""),"no hardware set, ","")&amp;IF(AND($BB436&lt;&gt;"",ISNA(MATCH($BB436&amp;"",HWSets,0))),"set "&amp;$BB436&amp;" not on HW Sets, ","")&amp;IF(N($BL436)&gt;96,"leaf over 8'-0"&amp;CHAR(34)&amp;" - check listing, ","")&amp;IF(AND($CT436,COUNT($AW436:$AZ436)&gt;0,COUNT($AW436:$AZ436)&lt;&gt;$CQ436),COUNT($AW436:$AZ436)&amp;" custom hinges typed, "&amp;$CQ436&amp;" expected, ","")&amp;IF(AND(ISNUMBER($CA436),OR(N($CA436)&lt;34,N($CA436)&gt;48)),"lock "&amp;TEXT($CA436,"0.0")&amp;CHAR(34)&amp;" AFF outside 34-48"&amp;CHAR(34)&amp;" (ADA), ","")&amp;IF(AND(ISNUMBER($AV436),ISNUMBER($BL436),N($AV436)&lt;IF(N($BL436)&lt;=60,2,IF(N($BL436)&lt;=90,3,IF(N($BL436)&lt;=120,4,5)))),"fewer hinges than standard, ",""))</f>
        <v/>
      </c>
    </row>
    <row r="437" ht="15" customHeight="1">
      <c r="A437" s="77" t="n"/>
      <c r="B437" s="78" t="n"/>
      <c r="C437" s="78" t="n"/>
      <c r="D437" s="78" t="n"/>
      <c r="E437" s="78" t="n"/>
      <c r="F437" s="78" t="n"/>
      <c r="G437" s="78" t="n"/>
      <c r="H437" s="78" t="n"/>
      <c r="I437" s="78" t="n"/>
      <c r="J437" s="78" t="n"/>
      <c r="K437" s="78" t="n"/>
      <c r="L437" s="78" t="n"/>
      <c r="M437" s="78" t="n"/>
      <c r="N437" s="78" t="n"/>
      <c r="O437" s="78" t="n"/>
      <c r="P437" s="78" t="n"/>
      <c r="Q437" s="78" t="n"/>
      <c r="R437" s="78" t="n"/>
      <c r="S437" s="79" t="n"/>
      <c r="T437" s="79" t="n"/>
      <c r="U437" s="79" t="n"/>
      <c r="V437" s="79" t="n"/>
      <c r="W437" s="79" t="n"/>
      <c r="X437" s="79" t="n"/>
      <c r="Y437" s="79" t="n"/>
      <c r="Z437" s="79" t="n"/>
      <c r="AA437" s="79" t="n"/>
      <c r="AB437" s="79" t="n"/>
      <c r="AC437" s="79" t="n"/>
      <c r="AD437" s="79" t="n"/>
      <c r="AE437" s="79" t="n"/>
      <c r="AF437" s="79" t="n"/>
      <c r="AG437" s="79" t="n"/>
      <c r="AH437" s="80" t="n"/>
      <c r="AI437" s="80" t="n"/>
      <c r="AJ437" s="80" t="n"/>
      <c r="AK437" s="80" t="n"/>
      <c r="AL437" s="80" t="n"/>
      <c r="AM437" s="80" t="n"/>
      <c r="AN437" s="80" t="n"/>
      <c r="AO437" s="80" t="n"/>
      <c r="AP437" s="80" t="n"/>
      <c r="AQ437" s="80" t="n"/>
      <c r="AR437" s="80" t="n"/>
      <c r="AS437" s="80" t="n"/>
      <c r="AT437" s="81" t="n"/>
      <c r="AU437" s="81" t="n"/>
      <c r="AV437" s="81" t="n"/>
      <c r="AW437" s="82" t="n"/>
      <c r="AX437" s="82" t="n"/>
      <c r="AY437" s="82" t="n"/>
      <c r="AZ437" s="82" t="n"/>
      <c r="BA437" s="82" t="n"/>
      <c r="BB437" s="83" t="n"/>
      <c r="BC437" s="83" t="n"/>
      <c r="BD437" s="84">
        <f>IF($A437="","",IF($DJ437&lt;&gt;"","FIX",IF($DK437&lt;&gt;"","CHECK","OK")))</f>
        <v/>
      </c>
      <c r="BE437" s="85">
        <f>IF($A437="","",IF($DJ437&lt;&gt;"","FIX: "&amp;LEFT($DJ437,LEN($DJ437)-2)&amp;IF($DK437&lt;&gt;"","  ·  ",""),"")&amp;IF($DK437&lt;&gt;"","CHECK: "&amp;LEFT($DK437,LEN($DK437)-2),""))</f>
        <v/>
      </c>
      <c r="BF437" s="84">
        <f>IF(OR($A437="",$K437=""),"",$K437&amp;"'-"&amp;N($L437)&amp;CHAR(34)&amp;" x "&amp;$M437&amp;"'-"&amp;N($N437)&amp;CHAR(34))</f>
        <v/>
      </c>
      <c r="BG437" s="84">
        <f>IF(OR($A437="",$K437=""),"",$K437&amp;N($L437)&amp;$M437&amp;N($N437))</f>
        <v/>
      </c>
      <c r="BH437" s="84">
        <f>IF(OR($A437="",$K437=""),"",$K437*12+N($L437))</f>
        <v/>
      </c>
      <c r="BI437" s="84">
        <f>IF(OR($A437="",$M437=""),"",$M437*12+N($N437))</f>
        <v/>
      </c>
      <c r="BJ437" s="84">
        <f>IF($A437="","",IF(OR($C437="FRAME ONLY",$S437="BL"),0,IF($O437="Y",2,1)))</f>
        <v/>
      </c>
      <c r="BK437" s="86">
        <f>IF(OR(N($BJ437)=0,$BH437=""),"",($BH437-2*EdgeClr-IF($BJ437=2,MeetClr,0))/$BJ437)</f>
        <v/>
      </c>
      <c r="BL437" s="86">
        <f>IF(OR(N($BJ437)=0,$BI437=""),"",$BI437-HeadClr-Undercut)</f>
        <v/>
      </c>
      <c r="BM437" s="86">
        <f>IF($BH437="","",$BH437+2*FaceW+IF(N($Q437)&gt;0,($Q437+FaceW)*IF($R437="LR",2,1),0))</f>
        <v/>
      </c>
      <c r="BN437" s="86">
        <f>IF($BI437="","",$BI437+IF($AB437="Y",4,FaceW)+IF(N($P437)&gt;0,$P437+FaceW,0)+IF(OR($S437="4F",$S437="BL"),FaceW,0))</f>
        <v/>
      </c>
      <c r="BO437" s="86">
        <f>IF($BM437="","",$BM437+2*ROSide)</f>
        <v/>
      </c>
      <c r="BP437" s="86">
        <f>IF($BN437="","",$BN437+ROTop)</f>
        <v/>
      </c>
      <c r="BQ437" s="87">
        <f>IF(OR(N($BJ437)=0,$BH437=""),"",$BH437/$BJ437-ClearDeduct)</f>
        <v/>
      </c>
      <c r="BR437" s="84">
        <f>IF(N($CH437)=0,"",IF($CH437&gt;=180,"A · 3 HR",IF($CH437&gt;=90,"B · 1-1/2 HR",IF($CH437&gt;=60,"B · 1 HR",IF($CH437&gt;=45,"C · 3/4 HR","20 MIN")))))&amp;IF(AND(N($CH437)&gt;0,OR($I437="CORRIDOR",$I437="SMOKE BARRIER"))," · S","")</f>
        <v/>
      </c>
      <c r="BS437" s="84">
        <f>IF($CS437,"",IF($AV437&lt;&gt;"",$AV437,IF(OR($AC437="HGC",$AO437="HGC"),"CONT",IF(($BI437-HeadClr-Undercut)&lt;=60,2,IF(($BI437-HeadClr-Undercut)&lt;=90,3,IF(($BI437-HeadClr-Undercut)&lt;=120,4,5))))))</f>
        <v/>
      </c>
      <c r="BT437" s="84">
        <f>IF($CS437,"",IF($CT437,"CUSTOM (typed)",IF($CV437,$AT437&amp;" "&amp;$CU437&amp;CHAR(34)&amp;IF($CU437&lt;&gt;$BI437,IF(AND($BI437&lt;$CU437,$BI437-IF(N(VLOOKUP($AT437&amp;"|"&amp;$CU437,LocTable,7,FALSE))&gt;0,VLOOKUP($AT437&amp;"|"&amp;$CU437,LocTable,7,FALSE),VLOOKUP($AT437&amp;"|"&amp;$CU437,LocTable,6,FALSE))-$CR437-0.75&gt;=2.125)," cut down"," adj."),""),"ANSI/SDI A250.6")))</f>
        <v/>
      </c>
      <c r="BU437" s="88">
        <f>IF($CS437,"",IF($CT437,IF(N($AW437)&gt;0,N($AW437),""),IF(1&gt;$CQ437,"",IF($CQ437=1,$CW437,$CW437+($CX437-$CW437)*0/($CQ437-1)))))</f>
        <v/>
      </c>
      <c r="BV437" s="88">
        <f>IF($CS437,"",IF($CT437,IF(N($AX437)&gt;0,N($AX437),""),IF(2&gt;$CQ437,"",IF($CQ437=1,$CW437,$CW437+($CX437-$CW437)*1/($CQ437-1)))))</f>
        <v/>
      </c>
      <c r="BW437" s="88">
        <f>IF($CS437,"",IF($CT437,IF(N($AY437)&gt;0,N($AY437),""),IF(3&gt;$CQ437,"",IF($CQ437=1,$CW437,$CW437+($CX437-$CW437)*2/($CQ437-1)))))</f>
        <v/>
      </c>
      <c r="BX437" s="88">
        <f>IF($CS437,"",IF($CT437,IF(N($AZ437)&gt;0,N($AZ437),""),IF(4&gt;$CQ437,"",IF($CQ437=1,$CW437,$CW437+($CX437-$CW437)*3/($CQ437-1)))))</f>
        <v/>
      </c>
      <c r="BY437" s="88">
        <f>IF($CS437,"",IF($CT437,"",IF(5&gt;$CQ437,"",IF($CQ437=1,$CW437,$CW437+($CX437-$CW437)*4/($CQ437-1)))))</f>
        <v/>
      </c>
      <c r="BZ437" s="88">
        <f>IF(OR($CS437,$AP437="-",AND($AP437="",$AD437="")),"",IF(N($BA437)&gt;0,N($BA437),IF($CV437,IF(AND($BI437&lt;$CU437,$BI437-IF(N(VLOOKUP($AT437&amp;"|"&amp;$CU437,LocTable,7,FALSE))&gt;0,VLOOKUP($AT437&amp;"|"&amp;$CU437,LocTable,7,FALSE),VLOOKUP($AT437&amp;"|"&amp;$CU437,LocTable,6,FALSE))-$CR437-0.75&gt;=2.125),VLOOKUP($AT437&amp;"|"&amp;$CU437,LocTable,8,FALSE),VLOOKUP($AT437&amp;"|"&amp;$CU437,LocTable,8,FALSE)+($BI437-$CU437)),$BI437-LockAFF)))</f>
        <v/>
      </c>
      <c r="CA437" s="89">
        <f>IF($BZ437="","",$BI437-$BZ437)</f>
        <v/>
      </c>
      <c r="CB437" s="84">
        <f>IF(OR(NOT(AND($A437&lt;&gt;"",$C437&lt;&gt;"DOOR ONLY")),$BI437=""),"",IF(($BI437+IF(N($P437)&gt;0,$P437+FaceW,0))&lt;=90,3,IF(($BI437+IF(N($P437)&gt;0,$P437+FaceW,0))&lt;=114,4,5)))</f>
        <v/>
      </c>
      <c r="CC437" s="84">
        <f>IF($CB437="","",$CB437*(2+IF(N($Q437)&gt;0,IF($R437="LR",2,1),0)))</f>
        <v/>
      </c>
      <c r="CD437" s="84">
        <f>IF($CB437="","",(2+IF(N($Q437)&gt;0,IF($R437="LR",2,1),0)))</f>
        <v/>
      </c>
      <c r="CE437" s="84">
        <f>IF(N($BJ437)=0,"",IF(OR($AL437="",$AL437="FLUSH"),"FLUSH",IFERROR(LEFT($AL437,FIND("-",$AL437)-1),LEFT($AL437,2))))</f>
        <v/>
      </c>
      <c r="CF437" s="84">
        <f>IF($CE437="","",IFERROR(VALUE(MID($AL437,FIND("-",$AL437)+1,FIND(CHAR(34)&amp;"x",$AL437)-FIND("-",$AL437)-1)),0))</f>
        <v/>
      </c>
      <c r="CG437" s="84">
        <f>IF($CE437="","",IFERROR(VALUE(MID($AL437,FIND(CHAR(34)&amp;"x",$AL437)+2,FIND(CHAR(34),$AL437,FIND(CHAR(34)&amp;"x",$AL437)+2)-FIND(CHAR(34)&amp;"x",$AL437)-2)),0))</f>
        <v/>
      </c>
      <c r="CH437" s="90">
        <f>IF(OR($A437="",$H437="",$H437="NO LAB"),0,IFERROR(VALUE(LEFT($H437,FIND(" ",$H437)-1)),0))</f>
        <v/>
      </c>
      <c r="CI437" s="91">
        <f>IF(OR($A437="",$I437="",$I437="NON-RATED",N($J437)=0),"",IFERROR(VLOOKUP($I437&amp;"|"&amp;$J437,IBC,2,FALSE),"?"))</f>
        <v/>
      </c>
      <c r="CJ437" s="85">
        <f>IF(NOT(AND($A437&lt;&gt;"",$C437&lt;&gt;"DOOR ONLY")),"",TRIM(IFERROR(VLOOKUP($U437,CODES,2,FALSE),"")&amp;" "&amp;$BG437&amp;" "&amp;IFERROR(VLOOKUP($Z437,CODES,2,FALSE),"")&amp;" "&amp;IFERROR(VLOOKUP($X437,CODES,2,FALSE),"")&amp;" "&amp;IFERROR(VLOOKUP($S437,CODES,2,FALSE),"")&amp;IF(N($P437)&gt;0," w/TRANSOM "&amp;$P437&amp;CHAR(34),"")&amp;IF(N($Q437)&gt;0," w/SIDELITE "&amp;$Q437&amp;CHAR(34)&amp;" "&amp;IF($R437="","R",$R437),"")&amp;IF($Y437="","  |  "," | "&amp;IFERROR(VLOOKUP($Y437,CODES,2,FALSE),"")&amp;" | ")&amp;IFERROR(VLOOKUP($AC437,CODES,2,FALSE),"")&amp;" "&amp;IFERROR(VLOOKUP($AD437,CODES,2,FALSE),"")&amp;IF(OR($AE437="",$AE437="-"),""," "&amp;$AE437)&amp;IF(OR($AF437="",$AF437="-"),""," "&amp;$AF437)&amp;IF($AB437="Y"," 4"&amp;CHAR(34)&amp;" HEAD","")&amp;" "&amp;IFERROR(VLOOKUP($H437,CODES,2,FALSE),"")&amp;IF($CT437," | LOC "&amp;$CY437,"")))</f>
        <v/>
      </c>
      <c r="CK437" s="85">
        <f>IF(NOT(AND($A437&lt;&gt;"",N($BJ437)&gt;0)),"",TRIM(IFERROR(VLOOKUP($AH437,CODES,2,FALSE),"")&amp;IF($AI437=""," "," "&amp;$AI437&amp;"GA ")&amp;$BG437&amp;" "&amp;IF($AN437="",IFERROR(VLOOKUP($Z437,CODES,2,FALSE),""),IFERROR(VLOOKUP($AN437,CODES,2,FALSE),""))&amp;IF($BJ437=2," PAIR","")&amp;" DOOR | "&amp;IF($AL437="","?",$AL437)&amp;" | "&amp;IF($AO437="",IFERROR(VLOOKUP($AC437,CODES,2,FALSE),""),IFERROR(VLOOKUP($AO437,CODES,2,FALSE),""))&amp;" "&amp;IFERROR(VLOOKUP($AP437,CODES,2,FALSE),"")&amp;IF(OR($AQ437="",$AQ437="-"),""," SEAM "&amp;$AQ437)&amp;IF($AR437="Y"," ASTRAGAL","")&amp;IF($AJ437=""," "," "&amp;$AJ437)&amp;IF($AK437=""," "," "&amp;$AK437)&amp;IF(OR($AT437="",$AT437="ANSI/SDI",$AT437="CUSTOM LOC"),""," "&amp;$AT437)&amp;IF($AM437=""," "," SERIES "&amp;$AM437)&amp;" "&amp;IFERROR(VLOOKUP($H437,CODES,2,FALSE),"")&amp;IF($CT437," | LOC "&amp;$CZ437,"")))</f>
        <v/>
      </c>
      <c r="CL437" s="84">
        <f>IF(CP437="","",IF(COUNTIF($CP$6:CP437,CP437)=1,MAX($CL$5:CL436)+1,INDEX($CL$5:CL436,MATCH(CP437,$CP$5:CP436,0))))</f>
        <v/>
      </c>
      <c r="CM437" s="84">
        <f>IF(NOT(AND($A437&lt;&gt;"",$C437&lt;&gt;"DOOR ONLY")),"",MAX($CM$5:CM436)+1)</f>
        <v/>
      </c>
      <c r="CN437" s="84">
        <f>IF(NOT(AND($A437&lt;&gt;"",N($BJ437)&gt;0)),"",MAX($CN$5:CN436)+1)</f>
        <v/>
      </c>
      <c r="CO437" s="84">
        <f>IF($A437="","",MAX($CO$5:CO436)+1)</f>
        <v/>
      </c>
      <c r="CP437" s="84">
        <f>IF(OR($A437="",$BH437="",$BI437=""),"",$BG437&amp;"|"&amp;$O437&amp;"|"&amp;$AL437&amp;"|"&amp;$S437&amp;"|"&amp;$P437&amp;"|"&amp;$Q437&amp;$R437&amp;"|"&amp;$C437&amp;"|"&amp;$AB437)</f>
        <v/>
      </c>
      <c r="CQ437" s="84">
        <f>N($BS437)</f>
        <v/>
      </c>
      <c r="CR437" s="84">
        <f>IF(N($AU437)&gt;0,N($AU437),4.5)</f>
        <v/>
      </c>
      <c r="CS437" s="84">
        <f>OR($A437="",$BI437="",$S437="BL",AND($C437="FRAME ONLY",OR($AC437="",$AC437="BLK")))</f>
        <v/>
      </c>
      <c r="CT437" s="84">
        <f>AND(NOT($CS437),OR($AT437="CUSTOM LOC",N($AW437)+N($AX437)+N($AY437)+N($AZ437)+N($BA437)&gt;0))</f>
        <v/>
      </c>
      <c r="CU437" s="84">
        <f>IF($BI437="","",IF($BI437&lt;=80,80,IF($BI437&lt;=84,84,96)))</f>
        <v/>
      </c>
      <c r="CV437" s="84">
        <f>ISNUMBER(MATCH($AT437&amp;"|80",LocKeys,0))</f>
        <v/>
      </c>
      <c r="CW437" s="86">
        <f>IF($CS437,"",IF($CV437,VLOOKUP($AT437&amp;"|"&amp;$CU437,LocTable,4,FALSE),5))</f>
        <v/>
      </c>
      <c r="CX437" s="86">
        <f>IF($CS437,"",IF($CV437,IF(OR($BI437=$CU437,AND($BI437&lt;$CU437,$BI437-IF(N(VLOOKUP($AT437&amp;"|"&amp;$CU437,LocTable,7,FALSE))&gt;0,VLOOKUP($AT437&amp;"|"&amp;$CU437,LocTable,7,FALSE),VLOOKUP($AT437&amp;"|"&amp;$CU437,LocTable,6,FALSE))-$CR437-0.75&gt;=2.125)),IF(N(VLOOKUP($AT437&amp;"|"&amp;$CU437,LocTable,7,FALSE))&gt;0,VLOOKUP($AT437&amp;"|"&amp;$CU437,LocTable,7,FALSE),VLOOKUP($AT437&amp;"|"&amp;$CU437,LocTable,6,FALSE)),$BI437-($CU437-IF(N(VLOOKUP($AT437&amp;"|"&amp;$CU437,LocTable,7,FALSE))&gt;0,VLOOKUP($AT437&amp;"|"&amp;$CU437,LocTable,7,FALSE),VLOOKUP($AT437&amp;"|"&amp;$CU437,LocTable,6,FALSE)))),$BI437-10-$CR437))</f>
        <v/>
      </c>
      <c r="CY437" s="85">
        <f>IF($CS437,"",TRIM(IF(ISNUMBER($BU437),"A "&amp;TRIM(TEXT($BU437,"# ?/??"))&amp;CHAR(34)&amp;"  ","")&amp;IF(ISNUMBER($BV437),"B "&amp;TRIM(TEXT($BV437,"# ?/??"))&amp;CHAR(34)&amp;"  ","")&amp;IF(ISNUMBER($BW437),"C "&amp;TRIM(TEXT($BW437,"# ?/??"))&amp;CHAR(34)&amp;"  ","")&amp;IF(ISNUMBER($BX437),"D "&amp;TRIM(TEXT($BX437,"# ?/??"))&amp;CHAR(34)&amp;"  ","")&amp;IF(ISNUMBER($BY437),"F "&amp;TRIM(TEXT($BY437,"# ?/??"))&amp;CHAR(34)&amp;"  ","")&amp;IF(ISNUMBER($BZ437),"E "&amp;TRIM(TEXT($BZ437,"# ?/??"))&amp;CHAR(34)&amp;"  ","")))</f>
        <v/>
      </c>
      <c r="CZ437" s="85">
        <f>IF(OR($CS437,N($BJ437)=0),"",TRIM(IF(ISNUMBER($BU437),"A "&amp;TRIM(TEXT($BU437-HeadClr,"# ?/??"))&amp;CHAR(34)&amp;"  ","")&amp;IF(ISNUMBER($BV437),"B "&amp;TRIM(TEXT($BV437-HeadClr,"# ?/??"))&amp;CHAR(34)&amp;"  ","")&amp;IF(ISNUMBER($BW437),"C "&amp;TRIM(TEXT($BW437-HeadClr,"# ?/??"))&amp;CHAR(34)&amp;"  ","")&amp;IF(ISNUMBER($BX437),"D "&amp;TRIM(TEXT($BX437-HeadClr,"# ?/??"))&amp;CHAR(34)&amp;"  ","")&amp;IF(ISNUMBER($BY437),"F "&amp;TRIM(TEXT($BY437-HeadClr,"# ?/??"))&amp;CHAR(34)&amp;"  ","")&amp;IF(ISNUMBER($BZ437),"E "&amp;TRIM(TEXT($BZ437-HeadClr,"# ?/??"))&amp;CHAR(34)&amp;"  ","")))</f>
        <v/>
      </c>
      <c r="DA437" s="84">
        <f>IF($A437="","",IF($AN437="",IFERROR(VLOOKUP($Z437,CODES,2,FALSE),""),IFERROR(VLOOKUP($AN437,CODES,2,FALSE),"")))</f>
        <v/>
      </c>
      <c r="DB437" s="84">
        <f>IF($A437="","",IF($O437="Y","PR",IF(OR($Z437="L",$Z437="RR",LEFT($Z437,2)="L-",LEFT($Z437,3)="RR-"),"LH","RH")))</f>
        <v/>
      </c>
      <c r="DC437" s="84">
        <f>IF($A437="","","S.HM"&amp;IF(OR($C437="DOOR ONLY",$X437&lt;&gt;"KD"),"MASONRY","DRYWALL")&amp;IF($C437="DOOR ONLY","",$U437)&amp;IF(AND($C437&lt;&gt;"FRAME ONLY",OR(LEFT($AH437,3)="OAK",LEFT($AH437,3)="BIR",LEFT($AH437,3)="MAP",$AH437="PC",$AH437="MC",$AH437="SCLC",$AH437="P-LAM")),"WD","HM")&amp;"1.75")</f>
        <v/>
      </c>
      <c r="DD437" s="84">
        <f>IF($CJ437="","",IF($O437="Y",$CJ437,SUBSTITUTE($CJ437,$BG437&amp;" "&amp;IFERROR(VLOOKUP($Z437,CODES,2,FALSE),"")&amp;" ",$BG437&amp;" ")))</f>
        <v/>
      </c>
      <c r="DE437" s="84">
        <f>IF($CK437="","",IF($O437="Y",$CK437,SUBSTITUTE($CK437,$BG437&amp;" "&amp;IF($AN437="",IFERROR(VLOOKUP($Z437,CODES,2,FALSE),""),IFERROR(VLOOKUP($AN437,CODES,2,FALSE),""))&amp;" ",$BG437&amp;" ")))</f>
        <v/>
      </c>
      <c r="DF437" s="84">
        <f>IF($CJ437="","",$DC437&amp;"|"&amp;$DD437&amp;"|"&amp;$DB437&amp;"|"&amp;$AT437&amp;"|"&amp;$V437&amp;"|"&amp;$Y437&amp;"|"&amp;$AB437)</f>
        <v/>
      </c>
      <c r="DG437" s="84">
        <f>IF(DF437="","",IF(COUNTIF($DF$6:DF437,DF437)=1,MAX($DG$5:DG436)+1,INDEX($DG$5:DG436,MATCH(DF437,$DF$5:DF436,0))))</f>
        <v/>
      </c>
      <c r="DH437" s="84">
        <f>IF($CK437="","",$DC437&amp;"|"&amp;$DE437&amp;"|"&amp;$AI437&amp;"|"&amp;$BK437&amp;"|"&amp;$BL437)</f>
        <v/>
      </c>
      <c r="DI437" s="84">
        <f>IF(DH437="","",IF(COUNTIF($DH$6:DH437,DH437)=1,MAX($DI$5:DI436)+1,INDEX($DI$5:DI436,MATCH(DH437,$DH$5:DH436,0))))</f>
        <v/>
      </c>
      <c r="DJ437" s="84">
        <f>IF($A437="","",IF($B437="","qty, ","")&amp;IF($C437="","scope, ","")&amp;IF(OR($K437="",$M437=""),"size, ","")&amp;IF(AND($A437&lt;&gt;"",$C437&lt;&gt;"DOOR ONLY"),IF($U437="","jamb depth, ","")&amp;IF($X437="","construction, ","")&amp;IF($Y437="","anchor, ","")&amp;IF($S437="","frame type, ",""),"")&amp;IF(AND(N($BJ437)&gt;0,$Z437=""),"hand, ","")&amp;IF(N($BJ437)&gt;0,IF($AH437="","door material, ","")&amp;IF($AL437="","face type, ","")&amp;IF($AP437="","lock prep, ","")&amp;IF(AND($AO437="",$AC437=""),"hinge prep, ",""),"")&amp;IF(AND($CH437&gt;0,$AH437="FRP"),"FRP cannot carry a label, ","")&amp;IF(AND($O437="Y",OR($Z437="L",$Z437="R",$Z437="LR",$Z437="RR")),"pair marked but hand is single, ","")&amp;IF(AND($O437&lt;&gt;"Y",OR($Z437="PR",AND(LEN($Z437)&gt;1,ISNUMBER(SEARCH("-",$Z437))))),"pair hand on a single door, ","")&amp;IF(AND(ISNUMBER($CI437),$CH437&lt;N($CI437)),"wall needs a "&amp;$CI437&amp;" min door, ","")&amp;IF(AND($CH437&gt;=180,AND(OR($CE437="FG",$CE437="HG",$CE437="FNV",$CE437="FV"),N($CF437)*N($CG437)&gt;100)),"180 min lite over 100 sq in, ","")&amp;IF(N($BK437)&gt;48,"leaf wider than 4'-0"&amp;CHAR(34)&amp;", ","")&amp;IF(AND($CT437,COUNT($AW437:$AZ437)=0,$CQ437&gt;0),"CUSTOM LOC with no locations typed, ",""))</f>
        <v/>
      </c>
      <c r="DK437" s="84">
        <f>IF($A437="","",IF(AND($CH437&gt;0,AND($A437&lt;&gt;"",$C437&lt;&gt;"DOOR ONLY"),$X437="KD",$E437="EXTERIOR"),"KD label on an exterior opening, ","")&amp;IF(AND($E437="EXTERIOR",OR(AND(AND($A437&lt;&gt;"",$C437&lt;&gt;"DOOR ONLY"),$W437="CR"),AND(N($BJ437)&gt;0,$AH437="CR"))),"exterior in CR steel (G9?), ","")&amp;IF(AND(ISNUMBER($BQ437),N($BQ437)&lt;32),"clear width ~"&amp;TEXT($BQ437,"0.0")&amp;CHAR(34)&amp;" under 32"&amp;CHAR(34)&amp;" (ADA), ","")&amp;IF(AND($CH437=90,AND(OR($CE437="FG",$CE437="HG",$CE437="FNV",$CE437="FV"),N($CF437)*N($CG437)&gt;100)),"90 min lite over 100 sq in (stair/exit), ","")&amp;IF(AND($CH437&gt;0,AND($A437&lt;&gt;"",$C437&lt;&gt;"DOOR ONLY"),OR($AF437="",$AF437="-")),"rated: closer reinf.?, ","")&amp;IF(OR($I437="CORRIDOR",$I437="SMOKE BARRIER"),"S label + smoke gasketing, ","")&amp;IF($CI437="?","wall type/hr not in IBC table, ","")&amp;IF(AND(N($BJ437)&gt;0,$BB437=""),"no hardware set, ","")&amp;IF(AND($BB437&lt;&gt;"",ISNA(MATCH($BB437&amp;"",HWSets,0))),"set "&amp;$BB437&amp;" not on HW Sets, ","")&amp;IF(N($BL437)&gt;96,"leaf over 8'-0"&amp;CHAR(34)&amp;" - check listing, ","")&amp;IF(AND($CT437,COUNT($AW437:$AZ437)&gt;0,COUNT($AW437:$AZ437)&lt;&gt;$CQ437),COUNT($AW437:$AZ437)&amp;" custom hinges typed, "&amp;$CQ437&amp;" expected, ","")&amp;IF(AND(ISNUMBER($CA437),OR(N($CA437)&lt;34,N($CA437)&gt;48)),"lock "&amp;TEXT($CA437,"0.0")&amp;CHAR(34)&amp;" AFF outside 34-48"&amp;CHAR(34)&amp;" (ADA), ","")&amp;IF(AND(ISNUMBER($AV437),ISNUMBER($BL437),N($AV437)&lt;IF(N($BL437)&lt;=60,2,IF(N($BL437)&lt;=90,3,IF(N($BL437)&lt;=120,4,5)))),"fewer hinges than standard, ",""))</f>
        <v/>
      </c>
    </row>
    <row r="438" ht="15" customHeight="1">
      <c r="A438" s="77" t="n"/>
      <c r="B438" s="78" t="n"/>
      <c r="C438" s="78" t="n"/>
      <c r="D438" s="78" t="n"/>
      <c r="E438" s="78" t="n"/>
      <c r="F438" s="78" t="n"/>
      <c r="G438" s="78" t="n"/>
      <c r="H438" s="78" t="n"/>
      <c r="I438" s="78" t="n"/>
      <c r="J438" s="78" t="n"/>
      <c r="K438" s="78" t="n"/>
      <c r="L438" s="78" t="n"/>
      <c r="M438" s="78" t="n"/>
      <c r="N438" s="78" t="n"/>
      <c r="O438" s="78" t="n"/>
      <c r="P438" s="78" t="n"/>
      <c r="Q438" s="78" t="n"/>
      <c r="R438" s="78" t="n"/>
      <c r="S438" s="79" t="n"/>
      <c r="T438" s="79" t="n"/>
      <c r="U438" s="79" t="n"/>
      <c r="V438" s="79" t="n"/>
      <c r="W438" s="79" t="n"/>
      <c r="X438" s="79" t="n"/>
      <c r="Y438" s="79" t="n"/>
      <c r="Z438" s="79" t="n"/>
      <c r="AA438" s="79" t="n"/>
      <c r="AB438" s="79" t="n"/>
      <c r="AC438" s="79" t="n"/>
      <c r="AD438" s="79" t="n"/>
      <c r="AE438" s="79" t="n"/>
      <c r="AF438" s="79" t="n"/>
      <c r="AG438" s="79" t="n"/>
      <c r="AH438" s="80" t="n"/>
      <c r="AI438" s="80" t="n"/>
      <c r="AJ438" s="80" t="n"/>
      <c r="AK438" s="80" t="n"/>
      <c r="AL438" s="80" t="n"/>
      <c r="AM438" s="80" t="n"/>
      <c r="AN438" s="80" t="n"/>
      <c r="AO438" s="80" t="n"/>
      <c r="AP438" s="80" t="n"/>
      <c r="AQ438" s="80" t="n"/>
      <c r="AR438" s="80" t="n"/>
      <c r="AS438" s="80" t="n"/>
      <c r="AT438" s="81" t="n"/>
      <c r="AU438" s="81" t="n"/>
      <c r="AV438" s="81" t="n"/>
      <c r="AW438" s="82" t="n"/>
      <c r="AX438" s="82" t="n"/>
      <c r="AY438" s="82" t="n"/>
      <c r="AZ438" s="82" t="n"/>
      <c r="BA438" s="82" t="n"/>
      <c r="BB438" s="83" t="n"/>
      <c r="BC438" s="83" t="n"/>
      <c r="BD438" s="84">
        <f>IF($A438="","",IF($DJ438&lt;&gt;"","FIX",IF($DK438&lt;&gt;"","CHECK","OK")))</f>
        <v/>
      </c>
      <c r="BE438" s="85">
        <f>IF($A438="","",IF($DJ438&lt;&gt;"","FIX: "&amp;LEFT($DJ438,LEN($DJ438)-2)&amp;IF($DK438&lt;&gt;"","  ·  ",""),"")&amp;IF($DK438&lt;&gt;"","CHECK: "&amp;LEFT($DK438,LEN($DK438)-2),""))</f>
        <v/>
      </c>
      <c r="BF438" s="84">
        <f>IF(OR($A438="",$K438=""),"",$K438&amp;"'-"&amp;N($L438)&amp;CHAR(34)&amp;" x "&amp;$M438&amp;"'-"&amp;N($N438)&amp;CHAR(34))</f>
        <v/>
      </c>
      <c r="BG438" s="84">
        <f>IF(OR($A438="",$K438=""),"",$K438&amp;N($L438)&amp;$M438&amp;N($N438))</f>
        <v/>
      </c>
      <c r="BH438" s="84">
        <f>IF(OR($A438="",$K438=""),"",$K438*12+N($L438))</f>
        <v/>
      </c>
      <c r="BI438" s="84">
        <f>IF(OR($A438="",$M438=""),"",$M438*12+N($N438))</f>
        <v/>
      </c>
      <c r="BJ438" s="84">
        <f>IF($A438="","",IF(OR($C438="FRAME ONLY",$S438="BL"),0,IF($O438="Y",2,1)))</f>
        <v/>
      </c>
      <c r="BK438" s="86">
        <f>IF(OR(N($BJ438)=0,$BH438=""),"",($BH438-2*EdgeClr-IF($BJ438=2,MeetClr,0))/$BJ438)</f>
        <v/>
      </c>
      <c r="BL438" s="86">
        <f>IF(OR(N($BJ438)=0,$BI438=""),"",$BI438-HeadClr-Undercut)</f>
        <v/>
      </c>
      <c r="BM438" s="86">
        <f>IF($BH438="","",$BH438+2*FaceW+IF(N($Q438)&gt;0,($Q438+FaceW)*IF($R438="LR",2,1),0))</f>
        <v/>
      </c>
      <c r="BN438" s="86">
        <f>IF($BI438="","",$BI438+IF($AB438="Y",4,FaceW)+IF(N($P438)&gt;0,$P438+FaceW,0)+IF(OR($S438="4F",$S438="BL"),FaceW,0))</f>
        <v/>
      </c>
      <c r="BO438" s="86">
        <f>IF($BM438="","",$BM438+2*ROSide)</f>
        <v/>
      </c>
      <c r="BP438" s="86">
        <f>IF($BN438="","",$BN438+ROTop)</f>
        <v/>
      </c>
      <c r="BQ438" s="87">
        <f>IF(OR(N($BJ438)=0,$BH438=""),"",$BH438/$BJ438-ClearDeduct)</f>
        <v/>
      </c>
      <c r="BR438" s="84">
        <f>IF(N($CH438)=0,"",IF($CH438&gt;=180,"A · 3 HR",IF($CH438&gt;=90,"B · 1-1/2 HR",IF($CH438&gt;=60,"B · 1 HR",IF($CH438&gt;=45,"C · 3/4 HR","20 MIN")))))&amp;IF(AND(N($CH438)&gt;0,OR($I438="CORRIDOR",$I438="SMOKE BARRIER"))," · S","")</f>
        <v/>
      </c>
      <c r="BS438" s="84">
        <f>IF($CS438,"",IF($AV438&lt;&gt;"",$AV438,IF(OR($AC438="HGC",$AO438="HGC"),"CONT",IF(($BI438-HeadClr-Undercut)&lt;=60,2,IF(($BI438-HeadClr-Undercut)&lt;=90,3,IF(($BI438-HeadClr-Undercut)&lt;=120,4,5))))))</f>
        <v/>
      </c>
      <c r="BT438" s="84">
        <f>IF($CS438,"",IF($CT438,"CUSTOM (typed)",IF($CV438,$AT438&amp;" "&amp;$CU438&amp;CHAR(34)&amp;IF($CU438&lt;&gt;$BI438,IF(AND($BI438&lt;$CU438,$BI438-IF(N(VLOOKUP($AT438&amp;"|"&amp;$CU438,LocTable,7,FALSE))&gt;0,VLOOKUP($AT438&amp;"|"&amp;$CU438,LocTable,7,FALSE),VLOOKUP($AT438&amp;"|"&amp;$CU438,LocTable,6,FALSE))-$CR438-0.75&gt;=2.125)," cut down"," adj."),""),"ANSI/SDI A250.6")))</f>
        <v/>
      </c>
      <c r="BU438" s="88">
        <f>IF($CS438,"",IF($CT438,IF(N($AW438)&gt;0,N($AW438),""),IF(1&gt;$CQ438,"",IF($CQ438=1,$CW438,$CW438+($CX438-$CW438)*0/($CQ438-1)))))</f>
        <v/>
      </c>
      <c r="BV438" s="88">
        <f>IF($CS438,"",IF($CT438,IF(N($AX438)&gt;0,N($AX438),""),IF(2&gt;$CQ438,"",IF($CQ438=1,$CW438,$CW438+($CX438-$CW438)*1/($CQ438-1)))))</f>
        <v/>
      </c>
      <c r="BW438" s="88">
        <f>IF($CS438,"",IF($CT438,IF(N($AY438)&gt;0,N($AY438),""),IF(3&gt;$CQ438,"",IF($CQ438=1,$CW438,$CW438+($CX438-$CW438)*2/($CQ438-1)))))</f>
        <v/>
      </c>
      <c r="BX438" s="88">
        <f>IF($CS438,"",IF($CT438,IF(N($AZ438)&gt;0,N($AZ438),""),IF(4&gt;$CQ438,"",IF($CQ438=1,$CW438,$CW438+($CX438-$CW438)*3/($CQ438-1)))))</f>
        <v/>
      </c>
      <c r="BY438" s="88">
        <f>IF($CS438,"",IF($CT438,"",IF(5&gt;$CQ438,"",IF($CQ438=1,$CW438,$CW438+($CX438-$CW438)*4/($CQ438-1)))))</f>
        <v/>
      </c>
      <c r="BZ438" s="88">
        <f>IF(OR($CS438,$AP438="-",AND($AP438="",$AD438="")),"",IF(N($BA438)&gt;0,N($BA438),IF($CV438,IF(AND($BI438&lt;$CU438,$BI438-IF(N(VLOOKUP($AT438&amp;"|"&amp;$CU438,LocTable,7,FALSE))&gt;0,VLOOKUP($AT438&amp;"|"&amp;$CU438,LocTable,7,FALSE),VLOOKUP($AT438&amp;"|"&amp;$CU438,LocTable,6,FALSE))-$CR438-0.75&gt;=2.125),VLOOKUP($AT438&amp;"|"&amp;$CU438,LocTable,8,FALSE),VLOOKUP($AT438&amp;"|"&amp;$CU438,LocTable,8,FALSE)+($BI438-$CU438)),$BI438-LockAFF)))</f>
        <v/>
      </c>
      <c r="CA438" s="89">
        <f>IF($BZ438="","",$BI438-$BZ438)</f>
        <v/>
      </c>
      <c r="CB438" s="84">
        <f>IF(OR(NOT(AND($A438&lt;&gt;"",$C438&lt;&gt;"DOOR ONLY")),$BI438=""),"",IF(($BI438+IF(N($P438)&gt;0,$P438+FaceW,0))&lt;=90,3,IF(($BI438+IF(N($P438)&gt;0,$P438+FaceW,0))&lt;=114,4,5)))</f>
        <v/>
      </c>
      <c r="CC438" s="84">
        <f>IF($CB438="","",$CB438*(2+IF(N($Q438)&gt;0,IF($R438="LR",2,1),0)))</f>
        <v/>
      </c>
      <c r="CD438" s="84">
        <f>IF($CB438="","",(2+IF(N($Q438)&gt;0,IF($R438="LR",2,1),0)))</f>
        <v/>
      </c>
      <c r="CE438" s="84">
        <f>IF(N($BJ438)=0,"",IF(OR($AL438="",$AL438="FLUSH"),"FLUSH",IFERROR(LEFT($AL438,FIND("-",$AL438)-1),LEFT($AL438,2))))</f>
        <v/>
      </c>
      <c r="CF438" s="84">
        <f>IF($CE438="","",IFERROR(VALUE(MID($AL438,FIND("-",$AL438)+1,FIND(CHAR(34)&amp;"x",$AL438)-FIND("-",$AL438)-1)),0))</f>
        <v/>
      </c>
      <c r="CG438" s="84">
        <f>IF($CE438="","",IFERROR(VALUE(MID($AL438,FIND(CHAR(34)&amp;"x",$AL438)+2,FIND(CHAR(34),$AL438,FIND(CHAR(34)&amp;"x",$AL438)+2)-FIND(CHAR(34)&amp;"x",$AL438)-2)),0))</f>
        <v/>
      </c>
      <c r="CH438" s="90">
        <f>IF(OR($A438="",$H438="",$H438="NO LAB"),0,IFERROR(VALUE(LEFT($H438,FIND(" ",$H438)-1)),0))</f>
        <v/>
      </c>
      <c r="CI438" s="91">
        <f>IF(OR($A438="",$I438="",$I438="NON-RATED",N($J438)=0),"",IFERROR(VLOOKUP($I438&amp;"|"&amp;$J438,IBC,2,FALSE),"?"))</f>
        <v/>
      </c>
      <c r="CJ438" s="85">
        <f>IF(NOT(AND($A438&lt;&gt;"",$C438&lt;&gt;"DOOR ONLY")),"",TRIM(IFERROR(VLOOKUP($U438,CODES,2,FALSE),"")&amp;" "&amp;$BG438&amp;" "&amp;IFERROR(VLOOKUP($Z438,CODES,2,FALSE),"")&amp;" "&amp;IFERROR(VLOOKUP($X438,CODES,2,FALSE),"")&amp;" "&amp;IFERROR(VLOOKUP($S438,CODES,2,FALSE),"")&amp;IF(N($P438)&gt;0," w/TRANSOM "&amp;$P438&amp;CHAR(34),"")&amp;IF(N($Q438)&gt;0," w/SIDELITE "&amp;$Q438&amp;CHAR(34)&amp;" "&amp;IF($R438="","R",$R438),"")&amp;IF($Y438="","  |  "," | "&amp;IFERROR(VLOOKUP($Y438,CODES,2,FALSE),"")&amp;" | ")&amp;IFERROR(VLOOKUP($AC438,CODES,2,FALSE),"")&amp;" "&amp;IFERROR(VLOOKUP($AD438,CODES,2,FALSE),"")&amp;IF(OR($AE438="",$AE438="-"),""," "&amp;$AE438)&amp;IF(OR($AF438="",$AF438="-"),""," "&amp;$AF438)&amp;IF($AB438="Y"," 4"&amp;CHAR(34)&amp;" HEAD","")&amp;" "&amp;IFERROR(VLOOKUP($H438,CODES,2,FALSE),"")&amp;IF($CT438," | LOC "&amp;$CY438,"")))</f>
        <v/>
      </c>
      <c r="CK438" s="85">
        <f>IF(NOT(AND($A438&lt;&gt;"",N($BJ438)&gt;0)),"",TRIM(IFERROR(VLOOKUP($AH438,CODES,2,FALSE),"")&amp;IF($AI438=""," "," "&amp;$AI438&amp;"GA ")&amp;$BG438&amp;" "&amp;IF($AN438="",IFERROR(VLOOKUP($Z438,CODES,2,FALSE),""),IFERROR(VLOOKUP($AN438,CODES,2,FALSE),""))&amp;IF($BJ438=2," PAIR","")&amp;" DOOR | "&amp;IF($AL438="","?",$AL438)&amp;" | "&amp;IF($AO438="",IFERROR(VLOOKUP($AC438,CODES,2,FALSE),""),IFERROR(VLOOKUP($AO438,CODES,2,FALSE),""))&amp;" "&amp;IFERROR(VLOOKUP($AP438,CODES,2,FALSE),"")&amp;IF(OR($AQ438="",$AQ438="-"),""," SEAM "&amp;$AQ438)&amp;IF($AR438="Y"," ASTRAGAL","")&amp;IF($AJ438=""," "," "&amp;$AJ438)&amp;IF($AK438=""," "," "&amp;$AK438)&amp;IF(OR($AT438="",$AT438="ANSI/SDI",$AT438="CUSTOM LOC"),""," "&amp;$AT438)&amp;IF($AM438=""," "," SERIES "&amp;$AM438)&amp;" "&amp;IFERROR(VLOOKUP($H438,CODES,2,FALSE),"")&amp;IF($CT438," | LOC "&amp;$CZ438,"")))</f>
        <v/>
      </c>
      <c r="CL438" s="84">
        <f>IF(CP438="","",IF(COUNTIF($CP$6:CP438,CP438)=1,MAX($CL$5:CL437)+1,INDEX($CL$5:CL437,MATCH(CP438,$CP$5:CP437,0))))</f>
        <v/>
      </c>
      <c r="CM438" s="84">
        <f>IF(NOT(AND($A438&lt;&gt;"",$C438&lt;&gt;"DOOR ONLY")),"",MAX($CM$5:CM437)+1)</f>
        <v/>
      </c>
      <c r="CN438" s="84">
        <f>IF(NOT(AND($A438&lt;&gt;"",N($BJ438)&gt;0)),"",MAX($CN$5:CN437)+1)</f>
        <v/>
      </c>
      <c r="CO438" s="84">
        <f>IF($A438="","",MAX($CO$5:CO437)+1)</f>
        <v/>
      </c>
      <c r="CP438" s="84">
        <f>IF(OR($A438="",$BH438="",$BI438=""),"",$BG438&amp;"|"&amp;$O438&amp;"|"&amp;$AL438&amp;"|"&amp;$S438&amp;"|"&amp;$P438&amp;"|"&amp;$Q438&amp;$R438&amp;"|"&amp;$C438&amp;"|"&amp;$AB438)</f>
        <v/>
      </c>
      <c r="CQ438" s="84">
        <f>N($BS438)</f>
        <v/>
      </c>
      <c r="CR438" s="84">
        <f>IF(N($AU438)&gt;0,N($AU438),4.5)</f>
        <v/>
      </c>
      <c r="CS438" s="84">
        <f>OR($A438="",$BI438="",$S438="BL",AND($C438="FRAME ONLY",OR($AC438="",$AC438="BLK")))</f>
        <v/>
      </c>
      <c r="CT438" s="84">
        <f>AND(NOT($CS438),OR($AT438="CUSTOM LOC",N($AW438)+N($AX438)+N($AY438)+N($AZ438)+N($BA438)&gt;0))</f>
        <v/>
      </c>
      <c r="CU438" s="84">
        <f>IF($BI438="","",IF($BI438&lt;=80,80,IF($BI438&lt;=84,84,96)))</f>
        <v/>
      </c>
      <c r="CV438" s="84">
        <f>ISNUMBER(MATCH($AT438&amp;"|80",LocKeys,0))</f>
        <v/>
      </c>
      <c r="CW438" s="86">
        <f>IF($CS438,"",IF($CV438,VLOOKUP($AT438&amp;"|"&amp;$CU438,LocTable,4,FALSE),5))</f>
        <v/>
      </c>
      <c r="CX438" s="86">
        <f>IF($CS438,"",IF($CV438,IF(OR($BI438=$CU438,AND($BI438&lt;$CU438,$BI438-IF(N(VLOOKUP($AT438&amp;"|"&amp;$CU438,LocTable,7,FALSE))&gt;0,VLOOKUP($AT438&amp;"|"&amp;$CU438,LocTable,7,FALSE),VLOOKUP($AT438&amp;"|"&amp;$CU438,LocTable,6,FALSE))-$CR438-0.75&gt;=2.125)),IF(N(VLOOKUP($AT438&amp;"|"&amp;$CU438,LocTable,7,FALSE))&gt;0,VLOOKUP($AT438&amp;"|"&amp;$CU438,LocTable,7,FALSE),VLOOKUP($AT438&amp;"|"&amp;$CU438,LocTable,6,FALSE)),$BI438-($CU438-IF(N(VLOOKUP($AT438&amp;"|"&amp;$CU438,LocTable,7,FALSE))&gt;0,VLOOKUP($AT438&amp;"|"&amp;$CU438,LocTable,7,FALSE),VLOOKUP($AT438&amp;"|"&amp;$CU438,LocTable,6,FALSE)))),$BI438-10-$CR438))</f>
        <v/>
      </c>
      <c r="CY438" s="85">
        <f>IF($CS438,"",TRIM(IF(ISNUMBER($BU438),"A "&amp;TRIM(TEXT($BU438,"# ?/??"))&amp;CHAR(34)&amp;"  ","")&amp;IF(ISNUMBER($BV438),"B "&amp;TRIM(TEXT($BV438,"# ?/??"))&amp;CHAR(34)&amp;"  ","")&amp;IF(ISNUMBER($BW438),"C "&amp;TRIM(TEXT($BW438,"# ?/??"))&amp;CHAR(34)&amp;"  ","")&amp;IF(ISNUMBER($BX438),"D "&amp;TRIM(TEXT($BX438,"# ?/??"))&amp;CHAR(34)&amp;"  ","")&amp;IF(ISNUMBER($BY438),"F "&amp;TRIM(TEXT($BY438,"# ?/??"))&amp;CHAR(34)&amp;"  ","")&amp;IF(ISNUMBER($BZ438),"E "&amp;TRIM(TEXT($BZ438,"# ?/??"))&amp;CHAR(34)&amp;"  ","")))</f>
        <v/>
      </c>
      <c r="CZ438" s="85">
        <f>IF(OR($CS438,N($BJ438)=0),"",TRIM(IF(ISNUMBER($BU438),"A "&amp;TRIM(TEXT($BU438-HeadClr,"# ?/??"))&amp;CHAR(34)&amp;"  ","")&amp;IF(ISNUMBER($BV438),"B "&amp;TRIM(TEXT($BV438-HeadClr,"# ?/??"))&amp;CHAR(34)&amp;"  ","")&amp;IF(ISNUMBER($BW438),"C "&amp;TRIM(TEXT($BW438-HeadClr,"# ?/??"))&amp;CHAR(34)&amp;"  ","")&amp;IF(ISNUMBER($BX438),"D "&amp;TRIM(TEXT($BX438-HeadClr,"# ?/??"))&amp;CHAR(34)&amp;"  ","")&amp;IF(ISNUMBER($BY438),"F "&amp;TRIM(TEXT($BY438-HeadClr,"# ?/??"))&amp;CHAR(34)&amp;"  ","")&amp;IF(ISNUMBER($BZ438),"E "&amp;TRIM(TEXT($BZ438-HeadClr,"# ?/??"))&amp;CHAR(34)&amp;"  ","")))</f>
        <v/>
      </c>
      <c r="DA438" s="84">
        <f>IF($A438="","",IF($AN438="",IFERROR(VLOOKUP($Z438,CODES,2,FALSE),""),IFERROR(VLOOKUP($AN438,CODES,2,FALSE),"")))</f>
        <v/>
      </c>
      <c r="DB438" s="84">
        <f>IF($A438="","",IF($O438="Y","PR",IF(OR($Z438="L",$Z438="RR",LEFT($Z438,2)="L-",LEFT($Z438,3)="RR-"),"LH","RH")))</f>
        <v/>
      </c>
      <c r="DC438" s="84">
        <f>IF($A438="","","S.HM"&amp;IF(OR($C438="DOOR ONLY",$X438&lt;&gt;"KD"),"MASONRY","DRYWALL")&amp;IF($C438="DOOR ONLY","",$U438)&amp;IF(AND($C438&lt;&gt;"FRAME ONLY",OR(LEFT($AH438,3)="OAK",LEFT($AH438,3)="BIR",LEFT($AH438,3)="MAP",$AH438="PC",$AH438="MC",$AH438="SCLC",$AH438="P-LAM")),"WD","HM")&amp;"1.75")</f>
        <v/>
      </c>
      <c r="DD438" s="84">
        <f>IF($CJ438="","",IF($O438="Y",$CJ438,SUBSTITUTE($CJ438,$BG438&amp;" "&amp;IFERROR(VLOOKUP($Z438,CODES,2,FALSE),"")&amp;" ",$BG438&amp;" ")))</f>
        <v/>
      </c>
      <c r="DE438" s="84">
        <f>IF($CK438="","",IF($O438="Y",$CK438,SUBSTITUTE($CK438,$BG438&amp;" "&amp;IF($AN438="",IFERROR(VLOOKUP($Z438,CODES,2,FALSE),""),IFERROR(VLOOKUP($AN438,CODES,2,FALSE),""))&amp;" ",$BG438&amp;" ")))</f>
        <v/>
      </c>
      <c r="DF438" s="84">
        <f>IF($CJ438="","",$DC438&amp;"|"&amp;$DD438&amp;"|"&amp;$DB438&amp;"|"&amp;$AT438&amp;"|"&amp;$V438&amp;"|"&amp;$Y438&amp;"|"&amp;$AB438)</f>
        <v/>
      </c>
      <c r="DG438" s="84">
        <f>IF(DF438="","",IF(COUNTIF($DF$6:DF438,DF438)=1,MAX($DG$5:DG437)+1,INDEX($DG$5:DG437,MATCH(DF438,$DF$5:DF437,0))))</f>
        <v/>
      </c>
      <c r="DH438" s="84">
        <f>IF($CK438="","",$DC438&amp;"|"&amp;$DE438&amp;"|"&amp;$AI438&amp;"|"&amp;$BK438&amp;"|"&amp;$BL438)</f>
        <v/>
      </c>
      <c r="DI438" s="84">
        <f>IF(DH438="","",IF(COUNTIF($DH$6:DH438,DH438)=1,MAX($DI$5:DI437)+1,INDEX($DI$5:DI437,MATCH(DH438,$DH$5:DH437,0))))</f>
        <v/>
      </c>
      <c r="DJ438" s="84">
        <f>IF($A438="","",IF($B438="","qty, ","")&amp;IF($C438="","scope, ","")&amp;IF(OR($K438="",$M438=""),"size, ","")&amp;IF(AND($A438&lt;&gt;"",$C438&lt;&gt;"DOOR ONLY"),IF($U438="","jamb depth, ","")&amp;IF($X438="","construction, ","")&amp;IF($Y438="","anchor, ","")&amp;IF($S438="","frame type, ",""),"")&amp;IF(AND(N($BJ438)&gt;0,$Z438=""),"hand, ","")&amp;IF(N($BJ438)&gt;0,IF($AH438="","door material, ","")&amp;IF($AL438="","face type, ","")&amp;IF($AP438="","lock prep, ","")&amp;IF(AND($AO438="",$AC438=""),"hinge prep, ",""),"")&amp;IF(AND($CH438&gt;0,$AH438="FRP"),"FRP cannot carry a label, ","")&amp;IF(AND($O438="Y",OR($Z438="L",$Z438="R",$Z438="LR",$Z438="RR")),"pair marked but hand is single, ","")&amp;IF(AND($O438&lt;&gt;"Y",OR($Z438="PR",AND(LEN($Z438)&gt;1,ISNUMBER(SEARCH("-",$Z438))))),"pair hand on a single door, ","")&amp;IF(AND(ISNUMBER($CI438),$CH438&lt;N($CI438)),"wall needs a "&amp;$CI438&amp;" min door, ","")&amp;IF(AND($CH438&gt;=180,AND(OR($CE438="FG",$CE438="HG",$CE438="FNV",$CE438="FV"),N($CF438)*N($CG438)&gt;100)),"180 min lite over 100 sq in, ","")&amp;IF(N($BK438)&gt;48,"leaf wider than 4'-0"&amp;CHAR(34)&amp;", ","")&amp;IF(AND($CT438,COUNT($AW438:$AZ438)=0,$CQ438&gt;0),"CUSTOM LOC with no locations typed, ",""))</f>
        <v/>
      </c>
      <c r="DK438" s="84">
        <f>IF($A438="","",IF(AND($CH438&gt;0,AND($A438&lt;&gt;"",$C438&lt;&gt;"DOOR ONLY"),$X438="KD",$E438="EXTERIOR"),"KD label on an exterior opening, ","")&amp;IF(AND($E438="EXTERIOR",OR(AND(AND($A438&lt;&gt;"",$C438&lt;&gt;"DOOR ONLY"),$W438="CR"),AND(N($BJ438)&gt;0,$AH438="CR"))),"exterior in CR steel (G9?), ","")&amp;IF(AND(ISNUMBER($BQ438),N($BQ438)&lt;32),"clear width ~"&amp;TEXT($BQ438,"0.0")&amp;CHAR(34)&amp;" under 32"&amp;CHAR(34)&amp;" (ADA), ","")&amp;IF(AND($CH438=90,AND(OR($CE438="FG",$CE438="HG",$CE438="FNV",$CE438="FV"),N($CF438)*N($CG438)&gt;100)),"90 min lite over 100 sq in (stair/exit), ","")&amp;IF(AND($CH438&gt;0,AND($A438&lt;&gt;"",$C438&lt;&gt;"DOOR ONLY"),OR($AF438="",$AF438="-")),"rated: closer reinf.?, ","")&amp;IF(OR($I438="CORRIDOR",$I438="SMOKE BARRIER"),"S label + smoke gasketing, ","")&amp;IF($CI438="?","wall type/hr not in IBC table, ","")&amp;IF(AND(N($BJ438)&gt;0,$BB438=""),"no hardware set, ","")&amp;IF(AND($BB438&lt;&gt;"",ISNA(MATCH($BB438&amp;"",HWSets,0))),"set "&amp;$BB438&amp;" not on HW Sets, ","")&amp;IF(N($BL438)&gt;96,"leaf over 8'-0"&amp;CHAR(34)&amp;" - check listing, ","")&amp;IF(AND($CT438,COUNT($AW438:$AZ438)&gt;0,COUNT($AW438:$AZ438)&lt;&gt;$CQ438),COUNT($AW438:$AZ438)&amp;" custom hinges typed, "&amp;$CQ438&amp;" expected, ","")&amp;IF(AND(ISNUMBER($CA438),OR(N($CA438)&lt;34,N($CA438)&gt;48)),"lock "&amp;TEXT($CA438,"0.0")&amp;CHAR(34)&amp;" AFF outside 34-48"&amp;CHAR(34)&amp;" (ADA), ","")&amp;IF(AND(ISNUMBER($AV438),ISNUMBER($BL438),N($AV438)&lt;IF(N($BL438)&lt;=60,2,IF(N($BL438)&lt;=90,3,IF(N($BL438)&lt;=120,4,5)))),"fewer hinges than standard, ",""))</f>
        <v/>
      </c>
    </row>
    <row r="439" ht="15" customHeight="1">
      <c r="A439" s="77" t="n"/>
      <c r="B439" s="78" t="n"/>
      <c r="C439" s="78" t="n"/>
      <c r="D439" s="78" t="n"/>
      <c r="E439" s="78" t="n"/>
      <c r="F439" s="78" t="n"/>
      <c r="G439" s="78" t="n"/>
      <c r="H439" s="78" t="n"/>
      <c r="I439" s="78" t="n"/>
      <c r="J439" s="78" t="n"/>
      <c r="K439" s="78" t="n"/>
      <c r="L439" s="78" t="n"/>
      <c r="M439" s="78" t="n"/>
      <c r="N439" s="78" t="n"/>
      <c r="O439" s="78" t="n"/>
      <c r="P439" s="78" t="n"/>
      <c r="Q439" s="78" t="n"/>
      <c r="R439" s="78" t="n"/>
      <c r="S439" s="79" t="n"/>
      <c r="T439" s="79" t="n"/>
      <c r="U439" s="79" t="n"/>
      <c r="V439" s="79" t="n"/>
      <c r="W439" s="79" t="n"/>
      <c r="X439" s="79" t="n"/>
      <c r="Y439" s="79" t="n"/>
      <c r="Z439" s="79" t="n"/>
      <c r="AA439" s="79" t="n"/>
      <c r="AB439" s="79" t="n"/>
      <c r="AC439" s="79" t="n"/>
      <c r="AD439" s="79" t="n"/>
      <c r="AE439" s="79" t="n"/>
      <c r="AF439" s="79" t="n"/>
      <c r="AG439" s="79" t="n"/>
      <c r="AH439" s="80" t="n"/>
      <c r="AI439" s="80" t="n"/>
      <c r="AJ439" s="80" t="n"/>
      <c r="AK439" s="80" t="n"/>
      <c r="AL439" s="80" t="n"/>
      <c r="AM439" s="80" t="n"/>
      <c r="AN439" s="80" t="n"/>
      <c r="AO439" s="80" t="n"/>
      <c r="AP439" s="80" t="n"/>
      <c r="AQ439" s="80" t="n"/>
      <c r="AR439" s="80" t="n"/>
      <c r="AS439" s="80" t="n"/>
      <c r="AT439" s="81" t="n"/>
      <c r="AU439" s="81" t="n"/>
      <c r="AV439" s="81" t="n"/>
      <c r="AW439" s="82" t="n"/>
      <c r="AX439" s="82" t="n"/>
      <c r="AY439" s="82" t="n"/>
      <c r="AZ439" s="82" t="n"/>
      <c r="BA439" s="82" t="n"/>
      <c r="BB439" s="83" t="n"/>
      <c r="BC439" s="83" t="n"/>
      <c r="BD439" s="84">
        <f>IF($A439="","",IF($DJ439&lt;&gt;"","FIX",IF($DK439&lt;&gt;"","CHECK","OK")))</f>
        <v/>
      </c>
      <c r="BE439" s="85">
        <f>IF($A439="","",IF($DJ439&lt;&gt;"","FIX: "&amp;LEFT($DJ439,LEN($DJ439)-2)&amp;IF($DK439&lt;&gt;"","  ·  ",""),"")&amp;IF($DK439&lt;&gt;"","CHECK: "&amp;LEFT($DK439,LEN($DK439)-2),""))</f>
        <v/>
      </c>
      <c r="BF439" s="84">
        <f>IF(OR($A439="",$K439=""),"",$K439&amp;"'-"&amp;N($L439)&amp;CHAR(34)&amp;" x "&amp;$M439&amp;"'-"&amp;N($N439)&amp;CHAR(34))</f>
        <v/>
      </c>
      <c r="BG439" s="84">
        <f>IF(OR($A439="",$K439=""),"",$K439&amp;N($L439)&amp;$M439&amp;N($N439))</f>
        <v/>
      </c>
      <c r="BH439" s="84">
        <f>IF(OR($A439="",$K439=""),"",$K439*12+N($L439))</f>
        <v/>
      </c>
      <c r="BI439" s="84">
        <f>IF(OR($A439="",$M439=""),"",$M439*12+N($N439))</f>
        <v/>
      </c>
      <c r="BJ439" s="84">
        <f>IF($A439="","",IF(OR($C439="FRAME ONLY",$S439="BL"),0,IF($O439="Y",2,1)))</f>
        <v/>
      </c>
      <c r="BK439" s="86">
        <f>IF(OR(N($BJ439)=0,$BH439=""),"",($BH439-2*EdgeClr-IF($BJ439=2,MeetClr,0))/$BJ439)</f>
        <v/>
      </c>
      <c r="BL439" s="86">
        <f>IF(OR(N($BJ439)=0,$BI439=""),"",$BI439-HeadClr-Undercut)</f>
        <v/>
      </c>
      <c r="BM439" s="86">
        <f>IF($BH439="","",$BH439+2*FaceW+IF(N($Q439)&gt;0,($Q439+FaceW)*IF($R439="LR",2,1),0))</f>
        <v/>
      </c>
      <c r="BN439" s="86">
        <f>IF($BI439="","",$BI439+IF($AB439="Y",4,FaceW)+IF(N($P439)&gt;0,$P439+FaceW,0)+IF(OR($S439="4F",$S439="BL"),FaceW,0))</f>
        <v/>
      </c>
      <c r="BO439" s="86">
        <f>IF($BM439="","",$BM439+2*ROSide)</f>
        <v/>
      </c>
      <c r="BP439" s="86">
        <f>IF($BN439="","",$BN439+ROTop)</f>
        <v/>
      </c>
      <c r="BQ439" s="87">
        <f>IF(OR(N($BJ439)=0,$BH439=""),"",$BH439/$BJ439-ClearDeduct)</f>
        <v/>
      </c>
      <c r="BR439" s="84">
        <f>IF(N($CH439)=0,"",IF($CH439&gt;=180,"A · 3 HR",IF($CH439&gt;=90,"B · 1-1/2 HR",IF($CH439&gt;=60,"B · 1 HR",IF($CH439&gt;=45,"C · 3/4 HR","20 MIN")))))&amp;IF(AND(N($CH439)&gt;0,OR($I439="CORRIDOR",$I439="SMOKE BARRIER"))," · S","")</f>
        <v/>
      </c>
      <c r="BS439" s="84">
        <f>IF($CS439,"",IF($AV439&lt;&gt;"",$AV439,IF(OR($AC439="HGC",$AO439="HGC"),"CONT",IF(($BI439-HeadClr-Undercut)&lt;=60,2,IF(($BI439-HeadClr-Undercut)&lt;=90,3,IF(($BI439-HeadClr-Undercut)&lt;=120,4,5))))))</f>
        <v/>
      </c>
      <c r="BT439" s="84">
        <f>IF($CS439,"",IF($CT439,"CUSTOM (typed)",IF($CV439,$AT439&amp;" "&amp;$CU439&amp;CHAR(34)&amp;IF($CU439&lt;&gt;$BI439,IF(AND($BI439&lt;$CU439,$BI439-IF(N(VLOOKUP($AT439&amp;"|"&amp;$CU439,LocTable,7,FALSE))&gt;0,VLOOKUP($AT439&amp;"|"&amp;$CU439,LocTable,7,FALSE),VLOOKUP($AT439&amp;"|"&amp;$CU439,LocTable,6,FALSE))-$CR439-0.75&gt;=2.125)," cut down"," adj."),""),"ANSI/SDI A250.6")))</f>
        <v/>
      </c>
      <c r="BU439" s="88">
        <f>IF($CS439,"",IF($CT439,IF(N($AW439)&gt;0,N($AW439),""),IF(1&gt;$CQ439,"",IF($CQ439=1,$CW439,$CW439+($CX439-$CW439)*0/($CQ439-1)))))</f>
        <v/>
      </c>
      <c r="BV439" s="88">
        <f>IF($CS439,"",IF($CT439,IF(N($AX439)&gt;0,N($AX439),""),IF(2&gt;$CQ439,"",IF($CQ439=1,$CW439,$CW439+($CX439-$CW439)*1/($CQ439-1)))))</f>
        <v/>
      </c>
      <c r="BW439" s="88">
        <f>IF($CS439,"",IF($CT439,IF(N($AY439)&gt;0,N($AY439),""),IF(3&gt;$CQ439,"",IF($CQ439=1,$CW439,$CW439+($CX439-$CW439)*2/($CQ439-1)))))</f>
        <v/>
      </c>
      <c r="BX439" s="88">
        <f>IF($CS439,"",IF($CT439,IF(N($AZ439)&gt;0,N($AZ439),""),IF(4&gt;$CQ439,"",IF($CQ439=1,$CW439,$CW439+($CX439-$CW439)*3/($CQ439-1)))))</f>
        <v/>
      </c>
      <c r="BY439" s="88">
        <f>IF($CS439,"",IF($CT439,"",IF(5&gt;$CQ439,"",IF($CQ439=1,$CW439,$CW439+($CX439-$CW439)*4/($CQ439-1)))))</f>
        <v/>
      </c>
      <c r="BZ439" s="88">
        <f>IF(OR($CS439,$AP439="-",AND($AP439="",$AD439="")),"",IF(N($BA439)&gt;0,N($BA439),IF($CV439,IF(AND($BI439&lt;$CU439,$BI439-IF(N(VLOOKUP($AT439&amp;"|"&amp;$CU439,LocTable,7,FALSE))&gt;0,VLOOKUP($AT439&amp;"|"&amp;$CU439,LocTable,7,FALSE),VLOOKUP($AT439&amp;"|"&amp;$CU439,LocTable,6,FALSE))-$CR439-0.75&gt;=2.125),VLOOKUP($AT439&amp;"|"&amp;$CU439,LocTable,8,FALSE),VLOOKUP($AT439&amp;"|"&amp;$CU439,LocTable,8,FALSE)+($BI439-$CU439)),$BI439-LockAFF)))</f>
        <v/>
      </c>
      <c r="CA439" s="89">
        <f>IF($BZ439="","",$BI439-$BZ439)</f>
        <v/>
      </c>
      <c r="CB439" s="84">
        <f>IF(OR(NOT(AND($A439&lt;&gt;"",$C439&lt;&gt;"DOOR ONLY")),$BI439=""),"",IF(($BI439+IF(N($P439)&gt;0,$P439+FaceW,0))&lt;=90,3,IF(($BI439+IF(N($P439)&gt;0,$P439+FaceW,0))&lt;=114,4,5)))</f>
        <v/>
      </c>
      <c r="CC439" s="84">
        <f>IF($CB439="","",$CB439*(2+IF(N($Q439)&gt;0,IF($R439="LR",2,1),0)))</f>
        <v/>
      </c>
      <c r="CD439" s="84">
        <f>IF($CB439="","",(2+IF(N($Q439)&gt;0,IF($R439="LR",2,1),0)))</f>
        <v/>
      </c>
      <c r="CE439" s="84">
        <f>IF(N($BJ439)=0,"",IF(OR($AL439="",$AL439="FLUSH"),"FLUSH",IFERROR(LEFT($AL439,FIND("-",$AL439)-1),LEFT($AL439,2))))</f>
        <v/>
      </c>
      <c r="CF439" s="84">
        <f>IF($CE439="","",IFERROR(VALUE(MID($AL439,FIND("-",$AL439)+1,FIND(CHAR(34)&amp;"x",$AL439)-FIND("-",$AL439)-1)),0))</f>
        <v/>
      </c>
      <c r="CG439" s="84">
        <f>IF($CE439="","",IFERROR(VALUE(MID($AL439,FIND(CHAR(34)&amp;"x",$AL439)+2,FIND(CHAR(34),$AL439,FIND(CHAR(34)&amp;"x",$AL439)+2)-FIND(CHAR(34)&amp;"x",$AL439)-2)),0))</f>
        <v/>
      </c>
      <c r="CH439" s="90">
        <f>IF(OR($A439="",$H439="",$H439="NO LAB"),0,IFERROR(VALUE(LEFT($H439,FIND(" ",$H439)-1)),0))</f>
        <v/>
      </c>
      <c r="CI439" s="91">
        <f>IF(OR($A439="",$I439="",$I439="NON-RATED",N($J439)=0),"",IFERROR(VLOOKUP($I439&amp;"|"&amp;$J439,IBC,2,FALSE),"?"))</f>
        <v/>
      </c>
      <c r="CJ439" s="85">
        <f>IF(NOT(AND($A439&lt;&gt;"",$C439&lt;&gt;"DOOR ONLY")),"",TRIM(IFERROR(VLOOKUP($U439,CODES,2,FALSE),"")&amp;" "&amp;$BG439&amp;" "&amp;IFERROR(VLOOKUP($Z439,CODES,2,FALSE),"")&amp;" "&amp;IFERROR(VLOOKUP($X439,CODES,2,FALSE),"")&amp;" "&amp;IFERROR(VLOOKUP($S439,CODES,2,FALSE),"")&amp;IF(N($P439)&gt;0," w/TRANSOM "&amp;$P439&amp;CHAR(34),"")&amp;IF(N($Q439)&gt;0," w/SIDELITE "&amp;$Q439&amp;CHAR(34)&amp;" "&amp;IF($R439="","R",$R439),"")&amp;IF($Y439="","  |  "," | "&amp;IFERROR(VLOOKUP($Y439,CODES,2,FALSE),"")&amp;" | ")&amp;IFERROR(VLOOKUP($AC439,CODES,2,FALSE),"")&amp;" "&amp;IFERROR(VLOOKUP($AD439,CODES,2,FALSE),"")&amp;IF(OR($AE439="",$AE439="-"),""," "&amp;$AE439)&amp;IF(OR($AF439="",$AF439="-"),""," "&amp;$AF439)&amp;IF($AB439="Y"," 4"&amp;CHAR(34)&amp;" HEAD","")&amp;" "&amp;IFERROR(VLOOKUP($H439,CODES,2,FALSE),"")&amp;IF($CT439," | LOC "&amp;$CY439,"")))</f>
        <v/>
      </c>
      <c r="CK439" s="85">
        <f>IF(NOT(AND($A439&lt;&gt;"",N($BJ439)&gt;0)),"",TRIM(IFERROR(VLOOKUP($AH439,CODES,2,FALSE),"")&amp;IF($AI439=""," "," "&amp;$AI439&amp;"GA ")&amp;$BG439&amp;" "&amp;IF($AN439="",IFERROR(VLOOKUP($Z439,CODES,2,FALSE),""),IFERROR(VLOOKUP($AN439,CODES,2,FALSE),""))&amp;IF($BJ439=2," PAIR","")&amp;" DOOR | "&amp;IF($AL439="","?",$AL439)&amp;" | "&amp;IF($AO439="",IFERROR(VLOOKUP($AC439,CODES,2,FALSE),""),IFERROR(VLOOKUP($AO439,CODES,2,FALSE),""))&amp;" "&amp;IFERROR(VLOOKUP($AP439,CODES,2,FALSE),"")&amp;IF(OR($AQ439="",$AQ439="-"),""," SEAM "&amp;$AQ439)&amp;IF($AR439="Y"," ASTRAGAL","")&amp;IF($AJ439=""," "," "&amp;$AJ439)&amp;IF($AK439=""," "," "&amp;$AK439)&amp;IF(OR($AT439="",$AT439="ANSI/SDI",$AT439="CUSTOM LOC"),""," "&amp;$AT439)&amp;IF($AM439=""," "," SERIES "&amp;$AM439)&amp;" "&amp;IFERROR(VLOOKUP($H439,CODES,2,FALSE),"")&amp;IF($CT439," | LOC "&amp;$CZ439,"")))</f>
        <v/>
      </c>
      <c r="CL439" s="84">
        <f>IF(CP439="","",IF(COUNTIF($CP$6:CP439,CP439)=1,MAX($CL$5:CL438)+1,INDEX($CL$5:CL438,MATCH(CP439,$CP$5:CP438,0))))</f>
        <v/>
      </c>
      <c r="CM439" s="84">
        <f>IF(NOT(AND($A439&lt;&gt;"",$C439&lt;&gt;"DOOR ONLY")),"",MAX($CM$5:CM438)+1)</f>
        <v/>
      </c>
      <c r="CN439" s="84">
        <f>IF(NOT(AND($A439&lt;&gt;"",N($BJ439)&gt;0)),"",MAX($CN$5:CN438)+1)</f>
        <v/>
      </c>
      <c r="CO439" s="84">
        <f>IF($A439="","",MAX($CO$5:CO438)+1)</f>
        <v/>
      </c>
      <c r="CP439" s="84">
        <f>IF(OR($A439="",$BH439="",$BI439=""),"",$BG439&amp;"|"&amp;$O439&amp;"|"&amp;$AL439&amp;"|"&amp;$S439&amp;"|"&amp;$P439&amp;"|"&amp;$Q439&amp;$R439&amp;"|"&amp;$C439&amp;"|"&amp;$AB439)</f>
        <v/>
      </c>
      <c r="CQ439" s="84">
        <f>N($BS439)</f>
        <v/>
      </c>
      <c r="CR439" s="84">
        <f>IF(N($AU439)&gt;0,N($AU439),4.5)</f>
        <v/>
      </c>
      <c r="CS439" s="84">
        <f>OR($A439="",$BI439="",$S439="BL",AND($C439="FRAME ONLY",OR($AC439="",$AC439="BLK")))</f>
        <v/>
      </c>
      <c r="CT439" s="84">
        <f>AND(NOT($CS439),OR($AT439="CUSTOM LOC",N($AW439)+N($AX439)+N($AY439)+N($AZ439)+N($BA439)&gt;0))</f>
        <v/>
      </c>
      <c r="CU439" s="84">
        <f>IF($BI439="","",IF($BI439&lt;=80,80,IF($BI439&lt;=84,84,96)))</f>
        <v/>
      </c>
      <c r="CV439" s="84">
        <f>ISNUMBER(MATCH($AT439&amp;"|80",LocKeys,0))</f>
        <v/>
      </c>
      <c r="CW439" s="86">
        <f>IF($CS439,"",IF($CV439,VLOOKUP($AT439&amp;"|"&amp;$CU439,LocTable,4,FALSE),5))</f>
        <v/>
      </c>
      <c r="CX439" s="86">
        <f>IF($CS439,"",IF($CV439,IF(OR($BI439=$CU439,AND($BI439&lt;$CU439,$BI439-IF(N(VLOOKUP($AT439&amp;"|"&amp;$CU439,LocTable,7,FALSE))&gt;0,VLOOKUP($AT439&amp;"|"&amp;$CU439,LocTable,7,FALSE),VLOOKUP($AT439&amp;"|"&amp;$CU439,LocTable,6,FALSE))-$CR439-0.75&gt;=2.125)),IF(N(VLOOKUP($AT439&amp;"|"&amp;$CU439,LocTable,7,FALSE))&gt;0,VLOOKUP($AT439&amp;"|"&amp;$CU439,LocTable,7,FALSE),VLOOKUP($AT439&amp;"|"&amp;$CU439,LocTable,6,FALSE)),$BI439-($CU439-IF(N(VLOOKUP($AT439&amp;"|"&amp;$CU439,LocTable,7,FALSE))&gt;0,VLOOKUP($AT439&amp;"|"&amp;$CU439,LocTable,7,FALSE),VLOOKUP($AT439&amp;"|"&amp;$CU439,LocTable,6,FALSE)))),$BI439-10-$CR439))</f>
        <v/>
      </c>
      <c r="CY439" s="85">
        <f>IF($CS439,"",TRIM(IF(ISNUMBER($BU439),"A "&amp;TRIM(TEXT($BU439,"# ?/??"))&amp;CHAR(34)&amp;"  ","")&amp;IF(ISNUMBER($BV439),"B "&amp;TRIM(TEXT($BV439,"# ?/??"))&amp;CHAR(34)&amp;"  ","")&amp;IF(ISNUMBER($BW439),"C "&amp;TRIM(TEXT($BW439,"# ?/??"))&amp;CHAR(34)&amp;"  ","")&amp;IF(ISNUMBER($BX439),"D "&amp;TRIM(TEXT($BX439,"# ?/??"))&amp;CHAR(34)&amp;"  ","")&amp;IF(ISNUMBER($BY439),"F "&amp;TRIM(TEXT($BY439,"# ?/??"))&amp;CHAR(34)&amp;"  ","")&amp;IF(ISNUMBER($BZ439),"E "&amp;TRIM(TEXT($BZ439,"# ?/??"))&amp;CHAR(34)&amp;"  ","")))</f>
        <v/>
      </c>
      <c r="CZ439" s="85">
        <f>IF(OR($CS439,N($BJ439)=0),"",TRIM(IF(ISNUMBER($BU439),"A "&amp;TRIM(TEXT($BU439-HeadClr,"# ?/??"))&amp;CHAR(34)&amp;"  ","")&amp;IF(ISNUMBER($BV439),"B "&amp;TRIM(TEXT($BV439-HeadClr,"# ?/??"))&amp;CHAR(34)&amp;"  ","")&amp;IF(ISNUMBER($BW439),"C "&amp;TRIM(TEXT($BW439-HeadClr,"# ?/??"))&amp;CHAR(34)&amp;"  ","")&amp;IF(ISNUMBER($BX439),"D "&amp;TRIM(TEXT($BX439-HeadClr,"# ?/??"))&amp;CHAR(34)&amp;"  ","")&amp;IF(ISNUMBER($BY439),"F "&amp;TRIM(TEXT($BY439-HeadClr,"# ?/??"))&amp;CHAR(34)&amp;"  ","")&amp;IF(ISNUMBER($BZ439),"E "&amp;TRIM(TEXT($BZ439-HeadClr,"# ?/??"))&amp;CHAR(34)&amp;"  ","")))</f>
        <v/>
      </c>
      <c r="DA439" s="84">
        <f>IF($A439="","",IF($AN439="",IFERROR(VLOOKUP($Z439,CODES,2,FALSE),""),IFERROR(VLOOKUP($AN439,CODES,2,FALSE),"")))</f>
        <v/>
      </c>
      <c r="DB439" s="84">
        <f>IF($A439="","",IF($O439="Y","PR",IF(OR($Z439="L",$Z439="RR",LEFT($Z439,2)="L-",LEFT($Z439,3)="RR-"),"LH","RH")))</f>
        <v/>
      </c>
      <c r="DC439" s="84">
        <f>IF($A439="","","S.HM"&amp;IF(OR($C439="DOOR ONLY",$X439&lt;&gt;"KD"),"MASONRY","DRYWALL")&amp;IF($C439="DOOR ONLY","",$U439)&amp;IF(AND($C439&lt;&gt;"FRAME ONLY",OR(LEFT($AH439,3)="OAK",LEFT($AH439,3)="BIR",LEFT($AH439,3)="MAP",$AH439="PC",$AH439="MC",$AH439="SCLC",$AH439="P-LAM")),"WD","HM")&amp;"1.75")</f>
        <v/>
      </c>
      <c r="DD439" s="84">
        <f>IF($CJ439="","",IF($O439="Y",$CJ439,SUBSTITUTE($CJ439,$BG439&amp;" "&amp;IFERROR(VLOOKUP($Z439,CODES,2,FALSE),"")&amp;" ",$BG439&amp;" ")))</f>
        <v/>
      </c>
      <c r="DE439" s="84">
        <f>IF($CK439="","",IF($O439="Y",$CK439,SUBSTITUTE($CK439,$BG439&amp;" "&amp;IF($AN439="",IFERROR(VLOOKUP($Z439,CODES,2,FALSE),""),IFERROR(VLOOKUP($AN439,CODES,2,FALSE),""))&amp;" ",$BG439&amp;" ")))</f>
        <v/>
      </c>
      <c r="DF439" s="84">
        <f>IF($CJ439="","",$DC439&amp;"|"&amp;$DD439&amp;"|"&amp;$DB439&amp;"|"&amp;$AT439&amp;"|"&amp;$V439&amp;"|"&amp;$Y439&amp;"|"&amp;$AB439)</f>
        <v/>
      </c>
      <c r="DG439" s="84">
        <f>IF(DF439="","",IF(COUNTIF($DF$6:DF439,DF439)=1,MAX($DG$5:DG438)+1,INDEX($DG$5:DG438,MATCH(DF439,$DF$5:DF438,0))))</f>
        <v/>
      </c>
      <c r="DH439" s="84">
        <f>IF($CK439="","",$DC439&amp;"|"&amp;$DE439&amp;"|"&amp;$AI439&amp;"|"&amp;$BK439&amp;"|"&amp;$BL439)</f>
        <v/>
      </c>
      <c r="DI439" s="84">
        <f>IF(DH439="","",IF(COUNTIF($DH$6:DH439,DH439)=1,MAX($DI$5:DI438)+1,INDEX($DI$5:DI438,MATCH(DH439,$DH$5:DH438,0))))</f>
        <v/>
      </c>
      <c r="DJ439" s="84">
        <f>IF($A439="","",IF($B439="","qty, ","")&amp;IF($C439="","scope, ","")&amp;IF(OR($K439="",$M439=""),"size, ","")&amp;IF(AND($A439&lt;&gt;"",$C439&lt;&gt;"DOOR ONLY"),IF($U439="","jamb depth, ","")&amp;IF($X439="","construction, ","")&amp;IF($Y439="","anchor, ","")&amp;IF($S439="","frame type, ",""),"")&amp;IF(AND(N($BJ439)&gt;0,$Z439=""),"hand, ","")&amp;IF(N($BJ439)&gt;0,IF($AH439="","door material, ","")&amp;IF($AL439="","face type, ","")&amp;IF($AP439="","lock prep, ","")&amp;IF(AND($AO439="",$AC439=""),"hinge prep, ",""),"")&amp;IF(AND($CH439&gt;0,$AH439="FRP"),"FRP cannot carry a label, ","")&amp;IF(AND($O439="Y",OR($Z439="L",$Z439="R",$Z439="LR",$Z439="RR")),"pair marked but hand is single, ","")&amp;IF(AND($O439&lt;&gt;"Y",OR($Z439="PR",AND(LEN($Z439)&gt;1,ISNUMBER(SEARCH("-",$Z439))))),"pair hand on a single door, ","")&amp;IF(AND(ISNUMBER($CI439),$CH439&lt;N($CI439)),"wall needs a "&amp;$CI439&amp;" min door, ","")&amp;IF(AND($CH439&gt;=180,AND(OR($CE439="FG",$CE439="HG",$CE439="FNV",$CE439="FV"),N($CF439)*N($CG439)&gt;100)),"180 min lite over 100 sq in, ","")&amp;IF(N($BK439)&gt;48,"leaf wider than 4'-0"&amp;CHAR(34)&amp;", ","")&amp;IF(AND($CT439,COUNT($AW439:$AZ439)=0,$CQ439&gt;0),"CUSTOM LOC with no locations typed, ",""))</f>
        <v/>
      </c>
      <c r="DK439" s="84">
        <f>IF($A439="","",IF(AND($CH439&gt;0,AND($A439&lt;&gt;"",$C439&lt;&gt;"DOOR ONLY"),$X439="KD",$E439="EXTERIOR"),"KD label on an exterior opening, ","")&amp;IF(AND($E439="EXTERIOR",OR(AND(AND($A439&lt;&gt;"",$C439&lt;&gt;"DOOR ONLY"),$W439="CR"),AND(N($BJ439)&gt;0,$AH439="CR"))),"exterior in CR steel (G9?), ","")&amp;IF(AND(ISNUMBER($BQ439),N($BQ439)&lt;32),"clear width ~"&amp;TEXT($BQ439,"0.0")&amp;CHAR(34)&amp;" under 32"&amp;CHAR(34)&amp;" (ADA), ","")&amp;IF(AND($CH439=90,AND(OR($CE439="FG",$CE439="HG",$CE439="FNV",$CE439="FV"),N($CF439)*N($CG439)&gt;100)),"90 min lite over 100 sq in (stair/exit), ","")&amp;IF(AND($CH439&gt;0,AND($A439&lt;&gt;"",$C439&lt;&gt;"DOOR ONLY"),OR($AF439="",$AF439="-")),"rated: closer reinf.?, ","")&amp;IF(OR($I439="CORRIDOR",$I439="SMOKE BARRIER"),"S label + smoke gasketing, ","")&amp;IF($CI439="?","wall type/hr not in IBC table, ","")&amp;IF(AND(N($BJ439)&gt;0,$BB439=""),"no hardware set, ","")&amp;IF(AND($BB439&lt;&gt;"",ISNA(MATCH($BB439&amp;"",HWSets,0))),"set "&amp;$BB439&amp;" not on HW Sets, ","")&amp;IF(N($BL439)&gt;96,"leaf over 8'-0"&amp;CHAR(34)&amp;" - check listing, ","")&amp;IF(AND($CT439,COUNT($AW439:$AZ439)&gt;0,COUNT($AW439:$AZ439)&lt;&gt;$CQ439),COUNT($AW439:$AZ439)&amp;" custom hinges typed, "&amp;$CQ439&amp;" expected, ","")&amp;IF(AND(ISNUMBER($CA439),OR(N($CA439)&lt;34,N($CA439)&gt;48)),"lock "&amp;TEXT($CA439,"0.0")&amp;CHAR(34)&amp;" AFF outside 34-48"&amp;CHAR(34)&amp;" (ADA), ","")&amp;IF(AND(ISNUMBER($AV439),ISNUMBER($BL439),N($AV439)&lt;IF(N($BL439)&lt;=60,2,IF(N($BL439)&lt;=90,3,IF(N($BL439)&lt;=120,4,5)))),"fewer hinges than standard, ",""))</f>
        <v/>
      </c>
    </row>
    <row r="440" ht="15" customHeight="1">
      <c r="A440" s="92" t="n"/>
      <c r="B440" s="93" t="n"/>
      <c r="C440" s="93" t="n"/>
      <c r="D440" s="93" t="n"/>
      <c r="E440" s="93" t="n"/>
      <c r="F440" s="93" t="n"/>
      <c r="G440" s="93" t="n"/>
      <c r="H440" s="93" t="n"/>
      <c r="I440" s="93" t="n"/>
      <c r="J440" s="93" t="n"/>
      <c r="K440" s="93" t="n"/>
      <c r="L440" s="93" t="n"/>
      <c r="M440" s="93" t="n"/>
      <c r="N440" s="93" t="n"/>
      <c r="O440" s="93" t="n"/>
      <c r="P440" s="93" t="n"/>
      <c r="Q440" s="93" t="n"/>
      <c r="R440" s="93" t="n"/>
      <c r="S440" s="94" t="n"/>
      <c r="T440" s="94" t="n"/>
      <c r="U440" s="94" t="n"/>
      <c r="V440" s="94" t="n"/>
      <c r="W440" s="94" t="n"/>
      <c r="X440" s="94" t="n"/>
      <c r="Y440" s="94" t="n"/>
      <c r="Z440" s="94" t="n"/>
      <c r="AA440" s="94" t="n"/>
      <c r="AB440" s="94" t="n"/>
      <c r="AC440" s="94" t="n"/>
      <c r="AD440" s="94" t="n"/>
      <c r="AE440" s="94" t="n"/>
      <c r="AF440" s="94" t="n"/>
      <c r="AG440" s="94" t="n"/>
      <c r="AH440" s="95" t="n"/>
      <c r="AI440" s="95" t="n"/>
      <c r="AJ440" s="95" t="n"/>
      <c r="AK440" s="95" t="n"/>
      <c r="AL440" s="95" t="n"/>
      <c r="AM440" s="95" t="n"/>
      <c r="AN440" s="95" t="n"/>
      <c r="AO440" s="95" t="n"/>
      <c r="AP440" s="95" t="n"/>
      <c r="AQ440" s="95" t="n"/>
      <c r="AR440" s="95" t="n"/>
      <c r="AS440" s="95" t="n"/>
      <c r="AT440" s="96" t="n"/>
      <c r="AU440" s="96" t="n"/>
      <c r="AV440" s="96" t="n"/>
      <c r="AW440" s="97" t="n"/>
      <c r="AX440" s="97" t="n"/>
      <c r="AY440" s="97" t="n"/>
      <c r="AZ440" s="97" t="n"/>
      <c r="BA440" s="97" t="n"/>
      <c r="BB440" s="98" t="n"/>
      <c r="BC440" s="98" t="n"/>
      <c r="BD440" s="99">
        <f>IF($A440="","",IF($DJ440&lt;&gt;"","FIX",IF($DK440&lt;&gt;"","CHECK","OK")))</f>
        <v/>
      </c>
      <c r="BE440" s="100">
        <f>IF($A440="","",IF($DJ440&lt;&gt;"","FIX: "&amp;LEFT($DJ440,LEN($DJ440)-2)&amp;IF($DK440&lt;&gt;"","  ·  ",""),"")&amp;IF($DK440&lt;&gt;"","CHECK: "&amp;LEFT($DK440,LEN($DK440)-2),""))</f>
        <v/>
      </c>
      <c r="BF440" s="99">
        <f>IF(OR($A440="",$K440=""),"",$K440&amp;"'-"&amp;N($L440)&amp;CHAR(34)&amp;" x "&amp;$M440&amp;"'-"&amp;N($N440)&amp;CHAR(34))</f>
        <v/>
      </c>
      <c r="BG440" s="99">
        <f>IF(OR($A440="",$K440=""),"",$K440&amp;N($L440)&amp;$M440&amp;N($N440))</f>
        <v/>
      </c>
      <c r="BH440" s="99">
        <f>IF(OR($A440="",$K440=""),"",$K440*12+N($L440))</f>
        <v/>
      </c>
      <c r="BI440" s="99">
        <f>IF(OR($A440="",$M440=""),"",$M440*12+N($N440))</f>
        <v/>
      </c>
      <c r="BJ440" s="99">
        <f>IF($A440="","",IF(OR($C440="FRAME ONLY",$S440="BL"),0,IF($O440="Y",2,1)))</f>
        <v/>
      </c>
      <c r="BK440" s="101">
        <f>IF(OR(N($BJ440)=0,$BH440=""),"",($BH440-2*EdgeClr-IF($BJ440=2,MeetClr,0))/$BJ440)</f>
        <v/>
      </c>
      <c r="BL440" s="101">
        <f>IF(OR(N($BJ440)=0,$BI440=""),"",$BI440-HeadClr-Undercut)</f>
        <v/>
      </c>
      <c r="BM440" s="101">
        <f>IF($BH440="","",$BH440+2*FaceW+IF(N($Q440)&gt;0,($Q440+FaceW)*IF($R440="LR",2,1),0))</f>
        <v/>
      </c>
      <c r="BN440" s="101">
        <f>IF($BI440="","",$BI440+IF($AB440="Y",4,FaceW)+IF(N($P440)&gt;0,$P440+FaceW,0)+IF(OR($S440="4F",$S440="BL"),FaceW,0))</f>
        <v/>
      </c>
      <c r="BO440" s="101">
        <f>IF($BM440="","",$BM440+2*ROSide)</f>
        <v/>
      </c>
      <c r="BP440" s="101">
        <f>IF($BN440="","",$BN440+ROTop)</f>
        <v/>
      </c>
      <c r="BQ440" s="102">
        <f>IF(OR(N($BJ440)=0,$BH440=""),"",$BH440/$BJ440-ClearDeduct)</f>
        <v/>
      </c>
      <c r="BR440" s="99">
        <f>IF(N($CH440)=0,"",IF($CH440&gt;=180,"A · 3 HR",IF($CH440&gt;=90,"B · 1-1/2 HR",IF($CH440&gt;=60,"B · 1 HR",IF($CH440&gt;=45,"C · 3/4 HR","20 MIN")))))&amp;IF(AND(N($CH440)&gt;0,OR($I440="CORRIDOR",$I440="SMOKE BARRIER"))," · S","")</f>
        <v/>
      </c>
      <c r="BS440" s="99">
        <f>IF($CS440,"",IF($AV440&lt;&gt;"",$AV440,IF(OR($AC440="HGC",$AO440="HGC"),"CONT",IF(($BI440-HeadClr-Undercut)&lt;=60,2,IF(($BI440-HeadClr-Undercut)&lt;=90,3,IF(($BI440-HeadClr-Undercut)&lt;=120,4,5))))))</f>
        <v/>
      </c>
      <c r="BT440" s="99">
        <f>IF($CS440,"",IF($CT440,"CUSTOM (typed)",IF($CV440,$AT440&amp;" "&amp;$CU440&amp;CHAR(34)&amp;IF($CU440&lt;&gt;$BI440,IF(AND($BI440&lt;$CU440,$BI440-IF(N(VLOOKUP($AT440&amp;"|"&amp;$CU440,LocTable,7,FALSE))&gt;0,VLOOKUP($AT440&amp;"|"&amp;$CU440,LocTable,7,FALSE),VLOOKUP($AT440&amp;"|"&amp;$CU440,LocTable,6,FALSE))-$CR440-0.75&gt;=2.125)," cut down"," adj."),""),"ANSI/SDI A250.6")))</f>
        <v/>
      </c>
      <c r="BU440" s="103">
        <f>IF($CS440,"",IF($CT440,IF(N($AW440)&gt;0,N($AW440),""),IF(1&gt;$CQ440,"",IF($CQ440=1,$CW440,$CW440+($CX440-$CW440)*0/($CQ440-1)))))</f>
        <v/>
      </c>
      <c r="BV440" s="103">
        <f>IF($CS440,"",IF($CT440,IF(N($AX440)&gt;0,N($AX440),""),IF(2&gt;$CQ440,"",IF($CQ440=1,$CW440,$CW440+($CX440-$CW440)*1/($CQ440-1)))))</f>
        <v/>
      </c>
      <c r="BW440" s="103">
        <f>IF($CS440,"",IF($CT440,IF(N($AY440)&gt;0,N($AY440),""),IF(3&gt;$CQ440,"",IF($CQ440=1,$CW440,$CW440+($CX440-$CW440)*2/($CQ440-1)))))</f>
        <v/>
      </c>
      <c r="BX440" s="103">
        <f>IF($CS440,"",IF($CT440,IF(N($AZ440)&gt;0,N($AZ440),""),IF(4&gt;$CQ440,"",IF($CQ440=1,$CW440,$CW440+($CX440-$CW440)*3/($CQ440-1)))))</f>
        <v/>
      </c>
      <c r="BY440" s="103">
        <f>IF($CS440,"",IF($CT440,"",IF(5&gt;$CQ440,"",IF($CQ440=1,$CW440,$CW440+($CX440-$CW440)*4/($CQ440-1)))))</f>
        <v/>
      </c>
      <c r="BZ440" s="103">
        <f>IF(OR($CS440,$AP440="-",AND($AP440="",$AD440="")),"",IF(N($BA440)&gt;0,N($BA440),IF($CV440,IF(AND($BI440&lt;$CU440,$BI440-IF(N(VLOOKUP($AT440&amp;"|"&amp;$CU440,LocTable,7,FALSE))&gt;0,VLOOKUP($AT440&amp;"|"&amp;$CU440,LocTable,7,FALSE),VLOOKUP($AT440&amp;"|"&amp;$CU440,LocTable,6,FALSE))-$CR440-0.75&gt;=2.125),VLOOKUP($AT440&amp;"|"&amp;$CU440,LocTable,8,FALSE),VLOOKUP($AT440&amp;"|"&amp;$CU440,LocTable,8,FALSE)+($BI440-$CU440)),$BI440-LockAFF)))</f>
        <v/>
      </c>
      <c r="CA440" s="104">
        <f>IF($BZ440="","",$BI440-$BZ440)</f>
        <v/>
      </c>
      <c r="CB440" s="99">
        <f>IF(OR(NOT(AND($A440&lt;&gt;"",$C440&lt;&gt;"DOOR ONLY")),$BI440=""),"",IF(($BI440+IF(N($P440)&gt;0,$P440+FaceW,0))&lt;=90,3,IF(($BI440+IF(N($P440)&gt;0,$P440+FaceW,0))&lt;=114,4,5)))</f>
        <v/>
      </c>
      <c r="CC440" s="99">
        <f>IF($CB440="","",$CB440*(2+IF(N($Q440)&gt;0,IF($R440="LR",2,1),0)))</f>
        <v/>
      </c>
      <c r="CD440" s="99">
        <f>IF($CB440="","",(2+IF(N($Q440)&gt;0,IF($R440="LR",2,1),0)))</f>
        <v/>
      </c>
      <c r="CE440" s="99">
        <f>IF(N($BJ440)=0,"",IF(OR($AL440="",$AL440="FLUSH"),"FLUSH",IFERROR(LEFT($AL440,FIND("-",$AL440)-1),LEFT($AL440,2))))</f>
        <v/>
      </c>
      <c r="CF440" s="99">
        <f>IF($CE440="","",IFERROR(VALUE(MID($AL440,FIND("-",$AL440)+1,FIND(CHAR(34)&amp;"x",$AL440)-FIND("-",$AL440)-1)),0))</f>
        <v/>
      </c>
      <c r="CG440" s="99">
        <f>IF($CE440="","",IFERROR(VALUE(MID($AL440,FIND(CHAR(34)&amp;"x",$AL440)+2,FIND(CHAR(34),$AL440,FIND(CHAR(34)&amp;"x",$AL440)+2)-FIND(CHAR(34)&amp;"x",$AL440)-2)),0))</f>
        <v/>
      </c>
      <c r="CH440" s="105">
        <f>IF(OR($A440="",$H440="",$H440="NO LAB"),0,IFERROR(VALUE(LEFT($H440,FIND(" ",$H440)-1)),0))</f>
        <v/>
      </c>
      <c r="CI440" s="106">
        <f>IF(OR($A440="",$I440="",$I440="NON-RATED",N($J440)=0),"",IFERROR(VLOOKUP($I440&amp;"|"&amp;$J440,IBC,2,FALSE),"?"))</f>
        <v/>
      </c>
      <c r="CJ440" s="100">
        <f>IF(NOT(AND($A440&lt;&gt;"",$C440&lt;&gt;"DOOR ONLY")),"",TRIM(IFERROR(VLOOKUP($U440,CODES,2,FALSE),"")&amp;" "&amp;$BG440&amp;" "&amp;IFERROR(VLOOKUP($Z440,CODES,2,FALSE),"")&amp;" "&amp;IFERROR(VLOOKUP($X440,CODES,2,FALSE),"")&amp;" "&amp;IFERROR(VLOOKUP($S440,CODES,2,FALSE),"")&amp;IF(N($P440)&gt;0," w/TRANSOM "&amp;$P440&amp;CHAR(34),"")&amp;IF(N($Q440)&gt;0," w/SIDELITE "&amp;$Q440&amp;CHAR(34)&amp;" "&amp;IF($R440="","R",$R440),"")&amp;IF($Y440="","  |  "," | "&amp;IFERROR(VLOOKUP($Y440,CODES,2,FALSE),"")&amp;" | ")&amp;IFERROR(VLOOKUP($AC440,CODES,2,FALSE),"")&amp;" "&amp;IFERROR(VLOOKUP($AD440,CODES,2,FALSE),"")&amp;IF(OR($AE440="",$AE440="-"),""," "&amp;$AE440)&amp;IF(OR($AF440="",$AF440="-"),""," "&amp;$AF440)&amp;IF($AB440="Y"," 4"&amp;CHAR(34)&amp;" HEAD","")&amp;" "&amp;IFERROR(VLOOKUP($H440,CODES,2,FALSE),"")&amp;IF($CT440," | LOC "&amp;$CY440,"")))</f>
        <v/>
      </c>
      <c r="CK440" s="100">
        <f>IF(NOT(AND($A440&lt;&gt;"",N($BJ440)&gt;0)),"",TRIM(IFERROR(VLOOKUP($AH440,CODES,2,FALSE),"")&amp;IF($AI440=""," "," "&amp;$AI440&amp;"GA ")&amp;$BG440&amp;" "&amp;IF($AN440="",IFERROR(VLOOKUP($Z440,CODES,2,FALSE),""),IFERROR(VLOOKUP($AN440,CODES,2,FALSE),""))&amp;IF($BJ440=2," PAIR","")&amp;" DOOR | "&amp;IF($AL440="","?",$AL440)&amp;" | "&amp;IF($AO440="",IFERROR(VLOOKUP($AC440,CODES,2,FALSE),""),IFERROR(VLOOKUP($AO440,CODES,2,FALSE),""))&amp;" "&amp;IFERROR(VLOOKUP($AP440,CODES,2,FALSE),"")&amp;IF(OR($AQ440="",$AQ440="-"),""," SEAM "&amp;$AQ440)&amp;IF($AR440="Y"," ASTRAGAL","")&amp;IF($AJ440=""," "," "&amp;$AJ440)&amp;IF($AK440=""," "," "&amp;$AK440)&amp;IF(OR($AT440="",$AT440="ANSI/SDI",$AT440="CUSTOM LOC"),""," "&amp;$AT440)&amp;IF($AM440=""," "," SERIES "&amp;$AM440)&amp;" "&amp;IFERROR(VLOOKUP($H440,CODES,2,FALSE),"")&amp;IF($CT440," | LOC "&amp;$CZ440,"")))</f>
        <v/>
      </c>
      <c r="CL440" s="99">
        <f>IF(CP440="","",IF(COUNTIF($CP$6:CP440,CP440)=1,MAX($CL$5:CL439)+1,INDEX($CL$5:CL439,MATCH(CP440,$CP$5:CP439,0))))</f>
        <v/>
      </c>
      <c r="CM440" s="99">
        <f>IF(NOT(AND($A440&lt;&gt;"",$C440&lt;&gt;"DOOR ONLY")),"",MAX($CM$5:CM439)+1)</f>
        <v/>
      </c>
      <c r="CN440" s="99">
        <f>IF(NOT(AND($A440&lt;&gt;"",N($BJ440)&gt;0)),"",MAX($CN$5:CN439)+1)</f>
        <v/>
      </c>
      <c r="CO440" s="99">
        <f>IF($A440="","",MAX($CO$5:CO439)+1)</f>
        <v/>
      </c>
      <c r="CP440" s="99">
        <f>IF(OR($A440="",$BH440="",$BI440=""),"",$BG440&amp;"|"&amp;$O440&amp;"|"&amp;$AL440&amp;"|"&amp;$S440&amp;"|"&amp;$P440&amp;"|"&amp;$Q440&amp;$R440&amp;"|"&amp;$C440&amp;"|"&amp;$AB440)</f>
        <v/>
      </c>
      <c r="CQ440" s="99">
        <f>N($BS440)</f>
        <v/>
      </c>
      <c r="CR440" s="99">
        <f>IF(N($AU440)&gt;0,N($AU440),4.5)</f>
        <v/>
      </c>
      <c r="CS440" s="99">
        <f>OR($A440="",$BI440="",$S440="BL",AND($C440="FRAME ONLY",OR($AC440="",$AC440="BLK")))</f>
        <v/>
      </c>
      <c r="CT440" s="99">
        <f>AND(NOT($CS440),OR($AT440="CUSTOM LOC",N($AW440)+N($AX440)+N($AY440)+N($AZ440)+N($BA440)&gt;0))</f>
        <v/>
      </c>
      <c r="CU440" s="99">
        <f>IF($BI440="","",IF($BI440&lt;=80,80,IF($BI440&lt;=84,84,96)))</f>
        <v/>
      </c>
      <c r="CV440" s="99">
        <f>ISNUMBER(MATCH($AT440&amp;"|80",LocKeys,0))</f>
        <v/>
      </c>
      <c r="CW440" s="101">
        <f>IF($CS440,"",IF($CV440,VLOOKUP($AT440&amp;"|"&amp;$CU440,LocTable,4,FALSE),5))</f>
        <v/>
      </c>
      <c r="CX440" s="101">
        <f>IF($CS440,"",IF($CV440,IF(OR($BI440=$CU440,AND($BI440&lt;$CU440,$BI440-IF(N(VLOOKUP($AT440&amp;"|"&amp;$CU440,LocTable,7,FALSE))&gt;0,VLOOKUP($AT440&amp;"|"&amp;$CU440,LocTable,7,FALSE),VLOOKUP($AT440&amp;"|"&amp;$CU440,LocTable,6,FALSE))-$CR440-0.75&gt;=2.125)),IF(N(VLOOKUP($AT440&amp;"|"&amp;$CU440,LocTable,7,FALSE))&gt;0,VLOOKUP($AT440&amp;"|"&amp;$CU440,LocTable,7,FALSE),VLOOKUP($AT440&amp;"|"&amp;$CU440,LocTable,6,FALSE)),$BI440-($CU440-IF(N(VLOOKUP($AT440&amp;"|"&amp;$CU440,LocTable,7,FALSE))&gt;0,VLOOKUP($AT440&amp;"|"&amp;$CU440,LocTable,7,FALSE),VLOOKUP($AT440&amp;"|"&amp;$CU440,LocTable,6,FALSE)))),$BI440-10-$CR440))</f>
        <v/>
      </c>
      <c r="CY440" s="100">
        <f>IF($CS440,"",TRIM(IF(ISNUMBER($BU440),"A "&amp;TRIM(TEXT($BU440,"# ?/??"))&amp;CHAR(34)&amp;"  ","")&amp;IF(ISNUMBER($BV440),"B "&amp;TRIM(TEXT($BV440,"# ?/??"))&amp;CHAR(34)&amp;"  ","")&amp;IF(ISNUMBER($BW440),"C "&amp;TRIM(TEXT($BW440,"# ?/??"))&amp;CHAR(34)&amp;"  ","")&amp;IF(ISNUMBER($BX440),"D "&amp;TRIM(TEXT($BX440,"# ?/??"))&amp;CHAR(34)&amp;"  ","")&amp;IF(ISNUMBER($BY440),"F "&amp;TRIM(TEXT($BY440,"# ?/??"))&amp;CHAR(34)&amp;"  ","")&amp;IF(ISNUMBER($BZ440),"E "&amp;TRIM(TEXT($BZ440,"# ?/??"))&amp;CHAR(34)&amp;"  ","")))</f>
        <v/>
      </c>
      <c r="CZ440" s="100">
        <f>IF(OR($CS440,N($BJ440)=0),"",TRIM(IF(ISNUMBER($BU440),"A "&amp;TRIM(TEXT($BU440-HeadClr,"# ?/??"))&amp;CHAR(34)&amp;"  ","")&amp;IF(ISNUMBER($BV440),"B "&amp;TRIM(TEXT($BV440-HeadClr,"# ?/??"))&amp;CHAR(34)&amp;"  ","")&amp;IF(ISNUMBER($BW440),"C "&amp;TRIM(TEXT($BW440-HeadClr,"# ?/??"))&amp;CHAR(34)&amp;"  ","")&amp;IF(ISNUMBER($BX440),"D "&amp;TRIM(TEXT($BX440-HeadClr,"# ?/??"))&amp;CHAR(34)&amp;"  ","")&amp;IF(ISNUMBER($BY440),"F "&amp;TRIM(TEXT($BY440-HeadClr,"# ?/??"))&amp;CHAR(34)&amp;"  ","")&amp;IF(ISNUMBER($BZ440),"E "&amp;TRIM(TEXT($BZ440-HeadClr,"# ?/??"))&amp;CHAR(34)&amp;"  ","")))</f>
        <v/>
      </c>
      <c r="DA440" s="99">
        <f>IF($A440="","",IF($AN440="",IFERROR(VLOOKUP($Z440,CODES,2,FALSE),""),IFERROR(VLOOKUP($AN440,CODES,2,FALSE),"")))</f>
        <v/>
      </c>
      <c r="DB440" s="99">
        <f>IF($A440="","",IF($O440="Y","PR",IF(OR($Z440="L",$Z440="RR",LEFT($Z440,2)="L-",LEFT($Z440,3)="RR-"),"LH","RH")))</f>
        <v/>
      </c>
      <c r="DC440" s="99">
        <f>IF($A440="","","S.HM"&amp;IF(OR($C440="DOOR ONLY",$X440&lt;&gt;"KD"),"MASONRY","DRYWALL")&amp;IF($C440="DOOR ONLY","",$U440)&amp;IF(AND($C440&lt;&gt;"FRAME ONLY",OR(LEFT($AH440,3)="OAK",LEFT($AH440,3)="BIR",LEFT($AH440,3)="MAP",$AH440="PC",$AH440="MC",$AH440="SCLC",$AH440="P-LAM")),"WD","HM")&amp;"1.75")</f>
        <v/>
      </c>
      <c r="DD440" s="99">
        <f>IF($CJ440="","",IF($O440="Y",$CJ440,SUBSTITUTE($CJ440,$BG440&amp;" "&amp;IFERROR(VLOOKUP($Z440,CODES,2,FALSE),"")&amp;" ",$BG440&amp;" ")))</f>
        <v/>
      </c>
      <c r="DE440" s="99">
        <f>IF($CK440="","",IF($O440="Y",$CK440,SUBSTITUTE($CK440,$BG440&amp;" "&amp;IF($AN440="",IFERROR(VLOOKUP($Z440,CODES,2,FALSE),""),IFERROR(VLOOKUP($AN440,CODES,2,FALSE),""))&amp;" ",$BG440&amp;" ")))</f>
        <v/>
      </c>
      <c r="DF440" s="99">
        <f>IF($CJ440="","",$DC440&amp;"|"&amp;$DD440&amp;"|"&amp;$DB440&amp;"|"&amp;$AT440&amp;"|"&amp;$V440&amp;"|"&amp;$Y440&amp;"|"&amp;$AB440)</f>
        <v/>
      </c>
      <c r="DG440" s="99">
        <f>IF(DF440="","",IF(COUNTIF($DF$6:DF440,DF440)=1,MAX($DG$5:DG439)+1,INDEX($DG$5:DG439,MATCH(DF440,$DF$5:DF439,0))))</f>
        <v/>
      </c>
      <c r="DH440" s="99">
        <f>IF($CK440="","",$DC440&amp;"|"&amp;$DE440&amp;"|"&amp;$AI440&amp;"|"&amp;$BK440&amp;"|"&amp;$BL440)</f>
        <v/>
      </c>
      <c r="DI440" s="99">
        <f>IF(DH440="","",IF(COUNTIF($DH$6:DH440,DH440)=1,MAX($DI$5:DI439)+1,INDEX($DI$5:DI439,MATCH(DH440,$DH$5:DH439,0))))</f>
        <v/>
      </c>
      <c r="DJ440" s="99">
        <f>IF($A440="","",IF($B440="","qty, ","")&amp;IF($C440="","scope, ","")&amp;IF(OR($K440="",$M440=""),"size, ","")&amp;IF(AND($A440&lt;&gt;"",$C440&lt;&gt;"DOOR ONLY"),IF($U440="","jamb depth, ","")&amp;IF($X440="","construction, ","")&amp;IF($Y440="","anchor, ","")&amp;IF($S440="","frame type, ",""),"")&amp;IF(AND(N($BJ440)&gt;0,$Z440=""),"hand, ","")&amp;IF(N($BJ440)&gt;0,IF($AH440="","door material, ","")&amp;IF($AL440="","face type, ","")&amp;IF($AP440="","lock prep, ","")&amp;IF(AND($AO440="",$AC440=""),"hinge prep, ",""),"")&amp;IF(AND($CH440&gt;0,$AH440="FRP"),"FRP cannot carry a label, ","")&amp;IF(AND($O440="Y",OR($Z440="L",$Z440="R",$Z440="LR",$Z440="RR")),"pair marked but hand is single, ","")&amp;IF(AND($O440&lt;&gt;"Y",OR($Z440="PR",AND(LEN($Z440)&gt;1,ISNUMBER(SEARCH("-",$Z440))))),"pair hand on a single door, ","")&amp;IF(AND(ISNUMBER($CI440),$CH440&lt;N($CI440)),"wall needs a "&amp;$CI440&amp;" min door, ","")&amp;IF(AND($CH440&gt;=180,AND(OR($CE440="FG",$CE440="HG",$CE440="FNV",$CE440="FV"),N($CF440)*N($CG440)&gt;100)),"180 min lite over 100 sq in, ","")&amp;IF(N($BK440)&gt;48,"leaf wider than 4'-0"&amp;CHAR(34)&amp;", ","")&amp;IF(AND($CT440,COUNT($AW440:$AZ440)=0,$CQ440&gt;0),"CUSTOM LOC with no locations typed, ",""))</f>
        <v/>
      </c>
      <c r="DK440" s="99">
        <f>IF($A440="","",IF(AND($CH440&gt;0,AND($A440&lt;&gt;"",$C440&lt;&gt;"DOOR ONLY"),$X440="KD",$E440="EXTERIOR"),"KD label on an exterior opening, ","")&amp;IF(AND($E440="EXTERIOR",OR(AND(AND($A440&lt;&gt;"",$C440&lt;&gt;"DOOR ONLY"),$W440="CR"),AND(N($BJ440)&gt;0,$AH440="CR"))),"exterior in CR steel (G9?), ","")&amp;IF(AND(ISNUMBER($BQ440),N($BQ440)&lt;32),"clear width ~"&amp;TEXT($BQ440,"0.0")&amp;CHAR(34)&amp;" under 32"&amp;CHAR(34)&amp;" (ADA), ","")&amp;IF(AND($CH440=90,AND(OR($CE440="FG",$CE440="HG",$CE440="FNV",$CE440="FV"),N($CF440)*N($CG440)&gt;100)),"90 min lite over 100 sq in (stair/exit), ","")&amp;IF(AND($CH440&gt;0,AND($A440&lt;&gt;"",$C440&lt;&gt;"DOOR ONLY"),OR($AF440="",$AF440="-")),"rated: closer reinf.?, ","")&amp;IF(OR($I440="CORRIDOR",$I440="SMOKE BARRIER"),"S label + smoke gasketing, ","")&amp;IF($CI440="?","wall type/hr not in IBC table, ","")&amp;IF(AND(N($BJ440)&gt;0,$BB440=""),"no hardware set, ","")&amp;IF(AND($BB440&lt;&gt;"",ISNA(MATCH($BB440&amp;"",HWSets,0))),"set "&amp;$BB440&amp;" not on HW Sets, ","")&amp;IF(N($BL440)&gt;96,"leaf over 8'-0"&amp;CHAR(34)&amp;" - check listing, ","")&amp;IF(AND($CT440,COUNT($AW440:$AZ440)&gt;0,COUNT($AW440:$AZ440)&lt;&gt;$CQ440),COUNT($AW440:$AZ440)&amp;" custom hinges typed, "&amp;$CQ440&amp;" expected, ","")&amp;IF(AND(ISNUMBER($CA440),OR(N($CA440)&lt;34,N($CA440)&gt;48)),"lock "&amp;TEXT($CA440,"0.0")&amp;CHAR(34)&amp;" AFF outside 34-48"&amp;CHAR(34)&amp;" (ADA), ","")&amp;IF(AND(ISNUMBER($AV440),ISNUMBER($BL440),N($AV440)&lt;IF(N($BL440)&lt;=60,2,IF(N($BL440)&lt;=90,3,IF(N($BL440)&lt;=120,4,5)))),"fewer hinges than standard, ",""))</f>
        <v/>
      </c>
    </row>
    <row r="441" ht="15" customHeight="1">
      <c r="A441" s="77" t="n"/>
      <c r="B441" s="78" t="n"/>
      <c r="C441" s="78" t="n"/>
      <c r="D441" s="78" t="n"/>
      <c r="E441" s="78" t="n"/>
      <c r="F441" s="78" t="n"/>
      <c r="G441" s="78" t="n"/>
      <c r="H441" s="78" t="n"/>
      <c r="I441" s="78" t="n"/>
      <c r="J441" s="78" t="n"/>
      <c r="K441" s="78" t="n"/>
      <c r="L441" s="78" t="n"/>
      <c r="M441" s="78" t="n"/>
      <c r="N441" s="78" t="n"/>
      <c r="O441" s="78" t="n"/>
      <c r="P441" s="78" t="n"/>
      <c r="Q441" s="78" t="n"/>
      <c r="R441" s="78" t="n"/>
      <c r="S441" s="79" t="n"/>
      <c r="T441" s="79" t="n"/>
      <c r="U441" s="79" t="n"/>
      <c r="V441" s="79" t="n"/>
      <c r="W441" s="79" t="n"/>
      <c r="X441" s="79" t="n"/>
      <c r="Y441" s="79" t="n"/>
      <c r="Z441" s="79" t="n"/>
      <c r="AA441" s="79" t="n"/>
      <c r="AB441" s="79" t="n"/>
      <c r="AC441" s="79" t="n"/>
      <c r="AD441" s="79" t="n"/>
      <c r="AE441" s="79" t="n"/>
      <c r="AF441" s="79" t="n"/>
      <c r="AG441" s="79" t="n"/>
      <c r="AH441" s="80" t="n"/>
      <c r="AI441" s="80" t="n"/>
      <c r="AJ441" s="80" t="n"/>
      <c r="AK441" s="80" t="n"/>
      <c r="AL441" s="80" t="n"/>
      <c r="AM441" s="80" t="n"/>
      <c r="AN441" s="80" t="n"/>
      <c r="AO441" s="80" t="n"/>
      <c r="AP441" s="80" t="n"/>
      <c r="AQ441" s="80" t="n"/>
      <c r="AR441" s="80" t="n"/>
      <c r="AS441" s="80" t="n"/>
      <c r="AT441" s="81" t="n"/>
      <c r="AU441" s="81" t="n"/>
      <c r="AV441" s="81" t="n"/>
      <c r="AW441" s="82" t="n"/>
      <c r="AX441" s="82" t="n"/>
      <c r="AY441" s="82" t="n"/>
      <c r="AZ441" s="82" t="n"/>
      <c r="BA441" s="82" t="n"/>
      <c r="BB441" s="83" t="n"/>
      <c r="BC441" s="83" t="n"/>
      <c r="BD441" s="84">
        <f>IF($A441="","",IF($DJ441&lt;&gt;"","FIX",IF($DK441&lt;&gt;"","CHECK","OK")))</f>
        <v/>
      </c>
      <c r="BE441" s="85">
        <f>IF($A441="","",IF($DJ441&lt;&gt;"","FIX: "&amp;LEFT($DJ441,LEN($DJ441)-2)&amp;IF($DK441&lt;&gt;"","  ·  ",""),"")&amp;IF($DK441&lt;&gt;"","CHECK: "&amp;LEFT($DK441,LEN($DK441)-2),""))</f>
        <v/>
      </c>
      <c r="BF441" s="84">
        <f>IF(OR($A441="",$K441=""),"",$K441&amp;"'-"&amp;N($L441)&amp;CHAR(34)&amp;" x "&amp;$M441&amp;"'-"&amp;N($N441)&amp;CHAR(34))</f>
        <v/>
      </c>
      <c r="BG441" s="84">
        <f>IF(OR($A441="",$K441=""),"",$K441&amp;N($L441)&amp;$M441&amp;N($N441))</f>
        <v/>
      </c>
      <c r="BH441" s="84">
        <f>IF(OR($A441="",$K441=""),"",$K441*12+N($L441))</f>
        <v/>
      </c>
      <c r="BI441" s="84">
        <f>IF(OR($A441="",$M441=""),"",$M441*12+N($N441))</f>
        <v/>
      </c>
      <c r="BJ441" s="84">
        <f>IF($A441="","",IF(OR($C441="FRAME ONLY",$S441="BL"),0,IF($O441="Y",2,1)))</f>
        <v/>
      </c>
      <c r="BK441" s="86">
        <f>IF(OR(N($BJ441)=0,$BH441=""),"",($BH441-2*EdgeClr-IF($BJ441=2,MeetClr,0))/$BJ441)</f>
        <v/>
      </c>
      <c r="BL441" s="86">
        <f>IF(OR(N($BJ441)=0,$BI441=""),"",$BI441-HeadClr-Undercut)</f>
        <v/>
      </c>
      <c r="BM441" s="86">
        <f>IF($BH441="","",$BH441+2*FaceW+IF(N($Q441)&gt;0,($Q441+FaceW)*IF($R441="LR",2,1),0))</f>
        <v/>
      </c>
      <c r="BN441" s="86">
        <f>IF($BI441="","",$BI441+IF($AB441="Y",4,FaceW)+IF(N($P441)&gt;0,$P441+FaceW,0)+IF(OR($S441="4F",$S441="BL"),FaceW,0))</f>
        <v/>
      </c>
      <c r="BO441" s="86">
        <f>IF($BM441="","",$BM441+2*ROSide)</f>
        <v/>
      </c>
      <c r="BP441" s="86">
        <f>IF($BN441="","",$BN441+ROTop)</f>
        <v/>
      </c>
      <c r="BQ441" s="87">
        <f>IF(OR(N($BJ441)=0,$BH441=""),"",$BH441/$BJ441-ClearDeduct)</f>
        <v/>
      </c>
      <c r="BR441" s="84">
        <f>IF(N($CH441)=0,"",IF($CH441&gt;=180,"A · 3 HR",IF($CH441&gt;=90,"B · 1-1/2 HR",IF($CH441&gt;=60,"B · 1 HR",IF($CH441&gt;=45,"C · 3/4 HR","20 MIN")))))&amp;IF(AND(N($CH441)&gt;0,OR($I441="CORRIDOR",$I441="SMOKE BARRIER"))," · S","")</f>
        <v/>
      </c>
      <c r="BS441" s="84">
        <f>IF($CS441,"",IF($AV441&lt;&gt;"",$AV441,IF(OR($AC441="HGC",$AO441="HGC"),"CONT",IF(($BI441-HeadClr-Undercut)&lt;=60,2,IF(($BI441-HeadClr-Undercut)&lt;=90,3,IF(($BI441-HeadClr-Undercut)&lt;=120,4,5))))))</f>
        <v/>
      </c>
      <c r="BT441" s="84">
        <f>IF($CS441,"",IF($CT441,"CUSTOM (typed)",IF($CV441,$AT441&amp;" "&amp;$CU441&amp;CHAR(34)&amp;IF($CU441&lt;&gt;$BI441,IF(AND($BI441&lt;$CU441,$BI441-IF(N(VLOOKUP($AT441&amp;"|"&amp;$CU441,LocTable,7,FALSE))&gt;0,VLOOKUP($AT441&amp;"|"&amp;$CU441,LocTable,7,FALSE),VLOOKUP($AT441&amp;"|"&amp;$CU441,LocTable,6,FALSE))-$CR441-0.75&gt;=2.125)," cut down"," adj."),""),"ANSI/SDI A250.6")))</f>
        <v/>
      </c>
      <c r="BU441" s="88">
        <f>IF($CS441,"",IF($CT441,IF(N($AW441)&gt;0,N($AW441),""),IF(1&gt;$CQ441,"",IF($CQ441=1,$CW441,$CW441+($CX441-$CW441)*0/($CQ441-1)))))</f>
        <v/>
      </c>
      <c r="BV441" s="88">
        <f>IF($CS441,"",IF($CT441,IF(N($AX441)&gt;0,N($AX441),""),IF(2&gt;$CQ441,"",IF($CQ441=1,$CW441,$CW441+($CX441-$CW441)*1/($CQ441-1)))))</f>
        <v/>
      </c>
      <c r="BW441" s="88">
        <f>IF($CS441,"",IF($CT441,IF(N($AY441)&gt;0,N($AY441),""),IF(3&gt;$CQ441,"",IF($CQ441=1,$CW441,$CW441+($CX441-$CW441)*2/($CQ441-1)))))</f>
        <v/>
      </c>
      <c r="BX441" s="88">
        <f>IF($CS441,"",IF($CT441,IF(N($AZ441)&gt;0,N($AZ441),""),IF(4&gt;$CQ441,"",IF($CQ441=1,$CW441,$CW441+($CX441-$CW441)*3/($CQ441-1)))))</f>
        <v/>
      </c>
      <c r="BY441" s="88">
        <f>IF($CS441,"",IF($CT441,"",IF(5&gt;$CQ441,"",IF($CQ441=1,$CW441,$CW441+($CX441-$CW441)*4/($CQ441-1)))))</f>
        <v/>
      </c>
      <c r="BZ441" s="88">
        <f>IF(OR($CS441,$AP441="-",AND($AP441="",$AD441="")),"",IF(N($BA441)&gt;0,N($BA441),IF($CV441,IF(AND($BI441&lt;$CU441,$BI441-IF(N(VLOOKUP($AT441&amp;"|"&amp;$CU441,LocTable,7,FALSE))&gt;0,VLOOKUP($AT441&amp;"|"&amp;$CU441,LocTable,7,FALSE),VLOOKUP($AT441&amp;"|"&amp;$CU441,LocTable,6,FALSE))-$CR441-0.75&gt;=2.125),VLOOKUP($AT441&amp;"|"&amp;$CU441,LocTable,8,FALSE),VLOOKUP($AT441&amp;"|"&amp;$CU441,LocTable,8,FALSE)+($BI441-$CU441)),$BI441-LockAFF)))</f>
        <v/>
      </c>
      <c r="CA441" s="89">
        <f>IF($BZ441="","",$BI441-$BZ441)</f>
        <v/>
      </c>
      <c r="CB441" s="84">
        <f>IF(OR(NOT(AND($A441&lt;&gt;"",$C441&lt;&gt;"DOOR ONLY")),$BI441=""),"",IF(($BI441+IF(N($P441)&gt;0,$P441+FaceW,0))&lt;=90,3,IF(($BI441+IF(N($P441)&gt;0,$P441+FaceW,0))&lt;=114,4,5)))</f>
        <v/>
      </c>
      <c r="CC441" s="84">
        <f>IF($CB441="","",$CB441*(2+IF(N($Q441)&gt;0,IF($R441="LR",2,1),0)))</f>
        <v/>
      </c>
      <c r="CD441" s="84">
        <f>IF($CB441="","",(2+IF(N($Q441)&gt;0,IF($R441="LR",2,1),0)))</f>
        <v/>
      </c>
      <c r="CE441" s="84">
        <f>IF(N($BJ441)=0,"",IF(OR($AL441="",$AL441="FLUSH"),"FLUSH",IFERROR(LEFT($AL441,FIND("-",$AL441)-1),LEFT($AL441,2))))</f>
        <v/>
      </c>
      <c r="CF441" s="84">
        <f>IF($CE441="","",IFERROR(VALUE(MID($AL441,FIND("-",$AL441)+1,FIND(CHAR(34)&amp;"x",$AL441)-FIND("-",$AL441)-1)),0))</f>
        <v/>
      </c>
      <c r="CG441" s="84">
        <f>IF($CE441="","",IFERROR(VALUE(MID($AL441,FIND(CHAR(34)&amp;"x",$AL441)+2,FIND(CHAR(34),$AL441,FIND(CHAR(34)&amp;"x",$AL441)+2)-FIND(CHAR(34)&amp;"x",$AL441)-2)),0))</f>
        <v/>
      </c>
      <c r="CH441" s="90">
        <f>IF(OR($A441="",$H441="",$H441="NO LAB"),0,IFERROR(VALUE(LEFT($H441,FIND(" ",$H441)-1)),0))</f>
        <v/>
      </c>
      <c r="CI441" s="91">
        <f>IF(OR($A441="",$I441="",$I441="NON-RATED",N($J441)=0),"",IFERROR(VLOOKUP($I441&amp;"|"&amp;$J441,IBC,2,FALSE),"?"))</f>
        <v/>
      </c>
      <c r="CJ441" s="85">
        <f>IF(NOT(AND($A441&lt;&gt;"",$C441&lt;&gt;"DOOR ONLY")),"",TRIM(IFERROR(VLOOKUP($U441,CODES,2,FALSE),"")&amp;" "&amp;$BG441&amp;" "&amp;IFERROR(VLOOKUP($Z441,CODES,2,FALSE),"")&amp;" "&amp;IFERROR(VLOOKUP($X441,CODES,2,FALSE),"")&amp;" "&amp;IFERROR(VLOOKUP($S441,CODES,2,FALSE),"")&amp;IF(N($P441)&gt;0," w/TRANSOM "&amp;$P441&amp;CHAR(34),"")&amp;IF(N($Q441)&gt;0," w/SIDELITE "&amp;$Q441&amp;CHAR(34)&amp;" "&amp;IF($R441="","R",$R441),"")&amp;IF($Y441="","  |  "," | "&amp;IFERROR(VLOOKUP($Y441,CODES,2,FALSE),"")&amp;" | ")&amp;IFERROR(VLOOKUP($AC441,CODES,2,FALSE),"")&amp;" "&amp;IFERROR(VLOOKUP($AD441,CODES,2,FALSE),"")&amp;IF(OR($AE441="",$AE441="-"),""," "&amp;$AE441)&amp;IF(OR($AF441="",$AF441="-"),""," "&amp;$AF441)&amp;IF($AB441="Y"," 4"&amp;CHAR(34)&amp;" HEAD","")&amp;" "&amp;IFERROR(VLOOKUP($H441,CODES,2,FALSE),"")&amp;IF($CT441," | LOC "&amp;$CY441,"")))</f>
        <v/>
      </c>
      <c r="CK441" s="85">
        <f>IF(NOT(AND($A441&lt;&gt;"",N($BJ441)&gt;0)),"",TRIM(IFERROR(VLOOKUP($AH441,CODES,2,FALSE),"")&amp;IF($AI441=""," "," "&amp;$AI441&amp;"GA ")&amp;$BG441&amp;" "&amp;IF($AN441="",IFERROR(VLOOKUP($Z441,CODES,2,FALSE),""),IFERROR(VLOOKUP($AN441,CODES,2,FALSE),""))&amp;IF($BJ441=2," PAIR","")&amp;" DOOR | "&amp;IF($AL441="","?",$AL441)&amp;" | "&amp;IF($AO441="",IFERROR(VLOOKUP($AC441,CODES,2,FALSE),""),IFERROR(VLOOKUP($AO441,CODES,2,FALSE),""))&amp;" "&amp;IFERROR(VLOOKUP($AP441,CODES,2,FALSE),"")&amp;IF(OR($AQ441="",$AQ441="-"),""," SEAM "&amp;$AQ441)&amp;IF($AR441="Y"," ASTRAGAL","")&amp;IF($AJ441=""," "," "&amp;$AJ441)&amp;IF($AK441=""," "," "&amp;$AK441)&amp;IF(OR($AT441="",$AT441="ANSI/SDI",$AT441="CUSTOM LOC"),""," "&amp;$AT441)&amp;IF($AM441=""," "," SERIES "&amp;$AM441)&amp;" "&amp;IFERROR(VLOOKUP($H441,CODES,2,FALSE),"")&amp;IF($CT441," | LOC "&amp;$CZ441,"")))</f>
        <v/>
      </c>
      <c r="CL441" s="84">
        <f>IF(CP441="","",IF(COUNTIF($CP$6:CP441,CP441)=1,MAX($CL$5:CL440)+1,INDEX($CL$5:CL440,MATCH(CP441,$CP$5:CP440,0))))</f>
        <v/>
      </c>
      <c r="CM441" s="84">
        <f>IF(NOT(AND($A441&lt;&gt;"",$C441&lt;&gt;"DOOR ONLY")),"",MAX($CM$5:CM440)+1)</f>
        <v/>
      </c>
      <c r="CN441" s="84">
        <f>IF(NOT(AND($A441&lt;&gt;"",N($BJ441)&gt;0)),"",MAX($CN$5:CN440)+1)</f>
        <v/>
      </c>
      <c r="CO441" s="84">
        <f>IF($A441="","",MAX($CO$5:CO440)+1)</f>
        <v/>
      </c>
      <c r="CP441" s="84">
        <f>IF(OR($A441="",$BH441="",$BI441=""),"",$BG441&amp;"|"&amp;$O441&amp;"|"&amp;$AL441&amp;"|"&amp;$S441&amp;"|"&amp;$P441&amp;"|"&amp;$Q441&amp;$R441&amp;"|"&amp;$C441&amp;"|"&amp;$AB441)</f>
        <v/>
      </c>
      <c r="CQ441" s="84">
        <f>N($BS441)</f>
        <v/>
      </c>
      <c r="CR441" s="84">
        <f>IF(N($AU441)&gt;0,N($AU441),4.5)</f>
        <v/>
      </c>
      <c r="CS441" s="84">
        <f>OR($A441="",$BI441="",$S441="BL",AND($C441="FRAME ONLY",OR($AC441="",$AC441="BLK")))</f>
        <v/>
      </c>
      <c r="CT441" s="84">
        <f>AND(NOT($CS441),OR($AT441="CUSTOM LOC",N($AW441)+N($AX441)+N($AY441)+N($AZ441)+N($BA441)&gt;0))</f>
        <v/>
      </c>
      <c r="CU441" s="84">
        <f>IF($BI441="","",IF($BI441&lt;=80,80,IF($BI441&lt;=84,84,96)))</f>
        <v/>
      </c>
      <c r="CV441" s="84">
        <f>ISNUMBER(MATCH($AT441&amp;"|80",LocKeys,0))</f>
        <v/>
      </c>
      <c r="CW441" s="86">
        <f>IF($CS441,"",IF($CV441,VLOOKUP($AT441&amp;"|"&amp;$CU441,LocTable,4,FALSE),5))</f>
        <v/>
      </c>
      <c r="CX441" s="86">
        <f>IF($CS441,"",IF($CV441,IF(OR($BI441=$CU441,AND($BI441&lt;$CU441,$BI441-IF(N(VLOOKUP($AT441&amp;"|"&amp;$CU441,LocTable,7,FALSE))&gt;0,VLOOKUP($AT441&amp;"|"&amp;$CU441,LocTable,7,FALSE),VLOOKUP($AT441&amp;"|"&amp;$CU441,LocTable,6,FALSE))-$CR441-0.75&gt;=2.125)),IF(N(VLOOKUP($AT441&amp;"|"&amp;$CU441,LocTable,7,FALSE))&gt;0,VLOOKUP($AT441&amp;"|"&amp;$CU441,LocTable,7,FALSE),VLOOKUP($AT441&amp;"|"&amp;$CU441,LocTable,6,FALSE)),$BI441-($CU441-IF(N(VLOOKUP($AT441&amp;"|"&amp;$CU441,LocTable,7,FALSE))&gt;0,VLOOKUP($AT441&amp;"|"&amp;$CU441,LocTable,7,FALSE),VLOOKUP($AT441&amp;"|"&amp;$CU441,LocTable,6,FALSE)))),$BI441-10-$CR441))</f>
        <v/>
      </c>
      <c r="CY441" s="85">
        <f>IF($CS441,"",TRIM(IF(ISNUMBER($BU441),"A "&amp;TRIM(TEXT($BU441,"# ?/??"))&amp;CHAR(34)&amp;"  ","")&amp;IF(ISNUMBER($BV441),"B "&amp;TRIM(TEXT($BV441,"# ?/??"))&amp;CHAR(34)&amp;"  ","")&amp;IF(ISNUMBER($BW441),"C "&amp;TRIM(TEXT($BW441,"# ?/??"))&amp;CHAR(34)&amp;"  ","")&amp;IF(ISNUMBER($BX441),"D "&amp;TRIM(TEXT($BX441,"# ?/??"))&amp;CHAR(34)&amp;"  ","")&amp;IF(ISNUMBER($BY441),"F "&amp;TRIM(TEXT($BY441,"# ?/??"))&amp;CHAR(34)&amp;"  ","")&amp;IF(ISNUMBER($BZ441),"E "&amp;TRIM(TEXT($BZ441,"# ?/??"))&amp;CHAR(34)&amp;"  ","")))</f>
        <v/>
      </c>
      <c r="CZ441" s="85">
        <f>IF(OR($CS441,N($BJ441)=0),"",TRIM(IF(ISNUMBER($BU441),"A "&amp;TRIM(TEXT($BU441-HeadClr,"# ?/??"))&amp;CHAR(34)&amp;"  ","")&amp;IF(ISNUMBER($BV441),"B "&amp;TRIM(TEXT($BV441-HeadClr,"# ?/??"))&amp;CHAR(34)&amp;"  ","")&amp;IF(ISNUMBER($BW441),"C "&amp;TRIM(TEXT($BW441-HeadClr,"# ?/??"))&amp;CHAR(34)&amp;"  ","")&amp;IF(ISNUMBER($BX441),"D "&amp;TRIM(TEXT($BX441-HeadClr,"# ?/??"))&amp;CHAR(34)&amp;"  ","")&amp;IF(ISNUMBER($BY441),"F "&amp;TRIM(TEXT($BY441-HeadClr,"# ?/??"))&amp;CHAR(34)&amp;"  ","")&amp;IF(ISNUMBER($BZ441),"E "&amp;TRIM(TEXT($BZ441-HeadClr,"# ?/??"))&amp;CHAR(34)&amp;"  ","")))</f>
        <v/>
      </c>
      <c r="DA441" s="84">
        <f>IF($A441="","",IF($AN441="",IFERROR(VLOOKUP($Z441,CODES,2,FALSE),""),IFERROR(VLOOKUP($AN441,CODES,2,FALSE),"")))</f>
        <v/>
      </c>
      <c r="DB441" s="84">
        <f>IF($A441="","",IF($O441="Y","PR",IF(OR($Z441="L",$Z441="RR",LEFT($Z441,2)="L-",LEFT($Z441,3)="RR-"),"LH","RH")))</f>
        <v/>
      </c>
      <c r="DC441" s="84">
        <f>IF($A441="","","S.HM"&amp;IF(OR($C441="DOOR ONLY",$X441&lt;&gt;"KD"),"MASONRY","DRYWALL")&amp;IF($C441="DOOR ONLY","",$U441)&amp;IF(AND($C441&lt;&gt;"FRAME ONLY",OR(LEFT($AH441,3)="OAK",LEFT($AH441,3)="BIR",LEFT($AH441,3)="MAP",$AH441="PC",$AH441="MC",$AH441="SCLC",$AH441="P-LAM")),"WD","HM")&amp;"1.75")</f>
        <v/>
      </c>
      <c r="DD441" s="84">
        <f>IF($CJ441="","",IF($O441="Y",$CJ441,SUBSTITUTE($CJ441,$BG441&amp;" "&amp;IFERROR(VLOOKUP($Z441,CODES,2,FALSE),"")&amp;" ",$BG441&amp;" ")))</f>
        <v/>
      </c>
      <c r="DE441" s="84">
        <f>IF($CK441="","",IF($O441="Y",$CK441,SUBSTITUTE($CK441,$BG441&amp;" "&amp;IF($AN441="",IFERROR(VLOOKUP($Z441,CODES,2,FALSE),""),IFERROR(VLOOKUP($AN441,CODES,2,FALSE),""))&amp;" ",$BG441&amp;" ")))</f>
        <v/>
      </c>
      <c r="DF441" s="84">
        <f>IF($CJ441="","",$DC441&amp;"|"&amp;$DD441&amp;"|"&amp;$DB441&amp;"|"&amp;$AT441&amp;"|"&amp;$V441&amp;"|"&amp;$Y441&amp;"|"&amp;$AB441)</f>
        <v/>
      </c>
      <c r="DG441" s="84">
        <f>IF(DF441="","",IF(COUNTIF($DF$6:DF441,DF441)=1,MAX($DG$5:DG440)+1,INDEX($DG$5:DG440,MATCH(DF441,$DF$5:DF440,0))))</f>
        <v/>
      </c>
      <c r="DH441" s="84">
        <f>IF($CK441="","",$DC441&amp;"|"&amp;$DE441&amp;"|"&amp;$AI441&amp;"|"&amp;$BK441&amp;"|"&amp;$BL441)</f>
        <v/>
      </c>
      <c r="DI441" s="84">
        <f>IF(DH441="","",IF(COUNTIF($DH$6:DH441,DH441)=1,MAX($DI$5:DI440)+1,INDEX($DI$5:DI440,MATCH(DH441,$DH$5:DH440,0))))</f>
        <v/>
      </c>
      <c r="DJ441" s="84">
        <f>IF($A441="","",IF($B441="","qty, ","")&amp;IF($C441="","scope, ","")&amp;IF(OR($K441="",$M441=""),"size, ","")&amp;IF(AND($A441&lt;&gt;"",$C441&lt;&gt;"DOOR ONLY"),IF($U441="","jamb depth, ","")&amp;IF($X441="","construction, ","")&amp;IF($Y441="","anchor, ","")&amp;IF($S441="","frame type, ",""),"")&amp;IF(AND(N($BJ441)&gt;0,$Z441=""),"hand, ","")&amp;IF(N($BJ441)&gt;0,IF($AH441="","door material, ","")&amp;IF($AL441="","face type, ","")&amp;IF($AP441="","lock prep, ","")&amp;IF(AND($AO441="",$AC441=""),"hinge prep, ",""),"")&amp;IF(AND($CH441&gt;0,$AH441="FRP"),"FRP cannot carry a label, ","")&amp;IF(AND($O441="Y",OR($Z441="L",$Z441="R",$Z441="LR",$Z441="RR")),"pair marked but hand is single, ","")&amp;IF(AND($O441&lt;&gt;"Y",OR($Z441="PR",AND(LEN($Z441)&gt;1,ISNUMBER(SEARCH("-",$Z441))))),"pair hand on a single door, ","")&amp;IF(AND(ISNUMBER($CI441),$CH441&lt;N($CI441)),"wall needs a "&amp;$CI441&amp;" min door, ","")&amp;IF(AND($CH441&gt;=180,AND(OR($CE441="FG",$CE441="HG",$CE441="FNV",$CE441="FV"),N($CF441)*N($CG441)&gt;100)),"180 min lite over 100 sq in, ","")&amp;IF(N($BK441)&gt;48,"leaf wider than 4'-0"&amp;CHAR(34)&amp;", ","")&amp;IF(AND($CT441,COUNT($AW441:$AZ441)=0,$CQ441&gt;0),"CUSTOM LOC with no locations typed, ",""))</f>
        <v/>
      </c>
      <c r="DK441" s="84">
        <f>IF($A441="","",IF(AND($CH441&gt;0,AND($A441&lt;&gt;"",$C441&lt;&gt;"DOOR ONLY"),$X441="KD",$E441="EXTERIOR"),"KD label on an exterior opening, ","")&amp;IF(AND($E441="EXTERIOR",OR(AND(AND($A441&lt;&gt;"",$C441&lt;&gt;"DOOR ONLY"),$W441="CR"),AND(N($BJ441)&gt;0,$AH441="CR"))),"exterior in CR steel (G9?), ","")&amp;IF(AND(ISNUMBER($BQ441),N($BQ441)&lt;32),"clear width ~"&amp;TEXT($BQ441,"0.0")&amp;CHAR(34)&amp;" under 32"&amp;CHAR(34)&amp;" (ADA), ","")&amp;IF(AND($CH441=90,AND(OR($CE441="FG",$CE441="HG",$CE441="FNV",$CE441="FV"),N($CF441)*N($CG441)&gt;100)),"90 min lite over 100 sq in (stair/exit), ","")&amp;IF(AND($CH441&gt;0,AND($A441&lt;&gt;"",$C441&lt;&gt;"DOOR ONLY"),OR($AF441="",$AF441="-")),"rated: closer reinf.?, ","")&amp;IF(OR($I441="CORRIDOR",$I441="SMOKE BARRIER"),"S label + smoke gasketing, ","")&amp;IF($CI441="?","wall type/hr not in IBC table, ","")&amp;IF(AND(N($BJ441)&gt;0,$BB441=""),"no hardware set, ","")&amp;IF(AND($BB441&lt;&gt;"",ISNA(MATCH($BB441&amp;"",HWSets,0))),"set "&amp;$BB441&amp;" not on HW Sets, ","")&amp;IF(N($BL441)&gt;96,"leaf over 8'-0"&amp;CHAR(34)&amp;" - check listing, ","")&amp;IF(AND($CT441,COUNT($AW441:$AZ441)&gt;0,COUNT($AW441:$AZ441)&lt;&gt;$CQ441),COUNT($AW441:$AZ441)&amp;" custom hinges typed, "&amp;$CQ441&amp;" expected, ","")&amp;IF(AND(ISNUMBER($CA441),OR(N($CA441)&lt;34,N($CA441)&gt;48)),"lock "&amp;TEXT($CA441,"0.0")&amp;CHAR(34)&amp;" AFF outside 34-48"&amp;CHAR(34)&amp;" (ADA), ","")&amp;IF(AND(ISNUMBER($AV441),ISNUMBER($BL441),N($AV441)&lt;IF(N($BL441)&lt;=60,2,IF(N($BL441)&lt;=90,3,IF(N($BL441)&lt;=120,4,5)))),"fewer hinges than standard, ",""))</f>
        <v/>
      </c>
    </row>
    <row r="442" ht="15" customHeight="1">
      <c r="A442" s="77" t="n"/>
      <c r="B442" s="78" t="n"/>
      <c r="C442" s="78" t="n"/>
      <c r="D442" s="78" t="n"/>
      <c r="E442" s="78" t="n"/>
      <c r="F442" s="78" t="n"/>
      <c r="G442" s="78" t="n"/>
      <c r="H442" s="78" t="n"/>
      <c r="I442" s="78" t="n"/>
      <c r="J442" s="78" t="n"/>
      <c r="K442" s="78" t="n"/>
      <c r="L442" s="78" t="n"/>
      <c r="M442" s="78" t="n"/>
      <c r="N442" s="78" t="n"/>
      <c r="O442" s="78" t="n"/>
      <c r="P442" s="78" t="n"/>
      <c r="Q442" s="78" t="n"/>
      <c r="R442" s="78" t="n"/>
      <c r="S442" s="79" t="n"/>
      <c r="T442" s="79" t="n"/>
      <c r="U442" s="79" t="n"/>
      <c r="V442" s="79" t="n"/>
      <c r="W442" s="79" t="n"/>
      <c r="X442" s="79" t="n"/>
      <c r="Y442" s="79" t="n"/>
      <c r="Z442" s="79" t="n"/>
      <c r="AA442" s="79" t="n"/>
      <c r="AB442" s="79" t="n"/>
      <c r="AC442" s="79" t="n"/>
      <c r="AD442" s="79" t="n"/>
      <c r="AE442" s="79" t="n"/>
      <c r="AF442" s="79" t="n"/>
      <c r="AG442" s="79" t="n"/>
      <c r="AH442" s="80" t="n"/>
      <c r="AI442" s="80" t="n"/>
      <c r="AJ442" s="80" t="n"/>
      <c r="AK442" s="80" t="n"/>
      <c r="AL442" s="80" t="n"/>
      <c r="AM442" s="80" t="n"/>
      <c r="AN442" s="80" t="n"/>
      <c r="AO442" s="80" t="n"/>
      <c r="AP442" s="80" t="n"/>
      <c r="AQ442" s="80" t="n"/>
      <c r="AR442" s="80" t="n"/>
      <c r="AS442" s="80" t="n"/>
      <c r="AT442" s="81" t="n"/>
      <c r="AU442" s="81" t="n"/>
      <c r="AV442" s="81" t="n"/>
      <c r="AW442" s="82" t="n"/>
      <c r="AX442" s="82" t="n"/>
      <c r="AY442" s="82" t="n"/>
      <c r="AZ442" s="82" t="n"/>
      <c r="BA442" s="82" t="n"/>
      <c r="BB442" s="83" t="n"/>
      <c r="BC442" s="83" t="n"/>
      <c r="BD442" s="84">
        <f>IF($A442="","",IF($DJ442&lt;&gt;"","FIX",IF($DK442&lt;&gt;"","CHECK","OK")))</f>
        <v/>
      </c>
      <c r="BE442" s="85">
        <f>IF($A442="","",IF($DJ442&lt;&gt;"","FIX: "&amp;LEFT($DJ442,LEN($DJ442)-2)&amp;IF($DK442&lt;&gt;"","  ·  ",""),"")&amp;IF($DK442&lt;&gt;"","CHECK: "&amp;LEFT($DK442,LEN($DK442)-2),""))</f>
        <v/>
      </c>
      <c r="BF442" s="84">
        <f>IF(OR($A442="",$K442=""),"",$K442&amp;"'-"&amp;N($L442)&amp;CHAR(34)&amp;" x "&amp;$M442&amp;"'-"&amp;N($N442)&amp;CHAR(34))</f>
        <v/>
      </c>
      <c r="BG442" s="84">
        <f>IF(OR($A442="",$K442=""),"",$K442&amp;N($L442)&amp;$M442&amp;N($N442))</f>
        <v/>
      </c>
      <c r="BH442" s="84">
        <f>IF(OR($A442="",$K442=""),"",$K442*12+N($L442))</f>
        <v/>
      </c>
      <c r="BI442" s="84">
        <f>IF(OR($A442="",$M442=""),"",$M442*12+N($N442))</f>
        <v/>
      </c>
      <c r="BJ442" s="84">
        <f>IF($A442="","",IF(OR($C442="FRAME ONLY",$S442="BL"),0,IF($O442="Y",2,1)))</f>
        <v/>
      </c>
      <c r="BK442" s="86">
        <f>IF(OR(N($BJ442)=0,$BH442=""),"",($BH442-2*EdgeClr-IF($BJ442=2,MeetClr,0))/$BJ442)</f>
        <v/>
      </c>
      <c r="BL442" s="86">
        <f>IF(OR(N($BJ442)=0,$BI442=""),"",$BI442-HeadClr-Undercut)</f>
        <v/>
      </c>
      <c r="BM442" s="86">
        <f>IF($BH442="","",$BH442+2*FaceW+IF(N($Q442)&gt;0,($Q442+FaceW)*IF($R442="LR",2,1),0))</f>
        <v/>
      </c>
      <c r="BN442" s="86">
        <f>IF($BI442="","",$BI442+IF($AB442="Y",4,FaceW)+IF(N($P442)&gt;0,$P442+FaceW,0)+IF(OR($S442="4F",$S442="BL"),FaceW,0))</f>
        <v/>
      </c>
      <c r="BO442" s="86">
        <f>IF($BM442="","",$BM442+2*ROSide)</f>
        <v/>
      </c>
      <c r="BP442" s="86">
        <f>IF($BN442="","",$BN442+ROTop)</f>
        <v/>
      </c>
      <c r="BQ442" s="87">
        <f>IF(OR(N($BJ442)=0,$BH442=""),"",$BH442/$BJ442-ClearDeduct)</f>
        <v/>
      </c>
      <c r="BR442" s="84">
        <f>IF(N($CH442)=0,"",IF($CH442&gt;=180,"A · 3 HR",IF($CH442&gt;=90,"B · 1-1/2 HR",IF($CH442&gt;=60,"B · 1 HR",IF($CH442&gt;=45,"C · 3/4 HR","20 MIN")))))&amp;IF(AND(N($CH442)&gt;0,OR($I442="CORRIDOR",$I442="SMOKE BARRIER"))," · S","")</f>
        <v/>
      </c>
      <c r="BS442" s="84">
        <f>IF($CS442,"",IF($AV442&lt;&gt;"",$AV442,IF(OR($AC442="HGC",$AO442="HGC"),"CONT",IF(($BI442-HeadClr-Undercut)&lt;=60,2,IF(($BI442-HeadClr-Undercut)&lt;=90,3,IF(($BI442-HeadClr-Undercut)&lt;=120,4,5))))))</f>
        <v/>
      </c>
      <c r="BT442" s="84">
        <f>IF($CS442,"",IF($CT442,"CUSTOM (typed)",IF($CV442,$AT442&amp;" "&amp;$CU442&amp;CHAR(34)&amp;IF($CU442&lt;&gt;$BI442,IF(AND($BI442&lt;$CU442,$BI442-IF(N(VLOOKUP($AT442&amp;"|"&amp;$CU442,LocTable,7,FALSE))&gt;0,VLOOKUP($AT442&amp;"|"&amp;$CU442,LocTable,7,FALSE),VLOOKUP($AT442&amp;"|"&amp;$CU442,LocTable,6,FALSE))-$CR442-0.75&gt;=2.125)," cut down"," adj."),""),"ANSI/SDI A250.6")))</f>
        <v/>
      </c>
      <c r="BU442" s="88">
        <f>IF($CS442,"",IF($CT442,IF(N($AW442)&gt;0,N($AW442),""),IF(1&gt;$CQ442,"",IF($CQ442=1,$CW442,$CW442+($CX442-$CW442)*0/($CQ442-1)))))</f>
        <v/>
      </c>
      <c r="BV442" s="88">
        <f>IF($CS442,"",IF($CT442,IF(N($AX442)&gt;0,N($AX442),""),IF(2&gt;$CQ442,"",IF($CQ442=1,$CW442,$CW442+($CX442-$CW442)*1/($CQ442-1)))))</f>
        <v/>
      </c>
      <c r="BW442" s="88">
        <f>IF($CS442,"",IF($CT442,IF(N($AY442)&gt;0,N($AY442),""),IF(3&gt;$CQ442,"",IF($CQ442=1,$CW442,$CW442+($CX442-$CW442)*2/($CQ442-1)))))</f>
        <v/>
      </c>
      <c r="BX442" s="88">
        <f>IF($CS442,"",IF($CT442,IF(N($AZ442)&gt;0,N($AZ442),""),IF(4&gt;$CQ442,"",IF($CQ442=1,$CW442,$CW442+($CX442-$CW442)*3/($CQ442-1)))))</f>
        <v/>
      </c>
      <c r="BY442" s="88">
        <f>IF($CS442,"",IF($CT442,"",IF(5&gt;$CQ442,"",IF($CQ442=1,$CW442,$CW442+($CX442-$CW442)*4/($CQ442-1)))))</f>
        <v/>
      </c>
      <c r="BZ442" s="88">
        <f>IF(OR($CS442,$AP442="-",AND($AP442="",$AD442="")),"",IF(N($BA442)&gt;0,N($BA442),IF($CV442,IF(AND($BI442&lt;$CU442,$BI442-IF(N(VLOOKUP($AT442&amp;"|"&amp;$CU442,LocTable,7,FALSE))&gt;0,VLOOKUP($AT442&amp;"|"&amp;$CU442,LocTable,7,FALSE),VLOOKUP($AT442&amp;"|"&amp;$CU442,LocTable,6,FALSE))-$CR442-0.75&gt;=2.125),VLOOKUP($AT442&amp;"|"&amp;$CU442,LocTable,8,FALSE),VLOOKUP($AT442&amp;"|"&amp;$CU442,LocTable,8,FALSE)+($BI442-$CU442)),$BI442-LockAFF)))</f>
        <v/>
      </c>
      <c r="CA442" s="89">
        <f>IF($BZ442="","",$BI442-$BZ442)</f>
        <v/>
      </c>
      <c r="CB442" s="84">
        <f>IF(OR(NOT(AND($A442&lt;&gt;"",$C442&lt;&gt;"DOOR ONLY")),$BI442=""),"",IF(($BI442+IF(N($P442)&gt;0,$P442+FaceW,0))&lt;=90,3,IF(($BI442+IF(N($P442)&gt;0,$P442+FaceW,0))&lt;=114,4,5)))</f>
        <v/>
      </c>
      <c r="CC442" s="84">
        <f>IF($CB442="","",$CB442*(2+IF(N($Q442)&gt;0,IF($R442="LR",2,1),0)))</f>
        <v/>
      </c>
      <c r="CD442" s="84">
        <f>IF($CB442="","",(2+IF(N($Q442)&gt;0,IF($R442="LR",2,1),0)))</f>
        <v/>
      </c>
      <c r="CE442" s="84">
        <f>IF(N($BJ442)=0,"",IF(OR($AL442="",$AL442="FLUSH"),"FLUSH",IFERROR(LEFT($AL442,FIND("-",$AL442)-1),LEFT($AL442,2))))</f>
        <v/>
      </c>
      <c r="CF442" s="84">
        <f>IF($CE442="","",IFERROR(VALUE(MID($AL442,FIND("-",$AL442)+1,FIND(CHAR(34)&amp;"x",$AL442)-FIND("-",$AL442)-1)),0))</f>
        <v/>
      </c>
      <c r="CG442" s="84">
        <f>IF($CE442="","",IFERROR(VALUE(MID($AL442,FIND(CHAR(34)&amp;"x",$AL442)+2,FIND(CHAR(34),$AL442,FIND(CHAR(34)&amp;"x",$AL442)+2)-FIND(CHAR(34)&amp;"x",$AL442)-2)),0))</f>
        <v/>
      </c>
      <c r="CH442" s="90">
        <f>IF(OR($A442="",$H442="",$H442="NO LAB"),0,IFERROR(VALUE(LEFT($H442,FIND(" ",$H442)-1)),0))</f>
        <v/>
      </c>
      <c r="CI442" s="91">
        <f>IF(OR($A442="",$I442="",$I442="NON-RATED",N($J442)=0),"",IFERROR(VLOOKUP($I442&amp;"|"&amp;$J442,IBC,2,FALSE),"?"))</f>
        <v/>
      </c>
      <c r="CJ442" s="85">
        <f>IF(NOT(AND($A442&lt;&gt;"",$C442&lt;&gt;"DOOR ONLY")),"",TRIM(IFERROR(VLOOKUP($U442,CODES,2,FALSE),"")&amp;" "&amp;$BG442&amp;" "&amp;IFERROR(VLOOKUP($Z442,CODES,2,FALSE),"")&amp;" "&amp;IFERROR(VLOOKUP($X442,CODES,2,FALSE),"")&amp;" "&amp;IFERROR(VLOOKUP($S442,CODES,2,FALSE),"")&amp;IF(N($P442)&gt;0," w/TRANSOM "&amp;$P442&amp;CHAR(34),"")&amp;IF(N($Q442)&gt;0," w/SIDELITE "&amp;$Q442&amp;CHAR(34)&amp;" "&amp;IF($R442="","R",$R442),"")&amp;IF($Y442="","  |  "," | "&amp;IFERROR(VLOOKUP($Y442,CODES,2,FALSE),"")&amp;" | ")&amp;IFERROR(VLOOKUP($AC442,CODES,2,FALSE),"")&amp;" "&amp;IFERROR(VLOOKUP($AD442,CODES,2,FALSE),"")&amp;IF(OR($AE442="",$AE442="-"),""," "&amp;$AE442)&amp;IF(OR($AF442="",$AF442="-"),""," "&amp;$AF442)&amp;IF($AB442="Y"," 4"&amp;CHAR(34)&amp;" HEAD","")&amp;" "&amp;IFERROR(VLOOKUP($H442,CODES,2,FALSE),"")&amp;IF($CT442," | LOC "&amp;$CY442,"")))</f>
        <v/>
      </c>
      <c r="CK442" s="85">
        <f>IF(NOT(AND($A442&lt;&gt;"",N($BJ442)&gt;0)),"",TRIM(IFERROR(VLOOKUP($AH442,CODES,2,FALSE),"")&amp;IF($AI442=""," "," "&amp;$AI442&amp;"GA ")&amp;$BG442&amp;" "&amp;IF($AN442="",IFERROR(VLOOKUP($Z442,CODES,2,FALSE),""),IFERROR(VLOOKUP($AN442,CODES,2,FALSE),""))&amp;IF($BJ442=2," PAIR","")&amp;" DOOR | "&amp;IF($AL442="","?",$AL442)&amp;" | "&amp;IF($AO442="",IFERROR(VLOOKUP($AC442,CODES,2,FALSE),""),IFERROR(VLOOKUP($AO442,CODES,2,FALSE),""))&amp;" "&amp;IFERROR(VLOOKUP($AP442,CODES,2,FALSE),"")&amp;IF(OR($AQ442="",$AQ442="-"),""," SEAM "&amp;$AQ442)&amp;IF($AR442="Y"," ASTRAGAL","")&amp;IF($AJ442=""," "," "&amp;$AJ442)&amp;IF($AK442=""," "," "&amp;$AK442)&amp;IF(OR($AT442="",$AT442="ANSI/SDI",$AT442="CUSTOM LOC"),""," "&amp;$AT442)&amp;IF($AM442=""," "," SERIES "&amp;$AM442)&amp;" "&amp;IFERROR(VLOOKUP($H442,CODES,2,FALSE),"")&amp;IF($CT442," | LOC "&amp;$CZ442,"")))</f>
        <v/>
      </c>
      <c r="CL442" s="84">
        <f>IF(CP442="","",IF(COUNTIF($CP$6:CP442,CP442)=1,MAX($CL$5:CL441)+1,INDEX($CL$5:CL441,MATCH(CP442,$CP$5:CP441,0))))</f>
        <v/>
      </c>
      <c r="CM442" s="84">
        <f>IF(NOT(AND($A442&lt;&gt;"",$C442&lt;&gt;"DOOR ONLY")),"",MAX($CM$5:CM441)+1)</f>
        <v/>
      </c>
      <c r="CN442" s="84">
        <f>IF(NOT(AND($A442&lt;&gt;"",N($BJ442)&gt;0)),"",MAX($CN$5:CN441)+1)</f>
        <v/>
      </c>
      <c r="CO442" s="84">
        <f>IF($A442="","",MAX($CO$5:CO441)+1)</f>
        <v/>
      </c>
      <c r="CP442" s="84">
        <f>IF(OR($A442="",$BH442="",$BI442=""),"",$BG442&amp;"|"&amp;$O442&amp;"|"&amp;$AL442&amp;"|"&amp;$S442&amp;"|"&amp;$P442&amp;"|"&amp;$Q442&amp;$R442&amp;"|"&amp;$C442&amp;"|"&amp;$AB442)</f>
        <v/>
      </c>
      <c r="CQ442" s="84">
        <f>N($BS442)</f>
        <v/>
      </c>
      <c r="CR442" s="84">
        <f>IF(N($AU442)&gt;0,N($AU442),4.5)</f>
        <v/>
      </c>
      <c r="CS442" s="84">
        <f>OR($A442="",$BI442="",$S442="BL",AND($C442="FRAME ONLY",OR($AC442="",$AC442="BLK")))</f>
        <v/>
      </c>
      <c r="CT442" s="84">
        <f>AND(NOT($CS442),OR($AT442="CUSTOM LOC",N($AW442)+N($AX442)+N($AY442)+N($AZ442)+N($BA442)&gt;0))</f>
        <v/>
      </c>
      <c r="CU442" s="84">
        <f>IF($BI442="","",IF($BI442&lt;=80,80,IF($BI442&lt;=84,84,96)))</f>
        <v/>
      </c>
      <c r="CV442" s="84">
        <f>ISNUMBER(MATCH($AT442&amp;"|80",LocKeys,0))</f>
        <v/>
      </c>
      <c r="CW442" s="86">
        <f>IF($CS442,"",IF($CV442,VLOOKUP($AT442&amp;"|"&amp;$CU442,LocTable,4,FALSE),5))</f>
        <v/>
      </c>
      <c r="CX442" s="86">
        <f>IF($CS442,"",IF($CV442,IF(OR($BI442=$CU442,AND($BI442&lt;$CU442,$BI442-IF(N(VLOOKUP($AT442&amp;"|"&amp;$CU442,LocTable,7,FALSE))&gt;0,VLOOKUP($AT442&amp;"|"&amp;$CU442,LocTable,7,FALSE),VLOOKUP($AT442&amp;"|"&amp;$CU442,LocTable,6,FALSE))-$CR442-0.75&gt;=2.125)),IF(N(VLOOKUP($AT442&amp;"|"&amp;$CU442,LocTable,7,FALSE))&gt;0,VLOOKUP($AT442&amp;"|"&amp;$CU442,LocTable,7,FALSE),VLOOKUP($AT442&amp;"|"&amp;$CU442,LocTable,6,FALSE)),$BI442-($CU442-IF(N(VLOOKUP($AT442&amp;"|"&amp;$CU442,LocTable,7,FALSE))&gt;0,VLOOKUP($AT442&amp;"|"&amp;$CU442,LocTable,7,FALSE),VLOOKUP($AT442&amp;"|"&amp;$CU442,LocTable,6,FALSE)))),$BI442-10-$CR442))</f>
        <v/>
      </c>
      <c r="CY442" s="85">
        <f>IF($CS442,"",TRIM(IF(ISNUMBER($BU442),"A "&amp;TRIM(TEXT($BU442,"# ?/??"))&amp;CHAR(34)&amp;"  ","")&amp;IF(ISNUMBER($BV442),"B "&amp;TRIM(TEXT($BV442,"# ?/??"))&amp;CHAR(34)&amp;"  ","")&amp;IF(ISNUMBER($BW442),"C "&amp;TRIM(TEXT($BW442,"# ?/??"))&amp;CHAR(34)&amp;"  ","")&amp;IF(ISNUMBER($BX442),"D "&amp;TRIM(TEXT($BX442,"# ?/??"))&amp;CHAR(34)&amp;"  ","")&amp;IF(ISNUMBER($BY442),"F "&amp;TRIM(TEXT($BY442,"# ?/??"))&amp;CHAR(34)&amp;"  ","")&amp;IF(ISNUMBER($BZ442),"E "&amp;TRIM(TEXT($BZ442,"# ?/??"))&amp;CHAR(34)&amp;"  ","")))</f>
        <v/>
      </c>
      <c r="CZ442" s="85">
        <f>IF(OR($CS442,N($BJ442)=0),"",TRIM(IF(ISNUMBER($BU442),"A "&amp;TRIM(TEXT($BU442-HeadClr,"# ?/??"))&amp;CHAR(34)&amp;"  ","")&amp;IF(ISNUMBER($BV442),"B "&amp;TRIM(TEXT($BV442-HeadClr,"# ?/??"))&amp;CHAR(34)&amp;"  ","")&amp;IF(ISNUMBER($BW442),"C "&amp;TRIM(TEXT($BW442-HeadClr,"# ?/??"))&amp;CHAR(34)&amp;"  ","")&amp;IF(ISNUMBER($BX442),"D "&amp;TRIM(TEXT($BX442-HeadClr,"# ?/??"))&amp;CHAR(34)&amp;"  ","")&amp;IF(ISNUMBER($BY442),"F "&amp;TRIM(TEXT($BY442-HeadClr,"# ?/??"))&amp;CHAR(34)&amp;"  ","")&amp;IF(ISNUMBER($BZ442),"E "&amp;TRIM(TEXT($BZ442-HeadClr,"# ?/??"))&amp;CHAR(34)&amp;"  ","")))</f>
        <v/>
      </c>
      <c r="DA442" s="84">
        <f>IF($A442="","",IF($AN442="",IFERROR(VLOOKUP($Z442,CODES,2,FALSE),""),IFERROR(VLOOKUP($AN442,CODES,2,FALSE),"")))</f>
        <v/>
      </c>
      <c r="DB442" s="84">
        <f>IF($A442="","",IF($O442="Y","PR",IF(OR($Z442="L",$Z442="RR",LEFT($Z442,2)="L-",LEFT($Z442,3)="RR-"),"LH","RH")))</f>
        <v/>
      </c>
      <c r="DC442" s="84">
        <f>IF($A442="","","S.HM"&amp;IF(OR($C442="DOOR ONLY",$X442&lt;&gt;"KD"),"MASONRY","DRYWALL")&amp;IF($C442="DOOR ONLY","",$U442)&amp;IF(AND($C442&lt;&gt;"FRAME ONLY",OR(LEFT($AH442,3)="OAK",LEFT($AH442,3)="BIR",LEFT($AH442,3)="MAP",$AH442="PC",$AH442="MC",$AH442="SCLC",$AH442="P-LAM")),"WD","HM")&amp;"1.75")</f>
        <v/>
      </c>
      <c r="DD442" s="84">
        <f>IF($CJ442="","",IF($O442="Y",$CJ442,SUBSTITUTE($CJ442,$BG442&amp;" "&amp;IFERROR(VLOOKUP($Z442,CODES,2,FALSE),"")&amp;" ",$BG442&amp;" ")))</f>
        <v/>
      </c>
      <c r="DE442" s="84">
        <f>IF($CK442="","",IF($O442="Y",$CK442,SUBSTITUTE($CK442,$BG442&amp;" "&amp;IF($AN442="",IFERROR(VLOOKUP($Z442,CODES,2,FALSE),""),IFERROR(VLOOKUP($AN442,CODES,2,FALSE),""))&amp;" ",$BG442&amp;" ")))</f>
        <v/>
      </c>
      <c r="DF442" s="84">
        <f>IF($CJ442="","",$DC442&amp;"|"&amp;$DD442&amp;"|"&amp;$DB442&amp;"|"&amp;$AT442&amp;"|"&amp;$V442&amp;"|"&amp;$Y442&amp;"|"&amp;$AB442)</f>
        <v/>
      </c>
      <c r="DG442" s="84">
        <f>IF(DF442="","",IF(COUNTIF($DF$6:DF442,DF442)=1,MAX($DG$5:DG441)+1,INDEX($DG$5:DG441,MATCH(DF442,$DF$5:DF441,0))))</f>
        <v/>
      </c>
      <c r="DH442" s="84">
        <f>IF($CK442="","",$DC442&amp;"|"&amp;$DE442&amp;"|"&amp;$AI442&amp;"|"&amp;$BK442&amp;"|"&amp;$BL442)</f>
        <v/>
      </c>
      <c r="DI442" s="84">
        <f>IF(DH442="","",IF(COUNTIF($DH$6:DH442,DH442)=1,MAX($DI$5:DI441)+1,INDEX($DI$5:DI441,MATCH(DH442,$DH$5:DH441,0))))</f>
        <v/>
      </c>
      <c r="DJ442" s="84">
        <f>IF($A442="","",IF($B442="","qty, ","")&amp;IF($C442="","scope, ","")&amp;IF(OR($K442="",$M442=""),"size, ","")&amp;IF(AND($A442&lt;&gt;"",$C442&lt;&gt;"DOOR ONLY"),IF($U442="","jamb depth, ","")&amp;IF($X442="","construction, ","")&amp;IF($Y442="","anchor, ","")&amp;IF($S442="","frame type, ",""),"")&amp;IF(AND(N($BJ442)&gt;0,$Z442=""),"hand, ","")&amp;IF(N($BJ442)&gt;0,IF($AH442="","door material, ","")&amp;IF($AL442="","face type, ","")&amp;IF($AP442="","lock prep, ","")&amp;IF(AND($AO442="",$AC442=""),"hinge prep, ",""),"")&amp;IF(AND($CH442&gt;0,$AH442="FRP"),"FRP cannot carry a label, ","")&amp;IF(AND($O442="Y",OR($Z442="L",$Z442="R",$Z442="LR",$Z442="RR")),"pair marked but hand is single, ","")&amp;IF(AND($O442&lt;&gt;"Y",OR($Z442="PR",AND(LEN($Z442)&gt;1,ISNUMBER(SEARCH("-",$Z442))))),"pair hand on a single door, ","")&amp;IF(AND(ISNUMBER($CI442),$CH442&lt;N($CI442)),"wall needs a "&amp;$CI442&amp;" min door, ","")&amp;IF(AND($CH442&gt;=180,AND(OR($CE442="FG",$CE442="HG",$CE442="FNV",$CE442="FV"),N($CF442)*N($CG442)&gt;100)),"180 min lite over 100 sq in, ","")&amp;IF(N($BK442)&gt;48,"leaf wider than 4'-0"&amp;CHAR(34)&amp;", ","")&amp;IF(AND($CT442,COUNT($AW442:$AZ442)=0,$CQ442&gt;0),"CUSTOM LOC with no locations typed, ",""))</f>
        <v/>
      </c>
      <c r="DK442" s="84">
        <f>IF($A442="","",IF(AND($CH442&gt;0,AND($A442&lt;&gt;"",$C442&lt;&gt;"DOOR ONLY"),$X442="KD",$E442="EXTERIOR"),"KD label on an exterior opening, ","")&amp;IF(AND($E442="EXTERIOR",OR(AND(AND($A442&lt;&gt;"",$C442&lt;&gt;"DOOR ONLY"),$W442="CR"),AND(N($BJ442)&gt;0,$AH442="CR"))),"exterior in CR steel (G9?), ","")&amp;IF(AND(ISNUMBER($BQ442),N($BQ442)&lt;32),"clear width ~"&amp;TEXT($BQ442,"0.0")&amp;CHAR(34)&amp;" under 32"&amp;CHAR(34)&amp;" (ADA), ","")&amp;IF(AND($CH442=90,AND(OR($CE442="FG",$CE442="HG",$CE442="FNV",$CE442="FV"),N($CF442)*N($CG442)&gt;100)),"90 min lite over 100 sq in (stair/exit), ","")&amp;IF(AND($CH442&gt;0,AND($A442&lt;&gt;"",$C442&lt;&gt;"DOOR ONLY"),OR($AF442="",$AF442="-")),"rated: closer reinf.?, ","")&amp;IF(OR($I442="CORRIDOR",$I442="SMOKE BARRIER"),"S label + smoke gasketing, ","")&amp;IF($CI442="?","wall type/hr not in IBC table, ","")&amp;IF(AND(N($BJ442)&gt;0,$BB442=""),"no hardware set, ","")&amp;IF(AND($BB442&lt;&gt;"",ISNA(MATCH($BB442&amp;"",HWSets,0))),"set "&amp;$BB442&amp;" not on HW Sets, ","")&amp;IF(N($BL442)&gt;96,"leaf over 8'-0"&amp;CHAR(34)&amp;" - check listing, ","")&amp;IF(AND($CT442,COUNT($AW442:$AZ442)&gt;0,COUNT($AW442:$AZ442)&lt;&gt;$CQ442),COUNT($AW442:$AZ442)&amp;" custom hinges typed, "&amp;$CQ442&amp;" expected, ","")&amp;IF(AND(ISNUMBER($CA442),OR(N($CA442)&lt;34,N($CA442)&gt;48)),"lock "&amp;TEXT($CA442,"0.0")&amp;CHAR(34)&amp;" AFF outside 34-48"&amp;CHAR(34)&amp;" (ADA), ","")&amp;IF(AND(ISNUMBER($AV442),ISNUMBER($BL442),N($AV442)&lt;IF(N($BL442)&lt;=60,2,IF(N($BL442)&lt;=90,3,IF(N($BL442)&lt;=120,4,5)))),"fewer hinges than standard, ",""))</f>
        <v/>
      </c>
    </row>
    <row r="443" ht="15" customHeight="1">
      <c r="A443" s="77" t="n"/>
      <c r="B443" s="78" t="n"/>
      <c r="C443" s="78" t="n"/>
      <c r="D443" s="78" t="n"/>
      <c r="E443" s="78" t="n"/>
      <c r="F443" s="78" t="n"/>
      <c r="G443" s="78" t="n"/>
      <c r="H443" s="78" t="n"/>
      <c r="I443" s="78" t="n"/>
      <c r="J443" s="78" t="n"/>
      <c r="K443" s="78" t="n"/>
      <c r="L443" s="78" t="n"/>
      <c r="M443" s="78" t="n"/>
      <c r="N443" s="78" t="n"/>
      <c r="O443" s="78" t="n"/>
      <c r="P443" s="78" t="n"/>
      <c r="Q443" s="78" t="n"/>
      <c r="R443" s="78" t="n"/>
      <c r="S443" s="79" t="n"/>
      <c r="T443" s="79" t="n"/>
      <c r="U443" s="79" t="n"/>
      <c r="V443" s="79" t="n"/>
      <c r="W443" s="79" t="n"/>
      <c r="X443" s="79" t="n"/>
      <c r="Y443" s="79" t="n"/>
      <c r="Z443" s="79" t="n"/>
      <c r="AA443" s="79" t="n"/>
      <c r="AB443" s="79" t="n"/>
      <c r="AC443" s="79" t="n"/>
      <c r="AD443" s="79" t="n"/>
      <c r="AE443" s="79" t="n"/>
      <c r="AF443" s="79" t="n"/>
      <c r="AG443" s="79" t="n"/>
      <c r="AH443" s="80" t="n"/>
      <c r="AI443" s="80" t="n"/>
      <c r="AJ443" s="80" t="n"/>
      <c r="AK443" s="80" t="n"/>
      <c r="AL443" s="80" t="n"/>
      <c r="AM443" s="80" t="n"/>
      <c r="AN443" s="80" t="n"/>
      <c r="AO443" s="80" t="n"/>
      <c r="AP443" s="80" t="n"/>
      <c r="AQ443" s="80" t="n"/>
      <c r="AR443" s="80" t="n"/>
      <c r="AS443" s="80" t="n"/>
      <c r="AT443" s="81" t="n"/>
      <c r="AU443" s="81" t="n"/>
      <c r="AV443" s="81" t="n"/>
      <c r="AW443" s="82" t="n"/>
      <c r="AX443" s="82" t="n"/>
      <c r="AY443" s="82" t="n"/>
      <c r="AZ443" s="82" t="n"/>
      <c r="BA443" s="82" t="n"/>
      <c r="BB443" s="83" t="n"/>
      <c r="BC443" s="83" t="n"/>
      <c r="BD443" s="84">
        <f>IF($A443="","",IF($DJ443&lt;&gt;"","FIX",IF($DK443&lt;&gt;"","CHECK","OK")))</f>
        <v/>
      </c>
      <c r="BE443" s="85">
        <f>IF($A443="","",IF($DJ443&lt;&gt;"","FIX: "&amp;LEFT($DJ443,LEN($DJ443)-2)&amp;IF($DK443&lt;&gt;"","  ·  ",""),"")&amp;IF($DK443&lt;&gt;"","CHECK: "&amp;LEFT($DK443,LEN($DK443)-2),""))</f>
        <v/>
      </c>
      <c r="BF443" s="84">
        <f>IF(OR($A443="",$K443=""),"",$K443&amp;"'-"&amp;N($L443)&amp;CHAR(34)&amp;" x "&amp;$M443&amp;"'-"&amp;N($N443)&amp;CHAR(34))</f>
        <v/>
      </c>
      <c r="BG443" s="84">
        <f>IF(OR($A443="",$K443=""),"",$K443&amp;N($L443)&amp;$M443&amp;N($N443))</f>
        <v/>
      </c>
      <c r="BH443" s="84">
        <f>IF(OR($A443="",$K443=""),"",$K443*12+N($L443))</f>
        <v/>
      </c>
      <c r="BI443" s="84">
        <f>IF(OR($A443="",$M443=""),"",$M443*12+N($N443))</f>
        <v/>
      </c>
      <c r="BJ443" s="84">
        <f>IF($A443="","",IF(OR($C443="FRAME ONLY",$S443="BL"),0,IF($O443="Y",2,1)))</f>
        <v/>
      </c>
      <c r="BK443" s="86">
        <f>IF(OR(N($BJ443)=0,$BH443=""),"",($BH443-2*EdgeClr-IF($BJ443=2,MeetClr,0))/$BJ443)</f>
        <v/>
      </c>
      <c r="BL443" s="86">
        <f>IF(OR(N($BJ443)=0,$BI443=""),"",$BI443-HeadClr-Undercut)</f>
        <v/>
      </c>
      <c r="BM443" s="86">
        <f>IF($BH443="","",$BH443+2*FaceW+IF(N($Q443)&gt;0,($Q443+FaceW)*IF($R443="LR",2,1),0))</f>
        <v/>
      </c>
      <c r="BN443" s="86">
        <f>IF($BI443="","",$BI443+IF($AB443="Y",4,FaceW)+IF(N($P443)&gt;0,$P443+FaceW,0)+IF(OR($S443="4F",$S443="BL"),FaceW,0))</f>
        <v/>
      </c>
      <c r="BO443" s="86">
        <f>IF($BM443="","",$BM443+2*ROSide)</f>
        <v/>
      </c>
      <c r="BP443" s="86">
        <f>IF($BN443="","",$BN443+ROTop)</f>
        <v/>
      </c>
      <c r="BQ443" s="87">
        <f>IF(OR(N($BJ443)=0,$BH443=""),"",$BH443/$BJ443-ClearDeduct)</f>
        <v/>
      </c>
      <c r="BR443" s="84">
        <f>IF(N($CH443)=0,"",IF($CH443&gt;=180,"A · 3 HR",IF($CH443&gt;=90,"B · 1-1/2 HR",IF($CH443&gt;=60,"B · 1 HR",IF($CH443&gt;=45,"C · 3/4 HR","20 MIN")))))&amp;IF(AND(N($CH443)&gt;0,OR($I443="CORRIDOR",$I443="SMOKE BARRIER"))," · S","")</f>
        <v/>
      </c>
      <c r="BS443" s="84">
        <f>IF($CS443,"",IF($AV443&lt;&gt;"",$AV443,IF(OR($AC443="HGC",$AO443="HGC"),"CONT",IF(($BI443-HeadClr-Undercut)&lt;=60,2,IF(($BI443-HeadClr-Undercut)&lt;=90,3,IF(($BI443-HeadClr-Undercut)&lt;=120,4,5))))))</f>
        <v/>
      </c>
      <c r="BT443" s="84">
        <f>IF($CS443,"",IF($CT443,"CUSTOM (typed)",IF($CV443,$AT443&amp;" "&amp;$CU443&amp;CHAR(34)&amp;IF($CU443&lt;&gt;$BI443,IF(AND($BI443&lt;$CU443,$BI443-IF(N(VLOOKUP($AT443&amp;"|"&amp;$CU443,LocTable,7,FALSE))&gt;0,VLOOKUP($AT443&amp;"|"&amp;$CU443,LocTable,7,FALSE),VLOOKUP($AT443&amp;"|"&amp;$CU443,LocTable,6,FALSE))-$CR443-0.75&gt;=2.125)," cut down"," adj."),""),"ANSI/SDI A250.6")))</f>
        <v/>
      </c>
      <c r="BU443" s="88">
        <f>IF($CS443,"",IF($CT443,IF(N($AW443)&gt;0,N($AW443),""),IF(1&gt;$CQ443,"",IF($CQ443=1,$CW443,$CW443+($CX443-$CW443)*0/($CQ443-1)))))</f>
        <v/>
      </c>
      <c r="BV443" s="88">
        <f>IF($CS443,"",IF($CT443,IF(N($AX443)&gt;0,N($AX443),""),IF(2&gt;$CQ443,"",IF($CQ443=1,$CW443,$CW443+($CX443-$CW443)*1/($CQ443-1)))))</f>
        <v/>
      </c>
      <c r="BW443" s="88">
        <f>IF($CS443,"",IF($CT443,IF(N($AY443)&gt;0,N($AY443),""),IF(3&gt;$CQ443,"",IF($CQ443=1,$CW443,$CW443+($CX443-$CW443)*2/($CQ443-1)))))</f>
        <v/>
      </c>
      <c r="BX443" s="88">
        <f>IF($CS443,"",IF($CT443,IF(N($AZ443)&gt;0,N($AZ443),""),IF(4&gt;$CQ443,"",IF($CQ443=1,$CW443,$CW443+($CX443-$CW443)*3/($CQ443-1)))))</f>
        <v/>
      </c>
      <c r="BY443" s="88">
        <f>IF($CS443,"",IF($CT443,"",IF(5&gt;$CQ443,"",IF($CQ443=1,$CW443,$CW443+($CX443-$CW443)*4/($CQ443-1)))))</f>
        <v/>
      </c>
      <c r="BZ443" s="88">
        <f>IF(OR($CS443,$AP443="-",AND($AP443="",$AD443="")),"",IF(N($BA443)&gt;0,N($BA443),IF($CV443,IF(AND($BI443&lt;$CU443,$BI443-IF(N(VLOOKUP($AT443&amp;"|"&amp;$CU443,LocTable,7,FALSE))&gt;0,VLOOKUP($AT443&amp;"|"&amp;$CU443,LocTable,7,FALSE),VLOOKUP($AT443&amp;"|"&amp;$CU443,LocTable,6,FALSE))-$CR443-0.75&gt;=2.125),VLOOKUP($AT443&amp;"|"&amp;$CU443,LocTable,8,FALSE),VLOOKUP($AT443&amp;"|"&amp;$CU443,LocTable,8,FALSE)+($BI443-$CU443)),$BI443-LockAFF)))</f>
        <v/>
      </c>
      <c r="CA443" s="89">
        <f>IF($BZ443="","",$BI443-$BZ443)</f>
        <v/>
      </c>
      <c r="CB443" s="84">
        <f>IF(OR(NOT(AND($A443&lt;&gt;"",$C443&lt;&gt;"DOOR ONLY")),$BI443=""),"",IF(($BI443+IF(N($P443)&gt;0,$P443+FaceW,0))&lt;=90,3,IF(($BI443+IF(N($P443)&gt;0,$P443+FaceW,0))&lt;=114,4,5)))</f>
        <v/>
      </c>
      <c r="CC443" s="84">
        <f>IF($CB443="","",$CB443*(2+IF(N($Q443)&gt;0,IF($R443="LR",2,1),0)))</f>
        <v/>
      </c>
      <c r="CD443" s="84">
        <f>IF($CB443="","",(2+IF(N($Q443)&gt;0,IF($R443="LR",2,1),0)))</f>
        <v/>
      </c>
      <c r="CE443" s="84">
        <f>IF(N($BJ443)=0,"",IF(OR($AL443="",$AL443="FLUSH"),"FLUSH",IFERROR(LEFT($AL443,FIND("-",$AL443)-1),LEFT($AL443,2))))</f>
        <v/>
      </c>
      <c r="CF443" s="84">
        <f>IF($CE443="","",IFERROR(VALUE(MID($AL443,FIND("-",$AL443)+1,FIND(CHAR(34)&amp;"x",$AL443)-FIND("-",$AL443)-1)),0))</f>
        <v/>
      </c>
      <c r="CG443" s="84">
        <f>IF($CE443="","",IFERROR(VALUE(MID($AL443,FIND(CHAR(34)&amp;"x",$AL443)+2,FIND(CHAR(34),$AL443,FIND(CHAR(34)&amp;"x",$AL443)+2)-FIND(CHAR(34)&amp;"x",$AL443)-2)),0))</f>
        <v/>
      </c>
      <c r="CH443" s="90">
        <f>IF(OR($A443="",$H443="",$H443="NO LAB"),0,IFERROR(VALUE(LEFT($H443,FIND(" ",$H443)-1)),0))</f>
        <v/>
      </c>
      <c r="CI443" s="91">
        <f>IF(OR($A443="",$I443="",$I443="NON-RATED",N($J443)=0),"",IFERROR(VLOOKUP($I443&amp;"|"&amp;$J443,IBC,2,FALSE),"?"))</f>
        <v/>
      </c>
      <c r="CJ443" s="85">
        <f>IF(NOT(AND($A443&lt;&gt;"",$C443&lt;&gt;"DOOR ONLY")),"",TRIM(IFERROR(VLOOKUP($U443,CODES,2,FALSE),"")&amp;" "&amp;$BG443&amp;" "&amp;IFERROR(VLOOKUP($Z443,CODES,2,FALSE),"")&amp;" "&amp;IFERROR(VLOOKUP($X443,CODES,2,FALSE),"")&amp;" "&amp;IFERROR(VLOOKUP($S443,CODES,2,FALSE),"")&amp;IF(N($P443)&gt;0," w/TRANSOM "&amp;$P443&amp;CHAR(34),"")&amp;IF(N($Q443)&gt;0," w/SIDELITE "&amp;$Q443&amp;CHAR(34)&amp;" "&amp;IF($R443="","R",$R443),"")&amp;IF($Y443="","  |  "," | "&amp;IFERROR(VLOOKUP($Y443,CODES,2,FALSE),"")&amp;" | ")&amp;IFERROR(VLOOKUP($AC443,CODES,2,FALSE),"")&amp;" "&amp;IFERROR(VLOOKUP($AD443,CODES,2,FALSE),"")&amp;IF(OR($AE443="",$AE443="-"),""," "&amp;$AE443)&amp;IF(OR($AF443="",$AF443="-"),""," "&amp;$AF443)&amp;IF($AB443="Y"," 4"&amp;CHAR(34)&amp;" HEAD","")&amp;" "&amp;IFERROR(VLOOKUP($H443,CODES,2,FALSE),"")&amp;IF($CT443," | LOC "&amp;$CY443,"")))</f>
        <v/>
      </c>
      <c r="CK443" s="85">
        <f>IF(NOT(AND($A443&lt;&gt;"",N($BJ443)&gt;0)),"",TRIM(IFERROR(VLOOKUP($AH443,CODES,2,FALSE),"")&amp;IF($AI443=""," "," "&amp;$AI443&amp;"GA ")&amp;$BG443&amp;" "&amp;IF($AN443="",IFERROR(VLOOKUP($Z443,CODES,2,FALSE),""),IFERROR(VLOOKUP($AN443,CODES,2,FALSE),""))&amp;IF($BJ443=2," PAIR","")&amp;" DOOR | "&amp;IF($AL443="","?",$AL443)&amp;" | "&amp;IF($AO443="",IFERROR(VLOOKUP($AC443,CODES,2,FALSE),""),IFERROR(VLOOKUP($AO443,CODES,2,FALSE),""))&amp;" "&amp;IFERROR(VLOOKUP($AP443,CODES,2,FALSE),"")&amp;IF(OR($AQ443="",$AQ443="-"),""," SEAM "&amp;$AQ443)&amp;IF($AR443="Y"," ASTRAGAL","")&amp;IF($AJ443=""," "," "&amp;$AJ443)&amp;IF($AK443=""," "," "&amp;$AK443)&amp;IF(OR($AT443="",$AT443="ANSI/SDI",$AT443="CUSTOM LOC"),""," "&amp;$AT443)&amp;IF($AM443=""," "," SERIES "&amp;$AM443)&amp;" "&amp;IFERROR(VLOOKUP($H443,CODES,2,FALSE),"")&amp;IF($CT443," | LOC "&amp;$CZ443,"")))</f>
        <v/>
      </c>
      <c r="CL443" s="84">
        <f>IF(CP443="","",IF(COUNTIF($CP$6:CP443,CP443)=1,MAX($CL$5:CL442)+1,INDEX($CL$5:CL442,MATCH(CP443,$CP$5:CP442,0))))</f>
        <v/>
      </c>
      <c r="CM443" s="84">
        <f>IF(NOT(AND($A443&lt;&gt;"",$C443&lt;&gt;"DOOR ONLY")),"",MAX($CM$5:CM442)+1)</f>
        <v/>
      </c>
      <c r="CN443" s="84">
        <f>IF(NOT(AND($A443&lt;&gt;"",N($BJ443)&gt;0)),"",MAX($CN$5:CN442)+1)</f>
        <v/>
      </c>
      <c r="CO443" s="84">
        <f>IF($A443="","",MAX($CO$5:CO442)+1)</f>
        <v/>
      </c>
      <c r="CP443" s="84">
        <f>IF(OR($A443="",$BH443="",$BI443=""),"",$BG443&amp;"|"&amp;$O443&amp;"|"&amp;$AL443&amp;"|"&amp;$S443&amp;"|"&amp;$P443&amp;"|"&amp;$Q443&amp;$R443&amp;"|"&amp;$C443&amp;"|"&amp;$AB443)</f>
        <v/>
      </c>
      <c r="CQ443" s="84">
        <f>N($BS443)</f>
        <v/>
      </c>
      <c r="CR443" s="84">
        <f>IF(N($AU443)&gt;0,N($AU443),4.5)</f>
        <v/>
      </c>
      <c r="CS443" s="84">
        <f>OR($A443="",$BI443="",$S443="BL",AND($C443="FRAME ONLY",OR($AC443="",$AC443="BLK")))</f>
        <v/>
      </c>
      <c r="CT443" s="84">
        <f>AND(NOT($CS443),OR($AT443="CUSTOM LOC",N($AW443)+N($AX443)+N($AY443)+N($AZ443)+N($BA443)&gt;0))</f>
        <v/>
      </c>
      <c r="CU443" s="84">
        <f>IF($BI443="","",IF($BI443&lt;=80,80,IF($BI443&lt;=84,84,96)))</f>
        <v/>
      </c>
      <c r="CV443" s="84">
        <f>ISNUMBER(MATCH($AT443&amp;"|80",LocKeys,0))</f>
        <v/>
      </c>
      <c r="CW443" s="86">
        <f>IF($CS443,"",IF($CV443,VLOOKUP($AT443&amp;"|"&amp;$CU443,LocTable,4,FALSE),5))</f>
        <v/>
      </c>
      <c r="CX443" s="86">
        <f>IF($CS443,"",IF($CV443,IF(OR($BI443=$CU443,AND($BI443&lt;$CU443,$BI443-IF(N(VLOOKUP($AT443&amp;"|"&amp;$CU443,LocTable,7,FALSE))&gt;0,VLOOKUP($AT443&amp;"|"&amp;$CU443,LocTable,7,FALSE),VLOOKUP($AT443&amp;"|"&amp;$CU443,LocTable,6,FALSE))-$CR443-0.75&gt;=2.125)),IF(N(VLOOKUP($AT443&amp;"|"&amp;$CU443,LocTable,7,FALSE))&gt;0,VLOOKUP($AT443&amp;"|"&amp;$CU443,LocTable,7,FALSE),VLOOKUP($AT443&amp;"|"&amp;$CU443,LocTable,6,FALSE)),$BI443-($CU443-IF(N(VLOOKUP($AT443&amp;"|"&amp;$CU443,LocTable,7,FALSE))&gt;0,VLOOKUP($AT443&amp;"|"&amp;$CU443,LocTable,7,FALSE),VLOOKUP($AT443&amp;"|"&amp;$CU443,LocTable,6,FALSE)))),$BI443-10-$CR443))</f>
        <v/>
      </c>
      <c r="CY443" s="85">
        <f>IF($CS443,"",TRIM(IF(ISNUMBER($BU443),"A "&amp;TRIM(TEXT($BU443,"# ?/??"))&amp;CHAR(34)&amp;"  ","")&amp;IF(ISNUMBER($BV443),"B "&amp;TRIM(TEXT($BV443,"# ?/??"))&amp;CHAR(34)&amp;"  ","")&amp;IF(ISNUMBER($BW443),"C "&amp;TRIM(TEXT($BW443,"# ?/??"))&amp;CHAR(34)&amp;"  ","")&amp;IF(ISNUMBER($BX443),"D "&amp;TRIM(TEXT($BX443,"# ?/??"))&amp;CHAR(34)&amp;"  ","")&amp;IF(ISNUMBER($BY443),"F "&amp;TRIM(TEXT($BY443,"# ?/??"))&amp;CHAR(34)&amp;"  ","")&amp;IF(ISNUMBER($BZ443),"E "&amp;TRIM(TEXT($BZ443,"# ?/??"))&amp;CHAR(34)&amp;"  ","")))</f>
        <v/>
      </c>
      <c r="CZ443" s="85">
        <f>IF(OR($CS443,N($BJ443)=0),"",TRIM(IF(ISNUMBER($BU443),"A "&amp;TRIM(TEXT($BU443-HeadClr,"# ?/??"))&amp;CHAR(34)&amp;"  ","")&amp;IF(ISNUMBER($BV443),"B "&amp;TRIM(TEXT($BV443-HeadClr,"# ?/??"))&amp;CHAR(34)&amp;"  ","")&amp;IF(ISNUMBER($BW443),"C "&amp;TRIM(TEXT($BW443-HeadClr,"# ?/??"))&amp;CHAR(34)&amp;"  ","")&amp;IF(ISNUMBER($BX443),"D "&amp;TRIM(TEXT($BX443-HeadClr,"# ?/??"))&amp;CHAR(34)&amp;"  ","")&amp;IF(ISNUMBER($BY443),"F "&amp;TRIM(TEXT($BY443-HeadClr,"# ?/??"))&amp;CHAR(34)&amp;"  ","")&amp;IF(ISNUMBER($BZ443),"E "&amp;TRIM(TEXT($BZ443-HeadClr,"# ?/??"))&amp;CHAR(34)&amp;"  ","")))</f>
        <v/>
      </c>
      <c r="DA443" s="84">
        <f>IF($A443="","",IF($AN443="",IFERROR(VLOOKUP($Z443,CODES,2,FALSE),""),IFERROR(VLOOKUP($AN443,CODES,2,FALSE),"")))</f>
        <v/>
      </c>
      <c r="DB443" s="84">
        <f>IF($A443="","",IF($O443="Y","PR",IF(OR($Z443="L",$Z443="RR",LEFT($Z443,2)="L-",LEFT($Z443,3)="RR-"),"LH","RH")))</f>
        <v/>
      </c>
      <c r="DC443" s="84">
        <f>IF($A443="","","S.HM"&amp;IF(OR($C443="DOOR ONLY",$X443&lt;&gt;"KD"),"MASONRY","DRYWALL")&amp;IF($C443="DOOR ONLY","",$U443)&amp;IF(AND($C443&lt;&gt;"FRAME ONLY",OR(LEFT($AH443,3)="OAK",LEFT($AH443,3)="BIR",LEFT($AH443,3)="MAP",$AH443="PC",$AH443="MC",$AH443="SCLC",$AH443="P-LAM")),"WD","HM")&amp;"1.75")</f>
        <v/>
      </c>
      <c r="DD443" s="84">
        <f>IF($CJ443="","",IF($O443="Y",$CJ443,SUBSTITUTE($CJ443,$BG443&amp;" "&amp;IFERROR(VLOOKUP($Z443,CODES,2,FALSE),"")&amp;" ",$BG443&amp;" ")))</f>
        <v/>
      </c>
      <c r="DE443" s="84">
        <f>IF($CK443="","",IF($O443="Y",$CK443,SUBSTITUTE($CK443,$BG443&amp;" "&amp;IF($AN443="",IFERROR(VLOOKUP($Z443,CODES,2,FALSE),""),IFERROR(VLOOKUP($AN443,CODES,2,FALSE),""))&amp;" ",$BG443&amp;" ")))</f>
        <v/>
      </c>
      <c r="DF443" s="84">
        <f>IF($CJ443="","",$DC443&amp;"|"&amp;$DD443&amp;"|"&amp;$DB443&amp;"|"&amp;$AT443&amp;"|"&amp;$V443&amp;"|"&amp;$Y443&amp;"|"&amp;$AB443)</f>
        <v/>
      </c>
      <c r="DG443" s="84">
        <f>IF(DF443="","",IF(COUNTIF($DF$6:DF443,DF443)=1,MAX($DG$5:DG442)+1,INDEX($DG$5:DG442,MATCH(DF443,$DF$5:DF442,0))))</f>
        <v/>
      </c>
      <c r="DH443" s="84">
        <f>IF($CK443="","",$DC443&amp;"|"&amp;$DE443&amp;"|"&amp;$AI443&amp;"|"&amp;$BK443&amp;"|"&amp;$BL443)</f>
        <v/>
      </c>
      <c r="DI443" s="84">
        <f>IF(DH443="","",IF(COUNTIF($DH$6:DH443,DH443)=1,MAX($DI$5:DI442)+1,INDEX($DI$5:DI442,MATCH(DH443,$DH$5:DH442,0))))</f>
        <v/>
      </c>
      <c r="DJ443" s="84">
        <f>IF($A443="","",IF($B443="","qty, ","")&amp;IF($C443="","scope, ","")&amp;IF(OR($K443="",$M443=""),"size, ","")&amp;IF(AND($A443&lt;&gt;"",$C443&lt;&gt;"DOOR ONLY"),IF($U443="","jamb depth, ","")&amp;IF($X443="","construction, ","")&amp;IF($Y443="","anchor, ","")&amp;IF($S443="","frame type, ",""),"")&amp;IF(AND(N($BJ443)&gt;0,$Z443=""),"hand, ","")&amp;IF(N($BJ443)&gt;0,IF($AH443="","door material, ","")&amp;IF($AL443="","face type, ","")&amp;IF($AP443="","lock prep, ","")&amp;IF(AND($AO443="",$AC443=""),"hinge prep, ",""),"")&amp;IF(AND($CH443&gt;0,$AH443="FRP"),"FRP cannot carry a label, ","")&amp;IF(AND($O443="Y",OR($Z443="L",$Z443="R",$Z443="LR",$Z443="RR")),"pair marked but hand is single, ","")&amp;IF(AND($O443&lt;&gt;"Y",OR($Z443="PR",AND(LEN($Z443)&gt;1,ISNUMBER(SEARCH("-",$Z443))))),"pair hand on a single door, ","")&amp;IF(AND(ISNUMBER($CI443),$CH443&lt;N($CI443)),"wall needs a "&amp;$CI443&amp;" min door, ","")&amp;IF(AND($CH443&gt;=180,AND(OR($CE443="FG",$CE443="HG",$CE443="FNV",$CE443="FV"),N($CF443)*N($CG443)&gt;100)),"180 min lite over 100 sq in, ","")&amp;IF(N($BK443)&gt;48,"leaf wider than 4'-0"&amp;CHAR(34)&amp;", ","")&amp;IF(AND($CT443,COUNT($AW443:$AZ443)=0,$CQ443&gt;0),"CUSTOM LOC with no locations typed, ",""))</f>
        <v/>
      </c>
      <c r="DK443" s="84">
        <f>IF($A443="","",IF(AND($CH443&gt;0,AND($A443&lt;&gt;"",$C443&lt;&gt;"DOOR ONLY"),$X443="KD",$E443="EXTERIOR"),"KD label on an exterior opening, ","")&amp;IF(AND($E443="EXTERIOR",OR(AND(AND($A443&lt;&gt;"",$C443&lt;&gt;"DOOR ONLY"),$W443="CR"),AND(N($BJ443)&gt;0,$AH443="CR"))),"exterior in CR steel (G9?), ","")&amp;IF(AND(ISNUMBER($BQ443),N($BQ443)&lt;32),"clear width ~"&amp;TEXT($BQ443,"0.0")&amp;CHAR(34)&amp;" under 32"&amp;CHAR(34)&amp;" (ADA), ","")&amp;IF(AND($CH443=90,AND(OR($CE443="FG",$CE443="HG",$CE443="FNV",$CE443="FV"),N($CF443)*N($CG443)&gt;100)),"90 min lite over 100 sq in (stair/exit), ","")&amp;IF(AND($CH443&gt;0,AND($A443&lt;&gt;"",$C443&lt;&gt;"DOOR ONLY"),OR($AF443="",$AF443="-")),"rated: closer reinf.?, ","")&amp;IF(OR($I443="CORRIDOR",$I443="SMOKE BARRIER"),"S label + smoke gasketing, ","")&amp;IF($CI443="?","wall type/hr not in IBC table, ","")&amp;IF(AND(N($BJ443)&gt;0,$BB443=""),"no hardware set, ","")&amp;IF(AND($BB443&lt;&gt;"",ISNA(MATCH($BB443&amp;"",HWSets,0))),"set "&amp;$BB443&amp;" not on HW Sets, ","")&amp;IF(N($BL443)&gt;96,"leaf over 8'-0"&amp;CHAR(34)&amp;" - check listing, ","")&amp;IF(AND($CT443,COUNT($AW443:$AZ443)&gt;0,COUNT($AW443:$AZ443)&lt;&gt;$CQ443),COUNT($AW443:$AZ443)&amp;" custom hinges typed, "&amp;$CQ443&amp;" expected, ","")&amp;IF(AND(ISNUMBER($CA443),OR(N($CA443)&lt;34,N($CA443)&gt;48)),"lock "&amp;TEXT($CA443,"0.0")&amp;CHAR(34)&amp;" AFF outside 34-48"&amp;CHAR(34)&amp;" (ADA), ","")&amp;IF(AND(ISNUMBER($AV443),ISNUMBER($BL443),N($AV443)&lt;IF(N($BL443)&lt;=60,2,IF(N($BL443)&lt;=90,3,IF(N($BL443)&lt;=120,4,5)))),"fewer hinges than standard, ",""))</f>
        <v/>
      </c>
    </row>
    <row r="444" ht="15" customHeight="1">
      <c r="A444" s="77" t="n"/>
      <c r="B444" s="78" t="n"/>
      <c r="C444" s="78" t="n"/>
      <c r="D444" s="78" t="n"/>
      <c r="E444" s="78" t="n"/>
      <c r="F444" s="78" t="n"/>
      <c r="G444" s="78" t="n"/>
      <c r="H444" s="78" t="n"/>
      <c r="I444" s="78" t="n"/>
      <c r="J444" s="78" t="n"/>
      <c r="K444" s="78" t="n"/>
      <c r="L444" s="78" t="n"/>
      <c r="M444" s="78" t="n"/>
      <c r="N444" s="78" t="n"/>
      <c r="O444" s="78" t="n"/>
      <c r="P444" s="78" t="n"/>
      <c r="Q444" s="78" t="n"/>
      <c r="R444" s="78" t="n"/>
      <c r="S444" s="79" t="n"/>
      <c r="T444" s="79" t="n"/>
      <c r="U444" s="79" t="n"/>
      <c r="V444" s="79" t="n"/>
      <c r="W444" s="79" t="n"/>
      <c r="X444" s="79" t="n"/>
      <c r="Y444" s="79" t="n"/>
      <c r="Z444" s="79" t="n"/>
      <c r="AA444" s="79" t="n"/>
      <c r="AB444" s="79" t="n"/>
      <c r="AC444" s="79" t="n"/>
      <c r="AD444" s="79" t="n"/>
      <c r="AE444" s="79" t="n"/>
      <c r="AF444" s="79" t="n"/>
      <c r="AG444" s="79" t="n"/>
      <c r="AH444" s="80" t="n"/>
      <c r="AI444" s="80" t="n"/>
      <c r="AJ444" s="80" t="n"/>
      <c r="AK444" s="80" t="n"/>
      <c r="AL444" s="80" t="n"/>
      <c r="AM444" s="80" t="n"/>
      <c r="AN444" s="80" t="n"/>
      <c r="AO444" s="80" t="n"/>
      <c r="AP444" s="80" t="n"/>
      <c r="AQ444" s="80" t="n"/>
      <c r="AR444" s="80" t="n"/>
      <c r="AS444" s="80" t="n"/>
      <c r="AT444" s="81" t="n"/>
      <c r="AU444" s="81" t="n"/>
      <c r="AV444" s="81" t="n"/>
      <c r="AW444" s="82" t="n"/>
      <c r="AX444" s="82" t="n"/>
      <c r="AY444" s="82" t="n"/>
      <c r="AZ444" s="82" t="n"/>
      <c r="BA444" s="82" t="n"/>
      <c r="BB444" s="83" t="n"/>
      <c r="BC444" s="83" t="n"/>
      <c r="BD444" s="84">
        <f>IF($A444="","",IF($DJ444&lt;&gt;"","FIX",IF($DK444&lt;&gt;"","CHECK","OK")))</f>
        <v/>
      </c>
      <c r="BE444" s="85">
        <f>IF($A444="","",IF($DJ444&lt;&gt;"","FIX: "&amp;LEFT($DJ444,LEN($DJ444)-2)&amp;IF($DK444&lt;&gt;"","  ·  ",""),"")&amp;IF($DK444&lt;&gt;"","CHECK: "&amp;LEFT($DK444,LEN($DK444)-2),""))</f>
        <v/>
      </c>
      <c r="BF444" s="84">
        <f>IF(OR($A444="",$K444=""),"",$K444&amp;"'-"&amp;N($L444)&amp;CHAR(34)&amp;" x "&amp;$M444&amp;"'-"&amp;N($N444)&amp;CHAR(34))</f>
        <v/>
      </c>
      <c r="BG444" s="84">
        <f>IF(OR($A444="",$K444=""),"",$K444&amp;N($L444)&amp;$M444&amp;N($N444))</f>
        <v/>
      </c>
      <c r="BH444" s="84">
        <f>IF(OR($A444="",$K444=""),"",$K444*12+N($L444))</f>
        <v/>
      </c>
      <c r="BI444" s="84">
        <f>IF(OR($A444="",$M444=""),"",$M444*12+N($N444))</f>
        <v/>
      </c>
      <c r="BJ444" s="84">
        <f>IF($A444="","",IF(OR($C444="FRAME ONLY",$S444="BL"),0,IF($O444="Y",2,1)))</f>
        <v/>
      </c>
      <c r="BK444" s="86">
        <f>IF(OR(N($BJ444)=0,$BH444=""),"",($BH444-2*EdgeClr-IF($BJ444=2,MeetClr,0))/$BJ444)</f>
        <v/>
      </c>
      <c r="BL444" s="86">
        <f>IF(OR(N($BJ444)=0,$BI444=""),"",$BI444-HeadClr-Undercut)</f>
        <v/>
      </c>
      <c r="BM444" s="86">
        <f>IF($BH444="","",$BH444+2*FaceW+IF(N($Q444)&gt;0,($Q444+FaceW)*IF($R444="LR",2,1),0))</f>
        <v/>
      </c>
      <c r="BN444" s="86">
        <f>IF($BI444="","",$BI444+IF($AB444="Y",4,FaceW)+IF(N($P444)&gt;0,$P444+FaceW,0)+IF(OR($S444="4F",$S444="BL"),FaceW,0))</f>
        <v/>
      </c>
      <c r="BO444" s="86">
        <f>IF($BM444="","",$BM444+2*ROSide)</f>
        <v/>
      </c>
      <c r="BP444" s="86">
        <f>IF($BN444="","",$BN444+ROTop)</f>
        <v/>
      </c>
      <c r="BQ444" s="87">
        <f>IF(OR(N($BJ444)=0,$BH444=""),"",$BH444/$BJ444-ClearDeduct)</f>
        <v/>
      </c>
      <c r="BR444" s="84">
        <f>IF(N($CH444)=0,"",IF($CH444&gt;=180,"A · 3 HR",IF($CH444&gt;=90,"B · 1-1/2 HR",IF($CH444&gt;=60,"B · 1 HR",IF($CH444&gt;=45,"C · 3/4 HR","20 MIN")))))&amp;IF(AND(N($CH444)&gt;0,OR($I444="CORRIDOR",$I444="SMOKE BARRIER"))," · S","")</f>
        <v/>
      </c>
      <c r="BS444" s="84">
        <f>IF($CS444,"",IF($AV444&lt;&gt;"",$AV444,IF(OR($AC444="HGC",$AO444="HGC"),"CONT",IF(($BI444-HeadClr-Undercut)&lt;=60,2,IF(($BI444-HeadClr-Undercut)&lt;=90,3,IF(($BI444-HeadClr-Undercut)&lt;=120,4,5))))))</f>
        <v/>
      </c>
      <c r="BT444" s="84">
        <f>IF($CS444,"",IF($CT444,"CUSTOM (typed)",IF($CV444,$AT444&amp;" "&amp;$CU444&amp;CHAR(34)&amp;IF($CU444&lt;&gt;$BI444,IF(AND($BI444&lt;$CU444,$BI444-IF(N(VLOOKUP($AT444&amp;"|"&amp;$CU444,LocTable,7,FALSE))&gt;0,VLOOKUP($AT444&amp;"|"&amp;$CU444,LocTable,7,FALSE),VLOOKUP($AT444&amp;"|"&amp;$CU444,LocTable,6,FALSE))-$CR444-0.75&gt;=2.125)," cut down"," adj."),""),"ANSI/SDI A250.6")))</f>
        <v/>
      </c>
      <c r="BU444" s="88">
        <f>IF($CS444,"",IF($CT444,IF(N($AW444)&gt;0,N($AW444),""),IF(1&gt;$CQ444,"",IF($CQ444=1,$CW444,$CW444+($CX444-$CW444)*0/($CQ444-1)))))</f>
        <v/>
      </c>
      <c r="BV444" s="88">
        <f>IF($CS444,"",IF($CT444,IF(N($AX444)&gt;0,N($AX444),""),IF(2&gt;$CQ444,"",IF($CQ444=1,$CW444,$CW444+($CX444-$CW444)*1/($CQ444-1)))))</f>
        <v/>
      </c>
      <c r="BW444" s="88">
        <f>IF($CS444,"",IF($CT444,IF(N($AY444)&gt;0,N($AY444),""),IF(3&gt;$CQ444,"",IF($CQ444=1,$CW444,$CW444+($CX444-$CW444)*2/($CQ444-1)))))</f>
        <v/>
      </c>
      <c r="BX444" s="88">
        <f>IF($CS444,"",IF($CT444,IF(N($AZ444)&gt;0,N($AZ444),""),IF(4&gt;$CQ444,"",IF($CQ444=1,$CW444,$CW444+($CX444-$CW444)*3/($CQ444-1)))))</f>
        <v/>
      </c>
      <c r="BY444" s="88">
        <f>IF($CS444,"",IF($CT444,"",IF(5&gt;$CQ444,"",IF($CQ444=1,$CW444,$CW444+($CX444-$CW444)*4/($CQ444-1)))))</f>
        <v/>
      </c>
      <c r="BZ444" s="88">
        <f>IF(OR($CS444,$AP444="-",AND($AP444="",$AD444="")),"",IF(N($BA444)&gt;0,N($BA444),IF($CV444,IF(AND($BI444&lt;$CU444,$BI444-IF(N(VLOOKUP($AT444&amp;"|"&amp;$CU444,LocTable,7,FALSE))&gt;0,VLOOKUP($AT444&amp;"|"&amp;$CU444,LocTable,7,FALSE),VLOOKUP($AT444&amp;"|"&amp;$CU444,LocTable,6,FALSE))-$CR444-0.75&gt;=2.125),VLOOKUP($AT444&amp;"|"&amp;$CU444,LocTable,8,FALSE),VLOOKUP($AT444&amp;"|"&amp;$CU444,LocTable,8,FALSE)+($BI444-$CU444)),$BI444-LockAFF)))</f>
        <v/>
      </c>
      <c r="CA444" s="89">
        <f>IF($BZ444="","",$BI444-$BZ444)</f>
        <v/>
      </c>
      <c r="CB444" s="84">
        <f>IF(OR(NOT(AND($A444&lt;&gt;"",$C444&lt;&gt;"DOOR ONLY")),$BI444=""),"",IF(($BI444+IF(N($P444)&gt;0,$P444+FaceW,0))&lt;=90,3,IF(($BI444+IF(N($P444)&gt;0,$P444+FaceW,0))&lt;=114,4,5)))</f>
        <v/>
      </c>
      <c r="CC444" s="84">
        <f>IF($CB444="","",$CB444*(2+IF(N($Q444)&gt;0,IF($R444="LR",2,1),0)))</f>
        <v/>
      </c>
      <c r="CD444" s="84">
        <f>IF($CB444="","",(2+IF(N($Q444)&gt;0,IF($R444="LR",2,1),0)))</f>
        <v/>
      </c>
      <c r="CE444" s="84">
        <f>IF(N($BJ444)=0,"",IF(OR($AL444="",$AL444="FLUSH"),"FLUSH",IFERROR(LEFT($AL444,FIND("-",$AL444)-1),LEFT($AL444,2))))</f>
        <v/>
      </c>
      <c r="CF444" s="84">
        <f>IF($CE444="","",IFERROR(VALUE(MID($AL444,FIND("-",$AL444)+1,FIND(CHAR(34)&amp;"x",$AL444)-FIND("-",$AL444)-1)),0))</f>
        <v/>
      </c>
      <c r="CG444" s="84">
        <f>IF($CE444="","",IFERROR(VALUE(MID($AL444,FIND(CHAR(34)&amp;"x",$AL444)+2,FIND(CHAR(34),$AL444,FIND(CHAR(34)&amp;"x",$AL444)+2)-FIND(CHAR(34)&amp;"x",$AL444)-2)),0))</f>
        <v/>
      </c>
      <c r="CH444" s="90">
        <f>IF(OR($A444="",$H444="",$H444="NO LAB"),0,IFERROR(VALUE(LEFT($H444,FIND(" ",$H444)-1)),0))</f>
        <v/>
      </c>
      <c r="CI444" s="91">
        <f>IF(OR($A444="",$I444="",$I444="NON-RATED",N($J444)=0),"",IFERROR(VLOOKUP($I444&amp;"|"&amp;$J444,IBC,2,FALSE),"?"))</f>
        <v/>
      </c>
      <c r="CJ444" s="85">
        <f>IF(NOT(AND($A444&lt;&gt;"",$C444&lt;&gt;"DOOR ONLY")),"",TRIM(IFERROR(VLOOKUP($U444,CODES,2,FALSE),"")&amp;" "&amp;$BG444&amp;" "&amp;IFERROR(VLOOKUP($Z444,CODES,2,FALSE),"")&amp;" "&amp;IFERROR(VLOOKUP($X444,CODES,2,FALSE),"")&amp;" "&amp;IFERROR(VLOOKUP($S444,CODES,2,FALSE),"")&amp;IF(N($P444)&gt;0," w/TRANSOM "&amp;$P444&amp;CHAR(34),"")&amp;IF(N($Q444)&gt;0," w/SIDELITE "&amp;$Q444&amp;CHAR(34)&amp;" "&amp;IF($R444="","R",$R444),"")&amp;IF($Y444="","  |  "," | "&amp;IFERROR(VLOOKUP($Y444,CODES,2,FALSE),"")&amp;" | ")&amp;IFERROR(VLOOKUP($AC444,CODES,2,FALSE),"")&amp;" "&amp;IFERROR(VLOOKUP($AD444,CODES,2,FALSE),"")&amp;IF(OR($AE444="",$AE444="-"),""," "&amp;$AE444)&amp;IF(OR($AF444="",$AF444="-"),""," "&amp;$AF444)&amp;IF($AB444="Y"," 4"&amp;CHAR(34)&amp;" HEAD","")&amp;" "&amp;IFERROR(VLOOKUP($H444,CODES,2,FALSE),"")&amp;IF($CT444," | LOC "&amp;$CY444,"")))</f>
        <v/>
      </c>
      <c r="CK444" s="85">
        <f>IF(NOT(AND($A444&lt;&gt;"",N($BJ444)&gt;0)),"",TRIM(IFERROR(VLOOKUP($AH444,CODES,2,FALSE),"")&amp;IF($AI444=""," "," "&amp;$AI444&amp;"GA ")&amp;$BG444&amp;" "&amp;IF($AN444="",IFERROR(VLOOKUP($Z444,CODES,2,FALSE),""),IFERROR(VLOOKUP($AN444,CODES,2,FALSE),""))&amp;IF($BJ444=2," PAIR","")&amp;" DOOR | "&amp;IF($AL444="","?",$AL444)&amp;" | "&amp;IF($AO444="",IFERROR(VLOOKUP($AC444,CODES,2,FALSE),""),IFERROR(VLOOKUP($AO444,CODES,2,FALSE),""))&amp;" "&amp;IFERROR(VLOOKUP($AP444,CODES,2,FALSE),"")&amp;IF(OR($AQ444="",$AQ444="-"),""," SEAM "&amp;$AQ444)&amp;IF($AR444="Y"," ASTRAGAL","")&amp;IF($AJ444=""," "," "&amp;$AJ444)&amp;IF($AK444=""," "," "&amp;$AK444)&amp;IF(OR($AT444="",$AT444="ANSI/SDI",$AT444="CUSTOM LOC"),""," "&amp;$AT444)&amp;IF($AM444=""," "," SERIES "&amp;$AM444)&amp;" "&amp;IFERROR(VLOOKUP($H444,CODES,2,FALSE),"")&amp;IF($CT444," | LOC "&amp;$CZ444,"")))</f>
        <v/>
      </c>
      <c r="CL444" s="84">
        <f>IF(CP444="","",IF(COUNTIF($CP$6:CP444,CP444)=1,MAX($CL$5:CL443)+1,INDEX($CL$5:CL443,MATCH(CP444,$CP$5:CP443,0))))</f>
        <v/>
      </c>
      <c r="CM444" s="84">
        <f>IF(NOT(AND($A444&lt;&gt;"",$C444&lt;&gt;"DOOR ONLY")),"",MAX($CM$5:CM443)+1)</f>
        <v/>
      </c>
      <c r="CN444" s="84">
        <f>IF(NOT(AND($A444&lt;&gt;"",N($BJ444)&gt;0)),"",MAX($CN$5:CN443)+1)</f>
        <v/>
      </c>
      <c r="CO444" s="84">
        <f>IF($A444="","",MAX($CO$5:CO443)+1)</f>
        <v/>
      </c>
      <c r="CP444" s="84">
        <f>IF(OR($A444="",$BH444="",$BI444=""),"",$BG444&amp;"|"&amp;$O444&amp;"|"&amp;$AL444&amp;"|"&amp;$S444&amp;"|"&amp;$P444&amp;"|"&amp;$Q444&amp;$R444&amp;"|"&amp;$C444&amp;"|"&amp;$AB444)</f>
        <v/>
      </c>
      <c r="CQ444" s="84">
        <f>N($BS444)</f>
        <v/>
      </c>
      <c r="CR444" s="84">
        <f>IF(N($AU444)&gt;0,N($AU444),4.5)</f>
        <v/>
      </c>
      <c r="CS444" s="84">
        <f>OR($A444="",$BI444="",$S444="BL",AND($C444="FRAME ONLY",OR($AC444="",$AC444="BLK")))</f>
        <v/>
      </c>
      <c r="CT444" s="84">
        <f>AND(NOT($CS444),OR($AT444="CUSTOM LOC",N($AW444)+N($AX444)+N($AY444)+N($AZ444)+N($BA444)&gt;0))</f>
        <v/>
      </c>
      <c r="CU444" s="84">
        <f>IF($BI444="","",IF($BI444&lt;=80,80,IF($BI444&lt;=84,84,96)))</f>
        <v/>
      </c>
      <c r="CV444" s="84">
        <f>ISNUMBER(MATCH($AT444&amp;"|80",LocKeys,0))</f>
        <v/>
      </c>
      <c r="CW444" s="86">
        <f>IF($CS444,"",IF($CV444,VLOOKUP($AT444&amp;"|"&amp;$CU444,LocTable,4,FALSE),5))</f>
        <v/>
      </c>
      <c r="CX444" s="86">
        <f>IF($CS444,"",IF($CV444,IF(OR($BI444=$CU444,AND($BI444&lt;$CU444,$BI444-IF(N(VLOOKUP($AT444&amp;"|"&amp;$CU444,LocTable,7,FALSE))&gt;0,VLOOKUP($AT444&amp;"|"&amp;$CU444,LocTable,7,FALSE),VLOOKUP($AT444&amp;"|"&amp;$CU444,LocTable,6,FALSE))-$CR444-0.75&gt;=2.125)),IF(N(VLOOKUP($AT444&amp;"|"&amp;$CU444,LocTable,7,FALSE))&gt;0,VLOOKUP($AT444&amp;"|"&amp;$CU444,LocTable,7,FALSE),VLOOKUP($AT444&amp;"|"&amp;$CU444,LocTable,6,FALSE)),$BI444-($CU444-IF(N(VLOOKUP($AT444&amp;"|"&amp;$CU444,LocTable,7,FALSE))&gt;0,VLOOKUP($AT444&amp;"|"&amp;$CU444,LocTable,7,FALSE),VLOOKUP($AT444&amp;"|"&amp;$CU444,LocTable,6,FALSE)))),$BI444-10-$CR444))</f>
        <v/>
      </c>
      <c r="CY444" s="85">
        <f>IF($CS444,"",TRIM(IF(ISNUMBER($BU444),"A "&amp;TRIM(TEXT($BU444,"# ?/??"))&amp;CHAR(34)&amp;"  ","")&amp;IF(ISNUMBER($BV444),"B "&amp;TRIM(TEXT($BV444,"# ?/??"))&amp;CHAR(34)&amp;"  ","")&amp;IF(ISNUMBER($BW444),"C "&amp;TRIM(TEXT($BW444,"# ?/??"))&amp;CHAR(34)&amp;"  ","")&amp;IF(ISNUMBER($BX444),"D "&amp;TRIM(TEXT($BX444,"# ?/??"))&amp;CHAR(34)&amp;"  ","")&amp;IF(ISNUMBER($BY444),"F "&amp;TRIM(TEXT($BY444,"# ?/??"))&amp;CHAR(34)&amp;"  ","")&amp;IF(ISNUMBER($BZ444),"E "&amp;TRIM(TEXT($BZ444,"# ?/??"))&amp;CHAR(34)&amp;"  ","")))</f>
        <v/>
      </c>
      <c r="CZ444" s="85">
        <f>IF(OR($CS444,N($BJ444)=0),"",TRIM(IF(ISNUMBER($BU444),"A "&amp;TRIM(TEXT($BU444-HeadClr,"# ?/??"))&amp;CHAR(34)&amp;"  ","")&amp;IF(ISNUMBER($BV444),"B "&amp;TRIM(TEXT($BV444-HeadClr,"# ?/??"))&amp;CHAR(34)&amp;"  ","")&amp;IF(ISNUMBER($BW444),"C "&amp;TRIM(TEXT($BW444-HeadClr,"# ?/??"))&amp;CHAR(34)&amp;"  ","")&amp;IF(ISNUMBER($BX444),"D "&amp;TRIM(TEXT($BX444-HeadClr,"# ?/??"))&amp;CHAR(34)&amp;"  ","")&amp;IF(ISNUMBER($BY444),"F "&amp;TRIM(TEXT($BY444-HeadClr,"# ?/??"))&amp;CHAR(34)&amp;"  ","")&amp;IF(ISNUMBER($BZ444),"E "&amp;TRIM(TEXT($BZ444-HeadClr,"# ?/??"))&amp;CHAR(34)&amp;"  ","")))</f>
        <v/>
      </c>
      <c r="DA444" s="84">
        <f>IF($A444="","",IF($AN444="",IFERROR(VLOOKUP($Z444,CODES,2,FALSE),""),IFERROR(VLOOKUP($AN444,CODES,2,FALSE),"")))</f>
        <v/>
      </c>
      <c r="DB444" s="84">
        <f>IF($A444="","",IF($O444="Y","PR",IF(OR($Z444="L",$Z444="RR",LEFT($Z444,2)="L-",LEFT($Z444,3)="RR-"),"LH","RH")))</f>
        <v/>
      </c>
      <c r="DC444" s="84">
        <f>IF($A444="","","S.HM"&amp;IF(OR($C444="DOOR ONLY",$X444&lt;&gt;"KD"),"MASONRY","DRYWALL")&amp;IF($C444="DOOR ONLY","",$U444)&amp;IF(AND($C444&lt;&gt;"FRAME ONLY",OR(LEFT($AH444,3)="OAK",LEFT($AH444,3)="BIR",LEFT($AH444,3)="MAP",$AH444="PC",$AH444="MC",$AH444="SCLC",$AH444="P-LAM")),"WD","HM")&amp;"1.75")</f>
        <v/>
      </c>
      <c r="DD444" s="84">
        <f>IF($CJ444="","",IF($O444="Y",$CJ444,SUBSTITUTE($CJ444,$BG444&amp;" "&amp;IFERROR(VLOOKUP($Z444,CODES,2,FALSE),"")&amp;" ",$BG444&amp;" ")))</f>
        <v/>
      </c>
      <c r="DE444" s="84">
        <f>IF($CK444="","",IF($O444="Y",$CK444,SUBSTITUTE($CK444,$BG444&amp;" "&amp;IF($AN444="",IFERROR(VLOOKUP($Z444,CODES,2,FALSE),""),IFERROR(VLOOKUP($AN444,CODES,2,FALSE),""))&amp;" ",$BG444&amp;" ")))</f>
        <v/>
      </c>
      <c r="DF444" s="84">
        <f>IF($CJ444="","",$DC444&amp;"|"&amp;$DD444&amp;"|"&amp;$DB444&amp;"|"&amp;$AT444&amp;"|"&amp;$V444&amp;"|"&amp;$Y444&amp;"|"&amp;$AB444)</f>
        <v/>
      </c>
      <c r="DG444" s="84">
        <f>IF(DF444="","",IF(COUNTIF($DF$6:DF444,DF444)=1,MAX($DG$5:DG443)+1,INDEX($DG$5:DG443,MATCH(DF444,$DF$5:DF443,0))))</f>
        <v/>
      </c>
      <c r="DH444" s="84">
        <f>IF($CK444="","",$DC444&amp;"|"&amp;$DE444&amp;"|"&amp;$AI444&amp;"|"&amp;$BK444&amp;"|"&amp;$BL444)</f>
        <v/>
      </c>
      <c r="DI444" s="84">
        <f>IF(DH444="","",IF(COUNTIF($DH$6:DH444,DH444)=1,MAX($DI$5:DI443)+1,INDEX($DI$5:DI443,MATCH(DH444,$DH$5:DH443,0))))</f>
        <v/>
      </c>
      <c r="DJ444" s="84">
        <f>IF($A444="","",IF($B444="","qty, ","")&amp;IF($C444="","scope, ","")&amp;IF(OR($K444="",$M444=""),"size, ","")&amp;IF(AND($A444&lt;&gt;"",$C444&lt;&gt;"DOOR ONLY"),IF($U444="","jamb depth, ","")&amp;IF($X444="","construction, ","")&amp;IF($Y444="","anchor, ","")&amp;IF($S444="","frame type, ",""),"")&amp;IF(AND(N($BJ444)&gt;0,$Z444=""),"hand, ","")&amp;IF(N($BJ444)&gt;0,IF($AH444="","door material, ","")&amp;IF($AL444="","face type, ","")&amp;IF($AP444="","lock prep, ","")&amp;IF(AND($AO444="",$AC444=""),"hinge prep, ",""),"")&amp;IF(AND($CH444&gt;0,$AH444="FRP"),"FRP cannot carry a label, ","")&amp;IF(AND($O444="Y",OR($Z444="L",$Z444="R",$Z444="LR",$Z444="RR")),"pair marked but hand is single, ","")&amp;IF(AND($O444&lt;&gt;"Y",OR($Z444="PR",AND(LEN($Z444)&gt;1,ISNUMBER(SEARCH("-",$Z444))))),"pair hand on a single door, ","")&amp;IF(AND(ISNUMBER($CI444),$CH444&lt;N($CI444)),"wall needs a "&amp;$CI444&amp;" min door, ","")&amp;IF(AND($CH444&gt;=180,AND(OR($CE444="FG",$CE444="HG",$CE444="FNV",$CE444="FV"),N($CF444)*N($CG444)&gt;100)),"180 min lite over 100 sq in, ","")&amp;IF(N($BK444)&gt;48,"leaf wider than 4'-0"&amp;CHAR(34)&amp;", ","")&amp;IF(AND($CT444,COUNT($AW444:$AZ444)=0,$CQ444&gt;0),"CUSTOM LOC with no locations typed, ",""))</f>
        <v/>
      </c>
      <c r="DK444" s="84">
        <f>IF($A444="","",IF(AND($CH444&gt;0,AND($A444&lt;&gt;"",$C444&lt;&gt;"DOOR ONLY"),$X444="KD",$E444="EXTERIOR"),"KD label on an exterior opening, ","")&amp;IF(AND($E444="EXTERIOR",OR(AND(AND($A444&lt;&gt;"",$C444&lt;&gt;"DOOR ONLY"),$W444="CR"),AND(N($BJ444)&gt;0,$AH444="CR"))),"exterior in CR steel (G9?), ","")&amp;IF(AND(ISNUMBER($BQ444),N($BQ444)&lt;32),"clear width ~"&amp;TEXT($BQ444,"0.0")&amp;CHAR(34)&amp;" under 32"&amp;CHAR(34)&amp;" (ADA), ","")&amp;IF(AND($CH444=90,AND(OR($CE444="FG",$CE444="HG",$CE444="FNV",$CE444="FV"),N($CF444)*N($CG444)&gt;100)),"90 min lite over 100 sq in (stair/exit), ","")&amp;IF(AND($CH444&gt;0,AND($A444&lt;&gt;"",$C444&lt;&gt;"DOOR ONLY"),OR($AF444="",$AF444="-")),"rated: closer reinf.?, ","")&amp;IF(OR($I444="CORRIDOR",$I444="SMOKE BARRIER"),"S label + smoke gasketing, ","")&amp;IF($CI444="?","wall type/hr not in IBC table, ","")&amp;IF(AND(N($BJ444)&gt;0,$BB444=""),"no hardware set, ","")&amp;IF(AND($BB444&lt;&gt;"",ISNA(MATCH($BB444&amp;"",HWSets,0))),"set "&amp;$BB444&amp;" not on HW Sets, ","")&amp;IF(N($BL444)&gt;96,"leaf over 8'-0"&amp;CHAR(34)&amp;" - check listing, ","")&amp;IF(AND($CT444,COUNT($AW444:$AZ444)&gt;0,COUNT($AW444:$AZ444)&lt;&gt;$CQ444),COUNT($AW444:$AZ444)&amp;" custom hinges typed, "&amp;$CQ444&amp;" expected, ","")&amp;IF(AND(ISNUMBER($CA444),OR(N($CA444)&lt;34,N($CA444)&gt;48)),"lock "&amp;TEXT($CA444,"0.0")&amp;CHAR(34)&amp;" AFF outside 34-48"&amp;CHAR(34)&amp;" (ADA), ","")&amp;IF(AND(ISNUMBER($AV444),ISNUMBER($BL444),N($AV444)&lt;IF(N($BL444)&lt;=60,2,IF(N($BL444)&lt;=90,3,IF(N($BL444)&lt;=120,4,5)))),"fewer hinges than standard, ",""))</f>
        <v/>
      </c>
    </row>
    <row r="445" ht="15" customHeight="1">
      <c r="A445" s="92" t="n"/>
      <c r="B445" s="93" t="n"/>
      <c r="C445" s="93" t="n"/>
      <c r="D445" s="93" t="n"/>
      <c r="E445" s="93" t="n"/>
      <c r="F445" s="93" t="n"/>
      <c r="G445" s="93" t="n"/>
      <c r="H445" s="93" t="n"/>
      <c r="I445" s="93" t="n"/>
      <c r="J445" s="93" t="n"/>
      <c r="K445" s="93" t="n"/>
      <c r="L445" s="93" t="n"/>
      <c r="M445" s="93" t="n"/>
      <c r="N445" s="93" t="n"/>
      <c r="O445" s="93" t="n"/>
      <c r="P445" s="93" t="n"/>
      <c r="Q445" s="93" t="n"/>
      <c r="R445" s="93" t="n"/>
      <c r="S445" s="94" t="n"/>
      <c r="T445" s="94" t="n"/>
      <c r="U445" s="94" t="n"/>
      <c r="V445" s="94" t="n"/>
      <c r="W445" s="94" t="n"/>
      <c r="X445" s="94" t="n"/>
      <c r="Y445" s="94" t="n"/>
      <c r="Z445" s="94" t="n"/>
      <c r="AA445" s="94" t="n"/>
      <c r="AB445" s="94" t="n"/>
      <c r="AC445" s="94" t="n"/>
      <c r="AD445" s="94" t="n"/>
      <c r="AE445" s="94" t="n"/>
      <c r="AF445" s="94" t="n"/>
      <c r="AG445" s="94" t="n"/>
      <c r="AH445" s="95" t="n"/>
      <c r="AI445" s="95" t="n"/>
      <c r="AJ445" s="95" t="n"/>
      <c r="AK445" s="95" t="n"/>
      <c r="AL445" s="95" t="n"/>
      <c r="AM445" s="95" t="n"/>
      <c r="AN445" s="95" t="n"/>
      <c r="AO445" s="95" t="n"/>
      <c r="AP445" s="95" t="n"/>
      <c r="AQ445" s="95" t="n"/>
      <c r="AR445" s="95" t="n"/>
      <c r="AS445" s="95" t="n"/>
      <c r="AT445" s="96" t="n"/>
      <c r="AU445" s="96" t="n"/>
      <c r="AV445" s="96" t="n"/>
      <c r="AW445" s="97" t="n"/>
      <c r="AX445" s="97" t="n"/>
      <c r="AY445" s="97" t="n"/>
      <c r="AZ445" s="97" t="n"/>
      <c r="BA445" s="97" t="n"/>
      <c r="BB445" s="98" t="n"/>
      <c r="BC445" s="98" t="n"/>
      <c r="BD445" s="99">
        <f>IF($A445="","",IF($DJ445&lt;&gt;"","FIX",IF($DK445&lt;&gt;"","CHECK","OK")))</f>
        <v/>
      </c>
      <c r="BE445" s="100">
        <f>IF($A445="","",IF($DJ445&lt;&gt;"","FIX: "&amp;LEFT($DJ445,LEN($DJ445)-2)&amp;IF($DK445&lt;&gt;"","  ·  ",""),"")&amp;IF($DK445&lt;&gt;"","CHECK: "&amp;LEFT($DK445,LEN($DK445)-2),""))</f>
        <v/>
      </c>
      <c r="BF445" s="99">
        <f>IF(OR($A445="",$K445=""),"",$K445&amp;"'-"&amp;N($L445)&amp;CHAR(34)&amp;" x "&amp;$M445&amp;"'-"&amp;N($N445)&amp;CHAR(34))</f>
        <v/>
      </c>
      <c r="BG445" s="99">
        <f>IF(OR($A445="",$K445=""),"",$K445&amp;N($L445)&amp;$M445&amp;N($N445))</f>
        <v/>
      </c>
      <c r="BH445" s="99">
        <f>IF(OR($A445="",$K445=""),"",$K445*12+N($L445))</f>
        <v/>
      </c>
      <c r="BI445" s="99">
        <f>IF(OR($A445="",$M445=""),"",$M445*12+N($N445))</f>
        <v/>
      </c>
      <c r="BJ445" s="99">
        <f>IF($A445="","",IF(OR($C445="FRAME ONLY",$S445="BL"),0,IF($O445="Y",2,1)))</f>
        <v/>
      </c>
      <c r="BK445" s="101">
        <f>IF(OR(N($BJ445)=0,$BH445=""),"",($BH445-2*EdgeClr-IF($BJ445=2,MeetClr,0))/$BJ445)</f>
        <v/>
      </c>
      <c r="BL445" s="101">
        <f>IF(OR(N($BJ445)=0,$BI445=""),"",$BI445-HeadClr-Undercut)</f>
        <v/>
      </c>
      <c r="BM445" s="101">
        <f>IF($BH445="","",$BH445+2*FaceW+IF(N($Q445)&gt;0,($Q445+FaceW)*IF($R445="LR",2,1),0))</f>
        <v/>
      </c>
      <c r="BN445" s="101">
        <f>IF($BI445="","",$BI445+IF($AB445="Y",4,FaceW)+IF(N($P445)&gt;0,$P445+FaceW,0)+IF(OR($S445="4F",$S445="BL"),FaceW,0))</f>
        <v/>
      </c>
      <c r="BO445" s="101">
        <f>IF($BM445="","",$BM445+2*ROSide)</f>
        <v/>
      </c>
      <c r="BP445" s="101">
        <f>IF($BN445="","",$BN445+ROTop)</f>
        <v/>
      </c>
      <c r="BQ445" s="102">
        <f>IF(OR(N($BJ445)=0,$BH445=""),"",$BH445/$BJ445-ClearDeduct)</f>
        <v/>
      </c>
      <c r="BR445" s="99">
        <f>IF(N($CH445)=0,"",IF($CH445&gt;=180,"A · 3 HR",IF($CH445&gt;=90,"B · 1-1/2 HR",IF($CH445&gt;=60,"B · 1 HR",IF($CH445&gt;=45,"C · 3/4 HR","20 MIN")))))&amp;IF(AND(N($CH445)&gt;0,OR($I445="CORRIDOR",$I445="SMOKE BARRIER"))," · S","")</f>
        <v/>
      </c>
      <c r="BS445" s="99">
        <f>IF($CS445,"",IF($AV445&lt;&gt;"",$AV445,IF(OR($AC445="HGC",$AO445="HGC"),"CONT",IF(($BI445-HeadClr-Undercut)&lt;=60,2,IF(($BI445-HeadClr-Undercut)&lt;=90,3,IF(($BI445-HeadClr-Undercut)&lt;=120,4,5))))))</f>
        <v/>
      </c>
      <c r="BT445" s="99">
        <f>IF($CS445,"",IF($CT445,"CUSTOM (typed)",IF($CV445,$AT445&amp;" "&amp;$CU445&amp;CHAR(34)&amp;IF($CU445&lt;&gt;$BI445,IF(AND($BI445&lt;$CU445,$BI445-IF(N(VLOOKUP($AT445&amp;"|"&amp;$CU445,LocTable,7,FALSE))&gt;0,VLOOKUP($AT445&amp;"|"&amp;$CU445,LocTable,7,FALSE),VLOOKUP($AT445&amp;"|"&amp;$CU445,LocTable,6,FALSE))-$CR445-0.75&gt;=2.125)," cut down"," adj."),""),"ANSI/SDI A250.6")))</f>
        <v/>
      </c>
      <c r="BU445" s="103">
        <f>IF($CS445,"",IF($CT445,IF(N($AW445)&gt;0,N($AW445),""),IF(1&gt;$CQ445,"",IF($CQ445=1,$CW445,$CW445+($CX445-$CW445)*0/($CQ445-1)))))</f>
        <v/>
      </c>
      <c r="BV445" s="103">
        <f>IF($CS445,"",IF($CT445,IF(N($AX445)&gt;0,N($AX445),""),IF(2&gt;$CQ445,"",IF($CQ445=1,$CW445,$CW445+($CX445-$CW445)*1/($CQ445-1)))))</f>
        <v/>
      </c>
      <c r="BW445" s="103">
        <f>IF($CS445,"",IF($CT445,IF(N($AY445)&gt;0,N($AY445),""),IF(3&gt;$CQ445,"",IF($CQ445=1,$CW445,$CW445+($CX445-$CW445)*2/($CQ445-1)))))</f>
        <v/>
      </c>
      <c r="BX445" s="103">
        <f>IF($CS445,"",IF($CT445,IF(N($AZ445)&gt;0,N($AZ445),""),IF(4&gt;$CQ445,"",IF($CQ445=1,$CW445,$CW445+($CX445-$CW445)*3/($CQ445-1)))))</f>
        <v/>
      </c>
      <c r="BY445" s="103">
        <f>IF($CS445,"",IF($CT445,"",IF(5&gt;$CQ445,"",IF($CQ445=1,$CW445,$CW445+($CX445-$CW445)*4/($CQ445-1)))))</f>
        <v/>
      </c>
      <c r="BZ445" s="103">
        <f>IF(OR($CS445,$AP445="-",AND($AP445="",$AD445="")),"",IF(N($BA445)&gt;0,N($BA445),IF($CV445,IF(AND($BI445&lt;$CU445,$BI445-IF(N(VLOOKUP($AT445&amp;"|"&amp;$CU445,LocTable,7,FALSE))&gt;0,VLOOKUP($AT445&amp;"|"&amp;$CU445,LocTable,7,FALSE),VLOOKUP($AT445&amp;"|"&amp;$CU445,LocTable,6,FALSE))-$CR445-0.75&gt;=2.125),VLOOKUP($AT445&amp;"|"&amp;$CU445,LocTable,8,FALSE),VLOOKUP($AT445&amp;"|"&amp;$CU445,LocTable,8,FALSE)+($BI445-$CU445)),$BI445-LockAFF)))</f>
        <v/>
      </c>
      <c r="CA445" s="104">
        <f>IF($BZ445="","",$BI445-$BZ445)</f>
        <v/>
      </c>
      <c r="CB445" s="99">
        <f>IF(OR(NOT(AND($A445&lt;&gt;"",$C445&lt;&gt;"DOOR ONLY")),$BI445=""),"",IF(($BI445+IF(N($P445)&gt;0,$P445+FaceW,0))&lt;=90,3,IF(($BI445+IF(N($P445)&gt;0,$P445+FaceW,0))&lt;=114,4,5)))</f>
        <v/>
      </c>
      <c r="CC445" s="99">
        <f>IF($CB445="","",$CB445*(2+IF(N($Q445)&gt;0,IF($R445="LR",2,1),0)))</f>
        <v/>
      </c>
      <c r="CD445" s="99">
        <f>IF($CB445="","",(2+IF(N($Q445)&gt;0,IF($R445="LR",2,1),0)))</f>
        <v/>
      </c>
      <c r="CE445" s="99">
        <f>IF(N($BJ445)=0,"",IF(OR($AL445="",$AL445="FLUSH"),"FLUSH",IFERROR(LEFT($AL445,FIND("-",$AL445)-1),LEFT($AL445,2))))</f>
        <v/>
      </c>
      <c r="CF445" s="99">
        <f>IF($CE445="","",IFERROR(VALUE(MID($AL445,FIND("-",$AL445)+1,FIND(CHAR(34)&amp;"x",$AL445)-FIND("-",$AL445)-1)),0))</f>
        <v/>
      </c>
      <c r="CG445" s="99">
        <f>IF($CE445="","",IFERROR(VALUE(MID($AL445,FIND(CHAR(34)&amp;"x",$AL445)+2,FIND(CHAR(34),$AL445,FIND(CHAR(34)&amp;"x",$AL445)+2)-FIND(CHAR(34)&amp;"x",$AL445)-2)),0))</f>
        <v/>
      </c>
      <c r="CH445" s="105">
        <f>IF(OR($A445="",$H445="",$H445="NO LAB"),0,IFERROR(VALUE(LEFT($H445,FIND(" ",$H445)-1)),0))</f>
        <v/>
      </c>
      <c r="CI445" s="106">
        <f>IF(OR($A445="",$I445="",$I445="NON-RATED",N($J445)=0),"",IFERROR(VLOOKUP($I445&amp;"|"&amp;$J445,IBC,2,FALSE),"?"))</f>
        <v/>
      </c>
      <c r="CJ445" s="100">
        <f>IF(NOT(AND($A445&lt;&gt;"",$C445&lt;&gt;"DOOR ONLY")),"",TRIM(IFERROR(VLOOKUP($U445,CODES,2,FALSE),"")&amp;" "&amp;$BG445&amp;" "&amp;IFERROR(VLOOKUP($Z445,CODES,2,FALSE),"")&amp;" "&amp;IFERROR(VLOOKUP($X445,CODES,2,FALSE),"")&amp;" "&amp;IFERROR(VLOOKUP($S445,CODES,2,FALSE),"")&amp;IF(N($P445)&gt;0," w/TRANSOM "&amp;$P445&amp;CHAR(34),"")&amp;IF(N($Q445)&gt;0," w/SIDELITE "&amp;$Q445&amp;CHAR(34)&amp;" "&amp;IF($R445="","R",$R445),"")&amp;IF($Y445="","  |  "," | "&amp;IFERROR(VLOOKUP($Y445,CODES,2,FALSE),"")&amp;" | ")&amp;IFERROR(VLOOKUP($AC445,CODES,2,FALSE),"")&amp;" "&amp;IFERROR(VLOOKUP($AD445,CODES,2,FALSE),"")&amp;IF(OR($AE445="",$AE445="-"),""," "&amp;$AE445)&amp;IF(OR($AF445="",$AF445="-"),""," "&amp;$AF445)&amp;IF($AB445="Y"," 4"&amp;CHAR(34)&amp;" HEAD","")&amp;" "&amp;IFERROR(VLOOKUP($H445,CODES,2,FALSE),"")&amp;IF($CT445," | LOC "&amp;$CY445,"")))</f>
        <v/>
      </c>
      <c r="CK445" s="100">
        <f>IF(NOT(AND($A445&lt;&gt;"",N($BJ445)&gt;0)),"",TRIM(IFERROR(VLOOKUP($AH445,CODES,2,FALSE),"")&amp;IF($AI445=""," "," "&amp;$AI445&amp;"GA ")&amp;$BG445&amp;" "&amp;IF($AN445="",IFERROR(VLOOKUP($Z445,CODES,2,FALSE),""),IFERROR(VLOOKUP($AN445,CODES,2,FALSE),""))&amp;IF($BJ445=2," PAIR","")&amp;" DOOR | "&amp;IF($AL445="","?",$AL445)&amp;" | "&amp;IF($AO445="",IFERROR(VLOOKUP($AC445,CODES,2,FALSE),""),IFERROR(VLOOKUP($AO445,CODES,2,FALSE),""))&amp;" "&amp;IFERROR(VLOOKUP($AP445,CODES,2,FALSE),"")&amp;IF(OR($AQ445="",$AQ445="-"),""," SEAM "&amp;$AQ445)&amp;IF($AR445="Y"," ASTRAGAL","")&amp;IF($AJ445=""," "," "&amp;$AJ445)&amp;IF($AK445=""," "," "&amp;$AK445)&amp;IF(OR($AT445="",$AT445="ANSI/SDI",$AT445="CUSTOM LOC"),""," "&amp;$AT445)&amp;IF($AM445=""," "," SERIES "&amp;$AM445)&amp;" "&amp;IFERROR(VLOOKUP($H445,CODES,2,FALSE),"")&amp;IF($CT445," | LOC "&amp;$CZ445,"")))</f>
        <v/>
      </c>
      <c r="CL445" s="99">
        <f>IF(CP445="","",IF(COUNTIF($CP$6:CP445,CP445)=1,MAX($CL$5:CL444)+1,INDEX($CL$5:CL444,MATCH(CP445,$CP$5:CP444,0))))</f>
        <v/>
      </c>
      <c r="CM445" s="99">
        <f>IF(NOT(AND($A445&lt;&gt;"",$C445&lt;&gt;"DOOR ONLY")),"",MAX($CM$5:CM444)+1)</f>
        <v/>
      </c>
      <c r="CN445" s="99">
        <f>IF(NOT(AND($A445&lt;&gt;"",N($BJ445)&gt;0)),"",MAX($CN$5:CN444)+1)</f>
        <v/>
      </c>
      <c r="CO445" s="99">
        <f>IF($A445="","",MAX($CO$5:CO444)+1)</f>
        <v/>
      </c>
      <c r="CP445" s="99">
        <f>IF(OR($A445="",$BH445="",$BI445=""),"",$BG445&amp;"|"&amp;$O445&amp;"|"&amp;$AL445&amp;"|"&amp;$S445&amp;"|"&amp;$P445&amp;"|"&amp;$Q445&amp;$R445&amp;"|"&amp;$C445&amp;"|"&amp;$AB445)</f>
        <v/>
      </c>
      <c r="CQ445" s="99">
        <f>N($BS445)</f>
        <v/>
      </c>
      <c r="CR445" s="99">
        <f>IF(N($AU445)&gt;0,N($AU445),4.5)</f>
        <v/>
      </c>
      <c r="CS445" s="99">
        <f>OR($A445="",$BI445="",$S445="BL",AND($C445="FRAME ONLY",OR($AC445="",$AC445="BLK")))</f>
        <v/>
      </c>
      <c r="CT445" s="99">
        <f>AND(NOT($CS445),OR($AT445="CUSTOM LOC",N($AW445)+N($AX445)+N($AY445)+N($AZ445)+N($BA445)&gt;0))</f>
        <v/>
      </c>
      <c r="CU445" s="99">
        <f>IF($BI445="","",IF($BI445&lt;=80,80,IF($BI445&lt;=84,84,96)))</f>
        <v/>
      </c>
      <c r="CV445" s="99">
        <f>ISNUMBER(MATCH($AT445&amp;"|80",LocKeys,0))</f>
        <v/>
      </c>
      <c r="CW445" s="101">
        <f>IF($CS445,"",IF($CV445,VLOOKUP($AT445&amp;"|"&amp;$CU445,LocTable,4,FALSE),5))</f>
        <v/>
      </c>
      <c r="CX445" s="101">
        <f>IF($CS445,"",IF($CV445,IF(OR($BI445=$CU445,AND($BI445&lt;$CU445,$BI445-IF(N(VLOOKUP($AT445&amp;"|"&amp;$CU445,LocTable,7,FALSE))&gt;0,VLOOKUP($AT445&amp;"|"&amp;$CU445,LocTable,7,FALSE),VLOOKUP($AT445&amp;"|"&amp;$CU445,LocTable,6,FALSE))-$CR445-0.75&gt;=2.125)),IF(N(VLOOKUP($AT445&amp;"|"&amp;$CU445,LocTable,7,FALSE))&gt;0,VLOOKUP($AT445&amp;"|"&amp;$CU445,LocTable,7,FALSE),VLOOKUP($AT445&amp;"|"&amp;$CU445,LocTable,6,FALSE)),$BI445-($CU445-IF(N(VLOOKUP($AT445&amp;"|"&amp;$CU445,LocTable,7,FALSE))&gt;0,VLOOKUP($AT445&amp;"|"&amp;$CU445,LocTable,7,FALSE),VLOOKUP($AT445&amp;"|"&amp;$CU445,LocTable,6,FALSE)))),$BI445-10-$CR445))</f>
        <v/>
      </c>
      <c r="CY445" s="100">
        <f>IF($CS445,"",TRIM(IF(ISNUMBER($BU445),"A "&amp;TRIM(TEXT($BU445,"# ?/??"))&amp;CHAR(34)&amp;"  ","")&amp;IF(ISNUMBER($BV445),"B "&amp;TRIM(TEXT($BV445,"# ?/??"))&amp;CHAR(34)&amp;"  ","")&amp;IF(ISNUMBER($BW445),"C "&amp;TRIM(TEXT($BW445,"# ?/??"))&amp;CHAR(34)&amp;"  ","")&amp;IF(ISNUMBER($BX445),"D "&amp;TRIM(TEXT($BX445,"# ?/??"))&amp;CHAR(34)&amp;"  ","")&amp;IF(ISNUMBER($BY445),"F "&amp;TRIM(TEXT($BY445,"# ?/??"))&amp;CHAR(34)&amp;"  ","")&amp;IF(ISNUMBER($BZ445),"E "&amp;TRIM(TEXT($BZ445,"# ?/??"))&amp;CHAR(34)&amp;"  ","")))</f>
        <v/>
      </c>
      <c r="CZ445" s="100">
        <f>IF(OR($CS445,N($BJ445)=0),"",TRIM(IF(ISNUMBER($BU445),"A "&amp;TRIM(TEXT($BU445-HeadClr,"# ?/??"))&amp;CHAR(34)&amp;"  ","")&amp;IF(ISNUMBER($BV445),"B "&amp;TRIM(TEXT($BV445-HeadClr,"# ?/??"))&amp;CHAR(34)&amp;"  ","")&amp;IF(ISNUMBER($BW445),"C "&amp;TRIM(TEXT($BW445-HeadClr,"# ?/??"))&amp;CHAR(34)&amp;"  ","")&amp;IF(ISNUMBER($BX445),"D "&amp;TRIM(TEXT($BX445-HeadClr,"# ?/??"))&amp;CHAR(34)&amp;"  ","")&amp;IF(ISNUMBER($BY445),"F "&amp;TRIM(TEXT($BY445-HeadClr,"# ?/??"))&amp;CHAR(34)&amp;"  ","")&amp;IF(ISNUMBER($BZ445),"E "&amp;TRIM(TEXT($BZ445-HeadClr,"# ?/??"))&amp;CHAR(34)&amp;"  ","")))</f>
        <v/>
      </c>
      <c r="DA445" s="99">
        <f>IF($A445="","",IF($AN445="",IFERROR(VLOOKUP($Z445,CODES,2,FALSE),""),IFERROR(VLOOKUP($AN445,CODES,2,FALSE),"")))</f>
        <v/>
      </c>
      <c r="DB445" s="99">
        <f>IF($A445="","",IF($O445="Y","PR",IF(OR($Z445="L",$Z445="RR",LEFT($Z445,2)="L-",LEFT($Z445,3)="RR-"),"LH","RH")))</f>
        <v/>
      </c>
      <c r="DC445" s="99">
        <f>IF($A445="","","S.HM"&amp;IF(OR($C445="DOOR ONLY",$X445&lt;&gt;"KD"),"MASONRY","DRYWALL")&amp;IF($C445="DOOR ONLY","",$U445)&amp;IF(AND($C445&lt;&gt;"FRAME ONLY",OR(LEFT($AH445,3)="OAK",LEFT($AH445,3)="BIR",LEFT($AH445,3)="MAP",$AH445="PC",$AH445="MC",$AH445="SCLC",$AH445="P-LAM")),"WD","HM")&amp;"1.75")</f>
        <v/>
      </c>
      <c r="DD445" s="99">
        <f>IF($CJ445="","",IF($O445="Y",$CJ445,SUBSTITUTE($CJ445,$BG445&amp;" "&amp;IFERROR(VLOOKUP($Z445,CODES,2,FALSE),"")&amp;" ",$BG445&amp;" ")))</f>
        <v/>
      </c>
      <c r="DE445" s="99">
        <f>IF($CK445="","",IF($O445="Y",$CK445,SUBSTITUTE($CK445,$BG445&amp;" "&amp;IF($AN445="",IFERROR(VLOOKUP($Z445,CODES,2,FALSE),""),IFERROR(VLOOKUP($AN445,CODES,2,FALSE),""))&amp;" ",$BG445&amp;" ")))</f>
        <v/>
      </c>
      <c r="DF445" s="99">
        <f>IF($CJ445="","",$DC445&amp;"|"&amp;$DD445&amp;"|"&amp;$DB445&amp;"|"&amp;$AT445&amp;"|"&amp;$V445&amp;"|"&amp;$Y445&amp;"|"&amp;$AB445)</f>
        <v/>
      </c>
      <c r="DG445" s="99">
        <f>IF(DF445="","",IF(COUNTIF($DF$6:DF445,DF445)=1,MAX($DG$5:DG444)+1,INDEX($DG$5:DG444,MATCH(DF445,$DF$5:DF444,0))))</f>
        <v/>
      </c>
      <c r="DH445" s="99">
        <f>IF($CK445="","",$DC445&amp;"|"&amp;$DE445&amp;"|"&amp;$AI445&amp;"|"&amp;$BK445&amp;"|"&amp;$BL445)</f>
        <v/>
      </c>
      <c r="DI445" s="99">
        <f>IF(DH445="","",IF(COUNTIF($DH$6:DH445,DH445)=1,MAX($DI$5:DI444)+1,INDEX($DI$5:DI444,MATCH(DH445,$DH$5:DH444,0))))</f>
        <v/>
      </c>
      <c r="DJ445" s="99">
        <f>IF($A445="","",IF($B445="","qty, ","")&amp;IF($C445="","scope, ","")&amp;IF(OR($K445="",$M445=""),"size, ","")&amp;IF(AND($A445&lt;&gt;"",$C445&lt;&gt;"DOOR ONLY"),IF($U445="","jamb depth, ","")&amp;IF($X445="","construction, ","")&amp;IF($Y445="","anchor, ","")&amp;IF($S445="","frame type, ",""),"")&amp;IF(AND(N($BJ445)&gt;0,$Z445=""),"hand, ","")&amp;IF(N($BJ445)&gt;0,IF($AH445="","door material, ","")&amp;IF($AL445="","face type, ","")&amp;IF($AP445="","lock prep, ","")&amp;IF(AND($AO445="",$AC445=""),"hinge prep, ",""),"")&amp;IF(AND($CH445&gt;0,$AH445="FRP"),"FRP cannot carry a label, ","")&amp;IF(AND($O445="Y",OR($Z445="L",$Z445="R",$Z445="LR",$Z445="RR")),"pair marked but hand is single, ","")&amp;IF(AND($O445&lt;&gt;"Y",OR($Z445="PR",AND(LEN($Z445)&gt;1,ISNUMBER(SEARCH("-",$Z445))))),"pair hand on a single door, ","")&amp;IF(AND(ISNUMBER($CI445),$CH445&lt;N($CI445)),"wall needs a "&amp;$CI445&amp;" min door, ","")&amp;IF(AND($CH445&gt;=180,AND(OR($CE445="FG",$CE445="HG",$CE445="FNV",$CE445="FV"),N($CF445)*N($CG445)&gt;100)),"180 min lite over 100 sq in, ","")&amp;IF(N($BK445)&gt;48,"leaf wider than 4'-0"&amp;CHAR(34)&amp;", ","")&amp;IF(AND($CT445,COUNT($AW445:$AZ445)=0,$CQ445&gt;0),"CUSTOM LOC with no locations typed, ",""))</f>
        <v/>
      </c>
      <c r="DK445" s="99">
        <f>IF($A445="","",IF(AND($CH445&gt;0,AND($A445&lt;&gt;"",$C445&lt;&gt;"DOOR ONLY"),$X445="KD",$E445="EXTERIOR"),"KD label on an exterior opening, ","")&amp;IF(AND($E445="EXTERIOR",OR(AND(AND($A445&lt;&gt;"",$C445&lt;&gt;"DOOR ONLY"),$W445="CR"),AND(N($BJ445)&gt;0,$AH445="CR"))),"exterior in CR steel (G9?), ","")&amp;IF(AND(ISNUMBER($BQ445),N($BQ445)&lt;32),"clear width ~"&amp;TEXT($BQ445,"0.0")&amp;CHAR(34)&amp;" under 32"&amp;CHAR(34)&amp;" (ADA), ","")&amp;IF(AND($CH445=90,AND(OR($CE445="FG",$CE445="HG",$CE445="FNV",$CE445="FV"),N($CF445)*N($CG445)&gt;100)),"90 min lite over 100 sq in (stair/exit), ","")&amp;IF(AND($CH445&gt;0,AND($A445&lt;&gt;"",$C445&lt;&gt;"DOOR ONLY"),OR($AF445="",$AF445="-")),"rated: closer reinf.?, ","")&amp;IF(OR($I445="CORRIDOR",$I445="SMOKE BARRIER"),"S label + smoke gasketing, ","")&amp;IF($CI445="?","wall type/hr not in IBC table, ","")&amp;IF(AND(N($BJ445)&gt;0,$BB445=""),"no hardware set, ","")&amp;IF(AND($BB445&lt;&gt;"",ISNA(MATCH($BB445&amp;"",HWSets,0))),"set "&amp;$BB445&amp;" not on HW Sets, ","")&amp;IF(N($BL445)&gt;96,"leaf over 8'-0"&amp;CHAR(34)&amp;" - check listing, ","")&amp;IF(AND($CT445,COUNT($AW445:$AZ445)&gt;0,COUNT($AW445:$AZ445)&lt;&gt;$CQ445),COUNT($AW445:$AZ445)&amp;" custom hinges typed, "&amp;$CQ445&amp;" expected, ","")&amp;IF(AND(ISNUMBER($CA445),OR(N($CA445)&lt;34,N($CA445)&gt;48)),"lock "&amp;TEXT($CA445,"0.0")&amp;CHAR(34)&amp;" AFF outside 34-48"&amp;CHAR(34)&amp;" (ADA), ","")&amp;IF(AND(ISNUMBER($AV445),ISNUMBER($BL445),N($AV445)&lt;IF(N($BL445)&lt;=60,2,IF(N($BL445)&lt;=90,3,IF(N($BL445)&lt;=120,4,5)))),"fewer hinges than standard, ",""))</f>
        <v/>
      </c>
    </row>
    <row r="446" ht="15" customHeight="1">
      <c r="A446" s="77" t="n"/>
      <c r="B446" s="78" t="n"/>
      <c r="C446" s="78" t="n"/>
      <c r="D446" s="78" t="n"/>
      <c r="E446" s="78" t="n"/>
      <c r="F446" s="78" t="n"/>
      <c r="G446" s="78" t="n"/>
      <c r="H446" s="78" t="n"/>
      <c r="I446" s="78" t="n"/>
      <c r="J446" s="78" t="n"/>
      <c r="K446" s="78" t="n"/>
      <c r="L446" s="78" t="n"/>
      <c r="M446" s="78" t="n"/>
      <c r="N446" s="78" t="n"/>
      <c r="O446" s="78" t="n"/>
      <c r="P446" s="78" t="n"/>
      <c r="Q446" s="78" t="n"/>
      <c r="R446" s="78" t="n"/>
      <c r="S446" s="79" t="n"/>
      <c r="T446" s="79" t="n"/>
      <c r="U446" s="79" t="n"/>
      <c r="V446" s="79" t="n"/>
      <c r="W446" s="79" t="n"/>
      <c r="X446" s="79" t="n"/>
      <c r="Y446" s="79" t="n"/>
      <c r="Z446" s="79" t="n"/>
      <c r="AA446" s="79" t="n"/>
      <c r="AB446" s="79" t="n"/>
      <c r="AC446" s="79" t="n"/>
      <c r="AD446" s="79" t="n"/>
      <c r="AE446" s="79" t="n"/>
      <c r="AF446" s="79" t="n"/>
      <c r="AG446" s="79" t="n"/>
      <c r="AH446" s="80" t="n"/>
      <c r="AI446" s="80" t="n"/>
      <c r="AJ446" s="80" t="n"/>
      <c r="AK446" s="80" t="n"/>
      <c r="AL446" s="80" t="n"/>
      <c r="AM446" s="80" t="n"/>
      <c r="AN446" s="80" t="n"/>
      <c r="AO446" s="80" t="n"/>
      <c r="AP446" s="80" t="n"/>
      <c r="AQ446" s="80" t="n"/>
      <c r="AR446" s="80" t="n"/>
      <c r="AS446" s="80" t="n"/>
      <c r="AT446" s="81" t="n"/>
      <c r="AU446" s="81" t="n"/>
      <c r="AV446" s="81" t="n"/>
      <c r="AW446" s="82" t="n"/>
      <c r="AX446" s="82" t="n"/>
      <c r="AY446" s="82" t="n"/>
      <c r="AZ446" s="82" t="n"/>
      <c r="BA446" s="82" t="n"/>
      <c r="BB446" s="83" t="n"/>
      <c r="BC446" s="83" t="n"/>
      <c r="BD446" s="84">
        <f>IF($A446="","",IF($DJ446&lt;&gt;"","FIX",IF($DK446&lt;&gt;"","CHECK","OK")))</f>
        <v/>
      </c>
      <c r="BE446" s="85">
        <f>IF($A446="","",IF($DJ446&lt;&gt;"","FIX: "&amp;LEFT($DJ446,LEN($DJ446)-2)&amp;IF($DK446&lt;&gt;"","  ·  ",""),"")&amp;IF($DK446&lt;&gt;"","CHECK: "&amp;LEFT($DK446,LEN($DK446)-2),""))</f>
        <v/>
      </c>
      <c r="BF446" s="84">
        <f>IF(OR($A446="",$K446=""),"",$K446&amp;"'-"&amp;N($L446)&amp;CHAR(34)&amp;" x "&amp;$M446&amp;"'-"&amp;N($N446)&amp;CHAR(34))</f>
        <v/>
      </c>
      <c r="BG446" s="84">
        <f>IF(OR($A446="",$K446=""),"",$K446&amp;N($L446)&amp;$M446&amp;N($N446))</f>
        <v/>
      </c>
      <c r="BH446" s="84">
        <f>IF(OR($A446="",$K446=""),"",$K446*12+N($L446))</f>
        <v/>
      </c>
      <c r="BI446" s="84">
        <f>IF(OR($A446="",$M446=""),"",$M446*12+N($N446))</f>
        <v/>
      </c>
      <c r="BJ446" s="84">
        <f>IF($A446="","",IF(OR($C446="FRAME ONLY",$S446="BL"),0,IF($O446="Y",2,1)))</f>
        <v/>
      </c>
      <c r="BK446" s="86">
        <f>IF(OR(N($BJ446)=0,$BH446=""),"",($BH446-2*EdgeClr-IF($BJ446=2,MeetClr,0))/$BJ446)</f>
        <v/>
      </c>
      <c r="BL446" s="86">
        <f>IF(OR(N($BJ446)=0,$BI446=""),"",$BI446-HeadClr-Undercut)</f>
        <v/>
      </c>
      <c r="BM446" s="86">
        <f>IF($BH446="","",$BH446+2*FaceW+IF(N($Q446)&gt;0,($Q446+FaceW)*IF($R446="LR",2,1),0))</f>
        <v/>
      </c>
      <c r="BN446" s="86">
        <f>IF($BI446="","",$BI446+IF($AB446="Y",4,FaceW)+IF(N($P446)&gt;0,$P446+FaceW,0)+IF(OR($S446="4F",$S446="BL"),FaceW,0))</f>
        <v/>
      </c>
      <c r="BO446" s="86">
        <f>IF($BM446="","",$BM446+2*ROSide)</f>
        <v/>
      </c>
      <c r="BP446" s="86">
        <f>IF($BN446="","",$BN446+ROTop)</f>
        <v/>
      </c>
      <c r="BQ446" s="87">
        <f>IF(OR(N($BJ446)=0,$BH446=""),"",$BH446/$BJ446-ClearDeduct)</f>
        <v/>
      </c>
      <c r="BR446" s="84">
        <f>IF(N($CH446)=0,"",IF($CH446&gt;=180,"A · 3 HR",IF($CH446&gt;=90,"B · 1-1/2 HR",IF($CH446&gt;=60,"B · 1 HR",IF($CH446&gt;=45,"C · 3/4 HR","20 MIN")))))&amp;IF(AND(N($CH446)&gt;0,OR($I446="CORRIDOR",$I446="SMOKE BARRIER"))," · S","")</f>
        <v/>
      </c>
      <c r="BS446" s="84">
        <f>IF($CS446,"",IF($AV446&lt;&gt;"",$AV446,IF(OR($AC446="HGC",$AO446="HGC"),"CONT",IF(($BI446-HeadClr-Undercut)&lt;=60,2,IF(($BI446-HeadClr-Undercut)&lt;=90,3,IF(($BI446-HeadClr-Undercut)&lt;=120,4,5))))))</f>
        <v/>
      </c>
      <c r="BT446" s="84">
        <f>IF($CS446,"",IF($CT446,"CUSTOM (typed)",IF($CV446,$AT446&amp;" "&amp;$CU446&amp;CHAR(34)&amp;IF($CU446&lt;&gt;$BI446,IF(AND($BI446&lt;$CU446,$BI446-IF(N(VLOOKUP($AT446&amp;"|"&amp;$CU446,LocTable,7,FALSE))&gt;0,VLOOKUP($AT446&amp;"|"&amp;$CU446,LocTable,7,FALSE),VLOOKUP($AT446&amp;"|"&amp;$CU446,LocTable,6,FALSE))-$CR446-0.75&gt;=2.125)," cut down"," adj."),""),"ANSI/SDI A250.6")))</f>
        <v/>
      </c>
      <c r="BU446" s="88">
        <f>IF($CS446,"",IF($CT446,IF(N($AW446)&gt;0,N($AW446),""),IF(1&gt;$CQ446,"",IF($CQ446=1,$CW446,$CW446+($CX446-$CW446)*0/($CQ446-1)))))</f>
        <v/>
      </c>
      <c r="BV446" s="88">
        <f>IF($CS446,"",IF($CT446,IF(N($AX446)&gt;0,N($AX446),""),IF(2&gt;$CQ446,"",IF($CQ446=1,$CW446,$CW446+($CX446-$CW446)*1/($CQ446-1)))))</f>
        <v/>
      </c>
      <c r="BW446" s="88">
        <f>IF($CS446,"",IF($CT446,IF(N($AY446)&gt;0,N($AY446),""),IF(3&gt;$CQ446,"",IF($CQ446=1,$CW446,$CW446+($CX446-$CW446)*2/($CQ446-1)))))</f>
        <v/>
      </c>
      <c r="BX446" s="88">
        <f>IF($CS446,"",IF($CT446,IF(N($AZ446)&gt;0,N($AZ446),""),IF(4&gt;$CQ446,"",IF($CQ446=1,$CW446,$CW446+($CX446-$CW446)*3/($CQ446-1)))))</f>
        <v/>
      </c>
      <c r="BY446" s="88">
        <f>IF($CS446,"",IF($CT446,"",IF(5&gt;$CQ446,"",IF($CQ446=1,$CW446,$CW446+($CX446-$CW446)*4/($CQ446-1)))))</f>
        <v/>
      </c>
      <c r="BZ446" s="88">
        <f>IF(OR($CS446,$AP446="-",AND($AP446="",$AD446="")),"",IF(N($BA446)&gt;0,N($BA446),IF($CV446,IF(AND($BI446&lt;$CU446,$BI446-IF(N(VLOOKUP($AT446&amp;"|"&amp;$CU446,LocTable,7,FALSE))&gt;0,VLOOKUP($AT446&amp;"|"&amp;$CU446,LocTable,7,FALSE),VLOOKUP($AT446&amp;"|"&amp;$CU446,LocTable,6,FALSE))-$CR446-0.75&gt;=2.125),VLOOKUP($AT446&amp;"|"&amp;$CU446,LocTable,8,FALSE),VLOOKUP($AT446&amp;"|"&amp;$CU446,LocTable,8,FALSE)+($BI446-$CU446)),$BI446-LockAFF)))</f>
        <v/>
      </c>
      <c r="CA446" s="89">
        <f>IF($BZ446="","",$BI446-$BZ446)</f>
        <v/>
      </c>
      <c r="CB446" s="84">
        <f>IF(OR(NOT(AND($A446&lt;&gt;"",$C446&lt;&gt;"DOOR ONLY")),$BI446=""),"",IF(($BI446+IF(N($P446)&gt;0,$P446+FaceW,0))&lt;=90,3,IF(($BI446+IF(N($P446)&gt;0,$P446+FaceW,0))&lt;=114,4,5)))</f>
        <v/>
      </c>
      <c r="CC446" s="84">
        <f>IF($CB446="","",$CB446*(2+IF(N($Q446)&gt;0,IF($R446="LR",2,1),0)))</f>
        <v/>
      </c>
      <c r="CD446" s="84">
        <f>IF($CB446="","",(2+IF(N($Q446)&gt;0,IF($R446="LR",2,1),0)))</f>
        <v/>
      </c>
      <c r="CE446" s="84">
        <f>IF(N($BJ446)=0,"",IF(OR($AL446="",$AL446="FLUSH"),"FLUSH",IFERROR(LEFT($AL446,FIND("-",$AL446)-1),LEFT($AL446,2))))</f>
        <v/>
      </c>
      <c r="CF446" s="84">
        <f>IF($CE446="","",IFERROR(VALUE(MID($AL446,FIND("-",$AL446)+1,FIND(CHAR(34)&amp;"x",$AL446)-FIND("-",$AL446)-1)),0))</f>
        <v/>
      </c>
      <c r="CG446" s="84">
        <f>IF($CE446="","",IFERROR(VALUE(MID($AL446,FIND(CHAR(34)&amp;"x",$AL446)+2,FIND(CHAR(34),$AL446,FIND(CHAR(34)&amp;"x",$AL446)+2)-FIND(CHAR(34)&amp;"x",$AL446)-2)),0))</f>
        <v/>
      </c>
      <c r="CH446" s="90">
        <f>IF(OR($A446="",$H446="",$H446="NO LAB"),0,IFERROR(VALUE(LEFT($H446,FIND(" ",$H446)-1)),0))</f>
        <v/>
      </c>
      <c r="CI446" s="91">
        <f>IF(OR($A446="",$I446="",$I446="NON-RATED",N($J446)=0),"",IFERROR(VLOOKUP($I446&amp;"|"&amp;$J446,IBC,2,FALSE),"?"))</f>
        <v/>
      </c>
      <c r="CJ446" s="85">
        <f>IF(NOT(AND($A446&lt;&gt;"",$C446&lt;&gt;"DOOR ONLY")),"",TRIM(IFERROR(VLOOKUP($U446,CODES,2,FALSE),"")&amp;" "&amp;$BG446&amp;" "&amp;IFERROR(VLOOKUP($Z446,CODES,2,FALSE),"")&amp;" "&amp;IFERROR(VLOOKUP($X446,CODES,2,FALSE),"")&amp;" "&amp;IFERROR(VLOOKUP($S446,CODES,2,FALSE),"")&amp;IF(N($P446)&gt;0," w/TRANSOM "&amp;$P446&amp;CHAR(34),"")&amp;IF(N($Q446)&gt;0," w/SIDELITE "&amp;$Q446&amp;CHAR(34)&amp;" "&amp;IF($R446="","R",$R446),"")&amp;IF($Y446="","  |  "," | "&amp;IFERROR(VLOOKUP($Y446,CODES,2,FALSE),"")&amp;" | ")&amp;IFERROR(VLOOKUP($AC446,CODES,2,FALSE),"")&amp;" "&amp;IFERROR(VLOOKUP($AD446,CODES,2,FALSE),"")&amp;IF(OR($AE446="",$AE446="-"),""," "&amp;$AE446)&amp;IF(OR($AF446="",$AF446="-"),""," "&amp;$AF446)&amp;IF($AB446="Y"," 4"&amp;CHAR(34)&amp;" HEAD","")&amp;" "&amp;IFERROR(VLOOKUP($H446,CODES,2,FALSE),"")&amp;IF($CT446," | LOC "&amp;$CY446,"")))</f>
        <v/>
      </c>
      <c r="CK446" s="85">
        <f>IF(NOT(AND($A446&lt;&gt;"",N($BJ446)&gt;0)),"",TRIM(IFERROR(VLOOKUP($AH446,CODES,2,FALSE),"")&amp;IF($AI446=""," "," "&amp;$AI446&amp;"GA ")&amp;$BG446&amp;" "&amp;IF($AN446="",IFERROR(VLOOKUP($Z446,CODES,2,FALSE),""),IFERROR(VLOOKUP($AN446,CODES,2,FALSE),""))&amp;IF($BJ446=2," PAIR","")&amp;" DOOR | "&amp;IF($AL446="","?",$AL446)&amp;" | "&amp;IF($AO446="",IFERROR(VLOOKUP($AC446,CODES,2,FALSE),""),IFERROR(VLOOKUP($AO446,CODES,2,FALSE),""))&amp;" "&amp;IFERROR(VLOOKUP($AP446,CODES,2,FALSE),"")&amp;IF(OR($AQ446="",$AQ446="-"),""," SEAM "&amp;$AQ446)&amp;IF($AR446="Y"," ASTRAGAL","")&amp;IF($AJ446=""," "," "&amp;$AJ446)&amp;IF($AK446=""," "," "&amp;$AK446)&amp;IF(OR($AT446="",$AT446="ANSI/SDI",$AT446="CUSTOM LOC"),""," "&amp;$AT446)&amp;IF($AM446=""," "," SERIES "&amp;$AM446)&amp;" "&amp;IFERROR(VLOOKUP($H446,CODES,2,FALSE),"")&amp;IF($CT446," | LOC "&amp;$CZ446,"")))</f>
        <v/>
      </c>
      <c r="CL446" s="84">
        <f>IF(CP446="","",IF(COUNTIF($CP$6:CP446,CP446)=1,MAX($CL$5:CL445)+1,INDEX($CL$5:CL445,MATCH(CP446,$CP$5:CP445,0))))</f>
        <v/>
      </c>
      <c r="CM446" s="84">
        <f>IF(NOT(AND($A446&lt;&gt;"",$C446&lt;&gt;"DOOR ONLY")),"",MAX($CM$5:CM445)+1)</f>
        <v/>
      </c>
      <c r="CN446" s="84">
        <f>IF(NOT(AND($A446&lt;&gt;"",N($BJ446)&gt;0)),"",MAX($CN$5:CN445)+1)</f>
        <v/>
      </c>
      <c r="CO446" s="84">
        <f>IF($A446="","",MAX($CO$5:CO445)+1)</f>
        <v/>
      </c>
      <c r="CP446" s="84">
        <f>IF(OR($A446="",$BH446="",$BI446=""),"",$BG446&amp;"|"&amp;$O446&amp;"|"&amp;$AL446&amp;"|"&amp;$S446&amp;"|"&amp;$P446&amp;"|"&amp;$Q446&amp;$R446&amp;"|"&amp;$C446&amp;"|"&amp;$AB446)</f>
        <v/>
      </c>
      <c r="CQ446" s="84">
        <f>N($BS446)</f>
        <v/>
      </c>
      <c r="CR446" s="84">
        <f>IF(N($AU446)&gt;0,N($AU446),4.5)</f>
        <v/>
      </c>
      <c r="CS446" s="84">
        <f>OR($A446="",$BI446="",$S446="BL",AND($C446="FRAME ONLY",OR($AC446="",$AC446="BLK")))</f>
        <v/>
      </c>
      <c r="CT446" s="84">
        <f>AND(NOT($CS446),OR($AT446="CUSTOM LOC",N($AW446)+N($AX446)+N($AY446)+N($AZ446)+N($BA446)&gt;0))</f>
        <v/>
      </c>
      <c r="CU446" s="84">
        <f>IF($BI446="","",IF($BI446&lt;=80,80,IF($BI446&lt;=84,84,96)))</f>
        <v/>
      </c>
      <c r="CV446" s="84">
        <f>ISNUMBER(MATCH($AT446&amp;"|80",LocKeys,0))</f>
        <v/>
      </c>
      <c r="CW446" s="86">
        <f>IF($CS446,"",IF($CV446,VLOOKUP($AT446&amp;"|"&amp;$CU446,LocTable,4,FALSE),5))</f>
        <v/>
      </c>
      <c r="CX446" s="86">
        <f>IF($CS446,"",IF($CV446,IF(OR($BI446=$CU446,AND($BI446&lt;$CU446,$BI446-IF(N(VLOOKUP($AT446&amp;"|"&amp;$CU446,LocTable,7,FALSE))&gt;0,VLOOKUP($AT446&amp;"|"&amp;$CU446,LocTable,7,FALSE),VLOOKUP($AT446&amp;"|"&amp;$CU446,LocTable,6,FALSE))-$CR446-0.75&gt;=2.125)),IF(N(VLOOKUP($AT446&amp;"|"&amp;$CU446,LocTable,7,FALSE))&gt;0,VLOOKUP($AT446&amp;"|"&amp;$CU446,LocTable,7,FALSE),VLOOKUP($AT446&amp;"|"&amp;$CU446,LocTable,6,FALSE)),$BI446-($CU446-IF(N(VLOOKUP($AT446&amp;"|"&amp;$CU446,LocTable,7,FALSE))&gt;0,VLOOKUP($AT446&amp;"|"&amp;$CU446,LocTable,7,FALSE),VLOOKUP($AT446&amp;"|"&amp;$CU446,LocTable,6,FALSE)))),$BI446-10-$CR446))</f>
        <v/>
      </c>
      <c r="CY446" s="85">
        <f>IF($CS446,"",TRIM(IF(ISNUMBER($BU446),"A "&amp;TRIM(TEXT($BU446,"# ?/??"))&amp;CHAR(34)&amp;"  ","")&amp;IF(ISNUMBER($BV446),"B "&amp;TRIM(TEXT($BV446,"# ?/??"))&amp;CHAR(34)&amp;"  ","")&amp;IF(ISNUMBER($BW446),"C "&amp;TRIM(TEXT($BW446,"# ?/??"))&amp;CHAR(34)&amp;"  ","")&amp;IF(ISNUMBER($BX446),"D "&amp;TRIM(TEXT($BX446,"# ?/??"))&amp;CHAR(34)&amp;"  ","")&amp;IF(ISNUMBER($BY446),"F "&amp;TRIM(TEXT($BY446,"# ?/??"))&amp;CHAR(34)&amp;"  ","")&amp;IF(ISNUMBER($BZ446),"E "&amp;TRIM(TEXT($BZ446,"# ?/??"))&amp;CHAR(34)&amp;"  ","")))</f>
        <v/>
      </c>
      <c r="CZ446" s="85">
        <f>IF(OR($CS446,N($BJ446)=0),"",TRIM(IF(ISNUMBER($BU446),"A "&amp;TRIM(TEXT($BU446-HeadClr,"# ?/??"))&amp;CHAR(34)&amp;"  ","")&amp;IF(ISNUMBER($BV446),"B "&amp;TRIM(TEXT($BV446-HeadClr,"# ?/??"))&amp;CHAR(34)&amp;"  ","")&amp;IF(ISNUMBER($BW446),"C "&amp;TRIM(TEXT($BW446-HeadClr,"# ?/??"))&amp;CHAR(34)&amp;"  ","")&amp;IF(ISNUMBER($BX446),"D "&amp;TRIM(TEXT($BX446-HeadClr,"# ?/??"))&amp;CHAR(34)&amp;"  ","")&amp;IF(ISNUMBER($BY446),"F "&amp;TRIM(TEXT($BY446-HeadClr,"# ?/??"))&amp;CHAR(34)&amp;"  ","")&amp;IF(ISNUMBER($BZ446),"E "&amp;TRIM(TEXT($BZ446-HeadClr,"# ?/??"))&amp;CHAR(34)&amp;"  ","")))</f>
        <v/>
      </c>
      <c r="DA446" s="84">
        <f>IF($A446="","",IF($AN446="",IFERROR(VLOOKUP($Z446,CODES,2,FALSE),""),IFERROR(VLOOKUP($AN446,CODES,2,FALSE),"")))</f>
        <v/>
      </c>
      <c r="DB446" s="84">
        <f>IF($A446="","",IF($O446="Y","PR",IF(OR($Z446="L",$Z446="RR",LEFT($Z446,2)="L-",LEFT($Z446,3)="RR-"),"LH","RH")))</f>
        <v/>
      </c>
      <c r="DC446" s="84">
        <f>IF($A446="","","S.HM"&amp;IF(OR($C446="DOOR ONLY",$X446&lt;&gt;"KD"),"MASONRY","DRYWALL")&amp;IF($C446="DOOR ONLY","",$U446)&amp;IF(AND($C446&lt;&gt;"FRAME ONLY",OR(LEFT($AH446,3)="OAK",LEFT($AH446,3)="BIR",LEFT($AH446,3)="MAP",$AH446="PC",$AH446="MC",$AH446="SCLC",$AH446="P-LAM")),"WD","HM")&amp;"1.75")</f>
        <v/>
      </c>
      <c r="DD446" s="84">
        <f>IF($CJ446="","",IF($O446="Y",$CJ446,SUBSTITUTE($CJ446,$BG446&amp;" "&amp;IFERROR(VLOOKUP($Z446,CODES,2,FALSE),"")&amp;" ",$BG446&amp;" ")))</f>
        <v/>
      </c>
      <c r="DE446" s="84">
        <f>IF($CK446="","",IF($O446="Y",$CK446,SUBSTITUTE($CK446,$BG446&amp;" "&amp;IF($AN446="",IFERROR(VLOOKUP($Z446,CODES,2,FALSE),""),IFERROR(VLOOKUP($AN446,CODES,2,FALSE),""))&amp;" ",$BG446&amp;" ")))</f>
        <v/>
      </c>
      <c r="DF446" s="84">
        <f>IF($CJ446="","",$DC446&amp;"|"&amp;$DD446&amp;"|"&amp;$DB446&amp;"|"&amp;$AT446&amp;"|"&amp;$V446&amp;"|"&amp;$Y446&amp;"|"&amp;$AB446)</f>
        <v/>
      </c>
      <c r="DG446" s="84">
        <f>IF(DF446="","",IF(COUNTIF($DF$6:DF446,DF446)=1,MAX($DG$5:DG445)+1,INDEX($DG$5:DG445,MATCH(DF446,$DF$5:DF445,0))))</f>
        <v/>
      </c>
      <c r="DH446" s="84">
        <f>IF($CK446="","",$DC446&amp;"|"&amp;$DE446&amp;"|"&amp;$AI446&amp;"|"&amp;$BK446&amp;"|"&amp;$BL446)</f>
        <v/>
      </c>
      <c r="DI446" s="84">
        <f>IF(DH446="","",IF(COUNTIF($DH$6:DH446,DH446)=1,MAX($DI$5:DI445)+1,INDEX($DI$5:DI445,MATCH(DH446,$DH$5:DH445,0))))</f>
        <v/>
      </c>
      <c r="DJ446" s="84">
        <f>IF($A446="","",IF($B446="","qty, ","")&amp;IF($C446="","scope, ","")&amp;IF(OR($K446="",$M446=""),"size, ","")&amp;IF(AND($A446&lt;&gt;"",$C446&lt;&gt;"DOOR ONLY"),IF($U446="","jamb depth, ","")&amp;IF($X446="","construction, ","")&amp;IF($Y446="","anchor, ","")&amp;IF($S446="","frame type, ",""),"")&amp;IF(AND(N($BJ446)&gt;0,$Z446=""),"hand, ","")&amp;IF(N($BJ446)&gt;0,IF($AH446="","door material, ","")&amp;IF($AL446="","face type, ","")&amp;IF($AP446="","lock prep, ","")&amp;IF(AND($AO446="",$AC446=""),"hinge prep, ",""),"")&amp;IF(AND($CH446&gt;0,$AH446="FRP"),"FRP cannot carry a label, ","")&amp;IF(AND($O446="Y",OR($Z446="L",$Z446="R",$Z446="LR",$Z446="RR")),"pair marked but hand is single, ","")&amp;IF(AND($O446&lt;&gt;"Y",OR($Z446="PR",AND(LEN($Z446)&gt;1,ISNUMBER(SEARCH("-",$Z446))))),"pair hand on a single door, ","")&amp;IF(AND(ISNUMBER($CI446),$CH446&lt;N($CI446)),"wall needs a "&amp;$CI446&amp;" min door, ","")&amp;IF(AND($CH446&gt;=180,AND(OR($CE446="FG",$CE446="HG",$CE446="FNV",$CE446="FV"),N($CF446)*N($CG446)&gt;100)),"180 min lite over 100 sq in, ","")&amp;IF(N($BK446)&gt;48,"leaf wider than 4'-0"&amp;CHAR(34)&amp;", ","")&amp;IF(AND($CT446,COUNT($AW446:$AZ446)=0,$CQ446&gt;0),"CUSTOM LOC with no locations typed, ",""))</f>
        <v/>
      </c>
      <c r="DK446" s="84">
        <f>IF($A446="","",IF(AND($CH446&gt;0,AND($A446&lt;&gt;"",$C446&lt;&gt;"DOOR ONLY"),$X446="KD",$E446="EXTERIOR"),"KD label on an exterior opening, ","")&amp;IF(AND($E446="EXTERIOR",OR(AND(AND($A446&lt;&gt;"",$C446&lt;&gt;"DOOR ONLY"),$W446="CR"),AND(N($BJ446)&gt;0,$AH446="CR"))),"exterior in CR steel (G9?), ","")&amp;IF(AND(ISNUMBER($BQ446),N($BQ446)&lt;32),"clear width ~"&amp;TEXT($BQ446,"0.0")&amp;CHAR(34)&amp;" under 32"&amp;CHAR(34)&amp;" (ADA), ","")&amp;IF(AND($CH446=90,AND(OR($CE446="FG",$CE446="HG",$CE446="FNV",$CE446="FV"),N($CF446)*N($CG446)&gt;100)),"90 min lite over 100 sq in (stair/exit), ","")&amp;IF(AND($CH446&gt;0,AND($A446&lt;&gt;"",$C446&lt;&gt;"DOOR ONLY"),OR($AF446="",$AF446="-")),"rated: closer reinf.?, ","")&amp;IF(OR($I446="CORRIDOR",$I446="SMOKE BARRIER"),"S label + smoke gasketing, ","")&amp;IF($CI446="?","wall type/hr not in IBC table, ","")&amp;IF(AND(N($BJ446)&gt;0,$BB446=""),"no hardware set, ","")&amp;IF(AND($BB446&lt;&gt;"",ISNA(MATCH($BB446&amp;"",HWSets,0))),"set "&amp;$BB446&amp;" not on HW Sets, ","")&amp;IF(N($BL446)&gt;96,"leaf over 8'-0"&amp;CHAR(34)&amp;" - check listing, ","")&amp;IF(AND($CT446,COUNT($AW446:$AZ446)&gt;0,COUNT($AW446:$AZ446)&lt;&gt;$CQ446),COUNT($AW446:$AZ446)&amp;" custom hinges typed, "&amp;$CQ446&amp;" expected, ","")&amp;IF(AND(ISNUMBER($CA446),OR(N($CA446)&lt;34,N($CA446)&gt;48)),"lock "&amp;TEXT($CA446,"0.0")&amp;CHAR(34)&amp;" AFF outside 34-48"&amp;CHAR(34)&amp;" (ADA), ","")&amp;IF(AND(ISNUMBER($AV446),ISNUMBER($BL446),N($AV446)&lt;IF(N($BL446)&lt;=60,2,IF(N($BL446)&lt;=90,3,IF(N($BL446)&lt;=120,4,5)))),"fewer hinges than standard, ",""))</f>
        <v/>
      </c>
    </row>
    <row r="447" ht="15" customHeight="1">
      <c r="A447" s="77" t="n"/>
      <c r="B447" s="78" t="n"/>
      <c r="C447" s="78" t="n"/>
      <c r="D447" s="78" t="n"/>
      <c r="E447" s="78" t="n"/>
      <c r="F447" s="78" t="n"/>
      <c r="G447" s="78" t="n"/>
      <c r="H447" s="78" t="n"/>
      <c r="I447" s="78" t="n"/>
      <c r="J447" s="78" t="n"/>
      <c r="K447" s="78" t="n"/>
      <c r="L447" s="78" t="n"/>
      <c r="M447" s="78" t="n"/>
      <c r="N447" s="78" t="n"/>
      <c r="O447" s="78" t="n"/>
      <c r="P447" s="78" t="n"/>
      <c r="Q447" s="78" t="n"/>
      <c r="R447" s="78" t="n"/>
      <c r="S447" s="79" t="n"/>
      <c r="T447" s="79" t="n"/>
      <c r="U447" s="79" t="n"/>
      <c r="V447" s="79" t="n"/>
      <c r="W447" s="79" t="n"/>
      <c r="X447" s="79" t="n"/>
      <c r="Y447" s="79" t="n"/>
      <c r="Z447" s="79" t="n"/>
      <c r="AA447" s="79" t="n"/>
      <c r="AB447" s="79" t="n"/>
      <c r="AC447" s="79" t="n"/>
      <c r="AD447" s="79" t="n"/>
      <c r="AE447" s="79" t="n"/>
      <c r="AF447" s="79" t="n"/>
      <c r="AG447" s="79" t="n"/>
      <c r="AH447" s="80" t="n"/>
      <c r="AI447" s="80" t="n"/>
      <c r="AJ447" s="80" t="n"/>
      <c r="AK447" s="80" t="n"/>
      <c r="AL447" s="80" t="n"/>
      <c r="AM447" s="80" t="n"/>
      <c r="AN447" s="80" t="n"/>
      <c r="AO447" s="80" t="n"/>
      <c r="AP447" s="80" t="n"/>
      <c r="AQ447" s="80" t="n"/>
      <c r="AR447" s="80" t="n"/>
      <c r="AS447" s="80" t="n"/>
      <c r="AT447" s="81" t="n"/>
      <c r="AU447" s="81" t="n"/>
      <c r="AV447" s="81" t="n"/>
      <c r="AW447" s="82" t="n"/>
      <c r="AX447" s="82" t="n"/>
      <c r="AY447" s="82" t="n"/>
      <c r="AZ447" s="82" t="n"/>
      <c r="BA447" s="82" t="n"/>
      <c r="BB447" s="83" t="n"/>
      <c r="BC447" s="83" t="n"/>
      <c r="BD447" s="84">
        <f>IF($A447="","",IF($DJ447&lt;&gt;"","FIX",IF($DK447&lt;&gt;"","CHECK","OK")))</f>
        <v/>
      </c>
      <c r="BE447" s="85">
        <f>IF($A447="","",IF($DJ447&lt;&gt;"","FIX: "&amp;LEFT($DJ447,LEN($DJ447)-2)&amp;IF($DK447&lt;&gt;"","  ·  ",""),"")&amp;IF($DK447&lt;&gt;"","CHECK: "&amp;LEFT($DK447,LEN($DK447)-2),""))</f>
        <v/>
      </c>
      <c r="BF447" s="84">
        <f>IF(OR($A447="",$K447=""),"",$K447&amp;"'-"&amp;N($L447)&amp;CHAR(34)&amp;" x "&amp;$M447&amp;"'-"&amp;N($N447)&amp;CHAR(34))</f>
        <v/>
      </c>
      <c r="BG447" s="84">
        <f>IF(OR($A447="",$K447=""),"",$K447&amp;N($L447)&amp;$M447&amp;N($N447))</f>
        <v/>
      </c>
      <c r="BH447" s="84">
        <f>IF(OR($A447="",$K447=""),"",$K447*12+N($L447))</f>
        <v/>
      </c>
      <c r="BI447" s="84">
        <f>IF(OR($A447="",$M447=""),"",$M447*12+N($N447))</f>
        <v/>
      </c>
      <c r="BJ447" s="84">
        <f>IF($A447="","",IF(OR($C447="FRAME ONLY",$S447="BL"),0,IF($O447="Y",2,1)))</f>
        <v/>
      </c>
      <c r="BK447" s="86">
        <f>IF(OR(N($BJ447)=0,$BH447=""),"",($BH447-2*EdgeClr-IF($BJ447=2,MeetClr,0))/$BJ447)</f>
        <v/>
      </c>
      <c r="BL447" s="86">
        <f>IF(OR(N($BJ447)=0,$BI447=""),"",$BI447-HeadClr-Undercut)</f>
        <v/>
      </c>
      <c r="BM447" s="86">
        <f>IF($BH447="","",$BH447+2*FaceW+IF(N($Q447)&gt;0,($Q447+FaceW)*IF($R447="LR",2,1),0))</f>
        <v/>
      </c>
      <c r="BN447" s="86">
        <f>IF($BI447="","",$BI447+IF($AB447="Y",4,FaceW)+IF(N($P447)&gt;0,$P447+FaceW,0)+IF(OR($S447="4F",$S447="BL"),FaceW,0))</f>
        <v/>
      </c>
      <c r="BO447" s="86">
        <f>IF($BM447="","",$BM447+2*ROSide)</f>
        <v/>
      </c>
      <c r="BP447" s="86">
        <f>IF($BN447="","",$BN447+ROTop)</f>
        <v/>
      </c>
      <c r="BQ447" s="87">
        <f>IF(OR(N($BJ447)=0,$BH447=""),"",$BH447/$BJ447-ClearDeduct)</f>
        <v/>
      </c>
      <c r="BR447" s="84">
        <f>IF(N($CH447)=0,"",IF($CH447&gt;=180,"A · 3 HR",IF($CH447&gt;=90,"B · 1-1/2 HR",IF($CH447&gt;=60,"B · 1 HR",IF($CH447&gt;=45,"C · 3/4 HR","20 MIN")))))&amp;IF(AND(N($CH447)&gt;0,OR($I447="CORRIDOR",$I447="SMOKE BARRIER"))," · S","")</f>
        <v/>
      </c>
      <c r="BS447" s="84">
        <f>IF($CS447,"",IF($AV447&lt;&gt;"",$AV447,IF(OR($AC447="HGC",$AO447="HGC"),"CONT",IF(($BI447-HeadClr-Undercut)&lt;=60,2,IF(($BI447-HeadClr-Undercut)&lt;=90,3,IF(($BI447-HeadClr-Undercut)&lt;=120,4,5))))))</f>
        <v/>
      </c>
      <c r="BT447" s="84">
        <f>IF($CS447,"",IF($CT447,"CUSTOM (typed)",IF($CV447,$AT447&amp;" "&amp;$CU447&amp;CHAR(34)&amp;IF($CU447&lt;&gt;$BI447,IF(AND($BI447&lt;$CU447,$BI447-IF(N(VLOOKUP($AT447&amp;"|"&amp;$CU447,LocTable,7,FALSE))&gt;0,VLOOKUP($AT447&amp;"|"&amp;$CU447,LocTable,7,FALSE),VLOOKUP($AT447&amp;"|"&amp;$CU447,LocTable,6,FALSE))-$CR447-0.75&gt;=2.125)," cut down"," adj."),""),"ANSI/SDI A250.6")))</f>
        <v/>
      </c>
      <c r="BU447" s="88">
        <f>IF($CS447,"",IF($CT447,IF(N($AW447)&gt;0,N($AW447),""),IF(1&gt;$CQ447,"",IF($CQ447=1,$CW447,$CW447+($CX447-$CW447)*0/($CQ447-1)))))</f>
        <v/>
      </c>
      <c r="BV447" s="88">
        <f>IF($CS447,"",IF($CT447,IF(N($AX447)&gt;0,N($AX447),""),IF(2&gt;$CQ447,"",IF($CQ447=1,$CW447,$CW447+($CX447-$CW447)*1/($CQ447-1)))))</f>
        <v/>
      </c>
      <c r="BW447" s="88">
        <f>IF($CS447,"",IF($CT447,IF(N($AY447)&gt;0,N($AY447),""),IF(3&gt;$CQ447,"",IF($CQ447=1,$CW447,$CW447+($CX447-$CW447)*2/($CQ447-1)))))</f>
        <v/>
      </c>
      <c r="BX447" s="88">
        <f>IF($CS447,"",IF($CT447,IF(N($AZ447)&gt;0,N($AZ447),""),IF(4&gt;$CQ447,"",IF($CQ447=1,$CW447,$CW447+($CX447-$CW447)*3/($CQ447-1)))))</f>
        <v/>
      </c>
      <c r="BY447" s="88">
        <f>IF($CS447,"",IF($CT447,"",IF(5&gt;$CQ447,"",IF($CQ447=1,$CW447,$CW447+($CX447-$CW447)*4/($CQ447-1)))))</f>
        <v/>
      </c>
      <c r="BZ447" s="88">
        <f>IF(OR($CS447,$AP447="-",AND($AP447="",$AD447="")),"",IF(N($BA447)&gt;0,N($BA447),IF($CV447,IF(AND($BI447&lt;$CU447,$BI447-IF(N(VLOOKUP($AT447&amp;"|"&amp;$CU447,LocTable,7,FALSE))&gt;0,VLOOKUP($AT447&amp;"|"&amp;$CU447,LocTable,7,FALSE),VLOOKUP($AT447&amp;"|"&amp;$CU447,LocTable,6,FALSE))-$CR447-0.75&gt;=2.125),VLOOKUP($AT447&amp;"|"&amp;$CU447,LocTable,8,FALSE),VLOOKUP($AT447&amp;"|"&amp;$CU447,LocTable,8,FALSE)+($BI447-$CU447)),$BI447-LockAFF)))</f>
        <v/>
      </c>
      <c r="CA447" s="89">
        <f>IF($BZ447="","",$BI447-$BZ447)</f>
        <v/>
      </c>
      <c r="CB447" s="84">
        <f>IF(OR(NOT(AND($A447&lt;&gt;"",$C447&lt;&gt;"DOOR ONLY")),$BI447=""),"",IF(($BI447+IF(N($P447)&gt;0,$P447+FaceW,0))&lt;=90,3,IF(($BI447+IF(N($P447)&gt;0,$P447+FaceW,0))&lt;=114,4,5)))</f>
        <v/>
      </c>
      <c r="CC447" s="84">
        <f>IF($CB447="","",$CB447*(2+IF(N($Q447)&gt;0,IF($R447="LR",2,1),0)))</f>
        <v/>
      </c>
      <c r="CD447" s="84">
        <f>IF($CB447="","",(2+IF(N($Q447)&gt;0,IF($R447="LR",2,1),0)))</f>
        <v/>
      </c>
      <c r="CE447" s="84">
        <f>IF(N($BJ447)=0,"",IF(OR($AL447="",$AL447="FLUSH"),"FLUSH",IFERROR(LEFT($AL447,FIND("-",$AL447)-1),LEFT($AL447,2))))</f>
        <v/>
      </c>
      <c r="CF447" s="84">
        <f>IF($CE447="","",IFERROR(VALUE(MID($AL447,FIND("-",$AL447)+1,FIND(CHAR(34)&amp;"x",$AL447)-FIND("-",$AL447)-1)),0))</f>
        <v/>
      </c>
      <c r="CG447" s="84">
        <f>IF($CE447="","",IFERROR(VALUE(MID($AL447,FIND(CHAR(34)&amp;"x",$AL447)+2,FIND(CHAR(34),$AL447,FIND(CHAR(34)&amp;"x",$AL447)+2)-FIND(CHAR(34)&amp;"x",$AL447)-2)),0))</f>
        <v/>
      </c>
      <c r="CH447" s="90">
        <f>IF(OR($A447="",$H447="",$H447="NO LAB"),0,IFERROR(VALUE(LEFT($H447,FIND(" ",$H447)-1)),0))</f>
        <v/>
      </c>
      <c r="CI447" s="91">
        <f>IF(OR($A447="",$I447="",$I447="NON-RATED",N($J447)=0),"",IFERROR(VLOOKUP($I447&amp;"|"&amp;$J447,IBC,2,FALSE),"?"))</f>
        <v/>
      </c>
      <c r="CJ447" s="85">
        <f>IF(NOT(AND($A447&lt;&gt;"",$C447&lt;&gt;"DOOR ONLY")),"",TRIM(IFERROR(VLOOKUP($U447,CODES,2,FALSE),"")&amp;" "&amp;$BG447&amp;" "&amp;IFERROR(VLOOKUP($Z447,CODES,2,FALSE),"")&amp;" "&amp;IFERROR(VLOOKUP($X447,CODES,2,FALSE),"")&amp;" "&amp;IFERROR(VLOOKUP($S447,CODES,2,FALSE),"")&amp;IF(N($P447)&gt;0," w/TRANSOM "&amp;$P447&amp;CHAR(34),"")&amp;IF(N($Q447)&gt;0," w/SIDELITE "&amp;$Q447&amp;CHAR(34)&amp;" "&amp;IF($R447="","R",$R447),"")&amp;IF($Y447="","  |  "," | "&amp;IFERROR(VLOOKUP($Y447,CODES,2,FALSE),"")&amp;" | ")&amp;IFERROR(VLOOKUP($AC447,CODES,2,FALSE),"")&amp;" "&amp;IFERROR(VLOOKUP($AD447,CODES,2,FALSE),"")&amp;IF(OR($AE447="",$AE447="-"),""," "&amp;$AE447)&amp;IF(OR($AF447="",$AF447="-"),""," "&amp;$AF447)&amp;IF($AB447="Y"," 4"&amp;CHAR(34)&amp;" HEAD","")&amp;" "&amp;IFERROR(VLOOKUP($H447,CODES,2,FALSE),"")&amp;IF($CT447," | LOC "&amp;$CY447,"")))</f>
        <v/>
      </c>
      <c r="CK447" s="85">
        <f>IF(NOT(AND($A447&lt;&gt;"",N($BJ447)&gt;0)),"",TRIM(IFERROR(VLOOKUP($AH447,CODES,2,FALSE),"")&amp;IF($AI447=""," "," "&amp;$AI447&amp;"GA ")&amp;$BG447&amp;" "&amp;IF($AN447="",IFERROR(VLOOKUP($Z447,CODES,2,FALSE),""),IFERROR(VLOOKUP($AN447,CODES,2,FALSE),""))&amp;IF($BJ447=2," PAIR","")&amp;" DOOR | "&amp;IF($AL447="","?",$AL447)&amp;" | "&amp;IF($AO447="",IFERROR(VLOOKUP($AC447,CODES,2,FALSE),""),IFERROR(VLOOKUP($AO447,CODES,2,FALSE),""))&amp;" "&amp;IFERROR(VLOOKUP($AP447,CODES,2,FALSE),"")&amp;IF(OR($AQ447="",$AQ447="-"),""," SEAM "&amp;$AQ447)&amp;IF($AR447="Y"," ASTRAGAL","")&amp;IF($AJ447=""," "," "&amp;$AJ447)&amp;IF($AK447=""," "," "&amp;$AK447)&amp;IF(OR($AT447="",$AT447="ANSI/SDI",$AT447="CUSTOM LOC"),""," "&amp;$AT447)&amp;IF($AM447=""," "," SERIES "&amp;$AM447)&amp;" "&amp;IFERROR(VLOOKUP($H447,CODES,2,FALSE),"")&amp;IF($CT447," | LOC "&amp;$CZ447,"")))</f>
        <v/>
      </c>
      <c r="CL447" s="84">
        <f>IF(CP447="","",IF(COUNTIF($CP$6:CP447,CP447)=1,MAX($CL$5:CL446)+1,INDEX($CL$5:CL446,MATCH(CP447,$CP$5:CP446,0))))</f>
        <v/>
      </c>
      <c r="CM447" s="84">
        <f>IF(NOT(AND($A447&lt;&gt;"",$C447&lt;&gt;"DOOR ONLY")),"",MAX($CM$5:CM446)+1)</f>
        <v/>
      </c>
      <c r="CN447" s="84">
        <f>IF(NOT(AND($A447&lt;&gt;"",N($BJ447)&gt;0)),"",MAX($CN$5:CN446)+1)</f>
        <v/>
      </c>
      <c r="CO447" s="84">
        <f>IF($A447="","",MAX($CO$5:CO446)+1)</f>
        <v/>
      </c>
      <c r="CP447" s="84">
        <f>IF(OR($A447="",$BH447="",$BI447=""),"",$BG447&amp;"|"&amp;$O447&amp;"|"&amp;$AL447&amp;"|"&amp;$S447&amp;"|"&amp;$P447&amp;"|"&amp;$Q447&amp;$R447&amp;"|"&amp;$C447&amp;"|"&amp;$AB447)</f>
        <v/>
      </c>
      <c r="CQ447" s="84">
        <f>N($BS447)</f>
        <v/>
      </c>
      <c r="CR447" s="84">
        <f>IF(N($AU447)&gt;0,N($AU447),4.5)</f>
        <v/>
      </c>
      <c r="CS447" s="84">
        <f>OR($A447="",$BI447="",$S447="BL",AND($C447="FRAME ONLY",OR($AC447="",$AC447="BLK")))</f>
        <v/>
      </c>
      <c r="CT447" s="84">
        <f>AND(NOT($CS447),OR($AT447="CUSTOM LOC",N($AW447)+N($AX447)+N($AY447)+N($AZ447)+N($BA447)&gt;0))</f>
        <v/>
      </c>
      <c r="CU447" s="84">
        <f>IF($BI447="","",IF($BI447&lt;=80,80,IF($BI447&lt;=84,84,96)))</f>
        <v/>
      </c>
      <c r="CV447" s="84">
        <f>ISNUMBER(MATCH($AT447&amp;"|80",LocKeys,0))</f>
        <v/>
      </c>
      <c r="CW447" s="86">
        <f>IF($CS447,"",IF($CV447,VLOOKUP($AT447&amp;"|"&amp;$CU447,LocTable,4,FALSE),5))</f>
        <v/>
      </c>
      <c r="CX447" s="86">
        <f>IF($CS447,"",IF($CV447,IF(OR($BI447=$CU447,AND($BI447&lt;$CU447,$BI447-IF(N(VLOOKUP($AT447&amp;"|"&amp;$CU447,LocTable,7,FALSE))&gt;0,VLOOKUP($AT447&amp;"|"&amp;$CU447,LocTable,7,FALSE),VLOOKUP($AT447&amp;"|"&amp;$CU447,LocTable,6,FALSE))-$CR447-0.75&gt;=2.125)),IF(N(VLOOKUP($AT447&amp;"|"&amp;$CU447,LocTable,7,FALSE))&gt;0,VLOOKUP($AT447&amp;"|"&amp;$CU447,LocTable,7,FALSE),VLOOKUP($AT447&amp;"|"&amp;$CU447,LocTable,6,FALSE)),$BI447-($CU447-IF(N(VLOOKUP($AT447&amp;"|"&amp;$CU447,LocTable,7,FALSE))&gt;0,VLOOKUP($AT447&amp;"|"&amp;$CU447,LocTable,7,FALSE),VLOOKUP($AT447&amp;"|"&amp;$CU447,LocTable,6,FALSE)))),$BI447-10-$CR447))</f>
        <v/>
      </c>
      <c r="CY447" s="85">
        <f>IF($CS447,"",TRIM(IF(ISNUMBER($BU447),"A "&amp;TRIM(TEXT($BU447,"# ?/??"))&amp;CHAR(34)&amp;"  ","")&amp;IF(ISNUMBER($BV447),"B "&amp;TRIM(TEXT($BV447,"# ?/??"))&amp;CHAR(34)&amp;"  ","")&amp;IF(ISNUMBER($BW447),"C "&amp;TRIM(TEXT($BW447,"# ?/??"))&amp;CHAR(34)&amp;"  ","")&amp;IF(ISNUMBER($BX447),"D "&amp;TRIM(TEXT($BX447,"# ?/??"))&amp;CHAR(34)&amp;"  ","")&amp;IF(ISNUMBER($BY447),"F "&amp;TRIM(TEXT($BY447,"# ?/??"))&amp;CHAR(34)&amp;"  ","")&amp;IF(ISNUMBER($BZ447),"E "&amp;TRIM(TEXT($BZ447,"# ?/??"))&amp;CHAR(34)&amp;"  ","")))</f>
        <v/>
      </c>
      <c r="CZ447" s="85">
        <f>IF(OR($CS447,N($BJ447)=0),"",TRIM(IF(ISNUMBER($BU447),"A "&amp;TRIM(TEXT($BU447-HeadClr,"# ?/??"))&amp;CHAR(34)&amp;"  ","")&amp;IF(ISNUMBER($BV447),"B "&amp;TRIM(TEXT($BV447-HeadClr,"# ?/??"))&amp;CHAR(34)&amp;"  ","")&amp;IF(ISNUMBER($BW447),"C "&amp;TRIM(TEXT($BW447-HeadClr,"# ?/??"))&amp;CHAR(34)&amp;"  ","")&amp;IF(ISNUMBER($BX447),"D "&amp;TRIM(TEXT($BX447-HeadClr,"# ?/??"))&amp;CHAR(34)&amp;"  ","")&amp;IF(ISNUMBER($BY447),"F "&amp;TRIM(TEXT($BY447-HeadClr,"# ?/??"))&amp;CHAR(34)&amp;"  ","")&amp;IF(ISNUMBER($BZ447),"E "&amp;TRIM(TEXT($BZ447-HeadClr,"# ?/??"))&amp;CHAR(34)&amp;"  ","")))</f>
        <v/>
      </c>
      <c r="DA447" s="84">
        <f>IF($A447="","",IF($AN447="",IFERROR(VLOOKUP($Z447,CODES,2,FALSE),""),IFERROR(VLOOKUP($AN447,CODES,2,FALSE),"")))</f>
        <v/>
      </c>
      <c r="DB447" s="84">
        <f>IF($A447="","",IF($O447="Y","PR",IF(OR($Z447="L",$Z447="RR",LEFT($Z447,2)="L-",LEFT($Z447,3)="RR-"),"LH","RH")))</f>
        <v/>
      </c>
      <c r="DC447" s="84">
        <f>IF($A447="","","S.HM"&amp;IF(OR($C447="DOOR ONLY",$X447&lt;&gt;"KD"),"MASONRY","DRYWALL")&amp;IF($C447="DOOR ONLY","",$U447)&amp;IF(AND($C447&lt;&gt;"FRAME ONLY",OR(LEFT($AH447,3)="OAK",LEFT($AH447,3)="BIR",LEFT($AH447,3)="MAP",$AH447="PC",$AH447="MC",$AH447="SCLC",$AH447="P-LAM")),"WD","HM")&amp;"1.75")</f>
        <v/>
      </c>
      <c r="DD447" s="84">
        <f>IF($CJ447="","",IF($O447="Y",$CJ447,SUBSTITUTE($CJ447,$BG447&amp;" "&amp;IFERROR(VLOOKUP($Z447,CODES,2,FALSE),"")&amp;" ",$BG447&amp;" ")))</f>
        <v/>
      </c>
      <c r="DE447" s="84">
        <f>IF($CK447="","",IF($O447="Y",$CK447,SUBSTITUTE($CK447,$BG447&amp;" "&amp;IF($AN447="",IFERROR(VLOOKUP($Z447,CODES,2,FALSE),""),IFERROR(VLOOKUP($AN447,CODES,2,FALSE),""))&amp;" ",$BG447&amp;" ")))</f>
        <v/>
      </c>
      <c r="DF447" s="84">
        <f>IF($CJ447="","",$DC447&amp;"|"&amp;$DD447&amp;"|"&amp;$DB447&amp;"|"&amp;$AT447&amp;"|"&amp;$V447&amp;"|"&amp;$Y447&amp;"|"&amp;$AB447)</f>
        <v/>
      </c>
      <c r="DG447" s="84">
        <f>IF(DF447="","",IF(COUNTIF($DF$6:DF447,DF447)=1,MAX($DG$5:DG446)+1,INDEX($DG$5:DG446,MATCH(DF447,$DF$5:DF446,0))))</f>
        <v/>
      </c>
      <c r="DH447" s="84">
        <f>IF($CK447="","",$DC447&amp;"|"&amp;$DE447&amp;"|"&amp;$AI447&amp;"|"&amp;$BK447&amp;"|"&amp;$BL447)</f>
        <v/>
      </c>
      <c r="DI447" s="84">
        <f>IF(DH447="","",IF(COUNTIF($DH$6:DH447,DH447)=1,MAX($DI$5:DI446)+1,INDEX($DI$5:DI446,MATCH(DH447,$DH$5:DH446,0))))</f>
        <v/>
      </c>
      <c r="DJ447" s="84">
        <f>IF($A447="","",IF($B447="","qty, ","")&amp;IF($C447="","scope, ","")&amp;IF(OR($K447="",$M447=""),"size, ","")&amp;IF(AND($A447&lt;&gt;"",$C447&lt;&gt;"DOOR ONLY"),IF($U447="","jamb depth, ","")&amp;IF($X447="","construction, ","")&amp;IF($Y447="","anchor, ","")&amp;IF($S447="","frame type, ",""),"")&amp;IF(AND(N($BJ447)&gt;0,$Z447=""),"hand, ","")&amp;IF(N($BJ447)&gt;0,IF($AH447="","door material, ","")&amp;IF($AL447="","face type, ","")&amp;IF($AP447="","lock prep, ","")&amp;IF(AND($AO447="",$AC447=""),"hinge prep, ",""),"")&amp;IF(AND($CH447&gt;0,$AH447="FRP"),"FRP cannot carry a label, ","")&amp;IF(AND($O447="Y",OR($Z447="L",$Z447="R",$Z447="LR",$Z447="RR")),"pair marked but hand is single, ","")&amp;IF(AND($O447&lt;&gt;"Y",OR($Z447="PR",AND(LEN($Z447)&gt;1,ISNUMBER(SEARCH("-",$Z447))))),"pair hand on a single door, ","")&amp;IF(AND(ISNUMBER($CI447),$CH447&lt;N($CI447)),"wall needs a "&amp;$CI447&amp;" min door, ","")&amp;IF(AND($CH447&gt;=180,AND(OR($CE447="FG",$CE447="HG",$CE447="FNV",$CE447="FV"),N($CF447)*N($CG447)&gt;100)),"180 min lite over 100 sq in, ","")&amp;IF(N($BK447)&gt;48,"leaf wider than 4'-0"&amp;CHAR(34)&amp;", ","")&amp;IF(AND($CT447,COUNT($AW447:$AZ447)=0,$CQ447&gt;0),"CUSTOM LOC with no locations typed, ",""))</f>
        <v/>
      </c>
      <c r="DK447" s="84">
        <f>IF($A447="","",IF(AND($CH447&gt;0,AND($A447&lt;&gt;"",$C447&lt;&gt;"DOOR ONLY"),$X447="KD",$E447="EXTERIOR"),"KD label on an exterior opening, ","")&amp;IF(AND($E447="EXTERIOR",OR(AND(AND($A447&lt;&gt;"",$C447&lt;&gt;"DOOR ONLY"),$W447="CR"),AND(N($BJ447)&gt;0,$AH447="CR"))),"exterior in CR steel (G9?), ","")&amp;IF(AND(ISNUMBER($BQ447),N($BQ447)&lt;32),"clear width ~"&amp;TEXT($BQ447,"0.0")&amp;CHAR(34)&amp;" under 32"&amp;CHAR(34)&amp;" (ADA), ","")&amp;IF(AND($CH447=90,AND(OR($CE447="FG",$CE447="HG",$CE447="FNV",$CE447="FV"),N($CF447)*N($CG447)&gt;100)),"90 min lite over 100 sq in (stair/exit), ","")&amp;IF(AND($CH447&gt;0,AND($A447&lt;&gt;"",$C447&lt;&gt;"DOOR ONLY"),OR($AF447="",$AF447="-")),"rated: closer reinf.?, ","")&amp;IF(OR($I447="CORRIDOR",$I447="SMOKE BARRIER"),"S label + smoke gasketing, ","")&amp;IF($CI447="?","wall type/hr not in IBC table, ","")&amp;IF(AND(N($BJ447)&gt;0,$BB447=""),"no hardware set, ","")&amp;IF(AND($BB447&lt;&gt;"",ISNA(MATCH($BB447&amp;"",HWSets,0))),"set "&amp;$BB447&amp;" not on HW Sets, ","")&amp;IF(N($BL447)&gt;96,"leaf over 8'-0"&amp;CHAR(34)&amp;" - check listing, ","")&amp;IF(AND($CT447,COUNT($AW447:$AZ447)&gt;0,COUNT($AW447:$AZ447)&lt;&gt;$CQ447),COUNT($AW447:$AZ447)&amp;" custom hinges typed, "&amp;$CQ447&amp;" expected, ","")&amp;IF(AND(ISNUMBER($CA447),OR(N($CA447)&lt;34,N($CA447)&gt;48)),"lock "&amp;TEXT($CA447,"0.0")&amp;CHAR(34)&amp;" AFF outside 34-48"&amp;CHAR(34)&amp;" (ADA), ","")&amp;IF(AND(ISNUMBER($AV447),ISNUMBER($BL447),N($AV447)&lt;IF(N($BL447)&lt;=60,2,IF(N($BL447)&lt;=90,3,IF(N($BL447)&lt;=120,4,5)))),"fewer hinges than standard, ",""))</f>
        <v/>
      </c>
    </row>
    <row r="448" ht="15" customHeight="1">
      <c r="A448" s="77" t="n"/>
      <c r="B448" s="78" t="n"/>
      <c r="C448" s="78" t="n"/>
      <c r="D448" s="78" t="n"/>
      <c r="E448" s="78" t="n"/>
      <c r="F448" s="78" t="n"/>
      <c r="G448" s="78" t="n"/>
      <c r="H448" s="78" t="n"/>
      <c r="I448" s="78" t="n"/>
      <c r="J448" s="78" t="n"/>
      <c r="K448" s="78" t="n"/>
      <c r="L448" s="78" t="n"/>
      <c r="M448" s="78" t="n"/>
      <c r="N448" s="78" t="n"/>
      <c r="O448" s="78" t="n"/>
      <c r="P448" s="78" t="n"/>
      <c r="Q448" s="78" t="n"/>
      <c r="R448" s="78" t="n"/>
      <c r="S448" s="79" t="n"/>
      <c r="T448" s="79" t="n"/>
      <c r="U448" s="79" t="n"/>
      <c r="V448" s="79" t="n"/>
      <c r="W448" s="79" t="n"/>
      <c r="X448" s="79" t="n"/>
      <c r="Y448" s="79" t="n"/>
      <c r="Z448" s="79" t="n"/>
      <c r="AA448" s="79" t="n"/>
      <c r="AB448" s="79" t="n"/>
      <c r="AC448" s="79" t="n"/>
      <c r="AD448" s="79" t="n"/>
      <c r="AE448" s="79" t="n"/>
      <c r="AF448" s="79" t="n"/>
      <c r="AG448" s="79" t="n"/>
      <c r="AH448" s="80" t="n"/>
      <c r="AI448" s="80" t="n"/>
      <c r="AJ448" s="80" t="n"/>
      <c r="AK448" s="80" t="n"/>
      <c r="AL448" s="80" t="n"/>
      <c r="AM448" s="80" t="n"/>
      <c r="AN448" s="80" t="n"/>
      <c r="AO448" s="80" t="n"/>
      <c r="AP448" s="80" t="n"/>
      <c r="AQ448" s="80" t="n"/>
      <c r="AR448" s="80" t="n"/>
      <c r="AS448" s="80" t="n"/>
      <c r="AT448" s="81" t="n"/>
      <c r="AU448" s="81" t="n"/>
      <c r="AV448" s="81" t="n"/>
      <c r="AW448" s="82" t="n"/>
      <c r="AX448" s="82" t="n"/>
      <c r="AY448" s="82" t="n"/>
      <c r="AZ448" s="82" t="n"/>
      <c r="BA448" s="82" t="n"/>
      <c r="BB448" s="83" t="n"/>
      <c r="BC448" s="83" t="n"/>
      <c r="BD448" s="84">
        <f>IF($A448="","",IF($DJ448&lt;&gt;"","FIX",IF($DK448&lt;&gt;"","CHECK","OK")))</f>
        <v/>
      </c>
      <c r="BE448" s="85">
        <f>IF($A448="","",IF($DJ448&lt;&gt;"","FIX: "&amp;LEFT($DJ448,LEN($DJ448)-2)&amp;IF($DK448&lt;&gt;"","  ·  ",""),"")&amp;IF($DK448&lt;&gt;"","CHECK: "&amp;LEFT($DK448,LEN($DK448)-2),""))</f>
        <v/>
      </c>
      <c r="BF448" s="84">
        <f>IF(OR($A448="",$K448=""),"",$K448&amp;"'-"&amp;N($L448)&amp;CHAR(34)&amp;" x "&amp;$M448&amp;"'-"&amp;N($N448)&amp;CHAR(34))</f>
        <v/>
      </c>
      <c r="BG448" s="84">
        <f>IF(OR($A448="",$K448=""),"",$K448&amp;N($L448)&amp;$M448&amp;N($N448))</f>
        <v/>
      </c>
      <c r="BH448" s="84">
        <f>IF(OR($A448="",$K448=""),"",$K448*12+N($L448))</f>
        <v/>
      </c>
      <c r="BI448" s="84">
        <f>IF(OR($A448="",$M448=""),"",$M448*12+N($N448))</f>
        <v/>
      </c>
      <c r="BJ448" s="84">
        <f>IF($A448="","",IF(OR($C448="FRAME ONLY",$S448="BL"),0,IF($O448="Y",2,1)))</f>
        <v/>
      </c>
      <c r="BK448" s="86">
        <f>IF(OR(N($BJ448)=0,$BH448=""),"",($BH448-2*EdgeClr-IF($BJ448=2,MeetClr,0))/$BJ448)</f>
        <v/>
      </c>
      <c r="BL448" s="86">
        <f>IF(OR(N($BJ448)=0,$BI448=""),"",$BI448-HeadClr-Undercut)</f>
        <v/>
      </c>
      <c r="BM448" s="86">
        <f>IF($BH448="","",$BH448+2*FaceW+IF(N($Q448)&gt;0,($Q448+FaceW)*IF($R448="LR",2,1),0))</f>
        <v/>
      </c>
      <c r="BN448" s="86">
        <f>IF($BI448="","",$BI448+IF($AB448="Y",4,FaceW)+IF(N($P448)&gt;0,$P448+FaceW,0)+IF(OR($S448="4F",$S448="BL"),FaceW,0))</f>
        <v/>
      </c>
      <c r="BO448" s="86">
        <f>IF($BM448="","",$BM448+2*ROSide)</f>
        <v/>
      </c>
      <c r="BP448" s="86">
        <f>IF($BN448="","",$BN448+ROTop)</f>
        <v/>
      </c>
      <c r="BQ448" s="87">
        <f>IF(OR(N($BJ448)=0,$BH448=""),"",$BH448/$BJ448-ClearDeduct)</f>
        <v/>
      </c>
      <c r="BR448" s="84">
        <f>IF(N($CH448)=0,"",IF($CH448&gt;=180,"A · 3 HR",IF($CH448&gt;=90,"B · 1-1/2 HR",IF($CH448&gt;=60,"B · 1 HR",IF($CH448&gt;=45,"C · 3/4 HR","20 MIN")))))&amp;IF(AND(N($CH448)&gt;0,OR($I448="CORRIDOR",$I448="SMOKE BARRIER"))," · S","")</f>
        <v/>
      </c>
      <c r="BS448" s="84">
        <f>IF($CS448,"",IF($AV448&lt;&gt;"",$AV448,IF(OR($AC448="HGC",$AO448="HGC"),"CONT",IF(($BI448-HeadClr-Undercut)&lt;=60,2,IF(($BI448-HeadClr-Undercut)&lt;=90,3,IF(($BI448-HeadClr-Undercut)&lt;=120,4,5))))))</f>
        <v/>
      </c>
      <c r="BT448" s="84">
        <f>IF($CS448,"",IF($CT448,"CUSTOM (typed)",IF($CV448,$AT448&amp;" "&amp;$CU448&amp;CHAR(34)&amp;IF($CU448&lt;&gt;$BI448,IF(AND($BI448&lt;$CU448,$BI448-IF(N(VLOOKUP($AT448&amp;"|"&amp;$CU448,LocTable,7,FALSE))&gt;0,VLOOKUP($AT448&amp;"|"&amp;$CU448,LocTable,7,FALSE),VLOOKUP($AT448&amp;"|"&amp;$CU448,LocTable,6,FALSE))-$CR448-0.75&gt;=2.125)," cut down"," adj."),""),"ANSI/SDI A250.6")))</f>
        <v/>
      </c>
      <c r="BU448" s="88">
        <f>IF($CS448,"",IF($CT448,IF(N($AW448)&gt;0,N($AW448),""),IF(1&gt;$CQ448,"",IF($CQ448=1,$CW448,$CW448+($CX448-$CW448)*0/($CQ448-1)))))</f>
        <v/>
      </c>
      <c r="BV448" s="88">
        <f>IF($CS448,"",IF($CT448,IF(N($AX448)&gt;0,N($AX448),""),IF(2&gt;$CQ448,"",IF($CQ448=1,$CW448,$CW448+($CX448-$CW448)*1/($CQ448-1)))))</f>
        <v/>
      </c>
      <c r="BW448" s="88">
        <f>IF($CS448,"",IF($CT448,IF(N($AY448)&gt;0,N($AY448),""),IF(3&gt;$CQ448,"",IF($CQ448=1,$CW448,$CW448+($CX448-$CW448)*2/($CQ448-1)))))</f>
        <v/>
      </c>
      <c r="BX448" s="88">
        <f>IF($CS448,"",IF($CT448,IF(N($AZ448)&gt;0,N($AZ448),""),IF(4&gt;$CQ448,"",IF($CQ448=1,$CW448,$CW448+($CX448-$CW448)*3/($CQ448-1)))))</f>
        <v/>
      </c>
      <c r="BY448" s="88">
        <f>IF($CS448,"",IF($CT448,"",IF(5&gt;$CQ448,"",IF($CQ448=1,$CW448,$CW448+($CX448-$CW448)*4/($CQ448-1)))))</f>
        <v/>
      </c>
      <c r="BZ448" s="88">
        <f>IF(OR($CS448,$AP448="-",AND($AP448="",$AD448="")),"",IF(N($BA448)&gt;0,N($BA448),IF($CV448,IF(AND($BI448&lt;$CU448,$BI448-IF(N(VLOOKUP($AT448&amp;"|"&amp;$CU448,LocTable,7,FALSE))&gt;0,VLOOKUP($AT448&amp;"|"&amp;$CU448,LocTable,7,FALSE),VLOOKUP($AT448&amp;"|"&amp;$CU448,LocTable,6,FALSE))-$CR448-0.75&gt;=2.125),VLOOKUP($AT448&amp;"|"&amp;$CU448,LocTable,8,FALSE),VLOOKUP($AT448&amp;"|"&amp;$CU448,LocTable,8,FALSE)+($BI448-$CU448)),$BI448-LockAFF)))</f>
        <v/>
      </c>
      <c r="CA448" s="89">
        <f>IF($BZ448="","",$BI448-$BZ448)</f>
        <v/>
      </c>
      <c r="CB448" s="84">
        <f>IF(OR(NOT(AND($A448&lt;&gt;"",$C448&lt;&gt;"DOOR ONLY")),$BI448=""),"",IF(($BI448+IF(N($P448)&gt;0,$P448+FaceW,0))&lt;=90,3,IF(($BI448+IF(N($P448)&gt;0,$P448+FaceW,0))&lt;=114,4,5)))</f>
        <v/>
      </c>
      <c r="CC448" s="84">
        <f>IF($CB448="","",$CB448*(2+IF(N($Q448)&gt;0,IF($R448="LR",2,1),0)))</f>
        <v/>
      </c>
      <c r="CD448" s="84">
        <f>IF($CB448="","",(2+IF(N($Q448)&gt;0,IF($R448="LR",2,1),0)))</f>
        <v/>
      </c>
      <c r="CE448" s="84">
        <f>IF(N($BJ448)=0,"",IF(OR($AL448="",$AL448="FLUSH"),"FLUSH",IFERROR(LEFT($AL448,FIND("-",$AL448)-1),LEFT($AL448,2))))</f>
        <v/>
      </c>
      <c r="CF448" s="84">
        <f>IF($CE448="","",IFERROR(VALUE(MID($AL448,FIND("-",$AL448)+1,FIND(CHAR(34)&amp;"x",$AL448)-FIND("-",$AL448)-1)),0))</f>
        <v/>
      </c>
      <c r="CG448" s="84">
        <f>IF($CE448="","",IFERROR(VALUE(MID($AL448,FIND(CHAR(34)&amp;"x",$AL448)+2,FIND(CHAR(34),$AL448,FIND(CHAR(34)&amp;"x",$AL448)+2)-FIND(CHAR(34)&amp;"x",$AL448)-2)),0))</f>
        <v/>
      </c>
      <c r="CH448" s="90">
        <f>IF(OR($A448="",$H448="",$H448="NO LAB"),0,IFERROR(VALUE(LEFT($H448,FIND(" ",$H448)-1)),0))</f>
        <v/>
      </c>
      <c r="CI448" s="91">
        <f>IF(OR($A448="",$I448="",$I448="NON-RATED",N($J448)=0),"",IFERROR(VLOOKUP($I448&amp;"|"&amp;$J448,IBC,2,FALSE),"?"))</f>
        <v/>
      </c>
      <c r="CJ448" s="85">
        <f>IF(NOT(AND($A448&lt;&gt;"",$C448&lt;&gt;"DOOR ONLY")),"",TRIM(IFERROR(VLOOKUP($U448,CODES,2,FALSE),"")&amp;" "&amp;$BG448&amp;" "&amp;IFERROR(VLOOKUP($Z448,CODES,2,FALSE),"")&amp;" "&amp;IFERROR(VLOOKUP($X448,CODES,2,FALSE),"")&amp;" "&amp;IFERROR(VLOOKUP($S448,CODES,2,FALSE),"")&amp;IF(N($P448)&gt;0," w/TRANSOM "&amp;$P448&amp;CHAR(34),"")&amp;IF(N($Q448)&gt;0," w/SIDELITE "&amp;$Q448&amp;CHAR(34)&amp;" "&amp;IF($R448="","R",$R448),"")&amp;IF($Y448="","  |  "," | "&amp;IFERROR(VLOOKUP($Y448,CODES,2,FALSE),"")&amp;" | ")&amp;IFERROR(VLOOKUP($AC448,CODES,2,FALSE),"")&amp;" "&amp;IFERROR(VLOOKUP($AD448,CODES,2,FALSE),"")&amp;IF(OR($AE448="",$AE448="-"),""," "&amp;$AE448)&amp;IF(OR($AF448="",$AF448="-"),""," "&amp;$AF448)&amp;IF($AB448="Y"," 4"&amp;CHAR(34)&amp;" HEAD","")&amp;" "&amp;IFERROR(VLOOKUP($H448,CODES,2,FALSE),"")&amp;IF($CT448," | LOC "&amp;$CY448,"")))</f>
        <v/>
      </c>
      <c r="CK448" s="85">
        <f>IF(NOT(AND($A448&lt;&gt;"",N($BJ448)&gt;0)),"",TRIM(IFERROR(VLOOKUP($AH448,CODES,2,FALSE),"")&amp;IF($AI448=""," "," "&amp;$AI448&amp;"GA ")&amp;$BG448&amp;" "&amp;IF($AN448="",IFERROR(VLOOKUP($Z448,CODES,2,FALSE),""),IFERROR(VLOOKUP($AN448,CODES,2,FALSE),""))&amp;IF($BJ448=2," PAIR","")&amp;" DOOR | "&amp;IF($AL448="","?",$AL448)&amp;" | "&amp;IF($AO448="",IFERROR(VLOOKUP($AC448,CODES,2,FALSE),""),IFERROR(VLOOKUP($AO448,CODES,2,FALSE),""))&amp;" "&amp;IFERROR(VLOOKUP($AP448,CODES,2,FALSE),"")&amp;IF(OR($AQ448="",$AQ448="-"),""," SEAM "&amp;$AQ448)&amp;IF($AR448="Y"," ASTRAGAL","")&amp;IF($AJ448=""," "," "&amp;$AJ448)&amp;IF($AK448=""," "," "&amp;$AK448)&amp;IF(OR($AT448="",$AT448="ANSI/SDI",$AT448="CUSTOM LOC"),""," "&amp;$AT448)&amp;IF($AM448=""," "," SERIES "&amp;$AM448)&amp;" "&amp;IFERROR(VLOOKUP($H448,CODES,2,FALSE),"")&amp;IF($CT448," | LOC "&amp;$CZ448,"")))</f>
        <v/>
      </c>
      <c r="CL448" s="84">
        <f>IF(CP448="","",IF(COUNTIF($CP$6:CP448,CP448)=1,MAX($CL$5:CL447)+1,INDEX($CL$5:CL447,MATCH(CP448,$CP$5:CP447,0))))</f>
        <v/>
      </c>
      <c r="CM448" s="84">
        <f>IF(NOT(AND($A448&lt;&gt;"",$C448&lt;&gt;"DOOR ONLY")),"",MAX($CM$5:CM447)+1)</f>
        <v/>
      </c>
      <c r="CN448" s="84">
        <f>IF(NOT(AND($A448&lt;&gt;"",N($BJ448)&gt;0)),"",MAX($CN$5:CN447)+1)</f>
        <v/>
      </c>
      <c r="CO448" s="84">
        <f>IF($A448="","",MAX($CO$5:CO447)+1)</f>
        <v/>
      </c>
      <c r="CP448" s="84">
        <f>IF(OR($A448="",$BH448="",$BI448=""),"",$BG448&amp;"|"&amp;$O448&amp;"|"&amp;$AL448&amp;"|"&amp;$S448&amp;"|"&amp;$P448&amp;"|"&amp;$Q448&amp;$R448&amp;"|"&amp;$C448&amp;"|"&amp;$AB448)</f>
        <v/>
      </c>
      <c r="CQ448" s="84">
        <f>N($BS448)</f>
        <v/>
      </c>
      <c r="CR448" s="84">
        <f>IF(N($AU448)&gt;0,N($AU448),4.5)</f>
        <v/>
      </c>
      <c r="CS448" s="84">
        <f>OR($A448="",$BI448="",$S448="BL",AND($C448="FRAME ONLY",OR($AC448="",$AC448="BLK")))</f>
        <v/>
      </c>
      <c r="CT448" s="84">
        <f>AND(NOT($CS448),OR($AT448="CUSTOM LOC",N($AW448)+N($AX448)+N($AY448)+N($AZ448)+N($BA448)&gt;0))</f>
        <v/>
      </c>
      <c r="CU448" s="84">
        <f>IF($BI448="","",IF($BI448&lt;=80,80,IF($BI448&lt;=84,84,96)))</f>
        <v/>
      </c>
      <c r="CV448" s="84">
        <f>ISNUMBER(MATCH($AT448&amp;"|80",LocKeys,0))</f>
        <v/>
      </c>
      <c r="CW448" s="86">
        <f>IF($CS448,"",IF($CV448,VLOOKUP($AT448&amp;"|"&amp;$CU448,LocTable,4,FALSE),5))</f>
        <v/>
      </c>
      <c r="CX448" s="86">
        <f>IF($CS448,"",IF($CV448,IF(OR($BI448=$CU448,AND($BI448&lt;$CU448,$BI448-IF(N(VLOOKUP($AT448&amp;"|"&amp;$CU448,LocTable,7,FALSE))&gt;0,VLOOKUP($AT448&amp;"|"&amp;$CU448,LocTable,7,FALSE),VLOOKUP($AT448&amp;"|"&amp;$CU448,LocTable,6,FALSE))-$CR448-0.75&gt;=2.125)),IF(N(VLOOKUP($AT448&amp;"|"&amp;$CU448,LocTable,7,FALSE))&gt;0,VLOOKUP($AT448&amp;"|"&amp;$CU448,LocTable,7,FALSE),VLOOKUP($AT448&amp;"|"&amp;$CU448,LocTable,6,FALSE)),$BI448-($CU448-IF(N(VLOOKUP($AT448&amp;"|"&amp;$CU448,LocTable,7,FALSE))&gt;0,VLOOKUP($AT448&amp;"|"&amp;$CU448,LocTable,7,FALSE),VLOOKUP($AT448&amp;"|"&amp;$CU448,LocTable,6,FALSE)))),$BI448-10-$CR448))</f>
        <v/>
      </c>
      <c r="CY448" s="85">
        <f>IF($CS448,"",TRIM(IF(ISNUMBER($BU448),"A "&amp;TRIM(TEXT($BU448,"# ?/??"))&amp;CHAR(34)&amp;"  ","")&amp;IF(ISNUMBER($BV448),"B "&amp;TRIM(TEXT($BV448,"# ?/??"))&amp;CHAR(34)&amp;"  ","")&amp;IF(ISNUMBER($BW448),"C "&amp;TRIM(TEXT($BW448,"# ?/??"))&amp;CHAR(34)&amp;"  ","")&amp;IF(ISNUMBER($BX448),"D "&amp;TRIM(TEXT($BX448,"# ?/??"))&amp;CHAR(34)&amp;"  ","")&amp;IF(ISNUMBER($BY448),"F "&amp;TRIM(TEXT($BY448,"# ?/??"))&amp;CHAR(34)&amp;"  ","")&amp;IF(ISNUMBER($BZ448),"E "&amp;TRIM(TEXT($BZ448,"# ?/??"))&amp;CHAR(34)&amp;"  ","")))</f>
        <v/>
      </c>
      <c r="CZ448" s="85">
        <f>IF(OR($CS448,N($BJ448)=0),"",TRIM(IF(ISNUMBER($BU448),"A "&amp;TRIM(TEXT($BU448-HeadClr,"# ?/??"))&amp;CHAR(34)&amp;"  ","")&amp;IF(ISNUMBER($BV448),"B "&amp;TRIM(TEXT($BV448-HeadClr,"# ?/??"))&amp;CHAR(34)&amp;"  ","")&amp;IF(ISNUMBER($BW448),"C "&amp;TRIM(TEXT($BW448-HeadClr,"# ?/??"))&amp;CHAR(34)&amp;"  ","")&amp;IF(ISNUMBER($BX448),"D "&amp;TRIM(TEXT($BX448-HeadClr,"# ?/??"))&amp;CHAR(34)&amp;"  ","")&amp;IF(ISNUMBER($BY448),"F "&amp;TRIM(TEXT($BY448-HeadClr,"# ?/??"))&amp;CHAR(34)&amp;"  ","")&amp;IF(ISNUMBER($BZ448),"E "&amp;TRIM(TEXT($BZ448-HeadClr,"# ?/??"))&amp;CHAR(34)&amp;"  ","")))</f>
        <v/>
      </c>
      <c r="DA448" s="84">
        <f>IF($A448="","",IF($AN448="",IFERROR(VLOOKUP($Z448,CODES,2,FALSE),""),IFERROR(VLOOKUP($AN448,CODES,2,FALSE),"")))</f>
        <v/>
      </c>
      <c r="DB448" s="84">
        <f>IF($A448="","",IF($O448="Y","PR",IF(OR($Z448="L",$Z448="RR",LEFT($Z448,2)="L-",LEFT($Z448,3)="RR-"),"LH","RH")))</f>
        <v/>
      </c>
      <c r="DC448" s="84">
        <f>IF($A448="","","S.HM"&amp;IF(OR($C448="DOOR ONLY",$X448&lt;&gt;"KD"),"MASONRY","DRYWALL")&amp;IF($C448="DOOR ONLY","",$U448)&amp;IF(AND($C448&lt;&gt;"FRAME ONLY",OR(LEFT($AH448,3)="OAK",LEFT($AH448,3)="BIR",LEFT($AH448,3)="MAP",$AH448="PC",$AH448="MC",$AH448="SCLC",$AH448="P-LAM")),"WD","HM")&amp;"1.75")</f>
        <v/>
      </c>
      <c r="DD448" s="84">
        <f>IF($CJ448="","",IF($O448="Y",$CJ448,SUBSTITUTE($CJ448,$BG448&amp;" "&amp;IFERROR(VLOOKUP($Z448,CODES,2,FALSE),"")&amp;" ",$BG448&amp;" ")))</f>
        <v/>
      </c>
      <c r="DE448" s="84">
        <f>IF($CK448="","",IF($O448="Y",$CK448,SUBSTITUTE($CK448,$BG448&amp;" "&amp;IF($AN448="",IFERROR(VLOOKUP($Z448,CODES,2,FALSE),""),IFERROR(VLOOKUP($AN448,CODES,2,FALSE),""))&amp;" ",$BG448&amp;" ")))</f>
        <v/>
      </c>
      <c r="DF448" s="84">
        <f>IF($CJ448="","",$DC448&amp;"|"&amp;$DD448&amp;"|"&amp;$DB448&amp;"|"&amp;$AT448&amp;"|"&amp;$V448&amp;"|"&amp;$Y448&amp;"|"&amp;$AB448)</f>
        <v/>
      </c>
      <c r="DG448" s="84">
        <f>IF(DF448="","",IF(COUNTIF($DF$6:DF448,DF448)=1,MAX($DG$5:DG447)+1,INDEX($DG$5:DG447,MATCH(DF448,$DF$5:DF447,0))))</f>
        <v/>
      </c>
      <c r="DH448" s="84">
        <f>IF($CK448="","",$DC448&amp;"|"&amp;$DE448&amp;"|"&amp;$AI448&amp;"|"&amp;$BK448&amp;"|"&amp;$BL448)</f>
        <v/>
      </c>
      <c r="DI448" s="84">
        <f>IF(DH448="","",IF(COUNTIF($DH$6:DH448,DH448)=1,MAX($DI$5:DI447)+1,INDEX($DI$5:DI447,MATCH(DH448,$DH$5:DH447,0))))</f>
        <v/>
      </c>
      <c r="DJ448" s="84">
        <f>IF($A448="","",IF($B448="","qty, ","")&amp;IF($C448="","scope, ","")&amp;IF(OR($K448="",$M448=""),"size, ","")&amp;IF(AND($A448&lt;&gt;"",$C448&lt;&gt;"DOOR ONLY"),IF($U448="","jamb depth, ","")&amp;IF($X448="","construction, ","")&amp;IF($Y448="","anchor, ","")&amp;IF($S448="","frame type, ",""),"")&amp;IF(AND(N($BJ448)&gt;0,$Z448=""),"hand, ","")&amp;IF(N($BJ448)&gt;0,IF($AH448="","door material, ","")&amp;IF($AL448="","face type, ","")&amp;IF($AP448="","lock prep, ","")&amp;IF(AND($AO448="",$AC448=""),"hinge prep, ",""),"")&amp;IF(AND($CH448&gt;0,$AH448="FRP"),"FRP cannot carry a label, ","")&amp;IF(AND($O448="Y",OR($Z448="L",$Z448="R",$Z448="LR",$Z448="RR")),"pair marked but hand is single, ","")&amp;IF(AND($O448&lt;&gt;"Y",OR($Z448="PR",AND(LEN($Z448)&gt;1,ISNUMBER(SEARCH("-",$Z448))))),"pair hand on a single door, ","")&amp;IF(AND(ISNUMBER($CI448),$CH448&lt;N($CI448)),"wall needs a "&amp;$CI448&amp;" min door, ","")&amp;IF(AND($CH448&gt;=180,AND(OR($CE448="FG",$CE448="HG",$CE448="FNV",$CE448="FV"),N($CF448)*N($CG448)&gt;100)),"180 min lite over 100 sq in, ","")&amp;IF(N($BK448)&gt;48,"leaf wider than 4'-0"&amp;CHAR(34)&amp;", ","")&amp;IF(AND($CT448,COUNT($AW448:$AZ448)=0,$CQ448&gt;0),"CUSTOM LOC with no locations typed, ",""))</f>
        <v/>
      </c>
      <c r="DK448" s="84">
        <f>IF($A448="","",IF(AND($CH448&gt;0,AND($A448&lt;&gt;"",$C448&lt;&gt;"DOOR ONLY"),$X448="KD",$E448="EXTERIOR"),"KD label on an exterior opening, ","")&amp;IF(AND($E448="EXTERIOR",OR(AND(AND($A448&lt;&gt;"",$C448&lt;&gt;"DOOR ONLY"),$W448="CR"),AND(N($BJ448)&gt;0,$AH448="CR"))),"exterior in CR steel (G9?), ","")&amp;IF(AND(ISNUMBER($BQ448),N($BQ448)&lt;32),"clear width ~"&amp;TEXT($BQ448,"0.0")&amp;CHAR(34)&amp;" under 32"&amp;CHAR(34)&amp;" (ADA), ","")&amp;IF(AND($CH448=90,AND(OR($CE448="FG",$CE448="HG",$CE448="FNV",$CE448="FV"),N($CF448)*N($CG448)&gt;100)),"90 min lite over 100 sq in (stair/exit), ","")&amp;IF(AND($CH448&gt;0,AND($A448&lt;&gt;"",$C448&lt;&gt;"DOOR ONLY"),OR($AF448="",$AF448="-")),"rated: closer reinf.?, ","")&amp;IF(OR($I448="CORRIDOR",$I448="SMOKE BARRIER"),"S label + smoke gasketing, ","")&amp;IF($CI448="?","wall type/hr not in IBC table, ","")&amp;IF(AND(N($BJ448)&gt;0,$BB448=""),"no hardware set, ","")&amp;IF(AND($BB448&lt;&gt;"",ISNA(MATCH($BB448&amp;"",HWSets,0))),"set "&amp;$BB448&amp;" not on HW Sets, ","")&amp;IF(N($BL448)&gt;96,"leaf over 8'-0"&amp;CHAR(34)&amp;" - check listing, ","")&amp;IF(AND($CT448,COUNT($AW448:$AZ448)&gt;0,COUNT($AW448:$AZ448)&lt;&gt;$CQ448),COUNT($AW448:$AZ448)&amp;" custom hinges typed, "&amp;$CQ448&amp;" expected, ","")&amp;IF(AND(ISNUMBER($CA448),OR(N($CA448)&lt;34,N($CA448)&gt;48)),"lock "&amp;TEXT($CA448,"0.0")&amp;CHAR(34)&amp;" AFF outside 34-48"&amp;CHAR(34)&amp;" (ADA), ","")&amp;IF(AND(ISNUMBER($AV448),ISNUMBER($BL448),N($AV448)&lt;IF(N($BL448)&lt;=60,2,IF(N($BL448)&lt;=90,3,IF(N($BL448)&lt;=120,4,5)))),"fewer hinges than standard, ",""))</f>
        <v/>
      </c>
    </row>
    <row r="449" ht="15" customHeight="1">
      <c r="A449" s="77" t="n"/>
      <c r="B449" s="78" t="n"/>
      <c r="C449" s="78" t="n"/>
      <c r="D449" s="78" t="n"/>
      <c r="E449" s="78" t="n"/>
      <c r="F449" s="78" t="n"/>
      <c r="G449" s="78" t="n"/>
      <c r="H449" s="78" t="n"/>
      <c r="I449" s="78" t="n"/>
      <c r="J449" s="78" t="n"/>
      <c r="K449" s="78" t="n"/>
      <c r="L449" s="78" t="n"/>
      <c r="M449" s="78" t="n"/>
      <c r="N449" s="78" t="n"/>
      <c r="O449" s="78" t="n"/>
      <c r="P449" s="78" t="n"/>
      <c r="Q449" s="78" t="n"/>
      <c r="R449" s="78" t="n"/>
      <c r="S449" s="79" t="n"/>
      <c r="T449" s="79" t="n"/>
      <c r="U449" s="79" t="n"/>
      <c r="V449" s="79" t="n"/>
      <c r="W449" s="79" t="n"/>
      <c r="X449" s="79" t="n"/>
      <c r="Y449" s="79" t="n"/>
      <c r="Z449" s="79" t="n"/>
      <c r="AA449" s="79" t="n"/>
      <c r="AB449" s="79" t="n"/>
      <c r="AC449" s="79" t="n"/>
      <c r="AD449" s="79" t="n"/>
      <c r="AE449" s="79" t="n"/>
      <c r="AF449" s="79" t="n"/>
      <c r="AG449" s="79" t="n"/>
      <c r="AH449" s="80" t="n"/>
      <c r="AI449" s="80" t="n"/>
      <c r="AJ449" s="80" t="n"/>
      <c r="AK449" s="80" t="n"/>
      <c r="AL449" s="80" t="n"/>
      <c r="AM449" s="80" t="n"/>
      <c r="AN449" s="80" t="n"/>
      <c r="AO449" s="80" t="n"/>
      <c r="AP449" s="80" t="n"/>
      <c r="AQ449" s="80" t="n"/>
      <c r="AR449" s="80" t="n"/>
      <c r="AS449" s="80" t="n"/>
      <c r="AT449" s="81" t="n"/>
      <c r="AU449" s="81" t="n"/>
      <c r="AV449" s="81" t="n"/>
      <c r="AW449" s="82" t="n"/>
      <c r="AX449" s="82" t="n"/>
      <c r="AY449" s="82" t="n"/>
      <c r="AZ449" s="82" t="n"/>
      <c r="BA449" s="82" t="n"/>
      <c r="BB449" s="83" t="n"/>
      <c r="BC449" s="83" t="n"/>
      <c r="BD449" s="84">
        <f>IF($A449="","",IF($DJ449&lt;&gt;"","FIX",IF($DK449&lt;&gt;"","CHECK","OK")))</f>
        <v/>
      </c>
      <c r="BE449" s="85">
        <f>IF($A449="","",IF($DJ449&lt;&gt;"","FIX: "&amp;LEFT($DJ449,LEN($DJ449)-2)&amp;IF($DK449&lt;&gt;"","  ·  ",""),"")&amp;IF($DK449&lt;&gt;"","CHECK: "&amp;LEFT($DK449,LEN($DK449)-2),""))</f>
        <v/>
      </c>
      <c r="BF449" s="84">
        <f>IF(OR($A449="",$K449=""),"",$K449&amp;"'-"&amp;N($L449)&amp;CHAR(34)&amp;" x "&amp;$M449&amp;"'-"&amp;N($N449)&amp;CHAR(34))</f>
        <v/>
      </c>
      <c r="BG449" s="84">
        <f>IF(OR($A449="",$K449=""),"",$K449&amp;N($L449)&amp;$M449&amp;N($N449))</f>
        <v/>
      </c>
      <c r="BH449" s="84">
        <f>IF(OR($A449="",$K449=""),"",$K449*12+N($L449))</f>
        <v/>
      </c>
      <c r="BI449" s="84">
        <f>IF(OR($A449="",$M449=""),"",$M449*12+N($N449))</f>
        <v/>
      </c>
      <c r="BJ449" s="84">
        <f>IF($A449="","",IF(OR($C449="FRAME ONLY",$S449="BL"),0,IF($O449="Y",2,1)))</f>
        <v/>
      </c>
      <c r="BK449" s="86">
        <f>IF(OR(N($BJ449)=0,$BH449=""),"",($BH449-2*EdgeClr-IF($BJ449=2,MeetClr,0))/$BJ449)</f>
        <v/>
      </c>
      <c r="BL449" s="86">
        <f>IF(OR(N($BJ449)=0,$BI449=""),"",$BI449-HeadClr-Undercut)</f>
        <v/>
      </c>
      <c r="BM449" s="86">
        <f>IF($BH449="","",$BH449+2*FaceW+IF(N($Q449)&gt;0,($Q449+FaceW)*IF($R449="LR",2,1),0))</f>
        <v/>
      </c>
      <c r="BN449" s="86">
        <f>IF($BI449="","",$BI449+IF($AB449="Y",4,FaceW)+IF(N($P449)&gt;0,$P449+FaceW,0)+IF(OR($S449="4F",$S449="BL"),FaceW,0))</f>
        <v/>
      </c>
      <c r="BO449" s="86">
        <f>IF($BM449="","",$BM449+2*ROSide)</f>
        <v/>
      </c>
      <c r="BP449" s="86">
        <f>IF($BN449="","",$BN449+ROTop)</f>
        <v/>
      </c>
      <c r="BQ449" s="87">
        <f>IF(OR(N($BJ449)=0,$BH449=""),"",$BH449/$BJ449-ClearDeduct)</f>
        <v/>
      </c>
      <c r="BR449" s="84">
        <f>IF(N($CH449)=0,"",IF($CH449&gt;=180,"A · 3 HR",IF($CH449&gt;=90,"B · 1-1/2 HR",IF($CH449&gt;=60,"B · 1 HR",IF($CH449&gt;=45,"C · 3/4 HR","20 MIN")))))&amp;IF(AND(N($CH449)&gt;0,OR($I449="CORRIDOR",$I449="SMOKE BARRIER"))," · S","")</f>
        <v/>
      </c>
      <c r="BS449" s="84">
        <f>IF($CS449,"",IF($AV449&lt;&gt;"",$AV449,IF(OR($AC449="HGC",$AO449="HGC"),"CONT",IF(($BI449-HeadClr-Undercut)&lt;=60,2,IF(($BI449-HeadClr-Undercut)&lt;=90,3,IF(($BI449-HeadClr-Undercut)&lt;=120,4,5))))))</f>
        <v/>
      </c>
      <c r="BT449" s="84">
        <f>IF($CS449,"",IF($CT449,"CUSTOM (typed)",IF($CV449,$AT449&amp;" "&amp;$CU449&amp;CHAR(34)&amp;IF($CU449&lt;&gt;$BI449,IF(AND($BI449&lt;$CU449,$BI449-IF(N(VLOOKUP($AT449&amp;"|"&amp;$CU449,LocTable,7,FALSE))&gt;0,VLOOKUP($AT449&amp;"|"&amp;$CU449,LocTable,7,FALSE),VLOOKUP($AT449&amp;"|"&amp;$CU449,LocTable,6,FALSE))-$CR449-0.75&gt;=2.125)," cut down"," adj."),""),"ANSI/SDI A250.6")))</f>
        <v/>
      </c>
      <c r="BU449" s="88">
        <f>IF($CS449,"",IF($CT449,IF(N($AW449)&gt;0,N($AW449),""),IF(1&gt;$CQ449,"",IF($CQ449=1,$CW449,$CW449+($CX449-$CW449)*0/($CQ449-1)))))</f>
        <v/>
      </c>
      <c r="BV449" s="88">
        <f>IF($CS449,"",IF($CT449,IF(N($AX449)&gt;0,N($AX449),""),IF(2&gt;$CQ449,"",IF($CQ449=1,$CW449,$CW449+($CX449-$CW449)*1/($CQ449-1)))))</f>
        <v/>
      </c>
      <c r="BW449" s="88">
        <f>IF($CS449,"",IF($CT449,IF(N($AY449)&gt;0,N($AY449),""),IF(3&gt;$CQ449,"",IF($CQ449=1,$CW449,$CW449+($CX449-$CW449)*2/($CQ449-1)))))</f>
        <v/>
      </c>
      <c r="BX449" s="88">
        <f>IF($CS449,"",IF($CT449,IF(N($AZ449)&gt;0,N($AZ449),""),IF(4&gt;$CQ449,"",IF($CQ449=1,$CW449,$CW449+($CX449-$CW449)*3/($CQ449-1)))))</f>
        <v/>
      </c>
      <c r="BY449" s="88">
        <f>IF($CS449,"",IF($CT449,"",IF(5&gt;$CQ449,"",IF($CQ449=1,$CW449,$CW449+($CX449-$CW449)*4/($CQ449-1)))))</f>
        <v/>
      </c>
      <c r="BZ449" s="88">
        <f>IF(OR($CS449,$AP449="-",AND($AP449="",$AD449="")),"",IF(N($BA449)&gt;0,N($BA449),IF($CV449,IF(AND($BI449&lt;$CU449,$BI449-IF(N(VLOOKUP($AT449&amp;"|"&amp;$CU449,LocTable,7,FALSE))&gt;0,VLOOKUP($AT449&amp;"|"&amp;$CU449,LocTable,7,FALSE),VLOOKUP($AT449&amp;"|"&amp;$CU449,LocTable,6,FALSE))-$CR449-0.75&gt;=2.125),VLOOKUP($AT449&amp;"|"&amp;$CU449,LocTable,8,FALSE),VLOOKUP($AT449&amp;"|"&amp;$CU449,LocTable,8,FALSE)+($BI449-$CU449)),$BI449-LockAFF)))</f>
        <v/>
      </c>
      <c r="CA449" s="89">
        <f>IF($BZ449="","",$BI449-$BZ449)</f>
        <v/>
      </c>
      <c r="CB449" s="84">
        <f>IF(OR(NOT(AND($A449&lt;&gt;"",$C449&lt;&gt;"DOOR ONLY")),$BI449=""),"",IF(($BI449+IF(N($P449)&gt;0,$P449+FaceW,0))&lt;=90,3,IF(($BI449+IF(N($P449)&gt;0,$P449+FaceW,0))&lt;=114,4,5)))</f>
        <v/>
      </c>
      <c r="CC449" s="84">
        <f>IF($CB449="","",$CB449*(2+IF(N($Q449)&gt;0,IF($R449="LR",2,1),0)))</f>
        <v/>
      </c>
      <c r="CD449" s="84">
        <f>IF($CB449="","",(2+IF(N($Q449)&gt;0,IF($R449="LR",2,1),0)))</f>
        <v/>
      </c>
      <c r="CE449" s="84">
        <f>IF(N($BJ449)=0,"",IF(OR($AL449="",$AL449="FLUSH"),"FLUSH",IFERROR(LEFT($AL449,FIND("-",$AL449)-1),LEFT($AL449,2))))</f>
        <v/>
      </c>
      <c r="CF449" s="84">
        <f>IF($CE449="","",IFERROR(VALUE(MID($AL449,FIND("-",$AL449)+1,FIND(CHAR(34)&amp;"x",$AL449)-FIND("-",$AL449)-1)),0))</f>
        <v/>
      </c>
      <c r="CG449" s="84">
        <f>IF($CE449="","",IFERROR(VALUE(MID($AL449,FIND(CHAR(34)&amp;"x",$AL449)+2,FIND(CHAR(34),$AL449,FIND(CHAR(34)&amp;"x",$AL449)+2)-FIND(CHAR(34)&amp;"x",$AL449)-2)),0))</f>
        <v/>
      </c>
      <c r="CH449" s="90">
        <f>IF(OR($A449="",$H449="",$H449="NO LAB"),0,IFERROR(VALUE(LEFT($H449,FIND(" ",$H449)-1)),0))</f>
        <v/>
      </c>
      <c r="CI449" s="91">
        <f>IF(OR($A449="",$I449="",$I449="NON-RATED",N($J449)=0),"",IFERROR(VLOOKUP($I449&amp;"|"&amp;$J449,IBC,2,FALSE),"?"))</f>
        <v/>
      </c>
      <c r="CJ449" s="85">
        <f>IF(NOT(AND($A449&lt;&gt;"",$C449&lt;&gt;"DOOR ONLY")),"",TRIM(IFERROR(VLOOKUP($U449,CODES,2,FALSE),"")&amp;" "&amp;$BG449&amp;" "&amp;IFERROR(VLOOKUP($Z449,CODES,2,FALSE),"")&amp;" "&amp;IFERROR(VLOOKUP($X449,CODES,2,FALSE),"")&amp;" "&amp;IFERROR(VLOOKUP($S449,CODES,2,FALSE),"")&amp;IF(N($P449)&gt;0," w/TRANSOM "&amp;$P449&amp;CHAR(34),"")&amp;IF(N($Q449)&gt;0," w/SIDELITE "&amp;$Q449&amp;CHAR(34)&amp;" "&amp;IF($R449="","R",$R449),"")&amp;IF($Y449="","  |  "," | "&amp;IFERROR(VLOOKUP($Y449,CODES,2,FALSE),"")&amp;" | ")&amp;IFERROR(VLOOKUP($AC449,CODES,2,FALSE),"")&amp;" "&amp;IFERROR(VLOOKUP($AD449,CODES,2,FALSE),"")&amp;IF(OR($AE449="",$AE449="-"),""," "&amp;$AE449)&amp;IF(OR($AF449="",$AF449="-"),""," "&amp;$AF449)&amp;IF($AB449="Y"," 4"&amp;CHAR(34)&amp;" HEAD","")&amp;" "&amp;IFERROR(VLOOKUP($H449,CODES,2,FALSE),"")&amp;IF($CT449," | LOC "&amp;$CY449,"")))</f>
        <v/>
      </c>
      <c r="CK449" s="85">
        <f>IF(NOT(AND($A449&lt;&gt;"",N($BJ449)&gt;0)),"",TRIM(IFERROR(VLOOKUP($AH449,CODES,2,FALSE),"")&amp;IF($AI449=""," "," "&amp;$AI449&amp;"GA ")&amp;$BG449&amp;" "&amp;IF($AN449="",IFERROR(VLOOKUP($Z449,CODES,2,FALSE),""),IFERROR(VLOOKUP($AN449,CODES,2,FALSE),""))&amp;IF($BJ449=2," PAIR","")&amp;" DOOR | "&amp;IF($AL449="","?",$AL449)&amp;" | "&amp;IF($AO449="",IFERROR(VLOOKUP($AC449,CODES,2,FALSE),""),IFERROR(VLOOKUP($AO449,CODES,2,FALSE),""))&amp;" "&amp;IFERROR(VLOOKUP($AP449,CODES,2,FALSE),"")&amp;IF(OR($AQ449="",$AQ449="-"),""," SEAM "&amp;$AQ449)&amp;IF($AR449="Y"," ASTRAGAL","")&amp;IF($AJ449=""," "," "&amp;$AJ449)&amp;IF($AK449=""," "," "&amp;$AK449)&amp;IF(OR($AT449="",$AT449="ANSI/SDI",$AT449="CUSTOM LOC"),""," "&amp;$AT449)&amp;IF($AM449=""," "," SERIES "&amp;$AM449)&amp;" "&amp;IFERROR(VLOOKUP($H449,CODES,2,FALSE),"")&amp;IF($CT449," | LOC "&amp;$CZ449,"")))</f>
        <v/>
      </c>
      <c r="CL449" s="84">
        <f>IF(CP449="","",IF(COUNTIF($CP$6:CP449,CP449)=1,MAX($CL$5:CL448)+1,INDEX($CL$5:CL448,MATCH(CP449,$CP$5:CP448,0))))</f>
        <v/>
      </c>
      <c r="CM449" s="84">
        <f>IF(NOT(AND($A449&lt;&gt;"",$C449&lt;&gt;"DOOR ONLY")),"",MAX($CM$5:CM448)+1)</f>
        <v/>
      </c>
      <c r="CN449" s="84">
        <f>IF(NOT(AND($A449&lt;&gt;"",N($BJ449)&gt;0)),"",MAX($CN$5:CN448)+1)</f>
        <v/>
      </c>
      <c r="CO449" s="84">
        <f>IF($A449="","",MAX($CO$5:CO448)+1)</f>
        <v/>
      </c>
      <c r="CP449" s="84">
        <f>IF(OR($A449="",$BH449="",$BI449=""),"",$BG449&amp;"|"&amp;$O449&amp;"|"&amp;$AL449&amp;"|"&amp;$S449&amp;"|"&amp;$P449&amp;"|"&amp;$Q449&amp;$R449&amp;"|"&amp;$C449&amp;"|"&amp;$AB449)</f>
        <v/>
      </c>
      <c r="CQ449" s="84">
        <f>N($BS449)</f>
        <v/>
      </c>
      <c r="CR449" s="84">
        <f>IF(N($AU449)&gt;0,N($AU449),4.5)</f>
        <v/>
      </c>
      <c r="CS449" s="84">
        <f>OR($A449="",$BI449="",$S449="BL",AND($C449="FRAME ONLY",OR($AC449="",$AC449="BLK")))</f>
        <v/>
      </c>
      <c r="CT449" s="84">
        <f>AND(NOT($CS449),OR($AT449="CUSTOM LOC",N($AW449)+N($AX449)+N($AY449)+N($AZ449)+N($BA449)&gt;0))</f>
        <v/>
      </c>
      <c r="CU449" s="84">
        <f>IF($BI449="","",IF($BI449&lt;=80,80,IF($BI449&lt;=84,84,96)))</f>
        <v/>
      </c>
      <c r="CV449" s="84">
        <f>ISNUMBER(MATCH($AT449&amp;"|80",LocKeys,0))</f>
        <v/>
      </c>
      <c r="CW449" s="86">
        <f>IF($CS449,"",IF($CV449,VLOOKUP($AT449&amp;"|"&amp;$CU449,LocTable,4,FALSE),5))</f>
        <v/>
      </c>
      <c r="CX449" s="86">
        <f>IF($CS449,"",IF($CV449,IF(OR($BI449=$CU449,AND($BI449&lt;$CU449,$BI449-IF(N(VLOOKUP($AT449&amp;"|"&amp;$CU449,LocTable,7,FALSE))&gt;0,VLOOKUP($AT449&amp;"|"&amp;$CU449,LocTable,7,FALSE),VLOOKUP($AT449&amp;"|"&amp;$CU449,LocTable,6,FALSE))-$CR449-0.75&gt;=2.125)),IF(N(VLOOKUP($AT449&amp;"|"&amp;$CU449,LocTable,7,FALSE))&gt;0,VLOOKUP($AT449&amp;"|"&amp;$CU449,LocTable,7,FALSE),VLOOKUP($AT449&amp;"|"&amp;$CU449,LocTable,6,FALSE)),$BI449-($CU449-IF(N(VLOOKUP($AT449&amp;"|"&amp;$CU449,LocTable,7,FALSE))&gt;0,VLOOKUP($AT449&amp;"|"&amp;$CU449,LocTable,7,FALSE),VLOOKUP($AT449&amp;"|"&amp;$CU449,LocTable,6,FALSE)))),$BI449-10-$CR449))</f>
        <v/>
      </c>
      <c r="CY449" s="85">
        <f>IF($CS449,"",TRIM(IF(ISNUMBER($BU449),"A "&amp;TRIM(TEXT($BU449,"# ?/??"))&amp;CHAR(34)&amp;"  ","")&amp;IF(ISNUMBER($BV449),"B "&amp;TRIM(TEXT($BV449,"# ?/??"))&amp;CHAR(34)&amp;"  ","")&amp;IF(ISNUMBER($BW449),"C "&amp;TRIM(TEXT($BW449,"# ?/??"))&amp;CHAR(34)&amp;"  ","")&amp;IF(ISNUMBER($BX449),"D "&amp;TRIM(TEXT($BX449,"# ?/??"))&amp;CHAR(34)&amp;"  ","")&amp;IF(ISNUMBER($BY449),"F "&amp;TRIM(TEXT($BY449,"# ?/??"))&amp;CHAR(34)&amp;"  ","")&amp;IF(ISNUMBER($BZ449),"E "&amp;TRIM(TEXT($BZ449,"# ?/??"))&amp;CHAR(34)&amp;"  ","")))</f>
        <v/>
      </c>
      <c r="CZ449" s="85">
        <f>IF(OR($CS449,N($BJ449)=0),"",TRIM(IF(ISNUMBER($BU449),"A "&amp;TRIM(TEXT($BU449-HeadClr,"# ?/??"))&amp;CHAR(34)&amp;"  ","")&amp;IF(ISNUMBER($BV449),"B "&amp;TRIM(TEXT($BV449-HeadClr,"# ?/??"))&amp;CHAR(34)&amp;"  ","")&amp;IF(ISNUMBER($BW449),"C "&amp;TRIM(TEXT($BW449-HeadClr,"# ?/??"))&amp;CHAR(34)&amp;"  ","")&amp;IF(ISNUMBER($BX449),"D "&amp;TRIM(TEXT($BX449-HeadClr,"# ?/??"))&amp;CHAR(34)&amp;"  ","")&amp;IF(ISNUMBER($BY449),"F "&amp;TRIM(TEXT($BY449-HeadClr,"# ?/??"))&amp;CHAR(34)&amp;"  ","")&amp;IF(ISNUMBER($BZ449),"E "&amp;TRIM(TEXT($BZ449-HeadClr,"# ?/??"))&amp;CHAR(34)&amp;"  ","")))</f>
        <v/>
      </c>
      <c r="DA449" s="84">
        <f>IF($A449="","",IF($AN449="",IFERROR(VLOOKUP($Z449,CODES,2,FALSE),""),IFERROR(VLOOKUP($AN449,CODES,2,FALSE),"")))</f>
        <v/>
      </c>
      <c r="DB449" s="84">
        <f>IF($A449="","",IF($O449="Y","PR",IF(OR($Z449="L",$Z449="RR",LEFT($Z449,2)="L-",LEFT($Z449,3)="RR-"),"LH","RH")))</f>
        <v/>
      </c>
      <c r="DC449" s="84">
        <f>IF($A449="","","S.HM"&amp;IF(OR($C449="DOOR ONLY",$X449&lt;&gt;"KD"),"MASONRY","DRYWALL")&amp;IF($C449="DOOR ONLY","",$U449)&amp;IF(AND($C449&lt;&gt;"FRAME ONLY",OR(LEFT($AH449,3)="OAK",LEFT($AH449,3)="BIR",LEFT($AH449,3)="MAP",$AH449="PC",$AH449="MC",$AH449="SCLC",$AH449="P-LAM")),"WD","HM")&amp;"1.75")</f>
        <v/>
      </c>
      <c r="DD449" s="84">
        <f>IF($CJ449="","",IF($O449="Y",$CJ449,SUBSTITUTE($CJ449,$BG449&amp;" "&amp;IFERROR(VLOOKUP($Z449,CODES,2,FALSE),"")&amp;" ",$BG449&amp;" ")))</f>
        <v/>
      </c>
      <c r="DE449" s="84">
        <f>IF($CK449="","",IF($O449="Y",$CK449,SUBSTITUTE($CK449,$BG449&amp;" "&amp;IF($AN449="",IFERROR(VLOOKUP($Z449,CODES,2,FALSE),""),IFERROR(VLOOKUP($AN449,CODES,2,FALSE),""))&amp;" ",$BG449&amp;" ")))</f>
        <v/>
      </c>
      <c r="DF449" s="84">
        <f>IF($CJ449="","",$DC449&amp;"|"&amp;$DD449&amp;"|"&amp;$DB449&amp;"|"&amp;$AT449&amp;"|"&amp;$V449&amp;"|"&amp;$Y449&amp;"|"&amp;$AB449)</f>
        <v/>
      </c>
      <c r="DG449" s="84">
        <f>IF(DF449="","",IF(COUNTIF($DF$6:DF449,DF449)=1,MAX($DG$5:DG448)+1,INDEX($DG$5:DG448,MATCH(DF449,$DF$5:DF448,0))))</f>
        <v/>
      </c>
      <c r="DH449" s="84">
        <f>IF($CK449="","",$DC449&amp;"|"&amp;$DE449&amp;"|"&amp;$AI449&amp;"|"&amp;$BK449&amp;"|"&amp;$BL449)</f>
        <v/>
      </c>
      <c r="DI449" s="84">
        <f>IF(DH449="","",IF(COUNTIF($DH$6:DH449,DH449)=1,MAX($DI$5:DI448)+1,INDEX($DI$5:DI448,MATCH(DH449,$DH$5:DH448,0))))</f>
        <v/>
      </c>
      <c r="DJ449" s="84">
        <f>IF($A449="","",IF($B449="","qty, ","")&amp;IF($C449="","scope, ","")&amp;IF(OR($K449="",$M449=""),"size, ","")&amp;IF(AND($A449&lt;&gt;"",$C449&lt;&gt;"DOOR ONLY"),IF($U449="","jamb depth, ","")&amp;IF($X449="","construction, ","")&amp;IF($Y449="","anchor, ","")&amp;IF($S449="","frame type, ",""),"")&amp;IF(AND(N($BJ449)&gt;0,$Z449=""),"hand, ","")&amp;IF(N($BJ449)&gt;0,IF($AH449="","door material, ","")&amp;IF($AL449="","face type, ","")&amp;IF($AP449="","lock prep, ","")&amp;IF(AND($AO449="",$AC449=""),"hinge prep, ",""),"")&amp;IF(AND($CH449&gt;0,$AH449="FRP"),"FRP cannot carry a label, ","")&amp;IF(AND($O449="Y",OR($Z449="L",$Z449="R",$Z449="LR",$Z449="RR")),"pair marked but hand is single, ","")&amp;IF(AND($O449&lt;&gt;"Y",OR($Z449="PR",AND(LEN($Z449)&gt;1,ISNUMBER(SEARCH("-",$Z449))))),"pair hand on a single door, ","")&amp;IF(AND(ISNUMBER($CI449),$CH449&lt;N($CI449)),"wall needs a "&amp;$CI449&amp;" min door, ","")&amp;IF(AND($CH449&gt;=180,AND(OR($CE449="FG",$CE449="HG",$CE449="FNV",$CE449="FV"),N($CF449)*N($CG449)&gt;100)),"180 min lite over 100 sq in, ","")&amp;IF(N($BK449)&gt;48,"leaf wider than 4'-0"&amp;CHAR(34)&amp;", ","")&amp;IF(AND($CT449,COUNT($AW449:$AZ449)=0,$CQ449&gt;0),"CUSTOM LOC with no locations typed, ",""))</f>
        <v/>
      </c>
      <c r="DK449" s="84">
        <f>IF($A449="","",IF(AND($CH449&gt;0,AND($A449&lt;&gt;"",$C449&lt;&gt;"DOOR ONLY"),$X449="KD",$E449="EXTERIOR"),"KD label on an exterior opening, ","")&amp;IF(AND($E449="EXTERIOR",OR(AND(AND($A449&lt;&gt;"",$C449&lt;&gt;"DOOR ONLY"),$W449="CR"),AND(N($BJ449)&gt;0,$AH449="CR"))),"exterior in CR steel (G9?), ","")&amp;IF(AND(ISNUMBER($BQ449),N($BQ449)&lt;32),"clear width ~"&amp;TEXT($BQ449,"0.0")&amp;CHAR(34)&amp;" under 32"&amp;CHAR(34)&amp;" (ADA), ","")&amp;IF(AND($CH449=90,AND(OR($CE449="FG",$CE449="HG",$CE449="FNV",$CE449="FV"),N($CF449)*N($CG449)&gt;100)),"90 min lite over 100 sq in (stair/exit), ","")&amp;IF(AND($CH449&gt;0,AND($A449&lt;&gt;"",$C449&lt;&gt;"DOOR ONLY"),OR($AF449="",$AF449="-")),"rated: closer reinf.?, ","")&amp;IF(OR($I449="CORRIDOR",$I449="SMOKE BARRIER"),"S label + smoke gasketing, ","")&amp;IF($CI449="?","wall type/hr not in IBC table, ","")&amp;IF(AND(N($BJ449)&gt;0,$BB449=""),"no hardware set, ","")&amp;IF(AND($BB449&lt;&gt;"",ISNA(MATCH($BB449&amp;"",HWSets,0))),"set "&amp;$BB449&amp;" not on HW Sets, ","")&amp;IF(N($BL449)&gt;96,"leaf over 8'-0"&amp;CHAR(34)&amp;" - check listing, ","")&amp;IF(AND($CT449,COUNT($AW449:$AZ449)&gt;0,COUNT($AW449:$AZ449)&lt;&gt;$CQ449),COUNT($AW449:$AZ449)&amp;" custom hinges typed, "&amp;$CQ449&amp;" expected, ","")&amp;IF(AND(ISNUMBER($CA449),OR(N($CA449)&lt;34,N($CA449)&gt;48)),"lock "&amp;TEXT($CA449,"0.0")&amp;CHAR(34)&amp;" AFF outside 34-48"&amp;CHAR(34)&amp;" (ADA), ","")&amp;IF(AND(ISNUMBER($AV449),ISNUMBER($BL449),N($AV449)&lt;IF(N($BL449)&lt;=60,2,IF(N($BL449)&lt;=90,3,IF(N($BL449)&lt;=120,4,5)))),"fewer hinges than standard, ",""))</f>
        <v/>
      </c>
    </row>
    <row r="450" ht="15" customHeight="1">
      <c r="A450" s="92" t="n"/>
      <c r="B450" s="93" t="n"/>
      <c r="C450" s="93" t="n"/>
      <c r="D450" s="93" t="n"/>
      <c r="E450" s="93" t="n"/>
      <c r="F450" s="93" t="n"/>
      <c r="G450" s="93" t="n"/>
      <c r="H450" s="93" t="n"/>
      <c r="I450" s="93" t="n"/>
      <c r="J450" s="93" t="n"/>
      <c r="K450" s="93" t="n"/>
      <c r="L450" s="93" t="n"/>
      <c r="M450" s="93" t="n"/>
      <c r="N450" s="93" t="n"/>
      <c r="O450" s="93" t="n"/>
      <c r="P450" s="93" t="n"/>
      <c r="Q450" s="93" t="n"/>
      <c r="R450" s="93" t="n"/>
      <c r="S450" s="94" t="n"/>
      <c r="T450" s="94" t="n"/>
      <c r="U450" s="94" t="n"/>
      <c r="V450" s="94" t="n"/>
      <c r="W450" s="94" t="n"/>
      <c r="X450" s="94" t="n"/>
      <c r="Y450" s="94" t="n"/>
      <c r="Z450" s="94" t="n"/>
      <c r="AA450" s="94" t="n"/>
      <c r="AB450" s="94" t="n"/>
      <c r="AC450" s="94" t="n"/>
      <c r="AD450" s="94" t="n"/>
      <c r="AE450" s="94" t="n"/>
      <c r="AF450" s="94" t="n"/>
      <c r="AG450" s="94" t="n"/>
      <c r="AH450" s="95" t="n"/>
      <c r="AI450" s="95" t="n"/>
      <c r="AJ450" s="95" t="n"/>
      <c r="AK450" s="95" t="n"/>
      <c r="AL450" s="95" t="n"/>
      <c r="AM450" s="95" t="n"/>
      <c r="AN450" s="95" t="n"/>
      <c r="AO450" s="95" t="n"/>
      <c r="AP450" s="95" t="n"/>
      <c r="AQ450" s="95" t="n"/>
      <c r="AR450" s="95" t="n"/>
      <c r="AS450" s="95" t="n"/>
      <c r="AT450" s="96" t="n"/>
      <c r="AU450" s="96" t="n"/>
      <c r="AV450" s="96" t="n"/>
      <c r="AW450" s="97" t="n"/>
      <c r="AX450" s="97" t="n"/>
      <c r="AY450" s="97" t="n"/>
      <c r="AZ450" s="97" t="n"/>
      <c r="BA450" s="97" t="n"/>
      <c r="BB450" s="98" t="n"/>
      <c r="BC450" s="98" t="n"/>
      <c r="BD450" s="99">
        <f>IF($A450="","",IF($DJ450&lt;&gt;"","FIX",IF($DK450&lt;&gt;"","CHECK","OK")))</f>
        <v/>
      </c>
      <c r="BE450" s="100">
        <f>IF($A450="","",IF($DJ450&lt;&gt;"","FIX: "&amp;LEFT($DJ450,LEN($DJ450)-2)&amp;IF($DK450&lt;&gt;"","  ·  ",""),"")&amp;IF($DK450&lt;&gt;"","CHECK: "&amp;LEFT($DK450,LEN($DK450)-2),""))</f>
        <v/>
      </c>
      <c r="BF450" s="99">
        <f>IF(OR($A450="",$K450=""),"",$K450&amp;"'-"&amp;N($L450)&amp;CHAR(34)&amp;" x "&amp;$M450&amp;"'-"&amp;N($N450)&amp;CHAR(34))</f>
        <v/>
      </c>
      <c r="BG450" s="99">
        <f>IF(OR($A450="",$K450=""),"",$K450&amp;N($L450)&amp;$M450&amp;N($N450))</f>
        <v/>
      </c>
      <c r="BH450" s="99">
        <f>IF(OR($A450="",$K450=""),"",$K450*12+N($L450))</f>
        <v/>
      </c>
      <c r="BI450" s="99">
        <f>IF(OR($A450="",$M450=""),"",$M450*12+N($N450))</f>
        <v/>
      </c>
      <c r="BJ450" s="99">
        <f>IF($A450="","",IF(OR($C450="FRAME ONLY",$S450="BL"),0,IF($O450="Y",2,1)))</f>
        <v/>
      </c>
      <c r="BK450" s="101">
        <f>IF(OR(N($BJ450)=0,$BH450=""),"",($BH450-2*EdgeClr-IF($BJ450=2,MeetClr,0))/$BJ450)</f>
        <v/>
      </c>
      <c r="BL450" s="101">
        <f>IF(OR(N($BJ450)=0,$BI450=""),"",$BI450-HeadClr-Undercut)</f>
        <v/>
      </c>
      <c r="BM450" s="101">
        <f>IF($BH450="","",$BH450+2*FaceW+IF(N($Q450)&gt;0,($Q450+FaceW)*IF($R450="LR",2,1),0))</f>
        <v/>
      </c>
      <c r="BN450" s="101">
        <f>IF($BI450="","",$BI450+IF($AB450="Y",4,FaceW)+IF(N($P450)&gt;0,$P450+FaceW,0)+IF(OR($S450="4F",$S450="BL"),FaceW,0))</f>
        <v/>
      </c>
      <c r="BO450" s="101">
        <f>IF($BM450="","",$BM450+2*ROSide)</f>
        <v/>
      </c>
      <c r="BP450" s="101">
        <f>IF($BN450="","",$BN450+ROTop)</f>
        <v/>
      </c>
      <c r="BQ450" s="102">
        <f>IF(OR(N($BJ450)=0,$BH450=""),"",$BH450/$BJ450-ClearDeduct)</f>
        <v/>
      </c>
      <c r="BR450" s="99">
        <f>IF(N($CH450)=0,"",IF($CH450&gt;=180,"A · 3 HR",IF($CH450&gt;=90,"B · 1-1/2 HR",IF($CH450&gt;=60,"B · 1 HR",IF($CH450&gt;=45,"C · 3/4 HR","20 MIN")))))&amp;IF(AND(N($CH450)&gt;0,OR($I450="CORRIDOR",$I450="SMOKE BARRIER"))," · S","")</f>
        <v/>
      </c>
      <c r="BS450" s="99">
        <f>IF($CS450,"",IF($AV450&lt;&gt;"",$AV450,IF(OR($AC450="HGC",$AO450="HGC"),"CONT",IF(($BI450-HeadClr-Undercut)&lt;=60,2,IF(($BI450-HeadClr-Undercut)&lt;=90,3,IF(($BI450-HeadClr-Undercut)&lt;=120,4,5))))))</f>
        <v/>
      </c>
      <c r="BT450" s="99">
        <f>IF($CS450,"",IF($CT450,"CUSTOM (typed)",IF($CV450,$AT450&amp;" "&amp;$CU450&amp;CHAR(34)&amp;IF($CU450&lt;&gt;$BI450,IF(AND($BI450&lt;$CU450,$BI450-IF(N(VLOOKUP($AT450&amp;"|"&amp;$CU450,LocTable,7,FALSE))&gt;0,VLOOKUP($AT450&amp;"|"&amp;$CU450,LocTable,7,FALSE),VLOOKUP($AT450&amp;"|"&amp;$CU450,LocTable,6,FALSE))-$CR450-0.75&gt;=2.125)," cut down"," adj."),""),"ANSI/SDI A250.6")))</f>
        <v/>
      </c>
      <c r="BU450" s="103">
        <f>IF($CS450,"",IF($CT450,IF(N($AW450)&gt;0,N($AW450),""),IF(1&gt;$CQ450,"",IF($CQ450=1,$CW450,$CW450+($CX450-$CW450)*0/($CQ450-1)))))</f>
        <v/>
      </c>
      <c r="BV450" s="103">
        <f>IF($CS450,"",IF($CT450,IF(N($AX450)&gt;0,N($AX450),""),IF(2&gt;$CQ450,"",IF($CQ450=1,$CW450,$CW450+($CX450-$CW450)*1/($CQ450-1)))))</f>
        <v/>
      </c>
      <c r="BW450" s="103">
        <f>IF($CS450,"",IF($CT450,IF(N($AY450)&gt;0,N($AY450),""),IF(3&gt;$CQ450,"",IF($CQ450=1,$CW450,$CW450+($CX450-$CW450)*2/($CQ450-1)))))</f>
        <v/>
      </c>
      <c r="BX450" s="103">
        <f>IF($CS450,"",IF($CT450,IF(N($AZ450)&gt;0,N($AZ450),""),IF(4&gt;$CQ450,"",IF($CQ450=1,$CW450,$CW450+($CX450-$CW450)*3/($CQ450-1)))))</f>
        <v/>
      </c>
      <c r="BY450" s="103">
        <f>IF($CS450,"",IF($CT450,"",IF(5&gt;$CQ450,"",IF($CQ450=1,$CW450,$CW450+($CX450-$CW450)*4/($CQ450-1)))))</f>
        <v/>
      </c>
      <c r="BZ450" s="103">
        <f>IF(OR($CS450,$AP450="-",AND($AP450="",$AD450="")),"",IF(N($BA450)&gt;0,N($BA450),IF($CV450,IF(AND($BI450&lt;$CU450,$BI450-IF(N(VLOOKUP($AT450&amp;"|"&amp;$CU450,LocTable,7,FALSE))&gt;0,VLOOKUP($AT450&amp;"|"&amp;$CU450,LocTable,7,FALSE),VLOOKUP($AT450&amp;"|"&amp;$CU450,LocTable,6,FALSE))-$CR450-0.75&gt;=2.125),VLOOKUP($AT450&amp;"|"&amp;$CU450,LocTable,8,FALSE),VLOOKUP($AT450&amp;"|"&amp;$CU450,LocTable,8,FALSE)+($BI450-$CU450)),$BI450-LockAFF)))</f>
        <v/>
      </c>
      <c r="CA450" s="104">
        <f>IF($BZ450="","",$BI450-$BZ450)</f>
        <v/>
      </c>
      <c r="CB450" s="99">
        <f>IF(OR(NOT(AND($A450&lt;&gt;"",$C450&lt;&gt;"DOOR ONLY")),$BI450=""),"",IF(($BI450+IF(N($P450)&gt;0,$P450+FaceW,0))&lt;=90,3,IF(($BI450+IF(N($P450)&gt;0,$P450+FaceW,0))&lt;=114,4,5)))</f>
        <v/>
      </c>
      <c r="CC450" s="99">
        <f>IF($CB450="","",$CB450*(2+IF(N($Q450)&gt;0,IF($R450="LR",2,1),0)))</f>
        <v/>
      </c>
      <c r="CD450" s="99">
        <f>IF($CB450="","",(2+IF(N($Q450)&gt;0,IF($R450="LR",2,1),0)))</f>
        <v/>
      </c>
      <c r="CE450" s="99">
        <f>IF(N($BJ450)=0,"",IF(OR($AL450="",$AL450="FLUSH"),"FLUSH",IFERROR(LEFT($AL450,FIND("-",$AL450)-1),LEFT($AL450,2))))</f>
        <v/>
      </c>
      <c r="CF450" s="99">
        <f>IF($CE450="","",IFERROR(VALUE(MID($AL450,FIND("-",$AL450)+1,FIND(CHAR(34)&amp;"x",$AL450)-FIND("-",$AL450)-1)),0))</f>
        <v/>
      </c>
      <c r="CG450" s="99">
        <f>IF($CE450="","",IFERROR(VALUE(MID($AL450,FIND(CHAR(34)&amp;"x",$AL450)+2,FIND(CHAR(34),$AL450,FIND(CHAR(34)&amp;"x",$AL450)+2)-FIND(CHAR(34)&amp;"x",$AL450)-2)),0))</f>
        <v/>
      </c>
      <c r="CH450" s="105">
        <f>IF(OR($A450="",$H450="",$H450="NO LAB"),0,IFERROR(VALUE(LEFT($H450,FIND(" ",$H450)-1)),0))</f>
        <v/>
      </c>
      <c r="CI450" s="106">
        <f>IF(OR($A450="",$I450="",$I450="NON-RATED",N($J450)=0),"",IFERROR(VLOOKUP($I450&amp;"|"&amp;$J450,IBC,2,FALSE),"?"))</f>
        <v/>
      </c>
      <c r="CJ450" s="100">
        <f>IF(NOT(AND($A450&lt;&gt;"",$C450&lt;&gt;"DOOR ONLY")),"",TRIM(IFERROR(VLOOKUP($U450,CODES,2,FALSE),"")&amp;" "&amp;$BG450&amp;" "&amp;IFERROR(VLOOKUP($Z450,CODES,2,FALSE),"")&amp;" "&amp;IFERROR(VLOOKUP($X450,CODES,2,FALSE),"")&amp;" "&amp;IFERROR(VLOOKUP($S450,CODES,2,FALSE),"")&amp;IF(N($P450)&gt;0," w/TRANSOM "&amp;$P450&amp;CHAR(34),"")&amp;IF(N($Q450)&gt;0," w/SIDELITE "&amp;$Q450&amp;CHAR(34)&amp;" "&amp;IF($R450="","R",$R450),"")&amp;IF($Y450="","  |  "," | "&amp;IFERROR(VLOOKUP($Y450,CODES,2,FALSE),"")&amp;" | ")&amp;IFERROR(VLOOKUP($AC450,CODES,2,FALSE),"")&amp;" "&amp;IFERROR(VLOOKUP($AD450,CODES,2,FALSE),"")&amp;IF(OR($AE450="",$AE450="-"),""," "&amp;$AE450)&amp;IF(OR($AF450="",$AF450="-"),""," "&amp;$AF450)&amp;IF($AB450="Y"," 4"&amp;CHAR(34)&amp;" HEAD","")&amp;" "&amp;IFERROR(VLOOKUP($H450,CODES,2,FALSE),"")&amp;IF($CT450," | LOC "&amp;$CY450,"")))</f>
        <v/>
      </c>
      <c r="CK450" s="100">
        <f>IF(NOT(AND($A450&lt;&gt;"",N($BJ450)&gt;0)),"",TRIM(IFERROR(VLOOKUP($AH450,CODES,2,FALSE),"")&amp;IF($AI450=""," "," "&amp;$AI450&amp;"GA ")&amp;$BG450&amp;" "&amp;IF($AN450="",IFERROR(VLOOKUP($Z450,CODES,2,FALSE),""),IFERROR(VLOOKUP($AN450,CODES,2,FALSE),""))&amp;IF($BJ450=2," PAIR","")&amp;" DOOR | "&amp;IF($AL450="","?",$AL450)&amp;" | "&amp;IF($AO450="",IFERROR(VLOOKUP($AC450,CODES,2,FALSE),""),IFERROR(VLOOKUP($AO450,CODES,2,FALSE),""))&amp;" "&amp;IFERROR(VLOOKUP($AP450,CODES,2,FALSE),"")&amp;IF(OR($AQ450="",$AQ450="-"),""," SEAM "&amp;$AQ450)&amp;IF($AR450="Y"," ASTRAGAL","")&amp;IF($AJ450=""," "," "&amp;$AJ450)&amp;IF($AK450=""," "," "&amp;$AK450)&amp;IF(OR($AT450="",$AT450="ANSI/SDI",$AT450="CUSTOM LOC"),""," "&amp;$AT450)&amp;IF($AM450=""," "," SERIES "&amp;$AM450)&amp;" "&amp;IFERROR(VLOOKUP($H450,CODES,2,FALSE),"")&amp;IF($CT450," | LOC "&amp;$CZ450,"")))</f>
        <v/>
      </c>
      <c r="CL450" s="99">
        <f>IF(CP450="","",IF(COUNTIF($CP$6:CP450,CP450)=1,MAX($CL$5:CL449)+1,INDEX($CL$5:CL449,MATCH(CP450,$CP$5:CP449,0))))</f>
        <v/>
      </c>
      <c r="CM450" s="99">
        <f>IF(NOT(AND($A450&lt;&gt;"",$C450&lt;&gt;"DOOR ONLY")),"",MAX($CM$5:CM449)+1)</f>
        <v/>
      </c>
      <c r="CN450" s="99">
        <f>IF(NOT(AND($A450&lt;&gt;"",N($BJ450)&gt;0)),"",MAX($CN$5:CN449)+1)</f>
        <v/>
      </c>
      <c r="CO450" s="99">
        <f>IF($A450="","",MAX($CO$5:CO449)+1)</f>
        <v/>
      </c>
      <c r="CP450" s="99">
        <f>IF(OR($A450="",$BH450="",$BI450=""),"",$BG450&amp;"|"&amp;$O450&amp;"|"&amp;$AL450&amp;"|"&amp;$S450&amp;"|"&amp;$P450&amp;"|"&amp;$Q450&amp;$R450&amp;"|"&amp;$C450&amp;"|"&amp;$AB450)</f>
        <v/>
      </c>
      <c r="CQ450" s="99">
        <f>N($BS450)</f>
        <v/>
      </c>
      <c r="CR450" s="99">
        <f>IF(N($AU450)&gt;0,N($AU450),4.5)</f>
        <v/>
      </c>
      <c r="CS450" s="99">
        <f>OR($A450="",$BI450="",$S450="BL",AND($C450="FRAME ONLY",OR($AC450="",$AC450="BLK")))</f>
        <v/>
      </c>
      <c r="CT450" s="99">
        <f>AND(NOT($CS450),OR($AT450="CUSTOM LOC",N($AW450)+N($AX450)+N($AY450)+N($AZ450)+N($BA450)&gt;0))</f>
        <v/>
      </c>
      <c r="CU450" s="99">
        <f>IF($BI450="","",IF($BI450&lt;=80,80,IF($BI450&lt;=84,84,96)))</f>
        <v/>
      </c>
      <c r="CV450" s="99">
        <f>ISNUMBER(MATCH($AT450&amp;"|80",LocKeys,0))</f>
        <v/>
      </c>
      <c r="CW450" s="101">
        <f>IF($CS450,"",IF($CV450,VLOOKUP($AT450&amp;"|"&amp;$CU450,LocTable,4,FALSE),5))</f>
        <v/>
      </c>
      <c r="CX450" s="101">
        <f>IF($CS450,"",IF($CV450,IF(OR($BI450=$CU450,AND($BI450&lt;$CU450,$BI450-IF(N(VLOOKUP($AT450&amp;"|"&amp;$CU450,LocTable,7,FALSE))&gt;0,VLOOKUP($AT450&amp;"|"&amp;$CU450,LocTable,7,FALSE),VLOOKUP($AT450&amp;"|"&amp;$CU450,LocTable,6,FALSE))-$CR450-0.75&gt;=2.125)),IF(N(VLOOKUP($AT450&amp;"|"&amp;$CU450,LocTable,7,FALSE))&gt;0,VLOOKUP($AT450&amp;"|"&amp;$CU450,LocTable,7,FALSE),VLOOKUP($AT450&amp;"|"&amp;$CU450,LocTable,6,FALSE)),$BI450-($CU450-IF(N(VLOOKUP($AT450&amp;"|"&amp;$CU450,LocTable,7,FALSE))&gt;0,VLOOKUP($AT450&amp;"|"&amp;$CU450,LocTable,7,FALSE),VLOOKUP($AT450&amp;"|"&amp;$CU450,LocTable,6,FALSE)))),$BI450-10-$CR450))</f>
        <v/>
      </c>
      <c r="CY450" s="100">
        <f>IF($CS450,"",TRIM(IF(ISNUMBER($BU450),"A "&amp;TRIM(TEXT($BU450,"# ?/??"))&amp;CHAR(34)&amp;"  ","")&amp;IF(ISNUMBER($BV450),"B "&amp;TRIM(TEXT($BV450,"# ?/??"))&amp;CHAR(34)&amp;"  ","")&amp;IF(ISNUMBER($BW450),"C "&amp;TRIM(TEXT($BW450,"# ?/??"))&amp;CHAR(34)&amp;"  ","")&amp;IF(ISNUMBER($BX450),"D "&amp;TRIM(TEXT($BX450,"# ?/??"))&amp;CHAR(34)&amp;"  ","")&amp;IF(ISNUMBER($BY450),"F "&amp;TRIM(TEXT($BY450,"# ?/??"))&amp;CHAR(34)&amp;"  ","")&amp;IF(ISNUMBER($BZ450),"E "&amp;TRIM(TEXT($BZ450,"# ?/??"))&amp;CHAR(34)&amp;"  ","")))</f>
        <v/>
      </c>
      <c r="CZ450" s="100">
        <f>IF(OR($CS450,N($BJ450)=0),"",TRIM(IF(ISNUMBER($BU450),"A "&amp;TRIM(TEXT($BU450-HeadClr,"# ?/??"))&amp;CHAR(34)&amp;"  ","")&amp;IF(ISNUMBER($BV450),"B "&amp;TRIM(TEXT($BV450-HeadClr,"# ?/??"))&amp;CHAR(34)&amp;"  ","")&amp;IF(ISNUMBER($BW450),"C "&amp;TRIM(TEXT($BW450-HeadClr,"# ?/??"))&amp;CHAR(34)&amp;"  ","")&amp;IF(ISNUMBER($BX450),"D "&amp;TRIM(TEXT($BX450-HeadClr,"# ?/??"))&amp;CHAR(34)&amp;"  ","")&amp;IF(ISNUMBER($BY450),"F "&amp;TRIM(TEXT($BY450-HeadClr,"# ?/??"))&amp;CHAR(34)&amp;"  ","")&amp;IF(ISNUMBER($BZ450),"E "&amp;TRIM(TEXT($BZ450-HeadClr,"# ?/??"))&amp;CHAR(34)&amp;"  ","")))</f>
        <v/>
      </c>
      <c r="DA450" s="99">
        <f>IF($A450="","",IF($AN450="",IFERROR(VLOOKUP($Z450,CODES,2,FALSE),""),IFERROR(VLOOKUP($AN450,CODES,2,FALSE),"")))</f>
        <v/>
      </c>
      <c r="DB450" s="99">
        <f>IF($A450="","",IF($O450="Y","PR",IF(OR($Z450="L",$Z450="RR",LEFT($Z450,2)="L-",LEFT($Z450,3)="RR-"),"LH","RH")))</f>
        <v/>
      </c>
      <c r="DC450" s="99">
        <f>IF($A450="","","S.HM"&amp;IF(OR($C450="DOOR ONLY",$X450&lt;&gt;"KD"),"MASONRY","DRYWALL")&amp;IF($C450="DOOR ONLY","",$U450)&amp;IF(AND($C450&lt;&gt;"FRAME ONLY",OR(LEFT($AH450,3)="OAK",LEFT($AH450,3)="BIR",LEFT($AH450,3)="MAP",$AH450="PC",$AH450="MC",$AH450="SCLC",$AH450="P-LAM")),"WD","HM")&amp;"1.75")</f>
        <v/>
      </c>
      <c r="DD450" s="99">
        <f>IF($CJ450="","",IF($O450="Y",$CJ450,SUBSTITUTE($CJ450,$BG450&amp;" "&amp;IFERROR(VLOOKUP($Z450,CODES,2,FALSE),"")&amp;" ",$BG450&amp;" ")))</f>
        <v/>
      </c>
      <c r="DE450" s="99">
        <f>IF($CK450="","",IF($O450="Y",$CK450,SUBSTITUTE($CK450,$BG450&amp;" "&amp;IF($AN450="",IFERROR(VLOOKUP($Z450,CODES,2,FALSE),""),IFERROR(VLOOKUP($AN450,CODES,2,FALSE),""))&amp;" ",$BG450&amp;" ")))</f>
        <v/>
      </c>
      <c r="DF450" s="99">
        <f>IF($CJ450="","",$DC450&amp;"|"&amp;$DD450&amp;"|"&amp;$DB450&amp;"|"&amp;$AT450&amp;"|"&amp;$V450&amp;"|"&amp;$Y450&amp;"|"&amp;$AB450)</f>
        <v/>
      </c>
      <c r="DG450" s="99">
        <f>IF(DF450="","",IF(COUNTIF($DF$6:DF450,DF450)=1,MAX($DG$5:DG449)+1,INDEX($DG$5:DG449,MATCH(DF450,$DF$5:DF449,0))))</f>
        <v/>
      </c>
      <c r="DH450" s="99">
        <f>IF($CK450="","",$DC450&amp;"|"&amp;$DE450&amp;"|"&amp;$AI450&amp;"|"&amp;$BK450&amp;"|"&amp;$BL450)</f>
        <v/>
      </c>
      <c r="DI450" s="99">
        <f>IF(DH450="","",IF(COUNTIF($DH$6:DH450,DH450)=1,MAX($DI$5:DI449)+1,INDEX($DI$5:DI449,MATCH(DH450,$DH$5:DH449,0))))</f>
        <v/>
      </c>
      <c r="DJ450" s="99">
        <f>IF($A450="","",IF($B450="","qty, ","")&amp;IF($C450="","scope, ","")&amp;IF(OR($K450="",$M450=""),"size, ","")&amp;IF(AND($A450&lt;&gt;"",$C450&lt;&gt;"DOOR ONLY"),IF($U450="","jamb depth, ","")&amp;IF($X450="","construction, ","")&amp;IF($Y450="","anchor, ","")&amp;IF($S450="","frame type, ",""),"")&amp;IF(AND(N($BJ450)&gt;0,$Z450=""),"hand, ","")&amp;IF(N($BJ450)&gt;0,IF($AH450="","door material, ","")&amp;IF($AL450="","face type, ","")&amp;IF($AP450="","lock prep, ","")&amp;IF(AND($AO450="",$AC450=""),"hinge prep, ",""),"")&amp;IF(AND($CH450&gt;0,$AH450="FRP"),"FRP cannot carry a label, ","")&amp;IF(AND($O450="Y",OR($Z450="L",$Z450="R",$Z450="LR",$Z450="RR")),"pair marked but hand is single, ","")&amp;IF(AND($O450&lt;&gt;"Y",OR($Z450="PR",AND(LEN($Z450)&gt;1,ISNUMBER(SEARCH("-",$Z450))))),"pair hand on a single door, ","")&amp;IF(AND(ISNUMBER($CI450),$CH450&lt;N($CI450)),"wall needs a "&amp;$CI450&amp;" min door, ","")&amp;IF(AND($CH450&gt;=180,AND(OR($CE450="FG",$CE450="HG",$CE450="FNV",$CE450="FV"),N($CF450)*N($CG450)&gt;100)),"180 min lite over 100 sq in, ","")&amp;IF(N($BK450)&gt;48,"leaf wider than 4'-0"&amp;CHAR(34)&amp;", ","")&amp;IF(AND($CT450,COUNT($AW450:$AZ450)=0,$CQ450&gt;0),"CUSTOM LOC with no locations typed, ",""))</f>
        <v/>
      </c>
      <c r="DK450" s="99">
        <f>IF($A450="","",IF(AND($CH450&gt;0,AND($A450&lt;&gt;"",$C450&lt;&gt;"DOOR ONLY"),$X450="KD",$E450="EXTERIOR"),"KD label on an exterior opening, ","")&amp;IF(AND($E450="EXTERIOR",OR(AND(AND($A450&lt;&gt;"",$C450&lt;&gt;"DOOR ONLY"),$W450="CR"),AND(N($BJ450)&gt;0,$AH450="CR"))),"exterior in CR steel (G9?), ","")&amp;IF(AND(ISNUMBER($BQ450),N($BQ450)&lt;32),"clear width ~"&amp;TEXT($BQ450,"0.0")&amp;CHAR(34)&amp;" under 32"&amp;CHAR(34)&amp;" (ADA), ","")&amp;IF(AND($CH450=90,AND(OR($CE450="FG",$CE450="HG",$CE450="FNV",$CE450="FV"),N($CF450)*N($CG450)&gt;100)),"90 min lite over 100 sq in (stair/exit), ","")&amp;IF(AND($CH450&gt;0,AND($A450&lt;&gt;"",$C450&lt;&gt;"DOOR ONLY"),OR($AF450="",$AF450="-")),"rated: closer reinf.?, ","")&amp;IF(OR($I450="CORRIDOR",$I450="SMOKE BARRIER"),"S label + smoke gasketing, ","")&amp;IF($CI450="?","wall type/hr not in IBC table, ","")&amp;IF(AND(N($BJ450)&gt;0,$BB450=""),"no hardware set, ","")&amp;IF(AND($BB450&lt;&gt;"",ISNA(MATCH($BB450&amp;"",HWSets,0))),"set "&amp;$BB450&amp;" not on HW Sets, ","")&amp;IF(N($BL450)&gt;96,"leaf over 8'-0"&amp;CHAR(34)&amp;" - check listing, ","")&amp;IF(AND($CT450,COUNT($AW450:$AZ450)&gt;0,COUNT($AW450:$AZ450)&lt;&gt;$CQ450),COUNT($AW450:$AZ450)&amp;" custom hinges typed, "&amp;$CQ450&amp;" expected, ","")&amp;IF(AND(ISNUMBER($CA450),OR(N($CA450)&lt;34,N($CA450)&gt;48)),"lock "&amp;TEXT($CA450,"0.0")&amp;CHAR(34)&amp;" AFF outside 34-48"&amp;CHAR(34)&amp;" (ADA), ","")&amp;IF(AND(ISNUMBER($AV450),ISNUMBER($BL450),N($AV450)&lt;IF(N($BL450)&lt;=60,2,IF(N($BL450)&lt;=90,3,IF(N($BL450)&lt;=120,4,5)))),"fewer hinges than standard, ",""))</f>
        <v/>
      </c>
    </row>
    <row r="451" ht="15" customHeight="1">
      <c r="A451" s="77" t="n"/>
      <c r="B451" s="78" t="n"/>
      <c r="C451" s="78" t="n"/>
      <c r="D451" s="78" t="n"/>
      <c r="E451" s="78" t="n"/>
      <c r="F451" s="78" t="n"/>
      <c r="G451" s="78" t="n"/>
      <c r="H451" s="78" t="n"/>
      <c r="I451" s="78" t="n"/>
      <c r="J451" s="78" t="n"/>
      <c r="K451" s="78" t="n"/>
      <c r="L451" s="78" t="n"/>
      <c r="M451" s="78" t="n"/>
      <c r="N451" s="78" t="n"/>
      <c r="O451" s="78" t="n"/>
      <c r="P451" s="78" t="n"/>
      <c r="Q451" s="78" t="n"/>
      <c r="R451" s="78" t="n"/>
      <c r="S451" s="79" t="n"/>
      <c r="T451" s="79" t="n"/>
      <c r="U451" s="79" t="n"/>
      <c r="V451" s="79" t="n"/>
      <c r="W451" s="79" t="n"/>
      <c r="X451" s="79" t="n"/>
      <c r="Y451" s="79" t="n"/>
      <c r="Z451" s="79" t="n"/>
      <c r="AA451" s="79" t="n"/>
      <c r="AB451" s="79" t="n"/>
      <c r="AC451" s="79" t="n"/>
      <c r="AD451" s="79" t="n"/>
      <c r="AE451" s="79" t="n"/>
      <c r="AF451" s="79" t="n"/>
      <c r="AG451" s="79" t="n"/>
      <c r="AH451" s="80" t="n"/>
      <c r="AI451" s="80" t="n"/>
      <c r="AJ451" s="80" t="n"/>
      <c r="AK451" s="80" t="n"/>
      <c r="AL451" s="80" t="n"/>
      <c r="AM451" s="80" t="n"/>
      <c r="AN451" s="80" t="n"/>
      <c r="AO451" s="80" t="n"/>
      <c r="AP451" s="80" t="n"/>
      <c r="AQ451" s="80" t="n"/>
      <c r="AR451" s="80" t="n"/>
      <c r="AS451" s="80" t="n"/>
      <c r="AT451" s="81" t="n"/>
      <c r="AU451" s="81" t="n"/>
      <c r="AV451" s="81" t="n"/>
      <c r="AW451" s="82" t="n"/>
      <c r="AX451" s="82" t="n"/>
      <c r="AY451" s="82" t="n"/>
      <c r="AZ451" s="82" t="n"/>
      <c r="BA451" s="82" t="n"/>
      <c r="BB451" s="83" t="n"/>
      <c r="BC451" s="83" t="n"/>
      <c r="BD451" s="84">
        <f>IF($A451="","",IF($DJ451&lt;&gt;"","FIX",IF($DK451&lt;&gt;"","CHECK","OK")))</f>
        <v/>
      </c>
      <c r="BE451" s="85">
        <f>IF($A451="","",IF($DJ451&lt;&gt;"","FIX: "&amp;LEFT($DJ451,LEN($DJ451)-2)&amp;IF($DK451&lt;&gt;"","  ·  ",""),"")&amp;IF($DK451&lt;&gt;"","CHECK: "&amp;LEFT($DK451,LEN($DK451)-2),""))</f>
        <v/>
      </c>
      <c r="BF451" s="84">
        <f>IF(OR($A451="",$K451=""),"",$K451&amp;"'-"&amp;N($L451)&amp;CHAR(34)&amp;" x "&amp;$M451&amp;"'-"&amp;N($N451)&amp;CHAR(34))</f>
        <v/>
      </c>
      <c r="BG451" s="84">
        <f>IF(OR($A451="",$K451=""),"",$K451&amp;N($L451)&amp;$M451&amp;N($N451))</f>
        <v/>
      </c>
      <c r="BH451" s="84">
        <f>IF(OR($A451="",$K451=""),"",$K451*12+N($L451))</f>
        <v/>
      </c>
      <c r="BI451" s="84">
        <f>IF(OR($A451="",$M451=""),"",$M451*12+N($N451))</f>
        <v/>
      </c>
      <c r="BJ451" s="84">
        <f>IF($A451="","",IF(OR($C451="FRAME ONLY",$S451="BL"),0,IF($O451="Y",2,1)))</f>
        <v/>
      </c>
      <c r="BK451" s="86">
        <f>IF(OR(N($BJ451)=0,$BH451=""),"",($BH451-2*EdgeClr-IF($BJ451=2,MeetClr,0))/$BJ451)</f>
        <v/>
      </c>
      <c r="BL451" s="86">
        <f>IF(OR(N($BJ451)=0,$BI451=""),"",$BI451-HeadClr-Undercut)</f>
        <v/>
      </c>
      <c r="BM451" s="86">
        <f>IF($BH451="","",$BH451+2*FaceW+IF(N($Q451)&gt;0,($Q451+FaceW)*IF($R451="LR",2,1),0))</f>
        <v/>
      </c>
      <c r="BN451" s="86">
        <f>IF($BI451="","",$BI451+IF($AB451="Y",4,FaceW)+IF(N($P451)&gt;0,$P451+FaceW,0)+IF(OR($S451="4F",$S451="BL"),FaceW,0))</f>
        <v/>
      </c>
      <c r="BO451" s="86">
        <f>IF($BM451="","",$BM451+2*ROSide)</f>
        <v/>
      </c>
      <c r="BP451" s="86">
        <f>IF($BN451="","",$BN451+ROTop)</f>
        <v/>
      </c>
      <c r="BQ451" s="87">
        <f>IF(OR(N($BJ451)=0,$BH451=""),"",$BH451/$BJ451-ClearDeduct)</f>
        <v/>
      </c>
      <c r="BR451" s="84">
        <f>IF(N($CH451)=0,"",IF($CH451&gt;=180,"A · 3 HR",IF($CH451&gt;=90,"B · 1-1/2 HR",IF($CH451&gt;=60,"B · 1 HR",IF($CH451&gt;=45,"C · 3/4 HR","20 MIN")))))&amp;IF(AND(N($CH451)&gt;0,OR($I451="CORRIDOR",$I451="SMOKE BARRIER"))," · S","")</f>
        <v/>
      </c>
      <c r="BS451" s="84">
        <f>IF($CS451,"",IF($AV451&lt;&gt;"",$AV451,IF(OR($AC451="HGC",$AO451="HGC"),"CONT",IF(($BI451-HeadClr-Undercut)&lt;=60,2,IF(($BI451-HeadClr-Undercut)&lt;=90,3,IF(($BI451-HeadClr-Undercut)&lt;=120,4,5))))))</f>
        <v/>
      </c>
      <c r="BT451" s="84">
        <f>IF($CS451,"",IF($CT451,"CUSTOM (typed)",IF($CV451,$AT451&amp;" "&amp;$CU451&amp;CHAR(34)&amp;IF($CU451&lt;&gt;$BI451,IF(AND($BI451&lt;$CU451,$BI451-IF(N(VLOOKUP($AT451&amp;"|"&amp;$CU451,LocTable,7,FALSE))&gt;0,VLOOKUP($AT451&amp;"|"&amp;$CU451,LocTable,7,FALSE),VLOOKUP($AT451&amp;"|"&amp;$CU451,LocTable,6,FALSE))-$CR451-0.75&gt;=2.125)," cut down"," adj."),""),"ANSI/SDI A250.6")))</f>
        <v/>
      </c>
      <c r="BU451" s="88">
        <f>IF($CS451,"",IF($CT451,IF(N($AW451)&gt;0,N($AW451),""),IF(1&gt;$CQ451,"",IF($CQ451=1,$CW451,$CW451+($CX451-$CW451)*0/($CQ451-1)))))</f>
        <v/>
      </c>
      <c r="BV451" s="88">
        <f>IF($CS451,"",IF($CT451,IF(N($AX451)&gt;0,N($AX451),""),IF(2&gt;$CQ451,"",IF($CQ451=1,$CW451,$CW451+($CX451-$CW451)*1/($CQ451-1)))))</f>
        <v/>
      </c>
      <c r="BW451" s="88">
        <f>IF($CS451,"",IF($CT451,IF(N($AY451)&gt;0,N($AY451),""),IF(3&gt;$CQ451,"",IF($CQ451=1,$CW451,$CW451+($CX451-$CW451)*2/($CQ451-1)))))</f>
        <v/>
      </c>
      <c r="BX451" s="88">
        <f>IF($CS451,"",IF($CT451,IF(N($AZ451)&gt;0,N($AZ451),""),IF(4&gt;$CQ451,"",IF($CQ451=1,$CW451,$CW451+($CX451-$CW451)*3/($CQ451-1)))))</f>
        <v/>
      </c>
      <c r="BY451" s="88">
        <f>IF($CS451,"",IF($CT451,"",IF(5&gt;$CQ451,"",IF($CQ451=1,$CW451,$CW451+($CX451-$CW451)*4/($CQ451-1)))))</f>
        <v/>
      </c>
      <c r="BZ451" s="88">
        <f>IF(OR($CS451,$AP451="-",AND($AP451="",$AD451="")),"",IF(N($BA451)&gt;0,N($BA451),IF($CV451,IF(AND($BI451&lt;$CU451,$BI451-IF(N(VLOOKUP($AT451&amp;"|"&amp;$CU451,LocTable,7,FALSE))&gt;0,VLOOKUP($AT451&amp;"|"&amp;$CU451,LocTable,7,FALSE),VLOOKUP($AT451&amp;"|"&amp;$CU451,LocTable,6,FALSE))-$CR451-0.75&gt;=2.125),VLOOKUP($AT451&amp;"|"&amp;$CU451,LocTable,8,FALSE),VLOOKUP($AT451&amp;"|"&amp;$CU451,LocTable,8,FALSE)+($BI451-$CU451)),$BI451-LockAFF)))</f>
        <v/>
      </c>
      <c r="CA451" s="89">
        <f>IF($BZ451="","",$BI451-$BZ451)</f>
        <v/>
      </c>
      <c r="CB451" s="84">
        <f>IF(OR(NOT(AND($A451&lt;&gt;"",$C451&lt;&gt;"DOOR ONLY")),$BI451=""),"",IF(($BI451+IF(N($P451)&gt;0,$P451+FaceW,0))&lt;=90,3,IF(($BI451+IF(N($P451)&gt;0,$P451+FaceW,0))&lt;=114,4,5)))</f>
        <v/>
      </c>
      <c r="CC451" s="84">
        <f>IF($CB451="","",$CB451*(2+IF(N($Q451)&gt;0,IF($R451="LR",2,1),0)))</f>
        <v/>
      </c>
      <c r="CD451" s="84">
        <f>IF($CB451="","",(2+IF(N($Q451)&gt;0,IF($R451="LR",2,1),0)))</f>
        <v/>
      </c>
      <c r="CE451" s="84">
        <f>IF(N($BJ451)=0,"",IF(OR($AL451="",$AL451="FLUSH"),"FLUSH",IFERROR(LEFT($AL451,FIND("-",$AL451)-1),LEFT($AL451,2))))</f>
        <v/>
      </c>
      <c r="CF451" s="84">
        <f>IF($CE451="","",IFERROR(VALUE(MID($AL451,FIND("-",$AL451)+1,FIND(CHAR(34)&amp;"x",$AL451)-FIND("-",$AL451)-1)),0))</f>
        <v/>
      </c>
      <c r="CG451" s="84">
        <f>IF($CE451="","",IFERROR(VALUE(MID($AL451,FIND(CHAR(34)&amp;"x",$AL451)+2,FIND(CHAR(34),$AL451,FIND(CHAR(34)&amp;"x",$AL451)+2)-FIND(CHAR(34)&amp;"x",$AL451)-2)),0))</f>
        <v/>
      </c>
      <c r="CH451" s="90">
        <f>IF(OR($A451="",$H451="",$H451="NO LAB"),0,IFERROR(VALUE(LEFT($H451,FIND(" ",$H451)-1)),0))</f>
        <v/>
      </c>
      <c r="CI451" s="91">
        <f>IF(OR($A451="",$I451="",$I451="NON-RATED",N($J451)=0),"",IFERROR(VLOOKUP($I451&amp;"|"&amp;$J451,IBC,2,FALSE),"?"))</f>
        <v/>
      </c>
      <c r="CJ451" s="85">
        <f>IF(NOT(AND($A451&lt;&gt;"",$C451&lt;&gt;"DOOR ONLY")),"",TRIM(IFERROR(VLOOKUP($U451,CODES,2,FALSE),"")&amp;" "&amp;$BG451&amp;" "&amp;IFERROR(VLOOKUP($Z451,CODES,2,FALSE),"")&amp;" "&amp;IFERROR(VLOOKUP($X451,CODES,2,FALSE),"")&amp;" "&amp;IFERROR(VLOOKUP($S451,CODES,2,FALSE),"")&amp;IF(N($P451)&gt;0," w/TRANSOM "&amp;$P451&amp;CHAR(34),"")&amp;IF(N($Q451)&gt;0," w/SIDELITE "&amp;$Q451&amp;CHAR(34)&amp;" "&amp;IF($R451="","R",$R451),"")&amp;IF($Y451="","  |  "," | "&amp;IFERROR(VLOOKUP($Y451,CODES,2,FALSE),"")&amp;" | ")&amp;IFERROR(VLOOKUP($AC451,CODES,2,FALSE),"")&amp;" "&amp;IFERROR(VLOOKUP($AD451,CODES,2,FALSE),"")&amp;IF(OR($AE451="",$AE451="-"),""," "&amp;$AE451)&amp;IF(OR($AF451="",$AF451="-"),""," "&amp;$AF451)&amp;IF($AB451="Y"," 4"&amp;CHAR(34)&amp;" HEAD","")&amp;" "&amp;IFERROR(VLOOKUP($H451,CODES,2,FALSE),"")&amp;IF($CT451," | LOC "&amp;$CY451,"")))</f>
        <v/>
      </c>
      <c r="CK451" s="85">
        <f>IF(NOT(AND($A451&lt;&gt;"",N($BJ451)&gt;0)),"",TRIM(IFERROR(VLOOKUP($AH451,CODES,2,FALSE),"")&amp;IF($AI451=""," "," "&amp;$AI451&amp;"GA ")&amp;$BG451&amp;" "&amp;IF($AN451="",IFERROR(VLOOKUP($Z451,CODES,2,FALSE),""),IFERROR(VLOOKUP($AN451,CODES,2,FALSE),""))&amp;IF($BJ451=2," PAIR","")&amp;" DOOR | "&amp;IF($AL451="","?",$AL451)&amp;" | "&amp;IF($AO451="",IFERROR(VLOOKUP($AC451,CODES,2,FALSE),""),IFERROR(VLOOKUP($AO451,CODES,2,FALSE),""))&amp;" "&amp;IFERROR(VLOOKUP($AP451,CODES,2,FALSE),"")&amp;IF(OR($AQ451="",$AQ451="-"),""," SEAM "&amp;$AQ451)&amp;IF($AR451="Y"," ASTRAGAL","")&amp;IF($AJ451=""," "," "&amp;$AJ451)&amp;IF($AK451=""," "," "&amp;$AK451)&amp;IF(OR($AT451="",$AT451="ANSI/SDI",$AT451="CUSTOM LOC"),""," "&amp;$AT451)&amp;IF($AM451=""," "," SERIES "&amp;$AM451)&amp;" "&amp;IFERROR(VLOOKUP($H451,CODES,2,FALSE),"")&amp;IF($CT451," | LOC "&amp;$CZ451,"")))</f>
        <v/>
      </c>
      <c r="CL451" s="84">
        <f>IF(CP451="","",IF(COUNTIF($CP$6:CP451,CP451)=1,MAX($CL$5:CL450)+1,INDEX($CL$5:CL450,MATCH(CP451,$CP$5:CP450,0))))</f>
        <v/>
      </c>
      <c r="CM451" s="84">
        <f>IF(NOT(AND($A451&lt;&gt;"",$C451&lt;&gt;"DOOR ONLY")),"",MAX($CM$5:CM450)+1)</f>
        <v/>
      </c>
      <c r="CN451" s="84">
        <f>IF(NOT(AND($A451&lt;&gt;"",N($BJ451)&gt;0)),"",MAX($CN$5:CN450)+1)</f>
        <v/>
      </c>
      <c r="CO451" s="84">
        <f>IF($A451="","",MAX($CO$5:CO450)+1)</f>
        <v/>
      </c>
      <c r="CP451" s="84">
        <f>IF(OR($A451="",$BH451="",$BI451=""),"",$BG451&amp;"|"&amp;$O451&amp;"|"&amp;$AL451&amp;"|"&amp;$S451&amp;"|"&amp;$P451&amp;"|"&amp;$Q451&amp;$R451&amp;"|"&amp;$C451&amp;"|"&amp;$AB451)</f>
        <v/>
      </c>
      <c r="CQ451" s="84">
        <f>N($BS451)</f>
        <v/>
      </c>
      <c r="CR451" s="84">
        <f>IF(N($AU451)&gt;0,N($AU451),4.5)</f>
        <v/>
      </c>
      <c r="CS451" s="84">
        <f>OR($A451="",$BI451="",$S451="BL",AND($C451="FRAME ONLY",OR($AC451="",$AC451="BLK")))</f>
        <v/>
      </c>
      <c r="CT451" s="84">
        <f>AND(NOT($CS451),OR($AT451="CUSTOM LOC",N($AW451)+N($AX451)+N($AY451)+N($AZ451)+N($BA451)&gt;0))</f>
        <v/>
      </c>
      <c r="CU451" s="84">
        <f>IF($BI451="","",IF($BI451&lt;=80,80,IF($BI451&lt;=84,84,96)))</f>
        <v/>
      </c>
      <c r="CV451" s="84">
        <f>ISNUMBER(MATCH($AT451&amp;"|80",LocKeys,0))</f>
        <v/>
      </c>
      <c r="CW451" s="86">
        <f>IF($CS451,"",IF($CV451,VLOOKUP($AT451&amp;"|"&amp;$CU451,LocTable,4,FALSE),5))</f>
        <v/>
      </c>
      <c r="CX451" s="86">
        <f>IF($CS451,"",IF($CV451,IF(OR($BI451=$CU451,AND($BI451&lt;$CU451,$BI451-IF(N(VLOOKUP($AT451&amp;"|"&amp;$CU451,LocTable,7,FALSE))&gt;0,VLOOKUP($AT451&amp;"|"&amp;$CU451,LocTable,7,FALSE),VLOOKUP($AT451&amp;"|"&amp;$CU451,LocTable,6,FALSE))-$CR451-0.75&gt;=2.125)),IF(N(VLOOKUP($AT451&amp;"|"&amp;$CU451,LocTable,7,FALSE))&gt;0,VLOOKUP($AT451&amp;"|"&amp;$CU451,LocTable,7,FALSE),VLOOKUP($AT451&amp;"|"&amp;$CU451,LocTable,6,FALSE)),$BI451-($CU451-IF(N(VLOOKUP($AT451&amp;"|"&amp;$CU451,LocTable,7,FALSE))&gt;0,VLOOKUP($AT451&amp;"|"&amp;$CU451,LocTable,7,FALSE),VLOOKUP($AT451&amp;"|"&amp;$CU451,LocTable,6,FALSE)))),$BI451-10-$CR451))</f>
        <v/>
      </c>
      <c r="CY451" s="85">
        <f>IF($CS451,"",TRIM(IF(ISNUMBER($BU451),"A "&amp;TRIM(TEXT($BU451,"# ?/??"))&amp;CHAR(34)&amp;"  ","")&amp;IF(ISNUMBER($BV451),"B "&amp;TRIM(TEXT($BV451,"# ?/??"))&amp;CHAR(34)&amp;"  ","")&amp;IF(ISNUMBER($BW451),"C "&amp;TRIM(TEXT($BW451,"# ?/??"))&amp;CHAR(34)&amp;"  ","")&amp;IF(ISNUMBER($BX451),"D "&amp;TRIM(TEXT($BX451,"# ?/??"))&amp;CHAR(34)&amp;"  ","")&amp;IF(ISNUMBER($BY451),"F "&amp;TRIM(TEXT($BY451,"# ?/??"))&amp;CHAR(34)&amp;"  ","")&amp;IF(ISNUMBER($BZ451),"E "&amp;TRIM(TEXT($BZ451,"# ?/??"))&amp;CHAR(34)&amp;"  ","")))</f>
        <v/>
      </c>
      <c r="CZ451" s="85">
        <f>IF(OR($CS451,N($BJ451)=0),"",TRIM(IF(ISNUMBER($BU451),"A "&amp;TRIM(TEXT($BU451-HeadClr,"# ?/??"))&amp;CHAR(34)&amp;"  ","")&amp;IF(ISNUMBER($BV451),"B "&amp;TRIM(TEXT($BV451-HeadClr,"# ?/??"))&amp;CHAR(34)&amp;"  ","")&amp;IF(ISNUMBER($BW451),"C "&amp;TRIM(TEXT($BW451-HeadClr,"# ?/??"))&amp;CHAR(34)&amp;"  ","")&amp;IF(ISNUMBER($BX451),"D "&amp;TRIM(TEXT($BX451-HeadClr,"# ?/??"))&amp;CHAR(34)&amp;"  ","")&amp;IF(ISNUMBER($BY451),"F "&amp;TRIM(TEXT($BY451-HeadClr,"# ?/??"))&amp;CHAR(34)&amp;"  ","")&amp;IF(ISNUMBER($BZ451),"E "&amp;TRIM(TEXT($BZ451-HeadClr,"# ?/??"))&amp;CHAR(34)&amp;"  ","")))</f>
        <v/>
      </c>
      <c r="DA451" s="84">
        <f>IF($A451="","",IF($AN451="",IFERROR(VLOOKUP($Z451,CODES,2,FALSE),""),IFERROR(VLOOKUP($AN451,CODES,2,FALSE),"")))</f>
        <v/>
      </c>
      <c r="DB451" s="84">
        <f>IF($A451="","",IF($O451="Y","PR",IF(OR($Z451="L",$Z451="RR",LEFT($Z451,2)="L-",LEFT($Z451,3)="RR-"),"LH","RH")))</f>
        <v/>
      </c>
      <c r="DC451" s="84">
        <f>IF($A451="","","S.HM"&amp;IF(OR($C451="DOOR ONLY",$X451&lt;&gt;"KD"),"MASONRY","DRYWALL")&amp;IF($C451="DOOR ONLY","",$U451)&amp;IF(AND($C451&lt;&gt;"FRAME ONLY",OR(LEFT($AH451,3)="OAK",LEFT($AH451,3)="BIR",LEFT($AH451,3)="MAP",$AH451="PC",$AH451="MC",$AH451="SCLC",$AH451="P-LAM")),"WD","HM")&amp;"1.75")</f>
        <v/>
      </c>
      <c r="DD451" s="84">
        <f>IF($CJ451="","",IF($O451="Y",$CJ451,SUBSTITUTE($CJ451,$BG451&amp;" "&amp;IFERROR(VLOOKUP($Z451,CODES,2,FALSE),"")&amp;" ",$BG451&amp;" ")))</f>
        <v/>
      </c>
      <c r="DE451" s="84">
        <f>IF($CK451="","",IF($O451="Y",$CK451,SUBSTITUTE($CK451,$BG451&amp;" "&amp;IF($AN451="",IFERROR(VLOOKUP($Z451,CODES,2,FALSE),""),IFERROR(VLOOKUP($AN451,CODES,2,FALSE),""))&amp;" ",$BG451&amp;" ")))</f>
        <v/>
      </c>
      <c r="DF451" s="84">
        <f>IF($CJ451="","",$DC451&amp;"|"&amp;$DD451&amp;"|"&amp;$DB451&amp;"|"&amp;$AT451&amp;"|"&amp;$V451&amp;"|"&amp;$Y451&amp;"|"&amp;$AB451)</f>
        <v/>
      </c>
      <c r="DG451" s="84">
        <f>IF(DF451="","",IF(COUNTIF($DF$6:DF451,DF451)=1,MAX($DG$5:DG450)+1,INDEX($DG$5:DG450,MATCH(DF451,$DF$5:DF450,0))))</f>
        <v/>
      </c>
      <c r="DH451" s="84">
        <f>IF($CK451="","",$DC451&amp;"|"&amp;$DE451&amp;"|"&amp;$AI451&amp;"|"&amp;$BK451&amp;"|"&amp;$BL451)</f>
        <v/>
      </c>
      <c r="DI451" s="84">
        <f>IF(DH451="","",IF(COUNTIF($DH$6:DH451,DH451)=1,MAX($DI$5:DI450)+1,INDEX($DI$5:DI450,MATCH(DH451,$DH$5:DH450,0))))</f>
        <v/>
      </c>
      <c r="DJ451" s="84">
        <f>IF($A451="","",IF($B451="","qty, ","")&amp;IF($C451="","scope, ","")&amp;IF(OR($K451="",$M451=""),"size, ","")&amp;IF(AND($A451&lt;&gt;"",$C451&lt;&gt;"DOOR ONLY"),IF($U451="","jamb depth, ","")&amp;IF($X451="","construction, ","")&amp;IF($Y451="","anchor, ","")&amp;IF($S451="","frame type, ",""),"")&amp;IF(AND(N($BJ451)&gt;0,$Z451=""),"hand, ","")&amp;IF(N($BJ451)&gt;0,IF($AH451="","door material, ","")&amp;IF($AL451="","face type, ","")&amp;IF($AP451="","lock prep, ","")&amp;IF(AND($AO451="",$AC451=""),"hinge prep, ",""),"")&amp;IF(AND($CH451&gt;0,$AH451="FRP"),"FRP cannot carry a label, ","")&amp;IF(AND($O451="Y",OR($Z451="L",$Z451="R",$Z451="LR",$Z451="RR")),"pair marked but hand is single, ","")&amp;IF(AND($O451&lt;&gt;"Y",OR($Z451="PR",AND(LEN($Z451)&gt;1,ISNUMBER(SEARCH("-",$Z451))))),"pair hand on a single door, ","")&amp;IF(AND(ISNUMBER($CI451),$CH451&lt;N($CI451)),"wall needs a "&amp;$CI451&amp;" min door, ","")&amp;IF(AND($CH451&gt;=180,AND(OR($CE451="FG",$CE451="HG",$CE451="FNV",$CE451="FV"),N($CF451)*N($CG451)&gt;100)),"180 min lite over 100 sq in, ","")&amp;IF(N($BK451)&gt;48,"leaf wider than 4'-0"&amp;CHAR(34)&amp;", ","")&amp;IF(AND($CT451,COUNT($AW451:$AZ451)=0,$CQ451&gt;0),"CUSTOM LOC with no locations typed, ",""))</f>
        <v/>
      </c>
      <c r="DK451" s="84">
        <f>IF($A451="","",IF(AND($CH451&gt;0,AND($A451&lt;&gt;"",$C451&lt;&gt;"DOOR ONLY"),$X451="KD",$E451="EXTERIOR"),"KD label on an exterior opening, ","")&amp;IF(AND($E451="EXTERIOR",OR(AND(AND($A451&lt;&gt;"",$C451&lt;&gt;"DOOR ONLY"),$W451="CR"),AND(N($BJ451)&gt;0,$AH451="CR"))),"exterior in CR steel (G9?), ","")&amp;IF(AND(ISNUMBER($BQ451),N($BQ451)&lt;32),"clear width ~"&amp;TEXT($BQ451,"0.0")&amp;CHAR(34)&amp;" under 32"&amp;CHAR(34)&amp;" (ADA), ","")&amp;IF(AND($CH451=90,AND(OR($CE451="FG",$CE451="HG",$CE451="FNV",$CE451="FV"),N($CF451)*N($CG451)&gt;100)),"90 min lite over 100 sq in (stair/exit), ","")&amp;IF(AND($CH451&gt;0,AND($A451&lt;&gt;"",$C451&lt;&gt;"DOOR ONLY"),OR($AF451="",$AF451="-")),"rated: closer reinf.?, ","")&amp;IF(OR($I451="CORRIDOR",$I451="SMOKE BARRIER"),"S label + smoke gasketing, ","")&amp;IF($CI451="?","wall type/hr not in IBC table, ","")&amp;IF(AND(N($BJ451)&gt;0,$BB451=""),"no hardware set, ","")&amp;IF(AND($BB451&lt;&gt;"",ISNA(MATCH($BB451&amp;"",HWSets,0))),"set "&amp;$BB451&amp;" not on HW Sets, ","")&amp;IF(N($BL451)&gt;96,"leaf over 8'-0"&amp;CHAR(34)&amp;" - check listing, ","")&amp;IF(AND($CT451,COUNT($AW451:$AZ451)&gt;0,COUNT($AW451:$AZ451)&lt;&gt;$CQ451),COUNT($AW451:$AZ451)&amp;" custom hinges typed, "&amp;$CQ451&amp;" expected, ","")&amp;IF(AND(ISNUMBER($CA451),OR(N($CA451)&lt;34,N($CA451)&gt;48)),"lock "&amp;TEXT($CA451,"0.0")&amp;CHAR(34)&amp;" AFF outside 34-48"&amp;CHAR(34)&amp;" (ADA), ","")&amp;IF(AND(ISNUMBER($AV451),ISNUMBER($BL451),N($AV451)&lt;IF(N($BL451)&lt;=60,2,IF(N($BL451)&lt;=90,3,IF(N($BL451)&lt;=120,4,5)))),"fewer hinges than standard, ",""))</f>
        <v/>
      </c>
    </row>
    <row r="452" ht="15" customHeight="1">
      <c r="A452" s="77" t="n"/>
      <c r="B452" s="78" t="n"/>
      <c r="C452" s="78" t="n"/>
      <c r="D452" s="78" t="n"/>
      <c r="E452" s="78" t="n"/>
      <c r="F452" s="78" t="n"/>
      <c r="G452" s="78" t="n"/>
      <c r="H452" s="78" t="n"/>
      <c r="I452" s="78" t="n"/>
      <c r="J452" s="78" t="n"/>
      <c r="K452" s="78" t="n"/>
      <c r="L452" s="78" t="n"/>
      <c r="M452" s="78" t="n"/>
      <c r="N452" s="78" t="n"/>
      <c r="O452" s="78" t="n"/>
      <c r="P452" s="78" t="n"/>
      <c r="Q452" s="78" t="n"/>
      <c r="R452" s="78" t="n"/>
      <c r="S452" s="79" t="n"/>
      <c r="T452" s="79" t="n"/>
      <c r="U452" s="79" t="n"/>
      <c r="V452" s="79" t="n"/>
      <c r="W452" s="79" t="n"/>
      <c r="X452" s="79" t="n"/>
      <c r="Y452" s="79" t="n"/>
      <c r="Z452" s="79" t="n"/>
      <c r="AA452" s="79" t="n"/>
      <c r="AB452" s="79" t="n"/>
      <c r="AC452" s="79" t="n"/>
      <c r="AD452" s="79" t="n"/>
      <c r="AE452" s="79" t="n"/>
      <c r="AF452" s="79" t="n"/>
      <c r="AG452" s="79" t="n"/>
      <c r="AH452" s="80" t="n"/>
      <c r="AI452" s="80" t="n"/>
      <c r="AJ452" s="80" t="n"/>
      <c r="AK452" s="80" t="n"/>
      <c r="AL452" s="80" t="n"/>
      <c r="AM452" s="80" t="n"/>
      <c r="AN452" s="80" t="n"/>
      <c r="AO452" s="80" t="n"/>
      <c r="AP452" s="80" t="n"/>
      <c r="AQ452" s="80" t="n"/>
      <c r="AR452" s="80" t="n"/>
      <c r="AS452" s="80" t="n"/>
      <c r="AT452" s="81" t="n"/>
      <c r="AU452" s="81" t="n"/>
      <c r="AV452" s="81" t="n"/>
      <c r="AW452" s="82" t="n"/>
      <c r="AX452" s="82" t="n"/>
      <c r="AY452" s="82" t="n"/>
      <c r="AZ452" s="82" t="n"/>
      <c r="BA452" s="82" t="n"/>
      <c r="BB452" s="83" t="n"/>
      <c r="BC452" s="83" t="n"/>
      <c r="BD452" s="84">
        <f>IF($A452="","",IF($DJ452&lt;&gt;"","FIX",IF($DK452&lt;&gt;"","CHECK","OK")))</f>
        <v/>
      </c>
      <c r="BE452" s="85">
        <f>IF($A452="","",IF($DJ452&lt;&gt;"","FIX: "&amp;LEFT($DJ452,LEN($DJ452)-2)&amp;IF($DK452&lt;&gt;"","  ·  ",""),"")&amp;IF($DK452&lt;&gt;"","CHECK: "&amp;LEFT($DK452,LEN($DK452)-2),""))</f>
        <v/>
      </c>
      <c r="BF452" s="84">
        <f>IF(OR($A452="",$K452=""),"",$K452&amp;"'-"&amp;N($L452)&amp;CHAR(34)&amp;" x "&amp;$M452&amp;"'-"&amp;N($N452)&amp;CHAR(34))</f>
        <v/>
      </c>
      <c r="BG452" s="84">
        <f>IF(OR($A452="",$K452=""),"",$K452&amp;N($L452)&amp;$M452&amp;N($N452))</f>
        <v/>
      </c>
      <c r="BH452" s="84">
        <f>IF(OR($A452="",$K452=""),"",$K452*12+N($L452))</f>
        <v/>
      </c>
      <c r="BI452" s="84">
        <f>IF(OR($A452="",$M452=""),"",$M452*12+N($N452))</f>
        <v/>
      </c>
      <c r="BJ452" s="84">
        <f>IF($A452="","",IF(OR($C452="FRAME ONLY",$S452="BL"),0,IF($O452="Y",2,1)))</f>
        <v/>
      </c>
      <c r="BK452" s="86">
        <f>IF(OR(N($BJ452)=0,$BH452=""),"",($BH452-2*EdgeClr-IF($BJ452=2,MeetClr,0))/$BJ452)</f>
        <v/>
      </c>
      <c r="BL452" s="86">
        <f>IF(OR(N($BJ452)=0,$BI452=""),"",$BI452-HeadClr-Undercut)</f>
        <v/>
      </c>
      <c r="BM452" s="86">
        <f>IF($BH452="","",$BH452+2*FaceW+IF(N($Q452)&gt;0,($Q452+FaceW)*IF($R452="LR",2,1),0))</f>
        <v/>
      </c>
      <c r="BN452" s="86">
        <f>IF($BI452="","",$BI452+IF($AB452="Y",4,FaceW)+IF(N($P452)&gt;0,$P452+FaceW,0)+IF(OR($S452="4F",$S452="BL"),FaceW,0))</f>
        <v/>
      </c>
      <c r="BO452" s="86">
        <f>IF($BM452="","",$BM452+2*ROSide)</f>
        <v/>
      </c>
      <c r="BP452" s="86">
        <f>IF($BN452="","",$BN452+ROTop)</f>
        <v/>
      </c>
      <c r="BQ452" s="87">
        <f>IF(OR(N($BJ452)=0,$BH452=""),"",$BH452/$BJ452-ClearDeduct)</f>
        <v/>
      </c>
      <c r="BR452" s="84">
        <f>IF(N($CH452)=0,"",IF($CH452&gt;=180,"A · 3 HR",IF($CH452&gt;=90,"B · 1-1/2 HR",IF($CH452&gt;=60,"B · 1 HR",IF($CH452&gt;=45,"C · 3/4 HR","20 MIN")))))&amp;IF(AND(N($CH452)&gt;0,OR($I452="CORRIDOR",$I452="SMOKE BARRIER"))," · S","")</f>
        <v/>
      </c>
      <c r="BS452" s="84">
        <f>IF($CS452,"",IF($AV452&lt;&gt;"",$AV452,IF(OR($AC452="HGC",$AO452="HGC"),"CONT",IF(($BI452-HeadClr-Undercut)&lt;=60,2,IF(($BI452-HeadClr-Undercut)&lt;=90,3,IF(($BI452-HeadClr-Undercut)&lt;=120,4,5))))))</f>
        <v/>
      </c>
      <c r="BT452" s="84">
        <f>IF($CS452,"",IF($CT452,"CUSTOM (typed)",IF($CV452,$AT452&amp;" "&amp;$CU452&amp;CHAR(34)&amp;IF($CU452&lt;&gt;$BI452,IF(AND($BI452&lt;$CU452,$BI452-IF(N(VLOOKUP($AT452&amp;"|"&amp;$CU452,LocTable,7,FALSE))&gt;0,VLOOKUP($AT452&amp;"|"&amp;$CU452,LocTable,7,FALSE),VLOOKUP($AT452&amp;"|"&amp;$CU452,LocTable,6,FALSE))-$CR452-0.75&gt;=2.125)," cut down"," adj."),""),"ANSI/SDI A250.6")))</f>
        <v/>
      </c>
      <c r="BU452" s="88">
        <f>IF($CS452,"",IF($CT452,IF(N($AW452)&gt;0,N($AW452),""),IF(1&gt;$CQ452,"",IF($CQ452=1,$CW452,$CW452+($CX452-$CW452)*0/($CQ452-1)))))</f>
        <v/>
      </c>
      <c r="BV452" s="88">
        <f>IF($CS452,"",IF($CT452,IF(N($AX452)&gt;0,N($AX452),""),IF(2&gt;$CQ452,"",IF($CQ452=1,$CW452,$CW452+($CX452-$CW452)*1/($CQ452-1)))))</f>
        <v/>
      </c>
      <c r="BW452" s="88">
        <f>IF($CS452,"",IF($CT452,IF(N($AY452)&gt;0,N($AY452),""),IF(3&gt;$CQ452,"",IF($CQ452=1,$CW452,$CW452+($CX452-$CW452)*2/($CQ452-1)))))</f>
        <v/>
      </c>
      <c r="BX452" s="88">
        <f>IF($CS452,"",IF($CT452,IF(N($AZ452)&gt;0,N($AZ452),""),IF(4&gt;$CQ452,"",IF($CQ452=1,$CW452,$CW452+($CX452-$CW452)*3/($CQ452-1)))))</f>
        <v/>
      </c>
      <c r="BY452" s="88">
        <f>IF($CS452,"",IF($CT452,"",IF(5&gt;$CQ452,"",IF($CQ452=1,$CW452,$CW452+($CX452-$CW452)*4/($CQ452-1)))))</f>
        <v/>
      </c>
      <c r="BZ452" s="88">
        <f>IF(OR($CS452,$AP452="-",AND($AP452="",$AD452="")),"",IF(N($BA452)&gt;0,N($BA452),IF($CV452,IF(AND($BI452&lt;$CU452,$BI452-IF(N(VLOOKUP($AT452&amp;"|"&amp;$CU452,LocTable,7,FALSE))&gt;0,VLOOKUP($AT452&amp;"|"&amp;$CU452,LocTable,7,FALSE),VLOOKUP($AT452&amp;"|"&amp;$CU452,LocTable,6,FALSE))-$CR452-0.75&gt;=2.125),VLOOKUP($AT452&amp;"|"&amp;$CU452,LocTable,8,FALSE),VLOOKUP($AT452&amp;"|"&amp;$CU452,LocTable,8,FALSE)+($BI452-$CU452)),$BI452-LockAFF)))</f>
        <v/>
      </c>
      <c r="CA452" s="89">
        <f>IF($BZ452="","",$BI452-$BZ452)</f>
        <v/>
      </c>
      <c r="CB452" s="84">
        <f>IF(OR(NOT(AND($A452&lt;&gt;"",$C452&lt;&gt;"DOOR ONLY")),$BI452=""),"",IF(($BI452+IF(N($P452)&gt;0,$P452+FaceW,0))&lt;=90,3,IF(($BI452+IF(N($P452)&gt;0,$P452+FaceW,0))&lt;=114,4,5)))</f>
        <v/>
      </c>
      <c r="CC452" s="84">
        <f>IF($CB452="","",$CB452*(2+IF(N($Q452)&gt;0,IF($R452="LR",2,1),0)))</f>
        <v/>
      </c>
      <c r="CD452" s="84">
        <f>IF($CB452="","",(2+IF(N($Q452)&gt;0,IF($R452="LR",2,1),0)))</f>
        <v/>
      </c>
      <c r="CE452" s="84">
        <f>IF(N($BJ452)=0,"",IF(OR($AL452="",$AL452="FLUSH"),"FLUSH",IFERROR(LEFT($AL452,FIND("-",$AL452)-1),LEFT($AL452,2))))</f>
        <v/>
      </c>
      <c r="CF452" s="84">
        <f>IF($CE452="","",IFERROR(VALUE(MID($AL452,FIND("-",$AL452)+1,FIND(CHAR(34)&amp;"x",$AL452)-FIND("-",$AL452)-1)),0))</f>
        <v/>
      </c>
      <c r="CG452" s="84">
        <f>IF($CE452="","",IFERROR(VALUE(MID($AL452,FIND(CHAR(34)&amp;"x",$AL452)+2,FIND(CHAR(34),$AL452,FIND(CHAR(34)&amp;"x",$AL452)+2)-FIND(CHAR(34)&amp;"x",$AL452)-2)),0))</f>
        <v/>
      </c>
      <c r="CH452" s="90">
        <f>IF(OR($A452="",$H452="",$H452="NO LAB"),0,IFERROR(VALUE(LEFT($H452,FIND(" ",$H452)-1)),0))</f>
        <v/>
      </c>
      <c r="CI452" s="91">
        <f>IF(OR($A452="",$I452="",$I452="NON-RATED",N($J452)=0),"",IFERROR(VLOOKUP($I452&amp;"|"&amp;$J452,IBC,2,FALSE),"?"))</f>
        <v/>
      </c>
      <c r="CJ452" s="85">
        <f>IF(NOT(AND($A452&lt;&gt;"",$C452&lt;&gt;"DOOR ONLY")),"",TRIM(IFERROR(VLOOKUP($U452,CODES,2,FALSE),"")&amp;" "&amp;$BG452&amp;" "&amp;IFERROR(VLOOKUP($Z452,CODES,2,FALSE),"")&amp;" "&amp;IFERROR(VLOOKUP($X452,CODES,2,FALSE),"")&amp;" "&amp;IFERROR(VLOOKUP($S452,CODES,2,FALSE),"")&amp;IF(N($P452)&gt;0," w/TRANSOM "&amp;$P452&amp;CHAR(34),"")&amp;IF(N($Q452)&gt;0," w/SIDELITE "&amp;$Q452&amp;CHAR(34)&amp;" "&amp;IF($R452="","R",$R452),"")&amp;IF($Y452="","  |  "," | "&amp;IFERROR(VLOOKUP($Y452,CODES,2,FALSE),"")&amp;" | ")&amp;IFERROR(VLOOKUP($AC452,CODES,2,FALSE),"")&amp;" "&amp;IFERROR(VLOOKUP($AD452,CODES,2,FALSE),"")&amp;IF(OR($AE452="",$AE452="-"),""," "&amp;$AE452)&amp;IF(OR($AF452="",$AF452="-"),""," "&amp;$AF452)&amp;IF($AB452="Y"," 4"&amp;CHAR(34)&amp;" HEAD","")&amp;" "&amp;IFERROR(VLOOKUP($H452,CODES,2,FALSE),"")&amp;IF($CT452," | LOC "&amp;$CY452,"")))</f>
        <v/>
      </c>
      <c r="CK452" s="85">
        <f>IF(NOT(AND($A452&lt;&gt;"",N($BJ452)&gt;0)),"",TRIM(IFERROR(VLOOKUP($AH452,CODES,2,FALSE),"")&amp;IF($AI452=""," "," "&amp;$AI452&amp;"GA ")&amp;$BG452&amp;" "&amp;IF($AN452="",IFERROR(VLOOKUP($Z452,CODES,2,FALSE),""),IFERROR(VLOOKUP($AN452,CODES,2,FALSE),""))&amp;IF($BJ452=2," PAIR","")&amp;" DOOR | "&amp;IF($AL452="","?",$AL452)&amp;" | "&amp;IF($AO452="",IFERROR(VLOOKUP($AC452,CODES,2,FALSE),""),IFERROR(VLOOKUP($AO452,CODES,2,FALSE),""))&amp;" "&amp;IFERROR(VLOOKUP($AP452,CODES,2,FALSE),"")&amp;IF(OR($AQ452="",$AQ452="-"),""," SEAM "&amp;$AQ452)&amp;IF($AR452="Y"," ASTRAGAL","")&amp;IF($AJ452=""," "," "&amp;$AJ452)&amp;IF($AK452=""," "," "&amp;$AK452)&amp;IF(OR($AT452="",$AT452="ANSI/SDI",$AT452="CUSTOM LOC"),""," "&amp;$AT452)&amp;IF($AM452=""," "," SERIES "&amp;$AM452)&amp;" "&amp;IFERROR(VLOOKUP($H452,CODES,2,FALSE),"")&amp;IF($CT452," | LOC "&amp;$CZ452,"")))</f>
        <v/>
      </c>
      <c r="CL452" s="84">
        <f>IF(CP452="","",IF(COUNTIF($CP$6:CP452,CP452)=1,MAX($CL$5:CL451)+1,INDEX($CL$5:CL451,MATCH(CP452,$CP$5:CP451,0))))</f>
        <v/>
      </c>
      <c r="CM452" s="84">
        <f>IF(NOT(AND($A452&lt;&gt;"",$C452&lt;&gt;"DOOR ONLY")),"",MAX($CM$5:CM451)+1)</f>
        <v/>
      </c>
      <c r="CN452" s="84">
        <f>IF(NOT(AND($A452&lt;&gt;"",N($BJ452)&gt;0)),"",MAX($CN$5:CN451)+1)</f>
        <v/>
      </c>
      <c r="CO452" s="84">
        <f>IF($A452="","",MAX($CO$5:CO451)+1)</f>
        <v/>
      </c>
      <c r="CP452" s="84">
        <f>IF(OR($A452="",$BH452="",$BI452=""),"",$BG452&amp;"|"&amp;$O452&amp;"|"&amp;$AL452&amp;"|"&amp;$S452&amp;"|"&amp;$P452&amp;"|"&amp;$Q452&amp;$R452&amp;"|"&amp;$C452&amp;"|"&amp;$AB452)</f>
        <v/>
      </c>
      <c r="CQ452" s="84">
        <f>N($BS452)</f>
        <v/>
      </c>
      <c r="CR452" s="84">
        <f>IF(N($AU452)&gt;0,N($AU452),4.5)</f>
        <v/>
      </c>
      <c r="CS452" s="84">
        <f>OR($A452="",$BI452="",$S452="BL",AND($C452="FRAME ONLY",OR($AC452="",$AC452="BLK")))</f>
        <v/>
      </c>
      <c r="CT452" s="84">
        <f>AND(NOT($CS452),OR($AT452="CUSTOM LOC",N($AW452)+N($AX452)+N($AY452)+N($AZ452)+N($BA452)&gt;0))</f>
        <v/>
      </c>
      <c r="CU452" s="84">
        <f>IF($BI452="","",IF($BI452&lt;=80,80,IF($BI452&lt;=84,84,96)))</f>
        <v/>
      </c>
      <c r="CV452" s="84">
        <f>ISNUMBER(MATCH($AT452&amp;"|80",LocKeys,0))</f>
        <v/>
      </c>
      <c r="CW452" s="86">
        <f>IF($CS452,"",IF($CV452,VLOOKUP($AT452&amp;"|"&amp;$CU452,LocTable,4,FALSE),5))</f>
        <v/>
      </c>
      <c r="CX452" s="86">
        <f>IF($CS452,"",IF($CV452,IF(OR($BI452=$CU452,AND($BI452&lt;$CU452,$BI452-IF(N(VLOOKUP($AT452&amp;"|"&amp;$CU452,LocTable,7,FALSE))&gt;0,VLOOKUP($AT452&amp;"|"&amp;$CU452,LocTable,7,FALSE),VLOOKUP($AT452&amp;"|"&amp;$CU452,LocTable,6,FALSE))-$CR452-0.75&gt;=2.125)),IF(N(VLOOKUP($AT452&amp;"|"&amp;$CU452,LocTable,7,FALSE))&gt;0,VLOOKUP($AT452&amp;"|"&amp;$CU452,LocTable,7,FALSE),VLOOKUP($AT452&amp;"|"&amp;$CU452,LocTable,6,FALSE)),$BI452-($CU452-IF(N(VLOOKUP($AT452&amp;"|"&amp;$CU452,LocTable,7,FALSE))&gt;0,VLOOKUP($AT452&amp;"|"&amp;$CU452,LocTable,7,FALSE),VLOOKUP($AT452&amp;"|"&amp;$CU452,LocTable,6,FALSE)))),$BI452-10-$CR452))</f>
        <v/>
      </c>
      <c r="CY452" s="85">
        <f>IF($CS452,"",TRIM(IF(ISNUMBER($BU452),"A "&amp;TRIM(TEXT($BU452,"# ?/??"))&amp;CHAR(34)&amp;"  ","")&amp;IF(ISNUMBER($BV452),"B "&amp;TRIM(TEXT($BV452,"# ?/??"))&amp;CHAR(34)&amp;"  ","")&amp;IF(ISNUMBER($BW452),"C "&amp;TRIM(TEXT($BW452,"# ?/??"))&amp;CHAR(34)&amp;"  ","")&amp;IF(ISNUMBER($BX452),"D "&amp;TRIM(TEXT($BX452,"# ?/??"))&amp;CHAR(34)&amp;"  ","")&amp;IF(ISNUMBER($BY452),"F "&amp;TRIM(TEXT($BY452,"# ?/??"))&amp;CHAR(34)&amp;"  ","")&amp;IF(ISNUMBER($BZ452),"E "&amp;TRIM(TEXT($BZ452,"# ?/??"))&amp;CHAR(34)&amp;"  ","")))</f>
        <v/>
      </c>
      <c r="CZ452" s="85">
        <f>IF(OR($CS452,N($BJ452)=0),"",TRIM(IF(ISNUMBER($BU452),"A "&amp;TRIM(TEXT($BU452-HeadClr,"# ?/??"))&amp;CHAR(34)&amp;"  ","")&amp;IF(ISNUMBER($BV452),"B "&amp;TRIM(TEXT($BV452-HeadClr,"# ?/??"))&amp;CHAR(34)&amp;"  ","")&amp;IF(ISNUMBER($BW452),"C "&amp;TRIM(TEXT($BW452-HeadClr,"# ?/??"))&amp;CHAR(34)&amp;"  ","")&amp;IF(ISNUMBER($BX452),"D "&amp;TRIM(TEXT($BX452-HeadClr,"# ?/??"))&amp;CHAR(34)&amp;"  ","")&amp;IF(ISNUMBER($BY452),"F "&amp;TRIM(TEXT($BY452-HeadClr,"# ?/??"))&amp;CHAR(34)&amp;"  ","")&amp;IF(ISNUMBER($BZ452),"E "&amp;TRIM(TEXT($BZ452-HeadClr,"# ?/??"))&amp;CHAR(34)&amp;"  ","")))</f>
        <v/>
      </c>
      <c r="DA452" s="84">
        <f>IF($A452="","",IF($AN452="",IFERROR(VLOOKUP($Z452,CODES,2,FALSE),""),IFERROR(VLOOKUP($AN452,CODES,2,FALSE),"")))</f>
        <v/>
      </c>
      <c r="DB452" s="84">
        <f>IF($A452="","",IF($O452="Y","PR",IF(OR($Z452="L",$Z452="RR",LEFT($Z452,2)="L-",LEFT($Z452,3)="RR-"),"LH","RH")))</f>
        <v/>
      </c>
      <c r="DC452" s="84">
        <f>IF($A452="","","S.HM"&amp;IF(OR($C452="DOOR ONLY",$X452&lt;&gt;"KD"),"MASONRY","DRYWALL")&amp;IF($C452="DOOR ONLY","",$U452)&amp;IF(AND($C452&lt;&gt;"FRAME ONLY",OR(LEFT($AH452,3)="OAK",LEFT($AH452,3)="BIR",LEFT($AH452,3)="MAP",$AH452="PC",$AH452="MC",$AH452="SCLC",$AH452="P-LAM")),"WD","HM")&amp;"1.75")</f>
        <v/>
      </c>
      <c r="DD452" s="84">
        <f>IF($CJ452="","",IF($O452="Y",$CJ452,SUBSTITUTE($CJ452,$BG452&amp;" "&amp;IFERROR(VLOOKUP($Z452,CODES,2,FALSE),"")&amp;" ",$BG452&amp;" ")))</f>
        <v/>
      </c>
      <c r="DE452" s="84">
        <f>IF($CK452="","",IF($O452="Y",$CK452,SUBSTITUTE($CK452,$BG452&amp;" "&amp;IF($AN452="",IFERROR(VLOOKUP($Z452,CODES,2,FALSE),""),IFERROR(VLOOKUP($AN452,CODES,2,FALSE),""))&amp;" ",$BG452&amp;" ")))</f>
        <v/>
      </c>
      <c r="DF452" s="84">
        <f>IF($CJ452="","",$DC452&amp;"|"&amp;$DD452&amp;"|"&amp;$DB452&amp;"|"&amp;$AT452&amp;"|"&amp;$V452&amp;"|"&amp;$Y452&amp;"|"&amp;$AB452)</f>
        <v/>
      </c>
      <c r="DG452" s="84">
        <f>IF(DF452="","",IF(COUNTIF($DF$6:DF452,DF452)=1,MAX($DG$5:DG451)+1,INDEX($DG$5:DG451,MATCH(DF452,$DF$5:DF451,0))))</f>
        <v/>
      </c>
      <c r="DH452" s="84">
        <f>IF($CK452="","",$DC452&amp;"|"&amp;$DE452&amp;"|"&amp;$AI452&amp;"|"&amp;$BK452&amp;"|"&amp;$BL452)</f>
        <v/>
      </c>
      <c r="DI452" s="84">
        <f>IF(DH452="","",IF(COUNTIF($DH$6:DH452,DH452)=1,MAX($DI$5:DI451)+1,INDEX($DI$5:DI451,MATCH(DH452,$DH$5:DH451,0))))</f>
        <v/>
      </c>
      <c r="DJ452" s="84">
        <f>IF($A452="","",IF($B452="","qty, ","")&amp;IF($C452="","scope, ","")&amp;IF(OR($K452="",$M452=""),"size, ","")&amp;IF(AND($A452&lt;&gt;"",$C452&lt;&gt;"DOOR ONLY"),IF($U452="","jamb depth, ","")&amp;IF($X452="","construction, ","")&amp;IF($Y452="","anchor, ","")&amp;IF($S452="","frame type, ",""),"")&amp;IF(AND(N($BJ452)&gt;0,$Z452=""),"hand, ","")&amp;IF(N($BJ452)&gt;0,IF($AH452="","door material, ","")&amp;IF($AL452="","face type, ","")&amp;IF($AP452="","lock prep, ","")&amp;IF(AND($AO452="",$AC452=""),"hinge prep, ",""),"")&amp;IF(AND($CH452&gt;0,$AH452="FRP"),"FRP cannot carry a label, ","")&amp;IF(AND($O452="Y",OR($Z452="L",$Z452="R",$Z452="LR",$Z452="RR")),"pair marked but hand is single, ","")&amp;IF(AND($O452&lt;&gt;"Y",OR($Z452="PR",AND(LEN($Z452)&gt;1,ISNUMBER(SEARCH("-",$Z452))))),"pair hand on a single door, ","")&amp;IF(AND(ISNUMBER($CI452),$CH452&lt;N($CI452)),"wall needs a "&amp;$CI452&amp;" min door, ","")&amp;IF(AND($CH452&gt;=180,AND(OR($CE452="FG",$CE452="HG",$CE452="FNV",$CE452="FV"),N($CF452)*N($CG452)&gt;100)),"180 min lite over 100 sq in, ","")&amp;IF(N($BK452)&gt;48,"leaf wider than 4'-0"&amp;CHAR(34)&amp;", ","")&amp;IF(AND($CT452,COUNT($AW452:$AZ452)=0,$CQ452&gt;0),"CUSTOM LOC with no locations typed, ",""))</f>
        <v/>
      </c>
      <c r="DK452" s="84">
        <f>IF($A452="","",IF(AND($CH452&gt;0,AND($A452&lt;&gt;"",$C452&lt;&gt;"DOOR ONLY"),$X452="KD",$E452="EXTERIOR"),"KD label on an exterior opening, ","")&amp;IF(AND($E452="EXTERIOR",OR(AND(AND($A452&lt;&gt;"",$C452&lt;&gt;"DOOR ONLY"),$W452="CR"),AND(N($BJ452)&gt;0,$AH452="CR"))),"exterior in CR steel (G9?), ","")&amp;IF(AND(ISNUMBER($BQ452),N($BQ452)&lt;32),"clear width ~"&amp;TEXT($BQ452,"0.0")&amp;CHAR(34)&amp;" under 32"&amp;CHAR(34)&amp;" (ADA), ","")&amp;IF(AND($CH452=90,AND(OR($CE452="FG",$CE452="HG",$CE452="FNV",$CE452="FV"),N($CF452)*N($CG452)&gt;100)),"90 min lite over 100 sq in (stair/exit), ","")&amp;IF(AND($CH452&gt;0,AND($A452&lt;&gt;"",$C452&lt;&gt;"DOOR ONLY"),OR($AF452="",$AF452="-")),"rated: closer reinf.?, ","")&amp;IF(OR($I452="CORRIDOR",$I452="SMOKE BARRIER"),"S label + smoke gasketing, ","")&amp;IF($CI452="?","wall type/hr not in IBC table, ","")&amp;IF(AND(N($BJ452)&gt;0,$BB452=""),"no hardware set, ","")&amp;IF(AND($BB452&lt;&gt;"",ISNA(MATCH($BB452&amp;"",HWSets,0))),"set "&amp;$BB452&amp;" not on HW Sets, ","")&amp;IF(N($BL452)&gt;96,"leaf over 8'-0"&amp;CHAR(34)&amp;" - check listing, ","")&amp;IF(AND($CT452,COUNT($AW452:$AZ452)&gt;0,COUNT($AW452:$AZ452)&lt;&gt;$CQ452),COUNT($AW452:$AZ452)&amp;" custom hinges typed, "&amp;$CQ452&amp;" expected, ","")&amp;IF(AND(ISNUMBER($CA452),OR(N($CA452)&lt;34,N($CA452)&gt;48)),"lock "&amp;TEXT($CA452,"0.0")&amp;CHAR(34)&amp;" AFF outside 34-48"&amp;CHAR(34)&amp;" (ADA), ","")&amp;IF(AND(ISNUMBER($AV452),ISNUMBER($BL452),N($AV452)&lt;IF(N($BL452)&lt;=60,2,IF(N($BL452)&lt;=90,3,IF(N($BL452)&lt;=120,4,5)))),"fewer hinges than standard, ",""))</f>
        <v/>
      </c>
    </row>
    <row r="453" ht="15" customHeight="1">
      <c r="A453" s="77" t="n"/>
      <c r="B453" s="78" t="n"/>
      <c r="C453" s="78" t="n"/>
      <c r="D453" s="78" t="n"/>
      <c r="E453" s="78" t="n"/>
      <c r="F453" s="78" t="n"/>
      <c r="G453" s="78" t="n"/>
      <c r="H453" s="78" t="n"/>
      <c r="I453" s="78" t="n"/>
      <c r="J453" s="78" t="n"/>
      <c r="K453" s="78" t="n"/>
      <c r="L453" s="78" t="n"/>
      <c r="M453" s="78" t="n"/>
      <c r="N453" s="78" t="n"/>
      <c r="O453" s="78" t="n"/>
      <c r="P453" s="78" t="n"/>
      <c r="Q453" s="78" t="n"/>
      <c r="R453" s="78" t="n"/>
      <c r="S453" s="79" t="n"/>
      <c r="T453" s="79" t="n"/>
      <c r="U453" s="79" t="n"/>
      <c r="V453" s="79" t="n"/>
      <c r="W453" s="79" t="n"/>
      <c r="X453" s="79" t="n"/>
      <c r="Y453" s="79" t="n"/>
      <c r="Z453" s="79" t="n"/>
      <c r="AA453" s="79" t="n"/>
      <c r="AB453" s="79" t="n"/>
      <c r="AC453" s="79" t="n"/>
      <c r="AD453" s="79" t="n"/>
      <c r="AE453" s="79" t="n"/>
      <c r="AF453" s="79" t="n"/>
      <c r="AG453" s="79" t="n"/>
      <c r="AH453" s="80" t="n"/>
      <c r="AI453" s="80" t="n"/>
      <c r="AJ453" s="80" t="n"/>
      <c r="AK453" s="80" t="n"/>
      <c r="AL453" s="80" t="n"/>
      <c r="AM453" s="80" t="n"/>
      <c r="AN453" s="80" t="n"/>
      <c r="AO453" s="80" t="n"/>
      <c r="AP453" s="80" t="n"/>
      <c r="AQ453" s="80" t="n"/>
      <c r="AR453" s="80" t="n"/>
      <c r="AS453" s="80" t="n"/>
      <c r="AT453" s="81" t="n"/>
      <c r="AU453" s="81" t="n"/>
      <c r="AV453" s="81" t="n"/>
      <c r="AW453" s="82" t="n"/>
      <c r="AX453" s="82" t="n"/>
      <c r="AY453" s="82" t="n"/>
      <c r="AZ453" s="82" t="n"/>
      <c r="BA453" s="82" t="n"/>
      <c r="BB453" s="83" t="n"/>
      <c r="BC453" s="83" t="n"/>
      <c r="BD453" s="84">
        <f>IF($A453="","",IF($DJ453&lt;&gt;"","FIX",IF($DK453&lt;&gt;"","CHECK","OK")))</f>
        <v/>
      </c>
      <c r="BE453" s="85">
        <f>IF($A453="","",IF($DJ453&lt;&gt;"","FIX: "&amp;LEFT($DJ453,LEN($DJ453)-2)&amp;IF($DK453&lt;&gt;"","  ·  ",""),"")&amp;IF($DK453&lt;&gt;"","CHECK: "&amp;LEFT($DK453,LEN($DK453)-2),""))</f>
        <v/>
      </c>
      <c r="BF453" s="84">
        <f>IF(OR($A453="",$K453=""),"",$K453&amp;"'-"&amp;N($L453)&amp;CHAR(34)&amp;" x "&amp;$M453&amp;"'-"&amp;N($N453)&amp;CHAR(34))</f>
        <v/>
      </c>
      <c r="BG453" s="84">
        <f>IF(OR($A453="",$K453=""),"",$K453&amp;N($L453)&amp;$M453&amp;N($N453))</f>
        <v/>
      </c>
      <c r="BH453" s="84">
        <f>IF(OR($A453="",$K453=""),"",$K453*12+N($L453))</f>
        <v/>
      </c>
      <c r="BI453" s="84">
        <f>IF(OR($A453="",$M453=""),"",$M453*12+N($N453))</f>
        <v/>
      </c>
      <c r="BJ453" s="84">
        <f>IF($A453="","",IF(OR($C453="FRAME ONLY",$S453="BL"),0,IF($O453="Y",2,1)))</f>
        <v/>
      </c>
      <c r="BK453" s="86">
        <f>IF(OR(N($BJ453)=0,$BH453=""),"",($BH453-2*EdgeClr-IF($BJ453=2,MeetClr,0))/$BJ453)</f>
        <v/>
      </c>
      <c r="BL453" s="86">
        <f>IF(OR(N($BJ453)=0,$BI453=""),"",$BI453-HeadClr-Undercut)</f>
        <v/>
      </c>
      <c r="BM453" s="86">
        <f>IF($BH453="","",$BH453+2*FaceW+IF(N($Q453)&gt;0,($Q453+FaceW)*IF($R453="LR",2,1),0))</f>
        <v/>
      </c>
      <c r="BN453" s="86">
        <f>IF($BI453="","",$BI453+IF($AB453="Y",4,FaceW)+IF(N($P453)&gt;0,$P453+FaceW,0)+IF(OR($S453="4F",$S453="BL"),FaceW,0))</f>
        <v/>
      </c>
      <c r="BO453" s="86">
        <f>IF($BM453="","",$BM453+2*ROSide)</f>
        <v/>
      </c>
      <c r="BP453" s="86">
        <f>IF($BN453="","",$BN453+ROTop)</f>
        <v/>
      </c>
      <c r="BQ453" s="87">
        <f>IF(OR(N($BJ453)=0,$BH453=""),"",$BH453/$BJ453-ClearDeduct)</f>
        <v/>
      </c>
      <c r="BR453" s="84">
        <f>IF(N($CH453)=0,"",IF($CH453&gt;=180,"A · 3 HR",IF($CH453&gt;=90,"B · 1-1/2 HR",IF($CH453&gt;=60,"B · 1 HR",IF($CH453&gt;=45,"C · 3/4 HR","20 MIN")))))&amp;IF(AND(N($CH453)&gt;0,OR($I453="CORRIDOR",$I453="SMOKE BARRIER"))," · S","")</f>
        <v/>
      </c>
      <c r="BS453" s="84">
        <f>IF($CS453,"",IF($AV453&lt;&gt;"",$AV453,IF(OR($AC453="HGC",$AO453="HGC"),"CONT",IF(($BI453-HeadClr-Undercut)&lt;=60,2,IF(($BI453-HeadClr-Undercut)&lt;=90,3,IF(($BI453-HeadClr-Undercut)&lt;=120,4,5))))))</f>
        <v/>
      </c>
      <c r="BT453" s="84">
        <f>IF($CS453,"",IF($CT453,"CUSTOM (typed)",IF($CV453,$AT453&amp;" "&amp;$CU453&amp;CHAR(34)&amp;IF($CU453&lt;&gt;$BI453,IF(AND($BI453&lt;$CU453,$BI453-IF(N(VLOOKUP($AT453&amp;"|"&amp;$CU453,LocTable,7,FALSE))&gt;0,VLOOKUP($AT453&amp;"|"&amp;$CU453,LocTable,7,FALSE),VLOOKUP($AT453&amp;"|"&amp;$CU453,LocTable,6,FALSE))-$CR453-0.75&gt;=2.125)," cut down"," adj."),""),"ANSI/SDI A250.6")))</f>
        <v/>
      </c>
      <c r="BU453" s="88">
        <f>IF($CS453,"",IF($CT453,IF(N($AW453)&gt;0,N($AW453),""),IF(1&gt;$CQ453,"",IF($CQ453=1,$CW453,$CW453+($CX453-$CW453)*0/($CQ453-1)))))</f>
        <v/>
      </c>
      <c r="BV453" s="88">
        <f>IF($CS453,"",IF($CT453,IF(N($AX453)&gt;0,N($AX453),""),IF(2&gt;$CQ453,"",IF($CQ453=1,$CW453,$CW453+($CX453-$CW453)*1/($CQ453-1)))))</f>
        <v/>
      </c>
      <c r="BW453" s="88">
        <f>IF($CS453,"",IF($CT453,IF(N($AY453)&gt;0,N($AY453),""),IF(3&gt;$CQ453,"",IF($CQ453=1,$CW453,$CW453+($CX453-$CW453)*2/($CQ453-1)))))</f>
        <v/>
      </c>
      <c r="BX453" s="88">
        <f>IF($CS453,"",IF($CT453,IF(N($AZ453)&gt;0,N($AZ453),""),IF(4&gt;$CQ453,"",IF($CQ453=1,$CW453,$CW453+($CX453-$CW453)*3/($CQ453-1)))))</f>
        <v/>
      </c>
      <c r="BY453" s="88">
        <f>IF($CS453,"",IF($CT453,"",IF(5&gt;$CQ453,"",IF($CQ453=1,$CW453,$CW453+($CX453-$CW453)*4/($CQ453-1)))))</f>
        <v/>
      </c>
      <c r="BZ453" s="88">
        <f>IF(OR($CS453,$AP453="-",AND($AP453="",$AD453="")),"",IF(N($BA453)&gt;0,N($BA453),IF($CV453,IF(AND($BI453&lt;$CU453,$BI453-IF(N(VLOOKUP($AT453&amp;"|"&amp;$CU453,LocTable,7,FALSE))&gt;0,VLOOKUP($AT453&amp;"|"&amp;$CU453,LocTable,7,FALSE),VLOOKUP($AT453&amp;"|"&amp;$CU453,LocTable,6,FALSE))-$CR453-0.75&gt;=2.125),VLOOKUP($AT453&amp;"|"&amp;$CU453,LocTable,8,FALSE),VLOOKUP($AT453&amp;"|"&amp;$CU453,LocTable,8,FALSE)+($BI453-$CU453)),$BI453-LockAFF)))</f>
        <v/>
      </c>
      <c r="CA453" s="89">
        <f>IF($BZ453="","",$BI453-$BZ453)</f>
        <v/>
      </c>
      <c r="CB453" s="84">
        <f>IF(OR(NOT(AND($A453&lt;&gt;"",$C453&lt;&gt;"DOOR ONLY")),$BI453=""),"",IF(($BI453+IF(N($P453)&gt;0,$P453+FaceW,0))&lt;=90,3,IF(($BI453+IF(N($P453)&gt;0,$P453+FaceW,0))&lt;=114,4,5)))</f>
        <v/>
      </c>
      <c r="CC453" s="84">
        <f>IF($CB453="","",$CB453*(2+IF(N($Q453)&gt;0,IF($R453="LR",2,1),0)))</f>
        <v/>
      </c>
      <c r="CD453" s="84">
        <f>IF($CB453="","",(2+IF(N($Q453)&gt;0,IF($R453="LR",2,1),0)))</f>
        <v/>
      </c>
      <c r="CE453" s="84">
        <f>IF(N($BJ453)=0,"",IF(OR($AL453="",$AL453="FLUSH"),"FLUSH",IFERROR(LEFT($AL453,FIND("-",$AL453)-1),LEFT($AL453,2))))</f>
        <v/>
      </c>
      <c r="CF453" s="84">
        <f>IF($CE453="","",IFERROR(VALUE(MID($AL453,FIND("-",$AL453)+1,FIND(CHAR(34)&amp;"x",$AL453)-FIND("-",$AL453)-1)),0))</f>
        <v/>
      </c>
      <c r="CG453" s="84">
        <f>IF($CE453="","",IFERROR(VALUE(MID($AL453,FIND(CHAR(34)&amp;"x",$AL453)+2,FIND(CHAR(34),$AL453,FIND(CHAR(34)&amp;"x",$AL453)+2)-FIND(CHAR(34)&amp;"x",$AL453)-2)),0))</f>
        <v/>
      </c>
      <c r="CH453" s="90">
        <f>IF(OR($A453="",$H453="",$H453="NO LAB"),0,IFERROR(VALUE(LEFT($H453,FIND(" ",$H453)-1)),0))</f>
        <v/>
      </c>
      <c r="CI453" s="91">
        <f>IF(OR($A453="",$I453="",$I453="NON-RATED",N($J453)=0),"",IFERROR(VLOOKUP($I453&amp;"|"&amp;$J453,IBC,2,FALSE),"?"))</f>
        <v/>
      </c>
      <c r="CJ453" s="85">
        <f>IF(NOT(AND($A453&lt;&gt;"",$C453&lt;&gt;"DOOR ONLY")),"",TRIM(IFERROR(VLOOKUP($U453,CODES,2,FALSE),"")&amp;" "&amp;$BG453&amp;" "&amp;IFERROR(VLOOKUP($Z453,CODES,2,FALSE),"")&amp;" "&amp;IFERROR(VLOOKUP($X453,CODES,2,FALSE),"")&amp;" "&amp;IFERROR(VLOOKUP($S453,CODES,2,FALSE),"")&amp;IF(N($P453)&gt;0," w/TRANSOM "&amp;$P453&amp;CHAR(34),"")&amp;IF(N($Q453)&gt;0," w/SIDELITE "&amp;$Q453&amp;CHAR(34)&amp;" "&amp;IF($R453="","R",$R453),"")&amp;IF($Y453="","  |  "," | "&amp;IFERROR(VLOOKUP($Y453,CODES,2,FALSE),"")&amp;" | ")&amp;IFERROR(VLOOKUP($AC453,CODES,2,FALSE),"")&amp;" "&amp;IFERROR(VLOOKUP($AD453,CODES,2,FALSE),"")&amp;IF(OR($AE453="",$AE453="-"),""," "&amp;$AE453)&amp;IF(OR($AF453="",$AF453="-"),""," "&amp;$AF453)&amp;IF($AB453="Y"," 4"&amp;CHAR(34)&amp;" HEAD","")&amp;" "&amp;IFERROR(VLOOKUP($H453,CODES,2,FALSE),"")&amp;IF($CT453," | LOC "&amp;$CY453,"")))</f>
        <v/>
      </c>
      <c r="CK453" s="85">
        <f>IF(NOT(AND($A453&lt;&gt;"",N($BJ453)&gt;0)),"",TRIM(IFERROR(VLOOKUP($AH453,CODES,2,FALSE),"")&amp;IF($AI453=""," "," "&amp;$AI453&amp;"GA ")&amp;$BG453&amp;" "&amp;IF($AN453="",IFERROR(VLOOKUP($Z453,CODES,2,FALSE),""),IFERROR(VLOOKUP($AN453,CODES,2,FALSE),""))&amp;IF($BJ453=2," PAIR","")&amp;" DOOR | "&amp;IF($AL453="","?",$AL453)&amp;" | "&amp;IF($AO453="",IFERROR(VLOOKUP($AC453,CODES,2,FALSE),""),IFERROR(VLOOKUP($AO453,CODES,2,FALSE),""))&amp;" "&amp;IFERROR(VLOOKUP($AP453,CODES,2,FALSE),"")&amp;IF(OR($AQ453="",$AQ453="-"),""," SEAM "&amp;$AQ453)&amp;IF($AR453="Y"," ASTRAGAL","")&amp;IF($AJ453=""," "," "&amp;$AJ453)&amp;IF($AK453=""," "," "&amp;$AK453)&amp;IF(OR($AT453="",$AT453="ANSI/SDI",$AT453="CUSTOM LOC"),""," "&amp;$AT453)&amp;IF($AM453=""," "," SERIES "&amp;$AM453)&amp;" "&amp;IFERROR(VLOOKUP($H453,CODES,2,FALSE),"")&amp;IF($CT453," | LOC "&amp;$CZ453,"")))</f>
        <v/>
      </c>
      <c r="CL453" s="84">
        <f>IF(CP453="","",IF(COUNTIF($CP$6:CP453,CP453)=1,MAX($CL$5:CL452)+1,INDEX($CL$5:CL452,MATCH(CP453,$CP$5:CP452,0))))</f>
        <v/>
      </c>
      <c r="CM453" s="84">
        <f>IF(NOT(AND($A453&lt;&gt;"",$C453&lt;&gt;"DOOR ONLY")),"",MAX($CM$5:CM452)+1)</f>
        <v/>
      </c>
      <c r="CN453" s="84">
        <f>IF(NOT(AND($A453&lt;&gt;"",N($BJ453)&gt;0)),"",MAX($CN$5:CN452)+1)</f>
        <v/>
      </c>
      <c r="CO453" s="84">
        <f>IF($A453="","",MAX($CO$5:CO452)+1)</f>
        <v/>
      </c>
      <c r="CP453" s="84">
        <f>IF(OR($A453="",$BH453="",$BI453=""),"",$BG453&amp;"|"&amp;$O453&amp;"|"&amp;$AL453&amp;"|"&amp;$S453&amp;"|"&amp;$P453&amp;"|"&amp;$Q453&amp;$R453&amp;"|"&amp;$C453&amp;"|"&amp;$AB453)</f>
        <v/>
      </c>
      <c r="CQ453" s="84">
        <f>N($BS453)</f>
        <v/>
      </c>
      <c r="CR453" s="84">
        <f>IF(N($AU453)&gt;0,N($AU453),4.5)</f>
        <v/>
      </c>
      <c r="CS453" s="84">
        <f>OR($A453="",$BI453="",$S453="BL",AND($C453="FRAME ONLY",OR($AC453="",$AC453="BLK")))</f>
        <v/>
      </c>
      <c r="CT453" s="84">
        <f>AND(NOT($CS453),OR($AT453="CUSTOM LOC",N($AW453)+N($AX453)+N($AY453)+N($AZ453)+N($BA453)&gt;0))</f>
        <v/>
      </c>
      <c r="CU453" s="84">
        <f>IF($BI453="","",IF($BI453&lt;=80,80,IF($BI453&lt;=84,84,96)))</f>
        <v/>
      </c>
      <c r="CV453" s="84">
        <f>ISNUMBER(MATCH($AT453&amp;"|80",LocKeys,0))</f>
        <v/>
      </c>
      <c r="CW453" s="86">
        <f>IF($CS453,"",IF($CV453,VLOOKUP($AT453&amp;"|"&amp;$CU453,LocTable,4,FALSE),5))</f>
        <v/>
      </c>
      <c r="CX453" s="86">
        <f>IF($CS453,"",IF($CV453,IF(OR($BI453=$CU453,AND($BI453&lt;$CU453,$BI453-IF(N(VLOOKUP($AT453&amp;"|"&amp;$CU453,LocTable,7,FALSE))&gt;0,VLOOKUP($AT453&amp;"|"&amp;$CU453,LocTable,7,FALSE),VLOOKUP($AT453&amp;"|"&amp;$CU453,LocTable,6,FALSE))-$CR453-0.75&gt;=2.125)),IF(N(VLOOKUP($AT453&amp;"|"&amp;$CU453,LocTable,7,FALSE))&gt;0,VLOOKUP($AT453&amp;"|"&amp;$CU453,LocTable,7,FALSE),VLOOKUP($AT453&amp;"|"&amp;$CU453,LocTable,6,FALSE)),$BI453-($CU453-IF(N(VLOOKUP($AT453&amp;"|"&amp;$CU453,LocTable,7,FALSE))&gt;0,VLOOKUP($AT453&amp;"|"&amp;$CU453,LocTable,7,FALSE),VLOOKUP($AT453&amp;"|"&amp;$CU453,LocTable,6,FALSE)))),$BI453-10-$CR453))</f>
        <v/>
      </c>
      <c r="CY453" s="85">
        <f>IF($CS453,"",TRIM(IF(ISNUMBER($BU453),"A "&amp;TRIM(TEXT($BU453,"# ?/??"))&amp;CHAR(34)&amp;"  ","")&amp;IF(ISNUMBER($BV453),"B "&amp;TRIM(TEXT($BV453,"# ?/??"))&amp;CHAR(34)&amp;"  ","")&amp;IF(ISNUMBER($BW453),"C "&amp;TRIM(TEXT($BW453,"# ?/??"))&amp;CHAR(34)&amp;"  ","")&amp;IF(ISNUMBER($BX453),"D "&amp;TRIM(TEXT($BX453,"# ?/??"))&amp;CHAR(34)&amp;"  ","")&amp;IF(ISNUMBER($BY453),"F "&amp;TRIM(TEXT($BY453,"# ?/??"))&amp;CHAR(34)&amp;"  ","")&amp;IF(ISNUMBER($BZ453),"E "&amp;TRIM(TEXT($BZ453,"# ?/??"))&amp;CHAR(34)&amp;"  ","")))</f>
        <v/>
      </c>
      <c r="CZ453" s="85">
        <f>IF(OR($CS453,N($BJ453)=0),"",TRIM(IF(ISNUMBER($BU453),"A "&amp;TRIM(TEXT($BU453-HeadClr,"# ?/??"))&amp;CHAR(34)&amp;"  ","")&amp;IF(ISNUMBER($BV453),"B "&amp;TRIM(TEXT($BV453-HeadClr,"# ?/??"))&amp;CHAR(34)&amp;"  ","")&amp;IF(ISNUMBER($BW453),"C "&amp;TRIM(TEXT($BW453-HeadClr,"# ?/??"))&amp;CHAR(34)&amp;"  ","")&amp;IF(ISNUMBER($BX453),"D "&amp;TRIM(TEXT($BX453-HeadClr,"# ?/??"))&amp;CHAR(34)&amp;"  ","")&amp;IF(ISNUMBER($BY453),"F "&amp;TRIM(TEXT($BY453-HeadClr,"# ?/??"))&amp;CHAR(34)&amp;"  ","")&amp;IF(ISNUMBER($BZ453),"E "&amp;TRIM(TEXT($BZ453-HeadClr,"# ?/??"))&amp;CHAR(34)&amp;"  ","")))</f>
        <v/>
      </c>
      <c r="DA453" s="84">
        <f>IF($A453="","",IF($AN453="",IFERROR(VLOOKUP($Z453,CODES,2,FALSE),""),IFERROR(VLOOKUP($AN453,CODES,2,FALSE),"")))</f>
        <v/>
      </c>
      <c r="DB453" s="84">
        <f>IF($A453="","",IF($O453="Y","PR",IF(OR($Z453="L",$Z453="RR",LEFT($Z453,2)="L-",LEFT($Z453,3)="RR-"),"LH","RH")))</f>
        <v/>
      </c>
      <c r="DC453" s="84">
        <f>IF($A453="","","S.HM"&amp;IF(OR($C453="DOOR ONLY",$X453&lt;&gt;"KD"),"MASONRY","DRYWALL")&amp;IF($C453="DOOR ONLY","",$U453)&amp;IF(AND($C453&lt;&gt;"FRAME ONLY",OR(LEFT($AH453,3)="OAK",LEFT($AH453,3)="BIR",LEFT($AH453,3)="MAP",$AH453="PC",$AH453="MC",$AH453="SCLC",$AH453="P-LAM")),"WD","HM")&amp;"1.75")</f>
        <v/>
      </c>
      <c r="DD453" s="84">
        <f>IF($CJ453="","",IF($O453="Y",$CJ453,SUBSTITUTE($CJ453,$BG453&amp;" "&amp;IFERROR(VLOOKUP($Z453,CODES,2,FALSE),"")&amp;" ",$BG453&amp;" ")))</f>
        <v/>
      </c>
      <c r="DE453" s="84">
        <f>IF($CK453="","",IF($O453="Y",$CK453,SUBSTITUTE($CK453,$BG453&amp;" "&amp;IF($AN453="",IFERROR(VLOOKUP($Z453,CODES,2,FALSE),""),IFERROR(VLOOKUP($AN453,CODES,2,FALSE),""))&amp;" ",$BG453&amp;" ")))</f>
        <v/>
      </c>
      <c r="DF453" s="84">
        <f>IF($CJ453="","",$DC453&amp;"|"&amp;$DD453&amp;"|"&amp;$DB453&amp;"|"&amp;$AT453&amp;"|"&amp;$V453&amp;"|"&amp;$Y453&amp;"|"&amp;$AB453)</f>
        <v/>
      </c>
      <c r="DG453" s="84">
        <f>IF(DF453="","",IF(COUNTIF($DF$6:DF453,DF453)=1,MAX($DG$5:DG452)+1,INDEX($DG$5:DG452,MATCH(DF453,$DF$5:DF452,0))))</f>
        <v/>
      </c>
      <c r="DH453" s="84">
        <f>IF($CK453="","",$DC453&amp;"|"&amp;$DE453&amp;"|"&amp;$AI453&amp;"|"&amp;$BK453&amp;"|"&amp;$BL453)</f>
        <v/>
      </c>
      <c r="DI453" s="84">
        <f>IF(DH453="","",IF(COUNTIF($DH$6:DH453,DH453)=1,MAX($DI$5:DI452)+1,INDEX($DI$5:DI452,MATCH(DH453,$DH$5:DH452,0))))</f>
        <v/>
      </c>
      <c r="DJ453" s="84">
        <f>IF($A453="","",IF($B453="","qty, ","")&amp;IF($C453="","scope, ","")&amp;IF(OR($K453="",$M453=""),"size, ","")&amp;IF(AND($A453&lt;&gt;"",$C453&lt;&gt;"DOOR ONLY"),IF($U453="","jamb depth, ","")&amp;IF($X453="","construction, ","")&amp;IF($Y453="","anchor, ","")&amp;IF($S453="","frame type, ",""),"")&amp;IF(AND(N($BJ453)&gt;0,$Z453=""),"hand, ","")&amp;IF(N($BJ453)&gt;0,IF($AH453="","door material, ","")&amp;IF($AL453="","face type, ","")&amp;IF($AP453="","lock prep, ","")&amp;IF(AND($AO453="",$AC453=""),"hinge prep, ",""),"")&amp;IF(AND($CH453&gt;0,$AH453="FRP"),"FRP cannot carry a label, ","")&amp;IF(AND($O453="Y",OR($Z453="L",$Z453="R",$Z453="LR",$Z453="RR")),"pair marked but hand is single, ","")&amp;IF(AND($O453&lt;&gt;"Y",OR($Z453="PR",AND(LEN($Z453)&gt;1,ISNUMBER(SEARCH("-",$Z453))))),"pair hand on a single door, ","")&amp;IF(AND(ISNUMBER($CI453),$CH453&lt;N($CI453)),"wall needs a "&amp;$CI453&amp;" min door, ","")&amp;IF(AND($CH453&gt;=180,AND(OR($CE453="FG",$CE453="HG",$CE453="FNV",$CE453="FV"),N($CF453)*N($CG453)&gt;100)),"180 min lite over 100 sq in, ","")&amp;IF(N($BK453)&gt;48,"leaf wider than 4'-0"&amp;CHAR(34)&amp;", ","")&amp;IF(AND($CT453,COUNT($AW453:$AZ453)=0,$CQ453&gt;0),"CUSTOM LOC with no locations typed, ",""))</f>
        <v/>
      </c>
      <c r="DK453" s="84">
        <f>IF($A453="","",IF(AND($CH453&gt;0,AND($A453&lt;&gt;"",$C453&lt;&gt;"DOOR ONLY"),$X453="KD",$E453="EXTERIOR"),"KD label on an exterior opening, ","")&amp;IF(AND($E453="EXTERIOR",OR(AND(AND($A453&lt;&gt;"",$C453&lt;&gt;"DOOR ONLY"),$W453="CR"),AND(N($BJ453)&gt;0,$AH453="CR"))),"exterior in CR steel (G9?), ","")&amp;IF(AND(ISNUMBER($BQ453),N($BQ453)&lt;32),"clear width ~"&amp;TEXT($BQ453,"0.0")&amp;CHAR(34)&amp;" under 32"&amp;CHAR(34)&amp;" (ADA), ","")&amp;IF(AND($CH453=90,AND(OR($CE453="FG",$CE453="HG",$CE453="FNV",$CE453="FV"),N($CF453)*N($CG453)&gt;100)),"90 min lite over 100 sq in (stair/exit), ","")&amp;IF(AND($CH453&gt;0,AND($A453&lt;&gt;"",$C453&lt;&gt;"DOOR ONLY"),OR($AF453="",$AF453="-")),"rated: closer reinf.?, ","")&amp;IF(OR($I453="CORRIDOR",$I453="SMOKE BARRIER"),"S label + smoke gasketing, ","")&amp;IF($CI453="?","wall type/hr not in IBC table, ","")&amp;IF(AND(N($BJ453)&gt;0,$BB453=""),"no hardware set, ","")&amp;IF(AND($BB453&lt;&gt;"",ISNA(MATCH($BB453&amp;"",HWSets,0))),"set "&amp;$BB453&amp;" not on HW Sets, ","")&amp;IF(N($BL453)&gt;96,"leaf over 8'-0"&amp;CHAR(34)&amp;" - check listing, ","")&amp;IF(AND($CT453,COUNT($AW453:$AZ453)&gt;0,COUNT($AW453:$AZ453)&lt;&gt;$CQ453),COUNT($AW453:$AZ453)&amp;" custom hinges typed, "&amp;$CQ453&amp;" expected, ","")&amp;IF(AND(ISNUMBER($CA453),OR(N($CA453)&lt;34,N($CA453)&gt;48)),"lock "&amp;TEXT($CA453,"0.0")&amp;CHAR(34)&amp;" AFF outside 34-48"&amp;CHAR(34)&amp;" (ADA), ","")&amp;IF(AND(ISNUMBER($AV453),ISNUMBER($BL453),N($AV453)&lt;IF(N($BL453)&lt;=60,2,IF(N($BL453)&lt;=90,3,IF(N($BL453)&lt;=120,4,5)))),"fewer hinges than standard, ",""))</f>
        <v/>
      </c>
    </row>
    <row r="454" ht="15" customHeight="1">
      <c r="A454" s="77" t="n"/>
      <c r="B454" s="78" t="n"/>
      <c r="C454" s="78" t="n"/>
      <c r="D454" s="78" t="n"/>
      <c r="E454" s="78" t="n"/>
      <c r="F454" s="78" t="n"/>
      <c r="G454" s="78" t="n"/>
      <c r="H454" s="78" t="n"/>
      <c r="I454" s="78" t="n"/>
      <c r="J454" s="78" t="n"/>
      <c r="K454" s="78" t="n"/>
      <c r="L454" s="78" t="n"/>
      <c r="M454" s="78" t="n"/>
      <c r="N454" s="78" t="n"/>
      <c r="O454" s="78" t="n"/>
      <c r="P454" s="78" t="n"/>
      <c r="Q454" s="78" t="n"/>
      <c r="R454" s="78" t="n"/>
      <c r="S454" s="79" t="n"/>
      <c r="T454" s="79" t="n"/>
      <c r="U454" s="79" t="n"/>
      <c r="V454" s="79" t="n"/>
      <c r="W454" s="79" t="n"/>
      <c r="X454" s="79" t="n"/>
      <c r="Y454" s="79" t="n"/>
      <c r="Z454" s="79" t="n"/>
      <c r="AA454" s="79" t="n"/>
      <c r="AB454" s="79" t="n"/>
      <c r="AC454" s="79" t="n"/>
      <c r="AD454" s="79" t="n"/>
      <c r="AE454" s="79" t="n"/>
      <c r="AF454" s="79" t="n"/>
      <c r="AG454" s="79" t="n"/>
      <c r="AH454" s="80" t="n"/>
      <c r="AI454" s="80" t="n"/>
      <c r="AJ454" s="80" t="n"/>
      <c r="AK454" s="80" t="n"/>
      <c r="AL454" s="80" t="n"/>
      <c r="AM454" s="80" t="n"/>
      <c r="AN454" s="80" t="n"/>
      <c r="AO454" s="80" t="n"/>
      <c r="AP454" s="80" t="n"/>
      <c r="AQ454" s="80" t="n"/>
      <c r="AR454" s="80" t="n"/>
      <c r="AS454" s="80" t="n"/>
      <c r="AT454" s="81" t="n"/>
      <c r="AU454" s="81" t="n"/>
      <c r="AV454" s="81" t="n"/>
      <c r="AW454" s="82" t="n"/>
      <c r="AX454" s="82" t="n"/>
      <c r="AY454" s="82" t="n"/>
      <c r="AZ454" s="82" t="n"/>
      <c r="BA454" s="82" t="n"/>
      <c r="BB454" s="83" t="n"/>
      <c r="BC454" s="83" t="n"/>
      <c r="BD454" s="84">
        <f>IF($A454="","",IF($DJ454&lt;&gt;"","FIX",IF($DK454&lt;&gt;"","CHECK","OK")))</f>
        <v/>
      </c>
      <c r="BE454" s="85">
        <f>IF($A454="","",IF($DJ454&lt;&gt;"","FIX: "&amp;LEFT($DJ454,LEN($DJ454)-2)&amp;IF($DK454&lt;&gt;"","  ·  ",""),"")&amp;IF($DK454&lt;&gt;"","CHECK: "&amp;LEFT($DK454,LEN($DK454)-2),""))</f>
        <v/>
      </c>
      <c r="BF454" s="84">
        <f>IF(OR($A454="",$K454=""),"",$K454&amp;"'-"&amp;N($L454)&amp;CHAR(34)&amp;" x "&amp;$M454&amp;"'-"&amp;N($N454)&amp;CHAR(34))</f>
        <v/>
      </c>
      <c r="BG454" s="84">
        <f>IF(OR($A454="",$K454=""),"",$K454&amp;N($L454)&amp;$M454&amp;N($N454))</f>
        <v/>
      </c>
      <c r="BH454" s="84">
        <f>IF(OR($A454="",$K454=""),"",$K454*12+N($L454))</f>
        <v/>
      </c>
      <c r="BI454" s="84">
        <f>IF(OR($A454="",$M454=""),"",$M454*12+N($N454))</f>
        <v/>
      </c>
      <c r="BJ454" s="84">
        <f>IF($A454="","",IF(OR($C454="FRAME ONLY",$S454="BL"),0,IF($O454="Y",2,1)))</f>
        <v/>
      </c>
      <c r="BK454" s="86">
        <f>IF(OR(N($BJ454)=0,$BH454=""),"",($BH454-2*EdgeClr-IF($BJ454=2,MeetClr,0))/$BJ454)</f>
        <v/>
      </c>
      <c r="BL454" s="86">
        <f>IF(OR(N($BJ454)=0,$BI454=""),"",$BI454-HeadClr-Undercut)</f>
        <v/>
      </c>
      <c r="BM454" s="86">
        <f>IF($BH454="","",$BH454+2*FaceW+IF(N($Q454)&gt;0,($Q454+FaceW)*IF($R454="LR",2,1),0))</f>
        <v/>
      </c>
      <c r="BN454" s="86">
        <f>IF($BI454="","",$BI454+IF($AB454="Y",4,FaceW)+IF(N($P454)&gt;0,$P454+FaceW,0)+IF(OR($S454="4F",$S454="BL"),FaceW,0))</f>
        <v/>
      </c>
      <c r="BO454" s="86">
        <f>IF($BM454="","",$BM454+2*ROSide)</f>
        <v/>
      </c>
      <c r="BP454" s="86">
        <f>IF($BN454="","",$BN454+ROTop)</f>
        <v/>
      </c>
      <c r="BQ454" s="87">
        <f>IF(OR(N($BJ454)=0,$BH454=""),"",$BH454/$BJ454-ClearDeduct)</f>
        <v/>
      </c>
      <c r="BR454" s="84">
        <f>IF(N($CH454)=0,"",IF($CH454&gt;=180,"A · 3 HR",IF($CH454&gt;=90,"B · 1-1/2 HR",IF($CH454&gt;=60,"B · 1 HR",IF($CH454&gt;=45,"C · 3/4 HR","20 MIN")))))&amp;IF(AND(N($CH454)&gt;0,OR($I454="CORRIDOR",$I454="SMOKE BARRIER"))," · S","")</f>
        <v/>
      </c>
      <c r="BS454" s="84">
        <f>IF($CS454,"",IF($AV454&lt;&gt;"",$AV454,IF(OR($AC454="HGC",$AO454="HGC"),"CONT",IF(($BI454-HeadClr-Undercut)&lt;=60,2,IF(($BI454-HeadClr-Undercut)&lt;=90,3,IF(($BI454-HeadClr-Undercut)&lt;=120,4,5))))))</f>
        <v/>
      </c>
      <c r="BT454" s="84">
        <f>IF($CS454,"",IF($CT454,"CUSTOM (typed)",IF($CV454,$AT454&amp;" "&amp;$CU454&amp;CHAR(34)&amp;IF($CU454&lt;&gt;$BI454,IF(AND($BI454&lt;$CU454,$BI454-IF(N(VLOOKUP($AT454&amp;"|"&amp;$CU454,LocTable,7,FALSE))&gt;0,VLOOKUP($AT454&amp;"|"&amp;$CU454,LocTable,7,FALSE),VLOOKUP($AT454&amp;"|"&amp;$CU454,LocTable,6,FALSE))-$CR454-0.75&gt;=2.125)," cut down"," adj."),""),"ANSI/SDI A250.6")))</f>
        <v/>
      </c>
      <c r="BU454" s="88">
        <f>IF($CS454,"",IF($CT454,IF(N($AW454)&gt;0,N($AW454),""),IF(1&gt;$CQ454,"",IF($CQ454=1,$CW454,$CW454+($CX454-$CW454)*0/($CQ454-1)))))</f>
        <v/>
      </c>
      <c r="BV454" s="88">
        <f>IF($CS454,"",IF($CT454,IF(N($AX454)&gt;0,N($AX454),""),IF(2&gt;$CQ454,"",IF($CQ454=1,$CW454,$CW454+($CX454-$CW454)*1/($CQ454-1)))))</f>
        <v/>
      </c>
      <c r="BW454" s="88">
        <f>IF($CS454,"",IF($CT454,IF(N($AY454)&gt;0,N($AY454),""),IF(3&gt;$CQ454,"",IF($CQ454=1,$CW454,$CW454+($CX454-$CW454)*2/($CQ454-1)))))</f>
        <v/>
      </c>
      <c r="BX454" s="88">
        <f>IF($CS454,"",IF($CT454,IF(N($AZ454)&gt;0,N($AZ454),""),IF(4&gt;$CQ454,"",IF($CQ454=1,$CW454,$CW454+($CX454-$CW454)*3/($CQ454-1)))))</f>
        <v/>
      </c>
      <c r="BY454" s="88">
        <f>IF($CS454,"",IF($CT454,"",IF(5&gt;$CQ454,"",IF($CQ454=1,$CW454,$CW454+($CX454-$CW454)*4/($CQ454-1)))))</f>
        <v/>
      </c>
      <c r="BZ454" s="88">
        <f>IF(OR($CS454,$AP454="-",AND($AP454="",$AD454="")),"",IF(N($BA454)&gt;0,N($BA454),IF($CV454,IF(AND($BI454&lt;$CU454,$BI454-IF(N(VLOOKUP($AT454&amp;"|"&amp;$CU454,LocTable,7,FALSE))&gt;0,VLOOKUP($AT454&amp;"|"&amp;$CU454,LocTable,7,FALSE),VLOOKUP($AT454&amp;"|"&amp;$CU454,LocTable,6,FALSE))-$CR454-0.75&gt;=2.125),VLOOKUP($AT454&amp;"|"&amp;$CU454,LocTable,8,FALSE),VLOOKUP($AT454&amp;"|"&amp;$CU454,LocTable,8,FALSE)+($BI454-$CU454)),$BI454-LockAFF)))</f>
        <v/>
      </c>
      <c r="CA454" s="89">
        <f>IF($BZ454="","",$BI454-$BZ454)</f>
        <v/>
      </c>
      <c r="CB454" s="84">
        <f>IF(OR(NOT(AND($A454&lt;&gt;"",$C454&lt;&gt;"DOOR ONLY")),$BI454=""),"",IF(($BI454+IF(N($P454)&gt;0,$P454+FaceW,0))&lt;=90,3,IF(($BI454+IF(N($P454)&gt;0,$P454+FaceW,0))&lt;=114,4,5)))</f>
        <v/>
      </c>
      <c r="CC454" s="84">
        <f>IF($CB454="","",$CB454*(2+IF(N($Q454)&gt;0,IF($R454="LR",2,1),0)))</f>
        <v/>
      </c>
      <c r="CD454" s="84">
        <f>IF($CB454="","",(2+IF(N($Q454)&gt;0,IF($R454="LR",2,1),0)))</f>
        <v/>
      </c>
      <c r="CE454" s="84">
        <f>IF(N($BJ454)=0,"",IF(OR($AL454="",$AL454="FLUSH"),"FLUSH",IFERROR(LEFT($AL454,FIND("-",$AL454)-1),LEFT($AL454,2))))</f>
        <v/>
      </c>
      <c r="CF454" s="84">
        <f>IF($CE454="","",IFERROR(VALUE(MID($AL454,FIND("-",$AL454)+1,FIND(CHAR(34)&amp;"x",$AL454)-FIND("-",$AL454)-1)),0))</f>
        <v/>
      </c>
      <c r="CG454" s="84">
        <f>IF($CE454="","",IFERROR(VALUE(MID($AL454,FIND(CHAR(34)&amp;"x",$AL454)+2,FIND(CHAR(34),$AL454,FIND(CHAR(34)&amp;"x",$AL454)+2)-FIND(CHAR(34)&amp;"x",$AL454)-2)),0))</f>
        <v/>
      </c>
      <c r="CH454" s="90">
        <f>IF(OR($A454="",$H454="",$H454="NO LAB"),0,IFERROR(VALUE(LEFT($H454,FIND(" ",$H454)-1)),0))</f>
        <v/>
      </c>
      <c r="CI454" s="91">
        <f>IF(OR($A454="",$I454="",$I454="NON-RATED",N($J454)=0),"",IFERROR(VLOOKUP($I454&amp;"|"&amp;$J454,IBC,2,FALSE),"?"))</f>
        <v/>
      </c>
      <c r="CJ454" s="85">
        <f>IF(NOT(AND($A454&lt;&gt;"",$C454&lt;&gt;"DOOR ONLY")),"",TRIM(IFERROR(VLOOKUP($U454,CODES,2,FALSE),"")&amp;" "&amp;$BG454&amp;" "&amp;IFERROR(VLOOKUP($Z454,CODES,2,FALSE),"")&amp;" "&amp;IFERROR(VLOOKUP($X454,CODES,2,FALSE),"")&amp;" "&amp;IFERROR(VLOOKUP($S454,CODES,2,FALSE),"")&amp;IF(N($P454)&gt;0," w/TRANSOM "&amp;$P454&amp;CHAR(34),"")&amp;IF(N($Q454)&gt;0," w/SIDELITE "&amp;$Q454&amp;CHAR(34)&amp;" "&amp;IF($R454="","R",$R454),"")&amp;IF($Y454="","  |  "," | "&amp;IFERROR(VLOOKUP($Y454,CODES,2,FALSE),"")&amp;" | ")&amp;IFERROR(VLOOKUP($AC454,CODES,2,FALSE),"")&amp;" "&amp;IFERROR(VLOOKUP($AD454,CODES,2,FALSE),"")&amp;IF(OR($AE454="",$AE454="-"),""," "&amp;$AE454)&amp;IF(OR($AF454="",$AF454="-"),""," "&amp;$AF454)&amp;IF($AB454="Y"," 4"&amp;CHAR(34)&amp;" HEAD","")&amp;" "&amp;IFERROR(VLOOKUP($H454,CODES,2,FALSE),"")&amp;IF($CT454," | LOC "&amp;$CY454,"")))</f>
        <v/>
      </c>
      <c r="CK454" s="85">
        <f>IF(NOT(AND($A454&lt;&gt;"",N($BJ454)&gt;0)),"",TRIM(IFERROR(VLOOKUP($AH454,CODES,2,FALSE),"")&amp;IF($AI454=""," "," "&amp;$AI454&amp;"GA ")&amp;$BG454&amp;" "&amp;IF($AN454="",IFERROR(VLOOKUP($Z454,CODES,2,FALSE),""),IFERROR(VLOOKUP($AN454,CODES,2,FALSE),""))&amp;IF($BJ454=2," PAIR","")&amp;" DOOR | "&amp;IF($AL454="","?",$AL454)&amp;" | "&amp;IF($AO454="",IFERROR(VLOOKUP($AC454,CODES,2,FALSE),""),IFERROR(VLOOKUP($AO454,CODES,2,FALSE),""))&amp;" "&amp;IFERROR(VLOOKUP($AP454,CODES,2,FALSE),"")&amp;IF(OR($AQ454="",$AQ454="-"),""," SEAM "&amp;$AQ454)&amp;IF($AR454="Y"," ASTRAGAL","")&amp;IF($AJ454=""," "," "&amp;$AJ454)&amp;IF($AK454=""," "," "&amp;$AK454)&amp;IF(OR($AT454="",$AT454="ANSI/SDI",$AT454="CUSTOM LOC"),""," "&amp;$AT454)&amp;IF($AM454=""," "," SERIES "&amp;$AM454)&amp;" "&amp;IFERROR(VLOOKUP($H454,CODES,2,FALSE),"")&amp;IF($CT454," | LOC "&amp;$CZ454,"")))</f>
        <v/>
      </c>
      <c r="CL454" s="84">
        <f>IF(CP454="","",IF(COUNTIF($CP$6:CP454,CP454)=1,MAX($CL$5:CL453)+1,INDEX($CL$5:CL453,MATCH(CP454,$CP$5:CP453,0))))</f>
        <v/>
      </c>
      <c r="CM454" s="84">
        <f>IF(NOT(AND($A454&lt;&gt;"",$C454&lt;&gt;"DOOR ONLY")),"",MAX($CM$5:CM453)+1)</f>
        <v/>
      </c>
      <c r="CN454" s="84">
        <f>IF(NOT(AND($A454&lt;&gt;"",N($BJ454)&gt;0)),"",MAX($CN$5:CN453)+1)</f>
        <v/>
      </c>
      <c r="CO454" s="84">
        <f>IF($A454="","",MAX($CO$5:CO453)+1)</f>
        <v/>
      </c>
      <c r="CP454" s="84">
        <f>IF(OR($A454="",$BH454="",$BI454=""),"",$BG454&amp;"|"&amp;$O454&amp;"|"&amp;$AL454&amp;"|"&amp;$S454&amp;"|"&amp;$P454&amp;"|"&amp;$Q454&amp;$R454&amp;"|"&amp;$C454&amp;"|"&amp;$AB454)</f>
        <v/>
      </c>
      <c r="CQ454" s="84">
        <f>N($BS454)</f>
        <v/>
      </c>
      <c r="CR454" s="84">
        <f>IF(N($AU454)&gt;0,N($AU454),4.5)</f>
        <v/>
      </c>
      <c r="CS454" s="84">
        <f>OR($A454="",$BI454="",$S454="BL",AND($C454="FRAME ONLY",OR($AC454="",$AC454="BLK")))</f>
        <v/>
      </c>
      <c r="CT454" s="84">
        <f>AND(NOT($CS454),OR($AT454="CUSTOM LOC",N($AW454)+N($AX454)+N($AY454)+N($AZ454)+N($BA454)&gt;0))</f>
        <v/>
      </c>
      <c r="CU454" s="84">
        <f>IF($BI454="","",IF($BI454&lt;=80,80,IF($BI454&lt;=84,84,96)))</f>
        <v/>
      </c>
      <c r="CV454" s="84">
        <f>ISNUMBER(MATCH($AT454&amp;"|80",LocKeys,0))</f>
        <v/>
      </c>
      <c r="CW454" s="86">
        <f>IF($CS454,"",IF($CV454,VLOOKUP($AT454&amp;"|"&amp;$CU454,LocTable,4,FALSE),5))</f>
        <v/>
      </c>
      <c r="CX454" s="86">
        <f>IF($CS454,"",IF($CV454,IF(OR($BI454=$CU454,AND($BI454&lt;$CU454,$BI454-IF(N(VLOOKUP($AT454&amp;"|"&amp;$CU454,LocTable,7,FALSE))&gt;0,VLOOKUP($AT454&amp;"|"&amp;$CU454,LocTable,7,FALSE),VLOOKUP($AT454&amp;"|"&amp;$CU454,LocTable,6,FALSE))-$CR454-0.75&gt;=2.125)),IF(N(VLOOKUP($AT454&amp;"|"&amp;$CU454,LocTable,7,FALSE))&gt;0,VLOOKUP($AT454&amp;"|"&amp;$CU454,LocTable,7,FALSE),VLOOKUP($AT454&amp;"|"&amp;$CU454,LocTable,6,FALSE)),$BI454-($CU454-IF(N(VLOOKUP($AT454&amp;"|"&amp;$CU454,LocTable,7,FALSE))&gt;0,VLOOKUP($AT454&amp;"|"&amp;$CU454,LocTable,7,FALSE),VLOOKUP($AT454&amp;"|"&amp;$CU454,LocTable,6,FALSE)))),$BI454-10-$CR454))</f>
        <v/>
      </c>
      <c r="CY454" s="85">
        <f>IF($CS454,"",TRIM(IF(ISNUMBER($BU454),"A "&amp;TRIM(TEXT($BU454,"# ?/??"))&amp;CHAR(34)&amp;"  ","")&amp;IF(ISNUMBER($BV454),"B "&amp;TRIM(TEXT($BV454,"# ?/??"))&amp;CHAR(34)&amp;"  ","")&amp;IF(ISNUMBER($BW454),"C "&amp;TRIM(TEXT($BW454,"# ?/??"))&amp;CHAR(34)&amp;"  ","")&amp;IF(ISNUMBER($BX454),"D "&amp;TRIM(TEXT($BX454,"# ?/??"))&amp;CHAR(34)&amp;"  ","")&amp;IF(ISNUMBER($BY454),"F "&amp;TRIM(TEXT($BY454,"# ?/??"))&amp;CHAR(34)&amp;"  ","")&amp;IF(ISNUMBER($BZ454),"E "&amp;TRIM(TEXT($BZ454,"# ?/??"))&amp;CHAR(34)&amp;"  ","")))</f>
        <v/>
      </c>
      <c r="CZ454" s="85">
        <f>IF(OR($CS454,N($BJ454)=0),"",TRIM(IF(ISNUMBER($BU454),"A "&amp;TRIM(TEXT($BU454-HeadClr,"# ?/??"))&amp;CHAR(34)&amp;"  ","")&amp;IF(ISNUMBER($BV454),"B "&amp;TRIM(TEXT($BV454-HeadClr,"# ?/??"))&amp;CHAR(34)&amp;"  ","")&amp;IF(ISNUMBER($BW454),"C "&amp;TRIM(TEXT($BW454-HeadClr,"# ?/??"))&amp;CHAR(34)&amp;"  ","")&amp;IF(ISNUMBER($BX454),"D "&amp;TRIM(TEXT($BX454-HeadClr,"# ?/??"))&amp;CHAR(34)&amp;"  ","")&amp;IF(ISNUMBER($BY454),"F "&amp;TRIM(TEXT($BY454-HeadClr,"# ?/??"))&amp;CHAR(34)&amp;"  ","")&amp;IF(ISNUMBER($BZ454),"E "&amp;TRIM(TEXT($BZ454-HeadClr,"# ?/??"))&amp;CHAR(34)&amp;"  ","")))</f>
        <v/>
      </c>
      <c r="DA454" s="84">
        <f>IF($A454="","",IF($AN454="",IFERROR(VLOOKUP($Z454,CODES,2,FALSE),""),IFERROR(VLOOKUP($AN454,CODES,2,FALSE),"")))</f>
        <v/>
      </c>
      <c r="DB454" s="84">
        <f>IF($A454="","",IF($O454="Y","PR",IF(OR($Z454="L",$Z454="RR",LEFT($Z454,2)="L-",LEFT($Z454,3)="RR-"),"LH","RH")))</f>
        <v/>
      </c>
      <c r="DC454" s="84">
        <f>IF($A454="","","S.HM"&amp;IF(OR($C454="DOOR ONLY",$X454&lt;&gt;"KD"),"MASONRY","DRYWALL")&amp;IF($C454="DOOR ONLY","",$U454)&amp;IF(AND($C454&lt;&gt;"FRAME ONLY",OR(LEFT($AH454,3)="OAK",LEFT($AH454,3)="BIR",LEFT($AH454,3)="MAP",$AH454="PC",$AH454="MC",$AH454="SCLC",$AH454="P-LAM")),"WD","HM")&amp;"1.75")</f>
        <v/>
      </c>
      <c r="DD454" s="84">
        <f>IF($CJ454="","",IF($O454="Y",$CJ454,SUBSTITUTE($CJ454,$BG454&amp;" "&amp;IFERROR(VLOOKUP($Z454,CODES,2,FALSE),"")&amp;" ",$BG454&amp;" ")))</f>
        <v/>
      </c>
      <c r="DE454" s="84">
        <f>IF($CK454="","",IF($O454="Y",$CK454,SUBSTITUTE($CK454,$BG454&amp;" "&amp;IF($AN454="",IFERROR(VLOOKUP($Z454,CODES,2,FALSE),""),IFERROR(VLOOKUP($AN454,CODES,2,FALSE),""))&amp;" ",$BG454&amp;" ")))</f>
        <v/>
      </c>
      <c r="DF454" s="84">
        <f>IF($CJ454="","",$DC454&amp;"|"&amp;$DD454&amp;"|"&amp;$DB454&amp;"|"&amp;$AT454&amp;"|"&amp;$V454&amp;"|"&amp;$Y454&amp;"|"&amp;$AB454)</f>
        <v/>
      </c>
      <c r="DG454" s="84">
        <f>IF(DF454="","",IF(COUNTIF($DF$6:DF454,DF454)=1,MAX($DG$5:DG453)+1,INDEX($DG$5:DG453,MATCH(DF454,$DF$5:DF453,0))))</f>
        <v/>
      </c>
      <c r="DH454" s="84">
        <f>IF($CK454="","",$DC454&amp;"|"&amp;$DE454&amp;"|"&amp;$AI454&amp;"|"&amp;$BK454&amp;"|"&amp;$BL454)</f>
        <v/>
      </c>
      <c r="DI454" s="84">
        <f>IF(DH454="","",IF(COUNTIF($DH$6:DH454,DH454)=1,MAX($DI$5:DI453)+1,INDEX($DI$5:DI453,MATCH(DH454,$DH$5:DH453,0))))</f>
        <v/>
      </c>
      <c r="DJ454" s="84">
        <f>IF($A454="","",IF($B454="","qty, ","")&amp;IF($C454="","scope, ","")&amp;IF(OR($K454="",$M454=""),"size, ","")&amp;IF(AND($A454&lt;&gt;"",$C454&lt;&gt;"DOOR ONLY"),IF($U454="","jamb depth, ","")&amp;IF($X454="","construction, ","")&amp;IF($Y454="","anchor, ","")&amp;IF($S454="","frame type, ",""),"")&amp;IF(AND(N($BJ454)&gt;0,$Z454=""),"hand, ","")&amp;IF(N($BJ454)&gt;0,IF($AH454="","door material, ","")&amp;IF($AL454="","face type, ","")&amp;IF($AP454="","lock prep, ","")&amp;IF(AND($AO454="",$AC454=""),"hinge prep, ",""),"")&amp;IF(AND($CH454&gt;0,$AH454="FRP"),"FRP cannot carry a label, ","")&amp;IF(AND($O454="Y",OR($Z454="L",$Z454="R",$Z454="LR",$Z454="RR")),"pair marked but hand is single, ","")&amp;IF(AND($O454&lt;&gt;"Y",OR($Z454="PR",AND(LEN($Z454)&gt;1,ISNUMBER(SEARCH("-",$Z454))))),"pair hand on a single door, ","")&amp;IF(AND(ISNUMBER($CI454),$CH454&lt;N($CI454)),"wall needs a "&amp;$CI454&amp;" min door, ","")&amp;IF(AND($CH454&gt;=180,AND(OR($CE454="FG",$CE454="HG",$CE454="FNV",$CE454="FV"),N($CF454)*N($CG454)&gt;100)),"180 min lite over 100 sq in, ","")&amp;IF(N($BK454)&gt;48,"leaf wider than 4'-0"&amp;CHAR(34)&amp;", ","")&amp;IF(AND($CT454,COUNT($AW454:$AZ454)=0,$CQ454&gt;0),"CUSTOM LOC with no locations typed, ",""))</f>
        <v/>
      </c>
      <c r="DK454" s="84">
        <f>IF($A454="","",IF(AND($CH454&gt;0,AND($A454&lt;&gt;"",$C454&lt;&gt;"DOOR ONLY"),$X454="KD",$E454="EXTERIOR"),"KD label on an exterior opening, ","")&amp;IF(AND($E454="EXTERIOR",OR(AND(AND($A454&lt;&gt;"",$C454&lt;&gt;"DOOR ONLY"),$W454="CR"),AND(N($BJ454)&gt;0,$AH454="CR"))),"exterior in CR steel (G9?), ","")&amp;IF(AND(ISNUMBER($BQ454),N($BQ454)&lt;32),"clear width ~"&amp;TEXT($BQ454,"0.0")&amp;CHAR(34)&amp;" under 32"&amp;CHAR(34)&amp;" (ADA), ","")&amp;IF(AND($CH454=90,AND(OR($CE454="FG",$CE454="HG",$CE454="FNV",$CE454="FV"),N($CF454)*N($CG454)&gt;100)),"90 min lite over 100 sq in (stair/exit), ","")&amp;IF(AND($CH454&gt;0,AND($A454&lt;&gt;"",$C454&lt;&gt;"DOOR ONLY"),OR($AF454="",$AF454="-")),"rated: closer reinf.?, ","")&amp;IF(OR($I454="CORRIDOR",$I454="SMOKE BARRIER"),"S label + smoke gasketing, ","")&amp;IF($CI454="?","wall type/hr not in IBC table, ","")&amp;IF(AND(N($BJ454)&gt;0,$BB454=""),"no hardware set, ","")&amp;IF(AND($BB454&lt;&gt;"",ISNA(MATCH($BB454&amp;"",HWSets,0))),"set "&amp;$BB454&amp;" not on HW Sets, ","")&amp;IF(N($BL454)&gt;96,"leaf over 8'-0"&amp;CHAR(34)&amp;" - check listing, ","")&amp;IF(AND($CT454,COUNT($AW454:$AZ454)&gt;0,COUNT($AW454:$AZ454)&lt;&gt;$CQ454),COUNT($AW454:$AZ454)&amp;" custom hinges typed, "&amp;$CQ454&amp;" expected, ","")&amp;IF(AND(ISNUMBER($CA454),OR(N($CA454)&lt;34,N($CA454)&gt;48)),"lock "&amp;TEXT($CA454,"0.0")&amp;CHAR(34)&amp;" AFF outside 34-48"&amp;CHAR(34)&amp;" (ADA), ","")&amp;IF(AND(ISNUMBER($AV454),ISNUMBER($BL454),N($AV454)&lt;IF(N($BL454)&lt;=60,2,IF(N($BL454)&lt;=90,3,IF(N($BL454)&lt;=120,4,5)))),"fewer hinges than standard, ",""))</f>
        <v/>
      </c>
    </row>
    <row r="455" ht="15" customHeight="1">
      <c r="A455" s="92" t="n"/>
      <c r="B455" s="93" t="n"/>
      <c r="C455" s="93" t="n"/>
      <c r="D455" s="93" t="n"/>
      <c r="E455" s="93" t="n"/>
      <c r="F455" s="93" t="n"/>
      <c r="G455" s="93" t="n"/>
      <c r="H455" s="93" t="n"/>
      <c r="I455" s="93" t="n"/>
      <c r="J455" s="93" t="n"/>
      <c r="K455" s="93" t="n"/>
      <c r="L455" s="93" t="n"/>
      <c r="M455" s="93" t="n"/>
      <c r="N455" s="93" t="n"/>
      <c r="O455" s="93" t="n"/>
      <c r="P455" s="93" t="n"/>
      <c r="Q455" s="93" t="n"/>
      <c r="R455" s="93" t="n"/>
      <c r="S455" s="94" t="n"/>
      <c r="T455" s="94" t="n"/>
      <c r="U455" s="94" t="n"/>
      <c r="V455" s="94" t="n"/>
      <c r="W455" s="94" t="n"/>
      <c r="X455" s="94" t="n"/>
      <c r="Y455" s="94" t="n"/>
      <c r="Z455" s="94" t="n"/>
      <c r="AA455" s="94" t="n"/>
      <c r="AB455" s="94" t="n"/>
      <c r="AC455" s="94" t="n"/>
      <c r="AD455" s="94" t="n"/>
      <c r="AE455" s="94" t="n"/>
      <c r="AF455" s="94" t="n"/>
      <c r="AG455" s="94" t="n"/>
      <c r="AH455" s="95" t="n"/>
      <c r="AI455" s="95" t="n"/>
      <c r="AJ455" s="95" t="n"/>
      <c r="AK455" s="95" t="n"/>
      <c r="AL455" s="95" t="n"/>
      <c r="AM455" s="95" t="n"/>
      <c r="AN455" s="95" t="n"/>
      <c r="AO455" s="95" t="n"/>
      <c r="AP455" s="95" t="n"/>
      <c r="AQ455" s="95" t="n"/>
      <c r="AR455" s="95" t="n"/>
      <c r="AS455" s="95" t="n"/>
      <c r="AT455" s="96" t="n"/>
      <c r="AU455" s="96" t="n"/>
      <c r="AV455" s="96" t="n"/>
      <c r="AW455" s="97" t="n"/>
      <c r="AX455" s="97" t="n"/>
      <c r="AY455" s="97" t="n"/>
      <c r="AZ455" s="97" t="n"/>
      <c r="BA455" s="97" t="n"/>
      <c r="BB455" s="98" t="n"/>
      <c r="BC455" s="98" t="n"/>
      <c r="BD455" s="99">
        <f>IF($A455="","",IF($DJ455&lt;&gt;"","FIX",IF($DK455&lt;&gt;"","CHECK","OK")))</f>
        <v/>
      </c>
      <c r="BE455" s="100">
        <f>IF($A455="","",IF($DJ455&lt;&gt;"","FIX: "&amp;LEFT($DJ455,LEN($DJ455)-2)&amp;IF($DK455&lt;&gt;"","  ·  ",""),"")&amp;IF($DK455&lt;&gt;"","CHECK: "&amp;LEFT($DK455,LEN($DK455)-2),""))</f>
        <v/>
      </c>
      <c r="BF455" s="99">
        <f>IF(OR($A455="",$K455=""),"",$K455&amp;"'-"&amp;N($L455)&amp;CHAR(34)&amp;" x "&amp;$M455&amp;"'-"&amp;N($N455)&amp;CHAR(34))</f>
        <v/>
      </c>
      <c r="BG455" s="99">
        <f>IF(OR($A455="",$K455=""),"",$K455&amp;N($L455)&amp;$M455&amp;N($N455))</f>
        <v/>
      </c>
      <c r="BH455" s="99">
        <f>IF(OR($A455="",$K455=""),"",$K455*12+N($L455))</f>
        <v/>
      </c>
      <c r="BI455" s="99">
        <f>IF(OR($A455="",$M455=""),"",$M455*12+N($N455))</f>
        <v/>
      </c>
      <c r="BJ455" s="99">
        <f>IF($A455="","",IF(OR($C455="FRAME ONLY",$S455="BL"),0,IF($O455="Y",2,1)))</f>
        <v/>
      </c>
      <c r="BK455" s="101">
        <f>IF(OR(N($BJ455)=0,$BH455=""),"",($BH455-2*EdgeClr-IF($BJ455=2,MeetClr,0))/$BJ455)</f>
        <v/>
      </c>
      <c r="BL455" s="101">
        <f>IF(OR(N($BJ455)=0,$BI455=""),"",$BI455-HeadClr-Undercut)</f>
        <v/>
      </c>
      <c r="BM455" s="101">
        <f>IF($BH455="","",$BH455+2*FaceW+IF(N($Q455)&gt;0,($Q455+FaceW)*IF($R455="LR",2,1),0))</f>
        <v/>
      </c>
      <c r="BN455" s="101">
        <f>IF($BI455="","",$BI455+IF($AB455="Y",4,FaceW)+IF(N($P455)&gt;0,$P455+FaceW,0)+IF(OR($S455="4F",$S455="BL"),FaceW,0))</f>
        <v/>
      </c>
      <c r="BO455" s="101">
        <f>IF($BM455="","",$BM455+2*ROSide)</f>
        <v/>
      </c>
      <c r="BP455" s="101">
        <f>IF($BN455="","",$BN455+ROTop)</f>
        <v/>
      </c>
      <c r="BQ455" s="102">
        <f>IF(OR(N($BJ455)=0,$BH455=""),"",$BH455/$BJ455-ClearDeduct)</f>
        <v/>
      </c>
      <c r="BR455" s="99">
        <f>IF(N($CH455)=0,"",IF($CH455&gt;=180,"A · 3 HR",IF($CH455&gt;=90,"B · 1-1/2 HR",IF($CH455&gt;=60,"B · 1 HR",IF($CH455&gt;=45,"C · 3/4 HR","20 MIN")))))&amp;IF(AND(N($CH455)&gt;0,OR($I455="CORRIDOR",$I455="SMOKE BARRIER"))," · S","")</f>
        <v/>
      </c>
      <c r="BS455" s="99">
        <f>IF($CS455,"",IF($AV455&lt;&gt;"",$AV455,IF(OR($AC455="HGC",$AO455="HGC"),"CONT",IF(($BI455-HeadClr-Undercut)&lt;=60,2,IF(($BI455-HeadClr-Undercut)&lt;=90,3,IF(($BI455-HeadClr-Undercut)&lt;=120,4,5))))))</f>
        <v/>
      </c>
      <c r="BT455" s="99">
        <f>IF($CS455,"",IF($CT455,"CUSTOM (typed)",IF($CV455,$AT455&amp;" "&amp;$CU455&amp;CHAR(34)&amp;IF($CU455&lt;&gt;$BI455,IF(AND($BI455&lt;$CU455,$BI455-IF(N(VLOOKUP($AT455&amp;"|"&amp;$CU455,LocTable,7,FALSE))&gt;0,VLOOKUP($AT455&amp;"|"&amp;$CU455,LocTable,7,FALSE),VLOOKUP($AT455&amp;"|"&amp;$CU455,LocTable,6,FALSE))-$CR455-0.75&gt;=2.125)," cut down"," adj."),""),"ANSI/SDI A250.6")))</f>
        <v/>
      </c>
      <c r="BU455" s="103">
        <f>IF($CS455,"",IF($CT455,IF(N($AW455)&gt;0,N($AW455),""),IF(1&gt;$CQ455,"",IF($CQ455=1,$CW455,$CW455+($CX455-$CW455)*0/($CQ455-1)))))</f>
        <v/>
      </c>
      <c r="BV455" s="103">
        <f>IF($CS455,"",IF($CT455,IF(N($AX455)&gt;0,N($AX455),""),IF(2&gt;$CQ455,"",IF($CQ455=1,$CW455,$CW455+($CX455-$CW455)*1/($CQ455-1)))))</f>
        <v/>
      </c>
      <c r="BW455" s="103">
        <f>IF($CS455,"",IF($CT455,IF(N($AY455)&gt;0,N($AY455),""),IF(3&gt;$CQ455,"",IF($CQ455=1,$CW455,$CW455+($CX455-$CW455)*2/($CQ455-1)))))</f>
        <v/>
      </c>
      <c r="BX455" s="103">
        <f>IF($CS455,"",IF($CT455,IF(N($AZ455)&gt;0,N($AZ455),""),IF(4&gt;$CQ455,"",IF($CQ455=1,$CW455,$CW455+($CX455-$CW455)*3/($CQ455-1)))))</f>
        <v/>
      </c>
      <c r="BY455" s="103">
        <f>IF($CS455,"",IF($CT455,"",IF(5&gt;$CQ455,"",IF($CQ455=1,$CW455,$CW455+($CX455-$CW455)*4/($CQ455-1)))))</f>
        <v/>
      </c>
      <c r="BZ455" s="103">
        <f>IF(OR($CS455,$AP455="-",AND($AP455="",$AD455="")),"",IF(N($BA455)&gt;0,N($BA455),IF($CV455,IF(AND($BI455&lt;$CU455,$BI455-IF(N(VLOOKUP($AT455&amp;"|"&amp;$CU455,LocTable,7,FALSE))&gt;0,VLOOKUP($AT455&amp;"|"&amp;$CU455,LocTable,7,FALSE),VLOOKUP($AT455&amp;"|"&amp;$CU455,LocTable,6,FALSE))-$CR455-0.75&gt;=2.125),VLOOKUP($AT455&amp;"|"&amp;$CU455,LocTable,8,FALSE),VLOOKUP($AT455&amp;"|"&amp;$CU455,LocTable,8,FALSE)+($BI455-$CU455)),$BI455-LockAFF)))</f>
        <v/>
      </c>
      <c r="CA455" s="104">
        <f>IF($BZ455="","",$BI455-$BZ455)</f>
        <v/>
      </c>
      <c r="CB455" s="99">
        <f>IF(OR(NOT(AND($A455&lt;&gt;"",$C455&lt;&gt;"DOOR ONLY")),$BI455=""),"",IF(($BI455+IF(N($P455)&gt;0,$P455+FaceW,0))&lt;=90,3,IF(($BI455+IF(N($P455)&gt;0,$P455+FaceW,0))&lt;=114,4,5)))</f>
        <v/>
      </c>
      <c r="CC455" s="99">
        <f>IF($CB455="","",$CB455*(2+IF(N($Q455)&gt;0,IF($R455="LR",2,1),0)))</f>
        <v/>
      </c>
      <c r="CD455" s="99">
        <f>IF($CB455="","",(2+IF(N($Q455)&gt;0,IF($R455="LR",2,1),0)))</f>
        <v/>
      </c>
      <c r="CE455" s="99">
        <f>IF(N($BJ455)=0,"",IF(OR($AL455="",$AL455="FLUSH"),"FLUSH",IFERROR(LEFT($AL455,FIND("-",$AL455)-1),LEFT($AL455,2))))</f>
        <v/>
      </c>
      <c r="CF455" s="99">
        <f>IF($CE455="","",IFERROR(VALUE(MID($AL455,FIND("-",$AL455)+1,FIND(CHAR(34)&amp;"x",$AL455)-FIND("-",$AL455)-1)),0))</f>
        <v/>
      </c>
      <c r="CG455" s="99">
        <f>IF($CE455="","",IFERROR(VALUE(MID($AL455,FIND(CHAR(34)&amp;"x",$AL455)+2,FIND(CHAR(34),$AL455,FIND(CHAR(34)&amp;"x",$AL455)+2)-FIND(CHAR(34)&amp;"x",$AL455)-2)),0))</f>
        <v/>
      </c>
      <c r="CH455" s="105">
        <f>IF(OR($A455="",$H455="",$H455="NO LAB"),0,IFERROR(VALUE(LEFT($H455,FIND(" ",$H455)-1)),0))</f>
        <v/>
      </c>
      <c r="CI455" s="106">
        <f>IF(OR($A455="",$I455="",$I455="NON-RATED",N($J455)=0),"",IFERROR(VLOOKUP($I455&amp;"|"&amp;$J455,IBC,2,FALSE),"?"))</f>
        <v/>
      </c>
      <c r="CJ455" s="100">
        <f>IF(NOT(AND($A455&lt;&gt;"",$C455&lt;&gt;"DOOR ONLY")),"",TRIM(IFERROR(VLOOKUP($U455,CODES,2,FALSE),"")&amp;" "&amp;$BG455&amp;" "&amp;IFERROR(VLOOKUP($Z455,CODES,2,FALSE),"")&amp;" "&amp;IFERROR(VLOOKUP($X455,CODES,2,FALSE),"")&amp;" "&amp;IFERROR(VLOOKUP($S455,CODES,2,FALSE),"")&amp;IF(N($P455)&gt;0," w/TRANSOM "&amp;$P455&amp;CHAR(34),"")&amp;IF(N($Q455)&gt;0," w/SIDELITE "&amp;$Q455&amp;CHAR(34)&amp;" "&amp;IF($R455="","R",$R455),"")&amp;IF($Y455="","  |  "," | "&amp;IFERROR(VLOOKUP($Y455,CODES,2,FALSE),"")&amp;" | ")&amp;IFERROR(VLOOKUP($AC455,CODES,2,FALSE),"")&amp;" "&amp;IFERROR(VLOOKUP($AD455,CODES,2,FALSE),"")&amp;IF(OR($AE455="",$AE455="-"),""," "&amp;$AE455)&amp;IF(OR($AF455="",$AF455="-"),""," "&amp;$AF455)&amp;IF($AB455="Y"," 4"&amp;CHAR(34)&amp;" HEAD","")&amp;" "&amp;IFERROR(VLOOKUP($H455,CODES,2,FALSE),"")&amp;IF($CT455," | LOC "&amp;$CY455,"")))</f>
        <v/>
      </c>
      <c r="CK455" s="100">
        <f>IF(NOT(AND($A455&lt;&gt;"",N($BJ455)&gt;0)),"",TRIM(IFERROR(VLOOKUP($AH455,CODES,2,FALSE),"")&amp;IF($AI455=""," "," "&amp;$AI455&amp;"GA ")&amp;$BG455&amp;" "&amp;IF($AN455="",IFERROR(VLOOKUP($Z455,CODES,2,FALSE),""),IFERROR(VLOOKUP($AN455,CODES,2,FALSE),""))&amp;IF($BJ455=2," PAIR","")&amp;" DOOR | "&amp;IF($AL455="","?",$AL455)&amp;" | "&amp;IF($AO455="",IFERROR(VLOOKUP($AC455,CODES,2,FALSE),""),IFERROR(VLOOKUP($AO455,CODES,2,FALSE),""))&amp;" "&amp;IFERROR(VLOOKUP($AP455,CODES,2,FALSE),"")&amp;IF(OR($AQ455="",$AQ455="-"),""," SEAM "&amp;$AQ455)&amp;IF($AR455="Y"," ASTRAGAL","")&amp;IF($AJ455=""," "," "&amp;$AJ455)&amp;IF($AK455=""," "," "&amp;$AK455)&amp;IF(OR($AT455="",$AT455="ANSI/SDI",$AT455="CUSTOM LOC"),""," "&amp;$AT455)&amp;IF($AM455=""," "," SERIES "&amp;$AM455)&amp;" "&amp;IFERROR(VLOOKUP($H455,CODES,2,FALSE),"")&amp;IF($CT455," | LOC "&amp;$CZ455,"")))</f>
        <v/>
      </c>
      <c r="CL455" s="99">
        <f>IF(CP455="","",IF(COUNTIF($CP$6:CP455,CP455)=1,MAX($CL$5:CL454)+1,INDEX($CL$5:CL454,MATCH(CP455,$CP$5:CP454,0))))</f>
        <v/>
      </c>
      <c r="CM455" s="99">
        <f>IF(NOT(AND($A455&lt;&gt;"",$C455&lt;&gt;"DOOR ONLY")),"",MAX($CM$5:CM454)+1)</f>
        <v/>
      </c>
      <c r="CN455" s="99">
        <f>IF(NOT(AND($A455&lt;&gt;"",N($BJ455)&gt;0)),"",MAX($CN$5:CN454)+1)</f>
        <v/>
      </c>
      <c r="CO455" s="99">
        <f>IF($A455="","",MAX($CO$5:CO454)+1)</f>
        <v/>
      </c>
      <c r="CP455" s="99">
        <f>IF(OR($A455="",$BH455="",$BI455=""),"",$BG455&amp;"|"&amp;$O455&amp;"|"&amp;$AL455&amp;"|"&amp;$S455&amp;"|"&amp;$P455&amp;"|"&amp;$Q455&amp;$R455&amp;"|"&amp;$C455&amp;"|"&amp;$AB455)</f>
        <v/>
      </c>
      <c r="CQ455" s="99">
        <f>N($BS455)</f>
        <v/>
      </c>
      <c r="CR455" s="99">
        <f>IF(N($AU455)&gt;0,N($AU455),4.5)</f>
        <v/>
      </c>
      <c r="CS455" s="99">
        <f>OR($A455="",$BI455="",$S455="BL",AND($C455="FRAME ONLY",OR($AC455="",$AC455="BLK")))</f>
        <v/>
      </c>
      <c r="CT455" s="99">
        <f>AND(NOT($CS455),OR($AT455="CUSTOM LOC",N($AW455)+N($AX455)+N($AY455)+N($AZ455)+N($BA455)&gt;0))</f>
        <v/>
      </c>
      <c r="CU455" s="99">
        <f>IF($BI455="","",IF($BI455&lt;=80,80,IF($BI455&lt;=84,84,96)))</f>
        <v/>
      </c>
      <c r="CV455" s="99">
        <f>ISNUMBER(MATCH($AT455&amp;"|80",LocKeys,0))</f>
        <v/>
      </c>
      <c r="CW455" s="101">
        <f>IF($CS455,"",IF($CV455,VLOOKUP($AT455&amp;"|"&amp;$CU455,LocTable,4,FALSE),5))</f>
        <v/>
      </c>
      <c r="CX455" s="101">
        <f>IF($CS455,"",IF($CV455,IF(OR($BI455=$CU455,AND($BI455&lt;$CU455,$BI455-IF(N(VLOOKUP($AT455&amp;"|"&amp;$CU455,LocTable,7,FALSE))&gt;0,VLOOKUP($AT455&amp;"|"&amp;$CU455,LocTable,7,FALSE),VLOOKUP($AT455&amp;"|"&amp;$CU455,LocTable,6,FALSE))-$CR455-0.75&gt;=2.125)),IF(N(VLOOKUP($AT455&amp;"|"&amp;$CU455,LocTable,7,FALSE))&gt;0,VLOOKUP($AT455&amp;"|"&amp;$CU455,LocTable,7,FALSE),VLOOKUP($AT455&amp;"|"&amp;$CU455,LocTable,6,FALSE)),$BI455-($CU455-IF(N(VLOOKUP($AT455&amp;"|"&amp;$CU455,LocTable,7,FALSE))&gt;0,VLOOKUP($AT455&amp;"|"&amp;$CU455,LocTable,7,FALSE),VLOOKUP($AT455&amp;"|"&amp;$CU455,LocTable,6,FALSE)))),$BI455-10-$CR455))</f>
        <v/>
      </c>
      <c r="CY455" s="100">
        <f>IF($CS455,"",TRIM(IF(ISNUMBER($BU455),"A "&amp;TRIM(TEXT($BU455,"# ?/??"))&amp;CHAR(34)&amp;"  ","")&amp;IF(ISNUMBER($BV455),"B "&amp;TRIM(TEXT($BV455,"# ?/??"))&amp;CHAR(34)&amp;"  ","")&amp;IF(ISNUMBER($BW455),"C "&amp;TRIM(TEXT($BW455,"# ?/??"))&amp;CHAR(34)&amp;"  ","")&amp;IF(ISNUMBER($BX455),"D "&amp;TRIM(TEXT($BX455,"# ?/??"))&amp;CHAR(34)&amp;"  ","")&amp;IF(ISNUMBER($BY455),"F "&amp;TRIM(TEXT($BY455,"# ?/??"))&amp;CHAR(34)&amp;"  ","")&amp;IF(ISNUMBER($BZ455),"E "&amp;TRIM(TEXT($BZ455,"# ?/??"))&amp;CHAR(34)&amp;"  ","")))</f>
        <v/>
      </c>
      <c r="CZ455" s="100">
        <f>IF(OR($CS455,N($BJ455)=0),"",TRIM(IF(ISNUMBER($BU455),"A "&amp;TRIM(TEXT($BU455-HeadClr,"# ?/??"))&amp;CHAR(34)&amp;"  ","")&amp;IF(ISNUMBER($BV455),"B "&amp;TRIM(TEXT($BV455-HeadClr,"# ?/??"))&amp;CHAR(34)&amp;"  ","")&amp;IF(ISNUMBER($BW455),"C "&amp;TRIM(TEXT($BW455-HeadClr,"# ?/??"))&amp;CHAR(34)&amp;"  ","")&amp;IF(ISNUMBER($BX455),"D "&amp;TRIM(TEXT($BX455-HeadClr,"# ?/??"))&amp;CHAR(34)&amp;"  ","")&amp;IF(ISNUMBER($BY455),"F "&amp;TRIM(TEXT($BY455-HeadClr,"# ?/??"))&amp;CHAR(34)&amp;"  ","")&amp;IF(ISNUMBER($BZ455),"E "&amp;TRIM(TEXT($BZ455-HeadClr,"# ?/??"))&amp;CHAR(34)&amp;"  ","")))</f>
        <v/>
      </c>
      <c r="DA455" s="99">
        <f>IF($A455="","",IF($AN455="",IFERROR(VLOOKUP($Z455,CODES,2,FALSE),""),IFERROR(VLOOKUP($AN455,CODES,2,FALSE),"")))</f>
        <v/>
      </c>
      <c r="DB455" s="99">
        <f>IF($A455="","",IF($O455="Y","PR",IF(OR($Z455="L",$Z455="RR",LEFT($Z455,2)="L-",LEFT($Z455,3)="RR-"),"LH","RH")))</f>
        <v/>
      </c>
      <c r="DC455" s="99">
        <f>IF($A455="","","S.HM"&amp;IF(OR($C455="DOOR ONLY",$X455&lt;&gt;"KD"),"MASONRY","DRYWALL")&amp;IF($C455="DOOR ONLY","",$U455)&amp;IF(AND($C455&lt;&gt;"FRAME ONLY",OR(LEFT($AH455,3)="OAK",LEFT($AH455,3)="BIR",LEFT($AH455,3)="MAP",$AH455="PC",$AH455="MC",$AH455="SCLC",$AH455="P-LAM")),"WD","HM")&amp;"1.75")</f>
        <v/>
      </c>
      <c r="DD455" s="99">
        <f>IF($CJ455="","",IF($O455="Y",$CJ455,SUBSTITUTE($CJ455,$BG455&amp;" "&amp;IFERROR(VLOOKUP($Z455,CODES,2,FALSE),"")&amp;" ",$BG455&amp;" ")))</f>
        <v/>
      </c>
      <c r="DE455" s="99">
        <f>IF($CK455="","",IF($O455="Y",$CK455,SUBSTITUTE($CK455,$BG455&amp;" "&amp;IF($AN455="",IFERROR(VLOOKUP($Z455,CODES,2,FALSE),""),IFERROR(VLOOKUP($AN455,CODES,2,FALSE),""))&amp;" ",$BG455&amp;" ")))</f>
        <v/>
      </c>
      <c r="DF455" s="99">
        <f>IF($CJ455="","",$DC455&amp;"|"&amp;$DD455&amp;"|"&amp;$DB455&amp;"|"&amp;$AT455&amp;"|"&amp;$V455&amp;"|"&amp;$Y455&amp;"|"&amp;$AB455)</f>
        <v/>
      </c>
      <c r="DG455" s="99">
        <f>IF(DF455="","",IF(COUNTIF($DF$6:DF455,DF455)=1,MAX($DG$5:DG454)+1,INDEX($DG$5:DG454,MATCH(DF455,$DF$5:DF454,0))))</f>
        <v/>
      </c>
      <c r="DH455" s="99">
        <f>IF($CK455="","",$DC455&amp;"|"&amp;$DE455&amp;"|"&amp;$AI455&amp;"|"&amp;$BK455&amp;"|"&amp;$BL455)</f>
        <v/>
      </c>
      <c r="DI455" s="99">
        <f>IF(DH455="","",IF(COUNTIF($DH$6:DH455,DH455)=1,MAX($DI$5:DI454)+1,INDEX($DI$5:DI454,MATCH(DH455,$DH$5:DH454,0))))</f>
        <v/>
      </c>
      <c r="DJ455" s="99">
        <f>IF($A455="","",IF($B455="","qty, ","")&amp;IF($C455="","scope, ","")&amp;IF(OR($K455="",$M455=""),"size, ","")&amp;IF(AND($A455&lt;&gt;"",$C455&lt;&gt;"DOOR ONLY"),IF($U455="","jamb depth, ","")&amp;IF($X455="","construction, ","")&amp;IF($Y455="","anchor, ","")&amp;IF($S455="","frame type, ",""),"")&amp;IF(AND(N($BJ455)&gt;0,$Z455=""),"hand, ","")&amp;IF(N($BJ455)&gt;0,IF($AH455="","door material, ","")&amp;IF($AL455="","face type, ","")&amp;IF($AP455="","lock prep, ","")&amp;IF(AND($AO455="",$AC455=""),"hinge prep, ",""),"")&amp;IF(AND($CH455&gt;0,$AH455="FRP"),"FRP cannot carry a label, ","")&amp;IF(AND($O455="Y",OR($Z455="L",$Z455="R",$Z455="LR",$Z455="RR")),"pair marked but hand is single, ","")&amp;IF(AND($O455&lt;&gt;"Y",OR($Z455="PR",AND(LEN($Z455)&gt;1,ISNUMBER(SEARCH("-",$Z455))))),"pair hand on a single door, ","")&amp;IF(AND(ISNUMBER($CI455),$CH455&lt;N($CI455)),"wall needs a "&amp;$CI455&amp;" min door, ","")&amp;IF(AND($CH455&gt;=180,AND(OR($CE455="FG",$CE455="HG",$CE455="FNV",$CE455="FV"),N($CF455)*N($CG455)&gt;100)),"180 min lite over 100 sq in, ","")&amp;IF(N($BK455)&gt;48,"leaf wider than 4'-0"&amp;CHAR(34)&amp;", ","")&amp;IF(AND($CT455,COUNT($AW455:$AZ455)=0,$CQ455&gt;0),"CUSTOM LOC with no locations typed, ",""))</f>
        <v/>
      </c>
      <c r="DK455" s="99">
        <f>IF($A455="","",IF(AND($CH455&gt;0,AND($A455&lt;&gt;"",$C455&lt;&gt;"DOOR ONLY"),$X455="KD",$E455="EXTERIOR"),"KD label on an exterior opening, ","")&amp;IF(AND($E455="EXTERIOR",OR(AND(AND($A455&lt;&gt;"",$C455&lt;&gt;"DOOR ONLY"),$W455="CR"),AND(N($BJ455)&gt;0,$AH455="CR"))),"exterior in CR steel (G9?), ","")&amp;IF(AND(ISNUMBER($BQ455),N($BQ455)&lt;32),"clear width ~"&amp;TEXT($BQ455,"0.0")&amp;CHAR(34)&amp;" under 32"&amp;CHAR(34)&amp;" (ADA), ","")&amp;IF(AND($CH455=90,AND(OR($CE455="FG",$CE455="HG",$CE455="FNV",$CE455="FV"),N($CF455)*N($CG455)&gt;100)),"90 min lite over 100 sq in (stair/exit), ","")&amp;IF(AND($CH455&gt;0,AND($A455&lt;&gt;"",$C455&lt;&gt;"DOOR ONLY"),OR($AF455="",$AF455="-")),"rated: closer reinf.?, ","")&amp;IF(OR($I455="CORRIDOR",$I455="SMOKE BARRIER"),"S label + smoke gasketing, ","")&amp;IF($CI455="?","wall type/hr not in IBC table, ","")&amp;IF(AND(N($BJ455)&gt;0,$BB455=""),"no hardware set, ","")&amp;IF(AND($BB455&lt;&gt;"",ISNA(MATCH($BB455&amp;"",HWSets,0))),"set "&amp;$BB455&amp;" not on HW Sets, ","")&amp;IF(N($BL455)&gt;96,"leaf over 8'-0"&amp;CHAR(34)&amp;" - check listing, ","")&amp;IF(AND($CT455,COUNT($AW455:$AZ455)&gt;0,COUNT($AW455:$AZ455)&lt;&gt;$CQ455),COUNT($AW455:$AZ455)&amp;" custom hinges typed, "&amp;$CQ455&amp;" expected, ","")&amp;IF(AND(ISNUMBER($CA455),OR(N($CA455)&lt;34,N($CA455)&gt;48)),"lock "&amp;TEXT($CA455,"0.0")&amp;CHAR(34)&amp;" AFF outside 34-48"&amp;CHAR(34)&amp;" (ADA), ","")&amp;IF(AND(ISNUMBER($AV455),ISNUMBER($BL455),N($AV455)&lt;IF(N($BL455)&lt;=60,2,IF(N($BL455)&lt;=90,3,IF(N($BL455)&lt;=120,4,5)))),"fewer hinges than standard, ",""))</f>
        <v/>
      </c>
    </row>
    <row r="456" ht="15" customHeight="1">
      <c r="A456" s="77" t="n"/>
      <c r="B456" s="78" t="n"/>
      <c r="C456" s="78" t="n"/>
      <c r="D456" s="78" t="n"/>
      <c r="E456" s="78" t="n"/>
      <c r="F456" s="78" t="n"/>
      <c r="G456" s="78" t="n"/>
      <c r="H456" s="78" t="n"/>
      <c r="I456" s="78" t="n"/>
      <c r="J456" s="78" t="n"/>
      <c r="K456" s="78" t="n"/>
      <c r="L456" s="78" t="n"/>
      <c r="M456" s="78" t="n"/>
      <c r="N456" s="78" t="n"/>
      <c r="O456" s="78" t="n"/>
      <c r="P456" s="78" t="n"/>
      <c r="Q456" s="78" t="n"/>
      <c r="R456" s="78" t="n"/>
      <c r="S456" s="79" t="n"/>
      <c r="T456" s="79" t="n"/>
      <c r="U456" s="79" t="n"/>
      <c r="V456" s="79" t="n"/>
      <c r="W456" s="79" t="n"/>
      <c r="X456" s="79" t="n"/>
      <c r="Y456" s="79" t="n"/>
      <c r="Z456" s="79" t="n"/>
      <c r="AA456" s="79" t="n"/>
      <c r="AB456" s="79" t="n"/>
      <c r="AC456" s="79" t="n"/>
      <c r="AD456" s="79" t="n"/>
      <c r="AE456" s="79" t="n"/>
      <c r="AF456" s="79" t="n"/>
      <c r="AG456" s="79" t="n"/>
      <c r="AH456" s="80" t="n"/>
      <c r="AI456" s="80" t="n"/>
      <c r="AJ456" s="80" t="n"/>
      <c r="AK456" s="80" t="n"/>
      <c r="AL456" s="80" t="n"/>
      <c r="AM456" s="80" t="n"/>
      <c r="AN456" s="80" t="n"/>
      <c r="AO456" s="80" t="n"/>
      <c r="AP456" s="80" t="n"/>
      <c r="AQ456" s="80" t="n"/>
      <c r="AR456" s="80" t="n"/>
      <c r="AS456" s="80" t="n"/>
      <c r="AT456" s="81" t="n"/>
      <c r="AU456" s="81" t="n"/>
      <c r="AV456" s="81" t="n"/>
      <c r="AW456" s="82" t="n"/>
      <c r="AX456" s="82" t="n"/>
      <c r="AY456" s="82" t="n"/>
      <c r="AZ456" s="82" t="n"/>
      <c r="BA456" s="82" t="n"/>
      <c r="BB456" s="83" t="n"/>
      <c r="BC456" s="83" t="n"/>
      <c r="BD456" s="84">
        <f>IF($A456="","",IF($DJ456&lt;&gt;"","FIX",IF($DK456&lt;&gt;"","CHECK","OK")))</f>
        <v/>
      </c>
      <c r="BE456" s="85">
        <f>IF($A456="","",IF($DJ456&lt;&gt;"","FIX: "&amp;LEFT($DJ456,LEN($DJ456)-2)&amp;IF($DK456&lt;&gt;"","  ·  ",""),"")&amp;IF($DK456&lt;&gt;"","CHECK: "&amp;LEFT($DK456,LEN($DK456)-2),""))</f>
        <v/>
      </c>
      <c r="BF456" s="84">
        <f>IF(OR($A456="",$K456=""),"",$K456&amp;"'-"&amp;N($L456)&amp;CHAR(34)&amp;" x "&amp;$M456&amp;"'-"&amp;N($N456)&amp;CHAR(34))</f>
        <v/>
      </c>
      <c r="BG456" s="84">
        <f>IF(OR($A456="",$K456=""),"",$K456&amp;N($L456)&amp;$M456&amp;N($N456))</f>
        <v/>
      </c>
      <c r="BH456" s="84">
        <f>IF(OR($A456="",$K456=""),"",$K456*12+N($L456))</f>
        <v/>
      </c>
      <c r="BI456" s="84">
        <f>IF(OR($A456="",$M456=""),"",$M456*12+N($N456))</f>
        <v/>
      </c>
      <c r="BJ456" s="84">
        <f>IF($A456="","",IF(OR($C456="FRAME ONLY",$S456="BL"),0,IF($O456="Y",2,1)))</f>
        <v/>
      </c>
      <c r="BK456" s="86">
        <f>IF(OR(N($BJ456)=0,$BH456=""),"",($BH456-2*EdgeClr-IF($BJ456=2,MeetClr,0))/$BJ456)</f>
        <v/>
      </c>
      <c r="BL456" s="86">
        <f>IF(OR(N($BJ456)=0,$BI456=""),"",$BI456-HeadClr-Undercut)</f>
        <v/>
      </c>
      <c r="BM456" s="86">
        <f>IF($BH456="","",$BH456+2*FaceW+IF(N($Q456)&gt;0,($Q456+FaceW)*IF($R456="LR",2,1),0))</f>
        <v/>
      </c>
      <c r="BN456" s="86">
        <f>IF($BI456="","",$BI456+IF($AB456="Y",4,FaceW)+IF(N($P456)&gt;0,$P456+FaceW,0)+IF(OR($S456="4F",$S456="BL"),FaceW,0))</f>
        <v/>
      </c>
      <c r="BO456" s="86">
        <f>IF($BM456="","",$BM456+2*ROSide)</f>
        <v/>
      </c>
      <c r="BP456" s="86">
        <f>IF($BN456="","",$BN456+ROTop)</f>
        <v/>
      </c>
      <c r="BQ456" s="87">
        <f>IF(OR(N($BJ456)=0,$BH456=""),"",$BH456/$BJ456-ClearDeduct)</f>
        <v/>
      </c>
      <c r="BR456" s="84">
        <f>IF(N($CH456)=0,"",IF($CH456&gt;=180,"A · 3 HR",IF($CH456&gt;=90,"B · 1-1/2 HR",IF($CH456&gt;=60,"B · 1 HR",IF($CH456&gt;=45,"C · 3/4 HR","20 MIN")))))&amp;IF(AND(N($CH456)&gt;0,OR($I456="CORRIDOR",$I456="SMOKE BARRIER"))," · S","")</f>
        <v/>
      </c>
      <c r="BS456" s="84">
        <f>IF($CS456,"",IF($AV456&lt;&gt;"",$AV456,IF(OR($AC456="HGC",$AO456="HGC"),"CONT",IF(($BI456-HeadClr-Undercut)&lt;=60,2,IF(($BI456-HeadClr-Undercut)&lt;=90,3,IF(($BI456-HeadClr-Undercut)&lt;=120,4,5))))))</f>
        <v/>
      </c>
      <c r="BT456" s="84">
        <f>IF($CS456,"",IF($CT456,"CUSTOM (typed)",IF($CV456,$AT456&amp;" "&amp;$CU456&amp;CHAR(34)&amp;IF($CU456&lt;&gt;$BI456,IF(AND($BI456&lt;$CU456,$BI456-IF(N(VLOOKUP($AT456&amp;"|"&amp;$CU456,LocTable,7,FALSE))&gt;0,VLOOKUP($AT456&amp;"|"&amp;$CU456,LocTable,7,FALSE),VLOOKUP($AT456&amp;"|"&amp;$CU456,LocTable,6,FALSE))-$CR456-0.75&gt;=2.125)," cut down"," adj."),""),"ANSI/SDI A250.6")))</f>
        <v/>
      </c>
      <c r="BU456" s="88">
        <f>IF($CS456,"",IF($CT456,IF(N($AW456)&gt;0,N($AW456),""),IF(1&gt;$CQ456,"",IF($CQ456=1,$CW456,$CW456+($CX456-$CW456)*0/($CQ456-1)))))</f>
        <v/>
      </c>
      <c r="BV456" s="88">
        <f>IF($CS456,"",IF($CT456,IF(N($AX456)&gt;0,N($AX456),""),IF(2&gt;$CQ456,"",IF($CQ456=1,$CW456,$CW456+($CX456-$CW456)*1/($CQ456-1)))))</f>
        <v/>
      </c>
      <c r="BW456" s="88">
        <f>IF($CS456,"",IF($CT456,IF(N($AY456)&gt;0,N($AY456),""),IF(3&gt;$CQ456,"",IF($CQ456=1,$CW456,$CW456+($CX456-$CW456)*2/($CQ456-1)))))</f>
        <v/>
      </c>
      <c r="BX456" s="88">
        <f>IF($CS456,"",IF($CT456,IF(N($AZ456)&gt;0,N($AZ456),""),IF(4&gt;$CQ456,"",IF($CQ456=1,$CW456,$CW456+($CX456-$CW456)*3/($CQ456-1)))))</f>
        <v/>
      </c>
      <c r="BY456" s="88">
        <f>IF($CS456,"",IF($CT456,"",IF(5&gt;$CQ456,"",IF($CQ456=1,$CW456,$CW456+($CX456-$CW456)*4/($CQ456-1)))))</f>
        <v/>
      </c>
      <c r="BZ456" s="88">
        <f>IF(OR($CS456,$AP456="-",AND($AP456="",$AD456="")),"",IF(N($BA456)&gt;0,N($BA456),IF($CV456,IF(AND($BI456&lt;$CU456,$BI456-IF(N(VLOOKUP($AT456&amp;"|"&amp;$CU456,LocTable,7,FALSE))&gt;0,VLOOKUP($AT456&amp;"|"&amp;$CU456,LocTable,7,FALSE),VLOOKUP($AT456&amp;"|"&amp;$CU456,LocTable,6,FALSE))-$CR456-0.75&gt;=2.125),VLOOKUP($AT456&amp;"|"&amp;$CU456,LocTable,8,FALSE),VLOOKUP($AT456&amp;"|"&amp;$CU456,LocTable,8,FALSE)+($BI456-$CU456)),$BI456-LockAFF)))</f>
        <v/>
      </c>
      <c r="CA456" s="89">
        <f>IF($BZ456="","",$BI456-$BZ456)</f>
        <v/>
      </c>
      <c r="CB456" s="84">
        <f>IF(OR(NOT(AND($A456&lt;&gt;"",$C456&lt;&gt;"DOOR ONLY")),$BI456=""),"",IF(($BI456+IF(N($P456)&gt;0,$P456+FaceW,0))&lt;=90,3,IF(($BI456+IF(N($P456)&gt;0,$P456+FaceW,0))&lt;=114,4,5)))</f>
        <v/>
      </c>
      <c r="CC456" s="84">
        <f>IF($CB456="","",$CB456*(2+IF(N($Q456)&gt;0,IF($R456="LR",2,1),0)))</f>
        <v/>
      </c>
      <c r="CD456" s="84">
        <f>IF($CB456="","",(2+IF(N($Q456)&gt;0,IF($R456="LR",2,1),0)))</f>
        <v/>
      </c>
      <c r="CE456" s="84">
        <f>IF(N($BJ456)=0,"",IF(OR($AL456="",$AL456="FLUSH"),"FLUSH",IFERROR(LEFT($AL456,FIND("-",$AL456)-1),LEFT($AL456,2))))</f>
        <v/>
      </c>
      <c r="CF456" s="84">
        <f>IF($CE456="","",IFERROR(VALUE(MID($AL456,FIND("-",$AL456)+1,FIND(CHAR(34)&amp;"x",$AL456)-FIND("-",$AL456)-1)),0))</f>
        <v/>
      </c>
      <c r="CG456" s="84">
        <f>IF($CE456="","",IFERROR(VALUE(MID($AL456,FIND(CHAR(34)&amp;"x",$AL456)+2,FIND(CHAR(34),$AL456,FIND(CHAR(34)&amp;"x",$AL456)+2)-FIND(CHAR(34)&amp;"x",$AL456)-2)),0))</f>
        <v/>
      </c>
      <c r="CH456" s="90">
        <f>IF(OR($A456="",$H456="",$H456="NO LAB"),0,IFERROR(VALUE(LEFT($H456,FIND(" ",$H456)-1)),0))</f>
        <v/>
      </c>
      <c r="CI456" s="91">
        <f>IF(OR($A456="",$I456="",$I456="NON-RATED",N($J456)=0),"",IFERROR(VLOOKUP($I456&amp;"|"&amp;$J456,IBC,2,FALSE),"?"))</f>
        <v/>
      </c>
      <c r="CJ456" s="85">
        <f>IF(NOT(AND($A456&lt;&gt;"",$C456&lt;&gt;"DOOR ONLY")),"",TRIM(IFERROR(VLOOKUP($U456,CODES,2,FALSE),"")&amp;" "&amp;$BG456&amp;" "&amp;IFERROR(VLOOKUP($Z456,CODES,2,FALSE),"")&amp;" "&amp;IFERROR(VLOOKUP($X456,CODES,2,FALSE),"")&amp;" "&amp;IFERROR(VLOOKUP($S456,CODES,2,FALSE),"")&amp;IF(N($P456)&gt;0," w/TRANSOM "&amp;$P456&amp;CHAR(34),"")&amp;IF(N($Q456)&gt;0," w/SIDELITE "&amp;$Q456&amp;CHAR(34)&amp;" "&amp;IF($R456="","R",$R456),"")&amp;IF($Y456="","  |  "," | "&amp;IFERROR(VLOOKUP($Y456,CODES,2,FALSE),"")&amp;" | ")&amp;IFERROR(VLOOKUP($AC456,CODES,2,FALSE),"")&amp;" "&amp;IFERROR(VLOOKUP($AD456,CODES,2,FALSE),"")&amp;IF(OR($AE456="",$AE456="-"),""," "&amp;$AE456)&amp;IF(OR($AF456="",$AF456="-"),""," "&amp;$AF456)&amp;IF($AB456="Y"," 4"&amp;CHAR(34)&amp;" HEAD","")&amp;" "&amp;IFERROR(VLOOKUP($H456,CODES,2,FALSE),"")&amp;IF($CT456," | LOC "&amp;$CY456,"")))</f>
        <v/>
      </c>
      <c r="CK456" s="85">
        <f>IF(NOT(AND($A456&lt;&gt;"",N($BJ456)&gt;0)),"",TRIM(IFERROR(VLOOKUP($AH456,CODES,2,FALSE),"")&amp;IF($AI456=""," "," "&amp;$AI456&amp;"GA ")&amp;$BG456&amp;" "&amp;IF($AN456="",IFERROR(VLOOKUP($Z456,CODES,2,FALSE),""),IFERROR(VLOOKUP($AN456,CODES,2,FALSE),""))&amp;IF($BJ456=2," PAIR","")&amp;" DOOR | "&amp;IF($AL456="","?",$AL456)&amp;" | "&amp;IF($AO456="",IFERROR(VLOOKUP($AC456,CODES,2,FALSE),""),IFERROR(VLOOKUP($AO456,CODES,2,FALSE),""))&amp;" "&amp;IFERROR(VLOOKUP($AP456,CODES,2,FALSE),"")&amp;IF(OR($AQ456="",$AQ456="-"),""," SEAM "&amp;$AQ456)&amp;IF($AR456="Y"," ASTRAGAL","")&amp;IF($AJ456=""," "," "&amp;$AJ456)&amp;IF($AK456=""," "," "&amp;$AK456)&amp;IF(OR($AT456="",$AT456="ANSI/SDI",$AT456="CUSTOM LOC"),""," "&amp;$AT456)&amp;IF($AM456=""," "," SERIES "&amp;$AM456)&amp;" "&amp;IFERROR(VLOOKUP($H456,CODES,2,FALSE),"")&amp;IF($CT456," | LOC "&amp;$CZ456,"")))</f>
        <v/>
      </c>
      <c r="CL456" s="84">
        <f>IF(CP456="","",IF(COUNTIF($CP$6:CP456,CP456)=1,MAX($CL$5:CL455)+1,INDEX($CL$5:CL455,MATCH(CP456,$CP$5:CP455,0))))</f>
        <v/>
      </c>
      <c r="CM456" s="84">
        <f>IF(NOT(AND($A456&lt;&gt;"",$C456&lt;&gt;"DOOR ONLY")),"",MAX($CM$5:CM455)+1)</f>
        <v/>
      </c>
      <c r="CN456" s="84">
        <f>IF(NOT(AND($A456&lt;&gt;"",N($BJ456)&gt;0)),"",MAX($CN$5:CN455)+1)</f>
        <v/>
      </c>
      <c r="CO456" s="84">
        <f>IF($A456="","",MAX($CO$5:CO455)+1)</f>
        <v/>
      </c>
      <c r="CP456" s="84">
        <f>IF(OR($A456="",$BH456="",$BI456=""),"",$BG456&amp;"|"&amp;$O456&amp;"|"&amp;$AL456&amp;"|"&amp;$S456&amp;"|"&amp;$P456&amp;"|"&amp;$Q456&amp;$R456&amp;"|"&amp;$C456&amp;"|"&amp;$AB456)</f>
        <v/>
      </c>
      <c r="CQ456" s="84">
        <f>N($BS456)</f>
        <v/>
      </c>
      <c r="CR456" s="84">
        <f>IF(N($AU456)&gt;0,N($AU456),4.5)</f>
        <v/>
      </c>
      <c r="CS456" s="84">
        <f>OR($A456="",$BI456="",$S456="BL",AND($C456="FRAME ONLY",OR($AC456="",$AC456="BLK")))</f>
        <v/>
      </c>
      <c r="CT456" s="84">
        <f>AND(NOT($CS456),OR($AT456="CUSTOM LOC",N($AW456)+N($AX456)+N($AY456)+N($AZ456)+N($BA456)&gt;0))</f>
        <v/>
      </c>
      <c r="CU456" s="84">
        <f>IF($BI456="","",IF($BI456&lt;=80,80,IF($BI456&lt;=84,84,96)))</f>
        <v/>
      </c>
      <c r="CV456" s="84">
        <f>ISNUMBER(MATCH($AT456&amp;"|80",LocKeys,0))</f>
        <v/>
      </c>
      <c r="CW456" s="86">
        <f>IF($CS456,"",IF($CV456,VLOOKUP($AT456&amp;"|"&amp;$CU456,LocTable,4,FALSE),5))</f>
        <v/>
      </c>
      <c r="CX456" s="86">
        <f>IF($CS456,"",IF($CV456,IF(OR($BI456=$CU456,AND($BI456&lt;$CU456,$BI456-IF(N(VLOOKUP($AT456&amp;"|"&amp;$CU456,LocTable,7,FALSE))&gt;0,VLOOKUP($AT456&amp;"|"&amp;$CU456,LocTable,7,FALSE),VLOOKUP($AT456&amp;"|"&amp;$CU456,LocTable,6,FALSE))-$CR456-0.75&gt;=2.125)),IF(N(VLOOKUP($AT456&amp;"|"&amp;$CU456,LocTable,7,FALSE))&gt;0,VLOOKUP($AT456&amp;"|"&amp;$CU456,LocTable,7,FALSE),VLOOKUP($AT456&amp;"|"&amp;$CU456,LocTable,6,FALSE)),$BI456-($CU456-IF(N(VLOOKUP($AT456&amp;"|"&amp;$CU456,LocTable,7,FALSE))&gt;0,VLOOKUP($AT456&amp;"|"&amp;$CU456,LocTable,7,FALSE),VLOOKUP($AT456&amp;"|"&amp;$CU456,LocTable,6,FALSE)))),$BI456-10-$CR456))</f>
        <v/>
      </c>
      <c r="CY456" s="85">
        <f>IF($CS456,"",TRIM(IF(ISNUMBER($BU456),"A "&amp;TRIM(TEXT($BU456,"# ?/??"))&amp;CHAR(34)&amp;"  ","")&amp;IF(ISNUMBER($BV456),"B "&amp;TRIM(TEXT($BV456,"# ?/??"))&amp;CHAR(34)&amp;"  ","")&amp;IF(ISNUMBER($BW456),"C "&amp;TRIM(TEXT($BW456,"# ?/??"))&amp;CHAR(34)&amp;"  ","")&amp;IF(ISNUMBER($BX456),"D "&amp;TRIM(TEXT($BX456,"# ?/??"))&amp;CHAR(34)&amp;"  ","")&amp;IF(ISNUMBER($BY456),"F "&amp;TRIM(TEXT($BY456,"# ?/??"))&amp;CHAR(34)&amp;"  ","")&amp;IF(ISNUMBER($BZ456),"E "&amp;TRIM(TEXT($BZ456,"# ?/??"))&amp;CHAR(34)&amp;"  ","")))</f>
        <v/>
      </c>
      <c r="CZ456" s="85">
        <f>IF(OR($CS456,N($BJ456)=0),"",TRIM(IF(ISNUMBER($BU456),"A "&amp;TRIM(TEXT($BU456-HeadClr,"# ?/??"))&amp;CHAR(34)&amp;"  ","")&amp;IF(ISNUMBER($BV456),"B "&amp;TRIM(TEXT($BV456-HeadClr,"# ?/??"))&amp;CHAR(34)&amp;"  ","")&amp;IF(ISNUMBER($BW456),"C "&amp;TRIM(TEXT($BW456-HeadClr,"# ?/??"))&amp;CHAR(34)&amp;"  ","")&amp;IF(ISNUMBER($BX456),"D "&amp;TRIM(TEXT($BX456-HeadClr,"# ?/??"))&amp;CHAR(34)&amp;"  ","")&amp;IF(ISNUMBER($BY456),"F "&amp;TRIM(TEXT($BY456-HeadClr,"# ?/??"))&amp;CHAR(34)&amp;"  ","")&amp;IF(ISNUMBER($BZ456),"E "&amp;TRIM(TEXT($BZ456-HeadClr,"# ?/??"))&amp;CHAR(34)&amp;"  ","")))</f>
        <v/>
      </c>
      <c r="DA456" s="84">
        <f>IF($A456="","",IF($AN456="",IFERROR(VLOOKUP($Z456,CODES,2,FALSE),""),IFERROR(VLOOKUP($AN456,CODES,2,FALSE),"")))</f>
        <v/>
      </c>
      <c r="DB456" s="84">
        <f>IF($A456="","",IF($O456="Y","PR",IF(OR($Z456="L",$Z456="RR",LEFT($Z456,2)="L-",LEFT($Z456,3)="RR-"),"LH","RH")))</f>
        <v/>
      </c>
      <c r="DC456" s="84">
        <f>IF($A456="","","S.HM"&amp;IF(OR($C456="DOOR ONLY",$X456&lt;&gt;"KD"),"MASONRY","DRYWALL")&amp;IF($C456="DOOR ONLY","",$U456)&amp;IF(AND($C456&lt;&gt;"FRAME ONLY",OR(LEFT($AH456,3)="OAK",LEFT($AH456,3)="BIR",LEFT($AH456,3)="MAP",$AH456="PC",$AH456="MC",$AH456="SCLC",$AH456="P-LAM")),"WD","HM")&amp;"1.75")</f>
        <v/>
      </c>
      <c r="DD456" s="84">
        <f>IF($CJ456="","",IF($O456="Y",$CJ456,SUBSTITUTE($CJ456,$BG456&amp;" "&amp;IFERROR(VLOOKUP($Z456,CODES,2,FALSE),"")&amp;" ",$BG456&amp;" ")))</f>
        <v/>
      </c>
      <c r="DE456" s="84">
        <f>IF($CK456="","",IF($O456="Y",$CK456,SUBSTITUTE($CK456,$BG456&amp;" "&amp;IF($AN456="",IFERROR(VLOOKUP($Z456,CODES,2,FALSE),""),IFERROR(VLOOKUP($AN456,CODES,2,FALSE),""))&amp;" ",$BG456&amp;" ")))</f>
        <v/>
      </c>
      <c r="DF456" s="84">
        <f>IF($CJ456="","",$DC456&amp;"|"&amp;$DD456&amp;"|"&amp;$DB456&amp;"|"&amp;$AT456&amp;"|"&amp;$V456&amp;"|"&amp;$Y456&amp;"|"&amp;$AB456)</f>
        <v/>
      </c>
      <c r="DG456" s="84">
        <f>IF(DF456="","",IF(COUNTIF($DF$6:DF456,DF456)=1,MAX($DG$5:DG455)+1,INDEX($DG$5:DG455,MATCH(DF456,$DF$5:DF455,0))))</f>
        <v/>
      </c>
      <c r="DH456" s="84">
        <f>IF($CK456="","",$DC456&amp;"|"&amp;$DE456&amp;"|"&amp;$AI456&amp;"|"&amp;$BK456&amp;"|"&amp;$BL456)</f>
        <v/>
      </c>
      <c r="DI456" s="84">
        <f>IF(DH456="","",IF(COUNTIF($DH$6:DH456,DH456)=1,MAX($DI$5:DI455)+1,INDEX($DI$5:DI455,MATCH(DH456,$DH$5:DH455,0))))</f>
        <v/>
      </c>
      <c r="DJ456" s="84">
        <f>IF($A456="","",IF($B456="","qty, ","")&amp;IF($C456="","scope, ","")&amp;IF(OR($K456="",$M456=""),"size, ","")&amp;IF(AND($A456&lt;&gt;"",$C456&lt;&gt;"DOOR ONLY"),IF($U456="","jamb depth, ","")&amp;IF($X456="","construction, ","")&amp;IF($Y456="","anchor, ","")&amp;IF($S456="","frame type, ",""),"")&amp;IF(AND(N($BJ456)&gt;0,$Z456=""),"hand, ","")&amp;IF(N($BJ456)&gt;0,IF($AH456="","door material, ","")&amp;IF($AL456="","face type, ","")&amp;IF($AP456="","lock prep, ","")&amp;IF(AND($AO456="",$AC456=""),"hinge prep, ",""),"")&amp;IF(AND($CH456&gt;0,$AH456="FRP"),"FRP cannot carry a label, ","")&amp;IF(AND($O456="Y",OR($Z456="L",$Z456="R",$Z456="LR",$Z456="RR")),"pair marked but hand is single, ","")&amp;IF(AND($O456&lt;&gt;"Y",OR($Z456="PR",AND(LEN($Z456)&gt;1,ISNUMBER(SEARCH("-",$Z456))))),"pair hand on a single door, ","")&amp;IF(AND(ISNUMBER($CI456),$CH456&lt;N($CI456)),"wall needs a "&amp;$CI456&amp;" min door, ","")&amp;IF(AND($CH456&gt;=180,AND(OR($CE456="FG",$CE456="HG",$CE456="FNV",$CE456="FV"),N($CF456)*N($CG456)&gt;100)),"180 min lite over 100 sq in, ","")&amp;IF(N($BK456)&gt;48,"leaf wider than 4'-0"&amp;CHAR(34)&amp;", ","")&amp;IF(AND($CT456,COUNT($AW456:$AZ456)=0,$CQ456&gt;0),"CUSTOM LOC with no locations typed, ",""))</f>
        <v/>
      </c>
      <c r="DK456" s="84">
        <f>IF($A456="","",IF(AND($CH456&gt;0,AND($A456&lt;&gt;"",$C456&lt;&gt;"DOOR ONLY"),$X456="KD",$E456="EXTERIOR"),"KD label on an exterior opening, ","")&amp;IF(AND($E456="EXTERIOR",OR(AND(AND($A456&lt;&gt;"",$C456&lt;&gt;"DOOR ONLY"),$W456="CR"),AND(N($BJ456)&gt;0,$AH456="CR"))),"exterior in CR steel (G9?), ","")&amp;IF(AND(ISNUMBER($BQ456),N($BQ456)&lt;32),"clear width ~"&amp;TEXT($BQ456,"0.0")&amp;CHAR(34)&amp;" under 32"&amp;CHAR(34)&amp;" (ADA), ","")&amp;IF(AND($CH456=90,AND(OR($CE456="FG",$CE456="HG",$CE456="FNV",$CE456="FV"),N($CF456)*N($CG456)&gt;100)),"90 min lite over 100 sq in (stair/exit), ","")&amp;IF(AND($CH456&gt;0,AND($A456&lt;&gt;"",$C456&lt;&gt;"DOOR ONLY"),OR($AF456="",$AF456="-")),"rated: closer reinf.?, ","")&amp;IF(OR($I456="CORRIDOR",$I456="SMOKE BARRIER"),"S label + smoke gasketing, ","")&amp;IF($CI456="?","wall type/hr not in IBC table, ","")&amp;IF(AND(N($BJ456)&gt;0,$BB456=""),"no hardware set, ","")&amp;IF(AND($BB456&lt;&gt;"",ISNA(MATCH($BB456&amp;"",HWSets,0))),"set "&amp;$BB456&amp;" not on HW Sets, ","")&amp;IF(N($BL456)&gt;96,"leaf over 8'-0"&amp;CHAR(34)&amp;" - check listing, ","")&amp;IF(AND($CT456,COUNT($AW456:$AZ456)&gt;0,COUNT($AW456:$AZ456)&lt;&gt;$CQ456),COUNT($AW456:$AZ456)&amp;" custom hinges typed, "&amp;$CQ456&amp;" expected, ","")&amp;IF(AND(ISNUMBER($CA456),OR(N($CA456)&lt;34,N($CA456)&gt;48)),"lock "&amp;TEXT($CA456,"0.0")&amp;CHAR(34)&amp;" AFF outside 34-48"&amp;CHAR(34)&amp;" (ADA), ","")&amp;IF(AND(ISNUMBER($AV456),ISNUMBER($BL456),N($AV456)&lt;IF(N($BL456)&lt;=60,2,IF(N($BL456)&lt;=90,3,IF(N($BL456)&lt;=120,4,5)))),"fewer hinges than standard, ",""))</f>
        <v/>
      </c>
    </row>
    <row r="457" ht="15" customHeight="1">
      <c r="A457" s="77" t="n"/>
      <c r="B457" s="78" t="n"/>
      <c r="C457" s="78" t="n"/>
      <c r="D457" s="78" t="n"/>
      <c r="E457" s="78" t="n"/>
      <c r="F457" s="78" t="n"/>
      <c r="G457" s="78" t="n"/>
      <c r="H457" s="78" t="n"/>
      <c r="I457" s="78" t="n"/>
      <c r="J457" s="78" t="n"/>
      <c r="K457" s="78" t="n"/>
      <c r="L457" s="78" t="n"/>
      <c r="M457" s="78" t="n"/>
      <c r="N457" s="78" t="n"/>
      <c r="O457" s="78" t="n"/>
      <c r="P457" s="78" t="n"/>
      <c r="Q457" s="78" t="n"/>
      <c r="R457" s="78" t="n"/>
      <c r="S457" s="79" t="n"/>
      <c r="T457" s="79" t="n"/>
      <c r="U457" s="79" t="n"/>
      <c r="V457" s="79" t="n"/>
      <c r="W457" s="79" t="n"/>
      <c r="X457" s="79" t="n"/>
      <c r="Y457" s="79" t="n"/>
      <c r="Z457" s="79" t="n"/>
      <c r="AA457" s="79" t="n"/>
      <c r="AB457" s="79" t="n"/>
      <c r="AC457" s="79" t="n"/>
      <c r="AD457" s="79" t="n"/>
      <c r="AE457" s="79" t="n"/>
      <c r="AF457" s="79" t="n"/>
      <c r="AG457" s="79" t="n"/>
      <c r="AH457" s="80" t="n"/>
      <c r="AI457" s="80" t="n"/>
      <c r="AJ457" s="80" t="n"/>
      <c r="AK457" s="80" t="n"/>
      <c r="AL457" s="80" t="n"/>
      <c r="AM457" s="80" t="n"/>
      <c r="AN457" s="80" t="n"/>
      <c r="AO457" s="80" t="n"/>
      <c r="AP457" s="80" t="n"/>
      <c r="AQ457" s="80" t="n"/>
      <c r="AR457" s="80" t="n"/>
      <c r="AS457" s="80" t="n"/>
      <c r="AT457" s="81" t="n"/>
      <c r="AU457" s="81" t="n"/>
      <c r="AV457" s="81" t="n"/>
      <c r="AW457" s="82" t="n"/>
      <c r="AX457" s="82" t="n"/>
      <c r="AY457" s="82" t="n"/>
      <c r="AZ457" s="82" t="n"/>
      <c r="BA457" s="82" t="n"/>
      <c r="BB457" s="83" t="n"/>
      <c r="BC457" s="83" t="n"/>
      <c r="BD457" s="84">
        <f>IF($A457="","",IF($DJ457&lt;&gt;"","FIX",IF($DK457&lt;&gt;"","CHECK","OK")))</f>
        <v/>
      </c>
      <c r="BE457" s="85">
        <f>IF($A457="","",IF($DJ457&lt;&gt;"","FIX: "&amp;LEFT($DJ457,LEN($DJ457)-2)&amp;IF($DK457&lt;&gt;"","  ·  ",""),"")&amp;IF($DK457&lt;&gt;"","CHECK: "&amp;LEFT($DK457,LEN($DK457)-2),""))</f>
        <v/>
      </c>
      <c r="BF457" s="84">
        <f>IF(OR($A457="",$K457=""),"",$K457&amp;"'-"&amp;N($L457)&amp;CHAR(34)&amp;" x "&amp;$M457&amp;"'-"&amp;N($N457)&amp;CHAR(34))</f>
        <v/>
      </c>
      <c r="BG457" s="84">
        <f>IF(OR($A457="",$K457=""),"",$K457&amp;N($L457)&amp;$M457&amp;N($N457))</f>
        <v/>
      </c>
      <c r="BH457" s="84">
        <f>IF(OR($A457="",$K457=""),"",$K457*12+N($L457))</f>
        <v/>
      </c>
      <c r="BI457" s="84">
        <f>IF(OR($A457="",$M457=""),"",$M457*12+N($N457))</f>
        <v/>
      </c>
      <c r="BJ457" s="84">
        <f>IF($A457="","",IF(OR($C457="FRAME ONLY",$S457="BL"),0,IF($O457="Y",2,1)))</f>
        <v/>
      </c>
      <c r="BK457" s="86">
        <f>IF(OR(N($BJ457)=0,$BH457=""),"",($BH457-2*EdgeClr-IF($BJ457=2,MeetClr,0))/$BJ457)</f>
        <v/>
      </c>
      <c r="BL457" s="86">
        <f>IF(OR(N($BJ457)=0,$BI457=""),"",$BI457-HeadClr-Undercut)</f>
        <v/>
      </c>
      <c r="BM457" s="86">
        <f>IF($BH457="","",$BH457+2*FaceW+IF(N($Q457)&gt;0,($Q457+FaceW)*IF($R457="LR",2,1),0))</f>
        <v/>
      </c>
      <c r="BN457" s="86">
        <f>IF($BI457="","",$BI457+IF($AB457="Y",4,FaceW)+IF(N($P457)&gt;0,$P457+FaceW,0)+IF(OR($S457="4F",$S457="BL"),FaceW,0))</f>
        <v/>
      </c>
      <c r="BO457" s="86">
        <f>IF($BM457="","",$BM457+2*ROSide)</f>
        <v/>
      </c>
      <c r="BP457" s="86">
        <f>IF($BN457="","",$BN457+ROTop)</f>
        <v/>
      </c>
      <c r="BQ457" s="87">
        <f>IF(OR(N($BJ457)=0,$BH457=""),"",$BH457/$BJ457-ClearDeduct)</f>
        <v/>
      </c>
      <c r="BR457" s="84">
        <f>IF(N($CH457)=0,"",IF($CH457&gt;=180,"A · 3 HR",IF($CH457&gt;=90,"B · 1-1/2 HR",IF($CH457&gt;=60,"B · 1 HR",IF($CH457&gt;=45,"C · 3/4 HR","20 MIN")))))&amp;IF(AND(N($CH457)&gt;0,OR($I457="CORRIDOR",$I457="SMOKE BARRIER"))," · S","")</f>
        <v/>
      </c>
      <c r="BS457" s="84">
        <f>IF($CS457,"",IF($AV457&lt;&gt;"",$AV457,IF(OR($AC457="HGC",$AO457="HGC"),"CONT",IF(($BI457-HeadClr-Undercut)&lt;=60,2,IF(($BI457-HeadClr-Undercut)&lt;=90,3,IF(($BI457-HeadClr-Undercut)&lt;=120,4,5))))))</f>
        <v/>
      </c>
      <c r="BT457" s="84">
        <f>IF($CS457,"",IF($CT457,"CUSTOM (typed)",IF($CV457,$AT457&amp;" "&amp;$CU457&amp;CHAR(34)&amp;IF($CU457&lt;&gt;$BI457,IF(AND($BI457&lt;$CU457,$BI457-IF(N(VLOOKUP($AT457&amp;"|"&amp;$CU457,LocTable,7,FALSE))&gt;0,VLOOKUP($AT457&amp;"|"&amp;$CU457,LocTable,7,FALSE),VLOOKUP($AT457&amp;"|"&amp;$CU457,LocTable,6,FALSE))-$CR457-0.75&gt;=2.125)," cut down"," adj."),""),"ANSI/SDI A250.6")))</f>
        <v/>
      </c>
      <c r="BU457" s="88">
        <f>IF($CS457,"",IF($CT457,IF(N($AW457)&gt;0,N($AW457),""),IF(1&gt;$CQ457,"",IF($CQ457=1,$CW457,$CW457+($CX457-$CW457)*0/($CQ457-1)))))</f>
        <v/>
      </c>
      <c r="BV457" s="88">
        <f>IF($CS457,"",IF($CT457,IF(N($AX457)&gt;0,N($AX457),""),IF(2&gt;$CQ457,"",IF($CQ457=1,$CW457,$CW457+($CX457-$CW457)*1/($CQ457-1)))))</f>
        <v/>
      </c>
      <c r="BW457" s="88">
        <f>IF($CS457,"",IF($CT457,IF(N($AY457)&gt;0,N($AY457),""),IF(3&gt;$CQ457,"",IF($CQ457=1,$CW457,$CW457+($CX457-$CW457)*2/($CQ457-1)))))</f>
        <v/>
      </c>
      <c r="BX457" s="88">
        <f>IF($CS457,"",IF($CT457,IF(N($AZ457)&gt;0,N($AZ457),""),IF(4&gt;$CQ457,"",IF($CQ457=1,$CW457,$CW457+($CX457-$CW457)*3/($CQ457-1)))))</f>
        <v/>
      </c>
      <c r="BY457" s="88">
        <f>IF($CS457,"",IF($CT457,"",IF(5&gt;$CQ457,"",IF($CQ457=1,$CW457,$CW457+($CX457-$CW457)*4/($CQ457-1)))))</f>
        <v/>
      </c>
      <c r="BZ457" s="88">
        <f>IF(OR($CS457,$AP457="-",AND($AP457="",$AD457="")),"",IF(N($BA457)&gt;0,N($BA457),IF($CV457,IF(AND($BI457&lt;$CU457,$BI457-IF(N(VLOOKUP($AT457&amp;"|"&amp;$CU457,LocTable,7,FALSE))&gt;0,VLOOKUP($AT457&amp;"|"&amp;$CU457,LocTable,7,FALSE),VLOOKUP($AT457&amp;"|"&amp;$CU457,LocTable,6,FALSE))-$CR457-0.75&gt;=2.125),VLOOKUP($AT457&amp;"|"&amp;$CU457,LocTable,8,FALSE),VLOOKUP($AT457&amp;"|"&amp;$CU457,LocTable,8,FALSE)+($BI457-$CU457)),$BI457-LockAFF)))</f>
        <v/>
      </c>
      <c r="CA457" s="89">
        <f>IF($BZ457="","",$BI457-$BZ457)</f>
        <v/>
      </c>
      <c r="CB457" s="84">
        <f>IF(OR(NOT(AND($A457&lt;&gt;"",$C457&lt;&gt;"DOOR ONLY")),$BI457=""),"",IF(($BI457+IF(N($P457)&gt;0,$P457+FaceW,0))&lt;=90,3,IF(($BI457+IF(N($P457)&gt;0,$P457+FaceW,0))&lt;=114,4,5)))</f>
        <v/>
      </c>
      <c r="CC457" s="84">
        <f>IF($CB457="","",$CB457*(2+IF(N($Q457)&gt;0,IF($R457="LR",2,1),0)))</f>
        <v/>
      </c>
      <c r="CD457" s="84">
        <f>IF($CB457="","",(2+IF(N($Q457)&gt;0,IF($R457="LR",2,1),0)))</f>
        <v/>
      </c>
      <c r="CE457" s="84">
        <f>IF(N($BJ457)=0,"",IF(OR($AL457="",$AL457="FLUSH"),"FLUSH",IFERROR(LEFT($AL457,FIND("-",$AL457)-1),LEFT($AL457,2))))</f>
        <v/>
      </c>
      <c r="CF457" s="84">
        <f>IF($CE457="","",IFERROR(VALUE(MID($AL457,FIND("-",$AL457)+1,FIND(CHAR(34)&amp;"x",$AL457)-FIND("-",$AL457)-1)),0))</f>
        <v/>
      </c>
      <c r="CG457" s="84">
        <f>IF($CE457="","",IFERROR(VALUE(MID($AL457,FIND(CHAR(34)&amp;"x",$AL457)+2,FIND(CHAR(34),$AL457,FIND(CHAR(34)&amp;"x",$AL457)+2)-FIND(CHAR(34)&amp;"x",$AL457)-2)),0))</f>
        <v/>
      </c>
      <c r="CH457" s="90">
        <f>IF(OR($A457="",$H457="",$H457="NO LAB"),0,IFERROR(VALUE(LEFT($H457,FIND(" ",$H457)-1)),0))</f>
        <v/>
      </c>
      <c r="CI457" s="91">
        <f>IF(OR($A457="",$I457="",$I457="NON-RATED",N($J457)=0),"",IFERROR(VLOOKUP($I457&amp;"|"&amp;$J457,IBC,2,FALSE),"?"))</f>
        <v/>
      </c>
      <c r="CJ457" s="85">
        <f>IF(NOT(AND($A457&lt;&gt;"",$C457&lt;&gt;"DOOR ONLY")),"",TRIM(IFERROR(VLOOKUP($U457,CODES,2,FALSE),"")&amp;" "&amp;$BG457&amp;" "&amp;IFERROR(VLOOKUP($Z457,CODES,2,FALSE),"")&amp;" "&amp;IFERROR(VLOOKUP($X457,CODES,2,FALSE),"")&amp;" "&amp;IFERROR(VLOOKUP($S457,CODES,2,FALSE),"")&amp;IF(N($P457)&gt;0," w/TRANSOM "&amp;$P457&amp;CHAR(34),"")&amp;IF(N($Q457)&gt;0," w/SIDELITE "&amp;$Q457&amp;CHAR(34)&amp;" "&amp;IF($R457="","R",$R457),"")&amp;IF($Y457="","  |  "," | "&amp;IFERROR(VLOOKUP($Y457,CODES,2,FALSE),"")&amp;" | ")&amp;IFERROR(VLOOKUP($AC457,CODES,2,FALSE),"")&amp;" "&amp;IFERROR(VLOOKUP($AD457,CODES,2,FALSE),"")&amp;IF(OR($AE457="",$AE457="-"),""," "&amp;$AE457)&amp;IF(OR($AF457="",$AF457="-"),""," "&amp;$AF457)&amp;IF($AB457="Y"," 4"&amp;CHAR(34)&amp;" HEAD","")&amp;" "&amp;IFERROR(VLOOKUP($H457,CODES,2,FALSE),"")&amp;IF($CT457," | LOC "&amp;$CY457,"")))</f>
        <v/>
      </c>
      <c r="CK457" s="85">
        <f>IF(NOT(AND($A457&lt;&gt;"",N($BJ457)&gt;0)),"",TRIM(IFERROR(VLOOKUP($AH457,CODES,2,FALSE),"")&amp;IF($AI457=""," "," "&amp;$AI457&amp;"GA ")&amp;$BG457&amp;" "&amp;IF($AN457="",IFERROR(VLOOKUP($Z457,CODES,2,FALSE),""),IFERROR(VLOOKUP($AN457,CODES,2,FALSE),""))&amp;IF($BJ457=2," PAIR","")&amp;" DOOR | "&amp;IF($AL457="","?",$AL457)&amp;" | "&amp;IF($AO457="",IFERROR(VLOOKUP($AC457,CODES,2,FALSE),""),IFERROR(VLOOKUP($AO457,CODES,2,FALSE),""))&amp;" "&amp;IFERROR(VLOOKUP($AP457,CODES,2,FALSE),"")&amp;IF(OR($AQ457="",$AQ457="-"),""," SEAM "&amp;$AQ457)&amp;IF($AR457="Y"," ASTRAGAL","")&amp;IF($AJ457=""," "," "&amp;$AJ457)&amp;IF($AK457=""," "," "&amp;$AK457)&amp;IF(OR($AT457="",$AT457="ANSI/SDI",$AT457="CUSTOM LOC"),""," "&amp;$AT457)&amp;IF($AM457=""," "," SERIES "&amp;$AM457)&amp;" "&amp;IFERROR(VLOOKUP($H457,CODES,2,FALSE),"")&amp;IF($CT457," | LOC "&amp;$CZ457,"")))</f>
        <v/>
      </c>
      <c r="CL457" s="84">
        <f>IF(CP457="","",IF(COUNTIF($CP$6:CP457,CP457)=1,MAX($CL$5:CL456)+1,INDEX($CL$5:CL456,MATCH(CP457,$CP$5:CP456,0))))</f>
        <v/>
      </c>
      <c r="CM457" s="84">
        <f>IF(NOT(AND($A457&lt;&gt;"",$C457&lt;&gt;"DOOR ONLY")),"",MAX($CM$5:CM456)+1)</f>
        <v/>
      </c>
      <c r="CN457" s="84">
        <f>IF(NOT(AND($A457&lt;&gt;"",N($BJ457)&gt;0)),"",MAX($CN$5:CN456)+1)</f>
        <v/>
      </c>
      <c r="CO457" s="84">
        <f>IF($A457="","",MAX($CO$5:CO456)+1)</f>
        <v/>
      </c>
      <c r="CP457" s="84">
        <f>IF(OR($A457="",$BH457="",$BI457=""),"",$BG457&amp;"|"&amp;$O457&amp;"|"&amp;$AL457&amp;"|"&amp;$S457&amp;"|"&amp;$P457&amp;"|"&amp;$Q457&amp;$R457&amp;"|"&amp;$C457&amp;"|"&amp;$AB457)</f>
        <v/>
      </c>
      <c r="CQ457" s="84">
        <f>N($BS457)</f>
        <v/>
      </c>
      <c r="CR457" s="84">
        <f>IF(N($AU457)&gt;0,N($AU457),4.5)</f>
        <v/>
      </c>
      <c r="CS457" s="84">
        <f>OR($A457="",$BI457="",$S457="BL",AND($C457="FRAME ONLY",OR($AC457="",$AC457="BLK")))</f>
        <v/>
      </c>
      <c r="CT457" s="84">
        <f>AND(NOT($CS457),OR($AT457="CUSTOM LOC",N($AW457)+N($AX457)+N($AY457)+N($AZ457)+N($BA457)&gt;0))</f>
        <v/>
      </c>
      <c r="CU457" s="84">
        <f>IF($BI457="","",IF($BI457&lt;=80,80,IF($BI457&lt;=84,84,96)))</f>
        <v/>
      </c>
      <c r="CV457" s="84">
        <f>ISNUMBER(MATCH($AT457&amp;"|80",LocKeys,0))</f>
        <v/>
      </c>
      <c r="CW457" s="86">
        <f>IF($CS457,"",IF($CV457,VLOOKUP($AT457&amp;"|"&amp;$CU457,LocTable,4,FALSE),5))</f>
        <v/>
      </c>
      <c r="CX457" s="86">
        <f>IF($CS457,"",IF($CV457,IF(OR($BI457=$CU457,AND($BI457&lt;$CU457,$BI457-IF(N(VLOOKUP($AT457&amp;"|"&amp;$CU457,LocTable,7,FALSE))&gt;0,VLOOKUP($AT457&amp;"|"&amp;$CU457,LocTable,7,FALSE),VLOOKUP($AT457&amp;"|"&amp;$CU457,LocTable,6,FALSE))-$CR457-0.75&gt;=2.125)),IF(N(VLOOKUP($AT457&amp;"|"&amp;$CU457,LocTable,7,FALSE))&gt;0,VLOOKUP($AT457&amp;"|"&amp;$CU457,LocTable,7,FALSE),VLOOKUP($AT457&amp;"|"&amp;$CU457,LocTable,6,FALSE)),$BI457-($CU457-IF(N(VLOOKUP($AT457&amp;"|"&amp;$CU457,LocTable,7,FALSE))&gt;0,VLOOKUP($AT457&amp;"|"&amp;$CU457,LocTable,7,FALSE),VLOOKUP($AT457&amp;"|"&amp;$CU457,LocTable,6,FALSE)))),$BI457-10-$CR457))</f>
        <v/>
      </c>
      <c r="CY457" s="85">
        <f>IF($CS457,"",TRIM(IF(ISNUMBER($BU457),"A "&amp;TRIM(TEXT($BU457,"# ?/??"))&amp;CHAR(34)&amp;"  ","")&amp;IF(ISNUMBER($BV457),"B "&amp;TRIM(TEXT($BV457,"# ?/??"))&amp;CHAR(34)&amp;"  ","")&amp;IF(ISNUMBER($BW457),"C "&amp;TRIM(TEXT($BW457,"# ?/??"))&amp;CHAR(34)&amp;"  ","")&amp;IF(ISNUMBER($BX457),"D "&amp;TRIM(TEXT($BX457,"# ?/??"))&amp;CHAR(34)&amp;"  ","")&amp;IF(ISNUMBER($BY457),"F "&amp;TRIM(TEXT($BY457,"# ?/??"))&amp;CHAR(34)&amp;"  ","")&amp;IF(ISNUMBER($BZ457),"E "&amp;TRIM(TEXT($BZ457,"# ?/??"))&amp;CHAR(34)&amp;"  ","")))</f>
        <v/>
      </c>
      <c r="CZ457" s="85">
        <f>IF(OR($CS457,N($BJ457)=0),"",TRIM(IF(ISNUMBER($BU457),"A "&amp;TRIM(TEXT($BU457-HeadClr,"# ?/??"))&amp;CHAR(34)&amp;"  ","")&amp;IF(ISNUMBER($BV457),"B "&amp;TRIM(TEXT($BV457-HeadClr,"# ?/??"))&amp;CHAR(34)&amp;"  ","")&amp;IF(ISNUMBER($BW457),"C "&amp;TRIM(TEXT($BW457-HeadClr,"# ?/??"))&amp;CHAR(34)&amp;"  ","")&amp;IF(ISNUMBER($BX457),"D "&amp;TRIM(TEXT($BX457-HeadClr,"# ?/??"))&amp;CHAR(34)&amp;"  ","")&amp;IF(ISNUMBER($BY457),"F "&amp;TRIM(TEXT($BY457-HeadClr,"# ?/??"))&amp;CHAR(34)&amp;"  ","")&amp;IF(ISNUMBER($BZ457),"E "&amp;TRIM(TEXT($BZ457-HeadClr,"# ?/??"))&amp;CHAR(34)&amp;"  ","")))</f>
        <v/>
      </c>
      <c r="DA457" s="84">
        <f>IF($A457="","",IF($AN457="",IFERROR(VLOOKUP($Z457,CODES,2,FALSE),""),IFERROR(VLOOKUP($AN457,CODES,2,FALSE),"")))</f>
        <v/>
      </c>
      <c r="DB457" s="84">
        <f>IF($A457="","",IF($O457="Y","PR",IF(OR($Z457="L",$Z457="RR",LEFT($Z457,2)="L-",LEFT($Z457,3)="RR-"),"LH","RH")))</f>
        <v/>
      </c>
      <c r="DC457" s="84">
        <f>IF($A457="","","S.HM"&amp;IF(OR($C457="DOOR ONLY",$X457&lt;&gt;"KD"),"MASONRY","DRYWALL")&amp;IF($C457="DOOR ONLY","",$U457)&amp;IF(AND($C457&lt;&gt;"FRAME ONLY",OR(LEFT($AH457,3)="OAK",LEFT($AH457,3)="BIR",LEFT($AH457,3)="MAP",$AH457="PC",$AH457="MC",$AH457="SCLC",$AH457="P-LAM")),"WD","HM")&amp;"1.75")</f>
        <v/>
      </c>
      <c r="DD457" s="84">
        <f>IF($CJ457="","",IF($O457="Y",$CJ457,SUBSTITUTE($CJ457,$BG457&amp;" "&amp;IFERROR(VLOOKUP($Z457,CODES,2,FALSE),"")&amp;" ",$BG457&amp;" ")))</f>
        <v/>
      </c>
      <c r="DE457" s="84">
        <f>IF($CK457="","",IF($O457="Y",$CK457,SUBSTITUTE($CK457,$BG457&amp;" "&amp;IF($AN457="",IFERROR(VLOOKUP($Z457,CODES,2,FALSE),""),IFERROR(VLOOKUP($AN457,CODES,2,FALSE),""))&amp;" ",$BG457&amp;" ")))</f>
        <v/>
      </c>
      <c r="DF457" s="84">
        <f>IF($CJ457="","",$DC457&amp;"|"&amp;$DD457&amp;"|"&amp;$DB457&amp;"|"&amp;$AT457&amp;"|"&amp;$V457&amp;"|"&amp;$Y457&amp;"|"&amp;$AB457)</f>
        <v/>
      </c>
      <c r="DG457" s="84">
        <f>IF(DF457="","",IF(COUNTIF($DF$6:DF457,DF457)=1,MAX($DG$5:DG456)+1,INDEX($DG$5:DG456,MATCH(DF457,$DF$5:DF456,0))))</f>
        <v/>
      </c>
      <c r="DH457" s="84">
        <f>IF($CK457="","",$DC457&amp;"|"&amp;$DE457&amp;"|"&amp;$AI457&amp;"|"&amp;$BK457&amp;"|"&amp;$BL457)</f>
        <v/>
      </c>
      <c r="DI457" s="84">
        <f>IF(DH457="","",IF(COUNTIF($DH$6:DH457,DH457)=1,MAX($DI$5:DI456)+1,INDEX($DI$5:DI456,MATCH(DH457,$DH$5:DH456,0))))</f>
        <v/>
      </c>
      <c r="DJ457" s="84">
        <f>IF($A457="","",IF($B457="","qty, ","")&amp;IF($C457="","scope, ","")&amp;IF(OR($K457="",$M457=""),"size, ","")&amp;IF(AND($A457&lt;&gt;"",$C457&lt;&gt;"DOOR ONLY"),IF($U457="","jamb depth, ","")&amp;IF($X457="","construction, ","")&amp;IF($Y457="","anchor, ","")&amp;IF($S457="","frame type, ",""),"")&amp;IF(AND(N($BJ457)&gt;0,$Z457=""),"hand, ","")&amp;IF(N($BJ457)&gt;0,IF($AH457="","door material, ","")&amp;IF($AL457="","face type, ","")&amp;IF($AP457="","lock prep, ","")&amp;IF(AND($AO457="",$AC457=""),"hinge prep, ",""),"")&amp;IF(AND($CH457&gt;0,$AH457="FRP"),"FRP cannot carry a label, ","")&amp;IF(AND($O457="Y",OR($Z457="L",$Z457="R",$Z457="LR",$Z457="RR")),"pair marked but hand is single, ","")&amp;IF(AND($O457&lt;&gt;"Y",OR($Z457="PR",AND(LEN($Z457)&gt;1,ISNUMBER(SEARCH("-",$Z457))))),"pair hand on a single door, ","")&amp;IF(AND(ISNUMBER($CI457),$CH457&lt;N($CI457)),"wall needs a "&amp;$CI457&amp;" min door, ","")&amp;IF(AND($CH457&gt;=180,AND(OR($CE457="FG",$CE457="HG",$CE457="FNV",$CE457="FV"),N($CF457)*N($CG457)&gt;100)),"180 min lite over 100 sq in, ","")&amp;IF(N($BK457)&gt;48,"leaf wider than 4'-0"&amp;CHAR(34)&amp;", ","")&amp;IF(AND($CT457,COUNT($AW457:$AZ457)=0,$CQ457&gt;0),"CUSTOM LOC with no locations typed, ",""))</f>
        <v/>
      </c>
      <c r="DK457" s="84">
        <f>IF($A457="","",IF(AND($CH457&gt;0,AND($A457&lt;&gt;"",$C457&lt;&gt;"DOOR ONLY"),$X457="KD",$E457="EXTERIOR"),"KD label on an exterior opening, ","")&amp;IF(AND($E457="EXTERIOR",OR(AND(AND($A457&lt;&gt;"",$C457&lt;&gt;"DOOR ONLY"),$W457="CR"),AND(N($BJ457)&gt;0,$AH457="CR"))),"exterior in CR steel (G9?), ","")&amp;IF(AND(ISNUMBER($BQ457),N($BQ457)&lt;32),"clear width ~"&amp;TEXT($BQ457,"0.0")&amp;CHAR(34)&amp;" under 32"&amp;CHAR(34)&amp;" (ADA), ","")&amp;IF(AND($CH457=90,AND(OR($CE457="FG",$CE457="HG",$CE457="FNV",$CE457="FV"),N($CF457)*N($CG457)&gt;100)),"90 min lite over 100 sq in (stair/exit), ","")&amp;IF(AND($CH457&gt;0,AND($A457&lt;&gt;"",$C457&lt;&gt;"DOOR ONLY"),OR($AF457="",$AF457="-")),"rated: closer reinf.?, ","")&amp;IF(OR($I457="CORRIDOR",$I457="SMOKE BARRIER"),"S label + smoke gasketing, ","")&amp;IF($CI457="?","wall type/hr not in IBC table, ","")&amp;IF(AND(N($BJ457)&gt;0,$BB457=""),"no hardware set, ","")&amp;IF(AND($BB457&lt;&gt;"",ISNA(MATCH($BB457&amp;"",HWSets,0))),"set "&amp;$BB457&amp;" not on HW Sets, ","")&amp;IF(N($BL457)&gt;96,"leaf over 8'-0"&amp;CHAR(34)&amp;" - check listing, ","")&amp;IF(AND($CT457,COUNT($AW457:$AZ457)&gt;0,COUNT($AW457:$AZ457)&lt;&gt;$CQ457),COUNT($AW457:$AZ457)&amp;" custom hinges typed, "&amp;$CQ457&amp;" expected, ","")&amp;IF(AND(ISNUMBER($CA457),OR(N($CA457)&lt;34,N($CA457)&gt;48)),"lock "&amp;TEXT($CA457,"0.0")&amp;CHAR(34)&amp;" AFF outside 34-48"&amp;CHAR(34)&amp;" (ADA), ","")&amp;IF(AND(ISNUMBER($AV457),ISNUMBER($BL457),N($AV457)&lt;IF(N($BL457)&lt;=60,2,IF(N($BL457)&lt;=90,3,IF(N($BL457)&lt;=120,4,5)))),"fewer hinges than standard, ",""))</f>
        <v/>
      </c>
    </row>
    <row r="458" ht="15" customHeight="1">
      <c r="A458" s="77" t="n"/>
      <c r="B458" s="78" t="n"/>
      <c r="C458" s="78" t="n"/>
      <c r="D458" s="78" t="n"/>
      <c r="E458" s="78" t="n"/>
      <c r="F458" s="78" t="n"/>
      <c r="G458" s="78" t="n"/>
      <c r="H458" s="78" t="n"/>
      <c r="I458" s="78" t="n"/>
      <c r="J458" s="78" t="n"/>
      <c r="K458" s="78" t="n"/>
      <c r="L458" s="78" t="n"/>
      <c r="M458" s="78" t="n"/>
      <c r="N458" s="78" t="n"/>
      <c r="O458" s="78" t="n"/>
      <c r="P458" s="78" t="n"/>
      <c r="Q458" s="78" t="n"/>
      <c r="R458" s="78" t="n"/>
      <c r="S458" s="79" t="n"/>
      <c r="T458" s="79" t="n"/>
      <c r="U458" s="79" t="n"/>
      <c r="V458" s="79" t="n"/>
      <c r="W458" s="79" t="n"/>
      <c r="X458" s="79" t="n"/>
      <c r="Y458" s="79" t="n"/>
      <c r="Z458" s="79" t="n"/>
      <c r="AA458" s="79" t="n"/>
      <c r="AB458" s="79" t="n"/>
      <c r="AC458" s="79" t="n"/>
      <c r="AD458" s="79" t="n"/>
      <c r="AE458" s="79" t="n"/>
      <c r="AF458" s="79" t="n"/>
      <c r="AG458" s="79" t="n"/>
      <c r="AH458" s="80" t="n"/>
      <c r="AI458" s="80" t="n"/>
      <c r="AJ458" s="80" t="n"/>
      <c r="AK458" s="80" t="n"/>
      <c r="AL458" s="80" t="n"/>
      <c r="AM458" s="80" t="n"/>
      <c r="AN458" s="80" t="n"/>
      <c r="AO458" s="80" t="n"/>
      <c r="AP458" s="80" t="n"/>
      <c r="AQ458" s="80" t="n"/>
      <c r="AR458" s="80" t="n"/>
      <c r="AS458" s="80" t="n"/>
      <c r="AT458" s="81" t="n"/>
      <c r="AU458" s="81" t="n"/>
      <c r="AV458" s="81" t="n"/>
      <c r="AW458" s="82" t="n"/>
      <c r="AX458" s="82" t="n"/>
      <c r="AY458" s="82" t="n"/>
      <c r="AZ458" s="82" t="n"/>
      <c r="BA458" s="82" t="n"/>
      <c r="BB458" s="83" t="n"/>
      <c r="BC458" s="83" t="n"/>
      <c r="BD458" s="84">
        <f>IF($A458="","",IF($DJ458&lt;&gt;"","FIX",IF($DK458&lt;&gt;"","CHECK","OK")))</f>
        <v/>
      </c>
      <c r="BE458" s="85">
        <f>IF($A458="","",IF($DJ458&lt;&gt;"","FIX: "&amp;LEFT($DJ458,LEN($DJ458)-2)&amp;IF($DK458&lt;&gt;"","  ·  ",""),"")&amp;IF($DK458&lt;&gt;"","CHECK: "&amp;LEFT($DK458,LEN($DK458)-2),""))</f>
        <v/>
      </c>
      <c r="BF458" s="84">
        <f>IF(OR($A458="",$K458=""),"",$K458&amp;"'-"&amp;N($L458)&amp;CHAR(34)&amp;" x "&amp;$M458&amp;"'-"&amp;N($N458)&amp;CHAR(34))</f>
        <v/>
      </c>
      <c r="BG458" s="84">
        <f>IF(OR($A458="",$K458=""),"",$K458&amp;N($L458)&amp;$M458&amp;N($N458))</f>
        <v/>
      </c>
      <c r="BH458" s="84">
        <f>IF(OR($A458="",$K458=""),"",$K458*12+N($L458))</f>
        <v/>
      </c>
      <c r="BI458" s="84">
        <f>IF(OR($A458="",$M458=""),"",$M458*12+N($N458))</f>
        <v/>
      </c>
      <c r="BJ458" s="84">
        <f>IF($A458="","",IF(OR($C458="FRAME ONLY",$S458="BL"),0,IF($O458="Y",2,1)))</f>
        <v/>
      </c>
      <c r="BK458" s="86">
        <f>IF(OR(N($BJ458)=0,$BH458=""),"",($BH458-2*EdgeClr-IF($BJ458=2,MeetClr,0))/$BJ458)</f>
        <v/>
      </c>
      <c r="BL458" s="86">
        <f>IF(OR(N($BJ458)=0,$BI458=""),"",$BI458-HeadClr-Undercut)</f>
        <v/>
      </c>
      <c r="BM458" s="86">
        <f>IF($BH458="","",$BH458+2*FaceW+IF(N($Q458)&gt;0,($Q458+FaceW)*IF($R458="LR",2,1),0))</f>
        <v/>
      </c>
      <c r="BN458" s="86">
        <f>IF($BI458="","",$BI458+IF($AB458="Y",4,FaceW)+IF(N($P458)&gt;0,$P458+FaceW,0)+IF(OR($S458="4F",$S458="BL"),FaceW,0))</f>
        <v/>
      </c>
      <c r="BO458" s="86">
        <f>IF($BM458="","",$BM458+2*ROSide)</f>
        <v/>
      </c>
      <c r="BP458" s="86">
        <f>IF($BN458="","",$BN458+ROTop)</f>
        <v/>
      </c>
      <c r="BQ458" s="87">
        <f>IF(OR(N($BJ458)=0,$BH458=""),"",$BH458/$BJ458-ClearDeduct)</f>
        <v/>
      </c>
      <c r="BR458" s="84">
        <f>IF(N($CH458)=0,"",IF($CH458&gt;=180,"A · 3 HR",IF($CH458&gt;=90,"B · 1-1/2 HR",IF($CH458&gt;=60,"B · 1 HR",IF($CH458&gt;=45,"C · 3/4 HR","20 MIN")))))&amp;IF(AND(N($CH458)&gt;0,OR($I458="CORRIDOR",$I458="SMOKE BARRIER"))," · S","")</f>
        <v/>
      </c>
      <c r="BS458" s="84">
        <f>IF($CS458,"",IF($AV458&lt;&gt;"",$AV458,IF(OR($AC458="HGC",$AO458="HGC"),"CONT",IF(($BI458-HeadClr-Undercut)&lt;=60,2,IF(($BI458-HeadClr-Undercut)&lt;=90,3,IF(($BI458-HeadClr-Undercut)&lt;=120,4,5))))))</f>
        <v/>
      </c>
      <c r="BT458" s="84">
        <f>IF($CS458,"",IF($CT458,"CUSTOM (typed)",IF($CV458,$AT458&amp;" "&amp;$CU458&amp;CHAR(34)&amp;IF($CU458&lt;&gt;$BI458,IF(AND($BI458&lt;$CU458,$BI458-IF(N(VLOOKUP($AT458&amp;"|"&amp;$CU458,LocTable,7,FALSE))&gt;0,VLOOKUP($AT458&amp;"|"&amp;$CU458,LocTable,7,FALSE),VLOOKUP($AT458&amp;"|"&amp;$CU458,LocTable,6,FALSE))-$CR458-0.75&gt;=2.125)," cut down"," adj."),""),"ANSI/SDI A250.6")))</f>
        <v/>
      </c>
      <c r="BU458" s="88">
        <f>IF($CS458,"",IF($CT458,IF(N($AW458)&gt;0,N($AW458),""),IF(1&gt;$CQ458,"",IF($CQ458=1,$CW458,$CW458+($CX458-$CW458)*0/($CQ458-1)))))</f>
        <v/>
      </c>
      <c r="BV458" s="88">
        <f>IF($CS458,"",IF($CT458,IF(N($AX458)&gt;0,N($AX458),""),IF(2&gt;$CQ458,"",IF($CQ458=1,$CW458,$CW458+($CX458-$CW458)*1/($CQ458-1)))))</f>
        <v/>
      </c>
      <c r="BW458" s="88">
        <f>IF($CS458,"",IF($CT458,IF(N($AY458)&gt;0,N($AY458),""),IF(3&gt;$CQ458,"",IF($CQ458=1,$CW458,$CW458+($CX458-$CW458)*2/($CQ458-1)))))</f>
        <v/>
      </c>
      <c r="BX458" s="88">
        <f>IF($CS458,"",IF($CT458,IF(N($AZ458)&gt;0,N($AZ458),""),IF(4&gt;$CQ458,"",IF($CQ458=1,$CW458,$CW458+($CX458-$CW458)*3/($CQ458-1)))))</f>
        <v/>
      </c>
      <c r="BY458" s="88">
        <f>IF($CS458,"",IF($CT458,"",IF(5&gt;$CQ458,"",IF($CQ458=1,$CW458,$CW458+($CX458-$CW458)*4/($CQ458-1)))))</f>
        <v/>
      </c>
      <c r="BZ458" s="88">
        <f>IF(OR($CS458,$AP458="-",AND($AP458="",$AD458="")),"",IF(N($BA458)&gt;0,N($BA458),IF($CV458,IF(AND($BI458&lt;$CU458,$BI458-IF(N(VLOOKUP($AT458&amp;"|"&amp;$CU458,LocTable,7,FALSE))&gt;0,VLOOKUP($AT458&amp;"|"&amp;$CU458,LocTable,7,FALSE),VLOOKUP($AT458&amp;"|"&amp;$CU458,LocTable,6,FALSE))-$CR458-0.75&gt;=2.125),VLOOKUP($AT458&amp;"|"&amp;$CU458,LocTable,8,FALSE),VLOOKUP($AT458&amp;"|"&amp;$CU458,LocTable,8,FALSE)+($BI458-$CU458)),$BI458-LockAFF)))</f>
        <v/>
      </c>
      <c r="CA458" s="89">
        <f>IF($BZ458="","",$BI458-$BZ458)</f>
        <v/>
      </c>
      <c r="CB458" s="84">
        <f>IF(OR(NOT(AND($A458&lt;&gt;"",$C458&lt;&gt;"DOOR ONLY")),$BI458=""),"",IF(($BI458+IF(N($P458)&gt;0,$P458+FaceW,0))&lt;=90,3,IF(($BI458+IF(N($P458)&gt;0,$P458+FaceW,0))&lt;=114,4,5)))</f>
        <v/>
      </c>
      <c r="CC458" s="84">
        <f>IF($CB458="","",$CB458*(2+IF(N($Q458)&gt;0,IF($R458="LR",2,1),0)))</f>
        <v/>
      </c>
      <c r="CD458" s="84">
        <f>IF($CB458="","",(2+IF(N($Q458)&gt;0,IF($R458="LR",2,1),0)))</f>
        <v/>
      </c>
      <c r="CE458" s="84">
        <f>IF(N($BJ458)=0,"",IF(OR($AL458="",$AL458="FLUSH"),"FLUSH",IFERROR(LEFT($AL458,FIND("-",$AL458)-1),LEFT($AL458,2))))</f>
        <v/>
      </c>
      <c r="CF458" s="84">
        <f>IF($CE458="","",IFERROR(VALUE(MID($AL458,FIND("-",$AL458)+1,FIND(CHAR(34)&amp;"x",$AL458)-FIND("-",$AL458)-1)),0))</f>
        <v/>
      </c>
      <c r="CG458" s="84">
        <f>IF($CE458="","",IFERROR(VALUE(MID($AL458,FIND(CHAR(34)&amp;"x",$AL458)+2,FIND(CHAR(34),$AL458,FIND(CHAR(34)&amp;"x",$AL458)+2)-FIND(CHAR(34)&amp;"x",$AL458)-2)),0))</f>
        <v/>
      </c>
      <c r="CH458" s="90">
        <f>IF(OR($A458="",$H458="",$H458="NO LAB"),0,IFERROR(VALUE(LEFT($H458,FIND(" ",$H458)-1)),0))</f>
        <v/>
      </c>
      <c r="CI458" s="91">
        <f>IF(OR($A458="",$I458="",$I458="NON-RATED",N($J458)=0),"",IFERROR(VLOOKUP($I458&amp;"|"&amp;$J458,IBC,2,FALSE),"?"))</f>
        <v/>
      </c>
      <c r="CJ458" s="85">
        <f>IF(NOT(AND($A458&lt;&gt;"",$C458&lt;&gt;"DOOR ONLY")),"",TRIM(IFERROR(VLOOKUP($U458,CODES,2,FALSE),"")&amp;" "&amp;$BG458&amp;" "&amp;IFERROR(VLOOKUP($Z458,CODES,2,FALSE),"")&amp;" "&amp;IFERROR(VLOOKUP($X458,CODES,2,FALSE),"")&amp;" "&amp;IFERROR(VLOOKUP($S458,CODES,2,FALSE),"")&amp;IF(N($P458)&gt;0," w/TRANSOM "&amp;$P458&amp;CHAR(34),"")&amp;IF(N($Q458)&gt;0," w/SIDELITE "&amp;$Q458&amp;CHAR(34)&amp;" "&amp;IF($R458="","R",$R458),"")&amp;IF($Y458="","  |  "," | "&amp;IFERROR(VLOOKUP($Y458,CODES,2,FALSE),"")&amp;" | ")&amp;IFERROR(VLOOKUP($AC458,CODES,2,FALSE),"")&amp;" "&amp;IFERROR(VLOOKUP($AD458,CODES,2,FALSE),"")&amp;IF(OR($AE458="",$AE458="-"),""," "&amp;$AE458)&amp;IF(OR($AF458="",$AF458="-"),""," "&amp;$AF458)&amp;IF($AB458="Y"," 4"&amp;CHAR(34)&amp;" HEAD","")&amp;" "&amp;IFERROR(VLOOKUP($H458,CODES,2,FALSE),"")&amp;IF($CT458," | LOC "&amp;$CY458,"")))</f>
        <v/>
      </c>
      <c r="CK458" s="85">
        <f>IF(NOT(AND($A458&lt;&gt;"",N($BJ458)&gt;0)),"",TRIM(IFERROR(VLOOKUP($AH458,CODES,2,FALSE),"")&amp;IF($AI458=""," "," "&amp;$AI458&amp;"GA ")&amp;$BG458&amp;" "&amp;IF($AN458="",IFERROR(VLOOKUP($Z458,CODES,2,FALSE),""),IFERROR(VLOOKUP($AN458,CODES,2,FALSE),""))&amp;IF($BJ458=2," PAIR","")&amp;" DOOR | "&amp;IF($AL458="","?",$AL458)&amp;" | "&amp;IF($AO458="",IFERROR(VLOOKUP($AC458,CODES,2,FALSE),""),IFERROR(VLOOKUP($AO458,CODES,2,FALSE),""))&amp;" "&amp;IFERROR(VLOOKUP($AP458,CODES,2,FALSE),"")&amp;IF(OR($AQ458="",$AQ458="-"),""," SEAM "&amp;$AQ458)&amp;IF($AR458="Y"," ASTRAGAL","")&amp;IF($AJ458=""," "," "&amp;$AJ458)&amp;IF($AK458=""," "," "&amp;$AK458)&amp;IF(OR($AT458="",$AT458="ANSI/SDI",$AT458="CUSTOM LOC"),""," "&amp;$AT458)&amp;IF($AM458=""," "," SERIES "&amp;$AM458)&amp;" "&amp;IFERROR(VLOOKUP($H458,CODES,2,FALSE),"")&amp;IF($CT458," | LOC "&amp;$CZ458,"")))</f>
        <v/>
      </c>
      <c r="CL458" s="84">
        <f>IF(CP458="","",IF(COUNTIF($CP$6:CP458,CP458)=1,MAX($CL$5:CL457)+1,INDEX($CL$5:CL457,MATCH(CP458,$CP$5:CP457,0))))</f>
        <v/>
      </c>
      <c r="CM458" s="84">
        <f>IF(NOT(AND($A458&lt;&gt;"",$C458&lt;&gt;"DOOR ONLY")),"",MAX($CM$5:CM457)+1)</f>
        <v/>
      </c>
      <c r="CN458" s="84">
        <f>IF(NOT(AND($A458&lt;&gt;"",N($BJ458)&gt;0)),"",MAX($CN$5:CN457)+1)</f>
        <v/>
      </c>
      <c r="CO458" s="84">
        <f>IF($A458="","",MAX($CO$5:CO457)+1)</f>
        <v/>
      </c>
      <c r="CP458" s="84">
        <f>IF(OR($A458="",$BH458="",$BI458=""),"",$BG458&amp;"|"&amp;$O458&amp;"|"&amp;$AL458&amp;"|"&amp;$S458&amp;"|"&amp;$P458&amp;"|"&amp;$Q458&amp;$R458&amp;"|"&amp;$C458&amp;"|"&amp;$AB458)</f>
        <v/>
      </c>
      <c r="CQ458" s="84">
        <f>N($BS458)</f>
        <v/>
      </c>
      <c r="CR458" s="84">
        <f>IF(N($AU458)&gt;0,N($AU458),4.5)</f>
        <v/>
      </c>
      <c r="CS458" s="84">
        <f>OR($A458="",$BI458="",$S458="BL",AND($C458="FRAME ONLY",OR($AC458="",$AC458="BLK")))</f>
        <v/>
      </c>
      <c r="CT458" s="84">
        <f>AND(NOT($CS458),OR($AT458="CUSTOM LOC",N($AW458)+N($AX458)+N($AY458)+N($AZ458)+N($BA458)&gt;0))</f>
        <v/>
      </c>
      <c r="CU458" s="84">
        <f>IF($BI458="","",IF($BI458&lt;=80,80,IF($BI458&lt;=84,84,96)))</f>
        <v/>
      </c>
      <c r="CV458" s="84">
        <f>ISNUMBER(MATCH($AT458&amp;"|80",LocKeys,0))</f>
        <v/>
      </c>
      <c r="CW458" s="86">
        <f>IF($CS458,"",IF($CV458,VLOOKUP($AT458&amp;"|"&amp;$CU458,LocTable,4,FALSE),5))</f>
        <v/>
      </c>
      <c r="CX458" s="86">
        <f>IF($CS458,"",IF($CV458,IF(OR($BI458=$CU458,AND($BI458&lt;$CU458,$BI458-IF(N(VLOOKUP($AT458&amp;"|"&amp;$CU458,LocTable,7,FALSE))&gt;0,VLOOKUP($AT458&amp;"|"&amp;$CU458,LocTable,7,FALSE),VLOOKUP($AT458&amp;"|"&amp;$CU458,LocTable,6,FALSE))-$CR458-0.75&gt;=2.125)),IF(N(VLOOKUP($AT458&amp;"|"&amp;$CU458,LocTable,7,FALSE))&gt;0,VLOOKUP($AT458&amp;"|"&amp;$CU458,LocTable,7,FALSE),VLOOKUP($AT458&amp;"|"&amp;$CU458,LocTable,6,FALSE)),$BI458-($CU458-IF(N(VLOOKUP($AT458&amp;"|"&amp;$CU458,LocTable,7,FALSE))&gt;0,VLOOKUP($AT458&amp;"|"&amp;$CU458,LocTable,7,FALSE),VLOOKUP($AT458&amp;"|"&amp;$CU458,LocTable,6,FALSE)))),$BI458-10-$CR458))</f>
        <v/>
      </c>
      <c r="CY458" s="85">
        <f>IF($CS458,"",TRIM(IF(ISNUMBER($BU458),"A "&amp;TRIM(TEXT($BU458,"# ?/??"))&amp;CHAR(34)&amp;"  ","")&amp;IF(ISNUMBER($BV458),"B "&amp;TRIM(TEXT($BV458,"# ?/??"))&amp;CHAR(34)&amp;"  ","")&amp;IF(ISNUMBER($BW458),"C "&amp;TRIM(TEXT($BW458,"# ?/??"))&amp;CHAR(34)&amp;"  ","")&amp;IF(ISNUMBER($BX458),"D "&amp;TRIM(TEXT($BX458,"# ?/??"))&amp;CHAR(34)&amp;"  ","")&amp;IF(ISNUMBER($BY458),"F "&amp;TRIM(TEXT($BY458,"# ?/??"))&amp;CHAR(34)&amp;"  ","")&amp;IF(ISNUMBER($BZ458),"E "&amp;TRIM(TEXT($BZ458,"# ?/??"))&amp;CHAR(34)&amp;"  ","")))</f>
        <v/>
      </c>
      <c r="CZ458" s="85">
        <f>IF(OR($CS458,N($BJ458)=0),"",TRIM(IF(ISNUMBER($BU458),"A "&amp;TRIM(TEXT($BU458-HeadClr,"# ?/??"))&amp;CHAR(34)&amp;"  ","")&amp;IF(ISNUMBER($BV458),"B "&amp;TRIM(TEXT($BV458-HeadClr,"# ?/??"))&amp;CHAR(34)&amp;"  ","")&amp;IF(ISNUMBER($BW458),"C "&amp;TRIM(TEXT($BW458-HeadClr,"# ?/??"))&amp;CHAR(34)&amp;"  ","")&amp;IF(ISNUMBER($BX458),"D "&amp;TRIM(TEXT($BX458-HeadClr,"# ?/??"))&amp;CHAR(34)&amp;"  ","")&amp;IF(ISNUMBER($BY458),"F "&amp;TRIM(TEXT($BY458-HeadClr,"# ?/??"))&amp;CHAR(34)&amp;"  ","")&amp;IF(ISNUMBER($BZ458),"E "&amp;TRIM(TEXT($BZ458-HeadClr,"# ?/??"))&amp;CHAR(34)&amp;"  ","")))</f>
        <v/>
      </c>
      <c r="DA458" s="84">
        <f>IF($A458="","",IF($AN458="",IFERROR(VLOOKUP($Z458,CODES,2,FALSE),""),IFERROR(VLOOKUP($AN458,CODES,2,FALSE),"")))</f>
        <v/>
      </c>
      <c r="DB458" s="84">
        <f>IF($A458="","",IF($O458="Y","PR",IF(OR($Z458="L",$Z458="RR",LEFT($Z458,2)="L-",LEFT($Z458,3)="RR-"),"LH","RH")))</f>
        <v/>
      </c>
      <c r="DC458" s="84">
        <f>IF($A458="","","S.HM"&amp;IF(OR($C458="DOOR ONLY",$X458&lt;&gt;"KD"),"MASONRY","DRYWALL")&amp;IF($C458="DOOR ONLY","",$U458)&amp;IF(AND($C458&lt;&gt;"FRAME ONLY",OR(LEFT($AH458,3)="OAK",LEFT($AH458,3)="BIR",LEFT($AH458,3)="MAP",$AH458="PC",$AH458="MC",$AH458="SCLC",$AH458="P-LAM")),"WD","HM")&amp;"1.75")</f>
        <v/>
      </c>
      <c r="DD458" s="84">
        <f>IF($CJ458="","",IF($O458="Y",$CJ458,SUBSTITUTE($CJ458,$BG458&amp;" "&amp;IFERROR(VLOOKUP($Z458,CODES,2,FALSE),"")&amp;" ",$BG458&amp;" ")))</f>
        <v/>
      </c>
      <c r="DE458" s="84">
        <f>IF($CK458="","",IF($O458="Y",$CK458,SUBSTITUTE($CK458,$BG458&amp;" "&amp;IF($AN458="",IFERROR(VLOOKUP($Z458,CODES,2,FALSE),""),IFERROR(VLOOKUP($AN458,CODES,2,FALSE),""))&amp;" ",$BG458&amp;" ")))</f>
        <v/>
      </c>
      <c r="DF458" s="84">
        <f>IF($CJ458="","",$DC458&amp;"|"&amp;$DD458&amp;"|"&amp;$DB458&amp;"|"&amp;$AT458&amp;"|"&amp;$V458&amp;"|"&amp;$Y458&amp;"|"&amp;$AB458)</f>
        <v/>
      </c>
      <c r="DG458" s="84">
        <f>IF(DF458="","",IF(COUNTIF($DF$6:DF458,DF458)=1,MAX($DG$5:DG457)+1,INDEX($DG$5:DG457,MATCH(DF458,$DF$5:DF457,0))))</f>
        <v/>
      </c>
      <c r="DH458" s="84">
        <f>IF($CK458="","",$DC458&amp;"|"&amp;$DE458&amp;"|"&amp;$AI458&amp;"|"&amp;$BK458&amp;"|"&amp;$BL458)</f>
        <v/>
      </c>
      <c r="DI458" s="84">
        <f>IF(DH458="","",IF(COUNTIF($DH$6:DH458,DH458)=1,MAX($DI$5:DI457)+1,INDEX($DI$5:DI457,MATCH(DH458,$DH$5:DH457,0))))</f>
        <v/>
      </c>
      <c r="DJ458" s="84">
        <f>IF($A458="","",IF($B458="","qty, ","")&amp;IF($C458="","scope, ","")&amp;IF(OR($K458="",$M458=""),"size, ","")&amp;IF(AND($A458&lt;&gt;"",$C458&lt;&gt;"DOOR ONLY"),IF($U458="","jamb depth, ","")&amp;IF($X458="","construction, ","")&amp;IF($Y458="","anchor, ","")&amp;IF($S458="","frame type, ",""),"")&amp;IF(AND(N($BJ458)&gt;0,$Z458=""),"hand, ","")&amp;IF(N($BJ458)&gt;0,IF($AH458="","door material, ","")&amp;IF($AL458="","face type, ","")&amp;IF($AP458="","lock prep, ","")&amp;IF(AND($AO458="",$AC458=""),"hinge prep, ",""),"")&amp;IF(AND($CH458&gt;0,$AH458="FRP"),"FRP cannot carry a label, ","")&amp;IF(AND($O458="Y",OR($Z458="L",$Z458="R",$Z458="LR",$Z458="RR")),"pair marked but hand is single, ","")&amp;IF(AND($O458&lt;&gt;"Y",OR($Z458="PR",AND(LEN($Z458)&gt;1,ISNUMBER(SEARCH("-",$Z458))))),"pair hand on a single door, ","")&amp;IF(AND(ISNUMBER($CI458),$CH458&lt;N($CI458)),"wall needs a "&amp;$CI458&amp;" min door, ","")&amp;IF(AND($CH458&gt;=180,AND(OR($CE458="FG",$CE458="HG",$CE458="FNV",$CE458="FV"),N($CF458)*N($CG458)&gt;100)),"180 min lite over 100 sq in, ","")&amp;IF(N($BK458)&gt;48,"leaf wider than 4'-0"&amp;CHAR(34)&amp;", ","")&amp;IF(AND($CT458,COUNT($AW458:$AZ458)=0,$CQ458&gt;0),"CUSTOM LOC with no locations typed, ",""))</f>
        <v/>
      </c>
      <c r="DK458" s="84">
        <f>IF($A458="","",IF(AND($CH458&gt;0,AND($A458&lt;&gt;"",$C458&lt;&gt;"DOOR ONLY"),$X458="KD",$E458="EXTERIOR"),"KD label on an exterior opening, ","")&amp;IF(AND($E458="EXTERIOR",OR(AND(AND($A458&lt;&gt;"",$C458&lt;&gt;"DOOR ONLY"),$W458="CR"),AND(N($BJ458)&gt;0,$AH458="CR"))),"exterior in CR steel (G9?), ","")&amp;IF(AND(ISNUMBER($BQ458),N($BQ458)&lt;32),"clear width ~"&amp;TEXT($BQ458,"0.0")&amp;CHAR(34)&amp;" under 32"&amp;CHAR(34)&amp;" (ADA), ","")&amp;IF(AND($CH458=90,AND(OR($CE458="FG",$CE458="HG",$CE458="FNV",$CE458="FV"),N($CF458)*N($CG458)&gt;100)),"90 min lite over 100 sq in (stair/exit), ","")&amp;IF(AND($CH458&gt;0,AND($A458&lt;&gt;"",$C458&lt;&gt;"DOOR ONLY"),OR($AF458="",$AF458="-")),"rated: closer reinf.?, ","")&amp;IF(OR($I458="CORRIDOR",$I458="SMOKE BARRIER"),"S label + smoke gasketing, ","")&amp;IF($CI458="?","wall type/hr not in IBC table, ","")&amp;IF(AND(N($BJ458)&gt;0,$BB458=""),"no hardware set, ","")&amp;IF(AND($BB458&lt;&gt;"",ISNA(MATCH($BB458&amp;"",HWSets,0))),"set "&amp;$BB458&amp;" not on HW Sets, ","")&amp;IF(N($BL458)&gt;96,"leaf over 8'-0"&amp;CHAR(34)&amp;" - check listing, ","")&amp;IF(AND($CT458,COUNT($AW458:$AZ458)&gt;0,COUNT($AW458:$AZ458)&lt;&gt;$CQ458),COUNT($AW458:$AZ458)&amp;" custom hinges typed, "&amp;$CQ458&amp;" expected, ","")&amp;IF(AND(ISNUMBER($CA458),OR(N($CA458)&lt;34,N($CA458)&gt;48)),"lock "&amp;TEXT($CA458,"0.0")&amp;CHAR(34)&amp;" AFF outside 34-48"&amp;CHAR(34)&amp;" (ADA), ","")&amp;IF(AND(ISNUMBER($AV458),ISNUMBER($BL458),N($AV458)&lt;IF(N($BL458)&lt;=60,2,IF(N($BL458)&lt;=90,3,IF(N($BL458)&lt;=120,4,5)))),"fewer hinges than standard, ",""))</f>
        <v/>
      </c>
    </row>
    <row r="459" ht="15" customHeight="1">
      <c r="A459" s="77" t="n"/>
      <c r="B459" s="78" t="n"/>
      <c r="C459" s="78" t="n"/>
      <c r="D459" s="78" t="n"/>
      <c r="E459" s="78" t="n"/>
      <c r="F459" s="78" t="n"/>
      <c r="G459" s="78" t="n"/>
      <c r="H459" s="78" t="n"/>
      <c r="I459" s="78" t="n"/>
      <c r="J459" s="78" t="n"/>
      <c r="K459" s="78" t="n"/>
      <c r="L459" s="78" t="n"/>
      <c r="M459" s="78" t="n"/>
      <c r="N459" s="78" t="n"/>
      <c r="O459" s="78" t="n"/>
      <c r="P459" s="78" t="n"/>
      <c r="Q459" s="78" t="n"/>
      <c r="R459" s="78" t="n"/>
      <c r="S459" s="79" t="n"/>
      <c r="T459" s="79" t="n"/>
      <c r="U459" s="79" t="n"/>
      <c r="V459" s="79" t="n"/>
      <c r="W459" s="79" t="n"/>
      <c r="X459" s="79" t="n"/>
      <c r="Y459" s="79" t="n"/>
      <c r="Z459" s="79" t="n"/>
      <c r="AA459" s="79" t="n"/>
      <c r="AB459" s="79" t="n"/>
      <c r="AC459" s="79" t="n"/>
      <c r="AD459" s="79" t="n"/>
      <c r="AE459" s="79" t="n"/>
      <c r="AF459" s="79" t="n"/>
      <c r="AG459" s="79" t="n"/>
      <c r="AH459" s="80" t="n"/>
      <c r="AI459" s="80" t="n"/>
      <c r="AJ459" s="80" t="n"/>
      <c r="AK459" s="80" t="n"/>
      <c r="AL459" s="80" t="n"/>
      <c r="AM459" s="80" t="n"/>
      <c r="AN459" s="80" t="n"/>
      <c r="AO459" s="80" t="n"/>
      <c r="AP459" s="80" t="n"/>
      <c r="AQ459" s="80" t="n"/>
      <c r="AR459" s="80" t="n"/>
      <c r="AS459" s="80" t="n"/>
      <c r="AT459" s="81" t="n"/>
      <c r="AU459" s="81" t="n"/>
      <c r="AV459" s="81" t="n"/>
      <c r="AW459" s="82" t="n"/>
      <c r="AX459" s="82" t="n"/>
      <c r="AY459" s="82" t="n"/>
      <c r="AZ459" s="82" t="n"/>
      <c r="BA459" s="82" t="n"/>
      <c r="BB459" s="83" t="n"/>
      <c r="BC459" s="83" t="n"/>
      <c r="BD459" s="84">
        <f>IF($A459="","",IF($DJ459&lt;&gt;"","FIX",IF($DK459&lt;&gt;"","CHECK","OK")))</f>
        <v/>
      </c>
      <c r="BE459" s="85">
        <f>IF($A459="","",IF($DJ459&lt;&gt;"","FIX: "&amp;LEFT($DJ459,LEN($DJ459)-2)&amp;IF($DK459&lt;&gt;"","  ·  ",""),"")&amp;IF($DK459&lt;&gt;"","CHECK: "&amp;LEFT($DK459,LEN($DK459)-2),""))</f>
        <v/>
      </c>
      <c r="BF459" s="84">
        <f>IF(OR($A459="",$K459=""),"",$K459&amp;"'-"&amp;N($L459)&amp;CHAR(34)&amp;" x "&amp;$M459&amp;"'-"&amp;N($N459)&amp;CHAR(34))</f>
        <v/>
      </c>
      <c r="BG459" s="84">
        <f>IF(OR($A459="",$K459=""),"",$K459&amp;N($L459)&amp;$M459&amp;N($N459))</f>
        <v/>
      </c>
      <c r="BH459" s="84">
        <f>IF(OR($A459="",$K459=""),"",$K459*12+N($L459))</f>
        <v/>
      </c>
      <c r="BI459" s="84">
        <f>IF(OR($A459="",$M459=""),"",$M459*12+N($N459))</f>
        <v/>
      </c>
      <c r="BJ459" s="84">
        <f>IF($A459="","",IF(OR($C459="FRAME ONLY",$S459="BL"),0,IF($O459="Y",2,1)))</f>
        <v/>
      </c>
      <c r="BK459" s="86">
        <f>IF(OR(N($BJ459)=0,$BH459=""),"",($BH459-2*EdgeClr-IF($BJ459=2,MeetClr,0))/$BJ459)</f>
        <v/>
      </c>
      <c r="BL459" s="86">
        <f>IF(OR(N($BJ459)=0,$BI459=""),"",$BI459-HeadClr-Undercut)</f>
        <v/>
      </c>
      <c r="BM459" s="86">
        <f>IF($BH459="","",$BH459+2*FaceW+IF(N($Q459)&gt;0,($Q459+FaceW)*IF($R459="LR",2,1),0))</f>
        <v/>
      </c>
      <c r="BN459" s="86">
        <f>IF($BI459="","",$BI459+IF($AB459="Y",4,FaceW)+IF(N($P459)&gt;0,$P459+FaceW,0)+IF(OR($S459="4F",$S459="BL"),FaceW,0))</f>
        <v/>
      </c>
      <c r="BO459" s="86">
        <f>IF($BM459="","",$BM459+2*ROSide)</f>
        <v/>
      </c>
      <c r="BP459" s="86">
        <f>IF($BN459="","",$BN459+ROTop)</f>
        <v/>
      </c>
      <c r="BQ459" s="87">
        <f>IF(OR(N($BJ459)=0,$BH459=""),"",$BH459/$BJ459-ClearDeduct)</f>
        <v/>
      </c>
      <c r="BR459" s="84">
        <f>IF(N($CH459)=0,"",IF($CH459&gt;=180,"A · 3 HR",IF($CH459&gt;=90,"B · 1-1/2 HR",IF($CH459&gt;=60,"B · 1 HR",IF($CH459&gt;=45,"C · 3/4 HR","20 MIN")))))&amp;IF(AND(N($CH459)&gt;0,OR($I459="CORRIDOR",$I459="SMOKE BARRIER"))," · S","")</f>
        <v/>
      </c>
      <c r="BS459" s="84">
        <f>IF($CS459,"",IF($AV459&lt;&gt;"",$AV459,IF(OR($AC459="HGC",$AO459="HGC"),"CONT",IF(($BI459-HeadClr-Undercut)&lt;=60,2,IF(($BI459-HeadClr-Undercut)&lt;=90,3,IF(($BI459-HeadClr-Undercut)&lt;=120,4,5))))))</f>
        <v/>
      </c>
      <c r="BT459" s="84">
        <f>IF($CS459,"",IF($CT459,"CUSTOM (typed)",IF($CV459,$AT459&amp;" "&amp;$CU459&amp;CHAR(34)&amp;IF($CU459&lt;&gt;$BI459,IF(AND($BI459&lt;$CU459,$BI459-IF(N(VLOOKUP($AT459&amp;"|"&amp;$CU459,LocTable,7,FALSE))&gt;0,VLOOKUP($AT459&amp;"|"&amp;$CU459,LocTable,7,FALSE),VLOOKUP($AT459&amp;"|"&amp;$CU459,LocTable,6,FALSE))-$CR459-0.75&gt;=2.125)," cut down"," adj."),""),"ANSI/SDI A250.6")))</f>
        <v/>
      </c>
      <c r="BU459" s="88">
        <f>IF($CS459,"",IF($CT459,IF(N($AW459)&gt;0,N($AW459),""),IF(1&gt;$CQ459,"",IF($CQ459=1,$CW459,$CW459+($CX459-$CW459)*0/($CQ459-1)))))</f>
        <v/>
      </c>
      <c r="BV459" s="88">
        <f>IF($CS459,"",IF($CT459,IF(N($AX459)&gt;0,N($AX459),""),IF(2&gt;$CQ459,"",IF($CQ459=1,$CW459,$CW459+($CX459-$CW459)*1/($CQ459-1)))))</f>
        <v/>
      </c>
      <c r="BW459" s="88">
        <f>IF($CS459,"",IF($CT459,IF(N($AY459)&gt;0,N($AY459),""),IF(3&gt;$CQ459,"",IF($CQ459=1,$CW459,$CW459+($CX459-$CW459)*2/($CQ459-1)))))</f>
        <v/>
      </c>
      <c r="BX459" s="88">
        <f>IF($CS459,"",IF($CT459,IF(N($AZ459)&gt;0,N($AZ459),""),IF(4&gt;$CQ459,"",IF($CQ459=1,$CW459,$CW459+($CX459-$CW459)*3/($CQ459-1)))))</f>
        <v/>
      </c>
      <c r="BY459" s="88">
        <f>IF($CS459,"",IF($CT459,"",IF(5&gt;$CQ459,"",IF($CQ459=1,$CW459,$CW459+($CX459-$CW459)*4/($CQ459-1)))))</f>
        <v/>
      </c>
      <c r="BZ459" s="88">
        <f>IF(OR($CS459,$AP459="-",AND($AP459="",$AD459="")),"",IF(N($BA459)&gt;0,N($BA459),IF($CV459,IF(AND($BI459&lt;$CU459,$BI459-IF(N(VLOOKUP($AT459&amp;"|"&amp;$CU459,LocTable,7,FALSE))&gt;0,VLOOKUP($AT459&amp;"|"&amp;$CU459,LocTable,7,FALSE),VLOOKUP($AT459&amp;"|"&amp;$CU459,LocTable,6,FALSE))-$CR459-0.75&gt;=2.125),VLOOKUP($AT459&amp;"|"&amp;$CU459,LocTable,8,FALSE),VLOOKUP($AT459&amp;"|"&amp;$CU459,LocTable,8,FALSE)+($BI459-$CU459)),$BI459-LockAFF)))</f>
        <v/>
      </c>
      <c r="CA459" s="89">
        <f>IF($BZ459="","",$BI459-$BZ459)</f>
        <v/>
      </c>
      <c r="CB459" s="84">
        <f>IF(OR(NOT(AND($A459&lt;&gt;"",$C459&lt;&gt;"DOOR ONLY")),$BI459=""),"",IF(($BI459+IF(N($P459)&gt;0,$P459+FaceW,0))&lt;=90,3,IF(($BI459+IF(N($P459)&gt;0,$P459+FaceW,0))&lt;=114,4,5)))</f>
        <v/>
      </c>
      <c r="CC459" s="84">
        <f>IF($CB459="","",$CB459*(2+IF(N($Q459)&gt;0,IF($R459="LR",2,1),0)))</f>
        <v/>
      </c>
      <c r="CD459" s="84">
        <f>IF($CB459="","",(2+IF(N($Q459)&gt;0,IF($R459="LR",2,1),0)))</f>
        <v/>
      </c>
      <c r="CE459" s="84">
        <f>IF(N($BJ459)=0,"",IF(OR($AL459="",$AL459="FLUSH"),"FLUSH",IFERROR(LEFT($AL459,FIND("-",$AL459)-1),LEFT($AL459,2))))</f>
        <v/>
      </c>
      <c r="CF459" s="84">
        <f>IF($CE459="","",IFERROR(VALUE(MID($AL459,FIND("-",$AL459)+1,FIND(CHAR(34)&amp;"x",$AL459)-FIND("-",$AL459)-1)),0))</f>
        <v/>
      </c>
      <c r="CG459" s="84">
        <f>IF($CE459="","",IFERROR(VALUE(MID($AL459,FIND(CHAR(34)&amp;"x",$AL459)+2,FIND(CHAR(34),$AL459,FIND(CHAR(34)&amp;"x",$AL459)+2)-FIND(CHAR(34)&amp;"x",$AL459)-2)),0))</f>
        <v/>
      </c>
      <c r="CH459" s="90">
        <f>IF(OR($A459="",$H459="",$H459="NO LAB"),0,IFERROR(VALUE(LEFT($H459,FIND(" ",$H459)-1)),0))</f>
        <v/>
      </c>
      <c r="CI459" s="91">
        <f>IF(OR($A459="",$I459="",$I459="NON-RATED",N($J459)=0),"",IFERROR(VLOOKUP($I459&amp;"|"&amp;$J459,IBC,2,FALSE),"?"))</f>
        <v/>
      </c>
      <c r="CJ459" s="85">
        <f>IF(NOT(AND($A459&lt;&gt;"",$C459&lt;&gt;"DOOR ONLY")),"",TRIM(IFERROR(VLOOKUP($U459,CODES,2,FALSE),"")&amp;" "&amp;$BG459&amp;" "&amp;IFERROR(VLOOKUP($Z459,CODES,2,FALSE),"")&amp;" "&amp;IFERROR(VLOOKUP($X459,CODES,2,FALSE),"")&amp;" "&amp;IFERROR(VLOOKUP($S459,CODES,2,FALSE),"")&amp;IF(N($P459)&gt;0," w/TRANSOM "&amp;$P459&amp;CHAR(34),"")&amp;IF(N($Q459)&gt;0," w/SIDELITE "&amp;$Q459&amp;CHAR(34)&amp;" "&amp;IF($R459="","R",$R459),"")&amp;IF($Y459="","  |  "," | "&amp;IFERROR(VLOOKUP($Y459,CODES,2,FALSE),"")&amp;" | ")&amp;IFERROR(VLOOKUP($AC459,CODES,2,FALSE),"")&amp;" "&amp;IFERROR(VLOOKUP($AD459,CODES,2,FALSE),"")&amp;IF(OR($AE459="",$AE459="-"),""," "&amp;$AE459)&amp;IF(OR($AF459="",$AF459="-"),""," "&amp;$AF459)&amp;IF($AB459="Y"," 4"&amp;CHAR(34)&amp;" HEAD","")&amp;" "&amp;IFERROR(VLOOKUP($H459,CODES,2,FALSE),"")&amp;IF($CT459," | LOC "&amp;$CY459,"")))</f>
        <v/>
      </c>
      <c r="CK459" s="85">
        <f>IF(NOT(AND($A459&lt;&gt;"",N($BJ459)&gt;0)),"",TRIM(IFERROR(VLOOKUP($AH459,CODES,2,FALSE),"")&amp;IF($AI459=""," "," "&amp;$AI459&amp;"GA ")&amp;$BG459&amp;" "&amp;IF($AN459="",IFERROR(VLOOKUP($Z459,CODES,2,FALSE),""),IFERROR(VLOOKUP($AN459,CODES,2,FALSE),""))&amp;IF($BJ459=2," PAIR","")&amp;" DOOR | "&amp;IF($AL459="","?",$AL459)&amp;" | "&amp;IF($AO459="",IFERROR(VLOOKUP($AC459,CODES,2,FALSE),""),IFERROR(VLOOKUP($AO459,CODES,2,FALSE),""))&amp;" "&amp;IFERROR(VLOOKUP($AP459,CODES,2,FALSE),"")&amp;IF(OR($AQ459="",$AQ459="-"),""," SEAM "&amp;$AQ459)&amp;IF($AR459="Y"," ASTRAGAL","")&amp;IF($AJ459=""," "," "&amp;$AJ459)&amp;IF($AK459=""," "," "&amp;$AK459)&amp;IF(OR($AT459="",$AT459="ANSI/SDI",$AT459="CUSTOM LOC"),""," "&amp;$AT459)&amp;IF($AM459=""," "," SERIES "&amp;$AM459)&amp;" "&amp;IFERROR(VLOOKUP($H459,CODES,2,FALSE),"")&amp;IF($CT459," | LOC "&amp;$CZ459,"")))</f>
        <v/>
      </c>
      <c r="CL459" s="84">
        <f>IF(CP459="","",IF(COUNTIF($CP$6:CP459,CP459)=1,MAX($CL$5:CL458)+1,INDEX($CL$5:CL458,MATCH(CP459,$CP$5:CP458,0))))</f>
        <v/>
      </c>
      <c r="CM459" s="84">
        <f>IF(NOT(AND($A459&lt;&gt;"",$C459&lt;&gt;"DOOR ONLY")),"",MAX($CM$5:CM458)+1)</f>
        <v/>
      </c>
      <c r="CN459" s="84">
        <f>IF(NOT(AND($A459&lt;&gt;"",N($BJ459)&gt;0)),"",MAX($CN$5:CN458)+1)</f>
        <v/>
      </c>
      <c r="CO459" s="84">
        <f>IF($A459="","",MAX($CO$5:CO458)+1)</f>
        <v/>
      </c>
      <c r="CP459" s="84">
        <f>IF(OR($A459="",$BH459="",$BI459=""),"",$BG459&amp;"|"&amp;$O459&amp;"|"&amp;$AL459&amp;"|"&amp;$S459&amp;"|"&amp;$P459&amp;"|"&amp;$Q459&amp;$R459&amp;"|"&amp;$C459&amp;"|"&amp;$AB459)</f>
        <v/>
      </c>
      <c r="CQ459" s="84">
        <f>N($BS459)</f>
        <v/>
      </c>
      <c r="CR459" s="84">
        <f>IF(N($AU459)&gt;0,N($AU459),4.5)</f>
        <v/>
      </c>
      <c r="CS459" s="84">
        <f>OR($A459="",$BI459="",$S459="BL",AND($C459="FRAME ONLY",OR($AC459="",$AC459="BLK")))</f>
        <v/>
      </c>
      <c r="CT459" s="84">
        <f>AND(NOT($CS459),OR($AT459="CUSTOM LOC",N($AW459)+N($AX459)+N($AY459)+N($AZ459)+N($BA459)&gt;0))</f>
        <v/>
      </c>
      <c r="CU459" s="84">
        <f>IF($BI459="","",IF($BI459&lt;=80,80,IF($BI459&lt;=84,84,96)))</f>
        <v/>
      </c>
      <c r="CV459" s="84">
        <f>ISNUMBER(MATCH($AT459&amp;"|80",LocKeys,0))</f>
        <v/>
      </c>
      <c r="CW459" s="86">
        <f>IF($CS459,"",IF($CV459,VLOOKUP($AT459&amp;"|"&amp;$CU459,LocTable,4,FALSE),5))</f>
        <v/>
      </c>
      <c r="CX459" s="86">
        <f>IF($CS459,"",IF($CV459,IF(OR($BI459=$CU459,AND($BI459&lt;$CU459,$BI459-IF(N(VLOOKUP($AT459&amp;"|"&amp;$CU459,LocTable,7,FALSE))&gt;0,VLOOKUP($AT459&amp;"|"&amp;$CU459,LocTable,7,FALSE),VLOOKUP($AT459&amp;"|"&amp;$CU459,LocTable,6,FALSE))-$CR459-0.75&gt;=2.125)),IF(N(VLOOKUP($AT459&amp;"|"&amp;$CU459,LocTable,7,FALSE))&gt;0,VLOOKUP($AT459&amp;"|"&amp;$CU459,LocTable,7,FALSE),VLOOKUP($AT459&amp;"|"&amp;$CU459,LocTable,6,FALSE)),$BI459-($CU459-IF(N(VLOOKUP($AT459&amp;"|"&amp;$CU459,LocTable,7,FALSE))&gt;0,VLOOKUP($AT459&amp;"|"&amp;$CU459,LocTable,7,FALSE),VLOOKUP($AT459&amp;"|"&amp;$CU459,LocTable,6,FALSE)))),$BI459-10-$CR459))</f>
        <v/>
      </c>
      <c r="CY459" s="85">
        <f>IF($CS459,"",TRIM(IF(ISNUMBER($BU459),"A "&amp;TRIM(TEXT($BU459,"# ?/??"))&amp;CHAR(34)&amp;"  ","")&amp;IF(ISNUMBER($BV459),"B "&amp;TRIM(TEXT($BV459,"# ?/??"))&amp;CHAR(34)&amp;"  ","")&amp;IF(ISNUMBER($BW459),"C "&amp;TRIM(TEXT($BW459,"# ?/??"))&amp;CHAR(34)&amp;"  ","")&amp;IF(ISNUMBER($BX459),"D "&amp;TRIM(TEXT($BX459,"# ?/??"))&amp;CHAR(34)&amp;"  ","")&amp;IF(ISNUMBER($BY459),"F "&amp;TRIM(TEXT($BY459,"# ?/??"))&amp;CHAR(34)&amp;"  ","")&amp;IF(ISNUMBER($BZ459),"E "&amp;TRIM(TEXT($BZ459,"# ?/??"))&amp;CHAR(34)&amp;"  ","")))</f>
        <v/>
      </c>
      <c r="CZ459" s="85">
        <f>IF(OR($CS459,N($BJ459)=0),"",TRIM(IF(ISNUMBER($BU459),"A "&amp;TRIM(TEXT($BU459-HeadClr,"# ?/??"))&amp;CHAR(34)&amp;"  ","")&amp;IF(ISNUMBER($BV459),"B "&amp;TRIM(TEXT($BV459-HeadClr,"# ?/??"))&amp;CHAR(34)&amp;"  ","")&amp;IF(ISNUMBER($BW459),"C "&amp;TRIM(TEXT($BW459-HeadClr,"# ?/??"))&amp;CHAR(34)&amp;"  ","")&amp;IF(ISNUMBER($BX459),"D "&amp;TRIM(TEXT($BX459-HeadClr,"# ?/??"))&amp;CHAR(34)&amp;"  ","")&amp;IF(ISNUMBER($BY459),"F "&amp;TRIM(TEXT($BY459-HeadClr,"# ?/??"))&amp;CHAR(34)&amp;"  ","")&amp;IF(ISNUMBER($BZ459),"E "&amp;TRIM(TEXT($BZ459-HeadClr,"# ?/??"))&amp;CHAR(34)&amp;"  ","")))</f>
        <v/>
      </c>
      <c r="DA459" s="84">
        <f>IF($A459="","",IF($AN459="",IFERROR(VLOOKUP($Z459,CODES,2,FALSE),""),IFERROR(VLOOKUP($AN459,CODES,2,FALSE),"")))</f>
        <v/>
      </c>
      <c r="DB459" s="84">
        <f>IF($A459="","",IF($O459="Y","PR",IF(OR($Z459="L",$Z459="RR",LEFT($Z459,2)="L-",LEFT($Z459,3)="RR-"),"LH","RH")))</f>
        <v/>
      </c>
      <c r="DC459" s="84">
        <f>IF($A459="","","S.HM"&amp;IF(OR($C459="DOOR ONLY",$X459&lt;&gt;"KD"),"MASONRY","DRYWALL")&amp;IF($C459="DOOR ONLY","",$U459)&amp;IF(AND($C459&lt;&gt;"FRAME ONLY",OR(LEFT($AH459,3)="OAK",LEFT($AH459,3)="BIR",LEFT($AH459,3)="MAP",$AH459="PC",$AH459="MC",$AH459="SCLC",$AH459="P-LAM")),"WD","HM")&amp;"1.75")</f>
        <v/>
      </c>
      <c r="DD459" s="84">
        <f>IF($CJ459="","",IF($O459="Y",$CJ459,SUBSTITUTE($CJ459,$BG459&amp;" "&amp;IFERROR(VLOOKUP($Z459,CODES,2,FALSE),"")&amp;" ",$BG459&amp;" ")))</f>
        <v/>
      </c>
      <c r="DE459" s="84">
        <f>IF($CK459="","",IF($O459="Y",$CK459,SUBSTITUTE($CK459,$BG459&amp;" "&amp;IF($AN459="",IFERROR(VLOOKUP($Z459,CODES,2,FALSE),""),IFERROR(VLOOKUP($AN459,CODES,2,FALSE),""))&amp;" ",$BG459&amp;" ")))</f>
        <v/>
      </c>
      <c r="DF459" s="84">
        <f>IF($CJ459="","",$DC459&amp;"|"&amp;$DD459&amp;"|"&amp;$DB459&amp;"|"&amp;$AT459&amp;"|"&amp;$V459&amp;"|"&amp;$Y459&amp;"|"&amp;$AB459)</f>
        <v/>
      </c>
      <c r="DG459" s="84">
        <f>IF(DF459="","",IF(COUNTIF($DF$6:DF459,DF459)=1,MAX($DG$5:DG458)+1,INDEX($DG$5:DG458,MATCH(DF459,$DF$5:DF458,0))))</f>
        <v/>
      </c>
      <c r="DH459" s="84">
        <f>IF($CK459="","",$DC459&amp;"|"&amp;$DE459&amp;"|"&amp;$AI459&amp;"|"&amp;$BK459&amp;"|"&amp;$BL459)</f>
        <v/>
      </c>
      <c r="DI459" s="84">
        <f>IF(DH459="","",IF(COUNTIF($DH$6:DH459,DH459)=1,MAX($DI$5:DI458)+1,INDEX($DI$5:DI458,MATCH(DH459,$DH$5:DH458,0))))</f>
        <v/>
      </c>
      <c r="DJ459" s="84">
        <f>IF($A459="","",IF($B459="","qty, ","")&amp;IF($C459="","scope, ","")&amp;IF(OR($K459="",$M459=""),"size, ","")&amp;IF(AND($A459&lt;&gt;"",$C459&lt;&gt;"DOOR ONLY"),IF($U459="","jamb depth, ","")&amp;IF($X459="","construction, ","")&amp;IF($Y459="","anchor, ","")&amp;IF($S459="","frame type, ",""),"")&amp;IF(AND(N($BJ459)&gt;0,$Z459=""),"hand, ","")&amp;IF(N($BJ459)&gt;0,IF($AH459="","door material, ","")&amp;IF($AL459="","face type, ","")&amp;IF($AP459="","lock prep, ","")&amp;IF(AND($AO459="",$AC459=""),"hinge prep, ",""),"")&amp;IF(AND($CH459&gt;0,$AH459="FRP"),"FRP cannot carry a label, ","")&amp;IF(AND($O459="Y",OR($Z459="L",$Z459="R",$Z459="LR",$Z459="RR")),"pair marked but hand is single, ","")&amp;IF(AND($O459&lt;&gt;"Y",OR($Z459="PR",AND(LEN($Z459)&gt;1,ISNUMBER(SEARCH("-",$Z459))))),"pair hand on a single door, ","")&amp;IF(AND(ISNUMBER($CI459),$CH459&lt;N($CI459)),"wall needs a "&amp;$CI459&amp;" min door, ","")&amp;IF(AND($CH459&gt;=180,AND(OR($CE459="FG",$CE459="HG",$CE459="FNV",$CE459="FV"),N($CF459)*N($CG459)&gt;100)),"180 min lite over 100 sq in, ","")&amp;IF(N($BK459)&gt;48,"leaf wider than 4'-0"&amp;CHAR(34)&amp;", ","")&amp;IF(AND($CT459,COUNT($AW459:$AZ459)=0,$CQ459&gt;0),"CUSTOM LOC with no locations typed, ",""))</f>
        <v/>
      </c>
      <c r="DK459" s="84">
        <f>IF($A459="","",IF(AND($CH459&gt;0,AND($A459&lt;&gt;"",$C459&lt;&gt;"DOOR ONLY"),$X459="KD",$E459="EXTERIOR"),"KD label on an exterior opening, ","")&amp;IF(AND($E459="EXTERIOR",OR(AND(AND($A459&lt;&gt;"",$C459&lt;&gt;"DOOR ONLY"),$W459="CR"),AND(N($BJ459)&gt;0,$AH459="CR"))),"exterior in CR steel (G9?), ","")&amp;IF(AND(ISNUMBER($BQ459),N($BQ459)&lt;32),"clear width ~"&amp;TEXT($BQ459,"0.0")&amp;CHAR(34)&amp;" under 32"&amp;CHAR(34)&amp;" (ADA), ","")&amp;IF(AND($CH459=90,AND(OR($CE459="FG",$CE459="HG",$CE459="FNV",$CE459="FV"),N($CF459)*N($CG459)&gt;100)),"90 min lite over 100 sq in (stair/exit), ","")&amp;IF(AND($CH459&gt;0,AND($A459&lt;&gt;"",$C459&lt;&gt;"DOOR ONLY"),OR($AF459="",$AF459="-")),"rated: closer reinf.?, ","")&amp;IF(OR($I459="CORRIDOR",$I459="SMOKE BARRIER"),"S label + smoke gasketing, ","")&amp;IF($CI459="?","wall type/hr not in IBC table, ","")&amp;IF(AND(N($BJ459)&gt;0,$BB459=""),"no hardware set, ","")&amp;IF(AND($BB459&lt;&gt;"",ISNA(MATCH($BB459&amp;"",HWSets,0))),"set "&amp;$BB459&amp;" not on HW Sets, ","")&amp;IF(N($BL459)&gt;96,"leaf over 8'-0"&amp;CHAR(34)&amp;" - check listing, ","")&amp;IF(AND($CT459,COUNT($AW459:$AZ459)&gt;0,COUNT($AW459:$AZ459)&lt;&gt;$CQ459),COUNT($AW459:$AZ459)&amp;" custom hinges typed, "&amp;$CQ459&amp;" expected, ","")&amp;IF(AND(ISNUMBER($CA459),OR(N($CA459)&lt;34,N($CA459)&gt;48)),"lock "&amp;TEXT($CA459,"0.0")&amp;CHAR(34)&amp;" AFF outside 34-48"&amp;CHAR(34)&amp;" (ADA), ","")&amp;IF(AND(ISNUMBER($AV459),ISNUMBER($BL459),N($AV459)&lt;IF(N($BL459)&lt;=60,2,IF(N($BL459)&lt;=90,3,IF(N($BL459)&lt;=120,4,5)))),"fewer hinges than standard, ",""))</f>
        <v/>
      </c>
    </row>
    <row r="460" ht="15" customHeight="1">
      <c r="A460" s="92" t="n"/>
      <c r="B460" s="93" t="n"/>
      <c r="C460" s="93" t="n"/>
      <c r="D460" s="93" t="n"/>
      <c r="E460" s="93" t="n"/>
      <c r="F460" s="93" t="n"/>
      <c r="G460" s="93" t="n"/>
      <c r="H460" s="93" t="n"/>
      <c r="I460" s="93" t="n"/>
      <c r="J460" s="93" t="n"/>
      <c r="K460" s="93" t="n"/>
      <c r="L460" s="93" t="n"/>
      <c r="M460" s="93" t="n"/>
      <c r="N460" s="93" t="n"/>
      <c r="O460" s="93" t="n"/>
      <c r="P460" s="93" t="n"/>
      <c r="Q460" s="93" t="n"/>
      <c r="R460" s="93" t="n"/>
      <c r="S460" s="94" t="n"/>
      <c r="T460" s="94" t="n"/>
      <c r="U460" s="94" t="n"/>
      <c r="V460" s="94" t="n"/>
      <c r="W460" s="94" t="n"/>
      <c r="X460" s="94" t="n"/>
      <c r="Y460" s="94" t="n"/>
      <c r="Z460" s="94" t="n"/>
      <c r="AA460" s="94" t="n"/>
      <c r="AB460" s="94" t="n"/>
      <c r="AC460" s="94" t="n"/>
      <c r="AD460" s="94" t="n"/>
      <c r="AE460" s="94" t="n"/>
      <c r="AF460" s="94" t="n"/>
      <c r="AG460" s="94" t="n"/>
      <c r="AH460" s="95" t="n"/>
      <c r="AI460" s="95" t="n"/>
      <c r="AJ460" s="95" t="n"/>
      <c r="AK460" s="95" t="n"/>
      <c r="AL460" s="95" t="n"/>
      <c r="AM460" s="95" t="n"/>
      <c r="AN460" s="95" t="n"/>
      <c r="AO460" s="95" t="n"/>
      <c r="AP460" s="95" t="n"/>
      <c r="AQ460" s="95" t="n"/>
      <c r="AR460" s="95" t="n"/>
      <c r="AS460" s="95" t="n"/>
      <c r="AT460" s="96" t="n"/>
      <c r="AU460" s="96" t="n"/>
      <c r="AV460" s="96" t="n"/>
      <c r="AW460" s="97" t="n"/>
      <c r="AX460" s="97" t="n"/>
      <c r="AY460" s="97" t="n"/>
      <c r="AZ460" s="97" t="n"/>
      <c r="BA460" s="97" t="n"/>
      <c r="BB460" s="98" t="n"/>
      <c r="BC460" s="98" t="n"/>
      <c r="BD460" s="99">
        <f>IF($A460="","",IF($DJ460&lt;&gt;"","FIX",IF($DK460&lt;&gt;"","CHECK","OK")))</f>
        <v/>
      </c>
      <c r="BE460" s="100">
        <f>IF($A460="","",IF($DJ460&lt;&gt;"","FIX: "&amp;LEFT($DJ460,LEN($DJ460)-2)&amp;IF($DK460&lt;&gt;"","  ·  ",""),"")&amp;IF($DK460&lt;&gt;"","CHECK: "&amp;LEFT($DK460,LEN($DK460)-2),""))</f>
        <v/>
      </c>
      <c r="BF460" s="99">
        <f>IF(OR($A460="",$K460=""),"",$K460&amp;"'-"&amp;N($L460)&amp;CHAR(34)&amp;" x "&amp;$M460&amp;"'-"&amp;N($N460)&amp;CHAR(34))</f>
        <v/>
      </c>
      <c r="BG460" s="99">
        <f>IF(OR($A460="",$K460=""),"",$K460&amp;N($L460)&amp;$M460&amp;N($N460))</f>
        <v/>
      </c>
      <c r="BH460" s="99">
        <f>IF(OR($A460="",$K460=""),"",$K460*12+N($L460))</f>
        <v/>
      </c>
      <c r="BI460" s="99">
        <f>IF(OR($A460="",$M460=""),"",$M460*12+N($N460))</f>
        <v/>
      </c>
      <c r="BJ460" s="99">
        <f>IF($A460="","",IF(OR($C460="FRAME ONLY",$S460="BL"),0,IF($O460="Y",2,1)))</f>
        <v/>
      </c>
      <c r="BK460" s="101">
        <f>IF(OR(N($BJ460)=0,$BH460=""),"",($BH460-2*EdgeClr-IF($BJ460=2,MeetClr,0))/$BJ460)</f>
        <v/>
      </c>
      <c r="BL460" s="101">
        <f>IF(OR(N($BJ460)=0,$BI460=""),"",$BI460-HeadClr-Undercut)</f>
        <v/>
      </c>
      <c r="BM460" s="101">
        <f>IF($BH460="","",$BH460+2*FaceW+IF(N($Q460)&gt;0,($Q460+FaceW)*IF($R460="LR",2,1),0))</f>
        <v/>
      </c>
      <c r="BN460" s="101">
        <f>IF($BI460="","",$BI460+IF($AB460="Y",4,FaceW)+IF(N($P460)&gt;0,$P460+FaceW,0)+IF(OR($S460="4F",$S460="BL"),FaceW,0))</f>
        <v/>
      </c>
      <c r="BO460" s="101">
        <f>IF($BM460="","",$BM460+2*ROSide)</f>
        <v/>
      </c>
      <c r="BP460" s="101">
        <f>IF($BN460="","",$BN460+ROTop)</f>
        <v/>
      </c>
      <c r="BQ460" s="102">
        <f>IF(OR(N($BJ460)=0,$BH460=""),"",$BH460/$BJ460-ClearDeduct)</f>
        <v/>
      </c>
      <c r="BR460" s="99">
        <f>IF(N($CH460)=0,"",IF($CH460&gt;=180,"A · 3 HR",IF($CH460&gt;=90,"B · 1-1/2 HR",IF($CH460&gt;=60,"B · 1 HR",IF($CH460&gt;=45,"C · 3/4 HR","20 MIN")))))&amp;IF(AND(N($CH460)&gt;0,OR($I460="CORRIDOR",$I460="SMOKE BARRIER"))," · S","")</f>
        <v/>
      </c>
      <c r="BS460" s="99">
        <f>IF($CS460,"",IF($AV460&lt;&gt;"",$AV460,IF(OR($AC460="HGC",$AO460="HGC"),"CONT",IF(($BI460-HeadClr-Undercut)&lt;=60,2,IF(($BI460-HeadClr-Undercut)&lt;=90,3,IF(($BI460-HeadClr-Undercut)&lt;=120,4,5))))))</f>
        <v/>
      </c>
      <c r="BT460" s="99">
        <f>IF($CS460,"",IF($CT460,"CUSTOM (typed)",IF($CV460,$AT460&amp;" "&amp;$CU460&amp;CHAR(34)&amp;IF($CU460&lt;&gt;$BI460,IF(AND($BI460&lt;$CU460,$BI460-IF(N(VLOOKUP($AT460&amp;"|"&amp;$CU460,LocTable,7,FALSE))&gt;0,VLOOKUP($AT460&amp;"|"&amp;$CU460,LocTable,7,FALSE),VLOOKUP($AT460&amp;"|"&amp;$CU460,LocTable,6,FALSE))-$CR460-0.75&gt;=2.125)," cut down"," adj."),""),"ANSI/SDI A250.6")))</f>
        <v/>
      </c>
      <c r="BU460" s="103">
        <f>IF($CS460,"",IF($CT460,IF(N($AW460)&gt;0,N($AW460),""),IF(1&gt;$CQ460,"",IF($CQ460=1,$CW460,$CW460+($CX460-$CW460)*0/($CQ460-1)))))</f>
        <v/>
      </c>
      <c r="BV460" s="103">
        <f>IF($CS460,"",IF($CT460,IF(N($AX460)&gt;0,N($AX460),""),IF(2&gt;$CQ460,"",IF($CQ460=1,$CW460,$CW460+($CX460-$CW460)*1/($CQ460-1)))))</f>
        <v/>
      </c>
      <c r="BW460" s="103">
        <f>IF($CS460,"",IF($CT460,IF(N($AY460)&gt;0,N($AY460),""),IF(3&gt;$CQ460,"",IF($CQ460=1,$CW460,$CW460+($CX460-$CW460)*2/($CQ460-1)))))</f>
        <v/>
      </c>
      <c r="BX460" s="103">
        <f>IF($CS460,"",IF($CT460,IF(N($AZ460)&gt;0,N($AZ460),""),IF(4&gt;$CQ460,"",IF($CQ460=1,$CW460,$CW460+($CX460-$CW460)*3/($CQ460-1)))))</f>
        <v/>
      </c>
      <c r="BY460" s="103">
        <f>IF($CS460,"",IF($CT460,"",IF(5&gt;$CQ460,"",IF($CQ460=1,$CW460,$CW460+($CX460-$CW460)*4/($CQ460-1)))))</f>
        <v/>
      </c>
      <c r="BZ460" s="103">
        <f>IF(OR($CS460,$AP460="-",AND($AP460="",$AD460="")),"",IF(N($BA460)&gt;0,N($BA460),IF($CV460,IF(AND($BI460&lt;$CU460,$BI460-IF(N(VLOOKUP($AT460&amp;"|"&amp;$CU460,LocTable,7,FALSE))&gt;0,VLOOKUP($AT460&amp;"|"&amp;$CU460,LocTable,7,FALSE),VLOOKUP($AT460&amp;"|"&amp;$CU460,LocTable,6,FALSE))-$CR460-0.75&gt;=2.125),VLOOKUP($AT460&amp;"|"&amp;$CU460,LocTable,8,FALSE),VLOOKUP($AT460&amp;"|"&amp;$CU460,LocTable,8,FALSE)+($BI460-$CU460)),$BI460-LockAFF)))</f>
        <v/>
      </c>
      <c r="CA460" s="104">
        <f>IF($BZ460="","",$BI460-$BZ460)</f>
        <v/>
      </c>
      <c r="CB460" s="99">
        <f>IF(OR(NOT(AND($A460&lt;&gt;"",$C460&lt;&gt;"DOOR ONLY")),$BI460=""),"",IF(($BI460+IF(N($P460)&gt;0,$P460+FaceW,0))&lt;=90,3,IF(($BI460+IF(N($P460)&gt;0,$P460+FaceW,0))&lt;=114,4,5)))</f>
        <v/>
      </c>
      <c r="CC460" s="99">
        <f>IF($CB460="","",$CB460*(2+IF(N($Q460)&gt;0,IF($R460="LR",2,1),0)))</f>
        <v/>
      </c>
      <c r="CD460" s="99">
        <f>IF($CB460="","",(2+IF(N($Q460)&gt;0,IF($R460="LR",2,1),0)))</f>
        <v/>
      </c>
      <c r="CE460" s="99">
        <f>IF(N($BJ460)=0,"",IF(OR($AL460="",$AL460="FLUSH"),"FLUSH",IFERROR(LEFT($AL460,FIND("-",$AL460)-1),LEFT($AL460,2))))</f>
        <v/>
      </c>
      <c r="CF460" s="99">
        <f>IF($CE460="","",IFERROR(VALUE(MID($AL460,FIND("-",$AL460)+1,FIND(CHAR(34)&amp;"x",$AL460)-FIND("-",$AL460)-1)),0))</f>
        <v/>
      </c>
      <c r="CG460" s="99">
        <f>IF($CE460="","",IFERROR(VALUE(MID($AL460,FIND(CHAR(34)&amp;"x",$AL460)+2,FIND(CHAR(34),$AL460,FIND(CHAR(34)&amp;"x",$AL460)+2)-FIND(CHAR(34)&amp;"x",$AL460)-2)),0))</f>
        <v/>
      </c>
      <c r="CH460" s="105">
        <f>IF(OR($A460="",$H460="",$H460="NO LAB"),0,IFERROR(VALUE(LEFT($H460,FIND(" ",$H460)-1)),0))</f>
        <v/>
      </c>
      <c r="CI460" s="106">
        <f>IF(OR($A460="",$I460="",$I460="NON-RATED",N($J460)=0),"",IFERROR(VLOOKUP($I460&amp;"|"&amp;$J460,IBC,2,FALSE),"?"))</f>
        <v/>
      </c>
      <c r="CJ460" s="100">
        <f>IF(NOT(AND($A460&lt;&gt;"",$C460&lt;&gt;"DOOR ONLY")),"",TRIM(IFERROR(VLOOKUP($U460,CODES,2,FALSE),"")&amp;" "&amp;$BG460&amp;" "&amp;IFERROR(VLOOKUP($Z460,CODES,2,FALSE),"")&amp;" "&amp;IFERROR(VLOOKUP($X460,CODES,2,FALSE),"")&amp;" "&amp;IFERROR(VLOOKUP($S460,CODES,2,FALSE),"")&amp;IF(N($P460)&gt;0," w/TRANSOM "&amp;$P460&amp;CHAR(34),"")&amp;IF(N($Q460)&gt;0," w/SIDELITE "&amp;$Q460&amp;CHAR(34)&amp;" "&amp;IF($R460="","R",$R460),"")&amp;IF($Y460="","  |  "," | "&amp;IFERROR(VLOOKUP($Y460,CODES,2,FALSE),"")&amp;" | ")&amp;IFERROR(VLOOKUP($AC460,CODES,2,FALSE),"")&amp;" "&amp;IFERROR(VLOOKUP($AD460,CODES,2,FALSE),"")&amp;IF(OR($AE460="",$AE460="-"),""," "&amp;$AE460)&amp;IF(OR($AF460="",$AF460="-"),""," "&amp;$AF460)&amp;IF($AB460="Y"," 4"&amp;CHAR(34)&amp;" HEAD","")&amp;" "&amp;IFERROR(VLOOKUP($H460,CODES,2,FALSE),"")&amp;IF($CT460," | LOC "&amp;$CY460,"")))</f>
        <v/>
      </c>
      <c r="CK460" s="100">
        <f>IF(NOT(AND($A460&lt;&gt;"",N($BJ460)&gt;0)),"",TRIM(IFERROR(VLOOKUP($AH460,CODES,2,FALSE),"")&amp;IF($AI460=""," "," "&amp;$AI460&amp;"GA ")&amp;$BG460&amp;" "&amp;IF($AN460="",IFERROR(VLOOKUP($Z460,CODES,2,FALSE),""),IFERROR(VLOOKUP($AN460,CODES,2,FALSE),""))&amp;IF($BJ460=2," PAIR","")&amp;" DOOR | "&amp;IF($AL460="","?",$AL460)&amp;" | "&amp;IF($AO460="",IFERROR(VLOOKUP($AC460,CODES,2,FALSE),""),IFERROR(VLOOKUP($AO460,CODES,2,FALSE),""))&amp;" "&amp;IFERROR(VLOOKUP($AP460,CODES,2,FALSE),"")&amp;IF(OR($AQ460="",$AQ460="-"),""," SEAM "&amp;$AQ460)&amp;IF($AR460="Y"," ASTRAGAL","")&amp;IF($AJ460=""," "," "&amp;$AJ460)&amp;IF($AK460=""," "," "&amp;$AK460)&amp;IF(OR($AT460="",$AT460="ANSI/SDI",$AT460="CUSTOM LOC"),""," "&amp;$AT460)&amp;IF($AM460=""," "," SERIES "&amp;$AM460)&amp;" "&amp;IFERROR(VLOOKUP($H460,CODES,2,FALSE),"")&amp;IF($CT460," | LOC "&amp;$CZ460,"")))</f>
        <v/>
      </c>
      <c r="CL460" s="99">
        <f>IF(CP460="","",IF(COUNTIF($CP$6:CP460,CP460)=1,MAX($CL$5:CL459)+1,INDEX($CL$5:CL459,MATCH(CP460,$CP$5:CP459,0))))</f>
        <v/>
      </c>
      <c r="CM460" s="99">
        <f>IF(NOT(AND($A460&lt;&gt;"",$C460&lt;&gt;"DOOR ONLY")),"",MAX($CM$5:CM459)+1)</f>
        <v/>
      </c>
      <c r="CN460" s="99">
        <f>IF(NOT(AND($A460&lt;&gt;"",N($BJ460)&gt;0)),"",MAX($CN$5:CN459)+1)</f>
        <v/>
      </c>
      <c r="CO460" s="99">
        <f>IF($A460="","",MAX($CO$5:CO459)+1)</f>
        <v/>
      </c>
      <c r="CP460" s="99">
        <f>IF(OR($A460="",$BH460="",$BI460=""),"",$BG460&amp;"|"&amp;$O460&amp;"|"&amp;$AL460&amp;"|"&amp;$S460&amp;"|"&amp;$P460&amp;"|"&amp;$Q460&amp;$R460&amp;"|"&amp;$C460&amp;"|"&amp;$AB460)</f>
        <v/>
      </c>
      <c r="CQ460" s="99">
        <f>N($BS460)</f>
        <v/>
      </c>
      <c r="CR460" s="99">
        <f>IF(N($AU460)&gt;0,N($AU460),4.5)</f>
        <v/>
      </c>
      <c r="CS460" s="99">
        <f>OR($A460="",$BI460="",$S460="BL",AND($C460="FRAME ONLY",OR($AC460="",$AC460="BLK")))</f>
        <v/>
      </c>
      <c r="CT460" s="99">
        <f>AND(NOT($CS460),OR($AT460="CUSTOM LOC",N($AW460)+N($AX460)+N($AY460)+N($AZ460)+N($BA460)&gt;0))</f>
        <v/>
      </c>
      <c r="CU460" s="99">
        <f>IF($BI460="","",IF($BI460&lt;=80,80,IF($BI460&lt;=84,84,96)))</f>
        <v/>
      </c>
      <c r="CV460" s="99">
        <f>ISNUMBER(MATCH($AT460&amp;"|80",LocKeys,0))</f>
        <v/>
      </c>
      <c r="CW460" s="101">
        <f>IF($CS460,"",IF($CV460,VLOOKUP($AT460&amp;"|"&amp;$CU460,LocTable,4,FALSE),5))</f>
        <v/>
      </c>
      <c r="CX460" s="101">
        <f>IF($CS460,"",IF($CV460,IF(OR($BI460=$CU460,AND($BI460&lt;$CU460,$BI460-IF(N(VLOOKUP($AT460&amp;"|"&amp;$CU460,LocTable,7,FALSE))&gt;0,VLOOKUP($AT460&amp;"|"&amp;$CU460,LocTable,7,FALSE),VLOOKUP($AT460&amp;"|"&amp;$CU460,LocTable,6,FALSE))-$CR460-0.75&gt;=2.125)),IF(N(VLOOKUP($AT460&amp;"|"&amp;$CU460,LocTable,7,FALSE))&gt;0,VLOOKUP($AT460&amp;"|"&amp;$CU460,LocTable,7,FALSE),VLOOKUP($AT460&amp;"|"&amp;$CU460,LocTable,6,FALSE)),$BI460-($CU460-IF(N(VLOOKUP($AT460&amp;"|"&amp;$CU460,LocTable,7,FALSE))&gt;0,VLOOKUP($AT460&amp;"|"&amp;$CU460,LocTable,7,FALSE),VLOOKUP($AT460&amp;"|"&amp;$CU460,LocTable,6,FALSE)))),$BI460-10-$CR460))</f>
        <v/>
      </c>
      <c r="CY460" s="100">
        <f>IF($CS460,"",TRIM(IF(ISNUMBER($BU460),"A "&amp;TRIM(TEXT($BU460,"# ?/??"))&amp;CHAR(34)&amp;"  ","")&amp;IF(ISNUMBER($BV460),"B "&amp;TRIM(TEXT($BV460,"# ?/??"))&amp;CHAR(34)&amp;"  ","")&amp;IF(ISNUMBER($BW460),"C "&amp;TRIM(TEXT($BW460,"# ?/??"))&amp;CHAR(34)&amp;"  ","")&amp;IF(ISNUMBER($BX460),"D "&amp;TRIM(TEXT($BX460,"# ?/??"))&amp;CHAR(34)&amp;"  ","")&amp;IF(ISNUMBER($BY460),"F "&amp;TRIM(TEXT($BY460,"# ?/??"))&amp;CHAR(34)&amp;"  ","")&amp;IF(ISNUMBER($BZ460),"E "&amp;TRIM(TEXT($BZ460,"# ?/??"))&amp;CHAR(34)&amp;"  ","")))</f>
        <v/>
      </c>
      <c r="CZ460" s="100">
        <f>IF(OR($CS460,N($BJ460)=0),"",TRIM(IF(ISNUMBER($BU460),"A "&amp;TRIM(TEXT($BU460-HeadClr,"# ?/??"))&amp;CHAR(34)&amp;"  ","")&amp;IF(ISNUMBER($BV460),"B "&amp;TRIM(TEXT($BV460-HeadClr,"# ?/??"))&amp;CHAR(34)&amp;"  ","")&amp;IF(ISNUMBER($BW460),"C "&amp;TRIM(TEXT($BW460-HeadClr,"# ?/??"))&amp;CHAR(34)&amp;"  ","")&amp;IF(ISNUMBER($BX460),"D "&amp;TRIM(TEXT($BX460-HeadClr,"# ?/??"))&amp;CHAR(34)&amp;"  ","")&amp;IF(ISNUMBER($BY460),"F "&amp;TRIM(TEXT($BY460-HeadClr,"# ?/??"))&amp;CHAR(34)&amp;"  ","")&amp;IF(ISNUMBER($BZ460),"E "&amp;TRIM(TEXT($BZ460-HeadClr,"# ?/??"))&amp;CHAR(34)&amp;"  ","")))</f>
        <v/>
      </c>
      <c r="DA460" s="99">
        <f>IF($A460="","",IF($AN460="",IFERROR(VLOOKUP($Z460,CODES,2,FALSE),""),IFERROR(VLOOKUP($AN460,CODES,2,FALSE),"")))</f>
        <v/>
      </c>
      <c r="DB460" s="99">
        <f>IF($A460="","",IF($O460="Y","PR",IF(OR($Z460="L",$Z460="RR",LEFT($Z460,2)="L-",LEFT($Z460,3)="RR-"),"LH","RH")))</f>
        <v/>
      </c>
      <c r="DC460" s="99">
        <f>IF($A460="","","S.HM"&amp;IF(OR($C460="DOOR ONLY",$X460&lt;&gt;"KD"),"MASONRY","DRYWALL")&amp;IF($C460="DOOR ONLY","",$U460)&amp;IF(AND($C460&lt;&gt;"FRAME ONLY",OR(LEFT($AH460,3)="OAK",LEFT($AH460,3)="BIR",LEFT($AH460,3)="MAP",$AH460="PC",$AH460="MC",$AH460="SCLC",$AH460="P-LAM")),"WD","HM")&amp;"1.75")</f>
        <v/>
      </c>
      <c r="DD460" s="99">
        <f>IF($CJ460="","",IF($O460="Y",$CJ460,SUBSTITUTE($CJ460,$BG460&amp;" "&amp;IFERROR(VLOOKUP($Z460,CODES,2,FALSE),"")&amp;" ",$BG460&amp;" ")))</f>
        <v/>
      </c>
      <c r="DE460" s="99">
        <f>IF($CK460="","",IF($O460="Y",$CK460,SUBSTITUTE($CK460,$BG460&amp;" "&amp;IF($AN460="",IFERROR(VLOOKUP($Z460,CODES,2,FALSE),""),IFERROR(VLOOKUP($AN460,CODES,2,FALSE),""))&amp;" ",$BG460&amp;" ")))</f>
        <v/>
      </c>
      <c r="DF460" s="99">
        <f>IF($CJ460="","",$DC460&amp;"|"&amp;$DD460&amp;"|"&amp;$DB460&amp;"|"&amp;$AT460&amp;"|"&amp;$V460&amp;"|"&amp;$Y460&amp;"|"&amp;$AB460)</f>
        <v/>
      </c>
      <c r="DG460" s="99">
        <f>IF(DF460="","",IF(COUNTIF($DF$6:DF460,DF460)=1,MAX($DG$5:DG459)+1,INDEX($DG$5:DG459,MATCH(DF460,$DF$5:DF459,0))))</f>
        <v/>
      </c>
      <c r="DH460" s="99">
        <f>IF($CK460="","",$DC460&amp;"|"&amp;$DE460&amp;"|"&amp;$AI460&amp;"|"&amp;$BK460&amp;"|"&amp;$BL460)</f>
        <v/>
      </c>
      <c r="DI460" s="99">
        <f>IF(DH460="","",IF(COUNTIF($DH$6:DH460,DH460)=1,MAX($DI$5:DI459)+1,INDEX($DI$5:DI459,MATCH(DH460,$DH$5:DH459,0))))</f>
        <v/>
      </c>
      <c r="DJ460" s="99">
        <f>IF($A460="","",IF($B460="","qty, ","")&amp;IF($C460="","scope, ","")&amp;IF(OR($K460="",$M460=""),"size, ","")&amp;IF(AND($A460&lt;&gt;"",$C460&lt;&gt;"DOOR ONLY"),IF($U460="","jamb depth, ","")&amp;IF($X460="","construction, ","")&amp;IF($Y460="","anchor, ","")&amp;IF($S460="","frame type, ",""),"")&amp;IF(AND(N($BJ460)&gt;0,$Z460=""),"hand, ","")&amp;IF(N($BJ460)&gt;0,IF($AH460="","door material, ","")&amp;IF($AL460="","face type, ","")&amp;IF($AP460="","lock prep, ","")&amp;IF(AND($AO460="",$AC460=""),"hinge prep, ",""),"")&amp;IF(AND($CH460&gt;0,$AH460="FRP"),"FRP cannot carry a label, ","")&amp;IF(AND($O460="Y",OR($Z460="L",$Z460="R",$Z460="LR",$Z460="RR")),"pair marked but hand is single, ","")&amp;IF(AND($O460&lt;&gt;"Y",OR($Z460="PR",AND(LEN($Z460)&gt;1,ISNUMBER(SEARCH("-",$Z460))))),"pair hand on a single door, ","")&amp;IF(AND(ISNUMBER($CI460),$CH460&lt;N($CI460)),"wall needs a "&amp;$CI460&amp;" min door, ","")&amp;IF(AND($CH460&gt;=180,AND(OR($CE460="FG",$CE460="HG",$CE460="FNV",$CE460="FV"),N($CF460)*N($CG460)&gt;100)),"180 min lite over 100 sq in, ","")&amp;IF(N($BK460)&gt;48,"leaf wider than 4'-0"&amp;CHAR(34)&amp;", ","")&amp;IF(AND($CT460,COUNT($AW460:$AZ460)=0,$CQ460&gt;0),"CUSTOM LOC with no locations typed, ",""))</f>
        <v/>
      </c>
      <c r="DK460" s="99">
        <f>IF($A460="","",IF(AND($CH460&gt;0,AND($A460&lt;&gt;"",$C460&lt;&gt;"DOOR ONLY"),$X460="KD",$E460="EXTERIOR"),"KD label on an exterior opening, ","")&amp;IF(AND($E460="EXTERIOR",OR(AND(AND($A460&lt;&gt;"",$C460&lt;&gt;"DOOR ONLY"),$W460="CR"),AND(N($BJ460)&gt;0,$AH460="CR"))),"exterior in CR steel (G9?), ","")&amp;IF(AND(ISNUMBER($BQ460),N($BQ460)&lt;32),"clear width ~"&amp;TEXT($BQ460,"0.0")&amp;CHAR(34)&amp;" under 32"&amp;CHAR(34)&amp;" (ADA), ","")&amp;IF(AND($CH460=90,AND(OR($CE460="FG",$CE460="HG",$CE460="FNV",$CE460="FV"),N($CF460)*N($CG460)&gt;100)),"90 min lite over 100 sq in (stair/exit), ","")&amp;IF(AND($CH460&gt;0,AND($A460&lt;&gt;"",$C460&lt;&gt;"DOOR ONLY"),OR($AF460="",$AF460="-")),"rated: closer reinf.?, ","")&amp;IF(OR($I460="CORRIDOR",$I460="SMOKE BARRIER"),"S label + smoke gasketing, ","")&amp;IF($CI460="?","wall type/hr not in IBC table, ","")&amp;IF(AND(N($BJ460)&gt;0,$BB460=""),"no hardware set, ","")&amp;IF(AND($BB460&lt;&gt;"",ISNA(MATCH($BB460&amp;"",HWSets,0))),"set "&amp;$BB460&amp;" not on HW Sets, ","")&amp;IF(N($BL460)&gt;96,"leaf over 8'-0"&amp;CHAR(34)&amp;" - check listing, ","")&amp;IF(AND($CT460,COUNT($AW460:$AZ460)&gt;0,COUNT($AW460:$AZ460)&lt;&gt;$CQ460),COUNT($AW460:$AZ460)&amp;" custom hinges typed, "&amp;$CQ460&amp;" expected, ","")&amp;IF(AND(ISNUMBER($CA460),OR(N($CA460)&lt;34,N($CA460)&gt;48)),"lock "&amp;TEXT($CA460,"0.0")&amp;CHAR(34)&amp;" AFF outside 34-48"&amp;CHAR(34)&amp;" (ADA), ","")&amp;IF(AND(ISNUMBER($AV460),ISNUMBER($BL460),N($AV460)&lt;IF(N($BL460)&lt;=60,2,IF(N($BL460)&lt;=90,3,IF(N($BL460)&lt;=120,4,5)))),"fewer hinges than standard, ",""))</f>
        <v/>
      </c>
    </row>
    <row r="461" ht="15" customHeight="1">
      <c r="A461" s="77" t="n"/>
      <c r="B461" s="78" t="n"/>
      <c r="C461" s="78" t="n"/>
      <c r="D461" s="78" t="n"/>
      <c r="E461" s="78" t="n"/>
      <c r="F461" s="78" t="n"/>
      <c r="G461" s="78" t="n"/>
      <c r="H461" s="78" t="n"/>
      <c r="I461" s="78" t="n"/>
      <c r="J461" s="78" t="n"/>
      <c r="K461" s="78" t="n"/>
      <c r="L461" s="78" t="n"/>
      <c r="M461" s="78" t="n"/>
      <c r="N461" s="78" t="n"/>
      <c r="O461" s="78" t="n"/>
      <c r="P461" s="78" t="n"/>
      <c r="Q461" s="78" t="n"/>
      <c r="R461" s="78" t="n"/>
      <c r="S461" s="79" t="n"/>
      <c r="T461" s="79" t="n"/>
      <c r="U461" s="79" t="n"/>
      <c r="V461" s="79" t="n"/>
      <c r="W461" s="79" t="n"/>
      <c r="X461" s="79" t="n"/>
      <c r="Y461" s="79" t="n"/>
      <c r="Z461" s="79" t="n"/>
      <c r="AA461" s="79" t="n"/>
      <c r="AB461" s="79" t="n"/>
      <c r="AC461" s="79" t="n"/>
      <c r="AD461" s="79" t="n"/>
      <c r="AE461" s="79" t="n"/>
      <c r="AF461" s="79" t="n"/>
      <c r="AG461" s="79" t="n"/>
      <c r="AH461" s="80" t="n"/>
      <c r="AI461" s="80" t="n"/>
      <c r="AJ461" s="80" t="n"/>
      <c r="AK461" s="80" t="n"/>
      <c r="AL461" s="80" t="n"/>
      <c r="AM461" s="80" t="n"/>
      <c r="AN461" s="80" t="n"/>
      <c r="AO461" s="80" t="n"/>
      <c r="AP461" s="80" t="n"/>
      <c r="AQ461" s="80" t="n"/>
      <c r="AR461" s="80" t="n"/>
      <c r="AS461" s="80" t="n"/>
      <c r="AT461" s="81" t="n"/>
      <c r="AU461" s="81" t="n"/>
      <c r="AV461" s="81" t="n"/>
      <c r="AW461" s="82" t="n"/>
      <c r="AX461" s="82" t="n"/>
      <c r="AY461" s="82" t="n"/>
      <c r="AZ461" s="82" t="n"/>
      <c r="BA461" s="82" t="n"/>
      <c r="BB461" s="83" t="n"/>
      <c r="BC461" s="83" t="n"/>
      <c r="BD461" s="84">
        <f>IF($A461="","",IF($DJ461&lt;&gt;"","FIX",IF($DK461&lt;&gt;"","CHECK","OK")))</f>
        <v/>
      </c>
      <c r="BE461" s="85">
        <f>IF($A461="","",IF($DJ461&lt;&gt;"","FIX: "&amp;LEFT($DJ461,LEN($DJ461)-2)&amp;IF($DK461&lt;&gt;"","  ·  ",""),"")&amp;IF($DK461&lt;&gt;"","CHECK: "&amp;LEFT($DK461,LEN($DK461)-2),""))</f>
        <v/>
      </c>
      <c r="BF461" s="84">
        <f>IF(OR($A461="",$K461=""),"",$K461&amp;"'-"&amp;N($L461)&amp;CHAR(34)&amp;" x "&amp;$M461&amp;"'-"&amp;N($N461)&amp;CHAR(34))</f>
        <v/>
      </c>
      <c r="BG461" s="84">
        <f>IF(OR($A461="",$K461=""),"",$K461&amp;N($L461)&amp;$M461&amp;N($N461))</f>
        <v/>
      </c>
      <c r="BH461" s="84">
        <f>IF(OR($A461="",$K461=""),"",$K461*12+N($L461))</f>
        <v/>
      </c>
      <c r="BI461" s="84">
        <f>IF(OR($A461="",$M461=""),"",$M461*12+N($N461))</f>
        <v/>
      </c>
      <c r="BJ461" s="84">
        <f>IF($A461="","",IF(OR($C461="FRAME ONLY",$S461="BL"),0,IF($O461="Y",2,1)))</f>
        <v/>
      </c>
      <c r="BK461" s="86">
        <f>IF(OR(N($BJ461)=0,$BH461=""),"",($BH461-2*EdgeClr-IF($BJ461=2,MeetClr,0))/$BJ461)</f>
        <v/>
      </c>
      <c r="BL461" s="86">
        <f>IF(OR(N($BJ461)=0,$BI461=""),"",$BI461-HeadClr-Undercut)</f>
        <v/>
      </c>
      <c r="BM461" s="86">
        <f>IF($BH461="","",$BH461+2*FaceW+IF(N($Q461)&gt;0,($Q461+FaceW)*IF($R461="LR",2,1),0))</f>
        <v/>
      </c>
      <c r="BN461" s="86">
        <f>IF($BI461="","",$BI461+IF($AB461="Y",4,FaceW)+IF(N($P461)&gt;0,$P461+FaceW,0)+IF(OR($S461="4F",$S461="BL"),FaceW,0))</f>
        <v/>
      </c>
      <c r="BO461" s="86">
        <f>IF($BM461="","",$BM461+2*ROSide)</f>
        <v/>
      </c>
      <c r="BP461" s="86">
        <f>IF($BN461="","",$BN461+ROTop)</f>
        <v/>
      </c>
      <c r="BQ461" s="87">
        <f>IF(OR(N($BJ461)=0,$BH461=""),"",$BH461/$BJ461-ClearDeduct)</f>
        <v/>
      </c>
      <c r="BR461" s="84">
        <f>IF(N($CH461)=0,"",IF($CH461&gt;=180,"A · 3 HR",IF($CH461&gt;=90,"B · 1-1/2 HR",IF($CH461&gt;=60,"B · 1 HR",IF($CH461&gt;=45,"C · 3/4 HR","20 MIN")))))&amp;IF(AND(N($CH461)&gt;0,OR($I461="CORRIDOR",$I461="SMOKE BARRIER"))," · S","")</f>
        <v/>
      </c>
      <c r="BS461" s="84">
        <f>IF($CS461,"",IF($AV461&lt;&gt;"",$AV461,IF(OR($AC461="HGC",$AO461="HGC"),"CONT",IF(($BI461-HeadClr-Undercut)&lt;=60,2,IF(($BI461-HeadClr-Undercut)&lt;=90,3,IF(($BI461-HeadClr-Undercut)&lt;=120,4,5))))))</f>
        <v/>
      </c>
      <c r="BT461" s="84">
        <f>IF($CS461,"",IF($CT461,"CUSTOM (typed)",IF($CV461,$AT461&amp;" "&amp;$CU461&amp;CHAR(34)&amp;IF($CU461&lt;&gt;$BI461,IF(AND($BI461&lt;$CU461,$BI461-IF(N(VLOOKUP($AT461&amp;"|"&amp;$CU461,LocTable,7,FALSE))&gt;0,VLOOKUP($AT461&amp;"|"&amp;$CU461,LocTable,7,FALSE),VLOOKUP($AT461&amp;"|"&amp;$CU461,LocTable,6,FALSE))-$CR461-0.75&gt;=2.125)," cut down"," adj."),""),"ANSI/SDI A250.6")))</f>
        <v/>
      </c>
      <c r="BU461" s="88">
        <f>IF($CS461,"",IF($CT461,IF(N($AW461)&gt;0,N($AW461),""),IF(1&gt;$CQ461,"",IF($CQ461=1,$CW461,$CW461+($CX461-$CW461)*0/($CQ461-1)))))</f>
        <v/>
      </c>
      <c r="BV461" s="88">
        <f>IF($CS461,"",IF($CT461,IF(N($AX461)&gt;0,N($AX461),""),IF(2&gt;$CQ461,"",IF($CQ461=1,$CW461,$CW461+($CX461-$CW461)*1/($CQ461-1)))))</f>
        <v/>
      </c>
      <c r="BW461" s="88">
        <f>IF($CS461,"",IF($CT461,IF(N($AY461)&gt;0,N($AY461),""),IF(3&gt;$CQ461,"",IF($CQ461=1,$CW461,$CW461+($CX461-$CW461)*2/($CQ461-1)))))</f>
        <v/>
      </c>
      <c r="BX461" s="88">
        <f>IF($CS461,"",IF($CT461,IF(N($AZ461)&gt;0,N($AZ461),""),IF(4&gt;$CQ461,"",IF($CQ461=1,$CW461,$CW461+($CX461-$CW461)*3/($CQ461-1)))))</f>
        <v/>
      </c>
      <c r="BY461" s="88">
        <f>IF($CS461,"",IF($CT461,"",IF(5&gt;$CQ461,"",IF($CQ461=1,$CW461,$CW461+($CX461-$CW461)*4/($CQ461-1)))))</f>
        <v/>
      </c>
      <c r="BZ461" s="88">
        <f>IF(OR($CS461,$AP461="-",AND($AP461="",$AD461="")),"",IF(N($BA461)&gt;0,N($BA461),IF($CV461,IF(AND($BI461&lt;$CU461,$BI461-IF(N(VLOOKUP($AT461&amp;"|"&amp;$CU461,LocTable,7,FALSE))&gt;0,VLOOKUP($AT461&amp;"|"&amp;$CU461,LocTable,7,FALSE),VLOOKUP($AT461&amp;"|"&amp;$CU461,LocTable,6,FALSE))-$CR461-0.75&gt;=2.125),VLOOKUP($AT461&amp;"|"&amp;$CU461,LocTable,8,FALSE),VLOOKUP($AT461&amp;"|"&amp;$CU461,LocTable,8,FALSE)+($BI461-$CU461)),$BI461-LockAFF)))</f>
        <v/>
      </c>
      <c r="CA461" s="89">
        <f>IF($BZ461="","",$BI461-$BZ461)</f>
        <v/>
      </c>
      <c r="CB461" s="84">
        <f>IF(OR(NOT(AND($A461&lt;&gt;"",$C461&lt;&gt;"DOOR ONLY")),$BI461=""),"",IF(($BI461+IF(N($P461)&gt;0,$P461+FaceW,0))&lt;=90,3,IF(($BI461+IF(N($P461)&gt;0,$P461+FaceW,0))&lt;=114,4,5)))</f>
        <v/>
      </c>
      <c r="CC461" s="84">
        <f>IF($CB461="","",$CB461*(2+IF(N($Q461)&gt;0,IF($R461="LR",2,1),0)))</f>
        <v/>
      </c>
      <c r="CD461" s="84">
        <f>IF($CB461="","",(2+IF(N($Q461)&gt;0,IF($R461="LR",2,1),0)))</f>
        <v/>
      </c>
      <c r="CE461" s="84">
        <f>IF(N($BJ461)=0,"",IF(OR($AL461="",$AL461="FLUSH"),"FLUSH",IFERROR(LEFT($AL461,FIND("-",$AL461)-1),LEFT($AL461,2))))</f>
        <v/>
      </c>
      <c r="CF461" s="84">
        <f>IF($CE461="","",IFERROR(VALUE(MID($AL461,FIND("-",$AL461)+1,FIND(CHAR(34)&amp;"x",$AL461)-FIND("-",$AL461)-1)),0))</f>
        <v/>
      </c>
      <c r="CG461" s="84">
        <f>IF($CE461="","",IFERROR(VALUE(MID($AL461,FIND(CHAR(34)&amp;"x",$AL461)+2,FIND(CHAR(34),$AL461,FIND(CHAR(34)&amp;"x",$AL461)+2)-FIND(CHAR(34)&amp;"x",$AL461)-2)),0))</f>
        <v/>
      </c>
      <c r="CH461" s="90">
        <f>IF(OR($A461="",$H461="",$H461="NO LAB"),0,IFERROR(VALUE(LEFT($H461,FIND(" ",$H461)-1)),0))</f>
        <v/>
      </c>
      <c r="CI461" s="91">
        <f>IF(OR($A461="",$I461="",$I461="NON-RATED",N($J461)=0),"",IFERROR(VLOOKUP($I461&amp;"|"&amp;$J461,IBC,2,FALSE),"?"))</f>
        <v/>
      </c>
      <c r="CJ461" s="85">
        <f>IF(NOT(AND($A461&lt;&gt;"",$C461&lt;&gt;"DOOR ONLY")),"",TRIM(IFERROR(VLOOKUP($U461,CODES,2,FALSE),"")&amp;" "&amp;$BG461&amp;" "&amp;IFERROR(VLOOKUP($Z461,CODES,2,FALSE),"")&amp;" "&amp;IFERROR(VLOOKUP($X461,CODES,2,FALSE),"")&amp;" "&amp;IFERROR(VLOOKUP($S461,CODES,2,FALSE),"")&amp;IF(N($P461)&gt;0," w/TRANSOM "&amp;$P461&amp;CHAR(34),"")&amp;IF(N($Q461)&gt;0," w/SIDELITE "&amp;$Q461&amp;CHAR(34)&amp;" "&amp;IF($R461="","R",$R461),"")&amp;IF($Y461="","  |  "," | "&amp;IFERROR(VLOOKUP($Y461,CODES,2,FALSE),"")&amp;" | ")&amp;IFERROR(VLOOKUP($AC461,CODES,2,FALSE),"")&amp;" "&amp;IFERROR(VLOOKUP($AD461,CODES,2,FALSE),"")&amp;IF(OR($AE461="",$AE461="-"),""," "&amp;$AE461)&amp;IF(OR($AF461="",$AF461="-"),""," "&amp;$AF461)&amp;IF($AB461="Y"," 4"&amp;CHAR(34)&amp;" HEAD","")&amp;" "&amp;IFERROR(VLOOKUP($H461,CODES,2,FALSE),"")&amp;IF($CT461," | LOC "&amp;$CY461,"")))</f>
        <v/>
      </c>
      <c r="CK461" s="85">
        <f>IF(NOT(AND($A461&lt;&gt;"",N($BJ461)&gt;0)),"",TRIM(IFERROR(VLOOKUP($AH461,CODES,2,FALSE),"")&amp;IF($AI461=""," "," "&amp;$AI461&amp;"GA ")&amp;$BG461&amp;" "&amp;IF($AN461="",IFERROR(VLOOKUP($Z461,CODES,2,FALSE),""),IFERROR(VLOOKUP($AN461,CODES,2,FALSE),""))&amp;IF($BJ461=2," PAIR","")&amp;" DOOR | "&amp;IF($AL461="","?",$AL461)&amp;" | "&amp;IF($AO461="",IFERROR(VLOOKUP($AC461,CODES,2,FALSE),""),IFERROR(VLOOKUP($AO461,CODES,2,FALSE),""))&amp;" "&amp;IFERROR(VLOOKUP($AP461,CODES,2,FALSE),"")&amp;IF(OR($AQ461="",$AQ461="-"),""," SEAM "&amp;$AQ461)&amp;IF($AR461="Y"," ASTRAGAL","")&amp;IF($AJ461=""," "," "&amp;$AJ461)&amp;IF($AK461=""," "," "&amp;$AK461)&amp;IF(OR($AT461="",$AT461="ANSI/SDI",$AT461="CUSTOM LOC"),""," "&amp;$AT461)&amp;IF($AM461=""," "," SERIES "&amp;$AM461)&amp;" "&amp;IFERROR(VLOOKUP($H461,CODES,2,FALSE),"")&amp;IF($CT461," | LOC "&amp;$CZ461,"")))</f>
        <v/>
      </c>
      <c r="CL461" s="84">
        <f>IF(CP461="","",IF(COUNTIF($CP$6:CP461,CP461)=1,MAX($CL$5:CL460)+1,INDEX($CL$5:CL460,MATCH(CP461,$CP$5:CP460,0))))</f>
        <v/>
      </c>
      <c r="CM461" s="84">
        <f>IF(NOT(AND($A461&lt;&gt;"",$C461&lt;&gt;"DOOR ONLY")),"",MAX($CM$5:CM460)+1)</f>
        <v/>
      </c>
      <c r="CN461" s="84">
        <f>IF(NOT(AND($A461&lt;&gt;"",N($BJ461)&gt;0)),"",MAX($CN$5:CN460)+1)</f>
        <v/>
      </c>
      <c r="CO461" s="84">
        <f>IF($A461="","",MAX($CO$5:CO460)+1)</f>
        <v/>
      </c>
      <c r="CP461" s="84">
        <f>IF(OR($A461="",$BH461="",$BI461=""),"",$BG461&amp;"|"&amp;$O461&amp;"|"&amp;$AL461&amp;"|"&amp;$S461&amp;"|"&amp;$P461&amp;"|"&amp;$Q461&amp;$R461&amp;"|"&amp;$C461&amp;"|"&amp;$AB461)</f>
        <v/>
      </c>
      <c r="CQ461" s="84">
        <f>N($BS461)</f>
        <v/>
      </c>
      <c r="CR461" s="84">
        <f>IF(N($AU461)&gt;0,N($AU461),4.5)</f>
        <v/>
      </c>
      <c r="CS461" s="84">
        <f>OR($A461="",$BI461="",$S461="BL",AND($C461="FRAME ONLY",OR($AC461="",$AC461="BLK")))</f>
        <v/>
      </c>
      <c r="CT461" s="84">
        <f>AND(NOT($CS461),OR($AT461="CUSTOM LOC",N($AW461)+N($AX461)+N($AY461)+N($AZ461)+N($BA461)&gt;0))</f>
        <v/>
      </c>
      <c r="CU461" s="84">
        <f>IF($BI461="","",IF($BI461&lt;=80,80,IF($BI461&lt;=84,84,96)))</f>
        <v/>
      </c>
      <c r="CV461" s="84">
        <f>ISNUMBER(MATCH($AT461&amp;"|80",LocKeys,0))</f>
        <v/>
      </c>
      <c r="CW461" s="86">
        <f>IF($CS461,"",IF($CV461,VLOOKUP($AT461&amp;"|"&amp;$CU461,LocTable,4,FALSE),5))</f>
        <v/>
      </c>
      <c r="CX461" s="86">
        <f>IF($CS461,"",IF($CV461,IF(OR($BI461=$CU461,AND($BI461&lt;$CU461,$BI461-IF(N(VLOOKUP($AT461&amp;"|"&amp;$CU461,LocTable,7,FALSE))&gt;0,VLOOKUP($AT461&amp;"|"&amp;$CU461,LocTable,7,FALSE),VLOOKUP($AT461&amp;"|"&amp;$CU461,LocTable,6,FALSE))-$CR461-0.75&gt;=2.125)),IF(N(VLOOKUP($AT461&amp;"|"&amp;$CU461,LocTable,7,FALSE))&gt;0,VLOOKUP($AT461&amp;"|"&amp;$CU461,LocTable,7,FALSE),VLOOKUP($AT461&amp;"|"&amp;$CU461,LocTable,6,FALSE)),$BI461-($CU461-IF(N(VLOOKUP($AT461&amp;"|"&amp;$CU461,LocTable,7,FALSE))&gt;0,VLOOKUP($AT461&amp;"|"&amp;$CU461,LocTable,7,FALSE),VLOOKUP($AT461&amp;"|"&amp;$CU461,LocTable,6,FALSE)))),$BI461-10-$CR461))</f>
        <v/>
      </c>
      <c r="CY461" s="85">
        <f>IF($CS461,"",TRIM(IF(ISNUMBER($BU461),"A "&amp;TRIM(TEXT($BU461,"# ?/??"))&amp;CHAR(34)&amp;"  ","")&amp;IF(ISNUMBER($BV461),"B "&amp;TRIM(TEXT($BV461,"# ?/??"))&amp;CHAR(34)&amp;"  ","")&amp;IF(ISNUMBER($BW461),"C "&amp;TRIM(TEXT($BW461,"# ?/??"))&amp;CHAR(34)&amp;"  ","")&amp;IF(ISNUMBER($BX461),"D "&amp;TRIM(TEXT($BX461,"# ?/??"))&amp;CHAR(34)&amp;"  ","")&amp;IF(ISNUMBER($BY461),"F "&amp;TRIM(TEXT($BY461,"# ?/??"))&amp;CHAR(34)&amp;"  ","")&amp;IF(ISNUMBER($BZ461),"E "&amp;TRIM(TEXT($BZ461,"# ?/??"))&amp;CHAR(34)&amp;"  ","")))</f>
        <v/>
      </c>
      <c r="CZ461" s="85">
        <f>IF(OR($CS461,N($BJ461)=0),"",TRIM(IF(ISNUMBER($BU461),"A "&amp;TRIM(TEXT($BU461-HeadClr,"# ?/??"))&amp;CHAR(34)&amp;"  ","")&amp;IF(ISNUMBER($BV461),"B "&amp;TRIM(TEXT($BV461-HeadClr,"# ?/??"))&amp;CHAR(34)&amp;"  ","")&amp;IF(ISNUMBER($BW461),"C "&amp;TRIM(TEXT($BW461-HeadClr,"# ?/??"))&amp;CHAR(34)&amp;"  ","")&amp;IF(ISNUMBER($BX461),"D "&amp;TRIM(TEXT($BX461-HeadClr,"# ?/??"))&amp;CHAR(34)&amp;"  ","")&amp;IF(ISNUMBER($BY461),"F "&amp;TRIM(TEXT($BY461-HeadClr,"# ?/??"))&amp;CHAR(34)&amp;"  ","")&amp;IF(ISNUMBER($BZ461),"E "&amp;TRIM(TEXT($BZ461-HeadClr,"# ?/??"))&amp;CHAR(34)&amp;"  ","")))</f>
        <v/>
      </c>
      <c r="DA461" s="84">
        <f>IF($A461="","",IF($AN461="",IFERROR(VLOOKUP($Z461,CODES,2,FALSE),""),IFERROR(VLOOKUP($AN461,CODES,2,FALSE),"")))</f>
        <v/>
      </c>
      <c r="DB461" s="84">
        <f>IF($A461="","",IF($O461="Y","PR",IF(OR($Z461="L",$Z461="RR",LEFT($Z461,2)="L-",LEFT($Z461,3)="RR-"),"LH","RH")))</f>
        <v/>
      </c>
      <c r="DC461" s="84">
        <f>IF($A461="","","S.HM"&amp;IF(OR($C461="DOOR ONLY",$X461&lt;&gt;"KD"),"MASONRY","DRYWALL")&amp;IF($C461="DOOR ONLY","",$U461)&amp;IF(AND($C461&lt;&gt;"FRAME ONLY",OR(LEFT($AH461,3)="OAK",LEFT($AH461,3)="BIR",LEFT($AH461,3)="MAP",$AH461="PC",$AH461="MC",$AH461="SCLC",$AH461="P-LAM")),"WD","HM")&amp;"1.75")</f>
        <v/>
      </c>
      <c r="DD461" s="84">
        <f>IF($CJ461="","",IF($O461="Y",$CJ461,SUBSTITUTE($CJ461,$BG461&amp;" "&amp;IFERROR(VLOOKUP($Z461,CODES,2,FALSE),"")&amp;" ",$BG461&amp;" ")))</f>
        <v/>
      </c>
      <c r="DE461" s="84">
        <f>IF($CK461="","",IF($O461="Y",$CK461,SUBSTITUTE($CK461,$BG461&amp;" "&amp;IF($AN461="",IFERROR(VLOOKUP($Z461,CODES,2,FALSE),""),IFERROR(VLOOKUP($AN461,CODES,2,FALSE),""))&amp;" ",$BG461&amp;" ")))</f>
        <v/>
      </c>
      <c r="DF461" s="84">
        <f>IF($CJ461="","",$DC461&amp;"|"&amp;$DD461&amp;"|"&amp;$DB461&amp;"|"&amp;$AT461&amp;"|"&amp;$V461&amp;"|"&amp;$Y461&amp;"|"&amp;$AB461)</f>
        <v/>
      </c>
      <c r="DG461" s="84">
        <f>IF(DF461="","",IF(COUNTIF($DF$6:DF461,DF461)=1,MAX($DG$5:DG460)+1,INDEX($DG$5:DG460,MATCH(DF461,$DF$5:DF460,0))))</f>
        <v/>
      </c>
      <c r="DH461" s="84">
        <f>IF($CK461="","",$DC461&amp;"|"&amp;$DE461&amp;"|"&amp;$AI461&amp;"|"&amp;$BK461&amp;"|"&amp;$BL461)</f>
        <v/>
      </c>
      <c r="DI461" s="84">
        <f>IF(DH461="","",IF(COUNTIF($DH$6:DH461,DH461)=1,MAX($DI$5:DI460)+1,INDEX($DI$5:DI460,MATCH(DH461,$DH$5:DH460,0))))</f>
        <v/>
      </c>
      <c r="DJ461" s="84">
        <f>IF($A461="","",IF($B461="","qty, ","")&amp;IF($C461="","scope, ","")&amp;IF(OR($K461="",$M461=""),"size, ","")&amp;IF(AND($A461&lt;&gt;"",$C461&lt;&gt;"DOOR ONLY"),IF($U461="","jamb depth, ","")&amp;IF($X461="","construction, ","")&amp;IF($Y461="","anchor, ","")&amp;IF($S461="","frame type, ",""),"")&amp;IF(AND(N($BJ461)&gt;0,$Z461=""),"hand, ","")&amp;IF(N($BJ461)&gt;0,IF($AH461="","door material, ","")&amp;IF($AL461="","face type, ","")&amp;IF($AP461="","lock prep, ","")&amp;IF(AND($AO461="",$AC461=""),"hinge prep, ",""),"")&amp;IF(AND($CH461&gt;0,$AH461="FRP"),"FRP cannot carry a label, ","")&amp;IF(AND($O461="Y",OR($Z461="L",$Z461="R",$Z461="LR",$Z461="RR")),"pair marked but hand is single, ","")&amp;IF(AND($O461&lt;&gt;"Y",OR($Z461="PR",AND(LEN($Z461)&gt;1,ISNUMBER(SEARCH("-",$Z461))))),"pair hand on a single door, ","")&amp;IF(AND(ISNUMBER($CI461),$CH461&lt;N($CI461)),"wall needs a "&amp;$CI461&amp;" min door, ","")&amp;IF(AND($CH461&gt;=180,AND(OR($CE461="FG",$CE461="HG",$CE461="FNV",$CE461="FV"),N($CF461)*N($CG461)&gt;100)),"180 min lite over 100 sq in, ","")&amp;IF(N($BK461)&gt;48,"leaf wider than 4'-0"&amp;CHAR(34)&amp;", ","")&amp;IF(AND($CT461,COUNT($AW461:$AZ461)=0,$CQ461&gt;0),"CUSTOM LOC with no locations typed, ",""))</f>
        <v/>
      </c>
      <c r="DK461" s="84">
        <f>IF($A461="","",IF(AND($CH461&gt;0,AND($A461&lt;&gt;"",$C461&lt;&gt;"DOOR ONLY"),$X461="KD",$E461="EXTERIOR"),"KD label on an exterior opening, ","")&amp;IF(AND($E461="EXTERIOR",OR(AND(AND($A461&lt;&gt;"",$C461&lt;&gt;"DOOR ONLY"),$W461="CR"),AND(N($BJ461)&gt;0,$AH461="CR"))),"exterior in CR steel (G9?), ","")&amp;IF(AND(ISNUMBER($BQ461),N($BQ461)&lt;32),"clear width ~"&amp;TEXT($BQ461,"0.0")&amp;CHAR(34)&amp;" under 32"&amp;CHAR(34)&amp;" (ADA), ","")&amp;IF(AND($CH461=90,AND(OR($CE461="FG",$CE461="HG",$CE461="FNV",$CE461="FV"),N($CF461)*N($CG461)&gt;100)),"90 min lite over 100 sq in (stair/exit), ","")&amp;IF(AND($CH461&gt;0,AND($A461&lt;&gt;"",$C461&lt;&gt;"DOOR ONLY"),OR($AF461="",$AF461="-")),"rated: closer reinf.?, ","")&amp;IF(OR($I461="CORRIDOR",$I461="SMOKE BARRIER"),"S label + smoke gasketing, ","")&amp;IF($CI461="?","wall type/hr not in IBC table, ","")&amp;IF(AND(N($BJ461)&gt;0,$BB461=""),"no hardware set, ","")&amp;IF(AND($BB461&lt;&gt;"",ISNA(MATCH($BB461&amp;"",HWSets,0))),"set "&amp;$BB461&amp;" not on HW Sets, ","")&amp;IF(N($BL461)&gt;96,"leaf over 8'-0"&amp;CHAR(34)&amp;" - check listing, ","")&amp;IF(AND($CT461,COUNT($AW461:$AZ461)&gt;0,COUNT($AW461:$AZ461)&lt;&gt;$CQ461),COUNT($AW461:$AZ461)&amp;" custom hinges typed, "&amp;$CQ461&amp;" expected, ","")&amp;IF(AND(ISNUMBER($CA461),OR(N($CA461)&lt;34,N($CA461)&gt;48)),"lock "&amp;TEXT($CA461,"0.0")&amp;CHAR(34)&amp;" AFF outside 34-48"&amp;CHAR(34)&amp;" (ADA), ","")&amp;IF(AND(ISNUMBER($AV461),ISNUMBER($BL461),N($AV461)&lt;IF(N($BL461)&lt;=60,2,IF(N($BL461)&lt;=90,3,IF(N($BL461)&lt;=120,4,5)))),"fewer hinges than standard, ",""))</f>
        <v/>
      </c>
    </row>
    <row r="462" ht="15" customHeight="1">
      <c r="A462" s="77" t="n"/>
      <c r="B462" s="78" t="n"/>
      <c r="C462" s="78" t="n"/>
      <c r="D462" s="78" t="n"/>
      <c r="E462" s="78" t="n"/>
      <c r="F462" s="78" t="n"/>
      <c r="G462" s="78" t="n"/>
      <c r="H462" s="78" t="n"/>
      <c r="I462" s="78" t="n"/>
      <c r="J462" s="78" t="n"/>
      <c r="K462" s="78" t="n"/>
      <c r="L462" s="78" t="n"/>
      <c r="M462" s="78" t="n"/>
      <c r="N462" s="78" t="n"/>
      <c r="O462" s="78" t="n"/>
      <c r="P462" s="78" t="n"/>
      <c r="Q462" s="78" t="n"/>
      <c r="R462" s="78" t="n"/>
      <c r="S462" s="79" t="n"/>
      <c r="T462" s="79" t="n"/>
      <c r="U462" s="79" t="n"/>
      <c r="V462" s="79" t="n"/>
      <c r="W462" s="79" t="n"/>
      <c r="X462" s="79" t="n"/>
      <c r="Y462" s="79" t="n"/>
      <c r="Z462" s="79" t="n"/>
      <c r="AA462" s="79" t="n"/>
      <c r="AB462" s="79" t="n"/>
      <c r="AC462" s="79" t="n"/>
      <c r="AD462" s="79" t="n"/>
      <c r="AE462" s="79" t="n"/>
      <c r="AF462" s="79" t="n"/>
      <c r="AG462" s="79" t="n"/>
      <c r="AH462" s="80" t="n"/>
      <c r="AI462" s="80" t="n"/>
      <c r="AJ462" s="80" t="n"/>
      <c r="AK462" s="80" t="n"/>
      <c r="AL462" s="80" t="n"/>
      <c r="AM462" s="80" t="n"/>
      <c r="AN462" s="80" t="n"/>
      <c r="AO462" s="80" t="n"/>
      <c r="AP462" s="80" t="n"/>
      <c r="AQ462" s="80" t="n"/>
      <c r="AR462" s="80" t="n"/>
      <c r="AS462" s="80" t="n"/>
      <c r="AT462" s="81" t="n"/>
      <c r="AU462" s="81" t="n"/>
      <c r="AV462" s="81" t="n"/>
      <c r="AW462" s="82" t="n"/>
      <c r="AX462" s="82" t="n"/>
      <c r="AY462" s="82" t="n"/>
      <c r="AZ462" s="82" t="n"/>
      <c r="BA462" s="82" t="n"/>
      <c r="BB462" s="83" t="n"/>
      <c r="BC462" s="83" t="n"/>
      <c r="BD462" s="84">
        <f>IF($A462="","",IF($DJ462&lt;&gt;"","FIX",IF($DK462&lt;&gt;"","CHECK","OK")))</f>
        <v/>
      </c>
      <c r="BE462" s="85">
        <f>IF($A462="","",IF($DJ462&lt;&gt;"","FIX: "&amp;LEFT($DJ462,LEN($DJ462)-2)&amp;IF($DK462&lt;&gt;"","  ·  ",""),"")&amp;IF($DK462&lt;&gt;"","CHECK: "&amp;LEFT($DK462,LEN($DK462)-2),""))</f>
        <v/>
      </c>
      <c r="BF462" s="84">
        <f>IF(OR($A462="",$K462=""),"",$K462&amp;"'-"&amp;N($L462)&amp;CHAR(34)&amp;" x "&amp;$M462&amp;"'-"&amp;N($N462)&amp;CHAR(34))</f>
        <v/>
      </c>
      <c r="BG462" s="84">
        <f>IF(OR($A462="",$K462=""),"",$K462&amp;N($L462)&amp;$M462&amp;N($N462))</f>
        <v/>
      </c>
      <c r="BH462" s="84">
        <f>IF(OR($A462="",$K462=""),"",$K462*12+N($L462))</f>
        <v/>
      </c>
      <c r="BI462" s="84">
        <f>IF(OR($A462="",$M462=""),"",$M462*12+N($N462))</f>
        <v/>
      </c>
      <c r="BJ462" s="84">
        <f>IF($A462="","",IF(OR($C462="FRAME ONLY",$S462="BL"),0,IF($O462="Y",2,1)))</f>
        <v/>
      </c>
      <c r="BK462" s="86">
        <f>IF(OR(N($BJ462)=0,$BH462=""),"",($BH462-2*EdgeClr-IF($BJ462=2,MeetClr,0))/$BJ462)</f>
        <v/>
      </c>
      <c r="BL462" s="86">
        <f>IF(OR(N($BJ462)=0,$BI462=""),"",$BI462-HeadClr-Undercut)</f>
        <v/>
      </c>
      <c r="BM462" s="86">
        <f>IF($BH462="","",$BH462+2*FaceW+IF(N($Q462)&gt;0,($Q462+FaceW)*IF($R462="LR",2,1),0))</f>
        <v/>
      </c>
      <c r="BN462" s="86">
        <f>IF($BI462="","",$BI462+IF($AB462="Y",4,FaceW)+IF(N($P462)&gt;0,$P462+FaceW,0)+IF(OR($S462="4F",$S462="BL"),FaceW,0))</f>
        <v/>
      </c>
      <c r="BO462" s="86">
        <f>IF($BM462="","",$BM462+2*ROSide)</f>
        <v/>
      </c>
      <c r="BP462" s="86">
        <f>IF($BN462="","",$BN462+ROTop)</f>
        <v/>
      </c>
      <c r="BQ462" s="87">
        <f>IF(OR(N($BJ462)=0,$BH462=""),"",$BH462/$BJ462-ClearDeduct)</f>
        <v/>
      </c>
      <c r="BR462" s="84">
        <f>IF(N($CH462)=0,"",IF($CH462&gt;=180,"A · 3 HR",IF($CH462&gt;=90,"B · 1-1/2 HR",IF($CH462&gt;=60,"B · 1 HR",IF($CH462&gt;=45,"C · 3/4 HR","20 MIN")))))&amp;IF(AND(N($CH462)&gt;0,OR($I462="CORRIDOR",$I462="SMOKE BARRIER"))," · S","")</f>
        <v/>
      </c>
      <c r="BS462" s="84">
        <f>IF($CS462,"",IF($AV462&lt;&gt;"",$AV462,IF(OR($AC462="HGC",$AO462="HGC"),"CONT",IF(($BI462-HeadClr-Undercut)&lt;=60,2,IF(($BI462-HeadClr-Undercut)&lt;=90,3,IF(($BI462-HeadClr-Undercut)&lt;=120,4,5))))))</f>
        <v/>
      </c>
      <c r="BT462" s="84">
        <f>IF($CS462,"",IF($CT462,"CUSTOM (typed)",IF($CV462,$AT462&amp;" "&amp;$CU462&amp;CHAR(34)&amp;IF($CU462&lt;&gt;$BI462,IF(AND($BI462&lt;$CU462,$BI462-IF(N(VLOOKUP($AT462&amp;"|"&amp;$CU462,LocTable,7,FALSE))&gt;0,VLOOKUP($AT462&amp;"|"&amp;$CU462,LocTable,7,FALSE),VLOOKUP($AT462&amp;"|"&amp;$CU462,LocTable,6,FALSE))-$CR462-0.75&gt;=2.125)," cut down"," adj."),""),"ANSI/SDI A250.6")))</f>
        <v/>
      </c>
      <c r="BU462" s="88">
        <f>IF($CS462,"",IF($CT462,IF(N($AW462)&gt;0,N($AW462),""),IF(1&gt;$CQ462,"",IF($CQ462=1,$CW462,$CW462+($CX462-$CW462)*0/($CQ462-1)))))</f>
        <v/>
      </c>
      <c r="BV462" s="88">
        <f>IF($CS462,"",IF($CT462,IF(N($AX462)&gt;0,N($AX462),""),IF(2&gt;$CQ462,"",IF($CQ462=1,$CW462,$CW462+($CX462-$CW462)*1/($CQ462-1)))))</f>
        <v/>
      </c>
      <c r="BW462" s="88">
        <f>IF($CS462,"",IF($CT462,IF(N($AY462)&gt;0,N($AY462),""),IF(3&gt;$CQ462,"",IF($CQ462=1,$CW462,$CW462+($CX462-$CW462)*2/($CQ462-1)))))</f>
        <v/>
      </c>
      <c r="BX462" s="88">
        <f>IF($CS462,"",IF($CT462,IF(N($AZ462)&gt;0,N($AZ462),""),IF(4&gt;$CQ462,"",IF($CQ462=1,$CW462,$CW462+($CX462-$CW462)*3/($CQ462-1)))))</f>
        <v/>
      </c>
      <c r="BY462" s="88">
        <f>IF($CS462,"",IF($CT462,"",IF(5&gt;$CQ462,"",IF($CQ462=1,$CW462,$CW462+($CX462-$CW462)*4/($CQ462-1)))))</f>
        <v/>
      </c>
      <c r="BZ462" s="88">
        <f>IF(OR($CS462,$AP462="-",AND($AP462="",$AD462="")),"",IF(N($BA462)&gt;0,N($BA462),IF($CV462,IF(AND($BI462&lt;$CU462,$BI462-IF(N(VLOOKUP($AT462&amp;"|"&amp;$CU462,LocTable,7,FALSE))&gt;0,VLOOKUP($AT462&amp;"|"&amp;$CU462,LocTable,7,FALSE),VLOOKUP($AT462&amp;"|"&amp;$CU462,LocTable,6,FALSE))-$CR462-0.75&gt;=2.125),VLOOKUP($AT462&amp;"|"&amp;$CU462,LocTable,8,FALSE),VLOOKUP($AT462&amp;"|"&amp;$CU462,LocTable,8,FALSE)+($BI462-$CU462)),$BI462-LockAFF)))</f>
        <v/>
      </c>
      <c r="CA462" s="89">
        <f>IF($BZ462="","",$BI462-$BZ462)</f>
        <v/>
      </c>
      <c r="CB462" s="84">
        <f>IF(OR(NOT(AND($A462&lt;&gt;"",$C462&lt;&gt;"DOOR ONLY")),$BI462=""),"",IF(($BI462+IF(N($P462)&gt;0,$P462+FaceW,0))&lt;=90,3,IF(($BI462+IF(N($P462)&gt;0,$P462+FaceW,0))&lt;=114,4,5)))</f>
        <v/>
      </c>
      <c r="CC462" s="84">
        <f>IF($CB462="","",$CB462*(2+IF(N($Q462)&gt;0,IF($R462="LR",2,1),0)))</f>
        <v/>
      </c>
      <c r="CD462" s="84">
        <f>IF($CB462="","",(2+IF(N($Q462)&gt;0,IF($R462="LR",2,1),0)))</f>
        <v/>
      </c>
      <c r="CE462" s="84">
        <f>IF(N($BJ462)=0,"",IF(OR($AL462="",$AL462="FLUSH"),"FLUSH",IFERROR(LEFT($AL462,FIND("-",$AL462)-1),LEFT($AL462,2))))</f>
        <v/>
      </c>
      <c r="CF462" s="84">
        <f>IF($CE462="","",IFERROR(VALUE(MID($AL462,FIND("-",$AL462)+1,FIND(CHAR(34)&amp;"x",$AL462)-FIND("-",$AL462)-1)),0))</f>
        <v/>
      </c>
      <c r="CG462" s="84">
        <f>IF($CE462="","",IFERROR(VALUE(MID($AL462,FIND(CHAR(34)&amp;"x",$AL462)+2,FIND(CHAR(34),$AL462,FIND(CHAR(34)&amp;"x",$AL462)+2)-FIND(CHAR(34)&amp;"x",$AL462)-2)),0))</f>
        <v/>
      </c>
      <c r="CH462" s="90">
        <f>IF(OR($A462="",$H462="",$H462="NO LAB"),0,IFERROR(VALUE(LEFT($H462,FIND(" ",$H462)-1)),0))</f>
        <v/>
      </c>
      <c r="CI462" s="91">
        <f>IF(OR($A462="",$I462="",$I462="NON-RATED",N($J462)=0),"",IFERROR(VLOOKUP($I462&amp;"|"&amp;$J462,IBC,2,FALSE),"?"))</f>
        <v/>
      </c>
      <c r="CJ462" s="85">
        <f>IF(NOT(AND($A462&lt;&gt;"",$C462&lt;&gt;"DOOR ONLY")),"",TRIM(IFERROR(VLOOKUP($U462,CODES,2,FALSE),"")&amp;" "&amp;$BG462&amp;" "&amp;IFERROR(VLOOKUP($Z462,CODES,2,FALSE),"")&amp;" "&amp;IFERROR(VLOOKUP($X462,CODES,2,FALSE),"")&amp;" "&amp;IFERROR(VLOOKUP($S462,CODES,2,FALSE),"")&amp;IF(N($P462)&gt;0," w/TRANSOM "&amp;$P462&amp;CHAR(34),"")&amp;IF(N($Q462)&gt;0," w/SIDELITE "&amp;$Q462&amp;CHAR(34)&amp;" "&amp;IF($R462="","R",$R462),"")&amp;IF($Y462="","  |  "," | "&amp;IFERROR(VLOOKUP($Y462,CODES,2,FALSE),"")&amp;" | ")&amp;IFERROR(VLOOKUP($AC462,CODES,2,FALSE),"")&amp;" "&amp;IFERROR(VLOOKUP($AD462,CODES,2,FALSE),"")&amp;IF(OR($AE462="",$AE462="-"),""," "&amp;$AE462)&amp;IF(OR($AF462="",$AF462="-"),""," "&amp;$AF462)&amp;IF($AB462="Y"," 4"&amp;CHAR(34)&amp;" HEAD","")&amp;" "&amp;IFERROR(VLOOKUP($H462,CODES,2,FALSE),"")&amp;IF($CT462," | LOC "&amp;$CY462,"")))</f>
        <v/>
      </c>
      <c r="CK462" s="85">
        <f>IF(NOT(AND($A462&lt;&gt;"",N($BJ462)&gt;0)),"",TRIM(IFERROR(VLOOKUP($AH462,CODES,2,FALSE),"")&amp;IF($AI462=""," "," "&amp;$AI462&amp;"GA ")&amp;$BG462&amp;" "&amp;IF($AN462="",IFERROR(VLOOKUP($Z462,CODES,2,FALSE),""),IFERROR(VLOOKUP($AN462,CODES,2,FALSE),""))&amp;IF($BJ462=2," PAIR","")&amp;" DOOR | "&amp;IF($AL462="","?",$AL462)&amp;" | "&amp;IF($AO462="",IFERROR(VLOOKUP($AC462,CODES,2,FALSE),""),IFERROR(VLOOKUP($AO462,CODES,2,FALSE),""))&amp;" "&amp;IFERROR(VLOOKUP($AP462,CODES,2,FALSE),"")&amp;IF(OR($AQ462="",$AQ462="-"),""," SEAM "&amp;$AQ462)&amp;IF($AR462="Y"," ASTRAGAL","")&amp;IF($AJ462=""," "," "&amp;$AJ462)&amp;IF($AK462=""," "," "&amp;$AK462)&amp;IF(OR($AT462="",$AT462="ANSI/SDI",$AT462="CUSTOM LOC"),""," "&amp;$AT462)&amp;IF($AM462=""," "," SERIES "&amp;$AM462)&amp;" "&amp;IFERROR(VLOOKUP($H462,CODES,2,FALSE),"")&amp;IF($CT462," | LOC "&amp;$CZ462,"")))</f>
        <v/>
      </c>
      <c r="CL462" s="84">
        <f>IF(CP462="","",IF(COUNTIF($CP$6:CP462,CP462)=1,MAX($CL$5:CL461)+1,INDEX($CL$5:CL461,MATCH(CP462,$CP$5:CP461,0))))</f>
        <v/>
      </c>
      <c r="CM462" s="84">
        <f>IF(NOT(AND($A462&lt;&gt;"",$C462&lt;&gt;"DOOR ONLY")),"",MAX($CM$5:CM461)+1)</f>
        <v/>
      </c>
      <c r="CN462" s="84">
        <f>IF(NOT(AND($A462&lt;&gt;"",N($BJ462)&gt;0)),"",MAX($CN$5:CN461)+1)</f>
        <v/>
      </c>
      <c r="CO462" s="84">
        <f>IF($A462="","",MAX($CO$5:CO461)+1)</f>
        <v/>
      </c>
      <c r="CP462" s="84">
        <f>IF(OR($A462="",$BH462="",$BI462=""),"",$BG462&amp;"|"&amp;$O462&amp;"|"&amp;$AL462&amp;"|"&amp;$S462&amp;"|"&amp;$P462&amp;"|"&amp;$Q462&amp;$R462&amp;"|"&amp;$C462&amp;"|"&amp;$AB462)</f>
        <v/>
      </c>
      <c r="CQ462" s="84">
        <f>N($BS462)</f>
        <v/>
      </c>
      <c r="CR462" s="84">
        <f>IF(N($AU462)&gt;0,N($AU462),4.5)</f>
        <v/>
      </c>
      <c r="CS462" s="84">
        <f>OR($A462="",$BI462="",$S462="BL",AND($C462="FRAME ONLY",OR($AC462="",$AC462="BLK")))</f>
        <v/>
      </c>
      <c r="CT462" s="84">
        <f>AND(NOT($CS462),OR($AT462="CUSTOM LOC",N($AW462)+N($AX462)+N($AY462)+N($AZ462)+N($BA462)&gt;0))</f>
        <v/>
      </c>
      <c r="CU462" s="84">
        <f>IF($BI462="","",IF($BI462&lt;=80,80,IF($BI462&lt;=84,84,96)))</f>
        <v/>
      </c>
      <c r="CV462" s="84">
        <f>ISNUMBER(MATCH($AT462&amp;"|80",LocKeys,0))</f>
        <v/>
      </c>
      <c r="CW462" s="86">
        <f>IF($CS462,"",IF($CV462,VLOOKUP($AT462&amp;"|"&amp;$CU462,LocTable,4,FALSE),5))</f>
        <v/>
      </c>
      <c r="CX462" s="86">
        <f>IF($CS462,"",IF($CV462,IF(OR($BI462=$CU462,AND($BI462&lt;$CU462,$BI462-IF(N(VLOOKUP($AT462&amp;"|"&amp;$CU462,LocTable,7,FALSE))&gt;0,VLOOKUP($AT462&amp;"|"&amp;$CU462,LocTable,7,FALSE),VLOOKUP($AT462&amp;"|"&amp;$CU462,LocTable,6,FALSE))-$CR462-0.75&gt;=2.125)),IF(N(VLOOKUP($AT462&amp;"|"&amp;$CU462,LocTable,7,FALSE))&gt;0,VLOOKUP($AT462&amp;"|"&amp;$CU462,LocTable,7,FALSE),VLOOKUP($AT462&amp;"|"&amp;$CU462,LocTable,6,FALSE)),$BI462-($CU462-IF(N(VLOOKUP($AT462&amp;"|"&amp;$CU462,LocTable,7,FALSE))&gt;0,VLOOKUP($AT462&amp;"|"&amp;$CU462,LocTable,7,FALSE),VLOOKUP($AT462&amp;"|"&amp;$CU462,LocTable,6,FALSE)))),$BI462-10-$CR462))</f>
        <v/>
      </c>
      <c r="CY462" s="85">
        <f>IF($CS462,"",TRIM(IF(ISNUMBER($BU462),"A "&amp;TRIM(TEXT($BU462,"# ?/??"))&amp;CHAR(34)&amp;"  ","")&amp;IF(ISNUMBER($BV462),"B "&amp;TRIM(TEXT($BV462,"# ?/??"))&amp;CHAR(34)&amp;"  ","")&amp;IF(ISNUMBER($BW462),"C "&amp;TRIM(TEXT($BW462,"# ?/??"))&amp;CHAR(34)&amp;"  ","")&amp;IF(ISNUMBER($BX462),"D "&amp;TRIM(TEXT($BX462,"# ?/??"))&amp;CHAR(34)&amp;"  ","")&amp;IF(ISNUMBER($BY462),"F "&amp;TRIM(TEXT($BY462,"# ?/??"))&amp;CHAR(34)&amp;"  ","")&amp;IF(ISNUMBER($BZ462),"E "&amp;TRIM(TEXT($BZ462,"# ?/??"))&amp;CHAR(34)&amp;"  ","")))</f>
        <v/>
      </c>
      <c r="CZ462" s="85">
        <f>IF(OR($CS462,N($BJ462)=0),"",TRIM(IF(ISNUMBER($BU462),"A "&amp;TRIM(TEXT($BU462-HeadClr,"# ?/??"))&amp;CHAR(34)&amp;"  ","")&amp;IF(ISNUMBER($BV462),"B "&amp;TRIM(TEXT($BV462-HeadClr,"# ?/??"))&amp;CHAR(34)&amp;"  ","")&amp;IF(ISNUMBER($BW462),"C "&amp;TRIM(TEXT($BW462-HeadClr,"# ?/??"))&amp;CHAR(34)&amp;"  ","")&amp;IF(ISNUMBER($BX462),"D "&amp;TRIM(TEXT($BX462-HeadClr,"# ?/??"))&amp;CHAR(34)&amp;"  ","")&amp;IF(ISNUMBER($BY462),"F "&amp;TRIM(TEXT($BY462-HeadClr,"# ?/??"))&amp;CHAR(34)&amp;"  ","")&amp;IF(ISNUMBER($BZ462),"E "&amp;TRIM(TEXT($BZ462-HeadClr,"# ?/??"))&amp;CHAR(34)&amp;"  ","")))</f>
        <v/>
      </c>
      <c r="DA462" s="84">
        <f>IF($A462="","",IF($AN462="",IFERROR(VLOOKUP($Z462,CODES,2,FALSE),""),IFERROR(VLOOKUP($AN462,CODES,2,FALSE),"")))</f>
        <v/>
      </c>
      <c r="DB462" s="84">
        <f>IF($A462="","",IF($O462="Y","PR",IF(OR($Z462="L",$Z462="RR",LEFT($Z462,2)="L-",LEFT($Z462,3)="RR-"),"LH","RH")))</f>
        <v/>
      </c>
      <c r="DC462" s="84">
        <f>IF($A462="","","S.HM"&amp;IF(OR($C462="DOOR ONLY",$X462&lt;&gt;"KD"),"MASONRY","DRYWALL")&amp;IF($C462="DOOR ONLY","",$U462)&amp;IF(AND($C462&lt;&gt;"FRAME ONLY",OR(LEFT($AH462,3)="OAK",LEFT($AH462,3)="BIR",LEFT($AH462,3)="MAP",$AH462="PC",$AH462="MC",$AH462="SCLC",$AH462="P-LAM")),"WD","HM")&amp;"1.75")</f>
        <v/>
      </c>
      <c r="DD462" s="84">
        <f>IF($CJ462="","",IF($O462="Y",$CJ462,SUBSTITUTE($CJ462,$BG462&amp;" "&amp;IFERROR(VLOOKUP($Z462,CODES,2,FALSE),"")&amp;" ",$BG462&amp;" ")))</f>
        <v/>
      </c>
      <c r="DE462" s="84">
        <f>IF($CK462="","",IF($O462="Y",$CK462,SUBSTITUTE($CK462,$BG462&amp;" "&amp;IF($AN462="",IFERROR(VLOOKUP($Z462,CODES,2,FALSE),""),IFERROR(VLOOKUP($AN462,CODES,2,FALSE),""))&amp;" ",$BG462&amp;" ")))</f>
        <v/>
      </c>
      <c r="DF462" s="84">
        <f>IF($CJ462="","",$DC462&amp;"|"&amp;$DD462&amp;"|"&amp;$DB462&amp;"|"&amp;$AT462&amp;"|"&amp;$V462&amp;"|"&amp;$Y462&amp;"|"&amp;$AB462)</f>
        <v/>
      </c>
      <c r="DG462" s="84">
        <f>IF(DF462="","",IF(COUNTIF($DF$6:DF462,DF462)=1,MAX($DG$5:DG461)+1,INDEX($DG$5:DG461,MATCH(DF462,$DF$5:DF461,0))))</f>
        <v/>
      </c>
      <c r="DH462" s="84">
        <f>IF($CK462="","",$DC462&amp;"|"&amp;$DE462&amp;"|"&amp;$AI462&amp;"|"&amp;$BK462&amp;"|"&amp;$BL462)</f>
        <v/>
      </c>
      <c r="DI462" s="84">
        <f>IF(DH462="","",IF(COUNTIF($DH$6:DH462,DH462)=1,MAX($DI$5:DI461)+1,INDEX($DI$5:DI461,MATCH(DH462,$DH$5:DH461,0))))</f>
        <v/>
      </c>
      <c r="DJ462" s="84">
        <f>IF($A462="","",IF($B462="","qty, ","")&amp;IF($C462="","scope, ","")&amp;IF(OR($K462="",$M462=""),"size, ","")&amp;IF(AND($A462&lt;&gt;"",$C462&lt;&gt;"DOOR ONLY"),IF($U462="","jamb depth, ","")&amp;IF($X462="","construction, ","")&amp;IF($Y462="","anchor, ","")&amp;IF($S462="","frame type, ",""),"")&amp;IF(AND(N($BJ462)&gt;0,$Z462=""),"hand, ","")&amp;IF(N($BJ462)&gt;0,IF($AH462="","door material, ","")&amp;IF($AL462="","face type, ","")&amp;IF($AP462="","lock prep, ","")&amp;IF(AND($AO462="",$AC462=""),"hinge prep, ",""),"")&amp;IF(AND($CH462&gt;0,$AH462="FRP"),"FRP cannot carry a label, ","")&amp;IF(AND($O462="Y",OR($Z462="L",$Z462="R",$Z462="LR",$Z462="RR")),"pair marked but hand is single, ","")&amp;IF(AND($O462&lt;&gt;"Y",OR($Z462="PR",AND(LEN($Z462)&gt;1,ISNUMBER(SEARCH("-",$Z462))))),"pair hand on a single door, ","")&amp;IF(AND(ISNUMBER($CI462),$CH462&lt;N($CI462)),"wall needs a "&amp;$CI462&amp;" min door, ","")&amp;IF(AND($CH462&gt;=180,AND(OR($CE462="FG",$CE462="HG",$CE462="FNV",$CE462="FV"),N($CF462)*N($CG462)&gt;100)),"180 min lite over 100 sq in, ","")&amp;IF(N($BK462)&gt;48,"leaf wider than 4'-0"&amp;CHAR(34)&amp;", ","")&amp;IF(AND($CT462,COUNT($AW462:$AZ462)=0,$CQ462&gt;0),"CUSTOM LOC with no locations typed, ",""))</f>
        <v/>
      </c>
      <c r="DK462" s="84">
        <f>IF($A462="","",IF(AND($CH462&gt;0,AND($A462&lt;&gt;"",$C462&lt;&gt;"DOOR ONLY"),$X462="KD",$E462="EXTERIOR"),"KD label on an exterior opening, ","")&amp;IF(AND($E462="EXTERIOR",OR(AND(AND($A462&lt;&gt;"",$C462&lt;&gt;"DOOR ONLY"),$W462="CR"),AND(N($BJ462)&gt;0,$AH462="CR"))),"exterior in CR steel (G9?), ","")&amp;IF(AND(ISNUMBER($BQ462),N($BQ462)&lt;32),"clear width ~"&amp;TEXT($BQ462,"0.0")&amp;CHAR(34)&amp;" under 32"&amp;CHAR(34)&amp;" (ADA), ","")&amp;IF(AND($CH462=90,AND(OR($CE462="FG",$CE462="HG",$CE462="FNV",$CE462="FV"),N($CF462)*N($CG462)&gt;100)),"90 min lite over 100 sq in (stair/exit), ","")&amp;IF(AND($CH462&gt;0,AND($A462&lt;&gt;"",$C462&lt;&gt;"DOOR ONLY"),OR($AF462="",$AF462="-")),"rated: closer reinf.?, ","")&amp;IF(OR($I462="CORRIDOR",$I462="SMOKE BARRIER"),"S label + smoke gasketing, ","")&amp;IF($CI462="?","wall type/hr not in IBC table, ","")&amp;IF(AND(N($BJ462)&gt;0,$BB462=""),"no hardware set, ","")&amp;IF(AND($BB462&lt;&gt;"",ISNA(MATCH($BB462&amp;"",HWSets,0))),"set "&amp;$BB462&amp;" not on HW Sets, ","")&amp;IF(N($BL462)&gt;96,"leaf over 8'-0"&amp;CHAR(34)&amp;" - check listing, ","")&amp;IF(AND($CT462,COUNT($AW462:$AZ462)&gt;0,COUNT($AW462:$AZ462)&lt;&gt;$CQ462),COUNT($AW462:$AZ462)&amp;" custom hinges typed, "&amp;$CQ462&amp;" expected, ","")&amp;IF(AND(ISNUMBER($CA462),OR(N($CA462)&lt;34,N($CA462)&gt;48)),"lock "&amp;TEXT($CA462,"0.0")&amp;CHAR(34)&amp;" AFF outside 34-48"&amp;CHAR(34)&amp;" (ADA), ","")&amp;IF(AND(ISNUMBER($AV462),ISNUMBER($BL462),N($AV462)&lt;IF(N($BL462)&lt;=60,2,IF(N($BL462)&lt;=90,3,IF(N($BL462)&lt;=120,4,5)))),"fewer hinges than standard, ",""))</f>
        <v/>
      </c>
    </row>
    <row r="463" ht="15" customHeight="1">
      <c r="A463" s="77" t="n"/>
      <c r="B463" s="78" t="n"/>
      <c r="C463" s="78" t="n"/>
      <c r="D463" s="78" t="n"/>
      <c r="E463" s="78" t="n"/>
      <c r="F463" s="78" t="n"/>
      <c r="G463" s="78" t="n"/>
      <c r="H463" s="78" t="n"/>
      <c r="I463" s="78" t="n"/>
      <c r="J463" s="78" t="n"/>
      <c r="K463" s="78" t="n"/>
      <c r="L463" s="78" t="n"/>
      <c r="M463" s="78" t="n"/>
      <c r="N463" s="78" t="n"/>
      <c r="O463" s="78" t="n"/>
      <c r="P463" s="78" t="n"/>
      <c r="Q463" s="78" t="n"/>
      <c r="R463" s="78" t="n"/>
      <c r="S463" s="79" t="n"/>
      <c r="T463" s="79" t="n"/>
      <c r="U463" s="79" t="n"/>
      <c r="V463" s="79" t="n"/>
      <c r="W463" s="79" t="n"/>
      <c r="X463" s="79" t="n"/>
      <c r="Y463" s="79" t="n"/>
      <c r="Z463" s="79" t="n"/>
      <c r="AA463" s="79" t="n"/>
      <c r="AB463" s="79" t="n"/>
      <c r="AC463" s="79" t="n"/>
      <c r="AD463" s="79" t="n"/>
      <c r="AE463" s="79" t="n"/>
      <c r="AF463" s="79" t="n"/>
      <c r="AG463" s="79" t="n"/>
      <c r="AH463" s="80" t="n"/>
      <c r="AI463" s="80" t="n"/>
      <c r="AJ463" s="80" t="n"/>
      <c r="AK463" s="80" t="n"/>
      <c r="AL463" s="80" t="n"/>
      <c r="AM463" s="80" t="n"/>
      <c r="AN463" s="80" t="n"/>
      <c r="AO463" s="80" t="n"/>
      <c r="AP463" s="80" t="n"/>
      <c r="AQ463" s="80" t="n"/>
      <c r="AR463" s="80" t="n"/>
      <c r="AS463" s="80" t="n"/>
      <c r="AT463" s="81" t="n"/>
      <c r="AU463" s="81" t="n"/>
      <c r="AV463" s="81" t="n"/>
      <c r="AW463" s="82" t="n"/>
      <c r="AX463" s="82" t="n"/>
      <c r="AY463" s="82" t="n"/>
      <c r="AZ463" s="82" t="n"/>
      <c r="BA463" s="82" t="n"/>
      <c r="BB463" s="83" t="n"/>
      <c r="BC463" s="83" t="n"/>
      <c r="BD463" s="84">
        <f>IF($A463="","",IF($DJ463&lt;&gt;"","FIX",IF($DK463&lt;&gt;"","CHECK","OK")))</f>
        <v/>
      </c>
      <c r="BE463" s="85">
        <f>IF($A463="","",IF($DJ463&lt;&gt;"","FIX: "&amp;LEFT($DJ463,LEN($DJ463)-2)&amp;IF($DK463&lt;&gt;"","  ·  ",""),"")&amp;IF($DK463&lt;&gt;"","CHECK: "&amp;LEFT($DK463,LEN($DK463)-2),""))</f>
        <v/>
      </c>
      <c r="BF463" s="84">
        <f>IF(OR($A463="",$K463=""),"",$K463&amp;"'-"&amp;N($L463)&amp;CHAR(34)&amp;" x "&amp;$M463&amp;"'-"&amp;N($N463)&amp;CHAR(34))</f>
        <v/>
      </c>
      <c r="BG463" s="84">
        <f>IF(OR($A463="",$K463=""),"",$K463&amp;N($L463)&amp;$M463&amp;N($N463))</f>
        <v/>
      </c>
      <c r="BH463" s="84">
        <f>IF(OR($A463="",$K463=""),"",$K463*12+N($L463))</f>
        <v/>
      </c>
      <c r="BI463" s="84">
        <f>IF(OR($A463="",$M463=""),"",$M463*12+N($N463))</f>
        <v/>
      </c>
      <c r="BJ463" s="84">
        <f>IF($A463="","",IF(OR($C463="FRAME ONLY",$S463="BL"),0,IF($O463="Y",2,1)))</f>
        <v/>
      </c>
      <c r="BK463" s="86">
        <f>IF(OR(N($BJ463)=0,$BH463=""),"",($BH463-2*EdgeClr-IF($BJ463=2,MeetClr,0))/$BJ463)</f>
        <v/>
      </c>
      <c r="BL463" s="86">
        <f>IF(OR(N($BJ463)=0,$BI463=""),"",$BI463-HeadClr-Undercut)</f>
        <v/>
      </c>
      <c r="BM463" s="86">
        <f>IF($BH463="","",$BH463+2*FaceW+IF(N($Q463)&gt;0,($Q463+FaceW)*IF($R463="LR",2,1),0))</f>
        <v/>
      </c>
      <c r="BN463" s="86">
        <f>IF($BI463="","",$BI463+IF($AB463="Y",4,FaceW)+IF(N($P463)&gt;0,$P463+FaceW,0)+IF(OR($S463="4F",$S463="BL"),FaceW,0))</f>
        <v/>
      </c>
      <c r="BO463" s="86">
        <f>IF($BM463="","",$BM463+2*ROSide)</f>
        <v/>
      </c>
      <c r="BP463" s="86">
        <f>IF($BN463="","",$BN463+ROTop)</f>
        <v/>
      </c>
      <c r="BQ463" s="87">
        <f>IF(OR(N($BJ463)=0,$BH463=""),"",$BH463/$BJ463-ClearDeduct)</f>
        <v/>
      </c>
      <c r="BR463" s="84">
        <f>IF(N($CH463)=0,"",IF($CH463&gt;=180,"A · 3 HR",IF($CH463&gt;=90,"B · 1-1/2 HR",IF($CH463&gt;=60,"B · 1 HR",IF($CH463&gt;=45,"C · 3/4 HR","20 MIN")))))&amp;IF(AND(N($CH463)&gt;0,OR($I463="CORRIDOR",$I463="SMOKE BARRIER"))," · S","")</f>
        <v/>
      </c>
      <c r="BS463" s="84">
        <f>IF($CS463,"",IF($AV463&lt;&gt;"",$AV463,IF(OR($AC463="HGC",$AO463="HGC"),"CONT",IF(($BI463-HeadClr-Undercut)&lt;=60,2,IF(($BI463-HeadClr-Undercut)&lt;=90,3,IF(($BI463-HeadClr-Undercut)&lt;=120,4,5))))))</f>
        <v/>
      </c>
      <c r="BT463" s="84">
        <f>IF($CS463,"",IF($CT463,"CUSTOM (typed)",IF($CV463,$AT463&amp;" "&amp;$CU463&amp;CHAR(34)&amp;IF($CU463&lt;&gt;$BI463,IF(AND($BI463&lt;$CU463,$BI463-IF(N(VLOOKUP($AT463&amp;"|"&amp;$CU463,LocTable,7,FALSE))&gt;0,VLOOKUP($AT463&amp;"|"&amp;$CU463,LocTable,7,FALSE),VLOOKUP($AT463&amp;"|"&amp;$CU463,LocTable,6,FALSE))-$CR463-0.75&gt;=2.125)," cut down"," adj."),""),"ANSI/SDI A250.6")))</f>
        <v/>
      </c>
      <c r="BU463" s="88">
        <f>IF($CS463,"",IF($CT463,IF(N($AW463)&gt;0,N($AW463),""),IF(1&gt;$CQ463,"",IF($CQ463=1,$CW463,$CW463+($CX463-$CW463)*0/($CQ463-1)))))</f>
        <v/>
      </c>
      <c r="BV463" s="88">
        <f>IF($CS463,"",IF($CT463,IF(N($AX463)&gt;0,N($AX463),""),IF(2&gt;$CQ463,"",IF($CQ463=1,$CW463,$CW463+($CX463-$CW463)*1/($CQ463-1)))))</f>
        <v/>
      </c>
      <c r="BW463" s="88">
        <f>IF($CS463,"",IF($CT463,IF(N($AY463)&gt;0,N($AY463),""),IF(3&gt;$CQ463,"",IF($CQ463=1,$CW463,$CW463+($CX463-$CW463)*2/($CQ463-1)))))</f>
        <v/>
      </c>
      <c r="BX463" s="88">
        <f>IF($CS463,"",IF($CT463,IF(N($AZ463)&gt;0,N($AZ463),""),IF(4&gt;$CQ463,"",IF($CQ463=1,$CW463,$CW463+($CX463-$CW463)*3/($CQ463-1)))))</f>
        <v/>
      </c>
      <c r="BY463" s="88">
        <f>IF($CS463,"",IF($CT463,"",IF(5&gt;$CQ463,"",IF($CQ463=1,$CW463,$CW463+($CX463-$CW463)*4/($CQ463-1)))))</f>
        <v/>
      </c>
      <c r="BZ463" s="88">
        <f>IF(OR($CS463,$AP463="-",AND($AP463="",$AD463="")),"",IF(N($BA463)&gt;0,N($BA463),IF($CV463,IF(AND($BI463&lt;$CU463,$BI463-IF(N(VLOOKUP($AT463&amp;"|"&amp;$CU463,LocTable,7,FALSE))&gt;0,VLOOKUP($AT463&amp;"|"&amp;$CU463,LocTable,7,FALSE),VLOOKUP($AT463&amp;"|"&amp;$CU463,LocTable,6,FALSE))-$CR463-0.75&gt;=2.125),VLOOKUP($AT463&amp;"|"&amp;$CU463,LocTable,8,FALSE),VLOOKUP($AT463&amp;"|"&amp;$CU463,LocTable,8,FALSE)+($BI463-$CU463)),$BI463-LockAFF)))</f>
        <v/>
      </c>
      <c r="CA463" s="89">
        <f>IF($BZ463="","",$BI463-$BZ463)</f>
        <v/>
      </c>
      <c r="CB463" s="84">
        <f>IF(OR(NOT(AND($A463&lt;&gt;"",$C463&lt;&gt;"DOOR ONLY")),$BI463=""),"",IF(($BI463+IF(N($P463)&gt;0,$P463+FaceW,0))&lt;=90,3,IF(($BI463+IF(N($P463)&gt;0,$P463+FaceW,0))&lt;=114,4,5)))</f>
        <v/>
      </c>
      <c r="CC463" s="84">
        <f>IF($CB463="","",$CB463*(2+IF(N($Q463)&gt;0,IF($R463="LR",2,1),0)))</f>
        <v/>
      </c>
      <c r="CD463" s="84">
        <f>IF($CB463="","",(2+IF(N($Q463)&gt;0,IF($R463="LR",2,1),0)))</f>
        <v/>
      </c>
      <c r="CE463" s="84">
        <f>IF(N($BJ463)=0,"",IF(OR($AL463="",$AL463="FLUSH"),"FLUSH",IFERROR(LEFT($AL463,FIND("-",$AL463)-1),LEFT($AL463,2))))</f>
        <v/>
      </c>
      <c r="CF463" s="84">
        <f>IF($CE463="","",IFERROR(VALUE(MID($AL463,FIND("-",$AL463)+1,FIND(CHAR(34)&amp;"x",$AL463)-FIND("-",$AL463)-1)),0))</f>
        <v/>
      </c>
      <c r="CG463" s="84">
        <f>IF($CE463="","",IFERROR(VALUE(MID($AL463,FIND(CHAR(34)&amp;"x",$AL463)+2,FIND(CHAR(34),$AL463,FIND(CHAR(34)&amp;"x",$AL463)+2)-FIND(CHAR(34)&amp;"x",$AL463)-2)),0))</f>
        <v/>
      </c>
      <c r="CH463" s="90">
        <f>IF(OR($A463="",$H463="",$H463="NO LAB"),0,IFERROR(VALUE(LEFT($H463,FIND(" ",$H463)-1)),0))</f>
        <v/>
      </c>
      <c r="CI463" s="91">
        <f>IF(OR($A463="",$I463="",$I463="NON-RATED",N($J463)=0),"",IFERROR(VLOOKUP($I463&amp;"|"&amp;$J463,IBC,2,FALSE),"?"))</f>
        <v/>
      </c>
      <c r="CJ463" s="85">
        <f>IF(NOT(AND($A463&lt;&gt;"",$C463&lt;&gt;"DOOR ONLY")),"",TRIM(IFERROR(VLOOKUP($U463,CODES,2,FALSE),"")&amp;" "&amp;$BG463&amp;" "&amp;IFERROR(VLOOKUP($Z463,CODES,2,FALSE),"")&amp;" "&amp;IFERROR(VLOOKUP($X463,CODES,2,FALSE),"")&amp;" "&amp;IFERROR(VLOOKUP($S463,CODES,2,FALSE),"")&amp;IF(N($P463)&gt;0," w/TRANSOM "&amp;$P463&amp;CHAR(34),"")&amp;IF(N($Q463)&gt;0," w/SIDELITE "&amp;$Q463&amp;CHAR(34)&amp;" "&amp;IF($R463="","R",$R463),"")&amp;IF($Y463="","  |  "," | "&amp;IFERROR(VLOOKUP($Y463,CODES,2,FALSE),"")&amp;" | ")&amp;IFERROR(VLOOKUP($AC463,CODES,2,FALSE),"")&amp;" "&amp;IFERROR(VLOOKUP($AD463,CODES,2,FALSE),"")&amp;IF(OR($AE463="",$AE463="-"),""," "&amp;$AE463)&amp;IF(OR($AF463="",$AF463="-"),""," "&amp;$AF463)&amp;IF($AB463="Y"," 4"&amp;CHAR(34)&amp;" HEAD","")&amp;" "&amp;IFERROR(VLOOKUP($H463,CODES,2,FALSE),"")&amp;IF($CT463," | LOC "&amp;$CY463,"")))</f>
        <v/>
      </c>
      <c r="CK463" s="85">
        <f>IF(NOT(AND($A463&lt;&gt;"",N($BJ463)&gt;0)),"",TRIM(IFERROR(VLOOKUP($AH463,CODES,2,FALSE),"")&amp;IF($AI463=""," "," "&amp;$AI463&amp;"GA ")&amp;$BG463&amp;" "&amp;IF($AN463="",IFERROR(VLOOKUP($Z463,CODES,2,FALSE),""),IFERROR(VLOOKUP($AN463,CODES,2,FALSE),""))&amp;IF($BJ463=2," PAIR","")&amp;" DOOR | "&amp;IF($AL463="","?",$AL463)&amp;" | "&amp;IF($AO463="",IFERROR(VLOOKUP($AC463,CODES,2,FALSE),""),IFERROR(VLOOKUP($AO463,CODES,2,FALSE),""))&amp;" "&amp;IFERROR(VLOOKUP($AP463,CODES,2,FALSE),"")&amp;IF(OR($AQ463="",$AQ463="-"),""," SEAM "&amp;$AQ463)&amp;IF($AR463="Y"," ASTRAGAL","")&amp;IF($AJ463=""," "," "&amp;$AJ463)&amp;IF($AK463=""," "," "&amp;$AK463)&amp;IF(OR($AT463="",$AT463="ANSI/SDI",$AT463="CUSTOM LOC"),""," "&amp;$AT463)&amp;IF($AM463=""," "," SERIES "&amp;$AM463)&amp;" "&amp;IFERROR(VLOOKUP($H463,CODES,2,FALSE),"")&amp;IF($CT463," | LOC "&amp;$CZ463,"")))</f>
        <v/>
      </c>
      <c r="CL463" s="84">
        <f>IF(CP463="","",IF(COUNTIF($CP$6:CP463,CP463)=1,MAX($CL$5:CL462)+1,INDEX($CL$5:CL462,MATCH(CP463,$CP$5:CP462,0))))</f>
        <v/>
      </c>
      <c r="CM463" s="84">
        <f>IF(NOT(AND($A463&lt;&gt;"",$C463&lt;&gt;"DOOR ONLY")),"",MAX($CM$5:CM462)+1)</f>
        <v/>
      </c>
      <c r="CN463" s="84">
        <f>IF(NOT(AND($A463&lt;&gt;"",N($BJ463)&gt;0)),"",MAX($CN$5:CN462)+1)</f>
        <v/>
      </c>
      <c r="CO463" s="84">
        <f>IF($A463="","",MAX($CO$5:CO462)+1)</f>
        <v/>
      </c>
      <c r="CP463" s="84">
        <f>IF(OR($A463="",$BH463="",$BI463=""),"",$BG463&amp;"|"&amp;$O463&amp;"|"&amp;$AL463&amp;"|"&amp;$S463&amp;"|"&amp;$P463&amp;"|"&amp;$Q463&amp;$R463&amp;"|"&amp;$C463&amp;"|"&amp;$AB463)</f>
        <v/>
      </c>
      <c r="CQ463" s="84">
        <f>N($BS463)</f>
        <v/>
      </c>
      <c r="CR463" s="84">
        <f>IF(N($AU463)&gt;0,N($AU463),4.5)</f>
        <v/>
      </c>
      <c r="CS463" s="84">
        <f>OR($A463="",$BI463="",$S463="BL",AND($C463="FRAME ONLY",OR($AC463="",$AC463="BLK")))</f>
        <v/>
      </c>
      <c r="CT463" s="84">
        <f>AND(NOT($CS463),OR($AT463="CUSTOM LOC",N($AW463)+N($AX463)+N($AY463)+N($AZ463)+N($BA463)&gt;0))</f>
        <v/>
      </c>
      <c r="CU463" s="84">
        <f>IF($BI463="","",IF($BI463&lt;=80,80,IF($BI463&lt;=84,84,96)))</f>
        <v/>
      </c>
      <c r="CV463" s="84">
        <f>ISNUMBER(MATCH($AT463&amp;"|80",LocKeys,0))</f>
        <v/>
      </c>
      <c r="CW463" s="86">
        <f>IF($CS463,"",IF($CV463,VLOOKUP($AT463&amp;"|"&amp;$CU463,LocTable,4,FALSE),5))</f>
        <v/>
      </c>
      <c r="CX463" s="86">
        <f>IF($CS463,"",IF($CV463,IF(OR($BI463=$CU463,AND($BI463&lt;$CU463,$BI463-IF(N(VLOOKUP($AT463&amp;"|"&amp;$CU463,LocTable,7,FALSE))&gt;0,VLOOKUP($AT463&amp;"|"&amp;$CU463,LocTable,7,FALSE),VLOOKUP($AT463&amp;"|"&amp;$CU463,LocTable,6,FALSE))-$CR463-0.75&gt;=2.125)),IF(N(VLOOKUP($AT463&amp;"|"&amp;$CU463,LocTable,7,FALSE))&gt;0,VLOOKUP($AT463&amp;"|"&amp;$CU463,LocTable,7,FALSE),VLOOKUP($AT463&amp;"|"&amp;$CU463,LocTable,6,FALSE)),$BI463-($CU463-IF(N(VLOOKUP($AT463&amp;"|"&amp;$CU463,LocTable,7,FALSE))&gt;0,VLOOKUP($AT463&amp;"|"&amp;$CU463,LocTable,7,FALSE),VLOOKUP($AT463&amp;"|"&amp;$CU463,LocTable,6,FALSE)))),$BI463-10-$CR463))</f>
        <v/>
      </c>
      <c r="CY463" s="85">
        <f>IF($CS463,"",TRIM(IF(ISNUMBER($BU463),"A "&amp;TRIM(TEXT($BU463,"# ?/??"))&amp;CHAR(34)&amp;"  ","")&amp;IF(ISNUMBER($BV463),"B "&amp;TRIM(TEXT($BV463,"# ?/??"))&amp;CHAR(34)&amp;"  ","")&amp;IF(ISNUMBER($BW463),"C "&amp;TRIM(TEXT($BW463,"# ?/??"))&amp;CHAR(34)&amp;"  ","")&amp;IF(ISNUMBER($BX463),"D "&amp;TRIM(TEXT($BX463,"# ?/??"))&amp;CHAR(34)&amp;"  ","")&amp;IF(ISNUMBER($BY463),"F "&amp;TRIM(TEXT($BY463,"# ?/??"))&amp;CHAR(34)&amp;"  ","")&amp;IF(ISNUMBER($BZ463),"E "&amp;TRIM(TEXT($BZ463,"# ?/??"))&amp;CHAR(34)&amp;"  ","")))</f>
        <v/>
      </c>
      <c r="CZ463" s="85">
        <f>IF(OR($CS463,N($BJ463)=0),"",TRIM(IF(ISNUMBER($BU463),"A "&amp;TRIM(TEXT($BU463-HeadClr,"# ?/??"))&amp;CHAR(34)&amp;"  ","")&amp;IF(ISNUMBER($BV463),"B "&amp;TRIM(TEXT($BV463-HeadClr,"# ?/??"))&amp;CHAR(34)&amp;"  ","")&amp;IF(ISNUMBER($BW463),"C "&amp;TRIM(TEXT($BW463-HeadClr,"# ?/??"))&amp;CHAR(34)&amp;"  ","")&amp;IF(ISNUMBER($BX463),"D "&amp;TRIM(TEXT($BX463-HeadClr,"# ?/??"))&amp;CHAR(34)&amp;"  ","")&amp;IF(ISNUMBER($BY463),"F "&amp;TRIM(TEXT($BY463-HeadClr,"# ?/??"))&amp;CHAR(34)&amp;"  ","")&amp;IF(ISNUMBER($BZ463),"E "&amp;TRIM(TEXT($BZ463-HeadClr,"# ?/??"))&amp;CHAR(34)&amp;"  ","")))</f>
        <v/>
      </c>
      <c r="DA463" s="84">
        <f>IF($A463="","",IF($AN463="",IFERROR(VLOOKUP($Z463,CODES,2,FALSE),""),IFERROR(VLOOKUP($AN463,CODES,2,FALSE),"")))</f>
        <v/>
      </c>
      <c r="DB463" s="84">
        <f>IF($A463="","",IF($O463="Y","PR",IF(OR($Z463="L",$Z463="RR",LEFT($Z463,2)="L-",LEFT($Z463,3)="RR-"),"LH","RH")))</f>
        <v/>
      </c>
      <c r="DC463" s="84">
        <f>IF($A463="","","S.HM"&amp;IF(OR($C463="DOOR ONLY",$X463&lt;&gt;"KD"),"MASONRY","DRYWALL")&amp;IF($C463="DOOR ONLY","",$U463)&amp;IF(AND($C463&lt;&gt;"FRAME ONLY",OR(LEFT($AH463,3)="OAK",LEFT($AH463,3)="BIR",LEFT($AH463,3)="MAP",$AH463="PC",$AH463="MC",$AH463="SCLC",$AH463="P-LAM")),"WD","HM")&amp;"1.75")</f>
        <v/>
      </c>
      <c r="DD463" s="84">
        <f>IF($CJ463="","",IF($O463="Y",$CJ463,SUBSTITUTE($CJ463,$BG463&amp;" "&amp;IFERROR(VLOOKUP($Z463,CODES,2,FALSE),"")&amp;" ",$BG463&amp;" ")))</f>
        <v/>
      </c>
      <c r="DE463" s="84">
        <f>IF($CK463="","",IF($O463="Y",$CK463,SUBSTITUTE($CK463,$BG463&amp;" "&amp;IF($AN463="",IFERROR(VLOOKUP($Z463,CODES,2,FALSE),""),IFERROR(VLOOKUP($AN463,CODES,2,FALSE),""))&amp;" ",$BG463&amp;" ")))</f>
        <v/>
      </c>
      <c r="DF463" s="84">
        <f>IF($CJ463="","",$DC463&amp;"|"&amp;$DD463&amp;"|"&amp;$DB463&amp;"|"&amp;$AT463&amp;"|"&amp;$V463&amp;"|"&amp;$Y463&amp;"|"&amp;$AB463)</f>
        <v/>
      </c>
      <c r="DG463" s="84">
        <f>IF(DF463="","",IF(COUNTIF($DF$6:DF463,DF463)=1,MAX($DG$5:DG462)+1,INDEX($DG$5:DG462,MATCH(DF463,$DF$5:DF462,0))))</f>
        <v/>
      </c>
      <c r="DH463" s="84">
        <f>IF($CK463="","",$DC463&amp;"|"&amp;$DE463&amp;"|"&amp;$AI463&amp;"|"&amp;$BK463&amp;"|"&amp;$BL463)</f>
        <v/>
      </c>
      <c r="DI463" s="84">
        <f>IF(DH463="","",IF(COUNTIF($DH$6:DH463,DH463)=1,MAX($DI$5:DI462)+1,INDEX($DI$5:DI462,MATCH(DH463,$DH$5:DH462,0))))</f>
        <v/>
      </c>
      <c r="DJ463" s="84">
        <f>IF($A463="","",IF($B463="","qty, ","")&amp;IF($C463="","scope, ","")&amp;IF(OR($K463="",$M463=""),"size, ","")&amp;IF(AND($A463&lt;&gt;"",$C463&lt;&gt;"DOOR ONLY"),IF($U463="","jamb depth, ","")&amp;IF($X463="","construction, ","")&amp;IF($Y463="","anchor, ","")&amp;IF($S463="","frame type, ",""),"")&amp;IF(AND(N($BJ463)&gt;0,$Z463=""),"hand, ","")&amp;IF(N($BJ463)&gt;0,IF($AH463="","door material, ","")&amp;IF($AL463="","face type, ","")&amp;IF($AP463="","lock prep, ","")&amp;IF(AND($AO463="",$AC463=""),"hinge prep, ",""),"")&amp;IF(AND($CH463&gt;0,$AH463="FRP"),"FRP cannot carry a label, ","")&amp;IF(AND($O463="Y",OR($Z463="L",$Z463="R",$Z463="LR",$Z463="RR")),"pair marked but hand is single, ","")&amp;IF(AND($O463&lt;&gt;"Y",OR($Z463="PR",AND(LEN($Z463)&gt;1,ISNUMBER(SEARCH("-",$Z463))))),"pair hand on a single door, ","")&amp;IF(AND(ISNUMBER($CI463),$CH463&lt;N($CI463)),"wall needs a "&amp;$CI463&amp;" min door, ","")&amp;IF(AND($CH463&gt;=180,AND(OR($CE463="FG",$CE463="HG",$CE463="FNV",$CE463="FV"),N($CF463)*N($CG463)&gt;100)),"180 min lite over 100 sq in, ","")&amp;IF(N($BK463)&gt;48,"leaf wider than 4'-0"&amp;CHAR(34)&amp;", ","")&amp;IF(AND($CT463,COUNT($AW463:$AZ463)=0,$CQ463&gt;0),"CUSTOM LOC with no locations typed, ",""))</f>
        <v/>
      </c>
      <c r="DK463" s="84">
        <f>IF($A463="","",IF(AND($CH463&gt;0,AND($A463&lt;&gt;"",$C463&lt;&gt;"DOOR ONLY"),$X463="KD",$E463="EXTERIOR"),"KD label on an exterior opening, ","")&amp;IF(AND($E463="EXTERIOR",OR(AND(AND($A463&lt;&gt;"",$C463&lt;&gt;"DOOR ONLY"),$W463="CR"),AND(N($BJ463)&gt;0,$AH463="CR"))),"exterior in CR steel (G9?), ","")&amp;IF(AND(ISNUMBER($BQ463),N($BQ463)&lt;32),"clear width ~"&amp;TEXT($BQ463,"0.0")&amp;CHAR(34)&amp;" under 32"&amp;CHAR(34)&amp;" (ADA), ","")&amp;IF(AND($CH463=90,AND(OR($CE463="FG",$CE463="HG",$CE463="FNV",$CE463="FV"),N($CF463)*N($CG463)&gt;100)),"90 min lite over 100 sq in (stair/exit), ","")&amp;IF(AND($CH463&gt;0,AND($A463&lt;&gt;"",$C463&lt;&gt;"DOOR ONLY"),OR($AF463="",$AF463="-")),"rated: closer reinf.?, ","")&amp;IF(OR($I463="CORRIDOR",$I463="SMOKE BARRIER"),"S label + smoke gasketing, ","")&amp;IF($CI463="?","wall type/hr not in IBC table, ","")&amp;IF(AND(N($BJ463)&gt;0,$BB463=""),"no hardware set, ","")&amp;IF(AND($BB463&lt;&gt;"",ISNA(MATCH($BB463&amp;"",HWSets,0))),"set "&amp;$BB463&amp;" not on HW Sets, ","")&amp;IF(N($BL463)&gt;96,"leaf over 8'-0"&amp;CHAR(34)&amp;" - check listing, ","")&amp;IF(AND($CT463,COUNT($AW463:$AZ463)&gt;0,COUNT($AW463:$AZ463)&lt;&gt;$CQ463),COUNT($AW463:$AZ463)&amp;" custom hinges typed, "&amp;$CQ463&amp;" expected, ","")&amp;IF(AND(ISNUMBER($CA463),OR(N($CA463)&lt;34,N($CA463)&gt;48)),"lock "&amp;TEXT($CA463,"0.0")&amp;CHAR(34)&amp;" AFF outside 34-48"&amp;CHAR(34)&amp;" (ADA), ","")&amp;IF(AND(ISNUMBER($AV463),ISNUMBER($BL463),N($AV463)&lt;IF(N($BL463)&lt;=60,2,IF(N($BL463)&lt;=90,3,IF(N($BL463)&lt;=120,4,5)))),"fewer hinges than standard, ",""))</f>
        <v/>
      </c>
    </row>
    <row r="464" ht="15" customHeight="1">
      <c r="A464" s="77" t="n"/>
      <c r="B464" s="78" t="n"/>
      <c r="C464" s="78" t="n"/>
      <c r="D464" s="78" t="n"/>
      <c r="E464" s="78" t="n"/>
      <c r="F464" s="78" t="n"/>
      <c r="G464" s="78" t="n"/>
      <c r="H464" s="78" t="n"/>
      <c r="I464" s="78" t="n"/>
      <c r="J464" s="78" t="n"/>
      <c r="K464" s="78" t="n"/>
      <c r="L464" s="78" t="n"/>
      <c r="M464" s="78" t="n"/>
      <c r="N464" s="78" t="n"/>
      <c r="O464" s="78" t="n"/>
      <c r="P464" s="78" t="n"/>
      <c r="Q464" s="78" t="n"/>
      <c r="R464" s="78" t="n"/>
      <c r="S464" s="79" t="n"/>
      <c r="T464" s="79" t="n"/>
      <c r="U464" s="79" t="n"/>
      <c r="V464" s="79" t="n"/>
      <c r="W464" s="79" t="n"/>
      <c r="X464" s="79" t="n"/>
      <c r="Y464" s="79" t="n"/>
      <c r="Z464" s="79" t="n"/>
      <c r="AA464" s="79" t="n"/>
      <c r="AB464" s="79" t="n"/>
      <c r="AC464" s="79" t="n"/>
      <c r="AD464" s="79" t="n"/>
      <c r="AE464" s="79" t="n"/>
      <c r="AF464" s="79" t="n"/>
      <c r="AG464" s="79" t="n"/>
      <c r="AH464" s="80" t="n"/>
      <c r="AI464" s="80" t="n"/>
      <c r="AJ464" s="80" t="n"/>
      <c r="AK464" s="80" t="n"/>
      <c r="AL464" s="80" t="n"/>
      <c r="AM464" s="80" t="n"/>
      <c r="AN464" s="80" t="n"/>
      <c r="AO464" s="80" t="n"/>
      <c r="AP464" s="80" t="n"/>
      <c r="AQ464" s="80" t="n"/>
      <c r="AR464" s="80" t="n"/>
      <c r="AS464" s="80" t="n"/>
      <c r="AT464" s="81" t="n"/>
      <c r="AU464" s="81" t="n"/>
      <c r="AV464" s="81" t="n"/>
      <c r="AW464" s="82" t="n"/>
      <c r="AX464" s="82" t="n"/>
      <c r="AY464" s="82" t="n"/>
      <c r="AZ464" s="82" t="n"/>
      <c r="BA464" s="82" t="n"/>
      <c r="BB464" s="83" t="n"/>
      <c r="BC464" s="83" t="n"/>
      <c r="BD464" s="84">
        <f>IF($A464="","",IF($DJ464&lt;&gt;"","FIX",IF($DK464&lt;&gt;"","CHECK","OK")))</f>
        <v/>
      </c>
      <c r="BE464" s="85">
        <f>IF($A464="","",IF($DJ464&lt;&gt;"","FIX: "&amp;LEFT($DJ464,LEN($DJ464)-2)&amp;IF($DK464&lt;&gt;"","  ·  ",""),"")&amp;IF($DK464&lt;&gt;"","CHECK: "&amp;LEFT($DK464,LEN($DK464)-2),""))</f>
        <v/>
      </c>
      <c r="BF464" s="84">
        <f>IF(OR($A464="",$K464=""),"",$K464&amp;"'-"&amp;N($L464)&amp;CHAR(34)&amp;" x "&amp;$M464&amp;"'-"&amp;N($N464)&amp;CHAR(34))</f>
        <v/>
      </c>
      <c r="BG464" s="84">
        <f>IF(OR($A464="",$K464=""),"",$K464&amp;N($L464)&amp;$M464&amp;N($N464))</f>
        <v/>
      </c>
      <c r="BH464" s="84">
        <f>IF(OR($A464="",$K464=""),"",$K464*12+N($L464))</f>
        <v/>
      </c>
      <c r="BI464" s="84">
        <f>IF(OR($A464="",$M464=""),"",$M464*12+N($N464))</f>
        <v/>
      </c>
      <c r="BJ464" s="84">
        <f>IF($A464="","",IF(OR($C464="FRAME ONLY",$S464="BL"),0,IF($O464="Y",2,1)))</f>
        <v/>
      </c>
      <c r="BK464" s="86">
        <f>IF(OR(N($BJ464)=0,$BH464=""),"",($BH464-2*EdgeClr-IF($BJ464=2,MeetClr,0))/$BJ464)</f>
        <v/>
      </c>
      <c r="BL464" s="86">
        <f>IF(OR(N($BJ464)=0,$BI464=""),"",$BI464-HeadClr-Undercut)</f>
        <v/>
      </c>
      <c r="BM464" s="86">
        <f>IF($BH464="","",$BH464+2*FaceW+IF(N($Q464)&gt;0,($Q464+FaceW)*IF($R464="LR",2,1),0))</f>
        <v/>
      </c>
      <c r="BN464" s="86">
        <f>IF($BI464="","",$BI464+IF($AB464="Y",4,FaceW)+IF(N($P464)&gt;0,$P464+FaceW,0)+IF(OR($S464="4F",$S464="BL"),FaceW,0))</f>
        <v/>
      </c>
      <c r="BO464" s="86">
        <f>IF($BM464="","",$BM464+2*ROSide)</f>
        <v/>
      </c>
      <c r="BP464" s="86">
        <f>IF($BN464="","",$BN464+ROTop)</f>
        <v/>
      </c>
      <c r="BQ464" s="87">
        <f>IF(OR(N($BJ464)=0,$BH464=""),"",$BH464/$BJ464-ClearDeduct)</f>
        <v/>
      </c>
      <c r="BR464" s="84">
        <f>IF(N($CH464)=0,"",IF($CH464&gt;=180,"A · 3 HR",IF($CH464&gt;=90,"B · 1-1/2 HR",IF($CH464&gt;=60,"B · 1 HR",IF($CH464&gt;=45,"C · 3/4 HR","20 MIN")))))&amp;IF(AND(N($CH464)&gt;0,OR($I464="CORRIDOR",$I464="SMOKE BARRIER"))," · S","")</f>
        <v/>
      </c>
      <c r="BS464" s="84">
        <f>IF($CS464,"",IF($AV464&lt;&gt;"",$AV464,IF(OR($AC464="HGC",$AO464="HGC"),"CONT",IF(($BI464-HeadClr-Undercut)&lt;=60,2,IF(($BI464-HeadClr-Undercut)&lt;=90,3,IF(($BI464-HeadClr-Undercut)&lt;=120,4,5))))))</f>
        <v/>
      </c>
      <c r="BT464" s="84">
        <f>IF($CS464,"",IF($CT464,"CUSTOM (typed)",IF($CV464,$AT464&amp;" "&amp;$CU464&amp;CHAR(34)&amp;IF($CU464&lt;&gt;$BI464,IF(AND($BI464&lt;$CU464,$BI464-IF(N(VLOOKUP($AT464&amp;"|"&amp;$CU464,LocTable,7,FALSE))&gt;0,VLOOKUP($AT464&amp;"|"&amp;$CU464,LocTable,7,FALSE),VLOOKUP($AT464&amp;"|"&amp;$CU464,LocTable,6,FALSE))-$CR464-0.75&gt;=2.125)," cut down"," adj."),""),"ANSI/SDI A250.6")))</f>
        <v/>
      </c>
      <c r="BU464" s="88">
        <f>IF($CS464,"",IF($CT464,IF(N($AW464)&gt;0,N($AW464),""),IF(1&gt;$CQ464,"",IF($CQ464=1,$CW464,$CW464+($CX464-$CW464)*0/($CQ464-1)))))</f>
        <v/>
      </c>
      <c r="BV464" s="88">
        <f>IF($CS464,"",IF($CT464,IF(N($AX464)&gt;0,N($AX464),""),IF(2&gt;$CQ464,"",IF($CQ464=1,$CW464,$CW464+($CX464-$CW464)*1/($CQ464-1)))))</f>
        <v/>
      </c>
      <c r="BW464" s="88">
        <f>IF($CS464,"",IF($CT464,IF(N($AY464)&gt;0,N($AY464),""),IF(3&gt;$CQ464,"",IF($CQ464=1,$CW464,$CW464+($CX464-$CW464)*2/($CQ464-1)))))</f>
        <v/>
      </c>
      <c r="BX464" s="88">
        <f>IF($CS464,"",IF($CT464,IF(N($AZ464)&gt;0,N($AZ464),""),IF(4&gt;$CQ464,"",IF($CQ464=1,$CW464,$CW464+($CX464-$CW464)*3/($CQ464-1)))))</f>
        <v/>
      </c>
      <c r="BY464" s="88">
        <f>IF($CS464,"",IF($CT464,"",IF(5&gt;$CQ464,"",IF($CQ464=1,$CW464,$CW464+($CX464-$CW464)*4/($CQ464-1)))))</f>
        <v/>
      </c>
      <c r="BZ464" s="88">
        <f>IF(OR($CS464,$AP464="-",AND($AP464="",$AD464="")),"",IF(N($BA464)&gt;0,N($BA464),IF($CV464,IF(AND($BI464&lt;$CU464,$BI464-IF(N(VLOOKUP($AT464&amp;"|"&amp;$CU464,LocTable,7,FALSE))&gt;0,VLOOKUP($AT464&amp;"|"&amp;$CU464,LocTable,7,FALSE),VLOOKUP($AT464&amp;"|"&amp;$CU464,LocTable,6,FALSE))-$CR464-0.75&gt;=2.125),VLOOKUP($AT464&amp;"|"&amp;$CU464,LocTable,8,FALSE),VLOOKUP($AT464&amp;"|"&amp;$CU464,LocTable,8,FALSE)+($BI464-$CU464)),$BI464-LockAFF)))</f>
        <v/>
      </c>
      <c r="CA464" s="89">
        <f>IF($BZ464="","",$BI464-$BZ464)</f>
        <v/>
      </c>
      <c r="CB464" s="84">
        <f>IF(OR(NOT(AND($A464&lt;&gt;"",$C464&lt;&gt;"DOOR ONLY")),$BI464=""),"",IF(($BI464+IF(N($P464)&gt;0,$P464+FaceW,0))&lt;=90,3,IF(($BI464+IF(N($P464)&gt;0,$P464+FaceW,0))&lt;=114,4,5)))</f>
        <v/>
      </c>
      <c r="CC464" s="84">
        <f>IF($CB464="","",$CB464*(2+IF(N($Q464)&gt;0,IF($R464="LR",2,1),0)))</f>
        <v/>
      </c>
      <c r="CD464" s="84">
        <f>IF($CB464="","",(2+IF(N($Q464)&gt;0,IF($R464="LR",2,1),0)))</f>
        <v/>
      </c>
      <c r="CE464" s="84">
        <f>IF(N($BJ464)=0,"",IF(OR($AL464="",$AL464="FLUSH"),"FLUSH",IFERROR(LEFT($AL464,FIND("-",$AL464)-1),LEFT($AL464,2))))</f>
        <v/>
      </c>
      <c r="CF464" s="84">
        <f>IF($CE464="","",IFERROR(VALUE(MID($AL464,FIND("-",$AL464)+1,FIND(CHAR(34)&amp;"x",$AL464)-FIND("-",$AL464)-1)),0))</f>
        <v/>
      </c>
      <c r="CG464" s="84">
        <f>IF($CE464="","",IFERROR(VALUE(MID($AL464,FIND(CHAR(34)&amp;"x",$AL464)+2,FIND(CHAR(34),$AL464,FIND(CHAR(34)&amp;"x",$AL464)+2)-FIND(CHAR(34)&amp;"x",$AL464)-2)),0))</f>
        <v/>
      </c>
      <c r="CH464" s="90">
        <f>IF(OR($A464="",$H464="",$H464="NO LAB"),0,IFERROR(VALUE(LEFT($H464,FIND(" ",$H464)-1)),0))</f>
        <v/>
      </c>
      <c r="CI464" s="91">
        <f>IF(OR($A464="",$I464="",$I464="NON-RATED",N($J464)=0),"",IFERROR(VLOOKUP($I464&amp;"|"&amp;$J464,IBC,2,FALSE),"?"))</f>
        <v/>
      </c>
      <c r="CJ464" s="85">
        <f>IF(NOT(AND($A464&lt;&gt;"",$C464&lt;&gt;"DOOR ONLY")),"",TRIM(IFERROR(VLOOKUP($U464,CODES,2,FALSE),"")&amp;" "&amp;$BG464&amp;" "&amp;IFERROR(VLOOKUP($Z464,CODES,2,FALSE),"")&amp;" "&amp;IFERROR(VLOOKUP($X464,CODES,2,FALSE),"")&amp;" "&amp;IFERROR(VLOOKUP($S464,CODES,2,FALSE),"")&amp;IF(N($P464)&gt;0," w/TRANSOM "&amp;$P464&amp;CHAR(34),"")&amp;IF(N($Q464)&gt;0," w/SIDELITE "&amp;$Q464&amp;CHAR(34)&amp;" "&amp;IF($R464="","R",$R464),"")&amp;IF($Y464="","  |  "," | "&amp;IFERROR(VLOOKUP($Y464,CODES,2,FALSE),"")&amp;" | ")&amp;IFERROR(VLOOKUP($AC464,CODES,2,FALSE),"")&amp;" "&amp;IFERROR(VLOOKUP($AD464,CODES,2,FALSE),"")&amp;IF(OR($AE464="",$AE464="-"),""," "&amp;$AE464)&amp;IF(OR($AF464="",$AF464="-"),""," "&amp;$AF464)&amp;IF($AB464="Y"," 4"&amp;CHAR(34)&amp;" HEAD","")&amp;" "&amp;IFERROR(VLOOKUP($H464,CODES,2,FALSE),"")&amp;IF($CT464," | LOC "&amp;$CY464,"")))</f>
        <v/>
      </c>
      <c r="CK464" s="85">
        <f>IF(NOT(AND($A464&lt;&gt;"",N($BJ464)&gt;0)),"",TRIM(IFERROR(VLOOKUP($AH464,CODES,2,FALSE),"")&amp;IF($AI464=""," "," "&amp;$AI464&amp;"GA ")&amp;$BG464&amp;" "&amp;IF($AN464="",IFERROR(VLOOKUP($Z464,CODES,2,FALSE),""),IFERROR(VLOOKUP($AN464,CODES,2,FALSE),""))&amp;IF($BJ464=2," PAIR","")&amp;" DOOR | "&amp;IF($AL464="","?",$AL464)&amp;" | "&amp;IF($AO464="",IFERROR(VLOOKUP($AC464,CODES,2,FALSE),""),IFERROR(VLOOKUP($AO464,CODES,2,FALSE),""))&amp;" "&amp;IFERROR(VLOOKUP($AP464,CODES,2,FALSE),"")&amp;IF(OR($AQ464="",$AQ464="-"),""," SEAM "&amp;$AQ464)&amp;IF($AR464="Y"," ASTRAGAL","")&amp;IF($AJ464=""," "," "&amp;$AJ464)&amp;IF($AK464=""," "," "&amp;$AK464)&amp;IF(OR($AT464="",$AT464="ANSI/SDI",$AT464="CUSTOM LOC"),""," "&amp;$AT464)&amp;IF($AM464=""," "," SERIES "&amp;$AM464)&amp;" "&amp;IFERROR(VLOOKUP($H464,CODES,2,FALSE),"")&amp;IF($CT464," | LOC "&amp;$CZ464,"")))</f>
        <v/>
      </c>
      <c r="CL464" s="84">
        <f>IF(CP464="","",IF(COUNTIF($CP$6:CP464,CP464)=1,MAX($CL$5:CL463)+1,INDEX($CL$5:CL463,MATCH(CP464,$CP$5:CP463,0))))</f>
        <v/>
      </c>
      <c r="CM464" s="84">
        <f>IF(NOT(AND($A464&lt;&gt;"",$C464&lt;&gt;"DOOR ONLY")),"",MAX($CM$5:CM463)+1)</f>
        <v/>
      </c>
      <c r="CN464" s="84">
        <f>IF(NOT(AND($A464&lt;&gt;"",N($BJ464)&gt;0)),"",MAX($CN$5:CN463)+1)</f>
        <v/>
      </c>
      <c r="CO464" s="84">
        <f>IF($A464="","",MAX($CO$5:CO463)+1)</f>
        <v/>
      </c>
      <c r="CP464" s="84">
        <f>IF(OR($A464="",$BH464="",$BI464=""),"",$BG464&amp;"|"&amp;$O464&amp;"|"&amp;$AL464&amp;"|"&amp;$S464&amp;"|"&amp;$P464&amp;"|"&amp;$Q464&amp;$R464&amp;"|"&amp;$C464&amp;"|"&amp;$AB464)</f>
        <v/>
      </c>
      <c r="CQ464" s="84">
        <f>N($BS464)</f>
        <v/>
      </c>
      <c r="CR464" s="84">
        <f>IF(N($AU464)&gt;0,N($AU464),4.5)</f>
        <v/>
      </c>
      <c r="CS464" s="84">
        <f>OR($A464="",$BI464="",$S464="BL",AND($C464="FRAME ONLY",OR($AC464="",$AC464="BLK")))</f>
        <v/>
      </c>
      <c r="CT464" s="84">
        <f>AND(NOT($CS464),OR($AT464="CUSTOM LOC",N($AW464)+N($AX464)+N($AY464)+N($AZ464)+N($BA464)&gt;0))</f>
        <v/>
      </c>
      <c r="CU464" s="84">
        <f>IF($BI464="","",IF($BI464&lt;=80,80,IF($BI464&lt;=84,84,96)))</f>
        <v/>
      </c>
      <c r="CV464" s="84">
        <f>ISNUMBER(MATCH($AT464&amp;"|80",LocKeys,0))</f>
        <v/>
      </c>
      <c r="CW464" s="86">
        <f>IF($CS464,"",IF($CV464,VLOOKUP($AT464&amp;"|"&amp;$CU464,LocTable,4,FALSE),5))</f>
        <v/>
      </c>
      <c r="CX464" s="86">
        <f>IF($CS464,"",IF($CV464,IF(OR($BI464=$CU464,AND($BI464&lt;$CU464,$BI464-IF(N(VLOOKUP($AT464&amp;"|"&amp;$CU464,LocTable,7,FALSE))&gt;0,VLOOKUP($AT464&amp;"|"&amp;$CU464,LocTable,7,FALSE),VLOOKUP($AT464&amp;"|"&amp;$CU464,LocTable,6,FALSE))-$CR464-0.75&gt;=2.125)),IF(N(VLOOKUP($AT464&amp;"|"&amp;$CU464,LocTable,7,FALSE))&gt;0,VLOOKUP($AT464&amp;"|"&amp;$CU464,LocTable,7,FALSE),VLOOKUP($AT464&amp;"|"&amp;$CU464,LocTable,6,FALSE)),$BI464-($CU464-IF(N(VLOOKUP($AT464&amp;"|"&amp;$CU464,LocTable,7,FALSE))&gt;0,VLOOKUP($AT464&amp;"|"&amp;$CU464,LocTable,7,FALSE),VLOOKUP($AT464&amp;"|"&amp;$CU464,LocTable,6,FALSE)))),$BI464-10-$CR464))</f>
        <v/>
      </c>
      <c r="CY464" s="85">
        <f>IF($CS464,"",TRIM(IF(ISNUMBER($BU464),"A "&amp;TRIM(TEXT($BU464,"# ?/??"))&amp;CHAR(34)&amp;"  ","")&amp;IF(ISNUMBER($BV464),"B "&amp;TRIM(TEXT($BV464,"# ?/??"))&amp;CHAR(34)&amp;"  ","")&amp;IF(ISNUMBER($BW464),"C "&amp;TRIM(TEXT($BW464,"# ?/??"))&amp;CHAR(34)&amp;"  ","")&amp;IF(ISNUMBER($BX464),"D "&amp;TRIM(TEXT($BX464,"# ?/??"))&amp;CHAR(34)&amp;"  ","")&amp;IF(ISNUMBER($BY464),"F "&amp;TRIM(TEXT($BY464,"# ?/??"))&amp;CHAR(34)&amp;"  ","")&amp;IF(ISNUMBER($BZ464),"E "&amp;TRIM(TEXT($BZ464,"# ?/??"))&amp;CHAR(34)&amp;"  ","")))</f>
        <v/>
      </c>
      <c r="CZ464" s="85">
        <f>IF(OR($CS464,N($BJ464)=0),"",TRIM(IF(ISNUMBER($BU464),"A "&amp;TRIM(TEXT($BU464-HeadClr,"# ?/??"))&amp;CHAR(34)&amp;"  ","")&amp;IF(ISNUMBER($BV464),"B "&amp;TRIM(TEXT($BV464-HeadClr,"# ?/??"))&amp;CHAR(34)&amp;"  ","")&amp;IF(ISNUMBER($BW464),"C "&amp;TRIM(TEXT($BW464-HeadClr,"# ?/??"))&amp;CHAR(34)&amp;"  ","")&amp;IF(ISNUMBER($BX464),"D "&amp;TRIM(TEXT($BX464-HeadClr,"# ?/??"))&amp;CHAR(34)&amp;"  ","")&amp;IF(ISNUMBER($BY464),"F "&amp;TRIM(TEXT($BY464-HeadClr,"# ?/??"))&amp;CHAR(34)&amp;"  ","")&amp;IF(ISNUMBER($BZ464),"E "&amp;TRIM(TEXT($BZ464-HeadClr,"# ?/??"))&amp;CHAR(34)&amp;"  ","")))</f>
        <v/>
      </c>
      <c r="DA464" s="84">
        <f>IF($A464="","",IF($AN464="",IFERROR(VLOOKUP($Z464,CODES,2,FALSE),""),IFERROR(VLOOKUP($AN464,CODES,2,FALSE),"")))</f>
        <v/>
      </c>
      <c r="DB464" s="84">
        <f>IF($A464="","",IF($O464="Y","PR",IF(OR($Z464="L",$Z464="RR",LEFT($Z464,2)="L-",LEFT($Z464,3)="RR-"),"LH","RH")))</f>
        <v/>
      </c>
      <c r="DC464" s="84">
        <f>IF($A464="","","S.HM"&amp;IF(OR($C464="DOOR ONLY",$X464&lt;&gt;"KD"),"MASONRY","DRYWALL")&amp;IF($C464="DOOR ONLY","",$U464)&amp;IF(AND($C464&lt;&gt;"FRAME ONLY",OR(LEFT($AH464,3)="OAK",LEFT($AH464,3)="BIR",LEFT($AH464,3)="MAP",$AH464="PC",$AH464="MC",$AH464="SCLC",$AH464="P-LAM")),"WD","HM")&amp;"1.75")</f>
        <v/>
      </c>
      <c r="DD464" s="84">
        <f>IF($CJ464="","",IF($O464="Y",$CJ464,SUBSTITUTE($CJ464,$BG464&amp;" "&amp;IFERROR(VLOOKUP($Z464,CODES,2,FALSE),"")&amp;" ",$BG464&amp;" ")))</f>
        <v/>
      </c>
      <c r="DE464" s="84">
        <f>IF($CK464="","",IF($O464="Y",$CK464,SUBSTITUTE($CK464,$BG464&amp;" "&amp;IF($AN464="",IFERROR(VLOOKUP($Z464,CODES,2,FALSE),""),IFERROR(VLOOKUP($AN464,CODES,2,FALSE),""))&amp;" ",$BG464&amp;" ")))</f>
        <v/>
      </c>
      <c r="DF464" s="84">
        <f>IF($CJ464="","",$DC464&amp;"|"&amp;$DD464&amp;"|"&amp;$DB464&amp;"|"&amp;$AT464&amp;"|"&amp;$V464&amp;"|"&amp;$Y464&amp;"|"&amp;$AB464)</f>
        <v/>
      </c>
      <c r="DG464" s="84">
        <f>IF(DF464="","",IF(COUNTIF($DF$6:DF464,DF464)=1,MAX($DG$5:DG463)+1,INDEX($DG$5:DG463,MATCH(DF464,$DF$5:DF463,0))))</f>
        <v/>
      </c>
      <c r="DH464" s="84">
        <f>IF($CK464="","",$DC464&amp;"|"&amp;$DE464&amp;"|"&amp;$AI464&amp;"|"&amp;$BK464&amp;"|"&amp;$BL464)</f>
        <v/>
      </c>
      <c r="DI464" s="84">
        <f>IF(DH464="","",IF(COUNTIF($DH$6:DH464,DH464)=1,MAX($DI$5:DI463)+1,INDEX($DI$5:DI463,MATCH(DH464,$DH$5:DH463,0))))</f>
        <v/>
      </c>
      <c r="DJ464" s="84">
        <f>IF($A464="","",IF($B464="","qty, ","")&amp;IF($C464="","scope, ","")&amp;IF(OR($K464="",$M464=""),"size, ","")&amp;IF(AND($A464&lt;&gt;"",$C464&lt;&gt;"DOOR ONLY"),IF($U464="","jamb depth, ","")&amp;IF($X464="","construction, ","")&amp;IF($Y464="","anchor, ","")&amp;IF($S464="","frame type, ",""),"")&amp;IF(AND(N($BJ464)&gt;0,$Z464=""),"hand, ","")&amp;IF(N($BJ464)&gt;0,IF($AH464="","door material, ","")&amp;IF($AL464="","face type, ","")&amp;IF($AP464="","lock prep, ","")&amp;IF(AND($AO464="",$AC464=""),"hinge prep, ",""),"")&amp;IF(AND($CH464&gt;0,$AH464="FRP"),"FRP cannot carry a label, ","")&amp;IF(AND($O464="Y",OR($Z464="L",$Z464="R",$Z464="LR",$Z464="RR")),"pair marked but hand is single, ","")&amp;IF(AND($O464&lt;&gt;"Y",OR($Z464="PR",AND(LEN($Z464)&gt;1,ISNUMBER(SEARCH("-",$Z464))))),"pair hand on a single door, ","")&amp;IF(AND(ISNUMBER($CI464),$CH464&lt;N($CI464)),"wall needs a "&amp;$CI464&amp;" min door, ","")&amp;IF(AND($CH464&gt;=180,AND(OR($CE464="FG",$CE464="HG",$CE464="FNV",$CE464="FV"),N($CF464)*N($CG464)&gt;100)),"180 min lite over 100 sq in, ","")&amp;IF(N($BK464)&gt;48,"leaf wider than 4'-0"&amp;CHAR(34)&amp;", ","")&amp;IF(AND($CT464,COUNT($AW464:$AZ464)=0,$CQ464&gt;0),"CUSTOM LOC with no locations typed, ",""))</f>
        <v/>
      </c>
      <c r="DK464" s="84">
        <f>IF($A464="","",IF(AND($CH464&gt;0,AND($A464&lt;&gt;"",$C464&lt;&gt;"DOOR ONLY"),$X464="KD",$E464="EXTERIOR"),"KD label on an exterior opening, ","")&amp;IF(AND($E464="EXTERIOR",OR(AND(AND($A464&lt;&gt;"",$C464&lt;&gt;"DOOR ONLY"),$W464="CR"),AND(N($BJ464)&gt;0,$AH464="CR"))),"exterior in CR steel (G9?), ","")&amp;IF(AND(ISNUMBER($BQ464),N($BQ464)&lt;32),"clear width ~"&amp;TEXT($BQ464,"0.0")&amp;CHAR(34)&amp;" under 32"&amp;CHAR(34)&amp;" (ADA), ","")&amp;IF(AND($CH464=90,AND(OR($CE464="FG",$CE464="HG",$CE464="FNV",$CE464="FV"),N($CF464)*N($CG464)&gt;100)),"90 min lite over 100 sq in (stair/exit), ","")&amp;IF(AND($CH464&gt;0,AND($A464&lt;&gt;"",$C464&lt;&gt;"DOOR ONLY"),OR($AF464="",$AF464="-")),"rated: closer reinf.?, ","")&amp;IF(OR($I464="CORRIDOR",$I464="SMOKE BARRIER"),"S label + smoke gasketing, ","")&amp;IF($CI464="?","wall type/hr not in IBC table, ","")&amp;IF(AND(N($BJ464)&gt;0,$BB464=""),"no hardware set, ","")&amp;IF(AND($BB464&lt;&gt;"",ISNA(MATCH($BB464&amp;"",HWSets,0))),"set "&amp;$BB464&amp;" not on HW Sets, ","")&amp;IF(N($BL464)&gt;96,"leaf over 8'-0"&amp;CHAR(34)&amp;" - check listing, ","")&amp;IF(AND($CT464,COUNT($AW464:$AZ464)&gt;0,COUNT($AW464:$AZ464)&lt;&gt;$CQ464),COUNT($AW464:$AZ464)&amp;" custom hinges typed, "&amp;$CQ464&amp;" expected, ","")&amp;IF(AND(ISNUMBER($CA464),OR(N($CA464)&lt;34,N($CA464)&gt;48)),"lock "&amp;TEXT($CA464,"0.0")&amp;CHAR(34)&amp;" AFF outside 34-48"&amp;CHAR(34)&amp;" (ADA), ","")&amp;IF(AND(ISNUMBER($AV464),ISNUMBER($BL464),N($AV464)&lt;IF(N($BL464)&lt;=60,2,IF(N($BL464)&lt;=90,3,IF(N($BL464)&lt;=120,4,5)))),"fewer hinges than standard, ",""))</f>
        <v/>
      </c>
    </row>
    <row r="465" ht="15" customHeight="1">
      <c r="A465" s="92" t="n"/>
      <c r="B465" s="93" t="n"/>
      <c r="C465" s="93" t="n"/>
      <c r="D465" s="93" t="n"/>
      <c r="E465" s="93" t="n"/>
      <c r="F465" s="93" t="n"/>
      <c r="G465" s="93" t="n"/>
      <c r="H465" s="93" t="n"/>
      <c r="I465" s="93" t="n"/>
      <c r="J465" s="93" t="n"/>
      <c r="K465" s="93" t="n"/>
      <c r="L465" s="93" t="n"/>
      <c r="M465" s="93" t="n"/>
      <c r="N465" s="93" t="n"/>
      <c r="O465" s="93" t="n"/>
      <c r="P465" s="93" t="n"/>
      <c r="Q465" s="93" t="n"/>
      <c r="R465" s="93" t="n"/>
      <c r="S465" s="94" t="n"/>
      <c r="T465" s="94" t="n"/>
      <c r="U465" s="94" t="n"/>
      <c r="V465" s="94" t="n"/>
      <c r="W465" s="94" t="n"/>
      <c r="X465" s="94" t="n"/>
      <c r="Y465" s="94" t="n"/>
      <c r="Z465" s="94" t="n"/>
      <c r="AA465" s="94" t="n"/>
      <c r="AB465" s="94" t="n"/>
      <c r="AC465" s="94" t="n"/>
      <c r="AD465" s="94" t="n"/>
      <c r="AE465" s="94" t="n"/>
      <c r="AF465" s="94" t="n"/>
      <c r="AG465" s="94" t="n"/>
      <c r="AH465" s="95" t="n"/>
      <c r="AI465" s="95" t="n"/>
      <c r="AJ465" s="95" t="n"/>
      <c r="AK465" s="95" t="n"/>
      <c r="AL465" s="95" t="n"/>
      <c r="AM465" s="95" t="n"/>
      <c r="AN465" s="95" t="n"/>
      <c r="AO465" s="95" t="n"/>
      <c r="AP465" s="95" t="n"/>
      <c r="AQ465" s="95" t="n"/>
      <c r="AR465" s="95" t="n"/>
      <c r="AS465" s="95" t="n"/>
      <c r="AT465" s="96" t="n"/>
      <c r="AU465" s="96" t="n"/>
      <c r="AV465" s="96" t="n"/>
      <c r="AW465" s="97" t="n"/>
      <c r="AX465" s="97" t="n"/>
      <c r="AY465" s="97" t="n"/>
      <c r="AZ465" s="97" t="n"/>
      <c r="BA465" s="97" t="n"/>
      <c r="BB465" s="98" t="n"/>
      <c r="BC465" s="98" t="n"/>
      <c r="BD465" s="99">
        <f>IF($A465="","",IF($DJ465&lt;&gt;"","FIX",IF($DK465&lt;&gt;"","CHECK","OK")))</f>
        <v/>
      </c>
      <c r="BE465" s="100">
        <f>IF($A465="","",IF($DJ465&lt;&gt;"","FIX: "&amp;LEFT($DJ465,LEN($DJ465)-2)&amp;IF($DK465&lt;&gt;"","  ·  ",""),"")&amp;IF($DK465&lt;&gt;"","CHECK: "&amp;LEFT($DK465,LEN($DK465)-2),""))</f>
        <v/>
      </c>
      <c r="BF465" s="99">
        <f>IF(OR($A465="",$K465=""),"",$K465&amp;"'-"&amp;N($L465)&amp;CHAR(34)&amp;" x "&amp;$M465&amp;"'-"&amp;N($N465)&amp;CHAR(34))</f>
        <v/>
      </c>
      <c r="BG465" s="99">
        <f>IF(OR($A465="",$K465=""),"",$K465&amp;N($L465)&amp;$M465&amp;N($N465))</f>
        <v/>
      </c>
      <c r="BH465" s="99">
        <f>IF(OR($A465="",$K465=""),"",$K465*12+N($L465))</f>
        <v/>
      </c>
      <c r="BI465" s="99">
        <f>IF(OR($A465="",$M465=""),"",$M465*12+N($N465))</f>
        <v/>
      </c>
      <c r="BJ465" s="99">
        <f>IF($A465="","",IF(OR($C465="FRAME ONLY",$S465="BL"),0,IF($O465="Y",2,1)))</f>
        <v/>
      </c>
      <c r="BK465" s="101">
        <f>IF(OR(N($BJ465)=0,$BH465=""),"",($BH465-2*EdgeClr-IF($BJ465=2,MeetClr,0))/$BJ465)</f>
        <v/>
      </c>
      <c r="BL465" s="101">
        <f>IF(OR(N($BJ465)=0,$BI465=""),"",$BI465-HeadClr-Undercut)</f>
        <v/>
      </c>
      <c r="BM465" s="101">
        <f>IF($BH465="","",$BH465+2*FaceW+IF(N($Q465)&gt;0,($Q465+FaceW)*IF($R465="LR",2,1),0))</f>
        <v/>
      </c>
      <c r="BN465" s="101">
        <f>IF($BI465="","",$BI465+IF($AB465="Y",4,FaceW)+IF(N($P465)&gt;0,$P465+FaceW,0)+IF(OR($S465="4F",$S465="BL"),FaceW,0))</f>
        <v/>
      </c>
      <c r="BO465" s="101">
        <f>IF($BM465="","",$BM465+2*ROSide)</f>
        <v/>
      </c>
      <c r="BP465" s="101">
        <f>IF($BN465="","",$BN465+ROTop)</f>
        <v/>
      </c>
      <c r="BQ465" s="102">
        <f>IF(OR(N($BJ465)=0,$BH465=""),"",$BH465/$BJ465-ClearDeduct)</f>
        <v/>
      </c>
      <c r="BR465" s="99">
        <f>IF(N($CH465)=0,"",IF($CH465&gt;=180,"A · 3 HR",IF($CH465&gt;=90,"B · 1-1/2 HR",IF($CH465&gt;=60,"B · 1 HR",IF($CH465&gt;=45,"C · 3/4 HR","20 MIN")))))&amp;IF(AND(N($CH465)&gt;0,OR($I465="CORRIDOR",$I465="SMOKE BARRIER"))," · S","")</f>
        <v/>
      </c>
      <c r="BS465" s="99">
        <f>IF($CS465,"",IF($AV465&lt;&gt;"",$AV465,IF(OR($AC465="HGC",$AO465="HGC"),"CONT",IF(($BI465-HeadClr-Undercut)&lt;=60,2,IF(($BI465-HeadClr-Undercut)&lt;=90,3,IF(($BI465-HeadClr-Undercut)&lt;=120,4,5))))))</f>
        <v/>
      </c>
      <c r="BT465" s="99">
        <f>IF($CS465,"",IF($CT465,"CUSTOM (typed)",IF($CV465,$AT465&amp;" "&amp;$CU465&amp;CHAR(34)&amp;IF($CU465&lt;&gt;$BI465,IF(AND($BI465&lt;$CU465,$BI465-IF(N(VLOOKUP($AT465&amp;"|"&amp;$CU465,LocTable,7,FALSE))&gt;0,VLOOKUP($AT465&amp;"|"&amp;$CU465,LocTable,7,FALSE),VLOOKUP($AT465&amp;"|"&amp;$CU465,LocTable,6,FALSE))-$CR465-0.75&gt;=2.125)," cut down"," adj."),""),"ANSI/SDI A250.6")))</f>
        <v/>
      </c>
      <c r="BU465" s="103">
        <f>IF($CS465,"",IF($CT465,IF(N($AW465)&gt;0,N($AW465),""),IF(1&gt;$CQ465,"",IF($CQ465=1,$CW465,$CW465+($CX465-$CW465)*0/($CQ465-1)))))</f>
        <v/>
      </c>
      <c r="BV465" s="103">
        <f>IF($CS465,"",IF($CT465,IF(N($AX465)&gt;0,N($AX465),""),IF(2&gt;$CQ465,"",IF($CQ465=1,$CW465,$CW465+($CX465-$CW465)*1/($CQ465-1)))))</f>
        <v/>
      </c>
      <c r="BW465" s="103">
        <f>IF($CS465,"",IF($CT465,IF(N($AY465)&gt;0,N($AY465),""),IF(3&gt;$CQ465,"",IF($CQ465=1,$CW465,$CW465+($CX465-$CW465)*2/($CQ465-1)))))</f>
        <v/>
      </c>
      <c r="BX465" s="103">
        <f>IF($CS465,"",IF($CT465,IF(N($AZ465)&gt;0,N($AZ465),""),IF(4&gt;$CQ465,"",IF($CQ465=1,$CW465,$CW465+($CX465-$CW465)*3/($CQ465-1)))))</f>
        <v/>
      </c>
      <c r="BY465" s="103">
        <f>IF($CS465,"",IF($CT465,"",IF(5&gt;$CQ465,"",IF($CQ465=1,$CW465,$CW465+($CX465-$CW465)*4/($CQ465-1)))))</f>
        <v/>
      </c>
      <c r="BZ465" s="103">
        <f>IF(OR($CS465,$AP465="-",AND($AP465="",$AD465="")),"",IF(N($BA465)&gt;0,N($BA465),IF($CV465,IF(AND($BI465&lt;$CU465,$BI465-IF(N(VLOOKUP($AT465&amp;"|"&amp;$CU465,LocTable,7,FALSE))&gt;0,VLOOKUP($AT465&amp;"|"&amp;$CU465,LocTable,7,FALSE),VLOOKUP($AT465&amp;"|"&amp;$CU465,LocTable,6,FALSE))-$CR465-0.75&gt;=2.125),VLOOKUP($AT465&amp;"|"&amp;$CU465,LocTable,8,FALSE),VLOOKUP($AT465&amp;"|"&amp;$CU465,LocTable,8,FALSE)+($BI465-$CU465)),$BI465-LockAFF)))</f>
        <v/>
      </c>
      <c r="CA465" s="104">
        <f>IF($BZ465="","",$BI465-$BZ465)</f>
        <v/>
      </c>
      <c r="CB465" s="99">
        <f>IF(OR(NOT(AND($A465&lt;&gt;"",$C465&lt;&gt;"DOOR ONLY")),$BI465=""),"",IF(($BI465+IF(N($P465)&gt;0,$P465+FaceW,0))&lt;=90,3,IF(($BI465+IF(N($P465)&gt;0,$P465+FaceW,0))&lt;=114,4,5)))</f>
        <v/>
      </c>
      <c r="CC465" s="99">
        <f>IF($CB465="","",$CB465*(2+IF(N($Q465)&gt;0,IF($R465="LR",2,1),0)))</f>
        <v/>
      </c>
      <c r="CD465" s="99">
        <f>IF($CB465="","",(2+IF(N($Q465)&gt;0,IF($R465="LR",2,1),0)))</f>
        <v/>
      </c>
      <c r="CE465" s="99">
        <f>IF(N($BJ465)=0,"",IF(OR($AL465="",$AL465="FLUSH"),"FLUSH",IFERROR(LEFT($AL465,FIND("-",$AL465)-1),LEFT($AL465,2))))</f>
        <v/>
      </c>
      <c r="CF465" s="99">
        <f>IF($CE465="","",IFERROR(VALUE(MID($AL465,FIND("-",$AL465)+1,FIND(CHAR(34)&amp;"x",$AL465)-FIND("-",$AL465)-1)),0))</f>
        <v/>
      </c>
      <c r="CG465" s="99">
        <f>IF($CE465="","",IFERROR(VALUE(MID($AL465,FIND(CHAR(34)&amp;"x",$AL465)+2,FIND(CHAR(34),$AL465,FIND(CHAR(34)&amp;"x",$AL465)+2)-FIND(CHAR(34)&amp;"x",$AL465)-2)),0))</f>
        <v/>
      </c>
      <c r="CH465" s="105">
        <f>IF(OR($A465="",$H465="",$H465="NO LAB"),0,IFERROR(VALUE(LEFT($H465,FIND(" ",$H465)-1)),0))</f>
        <v/>
      </c>
      <c r="CI465" s="106">
        <f>IF(OR($A465="",$I465="",$I465="NON-RATED",N($J465)=0),"",IFERROR(VLOOKUP($I465&amp;"|"&amp;$J465,IBC,2,FALSE),"?"))</f>
        <v/>
      </c>
      <c r="CJ465" s="100">
        <f>IF(NOT(AND($A465&lt;&gt;"",$C465&lt;&gt;"DOOR ONLY")),"",TRIM(IFERROR(VLOOKUP($U465,CODES,2,FALSE),"")&amp;" "&amp;$BG465&amp;" "&amp;IFERROR(VLOOKUP($Z465,CODES,2,FALSE),"")&amp;" "&amp;IFERROR(VLOOKUP($X465,CODES,2,FALSE),"")&amp;" "&amp;IFERROR(VLOOKUP($S465,CODES,2,FALSE),"")&amp;IF(N($P465)&gt;0," w/TRANSOM "&amp;$P465&amp;CHAR(34),"")&amp;IF(N($Q465)&gt;0," w/SIDELITE "&amp;$Q465&amp;CHAR(34)&amp;" "&amp;IF($R465="","R",$R465),"")&amp;IF($Y465="","  |  "," | "&amp;IFERROR(VLOOKUP($Y465,CODES,2,FALSE),"")&amp;" | ")&amp;IFERROR(VLOOKUP($AC465,CODES,2,FALSE),"")&amp;" "&amp;IFERROR(VLOOKUP($AD465,CODES,2,FALSE),"")&amp;IF(OR($AE465="",$AE465="-"),""," "&amp;$AE465)&amp;IF(OR($AF465="",$AF465="-"),""," "&amp;$AF465)&amp;IF($AB465="Y"," 4"&amp;CHAR(34)&amp;" HEAD","")&amp;" "&amp;IFERROR(VLOOKUP($H465,CODES,2,FALSE),"")&amp;IF($CT465," | LOC "&amp;$CY465,"")))</f>
        <v/>
      </c>
      <c r="CK465" s="100">
        <f>IF(NOT(AND($A465&lt;&gt;"",N($BJ465)&gt;0)),"",TRIM(IFERROR(VLOOKUP($AH465,CODES,2,FALSE),"")&amp;IF($AI465=""," "," "&amp;$AI465&amp;"GA ")&amp;$BG465&amp;" "&amp;IF($AN465="",IFERROR(VLOOKUP($Z465,CODES,2,FALSE),""),IFERROR(VLOOKUP($AN465,CODES,2,FALSE),""))&amp;IF($BJ465=2," PAIR","")&amp;" DOOR | "&amp;IF($AL465="","?",$AL465)&amp;" | "&amp;IF($AO465="",IFERROR(VLOOKUP($AC465,CODES,2,FALSE),""),IFERROR(VLOOKUP($AO465,CODES,2,FALSE),""))&amp;" "&amp;IFERROR(VLOOKUP($AP465,CODES,2,FALSE),"")&amp;IF(OR($AQ465="",$AQ465="-"),""," SEAM "&amp;$AQ465)&amp;IF($AR465="Y"," ASTRAGAL","")&amp;IF($AJ465=""," "," "&amp;$AJ465)&amp;IF($AK465=""," "," "&amp;$AK465)&amp;IF(OR($AT465="",$AT465="ANSI/SDI",$AT465="CUSTOM LOC"),""," "&amp;$AT465)&amp;IF($AM465=""," "," SERIES "&amp;$AM465)&amp;" "&amp;IFERROR(VLOOKUP($H465,CODES,2,FALSE),"")&amp;IF($CT465," | LOC "&amp;$CZ465,"")))</f>
        <v/>
      </c>
      <c r="CL465" s="99">
        <f>IF(CP465="","",IF(COUNTIF($CP$6:CP465,CP465)=1,MAX($CL$5:CL464)+1,INDEX($CL$5:CL464,MATCH(CP465,$CP$5:CP464,0))))</f>
        <v/>
      </c>
      <c r="CM465" s="99">
        <f>IF(NOT(AND($A465&lt;&gt;"",$C465&lt;&gt;"DOOR ONLY")),"",MAX($CM$5:CM464)+1)</f>
        <v/>
      </c>
      <c r="CN465" s="99">
        <f>IF(NOT(AND($A465&lt;&gt;"",N($BJ465)&gt;0)),"",MAX($CN$5:CN464)+1)</f>
        <v/>
      </c>
      <c r="CO465" s="99">
        <f>IF($A465="","",MAX($CO$5:CO464)+1)</f>
        <v/>
      </c>
      <c r="CP465" s="99">
        <f>IF(OR($A465="",$BH465="",$BI465=""),"",$BG465&amp;"|"&amp;$O465&amp;"|"&amp;$AL465&amp;"|"&amp;$S465&amp;"|"&amp;$P465&amp;"|"&amp;$Q465&amp;$R465&amp;"|"&amp;$C465&amp;"|"&amp;$AB465)</f>
        <v/>
      </c>
      <c r="CQ465" s="99">
        <f>N($BS465)</f>
        <v/>
      </c>
      <c r="CR465" s="99">
        <f>IF(N($AU465)&gt;0,N($AU465),4.5)</f>
        <v/>
      </c>
      <c r="CS465" s="99">
        <f>OR($A465="",$BI465="",$S465="BL",AND($C465="FRAME ONLY",OR($AC465="",$AC465="BLK")))</f>
        <v/>
      </c>
      <c r="CT465" s="99">
        <f>AND(NOT($CS465),OR($AT465="CUSTOM LOC",N($AW465)+N($AX465)+N($AY465)+N($AZ465)+N($BA465)&gt;0))</f>
        <v/>
      </c>
      <c r="CU465" s="99">
        <f>IF($BI465="","",IF($BI465&lt;=80,80,IF($BI465&lt;=84,84,96)))</f>
        <v/>
      </c>
      <c r="CV465" s="99">
        <f>ISNUMBER(MATCH($AT465&amp;"|80",LocKeys,0))</f>
        <v/>
      </c>
      <c r="CW465" s="101">
        <f>IF($CS465,"",IF($CV465,VLOOKUP($AT465&amp;"|"&amp;$CU465,LocTable,4,FALSE),5))</f>
        <v/>
      </c>
      <c r="CX465" s="101">
        <f>IF($CS465,"",IF($CV465,IF(OR($BI465=$CU465,AND($BI465&lt;$CU465,$BI465-IF(N(VLOOKUP($AT465&amp;"|"&amp;$CU465,LocTable,7,FALSE))&gt;0,VLOOKUP($AT465&amp;"|"&amp;$CU465,LocTable,7,FALSE),VLOOKUP($AT465&amp;"|"&amp;$CU465,LocTable,6,FALSE))-$CR465-0.75&gt;=2.125)),IF(N(VLOOKUP($AT465&amp;"|"&amp;$CU465,LocTable,7,FALSE))&gt;0,VLOOKUP($AT465&amp;"|"&amp;$CU465,LocTable,7,FALSE),VLOOKUP($AT465&amp;"|"&amp;$CU465,LocTable,6,FALSE)),$BI465-($CU465-IF(N(VLOOKUP($AT465&amp;"|"&amp;$CU465,LocTable,7,FALSE))&gt;0,VLOOKUP($AT465&amp;"|"&amp;$CU465,LocTable,7,FALSE),VLOOKUP($AT465&amp;"|"&amp;$CU465,LocTable,6,FALSE)))),$BI465-10-$CR465))</f>
        <v/>
      </c>
      <c r="CY465" s="100">
        <f>IF($CS465,"",TRIM(IF(ISNUMBER($BU465),"A "&amp;TRIM(TEXT($BU465,"# ?/??"))&amp;CHAR(34)&amp;"  ","")&amp;IF(ISNUMBER($BV465),"B "&amp;TRIM(TEXT($BV465,"# ?/??"))&amp;CHAR(34)&amp;"  ","")&amp;IF(ISNUMBER($BW465),"C "&amp;TRIM(TEXT($BW465,"# ?/??"))&amp;CHAR(34)&amp;"  ","")&amp;IF(ISNUMBER($BX465),"D "&amp;TRIM(TEXT($BX465,"# ?/??"))&amp;CHAR(34)&amp;"  ","")&amp;IF(ISNUMBER($BY465),"F "&amp;TRIM(TEXT($BY465,"# ?/??"))&amp;CHAR(34)&amp;"  ","")&amp;IF(ISNUMBER($BZ465),"E "&amp;TRIM(TEXT($BZ465,"# ?/??"))&amp;CHAR(34)&amp;"  ","")))</f>
        <v/>
      </c>
      <c r="CZ465" s="100">
        <f>IF(OR($CS465,N($BJ465)=0),"",TRIM(IF(ISNUMBER($BU465),"A "&amp;TRIM(TEXT($BU465-HeadClr,"# ?/??"))&amp;CHAR(34)&amp;"  ","")&amp;IF(ISNUMBER($BV465),"B "&amp;TRIM(TEXT($BV465-HeadClr,"# ?/??"))&amp;CHAR(34)&amp;"  ","")&amp;IF(ISNUMBER($BW465),"C "&amp;TRIM(TEXT($BW465-HeadClr,"# ?/??"))&amp;CHAR(34)&amp;"  ","")&amp;IF(ISNUMBER($BX465),"D "&amp;TRIM(TEXT($BX465-HeadClr,"# ?/??"))&amp;CHAR(34)&amp;"  ","")&amp;IF(ISNUMBER($BY465),"F "&amp;TRIM(TEXT($BY465-HeadClr,"# ?/??"))&amp;CHAR(34)&amp;"  ","")&amp;IF(ISNUMBER($BZ465),"E "&amp;TRIM(TEXT($BZ465-HeadClr,"# ?/??"))&amp;CHAR(34)&amp;"  ","")))</f>
        <v/>
      </c>
      <c r="DA465" s="99">
        <f>IF($A465="","",IF($AN465="",IFERROR(VLOOKUP($Z465,CODES,2,FALSE),""),IFERROR(VLOOKUP($AN465,CODES,2,FALSE),"")))</f>
        <v/>
      </c>
      <c r="DB465" s="99">
        <f>IF($A465="","",IF($O465="Y","PR",IF(OR($Z465="L",$Z465="RR",LEFT($Z465,2)="L-",LEFT($Z465,3)="RR-"),"LH","RH")))</f>
        <v/>
      </c>
      <c r="DC465" s="99">
        <f>IF($A465="","","S.HM"&amp;IF(OR($C465="DOOR ONLY",$X465&lt;&gt;"KD"),"MASONRY","DRYWALL")&amp;IF($C465="DOOR ONLY","",$U465)&amp;IF(AND($C465&lt;&gt;"FRAME ONLY",OR(LEFT($AH465,3)="OAK",LEFT($AH465,3)="BIR",LEFT($AH465,3)="MAP",$AH465="PC",$AH465="MC",$AH465="SCLC",$AH465="P-LAM")),"WD","HM")&amp;"1.75")</f>
        <v/>
      </c>
      <c r="DD465" s="99">
        <f>IF($CJ465="","",IF($O465="Y",$CJ465,SUBSTITUTE($CJ465,$BG465&amp;" "&amp;IFERROR(VLOOKUP($Z465,CODES,2,FALSE),"")&amp;" ",$BG465&amp;" ")))</f>
        <v/>
      </c>
      <c r="DE465" s="99">
        <f>IF($CK465="","",IF($O465="Y",$CK465,SUBSTITUTE($CK465,$BG465&amp;" "&amp;IF($AN465="",IFERROR(VLOOKUP($Z465,CODES,2,FALSE),""),IFERROR(VLOOKUP($AN465,CODES,2,FALSE),""))&amp;" ",$BG465&amp;" ")))</f>
        <v/>
      </c>
      <c r="DF465" s="99">
        <f>IF($CJ465="","",$DC465&amp;"|"&amp;$DD465&amp;"|"&amp;$DB465&amp;"|"&amp;$AT465&amp;"|"&amp;$V465&amp;"|"&amp;$Y465&amp;"|"&amp;$AB465)</f>
        <v/>
      </c>
      <c r="DG465" s="99">
        <f>IF(DF465="","",IF(COUNTIF($DF$6:DF465,DF465)=1,MAX($DG$5:DG464)+1,INDEX($DG$5:DG464,MATCH(DF465,$DF$5:DF464,0))))</f>
        <v/>
      </c>
      <c r="DH465" s="99">
        <f>IF($CK465="","",$DC465&amp;"|"&amp;$DE465&amp;"|"&amp;$AI465&amp;"|"&amp;$BK465&amp;"|"&amp;$BL465)</f>
        <v/>
      </c>
      <c r="DI465" s="99">
        <f>IF(DH465="","",IF(COUNTIF($DH$6:DH465,DH465)=1,MAX($DI$5:DI464)+1,INDEX($DI$5:DI464,MATCH(DH465,$DH$5:DH464,0))))</f>
        <v/>
      </c>
      <c r="DJ465" s="99">
        <f>IF($A465="","",IF($B465="","qty, ","")&amp;IF($C465="","scope, ","")&amp;IF(OR($K465="",$M465=""),"size, ","")&amp;IF(AND($A465&lt;&gt;"",$C465&lt;&gt;"DOOR ONLY"),IF($U465="","jamb depth, ","")&amp;IF($X465="","construction, ","")&amp;IF($Y465="","anchor, ","")&amp;IF($S465="","frame type, ",""),"")&amp;IF(AND(N($BJ465)&gt;0,$Z465=""),"hand, ","")&amp;IF(N($BJ465)&gt;0,IF($AH465="","door material, ","")&amp;IF($AL465="","face type, ","")&amp;IF($AP465="","lock prep, ","")&amp;IF(AND($AO465="",$AC465=""),"hinge prep, ",""),"")&amp;IF(AND($CH465&gt;0,$AH465="FRP"),"FRP cannot carry a label, ","")&amp;IF(AND($O465="Y",OR($Z465="L",$Z465="R",$Z465="LR",$Z465="RR")),"pair marked but hand is single, ","")&amp;IF(AND($O465&lt;&gt;"Y",OR($Z465="PR",AND(LEN($Z465)&gt;1,ISNUMBER(SEARCH("-",$Z465))))),"pair hand on a single door, ","")&amp;IF(AND(ISNUMBER($CI465),$CH465&lt;N($CI465)),"wall needs a "&amp;$CI465&amp;" min door, ","")&amp;IF(AND($CH465&gt;=180,AND(OR($CE465="FG",$CE465="HG",$CE465="FNV",$CE465="FV"),N($CF465)*N($CG465)&gt;100)),"180 min lite over 100 sq in, ","")&amp;IF(N($BK465)&gt;48,"leaf wider than 4'-0"&amp;CHAR(34)&amp;", ","")&amp;IF(AND($CT465,COUNT($AW465:$AZ465)=0,$CQ465&gt;0),"CUSTOM LOC with no locations typed, ",""))</f>
        <v/>
      </c>
      <c r="DK465" s="99">
        <f>IF($A465="","",IF(AND($CH465&gt;0,AND($A465&lt;&gt;"",$C465&lt;&gt;"DOOR ONLY"),$X465="KD",$E465="EXTERIOR"),"KD label on an exterior opening, ","")&amp;IF(AND($E465="EXTERIOR",OR(AND(AND($A465&lt;&gt;"",$C465&lt;&gt;"DOOR ONLY"),$W465="CR"),AND(N($BJ465)&gt;0,$AH465="CR"))),"exterior in CR steel (G9?), ","")&amp;IF(AND(ISNUMBER($BQ465),N($BQ465)&lt;32),"clear width ~"&amp;TEXT($BQ465,"0.0")&amp;CHAR(34)&amp;" under 32"&amp;CHAR(34)&amp;" (ADA), ","")&amp;IF(AND($CH465=90,AND(OR($CE465="FG",$CE465="HG",$CE465="FNV",$CE465="FV"),N($CF465)*N($CG465)&gt;100)),"90 min lite over 100 sq in (stair/exit), ","")&amp;IF(AND($CH465&gt;0,AND($A465&lt;&gt;"",$C465&lt;&gt;"DOOR ONLY"),OR($AF465="",$AF465="-")),"rated: closer reinf.?, ","")&amp;IF(OR($I465="CORRIDOR",$I465="SMOKE BARRIER"),"S label + smoke gasketing, ","")&amp;IF($CI465="?","wall type/hr not in IBC table, ","")&amp;IF(AND(N($BJ465)&gt;0,$BB465=""),"no hardware set, ","")&amp;IF(AND($BB465&lt;&gt;"",ISNA(MATCH($BB465&amp;"",HWSets,0))),"set "&amp;$BB465&amp;" not on HW Sets, ","")&amp;IF(N($BL465)&gt;96,"leaf over 8'-0"&amp;CHAR(34)&amp;" - check listing, ","")&amp;IF(AND($CT465,COUNT($AW465:$AZ465)&gt;0,COUNT($AW465:$AZ465)&lt;&gt;$CQ465),COUNT($AW465:$AZ465)&amp;" custom hinges typed, "&amp;$CQ465&amp;" expected, ","")&amp;IF(AND(ISNUMBER($CA465),OR(N($CA465)&lt;34,N($CA465)&gt;48)),"lock "&amp;TEXT($CA465,"0.0")&amp;CHAR(34)&amp;" AFF outside 34-48"&amp;CHAR(34)&amp;" (ADA), ","")&amp;IF(AND(ISNUMBER($AV465),ISNUMBER($BL465),N($AV465)&lt;IF(N($BL465)&lt;=60,2,IF(N($BL465)&lt;=90,3,IF(N($BL465)&lt;=120,4,5)))),"fewer hinges than standard, ",""))</f>
        <v/>
      </c>
    </row>
    <row r="466" ht="15" customHeight="1">
      <c r="A466" s="77" t="n"/>
      <c r="B466" s="78" t="n"/>
      <c r="C466" s="78" t="n"/>
      <c r="D466" s="78" t="n"/>
      <c r="E466" s="78" t="n"/>
      <c r="F466" s="78" t="n"/>
      <c r="G466" s="78" t="n"/>
      <c r="H466" s="78" t="n"/>
      <c r="I466" s="78" t="n"/>
      <c r="J466" s="78" t="n"/>
      <c r="K466" s="78" t="n"/>
      <c r="L466" s="78" t="n"/>
      <c r="M466" s="78" t="n"/>
      <c r="N466" s="78" t="n"/>
      <c r="O466" s="78" t="n"/>
      <c r="P466" s="78" t="n"/>
      <c r="Q466" s="78" t="n"/>
      <c r="R466" s="78" t="n"/>
      <c r="S466" s="79" t="n"/>
      <c r="T466" s="79" t="n"/>
      <c r="U466" s="79" t="n"/>
      <c r="V466" s="79" t="n"/>
      <c r="W466" s="79" t="n"/>
      <c r="X466" s="79" t="n"/>
      <c r="Y466" s="79" t="n"/>
      <c r="Z466" s="79" t="n"/>
      <c r="AA466" s="79" t="n"/>
      <c r="AB466" s="79" t="n"/>
      <c r="AC466" s="79" t="n"/>
      <c r="AD466" s="79" t="n"/>
      <c r="AE466" s="79" t="n"/>
      <c r="AF466" s="79" t="n"/>
      <c r="AG466" s="79" t="n"/>
      <c r="AH466" s="80" t="n"/>
      <c r="AI466" s="80" t="n"/>
      <c r="AJ466" s="80" t="n"/>
      <c r="AK466" s="80" t="n"/>
      <c r="AL466" s="80" t="n"/>
      <c r="AM466" s="80" t="n"/>
      <c r="AN466" s="80" t="n"/>
      <c r="AO466" s="80" t="n"/>
      <c r="AP466" s="80" t="n"/>
      <c r="AQ466" s="80" t="n"/>
      <c r="AR466" s="80" t="n"/>
      <c r="AS466" s="80" t="n"/>
      <c r="AT466" s="81" t="n"/>
      <c r="AU466" s="81" t="n"/>
      <c r="AV466" s="81" t="n"/>
      <c r="AW466" s="82" t="n"/>
      <c r="AX466" s="82" t="n"/>
      <c r="AY466" s="82" t="n"/>
      <c r="AZ466" s="82" t="n"/>
      <c r="BA466" s="82" t="n"/>
      <c r="BB466" s="83" t="n"/>
      <c r="BC466" s="83" t="n"/>
      <c r="BD466" s="84">
        <f>IF($A466="","",IF($DJ466&lt;&gt;"","FIX",IF($DK466&lt;&gt;"","CHECK","OK")))</f>
        <v/>
      </c>
      <c r="BE466" s="85">
        <f>IF($A466="","",IF($DJ466&lt;&gt;"","FIX: "&amp;LEFT($DJ466,LEN($DJ466)-2)&amp;IF($DK466&lt;&gt;"","  ·  ",""),"")&amp;IF($DK466&lt;&gt;"","CHECK: "&amp;LEFT($DK466,LEN($DK466)-2),""))</f>
        <v/>
      </c>
      <c r="BF466" s="84">
        <f>IF(OR($A466="",$K466=""),"",$K466&amp;"'-"&amp;N($L466)&amp;CHAR(34)&amp;" x "&amp;$M466&amp;"'-"&amp;N($N466)&amp;CHAR(34))</f>
        <v/>
      </c>
      <c r="BG466" s="84">
        <f>IF(OR($A466="",$K466=""),"",$K466&amp;N($L466)&amp;$M466&amp;N($N466))</f>
        <v/>
      </c>
      <c r="BH466" s="84">
        <f>IF(OR($A466="",$K466=""),"",$K466*12+N($L466))</f>
        <v/>
      </c>
      <c r="BI466" s="84">
        <f>IF(OR($A466="",$M466=""),"",$M466*12+N($N466))</f>
        <v/>
      </c>
      <c r="BJ466" s="84">
        <f>IF($A466="","",IF(OR($C466="FRAME ONLY",$S466="BL"),0,IF($O466="Y",2,1)))</f>
        <v/>
      </c>
      <c r="BK466" s="86">
        <f>IF(OR(N($BJ466)=0,$BH466=""),"",($BH466-2*EdgeClr-IF($BJ466=2,MeetClr,0))/$BJ466)</f>
        <v/>
      </c>
      <c r="BL466" s="86">
        <f>IF(OR(N($BJ466)=0,$BI466=""),"",$BI466-HeadClr-Undercut)</f>
        <v/>
      </c>
      <c r="BM466" s="86">
        <f>IF($BH466="","",$BH466+2*FaceW+IF(N($Q466)&gt;0,($Q466+FaceW)*IF($R466="LR",2,1),0))</f>
        <v/>
      </c>
      <c r="BN466" s="86">
        <f>IF($BI466="","",$BI466+IF($AB466="Y",4,FaceW)+IF(N($P466)&gt;0,$P466+FaceW,0)+IF(OR($S466="4F",$S466="BL"),FaceW,0))</f>
        <v/>
      </c>
      <c r="BO466" s="86">
        <f>IF($BM466="","",$BM466+2*ROSide)</f>
        <v/>
      </c>
      <c r="BP466" s="86">
        <f>IF($BN466="","",$BN466+ROTop)</f>
        <v/>
      </c>
      <c r="BQ466" s="87">
        <f>IF(OR(N($BJ466)=0,$BH466=""),"",$BH466/$BJ466-ClearDeduct)</f>
        <v/>
      </c>
      <c r="BR466" s="84">
        <f>IF(N($CH466)=0,"",IF($CH466&gt;=180,"A · 3 HR",IF($CH466&gt;=90,"B · 1-1/2 HR",IF($CH466&gt;=60,"B · 1 HR",IF($CH466&gt;=45,"C · 3/4 HR","20 MIN")))))&amp;IF(AND(N($CH466)&gt;0,OR($I466="CORRIDOR",$I466="SMOKE BARRIER"))," · S","")</f>
        <v/>
      </c>
      <c r="BS466" s="84">
        <f>IF($CS466,"",IF($AV466&lt;&gt;"",$AV466,IF(OR($AC466="HGC",$AO466="HGC"),"CONT",IF(($BI466-HeadClr-Undercut)&lt;=60,2,IF(($BI466-HeadClr-Undercut)&lt;=90,3,IF(($BI466-HeadClr-Undercut)&lt;=120,4,5))))))</f>
        <v/>
      </c>
      <c r="BT466" s="84">
        <f>IF($CS466,"",IF($CT466,"CUSTOM (typed)",IF($CV466,$AT466&amp;" "&amp;$CU466&amp;CHAR(34)&amp;IF($CU466&lt;&gt;$BI466,IF(AND($BI466&lt;$CU466,$BI466-IF(N(VLOOKUP($AT466&amp;"|"&amp;$CU466,LocTable,7,FALSE))&gt;0,VLOOKUP($AT466&amp;"|"&amp;$CU466,LocTable,7,FALSE),VLOOKUP($AT466&amp;"|"&amp;$CU466,LocTable,6,FALSE))-$CR466-0.75&gt;=2.125)," cut down"," adj."),""),"ANSI/SDI A250.6")))</f>
        <v/>
      </c>
      <c r="BU466" s="88">
        <f>IF($CS466,"",IF($CT466,IF(N($AW466)&gt;0,N($AW466),""),IF(1&gt;$CQ466,"",IF($CQ466=1,$CW466,$CW466+($CX466-$CW466)*0/($CQ466-1)))))</f>
        <v/>
      </c>
      <c r="BV466" s="88">
        <f>IF($CS466,"",IF($CT466,IF(N($AX466)&gt;0,N($AX466),""),IF(2&gt;$CQ466,"",IF($CQ466=1,$CW466,$CW466+($CX466-$CW466)*1/($CQ466-1)))))</f>
        <v/>
      </c>
      <c r="BW466" s="88">
        <f>IF($CS466,"",IF($CT466,IF(N($AY466)&gt;0,N($AY466),""),IF(3&gt;$CQ466,"",IF($CQ466=1,$CW466,$CW466+($CX466-$CW466)*2/($CQ466-1)))))</f>
        <v/>
      </c>
      <c r="BX466" s="88">
        <f>IF($CS466,"",IF($CT466,IF(N($AZ466)&gt;0,N($AZ466),""),IF(4&gt;$CQ466,"",IF($CQ466=1,$CW466,$CW466+($CX466-$CW466)*3/($CQ466-1)))))</f>
        <v/>
      </c>
      <c r="BY466" s="88">
        <f>IF($CS466,"",IF($CT466,"",IF(5&gt;$CQ466,"",IF($CQ466=1,$CW466,$CW466+($CX466-$CW466)*4/($CQ466-1)))))</f>
        <v/>
      </c>
      <c r="BZ466" s="88">
        <f>IF(OR($CS466,$AP466="-",AND($AP466="",$AD466="")),"",IF(N($BA466)&gt;0,N($BA466),IF($CV466,IF(AND($BI466&lt;$CU466,$BI466-IF(N(VLOOKUP($AT466&amp;"|"&amp;$CU466,LocTable,7,FALSE))&gt;0,VLOOKUP($AT466&amp;"|"&amp;$CU466,LocTable,7,FALSE),VLOOKUP($AT466&amp;"|"&amp;$CU466,LocTable,6,FALSE))-$CR466-0.75&gt;=2.125),VLOOKUP($AT466&amp;"|"&amp;$CU466,LocTable,8,FALSE),VLOOKUP($AT466&amp;"|"&amp;$CU466,LocTable,8,FALSE)+($BI466-$CU466)),$BI466-LockAFF)))</f>
        <v/>
      </c>
      <c r="CA466" s="89">
        <f>IF($BZ466="","",$BI466-$BZ466)</f>
        <v/>
      </c>
      <c r="CB466" s="84">
        <f>IF(OR(NOT(AND($A466&lt;&gt;"",$C466&lt;&gt;"DOOR ONLY")),$BI466=""),"",IF(($BI466+IF(N($P466)&gt;0,$P466+FaceW,0))&lt;=90,3,IF(($BI466+IF(N($P466)&gt;0,$P466+FaceW,0))&lt;=114,4,5)))</f>
        <v/>
      </c>
      <c r="CC466" s="84">
        <f>IF($CB466="","",$CB466*(2+IF(N($Q466)&gt;0,IF($R466="LR",2,1),0)))</f>
        <v/>
      </c>
      <c r="CD466" s="84">
        <f>IF($CB466="","",(2+IF(N($Q466)&gt;0,IF($R466="LR",2,1),0)))</f>
        <v/>
      </c>
      <c r="CE466" s="84">
        <f>IF(N($BJ466)=0,"",IF(OR($AL466="",$AL466="FLUSH"),"FLUSH",IFERROR(LEFT($AL466,FIND("-",$AL466)-1),LEFT($AL466,2))))</f>
        <v/>
      </c>
      <c r="CF466" s="84">
        <f>IF($CE466="","",IFERROR(VALUE(MID($AL466,FIND("-",$AL466)+1,FIND(CHAR(34)&amp;"x",$AL466)-FIND("-",$AL466)-1)),0))</f>
        <v/>
      </c>
      <c r="CG466" s="84">
        <f>IF($CE466="","",IFERROR(VALUE(MID($AL466,FIND(CHAR(34)&amp;"x",$AL466)+2,FIND(CHAR(34),$AL466,FIND(CHAR(34)&amp;"x",$AL466)+2)-FIND(CHAR(34)&amp;"x",$AL466)-2)),0))</f>
        <v/>
      </c>
      <c r="CH466" s="90">
        <f>IF(OR($A466="",$H466="",$H466="NO LAB"),0,IFERROR(VALUE(LEFT($H466,FIND(" ",$H466)-1)),0))</f>
        <v/>
      </c>
      <c r="CI466" s="91">
        <f>IF(OR($A466="",$I466="",$I466="NON-RATED",N($J466)=0),"",IFERROR(VLOOKUP($I466&amp;"|"&amp;$J466,IBC,2,FALSE),"?"))</f>
        <v/>
      </c>
      <c r="CJ466" s="85">
        <f>IF(NOT(AND($A466&lt;&gt;"",$C466&lt;&gt;"DOOR ONLY")),"",TRIM(IFERROR(VLOOKUP($U466,CODES,2,FALSE),"")&amp;" "&amp;$BG466&amp;" "&amp;IFERROR(VLOOKUP($Z466,CODES,2,FALSE),"")&amp;" "&amp;IFERROR(VLOOKUP($X466,CODES,2,FALSE),"")&amp;" "&amp;IFERROR(VLOOKUP($S466,CODES,2,FALSE),"")&amp;IF(N($P466)&gt;0," w/TRANSOM "&amp;$P466&amp;CHAR(34),"")&amp;IF(N($Q466)&gt;0," w/SIDELITE "&amp;$Q466&amp;CHAR(34)&amp;" "&amp;IF($R466="","R",$R466),"")&amp;IF($Y466="","  |  "," | "&amp;IFERROR(VLOOKUP($Y466,CODES,2,FALSE),"")&amp;" | ")&amp;IFERROR(VLOOKUP($AC466,CODES,2,FALSE),"")&amp;" "&amp;IFERROR(VLOOKUP($AD466,CODES,2,FALSE),"")&amp;IF(OR($AE466="",$AE466="-"),""," "&amp;$AE466)&amp;IF(OR($AF466="",$AF466="-"),""," "&amp;$AF466)&amp;IF($AB466="Y"," 4"&amp;CHAR(34)&amp;" HEAD","")&amp;" "&amp;IFERROR(VLOOKUP($H466,CODES,2,FALSE),"")&amp;IF($CT466," | LOC "&amp;$CY466,"")))</f>
        <v/>
      </c>
      <c r="CK466" s="85">
        <f>IF(NOT(AND($A466&lt;&gt;"",N($BJ466)&gt;0)),"",TRIM(IFERROR(VLOOKUP($AH466,CODES,2,FALSE),"")&amp;IF($AI466=""," "," "&amp;$AI466&amp;"GA ")&amp;$BG466&amp;" "&amp;IF($AN466="",IFERROR(VLOOKUP($Z466,CODES,2,FALSE),""),IFERROR(VLOOKUP($AN466,CODES,2,FALSE),""))&amp;IF($BJ466=2," PAIR","")&amp;" DOOR | "&amp;IF($AL466="","?",$AL466)&amp;" | "&amp;IF($AO466="",IFERROR(VLOOKUP($AC466,CODES,2,FALSE),""),IFERROR(VLOOKUP($AO466,CODES,2,FALSE),""))&amp;" "&amp;IFERROR(VLOOKUP($AP466,CODES,2,FALSE),"")&amp;IF(OR($AQ466="",$AQ466="-"),""," SEAM "&amp;$AQ466)&amp;IF($AR466="Y"," ASTRAGAL","")&amp;IF($AJ466=""," "," "&amp;$AJ466)&amp;IF($AK466=""," "," "&amp;$AK466)&amp;IF(OR($AT466="",$AT466="ANSI/SDI",$AT466="CUSTOM LOC"),""," "&amp;$AT466)&amp;IF($AM466=""," "," SERIES "&amp;$AM466)&amp;" "&amp;IFERROR(VLOOKUP($H466,CODES,2,FALSE),"")&amp;IF($CT466," | LOC "&amp;$CZ466,"")))</f>
        <v/>
      </c>
      <c r="CL466" s="84">
        <f>IF(CP466="","",IF(COUNTIF($CP$6:CP466,CP466)=1,MAX($CL$5:CL465)+1,INDEX($CL$5:CL465,MATCH(CP466,$CP$5:CP465,0))))</f>
        <v/>
      </c>
      <c r="CM466" s="84">
        <f>IF(NOT(AND($A466&lt;&gt;"",$C466&lt;&gt;"DOOR ONLY")),"",MAX($CM$5:CM465)+1)</f>
        <v/>
      </c>
      <c r="CN466" s="84">
        <f>IF(NOT(AND($A466&lt;&gt;"",N($BJ466)&gt;0)),"",MAX($CN$5:CN465)+1)</f>
        <v/>
      </c>
      <c r="CO466" s="84">
        <f>IF($A466="","",MAX($CO$5:CO465)+1)</f>
        <v/>
      </c>
      <c r="CP466" s="84">
        <f>IF(OR($A466="",$BH466="",$BI466=""),"",$BG466&amp;"|"&amp;$O466&amp;"|"&amp;$AL466&amp;"|"&amp;$S466&amp;"|"&amp;$P466&amp;"|"&amp;$Q466&amp;$R466&amp;"|"&amp;$C466&amp;"|"&amp;$AB466)</f>
        <v/>
      </c>
      <c r="CQ466" s="84">
        <f>N($BS466)</f>
        <v/>
      </c>
      <c r="CR466" s="84">
        <f>IF(N($AU466)&gt;0,N($AU466),4.5)</f>
        <v/>
      </c>
      <c r="CS466" s="84">
        <f>OR($A466="",$BI466="",$S466="BL",AND($C466="FRAME ONLY",OR($AC466="",$AC466="BLK")))</f>
        <v/>
      </c>
      <c r="CT466" s="84">
        <f>AND(NOT($CS466),OR($AT466="CUSTOM LOC",N($AW466)+N($AX466)+N($AY466)+N($AZ466)+N($BA466)&gt;0))</f>
        <v/>
      </c>
      <c r="CU466" s="84">
        <f>IF($BI466="","",IF($BI466&lt;=80,80,IF($BI466&lt;=84,84,96)))</f>
        <v/>
      </c>
      <c r="CV466" s="84">
        <f>ISNUMBER(MATCH($AT466&amp;"|80",LocKeys,0))</f>
        <v/>
      </c>
      <c r="CW466" s="86">
        <f>IF($CS466,"",IF($CV466,VLOOKUP($AT466&amp;"|"&amp;$CU466,LocTable,4,FALSE),5))</f>
        <v/>
      </c>
      <c r="CX466" s="86">
        <f>IF($CS466,"",IF($CV466,IF(OR($BI466=$CU466,AND($BI466&lt;$CU466,$BI466-IF(N(VLOOKUP($AT466&amp;"|"&amp;$CU466,LocTable,7,FALSE))&gt;0,VLOOKUP($AT466&amp;"|"&amp;$CU466,LocTable,7,FALSE),VLOOKUP($AT466&amp;"|"&amp;$CU466,LocTable,6,FALSE))-$CR466-0.75&gt;=2.125)),IF(N(VLOOKUP($AT466&amp;"|"&amp;$CU466,LocTable,7,FALSE))&gt;0,VLOOKUP($AT466&amp;"|"&amp;$CU466,LocTable,7,FALSE),VLOOKUP($AT466&amp;"|"&amp;$CU466,LocTable,6,FALSE)),$BI466-($CU466-IF(N(VLOOKUP($AT466&amp;"|"&amp;$CU466,LocTable,7,FALSE))&gt;0,VLOOKUP($AT466&amp;"|"&amp;$CU466,LocTable,7,FALSE),VLOOKUP($AT466&amp;"|"&amp;$CU466,LocTable,6,FALSE)))),$BI466-10-$CR466))</f>
        <v/>
      </c>
      <c r="CY466" s="85">
        <f>IF($CS466,"",TRIM(IF(ISNUMBER($BU466),"A "&amp;TRIM(TEXT($BU466,"# ?/??"))&amp;CHAR(34)&amp;"  ","")&amp;IF(ISNUMBER($BV466),"B "&amp;TRIM(TEXT($BV466,"# ?/??"))&amp;CHAR(34)&amp;"  ","")&amp;IF(ISNUMBER($BW466),"C "&amp;TRIM(TEXT($BW466,"# ?/??"))&amp;CHAR(34)&amp;"  ","")&amp;IF(ISNUMBER($BX466),"D "&amp;TRIM(TEXT($BX466,"# ?/??"))&amp;CHAR(34)&amp;"  ","")&amp;IF(ISNUMBER($BY466),"F "&amp;TRIM(TEXT($BY466,"# ?/??"))&amp;CHAR(34)&amp;"  ","")&amp;IF(ISNUMBER($BZ466),"E "&amp;TRIM(TEXT($BZ466,"# ?/??"))&amp;CHAR(34)&amp;"  ","")))</f>
        <v/>
      </c>
      <c r="CZ466" s="85">
        <f>IF(OR($CS466,N($BJ466)=0),"",TRIM(IF(ISNUMBER($BU466),"A "&amp;TRIM(TEXT($BU466-HeadClr,"# ?/??"))&amp;CHAR(34)&amp;"  ","")&amp;IF(ISNUMBER($BV466),"B "&amp;TRIM(TEXT($BV466-HeadClr,"# ?/??"))&amp;CHAR(34)&amp;"  ","")&amp;IF(ISNUMBER($BW466),"C "&amp;TRIM(TEXT($BW466-HeadClr,"# ?/??"))&amp;CHAR(34)&amp;"  ","")&amp;IF(ISNUMBER($BX466),"D "&amp;TRIM(TEXT($BX466-HeadClr,"# ?/??"))&amp;CHAR(34)&amp;"  ","")&amp;IF(ISNUMBER($BY466),"F "&amp;TRIM(TEXT($BY466-HeadClr,"# ?/??"))&amp;CHAR(34)&amp;"  ","")&amp;IF(ISNUMBER($BZ466),"E "&amp;TRIM(TEXT($BZ466-HeadClr,"# ?/??"))&amp;CHAR(34)&amp;"  ","")))</f>
        <v/>
      </c>
      <c r="DA466" s="84">
        <f>IF($A466="","",IF($AN466="",IFERROR(VLOOKUP($Z466,CODES,2,FALSE),""),IFERROR(VLOOKUP($AN466,CODES,2,FALSE),"")))</f>
        <v/>
      </c>
      <c r="DB466" s="84">
        <f>IF($A466="","",IF($O466="Y","PR",IF(OR($Z466="L",$Z466="RR",LEFT($Z466,2)="L-",LEFT($Z466,3)="RR-"),"LH","RH")))</f>
        <v/>
      </c>
      <c r="DC466" s="84">
        <f>IF($A466="","","S.HM"&amp;IF(OR($C466="DOOR ONLY",$X466&lt;&gt;"KD"),"MASONRY","DRYWALL")&amp;IF($C466="DOOR ONLY","",$U466)&amp;IF(AND($C466&lt;&gt;"FRAME ONLY",OR(LEFT($AH466,3)="OAK",LEFT($AH466,3)="BIR",LEFT($AH466,3)="MAP",$AH466="PC",$AH466="MC",$AH466="SCLC",$AH466="P-LAM")),"WD","HM")&amp;"1.75")</f>
        <v/>
      </c>
      <c r="DD466" s="84">
        <f>IF($CJ466="","",IF($O466="Y",$CJ466,SUBSTITUTE($CJ466,$BG466&amp;" "&amp;IFERROR(VLOOKUP($Z466,CODES,2,FALSE),"")&amp;" ",$BG466&amp;" ")))</f>
        <v/>
      </c>
      <c r="DE466" s="84">
        <f>IF($CK466="","",IF($O466="Y",$CK466,SUBSTITUTE($CK466,$BG466&amp;" "&amp;IF($AN466="",IFERROR(VLOOKUP($Z466,CODES,2,FALSE),""),IFERROR(VLOOKUP($AN466,CODES,2,FALSE),""))&amp;" ",$BG466&amp;" ")))</f>
        <v/>
      </c>
      <c r="DF466" s="84">
        <f>IF($CJ466="","",$DC466&amp;"|"&amp;$DD466&amp;"|"&amp;$DB466&amp;"|"&amp;$AT466&amp;"|"&amp;$V466&amp;"|"&amp;$Y466&amp;"|"&amp;$AB466)</f>
        <v/>
      </c>
      <c r="DG466" s="84">
        <f>IF(DF466="","",IF(COUNTIF($DF$6:DF466,DF466)=1,MAX($DG$5:DG465)+1,INDEX($DG$5:DG465,MATCH(DF466,$DF$5:DF465,0))))</f>
        <v/>
      </c>
      <c r="DH466" s="84">
        <f>IF($CK466="","",$DC466&amp;"|"&amp;$DE466&amp;"|"&amp;$AI466&amp;"|"&amp;$BK466&amp;"|"&amp;$BL466)</f>
        <v/>
      </c>
      <c r="DI466" s="84">
        <f>IF(DH466="","",IF(COUNTIF($DH$6:DH466,DH466)=1,MAX($DI$5:DI465)+1,INDEX($DI$5:DI465,MATCH(DH466,$DH$5:DH465,0))))</f>
        <v/>
      </c>
      <c r="DJ466" s="84">
        <f>IF($A466="","",IF($B466="","qty, ","")&amp;IF($C466="","scope, ","")&amp;IF(OR($K466="",$M466=""),"size, ","")&amp;IF(AND($A466&lt;&gt;"",$C466&lt;&gt;"DOOR ONLY"),IF($U466="","jamb depth, ","")&amp;IF($X466="","construction, ","")&amp;IF($Y466="","anchor, ","")&amp;IF($S466="","frame type, ",""),"")&amp;IF(AND(N($BJ466)&gt;0,$Z466=""),"hand, ","")&amp;IF(N($BJ466)&gt;0,IF($AH466="","door material, ","")&amp;IF($AL466="","face type, ","")&amp;IF($AP466="","lock prep, ","")&amp;IF(AND($AO466="",$AC466=""),"hinge prep, ",""),"")&amp;IF(AND($CH466&gt;0,$AH466="FRP"),"FRP cannot carry a label, ","")&amp;IF(AND($O466="Y",OR($Z466="L",$Z466="R",$Z466="LR",$Z466="RR")),"pair marked but hand is single, ","")&amp;IF(AND($O466&lt;&gt;"Y",OR($Z466="PR",AND(LEN($Z466)&gt;1,ISNUMBER(SEARCH("-",$Z466))))),"pair hand on a single door, ","")&amp;IF(AND(ISNUMBER($CI466),$CH466&lt;N($CI466)),"wall needs a "&amp;$CI466&amp;" min door, ","")&amp;IF(AND($CH466&gt;=180,AND(OR($CE466="FG",$CE466="HG",$CE466="FNV",$CE466="FV"),N($CF466)*N($CG466)&gt;100)),"180 min lite over 100 sq in, ","")&amp;IF(N($BK466)&gt;48,"leaf wider than 4'-0"&amp;CHAR(34)&amp;", ","")&amp;IF(AND($CT466,COUNT($AW466:$AZ466)=0,$CQ466&gt;0),"CUSTOM LOC with no locations typed, ",""))</f>
        <v/>
      </c>
      <c r="DK466" s="84">
        <f>IF($A466="","",IF(AND($CH466&gt;0,AND($A466&lt;&gt;"",$C466&lt;&gt;"DOOR ONLY"),$X466="KD",$E466="EXTERIOR"),"KD label on an exterior opening, ","")&amp;IF(AND($E466="EXTERIOR",OR(AND(AND($A466&lt;&gt;"",$C466&lt;&gt;"DOOR ONLY"),$W466="CR"),AND(N($BJ466)&gt;0,$AH466="CR"))),"exterior in CR steel (G9?), ","")&amp;IF(AND(ISNUMBER($BQ466),N($BQ466)&lt;32),"clear width ~"&amp;TEXT($BQ466,"0.0")&amp;CHAR(34)&amp;" under 32"&amp;CHAR(34)&amp;" (ADA), ","")&amp;IF(AND($CH466=90,AND(OR($CE466="FG",$CE466="HG",$CE466="FNV",$CE466="FV"),N($CF466)*N($CG466)&gt;100)),"90 min lite over 100 sq in (stair/exit), ","")&amp;IF(AND($CH466&gt;0,AND($A466&lt;&gt;"",$C466&lt;&gt;"DOOR ONLY"),OR($AF466="",$AF466="-")),"rated: closer reinf.?, ","")&amp;IF(OR($I466="CORRIDOR",$I466="SMOKE BARRIER"),"S label + smoke gasketing, ","")&amp;IF($CI466="?","wall type/hr not in IBC table, ","")&amp;IF(AND(N($BJ466)&gt;0,$BB466=""),"no hardware set, ","")&amp;IF(AND($BB466&lt;&gt;"",ISNA(MATCH($BB466&amp;"",HWSets,0))),"set "&amp;$BB466&amp;" not on HW Sets, ","")&amp;IF(N($BL466)&gt;96,"leaf over 8'-0"&amp;CHAR(34)&amp;" - check listing, ","")&amp;IF(AND($CT466,COUNT($AW466:$AZ466)&gt;0,COUNT($AW466:$AZ466)&lt;&gt;$CQ466),COUNT($AW466:$AZ466)&amp;" custom hinges typed, "&amp;$CQ466&amp;" expected, ","")&amp;IF(AND(ISNUMBER($CA466),OR(N($CA466)&lt;34,N($CA466)&gt;48)),"lock "&amp;TEXT($CA466,"0.0")&amp;CHAR(34)&amp;" AFF outside 34-48"&amp;CHAR(34)&amp;" (ADA), ","")&amp;IF(AND(ISNUMBER($AV466),ISNUMBER($BL466),N($AV466)&lt;IF(N($BL466)&lt;=60,2,IF(N($BL466)&lt;=90,3,IF(N($BL466)&lt;=120,4,5)))),"fewer hinges than standard, ",""))</f>
        <v/>
      </c>
    </row>
    <row r="467" ht="15" customHeight="1">
      <c r="A467" s="77" t="n"/>
      <c r="B467" s="78" t="n"/>
      <c r="C467" s="78" t="n"/>
      <c r="D467" s="78" t="n"/>
      <c r="E467" s="78" t="n"/>
      <c r="F467" s="78" t="n"/>
      <c r="G467" s="78" t="n"/>
      <c r="H467" s="78" t="n"/>
      <c r="I467" s="78" t="n"/>
      <c r="J467" s="78" t="n"/>
      <c r="K467" s="78" t="n"/>
      <c r="L467" s="78" t="n"/>
      <c r="M467" s="78" t="n"/>
      <c r="N467" s="78" t="n"/>
      <c r="O467" s="78" t="n"/>
      <c r="P467" s="78" t="n"/>
      <c r="Q467" s="78" t="n"/>
      <c r="R467" s="78" t="n"/>
      <c r="S467" s="79" t="n"/>
      <c r="T467" s="79" t="n"/>
      <c r="U467" s="79" t="n"/>
      <c r="V467" s="79" t="n"/>
      <c r="W467" s="79" t="n"/>
      <c r="X467" s="79" t="n"/>
      <c r="Y467" s="79" t="n"/>
      <c r="Z467" s="79" t="n"/>
      <c r="AA467" s="79" t="n"/>
      <c r="AB467" s="79" t="n"/>
      <c r="AC467" s="79" t="n"/>
      <c r="AD467" s="79" t="n"/>
      <c r="AE467" s="79" t="n"/>
      <c r="AF467" s="79" t="n"/>
      <c r="AG467" s="79" t="n"/>
      <c r="AH467" s="80" t="n"/>
      <c r="AI467" s="80" t="n"/>
      <c r="AJ467" s="80" t="n"/>
      <c r="AK467" s="80" t="n"/>
      <c r="AL467" s="80" t="n"/>
      <c r="AM467" s="80" t="n"/>
      <c r="AN467" s="80" t="n"/>
      <c r="AO467" s="80" t="n"/>
      <c r="AP467" s="80" t="n"/>
      <c r="AQ467" s="80" t="n"/>
      <c r="AR467" s="80" t="n"/>
      <c r="AS467" s="80" t="n"/>
      <c r="AT467" s="81" t="n"/>
      <c r="AU467" s="81" t="n"/>
      <c r="AV467" s="81" t="n"/>
      <c r="AW467" s="82" t="n"/>
      <c r="AX467" s="82" t="n"/>
      <c r="AY467" s="82" t="n"/>
      <c r="AZ467" s="82" t="n"/>
      <c r="BA467" s="82" t="n"/>
      <c r="BB467" s="83" t="n"/>
      <c r="BC467" s="83" t="n"/>
      <c r="BD467" s="84">
        <f>IF($A467="","",IF($DJ467&lt;&gt;"","FIX",IF($DK467&lt;&gt;"","CHECK","OK")))</f>
        <v/>
      </c>
      <c r="BE467" s="85">
        <f>IF($A467="","",IF($DJ467&lt;&gt;"","FIX: "&amp;LEFT($DJ467,LEN($DJ467)-2)&amp;IF($DK467&lt;&gt;"","  ·  ",""),"")&amp;IF($DK467&lt;&gt;"","CHECK: "&amp;LEFT($DK467,LEN($DK467)-2),""))</f>
        <v/>
      </c>
      <c r="BF467" s="84">
        <f>IF(OR($A467="",$K467=""),"",$K467&amp;"'-"&amp;N($L467)&amp;CHAR(34)&amp;" x "&amp;$M467&amp;"'-"&amp;N($N467)&amp;CHAR(34))</f>
        <v/>
      </c>
      <c r="BG467" s="84">
        <f>IF(OR($A467="",$K467=""),"",$K467&amp;N($L467)&amp;$M467&amp;N($N467))</f>
        <v/>
      </c>
      <c r="BH467" s="84">
        <f>IF(OR($A467="",$K467=""),"",$K467*12+N($L467))</f>
        <v/>
      </c>
      <c r="BI467" s="84">
        <f>IF(OR($A467="",$M467=""),"",$M467*12+N($N467))</f>
        <v/>
      </c>
      <c r="BJ467" s="84">
        <f>IF($A467="","",IF(OR($C467="FRAME ONLY",$S467="BL"),0,IF($O467="Y",2,1)))</f>
        <v/>
      </c>
      <c r="BK467" s="86">
        <f>IF(OR(N($BJ467)=0,$BH467=""),"",($BH467-2*EdgeClr-IF($BJ467=2,MeetClr,0))/$BJ467)</f>
        <v/>
      </c>
      <c r="BL467" s="86">
        <f>IF(OR(N($BJ467)=0,$BI467=""),"",$BI467-HeadClr-Undercut)</f>
        <v/>
      </c>
      <c r="BM467" s="86">
        <f>IF($BH467="","",$BH467+2*FaceW+IF(N($Q467)&gt;0,($Q467+FaceW)*IF($R467="LR",2,1),0))</f>
        <v/>
      </c>
      <c r="BN467" s="86">
        <f>IF($BI467="","",$BI467+IF($AB467="Y",4,FaceW)+IF(N($P467)&gt;0,$P467+FaceW,0)+IF(OR($S467="4F",$S467="BL"),FaceW,0))</f>
        <v/>
      </c>
      <c r="BO467" s="86">
        <f>IF($BM467="","",$BM467+2*ROSide)</f>
        <v/>
      </c>
      <c r="BP467" s="86">
        <f>IF($BN467="","",$BN467+ROTop)</f>
        <v/>
      </c>
      <c r="BQ467" s="87">
        <f>IF(OR(N($BJ467)=0,$BH467=""),"",$BH467/$BJ467-ClearDeduct)</f>
        <v/>
      </c>
      <c r="BR467" s="84">
        <f>IF(N($CH467)=0,"",IF($CH467&gt;=180,"A · 3 HR",IF($CH467&gt;=90,"B · 1-1/2 HR",IF($CH467&gt;=60,"B · 1 HR",IF($CH467&gt;=45,"C · 3/4 HR","20 MIN")))))&amp;IF(AND(N($CH467)&gt;0,OR($I467="CORRIDOR",$I467="SMOKE BARRIER"))," · S","")</f>
        <v/>
      </c>
      <c r="BS467" s="84">
        <f>IF($CS467,"",IF($AV467&lt;&gt;"",$AV467,IF(OR($AC467="HGC",$AO467="HGC"),"CONT",IF(($BI467-HeadClr-Undercut)&lt;=60,2,IF(($BI467-HeadClr-Undercut)&lt;=90,3,IF(($BI467-HeadClr-Undercut)&lt;=120,4,5))))))</f>
        <v/>
      </c>
      <c r="BT467" s="84">
        <f>IF($CS467,"",IF($CT467,"CUSTOM (typed)",IF($CV467,$AT467&amp;" "&amp;$CU467&amp;CHAR(34)&amp;IF($CU467&lt;&gt;$BI467,IF(AND($BI467&lt;$CU467,$BI467-IF(N(VLOOKUP($AT467&amp;"|"&amp;$CU467,LocTable,7,FALSE))&gt;0,VLOOKUP($AT467&amp;"|"&amp;$CU467,LocTable,7,FALSE),VLOOKUP($AT467&amp;"|"&amp;$CU467,LocTable,6,FALSE))-$CR467-0.75&gt;=2.125)," cut down"," adj."),""),"ANSI/SDI A250.6")))</f>
        <v/>
      </c>
      <c r="BU467" s="88">
        <f>IF($CS467,"",IF($CT467,IF(N($AW467)&gt;0,N($AW467),""),IF(1&gt;$CQ467,"",IF($CQ467=1,$CW467,$CW467+($CX467-$CW467)*0/($CQ467-1)))))</f>
        <v/>
      </c>
      <c r="BV467" s="88">
        <f>IF($CS467,"",IF($CT467,IF(N($AX467)&gt;0,N($AX467),""),IF(2&gt;$CQ467,"",IF($CQ467=1,$CW467,$CW467+($CX467-$CW467)*1/($CQ467-1)))))</f>
        <v/>
      </c>
      <c r="BW467" s="88">
        <f>IF($CS467,"",IF($CT467,IF(N($AY467)&gt;0,N($AY467),""),IF(3&gt;$CQ467,"",IF($CQ467=1,$CW467,$CW467+($CX467-$CW467)*2/($CQ467-1)))))</f>
        <v/>
      </c>
      <c r="BX467" s="88">
        <f>IF($CS467,"",IF($CT467,IF(N($AZ467)&gt;0,N($AZ467),""),IF(4&gt;$CQ467,"",IF($CQ467=1,$CW467,$CW467+($CX467-$CW467)*3/($CQ467-1)))))</f>
        <v/>
      </c>
      <c r="BY467" s="88">
        <f>IF($CS467,"",IF($CT467,"",IF(5&gt;$CQ467,"",IF($CQ467=1,$CW467,$CW467+($CX467-$CW467)*4/($CQ467-1)))))</f>
        <v/>
      </c>
      <c r="BZ467" s="88">
        <f>IF(OR($CS467,$AP467="-",AND($AP467="",$AD467="")),"",IF(N($BA467)&gt;0,N($BA467),IF($CV467,IF(AND($BI467&lt;$CU467,$BI467-IF(N(VLOOKUP($AT467&amp;"|"&amp;$CU467,LocTable,7,FALSE))&gt;0,VLOOKUP($AT467&amp;"|"&amp;$CU467,LocTable,7,FALSE),VLOOKUP($AT467&amp;"|"&amp;$CU467,LocTable,6,FALSE))-$CR467-0.75&gt;=2.125),VLOOKUP($AT467&amp;"|"&amp;$CU467,LocTable,8,FALSE),VLOOKUP($AT467&amp;"|"&amp;$CU467,LocTable,8,FALSE)+($BI467-$CU467)),$BI467-LockAFF)))</f>
        <v/>
      </c>
      <c r="CA467" s="89">
        <f>IF($BZ467="","",$BI467-$BZ467)</f>
        <v/>
      </c>
      <c r="CB467" s="84">
        <f>IF(OR(NOT(AND($A467&lt;&gt;"",$C467&lt;&gt;"DOOR ONLY")),$BI467=""),"",IF(($BI467+IF(N($P467)&gt;0,$P467+FaceW,0))&lt;=90,3,IF(($BI467+IF(N($P467)&gt;0,$P467+FaceW,0))&lt;=114,4,5)))</f>
        <v/>
      </c>
      <c r="CC467" s="84">
        <f>IF($CB467="","",$CB467*(2+IF(N($Q467)&gt;0,IF($R467="LR",2,1),0)))</f>
        <v/>
      </c>
      <c r="CD467" s="84">
        <f>IF($CB467="","",(2+IF(N($Q467)&gt;0,IF($R467="LR",2,1),0)))</f>
        <v/>
      </c>
      <c r="CE467" s="84">
        <f>IF(N($BJ467)=0,"",IF(OR($AL467="",$AL467="FLUSH"),"FLUSH",IFERROR(LEFT($AL467,FIND("-",$AL467)-1),LEFT($AL467,2))))</f>
        <v/>
      </c>
      <c r="CF467" s="84">
        <f>IF($CE467="","",IFERROR(VALUE(MID($AL467,FIND("-",$AL467)+1,FIND(CHAR(34)&amp;"x",$AL467)-FIND("-",$AL467)-1)),0))</f>
        <v/>
      </c>
      <c r="CG467" s="84">
        <f>IF($CE467="","",IFERROR(VALUE(MID($AL467,FIND(CHAR(34)&amp;"x",$AL467)+2,FIND(CHAR(34),$AL467,FIND(CHAR(34)&amp;"x",$AL467)+2)-FIND(CHAR(34)&amp;"x",$AL467)-2)),0))</f>
        <v/>
      </c>
      <c r="CH467" s="90">
        <f>IF(OR($A467="",$H467="",$H467="NO LAB"),0,IFERROR(VALUE(LEFT($H467,FIND(" ",$H467)-1)),0))</f>
        <v/>
      </c>
      <c r="CI467" s="91">
        <f>IF(OR($A467="",$I467="",$I467="NON-RATED",N($J467)=0),"",IFERROR(VLOOKUP($I467&amp;"|"&amp;$J467,IBC,2,FALSE),"?"))</f>
        <v/>
      </c>
      <c r="CJ467" s="85">
        <f>IF(NOT(AND($A467&lt;&gt;"",$C467&lt;&gt;"DOOR ONLY")),"",TRIM(IFERROR(VLOOKUP($U467,CODES,2,FALSE),"")&amp;" "&amp;$BG467&amp;" "&amp;IFERROR(VLOOKUP($Z467,CODES,2,FALSE),"")&amp;" "&amp;IFERROR(VLOOKUP($X467,CODES,2,FALSE),"")&amp;" "&amp;IFERROR(VLOOKUP($S467,CODES,2,FALSE),"")&amp;IF(N($P467)&gt;0," w/TRANSOM "&amp;$P467&amp;CHAR(34),"")&amp;IF(N($Q467)&gt;0," w/SIDELITE "&amp;$Q467&amp;CHAR(34)&amp;" "&amp;IF($R467="","R",$R467),"")&amp;IF($Y467="","  |  "," | "&amp;IFERROR(VLOOKUP($Y467,CODES,2,FALSE),"")&amp;" | ")&amp;IFERROR(VLOOKUP($AC467,CODES,2,FALSE),"")&amp;" "&amp;IFERROR(VLOOKUP($AD467,CODES,2,FALSE),"")&amp;IF(OR($AE467="",$AE467="-"),""," "&amp;$AE467)&amp;IF(OR($AF467="",$AF467="-"),""," "&amp;$AF467)&amp;IF($AB467="Y"," 4"&amp;CHAR(34)&amp;" HEAD","")&amp;" "&amp;IFERROR(VLOOKUP($H467,CODES,2,FALSE),"")&amp;IF($CT467," | LOC "&amp;$CY467,"")))</f>
        <v/>
      </c>
      <c r="CK467" s="85">
        <f>IF(NOT(AND($A467&lt;&gt;"",N($BJ467)&gt;0)),"",TRIM(IFERROR(VLOOKUP($AH467,CODES,2,FALSE),"")&amp;IF($AI467=""," "," "&amp;$AI467&amp;"GA ")&amp;$BG467&amp;" "&amp;IF($AN467="",IFERROR(VLOOKUP($Z467,CODES,2,FALSE),""),IFERROR(VLOOKUP($AN467,CODES,2,FALSE),""))&amp;IF($BJ467=2," PAIR","")&amp;" DOOR | "&amp;IF($AL467="","?",$AL467)&amp;" | "&amp;IF($AO467="",IFERROR(VLOOKUP($AC467,CODES,2,FALSE),""),IFERROR(VLOOKUP($AO467,CODES,2,FALSE),""))&amp;" "&amp;IFERROR(VLOOKUP($AP467,CODES,2,FALSE),"")&amp;IF(OR($AQ467="",$AQ467="-"),""," SEAM "&amp;$AQ467)&amp;IF($AR467="Y"," ASTRAGAL","")&amp;IF($AJ467=""," "," "&amp;$AJ467)&amp;IF($AK467=""," "," "&amp;$AK467)&amp;IF(OR($AT467="",$AT467="ANSI/SDI",$AT467="CUSTOM LOC"),""," "&amp;$AT467)&amp;IF($AM467=""," "," SERIES "&amp;$AM467)&amp;" "&amp;IFERROR(VLOOKUP($H467,CODES,2,FALSE),"")&amp;IF($CT467," | LOC "&amp;$CZ467,"")))</f>
        <v/>
      </c>
      <c r="CL467" s="84">
        <f>IF(CP467="","",IF(COUNTIF($CP$6:CP467,CP467)=1,MAX($CL$5:CL466)+1,INDEX($CL$5:CL466,MATCH(CP467,$CP$5:CP466,0))))</f>
        <v/>
      </c>
      <c r="CM467" s="84">
        <f>IF(NOT(AND($A467&lt;&gt;"",$C467&lt;&gt;"DOOR ONLY")),"",MAX($CM$5:CM466)+1)</f>
        <v/>
      </c>
      <c r="CN467" s="84">
        <f>IF(NOT(AND($A467&lt;&gt;"",N($BJ467)&gt;0)),"",MAX($CN$5:CN466)+1)</f>
        <v/>
      </c>
      <c r="CO467" s="84">
        <f>IF($A467="","",MAX($CO$5:CO466)+1)</f>
        <v/>
      </c>
      <c r="CP467" s="84">
        <f>IF(OR($A467="",$BH467="",$BI467=""),"",$BG467&amp;"|"&amp;$O467&amp;"|"&amp;$AL467&amp;"|"&amp;$S467&amp;"|"&amp;$P467&amp;"|"&amp;$Q467&amp;$R467&amp;"|"&amp;$C467&amp;"|"&amp;$AB467)</f>
        <v/>
      </c>
      <c r="CQ467" s="84">
        <f>N($BS467)</f>
        <v/>
      </c>
      <c r="CR467" s="84">
        <f>IF(N($AU467)&gt;0,N($AU467),4.5)</f>
        <v/>
      </c>
      <c r="CS467" s="84">
        <f>OR($A467="",$BI467="",$S467="BL",AND($C467="FRAME ONLY",OR($AC467="",$AC467="BLK")))</f>
        <v/>
      </c>
      <c r="CT467" s="84">
        <f>AND(NOT($CS467),OR($AT467="CUSTOM LOC",N($AW467)+N($AX467)+N($AY467)+N($AZ467)+N($BA467)&gt;0))</f>
        <v/>
      </c>
      <c r="CU467" s="84">
        <f>IF($BI467="","",IF($BI467&lt;=80,80,IF($BI467&lt;=84,84,96)))</f>
        <v/>
      </c>
      <c r="CV467" s="84">
        <f>ISNUMBER(MATCH($AT467&amp;"|80",LocKeys,0))</f>
        <v/>
      </c>
      <c r="CW467" s="86">
        <f>IF($CS467,"",IF($CV467,VLOOKUP($AT467&amp;"|"&amp;$CU467,LocTable,4,FALSE),5))</f>
        <v/>
      </c>
      <c r="CX467" s="86">
        <f>IF($CS467,"",IF($CV467,IF(OR($BI467=$CU467,AND($BI467&lt;$CU467,$BI467-IF(N(VLOOKUP($AT467&amp;"|"&amp;$CU467,LocTable,7,FALSE))&gt;0,VLOOKUP($AT467&amp;"|"&amp;$CU467,LocTable,7,FALSE),VLOOKUP($AT467&amp;"|"&amp;$CU467,LocTable,6,FALSE))-$CR467-0.75&gt;=2.125)),IF(N(VLOOKUP($AT467&amp;"|"&amp;$CU467,LocTable,7,FALSE))&gt;0,VLOOKUP($AT467&amp;"|"&amp;$CU467,LocTable,7,FALSE),VLOOKUP($AT467&amp;"|"&amp;$CU467,LocTable,6,FALSE)),$BI467-($CU467-IF(N(VLOOKUP($AT467&amp;"|"&amp;$CU467,LocTable,7,FALSE))&gt;0,VLOOKUP($AT467&amp;"|"&amp;$CU467,LocTable,7,FALSE),VLOOKUP($AT467&amp;"|"&amp;$CU467,LocTable,6,FALSE)))),$BI467-10-$CR467))</f>
        <v/>
      </c>
      <c r="CY467" s="85">
        <f>IF($CS467,"",TRIM(IF(ISNUMBER($BU467),"A "&amp;TRIM(TEXT($BU467,"# ?/??"))&amp;CHAR(34)&amp;"  ","")&amp;IF(ISNUMBER($BV467),"B "&amp;TRIM(TEXT($BV467,"# ?/??"))&amp;CHAR(34)&amp;"  ","")&amp;IF(ISNUMBER($BW467),"C "&amp;TRIM(TEXT($BW467,"# ?/??"))&amp;CHAR(34)&amp;"  ","")&amp;IF(ISNUMBER($BX467),"D "&amp;TRIM(TEXT($BX467,"# ?/??"))&amp;CHAR(34)&amp;"  ","")&amp;IF(ISNUMBER($BY467),"F "&amp;TRIM(TEXT($BY467,"# ?/??"))&amp;CHAR(34)&amp;"  ","")&amp;IF(ISNUMBER($BZ467),"E "&amp;TRIM(TEXT($BZ467,"# ?/??"))&amp;CHAR(34)&amp;"  ","")))</f>
        <v/>
      </c>
      <c r="CZ467" s="85">
        <f>IF(OR($CS467,N($BJ467)=0),"",TRIM(IF(ISNUMBER($BU467),"A "&amp;TRIM(TEXT($BU467-HeadClr,"# ?/??"))&amp;CHAR(34)&amp;"  ","")&amp;IF(ISNUMBER($BV467),"B "&amp;TRIM(TEXT($BV467-HeadClr,"# ?/??"))&amp;CHAR(34)&amp;"  ","")&amp;IF(ISNUMBER($BW467),"C "&amp;TRIM(TEXT($BW467-HeadClr,"# ?/??"))&amp;CHAR(34)&amp;"  ","")&amp;IF(ISNUMBER($BX467),"D "&amp;TRIM(TEXT($BX467-HeadClr,"# ?/??"))&amp;CHAR(34)&amp;"  ","")&amp;IF(ISNUMBER($BY467),"F "&amp;TRIM(TEXT($BY467-HeadClr,"# ?/??"))&amp;CHAR(34)&amp;"  ","")&amp;IF(ISNUMBER($BZ467),"E "&amp;TRIM(TEXT($BZ467-HeadClr,"# ?/??"))&amp;CHAR(34)&amp;"  ","")))</f>
        <v/>
      </c>
      <c r="DA467" s="84">
        <f>IF($A467="","",IF($AN467="",IFERROR(VLOOKUP($Z467,CODES,2,FALSE),""),IFERROR(VLOOKUP($AN467,CODES,2,FALSE),"")))</f>
        <v/>
      </c>
      <c r="DB467" s="84">
        <f>IF($A467="","",IF($O467="Y","PR",IF(OR($Z467="L",$Z467="RR",LEFT($Z467,2)="L-",LEFT($Z467,3)="RR-"),"LH","RH")))</f>
        <v/>
      </c>
      <c r="DC467" s="84">
        <f>IF($A467="","","S.HM"&amp;IF(OR($C467="DOOR ONLY",$X467&lt;&gt;"KD"),"MASONRY","DRYWALL")&amp;IF($C467="DOOR ONLY","",$U467)&amp;IF(AND($C467&lt;&gt;"FRAME ONLY",OR(LEFT($AH467,3)="OAK",LEFT($AH467,3)="BIR",LEFT($AH467,3)="MAP",$AH467="PC",$AH467="MC",$AH467="SCLC",$AH467="P-LAM")),"WD","HM")&amp;"1.75")</f>
        <v/>
      </c>
      <c r="DD467" s="84">
        <f>IF($CJ467="","",IF($O467="Y",$CJ467,SUBSTITUTE($CJ467,$BG467&amp;" "&amp;IFERROR(VLOOKUP($Z467,CODES,2,FALSE),"")&amp;" ",$BG467&amp;" ")))</f>
        <v/>
      </c>
      <c r="DE467" s="84">
        <f>IF($CK467="","",IF($O467="Y",$CK467,SUBSTITUTE($CK467,$BG467&amp;" "&amp;IF($AN467="",IFERROR(VLOOKUP($Z467,CODES,2,FALSE),""),IFERROR(VLOOKUP($AN467,CODES,2,FALSE),""))&amp;" ",$BG467&amp;" ")))</f>
        <v/>
      </c>
      <c r="DF467" s="84">
        <f>IF($CJ467="","",$DC467&amp;"|"&amp;$DD467&amp;"|"&amp;$DB467&amp;"|"&amp;$AT467&amp;"|"&amp;$V467&amp;"|"&amp;$Y467&amp;"|"&amp;$AB467)</f>
        <v/>
      </c>
      <c r="DG467" s="84">
        <f>IF(DF467="","",IF(COUNTIF($DF$6:DF467,DF467)=1,MAX($DG$5:DG466)+1,INDEX($DG$5:DG466,MATCH(DF467,$DF$5:DF466,0))))</f>
        <v/>
      </c>
      <c r="DH467" s="84">
        <f>IF($CK467="","",$DC467&amp;"|"&amp;$DE467&amp;"|"&amp;$AI467&amp;"|"&amp;$BK467&amp;"|"&amp;$BL467)</f>
        <v/>
      </c>
      <c r="DI467" s="84">
        <f>IF(DH467="","",IF(COUNTIF($DH$6:DH467,DH467)=1,MAX($DI$5:DI466)+1,INDEX($DI$5:DI466,MATCH(DH467,$DH$5:DH466,0))))</f>
        <v/>
      </c>
      <c r="DJ467" s="84">
        <f>IF($A467="","",IF($B467="","qty, ","")&amp;IF($C467="","scope, ","")&amp;IF(OR($K467="",$M467=""),"size, ","")&amp;IF(AND($A467&lt;&gt;"",$C467&lt;&gt;"DOOR ONLY"),IF($U467="","jamb depth, ","")&amp;IF($X467="","construction, ","")&amp;IF($Y467="","anchor, ","")&amp;IF($S467="","frame type, ",""),"")&amp;IF(AND(N($BJ467)&gt;0,$Z467=""),"hand, ","")&amp;IF(N($BJ467)&gt;0,IF($AH467="","door material, ","")&amp;IF($AL467="","face type, ","")&amp;IF($AP467="","lock prep, ","")&amp;IF(AND($AO467="",$AC467=""),"hinge prep, ",""),"")&amp;IF(AND($CH467&gt;0,$AH467="FRP"),"FRP cannot carry a label, ","")&amp;IF(AND($O467="Y",OR($Z467="L",$Z467="R",$Z467="LR",$Z467="RR")),"pair marked but hand is single, ","")&amp;IF(AND($O467&lt;&gt;"Y",OR($Z467="PR",AND(LEN($Z467)&gt;1,ISNUMBER(SEARCH("-",$Z467))))),"pair hand on a single door, ","")&amp;IF(AND(ISNUMBER($CI467),$CH467&lt;N($CI467)),"wall needs a "&amp;$CI467&amp;" min door, ","")&amp;IF(AND($CH467&gt;=180,AND(OR($CE467="FG",$CE467="HG",$CE467="FNV",$CE467="FV"),N($CF467)*N($CG467)&gt;100)),"180 min lite over 100 sq in, ","")&amp;IF(N($BK467)&gt;48,"leaf wider than 4'-0"&amp;CHAR(34)&amp;", ","")&amp;IF(AND($CT467,COUNT($AW467:$AZ467)=0,$CQ467&gt;0),"CUSTOM LOC with no locations typed, ",""))</f>
        <v/>
      </c>
      <c r="DK467" s="84">
        <f>IF($A467="","",IF(AND($CH467&gt;0,AND($A467&lt;&gt;"",$C467&lt;&gt;"DOOR ONLY"),$X467="KD",$E467="EXTERIOR"),"KD label on an exterior opening, ","")&amp;IF(AND($E467="EXTERIOR",OR(AND(AND($A467&lt;&gt;"",$C467&lt;&gt;"DOOR ONLY"),$W467="CR"),AND(N($BJ467)&gt;0,$AH467="CR"))),"exterior in CR steel (G9?), ","")&amp;IF(AND(ISNUMBER($BQ467),N($BQ467)&lt;32),"clear width ~"&amp;TEXT($BQ467,"0.0")&amp;CHAR(34)&amp;" under 32"&amp;CHAR(34)&amp;" (ADA), ","")&amp;IF(AND($CH467=90,AND(OR($CE467="FG",$CE467="HG",$CE467="FNV",$CE467="FV"),N($CF467)*N($CG467)&gt;100)),"90 min lite over 100 sq in (stair/exit), ","")&amp;IF(AND($CH467&gt;0,AND($A467&lt;&gt;"",$C467&lt;&gt;"DOOR ONLY"),OR($AF467="",$AF467="-")),"rated: closer reinf.?, ","")&amp;IF(OR($I467="CORRIDOR",$I467="SMOKE BARRIER"),"S label + smoke gasketing, ","")&amp;IF($CI467="?","wall type/hr not in IBC table, ","")&amp;IF(AND(N($BJ467)&gt;0,$BB467=""),"no hardware set, ","")&amp;IF(AND($BB467&lt;&gt;"",ISNA(MATCH($BB467&amp;"",HWSets,0))),"set "&amp;$BB467&amp;" not on HW Sets, ","")&amp;IF(N($BL467)&gt;96,"leaf over 8'-0"&amp;CHAR(34)&amp;" - check listing, ","")&amp;IF(AND($CT467,COUNT($AW467:$AZ467)&gt;0,COUNT($AW467:$AZ467)&lt;&gt;$CQ467),COUNT($AW467:$AZ467)&amp;" custom hinges typed, "&amp;$CQ467&amp;" expected, ","")&amp;IF(AND(ISNUMBER($CA467),OR(N($CA467)&lt;34,N($CA467)&gt;48)),"lock "&amp;TEXT($CA467,"0.0")&amp;CHAR(34)&amp;" AFF outside 34-48"&amp;CHAR(34)&amp;" (ADA), ","")&amp;IF(AND(ISNUMBER($AV467),ISNUMBER($BL467),N($AV467)&lt;IF(N($BL467)&lt;=60,2,IF(N($BL467)&lt;=90,3,IF(N($BL467)&lt;=120,4,5)))),"fewer hinges than standard, ",""))</f>
        <v/>
      </c>
    </row>
    <row r="468" ht="15" customHeight="1">
      <c r="A468" s="77" t="n"/>
      <c r="B468" s="78" t="n"/>
      <c r="C468" s="78" t="n"/>
      <c r="D468" s="78" t="n"/>
      <c r="E468" s="78" t="n"/>
      <c r="F468" s="78" t="n"/>
      <c r="G468" s="78" t="n"/>
      <c r="H468" s="78" t="n"/>
      <c r="I468" s="78" t="n"/>
      <c r="J468" s="78" t="n"/>
      <c r="K468" s="78" t="n"/>
      <c r="L468" s="78" t="n"/>
      <c r="M468" s="78" t="n"/>
      <c r="N468" s="78" t="n"/>
      <c r="O468" s="78" t="n"/>
      <c r="P468" s="78" t="n"/>
      <c r="Q468" s="78" t="n"/>
      <c r="R468" s="78" t="n"/>
      <c r="S468" s="79" t="n"/>
      <c r="T468" s="79" t="n"/>
      <c r="U468" s="79" t="n"/>
      <c r="V468" s="79" t="n"/>
      <c r="W468" s="79" t="n"/>
      <c r="X468" s="79" t="n"/>
      <c r="Y468" s="79" t="n"/>
      <c r="Z468" s="79" t="n"/>
      <c r="AA468" s="79" t="n"/>
      <c r="AB468" s="79" t="n"/>
      <c r="AC468" s="79" t="n"/>
      <c r="AD468" s="79" t="n"/>
      <c r="AE468" s="79" t="n"/>
      <c r="AF468" s="79" t="n"/>
      <c r="AG468" s="79" t="n"/>
      <c r="AH468" s="80" t="n"/>
      <c r="AI468" s="80" t="n"/>
      <c r="AJ468" s="80" t="n"/>
      <c r="AK468" s="80" t="n"/>
      <c r="AL468" s="80" t="n"/>
      <c r="AM468" s="80" t="n"/>
      <c r="AN468" s="80" t="n"/>
      <c r="AO468" s="80" t="n"/>
      <c r="AP468" s="80" t="n"/>
      <c r="AQ468" s="80" t="n"/>
      <c r="AR468" s="80" t="n"/>
      <c r="AS468" s="80" t="n"/>
      <c r="AT468" s="81" t="n"/>
      <c r="AU468" s="81" t="n"/>
      <c r="AV468" s="81" t="n"/>
      <c r="AW468" s="82" t="n"/>
      <c r="AX468" s="82" t="n"/>
      <c r="AY468" s="82" t="n"/>
      <c r="AZ468" s="82" t="n"/>
      <c r="BA468" s="82" t="n"/>
      <c r="BB468" s="83" t="n"/>
      <c r="BC468" s="83" t="n"/>
      <c r="BD468" s="84">
        <f>IF($A468="","",IF($DJ468&lt;&gt;"","FIX",IF($DK468&lt;&gt;"","CHECK","OK")))</f>
        <v/>
      </c>
      <c r="BE468" s="85">
        <f>IF($A468="","",IF($DJ468&lt;&gt;"","FIX: "&amp;LEFT($DJ468,LEN($DJ468)-2)&amp;IF($DK468&lt;&gt;"","  ·  ",""),"")&amp;IF($DK468&lt;&gt;"","CHECK: "&amp;LEFT($DK468,LEN($DK468)-2),""))</f>
        <v/>
      </c>
      <c r="BF468" s="84">
        <f>IF(OR($A468="",$K468=""),"",$K468&amp;"'-"&amp;N($L468)&amp;CHAR(34)&amp;" x "&amp;$M468&amp;"'-"&amp;N($N468)&amp;CHAR(34))</f>
        <v/>
      </c>
      <c r="BG468" s="84">
        <f>IF(OR($A468="",$K468=""),"",$K468&amp;N($L468)&amp;$M468&amp;N($N468))</f>
        <v/>
      </c>
      <c r="BH468" s="84">
        <f>IF(OR($A468="",$K468=""),"",$K468*12+N($L468))</f>
        <v/>
      </c>
      <c r="BI468" s="84">
        <f>IF(OR($A468="",$M468=""),"",$M468*12+N($N468))</f>
        <v/>
      </c>
      <c r="BJ468" s="84">
        <f>IF($A468="","",IF(OR($C468="FRAME ONLY",$S468="BL"),0,IF($O468="Y",2,1)))</f>
        <v/>
      </c>
      <c r="BK468" s="86">
        <f>IF(OR(N($BJ468)=0,$BH468=""),"",($BH468-2*EdgeClr-IF($BJ468=2,MeetClr,0))/$BJ468)</f>
        <v/>
      </c>
      <c r="BL468" s="86">
        <f>IF(OR(N($BJ468)=0,$BI468=""),"",$BI468-HeadClr-Undercut)</f>
        <v/>
      </c>
      <c r="BM468" s="86">
        <f>IF($BH468="","",$BH468+2*FaceW+IF(N($Q468)&gt;0,($Q468+FaceW)*IF($R468="LR",2,1),0))</f>
        <v/>
      </c>
      <c r="BN468" s="86">
        <f>IF($BI468="","",$BI468+IF($AB468="Y",4,FaceW)+IF(N($P468)&gt;0,$P468+FaceW,0)+IF(OR($S468="4F",$S468="BL"),FaceW,0))</f>
        <v/>
      </c>
      <c r="BO468" s="86">
        <f>IF($BM468="","",$BM468+2*ROSide)</f>
        <v/>
      </c>
      <c r="BP468" s="86">
        <f>IF($BN468="","",$BN468+ROTop)</f>
        <v/>
      </c>
      <c r="BQ468" s="87">
        <f>IF(OR(N($BJ468)=0,$BH468=""),"",$BH468/$BJ468-ClearDeduct)</f>
        <v/>
      </c>
      <c r="BR468" s="84">
        <f>IF(N($CH468)=0,"",IF($CH468&gt;=180,"A · 3 HR",IF($CH468&gt;=90,"B · 1-1/2 HR",IF($CH468&gt;=60,"B · 1 HR",IF($CH468&gt;=45,"C · 3/4 HR","20 MIN")))))&amp;IF(AND(N($CH468)&gt;0,OR($I468="CORRIDOR",$I468="SMOKE BARRIER"))," · S","")</f>
        <v/>
      </c>
      <c r="BS468" s="84">
        <f>IF($CS468,"",IF($AV468&lt;&gt;"",$AV468,IF(OR($AC468="HGC",$AO468="HGC"),"CONT",IF(($BI468-HeadClr-Undercut)&lt;=60,2,IF(($BI468-HeadClr-Undercut)&lt;=90,3,IF(($BI468-HeadClr-Undercut)&lt;=120,4,5))))))</f>
        <v/>
      </c>
      <c r="BT468" s="84">
        <f>IF($CS468,"",IF($CT468,"CUSTOM (typed)",IF($CV468,$AT468&amp;" "&amp;$CU468&amp;CHAR(34)&amp;IF($CU468&lt;&gt;$BI468,IF(AND($BI468&lt;$CU468,$BI468-IF(N(VLOOKUP($AT468&amp;"|"&amp;$CU468,LocTable,7,FALSE))&gt;0,VLOOKUP($AT468&amp;"|"&amp;$CU468,LocTable,7,FALSE),VLOOKUP($AT468&amp;"|"&amp;$CU468,LocTable,6,FALSE))-$CR468-0.75&gt;=2.125)," cut down"," adj."),""),"ANSI/SDI A250.6")))</f>
        <v/>
      </c>
      <c r="BU468" s="88">
        <f>IF($CS468,"",IF($CT468,IF(N($AW468)&gt;0,N($AW468),""),IF(1&gt;$CQ468,"",IF($CQ468=1,$CW468,$CW468+($CX468-$CW468)*0/($CQ468-1)))))</f>
        <v/>
      </c>
      <c r="BV468" s="88">
        <f>IF($CS468,"",IF($CT468,IF(N($AX468)&gt;0,N($AX468),""),IF(2&gt;$CQ468,"",IF($CQ468=1,$CW468,$CW468+($CX468-$CW468)*1/($CQ468-1)))))</f>
        <v/>
      </c>
      <c r="BW468" s="88">
        <f>IF($CS468,"",IF($CT468,IF(N($AY468)&gt;0,N($AY468),""),IF(3&gt;$CQ468,"",IF($CQ468=1,$CW468,$CW468+($CX468-$CW468)*2/($CQ468-1)))))</f>
        <v/>
      </c>
      <c r="BX468" s="88">
        <f>IF($CS468,"",IF($CT468,IF(N($AZ468)&gt;0,N($AZ468),""),IF(4&gt;$CQ468,"",IF($CQ468=1,$CW468,$CW468+($CX468-$CW468)*3/($CQ468-1)))))</f>
        <v/>
      </c>
      <c r="BY468" s="88">
        <f>IF($CS468,"",IF($CT468,"",IF(5&gt;$CQ468,"",IF($CQ468=1,$CW468,$CW468+($CX468-$CW468)*4/($CQ468-1)))))</f>
        <v/>
      </c>
      <c r="BZ468" s="88">
        <f>IF(OR($CS468,$AP468="-",AND($AP468="",$AD468="")),"",IF(N($BA468)&gt;0,N($BA468),IF($CV468,IF(AND($BI468&lt;$CU468,$BI468-IF(N(VLOOKUP($AT468&amp;"|"&amp;$CU468,LocTable,7,FALSE))&gt;0,VLOOKUP($AT468&amp;"|"&amp;$CU468,LocTable,7,FALSE),VLOOKUP($AT468&amp;"|"&amp;$CU468,LocTable,6,FALSE))-$CR468-0.75&gt;=2.125),VLOOKUP($AT468&amp;"|"&amp;$CU468,LocTable,8,FALSE),VLOOKUP($AT468&amp;"|"&amp;$CU468,LocTable,8,FALSE)+($BI468-$CU468)),$BI468-LockAFF)))</f>
        <v/>
      </c>
      <c r="CA468" s="89">
        <f>IF($BZ468="","",$BI468-$BZ468)</f>
        <v/>
      </c>
      <c r="CB468" s="84">
        <f>IF(OR(NOT(AND($A468&lt;&gt;"",$C468&lt;&gt;"DOOR ONLY")),$BI468=""),"",IF(($BI468+IF(N($P468)&gt;0,$P468+FaceW,0))&lt;=90,3,IF(($BI468+IF(N($P468)&gt;0,$P468+FaceW,0))&lt;=114,4,5)))</f>
        <v/>
      </c>
      <c r="CC468" s="84">
        <f>IF($CB468="","",$CB468*(2+IF(N($Q468)&gt;0,IF($R468="LR",2,1),0)))</f>
        <v/>
      </c>
      <c r="CD468" s="84">
        <f>IF($CB468="","",(2+IF(N($Q468)&gt;0,IF($R468="LR",2,1),0)))</f>
        <v/>
      </c>
      <c r="CE468" s="84">
        <f>IF(N($BJ468)=0,"",IF(OR($AL468="",$AL468="FLUSH"),"FLUSH",IFERROR(LEFT($AL468,FIND("-",$AL468)-1),LEFT($AL468,2))))</f>
        <v/>
      </c>
      <c r="CF468" s="84">
        <f>IF($CE468="","",IFERROR(VALUE(MID($AL468,FIND("-",$AL468)+1,FIND(CHAR(34)&amp;"x",$AL468)-FIND("-",$AL468)-1)),0))</f>
        <v/>
      </c>
      <c r="CG468" s="84">
        <f>IF($CE468="","",IFERROR(VALUE(MID($AL468,FIND(CHAR(34)&amp;"x",$AL468)+2,FIND(CHAR(34),$AL468,FIND(CHAR(34)&amp;"x",$AL468)+2)-FIND(CHAR(34)&amp;"x",$AL468)-2)),0))</f>
        <v/>
      </c>
      <c r="CH468" s="90">
        <f>IF(OR($A468="",$H468="",$H468="NO LAB"),0,IFERROR(VALUE(LEFT($H468,FIND(" ",$H468)-1)),0))</f>
        <v/>
      </c>
      <c r="CI468" s="91">
        <f>IF(OR($A468="",$I468="",$I468="NON-RATED",N($J468)=0),"",IFERROR(VLOOKUP($I468&amp;"|"&amp;$J468,IBC,2,FALSE),"?"))</f>
        <v/>
      </c>
      <c r="CJ468" s="85">
        <f>IF(NOT(AND($A468&lt;&gt;"",$C468&lt;&gt;"DOOR ONLY")),"",TRIM(IFERROR(VLOOKUP($U468,CODES,2,FALSE),"")&amp;" "&amp;$BG468&amp;" "&amp;IFERROR(VLOOKUP($Z468,CODES,2,FALSE),"")&amp;" "&amp;IFERROR(VLOOKUP($X468,CODES,2,FALSE),"")&amp;" "&amp;IFERROR(VLOOKUP($S468,CODES,2,FALSE),"")&amp;IF(N($P468)&gt;0," w/TRANSOM "&amp;$P468&amp;CHAR(34),"")&amp;IF(N($Q468)&gt;0," w/SIDELITE "&amp;$Q468&amp;CHAR(34)&amp;" "&amp;IF($R468="","R",$R468),"")&amp;IF($Y468="","  |  "," | "&amp;IFERROR(VLOOKUP($Y468,CODES,2,FALSE),"")&amp;" | ")&amp;IFERROR(VLOOKUP($AC468,CODES,2,FALSE),"")&amp;" "&amp;IFERROR(VLOOKUP($AD468,CODES,2,FALSE),"")&amp;IF(OR($AE468="",$AE468="-"),""," "&amp;$AE468)&amp;IF(OR($AF468="",$AF468="-"),""," "&amp;$AF468)&amp;IF($AB468="Y"," 4"&amp;CHAR(34)&amp;" HEAD","")&amp;" "&amp;IFERROR(VLOOKUP($H468,CODES,2,FALSE),"")&amp;IF($CT468," | LOC "&amp;$CY468,"")))</f>
        <v/>
      </c>
      <c r="CK468" s="85">
        <f>IF(NOT(AND($A468&lt;&gt;"",N($BJ468)&gt;0)),"",TRIM(IFERROR(VLOOKUP($AH468,CODES,2,FALSE),"")&amp;IF($AI468=""," "," "&amp;$AI468&amp;"GA ")&amp;$BG468&amp;" "&amp;IF($AN468="",IFERROR(VLOOKUP($Z468,CODES,2,FALSE),""),IFERROR(VLOOKUP($AN468,CODES,2,FALSE),""))&amp;IF($BJ468=2," PAIR","")&amp;" DOOR | "&amp;IF($AL468="","?",$AL468)&amp;" | "&amp;IF($AO468="",IFERROR(VLOOKUP($AC468,CODES,2,FALSE),""),IFERROR(VLOOKUP($AO468,CODES,2,FALSE),""))&amp;" "&amp;IFERROR(VLOOKUP($AP468,CODES,2,FALSE),"")&amp;IF(OR($AQ468="",$AQ468="-"),""," SEAM "&amp;$AQ468)&amp;IF($AR468="Y"," ASTRAGAL","")&amp;IF($AJ468=""," "," "&amp;$AJ468)&amp;IF($AK468=""," "," "&amp;$AK468)&amp;IF(OR($AT468="",$AT468="ANSI/SDI",$AT468="CUSTOM LOC"),""," "&amp;$AT468)&amp;IF($AM468=""," "," SERIES "&amp;$AM468)&amp;" "&amp;IFERROR(VLOOKUP($H468,CODES,2,FALSE),"")&amp;IF($CT468," | LOC "&amp;$CZ468,"")))</f>
        <v/>
      </c>
      <c r="CL468" s="84">
        <f>IF(CP468="","",IF(COUNTIF($CP$6:CP468,CP468)=1,MAX($CL$5:CL467)+1,INDEX($CL$5:CL467,MATCH(CP468,$CP$5:CP467,0))))</f>
        <v/>
      </c>
      <c r="CM468" s="84">
        <f>IF(NOT(AND($A468&lt;&gt;"",$C468&lt;&gt;"DOOR ONLY")),"",MAX($CM$5:CM467)+1)</f>
        <v/>
      </c>
      <c r="CN468" s="84">
        <f>IF(NOT(AND($A468&lt;&gt;"",N($BJ468)&gt;0)),"",MAX($CN$5:CN467)+1)</f>
        <v/>
      </c>
      <c r="CO468" s="84">
        <f>IF($A468="","",MAX($CO$5:CO467)+1)</f>
        <v/>
      </c>
      <c r="CP468" s="84">
        <f>IF(OR($A468="",$BH468="",$BI468=""),"",$BG468&amp;"|"&amp;$O468&amp;"|"&amp;$AL468&amp;"|"&amp;$S468&amp;"|"&amp;$P468&amp;"|"&amp;$Q468&amp;$R468&amp;"|"&amp;$C468&amp;"|"&amp;$AB468)</f>
        <v/>
      </c>
      <c r="CQ468" s="84">
        <f>N($BS468)</f>
        <v/>
      </c>
      <c r="CR468" s="84">
        <f>IF(N($AU468)&gt;0,N($AU468),4.5)</f>
        <v/>
      </c>
      <c r="CS468" s="84">
        <f>OR($A468="",$BI468="",$S468="BL",AND($C468="FRAME ONLY",OR($AC468="",$AC468="BLK")))</f>
        <v/>
      </c>
      <c r="CT468" s="84">
        <f>AND(NOT($CS468),OR($AT468="CUSTOM LOC",N($AW468)+N($AX468)+N($AY468)+N($AZ468)+N($BA468)&gt;0))</f>
        <v/>
      </c>
      <c r="CU468" s="84">
        <f>IF($BI468="","",IF($BI468&lt;=80,80,IF($BI468&lt;=84,84,96)))</f>
        <v/>
      </c>
      <c r="CV468" s="84">
        <f>ISNUMBER(MATCH($AT468&amp;"|80",LocKeys,0))</f>
        <v/>
      </c>
      <c r="CW468" s="86">
        <f>IF($CS468,"",IF($CV468,VLOOKUP($AT468&amp;"|"&amp;$CU468,LocTable,4,FALSE),5))</f>
        <v/>
      </c>
      <c r="CX468" s="86">
        <f>IF($CS468,"",IF($CV468,IF(OR($BI468=$CU468,AND($BI468&lt;$CU468,$BI468-IF(N(VLOOKUP($AT468&amp;"|"&amp;$CU468,LocTable,7,FALSE))&gt;0,VLOOKUP($AT468&amp;"|"&amp;$CU468,LocTable,7,FALSE),VLOOKUP($AT468&amp;"|"&amp;$CU468,LocTable,6,FALSE))-$CR468-0.75&gt;=2.125)),IF(N(VLOOKUP($AT468&amp;"|"&amp;$CU468,LocTable,7,FALSE))&gt;0,VLOOKUP($AT468&amp;"|"&amp;$CU468,LocTable,7,FALSE),VLOOKUP($AT468&amp;"|"&amp;$CU468,LocTable,6,FALSE)),$BI468-($CU468-IF(N(VLOOKUP($AT468&amp;"|"&amp;$CU468,LocTable,7,FALSE))&gt;0,VLOOKUP($AT468&amp;"|"&amp;$CU468,LocTable,7,FALSE),VLOOKUP($AT468&amp;"|"&amp;$CU468,LocTable,6,FALSE)))),$BI468-10-$CR468))</f>
        <v/>
      </c>
      <c r="CY468" s="85">
        <f>IF($CS468,"",TRIM(IF(ISNUMBER($BU468),"A "&amp;TRIM(TEXT($BU468,"# ?/??"))&amp;CHAR(34)&amp;"  ","")&amp;IF(ISNUMBER($BV468),"B "&amp;TRIM(TEXT($BV468,"# ?/??"))&amp;CHAR(34)&amp;"  ","")&amp;IF(ISNUMBER($BW468),"C "&amp;TRIM(TEXT($BW468,"# ?/??"))&amp;CHAR(34)&amp;"  ","")&amp;IF(ISNUMBER($BX468),"D "&amp;TRIM(TEXT($BX468,"# ?/??"))&amp;CHAR(34)&amp;"  ","")&amp;IF(ISNUMBER($BY468),"F "&amp;TRIM(TEXT($BY468,"# ?/??"))&amp;CHAR(34)&amp;"  ","")&amp;IF(ISNUMBER($BZ468),"E "&amp;TRIM(TEXT($BZ468,"# ?/??"))&amp;CHAR(34)&amp;"  ","")))</f>
        <v/>
      </c>
      <c r="CZ468" s="85">
        <f>IF(OR($CS468,N($BJ468)=0),"",TRIM(IF(ISNUMBER($BU468),"A "&amp;TRIM(TEXT($BU468-HeadClr,"# ?/??"))&amp;CHAR(34)&amp;"  ","")&amp;IF(ISNUMBER($BV468),"B "&amp;TRIM(TEXT($BV468-HeadClr,"# ?/??"))&amp;CHAR(34)&amp;"  ","")&amp;IF(ISNUMBER($BW468),"C "&amp;TRIM(TEXT($BW468-HeadClr,"# ?/??"))&amp;CHAR(34)&amp;"  ","")&amp;IF(ISNUMBER($BX468),"D "&amp;TRIM(TEXT($BX468-HeadClr,"# ?/??"))&amp;CHAR(34)&amp;"  ","")&amp;IF(ISNUMBER($BY468),"F "&amp;TRIM(TEXT($BY468-HeadClr,"# ?/??"))&amp;CHAR(34)&amp;"  ","")&amp;IF(ISNUMBER($BZ468),"E "&amp;TRIM(TEXT($BZ468-HeadClr,"# ?/??"))&amp;CHAR(34)&amp;"  ","")))</f>
        <v/>
      </c>
      <c r="DA468" s="84">
        <f>IF($A468="","",IF($AN468="",IFERROR(VLOOKUP($Z468,CODES,2,FALSE),""),IFERROR(VLOOKUP($AN468,CODES,2,FALSE),"")))</f>
        <v/>
      </c>
      <c r="DB468" s="84">
        <f>IF($A468="","",IF($O468="Y","PR",IF(OR($Z468="L",$Z468="RR",LEFT($Z468,2)="L-",LEFT($Z468,3)="RR-"),"LH","RH")))</f>
        <v/>
      </c>
      <c r="DC468" s="84">
        <f>IF($A468="","","S.HM"&amp;IF(OR($C468="DOOR ONLY",$X468&lt;&gt;"KD"),"MASONRY","DRYWALL")&amp;IF($C468="DOOR ONLY","",$U468)&amp;IF(AND($C468&lt;&gt;"FRAME ONLY",OR(LEFT($AH468,3)="OAK",LEFT($AH468,3)="BIR",LEFT($AH468,3)="MAP",$AH468="PC",$AH468="MC",$AH468="SCLC",$AH468="P-LAM")),"WD","HM")&amp;"1.75")</f>
        <v/>
      </c>
      <c r="DD468" s="84">
        <f>IF($CJ468="","",IF($O468="Y",$CJ468,SUBSTITUTE($CJ468,$BG468&amp;" "&amp;IFERROR(VLOOKUP($Z468,CODES,2,FALSE),"")&amp;" ",$BG468&amp;" ")))</f>
        <v/>
      </c>
      <c r="DE468" s="84">
        <f>IF($CK468="","",IF($O468="Y",$CK468,SUBSTITUTE($CK468,$BG468&amp;" "&amp;IF($AN468="",IFERROR(VLOOKUP($Z468,CODES,2,FALSE),""),IFERROR(VLOOKUP($AN468,CODES,2,FALSE),""))&amp;" ",$BG468&amp;" ")))</f>
        <v/>
      </c>
      <c r="DF468" s="84">
        <f>IF($CJ468="","",$DC468&amp;"|"&amp;$DD468&amp;"|"&amp;$DB468&amp;"|"&amp;$AT468&amp;"|"&amp;$V468&amp;"|"&amp;$Y468&amp;"|"&amp;$AB468)</f>
        <v/>
      </c>
      <c r="DG468" s="84">
        <f>IF(DF468="","",IF(COUNTIF($DF$6:DF468,DF468)=1,MAX($DG$5:DG467)+1,INDEX($DG$5:DG467,MATCH(DF468,$DF$5:DF467,0))))</f>
        <v/>
      </c>
      <c r="DH468" s="84">
        <f>IF($CK468="","",$DC468&amp;"|"&amp;$DE468&amp;"|"&amp;$AI468&amp;"|"&amp;$BK468&amp;"|"&amp;$BL468)</f>
        <v/>
      </c>
      <c r="DI468" s="84">
        <f>IF(DH468="","",IF(COUNTIF($DH$6:DH468,DH468)=1,MAX($DI$5:DI467)+1,INDEX($DI$5:DI467,MATCH(DH468,$DH$5:DH467,0))))</f>
        <v/>
      </c>
      <c r="DJ468" s="84">
        <f>IF($A468="","",IF($B468="","qty, ","")&amp;IF($C468="","scope, ","")&amp;IF(OR($K468="",$M468=""),"size, ","")&amp;IF(AND($A468&lt;&gt;"",$C468&lt;&gt;"DOOR ONLY"),IF($U468="","jamb depth, ","")&amp;IF($X468="","construction, ","")&amp;IF($Y468="","anchor, ","")&amp;IF($S468="","frame type, ",""),"")&amp;IF(AND(N($BJ468)&gt;0,$Z468=""),"hand, ","")&amp;IF(N($BJ468)&gt;0,IF($AH468="","door material, ","")&amp;IF($AL468="","face type, ","")&amp;IF($AP468="","lock prep, ","")&amp;IF(AND($AO468="",$AC468=""),"hinge prep, ",""),"")&amp;IF(AND($CH468&gt;0,$AH468="FRP"),"FRP cannot carry a label, ","")&amp;IF(AND($O468="Y",OR($Z468="L",$Z468="R",$Z468="LR",$Z468="RR")),"pair marked but hand is single, ","")&amp;IF(AND($O468&lt;&gt;"Y",OR($Z468="PR",AND(LEN($Z468)&gt;1,ISNUMBER(SEARCH("-",$Z468))))),"pair hand on a single door, ","")&amp;IF(AND(ISNUMBER($CI468),$CH468&lt;N($CI468)),"wall needs a "&amp;$CI468&amp;" min door, ","")&amp;IF(AND($CH468&gt;=180,AND(OR($CE468="FG",$CE468="HG",$CE468="FNV",$CE468="FV"),N($CF468)*N($CG468)&gt;100)),"180 min lite over 100 sq in, ","")&amp;IF(N($BK468)&gt;48,"leaf wider than 4'-0"&amp;CHAR(34)&amp;", ","")&amp;IF(AND($CT468,COUNT($AW468:$AZ468)=0,$CQ468&gt;0),"CUSTOM LOC with no locations typed, ",""))</f>
        <v/>
      </c>
      <c r="DK468" s="84">
        <f>IF($A468="","",IF(AND($CH468&gt;0,AND($A468&lt;&gt;"",$C468&lt;&gt;"DOOR ONLY"),$X468="KD",$E468="EXTERIOR"),"KD label on an exterior opening, ","")&amp;IF(AND($E468="EXTERIOR",OR(AND(AND($A468&lt;&gt;"",$C468&lt;&gt;"DOOR ONLY"),$W468="CR"),AND(N($BJ468)&gt;0,$AH468="CR"))),"exterior in CR steel (G9?), ","")&amp;IF(AND(ISNUMBER($BQ468),N($BQ468)&lt;32),"clear width ~"&amp;TEXT($BQ468,"0.0")&amp;CHAR(34)&amp;" under 32"&amp;CHAR(34)&amp;" (ADA), ","")&amp;IF(AND($CH468=90,AND(OR($CE468="FG",$CE468="HG",$CE468="FNV",$CE468="FV"),N($CF468)*N($CG468)&gt;100)),"90 min lite over 100 sq in (stair/exit), ","")&amp;IF(AND($CH468&gt;0,AND($A468&lt;&gt;"",$C468&lt;&gt;"DOOR ONLY"),OR($AF468="",$AF468="-")),"rated: closer reinf.?, ","")&amp;IF(OR($I468="CORRIDOR",$I468="SMOKE BARRIER"),"S label + smoke gasketing, ","")&amp;IF($CI468="?","wall type/hr not in IBC table, ","")&amp;IF(AND(N($BJ468)&gt;0,$BB468=""),"no hardware set, ","")&amp;IF(AND($BB468&lt;&gt;"",ISNA(MATCH($BB468&amp;"",HWSets,0))),"set "&amp;$BB468&amp;" not on HW Sets, ","")&amp;IF(N($BL468)&gt;96,"leaf over 8'-0"&amp;CHAR(34)&amp;" - check listing, ","")&amp;IF(AND($CT468,COUNT($AW468:$AZ468)&gt;0,COUNT($AW468:$AZ468)&lt;&gt;$CQ468),COUNT($AW468:$AZ468)&amp;" custom hinges typed, "&amp;$CQ468&amp;" expected, ","")&amp;IF(AND(ISNUMBER($CA468),OR(N($CA468)&lt;34,N($CA468)&gt;48)),"lock "&amp;TEXT($CA468,"0.0")&amp;CHAR(34)&amp;" AFF outside 34-48"&amp;CHAR(34)&amp;" (ADA), ","")&amp;IF(AND(ISNUMBER($AV468),ISNUMBER($BL468),N($AV468)&lt;IF(N($BL468)&lt;=60,2,IF(N($BL468)&lt;=90,3,IF(N($BL468)&lt;=120,4,5)))),"fewer hinges than standard, ",""))</f>
        <v/>
      </c>
    </row>
    <row r="469" ht="15" customHeight="1">
      <c r="A469" s="77" t="n"/>
      <c r="B469" s="78" t="n"/>
      <c r="C469" s="78" t="n"/>
      <c r="D469" s="78" t="n"/>
      <c r="E469" s="78" t="n"/>
      <c r="F469" s="78" t="n"/>
      <c r="G469" s="78" t="n"/>
      <c r="H469" s="78" t="n"/>
      <c r="I469" s="78" t="n"/>
      <c r="J469" s="78" t="n"/>
      <c r="K469" s="78" t="n"/>
      <c r="L469" s="78" t="n"/>
      <c r="M469" s="78" t="n"/>
      <c r="N469" s="78" t="n"/>
      <c r="O469" s="78" t="n"/>
      <c r="P469" s="78" t="n"/>
      <c r="Q469" s="78" t="n"/>
      <c r="R469" s="78" t="n"/>
      <c r="S469" s="79" t="n"/>
      <c r="T469" s="79" t="n"/>
      <c r="U469" s="79" t="n"/>
      <c r="V469" s="79" t="n"/>
      <c r="W469" s="79" t="n"/>
      <c r="X469" s="79" t="n"/>
      <c r="Y469" s="79" t="n"/>
      <c r="Z469" s="79" t="n"/>
      <c r="AA469" s="79" t="n"/>
      <c r="AB469" s="79" t="n"/>
      <c r="AC469" s="79" t="n"/>
      <c r="AD469" s="79" t="n"/>
      <c r="AE469" s="79" t="n"/>
      <c r="AF469" s="79" t="n"/>
      <c r="AG469" s="79" t="n"/>
      <c r="AH469" s="80" t="n"/>
      <c r="AI469" s="80" t="n"/>
      <c r="AJ469" s="80" t="n"/>
      <c r="AK469" s="80" t="n"/>
      <c r="AL469" s="80" t="n"/>
      <c r="AM469" s="80" t="n"/>
      <c r="AN469" s="80" t="n"/>
      <c r="AO469" s="80" t="n"/>
      <c r="AP469" s="80" t="n"/>
      <c r="AQ469" s="80" t="n"/>
      <c r="AR469" s="80" t="n"/>
      <c r="AS469" s="80" t="n"/>
      <c r="AT469" s="81" t="n"/>
      <c r="AU469" s="81" t="n"/>
      <c r="AV469" s="81" t="n"/>
      <c r="AW469" s="82" t="n"/>
      <c r="AX469" s="82" t="n"/>
      <c r="AY469" s="82" t="n"/>
      <c r="AZ469" s="82" t="n"/>
      <c r="BA469" s="82" t="n"/>
      <c r="BB469" s="83" t="n"/>
      <c r="BC469" s="83" t="n"/>
      <c r="BD469" s="84">
        <f>IF($A469="","",IF($DJ469&lt;&gt;"","FIX",IF($DK469&lt;&gt;"","CHECK","OK")))</f>
        <v/>
      </c>
      <c r="BE469" s="85">
        <f>IF($A469="","",IF($DJ469&lt;&gt;"","FIX: "&amp;LEFT($DJ469,LEN($DJ469)-2)&amp;IF($DK469&lt;&gt;"","  ·  ",""),"")&amp;IF($DK469&lt;&gt;"","CHECK: "&amp;LEFT($DK469,LEN($DK469)-2),""))</f>
        <v/>
      </c>
      <c r="BF469" s="84">
        <f>IF(OR($A469="",$K469=""),"",$K469&amp;"'-"&amp;N($L469)&amp;CHAR(34)&amp;" x "&amp;$M469&amp;"'-"&amp;N($N469)&amp;CHAR(34))</f>
        <v/>
      </c>
      <c r="BG469" s="84">
        <f>IF(OR($A469="",$K469=""),"",$K469&amp;N($L469)&amp;$M469&amp;N($N469))</f>
        <v/>
      </c>
      <c r="BH469" s="84">
        <f>IF(OR($A469="",$K469=""),"",$K469*12+N($L469))</f>
        <v/>
      </c>
      <c r="BI469" s="84">
        <f>IF(OR($A469="",$M469=""),"",$M469*12+N($N469))</f>
        <v/>
      </c>
      <c r="BJ469" s="84">
        <f>IF($A469="","",IF(OR($C469="FRAME ONLY",$S469="BL"),0,IF($O469="Y",2,1)))</f>
        <v/>
      </c>
      <c r="BK469" s="86">
        <f>IF(OR(N($BJ469)=0,$BH469=""),"",($BH469-2*EdgeClr-IF($BJ469=2,MeetClr,0))/$BJ469)</f>
        <v/>
      </c>
      <c r="BL469" s="86">
        <f>IF(OR(N($BJ469)=0,$BI469=""),"",$BI469-HeadClr-Undercut)</f>
        <v/>
      </c>
      <c r="BM469" s="86">
        <f>IF($BH469="","",$BH469+2*FaceW+IF(N($Q469)&gt;0,($Q469+FaceW)*IF($R469="LR",2,1),0))</f>
        <v/>
      </c>
      <c r="BN469" s="86">
        <f>IF($BI469="","",$BI469+IF($AB469="Y",4,FaceW)+IF(N($P469)&gt;0,$P469+FaceW,0)+IF(OR($S469="4F",$S469="BL"),FaceW,0))</f>
        <v/>
      </c>
      <c r="BO469" s="86">
        <f>IF($BM469="","",$BM469+2*ROSide)</f>
        <v/>
      </c>
      <c r="BP469" s="86">
        <f>IF($BN469="","",$BN469+ROTop)</f>
        <v/>
      </c>
      <c r="BQ469" s="87">
        <f>IF(OR(N($BJ469)=0,$BH469=""),"",$BH469/$BJ469-ClearDeduct)</f>
        <v/>
      </c>
      <c r="BR469" s="84">
        <f>IF(N($CH469)=0,"",IF($CH469&gt;=180,"A · 3 HR",IF($CH469&gt;=90,"B · 1-1/2 HR",IF($CH469&gt;=60,"B · 1 HR",IF($CH469&gt;=45,"C · 3/4 HR","20 MIN")))))&amp;IF(AND(N($CH469)&gt;0,OR($I469="CORRIDOR",$I469="SMOKE BARRIER"))," · S","")</f>
        <v/>
      </c>
      <c r="BS469" s="84">
        <f>IF($CS469,"",IF($AV469&lt;&gt;"",$AV469,IF(OR($AC469="HGC",$AO469="HGC"),"CONT",IF(($BI469-HeadClr-Undercut)&lt;=60,2,IF(($BI469-HeadClr-Undercut)&lt;=90,3,IF(($BI469-HeadClr-Undercut)&lt;=120,4,5))))))</f>
        <v/>
      </c>
      <c r="BT469" s="84">
        <f>IF($CS469,"",IF($CT469,"CUSTOM (typed)",IF($CV469,$AT469&amp;" "&amp;$CU469&amp;CHAR(34)&amp;IF($CU469&lt;&gt;$BI469,IF(AND($BI469&lt;$CU469,$BI469-IF(N(VLOOKUP($AT469&amp;"|"&amp;$CU469,LocTable,7,FALSE))&gt;0,VLOOKUP($AT469&amp;"|"&amp;$CU469,LocTable,7,FALSE),VLOOKUP($AT469&amp;"|"&amp;$CU469,LocTable,6,FALSE))-$CR469-0.75&gt;=2.125)," cut down"," adj."),""),"ANSI/SDI A250.6")))</f>
        <v/>
      </c>
      <c r="BU469" s="88">
        <f>IF($CS469,"",IF($CT469,IF(N($AW469)&gt;0,N($AW469),""),IF(1&gt;$CQ469,"",IF($CQ469=1,$CW469,$CW469+($CX469-$CW469)*0/($CQ469-1)))))</f>
        <v/>
      </c>
      <c r="BV469" s="88">
        <f>IF($CS469,"",IF($CT469,IF(N($AX469)&gt;0,N($AX469),""),IF(2&gt;$CQ469,"",IF($CQ469=1,$CW469,$CW469+($CX469-$CW469)*1/($CQ469-1)))))</f>
        <v/>
      </c>
      <c r="BW469" s="88">
        <f>IF($CS469,"",IF($CT469,IF(N($AY469)&gt;0,N($AY469),""),IF(3&gt;$CQ469,"",IF($CQ469=1,$CW469,$CW469+($CX469-$CW469)*2/($CQ469-1)))))</f>
        <v/>
      </c>
      <c r="BX469" s="88">
        <f>IF($CS469,"",IF($CT469,IF(N($AZ469)&gt;0,N($AZ469),""),IF(4&gt;$CQ469,"",IF($CQ469=1,$CW469,$CW469+($CX469-$CW469)*3/($CQ469-1)))))</f>
        <v/>
      </c>
      <c r="BY469" s="88">
        <f>IF($CS469,"",IF($CT469,"",IF(5&gt;$CQ469,"",IF($CQ469=1,$CW469,$CW469+($CX469-$CW469)*4/($CQ469-1)))))</f>
        <v/>
      </c>
      <c r="BZ469" s="88">
        <f>IF(OR($CS469,$AP469="-",AND($AP469="",$AD469="")),"",IF(N($BA469)&gt;0,N($BA469),IF($CV469,IF(AND($BI469&lt;$CU469,$BI469-IF(N(VLOOKUP($AT469&amp;"|"&amp;$CU469,LocTable,7,FALSE))&gt;0,VLOOKUP($AT469&amp;"|"&amp;$CU469,LocTable,7,FALSE),VLOOKUP($AT469&amp;"|"&amp;$CU469,LocTable,6,FALSE))-$CR469-0.75&gt;=2.125),VLOOKUP($AT469&amp;"|"&amp;$CU469,LocTable,8,FALSE),VLOOKUP($AT469&amp;"|"&amp;$CU469,LocTable,8,FALSE)+($BI469-$CU469)),$BI469-LockAFF)))</f>
        <v/>
      </c>
      <c r="CA469" s="89">
        <f>IF($BZ469="","",$BI469-$BZ469)</f>
        <v/>
      </c>
      <c r="CB469" s="84">
        <f>IF(OR(NOT(AND($A469&lt;&gt;"",$C469&lt;&gt;"DOOR ONLY")),$BI469=""),"",IF(($BI469+IF(N($P469)&gt;0,$P469+FaceW,0))&lt;=90,3,IF(($BI469+IF(N($P469)&gt;0,$P469+FaceW,0))&lt;=114,4,5)))</f>
        <v/>
      </c>
      <c r="CC469" s="84">
        <f>IF($CB469="","",$CB469*(2+IF(N($Q469)&gt;0,IF($R469="LR",2,1),0)))</f>
        <v/>
      </c>
      <c r="CD469" s="84">
        <f>IF($CB469="","",(2+IF(N($Q469)&gt;0,IF($R469="LR",2,1),0)))</f>
        <v/>
      </c>
      <c r="CE469" s="84">
        <f>IF(N($BJ469)=0,"",IF(OR($AL469="",$AL469="FLUSH"),"FLUSH",IFERROR(LEFT($AL469,FIND("-",$AL469)-1),LEFT($AL469,2))))</f>
        <v/>
      </c>
      <c r="CF469" s="84">
        <f>IF($CE469="","",IFERROR(VALUE(MID($AL469,FIND("-",$AL469)+1,FIND(CHAR(34)&amp;"x",$AL469)-FIND("-",$AL469)-1)),0))</f>
        <v/>
      </c>
      <c r="CG469" s="84">
        <f>IF($CE469="","",IFERROR(VALUE(MID($AL469,FIND(CHAR(34)&amp;"x",$AL469)+2,FIND(CHAR(34),$AL469,FIND(CHAR(34)&amp;"x",$AL469)+2)-FIND(CHAR(34)&amp;"x",$AL469)-2)),0))</f>
        <v/>
      </c>
      <c r="CH469" s="90">
        <f>IF(OR($A469="",$H469="",$H469="NO LAB"),0,IFERROR(VALUE(LEFT($H469,FIND(" ",$H469)-1)),0))</f>
        <v/>
      </c>
      <c r="CI469" s="91">
        <f>IF(OR($A469="",$I469="",$I469="NON-RATED",N($J469)=0),"",IFERROR(VLOOKUP($I469&amp;"|"&amp;$J469,IBC,2,FALSE),"?"))</f>
        <v/>
      </c>
      <c r="CJ469" s="85">
        <f>IF(NOT(AND($A469&lt;&gt;"",$C469&lt;&gt;"DOOR ONLY")),"",TRIM(IFERROR(VLOOKUP($U469,CODES,2,FALSE),"")&amp;" "&amp;$BG469&amp;" "&amp;IFERROR(VLOOKUP($Z469,CODES,2,FALSE),"")&amp;" "&amp;IFERROR(VLOOKUP($X469,CODES,2,FALSE),"")&amp;" "&amp;IFERROR(VLOOKUP($S469,CODES,2,FALSE),"")&amp;IF(N($P469)&gt;0," w/TRANSOM "&amp;$P469&amp;CHAR(34),"")&amp;IF(N($Q469)&gt;0," w/SIDELITE "&amp;$Q469&amp;CHAR(34)&amp;" "&amp;IF($R469="","R",$R469),"")&amp;IF($Y469="","  |  "," | "&amp;IFERROR(VLOOKUP($Y469,CODES,2,FALSE),"")&amp;" | ")&amp;IFERROR(VLOOKUP($AC469,CODES,2,FALSE),"")&amp;" "&amp;IFERROR(VLOOKUP($AD469,CODES,2,FALSE),"")&amp;IF(OR($AE469="",$AE469="-"),""," "&amp;$AE469)&amp;IF(OR($AF469="",$AF469="-"),""," "&amp;$AF469)&amp;IF($AB469="Y"," 4"&amp;CHAR(34)&amp;" HEAD","")&amp;" "&amp;IFERROR(VLOOKUP($H469,CODES,2,FALSE),"")&amp;IF($CT469," | LOC "&amp;$CY469,"")))</f>
        <v/>
      </c>
      <c r="CK469" s="85">
        <f>IF(NOT(AND($A469&lt;&gt;"",N($BJ469)&gt;0)),"",TRIM(IFERROR(VLOOKUP($AH469,CODES,2,FALSE),"")&amp;IF($AI469=""," "," "&amp;$AI469&amp;"GA ")&amp;$BG469&amp;" "&amp;IF($AN469="",IFERROR(VLOOKUP($Z469,CODES,2,FALSE),""),IFERROR(VLOOKUP($AN469,CODES,2,FALSE),""))&amp;IF($BJ469=2," PAIR","")&amp;" DOOR | "&amp;IF($AL469="","?",$AL469)&amp;" | "&amp;IF($AO469="",IFERROR(VLOOKUP($AC469,CODES,2,FALSE),""),IFERROR(VLOOKUP($AO469,CODES,2,FALSE),""))&amp;" "&amp;IFERROR(VLOOKUP($AP469,CODES,2,FALSE),"")&amp;IF(OR($AQ469="",$AQ469="-"),""," SEAM "&amp;$AQ469)&amp;IF($AR469="Y"," ASTRAGAL","")&amp;IF($AJ469=""," "," "&amp;$AJ469)&amp;IF($AK469=""," "," "&amp;$AK469)&amp;IF(OR($AT469="",$AT469="ANSI/SDI",$AT469="CUSTOM LOC"),""," "&amp;$AT469)&amp;IF($AM469=""," "," SERIES "&amp;$AM469)&amp;" "&amp;IFERROR(VLOOKUP($H469,CODES,2,FALSE),"")&amp;IF($CT469," | LOC "&amp;$CZ469,"")))</f>
        <v/>
      </c>
      <c r="CL469" s="84">
        <f>IF(CP469="","",IF(COUNTIF($CP$6:CP469,CP469)=1,MAX($CL$5:CL468)+1,INDEX($CL$5:CL468,MATCH(CP469,$CP$5:CP468,0))))</f>
        <v/>
      </c>
      <c r="CM469" s="84">
        <f>IF(NOT(AND($A469&lt;&gt;"",$C469&lt;&gt;"DOOR ONLY")),"",MAX($CM$5:CM468)+1)</f>
        <v/>
      </c>
      <c r="CN469" s="84">
        <f>IF(NOT(AND($A469&lt;&gt;"",N($BJ469)&gt;0)),"",MAX($CN$5:CN468)+1)</f>
        <v/>
      </c>
      <c r="CO469" s="84">
        <f>IF($A469="","",MAX($CO$5:CO468)+1)</f>
        <v/>
      </c>
      <c r="CP469" s="84">
        <f>IF(OR($A469="",$BH469="",$BI469=""),"",$BG469&amp;"|"&amp;$O469&amp;"|"&amp;$AL469&amp;"|"&amp;$S469&amp;"|"&amp;$P469&amp;"|"&amp;$Q469&amp;$R469&amp;"|"&amp;$C469&amp;"|"&amp;$AB469)</f>
        <v/>
      </c>
      <c r="CQ469" s="84">
        <f>N($BS469)</f>
        <v/>
      </c>
      <c r="CR469" s="84">
        <f>IF(N($AU469)&gt;0,N($AU469),4.5)</f>
        <v/>
      </c>
      <c r="CS469" s="84">
        <f>OR($A469="",$BI469="",$S469="BL",AND($C469="FRAME ONLY",OR($AC469="",$AC469="BLK")))</f>
        <v/>
      </c>
      <c r="CT469" s="84">
        <f>AND(NOT($CS469),OR($AT469="CUSTOM LOC",N($AW469)+N($AX469)+N($AY469)+N($AZ469)+N($BA469)&gt;0))</f>
        <v/>
      </c>
      <c r="CU469" s="84">
        <f>IF($BI469="","",IF($BI469&lt;=80,80,IF($BI469&lt;=84,84,96)))</f>
        <v/>
      </c>
      <c r="CV469" s="84">
        <f>ISNUMBER(MATCH($AT469&amp;"|80",LocKeys,0))</f>
        <v/>
      </c>
      <c r="CW469" s="86">
        <f>IF($CS469,"",IF($CV469,VLOOKUP($AT469&amp;"|"&amp;$CU469,LocTable,4,FALSE),5))</f>
        <v/>
      </c>
      <c r="CX469" s="86">
        <f>IF($CS469,"",IF($CV469,IF(OR($BI469=$CU469,AND($BI469&lt;$CU469,$BI469-IF(N(VLOOKUP($AT469&amp;"|"&amp;$CU469,LocTable,7,FALSE))&gt;0,VLOOKUP($AT469&amp;"|"&amp;$CU469,LocTable,7,FALSE),VLOOKUP($AT469&amp;"|"&amp;$CU469,LocTable,6,FALSE))-$CR469-0.75&gt;=2.125)),IF(N(VLOOKUP($AT469&amp;"|"&amp;$CU469,LocTable,7,FALSE))&gt;0,VLOOKUP($AT469&amp;"|"&amp;$CU469,LocTable,7,FALSE),VLOOKUP($AT469&amp;"|"&amp;$CU469,LocTable,6,FALSE)),$BI469-($CU469-IF(N(VLOOKUP($AT469&amp;"|"&amp;$CU469,LocTable,7,FALSE))&gt;0,VLOOKUP($AT469&amp;"|"&amp;$CU469,LocTable,7,FALSE),VLOOKUP($AT469&amp;"|"&amp;$CU469,LocTable,6,FALSE)))),$BI469-10-$CR469))</f>
        <v/>
      </c>
      <c r="CY469" s="85">
        <f>IF($CS469,"",TRIM(IF(ISNUMBER($BU469),"A "&amp;TRIM(TEXT($BU469,"# ?/??"))&amp;CHAR(34)&amp;"  ","")&amp;IF(ISNUMBER($BV469),"B "&amp;TRIM(TEXT($BV469,"# ?/??"))&amp;CHAR(34)&amp;"  ","")&amp;IF(ISNUMBER($BW469),"C "&amp;TRIM(TEXT($BW469,"# ?/??"))&amp;CHAR(34)&amp;"  ","")&amp;IF(ISNUMBER($BX469),"D "&amp;TRIM(TEXT($BX469,"# ?/??"))&amp;CHAR(34)&amp;"  ","")&amp;IF(ISNUMBER($BY469),"F "&amp;TRIM(TEXT($BY469,"# ?/??"))&amp;CHAR(34)&amp;"  ","")&amp;IF(ISNUMBER($BZ469),"E "&amp;TRIM(TEXT($BZ469,"# ?/??"))&amp;CHAR(34)&amp;"  ","")))</f>
        <v/>
      </c>
      <c r="CZ469" s="85">
        <f>IF(OR($CS469,N($BJ469)=0),"",TRIM(IF(ISNUMBER($BU469),"A "&amp;TRIM(TEXT($BU469-HeadClr,"# ?/??"))&amp;CHAR(34)&amp;"  ","")&amp;IF(ISNUMBER($BV469),"B "&amp;TRIM(TEXT($BV469-HeadClr,"# ?/??"))&amp;CHAR(34)&amp;"  ","")&amp;IF(ISNUMBER($BW469),"C "&amp;TRIM(TEXT($BW469-HeadClr,"# ?/??"))&amp;CHAR(34)&amp;"  ","")&amp;IF(ISNUMBER($BX469),"D "&amp;TRIM(TEXT($BX469-HeadClr,"# ?/??"))&amp;CHAR(34)&amp;"  ","")&amp;IF(ISNUMBER($BY469),"F "&amp;TRIM(TEXT($BY469-HeadClr,"# ?/??"))&amp;CHAR(34)&amp;"  ","")&amp;IF(ISNUMBER($BZ469),"E "&amp;TRIM(TEXT($BZ469-HeadClr,"# ?/??"))&amp;CHAR(34)&amp;"  ","")))</f>
        <v/>
      </c>
      <c r="DA469" s="84">
        <f>IF($A469="","",IF($AN469="",IFERROR(VLOOKUP($Z469,CODES,2,FALSE),""),IFERROR(VLOOKUP($AN469,CODES,2,FALSE),"")))</f>
        <v/>
      </c>
      <c r="DB469" s="84">
        <f>IF($A469="","",IF($O469="Y","PR",IF(OR($Z469="L",$Z469="RR",LEFT($Z469,2)="L-",LEFT($Z469,3)="RR-"),"LH","RH")))</f>
        <v/>
      </c>
      <c r="DC469" s="84">
        <f>IF($A469="","","S.HM"&amp;IF(OR($C469="DOOR ONLY",$X469&lt;&gt;"KD"),"MASONRY","DRYWALL")&amp;IF($C469="DOOR ONLY","",$U469)&amp;IF(AND($C469&lt;&gt;"FRAME ONLY",OR(LEFT($AH469,3)="OAK",LEFT($AH469,3)="BIR",LEFT($AH469,3)="MAP",$AH469="PC",$AH469="MC",$AH469="SCLC",$AH469="P-LAM")),"WD","HM")&amp;"1.75")</f>
        <v/>
      </c>
      <c r="DD469" s="84">
        <f>IF($CJ469="","",IF($O469="Y",$CJ469,SUBSTITUTE($CJ469,$BG469&amp;" "&amp;IFERROR(VLOOKUP($Z469,CODES,2,FALSE),"")&amp;" ",$BG469&amp;" ")))</f>
        <v/>
      </c>
      <c r="DE469" s="84">
        <f>IF($CK469="","",IF($O469="Y",$CK469,SUBSTITUTE($CK469,$BG469&amp;" "&amp;IF($AN469="",IFERROR(VLOOKUP($Z469,CODES,2,FALSE),""),IFERROR(VLOOKUP($AN469,CODES,2,FALSE),""))&amp;" ",$BG469&amp;" ")))</f>
        <v/>
      </c>
      <c r="DF469" s="84">
        <f>IF($CJ469="","",$DC469&amp;"|"&amp;$DD469&amp;"|"&amp;$DB469&amp;"|"&amp;$AT469&amp;"|"&amp;$V469&amp;"|"&amp;$Y469&amp;"|"&amp;$AB469)</f>
        <v/>
      </c>
      <c r="DG469" s="84">
        <f>IF(DF469="","",IF(COUNTIF($DF$6:DF469,DF469)=1,MAX($DG$5:DG468)+1,INDEX($DG$5:DG468,MATCH(DF469,$DF$5:DF468,0))))</f>
        <v/>
      </c>
      <c r="DH469" s="84">
        <f>IF($CK469="","",$DC469&amp;"|"&amp;$DE469&amp;"|"&amp;$AI469&amp;"|"&amp;$BK469&amp;"|"&amp;$BL469)</f>
        <v/>
      </c>
      <c r="DI469" s="84">
        <f>IF(DH469="","",IF(COUNTIF($DH$6:DH469,DH469)=1,MAX($DI$5:DI468)+1,INDEX($DI$5:DI468,MATCH(DH469,$DH$5:DH468,0))))</f>
        <v/>
      </c>
      <c r="DJ469" s="84">
        <f>IF($A469="","",IF($B469="","qty, ","")&amp;IF($C469="","scope, ","")&amp;IF(OR($K469="",$M469=""),"size, ","")&amp;IF(AND($A469&lt;&gt;"",$C469&lt;&gt;"DOOR ONLY"),IF($U469="","jamb depth, ","")&amp;IF($X469="","construction, ","")&amp;IF($Y469="","anchor, ","")&amp;IF($S469="","frame type, ",""),"")&amp;IF(AND(N($BJ469)&gt;0,$Z469=""),"hand, ","")&amp;IF(N($BJ469)&gt;0,IF($AH469="","door material, ","")&amp;IF($AL469="","face type, ","")&amp;IF($AP469="","lock prep, ","")&amp;IF(AND($AO469="",$AC469=""),"hinge prep, ",""),"")&amp;IF(AND($CH469&gt;0,$AH469="FRP"),"FRP cannot carry a label, ","")&amp;IF(AND($O469="Y",OR($Z469="L",$Z469="R",$Z469="LR",$Z469="RR")),"pair marked but hand is single, ","")&amp;IF(AND($O469&lt;&gt;"Y",OR($Z469="PR",AND(LEN($Z469)&gt;1,ISNUMBER(SEARCH("-",$Z469))))),"pair hand on a single door, ","")&amp;IF(AND(ISNUMBER($CI469),$CH469&lt;N($CI469)),"wall needs a "&amp;$CI469&amp;" min door, ","")&amp;IF(AND($CH469&gt;=180,AND(OR($CE469="FG",$CE469="HG",$CE469="FNV",$CE469="FV"),N($CF469)*N($CG469)&gt;100)),"180 min lite over 100 sq in, ","")&amp;IF(N($BK469)&gt;48,"leaf wider than 4'-0"&amp;CHAR(34)&amp;", ","")&amp;IF(AND($CT469,COUNT($AW469:$AZ469)=0,$CQ469&gt;0),"CUSTOM LOC with no locations typed, ",""))</f>
        <v/>
      </c>
      <c r="DK469" s="84">
        <f>IF($A469="","",IF(AND($CH469&gt;0,AND($A469&lt;&gt;"",$C469&lt;&gt;"DOOR ONLY"),$X469="KD",$E469="EXTERIOR"),"KD label on an exterior opening, ","")&amp;IF(AND($E469="EXTERIOR",OR(AND(AND($A469&lt;&gt;"",$C469&lt;&gt;"DOOR ONLY"),$W469="CR"),AND(N($BJ469)&gt;0,$AH469="CR"))),"exterior in CR steel (G9?), ","")&amp;IF(AND(ISNUMBER($BQ469),N($BQ469)&lt;32),"clear width ~"&amp;TEXT($BQ469,"0.0")&amp;CHAR(34)&amp;" under 32"&amp;CHAR(34)&amp;" (ADA), ","")&amp;IF(AND($CH469=90,AND(OR($CE469="FG",$CE469="HG",$CE469="FNV",$CE469="FV"),N($CF469)*N($CG469)&gt;100)),"90 min lite over 100 sq in (stair/exit), ","")&amp;IF(AND($CH469&gt;0,AND($A469&lt;&gt;"",$C469&lt;&gt;"DOOR ONLY"),OR($AF469="",$AF469="-")),"rated: closer reinf.?, ","")&amp;IF(OR($I469="CORRIDOR",$I469="SMOKE BARRIER"),"S label + smoke gasketing, ","")&amp;IF($CI469="?","wall type/hr not in IBC table, ","")&amp;IF(AND(N($BJ469)&gt;0,$BB469=""),"no hardware set, ","")&amp;IF(AND($BB469&lt;&gt;"",ISNA(MATCH($BB469&amp;"",HWSets,0))),"set "&amp;$BB469&amp;" not on HW Sets, ","")&amp;IF(N($BL469)&gt;96,"leaf over 8'-0"&amp;CHAR(34)&amp;" - check listing, ","")&amp;IF(AND($CT469,COUNT($AW469:$AZ469)&gt;0,COUNT($AW469:$AZ469)&lt;&gt;$CQ469),COUNT($AW469:$AZ469)&amp;" custom hinges typed, "&amp;$CQ469&amp;" expected, ","")&amp;IF(AND(ISNUMBER($CA469),OR(N($CA469)&lt;34,N($CA469)&gt;48)),"lock "&amp;TEXT($CA469,"0.0")&amp;CHAR(34)&amp;" AFF outside 34-48"&amp;CHAR(34)&amp;" (ADA), ","")&amp;IF(AND(ISNUMBER($AV469),ISNUMBER($BL469),N($AV469)&lt;IF(N($BL469)&lt;=60,2,IF(N($BL469)&lt;=90,3,IF(N($BL469)&lt;=120,4,5)))),"fewer hinges than standard, ",""))</f>
        <v/>
      </c>
    </row>
    <row r="470" ht="15" customHeight="1">
      <c r="A470" s="92" t="n"/>
      <c r="B470" s="93" t="n"/>
      <c r="C470" s="93" t="n"/>
      <c r="D470" s="93" t="n"/>
      <c r="E470" s="93" t="n"/>
      <c r="F470" s="93" t="n"/>
      <c r="G470" s="93" t="n"/>
      <c r="H470" s="93" t="n"/>
      <c r="I470" s="93" t="n"/>
      <c r="J470" s="93" t="n"/>
      <c r="K470" s="93" t="n"/>
      <c r="L470" s="93" t="n"/>
      <c r="M470" s="93" t="n"/>
      <c r="N470" s="93" t="n"/>
      <c r="O470" s="93" t="n"/>
      <c r="P470" s="93" t="n"/>
      <c r="Q470" s="93" t="n"/>
      <c r="R470" s="93" t="n"/>
      <c r="S470" s="94" t="n"/>
      <c r="T470" s="94" t="n"/>
      <c r="U470" s="94" t="n"/>
      <c r="V470" s="94" t="n"/>
      <c r="W470" s="94" t="n"/>
      <c r="X470" s="94" t="n"/>
      <c r="Y470" s="94" t="n"/>
      <c r="Z470" s="94" t="n"/>
      <c r="AA470" s="94" t="n"/>
      <c r="AB470" s="94" t="n"/>
      <c r="AC470" s="94" t="n"/>
      <c r="AD470" s="94" t="n"/>
      <c r="AE470" s="94" t="n"/>
      <c r="AF470" s="94" t="n"/>
      <c r="AG470" s="94" t="n"/>
      <c r="AH470" s="95" t="n"/>
      <c r="AI470" s="95" t="n"/>
      <c r="AJ470" s="95" t="n"/>
      <c r="AK470" s="95" t="n"/>
      <c r="AL470" s="95" t="n"/>
      <c r="AM470" s="95" t="n"/>
      <c r="AN470" s="95" t="n"/>
      <c r="AO470" s="95" t="n"/>
      <c r="AP470" s="95" t="n"/>
      <c r="AQ470" s="95" t="n"/>
      <c r="AR470" s="95" t="n"/>
      <c r="AS470" s="95" t="n"/>
      <c r="AT470" s="96" t="n"/>
      <c r="AU470" s="96" t="n"/>
      <c r="AV470" s="96" t="n"/>
      <c r="AW470" s="97" t="n"/>
      <c r="AX470" s="97" t="n"/>
      <c r="AY470" s="97" t="n"/>
      <c r="AZ470" s="97" t="n"/>
      <c r="BA470" s="97" t="n"/>
      <c r="BB470" s="98" t="n"/>
      <c r="BC470" s="98" t="n"/>
      <c r="BD470" s="99">
        <f>IF($A470="","",IF($DJ470&lt;&gt;"","FIX",IF($DK470&lt;&gt;"","CHECK","OK")))</f>
        <v/>
      </c>
      <c r="BE470" s="100">
        <f>IF($A470="","",IF($DJ470&lt;&gt;"","FIX: "&amp;LEFT($DJ470,LEN($DJ470)-2)&amp;IF($DK470&lt;&gt;"","  ·  ",""),"")&amp;IF($DK470&lt;&gt;"","CHECK: "&amp;LEFT($DK470,LEN($DK470)-2),""))</f>
        <v/>
      </c>
      <c r="BF470" s="99">
        <f>IF(OR($A470="",$K470=""),"",$K470&amp;"'-"&amp;N($L470)&amp;CHAR(34)&amp;" x "&amp;$M470&amp;"'-"&amp;N($N470)&amp;CHAR(34))</f>
        <v/>
      </c>
      <c r="BG470" s="99">
        <f>IF(OR($A470="",$K470=""),"",$K470&amp;N($L470)&amp;$M470&amp;N($N470))</f>
        <v/>
      </c>
      <c r="BH470" s="99">
        <f>IF(OR($A470="",$K470=""),"",$K470*12+N($L470))</f>
        <v/>
      </c>
      <c r="BI470" s="99">
        <f>IF(OR($A470="",$M470=""),"",$M470*12+N($N470))</f>
        <v/>
      </c>
      <c r="BJ470" s="99">
        <f>IF($A470="","",IF(OR($C470="FRAME ONLY",$S470="BL"),0,IF($O470="Y",2,1)))</f>
        <v/>
      </c>
      <c r="BK470" s="101">
        <f>IF(OR(N($BJ470)=0,$BH470=""),"",($BH470-2*EdgeClr-IF($BJ470=2,MeetClr,0))/$BJ470)</f>
        <v/>
      </c>
      <c r="BL470" s="101">
        <f>IF(OR(N($BJ470)=0,$BI470=""),"",$BI470-HeadClr-Undercut)</f>
        <v/>
      </c>
      <c r="BM470" s="101">
        <f>IF($BH470="","",$BH470+2*FaceW+IF(N($Q470)&gt;0,($Q470+FaceW)*IF($R470="LR",2,1),0))</f>
        <v/>
      </c>
      <c r="BN470" s="101">
        <f>IF($BI470="","",$BI470+IF($AB470="Y",4,FaceW)+IF(N($P470)&gt;0,$P470+FaceW,0)+IF(OR($S470="4F",$S470="BL"),FaceW,0))</f>
        <v/>
      </c>
      <c r="BO470" s="101">
        <f>IF($BM470="","",$BM470+2*ROSide)</f>
        <v/>
      </c>
      <c r="BP470" s="101">
        <f>IF($BN470="","",$BN470+ROTop)</f>
        <v/>
      </c>
      <c r="BQ470" s="102">
        <f>IF(OR(N($BJ470)=0,$BH470=""),"",$BH470/$BJ470-ClearDeduct)</f>
        <v/>
      </c>
      <c r="BR470" s="99">
        <f>IF(N($CH470)=0,"",IF($CH470&gt;=180,"A · 3 HR",IF($CH470&gt;=90,"B · 1-1/2 HR",IF($CH470&gt;=60,"B · 1 HR",IF($CH470&gt;=45,"C · 3/4 HR","20 MIN")))))&amp;IF(AND(N($CH470)&gt;0,OR($I470="CORRIDOR",$I470="SMOKE BARRIER"))," · S","")</f>
        <v/>
      </c>
      <c r="BS470" s="99">
        <f>IF($CS470,"",IF($AV470&lt;&gt;"",$AV470,IF(OR($AC470="HGC",$AO470="HGC"),"CONT",IF(($BI470-HeadClr-Undercut)&lt;=60,2,IF(($BI470-HeadClr-Undercut)&lt;=90,3,IF(($BI470-HeadClr-Undercut)&lt;=120,4,5))))))</f>
        <v/>
      </c>
      <c r="BT470" s="99">
        <f>IF($CS470,"",IF($CT470,"CUSTOM (typed)",IF($CV470,$AT470&amp;" "&amp;$CU470&amp;CHAR(34)&amp;IF($CU470&lt;&gt;$BI470,IF(AND($BI470&lt;$CU470,$BI470-IF(N(VLOOKUP($AT470&amp;"|"&amp;$CU470,LocTable,7,FALSE))&gt;0,VLOOKUP($AT470&amp;"|"&amp;$CU470,LocTable,7,FALSE),VLOOKUP($AT470&amp;"|"&amp;$CU470,LocTable,6,FALSE))-$CR470-0.75&gt;=2.125)," cut down"," adj."),""),"ANSI/SDI A250.6")))</f>
        <v/>
      </c>
      <c r="BU470" s="103">
        <f>IF($CS470,"",IF($CT470,IF(N($AW470)&gt;0,N($AW470),""),IF(1&gt;$CQ470,"",IF($CQ470=1,$CW470,$CW470+($CX470-$CW470)*0/($CQ470-1)))))</f>
        <v/>
      </c>
      <c r="BV470" s="103">
        <f>IF($CS470,"",IF($CT470,IF(N($AX470)&gt;0,N($AX470),""),IF(2&gt;$CQ470,"",IF($CQ470=1,$CW470,$CW470+($CX470-$CW470)*1/($CQ470-1)))))</f>
        <v/>
      </c>
      <c r="BW470" s="103">
        <f>IF($CS470,"",IF($CT470,IF(N($AY470)&gt;0,N($AY470),""),IF(3&gt;$CQ470,"",IF($CQ470=1,$CW470,$CW470+($CX470-$CW470)*2/($CQ470-1)))))</f>
        <v/>
      </c>
      <c r="BX470" s="103">
        <f>IF($CS470,"",IF($CT470,IF(N($AZ470)&gt;0,N($AZ470),""),IF(4&gt;$CQ470,"",IF($CQ470=1,$CW470,$CW470+($CX470-$CW470)*3/($CQ470-1)))))</f>
        <v/>
      </c>
      <c r="BY470" s="103">
        <f>IF($CS470,"",IF($CT470,"",IF(5&gt;$CQ470,"",IF($CQ470=1,$CW470,$CW470+($CX470-$CW470)*4/($CQ470-1)))))</f>
        <v/>
      </c>
      <c r="BZ470" s="103">
        <f>IF(OR($CS470,$AP470="-",AND($AP470="",$AD470="")),"",IF(N($BA470)&gt;0,N($BA470),IF($CV470,IF(AND($BI470&lt;$CU470,$BI470-IF(N(VLOOKUP($AT470&amp;"|"&amp;$CU470,LocTable,7,FALSE))&gt;0,VLOOKUP($AT470&amp;"|"&amp;$CU470,LocTable,7,FALSE),VLOOKUP($AT470&amp;"|"&amp;$CU470,LocTable,6,FALSE))-$CR470-0.75&gt;=2.125),VLOOKUP($AT470&amp;"|"&amp;$CU470,LocTable,8,FALSE),VLOOKUP($AT470&amp;"|"&amp;$CU470,LocTable,8,FALSE)+($BI470-$CU470)),$BI470-LockAFF)))</f>
        <v/>
      </c>
      <c r="CA470" s="104">
        <f>IF($BZ470="","",$BI470-$BZ470)</f>
        <v/>
      </c>
      <c r="CB470" s="99">
        <f>IF(OR(NOT(AND($A470&lt;&gt;"",$C470&lt;&gt;"DOOR ONLY")),$BI470=""),"",IF(($BI470+IF(N($P470)&gt;0,$P470+FaceW,0))&lt;=90,3,IF(($BI470+IF(N($P470)&gt;0,$P470+FaceW,0))&lt;=114,4,5)))</f>
        <v/>
      </c>
      <c r="CC470" s="99">
        <f>IF($CB470="","",$CB470*(2+IF(N($Q470)&gt;0,IF($R470="LR",2,1),0)))</f>
        <v/>
      </c>
      <c r="CD470" s="99">
        <f>IF($CB470="","",(2+IF(N($Q470)&gt;0,IF($R470="LR",2,1),0)))</f>
        <v/>
      </c>
      <c r="CE470" s="99">
        <f>IF(N($BJ470)=0,"",IF(OR($AL470="",$AL470="FLUSH"),"FLUSH",IFERROR(LEFT($AL470,FIND("-",$AL470)-1),LEFT($AL470,2))))</f>
        <v/>
      </c>
      <c r="CF470" s="99">
        <f>IF($CE470="","",IFERROR(VALUE(MID($AL470,FIND("-",$AL470)+1,FIND(CHAR(34)&amp;"x",$AL470)-FIND("-",$AL470)-1)),0))</f>
        <v/>
      </c>
      <c r="CG470" s="99">
        <f>IF($CE470="","",IFERROR(VALUE(MID($AL470,FIND(CHAR(34)&amp;"x",$AL470)+2,FIND(CHAR(34),$AL470,FIND(CHAR(34)&amp;"x",$AL470)+2)-FIND(CHAR(34)&amp;"x",$AL470)-2)),0))</f>
        <v/>
      </c>
      <c r="CH470" s="105">
        <f>IF(OR($A470="",$H470="",$H470="NO LAB"),0,IFERROR(VALUE(LEFT($H470,FIND(" ",$H470)-1)),0))</f>
        <v/>
      </c>
      <c r="CI470" s="106">
        <f>IF(OR($A470="",$I470="",$I470="NON-RATED",N($J470)=0),"",IFERROR(VLOOKUP($I470&amp;"|"&amp;$J470,IBC,2,FALSE),"?"))</f>
        <v/>
      </c>
      <c r="CJ470" s="100">
        <f>IF(NOT(AND($A470&lt;&gt;"",$C470&lt;&gt;"DOOR ONLY")),"",TRIM(IFERROR(VLOOKUP($U470,CODES,2,FALSE),"")&amp;" "&amp;$BG470&amp;" "&amp;IFERROR(VLOOKUP($Z470,CODES,2,FALSE),"")&amp;" "&amp;IFERROR(VLOOKUP($X470,CODES,2,FALSE),"")&amp;" "&amp;IFERROR(VLOOKUP($S470,CODES,2,FALSE),"")&amp;IF(N($P470)&gt;0," w/TRANSOM "&amp;$P470&amp;CHAR(34),"")&amp;IF(N($Q470)&gt;0," w/SIDELITE "&amp;$Q470&amp;CHAR(34)&amp;" "&amp;IF($R470="","R",$R470),"")&amp;IF($Y470="","  |  "," | "&amp;IFERROR(VLOOKUP($Y470,CODES,2,FALSE),"")&amp;" | ")&amp;IFERROR(VLOOKUP($AC470,CODES,2,FALSE),"")&amp;" "&amp;IFERROR(VLOOKUP($AD470,CODES,2,FALSE),"")&amp;IF(OR($AE470="",$AE470="-"),""," "&amp;$AE470)&amp;IF(OR($AF470="",$AF470="-"),""," "&amp;$AF470)&amp;IF($AB470="Y"," 4"&amp;CHAR(34)&amp;" HEAD","")&amp;" "&amp;IFERROR(VLOOKUP($H470,CODES,2,FALSE),"")&amp;IF($CT470," | LOC "&amp;$CY470,"")))</f>
        <v/>
      </c>
      <c r="CK470" s="100">
        <f>IF(NOT(AND($A470&lt;&gt;"",N($BJ470)&gt;0)),"",TRIM(IFERROR(VLOOKUP($AH470,CODES,2,FALSE),"")&amp;IF($AI470=""," "," "&amp;$AI470&amp;"GA ")&amp;$BG470&amp;" "&amp;IF($AN470="",IFERROR(VLOOKUP($Z470,CODES,2,FALSE),""),IFERROR(VLOOKUP($AN470,CODES,2,FALSE),""))&amp;IF($BJ470=2," PAIR","")&amp;" DOOR | "&amp;IF($AL470="","?",$AL470)&amp;" | "&amp;IF($AO470="",IFERROR(VLOOKUP($AC470,CODES,2,FALSE),""),IFERROR(VLOOKUP($AO470,CODES,2,FALSE),""))&amp;" "&amp;IFERROR(VLOOKUP($AP470,CODES,2,FALSE),"")&amp;IF(OR($AQ470="",$AQ470="-"),""," SEAM "&amp;$AQ470)&amp;IF($AR470="Y"," ASTRAGAL","")&amp;IF($AJ470=""," "," "&amp;$AJ470)&amp;IF($AK470=""," "," "&amp;$AK470)&amp;IF(OR($AT470="",$AT470="ANSI/SDI",$AT470="CUSTOM LOC"),""," "&amp;$AT470)&amp;IF($AM470=""," "," SERIES "&amp;$AM470)&amp;" "&amp;IFERROR(VLOOKUP($H470,CODES,2,FALSE),"")&amp;IF($CT470," | LOC "&amp;$CZ470,"")))</f>
        <v/>
      </c>
      <c r="CL470" s="99">
        <f>IF(CP470="","",IF(COUNTIF($CP$6:CP470,CP470)=1,MAX($CL$5:CL469)+1,INDEX($CL$5:CL469,MATCH(CP470,$CP$5:CP469,0))))</f>
        <v/>
      </c>
      <c r="CM470" s="99">
        <f>IF(NOT(AND($A470&lt;&gt;"",$C470&lt;&gt;"DOOR ONLY")),"",MAX($CM$5:CM469)+1)</f>
        <v/>
      </c>
      <c r="CN470" s="99">
        <f>IF(NOT(AND($A470&lt;&gt;"",N($BJ470)&gt;0)),"",MAX($CN$5:CN469)+1)</f>
        <v/>
      </c>
      <c r="CO470" s="99">
        <f>IF($A470="","",MAX($CO$5:CO469)+1)</f>
        <v/>
      </c>
      <c r="CP470" s="99">
        <f>IF(OR($A470="",$BH470="",$BI470=""),"",$BG470&amp;"|"&amp;$O470&amp;"|"&amp;$AL470&amp;"|"&amp;$S470&amp;"|"&amp;$P470&amp;"|"&amp;$Q470&amp;$R470&amp;"|"&amp;$C470&amp;"|"&amp;$AB470)</f>
        <v/>
      </c>
      <c r="CQ470" s="99">
        <f>N($BS470)</f>
        <v/>
      </c>
      <c r="CR470" s="99">
        <f>IF(N($AU470)&gt;0,N($AU470),4.5)</f>
        <v/>
      </c>
      <c r="CS470" s="99">
        <f>OR($A470="",$BI470="",$S470="BL",AND($C470="FRAME ONLY",OR($AC470="",$AC470="BLK")))</f>
        <v/>
      </c>
      <c r="CT470" s="99">
        <f>AND(NOT($CS470),OR($AT470="CUSTOM LOC",N($AW470)+N($AX470)+N($AY470)+N($AZ470)+N($BA470)&gt;0))</f>
        <v/>
      </c>
      <c r="CU470" s="99">
        <f>IF($BI470="","",IF($BI470&lt;=80,80,IF($BI470&lt;=84,84,96)))</f>
        <v/>
      </c>
      <c r="CV470" s="99">
        <f>ISNUMBER(MATCH($AT470&amp;"|80",LocKeys,0))</f>
        <v/>
      </c>
      <c r="CW470" s="101">
        <f>IF($CS470,"",IF($CV470,VLOOKUP($AT470&amp;"|"&amp;$CU470,LocTable,4,FALSE),5))</f>
        <v/>
      </c>
      <c r="CX470" s="101">
        <f>IF($CS470,"",IF($CV470,IF(OR($BI470=$CU470,AND($BI470&lt;$CU470,$BI470-IF(N(VLOOKUP($AT470&amp;"|"&amp;$CU470,LocTable,7,FALSE))&gt;0,VLOOKUP($AT470&amp;"|"&amp;$CU470,LocTable,7,FALSE),VLOOKUP($AT470&amp;"|"&amp;$CU470,LocTable,6,FALSE))-$CR470-0.75&gt;=2.125)),IF(N(VLOOKUP($AT470&amp;"|"&amp;$CU470,LocTable,7,FALSE))&gt;0,VLOOKUP($AT470&amp;"|"&amp;$CU470,LocTable,7,FALSE),VLOOKUP($AT470&amp;"|"&amp;$CU470,LocTable,6,FALSE)),$BI470-($CU470-IF(N(VLOOKUP($AT470&amp;"|"&amp;$CU470,LocTable,7,FALSE))&gt;0,VLOOKUP($AT470&amp;"|"&amp;$CU470,LocTable,7,FALSE),VLOOKUP($AT470&amp;"|"&amp;$CU470,LocTable,6,FALSE)))),$BI470-10-$CR470))</f>
        <v/>
      </c>
      <c r="CY470" s="100">
        <f>IF($CS470,"",TRIM(IF(ISNUMBER($BU470),"A "&amp;TRIM(TEXT($BU470,"# ?/??"))&amp;CHAR(34)&amp;"  ","")&amp;IF(ISNUMBER($BV470),"B "&amp;TRIM(TEXT($BV470,"# ?/??"))&amp;CHAR(34)&amp;"  ","")&amp;IF(ISNUMBER($BW470),"C "&amp;TRIM(TEXT($BW470,"# ?/??"))&amp;CHAR(34)&amp;"  ","")&amp;IF(ISNUMBER($BX470),"D "&amp;TRIM(TEXT($BX470,"# ?/??"))&amp;CHAR(34)&amp;"  ","")&amp;IF(ISNUMBER($BY470),"F "&amp;TRIM(TEXT($BY470,"# ?/??"))&amp;CHAR(34)&amp;"  ","")&amp;IF(ISNUMBER($BZ470),"E "&amp;TRIM(TEXT($BZ470,"# ?/??"))&amp;CHAR(34)&amp;"  ","")))</f>
        <v/>
      </c>
      <c r="CZ470" s="100">
        <f>IF(OR($CS470,N($BJ470)=0),"",TRIM(IF(ISNUMBER($BU470),"A "&amp;TRIM(TEXT($BU470-HeadClr,"# ?/??"))&amp;CHAR(34)&amp;"  ","")&amp;IF(ISNUMBER($BV470),"B "&amp;TRIM(TEXT($BV470-HeadClr,"# ?/??"))&amp;CHAR(34)&amp;"  ","")&amp;IF(ISNUMBER($BW470),"C "&amp;TRIM(TEXT($BW470-HeadClr,"# ?/??"))&amp;CHAR(34)&amp;"  ","")&amp;IF(ISNUMBER($BX470),"D "&amp;TRIM(TEXT($BX470-HeadClr,"# ?/??"))&amp;CHAR(34)&amp;"  ","")&amp;IF(ISNUMBER($BY470),"F "&amp;TRIM(TEXT($BY470-HeadClr,"# ?/??"))&amp;CHAR(34)&amp;"  ","")&amp;IF(ISNUMBER($BZ470),"E "&amp;TRIM(TEXT($BZ470-HeadClr,"# ?/??"))&amp;CHAR(34)&amp;"  ","")))</f>
        <v/>
      </c>
      <c r="DA470" s="99">
        <f>IF($A470="","",IF($AN470="",IFERROR(VLOOKUP($Z470,CODES,2,FALSE),""),IFERROR(VLOOKUP($AN470,CODES,2,FALSE),"")))</f>
        <v/>
      </c>
      <c r="DB470" s="99">
        <f>IF($A470="","",IF($O470="Y","PR",IF(OR($Z470="L",$Z470="RR",LEFT($Z470,2)="L-",LEFT($Z470,3)="RR-"),"LH","RH")))</f>
        <v/>
      </c>
      <c r="DC470" s="99">
        <f>IF($A470="","","S.HM"&amp;IF(OR($C470="DOOR ONLY",$X470&lt;&gt;"KD"),"MASONRY","DRYWALL")&amp;IF($C470="DOOR ONLY","",$U470)&amp;IF(AND($C470&lt;&gt;"FRAME ONLY",OR(LEFT($AH470,3)="OAK",LEFT($AH470,3)="BIR",LEFT($AH470,3)="MAP",$AH470="PC",$AH470="MC",$AH470="SCLC",$AH470="P-LAM")),"WD","HM")&amp;"1.75")</f>
        <v/>
      </c>
      <c r="DD470" s="99">
        <f>IF($CJ470="","",IF($O470="Y",$CJ470,SUBSTITUTE($CJ470,$BG470&amp;" "&amp;IFERROR(VLOOKUP($Z470,CODES,2,FALSE),"")&amp;" ",$BG470&amp;" ")))</f>
        <v/>
      </c>
      <c r="DE470" s="99">
        <f>IF($CK470="","",IF($O470="Y",$CK470,SUBSTITUTE($CK470,$BG470&amp;" "&amp;IF($AN470="",IFERROR(VLOOKUP($Z470,CODES,2,FALSE),""),IFERROR(VLOOKUP($AN470,CODES,2,FALSE),""))&amp;" ",$BG470&amp;" ")))</f>
        <v/>
      </c>
      <c r="DF470" s="99">
        <f>IF($CJ470="","",$DC470&amp;"|"&amp;$DD470&amp;"|"&amp;$DB470&amp;"|"&amp;$AT470&amp;"|"&amp;$V470&amp;"|"&amp;$Y470&amp;"|"&amp;$AB470)</f>
        <v/>
      </c>
      <c r="DG470" s="99">
        <f>IF(DF470="","",IF(COUNTIF($DF$6:DF470,DF470)=1,MAX($DG$5:DG469)+1,INDEX($DG$5:DG469,MATCH(DF470,$DF$5:DF469,0))))</f>
        <v/>
      </c>
      <c r="DH470" s="99">
        <f>IF($CK470="","",$DC470&amp;"|"&amp;$DE470&amp;"|"&amp;$AI470&amp;"|"&amp;$BK470&amp;"|"&amp;$BL470)</f>
        <v/>
      </c>
      <c r="DI470" s="99">
        <f>IF(DH470="","",IF(COUNTIF($DH$6:DH470,DH470)=1,MAX($DI$5:DI469)+1,INDEX($DI$5:DI469,MATCH(DH470,$DH$5:DH469,0))))</f>
        <v/>
      </c>
      <c r="DJ470" s="99">
        <f>IF($A470="","",IF($B470="","qty, ","")&amp;IF($C470="","scope, ","")&amp;IF(OR($K470="",$M470=""),"size, ","")&amp;IF(AND($A470&lt;&gt;"",$C470&lt;&gt;"DOOR ONLY"),IF($U470="","jamb depth, ","")&amp;IF($X470="","construction, ","")&amp;IF($Y470="","anchor, ","")&amp;IF($S470="","frame type, ",""),"")&amp;IF(AND(N($BJ470)&gt;0,$Z470=""),"hand, ","")&amp;IF(N($BJ470)&gt;0,IF($AH470="","door material, ","")&amp;IF($AL470="","face type, ","")&amp;IF($AP470="","lock prep, ","")&amp;IF(AND($AO470="",$AC470=""),"hinge prep, ",""),"")&amp;IF(AND($CH470&gt;0,$AH470="FRP"),"FRP cannot carry a label, ","")&amp;IF(AND($O470="Y",OR($Z470="L",$Z470="R",$Z470="LR",$Z470="RR")),"pair marked but hand is single, ","")&amp;IF(AND($O470&lt;&gt;"Y",OR($Z470="PR",AND(LEN($Z470)&gt;1,ISNUMBER(SEARCH("-",$Z470))))),"pair hand on a single door, ","")&amp;IF(AND(ISNUMBER($CI470),$CH470&lt;N($CI470)),"wall needs a "&amp;$CI470&amp;" min door, ","")&amp;IF(AND($CH470&gt;=180,AND(OR($CE470="FG",$CE470="HG",$CE470="FNV",$CE470="FV"),N($CF470)*N($CG470)&gt;100)),"180 min lite over 100 sq in, ","")&amp;IF(N($BK470)&gt;48,"leaf wider than 4'-0"&amp;CHAR(34)&amp;", ","")&amp;IF(AND($CT470,COUNT($AW470:$AZ470)=0,$CQ470&gt;0),"CUSTOM LOC with no locations typed, ",""))</f>
        <v/>
      </c>
      <c r="DK470" s="99">
        <f>IF($A470="","",IF(AND($CH470&gt;0,AND($A470&lt;&gt;"",$C470&lt;&gt;"DOOR ONLY"),$X470="KD",$E470="EXTERIOR"),"KD label on an exterior opening, ","")&amp;IF(AND($E470="EXTERIOR",OR(AND(AND($A470&lt;&gt;"",$C470&lt;&gt;"DOOR ONLY"),$W470="CR"),AND(N($BJ470)&gt;0,$AH470="CR"))),"exterior in CR steel (G9?), ","")&amp;IF(AND(ISNUMBER($BQ470),N($BQ470)&lt;32),"clear width ~"&amp;TEXT($BQ470,"0.0")&amp;CHAR(34)&amp;" under 32"&amp;CHAR(34)&amp;" (ADA), ","")&amp;IF(AND($CH470=90,AND(OR($CE470="FG",$CE470="HG",$CE470="FNV",$CE470="FV"),N($CF470)*N($CG470)&gt;100)),"90 min lite over 100 sq in (stair/exit), ","")&amp;IF(AND($CH470&gt;0,AND($A470&lt;&gt;"",$C470&lt;&gt;"DOOR ONLY"),OR($AF470="",$AF470="-")),"rated: closer reinf.?, ","")&amp;IF(OR($I470="CORRIDOR",$I470="SMOKE BARRIER"),"S label + smoke gasketing, ","")&amp;IF($CI470="?","wall type/hr not in IBC table, ","")&amp;IF(AND(N($BJ470)&gt;0,$BB470=""),"no hardware set, ","")&amp;IF(AND($BB470&lt;&gt;"",ISNA(MATCH($BB470&amp;"",HWSets,0))),"set "&amp;$BB470&amp;" not on HW Sets, ","")&amp;IF(N($BL470)&gt;96,"leaf over 8'-0"&amp;CHAR(34)&amp;" - check listing, ","")&amp;IF(AND($CT470,COUNT($AW470:$AZ470)&gt;0,COUNT($AW470:$AZ470)&lt;&gt;$CQ470),COUNT($AW470:$AZ470)&amp;" custom hinges typed, "&amp;$CQ470&amp;" expected, ","")&amp;IF(AND(ISNUMBER($CA470),OR(N($CA470)&lt;34,N($CA470)&gt;48)),"lock "&amp;TEXT($CA470,"0.0")&amp;CHAR(34)&amp;" AFF outside 34-48"&amp;CHAR(34)&amp;" (ADA), ","")&amp;IF(AND(ISNUMBER($AV470),ISNUMBER($BL470),N($AV470)&lt;IF(N($BL470)&lt;=60,2,IF(N($BL470)&lt;=90,3,IF(N($BL470)&lt;=120,4,5)))),"fewer hinges than standard, ",""))</f>
        <v/>
      </c>
    </row>
    <row r="471" ht="15" customHeight="1">
      <c r="A471" s="77" t="n"/>
      <c r="B471" s="78" t="n"/>
      <c r="C471" s="78" t="n"/>
      <c r="D471" s="78" t="n"/>
      <c r="E471" s="78" t="n"/>
      <c r="F471" s="78" t="n"/>
      <c r="G471" s="78" t="n"/>
      <c r="H471" s="78" t="n"/>
      <c r="I471" s="78" t="n"/>
      <c r="J471" s="78" t="n"/>
      <c r="K471" s="78" t="n"/>
      <c r="L471" s="78" t="n"/>
      <c r="M471" s="78" t="n"/>
      <c r="N471" s="78" t="n"/>
      <c r="O471" s="78" t="n"/>
      <c r="P471" s="78" t="n"/>
      <c r="Q471" s="78" t="n"/>
      <c r="R471" s="78" t="n"/>
      <c r="S471" s="79" t="n"/>
      <c r="T471" s="79" t="n"/>
      <c r="U471" s="79" t="n"/>
      <c r="V471" s="79" t="n"/>
      <c r="W471" s="79" t="n"/>
      <c r="X471" s="79" t="n"/>
      <c r="Y471" s="79" t="n"/>
      <c r="Z471" s="79" t="n"/>
      <c r="AA471" s="79" t="n"/>
      <c r="AB471" s="79" t="n"/>
      <c r="AC471" s="79" t="n"/>
      <c r="AD471" s="79" t="n"/>
      <c r="AE471" s="79" t="n"/>
      <c r="AF471" s="79" t="n"/>
      <c r="AG471" s="79" t="n"/>
      <c r="AH471" s="80" t="n"/>
      <c r="AI471" s="80" t="n"/>
      <c r="AJ471" s="80" t="n"/>
      <c r="AK471" s="80" t="n"/>
      <c r="AL471" s="80" t="n"/>
      <c r="AM471" s="80" t="n"/>
      <c r="AN471" s="80" t="n"/>
      <c r="AO471" s="80" t="n"/>
      <c r="AP471" s="80" t="n"/>
      <c r="AQ471" s="80" t="n"/>
      <c r="AR471" s="80" t="n"/>
      <c r="AS471" s="80" t="n"/>
      <c r="AT471" s="81" t="n"/>
      <c r="AU471" s="81" t="n"/>
      <c r="AV471" s="81" t="n"/>
      <c r="AW471" s="82" t="n"/>
      <c r="AX471" s="82" t="n"/>
      <c r="AY471" s="82" t="n"/>
      <c r="AZ471" s="82" t="n"/>
      <c r="BA471" s="82" t="n"/>
      <c r="BB471" s="83" t="n"/>
      <c r="BC471" s="83" t="n"/>
      <c r="BD471" s="84">
        <f>IF($A471="","",IF($DJ471&lt;&gt;"","FIX",IF($DK471&lt;&gt;"","CHECK","OK")))</f>
        <v/>
      </c>
      <c r="BE471" s="85">
        <f>IF($A471="","",IF($DJ471&lt;&gt;"","FIX: "&amp;LEFT($DJ471,LEN($DJ471)-2)&amp;IF($DK471&lt;&gt;"","  ·  ",""),"")&amp;IF($DK471&lt;&gt;"","CHECK: "&amp;LEFT($DK471,LEN($DK471)-2),""))</f>
        <v/>
      </c>
      <c r="BF471" s="84">
        <f>IF(OR($A471="",$K471=""),"",$K471&amp;"'-"&amp;N($L471)&amp;CHAR(34)&amp;" x "&amp;$M471&amp;"'-"&amp;N($N471)&amp;CHAR(34))</f>
        <v/>
      </c>
      <c r="BG471" s="84">
        <f>IF(OR($A471="",$K471=""),"",$K471&amp;N($L471)&amp;$M471&amp;N($N471))</f>
        <v/>
      </c>
      <c r="BH471" s="84">
        <f>IF(OR($A471="",$K471=""),"",$K471*12+N($L471))</f>
        <v/>
      </c>
      <c r="BI471" s="84">
        <f>IF(OR($A471="",$M471=""),"",$M471*12+N($N471))</f>
        <v/>
      </c>
      <c r="BJ471" s="84">
        <f>IF($A471="","",IF(OR($C471="FRAME ONLY",$S471="BL"),0,IF($O471="Y",2,1)))</f>
        <v/>
      </c>
      <c r="BK471" s="86">
        <f>IF(OR(N($BJ471)=0,$BH471=""),"",($BH471-2*EdgeClr-IF($BJ471=2,MeetClr,0))/$BJ471)</f>
        <v/>
      </c>
      <c r="BL471" s="86">
        <f>IF(OR(N($BJ471)=0,$BI471=""),"",$BI471-HeadClr-Undercut)</f>
        <v/>
      </c>
      <c r="BM471" s="86">
        <f>IF($BH471="","",$BH471+2*FaceW+IF(N($Q471)&gt;0,($Q471+FaceW)*IF($R471="LR",2,1),0))</f>
        <v/>
      </c>
      <c r="BN471" s="86">
        <f>IF($BI471="","",$BI471+IF($AB471="Y",4,FaceW)+IF(N($P471)&gt;0,$P471+FaceW,0)+IF(OR($S471="4F",$S471="BL"),FaceW,0))</f>
        <v/>
      </c>
      <c r="BO471" s="86">
        <f>IF($BM471="","",$BM471+2*ROSide)</f>
        <v/>
      </c>
      <c r="BP471" s="86">
        <f>IF($BN471="","",$BN471+ROTop)</f>
        <v/>
      </c>
      <c r="BQ471" s="87">
        <f>IF(OR(N($BJ471)=0,$BH471=""),"",$BH471/$BJ471-ClearDeduct)</f>
        <v/>
      </c>
      <c r="BR471" s="84">
        <f>IF(N($CH471)=0,"",IF($CH471&gt;=180,"A · 3 HR",IF($CH471&gt;=90,"B · 1-1/2 HR",IF($CH471&gt;=60,"B · 1 HR",IF($CH471&gt;=45,"C · 3/4 HR","20 MIN")))))&amp;IF(AND(N($CH471)&gt;0,OR($I471="CORRIDOR",$I471="SMOKE BARRIER"))," · S","")</f>
        <v/>
      </c>
      <c r="BS471" s="84">
        <f>IF($CS471,"",IF($AV471&lt;&gt;"",$AV471,IF(OR($AC471="HGC",$AO471="HGC"),"CONT",IF(($BI471-HeadClr-Undercut)&lt;=60,2,IF(($BI471-HeadClr-Undercut)&lt;=90,3,IF(($BI471-HeadClr-Undercut)&lt;=120,4,5))))))</f>
        <v/>
      </c>
      <c r="BT471" s="84">
        <f>IF($CS471,"",IF($CT471,"CUSTOM (typed)",IF($CV471,$AT471&amp;" "&amp;$CU471&amp;CHAR(34)&amp;IF($CU471&lt;&gt;$BI471,IF(AND($BI471&lt;$CU471,$BI471-IF(N(VLOOKUP($AT471&amp;"|"&amp;$CU471,LocTable,7,FALSE))&gt;0,VLOOKUP($AT471&amp;"|"&amp;$CU471,LocTable,7,FALSE),VLOOKUP($AT471&amp;"|"&amp;$CU471,LocTable,6,FALSE))-$CR471-0.75&gt;=2.125)," cut down"," adj."),""),"ANSI/SDI A250.6")))</f>
        <v/>
      </c>
      <c r="BU471" s="88">
        <f>IF($CS471,"",IF($CT471,IF(N($AW471)&gt;0,N($AW471),""),IF(1&gt;$CQ471,"",IF($CQ471=1,$CW471,$CW471+($CX471-$CW471)*0/($CQ471-1)))))</f>
        <v/>
      </c>
      <c r="BV471" s="88">
        <f>IF($CS471,"",IF($CT471,IF(N($AX471)&gt;0,N($AX471),""),IF(2&gt;$CQ471,"",IF($CQ471=1,$CW471,$CW471+($CX471-$CW471)*1/($CQ471-1)))))</f>
        <v/>
      </c>
      <c r="BW471" s="88">
        <f>IF($CS471,"",IF($CT471,IF(N($AY471)&gt;0,N($AY471),""),IF(3&gt;$CQ471,"",IF($CQ471=1,$CW471,$CW471+($CX471-$CW471)*2/($CQ471-1)))))</f>
        <v/>
      </c>
      <c r="BX471" s="88">
        <f>IF($CS471,"",IF($CT471,IF(N($AZ471)&gt;0,N($AZ471),""),IF(4&gt;$CQ471,"",IF($CQ471=1,$CW471,$CW471+($CX471-$CW471)*3/($CQ471-1)))))</f>
        <v/>
      </c>
      <c r="BY471" s="88">
        <f>IF($CS471,"",IF($CT471,"",IF(5&gt;$CQ471,"",IF($CQ471=1,$CW471,$CW471+($CX471-$CW471)*4/($CQ471-1)))))</f>
        <v/>
      </c>
      <c r="BZ471" s="88">
        <f>IF(OR($CS471,$AP471="-",AND($AP471="",$AD471="")),"",IF(N($BA471)&gt;0,N($BA471),IF($CV471,IF(AND($BI471&lt;$CU471,$BI471-IF(N(VLOOKUP($AT471&amp;"|"&amp;$CU471,LocTable,7,FALSE))&gt;0,VLOOKUP($AT471&amp;"|"&amp;$CU471,LocTable,7,FALSE),VLOOKUP($AT471&amp;"|"&amp;$CU471,LocTable,6,FALSE))-$CR471-0.75&gt;=2.125),VLOOKUP($AT471&amp;"|"&amp;$CU471,LocTable,8,FALSE),VLOOKUP($AT471&amp;"|"&amp;$CU471,LocTable,8,FALSE)+($BI471-$CU471)),$BI471-LockAFF)))</f>
        <v/>
      </c>
      <c r="CA471" s="89">
        <f>IF($BZ471="","",$BI471-$BZ471)</f>
        <v/>
      </c>
      <c r="CB471" s="84">
        <f>IF(OR(NOT(AND($A471&lt;&gt;"",$C471&lt;&gt;"DOOR ONLY")),$BI471=""),"",IF(($BI471+IF(N($P471)&gt;0,$P471+FaceW,0))&lt;=90,3,IF(($BI471+IF(N($P471)&gt;0,$P471+FaceW,0))&lt;=114,4,5)))</f>
        <v/>
      </c>
      <c r="CC471" s="84">
        <f>IF($CB471="","",$CB471*(2+IF(N($Q471)&gt;0,IF($R471="LR",2,1),0)))</f>
        <v/>
      </c>
      <c r="CD471" s="84">
        <f>IF($CB471="","",(2+IF(N($Q471)&gt;0,IF($R471="LR",2,1),0)))</f>
        <v/>
      </c>
      <c r="CE471" s="84">
        <f>IF(N($BJ471)=0,"",IF(OR($AL471="",$AL471="FLUSH"),"FLUSH",IFERROR(LEFT($AL471,FIND("-",$AL471)-1),LEFT($AL471,2))))</f>
        <v/>
      </c>
      <c r="CF471" s="84">
        <f>IF($CE471="","",IFERROR(VALUE(MID($AL471,FIND("-",$AL471)+1,FIND(CHAR(34)&amp;"x",$AL471)-FIND("-",$AL471)-1)),0))</f>
        <v/>
      </c>
      <c r="CG471" s="84">
        <f>IF($CE471="","",IFERROR(VALUE(MID($AL471,FIND(CHAR(34)&amp;"x",$AL471)+2,FIND(CHAR(34),$AL471,FIND(CHAR(34)&amp;"x",$AL471)+2)-FIND(CHAR(34)&amp;"x",$AL471)-2)),0))</f>
        <v/>
      </c>
      <c r="CH471" s="90">
        <f>IF(OR($A471="",$H471="",$H471="NO LAB"),0,IFERROR(VALUE(LEFT($H471,FIND(" ",$H471)-1)),0))</f>
        <v/>
      </c>
      <c r="CI471" s="91">
        <f>IF(OR($A471="",$I471="",$I471="NON-RATED",N($J471)=0),"",IFERROR(VLOOKUP($I471&amp;"|"&amp;$J471,IBC,2,FALSE),"?"))</f>
        <v/>
      </c>
      <c r="CJ471" s="85">
        <f>IF(NOT(AND($A471&lt;&gt;"",$C471&lt;&gt;"DOOR ONLY")),"",TRIM(IFERROR(VLOOKUP($U471,CODES,2,FALSE),"")&amp;" "&amp;$BG471&amp;" "&amp;IFERROR(VLOOKUP($Z471,CODES,2,FALSE),"")&amp;" "&amp;IFERROR(VLOOKUP($X471,CODES,2,FALSE),"")&amp;" "&amp;IFERROR(VLOOKUP($S471,CODES,2,FALSE),"")&amp;IF(N($P471)&gt;0," w/TRANSOM "&amp;$P471&amp;CHAR(34),"")&amp;IF(N($Q471)&gt;0," w/SIDELITE "&amp;$Q471&amp;CHAR(34)&amp;" "&amp;IF($R471="","R",$R471),"")&amp;IF($Y471="","  |  "," | "&amp;IFERROR(VLOOKUP($Y471,CODES,2,FALSE),"")&amp;" | ")&amp;IFERROR(VLOOKUP($AC471,CODES,2,FALSE),"")&amp;" "&amp;IFERROR(VLOOKUP($AD471,CODES,2,FALSE),"")&amp;IF(OR($AE471="",$AE471="-"),""," "&amp;$AE471)&amp;IF(OR($AF471="",$AF471="-"),""," "&amp;$AF471)&amp;IF($AB471="Y"," 4"&amp;CHAR(34)&amp;" HEAD","")&amp;" "&amp;IFERROR(VLOOKUP($H471,CODES,2,FALSE),"")&amp;IF($CT471," | LOC "&amp;$CY471,"")))</f>
        <v/>
      </c>
      <c r="CK471" s="85">
        <f>IF(NOT(AND($A471&lt;&gt;"",N($BJ471)&gt;0)),"",TRIM(IFERROR(VLOOKUP($AH471,CODES,2,FALSE),"")&amp;IF($AI471=""," "," "&amp;$AI471&amp;"GA ")&amp;$BG471&amp;" "&amp;IF($AN471="",IFERROR(VLOOKUP($Z471,CODES,2,FALSE),""),IFERROR(VLOOKUP($AN471,CODES,2,FALSE),""))&amp;IF($BJ471=2," PAIR","")&amp;" DOOR | "&amp;IF($AL471="","?",$AL471)&amp;" | "&amp;IF($AO471="",IFERROR(VLOOKUP($AC471,CODES,2,FALSE),""),IFERROR(VLOOKUP($AO471,CODES,2,FALSE),""))&amp;" "&amp;IFERROR(VLOOKUP($AP471,CODES,2,FALSE),"")&amp;IF(OR($AQ471="",$AQ471="-"),""," SEAM "&amp;$AQ471)&amp;IF($AR471="Y"," ASTRAGAL","")&amp;IF($AJ471=""," "," "&amp;$AJ471)&amp;IF($AK471=""," "," "&amp;$AK471)&amp;IF(OR($AT471="",$AT471="ANSI/SDI",$AT471="CUSTOM LOC"),""," "&amp;$AT471)&amp;IF($AM471=""," "," SERIES "&amp;$AM471)&amp;" "&amp;IFERROR(VLOOKUP($H471,CODES,2,FALSE),"")&amp;IF($CT471," | LOC "&amp;$CZ471,"")))</f>
        <v/>
      </c>
      <c r="CL471" s="84">
        <f>IF(CP471="","",IF(COUNTIF($CP$6:CP471,CP471)=1,MAX($CL$5:CL470)+1,INDEX($CL$5:CL470,MATCH(CP471,$CP$5:CP470,0))))</f>
        <v/>
      </c>
      <c r="CM471" s="84">
        <f>IF(NOT(AND($A471&lt;&gt;"",$C471&lt;&gt;"DOOR ONLY")),"",MAX($CM$5:CM470)+1)</f>
        <v/>
      </c>
      <c r="CN471" s="84">
        <f>IF(NOT(AND($A471&lt;&gt;"",N($BJ471)&gt;0)),"",MAX($CN$5:CN470)+1)</f>
        <v/>
      </c>
      <c r="CO471" s="84">
        <f>IF($A471="","",MAX($CO$5:CO470)+1)</f>
        <v/>
      </c>
      <c r="CP471" s="84">
        <f>IF(OR($A471="",$BH471="",$BI471=""),"",$BG471&amp;"|"&amp;$O471&amp;"|"&amp;$AL471&amp;"|"&amp;$S471&amp;"|"&amp;$P471&amp;"|"&amp;$Q471&amp;$R471&amp;"|"&amp;$C471&amp;"|"&amp;$AB471)</f>
        <v/>
      </c>
      <c r="CQ471" s="84">
        <f>N($BS471)</f>
        <v/>
      </c>
      <c r="CR471" s="84">
        <f>IF(N($AU471)&gt;0,N($AU471),4.5)</f>
        <v/>
      </c>
      <c r="CS471" s="84">
        <f>OR($A471="",$BI471="",$S471="BL",AND($C471="FRAME ONLY",OR($AC471="",$AC471="BLK")))</f>
        <v/>
      </c>
      <c r="CT471" s="84">
        <f>AND(NOT($CS471),OR($AT471="CUSTOM LOC",N($AW471)+N($AX471)+N($AY471)+N($AZ471)+N($BA471)&gt;0))</f>
        <v/>
      </c>
      <c r="CU471" s="84">
        <f>IF($BI471="","",IF($BI471&lt;=80,80,IF($BI471&lt;=84,84,96)))</f>
        <v/>
      </c>
      <c r="CV471" s="84">
        <f>ISNUMBER(MATCH($AT471&amp;"|80",LocKeys,0))</f>
        <v/>
      </c>
      <c r="CW471" s="86">
        <f>IF($CS471,"",IF($CV471,VLOOKUP($AT471&amp;"|"&amp;$CU471,LocTable,4,FALSE),5))</f>
        <v/>
      </c>
      <c r="CX471" s="86">
        <f>IF($CS471,"",IF($CV471,IF(OR($BI471=$CU471,AND($BI471&lt;$CU471,$BI471-IF(N(VLOOKUP($AT471&amp;"|"&amp;$CU471,LocTable,7,FALSE))&gt;0,VLOOKUP($AT471&amp;"|"&amp;$CU471,LocTable,7,FALSE),VLOOKUP($AT471&amp;"|"&amp;$CU471,LocTable,6,FALSE))-$CR471-0.75&gt;=2.125)),IF(N(VLOOKUP($AT471&amp;"|"&amp;$CU471,LocTable,7,FALSE))&gt;0,VLOOKUP($AT471&amp;"|"&amp;$CU471,LocTable,7,FALSE),VLOOKUP($AT471&amp;"|"&amp;$CU471,LocTable,6,FALSE)),$BI471-($CU471-IF(N(VLOOKUP($AT471&amp;"|"&amp;$CU471,LocTable,7,FALSE))&gt;0,VLOOKUP($AT471&amp;"|"&amp;$CU471,LocTable,7,FALSE),VLOOKUP($AT471&amp;"|"&amp;$CU471,LocTable,6,FALSE)))),$BI471-10-$CR471))</f>
        <v/>
      </c>
      <c r="CY471" s="85">
        <f>IF($CS471,"",TRIM(IF(ISNUMBER($BU471),"A "&amp;TRIM(TEXT($BU471,"# ?/??"))&amp;CHAR(34)&amp;"  ","")&amp;IF(ISNUMBER($BV471),"B "&amp;TRIM(TEXT($BV471,"# ?/??"))&amp;CHAR(34)&amp;"  ","")&amp;IF(ISNUMBER($BW471),"C "&amp;TRIM(TEXT($BW471,"# ?/??"))&amp;CHAR(34)&amp;"  ","")&amp;IF(ISNUMBER($BX471),"D "&amp;TRIM(TEXT($BX471,"# ?/??"))&amp;CHAR(34)&amp;"  ","")&amp;IF(ISNUMBER($BY471),"F "&amp;TRIM(TEXT($BY471,"# ?/??"))&amp;CHAR(34)&amp;"  ","")&amp;IF(ISNUMBER($BZ471),"E "&amp;TRIM(TEXT($BZ471,"# ?/??"))&amp;CHAR(34)&amp;"  ","")))</f>
        <v/>
      </c>
      <c r="CZ471" s="85">
        <f>IF(OR($CS471,N($BJ471)=0),"",TRIM(IF(ISNUMBER($BU471),"A "&amp;TRIM(TEXT($BU471-HeadClr,"# ?/??"))&amp;CHAR(34)&amp;"  ","")&amp;IF(ISNUMBER($BV471),"B "&amp;TRIM(TEXT($BV471-HeadClr,"# ?/??"))&amp;CHAR(34)&amp;"  ","")&amp;IF(ISNUMBER($BW471),"C "&amp;TRIM(TEXT($BW471-HeadClr,"# ?/??"))&amp;CHAR(34)&amp;"  ","")&amp;IF(ISNUMBER($BX471),"D "&amp;TRIM(TEXT($BX471-HeadClr,"# ?/??"))&amp;CHAR(34)&amp;"  ","")&amp;IF(ISNUMBER($BY471),"F "&amp;TRIM(TEXT($BY471-HeadClr,"# ?/??"))&amp;CHAR(34)&amp;"  ","")&amp;IF(ISNUMBER($BZ471),"E "&amp;TRIM(TEXT($BZ471-HeadClr,"# ?/??"))&amp;CHAR(34)&amp;"  ","")))</f>
        <v/>
      </c>
      <c r="DA471" s="84">
        <f>IF($A471="","",IF($AN471="",IFERROR(VLOOKUP($Z471,CODES,2,FALSE),""),IFERROR(VLOOKUP($AN471,CODES,2,FALSE),"")))</f>
        <v/>
      </c>
      <c r="DB471" s="84">
        <f>IF($A471="","",IF($O471="Y","PR",IF(OR($Z471="L",$Z471="RR",LEFT($Z471,2)="L-",LEFT($Z471,3)="RR-"),"LH","RH")))</f>
        <v/>
      </c>
      <c r="DC471" s="84">
        <f>IF($A471="","","S.HM"&amp;IF(OR($C471="DOOR ONLY",$X471&lt;&gt;"KD"),"MASONRY","DRYWALL")&amp;IF($C471="DOOR ONLY","",$U471)&amp;IF(AND($C471&lt;&gt;"FRAME ONLY",OR(LEFT($AH471,3)="OAK",LEFT($AH471,3)="BIR",LEFT($AH471,3)="MAP",$AH471="PC",$AH471="MC",$AH471="SCLC",$AH471="P-LAM")),"WD","HM")&amp;"1.75")</f>
        <v/>
      </c>
      <c r="DD471" s="84">
        <f>IF($CJ471="","",IF($O471="Y",$CJ471,SUBSTITUTE($CJ471,$BG471&amp;" "&amp;IFERROR(VLOOKUP($Z471,CODES,2,FALSE),"")&amp;" ",$BG471&amp;" ")))</f>
        <v/>
      </c>
      <c r="DE471" s="84">
        <f>IF($CK471="","",IF($O471="Y",$CK471,SUBSTITUTE($CK471,$BG471&amp;" "&amp;IF($AN471="",IFERROR(VLOOKUP($Z471,CODES,2,FALSE),""),IFERROR(VLOOKUP($AN471,CODES,2,FALSE),""))&amp;" ",$BG471&amp;" ")))</f>
        <v/>
      </c>
      <c r="DF471" s="84">
        <f>IF($CJ471="","",$DC471&amp;"|"&amp;$DD471&amp;"|"&amp;$DB471&amp;"|"&amp;$AT471&amp;"|"&amp;$V471&amp;"|"&amp;$Y471&amp;"|"&amp;$AB471)</f>
        <v/>
      </c>
      <c r="DG471" s="84">
        <f>IF(DF471="","",IF(COUNTIF($DF$6:DF471,DF471)=1,MAX($DG$5:DG470)+1,INDEX($DG$5:DG470,MATCH(DF471,$DF$5:DF470,0))))</f>
        <v/>
      </c>
      <c r="DH471" s="84">
        <f>IF($CK471="","",$DC471&amp;"|"&amp;$DE471&amp;"|"&amp;$AI471&amp;"|"&amp;$BK471&amp;"|"&amp;$BL471)</f>
        <v/>
      </c>
      <c r="DI471" s="84">
        <f>IF(DH471="","",IF(COUNTIF($DH$6:DH471,DH471)=1,MAX($DI$5:DI470)+1,INDEX($DI$5:DI470,MATCH(DH471,$DH$5:DH470,0))))</f>
        <v/>
      </c>
      <c r="DJ471" s="84">
        <f>IF($A471="","",IF($B471="","qty, ","")&amp;IF($C471="","scope, ","")&amp;IF(OR($K471="",$M471=""),"size, ","")&amp;IF(AND($A471&lt;&gt;"",$C471&lt;&gt;"DOOR ONLY"),IF($U471="","jamb depth, ","")&amp;IF($X471="","construction, ","")&amp;IF($Y471="","anchor, ","")&amp;IF($S471="","frame type, ",""),"")&amp;IF(AND(N($BJ471)&gt;0,$Z471=""),"hand, ","")&amp;IF(N($BJ471)&gt;0,IF($AH471="","door material, ","")&amp;IF($AL471="","face type, ","")&amp;IF($AP471="","lock prep, ","")&amp;IF(AND($AO471="",$AC471=""),"hinge prep, ",""),"")&amp;IF(AND($CH471&gt;0,$AH471="FRP"),"FRP cannot carry a label, ","")&amp;IF(AND($O471="Y",OR($Z471="L",$Z471="R",$Z471="LR",$Z471="RR")),"pair marked but hand is single, ","")&amp;IF(AND($O471&lt;&gt;"Y",OR($Z471="PR",AND(LEN($Z471)&gt;1,ISNUMBER(SEARCH("-",$Z471))))),"pair hand on a single door, ","")&amp;IF(AND(ISNUMBER($CI471),$CH471&lt;N($CI471)),"wall needs a "&amp;$CI471&amp;" min door, ","")&amp;IF(AND($CH471&gt;=180,AND(OR($CE471="FG",$CE471="HG",$CE471="FNV",$CE471="FV"),N($CF471)*N($CG471)&gt;100)),"180 min lite over 100 sq in, ","")&amp;IF(N($BK471)&gt;48,"leaf wider than 4'-0"&amp;CHAR(34)&amp;", ","")&amp;IF(AND($CT471,COUNT($AW471:$AZ471)=0,$CQ471&gt;0),"CUSTOM LOC with no locations typed, ",""))</f>
        <v/>
      </c>
      <c r="DK471" s="84">
        <f>IF($A471="","",IF(AND($CH471&gt;0,AND($A471&lt;&gt;"",$C471&lt;&gt;"DOOR ONLY"),$X471="KD",$E471="EXTERIOR"),"KD label on an exterior opening, ","")&amp;IF(AND($E471="EXTERIOR",OR(AND(AND($A471&lt;&gt;"",$C471&lt;&gt;"DOOR ONLY"),$W471="CR"),AND(N($BJ471)&gt;0,$AH471="CR"))),"exterior in CR steel (G9?), ","")&amp;IF(AND(ISNUMBER($BQ471),N($BQ471)&lt;32),"clear width ~"&amp;TEXT($BQ471,"0.0")&amp;CHAR(34)&amp;" under 32"&amp;CHAR(34)&amp;" (ADA), ","")&amp;IF(AND($CH471=90,AND(OR($CE471="FG",$CE471="HG",$CE471="FNV",$CE471="FV"),N($CF471)*N($CG471)&gt;100)),"90 min lite over 100 sq in (stair/exit), ","")&amp;IF(AND($CH471&gt;0,AND($A471&lt;&gt;"",$C471&lt;&gt;"DOOR ONLY"),OR($AF471="",$AF471="-")),"rated: closer reinf.?, ","")&amp;IF(OR($I471="CORRIDOR",$I471="SMOKE BARRIER"),"S label + smoke gasketing, ","")&amp;IF($CI471="?","wall type/hr not in IBC table, ","")&amp;IF(AND(N($BJ471)&gt;0,$BB471=""),"no hardware set, ","")&amp;IF(AND($BB471&lt;&gt;"",ISNA(MATCH($BB471&amp;"",HWSets,0))),"set "&amp;$BB471&amp;" not on HW Sets, ","")&amp;IF(N($BL471)&gt;96,"leaf over 8'-0"&amp;CHAR(34)&amp;" - check listing, ","")&amp;IF(AND($CT471,COUNT($AW471:$AZ471)&gt;0,COUNT($AW471:$AZ471)&lt;&gt;$CQ471),COUNT($AW471:$AZ471)&amp;" custom hinges typed, "&amp;$CQ471&amp;" expected, ","")&amp;IF(AND(ISNUMBER($CA471),OR(N($CA471)&lt;34,N($CA471)&gt;48)),"lock "&amp;TEXT($CA471,"0.0")&amp;CHAR(34)&amp;" AFF outside 34-48"&amp;CHAR(34)&amp;" (ADA), ","")&amp;IF(AND(ISNUMBER($AV471),ISNUMBER($BL471),N($AV471)&lt;IF(N($BL471)&lt;=60,2,IF(N($BL471)&lt;=90,3,IF(N($BL471)&lt;=120,4,5)))),"fewer hinges than standard, ",""))</f>
        <v/>
      </c>
    </row>
    <row r="472" ht="15" customHeight="1">
      <c r="A472" s="77" t="n"/>
      <c r="B472" s="78" t="n"/>
      <c r="C472" s="78" t="n"/>
      <c r="D472" s="78" t="n"/>
      <c r="E472" s="78" t="n"/>
      <c r="F472" s="78" t="n"/>
      <c r="G472" s="78" t="n"/>
      <c r="H472" s="78" t="n"/>
      <c r="I472" s="78" t="n"/>
      <c r="J472" s="78" t="n"/>
      <c r="K472" s="78" t="n"/>
      <c r="L472" s="78" t="n"/>
      <c r="M472" s="78" t="n"/>
      <c r="N472" s="78" t="n"/>
      <c r="O472" s="78" t="n"/>
      <c r="P472" s="78" t="n"/>
      <c r="Q472" s="78" t="n"/>
      <c r="R472" s="78" t="n"/>
      <c r="S472" s="79" t="n"/>
      <c r="T472" s="79" t="n"/>
      <c r="U472" s="79" t="n"/>
      <c r="V472" s="79" t="n"/>
      <c r="W472" s="79" t="n"/>
      <c r="X472" s="79" t="n"/>
      <c r="Y472" s="79" t="n"/>
      <c r="Z472" s="79" t="n"/>
      <c r="AA472" s="79" t="n"/>
      <c r="AB472" s="79" t="n"/>
      <c r="AC472" s="79" t="n"/>
      <c r="AD472" s="79" t="n"/>
      <c r="AE472" s="79" t="n"/>
      <c r="AF472" s="79" t="n"/>
      <c r="AG472" s="79" t="n"/>
      <c r="AH472" s="80" t="n"/>
      <c r="AI472" s="80" t="n"/>
      <c r="AJ472" s="80" t="n"/>
      <c r="AK472" s="80" t="n"/>
      <c r="AL472" s="80" t="n"/>
      <c r="AM472" s="80" t="n"/>
      <c r="AN472" s="80" t="n"/>
      <c r="AO472" s="80" t="n"/>
      <c r="AP472" s="80" t="n"/>
      <c r="AQ472" s="80" t="n"/>
      <c r="AR472" s="80" t="n"/>
      <c r="AS472" s="80" t="n"/>
      <c r="AT472" s="81" t="n"/>
      <c r="AU472" s="81" t="n"/>
      <c r="AV472" s="81" t="n"/>
      <c r="AW472" s="82" t="n"/>
      <c r="AX472" s="82" t="n"/>
      <c r="AY472" s="82" t="n"/>
      <c r="AZ472" s="82" t="n"/>
      <c r="BA472" s="82" t="n"/>
      <c r="BB472" s="83" t="n"/>
      <c r="BC472" s="83" t="n"/>
      <c r="BD472" s="84">
        <f>IF($A472="","",IF($DJ472&lt;&gt;"","FIX",IF($DK472&lt;&gt;"","CHECK","OK")))</f>
        <v/>
      </c>
      <c r="BE472" s="85">
        <f>IF($A472="","",IF($DJ472&lt;&gt;"","FIX: "&amp;LEFT($DJ472,LEN($DJ472)-2)&amp;IF($DK472&lt;&gt;"","  ·  ",""),"")&amp;IF($DK472&lt;&gt;"","CHECK: "&amp;LEFT($DK472,LEN($DK472)-2),""))</f>
        <v/>
      </c>
      <c r="BF472" s="84">
        <f>IF(OR($A472="",$K472=""),"",$K472&amp;"'-"&amp;N($L472)&amp;CHAR(34)&amp;" x "&amp;$M472&amp;"'-"&amp;N($N472)&amp;CHAR(34))</f>
        <v/>
      </c>
      <c r="BG472" s="84">
        <f>IF(OR($A472="",$K472=""),"",$K472&amp;N($L472)&amp;$M472&amp;N($N472))</f>
        <v/>
      </c>
      <c r="BH472" s="84">
        <f>IF(OR($A472="",$K472=""),"",$K472*12+N($L472))</f>
        <v/>
      </c>
      <c r="BI472" s="84">
        <f>IF(OR($A472="",$M472=""),"",$M472*12+N($N472))</f>
        <v/>
      </c>
      <c r="BJ472" s="84">
        <f>IF($A472="","",IF(OR($C472="FRAME ONLY",$S472="BL"),0,IF($O472="Y",2,1)))</f>
        <v/>
      </c>
      <c r="BK472" s="86">
        <f>IF(OR(N($BJ472)=0,$BH472=""),"",($BH472-2*EdgeClr-IF($BJ472=2,MeetClr,0))/$BJ472)</f>
        <v/>
      </c>
      <c r="BL472" s="86">
        <f>IF(OR(N($BJ472)=0,$BI472=""),"",$BI472-HeadClr-Undercut)</f>
        <v/>
      </c>
      <c r="BM472" s="86">
        <f>IF($BH472="","",$BH472+2*FaceW+IF(N($Q472)&gt;0,($Q472+FaceW)*IF($R472="LR",2,1),0))</f>
        <v/>
      </c>
      <c r="BN472" s="86">
        <f>IF($BI472="","",$BI472+IF($AB472="Y",4,FaceW)+IF(N($P472)&gt;0,$P472+FaceW,0)+IF(OR($S472="4F",$S472="BL"),FaceW,0))</f>
        <v/>
      </c>
      <c r="BO472" s="86">
        <f>IF($BM472="","",$BM472+2*ROSide)</f>
        <v/>
      </c>
      <c r="BP472" s="86">
        <f>IF($BN472="","",$BN472+ROTop)</f>
        <v/>
      </c>
      <c r="BQ472" s="87">
        <f>IF(OR(N($BJ472)=0,$BH472=""),"",$BH472/$BJ472-ClearDeduct)</f>
        <v/>
      </c>
      <c r="BR472" s="84">
        <f>IF(N($CH472)=0,"",IF($CH472&gt;=180,"A · 3 HR",IF($CH472&gt;=90,"B · 1-1/2 HR",IF($CH472&gt;=60,"B · 1 HR",IF($CH472&gt;=45,"C · 3/4 HR","20 MIN")))))&amp;IF(AND(N($CH472)&gt;0,OR($I472="CORRIDOR",$I472="SMOKE BARRIER"))," · S","")</f>
        <v/>
      </c>
      <c r="BS472" s="84">
        <f>IF($CS472,"",IF($AV472&lt;&gt;"",$AV472,IF(OR($AC472="HGC",$AO472="HGC"),"CONT",IF(($BI472-HeadClr-Undercut)&lt;=60,2,IF(($BI472-HeadClr-Undercut)&lt;=90,3,IF(($BI472-HeadClr-Undercut)&lt;=120,4,5))))))</f>
        <v/>
      </c>
      <c r="BT472" s="84">
        <f>IF($CS472,"",IF($CT472,"CUSTOM (typed)",IF($CV472,$AT472&amp;" "&amp;$CU472&amp;CHAR(34)&amp;IF($CU472&lt;&gt;$BI472,IF(AND($BI472&lt;$CU472,$BI472-IF(N(VLOOKUP($AT472&amp;"|"&amp;$CU472,LocTable,7,FALSE))&gt;0,VLOOKUP($AT472&amp;"|"&amp;$CU472,LocTable,7,FALSE),VLOOKUP($AT472&amp;"|"&amp;$CU472,LocTable,6,FALSE))-$CR472-0.75&gt;=2.125)," cut down"," adj."),""),"ANSI/SDI A250.6")))</f>
        <v/>
      </c>
      <c r="BU472" s="88">
        <f>IF($CS472,"",IF($CT472,IF(N($AW472)&gt;0,N($AW472),""),IF(1&gt;$CQ472,"",IF($CQ472=1,$CW472,$CW472+($CX472-$CW472)*0/($CQ472-1)))))</f>
        <v/>
      </c>
      <c r="BV472" s="88">
        <f>IF($CS472,"",IF($CT472,IF(N($AX472)&gt;0,N($AX472),""),IF(2&gt;$CQ472,"",IF($CQ472=1,$CW472,$CW472+($CX472-$CW472)*1/($CQ472-1)))))</f>
        <v/>
      </c>
      <c r="BW472" s="88">
        <f>IF($CS472,"",IF($CT472,IF(N($AY472)&gt;0,N($AY472),""),IF(3&gt;$CQ472,"",IF($CQ472=1,$CW472,$CW472+($CX472-$CW472)*2/($CQ472-1)))))</f>
        <v/>
      </c>
      <c r="BX472" s="88">
        <f>IF($CS472,"",IF($CT472,IF(N($AZ472)&gt;0,N($AZ472),""),IF(4&gt;$CQ472,"",IF($CQ472=1,$CW472,$CW472+($CX472-$CW472)*3/($CQ472-1)))))</f>
        <v/>
      </c>
      <c r="BY472" s="88">
        <f>IF($CS472,"",IF($CT472,"",IF(5&gt;$CQ472,"",IF($CQ472=1,$CW472,$CW472+($CX472-$CW472)*4/($CQ472-1)))))</f>
        <v/>
      </c>
      <c r="BZ472" s="88">
        <f>IF(OR($CS472,$AP472="-",AND($AP472="",$AD472="")),"",IF(N($BA472)&gt;0,N($BA472),IF($CV472,IF(AND($BI472&lt;$CU472,$BI472-IF(N(VLOOKUP($AT472&amp;"|"&amp;$CU472,LocTable,7,FALSE))&gt;0,VLOOKUP($AT472&amp;"|"&amp;$CU472,LocTable,7,FALSE),VLOOKUP($AT472&amp;"|"&amp;$CU472,LocTable,6,FALSE))-$CR472-0.75&gt;=2.125),VLOOKUP($AT472&amp;"|"&amp;$CU472,LocTable,8,FALSE),VLOOKUP($AT472&amp;"|"&amp;$CU472,LocTable,8,FALSE)+($BI472-$CU472)),$BI472-LockAFF)))</f>
        <v/>
      </c>
      <c r="CA472" s="89">
        <f>IF($BZ472="","",$BI472-$BZ472)</f>
        <v/>
      </c>
      <c r="CB472" s="84">
        <f>IF(OR(NOT(AND($A472&lt;&gt;"",$C472&lt;&gt;"DOOR ONLY")),$BI472=""),"",IF(($BI472+IF(N($P472)&gt;0,$P472+FaceW,0))&lt;=90,3,IF(($BI472+IF(N($P472)&gt;0,$P472+FaceW,0))&lt;=114,4,5)))</f>
        <v/>
      </c>
      <c r="CC472" s="84">
        <f>IF($CB472="","",$CB472*(2+IF(N($Q472)&gt;0,IF($R472="LR",2,1),0)))</f>
        <v/>
      </c>
      <c r="CD472" s="84">
        <f>IF($CB472="","",(2+IF(N($Q472)&gt;0,IF($R472="LR",2,1),0)))</f>
        <v/>
      </c>
      <c r="CE472" s="84">
        <f>IF(N($BJ472)=0,"",IF(OR($AL472="",$AL472="FLUSH"),"FLUSH",IFERROR(LEFT($AL472,FIND("-",$AL472)-1),LEFT($AL472,2))))</f>
        <v/>
      </c>
      <c r="CF472" s="84">
        <f>IF($CE472="","",IFERROR(VALUE(MID($AL472,FIND("-",$AL472)+1,FIND(CHAR(34)&amp;"x",$AL472)-FIND("-",$AL472)-1)),0))</f>
        <v/>
      </c>
      <c r="CG472" s="84">
        <f>IF($CE472="","",IFERROR(VALUE(MID($AL472,FIND(CHAR(34)&amp;"x",$AL472)+2,FIND(CHAR(34),$AL472,FIND(CHAR(34)&amp;"x",$AL472)+2)-FIND(CHAR(34)&amp;"x",$AL472)-2)),0))</f>
        <v/>
      </c>
      <c r="CH472" s="90">
        <f>IF(OR($A472="",$H472="",$H472="NO LAB"),0,IFERROR(VALUE(LEFT($H472,FIND(" ",$H472)-1)),0))</f>
        <v/>
      </c>
      <c r="CI472" s="91">
        <f>IF(OR($A472="",$I472="",$I472="NON-RATED",N($J472)=0),"",IFERROR(VLOOKUP($I472&amp;"|"&amp;$J472,IBC,2,FALSE),"?"))</f>
        <v/>
      </c>
      <c r="CJ472" s="85">
        <f>IF(NOT(AND($A472&lt;&gt;"",$C472&lt;&gt;"DOOR ONLY")),"",TRIM(IFERROR(VLOOKUP($U472,CODES,2,FALSE),"")&amp;" "&amp;$BG472&amp;" "&amp;IFERROR(VLOOKUP($Z472,CODES,2,FALSE),"")&amp;" "&amp;IFERROR(VLOOKUP($X472,CODES,2,FALSE),"")&amp;" "&amp;IFERROR(VLOOKUP($S472,CODES,2,FALSE),"")&amp;IF(N($P472)&gt;0," w/TRANSOM "&amp;$P472&amp;CHAR(34),"")&amp;IF(N($Q472)&gt;0," w/SIDELITE "&amp;$Q472&amp;CHAR(34)&amp;" "&amp;IF($R472="","R",$R472),"")&amp;IF($Y472="","  |  "," | "&amp;IFERROR(VLOOKUP($Y472,CODES,2,FALSE),"")&amp;" | ")&amp;IFERROR(VLOOKUP($AC472,CODES,2,FALSE),"")&amp;" "&amp;IFERROR(VLOOKUP($AD472,CODES,2,FALSE),"")&amp;IF(OR($AE472="",$AE472="-"),""," "&amp;$AE472)&amp;IF(OR($AF472="",$AF472="-"),""," "&amp;$AF472)&amp;IF($AB472="Y"," 4"&amp;CHAR(34)&amp;" HEAD","")&amp;" "&amp;IFERROR(VLOOKUP($H472,CODES,2,FALSE),"")&amp;IF($CT472," | LOC "&amp;$CY472,"")))</f>
        <v/>
      </c>
      <c r="CK472" s="85">
        <f>IF(NOT(AND($A472&lt;&gt;"",N($BJ472)&gt;0)),"",TRIM(IFERROR(VLOOKUP($AH472,CODES,2,FALSE),"")&amp;IF($AI472=""," "," "&amp;$AI472&amp;"GA ")&amp;$BG472&amp;" "&amp;IF($AN472="",IFERROR(VLOOKUP($Z472,CODES,2,FALSE),""),IFERROR(VLOOKUP($AN472,CODES,2,FALSE),""))&amp;IF($BJ472=2," PAIR","")&amp;" DOOR | "&amp;IF($AL472="","?",$AL472)&amp;" | "&amp;IF($AO472="",IFERROR(VLOOKUP($AC472,CODES,2,FALSE),""),IFERROR(VLOOKUP($AO472,CODES,2,FALSE),""))&amp;" "&amp;IFERROR(VLOOKUP($AP472,CODES,2,FALSE),"")&amp;IF(OR($AQ472="",$AQ472="-"),""," SEAM "&amp;$AQ472)&amp;IF($AR472="Y"," ASTRAGAL","")&amp;IF($AJ472=""," "," "&amp;$AJ472)&amp;IF($AK472=""," "," "&amp;$AK472)&amp;IF(OR($AT472="",$AT472="ANSI/SDI",$AT472="CUSTOM LOC"),""," "&amp;$AT472)&amp;IF($AM472=""," "," SERIES "&amp;$AM472)&amp;" "&amp;IFERROR(VLOOKUP($H472,CODES,2,FALSE),"")&amp;IF($CT472," | LOC "&amp;$CZ472,"")))</f>
        <v/>
      </c>
      <c r="CL472" s="84">
        <f>IF(CP472="","",IF(COUNTIF($CP$6:CP472,CP472)=1,MAX($CL$5:CL471)+1,INDEX($CL$5:CL471,MATCH(CP472,$CP$5:CP471,0))))</f>
        <v/>
      </c>
      <c r="CM472" s="84">
        <f>IF(NOT(AND($A472&lt;&gt;"",$C472&lt;&gt;"DOOR ONLY")),"",MAX($CM$5:CM471)+1)</f>
        <v/>
      </c>
      <c r="CN472" s="84">
        <f>IF(NOT(AND($A472&lt;&gt;"",N($BJ472)&gt;0)),"",MAX($CN$5:CN471)+1)</f>
        <v/>
      </c>
      <c r="CO472" s="84">
        <f>IF($A472="","",MAX($CO$5:CO471)+1)</f>
        <v/>
      </c>
      <c r="CP472" s="84">
        <f>IF(OR($A472="",$BH472="",$BI472=""),"",$BG472&amp;"|"&amp;$O472&amp;"|"&amp;$AL472&amp;"|"&amp;$S472&amp;"|"&amp;$P472&amp;"|"&amp;$Q472&amp;$R472&amp;"|"&amp;$C472&amp;"|"&amp;$AB472)</f>
        <v/>
      </c>
      <c r="CQ472" s="84">
        <f>N($BS472)</f>
        <v/>
      </c>
      <c r="CR472" s="84">
        <f>IF(N($AU472)&gt;0,N($AU472),4.5)</f>
        <v/>
      </c>
      <c r="CS472" s="84">
        <f>OR($A472="",$BI472="",$S472="BL",AND($C472="FRAME ONLY",OR($AC472="",$AC472="BLK")))</f>
        <v/>
      </c>
      <c r="CT472" s="84">
        <f>AND(NOT($CS472),OR($AT472="CUSTOM LOC",N($AW472)+N($AX472)+N($AY472)+N($AZ472)+N($BA472)&gt;0))</f>
        <v/>
      </c>
      <c r="CU472" s="84">
        <f>IF($BI472="","",IF($BI472&lt;=80,80,IF($BI472&lt;=84,84,96)))</f>
        <v/>
      </c>
      <c r="CV472" s="84">
        <f>ISNUMBER(MATCH($AT472&amp;"|80",LocKeys,0))</f>
        <v/>
      </c>
      <c r="CW472" s="86">
        <f>IF($CS472,"",IF($CV472,VLOOKUP($AT472&amp;"|"&amp;$CU472,LocTable,4,FALSE),5))</f>
        <v/>
      </c>
      <c r="CX472" s="86">
        <f>IF($CS472,"",IF($CV472,IF(OR($BI472=$CU472,AND($BI472&lt;$CU472,$BI472-IF(N(VLOOKUP($AT472&amp;"|"&amp;$CU472,LocTable,7,FALSE))&gt;0,VLOOKUP($AT472&amp;"|"&amp;$CU472,LocTable,7,FALSE),VLOOKUP($AT472&amp;"|"&amp;$CU472,LocTable,6,FALSE))-$CR472-0.75&gt;=2.125)),IF(N(VLOOKUP($AT472&amp;"|"&amp;$CU472,LocTable,7,FALSE))&gt;0,VLOOKUP($AT472&amp;"|"&amp;$CU472,LocTable,7,FALSE),VLOOKUP($AT472&amp;"|"&amp;$CU472,LocTable,6,FALSE)),$BI472-($CU472-IF(N(VLOOKUP($AT472&amp;"|"&amp;$CU472,LocTable,7,FALSE))&gt;0,VLOOKUP($AT472&amp;"|"&amp;$CU472,LocTable,7,FALSE),VLOOKUP($AT472&amp;"|"&amp;$CU472,LocTable,6,FALSE)))),$BI472-10-$CR472))</f>
        <v/>
      </c>
      <c r="CY472" s="85">
        <f>IF($CS472,"",TRIM(IF(ISNUMBER($BU472),"A "&amp;TRIM(TEXT($BU472,"# ?/??"))&amp;CHAR(34)&amp;"  ","")&amp;IF(ISNUMBER($BV472),"B "&amp;TRIM(TEXT($BV472,"# ?/??"))&amp;CHAR(34)&amp;"  ","")&amp;IF(ISNUMBER($BW472),"C "&amp;TRIM(TEXT($BW472,"# ?/??"))&amp;CHAR(34)&amp;"  ","")&amp;IF(ISNUMBER($BX472),"D "&amp;TRIM(TEXT($BX472,"# ?/??"))&amp;CHAR(34)&amp;"  ","")&amp;IF(ISNUMBER($BY472),"F "&amp;TRIM(TEXT($BY472,"# ?/??"))&amp;CHAR(34)&amp;"  ","")&amp;IF(ISNUMBER($BZ472),"E "&amp;TRIM(TEXT($BZ472,"# ?/??"))&amp;CHAR(34)&amp;"  ","")))</f>
        <v/>
      </c>
      <c r="CZ472" s="85">
        <f>IF(OR($CS472,N($BJ472)=0),"",TRIM(IF(ISNUMBER($BU472),"A "&amp;TRIM(TEXT($BU472-HeadClr,"# ?/??"))&amp;CHAR(34)&amp;"  ","")&amp;IF(ISNUMBER($BV472),"B "&amp;TRIM(TEXT($BV472-HeadClr,"# ?/??"))&amp;CHAR(34)&amp;"  ","")&amp;IF(ISNUMBER($BW472),"C "&amp;TRIM(TEXT($BW472-HeadClr,"# ?/??"))&amp;CHAR(34)&amp;"  ","")&amp;IF(ISNUMBER($BX472),"D "&amp;TRIM(TEXT($BX472-HeadClr,"# ?/??"))&amp;CHAR(34)&amp;"  ","")&amp;IF(ISNUMBER($BY472),"F "&amp;TRIM(TEXT($BY472-HeadClr,"# ?/??"))&amp;CHAR(34)&amp;"  ","")&amp;IF(ISNUMBER($BZ472),"E "&amp;TRIM(TEXT($BZ472-HeadClr,"# ?/??"))&amp;CHAR(34)&amp;"  ","")))</f>
        <v/>
      </c>
      <c r="DA472" s="84">
        <f>IF($A472="","",IF($AN472="",IFERROR(VLOOKUP($Z472,CODES,2,FALSE),""),IFERROR(VLOOKUP($AN472,CODES,2,FALSE),"")))</f>
        <v/>
      </c>
      <c r="DB472" s="84">
        <f>IF($A472="","",IF($O472="Y","PR",IF(OR($Z472="L",$Z472="RR",LEFT($Z472,2)="L-",LEFT($Z472,3)="RR-"),"LH","RH")))</f>
        <v/>
      </c>
      <c r="DC472" s="84">
        <f>IF($A472="","","S.HM"&amp;IF(OR($C472="DOOR ONLY",$X472&lt;&gt;"KD"),"MASONRY","DRYWALL")&amp;IF($C472="DOOR ONLY","",$U472)&amp;IF(AND($C472&lt;&gt;"FRAME ONLY",OR(LEFT($AH472,3)="OAK",LEFT($AH472,3)="BIR",LEFT($AH472,3)="MAP",$AH472="PC",$AH472="MC",$AH472="SCLC",$AH472="P-LAM")),"WD","HM")&amp;"1.75")</f>
        <v/>
      </c>
      <c r="DD472" s="84">
        <f>IF($CJ472="","",IF($O472="Y",$CJ472,SUBSTITUTE($CJ472,$BG472&amp;" "&amp;IFERROR(VLOOKUP($Z472,CODES,2,FALSE),"")&amp;" ",$BG472&amp;" ")))</f>
        <v/>
      </c>
      <c r="DE472" s="84">
        <f>IF($CK472="","",IF($O472="Y",$CK472,SUBSTITUTE($CK472,$BG472&amp;" "&amp;IF($AN472="",IFERROR(VLOOKUP($Z472,CODES,2,FALSE),""),IFERROR(VLOOKUP($AN472,CODES,2,FALSE),""))&amp;" ",$BG472&amp;" ")))</f>
        <v/>
      </c>
      <c r="DF472" s="84">
        <f>IF($CJ472="","",$DC472&amp;"|"&amp;$DD472&amp;"|"&amp;$DB472&amp;"|"&amp;$AT472&amp;"|"&amp;$V472&amp;"|"&amp;$Y472&amp;"|"&amp;$AB472)</f>
        <v/>
      </c>
      <c r="DG472" s="84">
        <f>IF(DF472="","",IF(COUNTIF($DF$6:DF472,DF472)=1,MAX($DG$5:DG471)+1,INDEX($DG$5:DG471,MATCH(DF472,$DF$5:DF471,0))))</f>
        <v/>
      </c>
      <c r="DH472" s="84">
        <f>IF($CK472="","",$DC472&amp;"|"&amp;$DE472&amp;"|"&amp;$AI472&amp;"|"&amp;$BK472&amp;"|"&amp;$BL472)</f>
        <v/>
      </c>
      <c r="DI472" s="84">
        <f>IF(DH472="","",IF(COUNTIF($DH$6:DH472,DH472)=1,MAX($DI$5:DI471)+1,INDEX($DI$5:DI471,MATCH(DH472,$DH$5:DH471,0))))</f>
        <v/>
      </c>
      <c r="DJ472" s="84">
        <f>IF($A472="","",IF($B472="","qty, ","")&amp;IF($C472="","scope, ","")&amp;IF(OR($K472="",$M472=""),"size, ","")&amp;IF(AND($A472&lt;&gt;"",$C472&lt;&gt;"DOOR ONLY"),IF($U472="","jamb depth, ","")&amp;IF($X472="","construction, ","")&amp;IF($Y472="","anchor, ","")&amp;IF($S472="","frame type, ",""),"")&amp;IF(AND(N($BJ472)&gt;0,$Z472=""),"hand, ","")&amp;IF(N($BJ472)&gt;0,IF($AH472="","door material, ","")&amp;IF($AL472="","face type, ","")&amp;IF($AP472="","lock prep, ","")&amp;IF(AND($AO472="",$AC472=""),"hinge prep, ",""),"")&amp;IF(AND($CH472&gt;0,$AH472="FRP"),"FRP cannot carry a label, ","")&amp;IF(AND($O472="Y",OR($Z472="L",$Z472="R",$Z472="LR",$Z472="RR")),"pair marked but hand is single, ","")&amp;IF(AND($O472&lt;&gt;"Y",OR($Z472="PR",AND(LEN($Z472)&gt;1,ISNUMBER(SEARCH("-",$Z472))))),"pair hand on a single door, ","")&amp;IF(AND(ISNUMBER($CI472),$CH472&lt;N($CI472)),"wall needs a "&amp;$CI472&amp;" min door, ","")&amp;IF(AND($CH472&gt;=180,AND(OR($CE472="FG",$CE472="HG",$CE472="FNV",$CE472="FV"),N($CF472)*N($CG472)&gt;100)),"180 min lite over 100 sq in, ","")&amp;IF(N($BK472)&gt;48,"leaf wider than 4'-0"&amp;CHAR(34)&amp;", ","")&amp;IF(AND($CT472,COUNT($AW472:$AZ472)=0,$CQ472&gt;0),"CUSTOM LOC with no locations typed, ",""))</f>
        <v/>
      </c>
      <c r="DK472" s="84">
        <f>IF($A472="","",IF(AND($CH472&gt;0,AND($A472&lt;&gt;"",$C472&lt;&gt;"DOOR ONLY"),$X472="KD",$E472="EXTERIOR"),"KD label on an exterior opening, ","")&amp;IF(AND($E472="EXTERIOR",OR(AND(AND($A472&lt;&gt;"",$C472&lt;&gt;"DOOR ONLY"),$W472="CR"),AND(N($BJ472)&gt;0,$AH472="CR"))),"exterior in CR steel (G9?), ","")&amp;IF(AND(ISNUMBER($BQ472),N($BQ472)&lt;32),"clear width ~"&amp;TEXT($BQ472,"0.0")&amp;CHAR(34)&amp;" under 32"&amp;CHAR(34)&amp;" (ADA), ","")&amp;IF(AND($CH472=90,AND(OR($CE472="FG",$CE472="HG",$CE472="FNV",$CE472="FV"),N($CF472)*N($CG472)&gt;100)),"90 min lite over 100 sq in (stair/exit), ","")&amp;IF(AND($CH472&gt;0,AND($A472&lt;&gt;"",$C472&lt;&gt;"DOOR ONLY"),OR($AF472="",$AF472="-")),"rated: closer reinf.?, ","")&amp;IF(OR($I472="CORRIDOR",$I472="SMOKE BARRIER"),"S label + smoke gasketing, ","")&amp;IF($CI472="?","wall type/hr not in IBC table, ","")&amp;IF(AND(N($BJ472)&gt;0,$BB472=""),"no hardware set, ","")&amp;IF(AND($BB472&lt;&gt;"",ISNA(MATCH($BB472&amp;"",HWSets,0))),"set "&amp;$BB472&amp;" not on HW Sets, ","")&amp;IF(N($BL472)&gt;96,"leaf over 8'-0"&amp;CHAR(34)&amp;" - check listing, ","")&amp;IF(AND($CT472,COUNT($AW472:$AZ472)&gt;0,COUNT($AW472:$AZ472)&lt;&gt;$CQ472),COUNT($AW472:$AZ472)&amp;" custom hinges typed, "&amp;$CQ472&amp;" expected, ","")&amp;IF(AND(ISNUMBER($CA472),OR(N($CA472)&lt;34,N($CA472)&gt;48)),"lock "&amp;TEXT($CA472,"0.0")&amp;CHAR(34)&amp;" AFF outside 34-48"&amp;CHAR(34)&amp;" (ADA), ","")&amp;IF(AND(ISNUMBER($AV472),ISNUMBER($BL472),N($AV472)&lt;IF(N($BL472)&lt;=60,2,IF(N($BL472)&lt;=90,3,IF(N($BL472)&lt;=120,4,5)))),"fewer hinges than standard, ",""))</f>
        <v/>
      </c>
    </row>
    <row r="473" ht="15" customHeight="1">
      <c r="A473" s="77" t="n"/>
      <c r="B473" s="78" t="n"/>
      <c r="C473" s="78" t="n"/>
      <c r="D473" s="78" t="n"/>
      <c r="E473" s="78" t="n"/>
      <c r="F473" s="78" t="n"/>
      <c r="G473" s="78" t="n"/>
      <c r="H473" s="78" t="n"/>
      <c r="I473" s="78" t="n"/>
      <c r="J473" s="78" t="n"/>
      <c r="K473" s="78" t="n"/>
      <c r="L473" s="78" t="n"/>
      <c r="M473" s="78" t="n"/>
      <c r="N473" s="78" t="n"/>
      <c r="O473" s="78" t="n"/>
      <c r="P473" s="78" t="n"/>
      <c r="Q473" s="78" t="n"/>
      <c r="R473" s="78" t="n"/>
      <c r="S473" s="79" t="n"/>
      <c r="T473" s="79" t="n"/>
      <c r="U473" s="79" t="n"/>
      <c r="V473" s="79" t="n"/>
      <c r="W473" s="79" t="n"/>
      <c r="X473" s="79" t="n"/>
      <c r="Y473" s="79" t="n"/>
      <c r="Z473" s="79" t="n"/>
      <c r="AA473" s="79" t="n"/>
      <c r="AB473" s="79" t="n"/>
      <c r="AC473" s="79" t="n"/>
      <c r="AD473" s="79" t="n"/>
      <c r="AE473" s="79" t="n"/>
      <c r="AF473" s="79" t="n"/>
      <c r="AG473" s="79" t="n"/>
      <c r="AH473" s="80" t="n"/>
      <c r="AI473" s="80" t="n"/>
      <c r="AJ473" s="80" t="n"/>
      <c r="AK473" s="80" t="n"/>
      <c r="AL473" s="80" t="n"/>
      <c r="AM473" s="80" t="n"/>
      <c r="AN473" s="80" t="n"/>
      <c r="AO473" s="80" t="n"/>
      <c r="AP473" s="80" t="n"/>
      <c r="AQ473" s="80" t="n"/>
      <c r="AR473" s="80" t="n"/>
      <c r="AS473" s="80" t="n"/>
      <c r="AT473" s="81" t="n"/>
      <c r="AU473" s="81" t="n"/>
      <c r="AV473" s="81" t="n"/>
      <c r="AW473" s="82" t="n"/>
      <c r="AX473" s="82" t="n"/>
      <c r="AY473" s="82" t="n"/>
      <c r="AZ473" s="82" t="n"/>
      <c r="BA473" s="82" t="n"/>
      <c r="BB473" s="83" t="n"/>
      <c r="BC473" s="83" t="n"/>
      <c r="BD473" s="84">
        <f>IF($A473="","",IF($DJ473&lt;&gt;"","FIX",IF($DK473&lt;&gt;"","CHECK","OK")))</f>
        <v/>
      </c>
      <c r="BE473" s="85">
        <f>IF($A473="","",IF($DJ473&lt;&gt;"","FIX: "&amp;LEFT($DJ473,LEN($DJ473)-2)&amp;IF($DK473&lt;&gt;"","  ·  ",""),"")&amp;IF($DK473&lt;&gt;"","CHECK: "&amp;LEFT($DK473,LEN($DK473)-2),""))</f>
        <v/>
      </c>
      <c r="BF473" s="84">
        <f>IF(OR($A473="",$K473=""),"",$K473&amp;"'-"&amp;N($L473)&amp;CHAR(34)&amp;" x "&amp;$M473&amp;"'-"&amp;N($N473)&amp;CHAR(34))</f>
        <v/>
      </c>
      <c r="BG473" s="84">
        <f>IF(OR($A473="",$K473=""),"",$K473&amp;N($L473)&amp;$M473&amp;N($N473))</f>
        <v/>
      </c>
      <c r="BH473" s="84">
        <f>IF(OR($A473="",$K473=""),"",$K473*12+N($L473))</f>
        <v/>
      </c>
      <c r="BI473" s="84">
        <f>IF(OR($A473="",$M473=""),"",$M473*12+N($N473))</f>
        <v/>
      </c>
      <c r="BJ473" s="84">
        <f>IF($A473="","",IF(OR($C473="FRAME ONLY",$S473="BL"),0,IF($O473="Y",2,1)))</f>
        <v/>
      </c>
      <c r="BK473" s="86">
        <f>IF(OR(N($BJ473)=0,$BH473=""),"",($BH473-2*EdgeClr-IF($BJ473=2,MeetClr,0))/$BJ473)</f>
        <v/>
      </c>
      <c r="BL473" s="86">
        <f>IF(OR(N($BJ473)=0,$BI473=""),"",$BI473-HeadClr-Undercut)</f>
        <v/>
      </c>
      <c r="BM473" s="86">
        <f>IF($BH473="","",$BH473+2*FaceW+IF(N($Q473)&gt;0,($Q473+FaceW)*IF($R473="LR",2,1),0))</f>
        <v/>
      </c>
      <c r="BN473" s="86">
        <f>IF($BI473="","",$BI473+IF($AB473="Y",4,FaceW)+IF(N($P473)&gt;0,$P473+FaceW,0)+IF(OR($S473="4F",$S473="BL"),FaceW,0))</f>
        <v/>
      </c>
      <c r="BO473" s="86">
        <f>IF($BM473="","",$BM473+2*ROSide)</f>
        <v/>
      </c>
      <c r="BP473" s="86">
        <f>IF($BN473="","",$BN473+ROTop)</f>
        <v/>
      </c>
      <c r="BQ473" s="87">
        <f>IF(OR(N($BJ473)=0,$BH473=""),"",$BH473/$BJ473-ClearDeduct)</f>
        <v/>
      </c>
      <c r="BR473" s="84">
        <f>IF(N($CH473)=0,"",IF($CH473&gt;=180,"A · 3 HR",IF($CH473&gt;=90,"B · 1-1/2 HR",IF($CH473&gt;=60,"B · 1 HR",IF($CH473&gt;=45,"C · 3/4 HR","20 MIN")))))&amp;IF(AND(N($CH473)&gt;0,OR($I473="CORRIDOR",$I473="SMOKE BARRIER"))," · S","")</f>
        <v/>
      </c>
      <c r="BS473" s="84">
        <f>IF($CS473,"",IF($AV473&lt;&gt;"",$AV473,IF(OR($AC473="HGC",$AO473="HGC"),"CONT",IF(($BI473-HeadClr-Undercut)&lt;=60,2,IF(($BI473-HeadClr-Undercut)&lt;=90,3,IF(($BI473-HeadClr-Undercut)&lt;=120,4,5))))))</f>
        <v/>
      </c>
      <c r="BT473" s="84">
        <f>IF($CS473,"",IF($CT473,"CUSTOM (typed)",IF($CV473,$AT473&amp;" "&amp;$CU473&amp;CHAR(34)&amp;IF($CU473&lt;&gt;$BI473,IF(AND($BI473&lt;$CU473,$BI473-IF(N(VLOOKUP($AT473&amp;"|"&amp;$CU473,LocTable,7,FALSE))&gt;0,VLOOKUP($AT473&amp;"|"&amp;$CU473,LocTable,7,FALSE),VLOOKUP($AT473&amp;"|"&amp;$CU473,LocTable,6,FALSE))-$CR473-0.75&gt;=2.125)," cut down"," adj."),""),"ANSI/SDI A250.6")))</f>
        <v/>
      </c>
      <c r="BU473" s="88">
        <f>IF($CS473,"",IF($CT473,IF(N($AW473)&gt;0,N($AW473),""),IF(1&gt;$CQ473,"",IF($CQ473=1,$CW473,$CW473+($CX473-$CW473)*0/($CQ473-1)))))</f>
        <v/>
      </c>
      <c r="BV473" s="88">
        <f>IF($CS473,"",IF($CT473,IF(N($AX473)&gt;0,N($AX473),""),IF(2&gt;$CQ473,"",IF($CQ473=1,$CW473,$CW473+($CX473-$CW473)*1/($CQ473-1)))))</f>
        <v/>
      </c>
      <c r="BW473" s="88">
        <f>IF($CS473,"",IF($CT473,IF(N($AY473)&gt;0,N($AY473),""),IF(3&gt;$CQ473,"",IF($CQ473=1,$CW473,$CW473+($CX473-$CW473)*2/($CQ473-1)))))</f>
        <v/>
      </c>
      <c r="BX473" s="88">
        <f>IF($CS473,"",IF($CT473,IF(N($AZ473)&gt;0,N($AZ473),""),IF(4&gt;$CQ473,"",IF($CQ473=1,$CW473,$CW473+($CX473-$CW473)*3/($CQ473-1)))))</f>
        <v/>
      </c>
      <c r="BY473" s="88">
        <f>IF($CS473,"",IF($CT473,"",IF(5&gt;$CQ473,"",IF($CQ473=1,$CW473,$CW473+($CX473-$CW473)*4/($CQ473-1)))))</f>
        <v/>
      </c>
      <c r="BZ473" s="88">
        <f>IF(OR($CS473,$AP473="-",AND($AP473="",$AD473="")),"",IF(N($BA473)&gt;0,N($BA473),IF($CV473,IF(AND($BI473&lt;$CU473,$BI473-IF(N(VLOOKUP($AT473&amp;"|"&amp;$CU473,LocTable,7,FALSE))&gt;0,VLOOKUP($AT473&amp;"|"&amp;$CU473,LocTable,7,FALSE),VLOOKUP($AT473&amp;"|"&amp;$CU473,LocTable,6,FALSE))-$CR473-0.75&gt;=2.125),VLOOKUP($AT473&amp;"|"&amp;$CU473,LocTable,8,FALSE),VLOOKUP($AT473&amp;"|"&amp;$CU473,LocTable,8,FALSE)+($BI473-$CU473)),$BI473-LockAFF)))</f>
        <v/>
      </c>
      <c r="CA473" s="89">
        <f>IF($BZ473="","",$BI473-$BZ473)</f>
        <v/>
      </c>
      <c r="CB473" s="84">
        <f>IF(OR(NOT(AND($A473&lt;&gt;"",$C473&lt;&gt;"DOOR ONLY")),$BI473=""),"",IF(($BI473+IF(N($P473)&gt;0,$P473+FaceW,0))&lt;=90,3,IF(($BI473+IF(N($P473)&gt;0,$P473+FaceW,0))&lt;=114,4,5)))</f>
        <v/>
      </c>
      <c r="CC473" s="84">
        <f>IF($CB473="","",$CB473*(2+IF(N($Q473)&gt;0,IF($R473="LR",2,1),0)))</f>
        <v/>
      </c>
      <c r="CD473" s="84">
        <f>IF($CB473="","",(2+IF(N($Q473)&gt;0,IF($R473="LR",2,1),0)))</f>
        <v/>
      </c>
      <c r="CE473" s="84">
        <f>IF(N($BJ473)=0,"",IF(OR($AL473="",$AL473="FLUSH"),"FLUSH",IFERROR(LEFT($AL473,FIND("-",$AL473)-1),LEFT($AL473,2))))</f>
        <v/>
      </c>
      <c r="CF473" s="84">
        <f>IF($CE473="","",IFERROR(VALUE(MID($AL473,FIND("-",$AL473)+1,FIND(CHAR(34)&amp;"x",$AL473)-FIND("-",$AL473)-1)),0))</f>
        <v/>
      </c>
      <c r="CG473" s="84">
        <f>IF($CE473="","",IFERROR(VALUE(MID($AL473,FIND(CHAR(34)&amp;"x",$AL473)+2,FIND(CHAR(34),$AL473,FIND(CHAR(34)&amp;"x",$AL473)+2)-FIND(CHAR(34)&amp;"x",$AL473)-2)),0))</f>
        <v/>
      </c>
      <c r="CH473" s="90">
        <f>IF(OR($A473="",$H473="",$H473="NO LAB"),0,IFERROR(VALUE(LEFT($H473,FIND(" ",$H473)-1)),0))</f>
        <v/>
      </c>
      <c r="CI473" s="91">
        <f>IF(OR($A473="",$I473="",$I473="NON-RATED",N($J473)=0),"",IFERROR(VLOOKUP($I473&amp;"|"&amp;$J473,IBC,2,FALSE),"?"))</f>
        <v/>
      </c>
      <c r="CJ473" s="85">
        <f>IF(NOT(AND($A473&lt;&gt;"",$C473&lt;&gt;"DOOR ONLY")),"",TRIM(IFERROR(VLOOKUP($U473,CODES,2,FALSE),"")&amp;" "&amp;$BG473&amp;" "&amp;IFERROR(VLOOKUP($Z473,CODES,2,FALSE),"")&amp;" "&amp;IFERROR(VLOOKUP($X473,CODES,2,FALSE),"")&amp;" "&amp;IFERROR(VLOOKUP($S473,CODES,2,FALSE),"")&amp;IF(N($P473)&gt;0," w/TRANSOM "&amp;$P473&amp;CHAR(34),"")&amp;IF(N($Q473)&gt;0," w/SIDELITE "&amp;$Q473&amp;CHAR(34)&amp;" "&amp;IF($R473="","R",$R473),"")&amp;IF($Y473="","  |  "," | "&amp;IFERROR(VLOOKUP($Y473,CODES,2,FALSE),"")&amp;" | ")&amp;IFERROR(VLOOKUP($AC473,CODES,2,FALSE),"")&amp;" "&amp;IFERROR(VLOOKUP($AD473,CODES,2,FALSE),"")&amp;IF(OR($AE473="",$AE473="-"),""," "&amp;$AE473)&amp;IF(OR($AF473="",$AF473="-"),""," "&amp;$AF473)&amp;IF($AB473="Y"," 4"&amp;CHAR(34)&amp;" HEAD","")&amp;" "&amp;IFERROR(VLOOKUP($H473,CODES,2,FALSE),"")&amp;IF($CT473," | LOC "&amp;$CY473,"")))</f>
        <v/>
      </c>
      <c r="CK473" s="85">
        <f>IF(NOT(AND($A473&lt;&gt;"",N($BJ473)&gt;0)),"",TRIM(IFERROR(VLOOKUP($AH473,CODES,2,FALSE),"")&amp;IF($AI473=""," "," "&amp;$AI473&amp;"GA ")&amp;$BG473&amp;" "&amp;IF($AN473="",IFERROR(VLOOKUP($Z473,CODES,2,FALSE),""),IFERROR(VLOOKUP($AN473,CODES,2,FALSE),""))&amp;IF($BJ473=2," PAIR","")&amp;" DOOR | "&amp;IF($AL473="","?",$AL473)&amp;" | "&amp;IF($AO473="",IFERROR(VLOOKUP($AC473,CODES,2,FALSE),""),IFERROR(VLOOKUP($AO473,CODES,2,FALSE),""))&amp;" "&amp;IFERROR(VLOOKUP($AP473,CODES,2,FALSE),"")&amp;IF(OR($AQ473="",$AQ473="-"),""," SEAM "&amp;$AQ473)&amp;IF($AR473="Y"," ASTRAGAL","")&amp;IF($AJ473=""," "," "&amp;$AJ473)&amp;IF($AK473=""," "," "&amp;$AK473)&amp;IF(OR($AT473="",$AT473="ANSI/SDI",$AT473="CUSTOM LOC"),""," "&amp;$AT473)&amp;IF($AM473=""," "," SERIES "&amp;$AM473)&amp;" "&amp;IFERROR(VLOOKUP($H473,CODES,2,FALSE),"")&amp;IF($CT473," | LOC "&amp;$CZ473,"")))</f>
        <v/>
      </c>
      <c r="CL473" s="84">
        <f>IF(CP473="","",IF(COUNTIF($CP$6:CP473,CP473)=1,MAX($CL$5:CL472)+1,INDEX($CL$5:CL472,MATCH(CP473,$CP$5:CP472,0))))</f>
        <v/>
      </c>
      <c r="CM473" s="84">
        <f>IF(NOT(AND($A473&lt;&gt;"",$C473&lt;&gt;"DOOR ONLY")),"",MAX($CM$5:CM472)+1)</f>
        <v/>
      </c>
      <c r="CN473" s="84">
        <f>IF(NOT(AND($A473&lt;&gt;"",N($BJ473)&gt;0)),"",MAX($CN$5:CN472)+1)</f>
        <v/>
      </c>
      <c r="CO473" s="84">
        <f>IF($A473="","",MAX($CO$5:CO472)+1)</f>
        <v/>
      </c>
      <c r="CP473" s="84">
        <f>IF(OR($A473="",$BH473="",$BI473=""),"",$BG473&amp;"|"&amp;$O473&amp;"|"&amp;$AL473&amp;"|"&amp;$S473&amp;"|"&amp;$P473&amp;"|"&amp;$Q473&amp;$R473&amp;"|"&amp;$C473&amp;"|"&amp;$AB473)</f>
        <v/>
      </c>
      <c r="CQ473" s="84">
        <f>N($BS473)</f>
        <v/>
      </c>
      <c r="CR473" s="84">
        <f>IF(N($AU473)&gt;0,N($AU473),4.5)</f>
        <v/>
      </c>
      <c r="CS473" s="84">
        <f>OR($A473="",$BI473="",$S473="BL",AND($C473="FRAME ONLY",OR($AC473="",$AC473="BLK")))</f>
        <v/>
      </c>
      <c r="CT473" s="84">
        <f>AND(NOT($CS473),OR($AT473="CUSTOM LOC",N($AW473)+N($AX473)+N($AY473)+N($AZ473)+N($BA473)&gt;0))</f>
        <v/>
      </c>
      <c r="CU473" s="84">
        <f>IF($BI473="","",IF($BI473&lt;=80,80,IF($BI473&lt;=84,84,96)))</f>
        <v/>
      </c>
      <c r="CV473" s="84">
        <f>ISNUMBER(MATCH($AT473&amp;"|80",LocKeys,0))</f>
        <v/>
      </c>
      <c r="CW473" s="86">
        <f>IF($CS473,"",IF($CV473,VLOOKUP($AT473&amp;"|"&amp;$CU473,LocTable,4,FALSE),5))</f>
        <v/>
      </c>
      <c r="CX473" s="86">
        <f>IF($CS473,"",IF($CV473,IF(OR($BI473=$CU473,AND($BI473&lt;$CU473,$BI473-IF(N(VLOOKUP($AT473&amp;"|"&amp;$CU473,LocTable,7,FALSE))&gt;0,VLOOKUP($AT473&amp;"|"&amp;$CU473,LocTable,7,FALSE),VLOOKUP($AT473&amp;"|"&amp;$CU473,LocTable,6,FALSE))-$CR473-0.75&gt;=2.125)),IF(N(VLOOKUP($AT473&amp;"|"&amp;$CU473,LocTable,7,FALSE))&gt;0,VLOOKUP($AT473&amp;"|"&amp;$CU473,LocTable,7,FALSE),VLOOKUP($AT473&amp;"|"&amp;$CU473,LocTable,6,FALSE)),$BI473-($CU473-IF(N(VLOOKUP($AT473&amp;"|"&amp;$CU473,LocTable,7,FALSE))&gt;0,VLOOKUP($AT473&amp;"|"&amp;$CU473,LocTable,7,FALSE),VLOOKUP($AT473&amp;"|"&amp;$CU473,LocTable,6,FALSE)))),$BI473-10-$CR473))</f>
        <v/>
      </c>
      <c r="CY473" s="85">
        <f>IF($CS473,"",TRIM(IF(ISNUMBER($BU473),"A "&amp;TRIM(TEXT($BU473,"# ?/??"))&amp;CHAR(34)&amp;"  ","")&amp;IF(ISNUMBER($BV473),"B "&amp;TRIM(TEXT($BV473,"# ?/??"))&amp;CHAR(34)&amp;"  ","")&amp;IF(ISNUMBER($BW473),"C "&amp;TRIM(TEXT($BW473,"# ?/??"))&amp;CHAR(34)&amp;"  ","")&amp;IF(ISNUMBER($BX473),"D "&amp;TRIM(TEXT($BX473,"# ?/??"))&amp;CHAR(34)&amp;"  ","")&amp;IF(ISNUMBER($BY473),"F "&amp;TRIM(TEXT($BY473,"# ?/??"))&amp;CHAR(34)&amp;"  ","")&amp;IF(ISNUMBER($BZ473),"E "&amp;TRIM(TEXT($BZ473,"# ?/??"))&amp;CHAR(34)&amp;"  ","")))</f>
        <v/>
      </c>
      <c r="CZ473" s="85">
        <f>IF(OR($CS473,N($BJ473)=0),"",TRIM(IF(ISNUMBER($BU473),"A "&amp;TRIM(TEXT($BU473-HeadClr,"# ?/??"))&amp;CHAR(34)&amp;"  ","")&amp;IF(ISNUMBER($BV473),"B "&amp;TRIM(TEXT($BV473-HeadClr,"# ?/??"))&amp;CHAR(34)&amp;"  ","")&amp;IF(ISNUMBER($BW473),"C "&amp;TRIM(TEXT($BW473-HeadClr,"# ?/??"))&amp;CHAR(34)&amp;"  ","")&amp;IF(ISNUMBER($BX473),"D "&amp;TRIM(TEXT($BX473-HeadClr,"# ?/??"))&amp;CHAR(34)&amp;"  ","")&amp;IF(ISNUMBER($BY473),"F "&amp;TRIM(TEXT($BY473-HeadClr,"# ?/??"))&amp;CHAR(34)&amp;"  ","")&amp;IF(ISNUMBER($BZ473),"E "&amp;TRIM(TEXT($BZ473-HeadClr,"# ?/??"))&amp;CHAR(34)&amp;"  ","")))</f>
        <v/>
      </c>
      <c r="DA473" s="84">
        <f>IF($A473="","",IF($AN473="",IFERROR(VLOOKUP($Z473,CODES,2,FALSE),""),IFERROR(VLOOKUP($AN473,CODES,2,FALSE),"")))</f>
        <v/>
      </c>
      <c r="DB473" s="84">
        <f>IF($A473="","",IF($O473="Y","PR",IF(OR($Z473="L",$Z473="RR",LEFT($Z473,2)="L-",LEFT($Z473,3)="RR-"),"LH","RH")))</f>
        <v/>
      </c>
      <c r="DC473" s="84">
        <f>IF($A473="","","S.HM"&amp;IF(OR($C473="DOOR ONLY",$X473&lt;&gt;"KD"),"MASONRY","DRYWALL")&amp;IF($C473="DOOR ONLY","",$U473)&amp;IF(AND($C473&lt;&gt;"FRAME ONLY",OR(LEFT($AH473,3)="OAK",LEFT($AH473,3)="BIR",LEFT($AH473,3)="MAP",$AH473="PC",$AH473="MC",$AH473="SCLC",$AH473="P-LAM")),"WD","HM")&amp;"1.75")</f>
        <v/>
      </c>
      <c r="DD473" s="84">
        <f>IF($CJ473="","",IF($O473="Y",$CJ473,SUBSTITUTE($CJ473,$BG473&amp;" "&amp;IFERROR(VLOOKUP($Z473,CODES,2,FALSE),"")&amp;" ",$BG473&amp;" ")))</f>
        <v/>
      </c>
      <c r="DE473" s="84">
        <f>IF($CK473="","",IF($O473="Y",$CK473,SUBSTITUTE($CK473,$BG473&amp;" "&amp;IF($AN473="",IFERROR(VLOOKUP($Z473,CODES,2,FALSE),""),IFERROR(VLOOKUP($AN473,CODES,2,FALSE),""))&amp;" ",$BG473&amp;" ")))</f>
        <v/>
      </c>
      <c r="DF473" s="84">
        <f>IF($CJ473="","",$DC473&amp;"|"&amp;$DD473&amp;"|"&amp;$DB473&amp;"|"&amp;$AT473&amp;"|"&amp;$V473&amp;"|"&amp;$Y473&amp;"|"&amp;$AB473)</f>
        <v/>
      </c>
      <c r="DG473" s="84">
        <f>IF(DF473="","",IF(COUNTIF($DF$6:DF473,DF473)=1,MAX($DG$5:DG472)+1,INDEX($DG$5:DG472,MATCH(DF473,$DF$5:DF472,0))))</f>
        <v/>
      </c>
      <c r="DH473" s="84">
        <f>IF($CK473="","",$DC473&amp;"|"&amp;$DE473&amp;"|"&amp;$AI473&amp;"|"&amp;$BK473&amp;"|"&amp;$BL473)</f>
        <v/>
      </c>
      <c r="DI473" s="84">
        <f>IF(DH473="","",IF(COUNTIF($DH$6:DH473,DH473)=1,MAX($DI$5:DI472)+1,INDEX($DI$5:DI472,MATCH(DH473,$DH$5:DH472,0))))</f>
        <v/>
      </c>
      <c r="DJ473" s="84">
        <f>IF($A473="","",IF($B473="","qty, ","")&amp;IF($C473="","scope, ","")&amp;IF(OR($K473="",$M473=""),"size, ","")&amp;IF(AND($A473&lt;&gt;"",$C473&lt;&gt;"DOOR ONLY"),IF($U473="","jamb depth, ","")&amp;IF($X473="","construction, ","")&amp;IF($Y473="","anchor, ","")&amp;IF($S473="","frame type, ",""),"")&amp;IF(AND(N($BJ473)&gt;0,$Z473=""),"hand, ","")&amp;IF(N($BJ473)&gt;0,IF($AH473="","door material, ","")&amp;IF($AL473="","face type, ","")&amp;IF($AP473="","lock prep, ","")&amp;IF(AND($AO473="",$AC473=""),"hinge prep, ",""),"")&amp;IF(AND($CH473&gt;0,$AH473="FRP"),"FRP cannot carry a label, ","")&amp;IF(AND($O473="Y",OR($Z473="L",$Z473="R",$Z473="LR",$Z473="RR")),"pair marked but hand is single, ","")&amp;IF(AND($O473&lt;&gt;"Y",OR($Z473="PR",AND(LEN($Z473)&gt;1,ISNUMBER(SEARCH("-",$Z473))))),"pair hand on a single door, ","")&amp;IF(AND(ISNUMBER($CI473),$CH473&lt;N($CI473)),"wall needs a "&amp;$CI473&amp;" min door, ","")&amp;IF(AND($CH473&gt;=180,AND(OR($CE473="FG",$CE473="HG",$CE473="FNV",$CE473="FV"),N($CF473)*N($CG473)&gt;100)),"180 min lite over 100 sq in, ","")&amp;IF(N($BK473)&gt;48,"leaf wider than 4'-0"&amp;CHAR(34)&amp;", ","")&amp;IF(AND($CT473,COUNT($AW473:$AZ473)=0,$CQ473&gt;0),"CUSTOM LOC with no locations typed, ",""))</f>
        <v/>
      </c>
      <c r="DK473" s="84">
        <f>IF($A473="","",IF(AND($CH473&gt;0,AND($A473&lt;&gt;"",$C473&lt;&gt;"DOOR ONLY"),$X473="KD",$E473="EXTERIOR"),"KD label on an exterior opening, ","")&amp;IF(AND($E473="EXTERIOR",OR(AND(AND($A473&lt;&gt;"",$C473&lt;&gt;"DOOR ONLY"),$W473="CR"),AND(N($BJ473)&gt;0,$AH473="CR"))),"exterior in CR steel (G9?), ","")&amp;IF(AND(ISNUMBER($BQ473),N($BQ473)&lt;32),"clear width ~"&amp;TEXT($BQ473,"0.0")&amp;CHAR(34)&amp;" under 32"&amp;CHAR(34)&amp;" (ADA), ","")&amp;IF(AND($CH473=90,AND(OR($CE473="FG",$CE473="HG",$CE473="FNV",$CE473="FV"),N($CF473)*N($CG473)&gt;100)),"90 min lite over 100 sq in (stair/exit), ","")&amp;IF(AND($CH473&gt;0,AND($A473&lt;&gt;"",$C473&lt;&gt;"DOOR ONLY"),OR($AF473="",$AF473="-")),"rated: closer reinf.?, ","")&amp;IF(OR($I473="CORRIDOR",$I473="SMOKE BARRIER"),"S label + smoke gasketing, ","")&amp;IF($CI473="?","wall type/hr not in IBC table, ","")&amp;IF(AND(N($BJ473)&gt;0,$BB473=""),"no hardware set, ","")&amp;IF(AND($BB473&lt;&gt;"",ISNA(MATCH($BB473&amp;"",HWSets,0))),"set "&amp;$BB473&amp;" not on HW Sets, ","")&amp;IF(N($BL473)&gt;96,"leaf over 8'-0"&amp;CHAR(34)&amp;" - check listing, ","")&amp;IF(AND($CT473,COUNT($AW473:$AZ473)&gt;0,COUNT($AW473:$AZ473)&lt;&gt;$CQ473),COUNT($AW473:$AZ473)&amp;" custom hinges typed, "&amp;$CQ473&amp;" expected, ","")&amp;IF(AND(ISNUMBER($CA473),OR(N($CA473)&lt;34,N($CA473)&gt;48)),"lock "&amp;TEXT($CA473,"0.0")&amp;CHAR(34)&amp;" AFF outside 34-48"&amp;CHAR(34)&amp;" (ADA), ","")&amp;IF(AND(ISNUMBER($AV473),ISNUMBER($BL473),N($AV473)&lt;IF(N($BL473)&lt;=60,2,IF(N($BL473)&lt;=90,3,IF(N($BL473)&lt;=120,4,5)))),"fewer hinges than standard, ",""))</f>
        <v/>
      </c>
    </row>
    <row r="474" ht="15" customHeight="1">
      <c r="A474" s="77" t="n"/>
      <c r="B474" s="78" t="n"/>
      <c r="C474" s="78" t="n"/>
      <c r="D474" s="78" t="n"/>
      <c r="E474" s="78" t="n"/>
      <c r="F474" s="78" t="n"/>
      <c r="G474" s="78" t="n"/>
      <c r="H474" s="78" t="n"/>
      <c r="I474" s="78" t="n"/>
      <c r="J474" s="78" t="n"/>
      <c r="K474" s="78" t="n"/>
      <c r="L474" s="78" t="n"/>
      <c r="M474" s="78" t="n"/>
      <c r="N474" s="78" t="n"/>
      <c r="O474" s="78" t="n"/>
      <c r="P474" s="78" t="n"/>
      <c r="Q474" s="78" t="n"/>
      <c r="R474" s="78" t="n"/>
      <c r="S474" s="79" t="n"/>
      <c r="T474" s="79" t="n"/>
      <c r="U474" s="79" t="n"/>
      <c r="V474" s="79" t="n"/>
      <c r="W474" s="79" t="n"/>
      <c r="X474" s="79" t="n"/>
      <c r="Y474" s="79" t="n"/>
      <c r="Z474" s="79" t="n"/>
      <c r="AA474" s="79" t="n"/>
      <c r="AB474" s="79" t="n"/>
      <c r="AC474" s="79" t="n"/>
      <c r="AD474" s="79" t="n"/>
      <c r="AE474" s="79" t="n"/>
      <c r="AF474" s="79" t="n"/>
      <c r="AG474" s="79" t="n"/>
      <c r="AH474" s="80" t="n"/>
      <c r="AI474" s="80" t="n"/>
      <c r="AJ474" s="80" t="n"/>
      <c r="AK474" s="80" t="n"/>
      <c r="AL474" s="80" t="n"/>
      <c r="AM474" s="80" t="n"/>
      <c r="AN474" s="80" t="n"/>
      <c r="AO474" s="80" t="n"/>
      <c r="AP474" s="80" t="n"/>
      <c r="AQ474" s="80" t="n"/>
      <c r="AR474" s="80" t="n"/>
      <c r="AS474" s="80" t="n"/>
      <c r="AT474" s="81" t="n"/>
      <c r="AU474" s="81" t="n"/>
      <c r="AV474" s="81" t="n"/>
      <c r="AW474" s="82" t="n"/>
      <c r="AX474" s="82" t="n"/>
      <c r="AY474" s="82" t="n"/>
      <c r="AZ474" s="82" t="n"/>
      <c r="BA474" s="82" t="n"/>
      <c r="BB474" s="83" t="n"/>
      <c r="BC474" s="83" t="n"/>
      <c r="BD474" s="84">
        <f>IF($A474="","",IF($DJ474&lt;&gt;"","FIX",IF($DK474&lt;&gt;"","CHECK","OK")))</f>
        <v/>
      </c>
      <c r="BE474" s="85">
        <f>IF($A474="","",IF($DJ474&lt;&gt;"","FIX: "&amp;LEFT($DJ474,LEN($DJ474)-2)&amp;IF($DK474&lt;&gt;"","  ·  ",""),"")&amp;IF($DK474&lt;&gt;"","CHECK: "&amp;LEFT($DK474,LEN($DK474)-2),""))</f>
        <v/>
      </c>
      <c r="BF474" s="84">
        <f>IF(OR($A474="",$K474=""),"",$K474&amp;"'-"&amp;N($L474)&amp;CHAR(34)&amp;" x "&amp;$M474&amp;"'-"&amp;N($N474)&amp;CHAR(34))</f>
        <v/>
      </c>
      <c r="BG474" s="84">
        <f>IF(OR($A474="",$K474=""),"",$K474&amp;N($L474)&amp;$M474&amp;N($N474))</f>
        <v/>
      </c>
      <c r="BH474" s="84">
        <f>IF(OR($A474="",$K474=""),"",$K474*12+N($L474))</f>
        <v/>
      </c>
      <c r="BI474" s="84">
        <f>IF(OR($A474="",$M474=""),"",$M474*12+N($N474))</f>
        <v/>
      </c>
      <c r="BJ474" s="84">
        <f>IF($A474="","",IF(OR($C474="FRAME ONLY",$S474="BL"),0,IF($O474="Y",2,1)))</f>
        <v/>
      </c>
      <c r="BK474" s="86">
        <f>IF(OR(N($BJ474)=0,$BH474=""),"",($BH474-2*EdgeClr-IF($BJ474=2,MeetClr,0))/$BJ474)</f>
        <v/>
      </c>
      <c r="BL474" s="86">
        <f>IF(OR(N($BJ474)=0,$BI474=""),"",$BI474-HeadClr-Undercut)</f>
        <v/>
      </c>
      <c r="BM474" s="86">
        <f>IF($BH474="","",$BH474+2*FaceW+IF(N($Q474)&gt;0,($Q474+FaceW)*IF($R474="LR",2,1),0))</f>
        <v/>
      </c>
      <c r="BN474" s="86">
        <f>IF($BI474="","",$BI474+IF($AB474="Y",4,FaceW)+IF(N($P474)&gt;0,$P474+FaceW,0)+IF(OR($S474="4F",$S474="BL"),FaceW,0))</f>
        <v/>
      </c>
      <c r="BO474" s="86">
        <f>IF($BM474="","",$BM474+2*ROSide)</f>
        <v/>
      </c>
      <c r="BP474" s="86">
        <f>IF($BN474="","",$BN474+ROTop)</f>
        <v/>
      </c>
      <c r="BQ474" s="87">
        <f>IF(OR(N($BJ474)=0,$BH474=""),"",$BH474/$BJ474-ClearDeduct)</f>
        <v/>
      </c>
      <c r="BR474" s="84">
        <f>IF(N($CH474)=0,"",IF($CH474&gt;=180,"A · 3 HR",IF($CH474&gt;=90,"B · 1-1/2 HR",IF($CH474&gt;=60,"B · 1 HR",IF($CH474&gt;=45,"C · 3/4 HR","20 MIN")))))&amp;IF(AND(N($CH474)&gt;0,OR($I474="CORRIDOR",$I474="SMOKE BARRIER"))," · S","")</f>
        <v/>
      </c>
      <c r="BS474" s="84">
        <f>IF($CS474,"",IF($AV474&lt;&gt;"",$AV474,IF(OR($AC474="HGC",$AO474="HGC"),"CONT",IF(($BI474-HeadClr-Undercut)&lt;=60,2,IF(($BI474-HeadClr-Undercut)&lt;=90,3,IF(($BI474-HeadClr-Undercut)&lt;=120,4,5))))))</f>
        <v/>
      </c>
      <c r="BT474" s="84">
        <f>IF($CS474,"",IF($CT474,"CUSTOM (typed)",IF($CV474,$AT474&amp;" "&amp;$CU474&amp;CHAR(34)&amp;IF($CU474&lt;&gt;$BI474,IF(AND($BI474&lt;$CU474,$BI474-IF(N(VLOOKUP($AT474&amp;"|"&amp;$CU474,LocTable,7,FALSE))&gt;0,VLOOKUP($AT474&amp;"|"&amp;$CU474,LocTable,7,FALSE),VLOOKUP($AT474&amp;"|"&amp;$CU474,LocTable,6,FALSE))-$CR474-0.75&gt;=2.125)," cut down"," adj."),""),"ANSI/SDI A250.6")))</f>
        <v/>
      </c>
      <c r="BU474" s="88">
        <f>IF($CS474,"",IF($CT474,IF(N($AW474)&gt;0,N($AW474),""),IF(1&gt;$CQ474,"",IF($CQ474=1,$CW474,$CW474+($CX474-$CW474)*0/($CQ474-1)))))</f>
        <v/>
      </c>
      <c r="BV474" s="88">
        <f>IF($CS474,"",IF($CT474,IF(N($AX474)&gt;0,N($AX474),""),IF(2&gt;$CQ474,"",IF($CQ474=1,$CW474,$CW474+($CX474-$CW474)*1/($CQ474-1)))))</f>
        <v/>
      </c>
      <c r="BW474" s="88">
        <f>IF($CS474,"",IF($CT474,IF(N($AY474)&gt;0,N($AY474),""),IF(3&gt;$CQ474,"",IF($CQ474=1,$CW474,$CW474+($CX474-$CW474)*2/($CQ474-1)))))</f>
        <v/>
      </c>
      <c r="BX474" s="88">
        <f>IF($CS474,"",IF($CT474,IF(N($AZ474)&gt;0,N($AZ474),""),IF(4&gt;$CQ474,"",IF($CQ474=1,$CW474,$CW474+($CX474-$CW474)*3/($CQ474-1)))))</f>
        <v/>
      </c>
      <c r="BY474" s="88">
        <f>IF($CS474,"",IF($CT474,"",IF(5&gt;$CQ474,"",IF($CQ474=1,$CW474,$CW474+($CX474-$CW474)*4/($CQ474-1)))))</f>
        <v/>
      </c>
      <c r="BZ474" s="88">
        <f>IF(OR($CS474,$AP474="-",AND($AP474="",$AD474="")),"",IF(N($BA474)&gt;0,N($BA474),IF($CV474,IF(AND($BI474&lt;$CU474,$BI474-IF(N(VLOOKUP($AT474&amp;"|"&amp;$CU474,LocTable,7,FALSE))&gt;0,VLOOKUP($AT474&amp;"|"&amp;$CU474,LocTable,7,FALSE),VLOOKUP($AT474&amp;"|"&amp;$CU474,LocTable,6,FALSE))-$CR474-0.75&gt;=2.125),VLOOKUP($AT474&amp;"|"&amp;$CU474,LocTable,8,FALSE),VLOOKUP($AT474&amp;"|"&amp;$CU474,LocTable,8,FALSE)+($BI474-$CU474)),$BI474-LockAFF)))</f>
        <v/>
      </c>
      <c r="CA474" s="89">
        <f>IF($BZ474="","",$BI474-$BZ474)</f>
        <v/>
      </c>
      <c r="CB474" s="84">
        <f>IF(OR(NOT(AND($A474&lt;&gt;"",$C474&lt;&gt;"DOOR ONLY")),$BI474=""),"",IF(($BI474+IF(N($P474)&gt;0,$P474+FaceW,0))&lt;=90,3,IF(($BI474+IF(N($P474)&gt;0,$P474+FaceW,0))&lt;=114,4,5)))</f>
        <v/>
      </c>
      <c r="CC474" s="84">
        <f>IF($CB474="","",$CB474*(2+IF(N($Q474)&gt;0,IF($R474="LR",2,1),0)))</f>
        <v/>
      </c>
      <c r="CD474" s="84">
        <f>IF($CB474="","",(2+IF(N($Q474)&gt;0,IF($R474="LR",2,1),0)))</f>
        <v/>
      </c>
      <c r="CE474" s="84">
        <f>IF(N($BJ474)=0,"",IF(OR($AL474="",$AL474="FLUSH"),"FLUSH",IFERROR(LEFT($AL474,FIND("-",$AL474)-1),LEFT($AL474,2))))</f>
        <v/>
      </c>
      <c r="CF474" s="84">
        <f>IF($CE474="","",IFERROR(VALUE(MID($AL474,FIND("-",$AL474)+1,FIND(CHAR(34)&amp;"x",$AL474)-FIND("-",$AL474)-1)),0))</f>
        <v/>
      </c>
      <c r="CG474" s="84">
        <f>IF($CE474="","",IFERROR(VALUE(MID($AL474,FIND(CHAR(34)&amp;"x",$AL474)+2,FIND(CHAR(34),$AL474,FIND(CHAR(34)&amp;"x",$AL474)+2)-FIND(CHAR(34)&amp;"x",$AL474)-2)),0))</f>
        <v/>
      </c>
      <c r="CH474" s="90">
        <f>IF(OR($A474="",$H474="",$H474="NO LAB"),0,IFERROR(VALUE(LEFT($H474,FIND(" ",$H474)-1)),0))</f>
        <v/>
      </c>
      <c r="CI474" s="91">
        <f>IF(OR($A474="",$I474="",$I474="NON-RATED",N($J474)=0),"",IFERROR(VLOOKUP($I474&amp;"|"&amp;$J474,IBC,2,FALSE),"?"))</f>
        <v/>
      </c>
      <c r="CJ474" s="85">
        <f>IF(NOT(AND($A474&lt;&gt;"",$C474&lt;&gt;"DOOR ONLY")),"",TRIM(IFERROR(VLOOKUP($U474,CODES,2,FALSE),"")&amp;" "&amp;$BG474&amp;" "&amp;IFERROR(VLOOKUP($Z474,CODES,2,FALSE),"")&amp;" "&amp;IFERROR(VLOOKUP($X474,CODES,2,FALSE),"")&amp;" "&amp;IFERROR(VLOOKUP($S474,CODES,2,FALSE),"")&amp;IF(N($P474)&gt;0," w/TRANSOM "&amp;$P474&amp;CHAR(34),"")&amp;IF(N($Q474)&gt;0," w/SIDELITE "&amp;$Q474&amp;CHAR(34)&amp;" "&amp;IF($R474="","R",$R474),"")&amp;IF($Y474="","  |  "," | "&amp;IFERROR(VLOOKUP($Y474,CODES,2,FALSE),"")&amp;" | ")&amp;IFERROR(VLOOKUP($AC474,CODES,2,FALSE),"")&amp;" "&amp;IFERROR(VLOOKUP($AD474,CODES,2,FALSE),"")&amp;IF(OR($AE474="",$AE474="-"),""," "&amp;$AE474)&amp;IF(OR($AF474="",$AF474="-"),""," "&amp;$AF474)&amp;IF($AB474="Y"," 4"&amp;CHAR(34)&amp;" HEAD","")&amp;" "&amp;IFERROR(VLOOKUP($H474,CODES,2,FALSE),"")&amp;IF($CT474," | LOC "&amp;$CY474,"")))</f>
        <v/>
      </c>
      <c r="CK474" s="85">
        <f>IF(NOT(AND($A474&lt;&gt;"",N($BJ474)&gt;0)),"",TRIM(IFERROR(VLOOKUP($AH474,CODES,2,FALSE),"")&amp;IF($AI474=""," "," "&amp;$AI474&amp;"GA ")&amp;$BG474&amp;" "&amp;IF($AN474="",IFERROR(VLOOKUP($Z474,CODES,2,FALSE),""),IFERROR(VLOOKUP($AN474,CODES,2,FALSE),""))&amp;IF($BJ474=2," PAIR","")&amp;" DOOR | "&amp;IF($AL474="","?",$AL474)&amp;" | "&amp;IF($AO474="",IFERROR(VLOOKUP($AC474,CODES,2,FALSE),""),IFERROR(VLOOKUP($AO474,CODES,2,FALSE),""))&amp;" "&amp;IFERROR(VLOOKUP($AP474,CODES,2,FALSE),"")&amp;IF(OR($AQ474="",$AQ474="-"),""," SEAM "&amp;$AQ474)&amp;IF($AR474="Y"," ASTRAGAL","")&amp;IF($AJ474=""," "," "&amp;$AJ474)&amp;IF($AK474=""," "," "&amp;$AK474)&amp;IF(OR($AT474="",$AT474="ANSI/SDI",$AT474="CUSTOM LOC"),""," "&amp;$AT474)&amp;IF($AM474=""," "," SERIES "&amp;$AM474)&amp;" "&amp;IFERROR(VLOOKUP($H474,CODES,2,FALSE),"")&amp;IF($CT474," | LOC "&amp;$CZ474,"")))</f>
        <v/>
      </c>
      <c r="CL474" s="84">
        <f>IF(CP474="","",IF(COUNTIF($CP$6:CP474,CP474)=1,MAX($CL$5:CL473)+1,INDEX($CL$5:CL473,MATCH(CP474,$CP$5:CP473,0))))</f>
        <v/>
      </c>
      <c r="CM474" s="84">
        <f>IF(NOT(AND($A474&lt;&gt;"",$C474&lt;&gt;"DOOR ONLY")),"",MAX($CM$5:CM473)+1)</f>
        <v/>
      </c>
      <c r="CN474" s="84">
        <f>IF(NOT(AND($A474&lt;&gt;"",N($BJ474)&gt;0)),"",MAX($CN$5:CN473)+1)</f>
        <v/>
      </c>
      <c r="CO474" s="84">
        <f>IF($A474="","",MAX($CO$5:CO473)+1)</f>
        <v/>
      </c>
      <c r="CP474" s="84">
        <f>IF(OR($A474="",$BH474="",$BI474=""),"",$BG474&amp;"|"&amp;$O474&amp;"|"&amp;$AL474&amp;"|"&amp;$S474&amp;"|"&amp;$P474&amp;"|"&amp;$Q474&amp;$R474&amp;"|"&amp;$C474&amp;"|"&amp;$AB474)</f>
        <v/>
      </c>
      <c r="CQ474" s="84">
        <f>N($BS474)</f>
        <v/>
      </c>
      <c r="CR474" s="84">
        <f>IF(N($AU474)&gt;0,N($AU474),4.5)</f>
        <v/>
      </c>
      <c r="CS474" s="84">
        <f>OR($A474="",$BI474="",$S474="BL",AND($C474="FRAME ONLY",OR($AC474="",$AC474="BLK")))</f>
        <v/>
      </c>
      <c r="CT474" s="84">
        <f>AND(NOT($CS474),OR($AT474="CUSTOM LOC",N($AW474)+N($AX474)+N($AY474)+N($AZ474)+N($BA474)&gt;0))</f>
        <v/>
      </c>
      <c r="CU474" s="84">
        <f>IF($BI474="","",IF($BI474&lt;=80,80,IF($BI474&lt;=84,84,96)))</f>
        <v/>
      </c>
      <c r="CV474" s="84">
        <f>ISNUMBER(MATCH($AT474&amp;"|80",LocKeys,0))</f>
        <v/>
      </c>
      <c r="CW474" s="86">
        <f>IF($CS474,"",IF($CV474,VLOOKUP($AT474&amp;"|"&amp;$CU474,LocTable,4,FALSE),5))</f>
        <v/>
      </c>
      <c r="CX474" s="86">
        <f>IF($CS474,"",IF($CV474,IF(OR($BI474=$CU474,AND($BI474&lt;$CU474,$BI474-IF(N(VLOOKUP($AT474&amp;"|"&amp;$CU474,LocTable,7,FALSE))&gt;0,VLOOKUP($AT474&amp;"|"&amp;$CU474,LocTable,7,FALSE),VLOOKUP($AT474&amp;"|"&amp;$CU474,LocTable,6,FALSE))-$CR474-0.75&gt;=2.125)),IF(N(VLOOKUP($AT474&amp;"|"&amp;$CU474,LocTable,7,FALSE))&gt;0,VLOOKUP($AT474&amp;"|"&amp;$CU474,LocTable,7,FALSE),VLOOKUP($AT474&amp;"|"&amp;$CU474,LocTable,6,FALSE)),$BI474-($CU474-IF(N(VLOOKUP($AT474&amp;"|"&amp;$CU474,LocTable,7,FALSE))&gt;0,VLOOKUP($AT474&amp;"|"&amp;$CU474,LocTable,7,FALSE),VLOOKUP($AT474&amp;"|"&amp;$CU474,LocTable,6,FALSE)))),$BI474-10-$CR474))</f>
        <v/>
      </c>
      <c r="CY474" s="85">
        <f>IF($CS474,"",TRIM(IF(ISNUMBER($BU474),"A "&amp;TRIM(TEXT($BU474,"# ?/??"))&amp;CHAR(34)&amp;"  ","")&amp;IF(ISNUMBER($BV474),"B "&amp;TRIM(TEXT($BV474,"# ?/??"))&amp;CHAR(34)&amp;"  ","")&amp;IF(ISNUMBER($BW474),"C "&amp;TRIM(TEXT($BW474,"# ?/??"))&amp;CHAR(34)&amp;"  ","")&amp;IF(ISNUMBER($BX474),"D "&amp;TRIM(TEXT($BX474,"# ?/??"))&amp;CHAR(34)&amp;"  ","")&amp;IF(ISNUMBER($BY474),"F "&amp;TRIM(TEXT($BY474,"# ?/??"))&amp;CHAR(34)&amp;"  ","")&amp;IF(ISNUMBER($BZ474),"E "&amp;TRIM(TEXT($BZ474,"# ?/??"))&amp;CHAR(34)&amp;"  ","")))</f>
        <v/>
      </c>
      <c r="CZ474" s="85">
        <f>IF(OR($CS474,N($BJ474)=0),"",TRIM(IF(ISNUMBER($BU474),"A "&amp;TRIM(TEXT($BU474-HeadClr,"# ?/??"))&amp;CHAR(34)&amp;"  ","")&amp;IF(ISNUMBER($BV474),"B "&amp;TRIM(TEXT($BV474-HeadClr,"# ?/??"))&amp;CHAR(34)&amp;"  ","")&amp;IF(ISNUMBER($BW474),"C "&amp;TRIM(TEXT($BW474-HeadClr,"# ?/??"))&amp;CHAR(34)&amp;"  ","")&amp;IF(ISNUMBER($BX474),"D "&amp;TRIM(TEXT($BX474-HeadClr,"# ?/??"))&amp;CHAR(34)&amp;"  ","")&amp;IF(ISNUMBER($BY474),"F "&amp;TRIM(TEXT($BY474-HeadClr,"# ?/??"))&amp;CHAR(34)&amp;"  ","")&amp;IF(ISNUMBER($BZ474),"E "&amp;TRIM(TEXT($BZ474-HeadClr,"# ?/??"))&amp;CHAR(34)&amp;"  ","")))</f>
        <v/>
      </c>
      <c r="DA474" s="84">
        <f>IF($A474="","",IF($AN474="",IFERROR(VLOOKUP($Z474,CODES,2,FALSE),""),IFERROR(VLOOKUP($AN474,CODES,2,FALSE),"")))</f>
        <v/>
      </c>
      <c r="DB474" s="84">
        <f>IF($A474="","",IF($O474="Y","PR",IF(OR($Z474="L",$Z474="RR",LEFT($Z474,2)="L-",LEFT($Z474,3)="RR-"),"LH","RH")))</f>
        <v/>
      </c>
      <c r="DC474" s="84">
        <f>IF($A474="","","S.HM"&amp;IF(OR($C474="DOOR ONLY",$X474&lt;&gt;"KD"),"MASONRY","DRYWALL")&amp;IF($C474="DOOR ONLY","",$U474)&amp;IF(AND($C474&lt;&gt;"FRAME ONLY",OR(LEFT($AH474,3)="OAK",LEFT($AH474,3)="BIR",LEFT($AH474,3)="MAP",$AH474="PC",$AH474="MC",$AH474="SCLC",$AH474="P-LAM")),"WD","HM")&amp;"1.75")</f>
        <v/>
      </c>
      <c r="DD474" s="84">
        <f>IF($CJ474="","",IF($O474="Y",$CJ474,SUBSTITUTE($CJ474,$BG474&amp;" "&amp;IFERROR(VLOOKUP($Z474,CODES,2,FALSE),"")&amp;" ",$BG474&amp;" ")))</f>
        <v/>
      </c>
      <c r="DE474" s="84">
        <f>IF($CK474="","",IF($O474="Y",$CK474,SUBSTITUTE($CK474,$BG474&amp;" "&amp;IF($AN474="",IFERROR(VLOOKUP($Z474,CODES,2,FALSE),""),IFERROR(VLOOKUP($AN474,CODES,2,FALSE),""))&amp;" ",$BG474&amp;" ")))</f>
        <v/>
      </c>
      <c r="DF474" s="84">
        <f>IF($CJ474="","",$DC474&amp;"|"&amp;$DD474&amp;"|"&amp;$DB474&amp;"|"&amp;$AT474&amp;"|"&amp;$V474&amp;"|"&amp;$Y474&amp;"|"&amp;$AB474)</f>
        <v/>
      </c>
      <c r="DG474" s="84">
        <f>IF(DF474="","",IF(COUNTIF($DF$6:DF474,DF474)=1,MAX($DG$5:DG473)+1,INDEX($DG$5:DG473,MATCH(DF474,$DF$5:DF473,0))))</f>
        <v/>
      </c>
      <c r="DH474" s="84">
        <f>IF($CK474="","",$DC474&amp;"|"&amp;$DE474&amp;"|"&amp;$AI474&amp;"|"&amp;$BK474&amp;"|"&amp;$BL474)</f>
        <v/>
      </c>
      <c r="DI474" s="84">
        <f>IF(DH474="","",IF(COUNTIF($DH$6:DH474,DH474)=1,MAX($DI$5:DI473)+1,INDEX($DI$5:DI473,MATCH(DH474,$DH$5:DH473,0))))</f>
        <v/>
      </c>
      <c r="DJ474" s="84">
        <f>IF($A474="","",IF($B474="","qty, ","")&amp;IF($C474="","scope, ","")&amp;IF(OR($K474="",$M474=""),"size, ","")&amp;IF(AND($A474&lt;&gt;"",$C474&lt;&gt;"DOOR ONLY"),IF($U474="","jamb depth, ","")&amp;IF($X474="","construction, ","")&amp;IF($Y474="","anchor, ","")&amp;IF($S474="","frame type, ",""),"")&amp;IF(AND(N($BJ474)&gt;0,$Z474=""),"hand, ","")&amp;IF(N($BJ474)&gt;0,IF($AH474="","door material, ","")&amp;IF($AL474="","face type, ","")&amp;IF($AP474="","lock prep, ","")&amp;IF(AND($AO474="",$AC474=""),"hinge prep, ",""),"")&amp;IF(AND($CH474&gt;0,$AH474="FRP"),"FRP cannot carry a label, ","")&amp;IF(AND($O474="Y",OR($Z474="L",$Z474="R",$Z474="LR",$Z474="RR")),"pair marked but hand is single, ","")&amp;IF(AND($O474&lt;&gt;"Y",OR($Z474="PR",AND(LEN($Z474)&gt;1,ISNUMBER(SEARCH("-",$Z474))))),"pair hand on a single door, ","")&amp;IF(AND(ISNUMBER($CI474),$CH474&lt;N($CI474)),"wall needs a "&amp;$CI474&amp;" min door, ","")&amp;IF(AND($CH474&gt;=180,AND(OR($CE474="FG",$CE474="HG",$CE474="FNV",$CE474="FV"),N($CF474)*N($CG474)&gt;100)),"180 min lite over 100 sq in, ","")&amp;IF(N($BK474)&gt;48,"leaf wider than 4'-0"&amp;CHAR(34)&amp;", ","")&amp;IF(AND($CT474,COUNT($AW474:$AZ474)=0,$CQ474&gt;0),"CUSTOM LOC with no locations typed, ",""))</f>
        <v/>
      </c>
      <c r="DK474" s="84">
        <f>IF($A474="","",IF(AND($CH474&gt;0,AND($A474&lt;&gt;"",$C474&lt;&gt;"DOOR ONLY"),$X474="KD",$E474="EXTERIOR"),"KD label on an exterior opening, ","")&amp;IF(AND($E474="EXTERIOR",OR(AND(AND($A474&lt;&gt;"",$C474&lt;&gt;"DOOR ONLY"),$W474="CR"),AND(N($BJ474)&gt;0,$AH474="CR"))),"exterior in CR steel (G9?), ","")&amp;IF(AND(ISNUMBER($BQ474),N($BQ474)&lt;32),"clear width ~"&amp;TEXT($BQ474,"0.0")&amp;CHAR(34)&amp;" under 32"&amp;CHAR(34)&amp;" (ADA), ","")&amp;IF(AND($CH474=90,AND(OR($CE474="FG",$CE474="HG",$CE474="FNV",$CE474="FV"),N($CF474)*N($CG474)&gt;100)),"90 min lite over 100 sq in (stair/exit), ","")&amp;IF(AND($CH474&gt;0,AND($A474&lt;&gt;"",$C474&lt;&gt;"DOOR ONLY"),OR($AF474="",$AF474="-")),"rated: closer reinf.?, ","")&amp;IF(OR($I474="CORRIDOR",$I474="SMOKE BARRIER"),"S label + smoke gasketing, ","")&amp;IF($CI474="?","wall type/hr not in IBC table, ","")&amp;IF(AND(N($BJ474)&gt;0,$BB474=""),"no hardware set, ","")&amp;IF(AND($BB474&lt;&gt;"",ISNA(MATCH($BB474&amp;"",HWSets,0))),"set "&amp;$BB474&amp;" not on HW Sets, ","")&amp;IF(N($BL474)&gt;96,"leaf over 8'-0"&amp;CHAR(34)&amp;" - check listing, ","")&amp;IF(AND($CT474,COUNT($AW474:$AZ474)&gt;0,COUNT($AW474:$AZ474)&lt;&gt;$CQ474),COUNT($AW474:$AZ474)&amp;" custom hinges typed, "&amp;$CQ474&amp;" expected, ","")&amp;IF(AND(ISNUMBER($CA474),OR(N($CA474)&lt;34,N($CA474)&gt;48)),"lock "&amp;TEXT($CA474,"0.0")&amp;CHAR(34)&amp;" AFF outside 34-48"&amp;CHAR(34)&amp;" (ADA), ","")&amp;IF(AND(ISNUMBER($AV474),ISNUMBER($BL474),N($AV474)&lt;IF(N($BL474)&lt;=60,2,IF(N($BL474)&lt;=90,3,IF(N($BL474)&lt;=120,4,5)))),"fewer hinges than standard, ",""))</f>
        <v/>
      </c>
    </row>
    <row r="475" ht="15" customHeight="1">
      <c r="A475" s="92" t="n"/>
      <c r="B475" s="93" t="n"/>
      <c r="C475" s="93" t="n"/>
      <c r="D475" s="93" t="n"/>
      <c r="E475" s="93" t="n"/>
      <c r="F475" s="93" t="n"/>
      <c r="G475" s="93" t="n"/>
      <c r="H475" s="93" t="n"/>
      <c r="I475" s="93" t="n"/>
      <c r="J475" s="93" t="n"/>
      <c r="K475" s="93" t="n"/>
      <c r="L475" s="93" t="n"/>
      <c r="M475" s="93" t="n"/>
      <c r="N475" s="93" t="n"/>
      <c r="O475" s="93" t="n"/>
      <c r="P475" s="93" t="n"/>
      <c r="Q475" s="93" t="n"/>
      <c r="R475" s="93" t="n"/>
      <c r="S475" s="94" t="n"/>
      <c r="T475" s="94" t="n"/>
      <c r="U475" s="94" t="n"/>
      <c r="V475" s="94" t="n"/>
      <c r="W475" s="94" t="n"/>
      <c r="X475" s="94" t="n"/>
      <c r="Y475" s="94" t="n"/>
      <c r="Z475" s="94" t="n"/>
      <c r="AA475" s="94" t="n"/>
      <c r="AB475" s="94" t="n"/>
      <c r="AC475" s="94" t="n"/>
      <c r="AD475" s="94" t="n"/>
      <c r="AE475" s="94" t="n"/>
      <c r="AF475" s="94" t="n"/>
      <c r="AG475" s="94" t="n"/>
      <c r="AH475" s="95" t="n"/>
      <c r="AI475" s="95" t="n"/>
      <c r="AJ475" s="95" t="n"/>
      <c r="AK475" s="95" t="n"/>
      <c r="AL475" s="95" t="n"/>
      <c r="AM475" s="95" t="n"/>
      <c r="AN475" s="95" t="n"/>
      <c r="AO475" s="95" t="n"/>
      <c r="AP475" s="95" t="n"/>
      <c r="AQ475" s="95" t="n"/>
      <c r="AR475" s="95" t="n"/>
      <c r="AS475" s="95" t="n"/>
      <c r="AT475" s="96" t="n"/>
      <c r="AU475" s="96" t="n"/>
      <c r="AV475" s="96" t="n"/>
      <c r="AW475" s="97" t="n"/>
      <c r="AX475" s="97" t="n"/>
      <c r="AY475" s="97" t="n"/>
      <c r="AZ475" s="97" t="n"/>
      <c r="BA475" s="97" t="n"/>
      <c r="BB475" s="98" t="n"/>
      <c r="BC475" s="98" t="n"/>
      <c r="BD475" s="99">
        <f>IF($A475="","",IF($DJ475&lt;&gt;"","FIX",IF($DK475&lt;&gt;"","CHECK","OK")))</f>
        <v/>
      </c>
      <c r="BE475" s="100">
        <f>IF($A475="","",IF($DJ475&lt;&gt;"","FIX: "&amp;LEFT($DJ475,LEN($DJ475)-2)&amp;IF($DK475&lt;&gt;"","  ·  ",""),"")&amp;IF($DK475&lt;&gt;"","CHECK: "&amp;LEFT($DK475,LEN($DK475)-2),""))</f>
        <v/>
      </c>
      <c r="BF475" s="99">
        <f>IF(OR($A475="",$K475=""),"",$K475&amp;"'-"&amp;N($L475)&amp;CHAR(34)&amp;" x "&amp;$M475&amp;"'-"&amp;N($N475)&amp;CHAR(34))</f>
        <v/>
      </c>
      <c r="BG475" s="99">
        <f>IF(OR($A475="",$K475=""),"",$K475&amp;N($L475)&amp;$M475&amp;N($N475))</f>
        <v/>
      </c>
      <c r="BH475" s="99">
        <f>IF(OR($A475="",$K475=""),"",$K475*12+N($L475))</f>
        <v/>
      </c>
      <c r="BI475" s="99">
        <f>IF(OR($A475="",$M475=""),"",$M475*12+N($N475))</f>
        <v/>
      </c>
      <c r="BJ475" s="99">
        <f>IF($A475="","",IF(OR($C475="FRAME ONLY",$S475="BL"),0,IF($O475="Y",2,1)))</f>
        <v/>
      </c>
      <c r="BK475" s="101">
        <f>IF(OR(N($BJ475)=0,$BH475=""),"",($BH475-2*EdgeClr-IF($BJ475=2,MeetClr,0))/$BJ475)</f>
        <v/>
      </c>
      <c r="BL475" s="101">
        <f>IF(OR(N($BJ475)=0,$BI475=""),"",$BI475-HeadClr-Undercut)</f>
        <v/>
      </c>
      <c r="BM475" s="101">
        <f>IF($BH475="","",$BH475+2*FaceW+IF(N($Q475)&gt;0,($Q475+FaceW)*IF($R475="LR",2,1),0))</f>
        <v/>
      </c>
      <c r="BN475" s="101">
        <f>IF($BI475="","",$BI475+IF($AB475="Y",4,FaceW)+IF(N($P475)&gt;0,$P475+FaceW,0)+IF(OR($S475="4F",$S475="BL"),FaceW,0))</f>
        <v/>
      </c>
      <c r="BO475" s="101">
        <f>IF($BM475="","",$BM475+2*ROSide)</f>
        <v/>
      </c>
      <c r="BP475" s="101">
        <f>IF($BN475="","",$BN475+ROTop)</f>
        <v/>
      </c>
      <c r="BQ475" s="102">
        <f>IF(OR(N($BJ475)=0,$BH475=""),"",$BH475/$BJ475-ClearDeduct)</f>
        <v/>
      </c>
      <c r="BR475" s="99">
        <f>IF(N($CH475)=0,"",IF($CH475&gt;=180,"A · 3 HR",IF($CH475&gt;=90,"B · 1-1/2 HR",IF($CH475&gt;=60,"B · 1 HR",IF($CH475&gt;=45,"C · 3/4 HR","20 MIN")))))&amp;IF(AND(N($CH475)&gt;0,OR($I475="CORRIDOR",$I475="SMOKE BARRIER"))," · S","")</f>
        <v/>
      </c>
      <c r="BS475" s="99">
        <f>IF($CS475,"",IF($AV475&lt;&gt;"",$AV475,IF(OR($AC475="HGC",$AO475="HGC"),"CONT",IF(($BI475-HeadClr-Undercut)&lt;=60,2,IF(($BI475-HeadClr-Undercut)&lt;=90,3,IF(($BI475-HeadClr-Undercut)&lt;=120,4,5))))))</f>
        <v/>
      </c>
      <c r="BT475" s="99">
        <f>IF($CS475,"",IF($CT475,"CUSTOM (typed)",IF($CV475,$AT475&amp;" "&amp;$CU475&amp;CHAR(34)&amp;IF($CU475&lt;&gt;$BI475,IF(AND($BI475&lt;$CU475,$BI475-IF(N(VLOOKUP($AT475&amp;"|"&amp;$CU475,LocTable,7,FALSE))&gt;0,VLOOKUP($AT475&amp;"|"&amp;$CU475,LocTable,7,FALSE),VLOOKUP($AT475&amp;"|"&amp;$CU475,LocTable,6,FALSE))-$CR475-0.75&gt;=2.125)," cut down"," adj."),""),"ANSI/SDI A250.6")))</f>
        <v/>
      </c>
      <c r="BU475" s="103">
        <f>IF($CS475,"",IF($CT475,IF(N($AW475)&gt;0,N($AW475),""),IF(1&gt;$CQ475,"",IF($CQ475=1,$CW475,$CW475+($CX475-$CW475)*0/($CQ475-1)))))</f>
        <v/>
      </c>
      <c r="BV475" s="103">
        <f>IF($CS475,"",IF($CT475,IF(N($AX475)&gt;0,N($AX475),""),IF(2&gt;$CQ475,"",IF($CQ475=1,$CW475,$CW475+($CX475-$CW475)*1/($CQ475-1)))))</f>
        <v/>
      </c>
      <c r="BW475" s="103">
        <f>IF($CS475,"",IF($CT475,IF(N($AY475)&gt;0,N($AY475),""),IF(3&gt;$CQ475,"",IF($CQ475=1,$CW475,$CW475+($CX475-$CW475)*2/($CQ475-1)))))</f>
        <v/>
      </c>
      <c r="BX475" s="103">
        <f>IF($CS475,"",IF($CT475,IF(N($AZ475)&gt;0,N($AZ475),""),IF(4&gt;$CQ475,"",IF($CQ475=1,$CW475,$CW475+($CX475-$CW475)*3/($CQ475-1)))))</f>
        <v/>
      </c>
      <c r="BY475" s="103">
        <f>IF($CS475,"",IF($CT475,"",IF(5&gt;$CQ475,"",IF($CQ475=1,$CW475,$CW475+($CX475-$CW475)*4/($CQ475-1)))))</f>
        <v/>
      </c>
      <c r="BZ475" s="103">
        <f>IF(OR($CS475,$AP475="-",AND($AP475="",$AD475="")),"",IF(N($BA475)&gt;0,N($BA475),IF($CV475,IF(AND($BI475&lt;$CU475,$BI475-IF(N(VLOOKUP($AT475&amp;"|"&amp;$CU475,LocTable,7,FALSE))&gt;0,VLOOKUP($AT475&amp;"|"&amp;$CU475,LocTable,7,FALSE),VLOOKUP($AT475&amp;"|"&amp;$CU475,LocTable,6,FALSE))-$CR475-0.75&gt;=2.125),VLOOKUP($AT475&amp;"|"&amp;$CU475,LocTable,8,FALSE),VLOOKUP($AT475&amp;"|"&amp;$CU475,LocTable,8,FALSE)+($BI475-$CU475)),$BI475-LockAFF)))</f>
        <v/>
      </c>
      <c r="CA475" s="104">
        <f>IF($BZ475="","",$BI475-$BZ475)</f>
        <v/>
      </c>
      <c r="CB475" s="99">
        <f>IF(OR(NOT(AND($A475&lt;&gt;"",$C475&lt;&gt;"DOOR ONLY")),$BI475=""),"",IF(($BI475+IF(N($P475)&gt;0,$P475+FaceW,0))&lt;=90,3,IF(($BI475+IF(N($P475)&gt;0,$P475+FaceW,0))&lt;=114,4,5)))</f>
        <v/>
      </c>
      <c r="CC475" s="99">
        <f>IF($CB475="","",$CB475*(2+IF(N($Q475)&gt;0,IF($R475="LR",2,1),0)))</f>
        <v/>
      </c>
      <c r="CD475" s="99">
        <f>IF($CB475="","",(2+IF(N($Q475)&gt;0,IF($R475="LR",2,1),0)))</f>
        <v/>
      </c>
      <c r="CE475" s="99">
        <f>IF(N($BJ475)=0,"",IF(OR($AL475="",$AL475="FLUSH"),"FLUSH",IFERROR(LEFT($AL475,FIND("-",$AL475)-1),LEFT($AL475,2))))</f>
        <v/>
      </c>
      <c r="CF475" s="99">
        <f>IF($CE475="","",IFERROR(VALUE(MID($AL475,FIND("-",$AL475)+1,FIND(CHAR(34)&amp;"x",$AL475)-FIND("-",$AL475)-1)),0))</f>
        <v/>
      </c>
      <c r="CG475" s="99">
        <f>IF($CE475="","",IFERROR(VALUE(MID($AL475,FIND(CHAR(34)&amp;"x",$AL475)+2,FIND(CHAR(34),$AL475,FIND(CHAR(34)&amp;"x",$AL475)+2)-FIND(CHAR(34)&amp;"x",$AL475)-2)),0))</f>
        <v/>
      </c>
      <c r="CH475" s="105">
        <f>IF(OR($A475="",$H475="",$H475="NO LAB"),0,IFERROR(VALUE(LEFT($H475,FIND(" ",$H475)-1)),0))</f>
        <v/>
      </c>
      <c r="CI475" s="106">
        <f>IF(OR($A475="",$I475="",$I475="NON-RATED",N($J475)=0),"",IFERROR(VLOOKUP($I475&amp;"|"&amp;$J475,IBC,2,FALSE),"?"))</f>
        <v/>
      </c>
      <c r="CJ475" s="100">
        <f>IF(NOT(AND($A475&lt;&gt;"",$C475&lt;&gt;"DOOR ONLY")),"",TRIM(IFERROR(VLOOKUP($U475,CODES,2,FALSE),"")&amp;" "&amp;$BG475&amp;" "&amp;IFERROR(VLOOKUP($Z475,CODES,2,FALSE),"")&amp;" "&amp;IFERROR(VLOOKUP($X475,CODES,2,FALSE),"")&amp;" "&amp;IFERROR(VLOOKUP($S475,CODES,2,FALSE),"")&amp;IF(N($P475)&gt;0," w/TRANSOM "&amp;$P475&amp;CHAR(34),"")&amp;IF(N($Q475)&gt;0," w/SIDELITE "&amp;$Q475&amp;CHAR(34)&amp;" "&amp;IF($R475="","R",$R475),"")&amp;IF($Y475="","  |  "," | "&amp;IFERROR(VLOOKUP($Y475,CODES,2,FALSE),"")&amp;" | ")&amp;IFERROR(VLOOKUP($AC475,CODES,2,FALSE),"")&amp;" "&amp;IFERROR(VLOOKUP($AD475,CODES,2,FALSE),"")&amp;IF(OR($AE475="",$AE475="-"),""," "&amp;$AE475)&amp;IF(OR($AF475="",$AF475="-"),""," "&amp;$AF475)&amp;IF($AB475="Y"," 4"&amp;CHAR(34)&amp;" HEAD","")&amp;" "&amp;IFERROR(VLOOKUP($H475,CODES,2,FALSE),"")&amp;IF($CT475," | LOC "&amp;$CY475,"")))</f>
        <v/>
      </c>
      <c r="CK475" s="100">
        <f>IF(NOT(AND($A475&lt;&gt;"",N($BJ475)&gt;0)),"",TRIM(IFERROR(VLOOKUP($AH475,CODES,2,FALSE),"")&amp;IF($AI475=""," "," "&amp;$AI475&amp;"GA ")&amp;$BG475&amp;" "&amp;IF($AN475="",IFERROR(VLOOKUP($Z475,CODES,2,FALSE),""),IFERROR(VLOOKUP($AN475,CODES,2,FALSE),""))&amp;IF($BJ475=2," PAIR","")&amp;" DOOR | "&amp;IF($AL475="","?",$AL475)&amp;" | "&amp;IF($AO475="",IFERROR(VLOOKUP($AC475,CODES,2,FALSE),""),IFERROR(VLOOKUP($AO475,CODES,2,FALSE),""))&amp;" "&amp;IFERROR(VLOOKUP($AP475,CODES,2,FALSE),"")&amp;IF(OR($AQ475="",$AQ475="-"),""," SEAM "&amp;$AQ475)&amp;IF($AR475="Y"," ASTRAGAL","")&amp;IF($AJ475=""," "," "&amp;$AJ475)&amp;IF($AK475=""," "," "&amp;$AK475)&amp;IF(OR($AT475="",$AT475="ANSI/SDI",$AT475="CUSTOM LOC"),""," "&amp;$AT475)&amp;IF($AM475=""," "," SERIES "&amp;$AM475)&amp;" "&amp;IFERROR(VLOOKUP($H475,CODES,2,FALSE),"")&amp;IF($CT475," | LOC "&amp;$CZ475,"")))</f>
        <v/>
      </c>
      <c r="CL475" s="99">
        <f>IF(CP475="","",IF(COUNTIF($CP$6:CP475,CP475)=1,MAX($CL$5:CL474)+1,INDEX($CL$5:CL474,MATCH(CP475,$CP$5:CP474,0))))</f>
        <v/>
      </c>
      <c r="CM475" s="99">
        <f>IF(NOT(AND($A475&lt;&gt;"",$C475&lt;&gt;"DOOR ONLY")),"",MAX($CM$5:CM474)+1)</f>
        <v/>
      </c>
      <c r="CN475" s="99">
        <f>IF(NOT(AND($A475&lt;&gt;"",N($BJ475)&gt;0)),"",MAX($CN$5:CN474)+1)</f>
        <v/>
      </c>
      <c r="CO475" s="99">
        <f>IF($A475="","",MAX($CO$5:CO474)+1)</f>
        <v/>
      </c>
      <c r="CP475" s="99">
        <f>IF(OR($A475="",$BH475="",$BI475=""),"",$BG475&amp;"|"&amp;$O475&amp;"|"&amp;$AL475&amp;"|"&amp;$S475&amp;"|"&amp;$P475&amp;"|"&amp;$Q475&amp;$R475&amp;"|"&amp;$C475&amp;"|"&amp;$AB475)</f>
        <v/>
      </c>
      <c r="CQ475" s="99">
        <f>N($BS475)</f>
        <v/>
      </c>
      <c r="CR475" s="99">
        <f>IF(N($AU475)&gt;0,N($AU475),4.5)</f>
        <v/>
      </c>
      <c r="CS475" s="99">
        <f>OR($A475="",$BI475="",$S475="BL",AND($C475="FRAME ONLY",OR($AC475="",$AC475="BLK")))</f>
        <v/>
      </c>
      <c r="CT475" s="99">
        <f>AND(NOT($CS475),OR($AT475="CUSTOM LOC",N($AW475)+N($AX475)+N($AY475)+N($AZ475)+N($BA475)&gt;0))</f>
        <v/>
      </c>
      <c r="CU475" s="99">
        <f>IF($BI475="","",IF($BI475&lt;=80,80,IF($BI475&lt;=84,84,96)))</f>
        <v/>
      </c>
      <c r="CV475" s="99">
        <f>ISNUMBER(MATCH($AT475&amp;"|80",LocKeys,0))</f>
        <v/>
      </c>
      <c r="CW475" s="101">
        <f>IF($CS475,"",IF($CV475,VLOOKUP($AT475&amp;"|"&amp;$CU475,LocTable,4,FALSE),5))</f>
        <v/>
      </c>
      <c r="CX475" s="101">
        <f>IF($CS475,"",IF($CV475,IF(OR($BI475=$CU475,AND($BI475&lt;$CU475,$BI475-IF(N(VLOOKUP($AT475&amp;"|"&amp;$CU475,LocTable,7,FALSE))&gt;0,VLOOKUP($AT475&amp;"|"&amp;$CU475,LocTable,7,FALSE),VLOOKUP($AT475&amp;"|"&amp;$CU475,LocTable,6,FALSE))-$CR475-0.75&gt;=2.125)),IF(N(VLOOKUP($AT475&amp;"|"&amp;$CU475,LocTable,7,FALSE))&gt;0,VLOOKUP($AT475&amp;"|"&amp;$CU475,LocTable,7,FALSE),VLOOKUP($AT475&amp;"|"&amp;$CU475,LocTable,6,FALSE)),$BI475-($CU475-IF(N(VLOOKUP($AT475&amp;"|"&amp;$CU475,LocTable,7,FALSE))&gt;0,VLOOKUP($AT475&amp;"|"&amp;$CU475,LocTable,7,FALSE),VLOOKUP($AT475&amp;"|"&amp;$CU475,LocTable,6,FALSE)))),$BI475-10-$CR475))</f>
        <v/>
      </c>
      <c r="CY475" s="100">
        <f>IF($CS475,"",TRIM(IF(ISNUMBER($BU475),"A "&amp;TRIM(TEXT($BU475,"# ?/??"))&amp;CHAR(34)&amp;"  ","")&amp;IF(ISNUMBER($BV475),"B "&amp;TRIM(TEXT($BV475,"# ?/??"))&amp;CHAR(34)&amp;"  ","")&amp;IF(ISNUMBER($BW475),"C "&amp;TRIM(TEXT($BW475,"# ?/??"))&amp;CHAR(34)&amp;"  ","")&amp;IF(ISNUMBER($BX475),"D "&amp;TRIM(TEXT($BX475,"# ?/??"))&amp;CHAR(34)&amp;"  ","")&amp;IF(ISNUMBER($BY475),"F "&amp;TRIM(TEXT($BY475,"# ?/??"))&amp;CHAR(34)&amp;"  ","")&amp;IF(ISNUMBER($BZ475),"E "&amp;TRIM(TEXT($BZ475,"# ?/??"))&amp;CHAR(34)&amp;"  ","")))</f>
        <v/>
      </c>
      <c r="CZ475" s="100">
        <f>IF(OR($CS475,N($BJ475)=0),"",TRIM(IF(ISNUMBER($BU475),"A "&amp;TRIM(TEXT($BU475-HeadClr,"# ?/??"))&amp;CHAR(34)&amp;"  ","")&amp;IF(ISNUMBER($BV475),"B "&amp;TRIM(TEXT($BV475-HeadClr,"# ?/??"))&amp;CHAR(34)&amp;"  ","")&amp;IF(ISNUMBER($BW475),"C "&amp;TRIM(TEXT($BW475-HeadClr,"# ?/??"))&amp;CHAR(34)&amp;"  ","")&amp;IF(ISNUMBER($BX475),"D "&amp;TRIM(TEXT($BX475-HeadClr,"# ?/??"))&amp;CHAR(34)&amp;"  ","")&amp;IF(ISNUMBER($BY475),"F "&amp;TRIM(TEXT($BY475-HeadClr,"# ?/??"))&amp;CHAR(34)&amp;"  ","")&amp;IF(ISNUMBER($BZ475),"E "&amp;TRIM(TEXT($BZ475-HeadClr,"# ?/??"))&amp;CHAR(34)&amp;"  ","")))</f>
        <v/>
      </c>
      <c r="DA475" s="99">
        <f>IF($A475="","",IF($AN475="",IFERROR(VLOOKUP($Z475,CODES,2,FALSE),""),IFERROR(VLOOKUP($AN475,CODES,2,FALSE),"")))</f>
        <v/>
      </c>
      <c r="DB475" s="99">
        <f>IF($A475="","",IF($O475="Y","PR",IF(OR($Z475="L",$Z475="RR",LEFT($Z475,2)="L-",LEFT($Z475,3)="RR-"),"LH","RH")))</f>
        <v/>
      </c>
      <c r="DC475" s="99">
        <f>IF($A475="","","S.HM"&amp;IF(OR($C475="DOOR ONLY",$X475&lt;&gt;"KD"),"MASONRY","DRYWALL")&amp;IF($C475="DOOR ONLY","",$U475)&amp;IF(AND($C475&lt;&gt;"FRAME ONLY",OR(LEFT($AH475,3)="OAK",LEFT($AH475,3)="BIR",LEFT($AH475,3)="MAP",$AH475="PC",$AH475="MC",$AH475="SCLC",$AH475="P-LAM")),"WD","HM")&amp;"1.75")</f>
        <v/>
      </c>
      <c r="DD475" s="99">
        <f>IF($CJ475="","",IF($O475="Y",$CJ475,SUBSTITUTE($CJ475,$BG475&amp;" "&amp;IFERROR(VLOOKUP($Z475,CODES,2,FALSE),"")&amp;" ",$BG475&amp;" ")))</f>
        <v/>
      </c>
      <c r="DE475" s="99">
        <f>IF($CK475="","",IF($O475="Y",$CK475,SUBSTITUTE($CK475,$BG475&amp;" "&amp;IF($AN475="",IFERROR(VLOOKUP($Z475,CODES,2,FALSE),""),IFERROR(VLOOKUP($AN475,CODES,2,FALSE),""))&amp;" ",$BG475&amp;" ")))</f>
        <v/>
      </c>
      <c r="DF475" s="99">
        <f>IF($CJ475="","",$DC475&amp;"|"&amp;$DD475&amp;"|"&amp;$DB475&amp;"|"&amp;$AT475&amp;"|"&amp;$V475&amp;"|"&amp;$Y475&amp;"|"&amp;$AB475)</f>
        <v/>
      </c>
      <c r="DG475" s="99">
        <f>IF(DF475="","",IF(COUNTIF($DF$6:DF475,DF475)=1,MAX($DG$5:DG474)+1,INDEX($DG$5:DG474,MATCH(DF475,$DF$5:DF474,0))))</f>
        <v/>
      </c>
      <c r="DH475" s="99">
        <f>IF($CK475="","",$DC475&amp;"|"&amp;$DE475&amp;"|"&amp;$AI475&amp;"|"&amp;$BK475&amp;"|"&amp;$BL475)</f>
        <v/>
      </c>
      <c r="DI475" s="99">
        <f>IF(DH475="","",IF(COUNTIF($DH$6:DH475,DH475)=1,MAX($DI$5:DI474)+1,INDEX($DI$5:DI474,MATCH(DH475,$DH$5:DH474,0))))</f>
        <v/>
      </c>
      <c r="DJ475" s="99">
        <f>IF($A475="","",IF($B475="","qty, ","")&amp;IF($C475="","scope, ","")&amp;IF(OR($K475="",$M475=""),"size, ","")&amp;IF(AND($A475&lt;&gt;"",$C475&lt;&gt;"DOOR ONLY"),IF($U475="","jamb depth, ","")&amp;IF($X475="","construction, ","")&amp;IF($Y475="","anchor, ","")&amp;IF($S475="","frame type, ",""),"")&amp;IF(AND(N($BJ475)&gt;0,$Z475=""),"hand, ","")&amp;IF(N($BJ475)&gt;0,IF($AH475="","door material, ","")&amp;IF($AL475="","face type, ","")&amp;IF($AP475="","lock prep, ","")&amp;IF(AND($AO475="",$AC475=""),"hinge prep, ",""),"")&amp;IF(AND($CH475&gt;0,$AH475="FRP"),"FRP cannot carry a label, ","")&amp;IF(AND($O475="Y",OR($Z475="L",$Z475="R",$Z475="LR",$Z475="RR")),"pair marked but hand is single, ","")&amp;IF(AND($O475&lt;&gt;"Y",OR($Z475="PR",AND(LEN($Z475)&gt;1,ISNUMBER(SEARCH("-",$Z475))))),"pair hand on a single door, ","")&amp;IF(AND(ISNUMBER($CI475),$CH475&lt;N($CI475)),"wall needs a "&amp;$CI475&amp;" min door, ","")&amp;IF(AND($CH475&gt;=180,AND(OR($CE475="FG",$CE475="HG",$CE475="FNV",$CE475="FV"),N($CF475)*N($CG475)&gt;100)),"180 min lite over 100 sq in, ","")&amp;IF(N($BK475)&gt;48,"leaf wider than 4'-0"&amp;CHAR(34)&amp;", ","")&amp;IF(AND($CT475,COUNT($AW475:$AZ475)=0,$CQ475&gt;0),"CUSTOM LOC with no locations typed, ",""))</f>
        <v/>
      </c>
      <c r="DK475" s="99">
        <f>IF($A475="","",IF(AND($CH475&gt;0,AND($A475&lt;&gt;"",$C475&lt;&gt;"DOOR ONLY"),$X475="KD",$E475="EXTERIOR"),"KD label on an exterior opening, ","")&amp;IF(AND($E475="EXTERIOR",OR(AND(AND($A475&lt;&gt;"",$C475&lt;&gt;"DOOR ONLY"),$W475="CR"),AND(N($BJ475)&gt;0,$AH475="CR"))),"exterior in CR steel (G9?), ","")&amp;IF(AND(ISNUMBER($BQ475),N($BQ475)&lt;32),"clear width ~"&amp;TEXT($BQ475,"0.0")&amp;CHAR(34)&amp;" under 32"&amp;CHAR(34)&amp;" (ADA), ","")&amp;IF(AND($CH475=90,AND(OR($CE475="FG",$CE475="HG",$CE475="FNV",$CE475="FV"),N($CF475)*N($CG475)&gt;100)),"90 min lite over 100 sq in (stair/exit), ","")&amp;IF(AND($CH475&gt;0,AND($A475&lt;&gt;"",$C475&lt;&gt;"DOOR ONLY"),OR($AF475="",$AF475="-")),"rated: closer reinf.?, ","")&amp;IF(OR($I475="CORRIDOR",$I475="SMOKE BARRIER"),"S label + smoke gasketing, ","")&amp;IF($CI475="?","wall type/hr not in IBC table, ","")&amp;IF(AND(N($BJ475)&gt;0,$BB475=""),"no hardware set, ","")&amp;IF(AND($BB475&lt;&gt;"",ISNA(MATCH($BB475&amp;"",HWSets,0))),"set "&amp;$BB475&amp;" not on HW Sets, ","")&amp;IF(N($BL475)&gt;96,"leaf over 8'-0"&amp;CHAR(34)&amp;" - check listing, ","")&amp;IF(AND($CT475,COUNT($AW475:$AZ475)&gt;0,COUNT($AW475:$AZ475)&lt;&gt;$CQ475),COUNT($AW475:$AZ475)&amp;" custom hinges typed, "&amp;$CQ475&amp;" expected, ","")&amp;IF(AND(ISNUMBER($CA475),OR(N($CA475)&lt;34,N($CA475)&gt;48)),"lock "&amp;TEXT($CA475,"0.0")&amp;CHAR(34)&amp;" AFF outside 34-48"&amp;CHAR(34)&amp;" (ADA), ","")&amp;IF(AND(ISNUMBER($AV475),ISNUMBER($BL475),N($AV475)&lt;IF(N($BL475)&lt;=60,2,IF(N($BL475)&lt;=90,3,IF(N($BL475)&lt;=120,4,5)))),"fewer hinges than standard, ",""))</f>
        <v/>
      </c>
    </row>
    <row r="476" ht="15" customHeight="1">
      <c r="A476" s="77" t="n"/>
      <c r="B476" s="78" t="n"/>
      <c r="C476" s="78" t="n"/>
      <c r="D476" s="78" t="n"/>
      <c r="E476" s="78" t="n"/>
      <c r="F476" s="78" t="n"/>
      <c r="G476" s="78" t="n"/>
      <c r="H476" s="78" t="n"/>
      <c r="I476" s="78" t="n"/>
      <c r="J476" s="78" t="n"/>
      <c r="K476" s="78" t="n"/>
      <c r="L476" s="78" t="n"/>
      <c r="M476" s="78" t="n"/>
      <c r="N476" s="78" t="n"/>
      <c r="O476" s="78" t="n"/>
      <c r="P476" s="78" t="n"/>
      <c r="Q476" s="78" t="n"/>
      <c r="R476" s="78" t="n"/>
      <c r="S476" s="79" t="n"/>
      <c r="T476" s="79" t="n"/>
      <c r="U476" s="79" t="n"/>
      <c r="V476" s="79" t="n"/>
      <c r="W476" s="79" t="n"/>
      <c r="X476" s="79" t="n"/>
      <c r="Y476" s="79" t="n"/>
      <c r="Z476" s="79" t="n"/>
      <c r="AA476" s="79" t="n"/>
      <c r="AB476" s="79" t="n"/>
      <c r="AC476" s="79" t="n"/>
      <c r="AD476" s="79" t="n"/>
      <c r="AE476" s="79" t="n"/>
      <c r="AF476" s="79" t="n"/>
      <c r="AG476" s="79" t="n"/>
      <c r="AH476" s="80" t="n"/>
      <c r="AI476" s="80" t="n"/>
      <c r="AJ476" s="80" t="n"/>
      <c r="AK476" s="80" t="n"/>
      <c r="AL476" s="80" t="n"/>
      <c r="AM476" s="80" t="n"/>
      <c r="AN476" s="80" t="n"/>
      <c r="AO476" s="80" t="n"/>
      <c r="AP476" s="80" t="n"/>
      <c r="AQ476" s="80" t="n"/>
      <c r="AR476" s="80" t="n"/>
      <c r="AS476" s="80" t="n"/>
      <c r="AT476" s="81" t="n"/>
      <c r="AU476" s="81" t="n"/>
      <c r="AV476" s="81" t="n"/>
      <c r="AW476" s="82" t="n"/>
      <c r="AX476" s="82" t="n"/>
      <c r="AY476" s="82" t="n"/>
      <c r="AZ476" s="82" t="n"/>
      <c r="BA476" s="82" t="n"/>
      <c r="BB476" s="83" t="n"/>
      <c r="BC476" s="83" t="n"/>
      <c r="BD476" s="84">
        <f>IF($A476="","",IF($DJ476&lt;&gt;"","FIX",IF($DK476&lt;&gt;"","CHECK","OK")))</f>
        <v/>
      </c>
      <c r="BE476" s="85">
        <f>IF($A476="","",IF($DJ476&lt;&gt;"","FIX: "&amp;LEFT($DJ476,LEN($DJ476)-2)&amp;IF($DK476&lt;&gt;"","  ·  ",""),"")&amp;IF($DK476&lt;&gt;"","CHECK: "&amp;LEFT($DK476,LEN($DK476)-2),""))</f>
        <v/>
      </c>
      <c r="BF476" s="84">
        <f>IF(OR($A476="",$K476=""),"",$K476&amp;"'-"&amp;N($L476)&amp;CHAR(34)&amp;" x "&amp;$M476&amp;"'-"&amp;N($N476)&amp;CHAR(34))</f>
        <v/>
      </c>
      <c r="BG476" s="84">
        <f>IF(OR($A476="",$K476=""),"",$K476&amp;N($L476)&amp;$M476&amp;N($N476))</f>
        <v/>
      </c>
      <c r="BH476" s="84">
        <f>IF(OR($A476="",$K476=""),"",$K476*12+N($L476))</f>
        <v/>
      </c>
      <c r="BI476" s="84">
        <f>IF(OR($A476="",$M476=""),"",$M476*12+N($N476))</f>
        <v/>
      </c>
      <c r="BJ476" s="84">
        <f>IF($A476="","",IF(OR($C476="FRAME ONLY",$S476="BL"),0,IF($O476="Y",2,1)))</f>
        <v/>
      </c>
      <c r="BK476" s="86">
        <f>IF(OR(N($BJ476)=0,$BH476=""),"",($BH476-2*EdgeClr-IF($BJ476=2,MeetClr,0))/$BJ476)</f>
        <v/>
      </c>
      <c r="BL476" s="86">
        <f>IF(OR(N($BJ476)=0,$BI476=""),"",$BI476-HeadClr-Undercut)</f>
        <v/>
      </c>
      <c r="BM476" s="86">
        <f>IF($BH476="","",$BH476+2*FaceW+IF(N($Q476)&gt;0,($Q476+FaceW)*IF($R476="LR",2,1),0))</f>
        <v/>
      </c>
      <c r="BN476" s="86">
        <f>IF($BI476="","",$BI476+IF($AB476="Y",4,FaceW)+IF(N($P476)&gt;0,$P476+FaceW,0)+IF(OR($S476="4F",$S476="BL"),FaceW,0))</f>
        <v/>
      </c>
      <c r="BO476" s="86">
        <f>IF($BM476="","",$BM476+2*ROSide)</f>
        <v/>
      </c>
      <c r="BP476" s="86">
        <f>IF($BN476="","",$BN476+ROTop)</f>
        <v/>
      </c>
      <c r="BQ476" s="87">
        <f>IF(OR(N($BJ476)=0,$BH476=""),"",$BH476/$BJ476-ClearDeduct)</f>
        <v/>
      </c>
      <c r="BR476" s="84">
        <f>IF(N($CH476)=0,"",IF($CH476&gt;=180,"A · 3 HR",IF($CH476&gt;=90,"B · 1-1/2 HR",IF($CH476&gt;=60,"B · 1 HR",IF($CH476&gt;=45,"C · 3/4 HR","20 MIN")))))&amp;IF(AND(N($CH476)&gt;0,OR($I476="CORRIDOR",$I476="SMOKE BARRIER"))," · S","")</f>
        <v/>
      </c>
      <c r="BS476" s="84">
        <f>IF($CS476,"",IF($AV476&lt;&gt;"",$AV476,IF(OR($AC476="HGC",$AO476="HGC"),"CONT",IF(($BI476-HeadClr-Undercut)&lt;=60,2,IF(($BI476-HeadClr-Undercut)&lt;=90,3,IF(($BI476-HeadClr-Undercut)&lt;=120,4,5))))))</f>
        <v/>
      </c>
      <c r="BT476" s="84">
        <f>IF($CS476,"",IF($CT476,"CUSTOM (typed)",IF($CV476,$AT476&amp;" "&amp;$CU476&amp;CHAR(34)&amp;IF($CU476&lt;&gt;$BI476,IF(AND($BI476&lt;$CU476,$BI476-IF(N(VLOOKUP($AT476&amp;"|"&amp;$CU476,LocTable,7,FALSE))&gt;0,VLOOKUP($AT476&amp;"|"&amp;$CU476,LocTable,7,FALSE),VLOOKUP($AT476&amp;"|"&amp;$CU476,LocTable,6,FALSE))-$CR476-0.75&gt;=2.125)," cut down"," adj."),""),"ANSI/SDI A250.6")))</f>
        <v/>
      </c>
      <c r="BU476" s="88">
        <f>IF($CS476,"",IF($CT476,IF(N($AW476)&gt;0,N($AW476),""),IF(1&gt;$CQ476,"",IF($CQ476=1,$CW476,$CW476+($CX476-$CW476)*0/($CQ476-1)))))</f>
        <v/>
      </c>
      <c r="BV476" s="88">
        <f>IF($CS476,"",IF($CT476,IF(N($AX476)&gt;0,N($AX476),""),IF(2&gt;$CQ476,"",IF($CQ476=1,$CW476,$CW476+($CX476-$CW476)*1/($CQ476-1)))))</f>
        <v/>
      </c>
      <c r="BW476" s="88">
        <f>IF($CS476,"",IF($CT476,IF(N($AY476)&gt;0,N($AY476),""),IF(3&gt;$CQ476,"",IF($CQ476=1,$CW476,$CW476+($CX476-$CW476)*2/($CQ476-1)))))</f>
        <v/>
      </c>
      <c r="BX476" s="88">
        <f>IF($CS476,"",IF($CT476,IF(N($AZ476)&gt;0,N($AZ476),""),IF(4&gt;$CQ476,"",IF($CQ476=1,$CW476,$CW476+($CX476-$CW476)*3/($CQ476-1)))))</f>
        <v/>
      </c>
      <c r="BY476" s="88">
        <f>IF($CS476,"",IF($CT476,"",IF(5&gt;$CQ476,"",IF($CQ476=1,$CW476,$CW476+($CX476-$CW476)*4/($CQ476-1)))))</f>
        <v/>
      </c>
      <c r="BZ476" s="88">
        <f>IF(OR($CS476,$AP476="-",AND($AP476="",$AD476="")),"",IF(N($BA476)&gt;0,N($BA476),IF($CV476,IF(AND($BI476&lt;$CU476,$BI476-IF(N(VLOOKUP($AT476&amp;"|"&amp;$CU476,LocTable,7,FALSE))&gt;0,VLOOKUP($AT476&amp;"|"&amp;$CU476,LocTable,7,FALSE),VLOOKUP($AT476&amp;"|"&amp;$CU476,LocTable,6,FALSE))-$CR476-0.75&gt;=2.125),VLOOKUP($AT476&amp;"|"&amp;$CU476,LocTable,8,FALSE),VLOOKUP($AT476&amp;"|"&amp;$CU476,LocTable,8,FALSE)+($BI476-$CU476)),$BI476-LockAFF)))</f>
        <v/>
      </c>
      <c r="CA476" s="89">
        <f>IF($BZ476="","",$BI476-$BZ476)</f>
        <v/>
      </c>
      <c r="CB476" s="84">
        <f>IF(OR(NOT(AND($A476&lt;&gt;"",$C476&lt;&gt;"DOOR ONLY")),$BI476=""),"",IF(($BI476+IF(N($P476)&gt;0,$P476+FaceW,0))&lt;=90,3,IF(($BI476+IF(N($P476)&gt;0,$P476+FaceW,0))&lt;=114,4,5)))</f>
        <v/>
      </c>
      <c r="CC476" s="84">
        <f>IF($CB476="","",$CB476*(2+IF(N($Q476)&gt;0,IF($R476="LR",2,1),0)))</f>
        <v/>
      </c>
      <c r="CD476" s="84">
        <f>IF($CB476="","",(2+IF(N($Q476)&gt;0,IF($R476="LR",2,1),0)))</f>
        <v/>
      </c>
      <c r="CE476" s="84">
        <f>IF(N($BJ476)=0,"",IF(OR($AL476="",$AL476="FLUSH"),"FLUSH",IFERROR(LEFT($AL476,FIND("-",$AL476)-1),LEFT($AL476,2))))</f>
        <v/>
      </c>
      <c r="CF476" s="84">
        <f>IF($CE476="","",IFERROR(VALUE(MID($AL476,FIND("-",$AL476)+1,FIND(CHAR(34)&amp;"x",$AL476)-FIND("-",$AL476)-1)),0))</f>
        <v/>
      </c>
      <c r="CG476" s="84">
        <f>IF($CE476="","",IFERROR(VALUE(MID($AL476,FIND(CHAR(34)&amp;"x",$AL476)+2,FIND(CHAR(34),$AL476,FIND(CHAR(34)&amp;"x",$AL476)+2)-FIND(CHAR(34)&amp;"x",$AL476)-2)),0))</f>
        <v/>
      </c>
      <c r="CH476" s="90">
        <f>IF(OR($A476="",$H476="",$H476="NO LAB"),0,IFERROR(VALUE(LEFT($H476,FIND(" ",$H476)-1)),0))</f>
        <v/>
      </c>
      <c r="CI476" s="91">
        <f>IF(OR($A476="",$I476="",$I476="NON-RATED",N($J476)=0),"",IFERROR(VLOOKUP($I476&amp;"|"&amp;$J476,IBC,2,FALSE),"?"))</f>
        <v/>
      </c>
      <c r="CJ476" s="85">
        <f>IF(NOT(AND($A476&lt;&gt;"",$C476&lt;&gt;"DOOR ONLY")),"",TRIM(IFERROR(VLOOKUP($U476,CODES,2,FALSE),"")&amp;" "&amp;$BG476&amp;" "&amp;IFERROR(VLOOKUP($Z476,CODES,2,FALSE),"")&amp;" "&amp;IFERROR(VLOOKUP($X476,CODES,2,FALSE),"")&amp;" "&amp;IFERROR(VLOOKUP($S476,CODES,2,FALSE),"")&amp;IF(N($P476)&gt;0," w/TRANSOM "&amp;$P476&amp;CHAR(34),"")&amp;IF(N($Q476)&gt;0," w/SIDELITE "&amp;$Q476&amp;CHAR(34)&amp;" "&amp;IF($R476="","R",$R476),"")&amp;IF($Y476="","  |  "," | "&amp;IFERROR(VLOOKUP($Y476,CODES,2,FALSE),"")&amp;" | ")&amp;IFERROR(VLOOKUP($AC476,CODES,2,FALSE),"")&amp;" "&amp;IFERROR(VLOOKUP($AD476,CODES,2,FALSE),"")&amp;IF(OR($AE476="",$AE476="-"),""," "&amp;$AE476)&amp;IF(OR($AF476="",$AF476="-"),""," "&amp;$AF476)&amp;IF($AB476="Y"," 4"&amp;CHAR(34)&amp;" HEAD","")&amp;" "&amp;IFERROR(VLOOKUP($H476,CODES,2,FALSE),"")&amp;IF($CT476," | LOC "&amp;$CY476,"")))</f>
        <v/>
      </c>
      <c r="CK476" s="85">
        <f>IF(NOT(AND($A476&lt;&gt;"",N($BJ476)&gt;0)),"",TRIM(IFERROR(VLOOKUP($AH476,CODES,2,FALSE),"")&amp;IF($AI476=""," "," "&amp;$AI476&amp;"GA ")&amp;$BG476&amp;" "&amp;IF($AN476="",IFERROR(VLOOKUP($Z476,CODES,2,FALSE),""),IFERROR(VLOOKUP($AN476,CODES,2,FALSE),""))&amp;IF($BJ476=2," PAIR","")&amp;" DOOR | "&amp;IF($AL476="","?",$AL476)&amp;" | "&amp;IF($AO476="",IFERROR(VLOOKUP($AC476,CODES,2,FALSE),""),IFERROR(VLOOKUP($AO476,CODES,2,FALSE),""))&amp;" "&amp;IFERROR(VLOOKUP($AP476,CODES,2,FALSE),"")&amp;IF(OR($AQ476="",$AQ476="-"),""," SEAM "&amp;$AQ476)&amp;IF($AR476="Y"," ASTRAGAL","")&amp;IF($AJ476=""," "," "&amp;$AJ476)&amp;IF($AK476=""," "," "&amp;$AK476)&amp;IF(OR($AT476="",$AT476="ANSI/SDI",$AT476="CUSTOM LOC"),""," "&amp;$AT476)&amp;IF($AM476=""," "," SERIES "&amp;$AM476)&amp;" "&amp;IFERROR(VLOOKUP($H476,CODES,2,FALSE),"")&amp;IF($CT476," | LOC "&amp;$CZ476,"")))</f>
        <v/>
      </c>
      <c r="CL476" s="84">
        <f>IF(CP476="","",IF(COUNTIF($CP$6:CP476,CP476)=1,MAX($CL$5:CL475)+1,INDEX($CL$5:CL475,MATCH(CP476,$CP$5:CP475,0))))</f>
        <v/>
      </c>
      <c r="CM476" s="84">
        <f>IF(NOT(AND($A476&lt;&gt;"",$C476&lt;&gt;"DOOR ONLY")),"",MAX($CM$5:CM475)+1)</f>
        <v/>
      </c>
      <c r="CN476" s="84">
        <f>IF(NOT(AND($A476&lt;&gt;"",N($BJ476)&gt;0)),"",MAX($CN$5:CN475)+1)</f>
        <v/>
      </c>
      <c r="CO476" s="84">
        <f>IF($A476="","",MAX($CO$5:CO475)+1)</f>
        <v/>
      </c>
      <c r="CP476" s="84">
        <f>IF(OR($A476="",$BH476="",$BI476=""),"",$BG476&amp;"|"&amp;$O476&amp;"|"&amp;$AL476&amp;"|"&amp;$S476&amp;"|"&amp;$P476&amp;"|"&amp;$Q476&amp;$R476&amp;"|"&amp;$C476&amp;"|"&amp;$AB476)</f>
        <v/>
      </c>
      <c r="CQ476" s="84">
        <f>N($BS476)</f>
        <v/>
      </c>
      <c r="CR476" s="84">
        <f>IF(N($AU476)&gt;0,N($AU476),4.5)</f>
        <v/>
      </c>
      <c r="CS476" s="84">
        <f>OR($A476="",$BI476="",$S476="BL",AND($C476="FRAME ONLY",OR($AC476="",$AC476="BLK")))</f>
        <v/>
      </c>
      <c r="CT476" s="84">
        <f>AND(NOT($CS476),OR($AT476="CUSTOM LOC",N($AW476)+N($AX476)+N($AY476)+N($AZ476)+N($BA476)&gt;0))</f>
        <v/>
      </c>
      <c r="CU476" s="84">
        <f>IF($BI476="","",IF($BI476&lt;=80,80,IF($BI476&lt;=84,84,96)))</f>
        <v/>
      </c>
      <c r="CV476" s="84">
        <f>ISNUMBER(MATCH($AT476&amp;"|80",LocKeys,0))</f>
        <v/>
      </c>
      <c r="CW476" s="86">
        <f>IF($CS476,"",IF($CV476,VLOOKUP($AT476&amp;"|"&amp;$CU476,LocTable,4,FALSE),5))</f>
        <v/>
      </c>
      <c r="CX476" s="86">
        <f>IF($CS476,"",IF($CV476,IF(OR($BI476=$CU476,AND($BI476&lt;$CU476,$BI476-IF(N(VLOOKUP($AT476&amp;"|"&amp;$CU476,LocTable,7,FALSE))&gt;0,VLOOKUP($AT476&amp;"|"&amp;$CU476,LocTable,7,FALSE),VLOOKUP($AT476&amp;"|"&amp;$CU476,LocTable,6,FALSE))-$CR476-0.75&gt;=2.125)),IF(N(VLOOKUP($AT476&amp;"|"&amp;$CU476,LocTable,7,FALSE))&gt;0,VLOOKUP($AT476&amp;"|"&amp;$CU476,LocTable,7,FALSE),VLOOKUP($AT476&amp;"|"&amp;$CU476,LocTable,6,FALSE)),$BI476-($CU476-IF(N(VLOOKUP($AT476&amp;"|"&amp;$CU476,LocTable,7,FALSE))&gt;0,VLOOKUP($AT476&amp;"|"&amp;$CU476,LocTable,7,FALSE),VLOOKUP($AT476&amp;"|"&amp;$CU476,LocTable,6,FALSE)))),$BI476-10-$CR476))</f>
        <v/>
      </c>
      <c r="CY476" s="85">
        <f>IF($CS476,"",TRIM(IF(ISNUMBER($BU476),"A "&amp;TRIM(TEXT($BU476,"# ?/??"))&amp;CHAR(34)&amp;"  ","")&amp;IF(ISNUMBER($BV476),"B "&amp;TRIM(TEXT($BV476,"# ?/??"))&amp;CHAR(34)&amp;"  ","")&amp;IF(ISNUMBER($BW476),"C "&amp;TRIM(TEXT($BW476,"# ?/??"))&amp;CHAR(34)&amp;"  ","")&amp;IF(ISNUMBER($BX476),"D "&amp;TRIM(TEXT($BX476,"# ?/??"))&amp;CHAR(34)&amp;"  ","")&amp;IF(ISNUMBER($BY476),"F "&amp;TRIM(TEXT($BY476,"# ?/??"))&amp;CHAR(34)&amp;"  ","")&amp;IF(ISNUMBER($BZ476),"E "&amp;TRIM(TEXT($BZ476,"# ?/??"))&amp;CHAR(34)&amp;"  ","")))</f>
        <v/>
      </c>
      <c r="CZ476" s="85">
        <f>IF(OR($CS476,N($BJ476)=0),"",TRIM(IF(ISNUMBER($BU476),"A "&amp;TRIM(TEXT($BU476-HeadClr,"# ?/??"))&amp;CHAR(34)&amp;"  ","")&amp;IF(ISNUMBER($BV476),"B "&amp;TRIM(TEXT($BV476-HeadClr,"# ?/??"))&amp;CHAR(34)&amp;"  ","")&amp;IF(ISNUMBER($BW476),"C "&amp;TRIM(TEXT($BW476-HeadClr,"# ?/??"))&amp;CHAR(34)&amp;"  ","")&amp;IF(ISNUMBER($BX476),"D "&amp;TRIM(TEXT($BX476-HeadClr,"# ?/??"))&amp;CHAR(34)&amp;"  ","")&amp;IF(ISNUMBER($BY476),"F "&amp;TRIM(TEXT($BY476-HeadClr,"# ?/??"))&amp;CHAR(34)&amp;"  ","")&amp;IF(ISNUMBER($BZ476),"E "&amp;TRIM(TEXT($BZ476-HeadClr,"# ?/??"))&amp;CHAR(34)&amp;"  ","")))</f>
        <v/>
      </c>
      <c r="DA476" s="84">
        <f>IF($A476="","",IF($AN476="",IFERROR(VLOOKUP($Z476,CODES,2,FALSE),""),IFERROR(VLOOKUP($AN476,CODES,2,FALSE),"")))</f>
        <v/>
      </c>
      <c r="DB476" s="84">
        <f>IF($A476="","",IF($O476="Y","PR",IF(OR($Z476="L",$Z476="RR",LEFT($Z476,2)="L-",LEFT($Z476,3)="RR-"),"LH","RH")))</f>
        <v/>
      </c>
      <c r="DC476" s="84">
        <f>IF($A476="","","S.HM"&amp;IF(OR($C476="DOOR ONLY",$X476&lt;&gt;"KD"),"MASONRY","DRYWALL")&amp;IF($C476="DOOR ONLY","",$U476)&amp;IF(AND($C476&lt;&gt;"FRAME ONLY",OR(LEFT($AH476,3)="OAK",LEFT($AH476,3)="BIR",LEFT($AH476,3)="MAP",$AH476="PC",$AH476="MC",$AH476="SCLC",$AH476="P-LAM")),"WD","HM")&amp;"1.75")</f>
        <v/>
      </c>
      <c r="DD476" s="84">
        <f>IF($CJ476="","",IF($O476="Y",$CJ476,SUBSTITUTE($CJ476,$BG476&amp;" "&amp;IFERROR(VLOOKUP($Z476,CODES,2,FALSE),"")&amp;" ",$BG476&amp;" ")))</f>
        <v/>
      </c>
      <c r="DE476" s="84">
        <f>IF($CK476="","",IF($O476="Y",$CK476,SUBSTITUTE($CK476,$BG476&amp;" "&amp;IF($AN476="",IFERROR(VLOOKUP($Z476,CODES,2,FALSE),""),IFERROR(VLOOKUP($AN476,CODES,2,FALSE),""))&amp;" ",$BG476&amp;" ")))</f>
        <v/>
      </c>
      <c r="DF476" s="84">
        <f>IF($CJ476="","",$DC476&amp;"|"&amp;$DD476&amp;"|"&amp;$DB476&amp;"|"&amp;$AT476&amp;"|"&amp;$V476&amp;"|"&amp;$Y476&amp;"|"&amp;$AB476)</f>
        <v/>
      </c>
      <c r="DG476" s="84">
        <f>IF(DF476="","",IF(COUNTIF($DF$6:DF476,DF476)=1,MAX($DG$5:DG475)+1,INDEX($DG$5:DG475,MATCH(DF476,$DF$5:DF475,0))))</f>
        <v/>
      </c>
      <c r="DH476" s="84">
        <f>IF($CK476="","",$DC476&amp;"|"&amp;$DE476&amp;"|"&amp;$AI476&amp;"|"&amp;$BK476&amp;"|"&amp;$BL476)</f>
        <v/>
      </c>
      <c r="DI476" s="84">
        <f>IF(DH476="","",IF(COUNTIF($DH$6:DH476,DH476)=1,MAX($DI$5:DI475)+1,INDEX($DI$5:DI475,MATCH(DH476,$DH$5:DH475,0))))</f>
        <v/>
      </c>
      <c r="DJ476" s="84">
        <f>IF($A476="","",IF($B476="","qty, ","")&amp;IF($C476="","scope, ","")&amp;IF(OR($K476="",$M476=""),"size, ","")&amp;IF(AND($A476&lt;&gt;"",$C476&lt;&gt;"DOOR ONLY"),IF($U476="","jamb depth, ","")&amp;IF($X476="","construction, ","")&amp;IF($Y476="","anchor, ","")&amp;IF($S476="","frame type, ",""),"")&amp;IF(AND(N($BJ476)&gt;0,$Z476=""),"hand, ","")&amp;IF(N($BJ476)&gt;0,IF($AH476="","door material, ","")&amp;IF($AL476="","face type, ","")&amp;IF($AP476="","lock prep, ","")&amp;IF(AND($AO476="",$AC476=""),"hinge prep, ",""),"")&amp;IF(AND($CH476&gt;0,$AH476="FRP"),"FRP cannot carry a label, ","")&amp;IF(AND($O476="Y",OR($Z476="L",$Z476="R",$Z476="LR",$Z476="RR")),"pair marked but hand is single, ","")&amp;IF(AND($O476&lt;&gt;"Y",OR($Z476="PR",AND(LEN($Z476)&gt;1,ISNUMBER(SEARCH("-",$Z476))))),"pair hand on a single door, ","")&amp;IF(AND(ISNUMBER($CI476),$CH476&lt;N($CI476)),"wall needs a "&amp;$CI476&amp;" min door, ","")&amp;IF(AND($CH476&gt;=180,AND(OR($CE476="FG",$CE476="HG",$CE476="FNV",$CE476="FV"),N($CF476)*N($CG476)&gt;100)),"180 min lite over 100 sq in, ","")&amp;IF(N($BK476)&gt;48,"leaf wider than 4'-0"&amp;CHAR(34)&amp;", ","")&amp;IF(AND($CT476,COUNT($AW476:$AZ476)=0,$CQ476&gt;0),"CUSTOM LOC with no locations typed, ",""))</f>
        <v/>
      </c>
      <c r="DK476" s="84">
        <f>IF($A476="","",IF(AND($CH476&gt;0,AND($A476&lt;&gt;"",$C476&lt;&gt;"DOOR ONLY"),$X476="KD",$E476="EXTERIOR"),"KD label on an exterior opening, ","")&amp;IF(AND($E476="EXTERIOR",OR(AND(AND($A476&lt;&gt;"",$C476&lt;&gt;"DOOR ONLY"),$W476="CR"),AND(N($BJ476)&gt;0,$AH476="CR"))),"exterior in CR steel (G9?), ","")&amp;IF(AND(ISNUMBER($BQ476),N($BQ476)&lt;32),"clear width ~"&amp;TEXT($BQ476,"0.0")&amp;CHAR(34)&amp;" under 32"&amp;CHAR(34)&amp;" (ADA), ","")&amp;IF(AND($CH476=90,AND(OR($CE476="FG",$CE476="HG",$CE476="FNV",$CE476="FV"),N($CF476)*N($CG476)&gt;100)),"90 min lite over 100 sq in (stair/exit), ","")&amp;IF(AND($CH476&gt;0,AND($A476&lt;&gt;"",$C476&lt;&gt;"DOOR ONLY"),OR($AF476="",$AF476="-")),"rated: closer reinf.?, ","")&amp;IF(OR($I476="CORRIDOR",$I476="SMOKE BARRIER"),"S label + smoke gasketing, ","")&amp;IF($CI476="?","wall type/hr not in IBC table, ","")&amp;IF(AND(N($BJ476)&gt;0,$BB476=""),"no hardware set, ","")&amp;IF(AND($BB476&lt;&gt;"",ISNA(MATCH($BB476&amp;"",HWSets,0))),"set "&amp;$BB476&amp;" not on HW Sets, ","")&amp;IF(N($BL476)&gt;96,"leaf over 8'-0"&amp;CHAR(34)&amp;" - check listing, ","")&amp;IF(AND($CT476,COUNT($AW476:$AZ476)&gt;0,COUNT($AW476:$AZ476)&lt;&gt;$CQ476),COUNT($AW476:$AZ476)&amp;" custom hinges typed, "&amp;$CQ476&amp;" expected, ","")&amp;IF(AND(ISNUMBER($CA476),OR(N($CA476)&lt;34,N($CA476)&gt;48)),"lock "&amp;TEXT($CA476,"0.0")&amp;CHAR(34)&amp;" AFF outside 34-48"&amp;CHAR(34)&amp;" (ADA), ","")&amp;IF(AND(ISNUMBER($AV476),ISNUMBER($BL476),N($AV476)&lt;IF(N($BL476)&lt;=60,2,IF(N($BL476)&lt;=90,3,IF(N($BL476)&lt;=120,4,5)))),"fewer hinges than standard, ",""))</f>
        <v/>
      </c>
    </row>
    <row r="477" ht="15" customHeight="1">
      <c r="A477" s="77" t="n"/>
      <c r="B477" s="78" t="n"/>
      <c r="C477" s="78" t="n"/>
      <c r="D477" s="78" t="n"/>
      <c r="E477" s="78" t="n"/>
      <c r="F477" s="78" t="n"/>
      <c r="G477" s="78" t="n"/>
      <c r="H477" s="78" t="n"/>
      <c r="I477" s="78" t="n"/>
      <c r="J477" s="78" t="n"/>
      <c r="K477" s="78" t="n"/>
      <c r="L477" s="78" t="n"/>
      <c r="M477" s="78" t="n"/>
      <c r="N477" s="78" t="n"/>
      <c r="O477" s="78" t="n"/>
      <c r="P477" s="78" t="n"/>
      <c r="Q477" s="78" t="n"/>
      <c r="R477" s="78" t="n"/>
      <c r="S477" s="79" t="n"/>
      <c r="T477" s="79" t="n"/>
      <c r="U477" s="79" t="n"/>
      <c r="V477" s="79" t="n"/>
      <c r="W477" s="79" t="n"/>
      <c r="X477" s="79" t="n"/>
      <c r="Y477" s="79" t="n"/>
      <c r="Z477" s="79" t="n"/>
      <c r="AA477" s="79" t="n"/>
      <c r="AB477" s="79" t="n"/>
      <c r="AC477" s="79" t="n"/>
      <c r="AD477" s="79" t="n"/>
      <c r="AE477" s="79" t="n"/>
      <c r="AF477" s="79" t="n"/>
      <c r="AG477" s="79" t="n"/>
      <c r="AH477" s="80" t="n"/>
      <c r="AI477" s="80" t="n"/>
      <c r="AJ477" s="80" t="n"/>
      <c r="AK477" s="80" t="n"/>
      <c r="AL477" s="80" t="n"/>
      <c r="AM477" s="80" t="n"/>
      <c r="AN477" s="80" t="n"/>
      <c r="AO477" s="80" t="n"/>
      <c r="AP477" s="80" t="n"/>
      <c r="AQ477" s="80" t="n"/>
      <c r="AR477" s="80" t="n"/>
      <c r="AS477" s="80" t="n"/>
      <c r="AT477" s="81" t="n"/>
      <c r="AU477" s="81" t="n"/>
      <c r="AV477" s="81" t="n"/>
      <c r="AW477" s="82" t="n"/>
      <c r="AX477" s="82" t="n"/>
      <c r="AY477" s="82" t="n"/>
      <c r="AZ477" s="82" t="n"/>
      <c r="BA477" s="82" t="n"/>
      <c r="BB477" s="83" t="n"/>
      <c r="BC477" s="83" t="n"/>
      <c r="BD477" s="84">
        <f>IF($A477="","",IF($DJ477&lt;&gt;"","FIX",IF($DK477&lt;&gt;"","CHECK","OK")))</f>
        <v/>
      </c>
      <c r="BE477" s="85">
        <f>IF($A477="","",IF($DJ477&lt;&gt;"","FIX: "&amp;LEFT($DJ477,LEN($DJ477)-2)&amp;IF($DK477&lt;&gt;"","  ·  ",""),"")&amp;IF($DK477&lt;&gt;"","CHECK: "&amp;LEFT($DK477,LEN($DK477)-2),""))</f>
        <v/>
      </c>
      <c r="BF477" s="84">
        <f>IF(OR($A477="",$K477=""),"",$K477&amp;"'-"&amp;N($L477)&amp;CHAR(34)&amp;" x "&amp;$M477&amp;"'-"&amp;N($N477)&amp;CHAR(34))</f>
        <v/>
      </c>
      <c r="BG477" s="84">
        <f>IF(OR($A477="",$K477=""),"",$K477&amp;N($L477)&amp;$M477&amp;N($N477))</f>
        <v/>
      </c>
      <c r="BH477" s="84">
        <f>IF(OR($A477="",$K477=""),"",$K477*12+N($L477))</f>
        <v/>
      </c>
      <c r="BI477" s="84">
        <f>IF(OR($A477="",$M477=""),"",$M477*12+N($N477))</f>
        <v/>
      </c>
      <c r="BJ477" s="84">
        <f>IF($A477="","",IF(OR($C477="FRAME ONLY",$S477="BL"),0,IF($O477="Y",2,1)))</f>
        <v/>
      </c>
      <c r="BK477" s="86">
        <f>IF(OR(N($BJ477)=0,$BH477=""),"",($BH477-2*EdgeClr-IF($BJ477=2,MeetClr,0))/$BJ477)</f>
        <v/>
      </c>
      <c r="BL477" s="86">
        <f>IF(OR(N($BJ477)=0,$BI477=""),"",$BI477-HeadClr-Undercut)</f>
        <v/>
      </c>
      <c r="BM477" s="86">
        <f>IF($BH477="","",$BH477+2*FaceW+IF(N($Q477)&gt;0,($Q477+FaceW)*IF($R477="LR",2,1),0))</f>
        <v/>
      </c>
      <c r="BN477" s="86">
        <f>IF($BI477="","",$BI477+IF($AB477="Y",4,FaceW)+IF(N($P477)&gt;0,$P477+FaceW,0)+IF(OR($S477="4F",$S477="BL"),FaceW,0))</f>
        <v/>
      </c>
      <c r="BO477" s="86">
        <f>IF($BM477="","",$BM477+2*ROSide)</f>
        <v/>
      </c>
      <c r="BP477" s="86">
        <f>IF($BN477="","",$BN477+ROTop)</f>
        <v/>
      </c>
      <c r="BQ477" s="87">
        <f>IF(OR(N($BJ477)=0,$BH477=""),"",$BH477/$BJ477-ClearDeduct)</f>
        <v/>
      </c>
      <c r="BR477" s="84">
        <f>IF(N($CH477)=0,"",IF($CH477&gt;=180,"A · 3 HR",IF($CH477&gt;=90,"B · 1-1/2 HR",IF($CH477&gt;=60,"B · 1 HR",IF($CH477&gt;=45,"C · 3/4 HR","20 MIN")))))&amp;IF(AND(N($CH477)&gt;0,OR($I477="CORRIDOR",$I477="SMOKE BARRIER"))," · S","")</f>
        <v/>
      </c>
      <c r="BS477" s="84">
        <f>IF($CS477,"",IF($AV477&lt;&gt;"",$AV477,IF(OR($AC477="HGC",$AO477="HGC"),"CONT",IF(($BI477-HeadClr-Undercut)&lt;=60,2,IF(($BI477-HeadClr-Undercut)&lt;=90,3,IF(($BI477-HeadClr-Undercut)&lt;=120,4,5))))))</f>
        <v/>
      </c>
      <c r="BT477" s="84">
        <f>IF($CS477,"",IF($CT477,"CUSTOM (typed)",IF($CV477,$AT477&amp;" "&amp;$CU477&amp;CHAR(34)&amp;IF($CU477&lt;&gt;$BI477,IF(AND($BI477&lt;$CU477,$BI477-IF(N(VLOOKUP($AT477&amp;"|"&amp;$CU477,LocTable,7,FALSE))&gt;0,VLOOKUP($AT477&amp;"|"&amp;$CU477,LocTable,7,FALSE),VLOOKUP($AT477&amp;"|"&amp;$CU477,LocTable,6,FALSE))-$CR477-0.75&gt;=2.125)," cut down"," adj."),""),"ANSI/SDI A250.6")))</f>
        <v/>
      </c>
      <c r="BU477" s="88">
        <f>IF($CS477,"",IF($CT477,IF(N($AW477)&gt;0,N($AW477),""),IF(1&gt;$CQ477,"",IF($CQ477=1,$CW477,$CW477+($CX477-$CW477)*0/($CQ477-1)))))</f>
        <v/>
      </c>
      <c r="BV477" s="88">
        <f>IF($CS477,"",IF($CT477,IF(N($AX477)&gt;0,N($AX477),""),IF(2&gt;$CQ477,"",IF($CQ477=1,$CW477,$CW477+($CX477-$CW477)*1/($CQ477-1)))))</f>
        <v/>
      </c>
      <c r="BW477" s="88">
        <f>IF($CS477,"",IF($CT477,IF(N($AY477)&gt;0,N($AY477),""),IF(3&gt;$CQ477,"",IF($CQ477=1,$CW477,$CW477+($CX477-$CW477)*2/($CQ477-1)))))</f>
        <v/>
      </c>
      <c r="BX477" s="88">
        <f>IF($CS477,"",IF($CT477,IF(N($AZ477)&gt;0,N($AZ477),""),IF(4&gt;$CQ477,"",IF($CQ477=1,$CW477,$CW477+($CX477-$CW477)*3/($CQ477-1)))))</f>
        <v/>
      </c>
      <c r="BY477" s="88">
        <f>IF($CS477,"",IF($CT477,"",IF(5&gt;$CQ477,"",IF($CQ477=1,$CW477,$CW477+($CX477-$CW477)*4/($CQ477-1)))))</f>
        <v/>
      </c>
      <c r="BZ477" s="88">
        <f>IF(OR($CS477,$AP477="-",AND($AP477="",$AD477="")),"",IF(N($BA477)&gt;0,N($BA477),IF($CV477,IF(AND($BI477&lt;$CU477,$BI477-IF(N(VLOOKUP($AT477&amp;"|"&amp;$CU477,LocTable,7,FALSE))&gt;0,VLOOKUP($AT477&amp;"|"&amp;$CU477,LocTable,7,FALSE),VLOOKUP($AT477&amp;"|"&amp;$CU477,LocTable,6,FALSE))-$CR477-0.75&gt;=2.125),VLOOKUP($AT477&amp;"|"&amp;$CU477,LocTable,8,FALSE),VLOOKUP($AT477&amp;"|"&amp;$CU477,LocTable,8,FALSE)+($BI477-$CU477)),$BI477-LockAFF)))</f>
        <v/>
      </c>
      <c r="CA477" s="89">
        <f>IF($BZ477="","",$BI477-$BZ477)</f>
        <v/>
      </c>
      <c r="CB477" s="84">
        <f>IF(OR(NOT(AND($A477&lt;&gt;"",$C477&lt;&gt;"DOOR ONLY")),$BI477=""),"",IF(($BI477+IF(N($P477)&gt;0,$P477+FaceW,0))&lt;=90,3,IF(($BI477+IF(N($P477)&gt;0,$P477+FaceW,0))&lt;=114,4,5)))</f>
        <v/>
      </c>
      <c r="CC477" s="84">
        <f>IF($CB477="","",$CB477*(2+IF(N($Q477)&gt;0,IF($R477="LR",2,1),0)))</f>
        <v/>
      </c>
      <c r="CD477" s="84">
        <f>IF($CB477="","",(2+IF(N($Q477)&gt;0,IF($R477="LR",2,1),0)))</f>
        <v/>
      </c>
      <c r="CE477" s="84">
        <f>IF(N($BJ477)=0,"",IF(OR($AL477="",$AL477="FLUSH"),"FLUSH",IFERROR(LEFT($AL477,FIND("-",$AL477)-1),LEFT($AL477,2))))</f>
        <v/>
      </c>
      <c r="CF477" s="84">
        <f>IF($CE477="","",IFERROR(VALUE(MID($AL477,FIND("-",$AL477)+1,FIND(CHAR(34)&amp;"x",$AL477)-FIND("-",$AL477)-1)),0))</f>
        <v/>
      </c>
      <c r="CG477" s="84">
        <f>IF($CE477="","",IFERROR(VALUE(MID($AL477,FIND(CHAR(34)&amp;"x",$AL477)+2,FIND(CHAR(34),$AL477,FIND(CHAR(34)&amp;"x",$AL477)+2)-FIND(CHAR(34)&amp;"x",$AL477)-2)),0))</f>
        <v/>
      </c>
      <c r="CH477" s="90">
        <f>IF(OR($A477="",$H477="",$H477="NO LAB"),0,IFERROR(VALUE(LEFT($H477,FIND(" ",$H477)-1)),0))</f>
        <v/>
      </c>
      <c r="CI477" s="91">
        <f>IF(OR($A477="",$I477="",$I477="NON-RATED",N($J477)=0),"",IFERROR(VLOOKUP($I477&amp;"|"&amp;$J477,IBC,2,FALSE),"?"))</f>
        <v/>
      </c>
      <c r="CJ477" s="85">
        <f>IF(NOT(AND($A477&lt;&gt;"",$C477&lt;&gt;"DOOR ONLY")),"",TRIM(IFERROR(VLOOKUP($U477,CODES,2,FALSE),"")&amp;" "&amp;$BG477&amp;" "&amp;IFERROR(VLOOKUP($Z477,CODES,2,FALSE),"")&amp;" "&amp;IFERROR(VLOOKUP($X477,CODES,2,FALSE),"")&amp;" "&amp;IFERROR(VLOOKUP($S477,CODES,2,FALSE),"")&amp;IF(N($P477)&gt;0," w/TRANSOM "&amp;$P477&amp;CHAR(34),"")&amp;IF(N($Q477)&gt;0," w/SIDELITE "&amp;$Q477&amp;CHAR(34)&amp;" "&amp;IF($R477="","R",$R477),"")&amp;IF($Y477="","  |  "," | "&amp;IFERROR(VLOOKUP($Y477,CODES,2,FALSE),"")&amp;" | ")&amp;IFERROR(VLOOKUP($AC477,CODES,2,FALSE),"")&amp;" "&amp;IFERROR(VLOOKUP($AD477,CODES,2,FALSE),"")&amp;IF(OR($AE477="",$AE477="-"),""," "&amp;$AE477)&amp;IF(OR($AF477="",$AF477="-"),""," "&amp;$AF477)&amp;IF($AB477="Y"," 4"&amp;CHAR(34)&amp;" HEAD","")&amp;" "&amp;IFERROR(VLOOKUP($H477,CODES,2,FALSE),"")&amp;IF($CT477," | LOC "&amp;$CY477,"")))</f>
        <v/>
      </c>
      <c r="CK477" s="85">
        <f>IF(NOT(AND($A477&lt;&gt;"",N($BJ477)&gt;0)),"",TRIM(IFERROR(VLOOKUP($AH477,CODES,2,FALSE),"")&amp;IF($AI477=""," "," "&amp;$AI477&amp;"GA ")&amp;$BG477&amp;" "&amp;IF($AN477="",IFERROR(VLOOKUP($Z477,CODES,2,FALSE),""),IFERROR(VLOOKUP($AN477,CODES,2,FALSE),""))&amp;IF($BJ477=2," PAIR","")&amp;" DOOR | "&amp;IF($AL477="","?",$AL477)&amp;" | "&amp;IF($AO477="",IFERROR(VLOOKUP($AC477,CODES,2,FALSE),""),IFERROR(VLOOKUP($AO477,CODES,2,FALSE),""))&amp;" "&amp;IFERROR(VLOOKUP($AP477,CODES,2,FALSE),"")&amp;IF(OR($AQ477="",$AQ477="-"),""," SEAM "&amp;$AQ477)&amp;IF($AR477="Y"," ASTRAGAL","")&amp;IF($AJ477=""," "," "&amp;$AJ477)&amp;IF($AK477=""," "," "&amp;$AK477)&amp;IF(OR($AT477="",$AT477="ANSI/SDI",$AT477="CUSTOM LOC"),""," "&amp;$AT477)&amp;IF($AM477=""," "," SERIES "&amp;$AM477)&amp;" "&amp;IFERROR(VLOOKUP($H477,CODES,2,FALSE),"")&amp;IF($CT477," | LOC "&amp;$CZ477,"")))</f>
        <v/>
      </c>
      <c r="CL477" s="84">
        <f>IF(CP477="","",IF(COUNTIF($CP$6:CP477,CP477)=1,MAX($CL$5:CL476)+1,INDEX($CL$5:CL476,MATCH(CP477,$CP$5:CP476,0))))</f>
        <v/>
      </c>
      <c r="CM477" s="84">
        <f>IF(NOT(AND($A477&lt;&gt;"",$C477&lt;&gt;"DOOR ONLY")),"",MAX($CM$5:CM476)+1)</f>
        <v/>
      </c>
      <c r="CN477" s="84">
        <f>IF(NOT(AND($A477&lt;&gt;"",N($BJ477)&gt;0)),"",MAX($CN$5:CN476)+1)</f>
        <v/>
      </c>
      <c r="CO477" s="84">
        <f>IF($A477="","",MAX($CO$5:CO476)+1)</f>
        <v/>
      </c>
      <c r="CP477" s="84">
        <f>IF(OR($A477="",$BH477="",$BI477=""),"",$BG477&amp;"|"&amp;$O477&amp;"|"&amp;$AL477&amp;"|"&amp;$S477&amp;"|"&amp;$P477&amp;"|"&amp;$Q477&amp;$R477&amp;"|"&amp;$C477&amp;"|"&amp;$AB477)</f>
        <v/>
      </c>
      <c r="CQ477" s="84">
        <f>N($BS477)</f>
        <v/>
      </c>
      <c r="CR477" s="84">
        <f>IF(N($AU477)&gt;0,N($AU477),4.5)</f>
        <v/>
      </c>
      <c r="CS477" s="84">
        <f>OR($A477="",$BI477="",$S477="BL",AND($C477="FRAME ONLY",OR($AC477="",$AC477="BLK")))</f>
        <v/>
      </c>
      <c r="CT477" s="84">
        <f>AND(NOT($CS477),OR($AT477="CUSTOM LOC",N($AW477)+N($AX477)+N($AY477)+N($AZ477)+N($BA477)&gt;0))</f>
        <v/>
      </c>
      <c r="CU477" s="84">
        <f>IF($BI477="","",IF($BI477&lt;=80,80,IF($BI477&lt;=84,84,96)))</f>
        <v/>
      </c>
      <c r="CV477" s="84">
        <f>ISNUMBER(MATCH($AT477&amp;"|80",LocKeys,0))</f>
        <v/>
      </c>
      <c r="CW477" s="86">
        <f>IF($CS477,"",IF($CV477,VLOOKUP($AT477&amp;"|"&amp;$CU477,LocTable,4,FALSE),5))</f>
        <v/>
      </c>
      <c r="CX477" s="86">
        <f>IF($CS477,"",IF($CV477,IF(OR($BI477=$CU477,AND($BI477&lt;$CU477,$BI477-IF(N(VLOOKUP($AT477&amp;"|"&amp;$CU477,LocTable,7,FALSE))&gt;0,VLOOKUP($AT477&amp;"|"&amp;$CU477,LocTable,7,FALSE),VLOOKUP($AT477&amp;"|"&amp;$CU477,LocTable,6,FALSE))-$CR477-0.75&gt;=2.125)),IF(N(VLOOKUP($AT477&amp;"|"&amp;$CU477,LocTable,7,FALSE))&gt;0,VLOOKUP($AT477&amp;"|"&amp;$CU477,LocTable,7,FALSE),VLOOKUP($AT477&amp;"|"&amp;$CU477,LocTable,6,FALSE)),$BI477-($CU477-IF(N(VLOOKUP($AT477&amp;"|"&amp;$CU477,LocTable,7,FALSE))&gt;0,VLOOKUP($AT477&amp;"|"&amp;$CU477,LocTable,7,FALSE),VLOOKUP($AT477&amp;"|"&amp;$CU477,LocTable,6,FALSE)))),$BI477-10-$CR477))</f>
        <v/>
      </c>
      <c r="CY477" s="85">
        <f>IF($CS477,"",TRIM(IF(ISNUMBER($BU477),"A "&amp;TRIM(TEXT($BU477,"# ?/??"))&amp;CHAR(34)&amp;"  ","")&amp;IF(ISNUMBER($BV477),"B "&amp;TRIM(TEXT($BV477,"# ?/??"))&amp;CHAR(34)&amp;"  ","")&amp;IF(ISNUMBER($BW477),"C "&amp;TRIM(TEXT($BW477,"# ?/??"))&amp;CHAR(34)&amp;"  ","")&amp;IF(ISNUMBER($BX477),"D "&amp;TRIM(TEXT($BX477,"# ?/??"))&amp;CHAR(34)&amp;"  ","")&amp;IF(ISNUMBER($BY477),"F "&amp;TRIM(TEXT($BY477,"# ?/??"))&amp;CHAR(34)&amp;"  ","")&amp;IF(ISNUMBER($BZ477),"E "&amp;TRIM(TEXT($BZ477,"# ?/??"))&amp;CHAR(34)&amp;"  ","")))</f>
        <v/>
      </c>
      <c r="CZ477" s="85">
        <f>IF(OR($CS477,N($BJ477)=0),"",TRIM(IF(ISNUMBER($BU477),"A "&amp;TRIM(TEXT($BU477-HeadClr,"# ?/??"))&amp;CHAR(34)&amp;"  ","")&amp;IF(ISNUMBER($BV477),"B "&amp;TRIM(TEXT($BV477-HeadClr,"# ?/??"))&amp;CHAR(34)&amp;"  ","")&amp;IF(ISNUMBER($BW477),"C "&amp;TRIM(TEXT($BW477-HeadClr,"# ?/??"))&amp;CHAR(34)&amp;"  ","")&amp;IF(ISNUMBER($BX477),"D "&amp;TRIM(TEXT($BX477-HeadClr,"# ?/??"))&amp;CHAR(34)&amp;"  ","")&amp;IF(ISNUMBER($BY477),"F "&amp;TRIM(TEXT($BY477-HeadClr,"# ?/??"))&amp;CHAR(34)&amp;"  ","")&amp;IF(ISNUMBER($BZ477),"E "&amp;TRIM(TEXT($BZ477-HeadClr,"# ?/??"))&amp;CHAR(34)&amp;"  ","")))</f>
        <v/>
      </c>
      <c r="DA477" s="84">
        <f>IF($A477="","",IF($AN477="",IFERROR(VLOOKUP($Z477,CODES,2,FALSE),""),IFERROR(VLOOKUP($AN477,CODES,2,FALSE),"")))</f>
        <v/>
      </c>
      <c r="DB477" s="84">
        <f>IF($A477="","",IF($O477="Y","PR",IF(OR($Z477="L",$Z477="RR",LEFT($Z477,2)="L-",LEFT($Z477,3)="RR-"),"LH","RH")))</f>
        <v/>
      </c>
      <c r="DC477" s="84">
        <f>IF($A477="","","S.HM"&amp;IF(OR($C477="DOOR ONLY",$X477&lt;&gt;"KD"),"MASONRY","DRYWALL")&amp;IF($C477="DOOR ONLY","",$U477)&amp;IF(AND($C477&lt;&gt;"FRAME ONLY",OR(LEFT($AH477,3)="OAK",LEFT($AH477,3)="BIR",LEFT($AH477,3)="MAP",$AH477="PC",$AH477="MC",$AH477="SCLC",$AH477="P-LAM")),"WD","HM")&amp;"1.75")</f>
        <v/>
      </c>
      <c r="DD477" s="84">
        <f>IF($CJ477="","",IF($O477="Y",$CJ477,SUBSTITUTE($CJ477,$BG477&amp;" "&amp;IFERROR(VLOOKUP($Z477,CODES,2,FALSE),"")&amp;" ",$BG477&amp;" ")))</f>
        <v/>
      </c>
      <c r="DE477" s="84">
        <f>IF($CK477="","",IF($O477="Y",$CK477,SUBSTITUTE($CK477,$BG477&amp;" "&amp;IF($AN477="",IFERROR(VLOOKUP($Z477,CODES,2,FALSE),""),IFERROR(VLOOKUP($AN477,CODES,2,FALSE),""))&amp;" ",$BG477&amp;" ")))</f>
        <v/>
      </c>
      <c r="DF477" s="84">
        <f>IF($CJ477="","",$DC477&amp;"|"&amp;$DD477&amp;"|"&amp;$DB477&amp;"|"&amp;$AT477&amp;"|"&amp;$V477&amp;"|"&amp;$Y477&amp;"|"&amp;$AB477)</f>
        <v/>
      </c>
      <c r="DG477" s="84">
        <f>IF(DF477="","",IF(COUNTIF($DF$6:DF477,DF477)=1,MAX($DG$5:DG476)+1,INDEX($DG$5:DG476,MATCH(DF477,$DF$5:DF476,0))))</f>
        <v/>
      </c>
      <c r="DH477" s="84">
        <f>IF($CK477="","",$DC477&amp;"|"&amp;$DE477&amp;"|"&amp;$AI477&amp;"|"&amp;$BK477&amp;"|"&amp;$BL477)</f>
        <v/>
      </c>
      <c r="DI477" s="84">
        <f>IF(DH477="","",IF(COUNTIF($DH$6:DH477,DH477)=1,MAX($DI$5:DI476)+1,INDEX($DI$5:DI476,MATCH(DH477,$DH$5:DH476,0))))</f>
        <v/>
      </c>
      <c r="DJ477" s="84">
        <f>IF($A477="","",IF($B477="","qty, ","")&amp;IF($C477="","scope, ","")&amp;IF(OR($K477="",$M477=""),"size, ","")&amp;IF(AND($A477&lt;&gt;"",$C477&lt;&gt;"DOOR ONLY"),IF($U477="","jamb depth, ","")&amp;IF($X477="","construction, ","")&amp;IF($Y477="","anchor, ","")&amp;IF($S477="","frame type, ",""),"")&amp;IF(AND(N($BJ477)&gt;0,$Z477=""),"hand, ","")&amp;IF(N($BJ477)&gt;0,IF($AH477="","door material, ","")&amp;IF($AL477="","face type, ","")&amp;IF($AP477="","lock prep, ","")&amp;IF(AND($AO477="",$AC477=""),"hinge prep, ",""),"")&amp;IF(AND($CH477&gt;0,$AH477="FRP"),"FRP cannot carry a label, ","")&amp;IF(AND($O477="Y",OR($Z477="L",$Z477="R",$Z477="LR",$Z477="RR")),"pair marked but hand is single, ","")&amp;IF(AND($O477&lt;&gt;"Y",OR($Z477="PR",AND(LEN($Z477)&gt;1,ISNUMBER(SEARCH("-",$Z477))))),"pair hand on a single door, ","")&amp;IF(AND(ISNUMBER($CI477),$CH477&lt;N($CI477)),"wall needs a "&amp;$CI477&amp;" min door, ","")&amp;IF(AND($CH477&gt;=180,AND(OR($CE477="FG",$CE477="HG",$CE477="FNV",$CE477="FV"),N($CF477)*N($CG477)&gt;100)),"180 min lite over 100 sq in, ","")&amp;IF(N($BK477)&gt;48,"leaf wider than 4'-0"&amp;CHAR(34)&amp;", ","")&amp;IF(AND($CT477,COUNT($AW477:$AZ477)=0,$CQ477&gt;0),"CUSTOM LOC with no locations typed, ",""))</f>
        <v/>
      </c>
      <c r="DK477" s="84">
        <f>IF($A477="","",IF(AND($CH477&gt;0,AND($A477&lt;&gt;"",$C477&lt;&gt;"DOOR ONLY"),$X477="KD",$E477="EXTERIOR"),"KD label on an exterior opening, ","")&amp;IF(AND($E477="EXTERIOR",OR(AND(AND($A477&lt;&gt;"",$C477&lt;&gt;"DOOR ONLY"),$W477="CR"),AND(N($BJ477)&gt;0,$AH477="CR"))),"exterior in CR steel (G9?), ","")&amp;IF(AND(ISNUMBER($BQ477),N($BQ477)&lt;32),"clear width ~"&amp;TEXT($BQ477,"0.0")&amp;CHAR(34)&amp;" under 32"&amp;CHAR(34)&amp;" (ADA), ","")&amp;IF(AND($CH477=90,AND(OR($CE477="FG",$CE477="HG",$CE477="FNV",$CE477="FV"),N($CF477)*N($CG477)&gt;100)),"90 min lite over 100 sq in (stair/exit), ","")&amp;IF(AND($CH477&gt;0,AND($A477&lt;&gt;"",$C477&lt;&gt;"DOOR ONLY"),OR($AF477="",$AF477="-")),"rated: closer reinf.?, ","")&amp;IF(OR($I477="CORRIDOR",$I477="SMOKE BARRIER"),"S label + smoke gasketing, ","")&amp;IF($CI477="?","wall type/hr not in IBC table, ","")&amp;IF(AND(N($BJ477)&gt;0,$BB477=""),"no hardware set, ","")&amp;IF(AND($BB477&lt;&gt;"",ISNA(MATCH($BB477&amp;"",HWSets,0))),"set "&amp;$BB477&amp;" not on HW Sets, ","")&amp;IF(N($BL477)&gt;96,"leaf over 8'-0"&amp;CHAR(34)&amp;" - check listing, ","")&amp;IF(AND($CT477,COUNT($AW477:$AZ477)&gt;0,COUNT($AW477:$AZ477)&lt;&gt;$CQ477),COUNT($AW477:$AZ477)&amp;" custom hinges typed, "&amp;$CQ477&amp;" expected, ","")&amp;IF(AND(ISNUMBER($CA477),OR(N($CA477)&lt;34,N($CA477)&gt;48)),"lock "&amp;TEXT($CA477,"0.0")&amp;CHAR(34)&amp;" AFF outside 34-48"&amp;CHAR(34)&amp;" (ADA), ","")&amp;IF(AND(ISNUMBER($AV477),ISNUMBER($BL477),N($AV477)&lt;IF(N($BL477)&lt;=60,2,IF(N($BL477)&lt;=90,3,IF(N($BL477)&lt;=120,4,5)))),"fewer hinges than standard, ",""))</f>
        <v/>
      </c>
    </row>
    <row r="478" ht="15" customHeight="1">
      <c r="A478" s="77" t="n"/>
      <c r="B478" s="78" t="n"/>
      <c r="C478" s="78" t="n"/>
      <c r="D478" s="78" t="n"/>
      <c r="E478" s="78" t="n"/>
      <c r="F478" s="78" t="n"/>
      <c r="G478" s="78" t="n"/>
      <c r="H478" s="78" t="n"/>
      <c r="I478" s="78" t="n"/>
      <c r="J478" s="78" t="n"/>
      <c r="K478" s="78" t="n"/>
      <c r="L478" s="78" t="n"/>
      <c r="M478" s="78" t="n"/>
      <c r="N478" s="78" t="n"/>
      <c r="O478" s="78" t="n"/>
      <c r="P478" s="78" t="n"/>
      <c r="Q478" s="78" t="n"/>
      <c r="R478" s="78" t="n"/>
      <c r="S478" s="79" t="n"/>
      <c r="T478" s="79" t="n"/>
      <c r="U478" s="79" t="n"/>
      <c r="V478" s="79" t="n"/>
      <c r="W478" s="79" t="n"/>
      <c r="X478" s="79" t="n"/>
      <c r="Y478" s="79" t="n"/>
      <c r="Z478" s="79" t="n"/>
      <c r="AA478" s="79" t="n"/>
      <c r="AB478" s="79" t="n"/>
      <c r="AC478" s="79" t="n"/>
      <c r="AD478" s="79" t="n"/>
      <c r="AE478" s="79" t="n"/>
      <c r="AF478" s="79" t="n"/>
      <c r="AG478" s="79" t="n"/>
      <c r="AH478" s="80" t="n"/>
      <c r="AI478" s="80" t="n"/>
      <c r="AJ478" s="80" t="n"/>
      <c r="AK478" s="80" t="n"/>
      <c r="AL478" s="80" t="n"/>
      <c r="AM478" s="80" t="n"/>
      <c r="AN478" s="80" t="n"/>
      <c r="AO478" s="80" t="n"/>
      <c r="AP478" s="80" t="n"/>
      <c r="AQ478" s="80" t="n"/>
      <c r="AR478" s="80" t="n"/>
      <c r="AS478" s="80" t="n"/>
      <c r="AT478" s="81" t="n"/>
      <c r="AU478" s="81" t="n"/>
      <c r="AV478" s="81" t="n"/>
      <c r="AW478" s="82" t="n"/>
      <c r="AX478" s="82" t="n"/>
      <c r="AY478" s="82" t="n"/>
      <c r="AZ478" s="82" t="n"/>
      <c r="BA478" s="82" t="n"/>
      <c r="BB478" s="83" t="n"/>
      <c r="BC478" s="83" t="n"/>
      <c r="BD478" s="84">
        <f>IF($A478="","",IF($DJ478&lt;&gt;"","FIX",IF($DK478&lt;&gt;"","CHECK","OK")))</f>
        <v/>
      </c>
      <c r="BE478" s="85">
        <f>IF($A478="","",IF($DJ478&lt;&gt;"","FIX: "&amp;LEFT($DJ478,LEN($DJ478)-2)&amp;IF($DK478&lt;&gt;"","  ·  ",""),"")&amp;IF($DK478&lt;&gt;"","CHECK: "&amp;LEFT($DK478,LEN($DK478)-2),""))</f>
        <v/>
      </c>
      <c r="BF478" s="84">
        <f>IF(OR($A478="",$K478=""),"",$K478&amp;"'-"&amp;N($L478)&amp;CHAR(34)&amp;" x "&amp;$M478&amp;"'-"&amp;N($N478)&amp;CHAR(34))</f>
        <v/>
      </c>
      <c r="BG478" s="84">
        <f>IF(OR($A478="",$K478=""),"",$K478&amp;N($L478)&amp;$M478&amp;N($N478))</f>
        <v/>
      </c>
      <c r="BH478" s="84">
        <f>IF(OR($A478="",$K478=""),"",$K478*12+N($L478))</f>
        <v/>
      </c>
      <c r="BI478" s="84">
        <f>IF(OR($A478="",$M478=""),"",$M478*12+N($N478))</f>
        <v/>
      </c>
      <c r="BJ478" s="84">
        <f>IF($A478="","",IF(OR($C478="FRAME ONLY",$S478="BL"),0,IF($O478="Y",2,1)))</f>
        <v/>
      </c>
      <c r="BK478" s="86">
        <f>IF(OR(N($BJ478)=0,$BH478=""),"",($BH478-2*EdgeClr-IF($BJ478=2,MeetClr,0))/$BJ478)</f>
        <v/>
      </c>
      <c r="BL478" s="86">
        <f>IF(OR(N($BJ478)=0,$BI478=""),"",$BI478-HeadClr-Undercut)</f>
        <v/>
      </c>
      <c r="BM478" s="86">
        <f>IF($BH478="","",$BH478+2*FaceW+IF(N($Q478)&gt;0,($Q478+FaceW)*IF($R478="LR",2,1),0))</f>
        <v/>
      </c>
      <c r="BN478" s="86">
        <f>IF($BI478="","",$BI478+IF($AB478="Y",4,FaceW)+IF(N($P478)&gt;0,$P478+FaceW,0)+IF(OR($S478="4F",$S478="BL"),FaceW,0))</f>
        <v/>
      </c>
      <c r="BO478" s="86">
        <f>IF($BM478="","",$BM478+2*ROSide)</f>
        <v/>
      </c>
      <c r="BP478" s="86">
        <f>IF($BN478="","",$BN478+ROTop)</f>
        <v/>
      </c>
      <c r="BQ478" s="87">
        <f>IF(OR(N($BJ478)=0,$BH478=""),"",$BH478/$BJ478-ClearDeduct)</f>
        <v/>
      </c>
      <c r="BR478" s="84">
        <f>IF(N($CH478)=0,"",IF($CH478&gt;=180,"A · 3 HR",IF($CH478&gt;=90,"B · 1-1/2 HR",IF($CH478&gt;=60,"B · 1 HR",IF($CH478&gt;=45,"C · 3/4 HR","20 MIN")))))&amp;IF(AND(N($CH478)&gt;0,OR($I478="CORRIDOR",$I478="SMOKE BARRIER"))," · S","")</f>
        <v/>
      </c>
      <c r="BS478" s="84">
        <f>IF($CS478,"",IF($AV478&lt;&gt;"",$AV478,IF(OR($AC478="HGC",$AO478="HGC"),"CONT",IF(($BI478-HeadClr-Undercut)&lt;=60,2,IF(($BI478-HeadClr-Undercut)&lt;=90,3,IF(($BI478-HeadClr-Undercut)&lt;=120,4,5))))))</f>
        <v/>
      </c>
      <c r="BT478" s="84">
        <f>IF($CS478,"",IF($CT478,"CUSTOM (typed)",IF($CV478,$AT478&amp;" "&amp;$CU478&amp;CHAR(34)&amp;IF($CU478&lt;&gt;$BI478,IF(AND($BI478&lt;$CU478,$BI478-IF(N(VLOOKUP($AT478&amp;"|"&amp;$CU478,LocTable,7,FALSE))&gt;0,VLOOKUP($AT478&amp;"|"&amp;$CU478,LocTable,7,FALSE),VLOOKUP($AT478&amp;"|"&amp;$CU478,LocTable,6,FALSE))-$CR478-0.75&gt;=2.125)," cut down"," adj."),""),"ANSI/SDI A250.6")))</f>
        <v/>
      </c>
      <c r="BU478" s="88">
        <f>IF($CS478,"",IF($CT478,IF(N($AW478)&gt;0,N($AW478),""),IF(1&gt;$CQ478,"",IF($CQ478=1,$CW478,$CW478+($CX478-$CW478)*0/($CQ478-1)))))</f>
        <v/>
      </c>
      <c r="BV478" s="88">
        <f>IF($CS478,"",IF($CT478,IF(N($AX478)&gt;0,N($AX478),""),IF(2&gt;$CQ478,"",IF($CQ478=1,$CW478,$CW478+($CX478-$CW478)*1/($CQ478-1)))))</f>
        <v/>
      </c>
      <c r="BW478" s="88">
        <f>IF($CS478,"",IF($CT478,IF(N($AY478)&gt;0,N($AY478),""),IF(3&gt;$CQ478,"",IF($CQ478=1,$CW478,$CW478+($CX478-$CW478)*2/($CQ478-1)))))</f>
        <v/>
      </c>
      <c r="BX478" s="88">
        <f>IF($CS478,"",IF($CT478,IF(N($AZ478)&gt;0,N($AZ478),""),IF(4&gt;$CQ478,"",IF($CQ478=1,$CW478,$CW478+($CX478-$CW478)*3/($CQ478-1)))))</f>
        <v/>
      </c>
      <c r="BY478" s="88">
        <f>IF($CS478,"",IF($CT478,"",IF(5&gt;$CQ478,"",IF($CQ478=1,$CW478,$CW478+($CX478-$CW478)*4/($CQ478-1)))))</f>
        <v/>
      </c>
      <c r="BZ478" s="88">
        <f>IF(OR($CS478,$AP478="-",AND($AP478="",$AD478="")),"",IF(N($BA478)&gt;0,N($BA478),IF($CV478,IF(AND($BI478&lt;$CU478,$BI478-IF(N(VLOOKUP($AT478&amp;"|"&amp;$CU478,LocTable,7,FALSE))&gt;0,VLOOKUP($AT478&amp;"|"&amp;$CU478,LocTable,7,FALSE),VLOOKUP($AT478&amp;"|"&amp;$CU478,LocTable,6,FALSE))-$CR478-0.75&gt;=2.125),VLOOKUP($AT478&amp;"|"&amp;$CU478,LocTable,8,FALSE),VLOOKUP($AT478&amp;"|"&amp;$CU478,LocTable,8,FALSE)+($BI478-$CU478)),$BI478-LockAFF)))</f>
        <v/>
      </c>
      <c r="CA478" s="89">
        <f>IF($BZ478="","",$BI478-$BZ478)</f>
        <v/>
      </c>
      <c r="CB478" s="84">
        <f>IF(OR(NOT(AND($A478&lt;&gt;"",$C478&lt;&gt;"DOOR ONLY")),$BI478=""),"",IF(($BI478+IF(N($P478)&gt;0,$P478+FaceW,0))&lt;=90,3,IF(($BI478+IF(N($P478)&gt;0,$P478+FaceW,0))&lt;=114,4,5)))</f>
        <v/>
      </c>
      <c r="CC478" s="84">
        <f>IF($CB478="","",$CB478*(2+IF(N($Q478)&gt;0,IF($R478="LR",2,1),0)))</f>
        <v/>
      </c>
      <c r="CD478" s="84">
        <f>IF($CB478="","",(2+IF(N($Q478)&gt;0,IF($R478="LR",2,1),0)))</f>
        <v/>
      </c>
      <c r="CE478" s="84">
        <f>IF(N($BJ478)=0,"",IF(OR($AL478="",$AL478="FLUSH"),"FLUSH",IFERROR(LEFT($AL478,FIND("-",$AL478)-1),LEFT($AL478,2))))</f>
        <v/>
      </c>
      <c r="CF478" s="84">
        <f>IF($CE478="","",IFERROR(VALUE(MID($AL478,FIND("-",$AL478)+1,FIND(CHAR(34)&amp;"x",$AL478)-FIND("-",$AL478)-1)),0))</f>
        <v/>
      </c>
      <c r="CG478" s="84">
        <f>IF($CE478="","",IFERROR(VALUE(MID($AL478,FIND(CHAR(34)&amp;"x",$AL478)+2,FIND(CHAR(34),$AL478,FIND(CHAR(34)&amp;"x",$AL478)+2)-FIND(CHAR(34)&amp;"x",$AL478)-2)),0))</f>
        <v/>
      </c>
      <c r="CH478" s="90">
        <f>IF(OR($A478="",$H478="",$H478="NO LAB"),0,IFERROR(VALUE(LEFT($H478,FIND(" ",$H478)-1)),0))</f>
        <v/>
      </c>
      <c r="CI478" s="91">
        <f>IF(OR($A478="",$I478="",$I478="NON-RATED",N($J478)=0),"",IFERROR(VLOOKUP($I478&amp;"|"&amp;$J478,IBC,2,FALSE),"?"))</f>
        <v/>
      </c>
      <c r="CJ478" s="85">
        <f>IF(NOT(AND($A478&lt;&gt;"",$C478&lt;&gt;"DOOR ONLY")),"",TRIM(IFERROR(VLOOKUP($U478,CODES,2,FALSE),"")&amp;" "&amp;$BG478&amp;" "&amp;IFERROR(VLOOKUP($Z478,CODES,2,FALSE),"")&amp;" "&amp;IFERROR(VLOOKUP($X478,CODES,2,FALSE),"")&amp;" "&amp;IFERROR(VLOOKUP($S478,CODES,2,FALSE),"")&amp;IF(N($P478)&gt;0," w/TRANSOM "&amp;$P478&amp;CHAR(34),"")&amp;IF(N($Q478)&gt;0," w/SIDELITE "&amp;$Q478&amp;CHAR(34)&amp;" "&amp;IF($R478="","R",$R478),"")&amp;IF($Y478="","  |  "," | "&amp;IFERROR(VLOOKUP($Y478,CODES,2,FALSE),"")&amp;" | ")&amp;IFERROR(VLOOKUP($AC478,CODES,2,FALSE),"")&amp;" "&amp;IFERROR(VLOOKUP($AD478,CODES,2,FALSE),"")&amp;IF(OR($AE478="",$AE478="-"),""," "&amp;$AE478)&amp;IF(OR($AF478="",$AF478="-"),""," "&amp;$AF478)&amp;IF($AB478="Y"," 4"&amp;CHAR(34)&amp;" HEAD","")&amp;" "&amp;IFERROR(VLOOKUP($H478,CODES,2,FALSE),"")&amp;IF($CT478," | LOC "&amp;$CY478,"")))</f>
        <v/>
      </c>
      <c r="CK478" s="85">
        <f>IF(NOT(AND($A478&lt;&gt;"",N($BJ478)&gt;0)),"",TRIM(IFERROR(VLOOKUP($AH478,CODES,2,FALSE),"")&amp;IF($AI478=""," "," "&amp;$AI478&amp;"GA ")&amp;$BG478&amp;" "&amp;IF($AN478="",IFERROR(VLOOKUP($Z478,CODES,2,FALSE),""),IFERROR(VLOOKUP($AN478,CODES,2,FALSE),""))&amp;IF($BJ478=2," PAIR","")&amp;" DOOR | "&amp;IF($AL478="","?",$AL478)&amp;" | "&amp;IF($AO478="",IFERROR(VLOOKUP($AC478,CODES,2,FALSE),""),IFERROR(VLOOKUP($AO478,CODES,2,FALSE),""))&amp;" "&amp;IFERROR(VLOOKUP($AP478,CODES,2,FALSE),"")&amp;IF(OR($AQ478="",$AQ478="-"),""," SEAM "&amp;$AQ478)&amp;IF($AR478="Y"," ASTRAGAL","")&amp;IF($AJ478=""," "," "&amp;$AJ478)&amp;IF($AK478=""," "," "&amp;$AK478)&amp;IF(OR($AT478="",$AT478="ANSI/SDI",$AT478="CUSTOM LOC"),""," "&amp;$AT478)&amp;IF($AM478=""," "," SERIES "&amp;$AM478)&amp;" "&amp;IFERROR(VLOOKUP($H478,CODES,2,FALSE),"")&amp;IF($CT478," | LOC "&amp;$CZ478,"")))</f>
        <v/>
      </c>
      <c r="CL478" s="84">
        <f>IF(CP478="","",IF(COUNTIF($CP$6:CP478,CP478)=1,MAX($CL$5:CL477)+1,INDEX($CL$5:CL477,MATCH(CP478,$CP$5:CP477,0))))</f>
        <v/>
      </c>
      <c r="CM478" s="84">
        <f>IF(NOT(AND($A478&lt;&gt;"",$C478&lt;&gt;"DOOR ONLY")),"",MAX($CM$5:CM477)+1)</f>
        <v/>
      </c>
      <c r="CN478" s="84">
        <f>IF(NOT(AND($A478&lt;&gt;"",N($BJ478)&gt;0)),"",MAX($CN$5:CN477)+1)</f>
        <v/>
      </c>
      <c r="CO478" s="84">
        <f>IF($A478="","",MAX($CO$5:CO477)+1)</f>
        <v/>
      </c>
      <c r="CP478" s="84">
        <f>IF(OR($A478="",$BH478="",$BI478=""),"",$BG478&amp;"|"&amp;$O478&amp;"|"&amp;$AL478&amp;"|"&amp;$S478&amp;"|"&amp;$P478&amp;"|"&amp;$Q478&amp;$R478&amp;"|"&amp;$C478&amp;"|"&amp;$AB478)</f>
        <v/>
      </c>
      <c r="CQ478" s="84">
        <f>N($BS478)</f>
        <v/>
      </c>
      <c r="CR478" s="84">
        <f>IF(N($AU478)&gt;0,N($AU478),4.5)</f>
        <v/>
      </c>
      <c r="CS478" s="84">
        <f>OR($A478="",$BI478="",$S478="BL",AND($C478="FRAME ONLY",OR($AC478="",$AC478="BLK")))</f>
        <v/>
      </c>
      <c r="CT478" s="84">
        <f>AND(NOT($CS478),OR($AT478="CUSTOM LOC",N($AW478)+N($AX478)+N($AY478)+N($AZ478)+N($BA478)&gt;0))</f>
        <v/>
      </c>
      <c r="CU478" s="84">
        <f>IF($BI478="","",IF($BI478&lt;=80,80,IF($BI478&lt;=84,84,96)))</f>
        <v/>
      </c>
      <c r="CV478" s="84">
        <f>ISNUMBER(MATCH($AT478&amp;"|80",LocKeys,0))</f>
        <v/>
      </c>
      <c r="CW478" s="86">
        <f>IF($CS478,"",IF($CV478,VLOOKUP($AT478&amp;"|"&amp;$CU478,LocTable,4,FALSE),5))</f>
        <v/>
      </c>
      <c r="CX478" s="86">
        <f>IF($CS478,"",IF($CV478,IF(OR($BI478=$CU478,AND($BI478&lt;$CU478,$BI478-IF(N(VLOOKUP($AT478&amp;"|"&amp;$CU478,LocTable,7,FALSE))&gt;0,VLOOKUP($AT478&amp;"|"&amp;$CU478,LocTable,7,FALSE),VLOOKUP($AT478&amp;"|"&amp;$CU478,LocTable,6,FALSE))-$CR478-0.75&gt;=2.125)),IF(N(VLOOKUP($AT478&amp;"|"&amp;$CU478,LocTable,7,FALSE))&gt;0,VLOOKUP($AT478&amp;"|"&amp;$CU478,LocTable,7,FALSE),VLOOKUP($AT478&amp;"|"&amp;$CU478,LocTable,6,FALSE)),$BI478-($CU478-IF(N(VLOOKUP($AT478&amp;"|"&amp;$CU478,LocTable,7,FALSE))&gt;0,VLOOKUP($AT478&amp;"|"&amp;$CU478,LocTable,7,FALSE),VLOOKUP($AT478&amp;"|"&amp;$CU478,LocTable,6,FALSE)))),$BI478-10-$CR478))</f>
        <v/>
      </c>
      <c r="CY478" s="85">
        <f>IF($CS478,"",TRIM(IF(ISNUMBER($BU478),"A "&amp;TRIM(TEXT($BU478,"# ?/??"))&amp;CHAR(34)&amp;"  ","")&amp;IF(ISNUMBER($BV478),"B "&amp;TRIM(TEXT($BV478,"# ?/??"))&amp;CHAR(34)&amp;"  ","")&amp;IF(ISNUMBER($BW478),"C "&amp;TRIM(TEXT($BW478,"# ?/??"))&amp;CHAR(34)&amp;"  ","")&amp;IF(ISNUMBER($BX478),"D "&amp;TRIM(TEXT($BX478,"# ?/??"))&amp;CHAR(34)&amp;"  ","")&amp;IF(ISNUMBER($BY478),"F "&amp;TRIM(TEXT($BY478,"# ?/??"))&amp;CHAR(34)&amp;"  ","")&amp;IF(ISNUMBER($BZ478),"E "&amp;TRIM(TEXT($BZ478,"# ?/??"))&amp;CHAR(34)&amp;"  ","")))</f>
        <v/>
      </c>
      <c r="CZ478" s="85">
        <f>IF(OR($CS478,N($BJ478)=0),"",TRIM(IF(ISNUMBER($BU478),"A "&amp;TRIM(TEXT($BU478-HeadClr,"# ?/??"))&amp;CHAR(34)&amp;"  ","")&amp;IF(ISNUMBER($BV478),"B "&amp;TRIM(TEXT($BV478-HeadClr,"# ?/??"))&amp;CHAR(34)&amp;"  ","")&amp;IF(ISNUMBER($BW478),"C "&amp;TRIM(TEXT($BW478-HeadClr,"# ?/??"))&amp;CHAR(34)&amp;"  ","")&amp;IF(ISNUMBER($BX478),"D "&amp;TRIM(TEXT($BX478-HeadClr,"# ?/??"))&amp;CHAR(34)&amp;"  ","")&amp;IF(ISNUMBER($BY478),"F "&amp;TRIM(TEXT($BY478-HeadClr,"# ?/??"))&amp;CHAR(34)&amp;"  ","")&amp;IF(ISNUMBER($BZ478),"E "&amp;TRIM(TEXT($BZ478-HeadClr,"# ?/??"))&amp;CHAR(34)&amp;"  ","")))</f>
        <v/>
      </c>
      <c r="DA478" s="84">
        <f>IF($A478="","",IF($AN478="",IFERROR(VLOOKUP($Z478,CODES,2,FALSE),""),IFERROR(VLOOKUP($AN478,CODES,2,FALSE),"")))</f>
        <v/>
      </c>
      <c r="DB478" s="84">
        <f>IF($A478="","",IF($O478="Y","PR",IF(OR($Z478="L",$Z478="RR",LEFT($Z478,2)="L-",LEFT($Z478,3)="RR-"),"LH","RH")))</f>
        <v/>
      </c>
      <c r="DC478" s="84">
        <f>IF($A478="","","S.HM"&amp;IF(OR($C478="DOOR ONLY",$X478&lt;&gt;"KD"),"MASONRY","DRYWALL")&amp;IF($C478="DOOR ONLY","",$U478)&amp;IF(AND($C478&lt;&gt;"FRAME ONLY",OR(LEFT($AH478,3)="OAK",LEFT($AH478,3)="BIR",LEFT($AH478,3)="MAP",$AH478="PC",$AH478="MC",$AH478="SCLC",$AH478="P-LAM")),"WD","HM")&amp;"1.75")</f>
        <v/>
      </c>
      <c r="DD478" s="84">
        <f>IF($CJ478="","",IF($O478="Y",$CJ478,SUBSTITUTE($CJ478,$BG478&amp;" "&amp;IFERROR(VLOOKUP($Z478,CODES,2,FALSE),"")&amp;" ",$BG478&amp;" ")))</f>
        <v/>
      </c>
      <c r="DE478" s="84">
        <f>IF($CK478="","",IF($O478="Y",$CK478,SUBSTITUTE($CK478,$BG478&amp;" "&amp;IF($AN478="",IFERROR(VLOOKUP($Z478,CODES,2,FALSE),""),IFERROR(VLOOKUP($AN478,CODES,2,FALSE),""))&amp;" ",$BG478&amp;" ")))</f>
        <v/>
      </c>
      <c r="DF478" s="84">
        <f>IF($CJ478="","",$DC478&amp;"|"&amp;$DD478&amp;"|"&amp;$DB478&amp;"|"&amp;$AT478&amp;"|"&amp;$V478&amp;"|"&amp;$Y478&amp;"|"&amp;$AB478)</f>
        <v/>
      </c>
      <c r="DG478" s="84">
        <f>IF(DF478="","",IF(COUNTIF($DF$6:DF478,DF478)=1,MAX($DG$5:DG477)+1,INDEX($DG$5:DG477,MATCH(DF478,$DF$5:DF477,0))))</f>
        <v/>
      </c>
      <c r="DH478" s="84">
        <f>IF($CK478="","",$DC478&amp;"|"&amp;$DE478&amp;"|"&amp;$AI478&amp;"|"&amp;$BK478&amp;"|"&amp;$BL478)</f>
        <v/>
      </c>
      <c r="DI478" s="84">
        <f>IF(DH478="","",IF(COUNTIF($DH$6:DH478,DH478)=1,MAX($DI$5:DI477)+1,INDEX($DI$5:DI477,MATCH(DH478,$DH$5:DH477,0))))</f>
        <v/>
      </c>
      <c r="DJ478" s="84">
        <f>IF($A478="","",IF($B478="","qty, ","")&amp;IF($C478="","scope, ","")&amp;IF(OR($K478="",$M478=""),"size, ","")&amp;IF(AND($A478&lt;&gt;"",$C478&lt;&gt;"DOOR ONLY"),IF($U478="","jamb depth, ","")&amp;IF($X478="","construction, ","")&amp;IF($Y478="","anchor, ","")&amp;IF($S478="","frame type, ",""),"")&amp;IF(AND(N($BJ478)&gt;0,$Z478=""),"hand, ","")&amp;IF(N($BJ478)&gt;0,IF($AH478="","door material, ","")&amp;IF($AL478="","face type, ","")&amp;IF($AP478="","lock prep, ","")&amp;IF(AND($AO478="",$AC478=""),"hinge prep, ",""),"")&amp;IF(AND($CH478&gt;0,$AH478="FRP"),"FRP cannot carry a label, ","")&amp;IF(AND($O478="Y",OR($Z478="L",$Z478="R",$Z478="LR",$Z478="RR")),"pair marked but hand is single, ","")&amp;IF(AND($O478&lt;&gt;"Y",OR($Z478="PR",AND(LEN($Z478)&gt;1,ISNUMBER(SEARCH("-",$Z478))))),"pair hand on a single door, ","")&amp;IF(AND(ISNUMBER($CI478),$CH478&lt;N($CI478)),"wall needs a "&amp;$CI478&amp;" min door, ","")&amp;IF(AND($CH478&gt;=180,AND(OR($CE478="FG",$CE478="HG",$CE478="FNV",$CE478="FV"),N($CF478)*N($CG478)&gt;100)),"180 min lite over 100 sq in, ","")&amp;IF(N($BK478)&gt;48,"leaf wider than 4'-0"&amp;CHAR(34)&amp;", ","")&amp;IF(AND($CT478,COUNT($AW478:$AZ478)=0,$CQ478&gt;0),"CUSTOM LOC with no locations typed, ",""))</f>
        <v/>
      </c>
      <c r="DK478" s="84">
        <f>IF($A478="","",IF(AND($CH478&gt;0,AND($A478&lt;&gt;"",$C478&lt;&gt;"DOOR ONLY"),$X478="KD",$E478="EXTERIOR"),"KD label on an exterior opening, ","")&amp;IF(AND($E478="EXTERIOR",OR(AND(AND($A478&lt;&gt;"",$C478&lt;&gt;"DOOR ONLY"),$W478="CR"),AND(N($BJ478)&gt;0,$AH478="CR"))),"exterior in CR steel (G9?), ","")&amp;IF(AND(ISNUMBER($BQ478),N($BQ478)&lt;32),"clear width ~"&amp;TEXT($BQ478,"0.0")&amp;CHAR(34)&amp;" under 32"&amp;CHAR(34)&amp;" (ADA), ","")&amp;IF(AND($CH478=90,AND(OR($CE478="FG",$CE478="HG",$CE478="FNV",$CE478="FV"),N($CF478)*N($CG478)&gt;100)),"90 min lite over 100 sq in (stair/exit), ","")&amp;IF(AND($CH478&gt;0,AND($A478&lt;&gt;"",$C478&lt;&gt;"DOOR ONLY"),OR($AF478="",$AF478="-")),"rated: closer reinf.?, ","")&amp;IF(OR($I478="CORRIDOR",$I478="SMOKE BARRIER"),"S label + smoke gasketing, ","")&amp;IF($CI478="?","wall type/hr not in IBC table, ","")&amp;IF(AND(N($BJ478)&gt;0,$BB478=""),"no hardware set, ","")&amp;IF(AND($BB478&lt;&gt;"",ISNA(MATCH($BB478&amp;"",HWSets,0))),"set "&amp;$BB478&amp;" not on HW Sets, ","")&amp;IF(N($BL478)&gt;96,"leaf over 8'-0"&amp;CHAR(34)&amp;" - check listing, ","")&amp;IF(AND($CT478,COUNT($AW478:$AZ478)&gt;0,COUNT($AW478:$AZ478)&lt;&gt;$CQ478),COUNT($AW478:$AZ478)&amp;" custom hinges typed, "&amp;$CQ478&amp;" expected, ","")&amp;IF(AND(ISNUMBER($CA478),OR(N($CA478)&lt;34,N($CA478)&gt;48)),"lock "&amp;TEXT($CA478,"0.0")&amp;CHAR(34)&amp;" AFF outside 34-48"&amp;CHAR(34)&amp;" (ADA), ","")&amp;IF(AND(ISNUMBER($AV478),ISNUMBER($BL478),N($AV478)&lt;IF(N($BL478)&lt;=60,2,IF(N($BL478)&lt;=90,3,IF(N($BL478)&lt;=120,4,5)))),"fewer hinges than standard, ",""))</f>
        <v/>
      </c>
    </row>
    <row r="479" ht="15" customHeight="1">
      <c r="A479" s="77" t="n"/>
      <c r="B479" s="78" t="n"/>
      <c r="C479" s="78" t="n"/>
      <c r="D479" s="78" t="n"/>
      <c r="E479" s="78" t="n"/>
      <c r="F479" s="78" t="n"/>
      <c r="G479" s="78" t="n"/>
      <c r="H479" s="78" t="n"/>
      <c r="I479" s="78" t="n"/>
      <c r="J479" s="78" t="n"/>
      <c r="K479" s="78" t="n"/>
      <c r="L479" s="78" t="n"/>
      <c r="M479" s="78" t="n"/>
      <c r="N479" s="78" t="n"/>
      <c r="O479" s="78" t="n"/>
      <c r="P479" s="78" t="n"/>
      <c r="Q479" s="78" t="n"/>
      <c r="R479" s="78" t="n"/>
      <c r="S479" s="79" t="n"/>
      <c r="T479" s="79" t="n"/>
      <c r="U479" s="79" t="n"/>
      <c r="V479" s="79" t="n"/>
      <c r="W479" s="79" t="n"/>
      <c r="X479" s="79" t="n"/>
      <c r="Y479" s="79" t="n"/>
      <c r="Z479" s="79" t="n"/>
      <c r="AA479" s="79" t="n"/>
      <c r="AB479" s="79" t="n"/>
      <c r="AC479" s="79" t="n"/>
      <c r="AD479" s="79" t="n"/>
      <c r="AE479" s="79" t="n"/>
      <c r="AF479" s="79" t="n"/>
      <c r="AG479" s="79" t="n"/>
      <c r="AH479" s="80" t="n"/>
      <c r="AI479" s="80" t="n"/>
      <c r="AJ479" s="80" t="n"/>
      <c r="AK479" s="80" t="n"/>
      <c r="AL479" s="80" t="n"/>
      <c r="AM479" s="80" t="n"/>
      <c r="AN479" s="80" t="n"/>
      <c r="AO479" s="80" t="n"/>
      <c r="AP479" s="80" t="n"/>
      <c r="AQ479" s="80" t="n"/>
      <c r="AR479" s="80" t="n"/>
      <c r="AS479" s="80" t="n"/>
      <c r="AT479" s="81" t="n"/>
      <c r="AU479" s="81" t="n"/>
      <c r="AV479" s="81" t="n"/>
      <c r="AW479" s="82" t="n"/>
      <c r="AX479" s="82" t="n"/>
      <c r="AY479" s="82" t="n"/>
      <c r="AZ479" s="82" t="n"/>
      <c r="BA479" s="82" t="n"/>
      <c r="BB479" s="83" t="n"/>
      <c r="BC479" s="83" t="n"/>
      <c r="BD479" s="84">
        <f>IF($A479="","",IF($DJ479&lt;&gt;"","FIX",IF($DK479&lt;&gt;"","CHECK","OK")))</f>
        <v/>
      </c>
      <c r="BE479" s="85">
        <f>IF($A479="","",IF($DJ479&lt;&gt;"","FIX: "&amp;LEFT($DJ479,LEN($DJ479)-2)&amp;IF($DK479&lt;&gt;"","  ·  ",""),"")&amp;IF($DK479&lt;&gt;"","CHECK: "&amp;LEFT($DK479,LEN($DK479)-2),""))</f>
        <v/>
      </c>
      <c r="BF479" s="84">
        <f>IF(OR($A479="",$K479=""),"",$K479&amp;"'-"&amp;N($L479)&amp;CHAR(34)&amp;" x "&amp;$M479&amp;"'-"&amp;N($N479)&amp;CHAR(34))</f>
        <v/>
      </c>
      <c r="BG479" s="84">
        <f>IF(OR($A479="",$K479=""),"",$K479&amp;N($L479)&amp;$M479&amp;N($N479))</f>
        <v/>
      </c>
      <c r="BH479" s="84">
        <f>IF(OR($A479="",$K479=""),"",$K479*12+N($L479))</f>
        <v/>
      </c>
      <c r="BI479" s="84">
        <f>IF(OR($A479="",$M479=""),"",$M479*12+N($N479))</f>
        <v/>
      </c>
      <c r="BJ479" s="84">
        <f>IF($A479="","",IF(OR($C479="FRAME ONLY",$S479="BL"),0,IF($O479="Y",2,1)))</f>
        <v/>
      </c>
      <c r="BK479" s="86">
        <f>IF(OR(N($BJ479)=0,$BH479=""),"",($BH479-2*EdgeClr-IF($BJ479=2,MeetClr,0))/$BJ479)</f>
        <v/>
      </c>
      <c r="BL479" s="86">
        <f>IF(OR(N($BJ479)=0,$BI479=""),"",$BI479-HeadClr-Undercut)</f>
        <v/>
      </c>
      <c r="BM479" s="86">
        <f>IF($BH479="","",$BH479+2*FaceW+IF(N($Q479)&gt;0,($Q479+FaceW)*IF($R479="LR",2,1),0))</f>
        <v/>
      </c>
      <c r="BN479" s="86">
        <f>IF($BI479="","",$BI479+IF($AB479="Y",4,FaceW)+IF(N($P479)&gt;0,$P479+FaceW,0)+IF(OR($S479="4F",$S479="BL"),FaceW,0))</f>
        <v/>
      </c>
      <c r="BO479" s="86">
        <f>IF($BM479="","",$BM479+2*ROSide)</f>
        <v/>
      </c>
      <c r="BP479" s="86">
        <f>IF($BN479="","",$BN479+ROTop)</f>
        <v/>
      </c>
      <c r="BQ479" s="87">
        <f>IF(OR(N($BJ479)=0,$BH479=""),"",$BH479/$BJ479-ClearDeduct)</f>
        <v/>
      </c>
      <c r="BR479" s="84">
        <f>IF(N($CH479)=0,"",IF($CH479&gt;=180,"A · 3 HR",IF($CH479&gt;=90,"B · 1-1/2 HR",IF($CH479&gt;=60,"B · 1 HR",IF($CH479&gt;=45,"C · 3/4 HR","20 MIN")))))&amp;IF(AND(N($CH479)&gt;0,OR($I479="CORRIDOR",$I479="SMOKE BARRIER"))," · S","")</f>
        <v/>
      </c>
      <c r="BS479" s="84">
        <f>IF($CS479,"",IF($AV479&lt;&gt;"",$AV479,IF(OR($AC479="HGC",$AO479="HGC"),"CONT",IF(($BI479-HeadClr-Undercut)&lt;=60,2,IF(($BI479-HeadClr-Undercut)&lt;=90,3,IF(($BI479-HeadClr-Undercut)&lt;=120,4,5))))))</f>
        <v/>
      </c>
      <c r="BT479" s="84">
        <f>IF($CS479,"",IF($CT479,"CUSTOM (typed)",IF($CV479,$AT479&amp;" "&amp;$CU479&amp;CHAR(34)&amp;IF($CU479&lt;&gt;$BI479,IF(AND($BI479&lt;$CU479,$BI479-IF(N(VLOOKUP($AT479&amp;"|"&amp;$CU479,LocTable,7,FALSE))&gt;0,VLOOKUP($AT479&amp;"|"&amp;$CU479,LocTable,7,FALSE),VLOOKUP($AT479&amp;"|"&amp;$CU479,LocTable,6,FALSE))-$CR479-0.75&gt;=2.125)," cut down"," adj."),""),"ANSI/SDI A250.6")))</f>
        <v/>
      </c>
      <c r="BU479" s="88">
        <f>IF($CS479,"",IF($CT479,IF(N($AW479)&gt;0,N($AW479),""),IF(1&gt;$CQ479,"",IF($CQ479=1,$CW479,$CW479+($CX479-$CW479)*0/($CQ479-1)))))</f>
        <v/>
      </c>
      <c r="BV479" s="88">
        <f>IF($CS479,"",IF($CT479,IF(N($AX479)&gt;0,N($AX479),""),IF(2&gt;$CQ479,"",IF($CQ479=1,$CW479,$CW479+($CX479-$CW479)*1/($CQ479-1)))))</f>
        <v/>
      </c>
      <c r="BW479" s="88">
        <f>IF($CS479,"",IF($CT479,IF(N($AY479)&gt;0,N($AY479),""),IF(3&gt;$CQ479,"",IF($CQ479=1,$CW479,$CW479+($CX479-$CW479)*2/($CQ479-1)))))</f>
        <v/>
      </c>
      <c r="BX479" s="88">
        <f>IF($CS479,"",IF($CT479,IF(N($AZ479)&gt;0,N($AZ479),""),IF(4&gt;$CQ479,"",IF($CQ479=1,$CW479,$CW479+($CX479-$CW479)*3/($CQ479-1)))))</f>
        <v/>
      </c>
      <c r="BY479" s="88">
        <f>IF($CS479,"",IF($CT479,"",IF(5&gt;$CQ479,"",IF($CQ479=1,$CW479,$CW479+($CX479-$CW479)*4/($CQ479-1)))))</f>
        <v/>
      </c>
      <c r="BZ479" s="88">
        <f>IF(OR($CS479,$AP479="-",AND($AP479="",$AD479="")),"",IF(N($BA479)&gt;0,N($BA479),IF($CV479,IF(AND($BI479&lt;$CU479,$BI479-IF(N(VLOOKUP($AT479&amp;"|"&amp;$CU479,LocTable,7,FALSE))&gt;0,VLOOKUP($AT479&amp;"|"&amp;$CU479,LocTable,7,FALSE),VLOOKUP($AT479&amp;"|"&amp;$CU479,LocTable,6,FALSE))-$CR479-0.75&gt;=2.125),VLOOKUP($AT479&amp;"|"&amp;$CU479,LocTable,8,FALSE),VLOOKUP($AT479&amp;"|"&amp;$CU479,LocTable,8,FALSE)+($BI479-$CU479)),$BI479-LockAFF)))</f>
        <v/>
      </c>
      <c r="CA479" s="89">
        <f>IF($BZ479="","",$BI479-$BZ479)</f>
        <v/>
      </c>
      <c r="CB479" s="84">
        <f>IF(OR(NOT(AND($A479&lt;&gt;"",$C479&lt;&gt;"DOOR ONLY")),$BI479=""),"",IF(($BI479+IF(N($P479)&gt;0,$P479+FaceW,0))&lt;=90,3,IF(($BI479+IF(N($P479)&gt;0,$P479+FaceW,0))&lt;=114,4,5)))</f>
        <v/>
      </c>
      <c r="CC479" s="84">
        <f>IF($CB479="","",$CB479*(2+IF(N($Q479)&gt;0,IF($R479="LR",2,1),0)))</f>
        <v/>
      </c>
      <c r="CD479" s="84">
        <f>IF($CB479="","",(2+IF(N($Q479)&gt;0,IF($R479="LR",2,1),0)))</f>
        <v/>
      </c>
      <c r="CE479" s="84">
        <f>IF(N($BJ479)=0,"",IF(OR($AL479="",$AL479="FLUSH"),"FLUSH",IFERROR(LEFT($AL479,FIND("-",$AL479)-1),LEFT($AL479,2))))</f>
        <v/>
      </c>
      <c r="CF479" s="84">
        <f>IF($CE479="","",IFERROR(VALUE(MID($AL479,FIND("-",$AL479)+1,FIND(CHAR(34)&amp;"x",$AL479)-FIND("-",$AL479)-1)),0))</f>
        <v/>
      </c>
      <c r="CG479" s="84">
        <f>IF($CE479="","",IFERROR(VALUE(MID($AL479,FIND(CHAR(34)&amp;"x",$AL479)+2,FIND(CHAR(34),$AL479,FIND(CHAR(34)&amp;"x",$AL479)+2)-FIND(CHAR(34)&amp;"x",$AL479)-2)),0))</f>
        <v/>
      </c>
      <c r="CH479" s="90">
        <f>IF(OR($A479="",$H479="",$H479="NO LAB"),0,IFERROR(VALUE(LEFT($H479,FIND(" ",$H479)-1)),0))</f>
        <v/>
      </c>
      <c r="CI479" s="91">
        <f>IF(OR($A479="",$I479="",$I479="NON-RATED",N($J479)=0),"",IFERROR(VLOOKUP($I479&amp;"|"&amp;$J479,IBC,2,FALSE),"?"))</f>
        <v/>
      </c>
      <c r="CJ479" s="85">
        <f>IF(NOT(AND($A479&lt;&gt;"",$C479&lt;&gt;"DOOR ONLY")),"",TRIM(IFERROR(VLOOKUP($U479,CODES,2,FALSE),"")&amp;" "&amp;$BG479&amp;" "&amp;IFERROR(VLOOKUP($Z479,CODES,2,FALSE),"")&amp;" "&amp;IFERROR(VLOOKUP($X479,CODES,2,FALSE),"")&amp;" "&amp;IFERROR(VLOOKUP($S479,CODES,2,FALSE),"")&amp;IF(N($P479)&gt;0," w/TRANSOM "&amp;$P479&amp;CHAR(34),"")&amp;IF(N($Q479)&gt;0," w/SIDELITE "&amp;$Q479&amp;CHAR(34)&amp;" "&amp;IF($R479="","R",$R479),"")&amp;IF($Y479="","  |  "," | "&amp;IFERROR(VLOOKUP($Y479,CODES,2,FALSE),"")&amp;" | ")&amp;IFERROR(VLOOKUP($AC479,CODES,2,FALSE),"")&amp;" "&amp;IFERROR(VLOOKUP($AD479,CODES,2,FALSE),"")&amp;IF(OR($AE479="",$AE479="-"),""," "&amp;$AE479)&amp;IF(OR($AF479="",$AF479="-"),""," "&amp;$AF479)&amp;IF($AB479="Y"," 4"&amp;CHAR(34)&amp;" HEAD","")&amp;" "&amp;IFERROR(VLOOKUP($H479,CODES,2,FALSE),"")&amp;IF($CT479," | LOC "&amp;$CY479,"")))</f>
        <v/>
      </c>
      <c r="CK479" s="85">
        <f>IF(NOT(AND($A479&lt;&gt;"",N($BJ479)&gt;0)),"",TRIM(IFERROR(VLOOKUP($AH479,CODES,2,FALSE),"")&amp;IF($AI479=""," "," "&amp;$AI479&amp;"GA ")&amp;$BG479&amp;" "&amp;IF($AN479="",IFERROR(VLOOKUP($Z479,CODES,2,FALSE),""),IFERROR(VLOOKUP($AN479,CODES,2,FALSE),""))&amp;IF($BJ479=2," PAIR","")&amp;" DOOR | "&amp;IF($AL479="","?",$AL479)&amp;" | "&amp;IF($AO479="",IFERROR(VLOOKUP($AC479,CODES,2,FALSE),""),IFERROR(VLOOKUP($AO479,CODES,2,FALSE),""))&amp;" "&amp;IFERROR(VLOOKUP($AP479,CODES,2,FALSE),"")&amp;IF(OR($AQ479="",$AQ479="-"),""," SEAM "&amp;$AQ479)&amp;IF($AR479="Y"," ASTRAGAL","")&amp;IF($AJ479=""," "," "&amp;$AJ479)&amp;IF($AK479=""," "," "&amp;$AK479)&amp;IF(OR($AT479="",$AT479="ANSI/SDI",$AT479="CUSTOM LOC"),""," "&amp;$AT479)&amp;IF($AM479=""," "," SERIES "&amp;$AM479)&amp;" "&amp;IFERROR(VLOOKUP($H479,CODES,2,FALSE),"")&amp;IF($CT479," | LOC "&amp;$CZ479,"")))</f>
        <v/>
      </c>
      <c r="CL479" s="84">
        <f>IF(CP479="","",IF(COUNTIF($CP$6:CP479,CP479)=1,MAX($CL$5:CL478)+1,INDEX($CL$5:CL478,MATCH(CP479,$CP$5:CP478,0))))</f>
        <v/>
      </c>
      <c r="CM479" s="84">
        <f>IF(NOT(AND($A479&lt;&gt;"",$C479&lt;&gt;"DOOR ONLY")),"",MAX($CM$5:CM478)+1)</f>
        <v/>
      </c>
      <c r="CN479" s="84">
        <f>IF(NOT(AND($A479&lt;&gt;"",N($BJ479)&gt;0)),"",MAX($CN$5:CN478)+1)</f>
        <v/>
      </c>
      <c r="CO479" s="84">
        <f>IF($A479="","",MAX($CO$5:CO478)+1)</f>
        <v/>
      </c>
      <c r="CP479" s="84">
        <f>IF(OR($A479="",$BH479="",$BI479=""),"",$BG479&amp;"|"&amp;$O479&amp;"|"&amp;$AL479&amp;"|"&amp;$S479&amp;"|"&amp;$P479&amp;"|"&amp;$Q479&amp;$R479&amp;"|"&amp;$C479&amp;"|"&amp;$AB479)</f>
        <v/>
      </c>
      <c r="CQ479" s="84">
        <f>N($BS479)</f>
        <v/>
      </c>
      <c r="CR479" s="84">
        <f>IF(N($AU479)&gt;0,N($AU479),4.5)</f>
        <v/>
      </c>
      <c r="CS479" s="84">
        <f>OR($A479="",$BI479="",$S479="BL",AND($C479="FRAME ONLY",OR($AC479="",$AC479="BLK")))</f>
        <v/>
      </c>
      <c r="CT479" s="84">
        <f>AND(NOT($CS479),OR($AT479="CUSTOM LOC",N($AW479)+N($AX479)+N($AY479)+N($AZ479)+N($BA479)&gt;0))</f>
        <v/>
      </c>
      <c r="CU479" s="84">
        <f>IF($BI479="","",IF($BI479&lt;=80,80,IF($BI479&lt;=84,84,96)))</f>
        <v/>
      </c>
      <c r="CV479" s="84">
        <f>ISNUMBER(MATCH($AT479&amp;"|80",LocKeys,0))</f>
        <v/>
      </c>
      <c r="CW479" s="86">
        <f>IF($CS479,"",IF($CV479,VLOOKUP($AT479&amp;"|"&amp;$CU479,LocTable,4,FALSE),5))</f>
        <v/>
      </c>
      <c r="CX479" s="86">
        <f>IF($CS479,"",IF($CV479,IF(OR($BI479=$CU479,AND($BI479&lt;$CU479,$BI479-IF(N(VLOOKUP($AT479&amp;"|"&amp;$CU479,LocTable,7,FALSE))&gt;0,VLOOKUP($AT479&amp;"|"&amp;$CU479,LocTable,7,FALSE),VLOOKUP($AT479&amp;"|"&amp;$CU479,LocTable,6,FALSE))-$CR479-0.75&gt;=2.125)),IF(N(VLOOKUP($AT479&amp;"|"&amp;$CU479,LocTable,7,FALSE))&gt;0,VLOOKUP($AT479&amp;"|"&amp;$CU479,LocTable,7,FALSE),VLOOKUP($AT479&amp;"|"&amp;$CU479,LocTable,6,FALSE)),$BI479-($CU479-IF(N(VLOOKUP($AT479&amp;"|"&amp;$CU479,LocTable,7,FALSE))&gt;0,VLOOKUP($AT479&amp;"|"&amp;$CU479,LocTable,7,FALSE),VLOOKUP($AT479&amp;"|"&amp;$CU479,LocTable,6,FALSE)))),$BI479-10-$CR479))</f>
        <v/>
      </c>
      <c r="CY479" s="85">
        <f>IF($CS479,"",TRIM(IF(ISNUMBER($BU479),"A "&amp;TRIM(TEXT($BU479,"# ?/??"))&amp;CHAR(34)&amp;"  ","")&amp;IF(ISNUMBER($BV479),"B "&amp;TRIM(TEXT($BV479,"# ?/??"))&amp;CHAR(34)&amp;"  ","")&amp;IF(ISNUMBER($BW479),"C "&amp;TRIM(TEXT($BW479,"# ?/??"))&amp;CHAR(34)&amp;"  ","")&amp;IF(ISNUMBER($BX479),"D "&amp;TRIM(TEXT($BX479,"# ?/??"))&amp;CHAR(34)&amp;"  ","")&amp;IF(ISNUMBER($BY479),"F "&amp;TRIM(TEXT($BY479,"# ?/??"))&amp;CHAR(34)&amp;"  ","")&amp;IF(ISNUMBER($BZ479),"E "&amp;TRIM(TEXT($BZ479,"# ?/??"))&amp;CHAR(34)&amp;"  ","")))</f>
        <v/>
      </c>
      <c r="CZ479" s="85">
        <f>IF(OR($CS479,N($BJ479)=0),"",TRIM(IF(ISNUMBER($BU479),"A "&amp;TRIM(TEXT($BU479-HeadClr,"# ?/??"))&amp;CHAR(34)&amp;"  ","")&amp;IF(ISNUMBER($BV479),"B "&amp;TRIM(TEXT($BV479-HeadClr,"# ?/??"))&amp;CHAR(34)&amp;"  ","")&amp;IF(ISNUMBER($BW479),"C "&amp;TRIM(TEXT($BW479-HeadClr,"# ?/??"))&amp;CHAR(34)&amp;"  ","")&amp;IF(ISNUMBER($BX479),"D "&amp;TRIM(TEXT($BX479-HeadClr,"# ?/??"))&amp;CHAR(34)&amp;"  ","")&amp;IF(ISNUMBER($BY479),"F "&amp;TRIM(TEXT($BY479-HeadClr,"# ?/??"))&amp;CHAR(34)&amp;"  ","")&amp;IF(ISNUMBER($BZ479),"E "&amp;TRIM(TEXT($BZ479-HeadClr,"# ?/??"))&amp;CHAR(34)&amp;"  ","")))</f>
        <v/>
      </c>
      <c r="DA479" s="84">
        <f>IF($A479="","",IF($AN479="",IFERROR(VLOOKUP($Z479,CODES,2,FALSE),""),IFERROR(VLOOKUP($AN479,CODES,2,FALSE),"")))</f>
        <v/>
      </c>
      <c r="DB479" s="84">
        <f>IF($A479="","",IF($O479="Y","PR",IF(OR($Z479="L",$Z479="RR",LEFT($Z479,2)="L-",LEFT($Z479,3)="RR-"),"LH","RH")))</f>
        <v/>
      </c>
      <c r="DC479" s="84">
        <f>IF($A479="","","S.HM"&amp;IF(OR($C479="DOOR ONLY",$X479&lt;&gt;"KD"),"MASONRY","DRYWALL")&amp;IF($C479="DOOR ONLY","",$U479)&amp;IF(AND($C479&lt;&gt;"FRAME ONLY",OR(LEFT($AH479,3)="OAK",LEFT($AH479,3)="BIR",LEFT($AH479,3)="MAP",$AH479="PC",$AH479="MC",$AH479="SCLC",$AH479="P-LAM")),"WD","HM")&amp;"1.75")</f>
        <v/>
      </c>
      <c r="DD479" s="84">
        <f>IF($CJ479="","",IF($O479="Y",$CJ479,SUBSTITUTE($CJ479,$BG479&amp;" "&amp;IFERROR(VLOOKUP($Z479,CODES,2,FALSE),"")&amp;" ",$BG479&amp;" ")))</f>
        <v/>
      </c>
      <c r="DE479" s="84">
        <f>IF($CK479="","",IF($O479="Y",$CK479,SUBSTITUTE($CK479,$BG479&amp;" "&amp;IF($AN479="",IFERROR(VLOOKUP($Z479,CODES,2,FALSE),""),IFERROR(VLOOKUP($AN479,CODES,2,FALSE),""))&amp;" ",$BG479&amp;" ")))</f>
        <v/>
      </c>
      <c r="DF479" s="84">
        <f>IF($CJ479="","",$DC479&amp;"|"&amp;$DD479&amp;"|"&amp;$DB479&amp;"|"&amp;$AT479&amp;"|"&amp;$V479&amp;"|"&amp;$Y479&amp;"|"&amp;$AB479)</f>
        <v/>
      </c>
      <c r="DG479" s="84">
        <f>IF(DF479="","",IF(COUNTIF($DF$6:DF479,DF479)=1,MAX($DG$5:DG478)+1,INDEX($DG$5:DG478,MATCH(DF479,$DF$5:DF478,0))))</f>
        <v/>
      </c>
      <c r="DH479" s="84">
        <f>IF($CK479="","",$DC479&amp;"|"&amp;$DE479&amp;"|"&amp;$AI479&amp;"|"&amp;$BK479&amp;"|"&amp;$BL479)</f>
        <v/>
      </c>
      <c r="DI479" s="84">
        <f>IF(DH479="","",IF(COUNTIF($DH$6:DH479,DH479)=1,MAX($DI$5:DI478)+1,INDEX($DI$5:DI478,MATCH(DH479,$DH$5:DH478,0))))</f>
        <v/>
      </c>
      <c r="DJ479" s="84">
        <f>IF($A479="","",IF($B479="","qty, ","")&amp;IF($C479="","scope, ","")&amp;IF(OR($K479="",$M479=""),"size, ","")&amp;IF(AND($A479&lt;&gt;"",$C479&lt;&gt;"DOOR ONLY"),IF($U479="","jamb depth, ","")&amp;IF($X479="","construction, ","")&amp;IF($Y479="","anchor, ","")&amp;IF($S479="","frame type, ",""),"")&amp;IF(AND(N($BJ479)&gt;0,$Z479=""),"hand, ","")&amp;IF(N($BJ479)&gt;0,IF($AH479="","door material, ","")&amp;IF($AL479="","face type, ","")&amp;IF($AP479="","lock prep, ","")&amp;IF(AND($AO479="",$AC479=""),"hinge prep, ",""),"")&amp;IF(AND($CH479&gt;0,$AH479="FRP"),"FRP cannot carry a label, ","")&amp;IF(AND($O479="Y",OR($Z479="L",$Z479="R",$Z479="LR",$Z479="RR")),"pair marked but hand is single, ","")&amp;IF(AND($O479&lt;&gt;"Y",OR($Z479="PR",AND(LEN($Z479)&gt;1,ISNUMBER(SEARCH("-",$Z479))))),"pair hand on a single door, ","")&amp;IF(AND(ISNUMBER($CI479),$CH479&lt;N($CI479)),"wall needs a "&amp;$CI479&amp;" min door, ","")&amp;IF(AND($CH479&gt;=180,AND(OR($CE479="FG",$CE479="HG",$CE479="FNV",$CE479="FV"),N($CF479)*N($CG479)&gt;100)),"180 min lite over 100 sq in, ","")&amp;IF(N($BK479)&gt;48,"leaf wider than 4'-0"&amp;CHAR(34)&amp;", ","")&amp;IF(AND($CT479,COUNT($AW479:$AZ479)=0,$CQ479&gt;0),"CUSTOM LOC with no locations typed, ",""))</f>
        <v/>
      </c>
      <c r="DK479" s="84">
        <f>IF($A479="","",IF(AND($CH479&gt;0,AND($A479&lt;&gt;"",$C479&lt;&gt;"DOOR ONLY"),$X479="KD",$E479="EXTERIOR"),"KD label on an exterior opening, ","")&amp;IF(AND($E479="EXTERIOR",OR(AND(AND($A479&lt;&gt;"",$C479&lt;&gt;"DOOR ONLY"),$W479="CR"),AND(N($BJ479)&gt;0,$AH479="CR"))),"exterior in CR steel (G9?), ","")&amp;IF(AND(ISNUMBER($BQ479),N($BQ479)&lt;32),"clear width ~"&amp;TEXT($BQ479,"0.0")&amp;CHAR(34)&amp;" under 32"&amp;CHAR(34)&amp;" (ADA), ","")&amp;IF(AND($CH479=90,AND(OR($CE479="FG",$CE479="HG",$CE479="FNV",$CE479="FV"),N($CF479)*N($CG479)&gt;100)),"90 min lite over 100 sq in (stair/exit), ","")&amp;IF(AND($CH479&gt;0,AND($A479&lt;&gt;"",$C479&lt;&gt;"DOOR ONLY"),OR($AF479="",$AF479="-")),"rated: closer reinf.?, ","")&amp;IF(OR($I479="CORRIDOR",$I479="SMOKE BARRIER"),"S label + smoke gasketing, ","")&amp;IF($CI479="?","wall type/hr not in IBC table, ","")&amp;IF(AND(N($BJ479)&gt;0,$BB479=""),"no hardware set, ","")&amp;IF(AND($BB479&lt;&gt;"",ISNA(MATCH($BB479&amp;"",HWSets,0))),"set "&amp;$BB479&amp;" not on HW Sets, ","")&amp;IF(N($BL479)&gt;96,"leaf over 8'-0"&amp;CHAR(34)&amp;" - check listing, ","")&amp;IF(AND($CT479,COUNT($AW479:$AZ479)&gt;0,COUNT($AW479:$AZ479)&lt;&gt;$CQ479),COUNT($AW479:$AZ479)&amp;" custom hinges typed, "&amp;$CQ479&amp;" expected, ","")&amp;IF(AND(ISNUMBER($CA479),OR(N($CA479)&lt;34,N($CA479)&gt;48)),"lock "&amp;TEXT($CA479,"0.0")&amp;CHAR(34)&amp;" AFF outside 34-48"&amp;CHAR(34)&amp;" (ADA), ","")&amp;IF(AND(ISNUMBER($AV479),ISNUMBER($BL479),N($AV479)&lt;IF(N($BL479)&lt;=60,2,IF(N($BL479)&lt;=90,3,IF(N($BL479)&lt;=120,4,5)))),"fewer hinges than standard, ",""))</f>
        <v/>
      </c>
    </row>
    <row r="480" ht="15" customHeight="1">
      <c r="A480" s="92" t="n"/>
      <c r="B480" s="93" t="n"/>
      <c r="C480" s="93" t="n"/>
      <c r="D480" s="93" t="n"/>
      <c r="E480" s="93" t="n"/>
      <c r="F480" s="93" t="n"/>
      <c r="G480" s="93" t="n"/>
      <c r="H480" s="93" t="n"/>
      <c r="I480" s="93" t="n"/>
      <c r="J480" s="93" t="n"/>
      <c r="K480" s="93" t="n"/>
      <c r="L480" s="93" t="n"/>
      <c r="M480" s="93" t="n"/>
      <c r="N480" s="93" t="n"/>
      <c r="O480" s="93" t="n"/>
      <c r="P480" s="93" t="n"/>
      <c r="Q480" s="93" t="n"/>
      <c r="R480" s="93" t="n"/>
      <c r="S480" s="94" t="n"/>
      <c r="T480" s="94" t="n"/>
      <c r="U480" s="94" t="n"/>
      <c r="V480" s="94" t="n"/>
      <c r="W480" s="94" t="n"/>
      <c r="X480" s="94" t="n"/>
      <c r="Y480" s="94" t="n"/>
      <c r="Z480" s="94" t="n"/>
      <c r="AA480" s="94" t="n"/>
      <c r="AB480" s="94" t="n"/>
      <c r="AC480" s="94" t="n"/>
      <c r="AD480" s="94" t="n"/>
      <c r="AE480" s="94" t="n"/>
      <c r="AF480" s="94" t="n"/>
      <c r="AG480" s="94" t="n"/>
      <c r="AH480" s="95" t="n"/>
      <c r="AI480" s="95" t="n"/>
      <c r="AJ480" s="95" t="n"/>
      <c r="AK480" s="95" t="n"/>
      <c r="AL480" s="95" t="n"/>
      <c r="AM480" s="95" t="n"/>
      <c r="AN480" s="95" t="n"/>
      <c r="AO480" s="95" t="n"/>
      <c r="AP480" s="95" t="n"/>
      <c r="AQ480" s="95" t="n"/>
      <c r="AR480" s="95" t="n"/>
      <c r="AS480" s="95" t="n"/>
      <c r="AT480" s="96" t="n"/>
      <c r="AU480" s="96" t="n"/>
      <c r="AV480" s="96" t="n"/>
      <c r="AW480" s="97" t="n"/>
      <c r="AX480" s="97" t="n"/>
      <c r="AY480" s="97" t="n"/>
      <c r="AZ480" s="97" t="n"/>
      <c r="BA480" s="97" t="n"/>
      <c r="BB480" s="98" t="n"/>
      <c r="BC480" s="98" t="n"/>
      <c r="BD480" s="99">
        <f>IF($A480="","",IF($DJ480&lt;&gt;"","FIX",IF($DK480&lt;&gt;"","CHECK","OK")))</f>
        <v/>
      </c>
      <c r="BE480" s="100">
        <f>IF($A480="","",IF($DJ480&lt;&gt;"","FIX: "&amp;LEFT($DJ480,LEN($DJ480)-2)&amp;IF($DK480&lt;&gt;"","  ·  ",""),"")&amp;IF($DK480&lt;&gt;"","CHECK: "&amp;LEFT($DK480,LEN($DK480)-2),""))</f>
        <v/>
      </c>
      <c r="BF480" s="99">
        <f>IF(OR($A480="",$K480=""),"",$K480&amp;"'-"&amp;N($L480)&amp;CHAR(34)&amp;" x "&amp;$M480&amp;"'-"&amp;N($N480)&amp;CHAR(34))</f>
        <v/>
      </c>
      <c r="BG480" s="99">
        <f>IF(OR($A480="",$K480=""),"",$K480&amp;N($L480)&amp;$M480&amp;N($N480))</f>
        <v/>
      </c>
      <c r="BH480" s="99">
        <f>IF(OR($A480="",$K480=""),"",$K480*12+N($L480))</f>
        <v/>
      </c>
      <c r="BI480" s="99">
        <f>IF(OR($A480="",$M480=""),"",$M480*12+N($N480))</f>
        <v/>
      </c>
      <c r="BJ480" s="99">
        <f>IF($A480="","",IF(OR($C480="FRAME ONLY",$S480="BL"),0,IF($O480="Y",2,1)))</f>
        <v/>
      </c>
      <c r="BK480" s="101">
        <f>IF(OR(N($BJ480)=0,$BH480=""),"",($BH480-2*EdgeClr-IF($BJ480=2,MeetClr,0))/$BJ480)</f>
        <v/>
      </c>
      <c r="BL480" s="101">
        <f>IF(OR(N($BJ480)=0,$BI480=""),"",$BI480-HeadClr-Undercut)</f>
        <v/>
      </c>
      <c r="BM480" s="101">
        <f>IF($BH480="","",$BH480+2*FaceW+IF(N($Q480)&gt;0,($Q480+FaceW)*IF($R480="LR",2,1),0))</f>
        <v/>
      </c>
      <c r="BN480" s="101">
        <f>IF($BI480="","",$BI480+IF($AB480="Y",4,FaceW)+IF(N($P480)&gt;0,$P480+FaceW,0)+IF(OR($S480="4F",$S480="BL"),FaceW,0))</f>
        <v/>
      </c>
      <c r="BO480" s="101">
        <f>IF($BM480="","",$BM480+2*ROSide)</f>
        <v/>
      </c>
      <c r="BP480" s="101">
        <f>IF($BN480="","",$BN480+ROTop)</f>
        <v/>
      </c>
      <c r="BQ480" s="102">
        <f>IF(OR(N($BJ480)=0,$BH480=""),"",$BH480/$BJ480-ClearDeduct)</f>
        <v/>
      </c>
      <c r="BR480" s="99">
        <f>IF(N($CH480)=0,"",IF($CH480&gt;=180,"A · 3 HR",IF($CH480&gt;=90,"B · 1-1/2 HR",IF($CH480&gt;=60,"B · 1 HR",IF($CH480&gt;=45,"C · 3/4 HR","20 MIN")))))&amp;IF(AND(N($CH480)&gt;0,OR($I480="CORRIDOR",$I480="SMOKE BARRIER"))," · S","")</f>
        <v/>
      </c>
      <c r="BS480" s="99">
        <f>IF($CS480,"",IF($AV480&lt;&gt;"",$AV480,IF(OR($AC480="HGC",$AO480="HGC"),"CONT",IF(($BI480-HeadClr-Undercut)&lt;=60,2,IF(($BI480-HeadClr-Undercut)&lt;=90,3,IF(($BI480-HeadClr-Undercut)&lt;=120,4,5))))))</f>
        <v/>
      </c>
      <c r="BT480" s="99">
        <f>IF($CS480,"",IF($CT480,"CUSTOM (typed)",IF($CV480,$AT480&amp;" "&amp;$CU480&amp;CHAR(34)&amp;IF($CU480&lt;&gt;$BI480,IF(AND($BI480&lt;$CU480,$BI480-IF(N(VLOOKUP($AT480&amp;"|"&amp;$CU480,LocTable,7,FALSE))&gt;0,VLOOKUP($AT480&amp;"|"&amp;$CU480,LocTable,7,FALSE),VLOOKUP($AT480&amp;"|"&amp;$CU480,LocTable,6,FALSE))-$CR480-0.75&gt;=2.125)," cut down"," adj."),""),"ANSI/SDI A250.6")))</f>
        <v/>
      </c>
      <c r="BU480" s="103">
        <f>IF($CS480,"",IF($CT480,IF(N($AW480)&gt;0,N($AW480),""),IF(1&gt;$CQ480,"",IF($CQ480=1,$CW480,$CW480+($CX480-$CW480)*0/($CQ480-1)))))</f>
        <v/>
      </c>
      <c r="BV480" s="103">
        <f>IF($CS480,"",IF($CT480,IF(N($AX480)&gt;0,N($AX480),""),IF(2&gt;$CQ480,"",IF($CQ480=1,$CW480,$CW480+($CX480-$CW480)*1/($CQ480-1)))))</f>
        <v/>
      </c>
      <c r="BW480" s="103">
        <f>IF($CS480,"",IF($CT480,IF(N($AY480)&gt;0,N($AY480),""),IF(3&gt;$CQ480,"",IF($CQ480=1,$CW480,$CW480+($CX480-$CW480)*2/($CQ480-1)))))</f>
        <v/>
      </c>
      <c r="BX480" s="103">
        <f>IF($CS480,"",IF($CT480,IF(N($AZ480)&gt;0,N($AZ480),""),IF(4&gt;$CQ480,"",IF($CQ480=1,$CW480,$CW480+($CX480-$CW480)*3/($CQ480-1)))))</f>
        <v/>
      </c>
      <c r="BY480" s="103">
        <f>IF($CS480,"",IF($CT480,"",IF(5&gt;$CQ480,"",IF($CQ480=1,$CW480,$CW480+($CX480-$CW480)*4/($CQ480-1)))))</f>
        <v/>
      </c>
      <c r="BZ480" s="103">
        <f>IF(OR($CS480,$AP480="-",AND($AP480="",$AD480="")),"",IF(N($BA480)&gt;0,N($BA480),IF($CV480,IF(AND($BI480&lt;$CU480,$BI480-IF(N(VLOOKUP($AT480&amp;"|"&amp;$CU480,LocTable,7,FALSE))&gt;0,VLOOKUP($AT480&amp;"|"&amp;$CU480,LocTable,7,FALSE),VLOOKUP($AT480&amp;"|"&amp;$CU480,LocTable,6,FALSE))-$CR480-0.75&gt;=2.125),VLOOKUP($AT480&amp;"|"&amp;$CU480,LocTable,8,FALSE),VLOOKUP($AT480&amp;"|"&amp;$CU480,LocTable,8,FALSE)+($BI480-$CU480)),$BI480-LockAFF)))</f>
        <v/>
      </c>
      <c r="CA480" s="104">
        <f>IF($BZ480="","",$BI480-$BZ480)</f>
        <v/>
      </c>
      <c r="CB480" s="99">
        <f>IF(OR(NOT(AND($A480&lt;&gt;"",$C480&lt;&gt;"DOOR ONLY")),$BI480=""),"",IF(($BI480+IF(N($P480)&gt;0,$P480+FaceW,0))&lt;=90,3,IF(($BI480+IF(N($P480)&gt;0,$P480+FaceW,0))&lt;=114,4,5)))</f>
        <v/>
      </c>
      <c r="CC480" s="99">
        <f>IF($CB480="","",$CB480*(2+IF(N($Q480)&gt;0,IF($R480="LR",2,1),0)))</f>
        <v/>
      </c>
      <c r="CD480" s="99">
        <f>IF($CB480="","",(2+IF(N($Q480)&gt;0,IF($R480="LR",2,1),0)))</f>
        <v/>
      </c>
      <c r="CE480" s="99">
        <f>IF(N($BJ480)=0,"",IF(OR($AL480="",$AL480="FLUSH"),"FLUSH",IFERROR(LEFT($AL480,FIND("-",$AL480)-1),LEFT($AL480,2))))</f>
        <v/>
      </c>
      <c r="CF480" s="99">
        <f>IF($CE480="","",IFERROR(VALUE(MID($AL480,FIND("-",$AL480)+1,FIND(CHAR(34)&amp;"x",$AL480)-FIND("-",$AL480)-1)),0))</f>
        <v/>
      </c>
      <c r="CG480" s="99">
        <f>IF($CE480="","",IFERROR(VALUE(MID($AL480,FIND(CHAR(34)&amp;"x",$AL480)+2,FIND(CHAR(34),$AL480,FIND(CHAR(34)&amp;"x",$AL480)+2)-FIND(CHAR(34)&amp;"x",$AL480)-2)),0))</f>
        <v/>
      </c>
      <c r="CH480" s="105">
        <f>IF(OR($A480="",$H480="",$H480="NO LAB"),0,IFERROR(VALUE(LEFT($H480,FIND(" ",$H480)-1)),0))</f>
        <v/>
      </c>
      <c r="CI480" s="106">
        <f>IF(OR($A480="",$I480="",$I480="NON-RATED",N($J480)=0),"",IFERROR(VLOOKUP($I480&amp;"|"&amp;$J480,IBC,2,FALSE),"?"))</f>
        <v/>
      </c>
      <c r="CJ480" s="100">
        <f>IF(NOT(AND($A480&lt;&gt;"",$C480&lt;&gt;"DOOR ONLY")),"",TRIM(IFERROR(VLOOKUP($U480,CODES,2,FALSE),"")&amp;" "&amp;$BG480&amp;" "&amp;IFERROR(VLOOKUP($Z480,CODES,2,FALSE),"")&amp;" "&amp;IFERROR(VLOOKUP($X480,CODES,2,FALSE),"")&amp;" "&amp;IFERROR(VLOOKUP($S480,CODES,2,FALSE),"")&amp;IF(N($P480)&gt;0," w/TRANSOM "&amp;$P480&amp;CHAR(34),"")&amp;IF(N($Q480)&gt;0," w/SIDELITE "&amp;$Q480&amp;CHAR(34)&amp;" "&amp;IF($R480="","R",$R480),"")&amp;IF($Y480="","  |  "," | "&amp;IFERROR(VLOOKUP($Y480,CODES,2,FALSE),"")&amp;" | ")&amp;IFERROR(VLOOKUP($AC480,CODES,2,FALSE),"")&amp;" "&amp;IFERROR(VLOOKUP($AD480,CODES,2,FALSE),"")&amp;IF(OR($AE480="",$AE480="-"),""," "&amp;$AE480)&amp;IF(OR($AF480="",$AF480="-"),""," "&amp;$AF480)&amp;IF($AB480="Y"," 4"&amp;CHAR(34)&amp;" HEAD","")&amp;" "&amp;IFERROR(VLOOKUP($H480,CODES,2,FALSE),"")&amp;IF($CT480," | LOC "&amp;$CY480,"")))</f>
        <v/>
      </c>
      <c r="CK480" s="100">
        <f>IF(NOT(AND($A480&lt;&gt;"",N($BJ480)&gt;0)),"",TRIM(IFERROR(VLOOKUP($AH480,CODES,2,FALSE),"")&amp;IF($AI480=""," "," "&amp;$AI480&amp;"GA ")&amp;$BG480&amp;" "&amp;IF($AN480="",IFERROR(VLOOKUP($Z480,CODES,2,FALSE),""),IFERROR(VLOOKUP($AN480,CODES,2,FALSE),""))&amp;IF($BJ480=2," PAIR","")&amp;" DOOR | "&amp;IF($AL480="","?",$AL480)&amp;" | "&amp;IF($AO480="",IFERROR(VLOOKUP($AC480,CODES,2,FALSE),""),IFERROR(VLOOKUP($AO480,CODES,2,FALSE),""))&amp;" "&amp;IFERROR(VLOOKUP($AP480,CODES,2,FALSE),"")&amp;IF(OR($AQ480="",$AQ480="-"),""," SEAM "&amp;$AQ480)&amp;IF($AR480="Y"," ASTRAGAL","")&amp;IF($AJ480=""," "," "&amp;$AJ480)&amp;IF($AK480=""," "," "&amp;$AK480)&amp;IF(OR($AT480="",$AT480="ANSI/SDI",$AT480="CUSTOM LOC"),""," "&amp;$AT480)&amp;IF($AM480=""," "," SERIES "&amp;$AM480)&amp;" "&amp;IFERROR(VLOOKUP($H480,CODES,2,FALSE),"")&amp;IF($CT480," | LOC "&amp;$CZ480,"")))</f>
        <v/>
      </c>
      <c r="CL480" s="99">
        <f>IF(CP480="","",IF(COUNTIF($CP$6:CP480,CP480)=1,MAX($CL$5:CL479)+1,INDEX($CL$5:CL479,MATCH(CP480,$CP$5:CP479,0))))</f>
        <v/>
      </c>
      <c r="CM480" s="99">
        <f>IF(NOT(AND($A480&lt;&gt;"",$C480&lt;&gt;"DOOR ONLY")),"",MAX($CM$5:CM479)+1)</f>
        <v/>
      </c>
      <c r="CN480" s="99">
        <f>IF(NOT(AND($A480&lt;&gt;"",N($BJ480)&gt;0)),"",MAX($CN$5:CN479)+1)</f>
        <v/>
      </c>
      <c r="CO480" s="99">
        <f>IF($A480="","",MAX($CO$5:CO479)+1)</f>
        <v/>
      </c>
      <c r="CP480" s="99">
        <f>IF(OR($A480="",$BH480="",$BI480=""),"",$BG480&amp;"|"&amp;$O480&amp;"|"&amp;$AL480&amp;"|"&amp;$S480&amp;"|"&amp;$P480&amp;"|"&amp;$Q480&amp;$R480&amp;"|"&amp;$C480&amp;"|"&amp;$AB480)</f>
        <v/>
      </c>
      <c r="CQ480" s="99">
        <f>N($BS480)</f>
        <v/>
      </c>
      <c r="CR480" s="99">
        <f>IF(N($AU480)&gt;0,N($AU480),4.5)</f>
        <v/>
      </c>
      <c r="CS480" s="99">
        <f>OR($A480="",$BI480="",$S480="BL",AND($C480="FRAME ONLY",OR($AC480="",$AC480="BLK")))</f>
        <v/>
      </c>
      <c r="CT480" s="99">
        <f>AND(NOT($CS480),OR($AT480="CUSTOM LOC",N($AW480)+N($AX480)+N($AY480)+N($AZ480)+N($BA480)&gt;0))</f>
        <v/>
      </c>
      <c r="CU480" s="99">
        <f>IF($BI480="","",IF($BI480&lt;=80,80,IF($BI480&lt;=84,84,96)))</f>
        <v/>
      </c>
      <c r="CV480" s="99">
        <f>ISNUMBER(MATCH($AT480&amp;"|80",LocKeys,0))</f>
        <v/>
      </c>
      <c r="CW480" s="101">
        <f>IF($CS480,"",IF($CV480,VLOOKUP($AT480&amp;"|"&amp;$CU480,LocTable,4,FALSE),5))</f>
        <v/>
      </c>
      <c r="CX480" s="101">
        <f>IF($CS480,"",IF($CV480,IF(OR($BI480=$CU480,AND($BI480&lt;$CU480,$BI480-IF(N(VLOOKUP($AT480&amp;"|"&amp;$CU480,LocTable,7,FALSE))&gt;0,VLOOKUP($AT480&amp;"|"&amp;$CU480,LocTable,7,FALSE),VLOOKUP($AT480&amp;"|"&amp;$CU480,LocTable,6,FALSE))-$CR480-0.75&gt;=2.125)),IF(N(VLOOKUP($AT480&amp;"|"&amp;$CU480,LocTable,7,FALSE))&gt;0,VLOOKUP($AT480&amp;"|"&amp;$CU480,LocTable,7,FALSE),VLOOKUP($AT480&amp;"|"&amp;$CU480,LocTable,6,FALSE)),$BI480-($CU480-IF(N(VLOOKUP($AT480&amp;"|"&amp;$CU480,LocTable,7,FALSE))&gt;0,VLOOKUP($AT480&amp;"|"&amp;$CU480,LocTable,7,FALSE),VLOOKUP($AT480&amp;"|"&amp;$CU480,LocTable,6,FALSE)))),$BI480-10-$CR480))</f>
        <v/>
      </c>
      <c r="CY480" s="100">
        <f>IF($CS480,"",TRIM(IF(ISNUMBER($BU480),"A "&amp;TRIM(TEXT($BU480,"# ?/??"))&amp;CHAR(34)&amp;"  ","")&amp;IF(ISNUMBER($BV480),"B "&amp;TRIM(TEXT($BV480,"# ?/??"))&amp;CHAR(34)&amp;"  ","")&amp;IF(ISNUMBER($BW480),"C "&amp;TRIM(TEXT($BW480,"# ?/??"))&amp;CHAR(34)&amp;"  ","")&amp;IF(ISNUMBER($BX480),"D "&amp;TRIM(TEXT($BX480,"# ?/??"))&amp;CHAR(34)&amp;"  ","")&amp;IF(ISNUMBER($BY480),"F "&amp;TRIM(TEXT($BY480,"# ?/??"))&amp;CHAR(34)&amp;"  ","")&amp;IF(ISNUMBER($BZ480),"E "&amp;TRIM(TEXT($BZ480,"# ?/??"))&amp;CHAR(34)&amp;"  ","")))</f>
        <v/>
      </c>
      <c r="CZ480" s="100">
        <f>IF(OR($CS480,N($BJ480)=0),"",TRIM(IF(ISNUMBER($BU480),"A "&amp;TRIM(TEXT($BU480-HeadClr,"# ?/??"))&amp;CHAR(34)&amp;"  ","")&amp;IF(ISNUMBER($BV480),"B "&amp;TRIM(TEXT($BV480-HeadClr,"# ?/??"))&amp;CHAR(34)&amp;"  ","")&amp;IF(ISNUMBER($BW480),"C "&amp;TRIM(TEXT($BW480-HeadClr,"# ?/??"))&amp;CHAR(34)&amp;"  ","")&amp;IF(ISNUMBER($BX480),"D "&amp;TRIM(TEXT($BX480-HeadClr,"# ?/??"))&amp;CHAR(34)&amp;"  ","")&amp;IF(ISNUMBER($BY480),"F "&amp;TRIM(TEXT($BY480-HeadClr,"# ?/??"))&amp;CHAR(34)&amp;"  ","")&amp;IF(ISNUMBER($BZ480),"E "&amp;TRIM(TEXT($BZ480-HeadClr,"# ?/??"))&amp;CHAR(34)&amp;"  ","")))</f>
        <v/>
      </c>
      <c r="DA480" s="99">
        <f>IF($A480="","",IF($AN480="",IFERROR(VLOOKUP($Z480,CODES,2,FALSE),""),IFERROR(VLOOKUP($AN480,CODES,2,FALSE),"")))</f>
        <v/>
      </c>
      <c r="DB480" s="99">
        <f>IF($A480="","",IF($O480="Y","PR",IF(OR($Z480="L",$Z480="RR",LEFT($Z480,2)="L-",LEFT($Z480,3)="RR-"),"LH","RH")))</f>
        <v/>
      </c>
      <c r="DC480" s="99">
        <f>IF($A480="","","S.HM"&amp;IF(OR($C480="DOOR ONLY",$X480&lt;&gt;"KD"),"MASONRY","DRYWALL")&amp;IF($C480="DOOR ONLY","",$U480)&amp;IF(AND($C480&lt;&gt;"FRAME ONLY",OR(LEFT($AH480,3)="OAK",LEFT($AH480,3)="BIR",LEFT($AH480,3)="MAP",$AH480="PC",$AH480="MC",$AH480="SCLC",$AH480="P-LAM")),"WD","HM")&amp;"1.75")</f>
        <v/>
      </c>
      <c r="DD480" s="99">
        <f>IF($CJ480="","",IF($O480="Y",$CJ480,SUBSTITUTE($CJ480,$BG480&amp;" "&amp;IFERROR(VLOOKUP($Z480,CODES,2,FALSE),"")&amp;" ",$BG480&amp;" ")))</f>
        <v/>
      </c>
      <c r="DE480" s="99">
        <f>IF($CK480="","",IF($O480="Y",$CK480,SUBSTITUTE($CK480,$BG480&amp;" "&amp;IF($AN480="",IFERROR(VLOOKUP($Z480,CODES,2,FALSE),""),IFERROR(VLOOKUP($AN480,CODES,2,FALSE),""))&amp;" ",$BG480&amp;" ")))</f>
        <v/>
      </c>
      <c r="DF480" s="99">
        <f>IF($CJ480="","",$DC480&amp;"|"&amp;$DD480&amp;"|"&amp;$DB480&amp;"|"&amp;$AT480&amp;"|"&amp;$V480&amp;"|"&amp;$Y480&amp;"|"&amp;$AB480)</f>
        <v/>
      </c>
      <c r="DG480" s="99">
        <f>IF(DF480="","",IF(COUNTIF($DF$6:DF480,DF480)=1,MAX($DG$5:DG479)+1,INDEX($DG$5:DG479,MATCH(DF480,$DF$5:DF479,0))))</f>
        <v/>
      </c>
      <c r="DH480" s="99">
        <f>IF($CK480="","",$DC480&amp;"|"&amp;$DE480&amp;"|"&amp;$AI480&amp;"|"&amp;$BK480&amp;"|"&amp;$BL480)</f>
        <v/>
      </c>
      <c r="DI480" s="99">
        <f>IF(DH480="","",IF(COUNTIF($DH$6:DH480,DH480)=1,MAX($DI$5:DI479)+1,INDEX($DI$5:DI479,MATCH(DH480,$DH$5:DH479,0))))</f>
        <v/>
      </c>
      <c r="DJ480" s="99">
        <f>IF($A480="","",IF($B480="","qty, ","")&amp;IF($C480="","scope, ","")&amp;IF(OR($K480="",$M480=""),"size, ","")&amp;IF(AND($A480&lt;&gt;"",$C480&lt;&gt;"DOOR ONLY"),IF($U480="","jamb depth, ","")&amp;IF($X480="","construction, ","")&amp;IF($Y480="","anchor, ","")&amp;IF($S480="","frame type, ",""),"")&amp;IF(AND(N($BJ480)&gt;0,$Z480=""),"hand, ","")&amp;IF(N($BJ480)&gt;0,IF($AH480="","door material, ","")&amp;IF($AL480="","face type, ","")&amp;IF($AP480="","lock prep, ","")&amp;IF(AND($AO480="",$AC480=""),"hinge prep, ",""),"")&amp;IF(AND($CH480&gt;0,$AH480="FRP"),"FRP cannot carry a label, ","")&amp;IF(AND($O480="Y",OR($Z480="L",$Z480="R",$Z480="LR",$Z480="RR")),"pair marked but hand is single, ","")&amp;IF(AND($O480&lt;&gt;"Y",OR($Z480="PR",AND(LEN($Z480)&gt;1,ISNUMBER(SEARCH("-",$Z480))))),"pair hand on a single door, ","")&amp;IF(AND(ISNUMBER($CI480),$CH480&lt;N($CI480)),"wall needs a "&amp;$CI480&amp;" min door, ","")&amp;IF(AND($CH480&gt;=180,AND(OR($CE480="FG",$CE480="HG",$CE480="FNV",$CE480="FV"),N($CF480)*N($CG480)&gt;100)),"180 min lite over 100 sq in, ","")&amp;IF(N($BK480)&gt;48,"leaf wider than 4'-0"&amp;CHAR(34)&amp;", ","")&amp;IF(AND($CT480,COUNT($AW480:$AZ480)=0,$CQ480&gt;0),"CUSTOM LOC with no locations typed, ",""))</f>
        <v/>
      </c>
      <c r="DK480" s="99">
        <f>IF($A480="","",IF(AND($CH480&gt;0,AND($A480&lt;&gt;"",$C480&lt;&gt;"DOOR ONLY"),$X480="KD",$E480="EXTERIOR"),"KD label on an exterior opening, ","")&amp;IF(AND($E480="EXTERIOR",OR(AND(AND($A480&lt;&gt;"",$C480&lt;&gt;"DOOR ONLY"),$W480="CR"),AND(N($BJ480)&gt;0,$AH480="CR"))),"exterior in CR steel (G9?), ","")&amp;IF(AND(ISNUMBER($BQ480),N($BQ480)&lt;32),"clear width ~"&amp;TEXT($BQ480,"0.0")&amp;CHAR(34)&amp;" under 32"&amp;CHAR(34)&amp;" (ADA), ","")&amp;IF(AND($CH480=90,AND(OR($CE480="FG",$CE480="HG",$CE480="FNV",$CE480="FV"),N($CF480)*N($CG480)&gt;100)),"90 min lite over 100 sq in (stair/exit), ","")&amp;IF(AND($CH480&gt;0,AND($A480&lt;&gt;"",$C480&lt;&gt;"DOOR ONLY"),OR($AF480="",$AF480="-")),"rated: closer reinf.?, ","")&amp;IF(OR($I480="CORRIDOR",$I480="SMOKE BARRIER"),"S label + smoke gasketing, ","")&amp;IF($CI480="?","wall type/hr not in IBC table, ","")&amp;IF(AND(N($BJ480)&gt;0,$BB480=""),"no hardware set, ","")&amp;IF(AND($BB480&lt;&gt;"",ISNA(MATCH($BB480&amp;"",HWSets,0))),"set "&amp;$BB480&amp;" not on HW Sets, ","")&amp;IF(N($BL480)&gt;96,"leaf over 8'-0"&amp;CHAR(34)&amp;" - check listing, ","")&amp;IF(AND($CT480,COUNT($AW480:$AZ480)&gt;0,COUNT($AW480:$AZ480)&lt;&gt;$CQ480),COUNT($AW480:$AZ480)&amp;" custom hinges typed, "&amp;$CQ480&amp;" expected, ","")&amp;IF(AND(ISNUMBER($CA480),OR(N($CA480)&lt;34,N($CA480)&gt;48)),"lock "&amp;TEXT($CA480,"0.0")&amp;CHAR(34)&amp;" AFF outside 34-48"&amp;CHAR(34)&amp;" (ADA), ","")&amp;IF(AND(ISNUMBER($AV480),ISNUMBER($BL480),N($AV480)&lt;IF(N($BL480)&lt;=60,2,IF(N($BL480)&lt;=90,3,IF(N($BL480)&lt;=120,4,5)))),"fewer hinges than standard, ",""))</f>
        <v/>
      </c>
    </row>
    <row r="481" ht="15" customHeight="1">
      <c r="A481" s="77" t="n"/>
      <c r="B481" s="78" t="n"/>
      <c r="C481" s="78" t="n"/>
      <c r="D481" s="78" t="n"/>
      <c r="E481" s="78" t="n"/>
      <c r="F481" s="78" t="n"/>
      <c r="G481" s="78" t="n"/>
      <c r="H481" s="78" t="n"/>
      <c r="I481" s="78" t="n"/>
      <c r="J481" s="78" t="n"/>
      <c r="K481" s="78" t="n"/>
      <c r="L481" s="78" t="n"/>
      <c r="M481" s="78" t="n"/>
      <c r="N481" s="78" t="n"/>
      <c r="O481" s="78" t="n"/>
      <c r="P481" s="78" t="n"/>
      <c r="Q481" s="78" t="n"/>
      <c r="R481" s="78" t="n"/>
      <c r="S481" s="79" t="n"/>
      <c r="T481" s="79" t="n"/>
      <c r="U481" s="79" t="n"/>
      <c r="V481" s="79" t="n"/>
      <c r="W481" s="79" t="n"/>
      <c r="X481" s="79" t="n"/>
      <c r="Y481" s="79" t="n"/>
      <c r="Z481" s="79" t="n"/>
      <c r="AA481" s="79" t="n"/>
      <c r="AB481" s="79" t="n"/>
      <c r="AC481" s="79" t="n"/>
      <c r="AD481" s="79" t="n"/>
      <c r="AE481" s="79" t="n"/>
      <c r="AF481" s="79" t="n"/>
      <c r="AG481" s="79" t="n"/>
      <c r="AH481" s="80" t="n"/>
      <c r="AI481" s="80" t="n"/>
      <c r="AJ481" s="80" t="n"/>
      <c r="AK481" s="80" t="n"/>
      <c r="AL481" s="80" t="n"/>
      <c r="AM481" s="80" t="n"/>
      <c r="AN481" s="80" t="n"/>
      <c r="AO481" s="80" t="n"/>
      <c r="AP481" s="80" t="n"/>
      <c r="AQ481" s="80" t="n"/>
      <c r="AR481" s="80" t="n"/>
      <c r="AS481" s="80" t="n"/>
      <c r="AT481" s="81" t="n"/>
      <c r="AU481" s="81" t="n"/>
      <c r="AV481" s="81" t="n"/>
      <c r="AW481" s="82" t="n"/>
      <c r="AX481" s="82" t="n"/>
      <c r="AY481" s="82" t="n"/>
      <c r="AZ481" s="82" t="n"/>
      <c r="BA481" s="82" t="n"/>
      <c r="BB481" s="83" t="n"/>
      <c r="BC481" s="83" t="n"/>
      <c r="BD481" s="84">
        <f>IF($A481="","",IF($DJ481&lt;&gt;"","FIX",IF($DK481&lt;&gt;"","CHECK","OK")))</f>
        <v/>
      </c>
      <c r="BE481" s="85">
        <f>IF($A481="","",IF($DJ481&lt;&gt;"","FIX: "&amp;LEFT($DJ481,LEN($DJ481)-2)&amp;IF($DK481&lt;&gt;"","  ·  ",""),"")&amp;IF($DK481&lt;&gt;"","CHECK: "&amp;LEFT($DK481,LEN($DK481)-2),""))</f>
        <v/>
      </c>
      <c r="BF481" s="84">
        <f>IF(OR($A481="",$K481=""),"",$K481&amp;"'-"&amp;N($L481)&amp;CHAR(34)&amp;" x "&amp;$M481&amp;"'-"&amp;N($N481)&amp;CHAR(34))</f>
        <v/>
      </c>
      <c r="BG481" s="84">
        <f>IF(OR($A481="",$K481=""),"",$K481&amp;N($L481)&amp;$M481&amp;N($N481))</f>
        <v/>
      </c>
      <c r="BH481" s="84">
        <f>IF(OR($A481="",$K481=""),"",$K481*12+N($L481))</f>
        <v/>
      </c>
      <c r="BI481" s="84">
        <f>IF(OR($A481="",$M481=""),"",$M481*12+N($N481))</f>
        <v/>
      </c>
      <c r="BJ481" s="84">
        <f>IF($A481="","",IF(OR($C481="FRAME ONLY",$S481="BL"),0,IF($O481="Y",2,1)))</f>
        <v/>
      </c>
      <c r="BK481" s="86">
        <f>IF(OR(N($BJ481)=0,$BH481=""),"",($BH481-2*EdgeClr-IF($BJ481=2,MeetClr,0))/$BJ481)</f>
        <v/>
      </c>
      <c r="BL481" s="86">
        <f>IF(OR(N($BJ481)=0,$BI481=""),"",$BI481-HeadClr-Undercut)</f>
        <v/>
      </c>
      <c r="BM481" s="86">
        <f>IF($BH481="","",$BH481+2*FaceW+IF(N($Q481)&gt;0,($Q481+FaceW)*IF($R481="LR",2,1),0))</f>
        <v/>
      </c>
      <c r="BN481" s="86">
        <f>IF($BI481="","",$BI481+IF($AB481="Y",4,FaceW)+IF(N($P481)&gt;0,$P481+FaceW,0)+IF(OR($S481="4F",$S481="BL"),FaceW,0))</f>
        <v/>
      </c>
      <c r="BO481" s="86">
        <f>IF($BM481="","",$BM481+2*ROSide)</f>
        <v/>
      </c>
      <c r="BP481" s="86">
        <f>IF($BN481="","",$BN481+ROTop)</f>
        <v/>
      </c>
      <c r="BQ481" s="87">
        <f>IF(OR(N($BJ481)=0,$BH481=""),"",$BH481/$BJ481-ClearDeduct)</f>
        <v/>
      </c>
      <c r="BR481" s="84">
        <f>IF(N($CH481)=0,"",IF($CH481&gt;=180,"A · 3 HR",IF($CH481&gt;=90,"B · 1-1/2 HR",IF($CH481&gt;=60,"B · 1 HR",IF($CH481&gt;=45,"C · 3/4 HR","20 MIN")))))&amp;IF(AND(N($CH481)&gt;0,OR($I481="CORRIDOR",$I481="SMOKE BARRIER"))," · S","")</f>
        <v/>
      </c>
      <c r="BS481" s="84">
        <f>IF($CS481,"",IF($AV481&lt;&gt;"",$AV481,IF(OR($AC481="HGC",$AO481="HGC"),"CONT",IF(($BI481-HeadClr-Undercut)&lt;=60,2,IF(($BI481-HeadClr-Undercut)&lt;=90,3,IF(($BI481-HeadClr-Undercut)&lt;=120,4,5))))))</f>
        <v/>
      </c>
      <c r="BT481" s="84">
        <f>IF($CS481,"",IF($CT481,"CUSTOM (typed)",IF($CV481,$AT481&amp;" "&amp;$CU481&amp;CHAR(34)&amp;IF($CU481&lt;&gt;$BI481,IF(AND($BI481&lt;$CU481,$BI481-IF(N(VLOOKUP($AT481&amp;"|"&amp;$CU481,LocTable,7,FALSE))&gt;0,VLOOKUP($AT481&amp;"|"&amp;$CU481,LocTable,7,FALSE),VLOOKUP($AT481&amp;"|"&amp;$CU481,LocTable,6,FALSE))-$CR481-0.75&gt;=2.125)," cut down"," adj."),""),"ANSI/SDI A250.6")))</f>
        <v/>
      </c>
      <c r="BU481" s="88">
        <f>IF($CS481,"",IF($CT481,IF(N($AW481)&gt;0,N($AW481),""),IF(1&gt;$CQ481,"",IF($CQ481=1,$CW481,$CW481+($CX481-$CW481)*0/($CQ481-1)))))</f>
        <v/>
      </c>
      <c r="BV481" s="88">
        <f>IF($CS481,"",IF($CT481,IF(N($AX481)&gt;0,N($AX481),""),IF(2&gt;$CQ481,"",IF($CQ481=1,$CW481,$CW481+($CX481-$CW481)*1/($CQ481-1)))))</f>
        <v/>
      </c>
      <c r="BW481" s="88">
        <f>IF($CS481,"",IF($CT481,IF(N($AY481)&gt;0,N($AY481),""),IF(3&gt;$CQ481,"",IF($CQ481=1,$CW481,$CW481+($CX481-$CW481)*2/($CQ481-1)))))</f>
        <v/>
      </c>
      <c r="BX481" s="88">
        <f>IF($CS481,"",IF($CT481,IF(N($AZ481)&gt;0,N($AZ481),""),IF(4&gt;$CQ481,"",IF($CQ481=1,$CW481,$CW481+($CX481-$CW481)*3/($CQ481-1)))))</f>
        <v/>
      </c>
      <c r="BY481" s="88">
        <f>IF($CS481,"",IF($CT481,"",IF(5&gt;$CQ481,"",IF($CQ481=1,$CW481,$CW481+($CX481-$CW481)*4/($CQ481-1)))))</f>
        <v/>
      </c>
      <c r="BZ481" s="88">
        <f>IF(OR($CS481,$AP481="-",AND($AP481="",$AD481="")),"",IF(N($BA481)&gt;0,N($BA481),IF($CV481,IF(AND($BI481&lt;$CU481,$BI481-IF(N(VLOOKUP($AT481&amp;"|"&amp;$CU481,LocTable,7,FALSE))&gt;0,VLOOKUP($AT481&amp;"|"&amp;$CU481,LocTable,7,FALSE),VLOOKUP($AT481&amp;"|"&amp;$CU481,LocTable,6,FALSE))-$CR481-0.75&gt;=2.125),VLOOKUP($AT481&amp;"|"&amp;$CU481,LocTable,8,FALSE),VLOOKUP($AT481&amp;"|"&amp;$CU481,LocTable,8,FALSE)+($BI481-$CU481)),$BI481-LockAFF)))</f>
        <v/>
      </c>
      <c r="CA481" s="89">
        <f>IF($BZ481="","",$BI481-$BZ481)</f>
        <v/>
      </c>
      <c r="CB481" s="84">
        <f>IF(OR(NOT(AND($A481&lt;&gt;"",$C481&lt;&gt;"DOOR ONLY")),$BI481=""),"",IF(($BI481+IF(N($P481)&gt;0,$P481+FaceW,0))&lt;=90,3,IF(($BI481+IF(N($P481)&gt;0,$P481+FaceW,0))&lt;=114,4,5)))</f>
        <v/>
      </c>
      <c r="CC481" s="84">
        <f>IF($CB481="","",$CB481*(2+IF(N($Q481)&gt;0,IF($R481="LR",2,1),0)))</f>
        <v/>
      </c>
      <c r="CD481" s="84">
        <f>IF($CB481="","",(2+IF(N($Q481)&gt;0,IF($R481="LR",2,1),0)))</f>
        <v/>
      </c>
      <c r="CE481" s="84">
        <f>IF(N($BJ481)=0,"",IF(OR($AL481="",$AL481="FLUSH"),"FLUSH",IFERROR(LEFT($AL481,FIND("-",$AL481)-1),LEFT($AL481,2))))</f>
        <v/>
      </c>
      <c r="CF481" s="84">
        <f>IF($CE481="","",IFERROR(VALUE(MID($AL481,FIND("-",$AL481)+1,FIND(CHAR(34)&amp;"x",$AL481)-FIND("-",$AL481)-1)),0))</f>
        <v/>
      </c>
      <c r="CG481" s="84">
        <f>IF($CE481="","",IFERROR(VALUE(MID($AL481,FIND(CHAR(34)&amp;"x",$AL481)+2,FIND(CHAR(34),$AL481,FIND(CHAR(34)&amp;"x",$AL481)+2)-FIND(CHAR(34)&amp;"x",$AL481)-2)),0))</f>
        <v/>
      </c>
      <c r="CH481" s="90">
        <f>IF(OR($A481="",$H481="",$H481="NO LAB"),0,IFERROR(VALUE(LEFT($H481,FIND(" ",$H481)-1)),0))</f>
        <v/>
      </c>
      <c r="CI481" s="91">
        <f>IF(OR($A481="",$I481="",$I481="NON-RATED",N($J481)=0),"",IFERROR(VLOOKUP($I481&amp;"|"&amp;$J481,IBC,2,FALSE),"?"))</f>
        <v/>
      </c>
      <c r="CJ481" s="85">
        <f>IF(NOT(AND($A481&lt;&gt;"",$C481&lt;&gt;"DOOR ONLY")),"",TRIM(IFERROR(VLOOKUP($U481,CODES,2,FALSE),"")&amp;" "&amp;$BG481&amp;" "&amp;IFERROR(VLOOKUP($Z481,CODES,2,FALSE),"")&amp;" "&amp;IFERROR(VLOOKUP($X481,CODES,2,FALSE),"")&amp;" "&amp;IFERROR(VLOOKUP($S481,CODES,2,FALSE),"")&amp;IF(N($P481)&gt;0," w/TRANSOM "&amp;$P481&amp;CHAR(34),"")&amp;IF(N($Q481)&gt;0," w/SIDELITE "&amp;$Q481&amp;CHAR(34)&amp;" "&amp;IF($R481="","R",$R481),"")&amp;IF($Y481="","  |  "," | "&amp;IFERROR(VLOOKUP($Y481,CODES,2,FALSE),"")&amp;" | ")&amp;IFERROR(VLOOKUP($AC481,CODES,2,FALSE),"")&amp;" "&amp;IFERROR(VLOOKUP($AD481,CODES,2,FALSE),"")&amp;IF(OR($AE481="",$AE481="-"),""," "&amp;$AE481)&amp;IF(OR($AF481="",$AF481="-"),""," "&amp;$AF481)&amp;IF($AB481="Y"," 4"&amp;CHAR(34)&amp;" HEAD","")&amp;" "&amp;IFERROR(VLOOKUP($H481,CODES,2,FALSE),"")&amp;IF($CT481," | LOC "&amp;$CY481,"")))</f>
        <v/>
      </c>
      <c r="CK481" s="85">
        <f>IF(NOT(AND($A481&lt;&gt;"",N($BJ481)&gt;0)),"",TRIM(IFERROR(VLOOKUP($AH481,CODES,2,FALSE),"")&amp;IF($AI481=""," "," "&amp;$AI481&amp;"GA ")&amp;$BG481&amp;" "&amp;IF($AN481="",IFERROR(VLOOKUP($Z481,CODES,2,FALSE),""),IFERROR(VLOOKUP($AN481,CODES,2,FALSE),""))&amp;IF($BJ481=2," PAIR","")&amp;" DOOR | "&amp;IF($AL481="","?",$AL481)&amp;" | "&amp;IF($AO481="",IFERROR(VLOOKUP($AC481,CODES,2,FALSE),""),IFERROR(VLOOKUP($AO481,CODES,2,FALSE),""))&amp;" "&amp;IFERROR(VLOOKUP($AP481,CODES,2,FALSE),"")&amp;IF(OR($AQ481="",$AQ481="-"),""," SEAM "&amp;$AQ481)&amp;IF($AR481="Y"," ASTRAGAL","")&amp;IF($AJ481=""," "," "&amp;$AJ481)&amp;IF($AK481=""," "," "&amp;$AK481)&amp;IF(OR($AT481="",$AT481="ANSI/SDI",$AT481="CUSTOM LOC"),""," "&amp;$AT481)&amp;IF($AM481=""," "," SERIES "&amp;$AM481)&amp;" "&amp;IFERROR(VLOOKUP($H481,CODES,2,FALSE),"")&amp;IF($CT481," | LOC "&amp;$CZ481,"")))</f>
        <v/>
      </c>
      <c r="CL481" s="84">
        <f>IF(CP481="","",IF(COUNTIF($CP$6:CP481,CP481)=1,MAX($CL$5:CL480)+1,INDEX($CL$5:CL480,MATCH(CP481,$CP$5:CP480,0))))</f>
        <v/>
      </c>
      <c r="CM481" s="84">
        <f>IF(NOT(AND($A481&lt;&gt;"",$C481&lt;&gt;"DOOR ONLY")),"",MAX($CM$5:CM480)+1)</f>
        <v/>
      </c>
      <c r="CN481" s="84">
        <f>IF(NOT(AND($A481&lt;&gt;"",N($BJ481)&gt;0)),"",MAX($CN$5:CN480)+1)</f>
        <v/>
      </c>
      <c r="CO481" s="84">
        <f>IF($A481="","",MAX($CO$5:CO480)+1)</f>
        <v/>
      </c>
      <c r="CP481" s="84">
        <f>IF(OR($A481="",$BH481="",$BI481=""),"",$BG481&amp;"|"&amp;$O481&amp;"|"&amp;$AL481&amp;"|"&amp;$S481&amp;"|"&amp;$P481&amp;"|"&amp;$Q481&amp;$R481&amp;"|"&amp;$C481&amp;"|"&amp;$AB481)</f>
        <v/>
      </c>
      <c r="CQ481" s="84">
        <f>N($BS481)</f>
        <v/>
      </c>
      <c r="CR481" s="84">
        <f>IF(N($AU481)&gt;0,N($AU481),4.5)</f>
        <v/>
      </c>
      <c r="CS481" s="84">
        <f>OR($A481="",$BI481="",$S481="BL",AND($C481="FRAME ONLY",OR($AC481="",$AC481="BLK")))</f>
        <v/>
      </c>
      <c r="CT481" s="84">
        <f>AND(NOT($CS481),OR($AT481="CUSTOM LOC",N($AW481)+N($AX481)+N($AY481)+N($AZ481)+N($BA481)&gt;0))</f>
        <v/>
      </c>
      <c r="CU481" s="84">
        <f>IF($BI481="","",IF($BI481&lt;=80,80,IF($BI481&lt;=84,84,96)))</f>
        <v/>
      </c>
      <c r="CV481" s="84">
        <f>ISNUMBER(MATCH($AT481&amp;"|80",LocKeys,0))</f>
        <v/>
      </c>
      <c r="CW481" s="86">
        <f>IF($CS481,"",IF($CV481,VLOOKUP($AT481&amp;"|"&amp;$CU481,LocTable,4,FALSE),5))</f>
        <v/>
      </c>
      <c r="CX481" s="86">
        <f>IF($CS481,"",IF($CV481,IF(OR($BI481=$CU481,AND($BI481&lt;$CU481,$BI481-IF(N(VLOOKUP($AT481&amp;"|"&amp;$CU481,LocTable,7,FALSE))&gt;0,VLOOKUP($AT481&amp;"|"&amp;$CU481,LocTable,7,FALSE),VLOOKUP($AT481&amp;"|"&amp;$CU481,LocTable,6,FALSE))-$CR481-0.75&gt;=2.125)),IF(N(VLOOKUP($AT481&amp;"|"&amp;$CU481,LocTable,7,FALSE))&gt;0,VLOOKUP($AT481&amp;"|"&amp;$CU481,LocTable,7,FALSE),VLOOKUP($AT481&amp;"|"&amp;$CU481,LocTable,6,FALSE)),$BI481-($CU481-IF(N(VLOOKUP($AT481&amp;"|"&amp;$CU481,LocTable,7,FALSE))&gt;0,VLOOKUP($AT481&amp;"|"&amp;$CU481,LocTable,7,FALSE),VLOOKUP($AT481&amp;"|"&amp;$CU481,LocTable,6,FALSE)))),$BI481-10-$CR481))</f>
        <v/>
      </c>
      <c r="CY481" s="85">
        <f>IF($CS481,"",TRIM(IF(ISNUMBER($BU481),"A "&amp;TRIM(TEXT($BU481,"# ?/??"))&amp;CHAR(34)&amp;"  ","")&amp;IF(ISNUMBER($BV481),"B "&amp;TRIM(TEXT($BV481,"# ?/??"))&amp;CHAR(34)&amp;"  ","")&amp;IF(ISNUMBER($BW481),"C "&amp;TRIM(TEXT($BW481,"# ?/??"))&amp;CHAR(34)&amp;"  ","")&amp;IF(ISNUMBER($BX481),"D "&amp;TRIM(TEXT($BX481,"# ?/??"))&amp;CHAR(34)&amp;"  ","")&amp;IF(ISNUMBER($BY481),"F "&amp;TRIM(TEXT($BY481,"# ?/??"))&amp;CHAR(34)&amp;"  ","")&amp;IF(ISNUMBER($BZ481),"E "&amp;TRIM(TEXT($BZ481,"# ?/??"))&amp;CHAR(34)&amp;"  ","")))</f>
        <v/>
      </c>
      <c r="CZ481" s="85">
        <f>IF(OR($CS481,N($BJ481)=0),"",TRIM(IF(ISNUMBER($BU481),"A "&amp;TRIM(TEXT($BU481-HeadClr,"# ?/??"))&amp;CHAR(34)&amp;"  ","")&amp;IF(ISNUMBER($BV481),"B "&amp;TRIM(TEXT($BV481-HeadClr,"# ?/??"))&amp;CHAR(34)&amp;"  ","")&amp;IF(ISNUMBER($BW481),"C "&amp;TRIM(TEXT($BW481-HeadClr,"# ?/??"))&amp;CHAR(34)&amp;"  ","")&amp;IF(ISNUMBER($BX481),"D "&amp;TRIM(TEXT($BX481-HeadClr,"# ?/??"))&amp;CHAR(34)&amp;"  ","")&amp;IF(ISNUMBER($BY481),"F "&amp;TRIM(TEXT($BY481-HeadClr,"# ?/??"))&amp;CHAR(34)&amp;"  ","")&amp;IF(ISNUMBER($BZ481),"E "&amp;TRIM(TEXT($BZ481-HeadClr,"# ?/??"))&amp;CHAR(34)&amp;"  ","")))</f>
        <v/>
      </c>
      <c r="DA481" s="84">
        <f>IF($A481="","",IF($AN481="",IFERROR(VLOOKUP($Z481,CODES,2,FALSE),""),IFERROR(VLOOKUP($AN481,CODES,2,FALSE),"")))</f>
        <v/>
      </c>
      <c r="DB481" s="84">
        <f>IF($A481="","",IF($O481="Y","PR",IF(OR($Z481="L",$Z481="RR",LEFT($Z481,2)="L-",LEFT($Z481,3)="RR-"),"LH","RH")))</f>
        <v/>
      </c>
      <c r="DC481" s="84">
        <f>IF($A481="","","S.HM"&amp;IF(OR($C481="DOOR ONLY",$X481&lt;&gt;"KD"),"MASONRY","DRYWALL")&amp;IF($C481="DOOR ONLY","",$U481)&amp;IF(AND($C481&lt;&gt;"FRAME ONLY",OR(LEFT($AH481,3)="OAK",LEFT($AH481,3)="BIR",LEFT($AH481,3)="MAP",$AH481="PC",$AH481="MC",$AH481="SCLC",$AH481="P-LAM")),"WD","HM")&amp;"1.75")</f>
        <v/>
      </c>
      <c r="DD481" s="84">
        <f>IF($CJ481="","",IF($O481="Y",$CJ481,SUBSTITUTE($CJ481,$BG481&amp;" "&amp;IFERROR(VLOOKUP($Z481,CODES,2,FALSE),"")&amp;" ",$BG481&amp;" ")))</f>
        <v/>
      </c>
      <c r="DE481" s="84">
        <f>IF($CK481="","",IF($O481="Y",$CK481,SUBSTITUTE($CK481,$BG481&amp;" "&amp;IF($AN481="",IFERROR(VLOOKUP($Z481,CODES,2,FALSE),""),IFERROR(VLOOKUP($AN481,CODES,2,FALSE),""))&amp;" ",$BG481&amp;" ")))</f>
        <v/>
      </c>
      <c r="DF481" s="84">
        <f>IF($CJ481="","",$DC481&amp;"|"&amp;$DD481&amp;"|"&amp;$DB481&amp;"|"&amp;$AT481&amp;"|"&amp;$V481&amp;"|"&amp;$Y481&amp;"|"&amp;$AB481)</f>
        <v/>
      </c>
      <c r="DG481" s="84">
        <f>IF(DF481="","",IF(COUNTIF($DF$6:DF481,DF481)=1,MAX($DG$5:DG480)+1,INDEX($DG$5:DG480,MATCH(DF481,$DF$5:DF480,0))))</f>
        <v/>
      </c>
      <c r="DH481" s="84">
        <f>IF($CK481="","",$DC481&amp;"|"&amp;$DE481&amp;"|"&amp;$AI481&amp;"|"&amp;$BK481&amp;"|"&amp;$BL481)</f>
        <v/>
      </c>
      <c r="DI481" s="84">
        <f>IF(DH481="","",IF(COUNTIF($DH$6:DH481,DH481)=1,MAX($DI$5:DI480)+1,INDEX($DI$5:DI480,MATCH(DH481,$DH$5:DH480,0))))</f>
        <v/>
      </c>
      <c r="DJ481" s="84">
        <f>IF($A481="","",IF($B481="","qty, ","")&amp;IF($C481="","scope, ","")&amp;IF(OR($K481="",$M481=""),"size, ","")&amp;IF(AND($A481&lt;&gt;"",$C481&lt;&gt;"DOOR ONLY"),IF($U481="","jamb depth, ","")&amp;IF($X481="","construction, ","")&amp;IF($Y481="","anchor, ","")&amp;IF($S481="","frame type, ",""),"")&amp;IF(AND(N($BJ481)&gt;0,$Z481=""),"hand, ","")&amp;IF(N($BJ481)&gt;0,IF($AH481="","door material, ","")&amp;IF($AL481="","face type, ","")&amp;IF($AP481="","lock prep, ","")&amp;IF(AND($AO481="",$AC481=""),"hinge prep, ",""),"")&amp;IF(AND($CH481&gt;0,$AH481="FRP"),"FRP cannot carry a label, ","")&amp;IF(AND($O481="Y",OR($Z481="L",$Z481="R",$Z481="LR",$Z481="RR")),"pair marked but hand is single, ","")&amp;IF(AND($O481&lt;&gt;"Y",OR($Z481="PR",AND(LEN($Z481)&gt;1,ISNUMBER(SEARCH("-",$Z481))))),"pair hand on a single door, ","")&amp;IF(AND(ISNUMBER($CI481),$CH481&lt;N($CI481)),"wall needs a "&amp;$CI481&amp;" min door, ","")&amp;IF(AND($CH481&gt;=180,AND(OR($CE481="FG",$CE481="HG",$CE481="FNV",$CE481="FV"),N($CF481)*N($CG481)&gt;100)),"180 min lite over 100 sq in, ","")&amp;IF(N($BK481)&gt;48,"leaf wider than 4'-0"&amp;CHAR(34)&amp;", ","")&amp;IF(AND($CT481,COUNT($AW481:$AZ481)=0,$CQ481&gt;0),"CUSTOM LOC with no locations typed, ",""))</f>
        <v/>
      </c>
      <c r="DK481" s="84">
        <f>IF($A481="","",IF(AND($CH481&gt;0,AND($A481&lt;&gt;"",$C481&lt;&gt;"DOOR ONLY"),$X481="KD",$E481="EXTERIOR"),"KD label on an exterior opening, ","")&amp;IF(AND($E481="EXTERIOR",OR(AND(AND($A481&lt;&gt;"",$C481&lt;&gt;"DOOR ONLY"),$W481="CR"),AND(N($BJ481)&gt;0,$AH481="CR"))),"exterior in CR steel (G9?), ","")&amp;IF(AND(ISNUMBER($BQ481),N($BQ481)&lt;32),"clear width ~"&amp;TEXT($BQ481,"0.0")&amp;CHAR(34)&amp;" under 32"&amp;CHAR(34)&amp;" (ADA), ","")&amp;IF(AND($CH481=90,AND(OR($CE481="FG",$CE481="HG",$CE481="FNV",$CE481="FV"),N($CF481)*N($CG481)&gt;100)),"90 min lite over 100 sq in (stair/exit), ","")&amp;IF(AND($CH481&gt;0,AND($A481&lt;&gt;"",$C481&lt;&gt;"DOOR ONLY"),OR($AF481="",$AF481="-")),"rated: closer reinf.?, ","")&amp;IF(OR($I481="CORRIDOR",$I481="SMOKE BARRIER"),"S label + smoke gasketing, ","")&amp;IF($CI481="?","wall type/hr not in IBC table, ","")&amp;IF(AND(N($BJ481)&gt;0,$BB481=""),"no hardware set, ","")&amp;IF(AND($BB481&lt;&gt;"",ISNA(MATCH($BB481&amp;"",HWSets,0))),"set "&amp;$BB481&amp;" not on HW Sets, ","")&amp;IF(N($BL481)&gt;96,"leaf over 8'-0"&amp;CHAR(34)&amp;" - check listing, ","")&amp;IF(AND($CT481,COUNT($AW481:$AZ481)&gt;0,COUNT($AW481:$AZ481)&lt;&gt;$CQ481),COUNT($AW481:$AZ481)&amp;" custom hinges typed, "&amp;$CQ481&amp;" expected, ","")&amp;IF(AND(ISNUMBER($CA481),OR(N($CA481)&lt;34,N($CA481)&gt;48)),"lock "&amp;TEXT($CA481,"0.0")&amp;CHAR(34)&amp;" AFF outside 34-48"&amp;CHAR(34)&amp;" (ADA), ","")&amp;IF(AND(ISNUMBER($AV481),ISNUMBER($BL481),N($AV481)&lt;IF(N($BL481)&lt;=60,2,IF(N($BL481)&lt;=90,3,IF(N($BL481)&lt;=120,4,5)))),"fewer hinges than standard, ",""))</f>
        <v/>
      </c>
    </row>
    <row r="482" ht="15" customHeight="1">
      <c r="A482" s="77" t="n"/>
      <c r="B482" s="78" t="n"/>
      <c r="C482" s="78" t="n"/>
      <c r="D482" s="78" t="n"/>
      <c r="E482" s="78" t="n"/>
      <c r="F482" s="78" t="n"/>
      <c r="G482" s="78" t="n"/>
      <c r="H482" s="78" t="n"/>
      <c r="I482" s="78" t="n"/>
      <c r="J482" s="78" t="n"/>
      <c r="K482" s="78" t="n"/>
      <c r="L482" s="78" t="n"/>
      <c r="M482" s="78" t="n"/>
      <c r="N482" s="78" t="n"/>
      <c r="O482" s="78" t="n"/>
      <c r="P482" s="78" t="n"/>
      <c r="Q482" s="78" t="n"/>
      <c r="R482" s="78" t="n"/>
      <c r="S482" s="79" t="n"/>
      <c r="T482" s="79" t="n"/>
      <c r="U482" s="79" t="n"/>
      <c r="V482" s="79" t="n"/>
      <c r="W482" s="79" t="n"/>
      <c r="X482" s="79" t="n"/>
      <c r="Y482" s="79" t="n"/>
      <c r="Z482" s="79" t="n"/>
      <c r="AA482" s="79" t="n"/>
      <c r="AB482" s="79" t="n"/>
      <c r="AC482" s="79" t="n"/>
      <c r="AD482" s="79" t="n"/>
      <c r="AE482" s="79" t="n"/>
      <c r="AF482" s="79" t="n"/>
      <c r="AG482" s="79" t="n"/>
      <c r="AH482" s="80" t="n"/>
      <c r="AI482" s="80" t="n"/>
      <c r="AJ482" s="80" t="n"/>
      <c r="AK482" s="80" t="n"/>
      <c r="AL482" s="80" t="n"/>
      <c r="AM482" s="80" t="n"/>
      <c r="AN482" s="80" t="n"/>
      <c r="AO482" s="80" t="n"/>
      <c r="AP482" s="80" t="n"/>
      <c r="AQ482" s="80" t="n"/>
      <c r="AR482" s="80" t="n"/>
      <c r="AS482" s="80" t="n"/>
      <c r="AT482" s="81" t="n"/>
      <c r="AU482" s="81" t="n"/>
      <c r="AV482" s="81" t="n"/>
      <c r="AW482" s="82" t="n"/>
      <c r="AX482" s="82" t="n"/>
      <c r="AY482" s="82" t="n"/>
      <c r="AZ482" s="82" t="n"/>
      <c r="BA482" s="82" t="n"/>
      <c r="BB482" s="83" t="n"/>
      <c r="BC482" s="83" t="n"/>
      <c r="BD482" s="84">
        <f>IF($A482="","",IF($DJ482&lt;&gt;"","FIX",IF($DK482&lt;&gt;"","CHECK","OK")))</f>
        <v/>
      </c>
      <c r="BE482" s="85">
        <f>IF($A482="","",IF($DJ482&lt;&gt;"","FIX: "&amp;LEFT($DJ482,LEN($DJ482)-2)&amp;IF($DK482&lt;&gt;"","  ·  ",""),"")&amp;IF($DK482&lt;&gt;"","CHECK: "&amp;LEFT($DK482,LEN($DK482)-2),""))</f>
        <v/>
      </c>
      <c r="BF482" s="84">
        <f>IF(OR($A482="",$K482=""),"",$K482&amp;"'-"&amp;N($L482)&amp;CHAR(34)&amp;" x "&amp;$M482&amp;"'-"&amp;N($N482)&amp;CHAR(34))</f>
        <v/>
      </c>
      <c r="BG482" s="84">
        <f>IF(OR($A482="",$K482=""),"",$K482&amp;N($L482)&amp;$M482&amp;N($N482))</f>
        <v/>
      </c>
      <c r="BH482" s="84">
        <f>IF(OR($A482="",$K482=""),"",$K482*12+N($L482))</f>
        <v/>
      </c>
      <c r="BI482" s="84">
        <f>IF(OR($A482="",$M482=""),"",$M482*12+N($N482))</f>
        <v/>
      </c>
      <c r="BJ482" s="84">
        <f>IF($A482="","",IF(OR($C482="FRAME ONLY",$S482="BL"),0,IF($O482="Y",2,1)))</f>
        <v/>
      </c>
      <c r="BK482" s="86">
        <f>IF(OR(N($BJ482)=0,$BH482=""),"",($BH482-2*EdgeClr-IF($BJ482=2,MeetClr,0))/$BJ482)</f>
        <v/>
      </c>
      <c r="BL482" s="86">
        <f>IF(OR(N($BJ482)=0,$BI482=""),"",$BI482-HeadClr-Undercut)</f>
        <v/>
      </c>
      <c r="BM482" s="86">
        <f>IF($BH482="","",$BH482+2*FaceW+IF(N($Q482)&gt;0,($Q482+FaceW)*IF($R482="LR",2,1),0))</f>
        <v/>
      </c>
      <c r="BN482" s="86">
        <f>IF($BI482="","",$BI482+IF($AB482="Y",4,FaceW)+IF(N($P482)&gt;0,$P482+FaceW,0)+IF(OR($S482="4F",$S482="BL"),FaceW,0))</f>
        <v/>
      </c>
      <c r="BO482" s="86">
        <f>IF($BM482="","",$BM482+2*ROSide)</f>
        <v/>
      </c>
      <c r="BP482" s="86">
        <f>IF($BN482="","",$BN482+ROTop)</f>
        <v/>
      </c>
      <c r="BQ482" s="87">
        <f>IF(OR(N($BJ482)=0,$BH482=""),"",$BH482/$BJ482-ClearDeduct)</f>
        <v/>
      </c>
      <c r="BR482" s="84">
        <f>IF(N($CH482)=0,"",IF($CH482&gt;=180,"A · 3 HR",IF($CH482&gt;=90,"B · 1-1/2 HR",IF($CH482&gt;=60,"B · 1 HR",IF($CH482&gt;=45,"C · 3/4 HR","20 MIN")))))&amp;IF(AND(N($CH482)&gt;0,OR($I482="CORRIDOR",$I482="SMOKE BARRIER"))," · S","")</f>
        <v/>
      </c>
      <c r="BS482" s="84">
        <f>IF($CS482,"",IF($AV482&lt;&gt;"",$AV482,IF(OR($AC482="HGC",$AO482="HGC"),"CONT",IF(($BI482-HeadClr-Undercut)&lt;=60,2,IF(($BI482-HeadClr-Undercut)&lt;=90,3,IF(($BI482-HeadClr-Undercut)&lt;=120,4,5))))))</f>
        <v/>
      </c>
      <c r="BT482" s="84">
        <f>IF($CS482,"",IF($CT482,"CUSTOM (typed)",IF($CV482,$AT482&amp;" "&amp;$CU482&amp;CHAR(34)&amp;IF($CU482&lt;&gt;$BI482,IF(AND($BI482&lt;$CU482,$BI482-IF(N(VLOOKUP($AT482&amp;"|"&amp;$CU482,LocTable,7,FALSE))&gt;0,VLOOKUP($AT482&amp;"|"&amp;$CU482,LocTable,7,FALSE),VLOOKUP($AT482&amp;"|"&amp;$CU482,LocTable,6,FALSE))-$CR482-0.75&gt;=2.125)," cut down"," adj."),""),"ANSI/SDI A250.6")))</f>
        <v/>
      </c>
      <c r="BU482" s="88">
        <f>IF($CS482,"",IF($CT482,IF(N($AW482)&gt;0,N($AW482),""),IF(1&gt;$CQ482,"",IF($CQ482=1,$CW482,$CW482+($CX482-$CW482)*0/($CQ482-1)))))</f>
        <v/>
      </c>
      <c r="BV482" s="88">
        <f>IF($CS482,"",IF($CT482,IF(N($AX482)&gt;0,N($AX482),""),IF(2&gt;$CQ482,"",IF($CQ482=1,$CW482,$CW482+($CX482-$CW482)*1/($CQ482-1)))))</f>
        <v/>
      </c>
      <c r="BW482" s="88">
        <f>IF($CS482,"",IF($CT482,IF(N($AY482)&gt;0,N($AY482),""),IF(3&gt;$CQ482,"",IF($CQ482=1,$CW482,$CW482+($CX482-$CW482)*2/($CQ482-1)))))</f>
        <v/>
      </c>
      <c r="BX482" s="88">
        <f>IF($CS482,"",IF($CT482,IF(N($AZ482)&gt;0,N($AZ482),""),IF(4&gt;$CQ482,"",IF($CQ482=1,$CW482,$CW482+($CX482-$CW482)*3/($CQ482-1)))))</f>
        <v/>
      </c>
      <c r="BY482" s="88">
        <f>IF($CS482,"",IF($CT482,"",IF(5&gt;$CQ482,"",IF($CQ482=1,$CW482,$CW482+($CX482-$CW482)*4/($CQ482-1)))))</f>
        <v/>
      </c>
      <c r="BZ482" s="88">
        <f>IF(OR($CS482,$AP482="-",AND($AP482="",$AD482="")),"",IF(N($BA482)&gt;0,N($BA482),IF($CV482,IF(AND($BI482&lt;$CU482,$BI482-IF(N(VLOOKUP($AT482&amp;"|"&amp;$CU482,LocTable,7,FALSE))&gt;0,VLOOKUP($AT482&amp;"|"&amp;$CU482,LocTable,7,FALSE),VLOOKUP($AT482&amp;"|"&amp;$CU482,LocTable,6,FALSE))-$CR482-0.75&gt;=2.125),VLOOKUP($AT482&amp;"|"&amp;$CU482,LocTable,8,FALSE),VLOOKUP($AT482&amp;"|"&amp;$CU482,LocTable,8,FALSE)+($BI482-$CU482)),$BI482-LockAFF)))</f>
        <v/>
      </c>
      <c r="CA482" s="89">
        <f>IF($BZ482="","",$BI482-$BZ482)</f>
        <v/>
      </c>
      <c r="CB482" s="84">
        <f>IF(OR(NOT(AND($A482&lt;&gt;"",$C482&lt;&gt;"DOOR ONLY")),$BI482=""),"",IF(($BI482+IF(N($P482)&gt;0,$P482+FaceW,0))&lt;=90,3,IF(($BI482+IF(N($P482)&gt;0,$P482+FaceW,0))&lt;=114,4,5)))</f>
        <v/>
      </c>
      <c r="CC482" s="84">
        <f>IF($CB482="","",$CB482*(2+IF(N($Q482)&gt;0,IF($R482="LR",2,1),0)))</f>
        <v/>
      </c>
      <c r="CD482" s="84">
        <f>IF($CB482="","",(2+IF(N($Q482)&gt;0,IF($R482="LR",2,1),0)))</f>
        <v/>
      </c>
      <c r="CE482" s="84">
        <f>IF(N($BJ482)=0,"",IF(OR($AL482="",$AL482="FLUSH"),"FLUSH",IFERROR(LEFT($AL482,FIND("-",$AL482)-1),LEFT($AL482,2))))</f>
        <v/>
      </c>
      <c r="CF482" s="84">
        <f>IF($CE482="","",IFERROR(VALUE(MID($AL482,FIND("-",$AL482)+1,FIND(CHAR(34)&amp;"x",$AL482)-FIND("-",$AL482)-1)),0))</f>
        <v/>
      </c>
      <c r="CG482" s="84">
        <f>IF($CE482="","",IFERROR(VALUE(MID($AL482,FIND(CHAR(34)&amp;"x",$AL482)+2,FIND(CHAR(34),$AL482,FIND(CHAR(34)&amp;"x",$AL482)+2)-FIND(CHAR(34)&amp;"x",$AL482)-2)),0))</f>
        <v/>
      </c>
      <c r="CH482" s="90">
        <f>IF(OR($A482="",$H482="",$H482="NO LAB"),0,IFERROR(VALUE(LEFT($H482,FIND(" ",$H482)-1)),0))</f>
        <v/>
      </c>
      <c r="CI482" s="91">
        <f>IF(OR($A482="",$I482="",$I482="NON-RATED",N($J482)=0),"",IFERROR(VLOOKUP($I482&amp;"|"&amp;$J482,IBC,2,FALSE),"?"))</f>
        <v/>
      </c>
      <c r="CJ482" s="85">
        <f>IF(NOT(AND($A482&lt;&gt;"",$C482&lt;&gt;"DOOR ONLY")),"",TRIM(IFERROR(VLOOKUP($U482,CODES,2,FALSE),"")&amp;" "&amp;$BG482&amp;" "&amp;IFERROR(VLOOKUP($Z482,CODES,2,FALSE),"")&amp;" "&amp;IFERROR(VLOOKUP($X482,CODES,2,FALSE),"")&amp;" "&amp;IFERROR(VLOOKUP($S482,CODES,2,FALSE),"")&amp;IF(N($P482)&gt;0," w/TRANSOM "&amp;$P482&amp;CHAR(34),"")&amp;IF(N($Q482)&gt;0," w/SIDELITE "&amp;$Q482&amp;CHAR(34)&amp;" "&amp;IF($R482="","R",$R482),"")&amp;IF($Y482="","  |  "," | "&amp;IFERROR(VLOOKUP($Y482,CODES,2,FALSE),"")&amp;" | ")&amp;IFERROR(VLOOKUP($AC482,CODES,2,FALSE),"")&amp;" "&amp;IFERROR(VLOOKUP($AD482,CODES,2,FALSE),"")&amp;IF(OR($AE482="",$AE482="-"),""," "&amp;$AE482)&amp;IF(OR($AF482="",$AF482="-"),""," "&amp;$AF482)&amp;IF($AB482="Y"," 4"&amp;CHAR(34)&amp;" HEAD","")&amp;" "&amp;IFERROR(VLOOKUP($H482,CODES,2,FALSE),"")&amp;IF($CT482," | LOC "&amp;$CY482,"")))</f>
        <v/>
      </c>
      <c r="CK482" s="85">
        <f>IF(NOT(AND($A482&lt;&gt;"",N($BJ482)&gt;0)),"",TRIM(IFERROR(VLOOKUP($AH482,CODES,2,FALSE),"")&amp;IF($AI482=""," "," "&amp;$AI482&amp;"GA ")&amp;$BG482&amp;" "&amp;IF($AN482="",IFERROR(VLOOKUP($Z482,CODES,2,FALSE),""),IFERROR(VLOOKUP($AN482,CODES,2,FALSE),""))&amp;IF($BJ482=2," PAIR","")&amp;" DOOR | "&amp;IF($AL482="","?",$AL482)&amp;" | "&amp;IF($AO482="",IFERROR(VLOOKUP($AC482,CODES,2,FALSE),""),IFERROR(VLOOKUP($AO482,CODES,2,FALSE),""))&amp;" "&amp;IFERROR(VLOOKUP($AP482,CODES,2,FALSE),"")&amp;IF(OR($AQ482="",$AQ482="-"),""," SEAM "&amp;$AQ482)&amp;IF($AR482="Y"," ASTRAGAL","")&amp;IF($AJ482=""," "," "&amp;$AJ482)&amp;IF($AK482=""," "," "&amp;$AK482)&amp;IF(OR($AT482="",$AT482="ANSI/SDI",$AT482="CUSTOM LOC"),""," "&amp;$AT482)&amp;IF($AM482=""," "," SERIES "&amp;$AM482)&amp;" "&amp;IFERROR(VLOOKUP($H482,CODES,2,FALSE),"")&amp;IF($CT482," | LOC "&amp;$CZ482,"")))</f>
        <v/>
      </c>
      <c r="CL482" s="84">
        <f>IF(CP482="","",IF(COUNTIF($CP$6:CP482,CP482)=1,MAX($CL$5:CL481)+1,INDEX($CL$5:CL481,MATCH(CP482,$CP$5:CP481,0))))</f>
        <v/>
      </c>
      <c r="CM482" s="84">
        <f>IF(NOT(AND($A482&lt;&gt;"",$C482&lt;&gt;"DOOR ONLY")),"",MAX($CM$5:CM481)+1)</f>
        <v/>
      </c>
      <c r="CN482" s="84">
        <f>IF(NOT(AND($A482&lt;&gt;"",N($BJ482)&gt;0)),"",MAX($CN$5:CN481)+1)</f>
        <v/>
      </c>
      <c r="CO482" s="84">
        <f>IF($A482="","",MAX($CO$5:CO481)+1)</f>
        <v/>
      </c>
      <c r="CP482" s="84">
        <f>IF(OR($A482="",$BH482="",$BI482=""),"",$BG482&amp;"|"&amp;$O482&amp;"|"&amp;$AL482&amp;"|"&amp;$S482&amp;"|"&amp;$P482&amp;"|"&amp;$Q482&amp;$R482&amp;"|"&amp;$C482&amp;"|"&amp;$AB482)</f>
        <v/>
      </c>
      <c r="CQ482" s="84">
        <f>N($BS482)</f>
        <v/>
      </c>
      <c r="CR482" s="84">
        <f>IF(N($AU482)&gt;0,N($AU482),4.5)</f>
        <v/>
      </c>
      <c r="CS482" s="84">
        <f>OR($A482="",$BI482="",$S482="BL",AND($C482="FRAME ONLY",OR($AC482="",$AC482="BLK")))</f>
        <v/>
      </c>
      <c r="CT482" s="84">
        <f>AND(NOT($CS482),OR($AT482="CUSTOM LOC",N($AW482)+N($AX482)+N($AY482)+N($AZ482)+N($BA482)&gt;0))</f>
        <v/>
      </c>
      <c r="CU482" s="84">
        <f>IF($BI482="","",IF($BI482&lt;=80,80,IF($BI482&lt;=84,84,96)))</f>
        <v/>
      </c>
      <c r="CV482" s="84">
        <f>ISNUMBER(MATCH($AT482&amp;"|80",LocKeys,0))</f>
        <v/>
      </c>
      <c r="CW482" s="86">
        <f>IF($CS482,"",IF($CV482,VLOOKUP($AT482&amp;"|"&amp;$CU482,LocTable,4,FALSE),5))</f>
        <v/>
      </c>
      <c r="CX482" s="86">
        <f>IF($CS482,"",IF($CV482,IF(OR($BI482=$CU482,AND($BI482&lt;$CU482,$BI482-IF(N(VLOOKUP($AT482&amp;"|"&amp;$CU482,LocTable,7,FALSE))&gt;0,VLOOKUP($AT482&amp;"|"&amp;$CU482,LocTable,7,FALSE),VLOOKUP($AT482&amp;"|"&amp;$CU482,LocTable,6,FALSE))-$CR482-0.75&gt;=2.125)),IF(N(VLOOKUP($AT482&amp;"|"&amp;$CU482,LocTable,7,FALSE))&gt;0,VLOOKUP($AT482&amp;"|"&amp;$CU482,LocTable,7,FALSE),VLOOKUP($AT482&amp;"|"&amp;$CU482,LocTable,6,FALSE)),$BI482-($CU482-IF(N(VLOOKUP($AT482&amp;"|"&amp;$CU482,LocTable,7,FALSE))&gt;0,VLOOKUP($AT482&amp;"|"&amp;$CU482,LocTable,7,FALSE),VLOOKUP($AT482&amp;"|"&amp;$CU482,LocTable,6,FALSE)))),$BI482-10-$CR482))</f>
        <v/>
      </c>
      <c r="CY482" s="85">
        <f>IF($CS482,"",TRIM(IF(ISNUMBER($BU482),"A "&amp;TRIM(TEXT($BU482,"# ?/??"))&amp;CHAR(34)&amp;"  ","")&amp;IF(ISNUMBER($BV482),"B "&amp;TRIM(TEXT($BV482,"# ?/??"))&amp;CHAR(34)&amp;"  ","")&amp;IF(ISNUMBER($BW482),"C "&amp;TRIM(TEXT($BW482,"# ?/??"))&amp;CHAR(34)&amp;"  ","")&amp;IF(ISNUMBER($BX482),"D "&amp;TRIM(TEXT($BX482,"# ?/??"))&amp;CHAR(34)&amp;"  ","")&amp;IF(ISNUMBER($BY482),"F "&amp;TRIM(TEXT($BY482,"# ?/??"))&amp;CHAR(34)&amp;"  ","")&amp;IF(ISNUMBER($BZ482),"E "&amp;TRIM(TEXT($BZ482,"# ?/??"))&amp;CHAR(34)&amp;"  ","")))</f>
        <v/>
      </c>
      <c r="CZ482" s="85">
        <f>IF(OR($CS482,N($BJ482)=0),"",TRIM(IF(ISNUMBER($BU482),"A "&amp;TRIM(TEXT($BU482-HeadClr,"# ?/??"))&amp;CHAR(34)&amp;"  ","")&amp;IF(ISNUMBER($BV482),"B "&amp;TRIM(TEXT($BV482-HeadClr,"# ?/??"))&amp;CHAR(34)&amp;"  ","")&amp;IF(ISNUMBER($BW482),"C "&amp;TRIM(TEXT($BW482-HeadClr,"# ?/??"))&amp;CHAR(34)&amp;"  ","")&amp;IF(ISNUMBER($BX482),"D "&amp;TRIM(TEXT($BX482-HeadClr,"# ?/??"))&amp;CHAR(34)&amp;"  ","")&amp;IF(ISNUMBER($BY482),"F "&amp;TRIM(TEXT($BY482-HeadClr,"# ?/??"))&amp;CHAR(34)&amp;"  ","")&amp;IF(ISNUMBER($BZ482),"E "&amp;TRIM(TEXT($BZ482-HeadClr,"# ?/??"))&amp;CHAR(34)&amp;"  ","")))</f>
        <v/>
      </c>
      <c r="DA482" s="84">
        <f>IF($A482="","",IF($AN482="",IFERROR(VLOOKUP($Z482,CODES,2,FALSE),""),IFERROR(VLOOKUP($AN482,CODES,2,FALSE),"")))</f>
        <v/>
      </c>
      <c r="DB482" s="84">
        <f>IF($A482="","",IF($O482="Y","PR",IF(OR($Z482="L",$Z482="RR",LEFT($Z482,2)="L-",LEFT($Z482,3)="RR-"),"LH","RH")))</f>
        <v/>
      </c>
      <c r="DC482" s="84">
        <f>IF($A482="","","S.HM"&amp;IF(OR($C482="DOOR ONLY",$X482&lt;&gt;"KD"),"MASONRY","DRYWALL")&amp;IF($C482="DOOR ONLY","",$U482)&amp;IF(AND($C482&lt;&gt;"FRAME ONLY",OR(LEFT($AH482,3)="OAK",LEFT($AH482,3)="BIR",LEFT($AH482,3)="MAP",$AH482="PC",$AH482="MC",$AH482="SCLC",$AH482="P-LAM")),"WD","HM")&amp;"1.75")</f>
        <v/>
      </c>
      <c r="DD482" s="84">
        <f>IF($CJ482="","",IF($O482="Y",$CJ482,SUBSTITUTE($CJ482,$BG482&amp;" "&amp;IFERROR(VLOOKUP($Z482,CODES,2,FALSE),"")&amp;" ",$BG482&amp;" ")))</f>
        <v/>
      </c>
      <c r="DE482" s="84">
        <f>IF($CK482="","",IF($O482="Y",$CK482,SUBSTITUTE($CK482,$BG482&amp;" "&amp;IF($AN482="",IFERROR(VLOOKUP($Z482,CODES,2,FALSE),""),IFERROR(VLOOKUP($AN482,CODES,2,FALSE),""))&amp;" ",$BG482&amp;" ")))</f>
        <v/>
      </c>
      <c r="DF482" s="84">
        <f>IF($CJ482="","",$DC482&amp;"|"&amp;$DD482&amp;"|"&amp;$DB482&amp;"|"&amp;$AT482&amp;"|"&amp;$V482&amp;"|"&amp;$Y482&amp;"|"&amp;$AB482)</f>
        <v/>
      </c>
      <c r="DG482" s="84">
        <f>IF(DF482="","",IF(COUNTIF($DF$6:DF482,DF482)=1,MAX($DG$5:DG481)+1,INDEX($DG$5:DG481,MATCH(DF482,$DF$5:DF481,0))))</f>
        <v/>
      </c>
      <c r="DH482" s="84">
        <f>IF($CK482="","",$DC482&amp;"|"&amp;$DE482&amp;"|"&amp;$AI482&amp;"|"&amp;$BK482&amp;"|"&amp;$BL482)</f>
        <v/>
      </c>
      <c r="DI482" s="84">
        <f>IF(DH482="","",IF(COUNTIF($DH$6:DH482,DH482)=1,MAX($DI$5:DI481)+1,INDEX($DI$5:DI481,MATCH(DH482,$DH$5:DH481,0))))</f>
        <v/>
      </c>
      <c r="DJ482" s="84">
        <f>IF($A482="","",IF($B482="","qty, ","")&amp;IF($C482="","scope, ","")&amp;IF(OR($K482="",$M482=""),"size, ","")&amp;IF(AND($A482&lt;&gt;"",$C482&lt;&gt;"DOOR ONLY"),IF($U482="","jamb depth, ","")&amp;IF($X482="","construction, ","")&amp;IF($Y482="","anchor, ","")&amp;IF($S482="","frame type, ",""),"")&amp;IF(AND(N($BJ482)&gt;0,$Z482=""),"hand, ","")&amp;IF(N($BJ482)&gt;0,IF($AH482="","door material, ","")&amp;IF($AL482="","face type, ","")&amp;IF($AP482="","lock prep, ","")&amp;IF(AND($AO482="",$AC482=""),"hinge prep, ",""),"")&amp;IF(AND($CH482&gt;0,$AH482="FRP"),"FRP cannot carry a label, ","")&amp;IF(AND($O482="Y",OR($Z482="L",$Z482="R",$Z482="LR",$Z482="RR")),"pair marked but hand is single, ","")&amp;IF(AND($O482&lt;&gt;"Y",OR($Z482="PR",AND(LEN($Z482)&gt;1,ISNUMBER(SEARCH("-",$Z482))))),"pair hand on a single door, ","")&amp;IF(AND(ISNUMBER($CI482),$CH482&lt;N($CI482)),"wall needs a "&amp;$CI482&amp;" min door, ","")&amp;IF(AND($CH482&gt;=180,AND(OR($CE482="FG",$CE482="HG",$CE482="FNV",$CE482="FV"),N($CF482)*N($CG482)&gt;100)),"180 min lite over 100 sq in, ","")&amp;IF(N($BK482)&gt;48,"leaf wider than 4'-0"&amp;CHAR(34)&amp;", ","")&amp;IF(AND($CT482,COUNT($AW482:$AZ482)=0,$CQ482&gt;0),"CUSTOM LOC with no locations typed, ",""))</f>
        <v/>
      </c>
      <c r="DK482" s="84">
        <f>IF($A482="","",IF(AND($CH482&gt;0,AND($A482&lt;&gt;"",$C482&lt;&gt;"DOOR ONLY"),$X482="KD",$E482="EXTERIOR"),"KD label on an exterior opening, ","")&amp;IF(AND($E482="EXTERIOR",OR(AND(AND($A482&lt;&gt;"",$C482&lt;&gt;"DOOR ONLY"),$W482="CR"),AND(N($BJ482)&gt;0,$AH482="CR"))),"exterior in CR steel (G9?), ","")&amp;IF(AND(ISNUMBER($BQ482),N($BQ482)&lt;32),"clear width ~"&amp;TEXT($BQ482,"0.0")&amp;CHAR(34)&amp;" under 32"&amp;CHAR(34)&amp;" (ADA), ","")&amp;IF(AND($CH482=90,AND(OR($CE482="FG",$CE482="HG",$CE482="FNV",$CE482="FV"),N($CF482)*N($CG482)&gt;100)),"90 min lite over 100 sq in (stair/exit), ","")&amp;IF(AND($CH482&gt;0,AND($A482&lt;&gt;"",$C482&lt;&gt;"DOOR ONLY"),OR($AF482="",$AF482="-")),"rated: closer reinf.?, ","")&amp;IF(OR($I482="CORRIDOR",$I482="SMOKE BARRIER"),"S label + smoke gasketing, ","")&amp;IF($CI482="?","wall type/hr not in IBC table, ","")&amp;IF(AND(N($BJ482)&gt;0,$BB482=""),"no hardware set, ","")&amp;IF(AND($BB482&lt;&gt;"",ISNA(MATCH($BB482&amp;"",HWSets,0))),"set "&amp;$BB482&amp;" not on HW Sets, ","")&amp;IF(N($BL482)&gt;96,"leaf over 8'-0"&amp;CHAR(34)&amp;" - check listing, ","")&amp;IF(AND($CT482,COUNT($AW482:$AZ482)&gt;0,COUNT($AW482:$AZ482)&lt;&gt;$CQ482),COUNT($AW482:$AZ482)&amp;" custom hinges typed, "&amp;$CQ482&amp;" expected, ","")&amp;IF(AND(ISNUMBER($CA482),OR(N($CA482)&lt;34,N($CA482)&gt;48)),"lock "&amp;TEXT($CA482,"0.0")&amp;CHAR(34)&amp;" AFF outside 34-48"&amp;CHAR(34)&amp;" (ADA), ","")&amp;IF(AND(ISNUMBER($AV482),ISNUMBER($BL482),N($AV482)&lt;IF(N($BL482)&lt;=60,2,IF(N($BL482)&lt;=90,3,IF(N($BL482)&lt;=120,4,5)))),"fewer hinges than standard, ",""))</f>
        <v/>
      </c>
    </row>
    <row r="483" ht="15" customHeight="1">
      <c r="A483" s="77" t="n"/>
      <c r="B483" s="78" t="n"/>
      <c r="C483" s="78" t="n"/>
      <c r="D483" s="78" t="n"/>
      <c r="E483" s="78" t="n"/>
      <c r="F483" s="78" t="n"/>
      <c r="G483" s="78" t="n"/>
      <c r="H483" s="78" t="n"/>
      <c r="I483" s="78" t="n"/>
      <c r="J483" s="78" t="n"/>
      <c r="K483" s="78" t="n"/>
      <c r="L483" s="78" t="n"/>
      <c r="M483" s="78" t="n"/>
      <c r="N483" s="78" t="n"/>
      <c r="O483" s="78" t="n"/>
      <c r="P483" s="78" t="n"/>
      <c r="Q483" s="78" t="n"/>
      <c r="R483" s="78" t="n"/>
      <c r="S483" s="79" t="n"/>
      <c r="T483" s="79" t="n"/>
      <c r="U483" s="79" t="n"/>
      <c r="V483" s="79" t="n"/>
      <c r="W483" s="79" t="n"/>
      <c r="X483" s="79" t="n"/>
      <c r="Y483" s="79" t="n"/>
      <c r="Z483" s="79" t="n"/>
      <c r="AA483" s="79" t="n"/>
      <c r="AB483" s="79" t="n"/>
      <c r="AC483" s="79" t="n"/>
      <c r="AD483" s="79" t="n"/>
      <c r="AE483" s="79" t="n"/>
      <c r="AF483" s="79" t="n"/>
      <c r="AG483" s="79" t="n"/>
      <c r="AH483" s="80" t="n"/>
      <c r="AI483" s="80" t="n"/>
      <c r="AJ483" s="80" t="n"/>
      <c r="AK483" s="80" t="n"/>
      <c r="AL483" s="80" t="n"/>
      <c r="AM483" s="80" t="n"/>
      <c r="AN483" s="80" t="n"/>
      <c r="AO483" s="80" t="n"/>
      <c r="AP483" s="80" t="n"/>
      <c r="AQ483" s="80" t="n"/>
      <c r="AR483" s="80" t="n"/>
      <c r="AS483" s="80" t="n"/>
      <c r="AT483" s="81" t="n"/>
      <c r="AU483" s="81" t="n"/>
      <c r="AV483" s="81" t="n"/>
      <c r="AW483" s="82" t="n"/>
      <c r="AX483" s="82" t="n"/>
      <c r="AY483" s="82" t="n"/>
      <c r="AZ483" s="82" t="n"/>
      <c r="BA483" s="82" t="n"/>
      <c r="BB483" s="83" t="n"/>
      <c r="BC483" s="83" t="n"/>
      <c r="BD483" s="84">
        <f>IF($A483="","",IF($DJ483&lt;&gt;"","FIX",IF($DK483&lt;&gt;"","CHECK","OK")))</f>
        <v/>
      </c>
      <c r="BE483" s="85">
        <f>IF($A483="","",IF($DJ483&lt;&gt;"","FIX: "&amp;LEFT($DJ483,LEN($DJ483)-2)&amp;IF($DK483&lt;&gt;"","  ·  ",""),"")&amp;IF($DK483&lt;&gt;"","CHECK: "&amp;LEFT($DK483,LEN($DK483)-2),""))</f>
        <v/>
      </c>
      <c r="BF483" s="84">
        <f>IF(OR($A483="",$K483=""),"",$K483&amp;"'-"&amp;N($L483)&amp;CHAR(34)&amp;" x "&amp;$M483&amp;"'-"&amp;N($N483)&amp;CHAR(34))</f>
        <v/>
      </c>
      <c r="BG483" s="84">
        <f>IF(OR($A483="",$K483=""),"",$K483&amp;N($L483)&amp;$M483&amp;N($N483))</f>
        <v/>
      </c>
      <c r="BH483" s="84">
        <f>IF(OR($A483="",$K483=""),"",$K483*12+N($L483))</f>
        <v/>
      </c>
      <c r="BI483" s="84">
        <f>IF(OR($A483="",$M483=""),"",$M483*12+N($N483))</f>
        <v/>
      </c>
      <c r="BJ483" s="84">
        <f>IF($A483="","",IF(OR($C483="FRAME ONLY",$S483="BL"),0,IF($O483="Y",2,1)))</f>
        <v/>
      </c>
      <c r="BK483" s="86">
        <f>IF(OR(N($BJ483)=0,$BH483=""),"",($BH483-2*EdgeClr-IF($BJ483=2,MeetClr,0))/$BJ483)</f>
        <v/>
      </c>
      <c r="BL483" s="86">
        <f>IF(OR(N($BJ483)=0,$BI483=""),"",$BI483-HeadClr-Undercut)</f>
        <v/>
      </c>
      <c r="BM483" s="86">
        <f>IF($BH483="","",$BH483+2*FaceW+IF(N($Q483)&gt;0,($Q483+FaceW)*IF($R483="LR",2,1),0))</f>
        <v/>
      </c>
      <c r="BN483" s="86">
        <f>IF($BI483="","",$BI483+IF($AB483="Y",4,FaceW)+IF(N($P483)&gt;0,$P483+FaceW,0)+IF(OR($S483="4F",$S483="BL"),FaceW,0))</f>
        <v/>
      </c>
      <c r="BO483" s="86">
        <f>IF($BM483="","",$BM483+2*ROSide)</f>
        <v/>
      </c>
      <c r="BP483" s="86">
        <f>IF($BN483="","",$BN483+ROTop)</f>
        <v/>
      </c>
      <c r="BQ483" s="87">
        <f>IF(OR(N($BJ483)=0,$BH483=""),"",$BH483/$BJ483-ClearDeduct)</f>
        <v/>
      </c>
      <c r="BR483" s="84">
        <f>IF(N($CH483)=0,"",IF($CH483&gt;=180,"A · 3 HR",IF($CH483&gt;=90,"B · 1-1/2 HR",IF($CH483&gt;=60,"B · 1 HR",IF($CH483&gt;=45,"C · 3/4 HR","20 MIN")))))&amp;IF(AND(N($CH483)&gt;0,OR($I483="CORRIDOR",$I483="SMOKE BARRIER"))," · S","")</f>
        <v/>
      </c>
      <c r="BS483" s="84">
        <f>IF($CS483,"",IF($AV483&lt;&gt;"",$AV483,IF(OR($AC483="HGC",$AO483="HGC"),"CONT",IF(($BI483-HeadClr-Undercut)&lt;=60,2,IF(($BI483-HeadClr-Undercut)&lt;=90,3,IF(($BI483-HeadClr-Undercut)&lt;=120,4,5))))))</f>
        <v/>
      </c>
      <c r="BT483" s="84">
        <f>IF($CS483,"",IF($CT483,"CUSTOM (typed)",IF($CV483,$AT483&amp;" "&amp;$CU483&amp;CHAR(34)&amp;IF($CU483&lt;&gt;$BI483,IF(AND($BI483&lt;$CU483,$BI483-IF(N(VLOOKUP($AT483&amp;"|"&amp;$CU483,LocTable,7,FALSE))&gt;0,VLOOKUP($AT483&amp;"|"&amp;$CU483,LocTable,7,FALSE),VLOOKUP($AT483&amp;"|"&amp;$CU483,LocTable,6,FALSE))-$CR483-0.75&gt;=2.125)," cut down"," adj."),""),"ANSI/SDI A250.6")))</f>
        <v/>
      </c>
      <c r="BU483" s="88">
        <f>IF($CS483,"",IF($CT483,IF(N($AW483)&gt;0,N($AW483),""),IF(1&gt;$CQ483,"",IF($CQ483=1,$CW483,$CW483+($CX483-$CW483)*0/($CQ483-1)))))</f>
        <v/>
      </c>
      <c r="BV483" s="88">
        <f>IF($CS483,"",IF($CT483,IF(N($AX483)&gt;0,N($AX483),""),IF(2&gt;$CQ483,"",IF($CQ483=1,$CW483,$CW483+($CX483-$CW483)*1/($CQ483-1)))))</f>
        <v/>
      </c>
      <c r="BW483" s="88">
        <f>IF($CS483,"",IF($CT483,IF(N($AY483)&gt;0,N($AY483),""),IF(3&gt;$CQ483,"",IF($CQ483=1,$CW483,$CW483+($CX483-$CW483)*2/($CQ483-1)))))</f>
        <v/>
      </c>
      <c r="BX483" s="88">
        <f>IF($CS483,"",IF($CT483,IF(N($AZ483)&gt;0,N($AZ483),""),IF(4&gt;$CQ483,"",IF($CQ483=1,$CW483,$CW483+($CX483-$CW483)*3/($CQ483-1)))))</f>
        <v/>
      </c>
      <c r="BY483" s="88">
        <f>IF($CS483,"",IF($CT483,"",IF(5&gt;$CQ483,"",IF($CQ483=1,$CW483,$CW483+($CX483-$CW483)*4/($CQ483-1)))))</f>
        <v/>
      </c>
      <c r="BZ483" s="88">
        <f>IF(OR($CS483,$AP483="-",AND($AP483="",$AD483="")),"",IF(N($BA483)&gt;0,N($BA483),IF($CV483,IF(AND($BI483&lt;$CU483,$BI483-IF(N(VLOOKUP($AT483&amp;"|"&amp;$CU483,LocTable,7,FALSE))&gt;0,VLOOKUP($AT483&amp;"|"&amp;$CU483,LocTable,7,FALSE),VLOOKUP($AT483&amp;"|"&amp;$CU483,LocTable,6,FALSE))-$CR483-0.75&gt;=2.125),VLOOKUP($AT483&amp;"|"&amp;$CU483,LocTable,8,FALSE),VLOOKUP($AT483&amp;"|"&amp;$CU483,LocTable,8,FALSE)+($BI483-$CU483)),$BI483-LockAFF)))</f>
        <v/>
      </c>
      <c r="CA483" s="89">
        <f>IF($BZ483="","",$BI483-$BZ483)</f>
        <v/>
      </c>
      <c r="CB483" s="84">
        <f>IF(OR(NOT(AND($A483&lt;&gt;"",$C483&lt;&gt;"DOOR ONLY")),$BI483=""),"",IF(($BI483+IF(N($P483)&gt;0,$P483+FaceW,0))&lt;=90,3,IF(($BI483+IF(N($P483)&gt;0,$P483+FaceW,0))&lt;=114,4,5)))</f>
        <v/>
      </c>
      <c r="CC483" s="84">
        <f>IF($CB483="","",$CB483*(2+IF(N($Q483)&gt;0,IF($R483="LR",2,1),0)))</f>
        <v/>
      </c>
      <c r="CD483" s="84">
        <f>IF($CB483="","",(2+IF(N($Q483)&gt;0,IF($R483="LR",2,1),0)))</f>
        <v/>
      </c>
      <c r="CE483" s="84">
        <f>IF(N($BJ483)=0,"",IF(OR($AL483="",$AL483="FLUSH"),"FLUSH",IFERROR(LEFT($AL483,FIND("-",$AL483)-1),LEFT($AL483,2))))</f>
        <v/>
      </c>
      <c r="CF483" s="84">
        <f>IF($CE483="","",IFERROR(VALUE(MID($AL483,FIND("-",$AL483)+1,FIND(CHAR(34)&amp;"x",$AL483)-FIND("-",$AL483)-1)),0))</f>
        <v/>
      </c>
      <c r="CG483" s="84">
        <f>IF($CE483="","",IFERROR(VALUE(MID($AL483,FIND(CHAR(34)&amp;"x",$AL483)+2,FIND(CHAR(34),$AL483,FIND(CHAR(34)&amp;"x",$AL483)+2)-FIND(CHAR(34)&amp;"x",$AL483)-2)),0))</f>
        <v/>
      </c>
      <c r="CH483" s="90">
        <f>IF(OR($A483="",$H483="",$H483="NO LAB"),0,IFERROR(VALUE(LEFT($H483,FIND(" ",$H483)-1)),0))</f>
        <v/>
      </c>
      <c r="CI483" s="91">
        <f>IF(OR($A483="",$I483="",$I483="NON-RATED",N($J483)=0),"",IFERROR(VLOOKUP($I483&amp;"|"&amp;$J483,IBC,2,FALSE),"?"))</f>
        <v/>
      </c>
      <c r="CJ483" s="85">
        <f>IF(NOT(AND($A483&lt;&gt;"",$C483&lt;&gt;"DOOR ONLY")),"",TRIM(IFERROR(VLOOKUP($U483,CODES,2,FALSE),"")&amp;" "&amp;$BG483&amp;" "&amp;IFERROR(VLOOKUP($Z483,CODES,2,FALSE),"")&amp;" "&amp;IFERROR(VLOOKUP($X483,CODES,2,FALSE),"")&amp;" "&amp;IFERROR(VLOOKUP($S483,CODES,2,FALSE),"")&amp;IF(N($P483)&gt;0," w/TRANSOM "&amp;$P483&amp;CHAR(34),"")&amp;IF(N($Q483)&gt;0," w/SIDELITE "&amp;$Q483&amp;CHAR(34)&amp;" "&amp;IF($R483="","R",$R483),"")&amp;IF($Y483="","  |  "," | "&amp;IFERROR(VLOOKUP($Y483,CODES,2,FALSE),"")&amp;" | ")&amp;IFERROR(VLOOKUP($AC483,CODES,2,FALSE),"")&amp;" "&amp;IFERROR(VLOOKUP($AD483,CODES,2,FALSE),"")&amp;IF(OR($AE483="",$AE483="-"),""," "&amp;$AE483)&amp;IF(OR($AF483="",$AF483="-"),""," "&amp;$AF483)&amp;IF($AB483="Y"," 4"&amp;CHAR(34)&amp;" HEAD","")&amp;" "&amp;IFERROR(VLOOKUP($H483,CODES,2,FALSE),"")&amp;IF($CT483," | LOC "&amp;$CY483,"")))</f>
        <v/>
      </c>
      <c r="CK483" s="85">
        <f>IF(NOT(AND($A483&lt;&gt;"",N($BJ483)&gt;0)),"",TRIM(IFERROR(VLOOKUP($AH483,CODES,2,FALSE),"")&amp;IF($AI483=""," "," "&amp;$AI483&amp;"GA ")&amp;$BG483&amp;" "&amp;IF($AN483="",IFERROR(VLOOKUP($Z483,CODES,2,FALSE),""),IFERROR(VLOOKUP($AN483,CODES,2,FALSE),""))&amp;IF($BJ483=2," PAIR","")&amp;" DOOR | "&amp;IF($AL483="","?",$AL483)&amp;" | "&amp;IF($AO483="",IFERROR(VLOOKUP($AC483,CODES,2,FALSE),""),IFERROR(VLOOKUP($AO483,CODES,2,FALSE),""))&amp;" "&amp;IFERROR(VLOOKUP($AP483,CODES,2,FALSE),"")&amp;IF(OR($AQ483="",$AQ483="-"),""," SEAM "&amp;$AQ483)&amp;IF($AR483="Y"," ASTRAGAL","")&amp;IF($AJ483=""," "," "&amp;$AJ483)&amp;IF($AK483=""," "," "&amp;$AK483)&amp;IF(OR($AT483="",$AT483="ANSI/SDI",$AT483="CUSTOM LOC"),""," "&amp;$AT483)&amp;IF($AM483=""," "," SERIES "&amp;$AM483)&amp;" "&amp;IFERROR(VLOOKUP($H483,CODES,2,FALSE),"")&amp;IF($CT483," | LOC "&amp;$CZ483,"")))</f>
        <v/>
      </c>
      <c r="CL483" s="84">
        <f>IF(CP483="","",IF(COUNTIF($CP$6:CP483,CP483)=1,MAX($CL$5:CL482)+1,INDEX($CL$5:CL482,MATCH(CP483,$CP$5:CP482,0))))</f>
        <v/>
      </c>
      <c r="CM483" s="84">
        <f>IF(NOT(AND($A483&lt;&gt;"",$C483&lt;&gt;"DOOR ONLY")),"",MAX($CM$5:CM482)+1)</f>
        <v/>
      </c>
      <c r="CN483" s="84">
        <f>IF(NOT(AND($A483&lt;&gt;"",N($BJ483)&gt;0)),"",MAX($CN$5:CN482)+1)</f>
        <v/>
      </c>
      <c r="CO483" s="84">
        <f>IF($A483="","",MAX($CO$5:CO482)+1)</f>
        <v/>
      </c>
      <c r="CP483" s="84">
        <f>IF(OR($A483="",$BH483="",$BI483=""),"",$BG483&amp;"|"&amp;$O483&amp;"|"&amp;$AL483&amp;"|"&amp;$S483&amp;"|"&amp;$P483&amp;"|"&amp;$Q483&amp;$R483&amp;"|"&amp;$C483&amp;"|"&amp;$AB483)</f>
        <v/>
      </c>
      <c r="CQ483" s="84">
        <f>N($BS483)</f>
        <v/>
      </c>
      <c r="CR483" s="84">
        <f>IF(N($AU483)&gt;0,N($AU483),4.5)</f>
        <v/>
      </c>
      <c r="CS483" s="84">
        <f>OR($A483="",$BI483="",$S483="BL",AND($C483="FRAME ONLY",OR($AC483="",$AC483="BLK")))</f>
        <v/>
      </c>
      <c r="CT483" s="84">
        <f>AND(NOT($CS483),OR($AT483="CUSTOM LOC",N($AW483)+N($AX483)+N($AY483)+N($AZ483)+N($BA483)&gt;0))</f>
        <v/>
      </c>
      <c r="CU483" s="84">
        <f>IF($BI483="","",IF($BI483&lt;=80,80,IF($BI483&lt;=84,84,96)))</f>
        <v/>
      </c>
      <c r="CV483" s="84">
        <f>ISNUMBER(MATCH($AT483&amp;"|80",LocKeys,0))</f>
        <v/>
      </c>
      <c r="CW483" s="86">
        <f>IF($CS483,"",IF($CV483,VLOOKUP($AT483&amp;"|"&amp;$CU483,LocTable,4,FALSE),5))</f>
        <v/>
      </c>
      <c r="CX483" s="86">
        <f>IF($CS483,"",IF($CV483,IF(OR($BI483=$CU483,AND($BI483&lt;$CU483,$BI483-IF(N(VLOOKUP($AT483&amp;"|"&amp;$CU483,LocTable,7,FALSE))&gt;0,VLOOKUP($AT483&amp;"|"&amp;$CU483,LocTable,7,FALSE),VLOOKUP($AT483&amp;"|"&amp;$CU483,LocTable,6,FALSE))-$CR483-0.75&gt;=2.125)),IF(N(VLOOKUP($AT483&amp;"|"&amp;$CU483,LocTable,7,FALSE))&gt;0,VLOOKUP($AT483&amp;"|"&amp;$CU483,LocTable,7,FALSE),VLOOKUP($AT483&amp;"|"&amp;$CU483,LocTable,6,FALSE)),$BI483-($CU483-IF(N(VLOOKUP($AT483&amp;"|"&amp;$CU483,LocTable,7,FALSE))&gt;0,VLOOKUP($AT483&amp;"|"&amp;$CU483,LocTable,7,FALSE),VLOOKUP($AT483&amp;"|"&amp;$CU483,LocTable,6,FALSE)))),$BI483-10-$CR483))</f>
        <v/>
      </c>
      <c r="CY483" s="85">
        <f>IF($CS483,"",TRIM(IF(ISNUMBER($BU483),"A "&amp;TRIM(TEXT($BU483,"# ?/??"))&amp;CHAR(34)&amp;"  ","")&amp;IF(ISNUMBER($BV483),"B "&amp;TRIM(TEXT($BV483,"# ?/??"))&amp;CHAR(34)&amp;"  ","")&amp;IF(ISNUMBER($BW483),"C "&amp;TRIM(TEXT($BW483,"# ?/??"))&amp;CHAR(34)&amp;"  ","")&amp;IF(ISNUMBER($BX483),"D "&amp;TRIM(TEXT($BX483,"# ?/??"))&amp;CHAR(34)&amp;"  ","")&amp;IF(ISNUMBER($BY483),"F "&amp;TRIM(TEXT($BY483,"# ?/??"))&amp;CHAR(34)&amp;"  ","")&amp;IF(ISNUMBER($BZ483),"E "&amp;TRIM(TEXT($BZ483,"# ?/??"))&amp;CHAR(34)&amp;"  ","")))</f>
        <v/>
      </c>
      <c r="CZ483" s="85">
        <f>IF(OR($CS483,N($BJ483)=0),"",TRIM(IF(ISNUMBER($BU483),"A "&amp;TRIM(TEXT($BU483-HeadClr,"# ?/??"))&amp;CHAR(34)&amp;"  ","")&amp;IF(ISNUMBER($BV483),"B "&amp;TRIM(TEXT($BV483-HeadClr,"# ?/??"))&amp;CHAR(34)&amp;"  ","")&amp;IF(ISNUMBER($BW483),"C "&amp;TRIM(TEXT($BW483-HeadClr,"# ?/??"))&amp;CHAR(34)&amp;"  ","")&amp;IF(ISNUMBER($BX483),"D "&amp;TRIM(TEXT($BX483-HeadClr,"# ?/??"))&amp;CHAR(34)&amp;"  ","")&amp;IF(ISNUMBER($BY483),"F "&amp;TRIM(TEXT($BY483-HeadClr,"# ?/??"))&amp;CHAR(34)&amp;"  ","")&amp;IF(ISNUMBER($BZ483),"E "&amp;TRIM(TEXT($BZ483-HeadClr,"# ?/??"))&amp;CHAR(34)&amp;"  ","")))</f>
        <v/>
      </c>
      <c r="DA483" s="84">
        <f>IF($A483="","",IF($AN483="",IFERROR(VLOOKUP($Z483,CODES,2,FALSE),""),IFERROR(VLOOKUP($AN483,CODES,2,FALSE),"")))</f>
        <v/>
      </c>
      <c r="DB483" s="84">
        <f>IF($A483="","",IF($O483="Y","PR",IF(OR($Z483="L",$Z483="RR",LEFT($Z483,2)="L-",LEFT($Z483,3)="RR-"),"LH","RH")))</f>
        <v/>
      </c>
      <c r="DC483" s="84">
        <f>IF($A483="","","S.HM"&amp;IF(OR($C483="DOOR ONLY",$X483&lt;&gt;"KD"),"MASONRY","DRYWALL")&amp;IF($C483="DOOR ONLY","",$U483)&amp;IF(AND($C483&lt;&gt;"FRAME ONLY",OR(LEFT($AH483,3)="OAK",LEFT($AH483,3)="BIR",LEFT($AH483,3)="MAP",$AH483="PC",$AH483="MC",$AH483="SCLC",$AH483="P-LAM")),"WD","HM")&amp;"1.75")</f>
        <v/>
      </c>
      <c r="DD483" s="84">
        <f>IF($CJ483="","",IF($O483="Y",$CJ483,SUBSTITUTE($CJ483,$BG483&amp;" "&amp;IFERROR(VLOOKUP($Z483,CODES,2,FALSE),"")&amp;" ",$BG483&amp;" ")))</f>
        <v/>
      </c>
      <c r="DE483" s="84">
        <f>IF($CK483="","",IF($O483="Y",$CK483,SUBSTITUTE($CK483,$BG483&amp;" "&amp;IF($AN483="",IFERROR(VLOOKUP($Z483,CODES,2,FALSE),""),IFERROR(VLOOKUP($AN483,CODES,2,FALSE),""))&amp;" ",$BG483&amp;" ")))</f>
        <v/>
      </c>
      <c r="DF483" s="84">
        <f>IF($CJ483="","",$DC483&amp;"|"&amp;$DD483&amp;"|"&amp;$DB483&amp;"|"&amp;$AT483&amp;"|"&amp;$V483&amp;"|"&amp;$Y483&amp;"|"&amp;$AB483)</f>
        <v/>
      </c>
      <c r="DG483" s="84">
        <f>IF(DF483="","",IF(COUNTIF($DF$6:DF483,DF483)=1,MAX($DG$5:DG482)+1,INDEX($DG$5:DG482,MATCH(DF483,$DF$5:DF482,0))))</f>
        <v/>
      </c>
      <c r="DH483" s="84">
        <f>IF($CK483="","",$DC483&amp;"|"&amp;$DE483&amp;"|"&amp;$AI483&amp;"|"&amp;$BK483&amp;"|"&amp;$BL483)</f>
        <v/>
      </c>
      <c r="DI483" s="84">
        <f>IF(DH483="","",IF(COUNTIF($DH$6:DH483,DH483)=1,MAX($DI$5:DI482)+1,INDEX($DI$5:DI482,MATCH(DH483,$DH$5:DH482,0))))</f>
        <v/>
      </c>
      <c r="DJ483" s="84">
        <f>IF($A483="","",IF($B483="","qty, ","")&amp;IF($C483="","scope, ","")&amp;IF(OR($K483="",$M483=""),"size, ","")&amp;IF(AND($A483&lt;&gt;"",$C483&lt;&gt;"DOOR ONLY"),IF($U483="","jamb depth, ","")&amp;IF($X483="","construction, ","")&amp;IF($Y483="","anchor, ","")&amp;IF($S483="","frame type, ",""),"")&amp;IF(AND(N($BJ483)&gt;0,$Z483=""),"hand, ","")&amp;IF(N($BJ483)&gt;0,IF($AH483="","door material, ","")&amp;IF($AL483="","face type, ","")&amp;IF($AP483="","lock prep, ","")&amp;IF(AND($AO483="",$AC483=""),"hinge prep, ",""),"")&amp;IF(AND($CH483&gt;0,$AH483="FRP"),"FRP cannot carry a label, ","")&amp;IF(AND($O483="Y",OR($Z483="L",$Z483="R",$Z483="LR",$Z483="RR")),"pair marked but hand is single, ","")&amp;IF(AND($O483&lt;&gt;"Y",OR($Z483="PR",AND(LEN($Z483)&gt;1,ISNUMBER(SEARCH("-",$Z483))))),"pair hand on a single door, ","")&amp;IF(AND(ISNUMBER($CI483),$CH483&lt;N($CI483)),"wall needs a "&amp;$CI483&amp;" min door, ","")&amp;IF(AND($CH483&gt;=180,AND(OR($CE483="FG",$CE483="HG",$CE483="FNV",$CE483="FV"),N($CF483)*N($CG483)&gt;100)),"180 min lite over 100 sq in, ","")&amp;IF(N($BK483)&gt;48,"leaf wider than 4'-0"&amp;CHAR(34)&amp;", ","")&amp;IF(AND($CT483,COUNT($AW483:$AZ483)=0,$CQ483&gt;0),"CUSTOM LOC with no locations typed, ",""))</f>
        <v/>
      </c>
      <c r="DK483" s="84">
        <f>IF($A483="","",IF(AND($CH483&gt;0,AND($A483&lt;&gt;"",$C483&lt;&gt;"DOOR ONLY"),$X483="KD",$E483="EXTERIOR"),"KD label on an exterior opening, ","")&amp;IF(AND($E483="EXTERIOR",OR(AND(AND($A483&lt;&gt;"",$C483&lt;&gt;"DOOR ONLY"),$W483="CR"),AND(N($BJ483)&gt;0,$AH483="CR"))),"exterior in CR steel (G9?), ","")&amp;IF(AND(ISNUMBER($BQ483),N($BQ483)&lt;32),"clear width ~"&amp;TEXT($BQ483,"0.0")&amp;CHAR(34)&amp;" under 32"&amp;CHAR(34)&amp;" (ADA), ","")&amp;IF(AND($CH483=90,AND(OR($CE483="FG",$CE483="HG",$CE483="FNV",$CE483="FV"),N($CF483)*N($CG483)&gt;100)),"90 min lite over 100 sq in (stair/exit), ","")&amp;IF(AND($CH483&gt;0,AND($A483&lt;&gt;"",$C483&lt;&gt;"DOOR ONLY"),OR($AF483="",$AF483="-")),"rated: closer reinf.?, ","")&amp;IF(OR($I483="CORRIDOR",$I483="SMOKE BARRIER"),"S label + smoke gasketing, ","")&amp;IF($CI483="?","wall type/hr not in IBC table, ","")&amp;IF(AND(N($BJ483)&gt;0,$BB483=""),"no hardware set, ","")&amp;IF(AND($BB483&lt;&gt;"",ISNA(MATCH($BB483&amp;"",HWSets,0))),"set "&amp;$BB483&amp;" not on HW Sets, ","")&amp;IF(N($BL483)&gt;96,"leaf over 8'-0"&amp;CHAR(34)&amp;" - check listing, ","")&amp;IF(AND($CT483,COUNT($AW483:$AZ483)&gt;0,COUNT($AW483:$AZ483)&lt;&gt;$CQ483),COUNT($AW483:$AZ483)&amp;" custom hinges typed, "&amp;$CQ483&amp;" expected, ","")&amp;IF(AND(ISNUMBER($CA483),OR(N($CA483)&lt;34,N($CA483)&gt;48)),"lock "&amp;TEXT($CA483,"0.0")&amp;CHAR(34)&amp;" AFF outside 34-48"&amp;CHAR(34)&amp;" (ADA), ","")&amp;IF(AND(ISNUMBER($AV483),ISNUMBER($BL483),N($AV483)&lt;IF(N($BL483)&lt;=60,2,IF(N($BL483)&lt;=90,3,IF(N($BL483)&lt;=120,4,5)))),"fewer hinges than standard, ",""))</f>
        <v/>
      </c>
    </row>
    <row r="484" ht="15" customHeight="1">
      <c r="A484" s="77" t="n"/>
      <c r="B484" s="78" t="n"/>
      <c r="C484" s="78" t="n"/>
      <c r="D484" s="78" t="n"/>
      <c r="E484" s="78" t="n"/>
      <c r="F484" s="78" t="n"/>
      <c r="G484" s="78" t="n"/>
      <c r="H484" s="78" t="n"/>
      <c r="I484" s="78" t="n"/>
      <c r="J484" s="78" t="n"/>
      <c r="K484" s="78" t="n"/>
      <c r="L484" s="78" t="n"/>
      <c r="M484" s="78" t="n"/>
      <c r="N484" s="78" t="n"/>
      <c r="O484" s="78" t="n"/>
      <c r="P484" s="78" t="n"/>
      <c r="Q484" s="78" t="n"/>
      <c r="R484" s="78" t="n"/>
      <c r="S484" s="79" t="n"/>
      <c r="T484" s="79" t="n"/>
      <c r="U484" s="79" t="n"/>
      <c r="V484" s="79" t="n"/>
      <c r="W484" s="79" t="n"/>
      <c r="X484" s="79" t="n"/>
      <c r="Y484" s="79" t="n"/>
      <c r="Z484" s="79" t="n"/>
      <c r="AA484" s="79" t="n"/>
      <c r="AB484" s="79" t="n"/>
      <c r="AC484" s="79" t="n"/>
      <c r="AD484" s="79" t="n"/>
      <c r="AE484" s="79" t="n"/>
      <c r="AF484" s="79" t="n"/>
      <c r="AG484" s="79" t="n"/>
      <c r="AH484" s="80" t="n"/>
      <c r="AI484" s="80" t="n"/>
      <c r="AJ484" s="80" t="n"/>
      <c r="AK484" s="80" t="n"/>
      <c r="AL484" s="80" t="n"/>
      <c r="AM484" s="80" t="n"/>
      <c r="AN484" s="80" t="n"/>
      <c r="AO484" s="80" t="n"/>
      <c r="AP484" s="80" t="n"/>
      <c r="AQ484" s="80" t="n"/>
      <c r="AR484" s="80" t="n"/>
      <c r="AS484" s="80" t="n"/>
      <c r="AT484" s="81" t="n"/>
      <c r="AU484" s="81" t="n"/>
      <c r="AV484" s="81" t="n"/>
      <c r="AW484" s="82" t="n"/>
      <c r="AX484" s="82" t="n"/>
      <c r="AY484" s="82" t="n"/>
      <c r="AZ484" s="82" t="n"/>
      <c r="BA484" s="82" t="n"/>
      <c r="BB484" s="83" t="n"/>
      <c r="BC484" s="83" t="n"/>
      <c r="BD484" s="84">
        <f>IF($A484="","",IF($DJ484&lt;&gt;"","FIX",IF($DK484&lt;&gt;"","CHECK","OK")))</f>
        <v/>
      </c>
      <c r="BE484" s="85">
        <f>IF($A484="","",IF($DJ484&lt;&gt;"","FIX: "&amp;LEFT($DJ484,LEN($DJ484)-2)&amp;IF($DK484&lt;&gt;"","  ·  ",""),"")&amp;IF($DK484&lt;&gt;"","CHECK: "&amp;LEFT($DK484,LEN($DK484)-2),""))</f>
        <v/>
      </c>
      <c r="BF484" s="84">
        <f>IF(OR($A484="",$K484=""),"",$K484&amp;"'-"&amp;N($L484)&amp;CHAR(34)&amp;" x "&amp;$M484&amp;"'-"&amp;N($N484)&amp;CHAR(34))</f>
        <v/>
      </c>
      <c r="BG484" s="84">
        <f>IF(OR($A484="",$K484=""),"",$K484&amp;N($L484)&amp;$M484&amp;N($N484))</f>
        <v/>
      </c>
      <c r="BH484" s="84">
        <f>IF(OR($A484="",$K484=""),"",$K484*12+N($L484))</f>
        <v/>
      </c>
      <c r="BI484" s="84">
        <f>IF(OR($A484="",$M484=""),"",$M484*12+N($N484))</f>
        <v/>
      </c>
      <c r="BJ484" s="84">
        <f>IF($A484="","",IF(OR($C484="FRAME ONLY",$S484="BL"),0,IF($O484="Y",2,1)))</f>
        <v/>
      </c>
      <c r="BK484" s="86">
        <f>IF(OR(N($BJ484)=0,$BH484=""),"",($BH484-2*EdgeClr-IF($BJ484=2,MeetClr,0))/$BJ484)</f>
        <v/>
      </c>
      <c r="BL484" s="86">
        <f>IF(OR(N($BJ484)=0,$BI484=""),"",$BI484-HeadClr-Undercut)</f>
        <v/>
      </c>
      <c r="BM484" s="86">
        <f>IF($BH484="","",$BH484+2*FaceW+IF(N($Q484)&gt;0,($Q484+FaceW)*IF($R484="LR",2,1),0))</f>
        <v/>
      </c>
      <c r="BN484" s="86">
        <f>IF($BI484="","",$BI484+IF($AB484="Y",4,FaceW)+IF(N($P484)&gt;0,$P484+FaceW,0)+IF(OR($S484="4F",$S484="BL"),FaceW,0))</f>
        <v/>
      </c>
      <c r="BO484" s="86">
        <f>IF($BM484="","",$BM484+2*ROSide)</f>
        <v/>
      </c>
      <c r="BP484" s="86">
        <f>IF($BN484="","",$BN484+ROTop)</f>
        <v/>
      </c>
      <c r="BQ484" s="87">
        <f>IF(OR(N($BJ484)=0,$BH484=""),"",$BH484/$BJ484-ClearDeduct)</f>
        <v/>
      </c>
      <c r="BR484" s="84">
        <f>IF(N($CH484)=0,"",IF($CH484&gt;=180,"A · 3 HR",IF($CH484&gt;=90,"B · 1-1/2 HR",IF($CH484&gt;=60,"B · 1 HR",IF($CH484&gt;=45,"C · 3/4 HR","20 MIN")))))&amp;IF(AND(N($CH484)&gt;0,OR($I484="CORRIDOR",$I484="SMOKE BARRIER"))," · S","")</f>
        <v/>
      </c>
      <c r="BS484" s="84">
        <f>IF($CS484,"",IF($AV484&lt;&gt;"",$AV484,IF(OR($AC484="HGC",$AO484="HGC"),"CONT",IF(($BI484-HeadClr-Undercut)&lt;=60,2,IF(($BI484-HeadClr-Undercut)&lt;=90,3,IF(($BI484-HeadClr-Undercut)&lt;=120,4,5))))))</f>
        <v/>
      </c>
      <c r="BT484" s="84">
        <f>IF($CS484,"",IF($CT484,"CUSTOM (typed)",IF($CV484,$AT484&amp;" "&amp;$CU484&amp;CHAR(34)&amp;IF($CU484&lt;&gt;$BI484,IF(AND($BI484&lt;$CU484,$BI484-IF(N(VLOOKUP($AT484&amp;"|"&amp;$CU484,LocTable,7,FALSE))&gt;0,VLOOKUP($AT484&amp;"|"&amp;$CU484,LocTable,7,FALSE),VLOOKUP($AT484&amp;"|"&amp;$CU484,LocTable,6,FALSE))-$CR484-0.75&gt;=2.125)," cut down"," adj."),""),"ANSI/SDI A250.6")))</f>
        <v/>
      </c>
      <c r="BU484" s="88">
        <f>IF($CS484,"",IF($CT484,IF(N($AW484)&gt;0,N($AW484),""),IF(1&gt;$CQ484,"",IF($CQ484=1,$CW484,$CW484+($CX484-$CW484)*0/($CQ484-1)))))</f>
        <v/>
      </c>
      <c r="BV484" s="88">
        <f>IF($CS484,"",IF($CT484,IF(N($AX484)&gt;0,N($AX484),""),IF(2&gt;$CQ484,"",IF($CQ484=1,$CW484,$CW484+($CX484-$CW484)*1/($CQ484-1)))))</f>
        <v/>
      </c>
      <c r="BW484" s="88">
        <f>IF($CS484,"",IF($CT484,IF(N($AY484)&gt;0,N($AY484),""),IF(3&gt;$CQ484,"",IF($CQ484=1,$CW484,$CW484+($CX484-$CW484)*2/($CQ484-1)))))</f>
        <v/>
      </c>
      <c r="BX484" s="88">
        <f>IF($CS484,"",IF($CT484,IF(N($AZ484)&gt;0,N($AZ484),""),IF(4&gt;$CQ484,"",IF($CQ484=1,$CW484,$CW484+($CX484-$CW484)*3/($CQ484-1)))))</f>
        <v/>
      </c>
      <c r="BY484" s="88">
        <f>IF($CS484,"",IF($CT484,"",IF(5&gt;$CQ484,"",IF($CQ484=1,$CW484,$CW484+($CX484-$CW484)*4/($CQ484-1)))))</f>
        <v/>
      </c>
      <c r="BZ484" s="88">
        <f>IF(OR($CS484,$AP484="-",AND($AP484="",$AD484="")),"",IF(N($BA484)&gt;0,N($BA484),IF($CV484,IF(AND($BI484&lt;$CU484,$BI484-IF(N(VLOOKUP($AT484&amp;"|"&amp;$CU484,LocTable,7,FALSE))&gt;0,VLOOKUP($AT484&amp;"|"&amp;$CU484,LocTable,7,FALSE),VLOOKUP($AT484&amp;"|"&amp;$CU484,LocTable,6,FALSE))-$CR484-0.75&gt;=2.125),VLOOKUP($AT484&amp;"|"&amp;$CU484,LocTable,8,FALSE),VLOOKUP($AT484&amp;"|"&amp;$CU484,LocTable,8,FALSE)+($BI484-$CU484)),$BI484-LockAFF)))</f>
        <v/>
      </c>
      <c r="CA484" s="89">
        <f>IF($BZ484="","",$BI484-$BZ484)</f>
        <v/>
      </c>
      <c r="CB484" s="84">
        <f>IF(OR(NOT(AND($A484&lt;&gt;"",$C484&lt;&gt;"DOOR ONLY")),$BI484=""),"",IF(($BI484+IF(N($P484)&gt;0,$P484+FaceW,0))&lt;=90,3,IF(($BI484+IF(N($P484)&gt;0,$P484+FaceW,0))&lt;=114,4,5)))</f>
        <v/>
      </c>
      <c r="CC484" s="84">
        <f>IF($CB484="","",$CB484*(2+IF(N($Q484)&gt;0,IF($R484="LR",2,1),0)))</f>
        <v/>
      </c>
      <c r="CD484" s="84">
        <f>IF($CB484="","",(2+IF(N($Q484)&gt;0,IF($R484="LR",2,1),0)))</f>
        <v/>
      </c>
      <c r="CE484" s="84">
        <f>IF(N($BJ484)=0,"",IF(OR($AL484="",$AL484="FLUSH"),"FLUSH",IFERROR(LEFT($AL484,FIND("-",$AL484)-1),LEFT($AL484,2))))</f>
        <v/>
      </c>
      <c r="CF484" s="84">
        <f>IF($CE484="","",IFERROR(VALUE(MID($AL484,FIND("-",$AL484)+1,FIND(CHAR(34)&amp;"x",$AL484)-FIND("-",$AL484)-1)),0))</f>
        <v/>
      </c>
      <c r="CG484" s="84">
        <f>IF($CE484="","",IFERROR(VALUE(MID($AL484,FIND(CHAR(34)&amp;"x",$AL484)+2,FIND(CHAR(34),$AL484,FIND(CHAR(34)&amp;"x",$AL484)+2)-FIND(CHAR(34)&amp;"x",$AL484)-2)),0))</f>
        <v/>
      </c>
      <c r="CH484" s="90">
        <f>IF(OR($A484="",$H484="",$H484="NO LAB"),0,IFERROR(VALUE(LEFT($H484,FIND(" ",$H484)-1)),0))</f>
        <v/>
      </c>
      <c r="CI484" s="91">
        <f>IF(OR($A484="",$I484="",$I484="NON-RATED",N($J484)=0),"",IFERROR(VLOOKUP($I484&amp;"|"&amp;$J484,IBC,2,FALSE),"?"))</f>
        <v/>
      </c>
      <c r="CJ484" s="85">
        <f>IF(NOT(AND($A484&lt;&gt;"",$C484&lt;&gt;"DOOR ONLY")),"",TRIM(IFERROR(VLOOKUP($U484,CODES,2,FALSE),"")&amp;" "&amp;$BG484&amp;" "&amp;IFERROR(VLOOKUP($Z484,CODES,2,FALSE),"")&amp;" "&amp;IFERROR(VLOOKUP($X484,CODES,2,FALSE),"")&amp;" "&amp;IFERROR(VLOOKUP($S484,CODES,2,FALSE),"")&amp;IF(N($P484)&gt;0," w/TRANSOM "&amp;$P484&amp;CHAR(34),"")&amp;IF(N($Q484)&gt;0," w/SIDELITE "&amp;$Q484&amp;CHAR(34)&amp;" "&amp;IF($R484="","R",$R484),"")&amp;IF($Y484="","  |  "," | "&amp;IFERROR(VLOOKUP($Y484,CODES,2,FALSE),"")&amp;" | ")&amp;IFERROR(VLOOKUP($AC484,CODES,2,FALSE),"")&amp;" "&amp;IFERROR(VLOOKUP($AD484,CODES,2,FALSE),"")&amp;IF(OR($AE484="",$AE484="-"),""," "&amp;$AE484)&amp;IF(OR($AF484="",$AF484="-"),""," "&amp;$AF484)&amp;IF($AB484="Y"," 4"&amp;CHAR(34)&amp;" HEAD","")&amp;" "&amp;IFERROR(VLOOKUP($H484,CODES,2,FALSE),"")&amp;IF($CT484," | LOC "&amp;$CY484,"")))</f>
        <v/>
      </c>
      <c r="CK484" s="85">
        <f>IF(NOT(AND($A484&lt;&gt;"",N($BJ484)&gt;0)),"",TRIM(IFERROR(VLOOKUP($AH484,CODES,2,FALSE),"")&amp;IF($AI484=""," "," "&amp;$AI484&amp;"GA ")&amp;$BG484&amp;" "&amp;IF($AN484="",IFERROR(VLOOKUP($Z484,CODES,2,FALSE),""),IFERROR(VLOOKUP($AN484,CODES,2,FALSE),""))&amp;IF($BJ484=2," PAIR","")&amp;" DOOR | "&amp;IF($AL484="","?",$AL484)&amp;" | "&amp;IF($AO484="",IFERROR(VLOOKUP($AC484,CODES,2,FALSE),""),IFERROR(VLOOKUP($AO484,CODES,2,FALSE),""))&amp;" "&amp;IFERROR(VLOOKUP($AP484,CODES,2,FALSE),"")&amp;IF(OR($AQ484="",$AQ484="-"),""," SEAM "&amp;$AQ484)&amp;IF($AR484="Y"," ASTRAGAL","")&amp;IF($AJ484=""," "," "&amp;$AJ484)&amp;IF($AK484=""," "," "&amp;$AK484)&amp;IF(OR($AT484="",$AT484="ANSI/SDI",$AT484="CUSTOM LOC"),""," "&amp;$AT484)&amp;IF($AM484=""," "," SERIES "&amp;$AM484)&amp;" "&amp;IFERROR(VLOOKUP($H484,CODES,2,FALSE),"")&amp;IF($CT484," | LOC "&amp;$CZ484,"")))</f>
        <v/>
      </c>
      <c r="CL484" s="84">
        <f>IF(CP484="","",IF(COUNTIF($CP$6:CP484,CP484)=1,MAX($CL$5:CL483)+1,INDEX($CL$5:CL483,MATCH(CP484,$CP$5:CP483,0))))</f>
        <v/>
      </c>
      <c r="CM484" s="84">
        <f>IF(NOT(AND($A484&lt;&gt;"",$C484&lt;&gt;"DOOR ONLY")),"",MAX($CM$5:CM483)+1)</f>
        <v/>
      </c>
      <c r="CN484" s="84">
        <f>IF(NOT(AND($A484&lt;&gt;"",N($BJ484)&gt;0)),"",MAX($CN$5:CN483)+1)</f>
        <v/>
      </c>
      <c r="CO484" s="84">
        <f>IF($A484="","",MAX($CO$5:CO483)+1)</f>
        <v/>
      </c>
      <c r="CP484" s="84">
        <f>IF(OR($A484="",$BH484="",$BI484=""),"",$BG484&amp;"|"&amp;$O484&amp;"|"&amp;$AL484&amp;"|"&amp;$S484&amp;"|"&amp;$P484&amp;"|"&amp;$Q484&amp;$R484&amp;"|"&amp;$C484&amp;"|"&amp;$AB484)</f>
        <v/>
      </c>
      <c r="CQ484" s="84">
        <f>N($BS484)</f>
        <v/>
      </c>
      <c r="CR484" s="84">
        <f>IF(N($AU484)&gt;0,N($AU484),4.5)</f>
        <v/>
      </c>
      <c r="CS484" s="84">
        <f>OR($A484="",$BI484="",$S484="BL",AND($C484="FRAME ONLY",OR($AC484="",$AC484="BLK")))</f>
        <v/>
      </c>
      <c r="CT484" s="84">
        <f>AND(NOT($CS484),OR($AT484="CUSTOM LOC",N($AW484)+N($AX484)+N($AY484)+N($AZ484)+N($BA484)&gt;0))</f>
        <v/>
      </c>
      <c r="CU484" s="84">
        <f>IF($BI484="","",IF($BI484&lt;=80,80,IF($BI484&lt;=84,84,96)))</f>
        <v/>
      </c>
      <c r="CV484" s="84">
        <f>ISNUMBER(MATCH($AT484&amp;"|80",LocKeys,0))</f>
        <v/>
      </c>
      <c r="CW484" s="86">
        <f>IF($CS484,"",IF($CV484,VLOOKUP($AT484&amp;"|"&amp;$CU484,LocTable,4,FALSE),5))</f>
        <v/>
      </c>
      <c r="CX484" s="86">
        <f>IF($CS484,"",IF($CV484,IF(OR($BI484=$CU484,AND($BI484&lt;$CU484,$BI484-IF(N(VLOOKUP($AT484&amp;"|"&amp;$CU484,LocTable,7,FALSE))&gt;0,VLOOKUP($AT484&amp;"|"&amp;$CU484,LocTable,7,FALSE),VLOOKUP($AT484&amp;"|"&amp;$CU484,LocTable,6,FALSE))-$CR484-0.75&gt;=2.125)),IF(N(VLOOKUP($AT484&amp;"|"&amp;$CU484,LocTable,7,FALSE))&gt;0,VLOOKUP($AT484&amp;"|"&amp;$CU484,LocTable,7,FALSE),VLOOKUP($AT484&amp;"|"&amp;$CU484,LocTable,6,FALSE)),$BI484-($CU484-IF(N(VLOOKUP($AT484&amp;"|"&amp;$CU484,LocTable,7,FALSE))&gt;0,VLOOKUP($AT484&amp;"|"&amp;$CU484,LocTable,7,FALSE),VLOOKUP($AT484&amp;"|"&amp;$CU484,LocTable,6,FALSE)))),$BI484-10-$CR484))</f>
        <v/>
      </c>
      <c r="CY484" s="85">
        <f>IF($CS484,"",TRIM(IF(ISNUMBER($BU484),"A "&amp;TRIM(TEXT($BU484,"# ?/??"))&amp;CHAR(34)&amp;"  ","")&amp;IF(ISNUMBER($BV484),"B "&amp;TRIM(TEXT($BV484,"# ?/??"))&amp;CHAR(34)&amp;"  ","")&amp;IF(ISNUMBER($BW484),"C "&amp;TRIM(TEXT($BW484,"# ?/??"))&amp;CHAR(34)&amp;"  ","")&amp;IF(ISNUMBER($BX484),"D "&amp;TRIM(TEXT($BX484,"# ?/??"))&amp;CHAR(34)&amp;"  ","")&amp;IF(ISNUMBER($BY484),"F "&amp;TRIM(TEXT($BY484,"# ?/??"))&amp;CHAR(34)&amp;"  ","")&amp;IF(ISNUMBER($BZ484),"E "&amp;TRIM(TEXT($BZ484,"# ?/??"))&amp;CHAR(34)&amp;"  ","")))</f>
        <v/>
      </c>
      <c r="CZ484" s="85">
        <f>IF(OR($CS484,N($BJ484)=0),"",TRIM(IF(ISNUMBER($BU484),"A "&amp;TRIM(TEXT($BU484-HeadClr,"# ?/??"))&amp;CHAR(34)&amp;"  ","")&amp;IF(ISNUMBER($BV484),"B "&amp;TRIM(TEXT($BV484-HeadClr,"# ?/??"))&amp;CHAR(34)&amp;"  ","")&amp;IF(ISNUMBER($BW484),"C "&amp;TRIM(TEXT($BW484-HeadClr,"# ?/??"))&amp;CHAR(34)&amp;"  ","")&amp;IF(ISNUMBER($BX484),"D "&amp;TRIM(TEXT($BX484-HeadClr,"# ?/??"))&amp;CHAR(34)&amp;"  ","")&amp;IF(ISNUMBER($BY484),"F "&amp;TRIM(TEXT($BY484-HeadClr,"# ?/??"))&amp;CHAR(34)&amp;"  ","")&amp;IF(ISNUMBER($BZ484),"E "&amp;TRIM(TEXT($BZ484-HeadClr,"# ?/??"))&amp;CHAR(34)&amp;"  ","")))</f>
        <v/>
      </c>
      <c r="DA484" s="84">
        <f>IF($A484="","",IF($AN484="",IFERROR(VLOOKUP($Z484,CODES,2,FALSE),""),IFERROR(VLOOKUP($AN484,CODES,2,FALSE),"")))</f>
        <v/>
      </c>
      <c r="DB484" s="84">
        <f>IF($A484="","",IF($O484="Y","PR",IF(OR($Z484="L",$Z484="RR",LEFT($Z484,2)="L-",LEFT($Z484,3)="RR-"),"LH","RH")))</f>
        <v/>
      </c>
      <c r="DC484" s="84">
        <f>IF($A484="","","S.HM"&amp;IF(OR($C484="DOOR ONLY",$X484&lt;&gt;"KD"),"MASONRY","DRYWALL")&amp;IF($C484="DOOR ONLY","",$U484)&amp;IF(AND($C484&lt;&gt;"FRAME ONLY",OR(LEFT($AH484,3)="OAK",LEFT($AH484,3)="BIR",LEFT($AH484,3)="MAP",$AH484="PC",$AH484="MC",$AH484="SCLC",$AH484="P-LAM")),"WD","HM")&amp;"1.75")</f>
        <v/>
      </c>
      <c r="DD484" s="84">
        <f>IF($CJ484="","",IF($O484="Y",$CJ484,SUBSTITUTE($CJ484,$BG484&amp;" "&amp;IFERROR(VLOOKUP($Z484,CODES,2,FALSE),"")&amp;" ",$BG484&amp;" ")))</f>
        <v/>
      </c>
      <c r="DE484" s="84">
        <f>IF($CK484="","",IF($O484="Y",$CK484,SUBSTITUTE($CK484,$BG484&amp;" "&amp;IF($AN484="",IFERROR(VLOOKUP($Z484,CODES,2,FALSE),""),IFERROR(VLOOKUP($AN484,CODES,2,FALSE),""))&amp;" ",$BG484&amp;" ")))</f>
        <v/>
      </c>
      <c r="DF484" s="84">
        <f>IF($CJ484="","",$DC484&amp;"|"&amp;$DD484&amp;"|"&amp;$DB484&amp;"|"&amp;$AT484&amp;"|"&amp;$V484&amp;"|"&amp;$Y484&amp;"|"&amp;$AB484)</f>
        <v/>
      </c>
      <c r="DG484" s="84">
        <f>IF(DF484="","",IF(COUNTIF($DF$6:DF484,DF484)=1,MAX($DG$5:DG483)+1,INDEX($DG$5:DG483,MATCH(DF484,$DF$5:DF483,0))))</f>
        <v/>
      </c>
      <c r="DH484" s="84">
        <f>IF($CK484="","",$DC484&amp;"|"&amp;$DE484&amp;"|"&amp;$AI484&amp;"|"&amp;$BK484&amp;"|"&amp;$BL484)</f>
        <v/>
      </c>
      <c r="DI484" s="84">
        <f>IF(DH484="","",IF(COUNTIF($DH$6:DH484,DH484)=1,MAX($DI$5:DI483)+1,INDEX($DI$5:DI483,MATCH(DH484,$DH$5:DH483,0))))</f>
        <v/>
      </c>
      <c r="DJ484" s="84">
        <f>IF($A484="","",IF($B484="","qty, ","")&amp;IF($C484="","scope, ","")&amp;IF(OR($K484="",$M484=""),"size, ","")&amp;IF(AND($A484&lt;&gt;"",$C484&lt;&gt;"DOOR ONLY"),IF($U484="","jamb depth, ","")&amp;IF($X484="","construction, ","")&amp;IF($Y484="","anchor, ","")&amp;IF($S484="","frame type, ",""),"")&amp;IF(AND(N($BJ484)&gt;0,$Z484=""),"hand, ","")&amp;IF(N($BJ484)&gt;0,IF($AH484="","door material, ","")&amp;IF($AL484="","face type, ","")&amp;IF($AP484="","lock prep, ","")&amp;IF(AND($AO484="",$AC484=""),"hinge prep, ",""),"")&amp;IF(AND($CH484&gt;0,$AH484="FRP"),"FRP cannot carry a label, ","")&amp;IF(AND($O484="Y",OR($Z484="L",$Z484="R",$Z484="LR",$Z484="RR")),"pair marked but hand is single, ","")&amp;IF(AND($O484&lt;&gt;"Y",OR($Z484="PR",AND(LEN($Z484)&gt;1,ISNUMBER(SEARCH("-",$Z484))))),"pair hand on a single door, ","")&amp;IF(AND(ISNUMBER($CI484),$CH484&lt;N($CI484)),"wall needs a "&amp;$CI484&amp;" min door, ","")&amp;IF(AND($CH484&gt;=180,AND(OR($CE484="FG",$CE484="HG",$CE484="FNV",$CE484="FV"),N($CF484)*N($CG484)&gt;100)),"180 min lite over 100 sq in, ","")&amp;IF(N($BK484)&gt;48,"leaf wider than 4'-0"&amp;CHAR(34)&amp;", ","")&amp;IF(AND($CT484,COUNT($AW484:$AZ484)=0,$CQ484&gt;0),"CUSTOM LOC with no locations typed, ",""))</f>
        <v/>
      </c>
      <c r="DK484" s="84">
        <f>IF($A484="","",IF(AND($CH484&gt;0,AND($A484&lt;&gt;"",$C484&lt;&gt;"DOOR ONLY"),$X484="KD",$E484="EXTERIOR"),"KD label on an exterior opening, ","")&amp;IF(AND($E484="EXTERIOR",OR(AND(AND($A484&lt;&gt;"",$C484&lt;&gt;"DOOR ONLY"),$W484="CR"),AND(N($BJ484)&gt;0,$AH484="CR"))),"exterior in CR steel (G9?), ","")&amp;IF(AND(ISNUMBER($BQ484),N($BQ484)&lt;32),"clear width ~"&amp;TEXT($BQ484,"0.0")&amp;CHAR(34)&amp;" under 32"&amp;CHAR(34)&amp;" (ADA), ","")&amp;IF(AND($CH484=90,AND(OR($CE484="FG",$CE484="HG",$CE484="FNV",$CE484="FV"),N($CF484)*N($CG484)&gt;100)),"90 min lite over 100 sq in (stair/exit), ","")&amp;IF(AND($CH484&gt;0,AND($A484&lt;&gt;"",$C484&lt;&gt;"DOOR ONLY"),OR($AF484="",$AF484="-")),"rated: closer reinf.?, ","")&amp;IF(OR($I484="CORRIDOR",$I484="SMOKE BARRIER"),"S label + smoke gasketing, ","")&amp;IF($CI484="?","wall type/hr not in IBC table, ","")&amp;IF(AND(N($BJ484)&gt;0,$BB484=""),"no hardware set, ","")&amp;IF(AND($BB484&lt;&gt;"",ISNA(MATCH($BB484&amp;"",HWSets,0))),"set "&amp;$BB484&amp;" not on HW Sets, ","")&amp;IF(N($BL484)&gt;96,"leaf over 8'-0"&amp;CHAR(34)&amp;" - check listing, ","")&amp;IF(AND($CT484,COUNT($AW484:$AZ484)&gt;0,COUNT($AW484:$AZ484)&lt;&gt;$CQ484),COUNT($AW484:$AZ484)&amp;" custom hinges typed, "&amp;$CQ484&amp;" expected, ","")&amp;IF(AND(ISNUMBER($CA484),OR(N($CA484)&lt;34,N($CA484)&gt;48)),"lock "&amp;TEXT($CA484,"0.0")&amp;CHAR(34)&amp;" AFF outside 34-48"&amp;CHAR(34)&amp;" (ADA), ","")&amp;IF(AND(ISNUMBER($AV484),ISNUMBER($BL484),N($AV484)&lt;IF(N($BL484)&lt;=60,2,IF(N($BL484)&lt;=90,3,IF(N($BL484)&lt;=120,4,5)))),"fewer hinges than standard, ",""))</f>
        <v/>
      </c>
    </row>
    <row r="485" ht="15" customHeight="1">
      <c r="A485" s="92" t="n"/>
      <c r="B485" s="93" t="n"/>
      <c r="C485" s="93" t="n"/>
      <c r="D485" s="93" t="n"/>
      <c r="E485" s="93" t="n"/>
      <c r="F485" s="93" t="n"/>
      <c r="G485" s="93" t="n"/>
      <c r="H485" s="93" t="n"/>
      <c r="I485" s="93" t="n"/>
      <c r="J485" s="93" t="n"/>
      <c r="K485" s="93" t="n"/>
      <c r="L485" s="93" t="n"/>
      <c r="M485" s="93" t="n"/>
      <c r="N485" s="93" t="n"/>
      <c r="O485" s="93" t="n"/>
      <c r="P485" s="93" t="n"/>
      <c r="Q485" s="93" t="n"/>
      <c r="R485" s="93" t="n"/>
      <c r="S485" s="94" t="n"/>
      <c r="T485" s="94" t="n"/>
      <c r="U485" s="94" t="n"/>
      <c r="V485" s="94" t="n"/>
      <c r="W485" s="94" t="n"/>
      <c r="X485" s="94" t="n"/>
      <c r="Y485" s="94" t="n"/>
      <c r="Z485" s="94" t="n"/>
      <c r="AA485" s="94" t="n"/>
      <c r="AB485" s="94" t="n"/>
      <c r="AC485" s="94" t="n"/>
      <c r="AD485" s="94" t="n"/>
      <c r="AE485" s="94" t="n"/>
      <c r="AF485" s="94" t="n"/>
      <c r="AG485" s="94" t="n"/>
      <c r="AH485" s="95" t="n"/>
      <c r="AI485" s="95" t="n"/>
      <c r="AJ485" s="95" t="n"/>
      <c r="AK485" s="95" t="n"/>
      <c r="AL485" s="95" t="n"/>
      <c r="AM485" s="95" t="n"/>
      <c r="AN485" s="95" t="n"/>
      <c r="AO485" s="95" t="n"/>
      <c r="AP485" s="95" t="n"/>
      <c r="AQ485" s="95" t="n"/>
      <c r="AR485" s="95" t="n"/>
      <c r="AS485" s="95" t="n"/>
      <c r="AT485" s="96" t="n"/>
      <c r="AU485" s="96" t="n"/>
      <c r="AV485" s="96" t="n"/>
      <c r="AW485" s="97" t="n"/>
      <c r="AX485" s="97" t="n"/>
      <c r="AY485" s="97" t="n"/>
      <c r="AZ485" s="97" t="n"/>
      <c r="BA485" s="97" t="n"/>
      <c r="BB485" s="98" t="n"/>
      <c r="BC485" s="98" t="n"/>
      <c r="BD485" s="99">
        <f>IF($A485="","",IF($DJ485&lt;&gt;"","FIX",IF($DK485&lt;&gt;"","CHECK","OK")))</f>
        <v/>
      </c>
      <c r="BE485" s="100">
        <f>IF($A485="","",IF($DJ485&lt;&gt;"","FIX: "&amp;LEFT($DJ485,LEN($DJ485)-2)&amp;IF($DK485&lt;&gt;"","  ·  ",""),"")&amp;IF($DK485&lt;&gt;"","CHECK: "&amp;LEFT($DK485,LEN($DK485)-2),""))</f>
        <v/>
      </c>
      <c r="BF485" s="99">
        <f>IF(OR($A485="",$K485=""),"",$K485&amp;"'-"&amp;N($L485)&amp;CHAR(34)&amp;" x "&amp;$M485&amp;"'-"&amp;N($N485)&amp;CHAR(34))</f>
        <v/>
      </c>
      <c r="BG485" s="99">
        <f>IF(OR($A485="",$K485=""),"",$K485&amp;N($L485)&amp;$M485&amp;N($N485))</f>
        <v/>
      </c>
      <c r="BH485" s="99">
        <f>IF(OR($A485="",$K485=""),"",$K485*12+N($L485))</f>
        <v/>
      </c>
      <c r="BI485" s="99">
        <f>IF(OR($A485="",$M485=""),"",$M485*12+N($N485))</f>
        <v/>
      </c>
      <c r="BJ485" s="99">
        <f>IF($A485="","",IF(OR($C485="FRAME ONLY",$S485="BL"),0,IF($O485="Y",2,1)))</f>
        <v/>
      </c>
      <c r="BK485" s="101">
        <f>IF(OR(N($BJ485)=0,$BH485=""),"",($BH485-2*EdgeClr-IF($BJ485=2,MeetClr,0))/$BJ485)</f>
        <v/>
      </c>
      <c r="BL485" s="101">
        <f>IF(OR(N($BJ485)=0,$BI485=""),"",$BI485-HeadClr-Undercut)</f>
        <v/>
      </c>
      <c r="BM485" s="101">
        <f>IF($BH485="","",$BH485+2*FaceW+IF(N($Q485)&gt;0,($Q485+FaceW)*IF($R485="LR",2,1),0))</f>
        <v/>
      </c>
      <c r="BN485" s="101">
        <f>IF($BI485="","",$BI485+IF($AB485="Y",4,FaceW)+IF(N($P485)&gt;0,$P485+FaceW,0)+IF(OR($S485="4F",$S485="BL"),FaceW,0))</f>
        <v/>
      </c>
      <c r="BO485" s="101">
        <f>IF($BM485="","",$BM485+2*ROSide)</f>
        <v/>
      </c>
      <c r="BP485" s="101">
        <f>IF($BN485="","",$BN485+ROTop)</f>
        <v/>
      </c>
      <c r="BQ485" s="102">
        <f>IF(OR(N($BJ485)=0,$BH485=""),"",$BH485/$BJ485-ClearDeduct)</f>
        <v/>
      </c>
      <c r="BR485" s="99">
        <f>IF(N($CH485)=0,"",IF($CH485&gt;=180,"A · 3 HR",IF($CH485&gt;=90,"B · 1-1/2 HR",IF($CH485&gt;=60,"B · 1 HR",IF($CH485&gt;=45,"C · 3/4 HR","20 MIN")))))&amp;IF(AND(N($CH485)&gt;0,OR($I485="CORRIDOR",$I485="SMOKE BARRIER"))," · S","")</f>
        <v/>
      </c>
      <c r="BS485" s="99">
        <f>IF($CS485,"",IF($AV485&lt;&gt;"",$AV485,IF(OR($AC485="HGC",$AO485="HGC"),"CONT",IF(($BI485-HeadClr-Undercut)&lt;=60,2,IF(($BI485-HeadClr-Undercut)&lt;=90,3,IF(($BI485-HeadClr-Undercut)&lt;=120,4,5))))))</f>
        <v/>
      </c>
      <c r="BT485" s="99">
        <f>IF($CS485,"",IF($CT485,"CUSTOM (typed)",IF($CV485,$AT485&amp;" "&amp;$CU485&amp;CHAR(34)&amp;IF($CU485&lt;&gt;$BI485,IF(AND($BI485&lt;$CU485,$BI485-IF(N(VLOOKUP($AT485&amp;"|"&amp;$CU485,LocTable,7,FALSE))&gt;0,VLOOKUP($AT485&amp;"|"&amp;$CU485,LocTable,7,FALSE),VLOOKUP($AT485&amp;"|"&amp;$CU485,LocTable,6,FALSE))-$CR485-0.75&gt;=2.125)," cut down"," adj."),""),"ANSI/SDI A250.6")))</f>
        <v/>
      </c>
      <c r="BU485" s="103">
        <f>IF($CS485,"",IF($CT485,IF(N($AW485)&gt;0,N($AW485),""),IF(1&gt;$CQ485,"",IF($CQ485=1,$CW485,$CW485+($CX485-$CW485)*0/($CQ485-1)))))</f>
        <v/>
      </c>
      <c r="BV485" s="103">
        <f>IF($CS485,"",IF($CT485,IF(N($AX485)&gt;0,N($AX485),""),IF(2&gt;$CQ485,"",IF($CQ485=1,$CW485,$CW485+($CX485-$CW485)*1/($CQ485-1)))))</f>
        <v/>
      </c>
      <c r="BW485" s="103">
        <f>IF($CS485,"",IF($CT485,IF(N($AY485)&gt;0,N($AY485),""),IF(3&gt;$CQ485,"",IF($CQ485=1,$CW485,$CW485+($CX485-$CW485)*2/($CQ485-1)))))</f>
        <v/>
      </c>
      <c r="BX485" s="103">
        <f>IF($CS485,"",IF($CT485,IF(N($AZ485)&gt;0,N($AZ485),""),IF(4&gt;$CQ485,"",IF($CQ485=1,$CW485,$CW485+($CX485-$CW485)*3/($CQ485-1)))))</f>
        <v/>
      </c>
      <c r="BY485" s="103">
        <f>IF($CS485,"",IF($CT485,"",IF(5&gt;$CQ485,"",IF($CQ485=1,$CW485,$CW485+($CX485-$CW485)*4/($CQ485-1)))))</f>
        <v/>
      </c>
      <c r="BZ485" s="103">
        <f>IF(OR($CS485,$AP485="-",AND($AP485="",$AD485="")),"",IF(N($BA485)&gt;0,N($BA485),IF($CV485,IF(AND($BI485&lt;$CU485,$BI485-IF(N(VLOOKUP($AT485&amp;"|"&amp;$CU485,LocTable,7,FALSE))&gt;0,VLOOKUP($AT485&amp;"|"&amp;$CU485,LocTable,7,FALSE),VLOOKUP($AT485&amp;"|"&amp;$CU485,LocTable,6,FALSE))-$CR485-0.75&gt;=2.125),VLOOKUP($AT485&amp;"|"&amp;$CU485,LocTable,8,FALSE),VLOOKUP($AT485&amp;"|"&amp;$CU485,LocTable,8,FALSE)+($BI485-$CU485)),$BI485-LockAFF)))</f>
        <v/>
      </c>
      <c r="CA485" s="104">
        <f>IF($BZ485="","",$BI485-$BZ485)</f>
        <v/>
      </c>
      <c r="CB485" s="99">
        <f>IF(OR(NOT(AND($A485&lt;&gt;"",$C485&lt;&gt;"DOOR ONLY")),$BI485=""),"",IF(($BI485+IF(N($P485)&gt;0,$P485+FaceW,0))&lt;=90,3,IF(($BI485+IF(N($P485)&gt;0,$P485+FaceW,0))&lt;=114,4,5)))</f>
        <v/>
      </c>
      <c r="CC485" s="99">
        <f>IF($CB485="","",$CB485*(2+IF(N($Q485)&gt;0,IF($R485="LR",2,1),0)))</f>
        <v/>
      </c>
      <c r="CD485" s="99">
        <f>IF($CB485="","",(2+IF(N($Q485)&gt;0,IF($R485="LR",2,1),0)))</f>
        <v/>
      </c>
      <c r="CE485" s="99">
        <f>IF(N($BJ485)=0,"",IF(OR($AL485="",$AL485="FLUSH"),"FLUSH",IFERROR(LEFT($AL485,FIND("-",$AL485)-1),LEFT($AL485,2))))</f>
        <v/>
      </c>
      <c r="CF485" s="99">
        <f>IF($CE485="","",IFERROR(VALUE(MID($AL485,FIND("-",$AL485)+1,FIND(CHAR(34)&amp;"x",$AL485)-FIND("-",$AL485)-1)),0))</f>
        <v/>
      </c>
      <c r="CG485" s="99">
        <f>IF($CE485="","",IFERROR(VALUE(MID($AL485,FIND(CHAR(34)&amp;"x",$AL485)+2,FIND(CHAR(34),$AL485,FIND(CHAR(34)&amp;"x",$AL485)+2)-FIND(CHAR(34)&amp;"x",$AL485)-2)),0))</f>
        <v/>
      </c>
      <c r="CH485" s="105">
        <f>IF(OR($A485="",$H485="",$H485="NO LAB"),0,IFERROR(VALUE(LEFT($H485,FIND(" ",$H485)-1)),0))</f>
        <v/>
      </c>
      <c r="CI485" s="106">
        <f>IF(OR($A485="",$I485="",$I485="NON-RATED",N($J485)=0),"",IFERROR(VLOOKUP($I485&amp;"|"&amp;$J485,IBC,2,FALSE),"?"))</f>
        <v/>
      </c>
      <c r="CJ485" s="100">
        <f>IF(NOT(AND($A485&lt;&gt;"",$C485&lt;&gt;"DOOR ONLY")),"",TRIM(IFERROR(VLOOKUP($U485,CODES,2,FALSE),"")&amp;" "&amp;$BG485&amp;" "&amp;IFERROR(VLOOKUP($Z485,CODES,2,FALSE),"")&amp;" "&amp;IFERROR(VLOOKUP($X485,CODES,2,FALSE),"")&amp;" "&amp;IFERROR(VLOOKUP($S485,CODES,2,FALSE),"")&amp;IF(N($P485)&gt;0," w/TRANSOM "&amp;$P485&amp;CHAR(34),"")&amp;IF(N($Q485)&gt;0," w/SIDELITE "&amp;$Q485&amp;CHAR(34)&amp;" "&amp;IF($R485="","R",$R485),"")&amp;IF($Y485="","  |  "," | "&amp;IFERROR(VLOOKUP($Y485,CODES,2,FALSE),"")&amp;" | ")&amp;IFERROR(VLOOKUP($AC485,CODES,2,FALSE),"")&amp;" "&amp;IFERROR(VLOOKUP($AD485,CODES,2,FALSE),"")&amp;IF(OR($AE485="",$AE485="-"),""," "&amp;$AE485)&amp;IF(OR($AF485="",$AF485="-"),""," "&amp;$AF485)&amp;IF($AB485="Y"," 4"&amp;CHAR(34)&amp;" HEAD","")&amp;" "&amp;IFERROR(VLOOKUP($H485,CODES,2,FALSE),"")&amp;IF($CT485," | LOC "&amp;$CY485,"")))</f>
        <v/>
      </c>
      <c r="CK485" s="100">
        <f>IF(NOT(AND($A485&lt;&gt;"",N($BJ485)&gt;0)),"",TRIM(IFERROR(VLOOKUP($AH485,CODES,2,FALSE),"")&amp;IF($AI485=""," "," "&amp;$AI485&amp;"GA ")&amp;$BG485&amp;" "&amp;IF($AN485="",IFERROR(VLOOKUP($Z485,CODES,2,FALSE),""),IFERROR(VLOOKUP($AN485,CODES,2,FALSE),""))&amp;IF($BJ485=2," PAIR","")&amp;" DOOR | "&amp;IF($AL485="","?",$AL485)&amp;" | "&amp;IF($AO485="",IFERROR(VLOOKUP($AC485,CODES,2,FALSE),""),IFERROR(VLOOKUP($AO485,CODES,2,FALSE),""))&amp;" "&amp;IFERROR(VLOOKUP($AP485,CODES,2,FALSE),"")&amp;IF(OR($AQ485="",$AQ485="-"),""," SEAM "&amp;$AQ485)&amp;IF($AR485="Y"," ASTRAGAL","")&amp;IF($AJ485=""," "," "&amp;$AJ485)&amp;IF($AK485=""," "," "&amp;$AK485)&amp;IF(OR($AT485="",$AT485="ANSI/SDI",$AT485="CUSTOM LOC"),""," "&amp;$AT485)&amp;IF($AM485=""," "," SERIES "&amp;$AM485)&amp;" "&amp;IFERROR(VLOOKUP($H485,CODES,2,FALSE),"")&amp;IF($CT485," | LOC "&amp;$CZ485,"")))</f>
        <v/>
      </c>
      <c r="CL485" s="99">
        <f>IF(CP485="","",IF(COUNTIF($CP$6:CP485,CP485)=1,MAX($CL$5:CL484)+1,INDEX($CL$5:CL484,MATCH(CP485,$CP$5:CP484,0))))</f>
        <v/>
      </c>
      <c r="CM485" s="99">
        <f>IF(NOT(AND($A485&lt;&gt;"",$C485&lt;&gt;"DOOR ONLY")),"",MAX($CM$5:CM484)+1)</f>
        <v/>
      </c>
      <c r="CN485" s="99">
        <f>IF(NOT(AND($A485&lt;&gt;"",N($BJ485)&gt;0)),"",MAX($CN$5:CN484)+1)</f>
        <v/>
      </c>
      <c r="CO485" s="99">
        <f>IF($A485="","",MAX($CO$5:CO484)+1)</f>
        <v/>
      </c>
      <c r="CP485" s="99">
        <f>IF(OR($A485="",$BH485="",$BI485=""),"",$BG485&amp;"|"&amp;$O485&amp;"|"&amp;$AL485&amp;"|"&amp;$S485&amp;"|"&amp;$P485&amp;"|"&amp;$Q485&amp;$R485&amp;"|"&amp;$C485&amp;"|"&amp;$AB485)</f>
        <v/>
      </c>
      <c r="CQ485" s="99">
        <f>N($BS485)</f>
        <v/>
      </c>
      <c r="CR485" s="99">
        <f>IF(N($AU485)&gt;0,N($AU485),4.5)</f>
        <v/>
      </c>
      <c r="CS485" s="99">
        <f>OR($A485="",$BI485="",$S485="BL",AND($C485="FRAME ONLY",OR($AC485="",$AC485="BLK")))</f>
        <v/>
      </c>
      <c r="CT485" s="99">
        <f>AND(NOT($CS485),OR($AT485="CUSTOM LOC",N($AW485)+N($AX485)+N($AY485)+N($AZ485)+N($BA485)&gt;0))</f>
        <v/>
      </c>
      <c r="CU485" s="99">
        <f>IF($BI485="","",IF($BI485&lt;=80,80,IF($BI485&lt;=84,84,96)))</f>
        <v/>
      </c>
      <c r="CV485" s="99">
        <f>ISNUMBER(MATCH($AT485&amp;"|80",LocKeys,0))</f>
        <v/>
      </c>
      <c r="CW485" s="101">
        <f>IF($CS485,"",IF($CV485,VLOOKUP($AT485&amp;"|"&amp;$CU485,LocTable,4,FALSE),5))</f>
        <v/>
      </c>
      <c r="CX485" s="101">
        <f>IF($CS485,"",IF($CV485,IF(OR($BI485=$CU485,AND($BI485&lt;$CU485,$BI485-IF(N(VLOOKUP($AT485&amp;"|"&amp;$CU485,LocTable,7,FALSE))&gt;0,VLOOKUP($AT485&amp;"|"&amp;$CU485,LocTable,7,FALSE),VLOOKUP($AT485&amp;"|"&amp;$CU485,LocTable,6,FALSE))-$CR485-0.75&gt;=2.125)),IF(N(VLOOKUP($AT485&amp;"|"&amp;$CU485,LocTable,7,FALSE))&gt;0,VLOOKUP($AT485&amp;"|"&amp;$CU485,LocTable,7,FALSE),VLOOKUP($AT485&amp;"|"&amp;$CU485,LocTable,6,FALSE)),$BI485-($CU485-IF(N(VLOOKUP($AT485&amp;"|"&amp;$CU485,LocTable,7,FALSE))&gt;0,VLOOKUP($AT485&amp;"|"&amp;$CU485,LocTable,7,FALSE),VLOOKUP($AT485&amp;"|"&amp;$CU485,LocTable,6,FALSE)))),$BI485-10-$CR485))</f>
        <v/>
      </c>
      <c r="CY485" s="100">
        <f>IF($CS485,"",TRIM(IF(ISNUMBER($BU485),"A "&amp;TRIM(TEXT($BU485,"# ?/??"))&amp;CHAR(34)&amp;"  ","")&amp;IF(ISNUMBER($BV485),"B "&amp;TRIM(TEXT($BV485,"# ?/??"))&amp;CHAR(34)&amp;"  ","")&amp;IF(ISNUMBER($BW485),"C "&amp;TRIM(TEXT($BW485,"# ?/??"))&amp;CHAR(34)&amp;"  ","")&amp;IF(ISNUMBER($BX485),"D "&amp;TRIM(TEXT($BX485,"# ?/??"))&amp;CHAR(34)&amp;"  ","")&amp;IF(ISNUMBER($BY485),"F "&amp;TRIM(TEXT($BY485,"# ?/??"))&amp;CHAR(34)&amp;"  ","")&amp;IF(ISNUMBER($BZ485),"E "&amp;TRIM(TEXT($BZ485,"# ?/??"))&amp;CHAR(34)&amp;"  ","")))</f>
        <v/>
      </c>
      <c r="CZ485" s="100">
        <f>IF(OR($CS485,N($BJ485)=0),"",TRIM(IF(ISNUMBER($BU485),"A "&amp;TRIM(TEXT($BU485-HeadClr,"# ?/??"))&amp;CHAR(34)&amp;"  ","")&amp;IF(ISNUMBER($BV485),"B "&amp;TRIM(TEXT($BV485-HeadClr,"# ?/??"))&amp;CHAR(34)&amp;"  ","")&amp;IF(ISNUMBER($BW485),"C "&amp;TRIM(TEXT($BW485-HeadClr,"# ?/??"))&amp;CHAR(34)&amp;"  ","")&amp;IF(ISNUMBER($BX485),"D "&amp;TRIM(TEXT($BX485-HeadClr,"# ?/??"))&amp;CHAR(34)&amp;"  ","")&amp;IF(ISNUMBER($BY485),"F "&amp;TRIM(TEXT($BY485-HeadClr,"# ?/??"))&amp;CHAR(34)&amp;"  ","")&amp;IF(ISNUMBER($BZ485),"E "&amp;TRIM(TEXT($BZ485-HeadClr,"# ?/??"))&amp;CHAR(34)&amp;"  ","")))</f>
        <v/>
      </c>
      <c r="DA485" s="99">
        <f>IF($A485="","",IF($AN485="",IFERROR(VLOOKUP($Z485,CODES,2,FALSE),""),IFERROR(VLOOKUP($AN485,CODES,2,FALSE),"")))</f>
        <v/>
      </c>
      <c r="DB485" s="99">
        <f>IF($A485="","",IF($O485="Y","PR",IF(OR($Z485="L",$Z485="RR",LEFT($Z485,2)="L-",LEFT($Z485,3)="RR-"),"LH","RH")))</f>
        <v/>
      </c>
      <c r="DC485" s="99">
        <f>IF($A485="","","S.HM"&amp;IF(OR($C485="DOOR ONLY",$X485&lt;&gt;"KD"),"MASONRY","DRYWALL")&amp;IF($C485="DOOR ONLY","",$U485)&amp;IF(AND($C485&lt;&gt;"FRAME ONLY",OR(LEFT($AH485,3)="OAK",LEFT($AH485,3)="BIR",LEFT($AH485,3)="MAP",$AH485="PC",$AH485="MC",$AH485="SCLC",$AH485="P-LAM")),"WD","HM")&amp;"1.75")</f>
        <v/>
      </c>
      <c r="DD485" s="99">
        <f>IF($CJ485="","",IF($O485="Y",$CJ485,SUBSTITUTE($CJ485,$BG485&amp;" "&amp;IFERROR(VLOOKUP($Z485,CODES,2,FALSE),"")&amp;" ",$BG485&amp;" ")))</f>
        <v/>
      </c>
      <c r="DE485" s="99">
        <f>IF($CK485="","",IF($O485="Y",$CK485,SUBSTITUTE($CK485,$BG485&amp;" "&amp;IF($AN485="",IFERROR(VLOOKUP($Z485,CODES,2,FALSE),""),IFERROR(VLOOKUP($AN485,CODES,2,FALSE),""))&amp;" ",$BG485&amp;" ")))</f>
        <v/>
      </c>
      <c r="DF485" s="99">
        <f>IF($CJ485="","",$DC485&amp;"|"&amp;$DD485&amp;"|"&amp;$DB485&amp;"|"&amp;$AT485&amp;"|"&amp;$V485&amp;"|"&amp;$Y485&amp;"|"&amp;$AB485)</f>
        <v/>
      </c>
      <c r="DG485" s="99">
        <f>IF(DF485="","",IF(COUNTIF($DF$6:DF485,DF485)=1,MAX($DG$5:DG484)+1,INDEX($DG$5:DG484,MATCH(DF485,$DF$5:DF484,0))))</f>
        <v/>
      </c>
      <c r="DH485" s="99">
        <f>IF($CK485="","",$DC485&amp;"|"&amp;$DE485&amp;"|"&amp;$AI485&amp;"|"&amp;$BK485&amp;"|"&amp;$BL485)</f>
        <v/>
      </c>
      <c r="DI485" s="99">
        <f>IF(DH485="","",IF(COUNTIF($DH$6:DH485,DH485)=1,MAX($DI$5:DI484)+1,INDEX($DI$5:DI484,MATCH(DH485,$DH$5:DH484,0))))</f>
        <v/>
      </c>
      <c r="DJ485" s="99">
        <f>IF($A485="","",IF($B485="","qty, ","")&amp;IF($C485="","scope, ","")&amp;IF(OR($K485="",$M485=""),"size, ","")&amp;IF(AND($A485&lt;&gt;"",$C485&lt;&gt;"DOOR ONLY"),IF($U485="","jamb depth, ","")&amp;IF($X485="","construction, ","")&amp;IF($Y485="","anchor, ","")&amp;IF($S485="","frame type, ",""),"")&amp;IF(AND(N($BJ485)&gt;0,$Z485=""),"hand, ","")&amp;IF(N($BJ485)&gt;0,IF($AH485="","door material, ","")&amp;IF($AL485="","face type, ","")&amp;IF($AP485="","lock prep, ","")&amp;IF(AND($AO485="",$AC485=""),"hinge prep, ",""),"")&amp;IF(AND($CH485&gt;0,$AH485="FRP"),"FRP cannot carry a label, ","")&amp;IF(AND($O485="Y",OR($Z485="L",$Z485="R",$Z485="LR",$Z485="RR")),"pair marked but hand is single, ","")&amp;IF(AND($O485&lt;&gt;"Y",OR($Z485="PR",AND(LEN($Z485)&gt;1,ISNUMBER(SEARCH("-",$Z485))))),"pair hand on a single door, ","")&amp;IF(AND(ISNUMBER($CI485),$CH485&lt;N($CI485)),"wall needs a "&amp;$CI485&amp;" min door, ","")&amp;IF(AND($CH485&gt;=180,AND(OR($CE485="FG",$CE485="HG",$CE485="FNV",$CE485="FV"),N($CF485)*N($CG485)&gt;100)),"180 min lite over 100 sq in, ","")&amp;IF(N($BK485)&gt;48,"leaf wider than 4'-0"&amp;CHAR(34)&amp;", ","")&amp;IF(AND($CT485,COUNT($AW485:$AZ485)=0,$CQ485&gt;0),"CUSTOM LOC with no locations typed, ",""))</f>
        <v/>
      </c>
      <c r="DK485" s="99">
        <f>IF($A485="","",IF(AND($CH485&gt;0,AND($A485&lt;&gt;"",$C485&lt;&gt;"DOOR ONLY"),$X485="KD",$E485="EXTERIOR"),"KD label on an exterior opening, ","")&amp;IF(AND($E485="EXTERIOR",OR(AND(AND($A485&lt;&gt;"",$C485&lt;&gt;"DOOR ONLY"),$W485="CR"),AND(N($BJ485)&gt;0,$AH485="CR"))),"exterior in CR steel (G9?), ","")&amp;IF(AND(ISNUMBER($BQ485),N($BQ485)&lt;32),"clear width ~"&amp;TEXT($BQ485,"0.0")&amp;CHAR(34)&amp;" under 32"&amp;CHAR(34)&amp;" (ADA), ","")&amp;IF(AND($CH485=90,AND(OR($CE485="FG",$CE485="HG",$CE485="FNV",$CE485="FV"),N($CF485)*N($CG485)&gt;100)),"90 min lite over 100 sq in (stair/exit), ","")&amp;IF(AND($CH485&gt;0,AND($A485&lt;&gt;"",$C485&lt;&gt;"DOOR ONLY"),OR($AF485="",$AF485="-")),"rated: closer reinf.?, ","")&amp;IF(OR($I485="CORRIDOR",$I485="SMOKE BARRIER"),"S label + smoke gasketing, ","")&amp;IF($CI485="?","wall type/hr not in IBC table, ","")&amp;IF(AND(N($BJ485)&gt;0,$BB485=""),"no hardware set, ","")&amp;IF(AND($BB485&lt;&gt;"",ISNA(MATCH($BB485&amp;"",HWSets,0))),"set "&amp;$BB485&amp;" not on HW Sets, ","")&amp;IF(N($BL485)&gt;96,"leaf over 8'-0"&amp;CHAR(34)&amp;" - check listing, ","")&amp;IF(AND($CT485,COUNT($AW485:$AZ485)&gt;0,COUNT($AW485:$AZ485)&lt;&gt;$CQ485),COUNT($AW485:$AZ485)&amp;" custom hinges typed, "&amp;$CQ485&amp;" expected, ","")&amp;IF(AND(ISNUMBER($CA485),OR(N($CA485)&lt;34,N($CA485)&gt;48)),"lock "&amp;TEXT($CA485,"0.0")&amp;CHAR(34)&amp;" AFF outside 34-48"&amp;CHAR(34)&amp;" (ADA), ","")&amp;IF(AND(ISNUMBER($AV485),ISNUMBER($BL485),N($AV485)&lt;IF(N($BL485)&lt;=60,2,IF(N($BL485)&lt;=90,3,IF(N($BL485)&lt;=120,4,5)))),"fewer hinges than standard, ",""))</f>
        <v/>
      </c>
    </row>
    <row r="486" ht="15" customHeight="1">
      <c r="A486" s="77" t="n"/>
      <c r="B486" s="78" t="n"/>
      <c r="C486" s="78" t="n"/>
      <c r="D486" s="78" t="n"/>
      <c r="E486" s="78" t="n"/>
      <c r="F486" s="78" t="n"/>
      <c r="G486" s="78" t="n"/>
      <c r="H486" s="78" t="n"/>
      <c r="I486" s="78" t="n"/>
      <c r="J486" s="78" t="n"/>
      <c r="K486" s="78" t="n"/>
      <c r="L486" s="78" t="n"/>
      <c r="M486" s="78" t="n"/>
      <c r="N486" s="78" t="n"/>
      <c r="O486" s="78" t="n"/>
      <c r="P486" s="78" t="n"/>
      <c r="Q486" s="78" t="n"/>
      <c r="R486" s="78" t="n"/>
      <c r="S486" s="79" t="n"/>
      <c r="T486" s="79" t="n"/>
      <c r="U486" s="79" t="n"/>
      <c r="V486" s="79" t="n"/>
      <c r="W486" s="79" t="n"/>
      <c r="X486" s="79" t="n"/>
      <c r="Y486" s="79" t="n"/>
      <c r="Z486" s="79" t="n"/>
      <c r="AA486" s="79" t="n"/>
      <c r="AB486" s="79" t="n"/>
      <c r="AC486" s="79" t="n"/>
      <c r="AD486" s="79" t="n"/>
      <c r="AE486" s="79" t="n"/>
      <c r="AF486" s="79" t="n"/>
      <c r="AG486" s="79" t="n"/>
      <c r="AH486" s="80" t="n"/>
      <c r="AI486" s="80" t="n"/>
      <c r="AJ486" s="80" t="n"/>
      <c r="AK486" s="80" t="n"/>
      <c r="AL486" s="80" t="n"/>
      <c r="AM486" s="80" t="n"/>
      <c r="AN486" s="80" t="n"/>
      <c r="AO486" s="80" t="n"/>
      <c r="AP486" s="80" t="n"/>
      <c r="AQ486" s="80" t="n"/>
      <c r="AR486" s="80" t="n"/>
      <c r="AS486" s="80" t="n"/>
      <c r="AT486" s="81" t="n"/>
      <c r="AU486" s="81" t="n"/>
      <c r="AV486" s="81" t="n"/>
      <c r="AW486" s="82" t="n"/>
      <c r="AX486" s="82" t="n"/>
      <c r="AY486" s="82" t="n"/>
      <c r="AZ486" s="82" t="n"/>
      <c r="BA486" s="82" t="n"/>
      <c r="BB486" s="83" t="n"/>
      <c r="BC486" s="83" t="n"/>
      <c r="BD486" s="84">
        <f>IF($A486="","",IF($DJ486&lt;&gt;"","FIX",IF($DK486&lt;&gt;"","CHECK","OK")))</f>
        <v/>
      </c>
      <c r="BE486" s="85">
        <f>IF($A486="","",IF($DJ486&lt;&gt;"","FIX: "&amp;LEFT($DJ486,LEN($DJ486)-2)&amp;IF($DK486&lt;&gt;"","  ·  ",""),"")&amp;IF($DK486&lt;&gt;"","CHECK: "&amp;LEFT($DK486,LEN($DK486)-2),""))</f>
        <v/>
      </c>
      <c r="BF486" s="84">
        <f>IF(OR($A486="",$K486=""),"",$K486&amp;"'-"&amp;N($L486)&amp;CHAR(34)&amp;" x "&amp;$M486&amp;"'-"&amp;N($N486)&amp;CHAR(34))</f>
        <v/>
      </c>
      <c r="BG486" s="84">
        <f>IF(OR($A486="",$K486=""),"",$K486&amp;N($L486)&amp;$M486&amp;N($N486))</f>
        <v/>
      </c>
      <c r="BH486" s="84">
        <f>IF(OR($A486="",$K486=""),"",$K486*12+N($L486))</f>
        <v/>
      </c>
      <c r="BI486" s="84">
        <f>IF(OR($A486="",$M486=""),"",$M486*12+N($N486))</f>
        <v/>
      </c>
      <c r="BJ486" s="84">
        <f>IF($A486="","",IF(OR($C486="FRAME ONLY",$S486="BL"),0,IF($O486="Y",2,1)))</f>
        <v/>
      </c>
      <c r="BK486" s="86">
        <f>IF(OR(N($BJ486)=0,$BH486=""),"",($BH486-2*EdgeClr-IF($BJ486=2,MeetClr,0))/$BJ486)</f>
        <v/>
      </c>
      <c r="BL486" s="86">
        <f>IF(OR(N($BJ486)=0,$BI486=""),"",$BI486-HeadClr-Undercut)</f>
        <v/>
      </c>
      <c r="BM486" s="86">
        <f>IF($BH486="","",$BH486+2*FaceW+IF(N($Q486)&gt;0,($Q486+FaceW)*IF($R486="LR",2,1),0))</f>
        <v/>
      </c>
      <c r="BN486" s="86">
        <f>IF($BI486="","",$BI486+IF($AB486="Y",4,FaceW)+IF(N($P486)&gt;0,$P486+FaceW,0)+IF(OR($S486="4F",$S486="BL"),FaceW,0))</f>
        <v/>
      </c>
      <c r="BO486" s="86">
        <f>IF($BM486="","",$BM486+2*ROSide)</f>
        <v/>
      </c>
      <c r="BP486" s="86">
        <f>IF($BN486="","",$BN486+ROTop)</f>
        <v/>
      </c>
      <c r="BQ486" s="87">
        <f>IF(OR(N($BJ486)=0,$BH486=""),"",$BH486/$BJ486-ClearDeduct)</f>
        <v/>
      </c>
      <c r="BR486" s="84">
        <f>IF(N($CH486)=0,"",IF($CH486&gt;=180,"A · 3 HR",IF($CH486&gt;=90,"B · 1-1/2 HR",IF($CH486&gt;=60,"B · 1 HR",IF($CH486&gt;=45,"C · 3/4 HR","20 MIN")))))&amp;IF(AND(N($CH486)&gt;0,OR($I486="CORRIDOR",$I486="SMOKE BARRIER"))," · S","")</f>
        <v/>
      </c>
      <c r="BS486" s="84">
        <f>IF($CS486,"",IF($AV486&lt;&gt;"",$AV486,IF(OR($AC486="HGC",$AO486="HGC"),"CONT",IF(($BI486-HeadClr-Undercut)&lt;=60,2,IF(($BI486-HeadClr-Undercut)&lt;=90,3,IF(($BI486-HeadClr-Undercut)&lt;=120,4,5))))))</f>
        <v/>
      </c>
      <c r="BT486" s="84">
        <f>IF($CS486,"",IF($CT486,"CUSTOM (typed)",IF($CV486,$AT486&amp;" "&amp;$CU486&amp;CHAR(34)&amp;IF($CU486&lt;&gt;$BI486,IF(AND($BI486&lt;$CU486,$BI486-IF(N(VLOOKUP($AT486&amp;"|"&amp;$CU486,LocTable,7,FALSE))&gt;0,VLOOKUP($AT486&amp;"|"&amp;$CU486,LocTable,7,FALSE),VLOOKUP($AT486&amp;"|"&amp;$CU486,LocTable,6,FALSE))-$CR486-0.75&gt;=2.125)," cut down"," adj."),""),"ANSI/SDI A250.6")))</f>
        <v/>
      </c>
      <c r="BU486" s="88">
        <f>IF($CS486,"",IF($CT486,IF(N($AW486)&gt;0,N($AW486),""),IF(1&gt;$CQ486,"",IF($CQ486=1,$CW486,$CW486+($CX486-$CW486)*0/($CQ486-1)))))</f>
        <v/>
      </c>
      <c r="BV486" s="88">
        <f>IF($CS486,"",IF($CT486,IF(N($AX486)&gt;0,N($AX486),""),IF(2&gt;$CQ486,"",IF($CQ486=1,$CW486,$CW486+($CX486-$CW486)*1/($CQ486-1)))))</f>
        <v/>
      </c>
      <c r="BW486" s="88">
        <f>IF($CS486,"",IF($CT486,IF(N($AY486)&gt;0,N($AY486),""),IF(3&gt;$CQ486,"",IF($CQ486=1,$CW486,$CW486+($CX486-$CW486)*2/($CQ486-1)))))</f>
        <v/>
      </c>
      <c r="BX486" s="88">
        <f>IF($CS486,"",IF($CT486,IF(N($AZ486)&gt;0,N($AZ486),""),IF(4&gt;$CQ486,"",IF($CQ486=1,$CW486,$CW486+($CX486-$CW486)*3/($CQ486-1)))))</f>
        <v/>
      </c>
      <c r="BY486" s="88">
        <f>IF($CS486,"",IF($CT486,"",IF(5&gt;$CQ486,"",IF($CQ486=1,$CW486,$CW486+($CX486-$CW486)*4/($CQ486-1)))))</f>
        <v/>
      </c>
      <c r="BZ486" s="88">
        <f>IF(OR($CS486,$AP486="-",AND($AP486="",$AD486="")),"",IF(N($BA486)&gt;0,N($BA486),IF($CV486,IF(AND($BI486&lt;$CU486,$BI486-IF(N(VLOOKUP($AT486&amp;"|"&amp;$CU486,LocTable,7,FALSE))&gt;0,VLOOKUP($AT486&amp;"|"&amp;$CU486,LocTable,7,FALSE),VLOOKUP($AT486&amp;"|"&amp;$CU486,LocTable,6,FALSE))-$CR486-0.75&gt;=2.125),VLOOKUP($AT486&amp;"|"&amp;$CU486,LocTable,8,FALSE),VLOOKUP($AT486&amp;"|"&amp;$CU486,LocTable,8,FALSE)+($BI486-$CU486)),$BI486-LockAFF)))</f>
        <v/>
      </c>
      <c r="CA486" s="89">
        <f>IF($BZ486="","",$BI486-$BZ486)</f>
        <v/>
      </c>
      <c r="CB486" s="84">
        <f>IF(OR(NOT(AND($A486&lt;&gt;"",$C486&lt;&gt;"DOOR ONLY")),$BI486=""),"",IF(($BI486+IF(N($P486)&gt;0,$P486+FaceW,0))&lt;=90,3,IF(($BI486+IF(N($P486)&gt;0,$P486+FaceW,0))&lt;=114,4,5)))</f>
        <v/>
      </c>
      <c r="CC486" s="84">
        <f>IF($CB486="","",$CB486*(2+IF(N($Q486)&gt;0,IF($R486="LR",2,1),0)))</f>
        <v/>
      </c>
      <c r="CD486" s="84">
        <f>IF($CB486="","",(2+IF(N($Q486)&gt;0,IF($R486="LR",2,1),0)))</f>
        <v/>
      </c>
      <c r="CE486" s="84">
        <f>IF(N($BJ486)=0,"",IF(OR($AL486="",$AL486="FLUSH"),"FLUSH",IFERROR(LEFT($AL486,FIND("-",$AL486)-1),LEFT($AL486,2))))</f>
        <v/>
      </c>
      <c r="CF486" s="84">
        <f>IF($CE486="","",IFERROR(VALUE(MID($AL486,FIND("-",$AL486)+1,FIND(CHAR(34)&amp;"x",$AL486)-FIND("-",$AL486)-1)),0))</f>
        <v/>
      </c>
      <c r="CG486" s="84">
        <f>IF($CE486="","",IFERROR(VALUE(MID($AL486,FIND(CHAR(34)&amp;"x",$AL486)+2,FIND(CHAR(34),$AL486,FIND(CHAR(34)&amp;"x",$AL486)+2)-FIND(CHAR(34)&amp;"x",$AL486)-2)),0))</f>
        <v/>
      </c>
      <c r="CH486" s="90">
        <f>IF(OR($A486="",$H486="",$H486="NO LAB"),0,IFERROR(VALUE(LEFT($H486,FIND(" ",$H486)-1)),0))</f>
        <v/>
      </c>
      <c r="CI486" s="91">
        <f>IF(OR($A486="",$I486="",$I486="NON-RATED",N($J486)=0),"",IFERROR(VLOOKUP($I486&amp;"|"&amp;$J486,IBC,2,FALSE),"?"))</f>
        <v/>
      </c>
      <c r="CJ486" s="85">
        <f>IF(NOT(AND($A486&lt;&gt;"",$C486&lt;&gt;"DOOR ONLY")),"",TRIM(IFERROR(VLOOKUP($U486,CODES,2,FALSE),"")&amp;" "&amp;$BG486&amp;" "&amp;IFERROR(VLOOKUP($Z486,CODES,2,FALSE),"")&amp;" "&amp;IFERROR(VLOOKUP($X486,CODES,2,FALSE),"")&amp;" "&amp;IFERROR(VLOOKUP($S486,CODES,2,FALSE),"")&amp;IF(N($P486)&gt;0," w/TRANSOM "&amp;$P486&amp;CHAR(34),"")&amp;IF(N($Q486)&gt;0," w/SIDELITE "&amp;$Q486&amp;CHAR(34)&amp;" "&amp;IF($R486="","R",$R486),"")&amp;IF($Y486="","  |  "," | "&amp;IFERROR(VLOOKUP($Y486,CODES,2,FALSE),"")&amp;" | ")&amp;IFERROR(VLOOKUP($AC486,CODES,2,FALSE),"")&amp;" "&amp;IFERROR(VLOOKUP($AD486,CODES,2,FALSE),"")&amp;IF(OR($AE486="",$AE486="-"),""," "&amp;$AE486)&amp;IF(OR($AF486="",$AF486="-"),""," "&amp;$AF486)&amp;IF($AB486="Y"," 4"&amp;CHAR(34)&amp;" HEAD","")&amp;" "&amp;IFERROR(VLOOKUP($H486,CODES,2,FALSE),"")&amp;IF($CT486," | LOC "&amp;$CY486,"")))</f>
        <v/>
      </c>
      <c r="CK486" s="85">
        <f>IF(NOT(AND($A486&lt;&gt;"",N($BJ486)&gt;0)),"",TRIM(IFERROR(VLOOKUP($AH486,CODES,2,FALSE),"")&amp;IF($AI486=""," "," "&amp;$AI486&amp;"GA ")&amp;$BG486&amp;" "&amp;IF($AN486="",IFERROR(VLOOKUP($Z486,CODES,2,FALSE),""),IFERROR(VLOOKUP($AN486,CODES,2,FALSE),""))&amp;IF($BJ486=2," PAIR","")&amp;" DOOR | "&amp;IF($AL486="","?",$AL486)&amp;" | "&amp;IF($AO486="",IFERROR(VLOOKUP($AC486,CODES,2,FALSE),""),IFERROR(VLOOKUP($AO486,CODES,2,FALSE),""))&amp;" "&amp;IFERROR(VLOOKUP($AP486,CODES,2,FALSE),"")&amp;IF(OR($AQ486="",$AQ486="-"),""," SEAM "&amp;$AQ486)&amp;IF($AR486="Y"," ASTRAGAL","")&amp;IF($AJ486=""," "," "&amp;$AJ486)&amp;IF($AK486=""," "," "&amp;$AK486)&amp;IF(OR($AT486="",$AT486="ANSI/SDI",$AT486="CUSTOM LOC"),""," "&amp;$AT486)&amp;IF($AM486=""," "," SERIES "&amp;$AM486)&amp;" "&amp;IFERROR(VLOOKUP($H486,CODES,2,FALSE),"")&amp;IF($CT486," | LOC "&amp;$CZ486,"")))</f>
        <v/>
      </c>
      <c r="CL486" s="84">
        <f>IF(CP486="","",IF(COUNTIF($CP$6:CP486,CP486)=1,MAX($CL$5:CL485)+1,INDEX($CL$5:CL485,MATCH(CP486,$CP$5:CP485,0))))</f>
        <v/>
      </c>
      <c r="CM486" s="84">
        <f>IF(NOT(AND($A486&lt;&gt;"",$C486&lt;&gt;"DOOR ONLY")),"",MAX($CM$5:CM485)+1)</f>
        <v/>
      </c>
      <c r="CN486" s="84">
        <f>IF(NOT(AND($A486&lt;&gt;"",N($BJ486)&gt;0)),"",MAX($CN$5:CN485)+1)</f>
        <v/>
      </c>
      <c r="CO486" s="84">
        <f>IF($A486="","",MAX($CO$5:CO485)+1)</f>
        <v/>
      </c>
      <c r="CP486" s="84">
        <f>IF(OR($A486="",$BH486="",$BI486=""),"",$BG486&amp;"|"&amp;$O486&amp;"|"&amp;$AL486&amp;"|"&amp;$S486&amp;"|"&amp;$P486&amp;"|"&amp;$Q486&amp;$R486&amp;"|"&amp;$C486&amp;"|"&amp;$AB486)</f>
        <v/>
      </c>
      <c r="CQ486" s="84">
        <f>N($BS486)</f>
        <v/>
      </c>
      <c r="CR486" s="84">
        <f>IF(N($AU486)&gt;0,N($AU486),4.5)</f>
        <v/>
      </c>
      <c r="CS486" s="84">
        <f>OR($A486="",$BI486="",$S486="BL",AND($C486="FRAME ONLY",OR($AC486="",$AC486="BLK")))</f>
        <v/>
      </c>
      <c r="CT486" s="84">
        <f>AND(NOT($CS486),OR($AT486="CUSTOM LOC",N($AW486)+N($AX486)+N($AY486)+N($AZ486)+N($BA486)&gt;0))</f>
        <v/>
      </c>
      <c r="CU486" s="84">
        <f>IF($BI486="","",IF($BI486&lt;=80,80,IF($BI486&lt;=84,84,96)))</f>
        <v/>
      </c>
      <c r="CV486" s="84">
        <f>ISNUMBER(MATCH($AT486&amp;"|80",LocKeys,0))</f>
        <v/>
      </c>
      <c r="CW486" s="86">
        <f>IF($CS486,"",IF($CV486,VLOOKUP($AT486&amp;"|"&amp;$CU486,LocTable,4,FALSE),5))</f>
        <v/>
      </c>
      <c r="CX486" s="86">
        <f>IF($CS486,"",IF($CV486,IF(OR($BI486=$CU486,AND($BI486&lt;$CU486,$BI486-IF(N(VLOOKUP($AT486&amp;"|"&amp;$CU486,LocTable,7,FALSE))&gt;0,VLOOKUP($AT486&amp;"|"&amp;$CU486,LocTable,7,FALSE),VLOOKUP($AT486&amp;"|"&amp;$CU486,LocTable,6,FALSE))-$CR486-0.75&gt;=2.125)),IF(N(VLOOKUP($AT486&amp;"|"&amp;$CU486,LocTable,7,FALSE))&gt;0,VLOOKUP($AT486&amp;"|"&amp;$CU486,LocTable,7,FALSE),VLOOKUP($AT486&amp;"|"&amp;$CU486,LocTable,6,FALSE)),$BI486-($CU486-IF(N(VLOOKUP($AT486&amp;"|"&amp;$CU486,LocTable,7,FALSE))&gt;0,VLOOKUP($AT486&amp;"|"&amp;$CU486,LocTable,7,FALSE),VLOOKUP($AT486&amp;"|"&amp;$CU486,LocTable,6,FALSE)))),$BI486-10-$CR486))</f>
        <v/>
      </c>
      <c r="CY486" s="85">
        <f>IF($CS486,"",TRIM(IF(ISNUMBER($BU486),"A "&amp;TRIM(TEXT($BU486,"# ?/??"))&amp;CHAR(34)&amp;"  ","")&amp;IF(ISNUMBER($BV486),"B "&amp;TRIM(TEXT($BV486,"# ?/??"))&amp;CHAR(34)&amp;"  ","")&amp;IF(ISNUMBER($BW486),"C "&amp;TRIM(TEXT($BW486,"# ?/??"))&amp;CHAR(34)&amp;"  ","")&amp;IF(ISNUMBER($BX486),"D "&amp;TRIM(TEXT($BX486,"# ?/??"))&amp;CHAR(34)&amp;"  ","")&amp;IF(ISNUMBER($BY486),"F "&amp;TRIM(TEXT($BY486,"# ?/??"))&amp;CHAR(34)&amp;"  ","")&amp;IF(ISNUMBER($BZ486),"E "&amp;TRIM(TEXT($BZ486,"# ?/??"))&amp;CHAR(34)&amp;"  ","")))</f>
        <v/>
      </c>
      <c r="CZ486" s="85">
        <f>IF(OR($CS486,N($BJ486)=0),"",TRIM(IF(ISNUMBER($BU486),"A "&amp;TRIM(TEXT($BU486-HeadClr,"# ?/??"))&amp;CHAR(34)&amp;"  ","")&amp;IF(ISNUMBER($BV486),"B "&amp;TRIM(TEXT($BV486-HeadClr,"# ?/??"))&amp;CHAR(34)&amp;"  ","")&amp;IF(ISNUMBER($BW486),"C "&amp;TRIM(TEXT($BW486-HeadClr,"# ?/??"))&amp;CHAR(34)&amp;"  ","")&amp;IF(ISNUMBER($BX486),"D "&amp;TRIM(TEXT($BX486-HeadClr,"# ?/??"))&amp;CHAR(34)&amp;"  ","")&amp;IF(ISNUMBER($BY486),"F "&amp;TRIM(TEXT($BY486-HeadClr,"# ?/??"))&amp;CHAR(34)&amp;"  ","")&amp;IF(ISNUMBER($BZ486),"E "&amp;TRIM(TEXT($BZ486-HeadClr,"# ?/??"))&amp;CHAR(34)&amp;"  ","")))</f>
        <v/>
      </c>
      <c r="DA486" s="84">
        <f>IF($A486="","",IF($AN486="",IFERROR(VLOOKUP($Z486,CODES,2,FALSE),""),IFERROR(VLOOKUP($AN486,CODES,2,FALSE),"")))</f>
        <v/>
      </c>
      <c r="DB486" s="84">
        <f>IF($A486="","",IF($O486="Y","PR",IF(OR($Z486="L",$Z486="RR",LEFT($Z486,2)="L-",LEFT($Z486,3)="RR-"),"LH","RH")))</f>
        <v/>
      </c>
      <c r="DC486" s="84">
        <f>IF($A486="","","S.HM"&amp;IF(OR($C486="DOOR ONLY",$X486&lt;&gt;"KD"),"MASONRY","DRYWALL")&amp;IF($C486="DOOR ONLY","",$U486)&amp;IF(AND($C486&lt;&gt;"FRAME ONLY",OR(LEFT($AH486,3)="OAK",LEFT($AH486,3)="BIR",LEFT($AH486,3)="MAP",$AH486="PC",$AH486="MC",$AH486="SCLC",$AH486="P-LAM")),"WD","HM")&amp;"1.75")</f>
        <v/>
      </c>
      <c r="DD486" s="84">
        <f>IF($CJ486="","",IF($O486="Y",$CJ486,SUBSTITUTE($CJ486,$BG486&amp;" "&amp;IFERROR(VLOOKUP($Z486,CODES,2,FALSE),"")&amp;" ",$BG486&amp;" ")))</f>
        <v/>
      </c>
      <c r="DE486" s="84">
        <f>IF($CK486="","",IF($O486="Y",$CK486,SUBSTITUTE($CK486,$BG486&amp;" "&amp;IF($AN486="",IFERROR(VLOOKUP($Z486,CODES,2,FALSE),""),IFERROR(VLOOKUP($AN486,CODES,2,FALSE),""))&amp;" ",$BG486&amp;" ")))</f>
        <v/>
      </c>
      <c r="DF486" s="84">
        <f>IF($CJ486="","",$DC486&amp;"|"&amp;$DD486&amp;"|"&amp;$DB486&amp;"|"&amp;$AT486&amp;"|"&amp;$V486&amp;"|"&amp;$Y486&amp;"|"&amp;$AB486)</f>
        <v/>
      </c>
      <c r="DG486" s="84">
        <f>IF(DF486="","",IF(COUNTIF($DF$6:DF486,DF486)=1,MAX($DG$5:DG485)+1,INDEX($DG$5:DG485,MATCH(DF486,$DF$5:DF485,0))))</f>
        <v/>
      </c>
      <c r="DH486" s="84">
        <f>IF($CK486="","",$DC486&amp;"|"&amp;$DE486&amp;"|"&amp;$AI486&amp;"|"&amp;$BK486&amp;"|"&amp;$BL486)</f>
        <v/>
      </c>
      <c r="DI486" s="84">
        <f>IF(DH486="","",IF(COUNTIF($DH$6:DH486,DH486)=1,MAX($DI$5:DI485)+1,INDEX($DI$5:DI485,MATCH(DH486,$DH$5:DH485,0))))</f>
        <v/>
      </c>
      <c r="DJ486" s="84">
        <f>IF($A486="","",IF($B486="","qty, ","")&amp;IF($C486="","scope, ","")&amp;IF(OR($K486="",$M486=""),"size, ","")&amp;IF(AND($A486&lt;&gt;"",$C486&lt;&gt;"DOOR ONLY"),IF($U486="","jamb depth, ","")&amp;IF($X486="","construction, ","")&amp;IF($Y486="","anchor, ","")&amp;IF($S486="","frame type, ",""),"")&amp;IF(AND(N($BJ486)&gt;0,$Z486=""),"hand, ","")&amp;IF(N($BJ486)&gt;0,IF($AH486="","door material, ","")&amp;IF($AL486="","face type, ","")&amp;IF($AP486="","lock prep, ","")&amp;IF(AND($AO486="",$AC486=""),"hinge prep, ",""),"")&amp;IF(AND($CH486&gt;0,$AH486="FRP"),"FRP cannot carry a label, ","")&amp;IF(AND($O486="Y",OR($Z486="L",$Z486="R",$Z486="LR",$Z486="RR")),"pair marked but hand is single, ","")&amp;IF(AND($O486&lt;&gt;"Y",OR($Z486="PR",AND(LEN($Z486)&gt;1,ISNUMBER(SEARCH("-",$Z486))))),"pair hand on a single door, ","")&amp;IF(AND(ISNUMBER($CI486),$CH486&lt;N($CI486)),"wall needs a "&amp;$CI486&amp;" min door, ","")&amp;IF(AND($CH486&gt;=180,AND(OR($CE486="FG",$CE486="HG",$CE486="FNV",$CE486="FV"),N($CF486)*N($CG486)&gt;100)),"180 min lite over 100 sq in, ","")&amp;IF(N($BK486)&gt;48,"leaf wider than 4'-0"&amp;CHAR(34)&amp;", ","")&amp;IF(AND($CT486,COUNT($AW486:$AZ486)=0,$CQ486&gt;0),"CUSTOM LOC with no locations typed, ",""))</f>
        <v/>
      </c>
      <c r="DK486" s="84">
        <f>IF($A486="","",IF(AND($CH486&gt;0,AND($A486&lt;&gt;"",$C486&lt;&gt;"DOOR ONLY"),$X486="KD",$E486="EXTERIOR"),"KD label on an exterior opening, ","")&amp;IF(AND($E486="EXTERIOR",OR(AND(AND($A486&lt;&gt;"",$C486&lt;&gt;"DOOR ONLY"),$W486="CR"),AND(N($BJ486)&gt;0,$AH486="CR"))),"exterior in CR steel (G9?), ","")&amp;IF(AND(ISNUMBER($BQ486),N($BQ486)&lt;32),"clear width ~"&amp;TEXT($BQ486,"0.0")&amp;CHAR(34)&amp;" under 32"&amp;CHAR(34)&amp;" (ADA), ","")&amp;IF(AND($CH486=90,AND(OR($CE486="FG",$CE486="HG",$CE486="FNV",$CE486="FV"),N($CF486)*N($CG486)&gt;100)),"90 min lite over 100 sq in (stair/exit), ","")&amp;IF(AND($CH486&gt;0,AND($A486&lt;&gt;"",$C486&lt;&gt;"DOOR ONLY"),OR($AF486="",$AF486="-")),"rated: closer reinf.?, ","")&amp;IF(OR($I486="CORRIDOR",$I486="SMOKE BARRIER"),"S label + smoke gasketing, ","")&amp;IF($CI486="?","wall type/hr not in IBC table, ","")&amp;IF(AND(N($BJ486)&gt;0,$BB486=""),"no hardware set, ","")&amp;IF(AND($BB486&lt;&gt;"",ISNA(MATCH($BB486&amp;"",HWSets,0))),"set "&amp;$BB486&amp;" not on HW Sets, ","")&amp;IF(N($BL486)&gt;96,"leaf over 8'-0"&amp;CHAR(34)&amp;" - check listing, ","")&amp;IF(AND($CT486,COUNT($AW486:$AZ486)&gt;0,COUNT($AW486:$AZ486)&lt;&gt;$CQ486),COUNT($AW486:$AZ486)&amp;" custom hinges typed, "&amp;$CQ486&amp;" expected, ","")&amp;IF(AND(ISNUMBER($CA486),OR(N($CA486)&lt;34,N($CA486)&gt;48)),"lock "&amp;TEXT($CA486,"0.0")&amp;CHAR(34)&amp;" AFF outside 34-48"&amp;CHAR(34)&amp;" (ADA), ","")&amp;IF(AND(ISNUMBER($AV486),ISNUMBER($BL486),N($AV486)&lt;IF(N($BL486)&lt;=60,2,IF(N($BL486)&lt;=90,3,IF(N($BL486)&lt;=120,4,5)))),"fewer hinges than standard, ",""))</f>
        <v/>
      </c>
    </row>
    <row r="487" ht="15" customHeight="1">
      <c r="A487" s="77" t="n"/>
      <c r="B487" s="78" t="n"/>
      <c r="C487" s="78" t="n"/>
      <c r="D487" s="78" t="n"/>
      <c r="E487" s="78" t="n"/>
      <c r="F487" s="78" t="n"/>
      <c r="G487" s="78" t="n"/>
      <c r="H487" s="78" t="n"/>
      <c r="I487" s="78" t="n"/>
      <c r="J487" s="78" t="n"/>
      <c r="K487" s="78" t="n"/>
      <c r="L487" s="78" t="n"/>
      <c r="M487" s="78" t="n"/>
      <c r="N487" s="78" t="n"/>
      <c r="O487" s="78" t="n"/>
      <c r="P487" s="78" t="n"/>
      <c r="Q487" s="78" t="n"/>
      <c r="R487" s="78" t="n"/>
      <c r="S487" s="79" t="n"/>
      <c r="T487" s="79" t="n"/>
      <c r="U487" s="79" t="n"/>
      <c r="V487" s="79" t="n"/>
      <c r="W487" s="79" t="n"/>
      <c r="X487" s="79" t="n"/>
      <c r="Y487" s="79" t="n"/>
      <c r="Z487" s="79" t="n"/>
      <c r="AA487" s="79" t="n"/>
      <c r="AB487" s="79" t="n"/>
      <c r="AC487" s="79" t="n"/>
      <c r="AD487" s="79" t="n"/>
      <c r="AE487" s="79" t="n"/>
      <c r="AF487" s="79" t="n"/>
      <c r="AG487" s="79" t="n"/>
      <c r="AH487" s="80" t="n"/>
      <c r="AI487" s="80" t="n"/>
      <c r="AJ487" s="80" t="n"/>
      <c r="AK487" s="80" t="n"/>
      <c r="AL487" s="80" t="n"/>
      <c r="AM487" s="80" t="n"/>
      <c r="AN487" s="80" t="n"/>
      <c r="AO487" s="80" t="n"/>
      <c r="AP487" s="80" t="n"/>
      <c r="AQ487" s="80" t="n"/>
      <c r="AR487" s="80" t="n"/>
      <c r="AS487" s="80" t="n"/>
      <c r="AT487" s="81" t="n"/>
      <c r="AU487" s="81" t="n"/>
      <c r="AV487" s="81" t="n"/>
      <c r="AW487" s="82" t="n"/>
      <c r="AX487" s="82" t="n"/>
      <c r="AY487" s="82" t="n"/>
      <c r="AZ487" s="82" t="n"/>
      <c r="BA487" s="82" t="n"/>
      <c r="BB487" s="83" t="n"/>
      <c r="BC487" s="83" t="n"/>
      <c r="BD487" s="84">
        <f>IF($A487="","",IF($DJ487&lt;&gt;"","FIX",IF($DK487&lt;&gt;"","CHECK","OK")))</f>
        <v/>
      </c>
      <c r="BE487" s="85">
        <f>IF($A487="","",IF($DJ487&lt;&gt;"","FIX: "&amp;LEFT($DJ487,LEN($DJ487)-2)&amp;IF($DK487&lt;&gt;"","  ·  ",""),"")&amp;IF($DK487&lt;&gt;"","CHECK: "&amp;LEFT($DK487,LEN($DK487)-2),""))</f>
        <v/>
      </c>
      <c r="BF487" s="84">
        <f>IF(OR($A487="",$K487=""),"",$K487&amp;"'-"&amp;N($L487)&amp;CHAR(34)&amp;" x "&amp;$M487&amp;"'-"&amp;N($N487)&amp;CHAR(34))</f>
        <v/>
      </c>
      <c r="BG487" s="84">
        <f>IF(OR($A487="",$K487=""),"",$K487&amp;N($L487)&amp;$M487&amp;N($N487))</f>
        <v/>
      </c>
      <c r="BH487" s="84">
        <f>IF(OR($A487="",$K487=""),"",$K487*12+N($L487))</f>
        <v/>
      </c>
      <c r="BI487" s="84">
        <f>IF(OR($A487="",$M487=""),"",$M487*12+N($N487))</f>
        <v/>
      </c>
      <c r="BJ487" s="84">
        <f>IF($A487="","",IF(OR($C487="FRAME ONLY",$S487="BL"),0,IF($O487="Y",2,1)))</f>
        <v/>
      </c>
      <c r="BK487" s="86">
        <f>IF(OR(N($BJ487)=0,$BH487=""),"",($BH487-2*EdgeClr-IF($BJ487=2,MeetClr,0))/$BJ487)</f>
        <v/>
      </c>
      <c r="BL487" s="86">
        <f>IF(OR(N($BJ487)=0,$BI487=""),"",$BI487-HeadClr-Undercut)</f>
        <v/>
      </c>
      <c r="BM487" s="86">
        <f>IF($BH487="","",$BH487+2*FaceW+IF(N($Q487)&gt;0,($Q487+FaceW)*IF($R487="LR",2,1),0))</f>
        <v/>
      </c>
      <c r="BN487" s="86">
        <f>IF($BI487="","",$BI487+IF($AB487="Y",4,FaceW)+IF(N($P487)&gt;0,$P487+FaceW,0)+IF(OR($S487="4F",$S487="BL"),FaceW,0))</f>
        <v/>
      </c>
      <c r="BO487" s="86">
        <f>IF($BM487="","",$BM487+2*ROSide)</f>
        <v/>
      </c>
      <c r="BP487" s="86">
        <f>IF($BN487="","",$BN487+ROTop)</f>
        <v/>
      </c>
      <c r="BQ487" s="87">
        <f>IF(OR(N($BJ487)=0,$BH487=""),"",$BH487/$BJ487-ClearDeduct)</f>
        <v/>
      </c>
      <c r="BR487" s="84">
        <f>IF(N($CH487)=0,"",IF($CH487&gt;=180,"A · 3 HR",IF($CH487&gt;=90,"B · 1-1/2 HR",IF($CH487&gt;=60,"B · 1 HR",IF($CH487&gt;=45,"C · 3/4 HR","20 MIN")))))&amp;IF(AND(N($CH487)&gt;0,OR($I487="CORRIDOR",$I487="SMOKE BARRIER"))," · S","")</f>
        <v/>
      </c>
      <c r="BS487" s="84">
        <f>IF($CS487,"",IF($AV487&lt;&gt;"",$AV487,IF(OR($AC487="HGC",$AO487="HGC"),"CONT",IF(($BI487-HeadClr-Undercut)&lt;=60,2,IF(($BI487-HeadClr-Undercut)&lt;=90,3,IF(($BI487-HeadClr-Undercut)&lt;=120,4,5))))))</f>
        <v/>
      </c>
      <c r="BT487" s="84">
        <f>IF($CS487,"",IF($CT487,"CUSTOM (typed)",IF($CV487,$AT487&amp;" "&amp;$CU487&amp;CHAR(34)&amp;IF($CU487&lt;&gt;$BI487,IF(AND($BI487&lt;$CU487,$BI487-IF(N(VLOOKUP($AT487&amp;"|"&amp;$CU487,LocTable,7,FALSE))&gt;0,VLOOKUP($AT487&amp;"|"&amp;$CU487,LocTable,7,FALSE),VLOOKUP($AT487&amp;"|"&amp;$CU487,LocTable,6,FALSE))-$CR487-0.75&gt;=2.125)," cut down"," adj."),""),"ANSI/SDI A250.6")))</f>
        <v/>
      </c>
      <c r="BU487" s="88">
        <f>IF($CS487,"",IF($CT487,IF(N($AW487)&gt;0,N($AW487),""),IF(1&gt;$CQ487,"",IF($CQ487=1,$CW487,$CW487+($CX487-$CW487)*0/($CQ487-1)))))</f>
        <v/>
      </c>
      <c r="BV487" s="88">
        <f>IF($CS487,"",IF($CT487,IF(N($AX487)&gt;0,N($AX487),""),IF(2&gt;$CQ487,"",IF($CQ487=1,$CW487,$CW487+($CX487-$CW487)*1/($CQ487-1)))))</f>
        <v/>
      </c>
      <c r="BW487" s="88">
        <f>IF($CS487,"",IF($CT487,IF(N($AY487)&gt;0,N($AY487),""),IF(3&gt;$CQ487,"",IF($CQ487=1,$CW487,$CW487+($CX487-$CW487)*2/($CQ487-1)))))</f>
        <v/>
      </c>
      <c r="BX487" s="88">
        <f>IF($CS487,"",IF($CT487,IF(N($AZ487)&gt;0,N($AZ487),""),IF(4&gt;$CQ487,"",IF($CQ487=1,$CW487,$CW487+($CX487-$CW487)*3/($CQ487-1)))))</f>
        <v/>
      </c>
      <c r="BY487" s="88">
        <f>IF($CS487,"",IF($CT487,"",IF(5&gt;$CQ487,"",IF($CQ487=1,$CW487,$CW487+($CX487-$CW487)*4/($CQ487-1)))))</f>
        <v/>
      </c>
      <c r="BZ487" s="88">
        <f>IF(OR($CS487,$AP487="-",AND($AP487="",$AD487="")),"",IF(N($BA487)&gt;0,N($BA487),IF($CV487,IF(AND($BI487&lt;$CU487,$BI487-IF(N(VLOOKUP($AT487&amp;"|"&amp;$CU487,LocTable,7,FALSE))&gt;0,VLOOKUP($AT487&amp;"|"&amp;$CU487,LocTable,7,FALSE),VLOOKUP($AT487&amp;"|"&amp;$CU487,LocTable,6,FALSE))-$CR487-0.75&gt;=2.125),VLOOKUP($AT487&amp;"|"&amp;$CU487,LocTable,8,FALSE),VLOOKUP($AT487&amp;"|"&amp;$CU487,LocTable,8,FALSE)+($BI487-$CU487)),$BI487-LockAFF)))</f>
        <v/>
      </c>
      <c r="CA487" s="89">
        <f>IF($BZ487="","",$BI487-$BZ487)</f>
        <v/>
      </c>
      <c r="CB487" s="84">
        <f>IF(OR(NOT(AND($A487&lt;&gt;"",$C487&lt;&gt;"DOOR ONLY")),$BI487=""),"",IF(($BI487+IF(N($P487)&gt;0,$P487+FaceW,0))&lt;=90,3,IF(($BI487+IF(N($P487)&gt;0,$P487+FaceW,0))&lt;=114,4,5)))</f>
        <v/>
      </c>
      <c r="CC487" s="84">
        <f>IF($CB487="","",$CB487*(2+IF(N($Q487)&gt;0,IF($R487="LR",2,1),0)))</f>
        <v/>
      </c>
      <c r="CD487" s="84">
        <f>IF($CB487="","",(2+IF(N($Q487)&gt;0,IF($R487="LR",2,1),0)))</f>
        <v/>
      </c>
      <c r="CE487" s="84">
        <f>IF(N($BJ487)=0,"",IF(OR($AL487="",$AL487="FLUSH"),"FLUSH",IFERROR(LEFT($AL487,FIND("-",$AL487)-1),LEFT($AL487,2))))</f>
        <v/>
      </c>
      <c r="CF487" s="84">
        <f>IF($CE487="","",IFERROR(VALUE(MID($AL487,FIND("-",$AL487)+1,FIND(CHAR(34)&amp;"x",$AL487)-FIND("-",$AL487)-1)),0))</f>
        <v/>
      </c>
      <c r="CG487" s="84">
        <f>IF($CE487="","",IFERROR(VALUE(MID($AL487,FIND(CHAR(34)&amp;"x",$AL487)+2,FIND(CHAR(34),$AL487,FIND(CHAR(34)&amp;"x",$AL487)+2)-FIND(CHAR(34)&amp;"x",$AL487)-2)),0))</f>
        <v/>
      </c>
      <c r="CH487" s="90">
        <f>IF(OR($A487="",$H487="",$H487="NO LAB"),0,IFERROR(VALUE(LEFT($H487,FIND(" ",$H487)-1)),0))</f>
        <v/>
      </c>
      <c r="CI487" s="91">
        <f>IF(OR($A487="",$I487="",$I487="NON-RATED",N($J487)=0),"",IFERROR(VLOOKUP($I487&amp;"|"&amp;$J487,IBC,2,FALSE),"?"))</f>
        <v/>
      </c>
      <c r="CJ487" s="85">
        <f>IF(NOT(AND($A487&lt;&gt;"",$C487&lt;&gt;"DOOR ONLY")),"",TRIM(IFERROR(VLOOKUP($U487,CODES,2,FALSE),"")&amp;" "&amp;$BG487&amp;" "&amp;IFERROR(VLOOKUP($Z487,CODES,2,FALSE),"")&amp;" "&amp;IFERROR(VLOOKUP($X487,CODES,2,FALSE),"")&amp;" "&amp;IFERROR(VLOOKUP($S487,CODES,2,FALSE),"")&amp;IF(N($P487)&gt;0," w/TRANSOM "&amp;$P487&amp;CHAR(34),"")&amp;IF(N($Q487)&gt;0," w/SIDELITE "&amp;$Q487&amp;CHAR(34)&amp;" "&amp;IF($R487="","R",$R487),"")&amp;IF($Y487="","  |  "," | "&amp;IFERROR(VLOOKUP($Y487,CODES,2,FALSE),"")&amp;" | ")&amp;IFERROR(VLOOKUP($AC487,CODES,2,FALSE),"")&amp;" "&amp;IFERROR(VLOOKUP($AD487,CODES,2,FALSE),"")&amp;IF(OR($AE487="",$AE487="-"),""," "&amp;$AE487)&amp;IF(OR($AF487="",$AF487="-"),""," "&amp;$AF487)&amp;IF($AB487="Y"," 4"&amp;CHAR(34)&amp;" HEAD","")&amp;" "&amp;IFERROR(VLOOKUP($H487,CODES,2,FALSE),"")&amp;IF($CT487," | LOC "&amp;$CY487,"")))</f>
        <v/>
      </c>
      <c r="CK487" s="85">
        <f>IF(NOT(AND($A487&lt;&gt;"",N($BJ487)&gt;0)),"",TRIM(IFERROR(VLOOKUP($AH487,CODES,2,FALSE),"")&amp;IF($AI487=""," "," "&amp;$AI487&amp;"GA ")&amp;$BG487&amp;" "&amp;IF($AN487="",IFERROR(VLOOKUP($Z487,CODES,2,FALSE),""),IFERROR(VLOOKUP($AN487,CODES,2,FALSE),""))&amp;IF($BJ487=2," PAIR","")&amp;" DOOR | "&amp;IF($AL487="","?",$AL487)&amp;" | "&amp;IF($AO487="",IFERROR(VLOOKUP($AC487,CODES,2,FALSE),""),IFERROR(VLOOKUP($AO487,CODES,2,FALSE),""))&amp;" "&amp;IFERROR(VLOOKUP($AP487,CODES,2,FALSE),"")&amp;IF(OR($AQ487="",$AQ487="-"),""," SEAM "&amp;$AQ487)&amp;IF($AR487="Y"," ASTRAGAL","")&amp;IF($AJ487=""," "," "&amp;$AJ487)&amp;IF($AK487=""," "," "&amp;$AK487)&amp;IF(OR($AT487="",$AT487="ANSI/SDI",$AT487="CUSTOM LOC"),""," "&amp;$AT487)&amp;IF($AM487=""," "," SERIES "&amp;$AM487)&amp;" "&amp;IFERROR(VLOOKUP($H487,CODES,2,FALSE),"")&amp;IF($CT487," | LOC "&amp;$CZ487,"")))</f>
        <v/>
      </c>
      <c r="CL487" s="84">
        <f>IF(CP487="","",IF(COUNTIF($CP$6:CP487,CP487)=1,MAX($CL$5:CL486)+1,INDEX($CL$5:CL486,MATCH(CP487,$CP$5:CP486,0))))</f>
        <v/>
      </c>
      <c r="CM487" s="84">
        <f>IF(NOT(AND($A487&lt;&gt;"",$C487&lt;&gt;"DOOR ONLY")),"",MAX($CM$5:CM486)+1)</f>
        <v/>
      </c>
      <c r="CN487" s="84">
        <f>IF(NOT(AND($A487&lt;&gt;"",N($BJ487)&gt;0)),"",MAX($CN$5:CN486)+1)</f>
        <v/>
      </c>
      <c r="CO487" s="84">
        <f>IF($A487="","",MAX($CO$5:CO486)+1)</f>
        <v/>
      </c>
      <c r="CP487" s="84">
        <f>IF(OR($A487="",$BH487="",$BI487=""),"",$BG487&amp;"|"&amp;$O487&amp;"|"&amp;$AL487&amp;"|"&amp;$S487&amp;"|"&amp;$P487&amp;"|"&amp;$Q487&amp;$R487&amp;"|"&amp;$C487&amp;"|"&amp;$AB487)</f>
        <v/>
      </c>
      <c r="CQ487" s="84">
        <f>N($BS487)</f>
        <v/>
      </c>
      <c r="CR487" s="84">
        <f>IF(N($AU487)&gt;0,N($AU487),4.5)</f>
        <v/>
      </c>
      <c r="CS487" s="84">
        <f>OR($A487="",$BI487="",$S487="BL",AND($C487="FRAME ONLY",OR($AC487="",$AC487="BLK")))</f>
        <v/>
      </c>
      <c r="CT487" s="84">
        <f>AND(NOT($CS487),OR($AT487="CUSTOM LOC",N($AW487)+N($AX487)+N($AY487)+N($AZ487)+N($BA487)&gt;0))</f>
        <v/>
      </c>
      <c r="CU487" s="84">
        <f>IF($BI487="","",IF($BI487&lt;=80,80,IF($BI487&lt;=84,84,96)))</f>
        <v/>
      </c>
      <c r="CV487" s="84">
        <f>ISNUMBER(MATCH($AT487&amp;"|80",LocKeys,0))</f>
        <v/>
      </c>
      <c r="CW487" s="86">
        <f>IF($CS487,"",IF($CV487,VLOOKUP($AT487&amp;"|"&amp;$CU487,LocTable,4,FALSE),5))</f>
        <v/>
      </c>
      <c r="CX487" s="86">
        <f>IF($CS487,"",IF($CV487,IF(OR($BI487=$CU487,AND($BI487&lt;$CU487,$BI487-IF(N(VLOOKUP($AT487&amp;"|"&amp;$CU487,LocTable,7,FALSE))&gt;0,VLOOKUP($AT487&amp;"|"&amp;$CU487,LocTable,7,FALSE),VLOOKUP($AT487&amp;"|"&amp;$CU487,LocTable,6,FALSE))-$CR487-0.75&gt;=2.125)),IF(N(VLOOKUP($AT487&amp;"|"&amp;$CU487,LocTable,7,FALSE))&gt;0,VLOOKUP($AT487&amp;"|"&amp;$CU487,LocTable,7,FALSE),VLOOKUP($AT487&amp;"|"&amp;$CU487,LocTable,6,FALSE)),$BI487-($CU487-IF(N(VLOOKUP($AT487&amp;"|"&amp;$CU487,LocTable,7,FALSE))&gt;0,VLOOKUP($AT487&amp;"|"&amp;$CU487,LocTable,7,FALSE),VLOOKUP($AT487&amp;"|"&amp;$CU487,LocTable,6,FALSE)))),$BI487-10-$CR487))</f>
        <v/>
      </c>
      <c r="CY487" s="85">
        <f>IF($CS487,"",TRIM(IF(ISNUMBER($BU487),"A "&amp;TRIM(TEXT($BU487,"# ?/??"))&amp;CHAR(34)&amp;"  ","")&amp;IF(ISNUMBER($BV487),"B "&amp;TRIM(TEXT($BV487,"# ?/??"))&amp;CHAR(34)&amp;"  ","")&amp;IF(ISNUMBER($BW487),"C "&amp;TRIM(TEXT($BW487,"# ?/??"))&amp;CHAR(34)&amp;"  ","")&amp;IF(ISNUMBER($BX487),"D "&amp;TRIM(TEXT($BX487,"# ?/??"))&amp;CHAR(34)&amp;"  ","")&amp;IF(ISNUMBER($BY487),"F "&amp;TRIM(TEXT($BY487,"# ?/??"))&amp;CHAR(34)&amp;"  ","")&amp;IF(ISNUMBER($BZ487),"E "&amp;TRIM(TEXT($BZ487,"# ?/??"))&amp;CHAR(34)&amp;"  ","")))</f>
        <v/>
      </c>
      <c r="CZ487" s="85">
        <f>IF(OR($CS487,N($BJ487)=0),"",TRIM(IF(ISNUMBER($BU487),"A "&amp;TRIM(TEXT($BU487-HeadClr,"# ?/??"))&amp;CHAR(34)&amp;"  ","")&amp;IF(ISNUMBER($BV487),"B "&amp;TRIM(TEXT($BV487-HeadClr,"# ?/??"))&amp;CHAR(34)&amp;"  ","")&amp;IF(ISNUMBER($BW487),"C "&amp;TRIM(TEXT($BW487-HeadClr,"# ?/??"))&amp;CHAR(34)&amp;"  ","")&amp;IF(ISNUMBER($BX487),"D "&amp;TRIM(TEXT($BX487-HeadClr,"# ?/??"))&amp;CHAR(34)&amp;"  ","")&amp;IF(ISNUMBER($BY487),"F "&amp;TRIM(TEXT($BY487-HeadClr,"# ?/??"))&amp;CHAR(34)&amp;"  ","")&amp;IF(ISNUMBER($BZ487),"E "&amp;TRIM(TEXT($BZ487-HeadClr,"# ?/??"))&amp;CHAR(34)&amp;"  ","")))</f>
        <v/>
      </c>
      <c r="DA487" s="84">
        <f>IF($A487="","",IF($AN487="",IFERROR(VLOOKUP($Z487,CODES,2,FALSE),""),IFERROR(VLOOKUP($AN487,CODES,2,FALSE),"")))</f>
        <v/>
      </c>
      <c r="DB487" s="84">
        <f>IF($A487="","",IF($O487="Y","PR",IF(OR($Z487="L",$Z487="RR",LEFT($Z487,2)="L-",LEFT($Z487,3)="RR-"),"LH","RH")))</f>
        <v/>
      </c>
      <c r="DC487" s="84">
        <f>IF($A487="","","S.HM"&amp;IF(OR($C487="DOOR ONLY",$X487&lt;&gt;"KD"),"MASONRY","DRYWALL")&amp;IF($C487="DOOR ONLY","",$U487)&amp;IF(AND($C487&lt;&gt;"FRAME ONLY",OR(LEFT($AH487,3)="OAK",LEFT($AH487,3)="BIR",LEFT($AH487,3)="MAP",$AH487="PC",$AH487="MC",$AH487="SCLC",$AH487="P-LAM")),"WD","HM")&amp;"1.75")</f>
        <v/>
      </c>
      <c r="DD487" s="84">
        <f>IF($CJ487="","",IF($O487="Y",$CJ487,SUBSTITUTE($CJ487,$BG487&amp;" "&amp;IFERROR(VLOOKUP($Z487,CODES,2,FALSE),"")&amp;" ",$BG487&amp;" ")))</f>
        <v/>
      </c>
      <c r="DE487" s="84">
        <f>IF($CK487="","",IF($O487="Y",$CK487,SUBSTITUTE($CK487,$BG487&amp;" "&amp;IF($AN487="",IFERROR(VLOOKUP($Z487,CODES,2,FALSE),""),IFERROR(VLOOKUP($AN487,CODES,2,FALSE),""))&amp;" ",$BG487&amp;" ")))</f>
        <v/>
      </c>
      <c r="DF487" s="84">
        <f>IF($CJ487="","",$DC487&amp;"|"&amp;$DD487&amp;"|"&amp;$DB487&amp;"|"&amp;$AT487&amp;"|"&amp;$V487&amp;"|"&amp;$Y487&amp;"|"&amp;$AB487)</f>
        <v/>
      </c>
      <c r="DG487" s="84">
        <f>IF(DF487="","",IF(COUNTIF($DF$6:DF487,DF487)=1,MAX($DG$5:DG486)+1,INDEX($DG$5:DG486,MATCH(DF487,$DF$5:DF486,0))))</f>
        <v/>
      </c>
      <c r="DH487" s="84">
        <f>IF($CK487="","",$DC487&amp;"|"&amp;$DE487&amp;"|"&amp;$AI487&amp;"|"&amp;$BK487&amp;"|"&amp;$BL487)</f>
        <v/>
      </c>
      <c r="DI487" s="84">
        <f>IF(DH487="","",IF(COUNTIF($DH$6:DH487,DH487)=1,MAX($DI$5:DI486)+1,INDEX($DI$5:DI486,MATCH(DH487,$DH$5:DH486,0))))</f>
        <v/>
      </c>
      <c r="DJ487" s="84">
        <f>IF($A487="","",IF($B487="","qty, ","")&amp;IF($C487="","scope, ","")&amp;IF(OR($K487="",$M487=""),"size, ","")&amp;IF(AND($A487&lt;&gt;"",$C487&lt;&gt;"DOOR ONLY"),IF($U487="","jamb depth, ","")&amp;IF($X487="","construction, ","")&amp;IF($Y487="","anchor, ","")&amp;IF($S487="","frame type, ",""),"")&amp;IF(AND(N($BJ487)&gt;0,$Z487=""),"hand, ","")&amp;IF(N($BJ487)&gt;0,IF($AH487="","door material, ","")&amp;IF($AL487="","face type, ","")&amp;IF($AP487="","lock prep, ","")&amp;IF(AND($AO487="",$AC487=""),"hinge prep, ",""),"")&amp;IF(AND($CH487&gt;0,$AH487="FRP"),"FRP cannot carry a label, ","")&amp;IF(AND($O487="Y",OR($Z487="L",$Z487="R",$Z487="LR",$Z487="RR")),"pair marked but hand is single, ","")&amp;IF(AND($O487&lt;&gt;"Y",OR($Z487="PR",AND(LEN($Z487)&gt;1,ISNUMBER(SEARCH("-",$Z487))))),"pair hand on a single door, ","")&amp;IF(AND(ISNUMBER($CI487),$CH487&lt;N($CI487)),"wall needs a "&amp;$CI487&amp;" min door, ","")&amp;IF(AND($CH487&gt;=180,AND(OR($CE487="FG",$CE487="HG",$CE487="FNV",$CE487="FV"),N($CF487)*N($CG487)&gt;100)),"180 min lite over 100 sq in, ","")&amp;IF(N($BK487)&gt;48,"leaf wider than 4'-0"&amp;CHAR(34)&amp;", ","")&amp;IF(AND($CT487,COUNT($AW487:$AZ487)=0,$CQ487&gt;0),"CUSTOM LOC with no locations typed, ",""))</f>
        <v/>
      </c>
      <c r="DK487" s="84">
        <f>IF($A487="","",IF(AND($CH487&gt;0,AND($A487&lt;&gt;"",$C487&lt;&gt;"DOOR ONLY"),$X487="KD",$E487="EXTERIOR"),"KD label on an exterior opening, ","")&amp;IF(AND($E487="EXTERIOR",OR(AND(AND($A487&lt;&gt;"",$C487&lt;&gt;"DOOR ONLY"),$W487="CR"),AND(N($BJ487)&gt;0,$AH487="CR"))),"exterior in CR steel (G9?), ","")&amp;IF(AND(ISNUMBER($BQ487),N($BQ487)&lt;32),"clear width ~"&amp;TEXT($BQ487,"0.0")&amp;CHAR(34)&amp;" under 32"&amp;CHAR(34)&amp;" (ADA), ","")&amp;IF(AND($CH487=90,AND(OR($CE487="FG",$CE487="HG",$CE487="FNV",$CE487="FV"),N($CF487)*N($CG487)&gt;100)),"90 min lite over 100 sq in (stair/exit), ","")&amp;IF(AND($CH487&gt;0,AND($A487&lt;&gt;"",$C487&lt;&gt;"DOOR ONLY"),OR($AF487="",$AF487="-")),"rated: closer reinf.?, ","")&amp;IF(OR($I487="CORRIDOR",$I487="SMOKE BARRIER"),"S label + smoke gasketing, ","")&amp;IF($CI487="?","wall type/hr not in IBC table, ","")&amp;IF(AND(N($BJ487)&gt;0,$BB487=""),"no hardware set, ","")&amp;IF(AND($BB487&lt;&gt;"",ISNA(MATCH($BB487&amp;"",HWSets,0))),"set "&amp;$BB487&amp;" not on HW Sets, ","")&amp;IF(N($BL487)&gt;96,"leaf over 8'-0"&amp;CHAR(34)&amp;" - check listing, ","")&amp;IF(AND($CT487,COUNT($AW487:$AZ487)&gt;0,COUNT($AW487:$AZ487)&lt;&gt;$CQ487),COUNT($AW487:$AZ487)&amp;" custom hinges typed, "&amp;$CQ487&amp;" expected, ","")&amp;IF(AND(ISNUMBER($CA487),OR(N($CA487)&lt;34,N($CA487)&gt;48)),"lock "&amp;TEXT($CA487,"0.0")&amp;CHAR(34)&amp;" AFF outside 34-48"&amp;CHAR(34)&amp;" (ADA), ","")&amp;IF(AND(ISNUMBER($AV487),ISNUMBER($BL487),N($AV487)&lt;IF(N($BL487)&lt;=60,2,IF(N($BL487)&lt;=90,3,IF(N($BL487)&lt;=120,4,5)))),"fewer hinges than standard, ",""))</f>
        <v/>
      </c>
    </row>
    <row r="488" ht="15" customHeight="1">
      <c r="A488" s="77" t="n"/>
      <c r="B488" s="78" t="n"/>
      <c r="C488" s="78" t="n"/>
      <c r="D488" s="78" t="n"/>
      <c r="E488" s="78" t="n"/>
      <c r="F488" s="78" t="n"/>
      <c r="G488" s="78" t="n"/>
      <c r="H488" s="78" t="n"/>
      <c r="I488" s="78" t="n"/>
      <c r="J488" s="78" t="n"/>
      <c r="K488" s="78" t="n"/>
      <c r="L488" s="78" t="n"/>
      <c r="M488" s="78" t="n"/>
      <c r="N488" s="78" t="n"/>
      <c r="O488" s="78" t="n"/>
      <c r="P488" s="78" t="n"/>
      <c r="Q488" s="78" t="n"/>
      <c r="R488" s="78" t="n"/>
      <c r="S488" s="79" t="n"/>
      <c r="T488" s="79" t="n"/>
      <c r="U488" s="79" t="n"/>
      <c r="V488" s="79" t="n"/>
      <c r="W488" s="79" t="n"/>
      <c r="X488" s="79" t="n"/>
      <c r="Y488" s="79" t="n"/>
      <c r="Z488" s="79" t="n"/>
      <c r="AA488" s="79" t="n"/>
      <c r="AB488" s="79" t="n"/>
      <c r="AC488" s="79" t="n"/>
      <c r="AD488" s="79" t="n"/>
      <c r="AE488" s="79" t="n"/>
      <c r="AF488" s="79" t="n"/>
      <c r="AG488" s="79" t="n"/>
      <c r="AH488" s="80" t="n"/>
      <c r="AI488" s="80" t="n"/>
      <c r="AJ488" s="80" t="n"/>
      <c r="AK488" s="80" t="n"/>
      <c r="AL488" s="80" t="n"/>
      <c r="AM488" s="80" t="n"/>
      <c r="AN488" s="80" t="n"/>
      <c r="AO488" s="80" t="n"/>
      <c r="AP488" s="80" t="n"/>
      <c r="AQ488" s="80" t="n"/>
      <c r="AR488" s="80" t="n"/>
      <c r="AS488" s="80" t="n"/>
      <c r="AT488" s="81" t="n"/>
      <c r="AU488" s="81" t="n"/>
      <c r="AV488" s="81" t="n"/>
      <c r="AW488" s="82" t="n"/>
      <c r="AX488" s="82" t="n"/>
      <c r="AY488" s="82" t="n"/>
      <c r="AZ488" s="82" t="n"/>
      <c r="BA488" s="82" t="n"/>
      <c r="BB488" s="83" t="n"/>
      <c r="BC488" s="83" t="n"/>
      <c r="BD488" s="84">
        <f>IF($A488="","",IF($DJ488&lt;&gt;"","FIX",IF($DK488&lt;&gt;"","CHECK","OK")))</f>
        <v/>
      </c>
      <c r="BE488" s="85">
        <f>IF($A488="","",IF($DJ488&lt;&gt;"","FIX: "&amp;LEFT($DJ488,LEN($DJ488)-2)&amp;IF($DK488&lt;&gt;"","  ·  ",""),"")&amp;IF($DK488&lt;&gt;"","CHECK: "&amp;LEFT($DK488,LEN($DK488)-2),""))</f>
        <v/>
      </c>
      <c r="BF488" s="84">
        <f>IF(OR($A488="",$K488=""),"",$K488&amp;"'-"&amp;N($L488)&amp;CHAR(34)&amp;" x "&amp;$M488&amp;"'-"&amp;N($N488)&amp;CHAR(34))</f>
        <v/>
      </c>
      <c r="BG488" s="84">
        <f>IF(OR($A488="",$K488=""),"",$K488&amp;N($L488)&amp;$M488&amp;N($N488))</f>
        <v/>
      </c>
      <c r="BH488" s="84">
        <f>IF(OR($A488="",$K488=""),"",$K488*12+N($L488))</f>
        <v/>
      </c>
      <c r="BI488" s="84">
        <f>IF(OR($A488="",$M488=""),"",$M488*12+N($N488))</f>
        <v/>
      </c>
      <c r="BJ488" s="84">
        <f>IF($A488="","",IF(OR($C488="FRAME ONLY",$S488="BL"),0,IF($O488="Y",2,1)))</f>
        <v/>
      </c>
      <c r="BK488" s="86">
        <f>IF(OR(N($BJ488)=0,$BH488=""),"",($BH488-2*EdgeClr-IF($BJ488=2,MeetClr,0))/$BJ488)</f>
        <v/>
      </c>
      <c r="BL488" s="86">
        <f>IF(OR(N($BJ488)=0,$BI488=""),"",$BI488-HeadClr-Undercut)</f>
        <v/>
      </c>
      <c r="BM488" s="86">
        <f>IF($BH488="","",$BH488+2*FaceW+IF(N($Q488)&gt;0,($Q488+FaceW)*IF($R488="LR",2,1),0))</f>
        <v/>
      </c>
      <c r="BN488" s="86">
        <f>IF($BI488="","",$BI488+IF($AB488="Y",4,FaceW)+IF(N($P488)&gt;0,$P488+FaceW,0)+IF(OR($S488="4F",$S488="BL"),FaceW,0))</f>
        <v/>
      </c>
      <c r="BO488" s="86">
        <f>IF($BM488="","",$BM488+2*ROSide)</f>
        <v/>
      </c>
      <c r="BP488" s="86">
        <f>IF($BN488="","",$BN488+ROTop)</f>
        <v/>
      </c>
      <c r="BQ488" s="87">
        <f>IF(OR(N($BJ488)=0,$BH488=""),"",$BH488/$BJ488-ClearDeduct)</f>
        <v/>
      </c>
      <c r="BR488" s="84">
        <f>IF(N($CH488)=0,"",IF($CH488&gt;=180,"A · 3 HR",IF($CH488&gt;=90,"B · 1-1/2 HR",IF($CH488&gt;=60,"B · 1 HR",IF($CH488&gt;=45,"C · 3/4 HR","20 MIN")))))&amp;IF(AND(N($CH488)&gt;0,OR($I488="CORRIDOR",$I488="SMOKE BARRIER"))," · S","")</f>
        <v/>
      </c>
      <c r="BS488" s="84">
        <f>IF($CS488,"",IF($AV488&lt;&gt;"",$AV488,IF(OR($AC488="HGC",$AO488="HGC"),"CONT",IF(($BI488-HeadClr-Undercut)&lt;=60,2,IF(($BI488-HeadClr-Undercut)&lt;=90,3,IF(($BI488-HeadClr-Undercut)&lt;=120,4,5))))))</f>
        <v/>
      </c>
      <c r="BT488" s="84">
        <f>IF($CS488,"",IF($CT488,"CUSTOM (typed)",IF($CV488,$AT488&amp;" "&amp;$CU488&amp;CHAR(34)&amp;IF($CU488&lt;&gt;$BI488,IF(AND($BI488&lt;$CU488,$BI488-IF(N(VLOOKUP($AT488&amp;"|"&amp;$CU488,LocTable,7,FALSE))&gt;0,VLOOKUP($AT488&amp;"|"&amp;$CU488,LocTable,7,FALSE),VLOOKUP($AT488&amp;"|"&amp;$CU488,LocTable,6,FALSE))-$CR488-0.75&gt;=2.125)," cut down"," adj."),""),"ANSI/SDI A250.6")))</f>
        <v/>
      </c>
      <c r="BU488" s="88">
        <f>IF($CS488,"",IF($CT488,IF(N($AW488)&gt;0,N($AW488),""),IF(1&gt;$CQ488,"",IF($CQ488=1,$CW488,$CW488+($CX488-$CW488)*0/($CQ488-1)))))</f>
        <v/>
      </c>
      <c r="BV488" s="88">
        <f>IF($CS488,"",IF($CT488,IF(N($AX488)&gt;0,N($AX488),""),IF(2&gt;$CQ488,"",IF($CQ488=1,$CW488,$CW488+($CX488-$CW488)*1/($CQ488-1)))))</f>
        <v/>
      </c>
      <c r="BW488" s="88">
        <f>IF($CS488,"",IF($CT488,IF(N($AY488)&gt;0,N($AY488),""),IF(3&gt;$CQ488,"",IF($CQ488=1,$CW488,$CW488+($CX488-$CW488)*2/($CQ488-1)))))</f>
        <v/>
      </c>
      <c r="BX488" s="88">
        <f>IF($CS488,"",IF($CT488,IF(N($AZ488)&gt;0,N($AZ488),""),IF(4&gt;$CQ488,"",IF($CQ488=1,$CW488,$CW488+($CX488-$CW488)*3/($CQ488-1)))))</f>
        <v/>
      </c>
      <c r="BY488" s="88">
        <f>IF($CS488,"",IF($CT488,"",IF(5&gt;$CQ488,"",IF($CQ488=1,$CW488,$CW488+($CX488-$CW488)*4/($CQ488-1)))))</f>
        <v/>
      </c>
      <c r="BZ488" s="88">
        <f>IF(OR($CS488,$AP488="-",AND($AP488="",$AD488="")),"",IF(N($BA488)&gt;0,N($BA488),IF($CV488,IF(AND($BI488&lt;$CU488,$BI488-IF(N(VLOOKUP($AT488&amp;"|"&amp;$CU488,LocTable,7,FALSE))&gt;0,VLOOKUP($AT488&amp;"|"&amp;$CU488,LocTable,7,FALSE),VLOOKUP($AT488&amp;"|"&amp;$CU488,LocTable,6,FALSE))-$CR488-0.75&gt;=2.125),VLOOKUP($AT488&amp;"|"&amp;$CU488,LocTable,8,FALSE),VLOOKUP($AT488&amp;"|"&amp;$CU488,LocTable,8,FALSE)+($BI488-$CU488)),$BI488-LockAFF)))</f>
        <v/>
      </c>
      <c r="CA488" s="89">
        <f>IF($BZ488="","",$BI488-$BZ488)</f>
        <v/>
      </c>
      <c r="CB488" s="84">
        <f>IF(OR(NOT(AND($A488&lt;&gt;"",$C488&lt;&gt;"DOOR ONLY")),$BI488=""),"",IF(($BI488+IF(N($P488)&gt;0,$P488+FaceW,0))&lt;=90,3,IF(($BI488+IF(N($P488)&gt;0,$P488+FaceW,0))&lt;=114,4,5)))</f>
        <v/>
      </c>
      <c r="CC488" s="84">
        <f>IF($CB488="","",$CB488*(2+IF(N($Q488)&gt;0,IF($R488="LR",2,1),0)))</f>
        <v/>
      </c>
      <c r="CD488" s="84">
        <f>IF($CB488="","",(2+IF(N($Q488)&gt;0,IF($R488="LR",2,1),0)))</f>
        <v/>
      </c>
      <c r="CE488" s="84">
        <f>IF(N($BJ488)=0,"",IF(OR($AL488="",$AL488="FLUSH"),"FLUSH",IFERROR(LEFT($AL488,FIND("-",$AL488)-1),LEFT($AL488,2))))</f>
        <v/>
      </c>
      <c r="CF488" s="84">
        <f>IF($CE488="","",IFERROR(VALUE(MID($AL488,FIND("-",$AL488)+1,FIND(CHAR(34)&amp;"x",$AL488)-FIND("-",$AL488)-1)),0))</f>
        <v/>
      </c>
      <c r="CG488" s="84">
        <f>IF($CE488="","",IFERROR(VALUE(MID($AL488,FIND(CHAR(34)&amp;"x",$AL488)+2,FIND(CHAR(34),$AL488,FIND(CHAR(34)&amp;"x",$AL488)+2)-FIND(CHAR(34)&amp;"x",$AL488)-2)),0))</f>
        <v/>
      </c>
      <c r="CH488" s="90">
        <f>IF(OR($A488="",$H488="",$H488="NO LAB"),0,IFERROR(VALUE(LEFT($H488,FIND(" ",$H488)-1)),0))</f>
        <v/>
      </c>
      <c r="CI488" s="91">
        <f>IF(OR($A488="",$I488="",$I488="NON-RATED",N($J488)=0),"",IFERROR(VLOOKUP($I488&amp;"|"&amp;$J488,IBC,2,FALSE),"?"))</f>
        <v/>
      </c>
      <c r="CJ488" s="85">
        <f>IF(NOT(AND($A488&lt;&gt;"",$C488&lt;&gt;"DOOR ONLY")),"",TRIM(IFERROR(VLOOKUP($U488,CODES,2,FALSE),"")&amp;" "&amp;$BG488&amp;" "&amp;IFERROR(VLOOKUP($Z488,CODES,2,FALSE),"")&amp;" "&amp;IFERROR(VLOOKUP($X488,CODES,2,FALSE),"")&amp;" "&amp;IFERROR(VLOOKUP($S488,CODES,2,FALSE),"")&amp;IF(N($P488)&gt;0," w/TRANSOM "&amp;$P488&amp;CHAR(34),"")&amp;IF(N($Q488)&gt;0," w/SIDELITE "&amp;$Q488&amp;CHAR(34)&amp;" "&amp;IF($R488="","R",$R488),"")&amp;IF($Y488="","  |  "," | "&amp;IFERROR(VLOOKUP($Y488,CODES,2,FALSE),"")&amp;" | ")&amp;IFERROR(VLOOKUP($AC488,CODES,2,FALSE),"")&amp;" "&amp;IFERROR(VLOOKUP($AD488,CODES,2,FALSE),"")&amp;IF(OR($AE488="",$AE488="-"),""," "&amp;$AE488)&amp;IF(OR($AF488="",$AF488="-"),""," "&amp;$AF488)&amp;IF($AB488="Y"," 4"&amp;CHAR(34)&amp;" HEAD","")&amp;" "&amp;IFERROR(VLOOKUP($H488,CODES,2,FALSE),"")&amp;IF($CT488," | LOC "&amp;$CY488,"")))</f>
        <v/>
      </c>
      <c r="CK488" s="85">
        <f>IF(NOT(AND($A488&lt;&gt;"",N($BJ488)&gt;0)),"",TRIM(IFERROR(VLOOKUP($AH488,CODES,2,FALSE),"")&amp;IF($AI488=""," "," "&amp;$AI488&amp;"GA ")&amp;$BG488&amp;" "&amp;IF($AN488="",IFERROR(VLOOKUP($Z488,CODES,2,FALSE),""),IFERROR(VLOOKUP($AN488,CODES,2,FALSE),""))&amp;IF($BJ488=2," PAIR","")&amp;" DOOR | "&amp;IF($AL488="","?",$AL488)&amp;" | "&amp;IF($AO488="",IFERROR(VLOOKUP($AC488,CODES,2,FALSE),""),IFERROR(VLOOKUP($AO488,CODES,2,FALSE),""))&amp;" "&amp;IFERROR(VLOOKUP($AP488,CODES,2,FALSE),"")&amp;IF(OR($AQ488="",$AQ488="-"),""," SEAM "&amp;$AQ488)&amp;IF($AR488="Y"," ASTRAGAL","")&amp;IF($AJ488=""," "," "&amp;$AJ488)&amp;IF($AK488=""," "," "&amp;$AK488)&amp;IF(OR($AT488="",$AT488="ANSI/SDI",$AT488="CUSTOM LOC"),""," "&amp;$AT488)&amp;IF($AM488=""," "," SERIES "&amp;$AM488)&amp;" "&amp;IFERROR(VLOOKUP($H488,CODES,2,FALSE),"")&amp;IF($CT488," | LOC "&amp;$CZ488,"")))</f>
        <v/>
      </c>
      <c r="CL488" s="84">
        <f>IF(CP488="","",IF(COUNTIF($CP$6:CP488,CP488)=1,MAX($CL$5:CL487)+1,INDEX($CL$5:CL487,MATCH(CP488,$CP$5:CP487,0))))</f>
        <v/>
      </c>
      <c r="CM488" s="84">
        <f>IF(NOT(AND($A488&lt;&gt;"",$C488&lt;&gt;"DOOR ONLY")),"",MAX($CM$5:CM487)+1)</f>
        <v/>
      </c>
      <c r="CN488" s="84">
        <f>IF(NOT(AND($A488&lt;&gt;"",N($BJ488)&gt;0)),"",MAX($CN$5:CN487)+1)</f>
        <v/>
      </c>
      <c r="CO488" s="84">
        <f>IF($A488="","",MAX($CO$5:CO487)+1)</f>
        <v/>
      </c>
      <c r="CP488" s="84">
        <f>IF(OR($A488="",$BH488="",$BI488=""),"",$BG488&amp;"|"&amp;$O488&amp;"|"&amp;$AL488&amp;"|"&amp;$S488&amp;"|"&amp;$P488&amp;"|"&amp;$Q488&amp;$R488&amp;"|"&amp;$C488&amp;"|"&amp;$AB488)</f>
        <v/>
      </c>
      <c r="CQ488" s="84">
        <f>N($BS488)</f>
        <v/>
      </c>
      <c r="CR488" s="84">
        <f>IF(N($AU488)&gt;0,N($AU488),4.5)</f>
        <v/>
      </c>
      <c r="CS488" s="84">
        <f>OR($A488="",$BI488="",$S488="BL",AND($C488="FRAME ONLY",OR($AC488="",$AC488="BLK")))</f>
        <v/>
      </c>
      <c r="CT488" s="84">
        <f>AND(NOT($CS488),OR($AT488="CUSTOM LOC",N($AW488)+N($AX488)+N($AY488)+N($AZ488)+N($BA488)&gt;0))</f>
        <v/>
      </c>
      <c r="CU488" s="84">
        <f>IF($BI488="","",IF($BI488&lt;=80,80,IF($BI488&lt;=84,84,96)))</f>
        <v/>
      </c>
      <c r="CV488" s="84">
        <f>ISNUMBER(MATCH($AT488&amp;"|80",LocKeys,0))</f>
        <v/>
      </c>
      <c r="CW488" s="86">
        <f>IF($CS488,"",IF($CV488,VLOOKUP($AT488&amp;"|"&amp;$CU488,LocTable,4,FALSE),5))</f>
        <v/>
      </c>
      <c r="CX488" s="86">
        <f>IF($CS488,"",IF($CV488,IF(OR($BI488=$CU488,AND($BI488&lt;$CU488,$BI488-IF(N(VLOOKUP($AT488&amp;"|"&amp;$CU488,LocTable,7,FALSE))&gt;0,VLOOKUP($AT488&amp;"|"&amp;$CU488,LocTable,7,FALSE),VLOOKUP($AT488&amp;"|"&amp;$CU488,LocTable,6,FALSE))-$CR488-0.75&gt;=2.125)),IF(N(VLOOKUP($AT488&amp;"|"&amp;$CU488,LocTable,7,FALSE))&gt;0,VLOOKUP($AT488&amp;"|"&amp;$CU488,LocTable,7,FALSE),VLOOKUP($AT488&amp;"|"&amp;$CU488,LocTable,6,FALSE)),$BI488-($CU488-IF(N(VLOOKUP($AT488&amp;"|"&amp;$CU488,LocTable,7,FALSE))&gt;0,VLOOKUP($AT488&amp;"|"&amp;$CU488,LocTable,7,FALSE),VLOOKUP($AT488&amp;"|"&amp;$CU488,LocTable,6,FALSE)))),$BI488-10-$CR488))</f>
        <v/>
      </c>
      <c r="CY488" s="85">
        <f>IF($CS488,"",TRIM(IF(ISNUMBER($BU488),"A "&amp;TRIM(TEXT($BU488,"# ?/??"))&amp;CHAR(34)&amp;"  ","")&amp;IF(ISNUMBER($BV488),"B "&amp;TRIM(TEXT($BV488,"# ?/??"))&amp;CHAR(34)&amp;"  ","")&amp;IF(ISNUMBER($BW488),"C "&amp;TRIM(TEXT($BW488,"# ?/??"))&amp;CHAR(34)&amp;"  ","")&amp;IF(ISNUMBER($BX488),"D "&amp;TRIM(TEXT($BX488,"# ?/??"))&amp;CHAR(34)&amp;"  ","")&amp;IF(ISNUMBER($BY488),"F "&amp;TRIM(TEXT($BY488,"# ?/??"))&amp;CHAR(34)&amp;"  ","")&amp;IF(ISNUMBER($BZ488),"E "&amp;TRIM(TEXT($BZ488,"# ?/??"))&amp;CHAR(34)&amp;"  ","")))</f>
        <v/>
      </c>
      <c r="CZ488" s="85">
        <f>IF(OR($CS488,N($BJ488)=0),"",TRIM(IF(ISNUMBER($BU488),"A "&amp;TRIM(TEXT($BU488-HeadClr,"# ?/??"))&amp;CHAR(34)&amp;"  ","")&amp;IF(ISNUMBER($BV488),"B "&amp;TRIM(TEXT($BV488-HeadClr,"# ?/??"))&amp;CHAR(34)&amp;"  ","")&amp;IF(ISNUMBER($BW488),"C "&amp;TRIM(TEXT($BW488-HeadClr,"# ?/??"))&amp;CHAR(34)&amp;"  ","")&amp;IF(ISNUMBER($BX488),"D "&amp;TRIM(TEXT($BX488-HeadClr,"# ?/??"))&amp;CHAR(34)&amp;"  ","")&amp;IF(ISNUMBER($BY488),"F "&amp;TRIM(TEXT($BY488-HeadClr,"# ?/??"))&amp;CHAR(34)&amp;"  ","")&amp;IF(ISNUMBER($BZ488),"E "&amp;TRIM(TEXT($BZ488-HeadClr,"# ?/??"))&amp;CHAR(34)&amp;"  ","")))</f>
        <v/>
      </c>
      <c r="DA488" s="84">
        <f>IF($A488="","",IF($AN488="",IFERROR(VLOOKUP($Z488,CODES,2,FALSE),""),IFERROR(VLOOKUP($AN488,CODES,2,FALSE),"")))</f>
        <v/>
      </c>
      <c r="DB488" s="84">
        <f>IF($A488="","",IF($O488="Y","PR",IF(OR($Z488="L",$Z488="RR",LEFT($Z488,2)="L-",LEFT($Z488,3)="RR-"),"LH","RH")))</f>
        <v/>
      </c>
      <c r="DC488" s="84">
        <f>IF($A488="","","S.HM"&amp;IF(OR($C488="DOOR ONLY",$X488&lt;&gt;"KD"),"MASONRY","DRYWALL")&amp;IF($C488="DOOR ONLY","",$U488)&amp;IF(AND($C488&lt;&gt;"FRAME ONLY",OR(LEFT($AH488,3)="OAK",LEFT($AH488,3)="BIR",LEFT($AH488,3)="MAP",$AH488="PC",$AH488="MC",$AH488="SCLC",$AH488="P-LAM")),"WD","HM")&amp;"1.75")</f>
        <v/>
      </c>
      <c r="DD488" s="84">
        <f>IF($CJ488="","",IF($O488="Y",$CJ488,SUBSTITUTE($CJ488,$BG488&amp;" "&amp;IFERROR(VLOOKUP($Z488,CODES,2,FALSE),"")&amp;" ",$BG488&amp;" ")))</f>
        <v/>
      </c>
      <c r="DE488" s="84">
        <f>IF($CK488="","",IF($O488="Y",$CK488,SUBSTITUTE($CK488,$BG488&amp;" "&amp;IF($AN488="",IFERROR(VLOOKUP($Z488,CODES,2,FALSE),""),IFERROR(VLOOKUP($AN488,CODES,2,FALSE),""))&amp;" ",$BG488&amp;" ")))</f>
        <v/>
      </c>
      <c r="DF488" s="84">
        <f>IF($CJ488="","",$DC488&amp;"|"&amp;$DD488&amp;"|"&amp;$DB488&amp;"|"&amp;$AT488&amp;"|"&amp;$V488&amp;"|"&amp;$Y488&amp;"|"&amp;$AB488)</f>
        <v/>
      </c>
      <c r="DG488" s="84">
        <f>IF(DF488="","",IF(COUNTIF($DF$6:DF488,DF488)=1,MAX($DG$5:DG487)+1,INDEX($DG$5:DG487,MATCH(DF488,$DF$5:DF487,0))))</f>
        <v/>
      </c>
      <c r="DH488" s="84">
        <f>IF($CK488="","",$DC488&amp;"|"&amp;$DE488&amp;"|"&amp;$AI488&amp;"|"&amp;$BK488&amp;"|"&amp;$BL488)</f>
        <v/>
      </c>
      <c r="DI488" s="84">
        <f>IF(DH488="","",IF(COUNTIF($DH$6:DH488,DH488)=1,MAX($DI$5:DI487)+1,INDEX($DI$5:DI487,MATCH(DH488,$DH$5:DH487,0))))</f>
        <v/>
      </c>
      <c r="DJ488" s="84">
        <f>IF($A488="","",IF($B488="","qty, ","")&amp;IF($C488="","scope, ","")&amp;IF(OR($K488="",$M488=""),"size, ","")&amp;IF(AND($A488&lt;&gt;"",$C488&lt;&gt;"DOOR ONLY"),IF($U488="","jamb depth, ","")&amp;IF($X488="","construction, ","")&amp;IF($Y488="","anchor, ","")&amp;IF($S488="","frame type, ",""),"")&amp;IF(AND(N($BJ488)&gt;0,$Z488=""),"hand, ","")&amp;IF(N($BJ488)&gt;0,IF($AH488="","door material, ","")&amp;IF($AL488="","face type, ","")&amp;IF($AP488="","lock prep, ","")&amp;IF(AND($AO488="",$AC488=""),"hinge prep, ",""),"")&amp;IF(AND($CH488&gt;0,$AH488="FRP"),"FRP cannot carry a label, ","")&amp;IF(AND($O488="Y",OR($Z488="L",$Z488="R",$Z488="LR",$Z488="RR")),"pair marked but hand is single, ","")&amp;IF(AND($O488&lt;&gt;"Y",OR($Z488="PR",AND(LEN($Z488)&gt;1,ISNUMBER(SEARCH("-",$Z488))))),"pair hand on a single door, ","")&amp;IF(AND(ISNUMBER($CI488),$CH488&lt;N($CI488)),"wall needs a "&amp;$CI488&amp;" min door, ","")&amp;IF(AND($CH488&gt;=180,AND(OR($CE488="FG",$CE488="HG",$CE488="FNV",$CE488="FV"),N($CF488)*N($CG488)&gt;100)),"180 min lite over 100 sq in, ","")&amp;IF(N($BK488)&gt;48,"leaf wider than 4'-0"&amp;CHAR(34)&amp;", ","")&amp;IF(AND($CT488,COUNT($AW488:$AZ488)=0,$CQ488&gt;0),"CUSTOM LOC with no locations typed, ",""))</f>
        <v/>
      </c>
      <c r="DK488" s="84">
        <f>IF($A488="","",IF(AND($CH488&gt;0,AND($A488&lt;&gt;"",$C488&lt;&gt;"DOOR ONLY"),$X488="KD",$E488="EXTERIOR"),"KD label on an exterior opening, ","")&amp;IF(AND($E488="EXTERIOR",OR(AND(AND($A488&lt;&gt;"",$C488&lt;&gt;"DOOR ONLY"),$W488="CR"),AND(N($BJ488)&gt;0,$AH488="CR"))),"exterior in CR steel (G9?), ","")&amp;IF(AND(ISNUMBER($BQ488),N($BQ488)&lt;32),"clear width ~"&amp;TEXT($BQ488,"0.0")&amp;CHAR(34)&amp;" under 32"&amp;CHAR(34)&amp;" (ADA), ","")&amp;IF(AND($CH488=90,AND(OR($CE488="FG",$CE488="HG",$CE488="FNV",$CE488="FV"),N($CF488)*N($CG488)&gt;100)),"90 min lite over 100 sq in (stair/exit), ","")&amp;IF(AND($CH488&gt;0,AND($A488&lt;&gt;"",$C488&lt;&gt;"DOOR ONLY"),OR($AF488="",$AF488="-")),"rated: closer reinf.?, ","")&amp;IF(OR($I488="CORRIDOR",$I488="SMOKE BARRIER"),"S label + smoke gasketing, ","")&amp;IF($CI488="?","wall type/hr not in IBC table, ","")&amp;IF(AND(N($BJ488)&gt;0,$BB488=""),"no hardware set, ","")&amp;IF(AND($BB488&lt;&gt;"",ISNA(MATCH($BB488&amp;"",HWSets,0))),"set "&amp;$BB488&amp;" not on HW Sets, ","")&amp;IF(N($BL488)&gt;96,"leaf over 8'-0"&amp;CHAR(34)&amp;" - check listing, ","")&amp;IF(AND($CT488,COUNT($AW488:$AZ488)&gt;0,COUNT($AW488:$AZ488)&lt;&gt;$CQ488),COUNT($AW488:$AZ488)&amp;" custom hinges typed, "&amp;$CQ488&amp;" expected, ","")&amp;IF(AND(ISNUMBER($CA488),OR(N($CA488)&lt;34,N($CA488)&gt;48)),"lock "&amp;TEXT($CA488,"0.0")&amp;CHAR(34)&amp;" AFF outside 34-48"&amp;CHAR(34)&amp;" (ADA), ","")&amp;IF(AND(ISNUMBER($AV488),ISNUMBER($BL488),N($AV488)&lt;IF(N($BL488)&lt;=60,2,IF(N($BL488)&lt;=90,3,IF(N($BL488)&lt;=120,4,5)))),"fewer hinges than standard, ",""))</f>
        <v/>
      </c>
    </row>
    <row r="489" ht="15" customHeight="1">
      <c r="A489" s="77" t="n"/>
      <c r="B489" s="78" t="n"/>
      <c r="C489" s="78" t="n"/>
      <c r="D489" s="78" t="n"/>
      <c r="E489" s="78" t="n"/>
      <c r="F489" s="78" t="n"/>
      <c r="G489" s="78" t="n"/>
      <c r="H489" s="78" t="n"/>
      <c r="I489" s="78" t="n"/>
      <c r="J489" s="78" t="n"/>
      <c r="K489" s="78" t="n"/>
      <c r="L489" s="78" t="n"/>
      <c r="M489" s="78" t="n"/>
      <c r="N489" s="78" t="n"/>
      <c r="O489" s="78" t="n"/>
      <c r="P489" s="78" t="n"/>
      <c r="Q489" s="78" t="n"/>
      <c r="R489" s="78" t="n"/>
      <c r="S489" s="79" t="n"/>
      <c r="T489" s="79" t="n"/>
      <c r="U489" s="79" t="n"/>
      <c r="V489" s="79" t="n"/>
      <c r="W489" s="79" t="n"/>
      <c r="X489" s="79" t="n"/>
      <c r="Y489" s="79" t="n"/>
      <c r="Z489" s="79" t="n"/>
      <c r="AA489" s="79" t="n"/>
      <c r="AB489" s="79" t="n"/>
      <c r="AC489" s="79" t="n"/>
      <c r="AD489" s="79" t="n"/>
      <c r="AE489" s="79" t="n"/>
      <c r="AF489" s="79" t="n"/>
      <c r="AG489" s="79" t="n"/>
      <c r="AH489" s="80" t="n"/>
      <c r="AI489" s="80" t="n"/>
      <c r="AJ489" s="80" t="n"/>
      <c r="AK489" s="80" t="n"/>
      <c r="AL489" s="80" t="n"/>
      <c r="AM489" s="80" t="n"/>
      <c r="AN489" s="80" t="n"/>
      <c r="AO489" s="80" t="n"/>
      <c r="AP489" s="80" t="n"/>
      <c r="AQ489" s="80" t="n"/>
      <c r="AR489" s="80" t="n"/>
      <c r="AS489" s="80" t="n"/>
      <c r="AT489" s="81" t="n"/>
      <c r="AU489" s="81" t="n"/>
      <c r="AV489" s="81" t="n"/>
      <c r="AW489" s="82" t="n"/>
      <c r="AX489" s="82" t="n"/>
      <c r="AY489" s="82" t="n"/>
      <c r="AZ489" s="82" t="n"/>
      <c r="BA489" s="82" t="n"/>
      <c r="BB489" s="83" t="n"/>
      <c r="BC489" s="83" t="n"/>
      <c r="BD489" s="84">
        <f>IF($A489="","",IF($DJ489&lt;&gt;"","FIX",IF($DK489&lt;&gt;"","CHECK","OK")))</f>
        <v/>
      </c>
      <c r="BE489" s="85">
        <f>IF($A489="","",IF($DJ489&lt;&gt;"","FIX: "&amp;LEFT($DJ489,LEN($DJ489)-2)&amp;IF($DK489&lt;&gt;"","  ·  ",""),"")&amp;IF($DK489&lt;&gt;"","CHECK: "&amp;LEFT($DK489,LEN($DK489)-2),""))</f>
        <v/>
      </c>
      <c r="BF489" s="84">
        <f>IF(OR($A489="",$K489=""),"",$K489&amp;"'-"&amp;N($L489)&amp;CHAR(34)&amp;" x "&amp;$M489&amp;"'-"&amp;N($N489)&amp;CHAR(34))</f>
        <v/>
      </c>
      <c r="BG489" s="84">
        <f>IF(OR($A489="",$K489=""),"",$K489&amp;N($L489)&amp;$M489&amp;N($N489))</f>
        <v/>
      </c>
      <c r="BH489" s="84">
        <f>IF(OR($A489="",$K489=""),"",$K489*12+N($L489))</f>
        <v/>
      </c>
      <c r="BI489" s="84">
        <f>IF(OR($A489="",$M489=""),"",$M489*12+N($N489))</f>
        <v/>
      </c>
      <c r="BJ489" s="84">
        <f>IF($A489="","",IF(OR($C489="FRAME ONLY",$S489="BL"),0,IF($O489="Y",2,1)))</f>
        <v/>
      </c>
      <c r="BK489" s="86">
        <f>IF(OR(N($BJ489)=0,$BH489=""),"",($BH489-2*EdgeClr-IF($BJ489=2,MeetClr,0))/$BJ489)</f>
        <v/>
      </c>
      <c r="BL489" s="86">
        <f>IF(OR(N($BJ489)=0,$BI489=""),"",$BI489-HeadClr-Undercut)</f>
        <v/>
      </c>
      <c r="BM489" s="86">
        <f>IF($BH489="","",$BH489+2*FaceW+IF(N($Q489)&gt;0,($Q489+FaceW)*IF($R489="LR",2,1),0))</f>
        <v/>
      </c>
      <c r="BN489" s="86">
        <f>IF($BI489="","",$BI489+IF($AB489="Y",4,FaceW)+IF(N($P489)&gt;0,$P489+FaceW,0)+IF(OR($S489="4F",$S489="BL"),FaceW,0))</f>
        <v/>
      </c>
      <c r="BO489" s="86">
        <f>IF($BM489="","",$BM489+2*ROSide)</f>
        <v/>
      </c>
      <c r="BP489" s="86">
        <f>IF($BN489="","",$BN489+ROTop)</f>
        <v/>
      </c>
      <c r="BQ489" s="87">
        <f>IF(OR(N($BJ489)=0,$BH489=""),"",$BH489/$BJ489-ClearDeduct)</f>
        <v/>
      </c>
      <c r="BR489" s="84">
        <f>IF(N($CH489)=0,"",IF($CH489&gt;=180,"A · 3 HR",IF($CH489&gt;=90,"B · 1-1/2 HR",IF($CH489&gt;=60,"B · 1 HR",IF($CH489&gt;=45,"C · 3/4 HR","20 MIN")))))&amp;IF(AND(N($CH489)&gt;0,OR($I489="CORRIDOR",$I489="SMOKE BARRIER"))," · S","")</f>
        <v/>
      </c>
      <c r="BS489" s="84">
        <f>IF($CS489,"",IF($AV489&lt;&gt;"",$AV489,IF(OR($AC489="HGC",$AO489="HGC"),"CONT",IF(($BI489-HeadClr-Undercut)&lt;=60,2,IF(($BI489-HeadClr-Undercut)&lt;=90,3,IF(($BI489-HeadClr-Undercut)&lt;=120,4,5))))))</f>
        <v/>
      </c>
      <c r="BT489" s="84">
        <f>IF($CS489,"",IF($CT489,"CUSTOM (typed)",IF($CV489,$AT489&amp;" "&amp;$CU489&amp;CHAR(34)&amp;IF($CU489&lt;&gt;$BI489,IF(AND($BI489&lt;$CU489,$BI489-IF(N(VLOOKUP($AT489&amp;"|"&amp;$CU489,LocTable,7,FALSE))&gt;0,VLOOKUP($AT489&amp;"|"&amp;$CU489,LocTable,7,FALSE),VLOOKUP($AT489&amp;"|"&amp;$CU489,LocTable,6,FALSE))-$CR489-0.75&gt;=2.125)," cut down"," adj."),""),"ANSI/SDI A250.6")))</f>
        <v/>
      </c>
      <c r="BU489" s="88">
        <f>IF($CS489,"",IF($CT489,IF(N($AW489)&gt;0,N($AW489),""),IF(1&gt;$CQ489,"",IF($CQ489=1,$CW489,$CW489+($CX489-$CW489)*0/($CQ489-1)))))</f>
        <v/>
      </c>
      <c r="BV489" s="88">
        <f>IF($CS489,"",IF($CT489,IF(N($AX489)&gt;0,N($AX489),""),IF(2&gt;$CQ489,"",IF($CQ489=1,$CW489,$CW489+($CX489-$CW489)*1/($CQ489-1)))))</f>
        <v/>
      </c>
      <c r="BW489" s="88">
        <f>IF($CS489,"",IF($CT489,IF(N($AY489)&gt;0,N($AY489),""),IF(3&gt;$CQ489,"",IF($CQ489=1,$CW489,$CW489+($CX489-$CW489)*2/($CQ489-1)))))</f>
        <v/>
      </c>
      <c r="BX489" s="88">
        <f>IF($CS489,"",IF($CT489,IF(N($AZ489)&gt;0,N($AZ489),""),IF(4&gt;$CQ489,"",IF($CQ489=1,$CW489,$CW489+($CX489-$CW489)*3/($CQ489-1)))))</f>
        <v/>
      </c>
      <c r="BY489" s="88">
        <f>IF($CS489,"",IF($CT489,"",IF(5&gt;$CQ489,"",IF($CQ489=1,$CW489,$CW489+($CX489-$CW489)*4/($CQ489-1)))))</f>
        <v/>
      </c>
      <c r="BZ489" s="88">
        <f>IF(OR($CS489,$AP489="-",AND($AP489="",$AD489="")),"",IF(N($BA489)&gt;0,N($BA489),IF($CV489,IF(AND($BI489&lt;$CU489,$BI489-IF(N(VLOOKUP($AT489&amp;"|"&amp;$CU489,LocTable,7,FALSE))&gt;0,VLOOKUP($AT489&amp;"|"&amp;$CU489,LocTable,7,FALSE),VLOOKUP($AT489&amp;"|"&amp;$CU489,LocTable,6,FALSE))-$CR489-0.75&gt;=2.125),VLOOKUP($AT489&amp;"|"&amp;$CU489,LocTable,8,FALSE),VLOOKUP($AT489&amp;"|"&amp;$CU489,LocTable,8,FALSE)+($BI489-$CU489)),$BI489-LockAFF)))</f>
        <v/>
      </c>
      <c r="CA489" s="89">
        <f>IF($BZ489="","",$BI489-$BZ489)</f>
        <v/>
      </c>
      <c r="CB489" s="84">
        <f>IF(OR(NOT(AND($A489&lt;&gt;"",$C489&lt;&gt;"DOOR ONLY")),$BI489=""),"",IF(($BI489+IF(N($P489)&gt;0,$P489+FaceW,0))&lt;=90,3,IF(($BI489+IF(N($P489)&gt;0,$P489+FaceW,0))&lt;=114,4,5)))</f>
        <v/>
      </c>
      <c r="CC489" s="84">
        <f>IF($CB489="","",$CB489*(2+IF(N($Q489)&gt;0,IF($R489="LR",2,1),0)))</f>
        <v/>
      </c>
      <c r="CD489" s="84">
        <f>IF($CB489="","",(2+IF(N($Q489)&gt;0,IF($R489="LR",2,1),0)))</f>
        <v/>
      </c>
      <c r="CE489" s="84">
        <f>IF(N($BJ489)=0,"",IF(OR($AL489="",$AL489="FLUSH"),"FLUSH",IFERROR(LEFT($AL489,FIND("-",$AL489)-1),LEFT($AL489,2))))</f>
        <v/>
      </c>
      <c r="CF489" s="84">
        <f>IF($CE489="","",IFERROR(VALUE(MID($AL489,FIND("-",$AL489)+1,FIND(CHAR(34)&amp;"x",$AL489)-FIND("-",$AL489)-1)),0))</f>
        <v/>
      </c>
      <c r="CG489" s="84">
        <f>IF($CE489="","",IFERROR(VALUE(MID($AL489,FIND(CHAR(34)&amp;"x",$AL489)+2,FIND(CHAR(34),$AL489,FIND(CHAR(34)&amp;"x",$AL489)+2)-FIND(CHAR(34)&amp;"x",$AL489)-2)),0))</f>
        <v/>
      </c>
      <c r="CH489" s="90">
        <f>IF(OR($A489="",$H489="",$H489="NO LAB"),0,IFERROR(VALUE(LEFT($H489,FIND(" ",$H489)-1)),0))</f>
        <v/>
      </c>
      <c r="CI489" s="91">
        <f>IF(OR($A489="",$I489="",$I489="NON-RATED",N($J489)=0),"",IFERROR(VLOOKUP($I489&amp;"|"&amp;$J489,IBC,2,FALSE),"?"))</f>
        <v/>
      </c>
      <c r="CJ489" s="85">
        <f>IF(NOT(AND($A489&lt;&gt;"",$C489&lt;&gt;"DOOR ONLY")),"",TRIM(IFERROR(VLOOKUP($U489,CODES,2,FALSE),"")&amp;" "&amp;$BG489&amp;" "&amp;IFERROR(VLOOKUP($Z489,CODES,2,FALSE),"")&amp;" "&amp;IFERROR(VLOOKUP($X489,CODES,2,FALSE),"")&amp;" "&amp;IFERROR(VLOOKUP($S489,CODES,2,FALSE),"")&amp;IF(N($P489)&gt;0," w/TRANSOM "&amp;$P489&amp;CHAR(34),"")&amp;IF(N($Q489)&gt;0," w/SIDELITE "&amp;$Q489&amp;CHAR(34)&amp;" "&amp;IF($R489="","R",$R489),"")&amp;IF($Y489="","  |  "," | "&amp;IFERROR(VLOOKUP($Y489,CODES,2,FALSE),"")&amp;" | ")&amp;IFERROR(VLOOKUP($AC489,CODES,2,FALSE),"")&amp;" "&amp;IFERROR(VLOOKUP($AD489,CODES,2,FALSE),"")&amp;IF(OR($AE489="",$AE489="-"),""," "&amp;$AE489)&amp;IF(OR($AF489="",$AF489="-"),""," "&amp;$AF489)&amp;IF($AB489="Y"," 4"&amp;CHAR(34)&amp;" HEAD","")&amp;" "&amp;IFERROR(VLOOKUP($H489,CODES,2,FALSE),"")&amp;IF($CT489," | LOC "&amp;$CY489,"")))</f>
        <v/>
      </c>
      <c r="CK489" s="85">
        <f>IF(NOT(AND($A489&lt;&gt;"",N($BJ489)&gt;0)),"",TRIM(IFERROR(VLOOKUP($AH489,CODES,2,FALSE),"")&amp;IF($AI489=""," "," "&amp;$AI489&amp;"GA ")&amp;$BG489&amp;" "&amp;IF($AN489="",IFERROR(VLOOKUP($Z489,CODES,2,FALSE),""),IFERROR(VLOOKUP($AN489,CODES,2,FALSE),""))&amp;IF($BJ489=2," PAIR","")&amp;" DOOR | "&amp;IF($AL489="","?",$AL489)&amp;" | "&amp;IF($AO489="",IFERROR(VLOOKUP($AC489,CODES,2,FALSE),""),IFERROR(VLOOKUP($AO489,CODES,2,FALSE),""))&amp;" "&amp;IFERROR(VLOOKUP($AP489,CODES,2,FALSE),"")&amp;IF(OR($AQ489="",$AQ489="-"),""," SEAM "&amp;$AQ489)&amp;IF($AR489="Y"," ASTRAGAL","")&amp;IF($AJ489=""," "," "&amp;$AJ489)&amp;IF($AK489=""," "," "&amp;$AK489)&amp;IF(OR($AT489="",$AT489="ANSI/SDI",$AT489="CUSTOM LOC"),""," "&amp;$AT489)&amp;IF($AM489=""," "," SERIES "&amp;$AM489)&amp;" "&amp;IFERROR(VLOOKUP($H489,CODES,2,FALSE),"")&amp;IF($CT489," | LOC "&amp;$CZ489,"")))</f>
        <v/>
      </c>
      <c r="CL489" s="84">
        <f>IF(CP489="","",IF(COUNTIF($CP$6:CP489,CP489)=1,MAX($CL$5:CL488)+1,INDEX($CL$5:CL488,MATCH(CP489,$CP$5:CP488,0))))</f>
        <v/>
      </c>
      <c r="CM489" s="84">
        <f>IF(NOT(AND($A489&lt;&gt;"",$C489&lt;&gt;"DOOR ONLY")),"",MAX($CM$5:CM488)+1)</f>
        <v/>
      </c>
      <c r="CN489" s="84">
        <f>IF(NOT(AND($A489&lt;&gt;"",N($BJ489)&gt;0)),"",MAX($CN$5:CN488)+1)</f>
        <v/>
      </c>
      <c r="CO489" s="84">
        <f>IF($A489="","",MAX($CO$5:CO488)+1)</f>
        <v/>
      </c>
      <c r="CP489" s="84">
        <f>IF(OR($A489="",$BH489="",$BI489=""),"",$BG489&amp;"|"&amp;$O489&amp;"|"&amp;$AL489&amp;"|"&amp;$S489&amp;"|"&amp;$P489&amp;"|"&amp;$Q489&amp;$R489&amp;"|"&amp;$C489&amp;"|"&amp;$AB489)</f>
        <v/>
      </c>
      <c r="CQ489" s="84">
        <f>N($BS489)</f>
        <v/>
      </c>
      <c r="CR489" s="84">
        <f>IF(N($AU489)&gt;0,N($AU489),4.5)</f>
        <v/>
      </c>
      <c r="CS489" s="84">
        <f>OR($A489="",$BI489="",$S489="BL",AND($C489="FRAME ONLY",OR($AC489="",$AC489="BLK")))</f>
        <v/>
      </c>
      <c r="CT489" s="84">
        <f>AND(NOT($CS489),OR($AT489="CUSTOM LOC",N($AW489)+N($AX489)+N($AY489)+N($AZ489)+N($BA489)&gt;0))</f>
        <v/>
      </c>
      <c r="CU489" s="84">
        <f>IF($BI489="","",IF($BI489&lt;=80,80,IF($BI489&lt;=84,84,96)))</f>
        <v/>
      </c>
      <c r="CV489" s="84">
        <f>ISNUMBER(MATCH($AT489&amp;"|80",LocKeys,0))</f>
        <v/>
      </c>
      <c r="CW489" s="86">
        <f>IF($CS489,"",IF($CV489,VLOOKUP($AT489&amp;"|"&amp;$CU489,LocTable,4,FALSE),5))</f>
        <v/>
      </c>
      <c r="CX489" s="86">
        <f>IF($CS489,"",IF($CV489,IF(OR($BI489=$CU489,AND($BI489&lt;$CU489,$BI489-IF(N(VLOOKUP($AT489&amp;"|"&amp;$CU489,LocTable,7,FALSE))&gt;0,VLOOKUP($AT489&amp;"|"&amp;$CU489,LocTable,7,FALSE),VLOOKUP($AT489&amp;"|"&amp;$CU489,LocTable,6,FALSE))-$CR489-0.75&gt;=2.125)),IF(N(VLOOKUP($AT489&amp;"|"&amp;$CU489,LocTable,7,FALSE))&gt;0,VLOOKUP($AT489&amp;"|"&amp;$CU489,LocTable,7,FALSE),VLOOKUP($AT489&amp;"|"&amp;$CU489,LocTable,6,FALSE)),$BI489-($CU489-IF(N(VLOOKUP($AT489&amp;"|"&amp;$CU489,LocTable,7,FALSE))&gt;0,VLOOKUP($AT489&amp;"|"&amp;$CU489,LocTable,7,FALSE),VLOOKUP($AT489&amp;"|"&amp;$CU489,LocTable,6,FALSE)))),$BI489-10-$CR489))</f>
        <v/>
      </c>
      <c r="CY489" s="85">
        <f>IF($CS489,"",TRIM(IF(ISNUMBER($BU489),"A "&amp;TRIM(TEXT($BU489,"# ?/??"))&amp;CHAR(34)&amp;"  ","")&amp;IF(ISNUMBER($BV489),"B "&amp;TRIM(TEXT($BV489,"# ?/??"))&amp;CHAR(34)&amp;"  ","")&amp;IF(ISNUMBER($BW489),"C "&amp;TRIM(TEXT($BW489,"# ?/??"))&amp;CHAR(34)&amp;"  ","")&amp;IF(ISNUMBER($BX489),"D "&amp;TRIM(TEXT($BX489,"# ?/??"))&amp;CHAR(34)&amp;"  ","")&amp;IF(ISNUMBER($BY489),"F "&amp;TRIM(TEXT($BY489,"# ?/??"))&amp;CHAR(34)&amp;"  ","")&amp;IF(ISNUMBER($BZ489),"E "&amp;TRIM(TEXT($BZ489,"# ?/??"))&amp;CHAR(34)&amp;"  ","")))</f>
        <v/>
      </c>
      <c r="CZ489" s="85">
        <f>IF(OR($CS489,N($BJ489)=0),"",TRIM(IF(ISNUMBER($BU489),"A "&amp;TRIM(TEXT($BU489-HeadClr,"# ?/??"))&amp;CHAR(34)&amp;"  ","")&amp;IF(ISNUMBER($BV489),"B "&amp;TRIM(TEXT($BV489-HeadClr,"# ?/??"))&amp;CHAR(34)&amp;"  ","")&amp;IF(ISNUMBER($BW489),"C "&amp;TRIM(TEXT($BW489-HeadClr,"# ?/??"))&amp;CHAR(34)&amp;"  ","")&amp;IF(ISNUMBER($BX489),"D "&amp;TRIM(TEXT($BX489-HeadClr,"# ?/??"))&amp;CHAR(34)&amp;"  ","")&amp;IF(ISNUMBER($BY489),"F "&amp;TRIM(TEXT($BY489-HeadClr,"# ?/??"))&amp;CHAR(34)&amp;"  ","")&amp;IF(ISNUMBER($BZ489),"E "&amp;TRIM(TEXT($BZ489-HeadClr,"# ?/??"))&amp;CHAR(34)&amp;"  ","")))</f>
        <v/>
      </c>
      <c r="DA489" s="84">
        <f>IF($A489="","",IF($AN489="",IFERROR(VLOOKUP($Z489,CODES,2,FALSE),""),IFERROR(VLOOKUP($AN489,CODES,2,FALSE),"")))</f>
        <v/>
      </c>
      <c r="DB489" s="84">
        <f>IF($A489="","",IF($O489="Y","PR",IF(OR($Z489="L",$Z489="RR",LEFT($Z489,2)="L-",LEFT($Z489,3)="RR-"),"LH","RH")))</f>
        <v/>
      </c>
      <c r="DC489" s="84">
        <f>IF($A489="","","S.HM"&amp;IF(OR($C489="DOOR ONLY",$X489&lt;&gt;"KD"),"MASONRY","DRYWALL")&amp;IF($C489="DOOR ONLY","",$U489)&amp;IF(AND($C489&lt;&gt;"FRAME ONLY",OR(LEFT($AH489,3)="OAK",LEFT($AH489,3)="BIR",LEFT($AH489,3)="MAP",$AH489="PC",$AH489="MC",$AH489="SCLC",$AH489="P-LAM")),"WD","HM")&amp;"1.75")</f>
        <v/>
      </c>
      <c r="DD489" s="84">
        <f>IF($CJ489="","",IF($O489="Y",$CJ489,SUBSTITUTE($CJ489,$BG489&amp;" "&amp;IFERROR(VLOOKUP($Z489,CODES,2,FALSE),"")&amp;" ",$BG489&amp;" ")))</f>
        <v/>
      </c>
      <c r="DE489" s="84">
        <f>IF($CK489="","",IF($O489="Y",$CK489,SUBSTITUTE($CK489,$BG489&amp;" "&amp;IF($AN489="",IFERROR(VLOOKUP($Z489,CODES,2,FALSE),""),IFERROR(VLOOKUP($AN489,CODES,2,FALSE),""))&amp;" ",$BG489&amp;" ")))</f>
        <v/>
      </c>
      <c r="DF489" s="84">
        <f>IF($CJ489="","",$DC489&amp;"|"&amp;$DD489&amp;"|"&amp;$DB489&amp;"|"&amp;$AT489&amp;"|"&amp;$V489&amp;"|"&amp;$Y489&amp;"|"&amp;$AB489)</f>
        <v/>
      </c>
      <c r="DG489" s="84">
        <f>IF(DF489="","",IF(COUNTIF($DF$6:DF489,DF489)=1,MAX($DG$5:DG488)+1,INDEX($DG$5:DG488,MATCH(DF489,$DF$5:DF488,0))))</f>
        <v/>
      </c>
      <c r="DH489" s="84">
        <f>IF($CK489="","",$DC489&amp;"|"&amp;$DE489&amp;"|"&amp;$AI489&amp;"|"&amp;$BK489&amp;"|"&amp;$BL489)</f>
        <v/>
      </c>
      <c r="DI489" s="84">
        <f>IF(DH489="","",IF(COUNTIF($DH$6:DH489,DH489)=1,MAX($DI$5:DI488)+1,INDEX($DI$5:DI488,MATCH(DH489,$DH$5:DH488,0))))</f>
        <v/>
      </c>
      <c r="DJ489" s="84">
        <f>IF($A489="","",IF($B489="","qty, ","")&amp;IF($C489="","scope, ","")&amp;IF(OR($K489="",$M489=""),"size, ","")&amp;IF(AND($A489&lt;&gt;"",$C489&lt;&gt;"DOOR ONLY"),IF($U489="","jamb depth, ","")&amp;IF($X489="","construction, ","")&amp;IF($Y489="","anchor, ","")&amp;IF($S489="","frame type, ",""),"")&amp;IF(AND(N($BJ489)&gt;0,$Z489=""),"hand, ","")&amp;IF(N($BJ489)&gt;0,IF($AH489="","door material, ","")&amp;IF($AL489="","face type, ","")&amp;IF($AP489="","lock prep, ","")&amp;IF(AND($AO489="",$AC489=""),"hinge prep, ",""),"")&amp;IF(AND($CH489&gt;0,$AH489="FRP"),"FRP cannot carry a label, ","")&amp;IF(AND($O489="Y",OR($Z489="L",$Z489="R",$Z489="LR",$Z489="RR")),"pair marked but hand is single, ","")&amp;IF(AND($O489&lt;&gt;"Y",OR($Z489="PR",AND(LEN($Z489)&gt;1,ISNUMBER(SEARCH("-",$Z489))))),"pair hand on a single door, ","")&amp;IF(AND(ISNUMBER($CI489),$CH489&lt;N($CI489)),"wall needs a "&amp;$CI489&amp;" min door, ","")&amp;IF(AND($CH489&gt;=180,AND(OR($CE489="FG",$CE489="HG",$CE489="FNV",$CE489="FV"),N($CF489)*N($CG489)&gt;100)),"180 min lite over 100 sq in, ","")&amp;IF(N($BK489)&gt;48,"leaf wider than 4'-0"&amp;CHAR(34)&amp;", ","")&amp;IF(AND($CT489,COUNT($AW489:$AZ489)=0,$CQ489&gt;0),"CUSTOM LOC with no locations typed, ",""))</f>
        <v/>
      </c>
      <c r="DK489" s="84">
        <f>IF($A489="","",IF(AND($CH489&gt;0,AND($A489&lt;&gt;"",$C489&lt;&gt;"DOOR ONLY"),$X489="KD",$E489="EXTERIOR"),"KD label on an exterior opening, ","")&amp;IF(AND($E489="EXTERIOR",OR(AND(AND($A489&lt;&gt;"",$C489&lt;&gt;"DOOR ONLY"),$W489="CR"),AND(N($BJ489)&gt;0,$AH489="CR"))),"exterior in CR steel (G9?), ","")&amp;IF(AND(ISNUMBER($BQ489),N($BQ489)&lt;32),"clear width ~"&amp;TEXT($BQ489,"0.0")&amp;CHAR(34)&amp;" under 32"&amp;CHAR(34)&amp;" (ADA), ","")&amp;IF(AND($CH489=90,AND(OR($CE489="FG",$CE489="HG",$CE489="FNV",$CE489="FV"),N($CF489)*N($CG489)&gt;100)),"90 min lite over 100 sq in (stair/exit), ","")&amp;IF(AND($CH489&gt;0,AND($A489&lt;&gt;"",$C489&lt;&gt;"DOOR ONLY"),OR($AF489="",$AF489="-")),"rated: closer reinf.?, ","")&amp;IF(OR($I489="CORRIDOR",$I489="SMOKE BARRIER"),"S label + smoke gasketing, ","")&amp;IF($CI489="?","wall type/hr not in IBC table, ","")&amp;IF(AND(N($BJ489)&gt;0,$BB489=""),"no hardware set, ","")&amp;IF(AND($BB489&lt;&gt;"",ISNA(MATCH($BB489&amp;"",HWSets,0))),"set "&amp;$BB489&amp;" not on HW Sets, ","")&amp;IF(N($BL489)&gt;96,"leaf over 8'-0"&amp;CHAR(34)&amp;" - check listing, ","")&amp;IF(AND($CT489,COUNT($AW489:$AZ489)&gt;0,COUNT($AW489:$AZ489)&lt;&gt;$CQ489),COUNT($AW489:$AZ489)&amp;" custom hinges typed, "&amp;$CQ489&amp;" expected, ","")&amp;IF(AND(ISNUMBER($CA489),OR(N($CA489)&lt;34,N($CA489)&gt;48)),"lock "&amp;TEXT($CA489,"0.0")&amp;CHAR(34)&amp;" AFF outside 34-48"&amp;CHAR(34)&amp;" (ADA), ","")&amp;IF(AND(ISNUMBER($AV489),ISNUMBER($BL489),N($AV489)&lt;IF(N($BL489)&lt;=60,2,IF(N($BL489)&lt;=90,3,IF(N($BL489)&lt;=120,4,5)))),"fewer hinges than standard, ",""))</f>
        <v/>
      </c>
    </row>
    <row r="490" ht="15" customHeight="1">
      <c r="A490" s="92" t="n"/>
      <c r="B490" s="93" t="n"/>
      <c r="C490" s="93" t="n"/>
      <c r="D490" s="93" t="n"/>
      <c r="E490" s="93" t="n"/>
      <c r="F490" s="93" t="n"/>
      <c r="G490" s="93" t="n"/>
      <c r="H490" s="93" t="n"/>
      <c r="I490" s="93" t="n"/>
      <c r="J490" s="93" t="n"/>
      <c r="K490" s="93" t="n"/>
      <c r="L490" s="93" t="n"/>
      <c r="M490" s="93" t="n"/>
      <c r="N490" s="93" t="n"/>
      <c r="O490" s="93" t="n"/>
      <c r="P490" s="93" t="n"/>
      <c r="Q490" s="93" t="n"/>
      <c r="R490" s="93" t="n"/>
      <c r="S490" s="94" t="n"/>
      <c r="T490" s="94" t="n"/>
      <c r="U490" s="94" t="n"/>
      <c r="V490" s="94" t="n"/>
      <c r="W490" s="94" t="n"/>
      <c r="X490" s="94" t="n"/>
      <c r="Y490" s="94" t="n"/>
      <c r="Z490" s="94" t="n"/>
      <c r="AA490" s="94" t="n"/>
      <c r="AB490" s="94" t="n"/>
      <c r="AC490" s="94" t="n"/>
      <c r="AD490" s="94" t="n"/>
      <c r="AE490" s="94" t="n"/>
      <c r="AF490" s="94" t="n"/>
      <c r="AG490" s="94" t="n"/>
      <c r="AH490" s="95" t="n"/>
      <c r="AI490" s="95" t="n"/>
      <c r="AJ490" s="95" t="n"/>
      <c r="AK490" s="95" t="n"/>
      <c r="AL490" s="95" t="n"/>
      <c r="AM490" s="95" t="n"/>
      <c r="AN490" s="95" t="n"/>
      <c r="AO490" s="95" t="n"/>
      <c r="AP490" s="95" t="n"/>
      <c r="AQ490" s="95" t="n"/>
      <c r="AR490" s="95" t="n"/>
      <c r="AS490" s="95" t="n"/>
      <c r="AT490" s="96" t="n"/>
      <c r="AU490" s="96" t="n"/>
      <c r="AV490" s="96" t="n"/>
      <c r="AW490" s="97" t="n"/>
      <c r="AX490" s="97" t="n"/>
      <c r="AY490" s="97" t="n"/>
      <c r="AZ490" s="97" t="n"/>
      <c r="BA490" s="97" t="n"/>
      <c r="BB490" s="98" t="n"/>
      <c r="BC490" s="98" t="n"/>
      <c r="BD490" s="99">
        <f>IF($A490="","",IF($DJ490&lt;&gt;"","FIX",IF($DK490&lt;&gt;"","CHECK","OK")))</f>
        <v/>
      </c>
      <c r="BE490" s="100">
        <f>IF($A490="","",IF($DJ490&lt;&gt;"","FIX: "&amp;LEFT($DJ490,LEN($DJ490)-2)&amp;IF($DK490&lt;&gt;"","  ·  ",""),"")&amp;IF($DK490&lt;&gt;"","CHECK: "&amp;LEFT($DK490,LEN($DK490)-2),""))</f>
        <v/>
      </c>
      <c r="BF490" s="99">
        <f>IF(OR($A490="",$K490=""),"",$K490&amp;"'-"&amp;N($L490)&amp;CHAR(34)&amp;" x "&amp;$M490&amp;"'-"&amp;N($N490)&amp;CHAR(34))</f>
        <v/>
      </c>
      <c r="BG490" s="99">
        <f>IF(OR($A490="",$K490=""),"",$K490&amp;N($L490)&amp;$M490&amp;N($N490))</f>
        <v/>
      </c>
      <c r="BH490" s="99">
        <f>IF(OR($A490="",$K490=""),"",$K490*12+N($L490))</f>
        <v/>
      </c>
      <c r="BI490" s="99">
        <f>IF(OR($A490="",$M490=""),"",$M490*12+N($N490))</f>
        <v/>
      </c>
      <c r="BJ490" s="99">
        <f>IF($A490="","",IF(OR($C490="FRAME ONLY",$S490="BL"),0,IF($O490="Y",2,1)))</f>
        <v/>
      </c>
      <c r="BK490" s="101">
        <f>IF(OR(N($BJ490)=0,$BH490=""),"",($BH490-2*EdgeClr-IF($BJ490=2,MeetClr,0))/$BJ490)</f>
        <v/>
      </c>
      <c r="BL490" s="101">
        <f>IF(OR(N($BJ490)=0,$BI490=""),"",$BI490-HeadClr-Undercut)</f>
        <v/>
      </c>
      <c r="BM490" s="101">
        <f>IF($BH490="","",$BH490+2*FaceW+IF(N($Q490)&gt;0,($Q490+FaceW)*IF($R490="LR",2,1),0))</f>
        <v/>
      </c>
      <c r="BN490" s="101">
        <f>IF($BI490="","",$BI490+IF($AB490="Y",4,FaceW)+IF(N($P490)&gt;0,$P490+FaceW,0)+IF(OR($S490="4F",$S490="BL"),FaceW,0))</f>
        <v/>
      </c>
      <c r="BO490" s="101">
        <f>IF($BM490="","",$BM490+2*ROSide)</f>
        <v/>
      </c>
      <c r="BP490" s="101">
        <f>IF($BN490="","",$BN490+ROTop)</f>
        <v/>
      </c>
      <c r="BQ490" s="102">
        <f>IF(OR(N($BJ490)=0,$BH490=""),"",$BH490/$BJ490-ClearDeduct)</f>
        <v/>
      </c>
      <c r="BR490" s="99">
        <f>IF(N($CH490)=0,"",IF($CH490&gt;=180,"A · 3 HR",IF($CH490&gt;=90,"B · 1-1/2 HR",IF($CH490&gt;=60,"B · 1 HR",IF($CH490&gt;=45,"C · 3/4 HR","20 MIN")))))&amp;IF(AND(N($CH490)&gt;0,OR($I490="CORRIDOR",$I490="SMOKE BARRIER"))," · S","")</f>
        <v/>
      </c>
      <c r="BS490" s="99">
        <f>IF($CS490,"",IF($AV490&lt;&gt;"",$AV490,IF(OR($AC490="HGC",$AO490="HGC"),"CONT",IF(($BI490-HeadClr-Undercut)&lt;=60,2,IF(($BI490-HeadClr-Undercut)&lt;=90,3,IF(($BI490-HeadClr-Undercut)&lt;=120,4,5))))))</f>
        <v/>
      </c>
      <c r="BT490" s="99">
        <f>IF($CS490,"",IF($CT490,"CUSTOM (typed)",IF($CV490,$AT490&amp;" "&amp;$CU490&amp;CHAR(34)&amp;IF($CU490&lt;&gt;$BI490,IF(AND($BI490&lt;$CU490,$BI490-IF(N(VLOOKUP($AT490&amp;"|"&amp;$CU490,LocTable,7,FALSE))&gt;0,VLOOKUP($AT490&amp;"|"&amp;$CU490,LocTable,7,FALSE),VLOOKUP($AT490&amp;"|"&amp;$CU490,LocTable,6,FALSE))-$CR490-0.75&gt;=2.125)," cut down"," adj."),""),"ANSI/SDI A250.6")))</f>
        <v/>
      </c>
      <c r="BU490" s="103">
        <f>IF($CS490,"",IF($CT490,IF(N($AW490)&gt;0,N($AW490),""),IF(1&gt;$CQ490,"",IF($CQ490=1,$CW490,$CW490+($CX490-$CW490)*0/($CQ490-1)))))</f>
        <v/>
      </c>
      <c r="BV490" s="103">
        <f>IF($CS490,"",IF($CT490,IF(N($AX490)&gt;0,N($AX490),""),IF(2&gt;$CQ490,"",IF($CQ490=1,$CW490,$CW490+($CX490-$CW490)*1/($CQ490-1)))))</f>
        <v/>
      </c>
      <c r="BW490" s="103">
        <f>IF($CS490,"",IF($CT490,IF(N($AY490)&gt;0,N($AY490),""),IF(3&gt;$CQ490,"",IF($CQ490=1,$CW490,$CW490+($CX490-$CW490)*2/($CQ490-1)))))</f>
        <v/>
      </c>
      <c r="BX490" s="103">
        <f>IF($CS490,"",IF($CT490,IF(N($AZ490)&gt;0,N($AZ490),""),IF(4&gt;$CQ490,"",IF($CQ490=1,$CW490,$CW490+($CX490-$CW490)*3/($CQ490-1)))))</f>
        <v/>
      </c>
      <c r="BY490" s="103">
        <f>IF($CS490,"",IF($CT490,"",IF(5&gt;$CQ490,"",IF($CQ490=1,$CW490,$CW490+($CX490-$CW490)*4/($CQ490-1)))))</f>
        <v/>
      </c>
      <c r="BZ490" s="103">
        <f>IF(OR($CS490,$AP490="-",AND($AP490="",$AD490="")),"",IF(N($BA490)&gt;0,N($BA490),IF($CV490,IF(AND($BI490&lt;$CU490,$BI490-IF(N(VLOOKUP($AT490&amp;"|"&amp;$CU490,LocTable,7,FALSE))&gt;0,VLOOKUP($AT490&amp;"|"&amp;$CU490,LocTable,7,FALSE),VLOOKUP($AT490&amp;"|"&amp;$CU490,LocTable,6,FALSE))-$CR490-0.75&gt;=2.125),VLOOKUP($AT490&amp;"|"&amp;$CU490,LocTable,8,FALSE),VLOOKUP($AT490&amp;"|"&amp;$CU490,LocTable,8,FALSE)+($BI490-$CU490)),$BI490-LockAFF)))</f>
        <v/>
      </c>
      <c r="CA490" s="104">
        <f>IF($BZ490="","",$BI490-$BZ490)</f>
        <v/>
      </c>
      <c r="CB490" s="99">
        <f>IF(OR(NOT(AND($A490&lt;&gt;"",$C490&lt;&gt;"DOOR ONLY")),$BI490=""),"",IF(($BI490+IF(N($P490)&gt;0,$P490+FaceW,0))&lt;=90,3,IF(($BI490+IF(N($P490)&gt;0,$P490+FaceW,0))&lt;=114,4,5)))</f>
        <v/>
      </c>
      <c r="CC490" s="99">
        <f>IF($CB490="","",$CB490*(2+IF(N($Q490)&gt;0,IF($R490="LR",2,1),0)))</f>
        <v/>
      </c>
      <c r="CD490" s="99">
        <f>IF($CB490="","",(2+IF(N($Q490)&gt;0,IF($R490="LR",2,1),0)))</f>
        <v/>
      </c>
      <c r="CE490" s="99">
        <f>IF(N($BJ490)=0,"",IF(OR($AL490="",$AL490="FLUSH"),"FLUSH",IFERROR(LEFT($AL490,FIND("-",$AL490)-1),LEFT($AL490,2))))</f>
        <v/>
      </c>
      <c r="CF490" s="99">
        <f>IF($CE490="","",IFERROR(VALUE(MID($AL490,FIND("-",$AL490)+1,FIND(CHAR(34)&amp;"x",$AL490)-FIND("-",$AL490)-1)),0))</f>
        <v/>
      </c>
      <c r="CG490" s="99">
        <f>IF($CE490="","",IFERROR(VALUE(MID($AL490,FIND(CHAR(34)&amp;"x",$AL490)+2,FIND(CHAR(34),$AL490,FIND(CHAR(34)&amp;"x",$AL490)+2)-FIND(CHAR(34)&amp;"x",$AL490)-2)),0))</f>
        <v/>
      </c>
      <c r="CH490" s="105">
        <f>IF(OR($A490="",$H490="",$H490="NO LAB"),0,IFERROR(VALUE(LEFT($H490,FIND(" ",$H490)-1)),0))</f>
        <v/>
      </c>
      <c r="CI490" s="106">
        <f>IF(OR($A490="",$I490="",$I490="NON-RATED",N($J490)=0),"",IFERROR(VLOOKUP($I490&amp;"|"&amp;$J490,IBC,2,FALSE),"?"))</f>
        <v/>
      </c>
      <c r="CJ490" s="100">
        <f>IF(NOT(AND($A490&lt;&gt;"",$C490&lt;&gt;"DOOR ONLY")),"",TRIM(IFERROR(VLOOKUP($U490,CODES,2,FALSE),"")&amp;" "&amp;$BG490&amp;" "&amp;IFERROR(VLOOKUP($Z490,CODES,2,FALSE),"")&amp;" "&amp;IFERROR(VLOOKUP($X490,CODES,2,FALSE),"")&amp;" "&amp;IFERROR(VLOOKUP($S490,CODES,2,FALSE),"")&amp;IF(N($P490)&gt;0," w/TRANSOM "&amp;$P490&amp;CHAR(34),"")&amp;IF(N($Q490)&gt;0," w/SIDELITE "&amp;$Q490&amp;CHAR(34)&amp;" "&amp;IF($R490="","R",$R490),"")&amp;IF($Y490="","  |  "," | "&amp;IFERROR(VLOOKUP($Y490,CODES,2,FALSE),"")&amp;" | ")&amp;IFERROR(VLOOKUP($AC490,CODES,2,FALSE),"")&amp;" "&amp;IFERROR(VLOOKUP($AD490,CODES,2,FALSE),"")&amp;IF(OR($AE490="",$AE490="-"),""," "&amp;$AE490)&amp;IF(OR($AF490="",$AF490="-"),""," "&amp;$AF490)&amp;IF($AB490="Y"," 4"&amp;CHAR(34)&amp;" HEAD","")&amp;" "&amp;IFERROR(VLOOKUP($H490,CODES,2,FALSE),"")&amp;IF($CT490," | LOC "&amp;$CY490,"")))</f>
        <v/>
      </c>
      <c r="CK490" s="100">
        <f>IF(NOT(AND($A490&lt;&gt;"",N($BJ490)&gt;0)),"",TRIM(IFERROR(VLOOKUP($AH490,CODES,2,FALSE),"")&amp;IF($AI490=""," "," "&amp;$AI490&amp;"GA ")&amp;$BG490&amp;" "&amp;IF($AN490="",IFERROR(VLOOKUP($Z490,CODES,2,FALSE),""),IFERROR(VLOOKUP($AN490,CODES,2,FALSE),""))&amp;IF($BJ490=2," PAIR","")&amp;" DOOR | "&amp;IF($AL490="","?",$AL490)&amp;" | "&amp;IF($AO490="",IFERROR(VLOOKUP($AC490,CODES,2,FALSE),""),IFERROR(VLOOKUP($AO490,CODES,2,FALSE),""))&amp;" "&amp;IFERROR(VLOOKUP($AP490,CODES,2,FALSE),"")&amp;IF(OR($AQ490="",$AQ490="-"),""," SEAM "&amp;$AQ490)&amp;IF($AR490="Y"," ASTRAGAL","")&amp;IF($AJ490=""," "," "&amp;$AJ490)&amp;IF($AK490=""," "," "&amp;$AK490)&amp;IF(OR($AT490="",$AT490="ANSI/SDI",$AT490="CUSTOM LOC"),""," "&amp;$AT490)&amp;IF($AM490=""," "," SERIES "&amp;$AM490)&amp;" "&amp;IFERROR(VLOOKUP($H490,CODES,2,FALSE),"")&amp;IF($CT490," | LOC "&amp;$CZ490,"")))</f>
        <v/>
      </c>
      <c r="CL490" s="99">
        <f>IF(CP490="","",IF(COUNTIF($CP$6:CP490,CP490)=1,MAX($CL$5:CL489)+1,INDEX($CL$5:CL489,MATCH(CP490,$CP$5:CP489,0))))</f>
        <v/>
      </c>
      <c r="CM490" s="99">
        <f>IF(NOT(AND($A490&lt;&gt;"",$C490&lt;&gt;"DOOR ONLY")),"",MAX($CM$5:CM489)+1)</f>
        <v/>
      </c>
      <c r="CN490" s="99">
        <f>IF(NOT(AND($A490&lt;&gt;"",N($BJ490)&gt;0)),"",MAX($CN$5:CN489)+1)</f>
        <v/>
      </c>
      <c r="CO490" s="99">
        <f>IF($A490="","",MAX($CO$5:CO489)+1)</f>
        <v/>
      </c>
      <c r="CP490" s="99">
        <f>IF(OR($A490="",$BH490="",$BI490=""),"",$BG490&amp;"|"&amp;$O490&amp;"|"&amp;$AL490&amp;"|"&amp;$S490&amp;"|"&amp;$P490&amp;"|"&amp;$Q490&amp;$R490&amp;"|"&amp;$C490&amp;"|"&amp;$AB490)</f>
        <v/>
      </c>
      <c r="CQ490" s="99">
        <f>N($BS490)</f>
        <v/>
      </c>
      <c r="CR490" s="99">
        <f>IF(N($AU490)&gt;0,N($AU490),4.5)</f>
        <v/>
      </c>
      <c r="CS490" s="99">
        <f>OR($A490="",$BI490="",$S490="BL",AND($C490="FRAME ONLY",OR($AC490="",$AC490="BLK")))</f>
        <v/>
      </c>
      <c r="CT490" s="99">
        <f>AND(NOT($CS490),OR($AT490="CUSTOM LOC",N($AW490)+N($AX490)+N($AY490)+N($AZ490)+N($BA490)&gt;0))</f>
        <v/>
      </c>
      <c r="CU490" s="99">
        <f>IF($BI490="","",IF($BI490&lt;=80,80,IF($BI490&lt;=84,84,96)))</f>
        <v/>
      </c>
      <c r="CV490" s="99">
        <f>ISNUMBER(MATCH($AT490&amp;"|80",LocKeys,0))</f>
        <v/>
      </c>
      <c r="CW490" s="101">
        <f>IF($CS490,"",IF($CV490,VLOOKUP($AT490&amp;"|"&amp;$CU490,LocTable,4,FALSE),5))</f>
        <v/>
      </c>
      <c r="CX490" s="101">
        <f>IF($CS490,"",IF($CV490,IF(OR($BI490=$CU490,AND($BI490&lt;$CU490,$BI490-IF(N(VLOOKUP($AT490&amp;"|"&amp;$CU490,LocTable,7,FALSE))&gt;0,VLOOKUP($AT490&amp;"|"&amp;$CU490,LocTable,7,FALSE),VLOOKUP($AT490&amp;"|"&amp;$CU490,LocTable,6,FALSE))-$CR490-0.75&gt;=2.125)),IF(N(VLOOKUP($AT490&amp;"|"&amp;$CU490,LocTable,7,FALSE))&gt;0,VLOOKUP($AT490&amp;"|"&amp;$CU490,LocTable,7,FALSE),VLOOKUP($AT490&amp;"|"&amp;$CU490,LocTable,6,FALSE)),$BI490-($CU490-IF(N(VLOOKUP($AT490&amp;"|"&amp;$CU490,LocTable,7,FALSE))&gt;0,VLOOKUP($AT490&amp;"|"&amp;$CU490,LocTable,7,FALSE),VLOOKUP($AT490&amp;"|"&amp;$CU490,LocTable,6,FALSE)))),$BI490-10-$CR490))</f>
        <v/>
      </c>
      <c r="CY490" s="100">
        <f>IF($CS490,"",TRIM(IF(ISNUMBER($BU490),"A "&amp;TRIM(TEXT($BU490,"# ?/??"))&amp;CHAR(34)&amp;"  ","")&amp;IF(ISNUMBER($BV490),"B "&amp;TRIM(TEXT($BV490,"# ?/??"))&amp;CHAR(34)&amp;"  ","")&amp;IF(ISNUMBER($BW490),"C "&amp;TRIM(TEXT($BW490,"# ?/??"))&amp;CHAR(34)&amp;"  ","")&amp;IF(ISNUMBER($BX490),"D "&amp;TRIM(TEXT($BX490,"# ?/??"))&amp;CHAR(34)&amp;"  ","")&amp;IF(ISNUMBER($BY490),"F "&amp;TRIM(TEXT($BY490,"# ?/??"))&amp;CHAR(34)&amp;"  ","")&amp;IF(ISNUMBER($BZ490),"E "&amp;TRIM(TEXT($BZ490,"# ?/??"))&amp;CHAR(34)&amp;"  ","")))</f>
        <v/>
      </c>
      <c r="CZ490" s="100">
        <f>IF(OR($CS490,N($BJ490)=0),"",TRIM(IF(ISNUMBER($BU490),"A "&amp;TRIM(TEXT($BU490-HeadClr,"# ?/??"))&amp;CHAR(34)&amp;"  ","")&amp;IF(ISNUMBER($BV490),"B "&amp;TRIM(TEXT($BV490-HeadClr,"# ?/??"))&amp;CHAR(34)&amp;"  ","")&amp;IF(ISNUMBER($BW490),"C "&amp;TRIM(TEXT($BW490-HeadClr,"# ?/??"))&amp;CHAR(34)&amp;"  ","")&amp;IF(ISNUMBER($BX490),"D "&amp;TRIM(TEXT($BX490-HeadClr,"# ?/??"))&amp;CHAR(34)&amp;"  ","")&amp;IF(ISNUMBER($BY490),"F "&amp;TRIM(TEXT($BY490-HeadClr,"# ?/??"))&amp;CHAR(34)&amp;"  ","")&amp;IF(ISNUMBER($BZ490),"E "&amp;TRIM(TEXT($BZ490-HeadClr,"# ?/??"))&amp;CHAR(34)&amp;"  ","")))</f>
        <v/>
      </c>
      <c r="DA490" s="99">
        <f>IF($A490="","",IF($AN490="",IFERROR(VLOOKUP($Z490,CODES,2,FALSE),""),IFERROR(VLOOKUP($AN490,CODES,2,FALSE),"")))</f>
        <v/>
      </c>
      <c r="DB490" s="99">
        <f>IF($A490="","",IF($O490="Y","PR",IF(OR($Z490="L",$Z490="RR",LEFT($Z490,2)="L-",LEFT($Z490,3)="RR-"),"LH","RH")))</f>
        <v/>
      </c>
      <c r="DC490" s="99">
        <f>IF($A490="","","S.HM"&amp;IF(OR($C490="DOOR ONLY",$X490&lt;&gt;"KD"),"MASONRY","DRYWALL")&amp;IF($C490="DOOR ONLY","",$U490)&amp;IF(AND($C490&lt;&gt;"FRAME ONLY",OR(LEFT($AH490,3)="OAK",LEFT($AH490,3)="BIR",LEFT($AH490,3)="MAP",$AH490="PC",$AH490="MC",$AH490="SCLC",$AH490="P-LAM")),"WD","HM")&amp;"1.75")</f>
        <v/>
      </c>
      <c r="DD490" s="99">
        <f>IF($CJ490="","",IF($O490="Y",$CJ490,SUBSTITUTE($CJ490,$BG490&amp;" "&amp;IFERROR(VLOOKUP($Z490,CODES,2,FALSE),"")&amp;" ",$BG490&amp;" ")))</f>
        <v/>
      </c>
      <c r="DE490" s="99">
        <f>IF($CK490="","",IF($O490="Y",$CK490,SUBSTITUTE($CK490,$BG490&amp;" "&amp;IF($AN490="",IFERROR(VLOOKUP($Z490,CODES,2,FALSE),""),IFERROR(VLOOKUP($AN490,CODES,2,FALSE),""))&amp;" ",$BG490&amp;" ")))</f>
        <v/>
      </c>
      <c r="DF490" s="99">
        <f>IF($CJ490="","",$DC490&amp;"|"&amp;$DD490&amp;"|"&amp;$DB490&amp;"|"&amp;$AT490&amp;"|"&amp;$V490&amp;"|"&amp;$Y490&amp;"|"&amp;$AB490)</f>
        <v/>
      </c>
      <c r="DG490" s="99">
        <f>IF(DF490="","",IF(COUNTIF($DF$6:DF490,DF490)=1,MAX($DG$5:DG489)+1,INDEX($DG$5:DG489,MATCH(DF490,$DF$5:DF489,0))))</f>
        <v/>
      </c>
      <c r="DH490" s="99">
        <f>IF($CK490="","",$DC490&amp;"|"&amp;$DE490&amp;"|"&amp;$AI490&amp;"|"&amp;$BK490&amp;"|"&amp;$BL490)</f>
        <v/>
      </c>
      <c r="DI490" s="99">
        <f>IF(DH490="","",IF(COUNTIF($DH$6:DH490,DH490)=1,MAX($DI$5:DI489)+1,INDEX($DI$5:DI489,MATCH(DH490,$DH$5:DH489,0))))</f>
        <v/>
      </c>
      <c r="DJ490" s="99">
        <f>IF($A490="","",IF($B490="","qty, ","")&amp;IF($C490="","scope, ","")&amp;IF(OR($K490="",$M490=""),"size, ","")&amp;IF(AND($A490&lt;&gt;"",$C490&lt;&gt;"DOOR ONLY"),IF($U490="","jamb depth, ","")&amp;IF($X490="","construction, ","")&amp;IF($Y490="","anchor, ","")&amp;IF($S490="","frame type, ",""),"")&amp;IF(AND(N($BJ490)&gt;0,$Z490=""),"hand, ","")&amp;IF(N($BJ490)&gt;0,IF($AH490="","door material, ","")&amp;IF($AL490="","face type, ","")&amp;IF($AP490="","lock prep, ","")&amp;IF(AND($AO490="",$AC490=""),"hinge prep, ",""),"")&amp;IF(AND($CH490&gt;0,$AH490="FRP"),"FRP cannot carry a label, ","")&amp;IF(AND($O490="Y",OR($Z490="L",$Z490="R",$Z490="LR",$Z490="RR")),"pair marked but hand is single, ","")&amp;IF(AND($O490&lt;&gt;"Y",OR($Z490="PR",AND(LEN($Z490)&gt;1,ISNUMBER(SEARCH("-",$Z490))))),"pair hand on a single door, ","")&amp;IF(AND(ISNUMBER($CI490),$CH490&lt;N($CI490)),"wall needs a "&amp;$CI490&amp;" min door, ","")&amp;IF(AND($CH490&gt;=180,AND(OR($CE490="FG",$CE490="HG",$CE490="FNV",$CE490="FV"),N($CF490)*N($CG490)&gt;100)),"180 min lite over 100 sq in, ","")&amp;IF(N($BK490)&gt;48,"leaf wider than 4'-0"&amp;CHAR(34)&amp;", ","")&amp;IF(AND($CT490,COUNT($AW490:$AZ490)=0,$CQ490&gt;0),"CUSTOM LOC with no locations typed, ",""))</f>
        <v/>
      </c>
      <c r="DK490" s="99">
        <f>IF($A490="","",IF(AND($CH490&gt;0,AND($A490&lt;&gt;"",$C490&lt;&gt;"DOOR ONLY"),$X490="KD",$E490="EXTERIOR"),"KD label on an exterior opening, ","")&amp;IF(AND($E490="EXTERIOR",OR(AND(AND($A490&lt;&gt;"",$C490&lt;&gt;"DOOR ONLY"),$W490="CR"),AND(N($BJ490)&gt;0,$AH490="CR"))),"exterior in CR steel (G9?), ","")&amp;IF(AND(ISNUMBER($BQ490),N($BQ490)&lt;32),"clear width ~"&amp;TEXT($BQ490,"0.0")&amp;CHAR(34)&amp;" under 32"&amp;CHAR(34)&amp;" (ADA), ","")&amp;IF(AND($CH490=90,AND(OR($CE490="FG",$CE490="HG",$CE490="FNV",$CE490="FV"),N($CF490)*N($CG490)&gt;100)),"90 min lite over 100 sq in (stair/exit), ","")&amp;IF(AND($CH490&gt;0,AND($A490&lt;&gt;"",$C490&lt;&gt;"DOOR ONLY"),OR($AF490="",$AF490="-")),"rated: closer reinf.?, ","")&amp;IF(OR($I490="CORRIDOR",$I490="SMOKE BARRIER"),"S label + smoke gasketing, ","")&amp;IF($CI490="?","wall type/hr not in IBC table, ","")&amp;IF(AND(N($BJ490)&gt;0,$BB490=""),"no hardware set, ","")&amp;IF(AND($BB490&lt;&gt;"",ISNA(MATCH($BB490&amp;"",HWSets,0))),"set "&amp;$BB490&amp;" not on HW Sets, ","")&amp;IF(N($BL490)&gt;96,"leaf over 8'-0"&amp;CHAR(34)&amp;" - check listing, ","")&amp;IF(AND($CT490,COUNT($AW490:$AZ490)&gt;0,COUNT($AW490:$AZ490)&lt;&gt;$CQ490),COUNT($AW490:$AZ490)&amp;" custom hinges typed, "&amp;$CQ490&amp;" expected, ","")&amp;IF(AND(ISNUMBER($CA490),OR(N($CA490)&lt;34,N($CA490)&gt;48)),"lock "&amp;TEXT($CA490,"0.0")&amp;CHAR(34)&amp;" AFF outside 34-48"&amp;CHAR(34)&amp;" (ADA), ","")&amp;IF(AND(ISNUMBER($AV490),ISNUMBER($BL490),N($AV490)&lt;IF(N($BL490)&lt;=60,2,IF(N($BL490)&lt;=90,3,IF(N($BL490)&lt;=120,4,5)))),"fewer hinges than standard, ",""))</f>
        <v/>
      </c>
    </row>
    <row r="491" ht="15" customHeight="1">
      <c r="A491" s="77" t="n"/>
      <c r="B491" s="78" t="n"/>
      <c r="C491" s="78" t="n"/>
      <c r="D491" s="78" t="n"/>
      <c r="E491" s="78" t="n"/>
      <c r="F491" s="78" t="n"/>
      <c r="G491" s="78" t="n"/>
      <c r="H491" s="78" t="n"/>
      <c r="I491" s="78" t="n"/>
      <c r="J491" s="78" t="n"/>
      <c r="K491" s="78" t="n"/>
      <c r="L491" s="78" t="n"/>
      <c r="M491" s="78" t="n"/>
      <c r="N491" s="78" t="n"/>
      <c r="O491" s="78" t="n"/>
      <c r="P491" s="78" t="n"/>
      <c r="Q491" s="78" t="n"/>
      <c r="R491" s="78" t="n"/>
      <c r="S491" s="79" t="n"/>
      <c r="T491" s="79" t="n"/>
      <c r="U491" s="79" t="n"/>
      <c r="V491" s="79" t="n"/>
      <c r="W491" s="79" t="n"/>
      <c r="X491" s="79" t="n"/>
      <c r="Y491" s="79" t="n"/>
      <c r="Z491" s="79" t="n"/>
      <c r="AA491" s="79" t="n"/>
      <c r="AB491" s="79" t="n"/>
      <c r="AC491" s="79" t="n"/>
      <c r="AD491" s="79" t="n"/>
      <c r="AE491" s="79" t="n"/>
      <c r="AF491" s="79" t="n"/>
      <c r="AG491" s="79" t="n"/>
      <c r="AH491" s="80" t="n"/>
      <c r="AI491" s="80" t="n"/>
      <c r="AJ491" s="80" t="n"/>
      <c r="AK491" s="80" t="n"/>
      <c r="AL491" s="80" t="n"/>
      <c r="AM491" s="80" t="n"/>
      <c r="AN491" s="80" t="n"/>
      <c r="AO491" s="80" t="n"/>
      <c r="AP491" s="80" t="n"/>
      <c r="AQ491" s="80" t="n"/>
      <c r="AR491" s="80" t="n"/>
      <c r="AS491" s="80" t="n"/>
      <c r="AT491" s="81" t="n"/>
      <c r="AU491" s="81" t="n"/>
      <c r="AV491" s="81" t="n"/>
      <c r="AW491" s="82" t="n"/>
      <c r="AX491" s="82" t="n"/>
      <c r="AY491" s="82" t="n"/>
      <c r="AZ491" s="82" t="n"/>
      <c r="BA491" s="82" t="n"/>
      <c r="BB491" s="83" t="n"/>
      <c r="BC491" s="83" t="n"/>
      <c r="BD491" s="84">
        <f>IF($A491="","",IF($DJ491&lt;&gt;"","FIX",IF($DK491&lt;&gt;"","CHECK","OK")))</f>
        <v/>
      </c>
      <c r="BE491" s="85">
        <f>IF($A491="","",IF($DJ491&lt;&gt;"","FIX: "&amp;LEFT($DJ491,LEN($DJ491)-2)&amp;IF($DK491&lt;&gt;"","  ·  ",""),"")&amp;IF($DK491&lt;&gt;"","CHECK: "&amp;LEFT($DK491,LEN($DK491)-2),""))</f>
        <v/>
      </c>
      <c r="BF491" s="84">
        <f>IF(OR($A491="",$K491=""),"",$K491&amp;"'-"&amp;N($L491)&amp;CHAR(34)&amp;" x "&amp;$M491&amp;"'-"&amp;N($N491)&amp;CHAR(34))</f>
        <v/>
      </c>
      <c r="BG491" s="84">
        <f>IF(OR($A491="",$K491=""),"",$K491&amp;N($L491)&amp;$M491&amp;N($N491))</f>
        <v/>
      </c>
      <c r="BH491" s="84">
        <f>IF(OR($A491="",$K491=""),"",$K491*12+N($L491))</f>
        <v/>
      </c>
      <c r="BI491" s="84">
        <f>IF(OR($A491="",$M491=""),"",$M491*12+N($N491))</f>
        <v/>
      </c>
      <c r="BJ491" s="84">
        <f>IF($A491="","",IF(OR($C491="FRAME ONLY",$S491="BL"),0,IF($O491="Y",2,1)))</f>
        <v/>
      </c>
      <c r="BK491" s="86">
        <f>IF(OR(N($BJ491)=0,$BH491=""),"",($BH491-2*EdgeClr-IF($BJ491=2,MeetClr,0))/$BJ491)</f>
        <v/>
      </c>
      <c r="BL491" s="86">
        <f>IF(OR(N($BJ491)=0,$BI491=""),"",$BI491-HeadClr-Undercut)</f>
        <v/>
      </c>
      <c r="BM491" s="86">
        <f>IF($BH491="","",$BH491+2*FaceW+IF(N($Q491)&gt;0,($Q491+FaceW)*IF($R491="LR",2,1),0))</f>
        <v/>
      </c>
      <c r="BN491" s="86">
        <f>IF($BI491="","",$BI491+IF($AB491="Y",4,FaceW)+IF(N($P491)&gt;0,$P491+FaceW,0)+IF(OR($S491="4F",$S491="BL"),FaceW,0))</f>
        <v/>
      </c>
      <c r="BO491" s="86">
        <f>IF($BM491="","",$BM491+2*ROSide)</f>
        <v/>
      </c>
      <c r="BP491" s="86">
        <f>IF($BN491="","",$BN491+ROTop)</f>
        <v/>
      </c>
      <c r="BQ491" s="87">
        <f>IF(OR(N($BJ491)=0,$BH491=""),"",$BH491/$BJ491-ClearDeduct)</f>
        <v/>
      </c>
      <c r="BR491" s="84">
        <f>IF(N($CH491)=0,"",IF($CH491&gt;=180,"A · 3 HR",IF($CH491&gt;=90,"B · 1-1/2 HR",IF($CH491&gt;=60,"B · 1 HR",IF($CH491&gt;=45,"C · 3/4 HR","20 MIN")))))&amp;IF(AND(N($CH491)&gt;0,OR($I491="CORRIDOR",$I491="SMOKE BARRIER"))," · S","")</f>
        <v/>
      </c>
      <c r="BS491" s="84">
        <f>IF($CS491,"",IF($AV491&lt;&gt;"",$AV491,IF(OR($AC491="HGC",$AO491="HGC"),"CONT",IF(($BI491-HeadClr-Undercut)&lt;=60,2,IF(($BI491-HeadClr-Undercut)&lt;=90,3,IF(($BI491-HeadClr-Undercut)&lt;=120,4,5))))))</f>
        <v/>
      </c>
      <c r="BT491" s="84">
        <f>IF($CS491,"",IF($CT491,"CUSTOM (typed)",IF($CV491,$AT491&amp;" "&amp;$CU491&amp;CHAR(34)&amp;IF($CU491&lt;&gt;$BI491,IF(AND($BI491&lt;$CU491,$BI491-IF(N(VLOOKUP($AT491&amp;"|"&amp;$CU491,LocTable,7,FALSE))&gt;0,VLOOKUP($AT491&amp;"|"&amp;$CU491,LocTable,7,FALSE),VLOOKUP($AT491&amp;"|"&amp;$CU491,LocTable,6,FALSE))-$CR491-0.75&gt;=2.125)," cut down"," adj."),""),"ANSI/SDI A250.6")))</f>
        <v/>
      </c>
      <c r="BU491" s="88">
        <f>IF($CS491,"",IF($CT491,IF(N($AW491)&gt;0,N($AW491),""),IF(1&gt;$CQ491,"",IF($CQ491=1,$CW491,$CW491+($CX491-$CW491)*0/($CQ491-1)))))</f>
        <v/>
      </c>
      <c r="BV491" s="88">
        <f>IF($CS491,"",IF($CT491,IF(N($AX491)&gt;0,N($AX491),""),IF(2&gt;$CQ491,"",IF($CQ491=1,$CW491,$CW491+($CX491-$CW491)*1/($CQ491-1)))))</f>
        <v/>
      </c>
      <c r="BW491" s="88">
        <f>IF($CS491,"",IF($CT491,IF(N($AY491)&gt;0,N($AY491),""),IF(3&gt;$CQ491,"",IF($CQ491=1,$CW491,$CW491+($CX491-$CW491)*2/($CQ491-1)))))</f>
        <v/>
      </c>
      <c r="BX491" s="88">
        <f>IF($CS491,"",IF($CT491,IF(N($AZ491)&gt;0,N($AZ491),""),IF(4&gt;$CQ491,"",IF($CQ491=1,$CW491,$CW491+($CX491-$CW491)*3/($CQ491-1)))))</f>
        <v/>
      </c>
      <c r="BY491" s="88">
        <f>IF($CS491,"",IF($CT491,"",IF(5&gt;$CQ491,"",IF($CQ491=1,$CW491,$CW491+($CX491-$CW491)*4/($CQ491-1)))))</f>
        <v/>
      </c>
      <c r="BZ491" s="88">
        <f>IF(OR($CS491,$AP491="-",AND($AP491="",$AD491="")),"",IF(N($BA491)&gt;0,N($BA491),IF($CV491,IF(AND($BI491&lt;$CU491,$BI491-IF(N(VLOOKUP($AT491&amp;"|"&amp;$CU491,LocTable,7,FALSE))&gt;0,VLOOKUP($AT491&amp;"|"&amp;$CU491,LocTable,7,FALSE),VLOOKUP($AT491&amp;"|"&amp;$CU491,LocTable,6,FALSE))-$CR491-0.75&gt;=2.125),VLOOKUP($AT491&amp;"|"&amp;$CU491,LocTable,8,FALSE),VLOOKUP($AT491&amp;"|"&amp;$CU491,LocTable,8,FALSE)+($BI491-$CU491)),$BI491-LockAFF)))</f>
        <v/>
      </c>
      <c r="CA491" s="89">
        <f>IF($BZ491="","",$BI491-$BZ491)</f>
        <v/>
      </c>
      <c r="CB491" s="84">
        <f>IF(OR(NOT(AND($A491&lt;&gt;"",$C491&lt;&gt;"DOOR ONLY")),$BI491=""),"",IF(($BI491+IF(N($P491)&gt;0,$P491+FaceW,0))&lt;=90,3,IF(($BI491+IF(N($P491)&gt;0,$P491+FaceW,0))&lt;=114,4,5)))</f>
        <v/>
      </c>
      <c r="CC491" s="84">
        <f>IF($CB491="","",$CB491*(2+IF(N($Q491)&gt;0,IF($R491="LR",2,1),0)))</f>
        <v/>
      </c>
      <c r="CD491" s="84">
        <f>IF($CB491="","",(2+IF(N($Q491)&gt;0,IF($R491="LR",2,1),0)))</f>
        <v/>
      </c>
      <c r="CE491" s="84">
        <f>IF(N($BJ491)=0,"",IF(OR($AL491="",$AL491="FLUSH"),"FLUSH",IFERROR(LEFT($AL491,FIND("-",$AL491)-1),LEFT($AL491,2))))</f>
        <v/>
      </c>
      <c r="CF491" s="84">
        <f>IF($CE491="","",IFERROR(VALUE(MID($AL491,FIND("-",$AL491)+1,FIND(CHAR(34)&amp;"x",$AL491)-FIND("-",$AL491)-1)),0))</f>
        <v/>
      </c>
      <c r="CG491" s="84">
        <f>IF($CE491="","",IFERROR(VALUE(MID($AL491,FIND(CHAR(34)&amp;"x",$AL491)+2,FIND(CHAR(34),$AL491,FIND(CHAR(34)&amp;"x",$AL491)+2)-FIND(CHAR(34)&amp;"x",$AL491)-2)),0))</f>
        <v/>
      </c>
      <c r="CH491" s="90">
        <f>IF(OR($A491="",$H491="",$H491="NO LAB"),0,IFERROR(VALUE(LEFT($H491,FIND(" ",$H491)-1)),0))</f>
        <v/>
      </c>
      <c r="CI491" s="91">
        <f>IF(OR($A491="",$I491="",$I491="NON-RATED",N($J491)=0),"",IFERROR(VLOOKUP($I491&amp;"|"&amp;$J491,IBC,2,FALSE),"?"))</f>
        <v/>
      </c>
      <c r="CJ491" s="85">
        <f>IF(NOT(AND($A491&lt;&gt;"",$C491&lt;&gt;"DOOR ONLY")),"",TRIM(IFERROR(VLOOKUP($U491,CODES,2,FALSE),"")&amp;" "&amp;$BG491&amp;" "&amp;IFERROR(VLOOKUP($Z491,CODES,2,FALSE),"")&amp;" "&amp;IFERROR(VLOOKUP($X491,CODES,2,FALSE),"")&amp;" "&amp;IFERROR(VLOOKUP($S491,CODES,2,FALSE),"")&amp;IF(N($P491)&gt;0," w/TRANSOM "&amp;$P491&amp;CHAR(34),"")&amp;IF(N($Q491)&gt;0," w/SIDELITE "&amp;$Q491&amp;CHAR(34)&amp;" "&amp;IF($R491="","R",$R491),"")&amp;IF($Y491="","  |  "," | "&amp;IFERROR(VLOOKUP($Y491,CODES,2,FALSE),"")&amp;" | ")&amp;IFERROR(VLOOKUP($AC491,CODES,2,FALSE),"")&amp;" "&amp;IFERROR(VLOOKUP($AD491,CODES,2,FALSE),"")&amp;IF(OR($AE491="",$AE491="-"),""," "&amp;$AE491)&amp;IF(OR($AF491="",$AF491="-"),""," "&amp;$AF491)&amp;IF($AB491="Y"," 4"&amp;CHAR(34)&amp;" HEAD","")&amp;" "&amp;IFERROR(VLOOKUP($H491,CODES,2,FALSE),"")&amp;IF($CT491," | LOC "&amp;$CY491,"")))</f>
        <v/>
      </c>
      <c r="CK491" s="85">
        <f>IF(NOT(AND($A491&lt;&gt;"",N($BJ491)&gt;0)),"",TRIM(IFERROR(VLOOKUP($AH491,CODES,2,FALSE),"")&amp;IF($AI491=""," "," "&amp;$AI491&amp;"GA ")&amp;$BG491&amp;" "&amp;IF($AN491="",IFERROR(VLOOKUP($Z491,CODES,2,FALSE),""),IFERROR(VLOOKUP($AN491,CODES,2,FALSE),""))&amp;IF($BJ491=2," PAIR","")&amp;" DOOR | "&amp;IF($AL491="","?",$AL491)&amp;" | "&amp;IF($AO491="",IFERROR(VLOOKUP($AC491,CODES,2,FALSE),""),IFERROR(VLOOKUP($AO491,CODES,2,FALSE),""))&amp;" "&amp;IFERROR(VLOOKUP($AP491,CODES,2,FALSE),"")&amp;IF(OR($AQ491="",$AQ491="-"),""," SEAM "&amp;$AQ491)&amp;IF($AR491="Y"," ASTRAGAL","")&amp;IF($AJ491=""," "," "&amp;$AJ491)&amp;IF($AK491=""," "," "&amp;$AK491)&amp;IF(OR($AT491="",$AT491="ANSI/SDI",$AT491="CUSTOM LOC"),""," "&amp;$AT491)&amp;IF($AM491=""," "," SERIES "&amp;$AM491)&amp;" "&amp;IFERROR(VLOOKUP($H491,CODES,2,FALSE),"")&amp;IF($CT491," | LOC "&amp;$CZ491,"")))</f>
        <v/>
      </c>
      <c r="CL491" s="84">
        <f>IF(CP491="","",IF(COUNTIF($CP$6:CP491,CP491)=1,MAX($CL$5:CL490)+1,INDEX($CL$5:CL490,MATCH(CP491,$CP$5:CP490,0))))</f>
        <v/>
      </c>
      <c r="CM491" s="84">
        <f>IF(NOT(AND($A491&lt;&gt;"",$C491&lt;&gt;"DOOR ONLY")),"",MAX($CM$5:CM490)+1)</f>
        <v/>
      </c>
      <c r="CN491" s="84">
        <f>IF(NOT(AND($A491&lt;&gt;"",N($BJ491)&gt;0)),"",MAX($CN$5:CN490)+1)</f>
        <v/>
      </c>
      <c r="CO491" s="84">
        <f>IF($A491="","",MAX($CO$5:CO490)+1)</f>
        <v/>
      </c>
      <c r="CP491" s="84">
        <f>IF(OR($A491="",$BH491="",$BI491=""),"",$BG491&amp;"|"&amp;$O491&amp;"|"&amp;$AL491&amp;"|"&amp;$S491&amp;"|"&amp;$P491&amp;"|"&amp;$Q491&amp;$R491&amp;"|"&amp;$C491&amp;"|"&amp;$AB491)</f>
        <v/>
      </c>
      <c r="CQ491" s="84">
        <f>N($BS491)</f>
        <v/>
      </c>
      <c r="CR491" s="84">
        <f>IF(N($AU491)&gt;0,N($AU491),4.5)</f>
        <v/>
      </c>
      <c r="CS491" s="84">
        <f>OR($A491="",$BI491="",$S491="BL",AND($C491="FRAME ONLY",OR($AC491="",$AC491="BLK")))</f>
        <v/>
      </c>
      <c r="CT491" s="84">
        <f>AND(NOT($CS491),OR($AT491="CUSTOM LOC",N($AW491)+N($AX491)+N($AY491)+N($AZ491)+N($BA491)&gt;0))</f>
        <v/>
      </c>
      <c r="CU491" s="84">
        <f>IF($BI491="","",IF($BI491&lt;=80,80,IF($BI491&lt;=84,84,96)))</f>
        <v/>
      </c>
      <c r="CV491" s="84">
        <f>ISNUMBER(MATCH($AT491&amp;"|80",LocKeys,0))</f>
        <v/>
      </c>
      <c r="CW491" s="86">
        <f>IF($CS491,"",IF($CV491,VLOOKUP($AT491&amp;"|"&amp;$CU491,LocTable,4,FALSE),5))</f>
        <v/>
      </c>
      <c r="CX491" s="86">
        <f>IF($CS491,"",IF($CV491,IF(OR($BI491=$CU491,AND($BI491&lt;$CU491,$BI491-IF(N(VLOOKUP($AT491&amp;"|"&amp;$CU491,LocTable,7,FALSE))&gt;0,VLOOKUP($AT491&amp;"|"&amp;$CU491,LocTable,7,FALSE),VLOOKUP($AT491&amp;"|"&amp;$CU491,LocTable,6,FALSE))-$CR491-0.75&gt;=2.125)),IF(N(VLOOKUP($AT491&amp;"|"&amp;$CU491,LocTable,7,FALSE))&gt;0,VLOOKUP($AT491&amp;"|"&amp;$CU491,LocTable,7,FALSE),VLOOKUP($AT491&amp;"|"&amp;$CU491,LocTable,6,FALSE)),$BI491-($CU491-IF(N(VLOOKUP($AT491&amp;"|"&amp;$CU491,LocTable,7,FALSE))&gt;0,VLOOKUP($AT491&amp;"|"&amp;$CU491,LocTable,7,FALSE),VLOOKUP($AT491&amp;"|"&amp;$CU491,LocTable,6,FALSE)))),$BI491-10-$CR491))</f>
        <v/>
      </c>
      <c r="CY491" s="85">
        <f>IF($CS491,"",TRIM(IF(ISNUMBER($BU491),"A "&amp;TRIM(TEXT($BU491,"# ?/??"))&amp;CHAR(34)&amp;"  ","")&amp;IF(ISNUMBER($BV491),"B "&amp;TRIM(TEXT($BV491,"# ?/??"))&amp;CHAR(34)&amp;"  ","")&amp;IF(ISNUMBER($BW491),"C "&amp;TRIM(TEXT($BW491,"# ?/??"))&amp;CHAR(34)&amp;"  ","")&amp;IF(ISNUMBER($BX491),"D "&amp;TRIM(TEXT($BX491,"# ?/??"))&amp;CHAR(34)&amp;"  ","")&amp;IF(ISNUMBER($BY491),"F "&amp;TRIM(TEXT($BY491,"# ?/??"))&amp;CHAR(34)&amp;"  ","")&amp;IF(ISNUMBER($BZ491),"E "&amp;TRIM(TEXT($BZ491,"# ?/??"))&amp;CHAR(34)&amp;"  ","")))</f>
        <v/>
      </c>
      <c r="CZ491" s="85">
        <f>IF(OR($CS491,N($BJ491)=0),"",TRIM(IF(ISNUMBER($BU491),"A "&amp;TRIM(TEXT($BU491-HeadClr,"# ?/??"))&amp;CHAR(34)&amp;"  ","")&amp;IF(ISNUMBER($BV491),"B "&amp;TRIM(TEXT($BV491-HeadClr,"# ?/??"))&amp;CHAR(34)&amp;"  ","")&amp;IF(ISNUMBER($BW491),"C "&amp;TRIM(TEXT($BW491-HeadClr,"# ?/??"))&amp;CHAR(34)&amp;"  ","")&amp;IF(ISNUMBER($BX491),"D "&amp;TRIM(TEXT($BX491-HeadClr,"# ?/??"))&amp;CHAR(34)&amp;"  ","")&amp;IF(ISNUMBER($BY491),"F "&amp;TRIM(TEXT($BY491-HeadClr,"# ?/??"))&amp;CHAR(34)&amp;"  ","")&amp;IF(ISNUMBER($BZ491),"E "&amp;TRIM(TEXT($BZ491-HeadClr,"# ?/??"))&amp;CHAR(34)&amp;"  ","")))</f>
        <v/>
      </c>
      <c r="DA491" s="84">
        <f>IF($A491="","",IF($AN491="",IFERROR(VLOOKUP($Z491,CODES,2,FALSE),""),IFERROR(VLOOKUP($AN491,CODES,2,FALSE),"")))</f>
        <v/>
      </c>
      <c r="DB491" s="84">
        <f>IF($A491="","",IF($O491="Y","PR",IF(OR($Z491="L",$Z491="RR",LEFT($Z491,2)="L-",LEFT($Z491,3)="RR-"),"LH","RH")))</f>
        <v/>
      </c>
      <c r="DC491" s="84">
        <f>IF($A491="","","S.HM"&amp;IF(OR($C491="DOOR ONLY",$X491&lt;&gt;"KD"),"MASONRY","DRYWALL")&amp;IF($C491="DOOR ONLY","",$U491)&amp;IF(AND($C491&lt;&gt;"FRAME ONLY",OR(LEFT($AH491,3)="OAK",LEFT($AH491,3)="BIR",LEFT($AH491,3)="MAP",$AH491="PC",$AH491="MC",$AH491="SCLC",$AH491="P-LAM")),"WD","HM")&amp;"1.75")</f>
        <v/>
      </c>
      <c r="DD491" s="84">
        <f>IF($CJ491="","",IF($O491="Y",$CJ491,SUBSTITUTE($CJ491,$BG491&amp;" "&amp;IFERROR(VLOOKUP($Z491,CODES,2,FALSE),"")&amp;" ",$BG491&amp;" ")))</f>
        <v/>
      </c>
      <c r="DE491" s="84">
        <f>IF($CK491="","",IF($O491="Y",$CK491,SUBSTITUTE($CK491,$BG491&amp;" "&amp;IF($AN491="",IFERROR(VLOOKUP($Z491,CODES,2,FALSE),""),IFERROR(VLOOKUP($AN491,CODES,2,FALSE),""))&amp;" ",$BG491&amp;" ")))</f>
        <v/>
      </c>
      <c r="DF491" s="84">
        <f>IF($CJ491="","",$DC491&amp;"|"&amp;$DD491&amp;"|"&amp;$DB491&amp;"|"&amp;$AT491&amp;"|"&amp;$V491&amp;"|"&amp;$Y491&amp;"|"&amp;$AB491)</f>
        <v/>
      </c>
      <c r="DG491" s="84">
        <f>IF(DF491="","",IF(COUNTIF($DF$6:DF491,DF491)=1,MAX($DG$5:DG490)+1,INDEX($DG$5:DG490,MATCH(DF491,$DF$5:DF490,0))))</f>
        <v/>
      </c>
      <c r="DH491" s="84">
        <f>IF($CK491="","",$DC491&amp;"|"&amp;$DE491&amp;"|"&amp;$AI491&amp;"|"&amp;$BK491&amp;"|"&amp;$BL491)</f>
        <v/>
      </c>
      <c r="DI491" s="84">
        <f>IF(DH491="","",IF(COUNTIF($DH$6:DH491,DH491)=1,MAX($DI$5:DI490)+1,INDEX($DI$5:DI490,MATCH(DH491,$DH$5:DH490,0))))</f>
        <v/>
      </c>
      <c r="DJ491" s="84">
        <f>IF($A491="","",IF($B491="","qty, ","")&amp;IF($C491="","scope, ","")&amp;IF(OR($K491="",$M491=""),"size, ","")&amp;IF(AND($A491&lt;&gt;"",$C491&lt;&gt;"DOOR ONLY"),IF($U491="","jamb depth, ","")&amp;IF($X491="","construction, ","")&amp;IF($Y491="","anchor, ","")&amp;IF($S491="","frame type, ",""),"")&amp;IF(AND(N($BJ491)&gt;0,$Z491=""),"hand, ","")&amp;IF(N($BJ491)&gt;0,IF($AH491="","door material, ","")&amp;IF($AL491="","face type, ","")&amp;IF($AP491="","lock prep, ","")&amp;IF(AND($AO491="",$AC491=""),"hinge prep, ",""),"")&amp;IF(AND($CH491&gt;0,$AH491="FRP"),"FRP cannot carry a label, ","")&amp;IF(AND($O491="Y",OR($Z491="L",$Z491="R",$Z491="LR",$Z491="RR")),"pair marked but hand is single, ","")&amp;IF(AND($O491&lt;&gt;"Y",OR($Z491="PR",AND(LEN($Z491)&gt;1,ISNUMBER(SEARCH("-",$Z491))))),"pair hand on a single door, ","")&amp;IF(AND(ISNUMBER($CI491),$CH491&lt;N($CI491)),"wall needs a "&amp;$CI491&amp;" min door, ","")&amp;IF(AND($CH491&gt;=180,AND(OR($CE491="FG",$CE491="HG",$CE491="FNV",$CE491="FV"),N($CF491)*N($CG491)&gt;100)),"180 min lite over 100 sq in, ","")&amp;IF(N($BK491)&gt;48,"leaf wider than 4'-0"&amp;CHAR(34)&amp;", ","")&amp;IF(AND($CT491,COUNT($AW491:$AZ491)=0,$CQ491&gt;0),"CUSTOM LOC with no locations typed, ",""))</f>
        <v/>
      </c>
      <c r="DK491" s="84">
        <f>IF($A491="","",IF(AND($CH491&gt;0,AND($A491&lt;&gt;"",$C491&lt;&gt;"DOOR ONLY"),$X491="KD",$E491="EXTERIOR"),"KD label on an exterior opening, ","")&amp;IF(AND($E491="EXTERIOR",OR(AND(AND($A491&lt;&gt;"",$C491&lt;&gt;"DOOR ONLY"),$W491="CR"),AND(N($BJ491)&gt;0,$AH491="CR"))),"exterior in CR steel (G9?), ","")&amp;IF(AND(ISNUMBER($BQ491),N($BQ491)&lt;32),"clear width ~"&amp;TEXT($BQ491,"0.0")&amp;CHAR(34)&amp;" under 32"&amp;CHAR(34)&amp;" (ADA), ","")&amp;IF(AND($CH491=90,AND(OR($CE491="FG",$CE491="HG",$CE491="FNV",$CE491="FV"),N($CF491)*N($CG491)&gt;100)),"90 min lite over 100 sq in (stair/exit), ","")&amp;IF(AND($CH491&gt;0,AND($A491&lt;&gt;"",$C491&lt;&gt;"DOOR ONLY"),OR($AF491="",$AF491="-")),"rated: closer reinf.?, ","")&amp;IF(OR($I491="CORRIDOR",$I491="SMOKE BARRIER"),"S label + smoke gasketing, ","")&amp;IF($CI491="?","wall type/hr not in IBC table, ","")&amp;IF(AND(N($BJ491)&gt;0,$BB491=""),"no hardware set, ","")&amp;IF(AND($BB491&lt;&gt;"",ISNA(MATCH($BB491&amp;"",HWSets,0))),"set "&amp;$BB491&amp;" not on HW Sets, ","")&amp;IF(N($BL491)&gt;96,"leaf over 8'-0"&amp;CHAR(34)&amp;" - check listing, ","")&amp;IF(AND($CT491,COUNT($AW491:$AZ491)&gt;0,COUNT($AW491:$AZ491)&lt;&gt;$CQ491),COUNT($AW491:$AZ491)&amp;" custom hinges typed, "&amp;$CQ491&amp;" expected, ","")&amp;IF(AND(ISNUMBER($CA491),OR(N($CA491)&lt;34,N($CA491)&gt;48)),"lock "&amp;TEXT($CA491,"0.0")&amp;CHAR(34)&amp;" AFF outside 34-48"&amp;CHAR(34)&amp;" (ADA), ","")&amp;IF(AND(ISNUMBER($AV491),ISNUMBER($BL491),N($AV491)&lt;IF(N($BL491)&lt;=60,2,IF(N($BL491)&lt;=90,3,IF(N($BL491)&lt;=120,4,5)))),"fewer hinges than standard, ",""))</f>
        <v/>
      </c>
    </row>
    <row r="492" ht="15" customHeight="1">
      <c r="A492" s="77" t="n"/>
      <c r="B492" s="78" t="n"/>
      <c r="C492" s="78" t="n"/>
      <c r="D492" s="78" t="n"/>
      <c r="E492" s="78" t="n"/>
      <c r="F492" s="78" t="n"/>
      <c r="G492" s="78" t="n"/>
      <c r="H492" s="78" t="n"/>
      <c r="I492" s="78" t="n"/>
      <c r="J492" s="78" t="n"/>
      <c r="K492" s="78" t="n"/>
      <c r="L492" s="78" t="n"/>
      <c r="M492" s="78" t="n"/>
      <c r="N492" s="78" t="n"/>
      <c r="O492" s="78" t="n"/>
      <c r="P492" s="78" t="n"/>
      <c r="Q492" s="78" t="n"/>
      <c r="R492" s="78" t="n"/>
      <c r="S492" s="79" t="n"/>
      <c r="T492" s="79" t="n"/>
      <c r="U492" s="79" t="n"/>
      <c r="V492" s="79" t="n"/>
      <c r="W492" s="79" t="n"/>
      <c r="X492" s="79" t="n"/>
      <c r="Y492" s="79" t="n"/>
      <c r="Z492" s="79" t="n"/>
      <c r="AA492" s="79" t="n"/>
      <c r="AB492" s="79" t="n"/>
      <c r="AC492" s="79" t="n"/>
      <c r="AD492" s="79" t="n"/>
      <c r="AE492" s="79" t="n"/>
      <c r="AF492" s="79" t="n"/>
      <c r="AG492" s="79" t="n"/>
      <c r="AH492" s="80" t="n"/>
      <c r="AI492" s="80" t="n"/>
      <c r="AJ492" s="80" t="n"/>
      <c r="AK492" s="80" t="n"/>
      <c r="AL492" s="80" t="n"/>
      <c r="AM492" s="80" t="n"/>
      <c r="AN492" s="80" t="n"/>
      <c r="AO492" s="80" t="n"/>
      <c r="AP492" s="80" t="n"/>
      <c r="AQ492" s="80" t="n"/>
      <c r="AR492" s="80" t="n"/>
      <c r="AS492" s="80" t="n"/>
      <c r="AT492" s="81" t="n"/>
      <c r="AU492" s="81" t="n"/>
      <c r="AV492" s="81" t="n"/>
      <c r="AW492" s="82" t="n"/>
      <c r="AX492" s="82" t="n"/>
      <c r="AY492" s="82" t="n"/>
      <c r="AZ492" s="82" t="n"/>
      <c r="BA492" s="82" t="n"/>
      <c r="BB492" s="83" t="n"/>
      <c r="BC492" s="83" t="n"/>
      <c r="BD492" s="84">
        <f>IF($A492="","",IF($DJ492&lt;&gt;"","FIX",IF($DK492&lt;&gt;"","CHECK","OK")))</f>
        <v/>
      </c>
      <c r="BE492" s="85">
        <f>IF($A492="","",IF($DJ492&lt;&gt;"","FIX: "&amp;LEFT($DJ492,LEN($DJ492)-2)&amp;IF($DK492&lt;&gt;"","  ·  ",""),"")&amp;IF($DK492&lt;&gt;"","CHECK: "&amp;LEFT($DK492,LEN($DK492)-2),""))</f>
        <v/>
      </c>
      <c r="BF492" s="84">
        <f>IF(OR($A492="",$K492=""),"",$K492&amp;"'-"&amp;N($L492)&amp;CHAR(34)&amp;" x "&amp;$M492&amp;"'-"&amp;N($N492)&amp;CHAR(34))</f>
        <v/>
      </c>
      <c r="BG492" s="84">
        <f>IF(OR($A492="",$K492=""),"",$K492&amp;N($L492)&amp;$M492&amp;N($N492))</f>
        <v/>
      </c>
      <c r="BH492" s="84">
        <f>IF(OR($A492="",$K492=""),"",$K492*12+N($L492))</f>
        <v/>
      </c>
      <c r="BI492" s="84">
        <f>IF(OR($A492="",$M492=""),"",$M492*12+N($N492))</f>
        <v/>
      </c>
      <c r="BJ492" s="84">
        <f>IF($A492="","",IF(OR($C492="FRAME ONLY",$S492="BL"),0,IF($O492="Y",2,1)))</f>
        <v/>
      </c>
      <c r="BK492" s="86">
        <f>IF(OR(N($BJ492)=0,$BH492=""),"",($BH492-2*EdgeClr-IF($BJ492=2,MeetClr,0))/$BJ492)</f>
        <v/>
      </c>
      <c r="BL492" s="86">
        <f>IF(OR(N($BJ492)=0,$BI492=""),"",$BI492-HeadClr-Undercut)</f>
        <v/>
      </c>
      <c r="BM492" s="86">
        <f>IF($BH492="","",$BH492+2*FaceW+IF(N($Q492)&gt;0,($Q492+FaceW)*IF($R492="LR",2,1),0))</f>
        <v/>
      </c>
      <c r="BN492" s="86">
        <f>IF($BI492="","",$BI492+IF($AB492="Y",4,FaceW)+IF(N($P492)&gt;0,$P492+FaceW,0)+IF(OR($S492="4F",$S492="BL"),FaceW,0))</f>
        <v/>
      </c>
      <c r="BO492" s="86">
        <f>IF($BM492="","",$BM492+2*ROSide)</f>
        <v/>
      </c>
      <c r="BP492" s="86">
        <f>IF($BN492="","",$BN492+ROTop)</f>
        <v/>
      </c>
      <c r="BQ492" s="87">
        <f>IF(OR(N($BJ492)=0,$BH492=""),"",$BH492/$BJ492-ClearDeduct)</f>
        <v/>
      </c>
      <c r="BR492" s="84">
        <f>IF(N($CH492)=0,"",IF($CH492&gt;=180,"A · 3 HR",IF($CH492&gt;=90,"B · 1-1/2 HR",IF($CH492&gt;=60,"B · 1 HR",IF($CH492&gt;=45,"C · 3/4 HR","20 MIN")))))&amp;IF(AND(N($CH492)&gt;0,OR($I492="CORRIDOR",$I492="SMOKE BARRIER"))," · S","")</f>
        <v/>
      </c>
      <c r="BS492" s="84">
        <f>IF($CS492,"",IF($AV492&lt;&gt;"",$AV492,IF(OR($AC492="HGC",$AO492="HGC"),"CONT",IF(($BI492-HeadClr-Undercut)&lt;=60,2,IF(($BI492-HeadClr-Undercut)&lt;=90,3,IF(($BI492-HeadClr-Undercut)&lt;=120,4,5))))))</f>
        <v/>
      </c>
      <c r="BT492" s="84">
        <f>IF($CS492,"",IF($CT492,"CUSTOM (typed)",IF($CV492,$AT492&amp;" "&amp;$CU492&amp;CHAR(34)&amp;IF($CU492&lt;&gt;$BI492,IF(AND($BI492&lt;$CU492,$BI492-IF(N(VLOOKUP($AT492&amp;"|"&amp;$CU492,LocTable,7,FALSE))&gt;0,VLOOKUP($AT492&amp;"|"&amp;$CU492,LocTable,7,FALSE),VLOOKUP($AT492&amp;"|"&amp;$CU492,LocTable,6,FALSE))-$CR492-0.75&gt;=2.125)," cut down"," adj."),""),"ANSI/SDI A250.6")))</f>
        <v/>
      </c>
      <c r="BU492" s="88">
        <f>IF($CS492,"",IF($CT492,IF(N($AW492)&gt;0,N($AW492),""),IF(1&gt;$CQ492,"",IF($CQ492=1,$CW492,$CW492+($CX492-$CW492)*0/($CQ492-1)))))</f>
        <v/>
      </c>
      <c r="BV492" s="88">
        <f>IF($CS492,"",IF($CT492,IF(N($AX492)&gt;0,N($AX492),""),IF(2&gt;$CQ492,"",IF($CQ492=1,$CW492,$CW492+($CX492-$CW492)*1/($CQ492-1)))))</f>
        <v/>
      </c>
      <c r="BW492" s="88">
        <f>IF($CS492,"",IF($CT492,IF(N($AY492)&gt;0,N($AY492),""),IF(3&gt;$CQ492,"",IF($CQ492=1,$CW492,$CW492+($CX492-$CW492)*2/($CQ492-1)))))</f>
        <v/>
      </c>
      <c r="BX492" s="88">
        <f>IF($CS492,"",IF($CT492,IF(N($AZ492)&gt;0,N($AZ492),""),IF(4&gt;$CQ492,"",IF($CQ492=1,$CW492,$CW492+($CX492-$CW492)*3/($CQ492-1)))))</f>
        <v/>
      </c>
      <c r="BY492" s="88">
        <f>IF($CS492,"",IF($CT492,"",IF(5&gt;$CQ492,"",IF($CQ492=1,$CW492,$CW492+($CX492-$CW492)*4/($CQ492-1)))))</f>
        <v/>
      </c>
      <c r="BZ492" s="88">
        <f>IF(OR($CS492,$AP492="-",AND($AP492="",$AD492="")),"",IF(N($BA492)&gt;0,N($BA492),IF($CV492,IF(AND($BI492&lt;$CU492,$BI492-IF(N(VLOOKUP($AT492&amp;"|"&amp;$CU492,LocTable,7,FALSE))&gt;0,VLOOKUP($AT492&amp;"|"&amp;$CU492,LocTable,7,FALSE),VLOOKUP($AT492&amp;"|"&amp;$CU492,LocTable,6,FALSE))-$CR492-0.75&gt;=2.125),VLOOKUP($AT492&amp;"|"&amp;$CU492,LocTable,8,FALSE),VLOOKUP($AT492&amp;"|"&amp;$CU492,LocTable,8,FALSE)+($BI492-$CU492)),$BI492-LockAFF)))</f>
        <v/>
      </c>
      <c r="CA492" s="89">
        <f>IF($BZ492="","",$BI492-$BZ492)</f>
        <v/>
      </c>
      <c r="CB492" s="84">
        <f>IF(OR(NOT(AND($A492&lt;&gt;"",$C492&lt;&gt;"DOOR ONLY")),$BI492=""),"",IF(($BI492+IF(N($P492)&gt;0,$P492+FaceW,0))&lt;=90,3,IF(($BI492+IF(N($P492)&gt;0,$P492+FaceW,0))&lt;=114,4,5)))</f>
        <v/>
      </c>
      <c r="CC492" s="84">
        <f>IF($CB492="","",$CB492*(2+IF(N($Q492)&gt;0,IF($R492="LR",2,1),0)))</f>
        <v/>
      </c>
      <c r="CD492" s="84">
        <f>IF($CB492="","",(2+IF(N($Q492)&gt;0,IF($R492="LR",2,1),0)))</f>
        <v/>
      </c>
      <c r="CE492" s="84">
        <f>IF(N($BJ492)=0,"",IF(OR($AL492="",$AL492="FLUSH"),"FLUSH",IFERROR(LEFT($AL492,FIND("-",$AL492)-1),LEFT($AL492,2))))</f>
        <v/>
      </c>
      <c r="CF492" s="84">
        <f>IF($CE492="","",IFERROR(VALUE(MID($AL492,FIND("-",$AL492)+1,FIND(CHAR(34)&amp;"x",$AL492)-FIND("-",$AL492)-1)),0))</f>
        <v/>
      </c>
      <c r="CG492" s="84">
        <f>IF($CE492="","",IFERROR(VALUE(MID($AL492,FIND(CHAR(34)&amp;"x",$AL492)+2,FIND(CHAR(34),$AL492,FIND(CHAR(34)&amp;"x",$AL492)+2)-FIND(CHAR(34)&amp;"x",$AL492)-2)),0))</f>
        <v/>
      </c>
      <c r="CH492" s="90">
        <f>IF(OR($A492="",$H492="",$H492="NO LAB"),0,IFERROR(VALUE(LEFT($H492,FIND(" ",$H492)-1)),0))</f>
        <v/>
      </c>
      <c r="CI492" s="91">
        <f>IF(OR($A492="",$I492="",$I492="NON-RATED",N($J492)=0),"",IFERROR(VLOOKUP($I492&amp;"|"&amp;$J492,IBC,2,FALSE),"?"))</f>
        <v/>
      </c>
      <c r="CJ492" s="85">
        <f>IF(NOT(AND($A492&lt;&gt;"",$C492&lt;&gt;"DOOR ONLY")),"",TRIM(IFERROR(VLOOKUP($U492,CODES,2,FALSE),"")&amp;" "&amp;$BG492&amp;" "&amp;IFERROR(VLOOKUP($Z492,CODES,2,FALSE),"")&amp;" "&amp;IFERROR(VLOOKUP($X492,CODES,2,FALSE),"")&amp;" "&amp;IFERROR(VLOOKUP($S492,CODES,2,FALSE),"")&amp;IF(N($P492)&gt;0," w/TRANSOM "&amp;$P492&amp;CHAR(34),"")&amp;IF(N($Q492)&gt;0," w/SIDELITE "&amp;$Q492&amp;CHAR(34)&amp;" "&amp;IF($R492="","R",$R492),"")&amp;IF($Y492="","  |  "," | "&amp;IFERROR(VLOOKUP($Y492,CODES,2,FALSE),"")&amp;" | ")&amp;IFERROR(VLOOKUP($AC492,CODES,2,FALSE),"")&amp;" "&amp;IFERROR(VLOOKUP($AD492,CODES,2,FALSE),"")&amp;IF(OR($AE492="",$AE492="-"),""," "&amp;$AE492)&amp;IF(OR($AF492="",$AF492="-"),""," "&amp;$AF492)&amp;IF($AB492="Y"," 4"&amp;CHAR(34)&amp;" HEAD","")&amp;" "&amp;IFERROR(VLOOKUP($H492,CODES,2,FALSE),"")&amp;IF($CT492," | LOC "&amp;$CY492,"")))</f>
        <v/>
      </c>
      <c r="CK492" s="85">
        <f>IF(NOT(AND($A492&lt;&gt;"",N($BJ492)&gt;0)),"",TRIM(IFERROR(VLOOKUP($AH492,CODES,2,FALSE),"")&amp;IF($AI492=""," "," "&amp;$AI492&amp;"GA ")&amp;$BG492&amp;" "&amp;IF($AN492="",IFERROR(VLOOKUP($Z492,CODES,2,FALSE),""),IFERROR(VLOOKUP($AN492,CODES,2,FALSE),""))&amp;IF($BJ492=2," PAIR","")&amp;" DOOR | "&amp;IF($AL492="","?",$AL492)&amp;" | "&amp;IF($AO492="",IFERROR(VLOOKUP($AC492,CODES,2,FALSE),""),IFERROR(VLOOKUP($AO492,CODES,2,FALSE),""))&amp;" "&amp;IFERROR(VLOOKUP($AP492,CODES,2,FALSE),"")&amp;IF(OR($AQ492="",$AQ492="-"),""," SEAM "&amp;$AQ492)&amp;IF($AR492="Y"," ASTRAGAL","")&amp;IF($AJ492=""," "," "&amp;$AJ492)&amp;IF($AK492=""," "," "&amp;$AK492)&amp;IF(OR($AT492="",$AT492="ANSI/SDI",$AT492="CUSTOM LOC"),""," "&amp;$AT492)&amp;IF($AM492=""," "," SERIES "&amp;$AM492)&amp;" "&amp;IFERROR(VLOOKUP($H492,CODES,2,FALSE),"")&amp;IF($CT492," | LOC "&amp;$CZ492,"")))</f>
        <v/>
      </c>
      <c r="CL492" s="84">
        <f>IF(CP492="","",IF(COUNTIF($CP$6:CP492,CP492)=1,MAX($CL$5:CL491)+1,INDEX($CL$5:CL491,MATCH(CP492,$CP$5:CP491,0))))</f>
        <v/>
      </c>
      <c r="CM492" s="84">
        <f>IF(NOT(AND($A492&lt;&gt;"",$C492&lt;&gt;"DOOR ONLY")),"",MAX($CM$5:CM491)+1)</f>
        <v/>
      </c>
      <c r="CN492" s="84">
        <f>IF(NOT(AND($A492&lt;&gt;"",N($BJ492)&gt;0)),"",MAX($CN$5:CN491)+1)</f>
        <v/>
      </c>
      <c r="CO492" s="84">
        <f>IF($A492="","",MAX($CO$5:CO491)+1)</f>
        <v/>
      </c>
      <c r="CP492" s="84">
        <f>IF(OR($A492="",$BH492="",$BI492=""),"",$BG492&amp;"|"&amp;$O492&amp;"|"&amp;$AL492&amp;"|"&amp;$S492&amp;"|"&amp;$P492&amp;"|"&amp;$Q492&amp;$R492&amp;"|"&amp;$C492&amp;"|"&amp;$AB492)</f>
        <v/>
      </c>
      <c r="CQ492" s="84">
        <f>N($BS492)</f>
        <v/>
      </c>
      <c r="CR492" s="84">
        <f>IF(N($AU492)&gt;0,N($AU492),4.5)</f>
        <v/>
      </c>
      <c r="CS492" s="84">
        <f>OR($A492="",$BI492="",$S492="BL",AND($C492="FRAME ONLY",OR($AC492="",$AC492="BLK")))</f>
        <v/>
      </c>
      <c r="CT492" s="84">
        <f>AND(NOT($CS492),OR($AT492="CUSTOM LOC",N($AW492)+N($AX492)+N($AY492)+N($AZ492)+N($BA492)&gt;0))</f>
        <v/>
      </c>
      <c r="CU492" s="84">
        <f>IF($BI492="","",IF($BI492&lt;=80,80,IF($BI492&lt;=84,84,96)))</f>
        <v/>
      </c>
      <c r="CV492" s="84">
        <f>ISNUMBER(MATCH($AT492&amp;"|80",LocKeys,0))</f>
        <v/>
      </c>
      <c r="CW492" s="86">
        <f>IF($CS492,"",IF($CV492,VLOOKUP($AT492&amp;"|"&amp;$CU492,LocTable,4,FALSE),5))</f>
        <v/>
      </c>
      <c r="CX492" s="86">
        <f>IF($CS492,"",IF($CV492,IF(OR($BI492=$CU492,AND($BI492&lt;$CU492,$BI492-IF(N(VLOOKUP($AT492&amp;"|"&amp;$CU492,LocTable,7,FALSE))&gt;0,VLOOKUP($AT492&amp;"|"&amp;$CU492,LocTable,7,FALSE),VLOOKUP($AT492&amp;"|"&amp;$CU492,LocTable,6,FALSE))-$CR492-0.75&gt;=2.125)),IF(N(VLOOKUP($AT492&amp;"|"&amp;$CU492,LocTable,7,FALSE))&gt;0,VLOOKUP($AT492&amp;"|"&amp;$CU492,LocTable,7,FALSE),VLOOKUP($AT492&amp;"|"&amp;$CU492,LocTable,6,FALSE)),$BI492-($CU492-IF(N(VLOOKUP($AT492&amp;"|"&amp;$CU492,LocTable,7,FALSE))&gt;0,VLOOKUP($AT492&amp;"|"&amp;$CU492,LocTable,7,FALSE),VLOOKUP($AT492&amp;"|"&amp;$CU492,LocTable,6,FALSE)))),$BI492-10-$CR492))</f>
        <v/>
      </c>
      <c r="CY492" s="85">
        <f>IF($CS492,"",TRIM(IF(ISNUMBER($BU492),"A "&amp;TRIM(TEXT($BU492,"# ?/??"))&amp;CHAR(34)&amp;"  ","")&amp;IF(ISNUMBER($BV492),"B "&amp;TRIM(TEXT($BV492,"# ?/??"))&amp;CHAR(34)&amp;"  ","")&amp;IF(ISNUMBER($BW492),"C "&amp;TRIM(TEXT($BW492,"# ?/??"))&amp;CHAR(34)&amp;"  ","")&amp;IF(ISNUMBER($BX492),"D "&amp;TRIM(TEXT($BX492,"# ?/??"))&amp;CHAR(34)&amp;"  ","")&amp;IF(ISNUMBER($BY492),"F "&amp;TRIM(TEXT($BY492,"# ?/??"))&amp;CHAR(34)&amp;"  ","")&amp;IF(ISNUMBER($BZ492),"E "&amp;TRIM(TEXT($BZ492,"# ?/??"))&amp;CHAR(34)&amp;"  ","")))</f>
        <v/>
      </c>
      <c r="CZ492" s="85">
        <f>IF(OR($CS492,N($BJ492)=0),"",TRIM(IF(ISNUMBER($BU492),"A "&amp;TRIM(TEXT($BU492-HeadClr,"# ?/??"))&amp;CHAR(34)&amp;"  ","")&amp;IF(ISNUMBER($BV492),"B "&amp;TRIM(TEXT($BV492-HeadClr,"# ?/??"))&amp;CHAR(34)&amp;"  ","")&amp;IF(ISNUMBER($BW492),"C "&amp;TRIM(TEXT($BW492-HeadClr,"# ?/??"))&amp;CHAR(34)&amp;"  ","")&amp;IF(ISNUMBER($BX492),"D "&amp;TRIM(TEXT($BX492-HeadClr,"# ?/??"))&amp;CHAR(34)&amp;"  ","")&amp;IF(ISNUMBER($BY492),"F "&amp;TRIM(TEXT($BY492-HeadClr,"# ?/??"))&amp;CHAR(34)&amp;"  ","")&amp;IF(ISNUMBER($BZ492),"E "&amp;TRIM(TEXT($BZ492-HeadClr,"# ?/??"))&amp;CHAR(34)&amp;"  ","")))</f>
        <v/>
      </c>
      <c r="DA492" s="84">
        <f>IF($A492="","",IF($AN492="",IFERROR(VLOOKUP($Z492,CODES,2,FALSE),""),IFERROR(VLOOKUP($AN492,CODES,2,FALSE),"")))</f>
        <v/>
      </c>
      <c r="DB492" s="84">
        <f>IF($A492="","",IF($O492="Y","PR",IF(OR($Z492="L",$Z492="RR",LEFT($Z492,2)="L-",LEFT($Z492,3)="RR-"),"LH","RH")))</f>
        <v/>
      </c>
      <c r="DC492" s="84">
        <f>IF($A492="","","S.HM"&amp;IF(OR($C492="DOOR ONLY",$X492&lt;&gt;"KD"),"MASONRY","DRYWALL")&amp;IF($C492="DOOR ONLY","",$U492)&amp;IF(AND($C492&lt;&gt;"FRAME ONLY",OR(LEFT($AH492,3)="OAK",LEFT($AH492,3)="BIR",LEFT($AH492,3)="MAP",$AH492="PC",$AH492="MC",$AH492="SCLC",$AH492="P-LAM")),"WD","HM")&amp;"1.75")</f>
        <v/>
      </c>
      <c r="DD492" s="84">
        <f>IF($CJ492="","",IF($O492="Y",$CJ492,SUBSTITUTE($CJ492,$BG492&amp;" "&amp;IFERROR(VLOOKUP($Z492,CODES,2,FALSE),"")&amp;" ",$BG492&amp;" ")))</f>
        <v/>
      </c>
      <c r="DE492" s="84">
        <f>IF($CK492="","",IF($O492="Y",$CK492,SUBSTITUTE($CK492,$BG492&amp;" "&amp;IF($AN492="",IFERROR(VLOOKUP($Z492,CODES,2,FALSE),""),IFERROR(VLOOKUP($AN492,CODES,2,FALSE),""))&amp;" ",$BG492&amp;" ")))</f>
        <v/>
      </c>
      <c r="DF492" s="84">
        <f>IF($CJ492="","",$DC492&amp;"|"&amp;$DD492&amp;"|"&amp;$DB492&amp;"|"&amp;$AT492&amp;"|"&amp;$V492&amp;"|"&amp;$Y492&amp;"|"&amp;$AB492)</f>
        <v/>
      </c>
      <c r="DG492" s="84">
        <f>IF(DF492="","",IF(COUNTIF($DF$6:DF492,DF492)=1,MAX($DG$5:DG491)+1,INDEX($DG$5:DG491,MATCH(DF492,$DF$5:DF491,0))))</f>
        <v/>
      </c>
      <c r="DH492" s="84">
        <f>IF($CK492="","",$DC492&amp;"|"&amp;$DE492&amp;"|"&amp;$AI492&amp;"|"&amp;$BK492&amp;"|"&amp;$BL492)</f>
        <v/>
      </c>
      <c r="DI492" s="84">
        <f>IF(DH492="","",IF(COUNTIF($DH$6:DH492,DH492)=1,MAX($DI$5:DI491)+1,INDEX($DI$5:DI491,MATCH(DH492,$DH$5:DH491,0))))</f>
        <v/>
      </c>
      <c r="DJ492" s="84">
        <f>IF($A492="","",IF($B492="","qty, ","")&amp;IF($C492="","scope, ","")&amp;IF(OR($K492="",$M492=""),"size, ","")&amp;IF(AND($A492&lt;&gt;"",$C492&lt;&gt;"DOOR ONLY"),IF($U492="","jamb depth, ","")&amp;IF($X492="","construction, ","")&amp;IF($Y492="","anchor, ","")&amp;IF($S492="","frame type, ",""),"")&amp;IF(AND(N($BJ492)&gt;0,$Z492=""),"hand, ","")&amp;IF(N($BJ492)&gt;0,IF($AH492="","door material, ","")&amp;IF($AL492="","face type, ","")&amp;IF($AP492="","lock prep, ","")&amp;IF(AND($AO492="",$AC492=""),"hinge prep, ",""),"")&amp;IF(AND($CH492&gt;0,$AH492="FRP"),"FRP cannot carry a label, ","")&amp;IF(AND($O492="Y",OR($Z492="L",$Z492="R",$Z492="LR",$Z492="RR")),"pair marked but hand is single, ","")&amp;IF(AND($O492&lt;&gt;"Y",OR($Z492="PR",AND(LEN($Z492)&gt;1,ISNUMBER(SEARCH("-",$Z492))))),"pair hand on a single door, ","")&amp;IF(AND(ISNUMBER($CI492),$CH492&lt;N($CI492)),"wall needs a "&amp;$CI492&amp;" min door, ","")&amp;IF(AND($CH492&gt;=180,AND(OR($CE492="FG",$CE492="HG",$CE492="FNV",$CE492="FV"),N($CF492)*N($CG492)&gt;100)),"180 min lite over 100 sq in, ","")&amp;IF(N($BK492)&gt;48,"leaf wider than 4'-0"&amp;CHAR(34)&amp;", ","")&amp;IF(AND($CT492,COUNT($AW492:$AZ492)=0,$CQ492&gt;0),"CUSTOM LOC with no locations typed, ",""))</f>
        <v/>
      </c>
      <c r="DK492" s="84">
        <f>IF($A492="","",IF(AND($CH492&gt;0,AND($A492&lt;&gt;"",$C492&lt;&gt;"DOOR ONLY"),$X492="KD",$E492="EXTERIOR"),"KD label on an exterior opening, ","")&amp;IF(AND($E492="EXTERIOR",OR(AND(AND($A492&lt;&gt;"",$C492&lt;&gt;"DOOR ONLY"),$W492="CR"),AND(N($BJ492)&gt;0,$AH492="CR"))),"exterior in CR steel (G9?), ","")&amp;IF(AND(ISNUMBER($BQ492),N($BQ492)&lt;32),"clear width ~"&amp;TEXT($BQ492,"0.0")&amp;CHAR(34)&amp;" under 32"&amp;CHAR(34)&amp;" (ADA), ","")&amp;IF(AND($CH492=90,AND(OR($CE492="FG",$CE492="HG",$CE492="FNV",$CE492="FV"),N($CF492)*N($CG492)&gt;100)),"90 min lite over 100 sq in (stair/exit), ","")&amp;IF(AND($CH492&gt;0,AND($A492&lt;&gt;"",$C492&lt;&gt;"DOOR ONLY"),OR($AF492="",$AF492="-")),"rated: closer reinf.?, ","")&amp;IF(OR($I492="CORRIDOR",$I492="SMOKE BARRIER"),"S label + smoke gasketing, ","")&amp;IF($CI492="?","wall type/hr not in IBC table, ","")&amp;IF(AND(N($BJ492)&gt;0,$BB492=""),"no hardware set, ","")&amp;IF(AND($BB492&lt;&gt;"",ISNA(MATCH($BB492&amp;"",HWSets,0))),"set "&amp;$BB492&amp;" not on HW Sets, ","")&amp;IF(N($BL492)&gt;96,"leaf over 8'-0"&amp;CHAR(34)&amp;" - check listing, ","")&amp;IF(AND($CT492,COUNT($AW492:$AZ492)&gt;0,COUNT($AW492:$AZ492)&lt;&gt;$CQ492),COUNT($AW492:$AZ492)&amp;" custom hinges typed, "&amp;$CQ492&amp;" expected, ","")&amp;IF(AND(ISNUMBER($CA492),OR(N($CA492)&lt;34,N($CA492)&gt;48)),"lock "&amp;TEXT($CA492,"0.0")&amp;CHAR(34)&amp;" AFF outside 34-48"&amp;CHAR(34)&amp;" (ADA), ","")&amp;IF(AND(ISNUMBER($AV492),ISNUMBER($BL492),N($AV492)&lt;IF(N($BL492)&lt;=60,2,IF(N($BL492)&lt;=90,3,IF(N($BL492)&lt;=120,4,5)))),"fewer hinges than standard, ",""))</f>
        <v/>
      </c>
    </row>
    <row r="493" ht="15" customHeight="1">
      <c r="A493" s="77" t="n"/>
      <c r="B493" s="78" t="n"/>
      <c r="C493" s="78" t="n"/>
      <c r="D493" s="78" t="n"/>
      <c r="E493" s="78" t="n"/>
      <c r="F493" s="78" t="n"/>
      <c r="G493" s="78" t="n"/>
      <c r="H493" s="78" t="n"/>
      <c r="I493" s="78" t="n"/>
      <c r="J493" s="78" t="n"/>
      <c r="K493" s="78" t="n"/>
      <c r="L493" s="78" t="n"/>
      <c r="M493" s="78" t="n"/>
      <c r="N493" s="78" t="n"/>
      <c r="O493" s="78" t="n"/>
      <c r="P493" s="78" t="n"/>
      <c r="Q493" s="78" t="n"/>
      <c r="R493" s="78" t="n"/>
      <c r="S493" s="79" t="n"/>
      <c r="T493" s="79" t="n"/>
      <c r="U493" s="79" t="n"/>
      <c r="V493" s="79" t="n"/>
      <c r="W493" s="79" t="n"/>
      <c r="X493" s="79" t="n"/>
      <c r="Y493" s="79" t="n"/>
      <c r="Z493" s="79" t="n"/>
      <c r="AA493" s="79" t="n"/>
      <c r="AB493" s="79" t="n"/>
      <c r="AC493" s="79" t="n"/>
      <c r="AD493" s="79" t="n"/>
      <c r="AE493" s="79" t="n"/>
      <c r="AF493" s="79" t="n"/>
      <c r="AG493" s="79" t="n"/>
      <c r="AH493" s="80" t="n"/>
      <c r="AI493" s="80" t="n"/>
      <c r="AJ493" s="80" t="n"/>
      <c r="AK493" s="80" t="n"/>
      <c r="AL493" s="80" t="n"/>
      <c r="AM493" s="80" t="n"/>
      <c r="AN493" s="80" t="n"/>
      <c r="AO493" s="80" t="n"/>
      <c r="AP493" s="80" t="n"/>
      <c r="AQ493" s="80" t="n"/>
      <c r="AR493" s="80" t="n"/>
      <c r="AS493" s="80" t="n"/>
      <c r="AT493" s="81" t="n"/>
      <c r="AU493" s="81" t="n"/>
      <c r="AV493" s="81" t="n"/>
      <c r="AW493" s="82" t="n"/>
      <c r="AX493" s="82" t="n"/>
      <c r="AY493" s="82" t="n"/>
      <c r="AZ493" s="82" t="n"/>
      <c r="BA493" s="82" t="n"/>
      <c r="BB493" s="83" t="n"/>
      <c r="BC493" s="83" t="n"/>
      <c r="BD493" s="84">
        <f>IF($A493="","",IF($DJ493&lt;&gt;"","FIX",IF($DK493&lt;&gt;"","CHECK","OK")))</f>
        <v/>
      </c>
      <c r="BE493" s="85">
        <f>IF($A493="","",IF($DJ493&lt;&gt;"","FIX: "&amp;LEFT($DJ493,LEN($DJ493)-2)&amp;IF($DK493&lt;&gt;"","  ·  ",""),"")&amp;IF($DK493&lt;&gt;"","CHECK: "&amp;LEFT($DK493,LEN($DK493)-2),""))</f>
        <v/>
      </c>
      <c r="BF493" s="84">
        <f>IF(OR($A493="",$K493=""),"",$K493&amp;"'-"&amp;N($L493)&amp;CHAR(34)&amp;" x "&amp;$M493&amp;"'-"&amp;N($N493)&amp;CHAR(34))</f>
        <v/>
      </c>
      <c r="BG493" s="84">
        <f>IF(OR($A493="",$K493=""),"",$K493&amp;N($L493)&amp;$M493&amp;N($N493))</f>
        <v/>
      </c>
      <c r="BH493" s="84">
        <f>IF(OR($A493="",$K493=""),"",$K493*12+N($L493))</f>
        <v/>
      </c>
      <c r="BI493" s="84">
        <f>IF(OR($A493="",$M493=""),"",$M493*12+N($N493))</f>
        <v/>
      </c>
      <c r="BJ493" s="84">
        <f>IF($A493="","",IF(OR($C493="FRAME ONLY",$S493="BL"),0,IF($O493="Y",2,1)))</f>
        <v/>
      </c>
      <c r="BK493" s="86">
        <f>IF(OR(N($BJ493)=0,$BH493=""),"",($BH493-2*EdgeClr-IF($BJ493=2,MeetClr,0))/$BJ493)</f>
        <v/>
      </c>
      <c r="BL493" s="86">
        <f>IF(OR(N($BJ493)=0,$BI493=""),"",$BI493-HeadClr-Undercut)</f>
        <v/>
      </c>
      <c r="BM493" s="86">
        <f>IF($BH493="","",$BH493+2*FaceW+IF(N($Q493)&gt;0,($Q493+FaceW)*IF($R493="LR",2,1),0))</f>
        <v/>
      </c>
      <c r="BN493" s="86">
        <f>IF($BI493="","",$BI493+IF($AB493="Y",4,FaceW)+IF(N($P493)&gt;0,$P493+FaceW,0)+IF(OR($S493="4F",$S493="BL"),FaceW,0))</f>
        <v/>
      </c>
      <c r="BO493" s="86">
        <f>IF($BM493="","",$BM493+2*ROSide)</f>
        <v/>
      </c>
      <c r="BP493" s="86">
        <f>IF($BN493="","",$BN493+ROTop)</f>
        <v/>
      </c>
      <c r="BQ493" s="87">
        <f>IF(OR(N($BJ493)=0,$BH493=""),"",$BH493/$BJ493-ClearDeduct)</f>
        <v/>
      </c>
      <c r="BR493" s="84">
        <f>IF(N($CH493)=0,"",IF($CH493&gt;=180,"A · 3 HR",IF($CH493&gt;=90,"B · 1-1/2 HR",IF($CH493&gt;=60,"B · 1 HR",IF($CH493&gt;=45,"C · 3/4 HR","20 MIN")))))&amp;IF(AND(N($CH493)&gt;0,OR($I493="CORRIDOR",$I493="SMOKE BARRIER"))," · S","")</f>
        <v/>
      </c>
      <c r="BS493" s="84">
        <f>IF($CS493,"",IF($AV493&lt;&gt;"",$AV493,IF(OR($AC493="HGC",$AO493="HGC"),"CONT",IF(($BI493-HeadClr-Undercut)&lt;=60,2,IF(($BI493-HeadClr-Undercut)&lt;=90,3,IF(($BI493-HeadClr-Undercut)&lt;=120,4,5))))))</f>
        <v/>
      </c>
      <c r="BT493" s="84">
        <f>IF($CS493,"",IF($CT493,"CUSTOM (typed)",IF($CV493,$AT493&amp;" "&amp;$CU493&amp;CHAR(34)&amp;IF($CU493&lt;&gt;$BI493,IF(AND($BI493&lt;$CU493,$BI493-IF(N(VLOOKUP($AT493&amp;"|"&amp;$CU493,LocTable,7,FALSE))&gt;0,VLOOKUP($AT493&amp;"|"&amp;$CU493,LocTable,7,FALSE),VLOOKUP($AT493&amp;"|"&amp;$CU493,LocTable,6,FALSE))-$CR493-0.75&gt;=2.125)," cut down"," adj."),""),"ANSI/SDI A250.6")))</f>
        <v/>
      </c>
      <c r="BU493" s="88">
        <f>IF($CS493,"",IF($CT493,IF(N($AW493)&gt;0,N($AW493),""),IF(1&gt;$CQ493,"",IF($CQ493=1,$CW493,$CW493+($CX493-$CW493)*0/($CQ493-1)))))</f>
        <v/>
      </c>
      <c r="BV493" s="88">
        <f>IF($CS493,"",IF($CT493,IF(N($AX493)&gt;0,N($AX493),""),IF(2&gt;$CQ493,"",IF($CQ493=1,$CW493,$CW493+($CX493-$CW493)*1/($CQ493-1)))))</f>
        <v/>
      </c>
      <c r="BW493" s="88">
        <f>IF($CS493,"",IF($CT493,IF(N($AY493)&gt;0,N($AY493),""),IF(3&gt;$CQ493,"",IF($CQ493=1,$CW493,$CW493+($CX493-$CW493)*2/($CQ493-1)))))</f>
        <v/>
      </c>
      <c r="BX493" s="88">
        <f>IF($CS493,"",IF($CT493,IF(N($AZ493)&gt;0,N($AZ493),""),IF(4&gt;$CQ493,"",IF($CQ493=1,$CW493,$CW493+($CX493-$CW493)*3/($CQ493-1)))))</f>
        <v/>
      </c>
      <c r="BY493" s="88">
        <f>IF($CS493,"",IF($CT493,"",IF(5&gt;$CQ493,"",IF($CQ493=1,$CW493,$CW493+($CX493-$CW493)*4/($CQ493-1)))))</f>
        <v/>
      </c>
      <c r="BZ493" s="88">
        <f>IF(OR($CS493,$AP493="-",AND($AP493="",$AD493="")),"",IF(N($BA493)&gt;0,N($BA493),IF($CV493,IF(AND($BI493&lt;$CU493,$BI493-IF(N(VLOOKUP($AT493&amp;"|"&amp;$CU493,LocTable,7,FALSE))&gt;0,VLOOKUP($AT493&amp;"|"&amp;$CU493,LocTable,7,FALSE),VLOOKUP($AT493&amp;"|"&amp;$CU493,LocTable,6,FALSE))-$CR493-0.75&gt;=2.125),VLOOKUP($AT493&amp;"|"&amp;$CU493,LocTable,8,FALSE),VLOOKUP($AT493&amp;"|"&amp;$CU493,LocTable,8,FALSE)+($BI493-$CU493)),$BI493-LockAFF)))</f>
        <v/>
      </c>
      <c r="CA493" s="89">
        <f>IF($BZ493="","",$BI493-$BZ493)</f>
        <v/>
      </c>
      <c r="CB493" s="84">
        <f>IF(OR(NOT(AND($A493&lt;&gt;"",$C493&lt;&gt;"DOOR ONLY")),$BI493=""),"",IF(($BI493+IF(N($P493)&gt;0,$P493+FaceW,0))&lt;=90,3,IF(($BI493+IF(N($P493)&gt;0,$P493+FaceW,0))&lt;=114,4,5)))</f>
        <v/>
      </c>
      <c r="CC493" s="84">
        <f>IF($CB493="","",$CB493*(2+IF(N($Q493)&gt;0,IF($R493="LR",2,1),0)))</f>
        <v/>
      </c>
      <c r="CD493" s="84">
        <f>IF($CB493="","",(2+IF(N($Q493)&gt;0,IF($R493="LR",2,1),0)))</f>
        <v/>
      </c>
      <c r="CE493" s="84">
        <f>IF(N($BJ493)=0,"",IF(OR($AL493="",$AL493="FLUSH"),"FLUSH",IFERROR(LEFT($AL493,FIND("-",$AL493)-1),LEFT($AL493,2))))</f>
        <v/>
      </c>
      <c r="CF493" s="84">
        <f>IF($CE493="","",IFERROR(VALUE(MID($AL493,FIND("-",$AL493)+1,FIND(CHAR(34)&amp;"x",$AL493)-FIND("-",$AL493)-1)),0))</f>
        <v/>
      </c>
      <c r="CG493" s="84">
        <f>IF($CE493="","",IFERROR(VALUE(MID($AL493,FIND(CHAR(34)&amp;"x",$AL493)+2,FIND(CHAR(34),$AL493,FIND(CHAR(34)&amp;"x",$AL493)+2)-FIND(CHAR(34)&amp;"x",$AL493)-2)),0))</f>
        <v/>
      </c>
      <c r="CH493" s="90">
        <f>IF(OR($A493="",$H493="",$H493="NO LAB"),0,IFERROR(VALUE(LEFT($H493,FIND(" ",$H493)-1)),0))</f>
        <v/>
      </c>
      <c r="CI493" s="91">
        <f>IF(OR($A493="",$I493="",$I493="NON-RATED",N($J493)=0),"",IFERROR(VLOOKUP($I493&amp;"|"&amp;$J493,IBC,2,FALSE),"?"))</f>
        <v/>
      </c>
      <c r="CJ493" s="85">
        <f>IF(NOT(AND($A493&lt;&gt;"",$C493&lt;&gt;"DOOR ONLY")),"",TRIM(IFERROR(VLOOKUP($U493,CODES,2,FALSE),"")&amp;" "&amp;$BG493&amp;" "&amp;IFERROR(VLOOKUP($Z493,CODES,2,FALSE),"")&amp;" "&amp;IFERROR(VLOOKUP($X493,CODES,2,FALSE),"")&amp;" "&amp;IFERROR(VLOOKUP($S493,CODES,2,FALSE),"")&amp;IF(N($P493)&gt;0," w/TRANSOM "&amp;$P493&amp;CHAR(34),"")&amp;IF(N($Q493)&gt;0," w/SIDELITE "&amp;$Q493&amp;CHAR(34)&amp;" "&amp;IF($R493="","R",$R493),"")&amp;IF($Y493="","  |  "," | "&amp;IFERROR(VLOOKUP($Y493,CODES,2,FALSE),"")&amp;" | ")&amp;IFERROR(VLOOKUP($AC493,CODES,2,FALSE),"")&amp;" "&amp;IFERROR(VLOOKUP($AD493,CODES,2,FALSE),"")&amp;IF(OR($AE493="",$AE493="-"),""," "&amp;$AE493)&amp;IF(OR($AF493="",$AF493="-"),""," "&amp;$AF493)&amp;IF($AB493="Y"," 4"&amp;CHAR(34)&amp;" HEAD","")&amp;" "&amp;IFERROR(VLOOKUP($H493,CODES,2,FALSE),"")&amp;IF($CT493," | LOC "&amp;$CY493,"")))</f>
        <v/>
      </c>
      <c r="CK493" s="85">
        <f>IF(NOT(AND($A493&lt;&gt;"",N($BJ493)&gt;0)),"",TRIM(IFERROR(VLOOKUP($AH493,CODES,2,FALSE),"")&amp;IF($AI493=""," "," "&amp;$AI493&amp;"GA ")&amp;$BG493&amp;" "&amp;IF($AN493="",IFERROR(VLOOKUP($Z493,CODES,2,FALSE),""),IFERROR(VLOOKUP($AN493,CODES,2,FALSE),""))&amp;IF($BJ493=2," PAIR","")&amp;" DOOR | "&amp;IF($AL493="","?",$AL493)&amp;" | "&amp;IF($AO493="",IFERROR(VLOOKUP($AC493,CODES,2,FALSE),""),IFERROR(VLOOKUP($AO493,CODES,2,FALSE),""))&amp;" "&amp;IFERROR(VLOOKUP($AP493,CODES,2,FALSE),"")&amp;IF(OR($AQ493="",$AQ493="-"),""," SEAM "&amp;$AQ493)&amp;IF($AR493="Y"," ASTRAGAL","")&amp;IF($AJ493=""," "," "&amp;$AJ493)&amp;IF($AK493=""," "," "&amp;$AK493)&amp;IF(OR($AT493="",$AT493="ANSI/SDI",$AT493="CUSTOM LOC"),""," "&amp;$AT493)&amp;IF($AM493=""," "," SERIES "&amp;$AM493)&amp;" "&amp;IFERROR(VLOOKUP($H493,CODES,2,FALSE),"")&amp;IF($CT493," | LOC "&amp;$CZ493,"")))</f>
        <v/>
      </c>
      <c r="CL493" s="84">
        <f>IF(CP493="","",IF(COUNTIF($CP$6:CP493,CP493)=1,MAX($CL$5:CL492)+1,INDEX($CL$5:CL492,MATCH(CP493,$CP$5:CP492,0))))</f>
        <v/>
      </c>
      <c r="CM493" s="84">
        <f>IF(NOT(AND($A493&lt;&gt;"",$C493&lt;&gt;"DOOR ONLY")),"",MAX($CM$5:CM492)+1)</f>
        <v/>
      </c>
      <c r="CN493" s="84">
        <f>IF(NOT(AND($A493&lt;&gt;"",N($BJ493)&gt;0)),"",MAX($CN$5:CN492)+1)</f>
        <v/>
      </c>
      <c r="CO493" s="84">
        <f>IF($A493="","",MAX($CO$5:CO492)+1)</f>
        <v/>
      </c>
      <c r="CP493" s="84">
        <f>IF(OR($A493="",$BH493="",$BI493=""),"",$BG493&amp;"|"&amp;$O493&amp;"|"&amp;$AL493&amp;"|"&amp;$S493&amp;"|"&amp;$P493&amp;"|"&amp;$Q493&amp;$R493&amp;"|"&amp;$C493&amp;"|"&amp;$AB493)</f>
        <v/>
      </c>
      <c r="CQ493" s="84">
        <f>N($BS493)</f>
        <v/>
      </c>
      <c r="CR493" s="84">
        <f>IF(N($AU493)&gt;0,N($AU493),4.5)</f>
        <v/>
      </c>
      <c r="CS493" s="84">
        <f>OR($A493="",$BI493="",$S493="BL",AND($C493="FRAME ONLY",OR($AC493="",$AC493="BLK")))</f>
        <v/>
      </c>
      <c r="CT493" s="84">
        <f>AND(NOT($CS493),OR($AT493="CUSTOM LOC",N($AW493)+N($AX493)+N($AY493)+N($AZ493)+N($BA493)&gt;0))</f>
        <v/>
      </c>
      <c r="CU493" s="84">
        <f>IF($BI493="","",IF($BI493&lt;=80,80,IF($BI493&lt;=84,84,96)))</f>
        <v/>
      </c>
      <c r="CV493" s="84">
        <f>ISNUMBER(MATCH($AT493&amp;"|80",LocKeys,0))</f>
        <v/>
      </c>
      <c r="CW493" s="86">
        <f>IF($CS493,"",IF($CV493,VLOOKUP($AT493&amp;"|"&amp;$CU493,LocTable,4,FALSE),5))</f>
        <v/>
      </c>
      <c r="CX493" s="86">
        <f>IF($CS493,"",IF($CV493,IF(OR($BI493=$CU493,AND($BI493&lt;$CU493,$BI493-IF(N(VLOOKUP($AT493&amp;"|"&amp;$CU493,LocTable,7,FALSE))&gt;0,VLOOKUP($AT493&amp;"|"&amp;$CU493,LocTable,7,FALSE),VLOOKUP($AT493&amp;"|"&amp;$CU493,LocTable,6,FALSE))-$CR493-0.75&gt;=2.125)),IF(N(VLOOKUP($AT493&amp;"|"&amp;$CU493,LocTable,7,FALSE))&gt;0,VLOOKUP($AT493&amp;"|"&amp;$CU493,LocTable,7,FALSE),VLOOKUP($AT493&amp;"|"&amp;$CU493,LocTable,6,FALSE)),$BI493-($CU493-IF(N(VLOOKUP($AT493&amp;"|"&amp;$CU493,LocTable,7,FALSE))&gt;0,VLOOKUP($AT493&amp;"|"&amp;$CU493,LocTable,7,FALSE),VLOOKUP($AT493&amp;"|"&amp;$CU493,LocTable,6,FALSE)))),$BI493-10-$CR493))</f>
        <v/>
      </c>
      <c r="CY493" s="85">
        <f>IF($CS493,"",TRIM(IF(ISNUMBER($BU493),"A "&amp;TRIM(TEXT($BU493,"# ?/??"))&amp;CHAR(34)&amp;"  ","")&amp;IF(ISNUMBER($BV493),"B "&amp;TRIM(TEXT($BV493,"# ?/??"))&amp;CHAR(34)&amp;"  ","")&amp;IF(ISNUMBER($BW493),"C "&amp;TRIM(TEXT($BW493,"# ?/??"))&amp;CHAR(34)&amp;"  ","")&amp;IF(ISNUMBER($BX493),"D "&amp;TRIM(TEXT($BX493,"# ?/??"))&amp;CHAR(34)&amp;"  ","")&amp;IF(ISNUMBER($BY493),"F "&amp;TRIM(TEXT($BY493,"# ?/??"))&amp;CHAR(34)&amp;"  ","")&amp;IF(ISNUMBER($BZ493),"E "&amp;TRIM(TEXT($BZ493,"# ?/??"))&amp;CHAR(34)&amp;"  ","")))</f>
        <v/>
      </c>
      <c r="CZ493" s="85">
        <f>IF(OR($CS493,N($BJ493)=0),"",TRIM(IF(ISNUMBER($BU493),"A "&amp;TRIM(TEXT($BU493-HeadClr,"# ?/??"))&amp;CHAR(34)&amp;"  ","")&amp;IF(ISNUMBER($BV493),"B "&amp;TRIM(TEXT($BV493-HeadClr,"# ?/??"))&amp;CHAR(34)&amp;"  ","")&amp;IF(ISNUMBER($BW493),"C "&amp;TRIM(TEXT($BW493-HeadClr,"# ?/??"))&amp;CHAR(34)&amp;"  ","")&amp;IF(ISNUMBER($BX493),"D "&amp;TRIM(TEXT($BX493-HeadClr,"# ?/??"))&amp;CHAR(34)&amp;"  ","")&amp;IF(ISNUMBER($BY493),"F "&amp;TRIM(TEXT($BY493-HeadClr,"# ?/??"))&amp;CHAR(34)&amp;"  ","")&amp;IF(ISNUMBER($BZ493),"E "&amp;TRIM(TEXT($BZ493-HeadClr,"# ?/??"))&amp;CHAR(34)&amp;"  ","")))</f>
        <v/>
      </c>
      <c r="DA493" s="84">
        <f>IF($A493="","",IF($AN493="",IFERROR(VLOOKUP($Z493,CODES,2,FALSE),""),IFERROR(VLOOKUP($AN493,CODES,2,FALSE),"")))</f>
        <v/>
      </c>
      <c r="DB493" s="84">
        <f>IF($A493="","",IF($O493="Y","PR",IF(OR($Z493="L",$Z493="RR",LEFT($Z493,2)="L-",LEFT($Z493,3)="RR-"),"LH","RH")))</f>
        <v/>
      </c>
      <c r="DC493" s="84">
        <f>IF($A493="","","S.HM"&amp;IF(OR($C493="DOOR ONLY",$X493&lt;&gt;"KD"),"MASONRY","DRYWALL")&amp;IF($C493="DOOR ONLY","",$U493)&amp;IF(AND($C493&lt;&gt;"FRAME ONLY",OR(LEFT($AH493,3)="OAK",LEFT($AH493,3)="BIR",LEFT($AH493,3)="MAP",$AH493="PC",$AH493="MC",$AH493="SCLC",$AH493="P-LAM")),"WD","HM")&amp;"1.75")</f>
        <v/>
      </c>
      <c r="DD493" s="84">
        <f>IF($CJ493="","",IF($O493="Y",$CJ493,SUBSTITUTE($CJ493,$BG493&amp;" "&amp;IFERROR(VLOOKUP($Z493,CODES,2,FALSE),"")&amp;" ",$BG493&amp;" ")))</f>
        <v/>
      </c>
      <c r="DE493" s="84">
        <f>IF($CK493="","",IF($O493="Y",$CK493,SUBSTITUTE($CK493,$BG493&amp;" "&amp;IF($AN493="",IFERROR(VLOOKUP($Z493,CODES,2,FALSE),""),IFERROR(VLOOKUP($AN493,CODES,2,FALSE),""))&amp;" ",$BG493&amp;" ")))</f>
        <v/>
      </c>
      <c r="DF493" s="84">
        <f>IF($CJ493="","",$DC493&amp;"|"&amp;$DD493&amp;"|"&amp;$DB493&amp;"|"&amp;$AT493&amp;"|"&amp;$V493&amp;"|"&amp;$Y493&amp;"|"&amp;$AB493)</f>
        <v/>
      </c>
      <c r="DG493" s="84">
        <f>IF(DF493="","",IF(COUNTIF($DF$6:DF493,DF493)=1,MAX($DG$5:DG492)+1,INDEX($DG$5:DG492,MATCH(DF493,$DF$5:DF492,0))))</f>
        <v/>
      </c>
      <c r="DH493" s="84">
        <f>IF($CK493="","",$DC493&amp;"|"&amp;$DE493&amp;"|"&amp;$AI493&amp;"|"&amp;$BK493&amp;"|"&amp;$BL493)</f>
        <v/>
      </c>
      <c r="DI493" s="84">
        <f>IF(DH493="","",IF(COUNTIF($DH$6:DH493,DH493)=1,MAX($DI$5:DI492)+1,INDEX($DI$5:DI492,MATCH(DH493,$DH$5:DH492,0))))</f>
        <v/>
      </c>
      <c r="DJ493" s="84">
        <f>IF($A493="","",IF($B493="","qty, ","")&amp;IF($C493="","scope, ","")&amp;IF(OR($K493="",$M493=""),"size, ","")&amp;IF(AND($A493&lt;&gt;"",$C493&lt;&gt;"DOOR ONLY"),IF($U493="","jamb depth, ","")&amp;IF($X493="","construction, ","")&amp;IF($Y493="","anchor, ","")&amp;IF($S493="","frame type, ",""),"")&amp;IF(AND(N($BJ493)&gt;0,$Z493=""),"hand, ","")&amp;IF(N($BJ493)&gt;0,IF($AH493="","door material, ","")&amp;IF($AL493="","face type, ","")&amp;IF($AP493="","lock prep, ","")&amp;IF(AND($AO493="",$AC493=""),"hinge prep, ",""),"")&amp;IF(AND($CH493&gt;0,$AH493="FRP"),"FRP cannot carry a label, ","")&amp;IF(AND($O493="Y",OR($Z493="L",$Z493="R",$Z493="LR",$Z493="RR")),"pair marked but hand is single, ","")&amp;IF(AND($O493&lt;&gt;"Y",OR($Z493="PR",AND(LEN($Z493)&gt;1,ISNUMBER(SEARCH("-",$Z493))))),"pair hand on a single door, ","")&amp;IF(AND(ISNUMBER($CI493),$CH493&lt;N($CI493)),"wall needs a "&amp;$CI493&amp;" min door, ","")&amp;IF(AND($CH493&gt;=180,AND(OR($CE493="FG",$CE493="HG",$CE493="FNV",$CE493="FV"),N($CF493)*N($CG493)&gt;100)),"180 min lite over 100 sq in, ","")&amp;IF(N($BK493)&gt;48,"leaf wider than 4'-0"&amp;CHAR(34)&amp;", ","")&amp;IF(AND($CT493,COUNT($AW493:$AZ493)=0,$CQ493&gt;0),"CUSTOM LOC with no locations typed, ",""))</f>
        <v/>
      </c>
      <c r="DK493" s="84">
        <f>IF($A493="","",IF(AND($CH493&gt;0,AND($A493&lt;&gt;"",$C493&lt;&gt;"DOOR ONLY"),$X493="KD",$E493="EXTERIOR"),"KD label on an exterior opening, ","")&amp;IF(AND($E493="EXTERIOR",OR(AND(AND($A493&lt;&gt;"",$C493&lt;&gt;"DOOR ONLY"),$W493="CR"),AND(N($BJ493)&gt;0,$AH493="CR"))),"exterior in CR steel (G9?), ","")&amp;IF(AND(ISNUMBER($BQ493),N($BQ493)&lt;32),"clear width ~"&amp;TEXT($BQ493,"0.0")&amp;CHAR(34)&amp;" under 32"&amp;CHAR(34)&amp;" (ADA), ","")&amp;IF(AND($CH493=90,AND(OR($CE493="FG",$CE493="HG",$CE493="FNV",$CE493="FV"),N($CF493)*N($CG493)&gt;100)),"90 min lite over 100 sq in (stair/exit), ","")&amp;IF(AND($CH493&gt;0,AND($A493&lt;&gt;"",$C493&lt;&gt;"DOOR ONLY"),OR($AF493="",$AF493="-")),"rated: closer reinf.?, ","")&amp;IF(OR($I493="CORRIDOR",$I493="SMOKE BARRIER"),"S label + smoke gasketing, ","")&amp;IF($CI493="?","wall type/hr not in IBC table, ","")&amp;IF(AND(N($BJ493)&gt;0,$BB493=""),"no hardware set, ","")&amp;IF(AND($BB493&lt;&gt;"",ISNA(MATCH($BB493&amp;"",HWSets,0))),"set "&amp;$BB493&amp;" not on HW Sets, ","")&amp;IF(N($BL493)&gt;96,"leaf over 8'-0"&amp;CHAR(34)&amp;" - check listing, ","")&amp;IF(AND($CT493,COUNT($AW493:$AZ493)&gt;0,COUNT($AW493:$AZ493)&lt;&gt;$CQ493),COUNT($AW493:$AZ493)&amp;" custom hinges typed, "&amp;$CQ493&amp;" expected, ","")&amp;IF(AND(ISNUMBER($CA493),OR(N($CA493)&lt;34,N($CA493)&gt;48)),"lock "&amp;TEXT($CA493,"0.0")&amp;CHAR(34)&amp;" AFF outside 34-48"&amp;CHAR(34)&amp;" (ADA), ","")&amp;IF(AND(ISNUMBER($AV493),ISNUMBER($BL493),N($AV493)&lt;IF(N($BL493)&lt;=60,2,IF(N($BL493)&lt;=90,3,IF(N($BL493)&lt;=120,4,5)))),"fewer hinges than standard, ",""))</f>
        <v/>
      </c>
    </row>
    <row r="494" ht="15" customHeight="1">
      <c r="A494" s="77" t="n"/>
      <c r="B494" s="78" t="n"/>
      <c r="C494" s="78" t="n"/>
      <c r="D494" s="78" t="n"/>
      <c r="E494" s="78" t="n"/>
      <c r="F494" s="78" t="n"/>
      <c r="G494" s="78" t="n"/>
      <c r="H494" s="78" t="n"/>
      <c r="I494" s="78" t="n"/>
      <c r="J494" s="78" t="n"/>
      <c r="K494" s="78" t="n"/>
      <c r="L494" s="78" t="n"/>
      <c r="M494" s="78" t="n"/>
      <c r="N494" s="78" t="n"/>
      <c r="O494" s="78" t="n"/>
      <c r="P494" s="78" t="n"/>
      <c r="Q494" s="78" t="n"/>
      <c r="R494" s="78" t="n"/>
      <c r="S494" s="79" t="n"/>
      <c r="T494" s="79" t="n"/>
      <c r="U494" s="79" t="n"/>
      <c r="V494" s="79" t="n"/>
      <c r="W494" s="79" t="n"/>
      <c r="X494" s="79" t="n"/>
      <c r="Y494" s="79" t="n"/>
      <c r="Z494" s="79" t="n"/>
      <c r="AA494" s="79" t="n"/>
      <c r="AB494" s="79" t="n"/>
      <c r="AC494" s="79" t="n"/>
      <c r="AD494" s="79" t="n"/>
      <c r="AE494" s="79" t="n"/>
      <c r="AF494" s="79" t="n"/>
      <c r="AG494" s="79" t="n"/>
      <c r="AH494" s="80" t="n"/>
      <c r="AI494" s="80" t="n"/>
      <c r="AJ494" s="80" t="n"/>
      <c r="AK494" s="80" t="n"/>
      <c r="AL494" s="80" t="n"/>
      <c r="AM494" s="80" t="n"/>
      <c r="AN494" s="80" t="n"/>
      <c r="AO494" s="80" t="n"/>
      <c r="AP494" s="80" t="n"/>
      <c r="AQ494" s="80" t="n"/>
      <c r="AR494" s="80" t="n"/>
      <c r="AS494" s="80" t="n"/>
      <c r="AT494" s="81" t="n"/>
      <c r="AU494" s="81" t="n"/>
      <c r="AV494" s="81" t="n"/>
      <c r="AW494" s="82" t="n"/>
      <c r="AX494" s="82" t="n"/>
      <c r="AY494" s="82" t="n"/>
      <c r="AZ494" s="82" t="n"/>
      <c r="BA494" s="82" t="n"/>
      <c r="BB494" s="83" t="n"/>
      <c r="BC494" s="83" t="n"/>
      <c r="BD494" s="84">
        <f>IF($A494="","",IF($DJ494&lt;&gt;"","FIX",IF($DK494&lt;&gt;"","CHECK","OK")))</f>
        <v/>
      </c>
      <c r="BE494" s="85">
        <f>IF($A494="","",IF($DJ494&lt;&gt;"","FIX: "&amp;LEFT($DJ494,LEN($DJ494)-2)&amp;IF($DK494&lt;&gt;"","  ·  ",""),"")&amp;IF($DK494&lt;&gt;"","CHECK: "&amp;LEFT($DK494,LEN($DK494)-2),""))</f>
        <v/>
      </c>
      <c r="BF494" s="84">
        <f>IF(OR($A494="",$K494=""),"",$K494&amp;"'-"&amp;N($L494)&amp;CHAR(34)&amp;" x "&amp;$M494&amp;"'-"&amp;N($N494)&amp;CHAR(34))</f>
        <v/>
      </c>
      <c r="BG494" s="84">
        <f>IF(OR($A494="",$K494=""),"",$K494&amp;N($L494)&amp;$M494&amp;N($N494))</f>
        <v/>
      </c>
      <c r="BH494" s="84">
        <f>IF(OR($A494="",$K494=""),"",$K494*12+N($L494))</f>
        <v/>
      </c>
      <c r="BI494" s="84">
        <f>IF(OR($A494="",$M494=""),"",$M494*12+N($N494))</f>
        <v/>
      </c>
      <c r="BJ494" s="84">
        <f>IF($A494="","",IF(OR($C494="FRAME ONLY",$S494="BL"),0,IF($O494="Y",2,1)))</f>
        <v/>
      </c>
      <c r="BK494" s="86">
        <f>IF(OR(N($BJ494)=0,$BH494=""),"",($BH494-2*EdgeClr-IF($BJ494=2,MeetClr,0))/$BJ494)</f>
        <v/>
      </c>
      <c r="BL494" s="86">
        <f>IF(OR(N($BJ494)=0,$BI494=""),"",$BI494-HeadClr-Undercut)</f>
        <v/>
      </c>
      <c r="BM494" s="86">
        <f>IF($BH494="","",$BH494+2*FaceW+IF(N($Q494)&gt;0,($Q494+FaceW)*IF($R494="LR",2,1),0))</f>
        <v/>
      </c>
      <c r="BN494" s="86">
        <f>IF($BI494="","",$BI494+IF($AB494="Y",4,FaceW)+IF(N($P494)&gt;0,$P494+FaceW,0)+IF(OR($S494="4F",$S494="BL"),FaceW,0))</f>
        <v/>
      </c>
      <c r="BO494" s="86">
        <f>IF($BM494="","",$BM494+2*ROSide)</f>
        <v/>
      </c>
      <c r="BP494" s="86">
        <f>IF($BN494="","",$BN494+ROTop)</f>
        <v/>
      </c>
      <c r="BQ494" s="87">
        <f>IF(OR(N($BJ494)=0,$BH494=""),"",$BH494/$BJ494-ClearDeduct)</f>
        <v/>
      </c>
      <c r="BR494" s="84">
        <f>IF(N($CH494)=0,"",IF($CH494&gt;=180,"A · 3 HR",IF($CH494&gt;=90,"B · 1-1/2 HR",IF($CH494&gt;=60,"B · 1 HR",IF($CH494&gt;=45,"C · 3/4 HR","20 MIN")))))&amp;IF(AND(N($CH494)&gt;0,OR($I494="CORRIDOR",$I494="SMOKE BARRIER"))," · S","")</f>
        <v/>
      </c>
      <c r="BS494" s="84">
        <f>IF($CS494,"",IF($AV494&lt;&gt;"",$AV494,IF(OR($AC494="HGC",$AO494="HGC"),"CONT",IF(($BI494-HeadClr-Undercut)&lt;=60,2,IF(($BI494-HeadClr-Undercut)&lt;=90,3,IF(($BI494-HeadClr-Undercut)&lt;=120,4,5))))))</f>
        <v/>
      </c>
      <c r="BT494" s="84">
        <f>IF($CS494,"",IF($CT494,"CUSTOM (typed)",IF($CV494,$AT494&amp;" "&amp;$CU494&amp;CHAR(34)&amp;IF($CU494&lt;&gt;$BI494,IF(AND($BI494&lt;$CU494,$BI494-IF(N(VLOOKUP($AT494&amp;"|"&amp;$CU494,LocTable,7,FALSE))&gt;0,VLOOKUP($AT494&amp;"|"&amp;$CU494,LocTable,7,FALSE),VLOOKUP($AT494&amp;"|"&amp;$CU494,LocTable,6,FALSE))-$CR494-0.75&gt;=2.125)," cut down"," adj."),""),"ANSI/SDI A250.6")))</f>
        <v/>
      </c>
      <c r="BU494" s="88">
        <f>IF($CS494,"",IF($CT494,IF(N($AW494)&gt;0,N($AW494),""),IF(1&gt;$CQ494,"",IF($CQ494=1,$CW494,$CW494+($CX494-$CW494)*0/($CQ494-1)))))</f>
        <v/>
      </c>
      <c r="BV494" s="88">
        <f>IF($CS494,"",IF($CT494,IF(N($AX494)&gt;0,N($AX494),""),IF(2&gt;$CQ494,"",IF($CQ494=1,$CW494,$CW494+($CX494-$CW494)*1/($CQ494-1)))))</f>
        <v/>
      </c>
      <c r="BW494" s="88">
        <f>IF($CS494,"",IF($CT494,IF(N($AY494)&gt;0,N($AY494),""),IF(3&gt;$CQ494,"",IF($CQ494=1,$CW494,$CW494+($CX494-$CW494)*2/($CQ494-1)))))</f>
        <v/>
      </c>
      <c r="BX494" s="88">
        <f>IF($CS494,"",IF($CT494,IF(N($AZ494)&gt;0,N($AZ494),""),IF(4&gt;$CQ494,"",IF($CQ494=1,$CW494,$CW494+($CX494-$CW494)*3/($CQ494-1)))))</f>
        <v/>
      </c>
      <c r="BY494" s="88">
        <f>IF($CS494,"",IF($CT494,"",IF(5&gt;$CQ494,"",IF($CQ494=1,$CW494,$CW494+($CX494-$CW494)*4/($CQ494-1)))))</f>
        <v/>
      </c>
      <c r="BZ494" s="88">
        <f>IF(OR($CS494,$AP494="-",AND($AP494="",$AD494="")),"",IF(N($BA494)&gt;0,N($BA494),IF($CV494,IF(AND($BI494&lt;$CU494,$BI494-IF(N(VLOOKUP($AT494&amp;"|"&amp;$CU494,LocTable,7,FALSE))&gt;0,VLOOKUP($AT494&amp;"|"&amp;$CU494,LocTable,7,FALSE),VLOOKUP($AT494&amp;"|"&amp;$CU494,LocTable,6,FALSE))-$CR494-0.75&gt;=2.125),VLOOKUP($AT494&amp;"|"&amp;$CU494,LocTable,8,FALSE),VLOOKUP($AT494&amp;"|"&amp;$CU494,LocTable,8,FALSE)+($BI494-$CU494)),$BI494-LockAFF)))</f>
        <v/>
      </c>
      <c r="CA494" s="89">
        <f>IF($BZ494="","",$BI494-$BZ494)</f>
        <v/>
      </c>
      <c r="CB494" s="84">
        <f>IF(OR(NOT(AND($A494&lt;&gt;"",$C494&lt;&gt;"DOOR ONLY")),$BI494=""),"",IF(($BI494+IF(N($P494)&gt;0,$P494+FaceW,0))&lt;=90,3,IF(($BI494+IF(N($P494)&gt;0,$P494+FaceW,0))&lt;=114,4,5)))</f>
        <v/>
      </c>
      <c r="CC494" s="84">
        <f>IF($CB494="","",$CB494*(2+IF(N($Q494)&gt;0,IF($R494="LR",2,1),0)))</f>
        <v/>
      </c>
      <c r="CD494" s="84">
        <f>IF($CB494="","",(2+IF(N($Q494)&gt;0,IF($R494="LR",2,1),0)))</f>
        <v/>
      </c>
      <c r="CE494" s="84">
        <f>IF(N($BJ494)=0,"",IF(OR($AL494="",$AL494="FLUSH"),"FLUSH",IFERROR(LEFT($AL494,FIND("-",$AL494)-1),LEFT($AL494,2))))</f>
        <v/>
      </c>
      <c r="CF494" s="84">
        <f>IF($CE494="","",IFERROR(VALUE(MID($AL494,FIND("-",$AL494)+1,FIND(CHAR(34)&amp;"x",$AL494)-FIND("-",$AL494)-1)),0))</f>
        <v/>
      </c>
      <c r="CG494" s="84">
        <f>IF($CE494="","",IFERROR(VALUE(MID($AL494,FIND(CHAR(34)&amp;"x",$AL494)+2,FIND(CHAR(34),$AL494,FIND(CHAR(34)&amp;"x",$AL494)+2)-FIND(CHAR(34)&amp;"x",$AL494)-2)),0))</f>
        <v/>
      </c>
      <c r="CH494" s="90">
        <f>IF(OR($A494="",$H494="",$H494="NO LAB"),0,IFERROR(VALUE(LEFT($H494,FIND(" ",$H494)-1)),0))</f>
        <v/>
      </c>
      <c r="CI494" s="91">
        <f>IF(OR($A494="",$I494="",$I494="NON-RATED",N($J494)=0),"",IFERROR(VLOOKUP($I494&amp;"|"&amp;$J494,IBC,2,FALSE),"?"))</f>
        <v/>
      </c>
      <c r="CJ494" s="85">
        <f>IF(NOT(AND($A494&lt;&gt;"",$C494&lt;&gt;"DOOR ONLY")),"",TRIM(IFERROR(VLOOKUP($U494,CODES,2,FALSE),"")&amp;" "&amp;$BG494&amp;" "&amp;IFERROR(VLOOKUP($Z494,CODES,2,FALSE),"")&amp;" "&amp;IFERROR(VLOOKUP($X494,CODES,2,FALSE),"")&amp;" "&amp;IFERROR(VLOOKUP($S494,CODES,2,FALSE),"")&amp;IF(N($P494)&gt;0," w/TRANSOM "&amp;$P494&amp;CHAR(34),"")&amp;IF(N($Q494)&gt;0," w/SIDELITE "&amp;$Q494&amp;CHAR(34)&amp;" "&amp;IF($R494="","R",$R494),"")&amp;IF($Y494="","  |  "," | "&amp;IFERROR(VLOOKUP($Y494,CODES,2,FALSE),"")&amp;" | ")&amp;IFERROR(VLOOKUP($AC494,CODES,2,FALSE),"")&amp;" "&amp;IFERROR(VLOOKUP($AD494,CODES,2,FALSE),"")&amp;IF(OR($AE494="",$AE494="-"),""," "&amp;$AE494)&amp;IF(OR($AF494="",$AF494="-"),""," "&amp;$AF494)&amp;IF($AB494="Y"," 4"&amp;CHAR(34)&amp;" HEAD","")&amp;" "&amp;IFERROR(VLOOKUP($H494,CODES,2,FALSE),"")&amp;IF($CT494," | LOC "&amp;$CY494,"")))</f>
        <v/>
      </c>
      <c r="CK494" s="85">
        <f>IF(NOT(AND($A494&lt;&gt;"",N($BJ494)&gt;0)),"",TRIM(IFERROR(VLOOKUP($AH494,CODES,2,FALSE),"")&amp;IF($AI494=""," "," "&amp;$AI494&amp;"GA ")&amp;$BG494&amp;" "&amp;IF($AN494="",IFERROR(VLOOKUP($Z494,CODES,2,FALSE),""),IFERROR(VLOOKUP($AN494,CODES,2,FALSE),""))&amp;IF($BJ494=2," PAIR","")&amp;" DOOR | "&amp;IF($AL494="","?",$AL494)&amp;" | "&amp;IF($AO494="",IFERROR(VLOOKUP($AC494,CODES,2,FALSE),""),IFERROR(VLOOKUP($AO494,CODES,2,FALSE),""))&amp;" "&amp;IFERROR(VLOOKUP($AP494,CODES,2,FALSE),"")&amp;IF(OR($AQ494="",$AQ494="-"),""," SEAM "&amp;$AQ494)&amp;IF($AR494="Y"," ASTRAGAL","")&amp;IF($AJ494=""," "," "&amp;$AJ494)&amp;IF($AK494=""," "," "&amp;$AK494)&amp;IF(OR($AT494="",$AT494="ANSI/SDI",$AT494="CUSTOM LOC"),""," "&amp;$AT494)&amp;IF($AM494=""," "," SERIES "&amp;$AM494)&amp;" "&amp;IFERROR(VLOOKUP($H494,CODES,2,FALSE),"")&amp;IF($CT494," | LOC "&amp;$CZ494,"")))</f>
        <v/>
      </c>
      <c r="CL494" s="84">
        <f>IF(CP494="","",IF(COUNTIF($CP$6:CP494,CP494)=1,MAX($CL$5:CL493)+1,INDEX($CL$5:CL493,MATCH(CP494,$CP$5:CP493,0))))</f>
        <v/>
      </c>
      <c r="CM494" s="84">
        <f>IF(NOT(AND($A494&lt;&gt;"",$C494&lt;&gt;"DOOR ONLY")),"",MAX($CM$5:CM493)+1)</f>
        <v/>
      </c>
      <c r="CN494" s="84">
        <f>IF(NOT(AND($A494&lt;&gt;"",N($BJ494)&gt;0)),"",MAX($CN$5:CN493)+1)</f>
        <v/>
      </c>
      <c r="CO494" s="84">
        <f>IF($A494="","",MAX($CO$5:CO493)+1)</f>
        <v/>
      </c>
      <c r="CP494" s="84">
        <f>IF(OR($A494="",$BH494="",$BI494=""),"",$BG494&amp;"|"&amp;$O494&amp;"|"&amp;$AL494&amp;"|"&amp;$S494&amp;"|"&amp;$P494&amp;"|"&amp;$Q494&amp;$R494&amp;"|"&amp;$C494&amp;"|"&amp;$AB494)</f>
        <v/>
      </c>
      <c r="CQ494" s="84">
        <f>N($BS494)</f>
        <v/>
      </c>
      <c r="CR494" s="84">
        <f>IF(N($AU494)&gt;0,N($AU494),4.5)</f>
        <v/>
      </c>
      <c r="CS494" s="84">
        <f>OR($A494="",$BI494="",$S494="BL",AND($C494="FRAME ONLY",OR($AC494="",$AC494="BLK")))</f>
        <v/>
      </c>
      <c r="CT494" s="84">
        <f>AND(NOT($CS494),OR($AT494="CUSTOM LOC",N($AW494)+N($AX494)+N($AY494)+N($AZ494)+N($BA494)&gt;0))</f>
        <v/>
      </c>
      <c r="CU494" s="84">
        <f>IF($BI494="","",IF($BI494&lt;=80,80,IF($BI494&lt;=84,84,96)))</f>
        <v/>
      </c>
      <c r="CV494" s="84">
        <f>ISNUMBER(MATCH($AT494&amp;"|80",LocKeys,0))</f>
        <v/>
      </c>
      <c r="CW494" s="86">
        <f>IF($CS494,"",IF($CV494,VLOOKUP($AT494&amp;"|"&amp;$CU494,LocTable,4,FALSE),5))</f>
        <v/>
      </c>
      <c r="CX494" s="86">
        <f>IF($CS494,"",IF($CV494,IF(OR($BI494=$CU494,AND($BI494&lt;$CU494,$BI494-IF(N(VLOOKUP($AT494&amp;"|"&amp;$CU494,LocTable,7,FALSE))&gt;0,VLOOKUP($AT494&amp;"|"&amp;$CU494,LocTable,7,FALSE),VLOOKUP($AT494&amp;"|"&amp;$CU494,LocTable,6,FALSE))-$CR494-0.75&gt;=2.125)),IF(N(VLOOKUP($AT494&amp;"|"&amp;$CU494,LocTable,7,FALSE))&gt;0,VLOOKUP($AT494&amp;"|"&amp;$CU494,LocTable,7,FALSE),VLOOKUP($AT494&amp;"|"&amp;$CU494,LocTable,6,FALSE)),$BI494-($CU494-IF(N(VLOOKUP($AT494&amp;"|"&amp;$CU494,LocTable,7,FALSE))&gt;0,VLOOKUP($AT494&amp;"|"&amp;$CU494,LocTable,7,FALSE),VLOOKUP($AT494&amp;"|"&amp;$CU494,LocTable,6,FALSE)))),$BI494-10-$CR494))</f>
        <v/>
      </c>
      <c r="CY494" s="85">
        <f>IF($CS494,"",TRIM(IF(ISNUMBER($BU494),"A "&amp;TRIM(TEXT($BU494,"# ?/??"))&amp;CHAR(34)&amp;"  ","")&amp;IF(ISNUMBER($BV494),"B "&amp;TRIM(TEXT($BV494,"# ?/??"))&amp;CHAR(34)&amp;"  ","")&amp;IF(ISNUMBER($BW494),"C "&amp;TRIM(TEXT($BW494,"# ?/??"))&amp;CHAR(34)&amp;"  ","")&amp;IF(ISNUMBER($BX494),"D "&amp;TRIM(TEXT($BX494,"# ?/??"))&amp;CHAR(34)&amp;"  ","")&amp;IF(ISNUMBER($BY494),"F "&amp;TRIM(TEXT($BY494,"# ?/??"))&amp;CHAR(34)&amp;"  ","")&amp;IF(ISNUMBER($BZ494),"E "&amp;TRIM(TEXT($BZ494,"# ?/??"))&amp;CHAR(34)&amp;"  ","")))</f>
        <v/>
      </c>
      <c r="CZ494" s="85">
        <f>IF(OR($CS494,N($BJ494)=0),"",TRIM(IF(ISNUMBER($BU494),"A "&amp;TRIM(TEXT($BU494-HeadClr,"# ?/??"))&amp;CHAR(34)&amp;"  ","")&amp;IF(ISNUMBER($BV494),"B "&amp;TRIM(TEXT($BV494-HeadClr,"# ?/??"))&amp;CHAR(34)&amp;"  ","")&amp;IF(ISNUMBER($BW494),"C "&amp;TRIM(TEXT($BW494-HeadClr,"# ?/??"))&amp;CHAR(34)&amp;"  ","")&amp;IF(ISNUMBER($BX494),"D "&amp;TRIM(TEXT($BX494-HeadClr,"# ?/??"))&amp;CHAR(34)&amp;"  ","")&amp;IF(ISNUMBER($BY494),"F "&amp;TRIM(TEXT($BY494-HeadClr,"# ?/??"))&amp;CHAR(34)&amp;"  ","")&amp;IF(ISNUMBER($BZ494),"E "&amp;TRIM(TEXT($BZ494-HeadClr,"# ?/??"))&amp;CHAR(34)&amp;"  ","")))</f>
        <v/>
      </c>
      <c r="DA494" s="84">
        <f>IF($A494="","",IF($AN494="",IFERROR(VLOOKUP($Z494,CODES,2,FALSE),""),IFERROR(VLOOKUP($AN494,CODES,2,FALSE),"")))</f>
        <v/>
      </c>
      <c r="DB494" s="84">
        <f>IF($A494="","",IF($O494="Y","PR",IF(OR($Z494="L",$Z494="RR",LEFT($Z494,2)="L-",LEFT($Z494,3)="RR-"),"LH","RH")))</f>
        <v/>
      </c>
      <c r="DC494" s="84">
        <f>IF($A494="","","S.HM"&amp;IF(OR($C494="DOOR ONLY",$X494&lt;&gt;"KD"),"MASONRY","DRYWALL")&amp;IF($C494="DOOR ONLY","",$U494)&amp;IF(AND($C494&lt;&gt;"FRAME ONLY",OR(LEFT($AH494,3)="OAK",LEFT($AH494,3)="BIR",LEFT($AH494,3)="MAP",$AH494="PC",$AH494="MC",$AH494="SCLC",$AH494="P-LAM")),"WD","HM")&amp;"1.75")</f>
        <v/>
      </c>
      <c r="DD494" s="84">
        <f>IF($CJ494="","",IF($O494="Y",$CJ494,SUBSTITUTE($CJ494,$BG494&amp;" "&amp;IFERROR(VLOOKUP($Z494,CODES,2,FALSE),"")&amp;" ",$BG494&amp;" ")))</f>
        <v/>
      </c>
      <c r="DE494" s="84">
        <f>IF($CK494="","",IF($O494="Y",$CK494,SUBSTITUTE($CK494,$BG494&amp;" "&amp;IF($AN494="",IFERROR(VLOOKUP($Z494,CODES,2,FALSE),""),IFERROR(VLOOKUP($AN494,CODES,2,FALSE),""))&amp;" ",$BG494&amp;" ")))</f>
        <v/>
      </c>
      <c r="DF494" s="84">
        <f>IF($CJ494="","",$DC494&amp;"|"&amp;$DD494&amp;"|"&amp;$DB494&amp;"|"&amp;$AT494&amp;"|"&amp;$V494&amp;"|"&amp;$Y494&amp;"|"&amp;$AB494)</f>
        <v/>
      </c>
      <c r="DG494" s="84">
        <f>IF(DF494="","",IF(COUNTIF($DF$6:DF494,DF494)=1,MAX($DG$5:DG493)+1,INDEX($DG$5:DG493,MATCH(DF494,$DF$5:DF493,0))))</f>
        <v/>
      </c>
      <c r="DH494" s="84">
        <f>IF($CK494="","",$DC494&amp;"|"&amp;$DE494&amp;"|"&amp;$AI494&amp;"|"&amp;$BK494&amp;"|"&amp;$BL494)</f>
        <v/>
      </c>
      <c r="DI494" s="84">
        <f>IF(DH494="","",IF(COUNTIF($DH$6:DH494,DH494)=1,MAX($DI$5:DI493)+1,INDEX($DI$5:DI493,MATCH(DH494,$DH$5:DH493,0))))</f>
        <v/>
      </c>
      <c r="DJ494" s="84">
        <f>IF($A494="","",IF($B494="","qty, ","")&amp;IF($C494="","scope, ","")&amp;IF(OR($K494="",$M494=""),"size, ","")&amp;IF(AND($A494&lt;&gt;"",$C494&lt;&gt;"DOOR ONLY"),IF($U494="","jamb depth, ","")&amp;IF($X494="","construction, ","")&amp;IF($Y494="","anchor, ","")&amp;IF($S494="","frame type, ",""),"")&amp;IF(AND(N($BJ494)&gt;0,$Z494=""),"hand, ","")&amp;IF(N($BJ494)&gt;0,IF($AH494="","door material, ","")&amp;IF($AL494="","face type, ","")&amp;IF($AP494="","lock prep, ","")&amp;IF(AND($AO494="",$AC494=""),"hinge prep, ",""),"")&amp;IF(AND($CH494&gt;0,$AH494="FRP"),"FRP cannot carry a label, ","")&amp;IF(AND($O494="Y",OR($Z494="L",$Z494="R",$Z494="LR",$Z494="RR")),"pair marked but hand is single, ","")&amp;IF(AND($O494&lt;&gt;"Y",OR($Z494="PR",AND(LEN($Z494)&gt;1,ISNUMBER(SEARCH("-",$Z494))))),"pair hand on a single door, ","")&amp;IF(AND(ISNUMBER($CI494),$CH494&lt;N($CI494)),"wall needs a "&amp;$CI494&amp;" min door, ","")&amp;IF(AND($CH494&gt;=180,AND(OR($CE494="FG",$CE494="HG",$CE494="FNV",$CE494="FV"),N($CF494)*N($CG494)&gt;100)),"180 min lite over 100 sq in, ","")&amp;IF(N($BK494)&gt;48,"leaf wider than 4'-0"&amp;CHAR(34)&amp;", ","")&amp;IF(AND($CT494,COUNT($AW494:$AZ494)=0,$CQ494&gt;0),"CUSTOM LOC with no locations typed, ",""))</f>
        <v/>
      </c>
      <c r="DK494" s="84">
        <f>IF($A494="","",IF(AND($CH494&gt;0,AND($A494&lt;&gt;"",$C494&lt;&gt;"DOOR ONLY"),$X494="KD",$E494="EXTERIOR"),"KD label on an exterior opening, ","")&amp;IF(AND($E494="EXTERIOR",OR(AND(AND($A494&lt;&gt;"",$C494&lt;&gt;"DOOR ONLY"),$W494="CR"),AND(N($BJ494)&gt;0,$AH494="CR"))),"exterior in CR steel (G9?), ","")&amp;IF(AND(ISNUMBER($BQ494),N($BQ494)&lt;32),"clear width ~"&amp;TEXT($BQ494,"0.0")&amp;CHAR(34)&amp;" under 32"&amp;CHAR(34)&amp;" (ADA), ","")&amp;IF(AND($CH494=90,AND(OR($CE494="FG",$CE494="HG",$CE494="FNV",$CE494="FV"),N($CF494)*N($CG494)&gt;100)),"90 min lite over 100 sq in (stair/exit), ","")&amp;IF(AND($CH494&gt;0,AND($A494&lt;&gt;"",$C494&lt;&gt;"DOOR ONLY"),OR($AF494="",$AF494="-")),"rated: closer reinf.?, ","")&amp;IF(OR($I494="CORRIDOR",$I494="SMOKE BARRIER"),"S label + smoke gasketing, ","")&amp;IF($CI494="?","wall type/hr not in IBC table, ","")&amp;IF(AND(N($BJ494)&gt;0,$BB494=""),"no hardware set, ","")&amp;IF(AND($BB494&lt;&gt;"",ISNA(MATCH($BB494&amp;"",HWSets,0))),"set "&amp;$BB494&amp;" not on HW Sets, ","")&amp;IF(N($BL494)&gt;96,"leaf over 8'-0"&amp;CHAR(34)&amp;" - check listing, ","")&amp;IF(AND($CT494,COUNT($AW494:$AZ494)&gt;0,COUNT($AW494:$AZ494)&lt;&gt;$CQ494),COUNT($AW494:$AZ494)&amp;" custom hinges typed, "&amp;$CQ494&amp;" expected, ","")&amp;IF(AND(ISNUMBER($CA494),OR(N($CA494)&lt;34,N($CA494)&gt;48)),"lock "&amp;TEXT($CA494,"0.0")&amp;CHAR(34)&amp;" AFF outside 34-48"&amp;CHAR(34)&amp;" (ADA), ","")&amp;IF(AND(ISNUMBER($AV494),ISNUMBER($BL494),N($AV494)&lt;IF(N($BL494)&lt;=60,2,IF(N($BL494)&lt;=90,3,IF(N($BL494)&lt;=120,4,5)))),"fewer hinges than standard, ",""))</f>
        <v/>
      </c>
    </row>
    <row r="495" ht="15" customHeight="1">
      <c r="A495" s="92" t="n"/>
      <c r="B495" s="93" t="n"/>
      <c r="C495" s="93" t="n"/>
      <c r="D495" s="93" t="n"/>
      <c r="E495" s="93" t="n"/>
      <c r="F495" s="93" t="n"/>
      <c r="G495" s="93" t="n"/>
      <c r="H495" s="93" t="n"/>
      <c r="I495" s="93" t="n"/>
      <c r="J495" s="93" t="n"/>
      <c r="K495" s="93" t="n"/>
      <c r="L495" s="93" t="n"/>
      <c r="M495" s="93" t="n"/>
      <c r="N495" s="93" t="n"/>
      <c r="O495" s="93" t="n"/>
      <c r="P495" s="93" t="n"/>
      <c r="Q495" s="93" t="n"/>
      <c r="R495" s="93" t="n"/>
      <c r="S495" s="94" t="n"/>
      <c r="T495" s="94" t="n"/>
      <c r="U495" s="94" t="n"/>
      <c r="V495" s="94" t="n"/>
      <c r="W495" s="94" t="n"/>
      <c r="X495" s="94" t="n"/>
      <c r="Y495" s="94" t="n"/>
      <c r="Z495" s="94" t="n"/>
      <c r="AA495" s="94" t="n"/>
      <c r="AB495" s="94" t="n"/>
      <c r="AC495" s="94" t="n"/>
      <c r="AD495" s="94" t="n"/>
      <c r="AE495" s="94" t="n"/>
      <c r="AF495" s="94" t="n"/>
      <c r="AG495" s="94" t="n"/>
      <c r="AH495" s="95" t="n"/>
      <c r="AI495" s="95" t="n"/>
      <c r="AJ495" s="95" t="n"/>
      <c r="AK495" s="95" t="n"/>
      <c r="AL495" s="95" t="n"/>
      <c r="AM495" s="95" t="n"/>
      <c r="AN495" s="95" t="n"/>
      <c r="AO495" s="95" t="n"/>
      <c r="AP495" s="95" t="n"/>
      <c r="AQ495" s="95" t="n"/>
      <c r="AR495" s="95" t="n"/>
      <c r="AS495" s="95" t="n"/>
      <c r="AT495" s="96" t="n"/>
      <c r="AU495" s="96" t="n"/>
      <c r="AV495" s="96" t="n"/>
      <c r="AW495" s="97" t="n"/>
      <c r="AX495" s="97" t="n"/>
      <c r="AY495" s="97" t="n"/>
      <c r="AZ495" s="97" t="n"/>
      <c r="BA495" s="97" t="n"/>
      <c r="BB495" s="98" t="n"/>
      <c r="BC495" s="98" t="n"/>
      <c r="BD495" s="99">
        <f>IF($A495="","",IF($DJ495&lt;&gt;"","FIX",IF($DK495&lt;&gt;"","CHECK","OK")))</f>
        <v/>
      </c>
      <c r="BE495" s="100">
        <f>IF($A495="","",IF($DJ495&lt;&gt;"","FIX: "&amp;LEFT($DJ495,LEN($DJ495)-2)&amp;IF($DK495&lt;&gt;"","  ·  ",""),"")&amp;IF($DK495&lt;&gt;"","CHECK: "&amp;LEFT($DK495,LEN($DK495)-2),""))</f>
        <v/>
      </c>
      <c r="BF495" s="99">
        <f>IF(OR($A495="",$K495=""),"",$K495&amp;"'-"&amp;N($L495)&amp;CHAR(34)&amp;" x "&amp;$M495&amp;"'-"&amp;N($N495)&amp;CHAR(34))</f>
        <v/>
      </c>
      <c r="BG495" s="99">
        <f>IF(OR($A495="",$K495=""),"",$K495&amp;N($L495)&amp;$M495&amp;N($N495))</f>
        <v/>
      </c>
      <c r="BH495" s="99">
        <f>IF(OR($A495="",$K495=""),"",$K495*12+N($L495))</f>
        <v/>
      </c>
      <c r="BI495" s="99">
        <f>IF(OR($A495="",$M495=""),"",$M495*12+N($N495))</f>
        <v/>
      </c>
      <c r="BJ495" s="99">
        <f>IF($A495="","",IF(OR($C495="FRAME ONLY",$S495="BL"),0,IF($O495="Y",2,1)))</f>
        <v/>
      </c>
      <c r="BK495" s="101">
        <f>IF(OR(N($BJ495)=0,$BH495=""),"",($BH495-2*EdgeClr-IF($BJ495=2,MeetClr,0))/$BJ495)</f>
        <v/>
      </c>
      <c r="BL495" s="101">
        <f>IF(OR(N($BJ495)=0,$BI495=""),"",$BI495-HeadClr-Undercut)</f>
        <v/>
      </c>
      <c r="BM495" s="101">
        <f>IF($BH495="","",$BH495+2*FaceW+IF(N($Q495)&gt;0,($Q495+FaceW)*IF($R495="LR",2,1),0))</f>
        <v/>
      </c>
      <c r="BN495" s="101">
        <f>IF($BI495="","",$BI495+IF($AB495="Y",4,FaceW)+IF(N($P495)&gt;0,$P495+FaceW,0)+IF(OR($S495="4F",$S495="BL"),FaceW,0))</f>
        <v/>
      </c>
      <c r="BO495" s="101">
        <f>IF($BM495="","",$BM495+2*ROSide)</f>
        <v/>
      </c>
      <c r="BP495" s="101">
        <f>IF($BN495="","",$BN495+ROTop)</f>
        <v/>
      </c>
      <c r="BQ495" s="102">
        <f>IF(OR(N($BJ495)=0,$BH495=""),"",$BH495/$BJ495-ClearDeduct)</f>
        <v/>
      </c>
      <c r="BR495" s="99">
        <f>IF(N($CH495)=0,"",IF($CH495&gt;=180,"A · 3 HR",IF($CH495&gt;=90,"B · 1-1/2 HR",IF($CH495&gt;=60,"B · 1 HR",IF($CH495&gt;=45,"C · 3/4 HR","20 MIN")))))&amp;IF(AND(N($CH495)&gt;0,OR($I495="CORRIDOR",$I495="SMOKE BARRIER"))," · S","")</f>
        <v/>
      </c>
      <c r="BS495" s="99">
        <f>IF($CS495,"",IF($AV495&lt;&gt;"",$AV495,IF(OR($AC495="HGC",$AO495="HGC"),"CONT",IF(($BI495-HeadClr-Undercut)&lt;=60,2,IF(($BI495-HeadClr-Undercut)&lt;=90,3,IF(($BI495-HeadClr-Undercut)&lt;=120,4,5))))))</f>
        <v/>
      </c>
      <c r="BT495" s="99">
        <f>IF($CS495,"",IF($CT495,"CUSTOM (typed)",IF($CV495,$AT495&amp;" "&amp;$CU495&amp;CHAR(34)&amp;IF($CU495&lt;&gt;$BI495,IF(AND($BI495&lt;$CU495,$BI495-IF(N(VLOOKUP($AT495&amp;"|"&amp;$CU495,LocTable,7,FALSE))&gt;0,VLOOKUP($AT495&amp;"|"&amp;$CU495,LocTable,7,FALSE),VLOOKUP($AT495&amp;"|"&amp;$CU495,LocTable,6,FALSE))-$CR495-0.75&gt;=2.125)," cut down"," adj."),""),"ANSI/SDI A250.6")))</f>
        <v/>
      </c>
      <c r="BU495" s="103">
        <f>IF($CS495,"",IF($CT495,IF(N($AW495)&gt;0,N($AW495),""),IF(1&gt;$CQ495,"",IF($CQ495=1,$CW495,$CW495+($CX495-$CW495)*0/($CQ495-1)))))</f>
        <v/>
      </c>
      <c r="BV495" s="103">
        <f>IF($CS495,"",IF($CT495,IF(N($AX495)&gt;0,N($AX495),""),IF(2&gt;$CQ495,"",IF($CQ495=1,$CW495,$CW495+($CX495-$CW495)*1/($CQ495-1)))))</f>
        <v/>
      </c>
      <c r="BW495" s="103">
        <f>IF($CS495,"",IF($CT495,IF(N($AY495)&gt;0,N($AY495),""),IF(3&gt;$CQ495,"",IF($CQ495=1,$CW495,$CW495+($CX495-$CW495)*2/($CQ495-1)))))</f>
        <v/>
      </c>
      <c r="BX495" s="103">
        <f>IF($CS495,"",IF($CT495,IF(N($AZ495)&gt;0,N($AZ495),""),IF(4&gt;$CQ495,"",IF($CQ495=1,$CW495,$CW495+($CX495-$CW495)*3/($CQ495-1)))))</f>
        <v/>
      </c>
      <c r="BY495" s="103">
        <f>IF($CS495,"",IF($CT495,"",IF(5&gt;$CQ495,"",IF($CQ495=1,$CW495,$CW495+($CX495-$CW495)*4/($CQ495-1)))))</f>
        <v/>
      </c>
      <c r="BZ495" s="103">
        <f>IF(OR($CS495,$AP495="-",AND($AP495="",$AD495="")),"",IF(N($BA495)&gt;0,N($BA495),IF($CV495,IF(AND($BI495&lt;$CU495,$BI495-IF(N(VLOOKUP($AT495&amp;"|"&amp;$CU495,LocTable,7,FALSE))&gt;0,VLOOKUP($AT495&amp;"|"&amp;$CU495,LocTable,7,FALSE),VLOOKUP($AT495&amp;"|"&amp;$CU495,LocTable,6,FALSE))-$CR495-0.75&gt;=2.125),VLOOKUP($AT495&amp;"|"&amp;$CU495,LocTable,8,FALSE),VLOOKUP($AT495&amp;"|"&amp;$CU495,LocTable,8,FALSE)+($BI495-$CU495)),$BI495-LockAFF)))</f>
        <v/>
      </c>
      <c r="CA495" s="104">
        <f>IF($BZ495="","",$BI495-$BZ495)</f>
        <v/>
      </c>
      <c r="CB495" s="99">
        <f>IF(OR(NOT(AND($A495&lt;&gt;"",$C495&lt;&gt;"DOOR ONLY")),$BI495=""),"",IF(($BI495+IF(N($P495)&gt;0,$P495+FaceW,0))&lt;=90,3,IF(($BI495+IF(N($P495)&gt;0,$P495+FaceW,0))&lt;=114,4,5)))</f>
        <v/>
      </c>
      <c r="CC495" s="99">
        <f>IF($CB495="","",$CB495*(2+IF(N($Q495)&gt;0,IF($R495="LR",2,1),0)))</f>
        <v/>
      </c>
      <c r="CD495" s="99">
        <f>IF($CB495="","",(2+IF(N($Q495)&gt;0,IF($R495="LR",2,1),0)))</f>
        <v/>
      </c>
      <c r="CE495" s="99">
        <f>IF(N($BJ495)=0,"",IF(OR($AL495="",$AL495="FLUSH"),"FLUSH",IFERROR(LEFT($AL495,FIND("-",$AL495)-1),LEFT($AL495,2))))</f>
        <v/>
      </c>
      <c r="CF495" s="99">
        <f>IF($CE495="","",IFERROR(VALUE(MID($AL495,FIND("-",$AL495)+1,FIND(CHAR(34)&amp;"x",$AL495)-FIND("-",$AL495)-1)),0))</f>
        <v/>
      </c>
      <c r="CG495" s="99">
        <f>IF($CE495="","",IFERROR(VALUE(MID($AL495,FIND(CHAR(34)&amp;"x",$AL495)+2,FIND(CHAR(34),$AL495,FIND(CHAR(34)&amp;"x",$AL495)+2)-FIND(CHAR(34)&amp;"x",$AL495)-2)),0))</f>
        <v/>
      </c>
      <c r="CH495" s="105">
        <f>IF(OR($A495="",$H495="",$H495="NO LAB"),0,IFERROR(VALUE(LEFT($H495,FIND(" ",$H495)-1)),0))</f>
        <v/>
      </c>
      <c r="CI495" s="106">
        <f>IF(OR($A495="",$I495="",$I495="NON-RATED",N($J495)=0),"",IFERROR(VLOOKUP($I495&amp;"|"&amp;$J495,IBC,2,FALSE),"?"))</f>
        <v/>
      </c>
      <c r="CJ495" s="100">
        <f>IF(NOT(AND($A495&lt;&gt;"",$C495&lt;&gt;"DOOR ONLY")),"",TRIM(IFERROR(VLOOKUP($U495,CODES,2,FALSE),"")&amp;" "&amp;$BG495&amp;" "&amp;IFERROR(VLOOKUP($Z495,CODES,2,FALSE),"")&amp;" "&amp;IFERROR(VLOOKUP($X495,CODES,2,FALSE),"")&amp;" "&amp;IFERROR(VLOOKUP($S495,CODES,2,FALSE),"")&amp;IF(N($P495)&gt;0," w/TRANSOM "&amp;$P495&amp;CHAR(34),"")&amp;IF(N($Q495)&gt;0," w/SIDELITE "&amp;$Q495&amp;CHAR(34)&amp;" "&amp;IF($R495="","R",$R495),"")&amp;IF($Y495="","  |  "," | "&amp;IFERROR(VLOOKUP($Y495,CODES,2,FALSE),"")&amp;" | ")&amp;IFERROR(VLOOKUP($AC495,CODES,2,FALSE),"")&amp;" "&amp;IFERROR(VLOOKUP($AD495,CODES,2,FALSE),"")&amp;IF(OR($AE495="",$AE495="-"),""," "&amp;$AE495)&amp;IF(OR($AF495="",$AF495="-"),""," "&amp;$AF495)&amp;IF($AB495="Y"," 4"&amp;CHAR(34)&amp;" HEAD","")&amp;" "&amp;IFERROR(VLOOKUP($H495,CODES,2,FALSE),"")&amp;IF($CT495," | LOC "&amp;$CY495,"")))</f>
        <v/>
      </c>
      <c r="CK495" s="100">
        <f>IF(NOT(AND($A495&lt;&gt;"",N($BJ495)&gt;0)),"",TRIM(IFERROR(VLOOKUP($AH495,CODES,2,FALSE),"")&amp;IF($AI495=""," "," "&amp;$AI495&amp;"GA ")&amp;$BG495&amp;" "&amp;IF($AN495="",IFERROR(VLOOKUP($Z495,CODES,2,FALSE),""),IFERROR(VLOOKUP($AN495,CODES,2,FALSE),""))&amp;IF($BJ495=2," PAIR","")&amp;" DOOR | "&amp;IF($AL495="","?",$AL495)&amp;" | "&amp;IF($AO495="",IFERROR(VLOOKUP($AC495,CODES,2,FALSE),""),IFERROR(VLOOKUP($AO495,CODES,2,FALSE),""))&amp;" "&amp;IFERROR(VLOOKUP($AP495,CODES,2,FALSE),"")&amp;IF(OR($AQ495="",$AQ495="-"),""," SEAM "&amp;$AQ495)&amp;IF($AR495="Y"," ASTRAGAL","")&amp;IF($AJ495=""," "," "&amp;$AJ495)&amp;IF($AK495=""," "," "&amp;$AK495)&amp;IF(OR($AT495="",$AT495="ANSI/SDI",$AT495="CUSTOM LOC"),""," "&amp;$AT495)&amp;IF($AM495=""," "," SERIES "&amp;$AM495)&amp;" "&amp;IFERROR(VLOOKUP($H495,CODES,2,FALSE),"")&amp;IF($CT495," | LOC "&amp;$CZ495,"")))</f>
        <v/>
      </c>
      <c r="CL495" s="99">
        <f>IF(CP495="","",IF(COUNTIF($CP$6:CP495,CP495)=1,MAX($CL$5:CL494)+1,INDEX($CL$5:CL494,MATCH(CP495,$CP$5:CP494,0))))</f>
        <v/>
      </c>
      <c r="CM495" s="99">
        <f>IF(NOT(AND($A495&lt;&gt;"",$C495&lt;&gt;"DOOR ONLY")),"",MAX($CM$5:CM494)+1)</f>
        <v/>
      </c>
      <c r="CN495" s="99">
        <f>IF(NOT(AND($A495&lt;&gt;"",N($BJ495)&gt;0)),"",MAX($CN$5:CN494)+1)</f>
        <v/>
      </c>
      <c r="CO495" s="99">
        <f>IF($A495="","",MAX($CO$5:CO494)+1)</f>
        <v/>
      </c>
      <c r="CP495" s="99">
        <f>IF(OR($A495="",$BH495="",$BI495=""),"",$BG495&amp;"|"&amp;$O495&amp;"|"&amp;$AL495&amp;"|"&amp;$S495&amp;"|"&amp;$P495&amp;"|"&amp;$Q495&amp;$R495&amp;"|"&amp;$C495&amp;"|"&amp;$AB495)</f>
        <v/>
      </c>
      <c r="CQ495" s="99">
        <f>N($BS495)</f>
        <v/>
      </c>
      <c r="CR495" s="99">
        <f>IF(N($AU495)&gt;0,N($AU495),4.5)</f>
        <v/>
      </c>
      <c r="CS495" s="99">
        <f>OR($A495="",$BI495="",$S495="BL",AND($C495="FRAME ONLY",OR($AC495="",$AC495="BLK")))</f>
        <v/>
      </c>
      <c r="CT495" s="99">
        <f>AND(NOT($CS495),OR($AT495="CUSTOM LOC",N($AW495)+N($AX495)+N($AY495)+N($AZ495)+N($BA495)&gt;0))</f>
        <v/>
      </c>
      <c r="CU495" s="99">
        <f>IF($BI495="","",IF($BI495&lt;=80,80,IF($BI495&lt;=84,84,96)))</f>
        <v/>
      </c>
      <c r="CV495" s="99">
        <f>ISNUMBER(MATCH($AT495&amp;"|80",LocKeys,0))</f>
        <v/>
      </c>
      <c r="CW495" s="101">
        <f>IF($CS495,"",IF($CV495,VLOOKUP($AT495&amp;"|"&amp;$CU495,LocTable,4,FALSE),5))</f>
        <v/>
      </c>
      <c r="CX495" s="101">
        <f>IF($CS495,"",IF($CV495,IF(OR($BI495=$CU495,AND($BI495&lt;$CU495,$BI495-IF(N(VLOOKUP($AT495&amp;"|"&amp;$CU495,LocTable,7,FALSE))&gt;0,VLOOKUP($AT495&amp;"|"&amp;$CU495,LocTable,7,FALSE),VLOOKUP($AT495&amp;"|"&amp;$CU495,LocTable,6,FALSE))-$CR495-0.75&gt;=2.125)),IF(N(VLOOKUP($AT495&amp;"|"&amp;$CU495,LocTable,7,FALSE))&gt;0,VLOOKUP($AT495&amp;"|"&amp;$CU495,LocTable,7,FALSE),VLOOKUP($AT495&amp;"|"&amp;$CU495,LocTable,6,FALSE)),$BI495-($CU495-IF(N(VLOOKUP($AT495&amp;"|"&amp;$CU495,LocTable,7,FALSE))&gt;0,VLOOKUP($AT495&amp;"|"&amp;$CU495,LocTable,7,FALSE),VLOOKUP($AT495&amp;"|"&amp;$CU495,LocTable,6,FALSE)))),$BI495-10-$CR495))</f>
        <v/>
      </c>
      <c r="CY495" s="100">
        <f>IF($CS495,"",TRIM(IF(ISNUMBER($BU495),"A "&amp;TRIM(TEXT($BU495,"# ?/??"))&amp;CHAR(34)&amp;"  ","")&amp;IF(ISNUMBER($BV495),"B "&amp;TRIM(TEXT($BV495,"# ?/??"))&amp;CHAR(34)&amp;"  ","")&amp;IF(ISNUMBER($BW495),"C "&amp;TRIM(TEXT($BW495,"# ?/??"))&amp;CHAR(34)&amp;"  ","")&amp;IF(ISNUMBER($BX495),"D "&amp;TRIM(TEXT($BX495,"# ?/??"))&amp;CHAR(34)&amp;"  ","")&amp;IF(ISNUMBER($BY495),"F "&amp;TRIM(TEXT($BY495,"# ?/??"))&amp;CHAR(34)&amp;"  ","")&amp;IF(ISNUMBER($BZ495),"E "&amp;TRIM(TEXT($BZ495,"# ?/??"))&amp;CHAR(34)&amp;"  ","")))</f>
        <v/>
      </c>
      <c r="CZ495" s="100">
        <f>IF(OR($CS495,N($BJ495)=0),"",TRIM(IF(ISNUMBER($BU495),"A "&amp;TRIM(TEXT($BU495-HeadClr,"# ?/??"))&amp;CHAR(34)&amp;"  ","")&amp;IF(ISNUMBER($BV495),"B "&amp;TRIM(TEXT($BV495-HeadClr,"# ?/??"))&amp;CHAR(34)&amp;"  ","")&amp;IF(ISNUMBER($BW495),"C "&amp;TRIM(TEXT($BW495-HeadClr,"# ?/??"))&amp;CHAR(34)&amp;"  ","")&amp;IF(ISNUMBER($BX495),"D "&amp;TRIM(TEXT($BX495-HeadClr,"# ?/??"))&amp;CHAR(34)&amp;"  ","")&amp;IF(ISNUMBER($BY495),"F "&amp;TRIM(TEXT($BY495-HeadClr,"# ?/??"))&amp;CHAR(34)&amp;"  ","")&amp;IF(ISNUMBER($BZ495),"E "&amp;TRIM(TEXT($BZ495-HeadClr,"# ?/??"))&amp;CHAR(34)&amp;"  ","")))</f>
        <v/>
      </c>
      <c r="DA495" s="99">
        <f>IF($A495="","",IF($AN495="",IFERROR(VLOOKUP($Z495,CODES,2,FALSE),""),IFERROR(VLOOKUP($AN495,CODES,2,FALSE),"")))</f>
        <v/>
      </c>
      <c r="DB495" s="99">
        <f>IF($A495="","",IF($O495="Y","PR",IF(OR($Z495="L",$Z495="RR",LEFT($Z495,2)="L-",LEFT($Z495,3)="RR-"),"LH","RH")))</f>
        <v/>
      </c>
      <c r="DC495" s="99">
        <f>IF($A495="","","S.HM"&amp;IF(OR($C495="DOOR ONLY",$X495&lt;&gt;"KD"),"MASONRY","DRYWALL")&amp;IF($C495="DOOR ONLY","",$U495)&amp;IF(AND($C495&lt;&gt;"FRAME ONLY",OR(LEFT($AH495,3)="OAK",LEFT($AH495,3)="BIR",LEFT($AH495,3)="MAP",$AH495="PC",$AH495="MC",$AH495="SCLC",$AH495="P-LAM")),"WD","HM")&amp;"1.75")</f>
        <v/>
      </c>
      <c r="DD495" s="99">
        <f>IF($CJ495="","",IF($O495="Y",$CJ495,SUBSTITUTE($CJ495,$BG495&amp;" "&amp;IFERROR(VLOOKUP($Z495,CODES,2,FALSE),"")&amp;" ",$BG495&amp;" ")))</f>
        <v/>
      </c>
      <c r="DE495" s="99">
        <f>IF($CK495="","",IF($O495="Y",$CK495,SUBSTITUTE($CK495,$BG495&amp;" "&amp;IF($AN495="",IFERROR(VLOOKUP($Z495,CODES,2,FALSE),""),IFERROR(VLOOKUP($AN495,CODES,2,FALSE),""))&amp;" ",$BG495&amp;" ")))</f>
        <v/>
      </c>
      <c r="DF495" s="99">
        <f>IF($CJ495="","",$DC495&amp;"|"&amp;$DD495&amp;"|"&amp;$DB495&amp;"|"&amp;$AT495&amp;"|"&amp;$V495&amp;"|"&amp;$Y495&amp;"|"&amp;$AB495)</f>
        <v/>
      </c>
      <c r="DG495" s="99">
        <f>IF(DF495="","",IF(COUNTIF($DF$6:DF495,DF495)=1,MAX($DG$5:DG494)+1,INDEX($DG$5:DG494,MATCH(DF495,$DF$5:DF494,0))))</f>
        <v/>
      </c>
      <c r="DH495" s="99">
        <f>IF($CK495="","",$DC495&amp;"|"&amp;$DE495&amp;"|"&amp;$AI495&amp;"|"&amp;$BK495&amp;"|"&amp;$BL495)</f>
        <v/>
      </c>
      <c r="DI495" s="99">
        <f>IF(DH495="","",IF(COUNTIF($DH$6:DH495,DH495)=1,MAX($DI$5:DI494)+1,INDEX($DI$5:DI494,MATCH(DH495,$DH$5:DH494,0))))</f>
        <v/>
      </c>
      <c r="DJ495" s="99">
        <f>IF($A495="","",IF($B495="","qty, ","")&amp;IF($C495="","scope, ","")&amp;IF(OR($K495="",$M495=""),"size, ","")&amp;IF(AND($A495&lt;&gt;"",$C495&lt;&gt;"DOOR ONLY"),IF($U495="","jamb depth, ","")&amp;IF($X495="","construction, ","")&amp;IF($Y495="","anchor, ","")&amp;IF($S495="","frame type, ",""),"")&amp;IF(AND(N($BJ495)&gt;0,$Z495=""),"hand, ","")&amp;IF(N($BJ495)&gt;0,IF($AH495="","door material, ","")&amp;IF($AL495="","face type, ","")&amp;IF($AP495="","lock prep, ","")&amp;IF(AND($AO495="",$AC495=""),"hinge prep, ",""),"")&amp;IF(AND($CH495&gt;0,$AH495="FRP"),"FRP cannot carry a label, ","")&amp;IF(AND($O495="Y",OR($Z495="L",$Z495="R",$Z495="LR",$Z495="RR")),"pair marked but hand is single, ","")&amp;IF(AND($O495&lt;&gt;"Y",OR($Z495="PR",AND(LEN($Z495)&gt;1,ISNUMBER(SEARCH("-",$Z495))))),"pair hand on a single door, ","")&amp;IF(AND(ISNUMBER($CI495),$CH495&lt;N($CI495)),"wall needs a "&amp;$CI495&amp;" min door, ","")&amp;IF(AND($CH495&gt;=180,AND(OR($CE495="FG",$CE495="HG",$CE495="FNV",$CE495="FV"),N($CF495)*N($CG495)&gt;100)),"180 min lite over 100 sq in, ","")&amp;IF(N($BK495)&gt;48,"leaf wider than 4'-0"&amp;CHAR(34)&amp;", ","")&amp;IF(AND($CT495,COUNT($AW495:$AZ495)=0,$CQ495&gt;0),"CUSTOM LOC with no locations typed, ",""))</f>
        <v/>
      </c>
      <c r="DK495" s="99">
        <f>IF($A495="","",IF(AND($CH495&gt;0,AND($A495&lt;&gt;"",$C495&lt;&gt;"DOOR ONLY"),$X495="KD",$E495="EXTERIOR"),"KD label on an exterior opening, ","")&amp;IF(AND($E495="EXTERIOR",OR(AND(AND($A495&lt;&gt;"",$C495&lt;&gt;"DOOR ONLY"),$W495="CR"),AND(N($BJ495)&gt;0,$AH495="CR"))),"exterior in CR steel (G9?), ","")&amp;IF(AND(ISNUMBER($BQ495),N($BQ495)&lt;32),"clear width ~"&amp;TEXT($BQ495,"0.0")&amp;CHAR(34)&amp;" under 32"&amp;CHAR(34)&amp;" (ADA), ","")&amp;IF(AND($CH495=90,AND(OR($CE495="FG",$CE495="HG",$CE495="FNV",$CE495="FV"),N($CF495)*N($CG495)&gt;100)),"90 min lite over 100 sq in (stair/exit), ","")&amp;IF(AND($CH495&gt;0,AND($A495&lt;&gt;"",$C495&lt;&gt;"DOOR ONLY"),OR($AF495="",$AF495="-")),"rated: closer reinf.?, ","")&amp;IF(OR($I495="CORRIDOR",$I495="SMOKE BARRIER"),"S label + smoke gasketing, ","")&amp;IF($CI495="?","wall type/hr not in IBC table, ","")&amp;IF(AND(N($BJ495)&gt;0,$BB495=""),"no hardware set, ","")&amp;IF(AND($BB495&lt;&gt;"",ISNA(MATCH($BB495&amp;"",HWSets,0))),"set "&amp;$BB495&amp;" not on HW Sets, ","")&amp;IF(N($BL495)&gt;96,"leaf over 8'-0"&amp;CHAR(34)&amp;" - check listing, ","")&amp;IF(AND($CT495,COUNT($AW495:$AZ495)&gt;0,COUNT($AW495:$AZ495)&lt;&gt;$CQ495),COUNT($AW495:$AZ495)&amp;" custom hinges typed, "&amp;$CQ495&amp;" expected, ","")&amp;IF(AND(ISNUMBER($CA495),OR(N($CA495)&lt;34,N($CA495)&gt;48)),"lock "&amp;TEXT($CA495,"0.0")&amp;CHAR(34)&amp;" AFF outside 34-48"&amp;CHAR(34)&amp;" (ADA), ","")&amp;IF(AND(ISNUMBER($AV495),ISNUMBER($BL495),N($AV495)&lt;IF(N($BL495)&lt;=60,2,IF(N($BL495)&lt;=90,3,IF(N($BL495)&lt;=120,4,5)))),"fewer hinges than standard, ",""))</f>
        <v/>
      </c>
    </row>
    <row r="496" ht="15" customHeight="1">
      <c r="A496" s="77" t="n"/>
      <c r="B496" s="78" t="n"/>
      <c r="C496" s="78" t="n"/>
      <c r="D496" s="78" t="n"/>
      <c r="E496" s="78" t="n"/>
      <c r="F496" s="78" t="n"/>
      <c r="G496" s="78" t="n"/>
      <c r="H496" s="78" t="n"/>
      <c r="I496" s="78" t="n"/>
      <c r="J496" s="78" t="n"/>
      <c r="K496" s="78" t="n"/>
      <c r="L496" s="78" t="n"/>
      <c r="M496" s="78" t="n"/>
      <c r="N496" s="78" t="n"/>
      <c r="O496" s="78" t="n"/>
      <c r="P496" s="78" t="n"/>
      <c r="Q496" s="78" t="n"/>
      <c r="R496" s="78" t="n"/>
      <c r="S496" s="79" t="n"/>
      <c r="T496" s="79" t="n"/>
      <c r="U496" s="79" t="n"/>
      <c r="V496" s="79" t="n"/>
      <c r="W496" s="79" t="n"/>
      <c r="X496" s="79" t="n"/>
      <c r="Y496" s="79" t="n"/>
      <c r="Z496" s="79" t="n"/>
      <c r="AA496" s="79" t="n"/>
      <c r="AB496" s="79" t="n"/>
      <c r="AC496" s="79" t="n"/>
      <c r="AD496" s="79" t="n"/>
      <c r="AE496" s="79" t="n"/>
      <c r="AF496" s="79" t="n"/>
      <c r="AG496" s="79" t="n"/>
      <c r="AH496" s="80" t="n"/>
      <c r="AI496" s="80" t="n"/>
      <c r="AJ496" s="80" t="n"/>
      <c r="AK496" s="80" t="n"/>
      <c r="AL496" s="80" t="n"/>
      <c r="AM496" s="80" t="n"/>
      <c r="AN496" s="80" t="n"/>
      <c r="AO496" s="80" t="n"/>
      <c r="AP496" s="80" t="n"/>
      <c r="AQ496" s="80" t="n"/>
      <c r="AR496" s="80" t="n"/>
      <c r="AS496" s="80" t="n"/>
      <c r="AT496" s="81" t="n"/>
      <c r="AU496" s="81" t="n"/>
      <c r="AV496" s="81" t="n"/>
      <c r="AW496" s="82" t="n"/>
      <c r="AX496" s="82" t="n"/>
      <c r="AY496" s="82" t="n"/>
      <c r="AZ496" s="82" t="n"/>
      <c r="BA496" s="82" t="n"/>
      <c r="BB496" s="83" t="n"/>
      <c r="BC496" s="83" t="n"/>
      <c r="BD496" s="84">
        <f>IF($A496="","",IF($DJ496&lt;&gt;"","FIX",IF($DK496&lt;&gt;"","CHECK","OK")))</f>
        <v/>
      </c>
      <c r="BE496" s="85">
        <f>IF($A496="","",IF($DJ496&lt;&gt;"","FIX: "&amp;LEFT($DJ496,LEN($DJ496)-2)&amp;IF($DK496&lt;&gt;"","  ·  ",""),"")&amp;IF($DK496&lt;&gt;"","CHECK: "&amp;LEFT($DK496,LEN($DK496)-2),""))</f>
        <v/>
      </c>
      <c r="BF496" s="84">
        <f>IF(OR($A496="",$K496=""),"",$K496&amp;"'-"&amp;N($L496)&amp;CHAR(34)&amp;" x "&amp;$M496&amp;"'-"&amp;N($N496)&amp;CHAR(34))</f>
        <v/>
      </c>
      <c r="BG496" s="84">
        <f>IF(OR($A496="",$K496=""),"",$K496&amp;N($L496)&amp;$M496&amp;N($N496))</f>
        <v/>
      </c>
      <c r="BH496" s="84">
        <f>IF(OR($A496="",$K496=""),"",$K496*12+N($L496))</f>
        <v/>
      </c>
      <c r="BI496" s="84">
        <f>IF(OR($A496="",$M496=""),"",$M496*12+N($N496))</f>
        <v/>
      </c>
      <c r="BJ496" s="84">
        <f>IF($A496="","",IF(OR($C496="FRAME ONLY",$S496="BL"),0,IF($O496="Y",2,1)))</f>
        <v/>
      </c>
      <c r="BK496" s="86">
        <f>IF(OR(N($BJ496)=0,$BH496=""),"",($BH496-2*EdgeClr-IF($BJ496=2,MeetClr,0))/$BJ496)</f>
        <v/>
      </c>
      <c r="BL496" s="86">
        <f>IF(OR(N($BJ496)=0,$BI496=""),"",$BI496-HeadClr-Undercut)</f>
        <v/>
      </c>
      <c r="BM496" s="86">
        <f>IF($BH496="","",$BH496+2*FaceW+IF(N($Q496)&gt;0,($Q496+FaceW)*IF($R496="LR",2,1),0))</f>
        <v/>
      </c>
      <c r="BN496" s="86">
        <f>IF($BI496="","",$BI496+IF($AB496="Y",4,FaceW)+IF(N($P496)&gt;0,$P496+FaceW,0)+IF(OR($S496="4F",$S496="BL"),FaceW,0))</f>
        <v/>
      </c>
      <c r="BO496" s="86">
        <f>IF($BM496="","",$BM496+2*ROSide)</f>
        <v/>
      </c>
      <c r="BP496" s="86">
        <f>IF($BN496="","",$BN496+ROTop)</f>
        <v/>
      </c>
      <c r="BQ496" s="87">
        <f>IF(OR(N($BJ496)=0,$BH496=""),"",$BH496/$BJ496-ClearDeduct)</f>
        <v/>
      </c>
      <c r="BR496" s="84">
        <f>IF(N($CH496)=0,"",IF($CH496&gt;=180,"A · 3 HR",IF($CH496&gt;=90,"B · 1-1/2 HR",IF($CH496&gt;=60,"B · 1 HR",IF($CH496&gt;=45,"C · 3/4 HR","20 MIN")))))&amp;IF(AND(N($CH496)&gt;0,OR($I496="CORRIDOR",$I496="SMOKE BARRIER"))," · S","")</f>
        <v/>
      </c>
      <c r="BS496" s="84">
        <f>IF($CS496,"",IF($AV496&lt;&gt;"",$AV496,IF(OR($AC496="HGC",$AO496="HGC"),"CONT",IF(($BI496-HeadClr-Undercut)&lt;=60,2,IF(($BI496-HeadClr-Undercut)&lt;=90,3,IF(($BI496-HeadClr-Undercut)&lt;=120,4,5))))))</f>
        <v/>
      </c>
      <c r="BT496" s="84">
        <f>IF($CS496,"",IF($CT496,"CUSTOM (typed)",IF($CV496,$AT496&amp;" "&amp;$CU496&amp;CHAR(34)&amp;IF($CU496&lt;&gt;$BI496,IF(AND($BI496&lt;$CU496,$BI496-IF(N(VLOOKUP($AT496&amp;"|"&amp;$CU496,LocTable,7,FALSE))&gt;0,VLOOKUP($AT496&amp;"|"&amp;$CU496,LocTable,7,FALSE),VLOOKUP($AT496&amp;"|"&amp;$CU496,LocTable,6,FALSE))-$CR496-0.75&gt;=2.125)," cut down"," adj."),""),"ANSI/SDI A250.6")))</f>
        <v/>
      </c>
      <c r="BU496" s="88">
        <f>IF($CS496,"",IF($CT496,IF(N($AW496)&gt;0,N($AW496),""),IF(1&gt;$CQ496,"",IF($CQ496=1,$CW496,$CW496+($CX496-$CW496)*0/($CQ496-1)))))</f>
        <v/>
      </c>
      <c r="BV496" s="88">
        <f>IF($CS496,"",IF($CT496,IF(N($AX496)&gt;0,N($AX496),""),IF(2&gt;$CQ496,"",IF($CQ496=1,$CW496,$CW496+($CX496-$CW496)*1/($CQ496-1)))))</f>
        <v/>
      </c>
      <c r="BW496" s="88">
        <f>IF($CS496,"",IF($CT496,IF(N($AY496)&gt;0,N($AY496),""),IF(3&gt;$CQ496,"",IF($CQ496=1,$CW496,$CW496+($CX496-$CW496)*2/($CQ496-1)))))</f>
        <v/>
      </c>
      <c r="BX496" s="88">
        <f>IF($CS496,"",IF($CT496,IF(N($AZ496)&gt;0,N($AZ496),""),IF(4&gt;$CQ496,"",IF($CQ496=1,$CW496,$CW496+($CX496-$CW496)*3/($CQ496-1)))))</f>
        <v/>
      </c>
      <c r="BY496" s="88">
        <f>IF($CS496,"",IF($CT496,"",IF(5&gt;$CQ496,"",IF($CQ496=1,$CW496,$CW496+($CX496-$CW496)*4/($CQ496-1)))))</f>
        <v/>
      </c>
      <c r="BZ496" s="88">
        <f>IF(OR($CS496,$AP496="-",AND($AP496="",$AD496="")),"",IF(N($BA496)&gt;0,N($BA496),IF($CV496,IF(AND($BI496&lt;$CU496,$BI496-IF(N(VLOOKUP($AT496&amp;"|"&amp;$CU496,LocTable,7,FALSE))&gt;0,VLOOKUP($AT496&amp;"|"&amp;$CU496,LocTable,7,FALSE),VLOOKUP($AT496&amp;"|"&amp;$CU496,LocTable,6,FALSE))-$CR496-0.75&gt;=2.125),VLOOKUP($AT496&amp;"|"&amp;$CU496,LocTable,8,FALSE),VLOOKUP($AT496&amp;"|"&amp;$CU496,LocTable,8,FALSE)+($BI496-$CU496)),$BI496-LockAFF)))</f>
        <v/>
      </c>
      <c r="CA496" s="89">
        <f>IF($BZ496="","",$BI496-$BZ496)</f>
        <v/>
      </c>
      <c r="CB496" s="84">
        <f>IF(OR(NOT(AND($A496&lt;&gt;"",$C496&lt;&gt;"DOOR ONLY")),$BI496=""),"",IF(($BI496+IF(N($P496)&gt;0,$P496+FaceW,0))&lt;=90,3,IF(($BI496+IF(N($P496)&gt;0,$P496+FaceW,0))&lt;=114,4,5)))</f>
        <v/>
      </c>
      <c r="CC496" s="84">
        <f>IF($CB496="","",$CB496*(2+IF(N($Q496)&gt;0,IF($R496="LR",2,1),0)))</f>
        <v/>
      </c>
      <c r="CD496" s="84">
        <f>IF($CB496="","",(2+IF(N($Q496)&gt;0,IF($R496="LR",2,1),0)))</f>
        <v/>
      </c>
      <c r="CE496" s="84">
        <f>IF(N($BJ496)=0,"",IF(OR($AL496="",$AL496="FLUSH"),"FLUSH",IFERROR(LEFT($AL496,FIND("-",$AL496)-1),LEFT($AL496,2))))</f>
        <v/>
      </c>
      <c r="CF496" s="84">
        <f>IF($CE496="","",IFERROR(VALUE(MID($AL496,FIND("-",$AL496)+1,FIND(CHAR(34)&amp;"x",$AL496)-FIND("-",$AL496)-1)),0))</f>
        <v/>
      </c>
      <c r="CG496" s="84">
        <f>IF($CE496="","",IFERROR(VALUE(MID($AL496,FIND(CHAR(34)&amp;"x",$AL496)+2,FIND(CHAR(34),$AL496,FIND(CHAR(34)&amp;"x",$AL496)+2)-FIND(CHAR(34)&amp;"x",$AL496)-2)),0))</f>
        <v/>
      </c>
      <c r="CH496" s="90">
        <f>IF(OR($A496="",$H496="",$H496="NO LAB"),0,IFERROR(VALUE(LEFT($H496,FIND(" ",$H496)-1)),0))</f>
        <v/>
      </c>
      <c r="CI496" s="91">
        <f>IF(OR($A496="",$I496="",$I496="NON-RATED",N($J496)=0),"",IFERROR(VLOOKUP($I496&amp;"|"&amp;$J496,IBC,2,FALSE),"?"))</f>
        <v/>
      </c>
      <c r="CJ496" s="85">
        <f>IF(NOT(AND($A496&lt;&gt;"",$C496&lt;&gt;"DOOR ONLY")),"",TRIM(IFERROR(VLOOKUP($U496,CODES,2,FALSE),"")&amp;" "&amp;$BG496&amp;" "&amp;IFERROR(VLOOKUP($Z496,CODES,2,FALSE),"")&amp;" "&amp;IFERROR(VLOOKUP($X496,CODES,2,FALSE),"")&amp;" "&amp;IFERROR(VLOOKUP($S496,CODES,2,FALSE),"")&amp;IF(N($P496)&gt;0," w/TRANSOM "&amp;$P496&amp;CHAR(34),"")&amp;IF(N($Q496)&gt;0," w/SIDELITE "&amp;$Q496&amp;CHAR(34)&amp;" "&amp;IF($R496="","R",$R496),"")&amp;IF($Y496="","  |  "," | "&amp;IFERROR(VLOOKUP($Y496,CODES,2,FALSE),"")&amp;" | ")&amp;IFERROR(VLOOKUP($AC496,CODES,2,FALSE),"")&amp;" "&amp;IFERROR(VLOOKUP($AD496,CODES,2,FALSE),"")&amp;IF(OR($AE496="",$AE496="-"),""," "&amp;$AE496)&amp;IF(OR($AF496="",$AF496="-"),""," "&amp;$AF496)&amp;IF($AB496="Y"," 4"&amp;CHAR(34)&amp;" HEAD","")&amp;" "&amp;IFERROR(VLOOKUP($H496,CODES,2,FALSE),"")&amp;IF($CT496," | LOC "&amp;$CY496,"")))</f>
        <v/>
      </c>
      <c r="CK496" s="85">
        <f>IF(NOT(AND($A496&lt;&gt;"",N($BJ496)&gt;0)),"",TRIM(IFERROR(VLOOKUP($AH496,CODES,2,FALSE),"")&amp;IF($AI496=""," "," "&amp;$AI496&amp;"GA ")&amp;$BG496&amp;" "&amp;IF($AN496="",IFERROR(VLOOKUP($Z496,CODES,2,FALSE),""),IFERROR(VLOOKUP($AN496,CODES,2,FALSE),""))&amp;IF($BJ496=2," PAIR","")&amp;" DOOR | "&amp;IF($AL496="","?",$AL496)&amp;" | "&amp;IF($AO496="",IFERROR(VLOOKUP($AC496,CODES,2,FALSE),""),IFERROR(VLOOKUP($AO496,CODES,2,FALSE),""))&amp;" "&amp;IFERROR(VLOOKUP($AP496,CODES,2,FALSE),"")&amp;IF(OR($AQ496="",$AQ496="-"),""," SEAM "&amp;$AQ496)&amp;IF($AR496="Y"," ASTRAGAL","")&amp;IF($AJ496=""," "," "&amp;$AJ496)&amp;IF($AK496=""," "," "&amp;$AK496)&amp;IF(OR($AT496="",$AT496="ANSI/SDI",$AT496="CUSTOM LOC"),""," "&amp;$AT496)&amp;IF($AM496=""," "," SERIES "&amp;$AM496)&amp;" "&amp;IFERROR(VLOOKUP($H496,CODES,2,FALSE),"")&amp;IF($CT496," | LOC "&amp;$CZ496,"")))</f>
        <v/>
      </c>
      <c r="CL496" s="84">
        <f>IF(CP496="","",IF(COUNTIF($CP$6:CP496,CP496)=1,MAX($CL$5:CL495)+1,INDEX($CL$5:CL495,MATCH(CP496,$CP$5:CP495,0))))</f>
        <v/>
      </c>
      <c r="CM496" s="84">
        <f>IF(NOT(AND($A496&lt;&gt;"",$C496&lt;&gt;"DOOR ONLY")),"",MAX($CM$5:CM495)+1)</f>
        <v/>
      </c>
      <c r="CN496" s="84">
        <f>IF(NOT(AND($A496&lt;&gt;"",N($BJ496)&gt;0)),"",MAX($CN$5:CN495)+1)</f>
        <v/>
      </c>
      <c r="CO496" s="84">
        <f>IF($A496="","",MAX($CO$5:CO495)+1)</f>
        <v/>
      </c>
      <c r="CP496" s="84">
        <f>IF(OR($A496="",$BH496="",$BI496=""),"",$BG496&amp;"|"&amp;$O496&amp;"|"&amp;$AL496&amp;"|"&amp;$S496&amp;"|"&amp;$P496&amp;"|"&amp;$Q496&amp;$R496&amp;"|"&amp;$C496&amp;"|"&amp;$AB496)</f>
        <v/>
      </c>
      <c r="CQ496" s="84">
        <f>N($BS496)</f>
        <v/>
      </c>
      <c r="CR496" s="84">
        <f>IF(N($AU496)&gt;0,N($AU496),4.5)</f>
        <v/>
      </c>
      <c r="CS496" s="84">
        <f>OR($A496="",$BI496="",$S496="BL",AND($C496="FRAME ONLY",OR($AC496="",$AC496="BLK")))</f>
        <v/>
      </c>
      <c r="CT496" s="84">
        <f>AND(NOT($CS496),OR($AT496="CUSTOM LOC",N($AW496)+N($AX496)+N($AY496)+N($AZ496)+N($BA496)&gt;0))</f>
        <v/>
      </c>
      <c r="CU496" s="84">
        <f>IF($BI496="","",IF($BI496&lt;=80,80,IF($BI496&lt;=84,84,96)))</f>
        <v/>
      </c>
      <c r="CV496" s="84">
        <f>ISNUMBER(MATCH($AT496&amp;"|80",LocKeys,0))</f>
        <v/>
      </c>
      <c r="CW496" s="86">
        <f>IF($CS496,"",IF($CV496,VLOOKUP($AT496&amp;"|"&amp;$CU496,LocTable,4,FALSE),5))</f>
        <v/>
      </c>
      <c r="CX496" s="86">
        <f>IF($CS496,"",IF($CV496,IF(OR($BI496=$CU496,AND($BI496&lt;$CU496,$BI496-IF(N(VLOOKUP($AT496&amp;"|"&amp;$CU496,LocTable,7,FALSE))&gt;0,VLOOKUP($AT496&amp;"|"&amp;$CU496,LocTable,7,FALSE),VLOOKUP($AT496&amp;"|"&amp;$CU496,LocTable,6,FALSE))-$CR496-0.75&gt;=2.125)),IF(N(VLOOKUP($AT496&amp;"|"&amp;$CU496,LocTable,7,FALSE))&gt;0,VLOOKUP($AT496&amp;"|"&amp;$CU496,LocTable,7,FALSE),VLOOKUP($AT496&amp;"|"&amp;$CU496,LocTable,6,FALSE)),$BI496-($CU496-IF(N(VLOOKUP($AT496&amp;"|"&amp;$CU496,LocTable,7,FALSE))&gt;0,VLOOKUP($AT496&amp;"|"&amp;$CU496,LocTable,7,FALSE),VLOOKUP($AT496&amp;"|"&amp;$CU496,LocTable,6,FALSE)))),$BI496-10-$CR496))</f>
        <v/>
      </c>
      <c r="CY496" s="85">
        <f>IF($CS496,"",TRIM(IF(ISNUMBER($BU496),"A "&amp;TRIM(TEXT($BU496,"# ?/??"))&amp;CHAR(34)&amp;"  ","")&amp;IF(ISNUMBER($BV496),"B "&amp;TRIM(TEXT($BV496,"# ?/??"))&amp;CHAR(34)&amp;"  ","")&amp;IF(ISNUMBER($BW496),"C "&amp;TRIM(TEXT($BW496,"# ?/??"))&amp;CHAR(34)&amp;"  ","")&amp;IF(ISNUMBER($BX496),"D "&amp;TRIM(TEXT($BX496,"# ?/??"))&amp;CHAR(34)&amp;"  ","")&amp;IF(ISNUMBER($BY496),"F "&amp;TRIM(TEXT($BY496,"# ?/??"))&amp;CHAR(34)&amp;"  ","")&amp;IF(ISNUMBER($BZ496),"E "&amp;TRIM(TEXT($BZ496,"# ?/??"))&amp;CHAR(34)&amp;"  ","")))</f>
        <v/>
      </c>
      <c r="CZ496" s="85">
        <f>IF(OR($CS496,N($BJ496)=0),"",TRIM(IF(ISNUMBER($BU496),"A "&amp;TRIM(TEXT($BU496-HeadClr,"# ?/??"))&amp;CHAR(34)&amp;"  ","")&amp;IF(ISNUMBER($BV496),"B "&amp;TRIM(TEXT($BV496-HeadClr,"# ?/??"))&amp;CHAR(34)&amp;"  ","")&amp;IF(ISNUMBER($BW496),"C "&amp;TRIM(TEXT($BW496-HeadClr,"# ?/??"))&amp;CHAR(34)&amp;"  ","")&amp;IF(ISNUMBER($BX496),"D "&amp;TRIM(TEXT($BX496-HeadClr,"# ?/??"))&amp;CHAR(34)&amp;"  ","")&amp;IF(ISNUMBER($BY496),"F "&amp;TRIM(TEXT($BY496-HeadClr,"# ?/??"))&amp;CHAR(34)&amp;"  ","")&amp;IF(ISNUMBER($BZ496),"E "&amp;TRIM(TEXT($BZ496-HeadClr,"# ?/??"))&amp;CHAR(34)&amp;"  ","")))</f>
        <v/>
      </c>
      <c r="DA496" s="84">
        <f>IF($A496="","",IF($AN496="",IFERROR(VLOOKUP($Z496,CODES,2,FALSE),""),IFERROR(VLOOKUP($AN496,CODES,2,FALSE),"")))</f>
        <v/>
      </c>
      <c r="DB496" s="84">
        <f>IF($A496="","",IF($O496="Y","PR",IF(OR($Z496="L",$Z496="RR",LEFT($Z496,2)="L-",LEFT($Z496,3)="RR-"),"LH","RH")))</f>
        <v/>
      </c>
      <c r="DC496" s="84">
        <f>IF($A496="","","S.HM"&amp;IF(OR($C496="DOOR ONLY",$X496&lt;&gt;"KD"),"MASONRY","DRYWALL")&amp;IF($C496="DOOR ONLY","",$U496)&amp;IF(AND($C496&lt;&gt;"FRAME ONLY",OR(LEFT($AH496,3)="OAK",LEFT($AH496,3)="BIR",LEFT($AH496,3)="MAP",$AH496="PC",$AH496="MC",$AH496="SCLC",$AH496="P-LAM")),"WD","HM")&amp;"1.75")</f>
        <v/>
      </c>
      <c r="DD496" s="84">
        <f>IF($CJ496="","",IF($O496="Y",$CJ496,SUBSTITUTE($CJ496,$BG496&amp;" "&amp;IFERROR(VLOOKUP($Z496,CODES,2,FALSE),"")&amp;" ",$BG496&amp;" ")))</f>
        <v/>
      </c>
      <c r="DE496" s="84">
        <f>IF($CK496="","",IF($O496="Y",$CK496,SUBSTITUTE($CK496,$BG496&amp;" "&amp;IF($AN496="",IFERROR(VLOOKUP($Z496,CODES,2,FALSE),""),IFERROR(VLOOKUP($AN496,CODES,2,FALSE),""))&amp;" ",$BG496&amp;" ")))</f>
        <v/>
      </c>
      <c r="DF496" s="84">
        <f>IF($CJ496="","",$DC496&amp;"|"&amp;$DD496&amp;"|"&amp;$DB496&amp;"|"&amp;$AT496&amp;"|"&amp;$V496&amp;"|"&amp;$Y496&amp;"|"&amp;$AB496)</f>
        <v/>
      </c>
      <c r="DG496" s="84">
        <f>IF(DF496="","",IF(COUNTIF($DF$6:DF496,DF496)=1,MAX($DG$5:DG495)+1,INDEX($DG$5:DG495,MATCH(DF496,$DF$5:DF495,0))))</f>
        <v/>
      </c>
      <c r="DH496" s="84">
        <f>IF($CK496="","",$DC496&amp;"|"&amp;$DE496&amp;"|"&amp;$AI496&amp;"|"&amp;$BK496&amp;"|"&amp;$BL496)</f>
        <v/>
      </c>
      <c r="DI496" s="84">
        <f>IF(DH496="","",IF(COUNTIF($DH$6:DH496,DH496)=1,MAX($DI$5:DI495)+1,INDEX($DI$5:DI495,MATCH(DH496,$DH$5:DH495,0))))</f>
        <v/>
      </c>
      <c r="DJ496" s="84">
        <f>IF($A496="","",IF($B496="","qty, ","")&amp;IF($C496="","scope, ","")&amp;IF(OR($K496="",$M496=""),"size, ","")&amp;IF(AND($A496&lt;&gt;"",$C496&lt;&gt;"DOOR ONLY"),IF($U496="","jamb depth, ","")&amp;IF($X496="","construction, ","")&amp;IF($Y496="","anchor, ","")&amp;IF($S496="","frame type, ",""),"")&amp;IF(AND(N($BJ496)&gt;0,$Z496=""),"hand, ","")&amp;IF(N($BJ496)&gt;0,IF($AH496="","door material, ","")&amp;IF($AL496="","face type, ","")&amp;IF($AP496="","lock prep, ","")&amp;IF(AND($AO496="",$AC496=""),"hinge prep, ",""),"")&amp;IF(AND($CH496&gt;0,$AH496="FRP"),"FRP cannot carry a label, ","")&amp;IF(AND($O496="Y",OR($Z496="L",$Z496="R",$Z496="LR",$Z496="RR")),"pair marked but hand is single, ","")&amp;IF(AND($O496&lt;&gt;"Y",OR($Z496="PR",AND(LEN($Z496)&gt;1,ISNUMBER(SEARCH("-",$Z496))))),"pair hand on a single door, ","")&amp;IF(AND(ISNUMBER($CI496),$CH496&lt;N($CI496)),"wall needs a "&amp;$CI496&amp;" min door, ","")&amp;IF(AND($CH496&gt;=180,AND(OR($CE496="FG",$CE496="HG",$CE496="FNV",$CE496="FV"),N($CF496)*N($CG496)&gt;100)),"180 min lite over 100 sq in, ","")&amp;IF(N($BK496)&gt;48,"leaf wider than 4'-0"&amp;CHAR(34)&amp;", ","")&amp;IF(AND($CT496,COUNT($AW496:$AZ496)=0,$CQ496&gt;0),"CUSTOM LOC with no locations typed, ",""))</f>
        <v/>
      </c>
      <c r="DK496" s="84">
        <f>IF($A496="","",IF(AND($CH496&gt;0,AND($A496&lt;&gt;"",$C496&lt;&gt;"DOOR ONLY"),$X496="KD",$E496="EXTERIOR"),"KD label on an exterior opening, ","")&amp;IF(AND($E496="EXTERIOR",OR(AND(AND($A496&lt;&gt;"",$C496&lt;&gt;"DOOR ONLY"),$W496="CR"),AND(N($BJ496)&gt;0,$AH496="CR"))),"exterior in CR steel (G9?), ","")&amp;IF(AND(ISNUMBER($BQ496),N($BQ496)&lt;32),"clear width ~"&amp;TEXT($BQ496,"0.0")&amp;CHAR(34)&amp;" under 32"&amp;CHAR(34)&amp;" (ADA), ","")&amp;IF(AND($CH496=90,AND(OR($CE496="FG",$CE496="HG",$CE496="FNV",$CE496="FV"),N($CF496)*N($CG496)&gt;100)),"90 min lite over 100 sq in (stair/exit), ","")&amp;IF(AND($CH496&gt;0,AND($A496&lt;&gt;"",$C496&lt;&gt;"DOOR ONLY"),OR($AF496="",$AF496="-")),"rated: closer reinf.?, ","")&amp;IF(OR($I496="CORRIDOR",$I496="SMOKE BARRIER"),"S label + smoke gasketing, ","")&amp;IF($CI496="?","wall type/hr not in IBC table, ","")&amp;IF(AND(N($BJ496)&gt;0,$BB496=""),"no hardware set, ","")&amp;IF(AND($BB496&lt;&gt;"",ISNA(MATCH($BB496&amp;"",HWSets,0))),"set "&amp;$BB496&amp;" not on HW Sets, ","")&amp;IF(N($BL496)&gt;96,"leaf over 8'-0"&amp;CHAR(34)&amp;" - check listing, ","")&amp;IF(AND($CT496,COUNT($AW496:$AZ496)&gt;0,COUNT($AW496:$AZ496)&lt;&gt;$CQ496),COUNT($AW496:$AZ496)&amp;" custom hinges typed, "&amp;$CQ496&amp;" expected, ","")&amp;IF(AND(ISNUMBER($CA496),OR(N($CA496)&lt;34,N($CA496)&gt;48)),"lock "&amp;TEXT($CA496,"0.0")&amp;CHAR(34)&amp;" AFF outside 34-48"&amp;CHAR(34)&amp;" (ADA), ","")&amp;IF(AND(ISNUMBER($AV496),ISNUMBER($BL496),N($AV496)&lt;IF(N($BL496)&lt;=60,2,IF(N($BL496)&lt;=90,3,IF(N($BL496)&lt;=120,4,5)))),"fewer hinges than standard, ",""))</f>
        <v/>
      </c>
    </row>
    <row r="497" ht="15" customHeight="1">
      <c r="A497" s="77" t="n"/>
      <c r="B497" s="78" t="n"/>
      <c r="C497" s="78" t="n"/>
      <c r="D497" s="78" t="n"/>
      <c r="E497" s="78" t="n"/>
      <c r="F497" s="78" t="n"/>
      <c r="G497" s="78" t="n"/>
      <c r="H497" s="78" t="n"/>
      <c r="I497" s="78" t="n"/>
      <c r="J497" s="78" t="n"/>
      <c r="K497" s="78" t="n"/>
      <c r="L497" s="78" t="n"/>
      <c r="M497" s="78" t="n"/>
      <c r="N497" s="78" t="n"/>
      <c r="O497" s="78" t="n"/>
      <c r="P497" s="78" t="n"/>
      <c r="Q497" s="78" t="n"/>
      <c r="R497" s="78" t="n"/>
      <c r="S497" s="79" t="n"/>
      <c r="T497" s="79" t="n"/>
      <c r="U497" s="79" t="n"/>
      <c r="V497" s="79" t="n"/>
      <c r="W497" s="79" t="n"/>
      <c r="X497" s="79" t="n"/>
      <c r="Y497" s="79" t="n"/>
      <c r="Z497" s="79" t="n"/>
      <c r="AA497" s="79" t="n"/>
      <c r="AB497" s="79" t="n"/>
      <c r="AC497" s="79" t="n"/>
      <c r="AD497" s="79" t="n"/>
      <c r="AE497" s="79" t="n"/>
      <c r="AF497" s="79" t="n"/>
      <c r="AG497" s="79" t="n"/>
      <c r="AH497" s="80" t="n"/>
      <c r="AI497" s="80" t="n"/>
      <c r="AJ497" s="80" t="n"/>
      <c r="AK497" s="80" t="n"/>
      <c r="AL497" s="80" t="n"/>
      <c r="AM497" s="80" t="n"/>
      <c r="AN497" s="80" t="n"/>
      <c r="AO497" s="80" t="n"/>
      <c r="AP497" s="80" t="n"/>
      <c r="AQ497" s="80" t="n"/>
      <c r="AR497" s="80" t="n"/>
      <c r="AS497" s="80" t="n"/>
      <c r="AT497" s="81" t="n"/>
      <c r="AU497" s="81" t="n"/>
      <c r="AV497" s="81" t="n"/>
      <c r="AW497" s="82" t="n"/>
      <c r="AX497" s="82" t="n"/>
      <c r="AY497" s="82" t="n"/>
      <c r="AZ497" s="82" t="n"/>
      <c r="BA497" s="82" t="n"/>
      <c r="BB497" s="83" t="n"/>
      <c r="BC497" s="83" t="n"/>
      <c r="BD497" s="84">
        <f>IF($A497="","",IF($DJ497&lt;&gt;"","FIX",IF($DK497&lt;&gt;"","CHECK","OK")))</f>
        <v/>
      </c>
      <c r="BE497" s="85">
        <f>IF($A497="","",IF($DJ497&lt;&gt;"","FIX: "&amp;LEFT($DJ497,LEN($DJ497)-2)&amp;IF($DK497&lt;&gt;"","  ·  ",""),"")&amp;IF($DK497&lt;&gt;"","CHECK: "&amp;LEFT($DK497,LEN($DK497)-2),""))</f>
        <v/>
      </c>
      <c r="BF497" s="84">
        <f>IF(OR($A497="",$K497=""),"",$K497&amp;"'-"&amp;N($L497)&amp;CHAR(34)&amp;" x "&amp;$M497&amp;"'-"&amp;N($N497)&amp;CHAR(34))</f>
        <v/>
      </c>
      <c r="BG497" s="84">
        <f>IF(OR($A497="",$K497=""),"",$K497&amp;N($L497)&amp;$M497&amp;N($N497))</f>
        <v/>
      </c>
      <c r="BH497" s="84">
        <f>IF(OR($A497="",$K497=""),"",$K497*12+N($L497))</f>
        <v/>
      </c>
      <c r="BI497" s="84">
        <f>IF(OR($A497="",$M497=""),"",$M497*12+N($N497))</f>
        <v/>
      </c>
      <c r="BJ497" s="84">
        <f>IF($A497="","",IF(OR($C497="FRAME ONLY",$S497="BL"),0,IF($O497="Y",2,1)))</f>
        <v/>
      </c>
      <c r="BK497" s="86">
        <f>IF(OR(N($BJ497)=0,$BH497=""),"",($BH497-2*EdgeClr-IF($BJ497=2,MeetClr,0))/$BJ497)</f>
        <v/>
      </c>
      <c r="BL497" s="86">
        <f>IF(OR(N($BJ497)=0,$BI497=""),"",$BI497-HeadClr-Undercut)</f>
        <v/>
      </c>
      <c r="BM497" s="86">
        <f>IF($BH497="","",$BH497+2*FaceW+IF(N($Q497)&gt;0,($Q497+FaceW)*IF($R497="LR",2,1),0))</f>
        <v/>
      </c>
      <c r="BN497" s="86">
        <f>IF($BI497="","",$BI497+IF($AB497="Y",4,FaceW)+IF(N($P497)&gt;0,$P497+FaceW,0)+IF(OR($S497="4F",$S497="BL"),FaceW,0))</f>
        <v/>
      </c>
      <c r="BO497" s="86">
        <f>IF($BM497="","",$BM497+2*ROSide)</f>
        <v/>
      </c>
      <c r="BP497" s="86">
        <f>IF($BN497="","",$BN497+ROTop)</f>
        <v/>
      </c>
      <c r="BQ497" s="87">
        <f>IF(OR(N($BJ497)=0,$BH497=""),"",$BH497/$BJ497-ClearDeduct)</f>
        <v/>
      </c>
      <c r="BR497" s="84">
        <f>IF(N($CH497)=0,"",IF($CH497&gt;=180,"A · 3 HR",IF($CH497&gt;=90,"B · 1-1/2 HR",IF($CH497&gt;=60,"B · 1 HR",IF($CH497&gt;=45,"C · 3/4 HR","20 MIN")))))&amp;IF(AND(N($CH497)&gt;0,OR($I497="CORRIDOR",$I497="SMOKE BARRIER"))," · S","")</f>
        <v/>
      </c>
      <c r="BS497" s="84">
        <f>IF($CS497,"",IF($AV497&lt;&gt;"",$AV497,IF(OR($AC497="HGC",$AO497="HGC"),"CONT",IF(($BI497-HeadClr-Undercut)&lt;=60,2,IF(($BI497-HeadClr-Undercut)&lt;=90,3,IF(($BI497-HeadClr-Undercut)&lt;=120,4,5))))))</f>
        <v/>
      </c>
      <c r="BT497" s="84">
        <f>IF($CS497,"",IF($CT497,"CUSTOM (typed)",IF($CV497,$AT497&amp;" "&amp;$CU497&amp;CHAR(34)&amp;IF($CU497&lt;&gt;$BI497,IF(AND($BI497&lt;$CU497,$BI497-IF(N(VLOOKUP($AT497&amp;"|"&amp;$CU497,LocTable,7,FALSE))&gt;0,VLOOKUP($AT497&amp;"|"&amp;$CU497,LocTable,7,FALSE),VLOOKUP($AT497&amp;"|"&amp;$CU497,LocTable,6,FALSE))-$CR497-0.75&gt;=2.125)," cut down"," adj."),""),"ANSI/SDI A250.6")))</f>
        <v/>
      </c>
      <c r="BU497" s="88">
        <f>IF($CS497,"",IF($CT497,IF(N($AW497)&gt;0,N($AW497),""),IF(1&gt;$CQ497,"",IF($CQ497=1,$CW497,$CW497+($CX497-$CW497)*0/($CQ497-1)))))</f>
        <v/>
      </c>
      <c r="BV497" s="88">
        <f>IF($CS497,"",IF($CT497,IF(N($AX497)&gt;0,N($AX497),""),IF(2&gt;$CQ497,"",IF($CQ497=1,$CW497,$CW497+($CX497-$CW497)*1/($CQ497-1)))))</f>
        <v/>
      </c>
      <c r="BW497" s="88">
        <f>IF($CS497,"",IF($CT497,IF(N($AY497)&gt;0,N($AY497),""),IF(3&gt;$CQ497,"",IF($CQ497=1,$CW497,$CW497+($CX497-$CW497)*2/($CQ497-1)))))</f>
        <v/>
      </c>
      <c r="BX497" s="88">
        <f>IF($CS497,"",IF($CT497,IF(N($AZ497)&gt;0,N($AZ497),""),IF(4&gt;$CQ497,"",IF($CQ497=1,$CW497,$CW497+($CX497-$CW497)*3/($CQ497-1)))))</f>
        <v/>
      </c>
      <c r="BY497" s="88">
        <f>IF($CS497,"",IF($CT497,"",IF(5&gt;$CQ497,"",IF($CQ497=1,$CW497,$CW497+($CX497-$CW497)*4/($CQ497-1)))))</f>
        <v/>
      </c>
      <c r="BZ497" s="88">
        <f>IF(OR($CS497,$AP497="-",AND($AP497="",$AD497="")),"",IF(N($BA497)&gt;0,N($BA497),IF($CV497,IF(AND($BI497&lt;$CU497,$BI497-IF(N(VLOOKUP($AT497&amp;"|"&amp;$CU497,LocTable,7,FALSE))&gt;0,VLOOKUP($AT497&amp;"|"&amp;$CU497,LocTable,7,FALSE),VLOOKUP($AT497&amp;"|"&amp;$CU497,LocTable,6,FALSE))-$CR497-0.75&gt;=2.125),VLOOKUP($AT497&amp;"|"&amp;$CU497,LocTable,8,FALSE),VLOOKUP($AT497&amp;"|"&amp;$CU497,LocTable,8,FALSE)+($BI497-$CU497)),$BI497-LockAFF)))</f>
        <v/>
      </c>
      <c r="CA497" s="89">
        <f>IF($BZ497="","",$BI497-$BZ497)</f>
        <v/>
      </c>
      <c r="CB497" s="84">
        <f>IF(OR(NOT(AND($A497&lt;&gt;"",$C497&lt;&gt;"DOOR ONLY")),$BI497=""),"",IF(($BI497+IF(N($P497)&gt;0,$P497+FaceW,0))&lt;=90,3,IF(($BI497+IF(N($P497)&gt;0,$P497+FaceW,0))&lt;=114,4,5)))</f>
        <v/>
      </c>
      <c r="CC497" s="84">
        <f>IF($CB497="","",$CB497*(2+IF(N($Q497)&gt;0,IF($R497="LR",2,1),0)))</f>
        <v/>
      </c>
      <c r="CD497" s="84">
        <f>IF($CB497="","",(2+IF(N($Q497)&gt;0,IF($R497="LR",2,1),0)))</f>
        <v/>
      </c>
      <c r="CE497" s="84">
        <f>IF(N($BJ497)=0,"",IF(OR($AL497="",$AL497="FLUSH"),"FLUSH",IFERROR(LEFT($AL497,FIND("-",$AL497)-1),LEFT($AL497,2))))</f>
        <v/>
      </c>
      <c r="CF497" s="84">
        <f>IF($CE497="","",IFERROR(VALUE(MID($AL497,FIND("-",$AL497)+1,FIND(CHAR(34)&amp;"x",$AL497)-FIND("-",$AL497)-1)),0))</f>
        <v/>
      </c>
      <c r="CG497" s="84">
        <f>IF($CE497="","",IFERROR(VALUE(MID($AL497,FIND(CHAR(34)&amp;"x",$AL497)+2,FIND(CHAR(34),$AL497,FIND(CHAR(34)&amp;"x",$AL497)+2)-FIND(CHAR(34)&amp;"x",$AL497)-2)),0))</f>
        <v/>
      </c>
      <c r="CH497" s="90">
        <f>IF(OR($A497="",$H497="",$H497="NO LAB"),0,IFERROR(VALUE(LEFT($H497,FIND(" ",$H497)-1)),0))</f>
        <v/>
      </c>
      <c r="CI497" s="91">
        <f>IF(OR($A497="",$I497="",$I497="NON-RATED",N($J497)=0),"",IFERROR(VLOOKUP($I497&amp;"|"&amp;$J497,IBC,2,FALSE),"?"))</f>
        <v/>
      </c>
      <c r="CJ497" s="85">
        <f>IF(NOT(AND($A497&lt;&gt;"",$C497&lt;&gt;"DOOR ONLY")),"",TRIM(IFERROR(VLOOKUP($U497,CODES,2,FALSE),"")&amp;" "&amp;$BG497&amp;" "&amp;IFERROR(VLOOKUP($Z497,CODES,2,FALSE),"")&amp;" "&amp;IFERROR(VLOOKUP($X497,CODES,2,FALSE),"")&amp;" "&amp;IFERROR(VLOOKUP($S497,CODES,2,FALSE),"")&amp;IF(N($P497)&gt;0," w/TRANSOM "&amp;$P497&amp;CHAR(34),"")&amp;IF(N($Q497)&gt;0," w/SIDELITE "&amp;$Q497&amp;CHAR(34)&amp;" "&amp;IF($R497="","R",$R497),"")&amp;IF($Y497="","  |  "," | "&amp;IFERROR(VLOOKUP($Y497,CODES,2,FALSE),"")&amp;" | ")&amp;IFERROR(VLOOKUP($AC497,CODES,2,FALSE),"")&amp;" "&amp;IFERROR(VLOOKUP($AD497,CODES,2,FALSE),"")&amp;IF(OR($AE497="",$AE497="-"),""," "&amp;$AE497)&amp;IF(OR($AF497="",$AF497="-"),""," "&amp;$AF497)&amp;IF($AB497="Y"," 4"&amp;CHAR(34)&amp;" HEAD","")&amp;" "&amp;IFERROR(VLOOKUP($H497,CODES,2,FALSE),"")&amp;IF($CT497," | LOC "&amp;$CY497,"")))</f>
        <v/>
      </c>
      <c r="CK497" s="85">
        <f>IF(NOT(AND($A497&lt;&gt;"",N($BJ497)&gt;0)),"",TRIM(IFERROR(VLOOKUP($AH497,CODES,2,FALSE),"")&amp;IF($AI497=""," "," "&amp;$AI497&amp;"GA ")&amp;$BG497&amp;" "&amp;IF($AN497="",IFERROR(VLOOKUP($Z497,CODES,2,FALSE),""),IFERROR(VLOOKUP($AN497,CODES,2,FALSE),""))&amp;IF($BJ497=2," PAIR","")&amp;" DOOR | "&amp;IF($AL497="","?",$AL497)&amp;" | "&amp;IF($AO497="",IFERROR(VLOOKUP($AC497,CODES,2,FALSE),""),IFERROR(VLOOKUP($AO497,CODES,2,FALSE),""))&amp;" "&amp;IFERROR(VLOOKUP($AP497,CODES,2,FALSE),"")&amp;IF(OR($AQ497="",$AQ497="-"),""," SEAM "&amp;$AQ497)&amp;IF($AR497="Y"," ASTRAGAL","")&amp;IF($AJ497=""," "," "&amp;$AJ497)&amp;IF($AK497=""," "," "&amp;$AK497)&amp;IF(OR($AT497="",$AT497="ANSI/SDI",$AT497="CUSTOM LOC"),""," "&amp;$AT497)&amp;IF($AM497=""," "," SERIES "&amp;$AM497)&amp;" "&amp;IFERROR(VLOOKUP($H497,CODES,2,FALSE),"")&amp;IF($CT497," | LOC "&amp;$CZ497,"")))</f>
        <v/>
      </c>
      <c r="CL497" s="84">
        <f>IF(CP497="","",IF(COUNTIF($CP$6:CP497,CP497)=1,MAX($CL$5:CL496)+1,INDEX($CL$5:CL496,MATCH(CP497,$CP$5:CP496,0))))</f>
        <v/>
      </c>
      <c r="CM497" s="84">
        <f>IF(NOT(AND($A497&lt;&gt;"",$C497&lt;&gt;"DOOR ONLY")),"",MAX($CM$5:CM496)+1)</f>
        <v/>
      </c>
      <c r="CN497" s="84">
        <f>IF(NOT(AND($A497&lt;&gt;"",N($BJ497)&gt;0)),"",MAX($CN$5:CN496)+1)</f>
        <v/>
      </c>
      <c r="CO497" s="84">
        <f>IF($A497="","",MAX($CO$5:CO496)+1)</f>
        <v/>
      </c>
      <c r="CP497" s="84">
        <f>IF(OR($A497="",$BH497="",$BI497=""),"",$BG497&amp;"|"&amp;$O497&amp;"|"&amp;$AL497&amp;"|"&amp;$S497&amp;"|"&amp;$P497&amp;"|"&amp;$Q497&amp;$R497&amp;"|"&amp;$C497&amp;"|"&amp;$AB497)</f>
        <v/>
      </c>
      <c r="CQ497" s="84">
        <f>N($BS497)</f>
        <v/>
      </c>
      <c r="CR497" s="84">
        <f>IF(N($AU497)&gt;0,N($AU497),4.5)</f>
        <v/>
      </c>
      <c r="CS497" s="84">
        <f>OR($A497="",$BI497="",$S497="BL",AND($C497="FRAME ONLY",OR($AC497="",$AC497="BLK")))</f>
        <v/>
      </c>
      <c r="CT497" s="84">
        <f>AND(NOT($CS497),OR($AT497="CUSTOM LOC",N($AW497)+N($AX497)+N($AY497)+N($AZ497)+N($BA497)&gt;0))</f>
        <v/>
      </c>
      <c r="CU497" s="84">
        <f>IF($BI497="","",IF($BI497&lt;=80,80,IF($BI497&lt;=84,84,96)))</f>
        <v/>
      </c>
      <c r="CV497" s="84">
        <f>ISNUMBER(MATCH($AT497&amp;"|80",LocKeys,0))</f>
        <v/>
      </c>
      <c r="CW497" s="86">
        <f>IF($CS497,"",IF($CV497,VLOOKUP($AT497&amp;"|"&amp;$CU497,LocTable,4,FALSE),5))</f>
        <v/>
      </c>
      <c r="CX497" s="86">
        <f>IF($CS497,"",IF($CV497,IF(OR($BI497=$CU497,AND($BI497&lt;$CU497,$BI497-IF(N(VLOOKUP($AT497&amp;"|"&amp;$CU497,LocTable,7,FALSE))&gt;0,VLOOKUP($AT497&amp;"|"&amp;$CU497,LocTable,7,FALSE),VLOOKUP($AT497&amp;"|"&amp;$CU497,LocTable,6,FALSE))-$CR497-0.75&gt;=2.125)),IF(N(VLOOKUP($AT497&amp;"|"&amp;$CU497,LocTable,7,FALSE))&gt;0,VLOOKUP($AT497&amp;"|"&amp;$CU497,LocTable,7,FALSE),VLOOKUP($AT497&amp;"|"&amp;$CU497,LocTable,6,FALSE)),$BI497-($CU497-IF(N(VLOOKUP($AT497&amp;"|"&amp;$CU497,LocTable,7,FALSE))&gt;0,VLOOKUP($AT497&amp;"|"&amp;$CU497,LocTable,7,FALSE),VLOOKUP($AT497&amp;"|"&amp;$CU497,LocTable,6,FALSE)))),$BI497-10-$CR497))</f>
        <v/>
      </c>
      <c r="CY497" s="85">
        <f>IF($CS497,"",TRIM(IF(ISNUMBER($BU497),"A "&amp;TRIM(TEXT($BU497,"# ?/??"))&amp;CHAR(34)&amp;"  ","")&amp;IF(ISNUMBER($BV497),"B "&amp;TRIM(TEXT($BV497,"# ?/??"))&amp;CHAR(34)&amp;"  ","")&amp;IF(ISNUMBER($BW497),"C "&amp;TRIM(TEXT($BW497,"# ?/??"))&amp;CHAR(34)&amp;"  ","")&amp;IF(ISNUMBER($BX497),"D "&amp;TRIM(TEXT($BX497,"# ?/??"))&amp;CHAR(34)&amp;"  ","")&amp;IF(ISNUMBER($BY497),"F "&amp;TRIM(TEXT($BY497,"# ?/??"))&amp;CHAR(34)&amp;"  ","")&amp;IF(ISNUMBER($BZ497),"E "&amp;TRIM(TEXT($BZ497,"# ?/??"))&amp;CHAR(34)&amp;"  ","")))</f>
        <v/>
      </c>
      <c r="CZ497" s="85">
        <f>IF(OR($CS497,N($BJ497)=0),"",TRIM(IF(ISNUMBER($BU497),"A "&amp;TRIM(TEXT($BU497-HeadClr,"# ?/??"))&amp;CHAR(34)&amp;"  ","")&amp;IF(ISNUMBER($BV497),"B "&amp;TRIM(TEXT($BV497-HeadClr,"# ?/??"))&amp;CHAR(34)&amp;"  ","")&amp;IF(ISNUMBER($BW497),"C "&amp;TRIM(TEXT($BW497-HeadClr,"# ?/??"))&amp;CHAR(34)&amp;"  ","")&amp;IF(ISNUMBER($BX497),"D "&amp;TRIM(TEXT($BX497-HeadClr,"# ?/??"))&amp;CHAR(34)&amp;"  ","")&amp;IF(ISNUMBER($BY497),"F "&amp;TRIM(TEXT($BY497-HeadClr,"# ?/??"))&amp;CHAR(34)&amp;"  ","")&amp;IF(ISNUMBER($BZ497),"E "&amp;TRIM(TEXT($BZ497-HeadClr,"# ?/??"))&amp;CHAR(34)&amp;"  ","")))</f>
        <v/>
      </c>
      <c r="DA497" s="84">
        <f>IF($A497="","",IF($AN497="",IFERROR(VLOOKUP($Z497,CODES,2,FALSE),""),IFERROR(VLOOKUP($AN497,CODES,2,FALSE),"")))</f>
        <v/>
      </c>
      <c r="DB497" s="84">
        <f>IF($A497="","",IF($O497="Y","PR",IF(OR($Z497="L",$Z497="RR",LEFT($Z497,2)="L-",LEFT($Z497,3)="RR-"),"LH","RH")))</f>
        <v/>
      </c>
      <c r="DC497" s="84">
        <f>IF($A497="","","S.HM"&amp;IF(OR($C497="DOOR ONLY",$X497&lt;&gt;"KD"),"MASONRY","DRYWALL")&amp;IF($C497="DOOR ONLY","",$U497)&amp;IF(AND($C497&lt;&gt;"FRAME ONLY",OR(LEFT($AH497,3)="OAK",LEFT($AH497,3)="BIR",LEFT($AH497,3)="MAP",$AH497="PC",$AH497="MC",$AH497="SCLC",$AH497="P-LAM")),"WD","HM")&amp;"1.75")</f>
        <v/>
      </c>
      <c r="DD497" s="84">
        <f>IF($CJ497="","",IF($O497="Y",$CJ497,SUBSTITUTE($CJ497,$BG497&amp;" "&amp;IFERROR(VLOOKUP($Z497,CODES,2,FALSE),"")&amp;" ",$BG497&amp;" ")))</f>
        <v/>
      </c>
      <c r="DE497" s="84">
        <f>IF($CK497="","",IF($O497="Y",$CK497,SUBSTITUTE($CK497,$BG497&amp;" "&amp;IF($AN497="",IFERROR(VLOOKUP($Z497,CODES,2,FALSE),""),IFERROR(VLOOKUP($AN497,CODES,2,FALSE),""))&amp;" ",$BG497&amp;" ")))</f>
        <v/>
      </c>
      <c r="DF497" s="84">
        <f>IF($CJ497="","",$DC497&amp;"|"&amp;$DD497&amp;"|"&amp;$DB497&amp;"|"&amp;$AT497&amp;"|"&amp;$V497&amp;"|"&amp;$Y497&amp;"|"&amp;$AB497)</f>
        <v/>
      </c>
      <c r="DG497" s="84">
        <f>IF(DF497="","",IF(COUNTIF($DF$6:DF497,DF497)=1,MAX($DG$5:DG496)+1,INDEX($DG$5:DG496,MATCH(DF497,$DF$5:DF496,0))))</f>
        <v/>
      </c>
      <c r="DH497" s="84">
        <f>IF($CK497="","",$DC497&amp;"|"&amp;$DE497&amp;"|"&amp;$AI497&amp;"|"&amp;$BK497&amp;"|"&amp;$BL497)</f>
        <v/>
      </c>
      <c r="DI497" s="84">
        <f>IF(DH497="","",IF(COUNTIF($DH$6:DH497,DH497)=1,MAX($DI$5:DI496)+1,INDEX($DI$5:DI496,MATCH(DH497,$DH$5:DH496,0))))</f>
        <v/>
      </c>
      <c r="DJ497" s="84">
        <f>IF($A497="","",IF($B497="","qty, ","")&amp;IF($C497="","scope, ","")&amp;IF(OR($K497="",$M497=""),"size, ","")&amp;IF(AND($A497&lt;&gt;"",$C497&lt;&gt;"DOOR ONLY"),IF($U497="","jamb depth, ","")&amp;IF($X497="","construction, ","")&amp;IF($Y497="","anchor, ","")&amp;IF($S497="","frame type, ",""),"")&amp;IF(AND(N($BJ497)&gt;0,$Z497=""),"hand, ","")&amp;IF(N($BJ497)&gt;0,IF($AH497="","door material, ","")&amp;IF($AL497="","face type, ","")&amp;IF($AP497="","lock prep, ","")&amp;IF(AND($AO497="",$AC497=""),"hinge prep, ",""),"")&amp;IF(AND($CH497&gt;0,$AH497="FRP"),"FRP cannot carry a label, ","")&amp;IF(AND($O497="Y",OR($Z497="L",$Z497="R",$Z497="LR",$Z497="RR")),"pair marked but hand is single, ","")&amp;IF(AND($O497&lt;&gt;"Y",OR($Z497="PR",AND(LEN($Z497)&gt;1,ISNUMBER(SEARCH("-",$Z497))))),"pair hand on a single door, ","")&amp;IF(AND(ISNUMBER($CI497),$CH497&lt;N($CI497)),"wall needs a "&amp;$CI497&amp;" min door, ","")&amp;IF(AND($CH497&gt;=180,AND(OR($CE497="FG",$CE497="HG",$CE497="FNV",$CE497="FV"),N($CF497)*N($CG497)&gt;100)),"180 min lite over 100 sq in, ","")&amp;IF(N($BK497)&gt;48,"leaf wider than 4'-0"&amp;CHAR(34)&amp;", ","")&amp;IF(AND($CT497,COUNT($AW497:$AZ497)=0,$CQ497&gt;0),"CUSTOM LOC with no locations typed, ",""))</f>
        <v/>
      </c>
      <c r="DK497" s="84">
        <f>IF($A497="","",IF(AND($CH497&gt;0,AND($A497&lt;&gt;"",$C497&lt;&gt;"DOOR ONLY"),$X497="KD",$E497="EXTERIOR"),"KD label on an exterior opening, ","")&amp;IF(AND($E497="EXTERIOR",OR(AND(AND($A497&lt;&gt;"",$C497&lt;&gt;"DOOR ONLY"),$W497="CR"),AND(N($BJ497)&gt;0,$AH497="CR"))),"exterior in CR steel (G9?), ","")&amp;IF(AND(ISNUMBER($BQ497),N($BQ497)&lt;32),"clear width ~"&amp;TEXT($BQ497,"0.0")&amp;CHAR(34)&amp;" under 32"&amp;CHAR(34)&amp;" (ADA), ","")&amp;IF(AND($CH497=90,AND(OR($CE497="FG",$CE497="HG",$CE497="FNV",$CE497="FV"),N($CF497)*N($CG497)&gt;100)),"90 min lite over 100 sq in (stair/exit), ","")&amp;IF(AND($CH497&gt;0,AND($A497&lt;&gt;"",$C497&lt;&gt;"DOOR ONLY"),OR($AF497="",$AF497="-")),"rated: closer reinf.?, ","")&amp;IF(OR($I497="CORRIDOR",$I497="SMOKE BARRIER"),"S label + smoke gasketing, ","")&amp;IF($CI497="?","wall type/hr not in IBC table, ","")&amp;IF(AND(N($BJ497)&gt;0,$BB497=""),"no hardware set, ","")&amp;IF(AND($BB497&lt;&gt;"",ISNA(MATCH($BB497&amp;"",HWSets,0))),"set "&amp;$BB497&amp;" not on HW Sets, ","")&amp;IF(N($BL497)&gt;96,"leaf over 8'-0"&amp;CHAR(34)&amp;" - check listing, ","")&amp;IF(AND($CT497,COUNT($AW497:$AZ497)&gt;0,COUNT($AW497:$AZ497)&lt;&gt;$CQ497),COUNT($AW497:$AZ497)&amp;" custom hinges typed, "&amp;$CQ497&amp;" expected, ","")&amp;IF(AND(ISNUMBER($CA497),OR(N($CA497)&lt;34,N($CA497)&gt;48)),"lock "&amp;TEXT($CA497,"0.0")&amp;CHAR(34)&amp;" AFF outside 34-48"&amp;CHAR(34)&amp;" (ADA), ","")&amp;IF(AND(ISNUMBER($AV497),ISNUMBER($BL497),N($AV497)&lt;IF(N($BL497)&lt;=60,2,IF(N($BL497)&lt;=90,3,IF(N($BL497)&lt;=120,4,5)))),"fewer hinges than standard, ",""))</f>
        <v/>
      </c>
    </row>
    <row r="498" ht="15" customHeight="1">
      <c r="A498" s="77" t="n"/>
      <c r="B498" s="78" t="n"/>
      <c r="C498" s="78" t="n"/>
      <c r="D498" s="78" t="n"/>
      <c r="E498" s="78" t="n"/>
      <c r="F498" s="78" t="n"/>
      <c r="G498" s="78" t="n"/>
      <c r="H498" s="78" t="n"/>
      <c r="I498" s="78" t="n"/>
      <c r="J498" s="78" t="n"/>
      <c r="K498" s="78" t="n"/>
      <c r="L498" s="78" t="n"/>
      <c r="M498" s="78" t="n"/>
      <c r="N498" s="78" t="n"/>
      <c r="O498" s="78" t="n"/>
      <c r="P498" s="78" t="n"/>
      <c r="Q498" s="78" t="n"/>
      <c r="R498" s="78" t="n"/>
      <c r="S498" s="79" t="n"/>
      <c r="T498" s="79" t="n"/>
      <c r="U498" s="79" t="n"/>
      <c r="V498" s="79" t="n"/>
      <c r="W498" s="79" t="n"/>
      <c r="X498" s="79" t="n"/>
      <c r="Y498" s="79" t="n"/>
      <c r="Z498" s="79" t="n"/>
      <c r="AA498" s="79" t="n"/>
      <c r="AB498" s="79" t="n"/>
      <c r="AC498" s="79" t="n"/>
      <c r="AD498" s="79" t="n"/>
      <c r="AE498" s="79" t="n"/>
      <c r="AF498" s="79" t="n"/>
      <c r="AG498" s="79" t="n"/>
      <c r="AH498" s="80" t="n"/>
      <c r="AI498" s="80" t="n"/>
      <c r="AJ498" s="80" t="n"/>
      <c r="AK498" s="80" t="n"/>
      <c r="AL498" s="80" t="n"/>
      <c r="AM498" s="80" t="n"/>
      <c r="AN498" s="80" t="n"/>
      <c r="AO498" s="80" t="n"/>
      <c r="AP498" s="80" t="n"/>
      <c r="AQ498" s="80" t="n"/>
      <c r="AR498" s="80" t="n"/>
      <c r="AS498" s="80" t="n"/>
      <c r="AT498" s="81" t="n"/>
      <c r="AU498" s="81" t="n"/>
      <c r="AV498" s="81" t="n"/>
      <c r="AW498" s="82" t="n"/>
      <c r="AX498" s="82" t="n"/>
      <c r="AY498" s="82" t="n"/>
      <c r="AZ498" s="82" t="n"/>
      <c r="BA498" s="82" t="n"/>
      <c r="BB498" s="83" t="n"/>
      <c r="BC498" s="83" t="n"/>
      <c r="BD498" s="84">
        <f>IF($A498="","",IF($DJ498&lt;&gt;"","FIX",IF($DK498&lt;&gt;"","CHECK","OK")))</f>
        <v/>
      </c>
      <c r="BE498" s="85">
        <f>IF($A498="","",IF($DJ498&lt;&gt;"","FIX: "&amp;LEFT($DJ498,LEN($DJ498)-2)&amp;IF($DK498&lt;&gt;"","  ·  ",""),"")&amp;IF($DK498&lt;&gt;"","CHECK: "&amp;LEFT($DK498,LEN($DK498)-2),""))</f>
        <v/>
      </c>
      <c r="BF498" s="84">
        <f>IF(OR($A498="",$K498=""),"",$K498&amp;"'-"&amp;N($L498)&amp;CHAR(34)&amp;" x "&amp;$M498&amp;"'-"&amp;N($N498)&amp;CHAR(34))</f>
        <v/>
      </c>
      <c r="BG498" s="84">
        <f>IF(OR($A498="",$K498=""),"",$K498&amp;N($L498)&amp;$M498&amp;N($N498))</f>
        <v/>
      </c>
      <c r="BH498" s="84">
        <f>IF(OR($A498="",$K498=""),"",$K498*12+N($L498))</f>
        <v/>
      </c>
      <c r="BI498" s="84">
        <f>IF(OR($A498="",$M498=""),"",$M498*12+N($N498))</f>
        <v/>
      </c>
      <c r="BJ498" s="84">
        <f>IF($A498="","",IF(OR($C498="FRAME ONLY",$S498="BL"),0,IF($O498="Y",2,1)))</f>
        <v/>
      </c>
      <c r="BK498" s="86">
        <f>IF(OR(N($BJ498)=0,$BH498=""),"",($BH498-2*EdgeClr-IF($BJ498=2,MeetClr,0))/$BJ498)</f>
        <v/>
      </c>
      <c r="BL498" s="86">
        <f>IF(OR(N($BJ498)=0,$BI498=""),"",$BI498-HeadClr-Undercut)</f>
        <v/>
      </c>
      <c r="BM498" s="86">
        <f>IF($BH498="","",$BH498+2*FaceW+IF(N($Q498)&gt;0,($Q498+FaceW)*IF($R498="LR",2,1),0))</f>
        <v/>
      </c>
      <c r="BN498" s="86">
        <f>IF($BI498="","",$BI498+IF($AB498="Y",4,FaceW)+IF(N($P498)&gt;0,$P498+FaceW,0)+IF(OR($S498="4F",$S498="BL"),FaceW,0))</f>
        <v/>
      </c>
      <c r="BO498" s="86">
        <f>IF($BM498="","",$BM498+2*ROSide)</f>
        <v/>
      </c>
      <c r="BP498" s="86">
        <f>IF($BN498="","",$BN498+ROTop)</f>
        <v/>
      </c>
      <c r="BQ498" s="87">
        <f>IF(OR(N($BJ498)=0,$BH498=""),"",$BH498/$BJ498-ClearDeduct)</f>
        <v/>
      </c>
      <c r="BR498" s="84">
        <f>IF(N($CH498)=0,"",IF($CH498&gt;=180,"A · 3 HR",IF($CH498&gt;=90,"B · 1-1/2 HR",IF($CH498&gt;=60,"B · 1 HR",IF($CH498&gt;=45,"C · 3/4 HR","20 MIN")))))&amp;IF(AND(N($CH498)&gt;0,OR($I498="CORRIDOR",$I498="SMOKE BARRIER"))," · S","")</f>
        <v/>
      </c>
      <c r="BS498" s="84">
        <f>IF($CS498,"",IF($AV498&lt;&gt;"",$AV498,IF(OR($AC498="HGC",$AO498="HGC"),"CONT",IF(($BI498-HeadClr-Undercut)&lt;=60,2,IF(($BI498-HeadClr-Undercut)&lt;=90,3,IF(($BI498-HeadClr-Undercut)&lt;=120,4,5))))))</f>
        <v/>
      </c>
      <c r="BT498" s="84">
        <f>IF($CS498,"",IF($CT498,"CUSTOM (typed)",IF($CV498,$AT498&amp;" "&amp;$CU498&amp;CHAR(34)&amp;IF($CU498&lt;&gt;$BI498,IF(AND($BI498&lt;$CU498,$BI498-IF(N(VLOOKUP($AT498&amp;"|"&amp;$CU498,LocTable,7,FALSE))&gt;0,VLOOKUP($AT498&amp;"|"&amp;$CU498,LocTable,7,FALSE),VLOOKUP($AT498&amp;"|"&amp;$CU498,LocTable,6,FALSE))-$CR498-0.75&gt;=2.125)," cut down"," adj."),""),"ANSI/SDI A250.6")))</f>
        <v/>
      </c>
      <c r="BU498" s="88">
        <f>IF($CS498,"",IF($CT498,IF(N($AW498)&gt;0,N($AW498),""),IF(1&gt;$CQ498,"",IF($CQ498=1,$CW498,$CW498+($CX498-$CW498)*0/($CQ498-1)))))</f>
        <v/>
      </c>
      <c r="BV498" s="88">
        <f>IF($CS498,"",IF($CT498,IF(N($AX498)&gt;0,N($AX498),""),IF(2&gt;$CQ498,"",IF($CQ498=1,$CW498,$CW498+($CX498-$CW498)*1/($CQ498-1)))))</f>
        <v/>
      </c>
      <c r="BW498" s="88">
        <f>IF($CS498,"",IF($CT498,IF(N($AY498)&gt;0,N($AY498),""),IF(3&gt;$CQ498,"",IF($CQ498=1,$CW498,$CW498+($CX498-$CW498)*2/($CQ498-1)))))</f>
        <v/>
      </c>
      <c r="BX498" s="88">
        <f>IF($CS498,"",IF($CT498,IF(N($AZ498)&gt;0,N($AZ498),""),IF(4&gt;$CQ498,"",IF($CQ498=1,$CW498,$CW498+($CX498-$CW498)*3/($CQ498-1)))))</f>
        <v/>
      </c>
      <c r="BY498" s="88">
        <f>IF($CS498,"",IF($CT498,"",IF(5&gt;$CQ498,"",IF($CQ498=1,$CW498,$CW498+($CX498-$CW498)*4/($CQ498-1)))))</f>
        <v/>
      </c>
      <c r="BZ498" s="88">
        <f>IF(OR($CS498,$AP498="-",AND($AP498="",$AD498="")),"",IF(N($BA498)&gt;0,N($BA498),IF($CV498,IF(AND($BI498&lt;$CU498,$BI498-IF(N(VLOOKUP($AT498&amp;"|"&amp;$CU498,LocTable,7,FALSE))&gt;0,VLOOKUP($AT498&amp;"|"&amp;$CU498,LocTable,7,FALSE),VLOOKUP($AT498&amp;"|"&amp;$CU498,LocTable,6,FALSE))-$CR498-0.75&gt;=2.125),VLOOKUP($AT498&amp;"|"&amp;$CU498,LocTable,8,FALSE),VLOOKUP($AT498&amp;"|"&amp;$CU498,LocTable,8,FALSE)+($BI498-$CU498)),$BI498-LockAFF)))</f>
        <v/>
      </c>
      <c r="CA498" s="89">
        <f>IF($BZ498="","",$BI498-$BZ498)</f>
        <v/>
      </c>
      <c r="CB498" s="84">
        <f>IF(OR(NOT(AND($A498&lt;&gt;"",$C498&lt;&gt;"DOOR ONLY")),$BI498=""),"",IF(($BI498+IF(N($P498)&gt;0,$P498+FaceW,0))&lt;=90,3,IF(($BI498+IF(N($P498)&gt;0,$P498+FaceW,0))&lt;=114,4,5)))</f>
        <v/>
      </c>
      <c r="CC498" s="84">
        <f>IF($CB498="","",$CB498*(2+IF(N($Q498)&gt;0,IF($R498="LR",2,1),0)))</f>
        <v/>
      </c>
      <c r="CD498" s="84">
        <f>IF($CB498="","",(2+IF(N($Q498)&gt;0,IF($R498="LR",2,1),0)))</f>
        <v/>
      </c>
      <c r="CE498" s="84">
        <f>IF(N($BJ498)=0,"",IF(OR($AL498="",$AL498="FLUSH"),"FLUSH",IFERROR(LEFT($AL498,FIND("-",$AL498)-1),LEFT($AL498,2))))</f>
        <v/>
      </c>
      <c r="CF498" s="84">
        <f>IF($CE498="","",IFERROR(VALUE(MID($AL498,FIND("-",$AL498)+1,FIND(CHAR(34)&amp;"x",$AL498)-FIND("-",$AL498)-1)),0))</f>
        <v/>
      </c>
      <c r="CG498" s="84">
        <f>IF($CE498="","",IFERROR(VALUE(MID($AL498,FIND(CHAR(34)&amp;"x",$AL498)+2,FIND(CHAR(34),$AL498,FIND(CHAR(34)&amp;"x",$AL498)+2)-FIND(CHAR(34)&amp;"x",$AL498)-2)),0))</f>
        <v/>
      </c>
      <c r="CH498" s="90">
        <f>IF(OR($A498="",$H498="",$H498="NO LAB"),0,IFERROR(VALUE(LEFT($H498,FIND(" ",$H498)-1)),0))</f>
        <v/>
      </c>
      <c r="CI498" s="91">
        <f>IF(OR($A498="",$I498="",$I498="NON-RATED",N($J498)=0),"",IFERROR(VLOOKUP($I498&amp;"|"&amp;$J498,IBC,2,FALSE),"?"))</f>
        <v/>
      </c>
      <c r="CJ498" s="85">
        <f>IF(NOT(AND($A498&lt;&gt;"",$C498&lt;&gt;"DOOR ONLY")),"",TRIM(IFERROR(VLOOKUP($U498,CODES,2,FALSE),"")&amp;" "&amp;$BG498&amp;" "&amp;IFERROR(VLOOKUP($Z498,CODES,2,FALSE),"")&amp;" "&amp;IFERROR(VLOOKUP($X498,CODES,2,FALSE),"")&amp;" "&amp;IFERROR(VLOOKUP($S498,CODES,2,FALSE),"")&amp;IF(N($P498)&gt;0," w/TRANSOM "&amp;$P498&amp;CHAR(34),"")&amp;IF(N($Q498)&gt;0," w/SIDELITE "&amp;$Q498&amp;CHAR(34)&amp;" "&amp;IF($R498="","R",$R498),"")&amp;IF($Y498="","  |  "," | "&amp;IFERROR(VLOOKUP($Y498,CODES,2,FALSE),"")&amp;" | ")&amp;IFERROR(VLOOKUP($AC498,CODES,2,FALSE),"")&amp;" "&amp;IFERROR(VLOOKUP($AD498,CODES,2,FALSE),"")&amp;IF(OR($AE498="",$AE498="-"),""," "&amp;$AE498)&amp;IF(OR($AF498="",$AF498="-"),""," "&amp;$AF498)&amp;IF($AB498="Y"," 4"&amp;CHAR(34)&amp;" HEAD","")&amp;" "&amp;IFERROR(VLOOKUP($H498,CODES,2,FALSE),"")&amp;IF($CT498," | LOC "&amp;$CY498,"")))</f>
        <v/>
      </c>
      <c r="CK498" s="85">
        <f>IF(NOT(AND($A498&lt;&gt;"",N($BJ498)&gt;0)),"",TRIM(IFERROR(VLOOKUP($AH498,CODES,2,FALSE),"")&amp;IF($AI498=""," "," "&amp;$AI498&amp;"GA ")&amp;$BG498&amp;" "&amp;IF($AN498="",IFERROR(VLOOKUP($Z498,CODES,2,FALSE),""),IFERROR(VLOOKUP($AN498,CODES,2,FALSE),""))&amp;IF($BJ498=2," PAIR","")&amp;" DOOR | "&amp;IF($AL498="","?",$AL498)&amp;" | "&amp;IF($AO498="",IFERROR(VLOOKUP($AC498,CODES,2,FALSE),""),IFERROR(VLOOKUP($AO498,CODES,2,FALSE),""))&amp;" "&amp;IFERROR(VLOOKUP($AP498,CODES,2,FALSE),"")&amp;IF(OR($AQ498="",$AQ498="-"),""," SEAM "&amp;$AQ498)&amp;IF($AR498="Y"," ASTRAGAL","")&amp;IF($AJ498=""," "," "&amp;$AJ498)&amp;IF($AK498=""," "," "&amp;$AK498)&amp;IF(OR($AT498="",$AT498="ANSI/SDI",$AT498="CUSTOM LOC"),""," "&amp;$AT498)&amp;IF($AM498=""," "," SERIES "&amp;$AM498)&amp;" "&amp;IFERROR(VLOOKUP($H498,CODES,2,FALSE),"")&amp;IF($CT498," | LOC "&amp;$CZ498,"")))</f>
        <v/>
      </c>
      <c r="CL498" s="84">
        <f>IF(CP498="","",IF(COUNTIF($CP$6:CP498,CP498)=1,MAX($CL$5:CL497)+1,INDEX($CL$5:CL497,MATCH(CP498,$CP$5:CP497,0))))</f>
        <v/>
      </c>
      <c r="CM498" s="84">
        <f>IF(NOT(AND($A498&lt;&gt;"",$C498&lt;&gt;"DOOR ONLY")),"",MAX($CM$5:CM497)+1)</f>
        <v/>
      </c>
      <c r="CN498" s="84">
        <f>IF(NOT(AND($A498&lt;&gt;"",N($BJ498)&gt;0)),"",MAX($CN$5:CN497)+1)</f>
        <v/>
      </c>
      <c r="CO498" s="84">
        <f>IF($A498="","",MAX($CO$5:CO497)+1)</f>
        <v/>
      </c>
      <c r="CP498" s="84">
        <f>IF(OR($A498="",$BH498="",$BI498=""),"",$BG498&amp;"|"&amp;$O498&amp;"|"&amp;$AL498&amp;"|"&amp;$S498&amp;"|"&amp;$P498&amp;"|"&amp;$Q498&amp;$R498&amp;"|"&amp;$C498&amp;"|"&amp;$AB498)</f>
        <v/>
      </c>
      <c r="CQ498" s="84">
        <f>N($BS498)</f>
        <v/>
      </c>
      <c r="CR498" s="84">
        <f>IF(N($AU498)&gt;0,N($AU498),4.5)</f>
        <v/>
      </c>
      <c r="CS498" s="84">
        <f>OR($A498="",$BI498="",$S498="BL",AND($C498="FRAME ONLY",OR($AC498="",$AC498="BLK")))</f>
        <v/>
      </c>
      <c r="CT498" s="84">
        <f>AND(NOT($CS498),OR($AT498="CUSTOM LOC",N($AW498)+N($AX498)+N($AY498)+N($AZ498)+N($BA498)&gt;0))</f>
        <v/>
      </c>
      <c r="CU498" s="84">
        <f>IF($BI498="","",IF($BI498&lt;=80,80,IF($BI498&lt;=84,84,96)))</f>
        <v/>
      </c>
      <c r="CV498" s="84">
        <f>ISNUMBER(MATCH($AT498&amp;"|80",LocKeys,0))</f>
        <v/>
      </c>
      <c r="CW498" s="86">
        <f>IF($CS498,"",IF($CV498,VLOOKUP($AT498&amp;"|"&amp;$CU498,LocTable,4,FALSE),5))</f>
        <v/>
      </c>
      <c r="CX498" s="86">
        <f>IF($CS498,"",IF($CV498,IF(OR($BI498=$CU498,AND($BI498&lt;$CU498,$BI498-IF(N(VLOOKUP($AT498&amp;"|"&amp;$CU498,LocTable,7,FALSE))&gt;0,VLOOKUP($AT498&amp;"|"&amp;$CU498,LocTable,7,FALSE),VLOOKUP($AT498&amp;"|"&amp;$CU498,LocTable,6,FALSE))-$CR498-0.75&gt;=2.125)),IF(N(VLOOKUP($AT498&amp;"|"&amp;$CU498,LocTable,7,FALSE))&gt;0,VLOOKUP($AT498&amp;"|"&amp;$CU498,LocTable,7,FALSE),VLOOKUP($AT498&amp;"|"&amp;$CU498,LocTable,6,FALSE)),$BI498-($CU498-IF(N(VLOOKUP($AT498&amp;"|"&amp;$CU498,LocTable,7,FALSE))&gt;0,VLOOKUP($AT498&amp;"|"&amp;$CU498,LocTable,7,FALSE),VLOOKUP($AT498&amp;"|"&amp;$CU498,LocTable,6,FALSE)))),$BI498-10-$CR498))</f>
        <v/>
      </c>
      <c r="CY498" s="85">
        <f>IF($CS498,"",TRIM(IF(ISNUMBER($BU498),"A "&amp;TRIM(TEXT($BU498,"# ?/??"))&amp;CHAR(34)&amp;"  ","")&amp;IF(ISNUMBER($BV498),"B "&amp;TRIM(TEXT($BV498,"# ?/??"))&amp;CHAR(34)&amp;"  ","")&amp;IF(ISNUMBER($BW498),"C "&amp;TRIM(TEXT($BW498,"# ?/??"))&amp;CHAR(34)&amp;"  ","")&amp;IF(ISNUMBER($BX498),"D "&amp;TRIM(TEXT($BX498,"# ?/??"))&amp;CHAR(34)&amp;"  ","")&amp;IF(ISNUMBER($BY498),"F "&amp;TRIM(TEXT($BY498,"# ?/??"))&amp;CHAR(34)&amp;"  ","")&amp;IF(ISNUMBER($BZ498),"E "&amp;TRIM(TEXT($BZ498,"# ?/??"))&amp;CHAR(34)&amp;"  ","")))</f>
        <v/>
      </c>
      <c r="CZ498" s="85">
        <f>IF(OR($CS498,N($BJ498)=0),"",TRIM(IF(ISNUMBER($BU498),"A "&amp;TRIM(TEXT($BU498-HeadClr,"# ?/??"))&amp;CHAR(34)&amp;"  ","")&amp;IF(ISNUMBER($BV498),"B "&amp;TRIM(TEXT($BV498-HeadClr,"# ?/??"))&amp;CHAR(34)&amp;"  ","")&amp;IF(ISNUMBER($BW498),"C "&amp;TRIM(TEXT($BW498-HeadClr,"# ?/??"))&amp;CHAR(34)&amp;"  ","")&amp;IF(ISNUMBER($BX498),"D "&amp;TRIM(TEXT($BX498-HeadClr,"# ?/??"))&amp;CHAR(34)&amp;"  ","")&amp;IF(ISNUMBER($BY498),"F "&amp;TRIM(TEXT($BY498-HeadClr,"# ?/??"))&amp;CHAR(34)&amp;"  ","")&amp;IF(ISNUMBER($BZ498),"E "&amp;TRIM(TEXT($BZ498-HeadClr,"# ?/??"))&amp;CHAR(34)&amp;"  ","")))</f>
        <v/>
      </c>
      <c r="DA498" s="84">
        <f>IF($A498="","",IF($AN498="",IFERROR(VLOOKUP($Z498,CODES,2,FALSE),""),IFERROR(VLOOKUP($AN498,CODES,2,FALSE),"")))</f>
        <v/>
      </c>
      <c r="DB498" s="84">
        <f>IF($A498="","",IF($O498="Y","PR",IF(OR($Z498="L",$Z498="RR",LEFT($Z498,2)="L-",LEFT($Z498,3)="RR-"),"LH","RH")))</f>
        <v/>
      </c>
      <c r="DC498" s="84">
        <f>IF($A498="","","S.HM"&amp;IF(OR($C498="DOOR ONLY",$X498&lt;&gt;"KD"),"MASONRY","DRYWALL")&amp;IF($C498="DOOR ONLY","",$U498)&amp;IF(AND($C498&lt;&gt;"FRAME ONLY",OR(LEFT($AH498,3)="OAK",LEFT($AH498,3)="BIR",LEFT($AH498,3)="MAP",$AH498="PC",$AH498="MC",$AH498="SCLC",$AH498="P-LAM")),"WD","HM")&amp;"1.75")</f>
        <v/>
      </c>
      <c r="DD498" s="84">
        <f>IF($CJ498="","",IF($O498="Y",$CJ498,SUBSTITUTE($CJ498,$BG498&amp;" "&amp;IFERROR(VLOOKUP($Z498,CODES,2,FALSE),"")&amp;" ",$BG498&amp;" ")))</f>
        <v/>
      </c>
      <c r="DE498" s="84">
        <f>IF($CK498="","",IF($O498="Y",$CK498,SUBSTITUTE($CK498,$BG498&amp;" "&amp;IF($AN498="",IFERROR(VLOOKUP($Z498,CODES,2,FALSE),""),IFERROR(VLOOKUP($AN498,CODES,2,FALSE),""))&amp;" ",$BG498&amp;" ")))</f>
        <v/>
      </c>
      <c r="DF498" s="84">
        <f>IF($CJ498="","",$DC498&amp;"|"&amp;$DD498&amp;"|"&amp;$DB498&amp;"|"&amp;$AT498&amp;"|"&amp;$V498&amp;"|"&amp;$Y498&amp;"|"&amp;$AB498)</f>
        <v/>
      </c>
      <c r="DG498" s="84">
        <f>IF(DF498="","",IF(COUNTIF($DF$6:DF498,DF498)=1,MAX($DG$5:DG497)+1,INDEX($DG$5:DG497,MATCH(DF498,$DF$5:DF497,0))))</f>
        <v/>
      </c>
      <c r="DH498" s="84">
        <f>IF($CK498="","",$DC498&amp;"|"&amp;$DE498&amp;"|"&amp;$AI498&amp;"|"&amp;$BK498&amp;"|"&amp;$BL498)</f>
        <v/>
      </c>
      <c r="DI498" s="84">
        <f>IF(DH498="","",IF(COUNTIF($DH$6:DH498,DH498)=1,MAX($DI$5:DI497)+1,INDEX($DI$5:DI497,MATCH(DH498,$DH$5:DH497,0))))</f>
        <v/>
      </c>
      <c r="DJ498" s="84">
        <f>IF($A498="","",IF($B498="","qty, ","")&amp;IF($C498="","scope, ","")&amp;IF(OR($K498="",$M498=""),"size, ","")&amp;IF(AND($A498&lt;&gt;"",$C498&lt;&gt;"DOOR ONLY"),IF($U498="","jamb depth, ","")&amp;IF($X498="","construction, ","")&amp;IF($Y498="","anchor, ","")&amp;IF($S498="","frame type, ",""),"")&amp;IF(AND(N($BJ498)&gt;0,$Z498=""),"hand, ","")&amp;IF(N($BJ498)&gt;0,IF($AH498="","door material, ","")&amp;IF($AL498="","face type, ","")&amp;IF($AP498="","lock prep, ","")&amp;IF(AND($AO498="",$AC498=""),"hinge prep, ",""),"")&amp;IF(AND($CH498&gt;0,$AH498="FRP"),"FRP cannot carry a label, ","")&amp;IF(AND($O498="Y",OR($Z498="L",$Z498="R",$Z498="LR",$Z498="RR")),"pair marked but hand is single, ","")&amp;IF(AND($O498&lt;&gt;"Y",OR($Z498="PR",AND(LEN($Z498)&gt;1,ISNUMBER(SEARCH("-",$Z498))))),"pair hand on a single door, ","")&amp;IF(AND(ISNUMBER($CI498),$CH498&lt;N($CI498)),"wall needs a "&amp;$CI498&amp;" min door, ","")&amp;IF(AND($CH498&gt;=180,AND(OR($CE498="FG",$CE498="HG",$CE498="FNV",$CE498="FV"),N($CF498)*N($CG498)&gt;100)),"180 min lite over 100 sq in, ","")&amp;IF(N($BK498)&gt;48,"leaf wider than 4'-0"&amp;CHAR(34)&amp;", ","")&amp;IF(AND($CT498,COUNT($AW498:$AZ498)=0,$CQ498&gt;0),"CUSTOM LOC with no locations typed, ",""))</f>
        <v/>
      </c>
      <c r="DK498" s="84">
        <f>IF($A498="","",IF(AND($CH498&gt;0,AND($A498&lt;&gt;"",$C498&lt;&gt;"DOOR ONLY"),$X498="KD",$E498="EXTERIOR"),"KD label on an exterior opening, ","")&amp;IF(AND($E498="EXTERIOR",OR(AND(AND($A498&lt;&gt;"",$C498&lt;&gt;"DOOR ONLY"),$W498="CR"),AND(N($BJ498)&gt;0,$AH498="CR"))),"exterior in CR steel (G9?), ","")&amp;IF(AND(ISNUMBER($BQ498),N($BQ498)&lt;32),"clear width ~"&amp;TEXT($BQ498,"0.0")&amp;CHAR(34)&amp;" under 32"&amp;CHAR(34)&amp;" (ADA), ","")&amp;IF(AND($CH498=90,AND(OR($CE498="FG",$CE498="HG",$CE498="FNV",$CE498="FV"),N($CF498)*N($CG498)&gt;100)),"90 min lite over 100 sq in (stair/exit), ","")&amp;IF(AND($CH498&gt;0,AND($A498&lt;&gt;"",$C498&lt;&gt;"DOOR ONLY"),OR($AF498="",$AF498="-")),"rated: closer reinf.?, ","")&amp;IF(OR($I498="CORRIDOR",$I498="SMOKE BARRIER"),"S label + smoke gasketing, ","")&amp;IF($CI498="?","wall type/hr not in IBC table, ","")&amp;IF(AND(N($BJ498)&gt;0,$BB498=""),"no hardware set, ","")&amp;IF(AND($BB498&lt;&gt;"",ISNA(MATCH($BB498&amp;"",HWSets,0))),"set "&amp;$BB498&amp;" not on HW Sets, ","")&amp;IF(N($BL498)&gt;96,"leaf over 8'-0"&amp;CHAR(34)&amp;" - check listing, ","")&amp;IF(AND($CT498,COUNT($AW498:$AZ498)&gt;0,COUNT($AW498:$AZ498)&lt;&gt;$CQ498),COUNT($AW498:$AZ498)&amp;" custom hinges typed, "&amp;$CQ498&amp;" expected, ","")&amp;IF(AND(ISNUMBER($CA498),OR(N($CA498)&lt;34,N($CA498)&gt;48)),"lock "&amp;TEXT($CA498,"0.0")&amp;CHAR(34)&amp;" AFF outside 34-48"&amp;CHAR(34)&amp;" (ADA), ","")&amp;IF(AND(ISNUMBER($AV498),ISNUMBER($BL498),N($AV498)&lt;IF(N($BL498)&lt;=60,2,IF(N($BL498)&lt;=90,3,IF(N($BL498)&lt;=120,4,5)))),"fewer hinges than standard, ",""))</f>
        <v/>
      </c>
    </row>
    <row r="499" ht="15" customHeight="1">
      <c r="A499" s="77" t="n"/>
      <c r="B499" s="78" t="n"/>
      <c r="C499" s="78" t="n"/>
      <c r="D499" s="78" t="n"/>
      <c r="E499" s="78" t="n"/>
      <c r="F499" s="78" t="n"/>
      <c r="G499" s="78" t="n"/>
      <c r="H499" s="78" t="n"/>
      <c r="I499" s="78" t="n"/>
      <c r="J499" s="78" t="n"/>
      <c r="K499" s="78" t="n"/>
      <c r="L499" s="78" t="n"/>
      <c r="M499" s="78" t="n"/>
      <c r="N499" s="78" t="n"/>
      <c r="O499" s="78" t="n"/>
      <c r="P499" s="78" t="n"/>
      <c r="Q499" s="78" t="n"/>
      <c r="R499" s="78" t="n"/>
      <c r="S499" s="79" t="n"/>
      <c r="T499" s="79" t="n"/>
      <c r="U499" s="79" t="n"/>
      <c r="V499" s="79" t="n"/>
      <c r="W499" s="79" t="n"/>
      <c r="X499" s="79" t="n"/>
      <c r="Y499" s="79" t="n"/>
      <c r="Z499" s="79" t="n"/>
      <c r="AA499" s="79" t="n"/>
      <c r="AB499" s="79" t="n"/>
      <c r="AC499" s="79" t="n"/>
      <c r="AD499" s="79" t="n"/>
      <c r="AE499" s="79" t="n"/>
      <c r="AF499" s="79" t="n"/>
      <c r="AG499" s="79" t="n"/>
      <c r="AH499" s="80" t="n"/>
      <c r="AI499" s="80" t="n"/>
      <c r="AJ499" s="80" t="n"/>
      <c r="AK499" s="80" t="n"/>
      <c r="AL499" s="80" t="n"/>
      <c r="AM499" s="80" t="n"/>
      <c r="AN499" s="80" t="n"/>
      <c r="AO499" s="80" t="n"/>
      <c r="AP499" s="80" t="n"/>
      <c r="AQ499" s="80" t="n"/>
      <c r="AR499" s="80" t="n"/>
      <c r="AS499" s="80" t="n"/>
      <c r="AT499" s="81" t="n"/>
      <c r="AU499" s="81" t="n"/>
      <c r="AV499" s="81" t="n"/>
      <c r="AW499" s="82" t="n"/>
      <c r="AX499" s="82" t="n"/>
      <c r="AY499" s="82" t="n"/>
      <c r="AZ499" s="82" t="n"/>
      <c r="BA499" s="82" t="n"/>
      <c r="BB499" s="83" t="n"/>
      <c r="BC499" s="83" t="n"/>
      <c r="BD499" s="84">
        <f>IF($A499="","",IF($DJ499&lt;&gt;"","FIX",IF($DK499&lt;&gt;"","CHECK","OK")))</f>
        <v/>
      </c>
      <c r="BE499" s="85">
        <f>IF($A499="","",IF($DJ499&lt;&gt;"","FIX: "&amp;LEFT($DJ499,LEN($DJ499)-2)&amp;IF($DK499&lt;&gt;"","  ·  ",""),"")&amp;IF($DK499&lt;&gt;"","CHECK: "&amp;LEFT($DK499,LEN($DK499)-2),""))</f>
        <v/>
      </c>
      <c r="BF499" s="84">
        <f>IF(OR($A499="",$K499=""),"",$K499&amp;"'-"&amp;N($L499)&amp;CHAR(34)&amp;" x "&amp;$M499&amp;"'-"&amp;N($N499)&amp;CHAR(34))</f>
        <v/>
      </c>
      <c r="BG499" s="84">
        <f>IF(OR($A499="",$K499=""),"",$K499&amp;N($L499)&amp;$M499&amp;N($N499))</f>
        <v/>
      </c>
      <c r="BH499" s="84">
        <f>IF(OR($A499="",$K499=""),"",$K499*12+N($L499))</f>
        <v/>
      </c>
      <c r="BI499" s="84">
        <f>IF(OR($A499="",$M499=""),"",$M499*12+N($N499))</f>
        <v/>
      </c>
      <c r="BJ499" s="84">
        <f>IF($A499="","",IF(OR($C499="FRAME ONLY",$S499="BL"),0,IF($O499="Y",2,1)))</f>
        <v/>
      </c>
      <c r="BK499" s="86">
        <f>IF(OR(N($BJ499)=0,$BH499=""),"",($BH499-2*EdgeClr-IF($BJ499=2,MeetClr,0))/$BJ499)</f>
        <v/>
      </c>
      <c r="BL499" s="86">
        <f>IF(OR(N($BJ499)=0,$BI499=""),"",$BI499-HeadClr-Undercut)</f>
        <v/>
      </c>
      <c r="BM499" s="86">
        <f>IF($BH499="","",$BH499+2*FaceW+IF(N($Q499)&gt;0,($Q499+FaceW)*IF($R499="LR",2,1),0))</f>
        <v/>
      </c>
      <c r="BN499" s="86">
        <f>IF($BI499="","",$BI499+IF($AB499="Y",4,FaceW)+IF(N($P499)&gt;0,$P499+FaceW,0)+IF(OR($S499="4F",$S499="BL"),FaceW,0))</f>
        <v/>
      </c>
      <c r="BO499" s="86">
        <f>IF($BM499="","",$BM499+2*ROSide)</f>
        <v/>
      </c>
      <c r="BP499" s="86">
        <f>IF($BN499="","",$BN499+ROTop)</f>
        <v/>
      </c>
      <c r="BQ499" s="87">
        <f>IF(OR(N($BJ499)=0,$BH499=""),"",$BH499/$BJ499-ClearDeduct)</f>
        <v/>
      </c>
      <c r="BR499" s="84">
        <f>IF(N($CH499)=0,"",IF($CH499&gt;=180,"A · 3 HR",IF($CH499&gt;=90,"B · 1-1/2 HR",IF($CH499&gt;=60,"B · 1 HR",IF($CH499&gt;=45,"C · 3/4 HR","20 MIN")))))&amp;IF(AND(N($CH499)&gt;0,OR($I499="CORRIDOR",$I499="SMOKE BARRIER"))," · S","")</f>
        <v/>
      </c>
      <c r="BS499" s="84">
        <f>IF($CS499,"",IF($AV499&lt;&gt;"",$AV499,IF(OR($AC499="HGC",$AO499="HGC"),"CONT",IF(($BI499-HeadClr-Undercut)&lt;=60,2,IF(($BI499-HeadClr-Undercut)&lt;=90,3,IF(($BI499-HeadClr-Undercut)&lt;=120,4,5))))))</f>
        <v/>
      </c>
      <c r="BT499" s="84">
        <f>IF($CS499,"",IF($CT499,"CUSTOM (typed)",IF($CV499,$AT499&amp;" "&amp;$CU499&amp;CHAR(34)&amp;IF($CU499&lt;&gt;$BI499,IF(AND($BI499&lt;$CU499,$BI499-IF(N(VLOOKUP($AT499&amp;"|"&amp;$CU499,LocTable,7,FALSE))&gt;0,VLOOKUP($AT499&amp;"|"&amp;$CU499,LocTable,7,FALSE),VLOOKUP($AT499&amp;"|"&amp;$CU499,LocTable,6,FALSE))-$CR499-0.75&gt;=2.125)," cut down"," adj."),""),"ANSI/SDI A250.6")))</f>
        <v/>
      </c>
      <c r="BU499" s="88">
        <f>IF($CS499,"",IF($CT499,IF(N($AW499)&gt;0,N($AW499),""),IF(1&gt;$CQ499,"",IF($CQ499=1,$CW499,$CW499+($CX499-$CW499)*0/($CQ499-1)))))</f>
        <v/>
      </c>
      <c r="BV499" s="88">
        <f>IF($CS499,"",IF($CT499,IF(N($AX499)&gt;0,N($AX499),""),IF(2&gt;$CQ499,"",IF($CQ499=1,$CW499,$CW499+($CX499-$CW499)*1/($CQ499-1)))))</f>
        <v/>
      </c>
      <c r="BW499" s="88">
        <f>IF($CS499,"",IF($CT499,IF(N($AY499)&gt;0,N($AY499),""),IF(3&gt;$CQ499,"",IF($CQ499=1,$CW499,$CW499+($CX499-$CW499)*2/($CQ499-1)))))</f>
        <v/>
      </c>
      <c r="BX499" s="88">
        <f>IF($CS499,"",IF($CT499,IF(N($AZ499)&gt;0,N($AZ499),""),IF(4&gt;$CQ499,"",IF($CQ499=1,$CW499,$CW499+($CX499-$CW499)*3/($CQ499-1)))))</f>
        <v/>
      </c>
      <c r="BY499" s="88">
        <f>IF($CS499,"",IF($CT499,"",IF(5&gt;$CQ499,"",IF($CQ499=1,$CW499,$CW499+($CX499-$CW499)*4/($CQ499-1)))))</f>
        <v/>
      </c>
      <c r="BZ499" s="88">
        <f>IF(OR($CS499,$AP499="-",AND($AP499="",$AD499="")),"",IF(N($BA499)&gt;0,N($BA499),IF($CV499,IF(AND($BI499&lt;$CU499,$BI499-IF(N(VLOOKUP($AT499&amp;"|"&amp;$CU499,LocTable,7,FALSE))&gt;0,VLOOKUP($AT499&amp;"|"&amp;$CU499,LocTable,7,FALSE),VLOOKUP($AT499&amp;"|"&amp;$CU499,LocTable,6,FALSE))-$CR499-0.75&gt;=2.125),VLOOKUP($AT499&amp;"|"&amp;$CU499,LocTable,8,FALSE),VLOOKUP($AT499&amp;"|"&amp;$CU499,LocTable,8,FALSE)+($BI499-$CU499)),$BI499-LockAFF)))</f>
        <v/>
      </c>
      <c r="CA499" s="89">
        <f>IF($BZ499="","",$BI499-$BZ499)</f>
        <v/>
      </c>
      <c r="CB499" s="84">
        <f>IF(OR(NOT(AND($A499&lt;&gt;"",$C499&lt;&gt;"DOOR ONLY")),$BI499=""),"",IF(($BI499+IF(N($P499)&gt;0,$P499+FaceW,0))&lt;=90,3,IF(($BI499+IF(N($P499)&gt;0,$P499+FaceW,0))&lt;=114,4,5)))</f>
        <v/>
      </c>
      <c r="CC499" s="84">
        <f>IF($CB499="","",$CB499*(2+IF(N($Q499)&gt;0,IF($R499="LR",2,1),0)))</f>
        <v/>
      </c>
      <c r="CD499" s="84">
        <f>IF($CB499="","",(2+IF(N($Q499)&gt;0,IF($R499="LR",2,1),0)))</f>
        <v/>
      </c>
      <c r="CE499" s="84">
        <f>IF(N($BJ499)=0,"",IF(OR($AL499="",$AL499="FLUSH"),"FLUSH",IFERROR(LEFT($AL499,FIND("-",$AL499)-1),LEFT($AL499,2))))</f>
        <v/>
      </c>
      <c r="CF499" s="84">
        <f>IF($CE499="","",IFERROR(VALUE(MID($AL499,FIND("-",$AL499)+1,FIND(CHAR(34)&amp;"x",$AL499)-FIND("-",$AL499)-1)),0))</f>
        <v/>
      </c>
      <c r="CG499" s="84">
        <f>IF($CE499="","",IFERROR(VALUE(MID($AL499,FIND(CHAR(34)&amp;"x",$AL499)+2,FIND(CHAR(34),$AL499,FIND(CHAR(34)&amp;"x",$AL499)+2)-FIND(CHAR(34)&amp;"x",$AL499)-2)),0))</f>
        <v/>
      </c>
      <c r="CH499" s="90">
        <f>IF(OR($A499="",$H499="",$H499="NO LAB"),0,IFERROR(VALUE(LEFT($H499,FIND(" ",$H499)-1)),0))</f>
        <v/>
      </c>
      <c r="CI499" s="91">
        <f>IF(OR($A499="",$I499="",$I499="NON-RATED",N($J499)=0),"",IFERROR(VLOOKUP($I499&amp;"|"&amp;$J499,IBC,2,FALSE),"?"))</f>
        <v/>
      </c>
      <c r="CJ499" s="85">
        <f>IF(NOT(AND($A499&lt;&gt;"",$C499&lt;&gt;"DOOR ONLY")),"",TRIM(IFERROR(VLOOKUP($U499,CODES,2,FALSE),"")&amp;" "&amp;$BG499&amp;" "&amp;IFERROR(VLOOKUP($Z499,CODES,2,FALSE),"")&amp;" "&amp;IFERROR(VLOOKUP($X499,CODES,2,FALSE),"")&amp;" "&amp;IFERROR(VLOOKUP($S499,CODES,2,FALSE),"")&amp;IF(N($P499)&gt;0," w/TRANSOM "&amp;$P499&amp;CHAR(34),"")&amp;IF(N($Q499)&gt;0," w/SIDELITE "&amp;$Q499&amp;CHAR(34)&amp;" "&amp;IF($R499="","R",$R499),"")&amp;IF($Y499="","  |  "," | "&amp;IFERROR(VLOOKUP($Y499,CODES,2,FALSE),"")&amp;" | ")&amp;IFERROR(VLOOKUP($AC499,CODES,2,FALSE),"")&amp;" "&amp;IFERROR(VLOOKUP($AD499,CODES,2,FALSE),"")&amp;IF(OR($AE499="",$AE499="-"),""," "&amp;$AE499)&amp;IF(OR($AF499="",$AF499="-"),""," "&amp;$AF499)&amp;IF($AB499="Y"," 4"&amp;CHAR(34)&amp;" HEAD","")&amp;" "&amp;IFERROR(VLOOKUP($H499,CODES,2,FALSE),"")&amp;IF($CT499," | LOC "&amp;$CY499,"")))</f>
        <v/>
      </c>
      <c r="CK499" s="85">
        <f>IF(NOT(AND($A499&lt;&gt;"",N($BJ499)&gt;0)),"",TRIM(IFERROR(VLOOKUP($AH499,CODES,2,FALSE),"")&amp;IF($AI499=""," "," "&amp;$AI499&amp;"GA ")&amp;$BG499&amp;" "&amp;IF($AN499="",IFERROR(VLOOKUP($Z499,CODES,2,FALSE),""),IFERROR(VLOOKUP($AN499,CODES,2,FALSE),""))&amp;IF($BJ499=2," PAIR","")&amp;" DOOR | "&amp;IF($AL499="","?",$AL499)&amp;" | "&amp;IF($AO499="",IFERROR(VLOOKUP($AC499,CODES,2,FALSE),""),IFERROR(VLOOKUP($AO499,CODES,2,FALSE),""))&amp;" "&amp;IFERROR(VLOOKUP($AP499,CODES,2,FALSE),"")&amp;IF(OR($AQ499="",$AQ499="-"),""," SEAM "&amp;$AQ499)&amp;IF($AR499="Y"," ASTRAGAL","")&amp;IF($AJ499=""," "," "&amp;$AJ499)&amp;IF($AK499=""," "," "&amp;$AK499)&amp;IF(OR($AT499="",$AT499="ANSI/SDI",$AT499="CUSTOM LOC"),""," "&amp;$AT499)&amp;IF($AM499=""," "," SERIES "&amp;$AM499)&amp;" "&amp;IFERROR(VLOOKUP($H499,CODES,2,FALSE),"")&amp;IF($CT499," | LOC "&amp;$CZ499,"")))</f>
        <v/>
      </c>
      <c r="CL499" s="84">
        <f>IF(CP499="","",IF(COUNTIF($CP$6:CP499,CP499)=1,MAX($CL$5:CL498)+1,INDEX($CL$5:CL498,MATCH(CP499,$CP$5:CP498,0))))</f>
        <v/>
      </c>
      <c r="CM499" s="84">
        <f>IF(NOT(AND($A499&lt;&gt;"",$C499&lt;&gt;"DOOR ONLY")),"",MAX($CM$5:CM498)+1)</f>
        <v/>
      </c>
      <c r="CN499" s="84">
        <f>IF(NOT(AND($A499&lt;&gt;"",N($BJ499)&gt;0)),"",MAX($CN$5:CN498)+1)</f>
        <v/>
      </c>
      <c r="CO499" s="84">
        <f>IF($A499="","",MAX($CO$5:CO498)+1)</f>
        <v/>
      </c>
      <c r="CP499" s="84">
        <f>IF(OR($A499="",$BH499="",$BI499=""),"",$BG499&amp;"|"&amp;$O499&amp;"|"&amp;$AL499&amp;"|"&amp;$S499&amp;"|"&amp;$P499&amp;"|"&amp;$Q499&amp;$R499&amp;"|"&amp;$C499&amp;"|"&amp;$AB499)</f>
        <v/>
      </c>
      <c r="CQ499" s="84">
        <f>N($BS499)</f>
        <v/>
      </c>
      <c r="CR499" s="84">
        <f>IF(N($AU499)&gt;0,N($AU499),4.5)</f>
        <v/>
      </c>
      <c r="CS499" s="84">
        <f>OR($A499="",$BI499="",$S499="BL",AND($C499="FRAME ONLY",OR($AC499="",$AC499="BLK")))</f>
        <v/>
      </c>
      <c r="CT499" s="84">
        <f>AND(NOT($CS499),OR($AT499="CUSTOM LOC",N($AW499)+N($AX499)+N($AY499)+N($AZ499)+N($BA499)&gt;0))</f>
        <v/>
      </c>
      <c r="CU499" s="84">
        <f>IF($BI499="","",IF($BI499&lt;=80,80,IF($BI499&lt;=84,84,96)))</f>
        <v/>
      </c>
      <c r="CV499" s="84">
        <f>ISNUMBER(MATCH($AT499&amp;"|80",LocKeys,0))</f>
        <v/>
      </c>
      <c r="CW499" s="86">
        <f>IF($CS499,"",IF($CV499,VLOOKUP($AT499&amp;"|"&amp;$CU499,LocTable,4,FALSE),5))</f>
        <v/>
      </c>
      <c r="CX499" s="86">
        <f>IF($CS499,"",IF($CV499,IF(OR($BI499=$CU499,AND($BI499&lt;$CU499,$BI499-IF(N(VLOOKUP($AT499&amp;"|"&amp;$CU499,LocTable,7,FALSE))&gt;0,VLOOKUP($AT499&amp;"|"&amp;$CU499,LocTable,7,FALSE),VLOOKUP($AT499&amp;"|"&amp;$CU499,LocTable,6,FALSE))-$CR499-0.75&gt;=2.125)),IF(N(VLOOKUP($AT499&amp;"|"&amp;$CU499,LocTable,7,FALSE))&gt;0,VLOOKUP($AT499&amp;"|"&amp;$CU499,LocTable,7,FALSE),VLOOKUP($AT499&amp;"|"&amp;$CU499,LocTable,6,FALSE)),$BI499-($CU499-IF(N(VLOOKUP($AT499&amp;"|"&amp;$CU499,LocTable,7,FALSE))&gt;0,VLOOKUP($AT499&amp;"|"&amp;$CU499,LocTable,7,FALSE),VLOOKUP($AT499&amp;"|"&amp;$CU499,LocTable,6,FALSE)))),$BI499-10-$CR499))</f>
        <v/>
      </c>
      <c r="CY499" s="85">
        <f>IF($CS499,"",TRIM(IF(ISNUMBER($BU499),"A "&amp;TRIM(TEXT($BU499,"# ?/??"))&amp;CHAR(34)&amp;"  ","")&amp;IF(ISNUMBER($BV499),"B "&amp;TRIM(TEXT($BV499,"# ?/??"))&amp;CHAR(34)&amp;"  ","")&amp;IF(ISNUMBER($BW499),"C "&amp;TRIM(TEXT($BW499,"# ?/??"))&amp;CHAR(34)&amp;"  ","")&amp;IF(ISNUMBER($BX499),"D "&amp;TRIM(TEXT($BX499,"# ?/??"))&amp;CHAR(34)&amp;"  ","")&amp;IF(ISNUMBER($BY499),"F "&amp;TRIM(TEXT($BY499,"# ?/??"))&amp;CHAR(34)&amp;"  ","")&amp;IF(ISNUMBER($BZ499),"E "&amp;TRIM(TEXT($BZ499,"# ?/??"))&amp;CHAR(34)&amp;"  ","")))</f>
        <v/>
      </c>
      <c r="CZ499" s="85">
        <f>IF(OR($CS499,N($BJ499)=0),"",TRIM(IF(ISNUMBER($BU499),"A "&amp;TRIM(TEXT($BU499-HeadClr,"# ?/??"))&amp;CHAR(34)&amp;"  ","")&amp;IF(ISNUMBER($BV499),"B "&amp;TRIM(TEXT($BV499-HeadClr,"# ?/??"))&amp;CHAR(34)&amp;"  ","")&amp;IF(ISNUMBER($BW499),"C "&amp;TRIM(TEXT($BW499-HeadClr,"# ?/??"))&amp;CHAR(34)&amp;"  ","")&amp;IF(ISNUMBER($BX499),"D "&amp;TRIM(TEXT($BX499-HeadClr,"# ?/??"))&amp;CHAR(34)&amp;"  ","")&amp;IF(ISNUMBER($BY499),"F "&amp;TRIM(TEXT($BY499-HeadClr,"# ?/??"))&amp;CHAR(34)&amp;"  ","")&amp;IF(ISNUMBER($BZ499),"E "&amp;TRIM(TEXT($BZ499-HeadClr,"# ?/??"))&amp;CHAR(34)&amp;"  ","")))</f>
        <v/>
      </c>
      <c r="DA499" s="84">
        <f>IF($A499="","",IF($AN499="",IFERROR(VLOOKUP($Z499,CODES,2,FALSE),""),IFERROR(VLOOKUP($AN499,CODES,2,FALSE),"")))</f>
        <v/>
      </c>
      <c r="DB499" s="84">
        <f>IF($A499="","",IF($O499="Y","PR",IF(OR($Z499="L",$Z499="RR",LEFT($Z499,2)="L-",LEFT($Z499,3)="RR-"),"LH","RH")))</f>
        <v/>
      </c>
      <c r="DC499" s="84">
        <f>IF($A499="","","S.HM"&amp;IF(OR($C499="DOOR ONLY",$X499&lt;&gt;"KD"),"MASONRY","DRYWALL")&amp;IF($C499="DOOR ONLY","",$U499)&amp;IF(AND($C499&lt;&gt;"FRAME ONLY",OR(LEFT($AH499,3)="OAK",LEFT($AH499,3)="BIR",LEFT($AH499,3)="MAP",$AH499="PC",$AH499="MC",$AH499="SCLC",$AH499="P-LAM")),"WD","HM")&amp;"1.75")</f>
        <v/>
      </c>
      <c r="DD499" s="84">
        <f>IF($CJ499="","",IF($O499="Y",$CJ499,SUBSTITUTE($CJ499,$BG499&amp;" "&amp;IFERROR(VLOOKUP($Z499,CODES,2,FALSE),"")&amp;" ",$BG499&amp;" ")))</f>
        <v/>
      </c>
      <c r="DE499" s="84">
        <f>IF($CK499="","",IF($O499="Y",$CK499,SUBSTITUTE($CK499,$BG499&amp;" "&amp;IF($AN499="",IFERROR(VLOOKUP($Z499,CODES,2,FALSE),""),IFERROR(VLOOKUP($AN499,CODES,2,FALSE),""))&amp;" ",$BG499&amp;" ")))</f>
        <v/>
      </c>
      <c r="DF499" s="84">
        <f>IF($CJ499="","",$DC499&amp;"|"&amp;$DD499&amp;"|"&amp;$DB499&amp;"|"&amp;$AT499&amp;"|"&amp;$V499&amp;"|"&amp;$Y499&amp;"|"&amp;$AB499)</f>
        <v/>
      </c>
      <c r="DG499" s="84">
        <f>IF(DF499="","",IF(COUNTIF($DF$6:DF499,DF499)=1,MAX($DG$5:DG498)+1,INDEX($DG$5:DG498,MATCH(DF499,$DF$5:DF498,0))))</f>
        <v/>
      </c>
      <c r="DH499" s="84">
        <f>IF($CK499="","",$DC499&amp;"|"&amp;$DE499&amp;"|"&amp;$AI499&amp;"|"&amp;$BK499&amp;"|"&amp;$BL499)</f>
        <v/>
      </c>
      <c r="DI499" s="84">
        <f>IF(DH499="","",IF(COUNTIF($DH$6:DH499,DH499)=1,MAX($DI$5:DI498)+1,INDEX($DI$5:DI498,MATCH(DH499,$DH$5:DH498,0))))</f>
        <v/>
      </c>
      <c r="DJ499" s="84">
        <f>IF($A499="","",IF($B499="","qty, ","")&amp;IF($C499="","scope, ","")&amp;IF(OR($K499="",$M499=""),"size, ","")&amp;IF(AND($A499&lt;&gt;"",$C499&lt;&gt;"DOOR ONLY"),IF($U499="","jamb depth, ","")&amp;IF($X499="","construction, ","")&amp;IF($Y499="","anchor, ","")&amp;IF($S499="","frame type, ",""),"")&amp;IF(AND(N($BJ499)&gt;0,$Z499=""),"hand, ","")&amp;IF(N($BJ499)&gt;0,IF($AH499="","door material, ","")&amp;IF($AL499="","face type, ","")&amp;IF($AP499="","lock prep, ","")&amp;IF(AND($AO499="",$AC499=""),"hinge prep, ",""),"")&amp;IF(AND($CH499&gt;0,$AH499="FRP"),"FRP cannot carry a label, ","")&amp;IF(AND($O499="Y",OR($Z499="L",$Z499="R",$Z499="LR",$Z499="RR")),"pair marked but hand is single, ","")&amp;IF(AND($O499&lt;&gt;"Y",OR($Z499="PR",AND(LEN($Z499)&gt;1,ISNUMBER(SEARCH("-",$Z499))))),"pair hand on a single door, ","")&amp;IF(AND(ISNUMBER($CI499),$CH499&lt;N($CI499)),"wall needs a "&amp;$CI499&amp;" min door, ","")&amp;IF(AND($CH499&gt;=180,AND(OR($CE499="FG",$CE499="HG",$CE499="FNV",$CE499="FV"),N($CF499)*N($CG499)&gt;100)),"180 min lite over 100 sq in, ","")&amp;IF(N($BK499)&gt;48,"leaf wider than 4'-0"&amp;CHAR(34)&amp;", ","")&amp;IF(AND($CT499,COUNT($AW499:$AZ499)=0,$CQ499&gt;0),"CUSTOM LOC with no locations typed, ",""))</f>
        <v/>
      </c>
      <c r="DK499" s="84">
        <f>IF($A499="","",IF(AND($CH499&gt;0,AND($A499&lt;&gt;"",$C499&lt;&gt;"DOOR ONLY"),$X499="KD",$E499="EXTERIOR"),"KD label on an exterior opening, ","")&amp;IF(AND($E499="EXTERIOR",OR(AND(AND($A499&lt;&gt;"",$C499&lt;&gt;"DOOR ONLY"),$W499="CR"),AND(N($BJ499)&gt;0,$AH499="CR"))),"exterior in CR steel (G9?), ","")&amp;IF(AND(ISNUMBER($BQ499),N($BQ499)&lt;32),"clear width ~"&amp;TEXT($BQ499,"0.0")&amp;CHAR(34)&amp;" under 32"&amp;CHAR(34)&amp;" (ADA), ","")&amp;IF(AND($CH499=90,AND(OR($CE499="FG",$CE499="HG",$CE499="FNV",$CE499="FV"),N($CF499)*N($CG499)&gt;100)),"90 min lite over 100 sq in (stair/exit), ","")&amp;IF(AND($CH499&gt;0,AND($A499&lt;&gt;"",$C499&lt;&gt;"DOOR ONLY"),OR($AF499="",$AF499="-")),"rated: closer reinf.?, ","")&amp;IF(OR($I499="CORRIDOR",$I499="SMOKE BARRIER"),"S label + smoke gasketing, ","")&amp;IF($CI499="?","wall type/hr not in IBC table, ","")&amp;IF(AND(N($BJ499)&gt;0,$BB499=""),"no hardware set, ","")&amp;IF(AND($BB499&lt;&gt;"",ISNA(MATCH($BB499&amp;"",HWSets,0))),"set "&amp;$BB499&amp;" not on HW Sets, ","")&amp;IF(N($BL499)&gt;96,"leaf over 8'-0"&amp;CHAR(34)&amp;" - check listing, ","")&amp;IF(AND($CT499,COUNT($AW499:$AZ499)&gt;0,COUNT($AW499:$AZ499)&lt;&gt;$CQ499),COUNT($AW499:$AZ499)&amp;" custom hinges typed, "&amp;$CQ499&amp;" expected, ","")&amp;IF(AND(ISNUMBER($CA499),OR(N($CA499)&lt;34,N($CA499)&gt;48)),"lock "&amp;TEXT($CA499,"0.0")&amp;CHAR(34)&amp;" AFF outside 34-48"&amp;CHAR(34)&amp;" (ADA), ","")&amp;IF(AND(ISNUMBER($AV499),ISNUMBER($BL499),N($AV499)&lt;IF(N($BL499)&lt;=60,2,IF(N($BL499)&lt;=90,3,IF(N($BL499)&lt;=120,4,5)))),"fewer hinges than standard, ",""))</f>
        <v/>
      </c>
    </row>
    <row r="500" ht="15" customHeight="1">
      <c r="A500" s="92" t="n"/>
      <c r="B500" s="93" t="n"/>
      <c r="C500" s="93" t="n"/>
      <c r="D500" s="93" t="n"/>
      <c r="E500" s="93" t="n"/>
      <c r="F500" s="93" t="n"/>
      <c r="G500" s="93" t="n"/>
      <c r="H500" s="93" t="n"/>
      <c r="I500" s="93" t="n"/>
      <c r="J500" s="93" t="n"/>
      <c r="K500" s="93" t="n"/>
      <c r="L500" s="93" t="n"/>
      <c r="M500" s="93" t="n"/>
      <c r="N500" s="93" t="n"/>
      <c r="O500" s="93" t="n"/>
      <c r="P500" s="93" t="n"/>
      <c r="Q500" s="93" t="n"/>
      <c r="R500" s="93" t="n"/>
      <c r="S500" s="94" t="n"/>
      <c r="T500" s="94" t="n"/>
      <c r="U500" s="94" t="n"/>
      <c r="V500" s="94" t="n"/>
      <c r="W500" s="94" t="n"/>
      <c r="X500" s="94" t="n"/>
      <c r="Y500" s="94" t="n"/>
      <c r="Z500" s="94" t="n"/>
      <c r="AA500" s="94" t="n"/>
      <c r="AB500" s="94" t="n"/>
      <c r="AC500" s="94" t="n"/>
      <c r="AD500" s="94" t="n"/>
      <c r="AE500" s="94" t="n"/>
      <c r="AF500" s="94" t="n"/>
      <c r="AG500" s="94" t="n"/>
      <c r="AH500" s="95" t="n"/>
      <c r="AI500" s="95" t="n"/>
      <c r="AJ500" s="95" t="n"/>
      <c r="AK500" s="95" t="n"/>
      <c r="AL500" s="95" t="n"/>
      <c r="AM500" s="95" t="n"/>
      <c r="AN500" s="95" t="n"/>
      <c r="AO500" s="95" t="n"/>
      <c r="AP500" s="95" t="n"/>
      <c r="AQ500" s="95" t="n"/>
      <c r="AR500" s="95" t="n"/>
      <c r="AS500" s="95" t="n"/>
      <c r="AT500" s="96" t="n"/>
      <c r="AU500" s="96" t="n"/>
      <c r="AV500" s="96" t="n"/>
      <c r="AW500" s="97" t="n"/>
      <c r="AX500" s="97" t="n"/>
      <c r="AY500" s="97" t="n"/>
      <c r="AZ500" s="97" t="n"/>
      <c r="BA500" s="97" t="n"/>
      <c r="BB500" s="98" t="n"/>
      <c r="BC500" s="98" t="n"/>
      <c r="BD500" s="99">
        <f>IF($A500="","",IF($DJ500&lt;&gt;"","FIX",IF($DK500&lt;&gt;"","CHECK","OK")))</f>
        <v/>
      </c>
      <c r="BE500" s="100">
        <f>IF($A500="","",IF($DJ500&lt;&gt;"","FIX: "&amp;LEFT($DJ500,LEN($DJ500)-2)&amp;IF($DK500&lt;&gt;"","  ·  ",""),"")&amp;IF($DK500&lt;&gt;"","CHECK: "&amp;LEFT($DK500,LEN($DK500)-2),""))</f>
        <v/>
      </c>
      <c r="BF500" s="99">
        <f>IF(OR($A500="",$K500=""),"",$K500&amp;"'-"&amp;N($L500)&amp;CHAR(34)&amp;" x "&amp;$M500&amp;"'-"&amp;N($N500)&amp;CHAR(34))</f>
        <v/>
      </c>
      <c r="BG500" s="99">
        <f>IF(OR($A500="",$K500=""),"",$K500&amp;N($L500)&amp;$M500&amp;N($N500))</f>
        <v/>
      </c>
      <c r="BH500" s="99">
        <f>IF(OR($A500="",$K500=""),"",$K500*12+N($L500))</f>
        <v/>
      </c>
      <c r="BI500" s="99">
        <f>IF(OR($A500="",$M500=""),"",$M500*12+N($N500))</f>
        <v/>
      </c>
      <c r="BJ500" s="99">
        <f>IF($A500="","",IF(OR($C500="FRAME ONLY",$S500="BL"),0,IF($O500="Y",2,1)))</f>
        <v/>
      </c>
      <c r="BK500" s="101">
        <f>IF(OR(N($BJ500)=0,$BH500=""),"",($BH500-2*EdgeClr-IF($BJ500=2,MeetClr,0))/$BJ500)</f>
        <v/>
      </c>
      <c r="BL500" s="101">
        <f>IF(OR(N($BJ500)=0,$BI500=""),"",$BI500-HeadClr-Undercut)</f>
        <v/>
      </c>
      <c r="BM500" s="101">
        <f>IF($BH500="","",$BH500+2*FaceW+IF(N($Q500)&gt;0,($Q500+FaceW)*IF($R500="LR",2,1),0))</f>
        <v/>
      </c>
      <c r="BN500" s="101">
        <f>IF($BI500="","",$BI500+IF($AB500="Y",4,FaceW)+IF(N($P500)&gt;0,$P500+FaceW,0)+IF(OR($S500="4F",$S500="BL"),FaceW,0))</f>
        <v/>
      </c>
      <c r="BO500" s="101">
        <f>IF($BM500="","",$BM500+2*ROSide)</f>
        <v/>
      </c>
      <c r="BP500" s="101">
        <f>IF($BN500="","",$BN500+ROTop)</f>
        <v/>
      </c>
      <c r="BQ500" s="102">
        <f>IF(OR(N($BJ500)=0,$BH500=""),"",$BH500/$BJ500-ClearDeduct)</f>
        <v/>
      </c>
      <c r="BR500" s="99">
        <f>IF(N($CH500)=0,"",IF($CH500&gt;=180,"A · 3 HR",IF($CH500&gt;=90,"B · 1-1/2 HR",IF($CH500&gt;=60,"B · 1 HR",IF($CH500&gt;=45,"C · 3/4 HR","20 MIN")))))&amp;IF(AND(N($CH500)&gt;0,OR($I500="CORRIDOR",$I500="SMOKE BARRIER"))," · S","")</f>
        <v/>
      </c>
      <c r="BS500" s="99">
        <f>IF($CS500,"",IF($AV500&lt;&gt;"",$AV500,IF(OR($AC500="HGC",$AO500="HGC"),"CONT",IF(($BI500-HeadClr-Undercut)&lt;=60,2,IF(($BI500-HeadClr-Undercut)&lt;=90,3,IF(($BI500-HeadClr-Undercut)&lt;=120,4,5))))))</f>
        <v/>
      </c>
      <c r="BT500" s="99">
        <f>IF($CS500,"",IF($CT500,"CUSTOM (typed)",IF($CV500,$AT500&amp;" "&amp;$CU500&amp;CHAR(34)&amp;IF($CU500&lt;&gt;$BI500,IF(AND($BI500&lt;$CU500,$BI500-IF(N(VLOOKUP($AT500&amp;"|"&amp;$CU500,LocTable,7,FALSE))&gt;0,VLOOKUP($AT500&amp;"|"&amp;$CU500,LocTable,7,FALSE),VLOOKUP($AT500&amp;"|"&amp;$CU500,LocTable,6,FALSE))-$CR500-0.75&gt;=2.125)," cut down"," adj."),""),"ANSI/SDI A250.6")))</f>
        <v/>
      </c>
      <c r="BU500" s="103">
        <f>IF($CS500,"",IF($CT500,IF(N($AW500)&gt;0,N($AW500),""),IF(1&gt;$CQ500,"",IF($CQ500=1,$CW500,$CW500+($CX500-$CW500)*0/($CQ500-1)))))</f>
        <v/>
      </c>
      <c r="BV500" s="103">
        <f>IF($CS500,"",IF($CT500,IF(N($AX500)&gt;0,N($AX500),""),IF(2&gt;$CQ500,"",IF($CQ500=1,$CW500,$CW500+($CX500-$CW500)*1/($CQ500-1)))))</f>
        <v/>
      </c>
      <c r="BW500" s="103">
        <f>IF($CS500,"",IF($CT500,IF(N($AY500)&gt;0,N($AY500),""),IF(3&gt;$CQ500,"",IF($CQ500=1,$CW500,$CW500+($CX500-$CW500)*2/($CQ500-1)))))</f>
        <v/>
      </c>
      <c r="BX500" s="103">
        <f>IF($CS500,"",IF($CT500,IF(N($AZ500)&gt;0,N($AZ500),""),IF(4&gt;$CQ500,"",IF($CQ500=1,$CW500,$CW500+($CX500-$CW500)*3/($CQ500-1)))))</f>
        <v/>
      </c>
      <c r="BY500" s="103">
        <f>IF($CS500,"",IF($CT500,"",IF(5&gt;$CQ500,"",IF($CQ500=1,$CW500,$CW500+($CX500-$CW500)*4/($CQ500-1)))))</f>
        <v/>
      </c>
      <c r="BZ500" s="103">
        <f>IF(OR($CS500,$AP500="-",AND($AP500="",$AD500="")),"",IF(N($BA500)&gt;0,N($BA500),IF($CV500,IF(AND($BI500&lt;$CU500,$BI500-IF(N(VLOOKUP($AT500&amp;"|"&amp;$CU500,LocTable,7,FALSE))&gt;0,VLOOKUP($AT500&amp;"|"&amp;$CU500,LocTable,7,FALSE),VLOOKUP($AT500&amp;"|"&amp;$CU500,LocTable,6,FALSE))-$CR500-0.75&gt;=2.125),VLOOKUP($AT500&amp;"|"&amp;$CU500,LocTable,8,FALSE),VLOOKUP($AT500&amp;"|"&amp;$CU500,LocTable,8,FALSE)+($BI500-$CU500)),$BI500-LockAFF)))</f>
        <v/>
      </c>
      <c r="CA500" s="104">
        <f>IF($BZ500="","",$BI500-$BZ500)</f>
        <v/>
      </c>
      <c r="CB500" s="99">
        <f>IF(OR(NOT(AND($A500&lt;&gt;"",$C500&lt;&gt;"DOOR ONLY")),$BI500=""),"",IF(($BI500+IF(N($P500)&gt;0,$P500+FaceW,0))&lt;=90,3,IF(($BI500+IF(N($P500)&gt;0,$P500+FaceW,0))&lt;=114,4,5)))</f>
        <v/>
      </c>
      <c r="CC500" s="99">
        <f>IF($CB500="","",$CB500*(2+IF(N($Q500)&gt;0,IF($R500="LR",2,1),0)))</f>
        <v/>
      </c>
      <c r="CD500" s="99">
        <f>IF($CB500="","",(2+IF(N($Q500)&gt;0,IF($R500="LR",2,1),0)))</f>
        <v/>
      </c>
      <c r="CE500" s="99">
        <f>IF(N($BJ500)=0,"",IF(OR($AL500="",$AL500="FLUSH"),"FLUSH",IFERROR(LEFT($AL500,FIND("-",$AL500)-1),LEFT($AL500,2))))</f>
        <v/>
      </c>
      <c r="CF500" s="99">
        <f>IF($CE500="","",IFERROR(VALUE(MID($AL500,FIND("-",$AL500)+1,FIND(CHAR(34)&amp;"x",$AL500)-FIND("-",$AL500)-1)),0))</f>
        <v/>
      </c>
      <c r="CG500" s="99">
        <f>IF($CE500="","",IFERROR(VALUE(MID($AL500,FIND(CHAR(34)&amp;"x",$AL500)+2,FIND(CHAR(34),$AL500,FIND(CHAR(34)&amp;"x",$AL500)+2)-FIND(CHAR(34)&amp;"x",$AL500)-2)),0))</f>
        <v/>
      </c>
      <c r="CH500" s="105">
        <f>IF(OR($A500="",$H500="",$H500="NO LAB"),0,IFERROR(VALUE(LEFT($H500,FIND(" ",$H500)-1)),0))</f>
        <v/>
      </c>
      <c r="CI500" s="106">
        <f>IF(OR($A500="",$I500="",$I500="NON-RATED",N($J500)=0),"",IFERROR(VLOOKUP($I500&amp;"|"&amp;$J500,IBC,2,FALSE),"?"))</f>
        <v/>
      </c>
      <c r="CJ500" s="100">
        <f>IF(NOT(AND($A500&lt;&gt;"",$C500&lt;&gt;"DOOR ONLY")),"",TRIM(IFERROR(VLOOKUP($U500,CODES,2,FALSE),"")&amp;" "&amp;$BG500&amp;" "&amp;IFERROR(VLOOKUP($Z500,CODES,2,FALSE),"")&amp;" "&amp;IFERROR(VLOOKUP($X500,CODES,2,FALSE),"")&amp;" "&amp;IFERROR(VLOOKUP($S500,CODES,2,FALSE),"")&amp;IF(N($P500)&gt;0," w/TRANSOM "&amp;$P500&amp;CHAR(34),"")&amp;IF(N($Q500)&gt;0," w/SIDELITE "&amp;$Q500&amp;CHAR(34)&amp;" "&amp;IF($R500="","R",$R500),"")&amp;IF($Y500="","  |  "," | "&amp;IFERROR(VLOOKUP($Y500,CODES,2,FALSE),"")&amp;" | ")&amp;IFERROR(VLOOKUP($AC500,CODES,2,FALSE),"")&amp;" "&amp;IFERROR(VLOOKUP($AD500,CODES,2,FALSE),"")&amp;IF(OR($AE500="",$AE500="-"),""," "&amp;$AE500)&amp;IF(OR($AF500="",$AF500="-"),""," "&amp;$AF500)&amp;IF($AB500="Y"," 4"&amp;CHAR(34)&amp;" HEAD","")&amp;" "&amp;IFERROR(VLOOKUP($H500,CODES,2,FALSE),"")&amp;IF($CT500," | LOC "&amp;$CY500,"")))</f>
        <v/>
      </c>
      <c r="CK500" s="100">
        <f>IF(NOT(AND($A500&lt;&gt;"",N($BJ500)&gt;0)),"",TRIM(IFERROR(VLOOKUP($AH500,CODES,2,FALSE),"")&amp;IF($AI500=""," "," "&amp;$AI500&amp;"GA ")&amp;$BG500&amp;" "&amp;IF($AN500="",IFERROR(VLOOKUP($Z500,CODES,2,FALSE),""),IFERROR(VLOOKUP($AN500,CODES,2,FALSE),""))&amp;IF($BJ500=2," PAIR","")&amp;" DOOR | "&amp;IF($AL500="","?",$AL500)&amp;" | "&amp;IF($AO500="",IFERROR(VLOOKUP($AC500,CODES,2,FALSE),""),IFERROR(VLOOKUP($AO500,CODES,2,FALSE),""))&amp;" "&amp;IFERROR(VLOOKUP($AP500,CODES,2,FALSE),"")&amp;IF(OR($AQ500="",$AQ500="-"),""," SEAM "&amp;$AQ500)&amp;IF($AR500="Y"," ASTRAGAL","")&amp;IF($AJ500=""," "," "&amp;$AJ500)&amp;IF($AK500=""," "," "&amp;$AK500)&amp;IF(OR($AT500="",$AT500="ANSI/SDI",$AT500="CUSTOM LOC"),""," "&amp;$AT500)&amp;IF($AM500=""," "," SERIES "&amp;$AM500)&amp;" "&amp;IFERROR(VLOOKUP($H500,CODES,2,FALSE),"")&amp;IF($CT500," | LOC "&amp;$CZ500,"")))</f>
        <v/>
      </c>
      <c r="CL500" s="99">
        <f>IF(CP500="","",IF(COUNTIF($CP$6:CP500,CP500)=1,MAX($CL$5:CL499)+1,INDEX($CL$5:CL499,MATCH(CP500,$CP$5:CP499,0))))</f>
        <v/>
      </c>
      <c r="CM500" s="99">
        <f>IF(NOT(AND($A500&lt;&gt;"",$C500&lt;&gt;"DOOR ONLY")),"",MAX($CM$5:CM499)+1)</f>
        <v/>
      </c>
      <c r="CN500" s="99">
        <f>IF(NOT(AND($A500&lt;&gt;"",N($BJ500)&gt;0)),"",MAX($CN$5:CN499)+1)</f>
        <v/>
      </c>
      <c r="CO500" s="99">
        <f>IF($A500="","",MAX($CO$5:CO499)+1)</f>
        <v/>
      </c>
      <c r="CP500" s="99">
        <f>IF(OR($A500="",$BH500="",$BI500=""),"",$BG500&amp;"|"&amp;$O500&amp;"|"&amp;$AL500&amp;"|"&amp;$S500&amp;"|"&amp;$P500&amp;"|"&amp;$Q500&amp;$R500&amp;"|"&amp;$C500&amp;"|"&amp;$AB500)</f>
        <v/>
      </c>
      <c r="CQ500" s="99">
        <f>N($BS500)</f>
        <v/>
      </c>
      <c r="CR500" s="99">
        <f>IF(N($AU500)&gt;0,N($AU500),4.5)</f>
        <v/>
      </c>
      <c r="CS500" s="99">
        <f>OR($A500="",$BI500="",$S500="BL",AND($C500="FRAME ONLY",OR($AC500="",$AC500="BLK")))</f>
        <v/>
      </c>
      <c r="CT500" s="99">
        <f>AND(NOT($CS500),OR($AT500="CUSTOM LOC",N($AW500)+N($AX500)+N($AY500)+N($AZ500)+N($BA500)&gt;0))</f>
        <v/>
      </c>
      <c r="CU500" s="99">
        <f>IF($BI500="","",IF($BI500&lt;=80,80,IF($BI500&lt;=84,84,96)))</f>
        <v/>
      </c>
      <c r="CV500" s="99">
        <f>ISNUMBER(MATCH($AT500&amp;"|80",LocKeys,0))</f>
        <v/>
      </c>
      <c r="CW500" s="101">
        <f>IF($CS500,"",IF($CV500,VLOOKUP($AT500&amp;"|"&amp;$CU500,LocTable,4,FALSE),5))</f>
        <v/>
      </c>
      <c r="CX500" s="101">
        <f>IF($CS500,"",IF($CV500,IF(OR($BI500=$CU500,AND($BI500&lt;$CU500,$BI500-IF(N(VLOOKUP($AT500&amp;"|"&amp;$CU500,LocTable,7,FALSE))&gt;0,VLOOKUP($AT500&amp;"|"&amp;$CU500,LocTable,7,FALSE),VLOOKUP($AT500&amp;"|"&amp;$CU500,LocTable,6,FALSE))-$CR500-0.75&gt;=2.125)),IF(N(VLOOKUP($AT500&amp;"|"&amp;$CU500,LocTable,7,FALSE))&gt;0,VLOOKUP($AT500&amp;"|"&amp;$CU500,LocTable,7,FALSE),VLOOKUP($AT500&amp;"|"&amp;$CU500,LocTable,6,FALSE)),$BI500-($CU500-IF(N(VLOOKUP($AT500&amp;"|"&amp;$CU500,LocTable,7,FALSE))&gt;0,VLOOKUP($AT500&amp;"|"&amp;$CU500,LocTable,7,FALSE),VLOOKUP($AT500&amp;"|"&amp;$CU500,LocTable,6,FALSE)))),$BI500-10-$CR500))</f>
        <v/>
      </c>
      <c r="CY500" s="100">
        <f>IF($CS500,"",TRIM(IF(ISNUMBER($BU500),"A "&amp;TRIM(TEXT($BU500,"# ?/??"))&amp;CHAR(34)&amp;"  ","")&amp;IF(ISNUMBER($BV500),"B "&amp;TRIM(TEXT($BV500,"# ?/??"))&amp;CHAR(34)&amp;"  ","")&amp;IF(ISNUMBER($BW500),"C "&amp;TRIM(TEXT($BW500,"# ?/??"))&amp;CHAR(34)&amp;"  ","")&amp;IF(ISNUMBER($BX500),"D "&amp;TRIM(TEXT($BX500,"# ?/??"))&amp;CHAR(34)&amp;"  ","")&amp;IF(ISNUMBER($BY500),"F "&amp;TRIM(TEXT($BY500,"# ?/??"))&amp;CHAR(34)&amp;"  ","")&amp;IF(ISNUMBER($BZ500),"E "&amp;TRIM(TEXT($BZ500,"# ?/??"))&amp;CHAR(34)&amp;"  ","")))</f>
        <v/>
      </c>
      <c r="CZ500" s="100">
        <f>IF(OR($CS500,N($BJ500)=0),"",TRIM(IF(ISNUMBER($BU500),"A "&amp;TRIM(TEXT($BU500-HeadClr,"# ?/??"))&amp;CHAR(34)&amp;"  ","")&amp;IF(ISNUMBER($BV500),"B "&amp;TRIM(TEXT($BV500-HeadClr,"# ?/??"))&amp;CHAR(34)&amp;"  ","")&amp;IF(ISNUMBER($BW500),"C "&amp;TRIM(TEXT($BW500-HeadClr,"# ?/??"))&amp;CHAR(34)&amp;"  ","")&amp;IF(ISNUMBER($BX500),"D "&amp;TRIM(TEXT($BX500-HeadClr,"# ?/??"))&amp;CHAR(34)&amp;"  ","")&amp;IF(ISNUMBER($BY500),"F "&amp;TRIM(TEXT($BY500-HeadClr,"# ?/??"))&amp;CHAR(34)&amp;"  ","")&amp;IF(ISNUMBER($BZ500),"E "&amp;TRIM(TEXT($BZ500-HeadClr,"# ?/??"))&amp;CHAR(34)&amp;"  ","")))</f>
        <v/>
      </c>
      <c r="DA500" s="99">
        <f>IF($A500="","",IF($AN500="",IFERROR(VLOOKUP($Z500,CODES,2,FALSE),""),IFERROR(VLOOKUP($AN500,CODES,2,FALSE),"")))</f>
        <v/>
      </c>
      <c r="DB500" s="99">
        <f>IF($A500="","",IF($O500="Y","PR",IF(OR($Z500="L",$Z500="RR",LEFT($Z500,2)="L-",LEFT($Z500,3)="RR-"),"LH","RH")))</f>
        <v/>
      </c>
      <c r="DC500" s="99">
        <f>IF($A500="","","S.HM"&amp;IF(OR($C500="DOOR ONLY",$X500&lt;&gt;"KD"),"MASONRY","DRYWALL")&amp;IF($C500="DOOR ONLY","",$U500)&amp;IF(AND($C500&lt;&gt;"FRAME ONLY",OR(LEFT($AH500,3)="OAK",LEFT($AH500,3)="BIR",LEFT($AH500,3)="MAP",$AH500="PC",$AH500="MC",$AH500="SCLC",$AH500="P-LAM")),"WD","HM")&amp;"1.75")</f>
        <v/>
      </c>
      <c r="DD500" s="99">
        <f>IF($CJ500="","",IF($O500="Y",$CJ500,SUBSTITUTE($CJ500,$BG500&amp;" "&amp;IFERROR(VLOOKUP($Z500,CODES,2,FALSE),"")&amp;" ",$BG500&amp;" ")))</f>
        <v/>
      </c>
      <c r="DE500" s="99">
        <f>IF($CK500="","",IF($O500="Y",$CK500,SUBSTITUTE($CK500,$BG500&amp;" "&amp;IF($AN500="",IFERROR(VLOOKUP($Z500,CODES,2,FALSE),""),IFERROR(VLOOKUP($AN500,CODES,2,FALSE),""))&amp;" ",$BG500&amp;" ")))</f>
        <v/>
      </c>
      <c r="DF500" s="99">
        <f>IF($CJ500="","",$DC500&amp;"|"&amp;$DD500&amp;"|"&amp;$DB500&amp;"|"&amp;$AT500&amp;"|"&amp;$V500&amp;"|"&amp;$Y500&amp;"|"&amp;$AB500)</f>
        <v/>
      </c>
      <c r="DG500" s="99">
        <f>IF(DF500="","",IF(COUNTIF($DF$6:DF500,DF500)=1,MAX($DG$5:DG499)+1,INDEX($DG$5:DG499,MATCH(DF500,$DF$5:DF499,0))))</f>
        <v/>
      </c>
      <c r="DH500" s="99">
        <f>IF($CK500="","",$DC500&amp;"|"&amp;$DE500&amp;"|"&amp;$AI500&amp;"|"&amp;$BK500&amp;"|"&amp;$BL500)</f>
        <v/>
      </c>
      <c r="DI500" s="99">
        <f>IF(DH500="","",IF(COUNTIF($DH$6:DH500,DH500)=1,MAX($DI$5:DI499)+1,INDEX($DI$5:DI499,MATCH(DH500,$DH$5:DH499,0))))</f>
        <v/>
      </c>
      <c r="DJ500" s="99">
        <f>IF($A500="","",IF($B500="","qty, ","")&amp;IF($C500="","scope, ","")&amp;IF(OR($K500="",$M500=""),"size, ","")&amp;IF(AND($A500&lt;&gt;"",$C500&lt;&gt;"DOOR ONLY"),IF($U500="","jamb depth, ","")&amp;IF($X500="","construction, ","")&amp;IF($Y500="","anchor, ","")&amp;IF($S500="","frame type, ",""),"")&amp;IF(AND(N($BJ500)&gt;0,$Z500=""),"hand, ","")&amp;IF(N($BJ500)&gt;0,IF($AH500="","door material, ","")&amp;IF($AL500="","face type, ","")&amp;IF($AP500="","lock prep, ","")&amp;IF(AND($AO500="",$AC500=""),"hinge prep, ",""),"")&amp;IF(AND($CH500&gt;0,$AH500="FRP"),"FRP cannot carry a label, ","")&amp;IF(AND($O500="Y",OR($Z500="L",$Z500="R",$Z500="LR",$Z500="RR")),"pair marked but hand is single, ","")&amp;IF(AND($O500&lt;&gt;"Y",OR($Z500="PR",AND(LEN($Z500)&gt;1,ISNUMBER(SEARCH("-",$Z500))))),"pair hand on a single door, ","")&amp;IF(AND(ISNUMBER($CI500),$CH500&lt;N($CI500)),"wall needs a "&amp;$CI500&amp;" min door, ","")&amp;IF(AND($CH500&gt;=180,AND(OR($CE500="FG",$CE500="HG",$CE500="FNV",$CE500="FV"),N($CF500)*N($CG500)&gt;100)),"180 min lite over 100 sq in, ","")&amp;IF(N($BK500)&gt;48,"leaf wider than 4'-0"&amp;CHAR(34)&amp;", ","")&amp;IF(AND($CT500,COUNT($AW500:$AZ500)=0,$CQ500&gt;0),"CUSTOM LOC with no locations typed, ",""))</f>
        <v/>
      </c>
      <c r="DK500" s="99">
        <f>IF($A500="","",IF(AND($CH500&gt;0,AND($A500&lt;&gt;"",$C500&lt;&gt;"DOOR ONLY"),$X500="KD",$E500="EXTERIOR"),"KD label on an exterior opening, ","")&amp;IF(AND($E500="EXTERIOR",OR(AND(AND($A500&lt;&gt;"",$C500&lt;&gt;"DOOR ONLY"),$W500="CR"),AND(N($BJ500)&gt;0,$AH500="CR"))),"exterior in CR steel (G9?), ","")&amp;IF(AND(ISNUMBER($BQ500),N($BQ500)&lt;32),"clear width ~"&amp;TEXT($BQ500,"0.0")&amp;CHAR(34)&amp;" under 32"&amp;CHAR(34)&amp;" (ADA), ","")&amp;IF(AND($CH500=90,AND(OR($CE500="FG",$CE500="HG",$CE500="FNV",$CE500="FV"),N($CF500)*N($CG500)&gt;100)),"90 min lite over 100 sq in (stair/exit), ","")&amp;IF(AND($CH500&gt;0,AND($A500&lt;&gt;"",$C500&lt;&gt;"DOOR ONLY"),OR($AF500="",$AF500="-")),"rated: closer reinf.?, ","")&amp;IF(OR($I500="CORRIDOR",$I500="SMOKE BARRIER"),"S label + smoke gasketing, ","")&amp;IF($CI500="?","wall type/hr not in IBC table, ","")&amp;IF(AND(N($BJ500)&gt;0,$BB500=""),"no hardware set, ","")&amp;IF(AND($BB500&lt;&gt;"",ISNA(MATCH($BB500&amp;"",HWSets,0))),"set "&amp;$BB500&amp;" not on HW Sets, ","")&amp;IF(N($BL500)&gt;96,"leaf over 8'-0"&amp;CHAR(34)&amp;" - check listing, ","")&amp;IF(AND($CT500,COUNT($AW500:$AZ500)&gt;0,COUNT($AW500:$AZ500)&lt;&gt;$CQ500),COUNT($AW500:$AZ500)&amp;" custom hinges typed, "&amp;$CQ500&amp;" expected, ","")&amp;IF(AND(ISNUMBER($CA500),OR(N($CA500)&lt;34,N($CA500)&gt;48)),"lock "&amp;TEXT($CA500,"0.0")&amp;CHAR(34)&amp;" AFF outside 34-48"&amp;CHAR(34)&amp;" (ADA), ","")&amp;IF(AND(ISNUMBER($AV500),ISNUMBER($BL500),N($AV500)&lt;IF(N($BL500)&lt;=60,2,IF(N($BL500)&lt;=90,3,IF(N($BL500)&lt;=120,4,5)))),"fewer hinges than standard, ",""))</f>
        <v/>
      </c>
    </row>
    <row r="501" ht="15" customHeight="1">
      <c r="A501" s="77" t="n"/>
      <c r="B501" s="78" t="n"/>
      <c r="C501" s="78" t="n"/>
      <c r="D501" s="78" t="n"/>
      <c r="E501" s="78" t="n"/>
      <c r="F501" s="78" t="n"/>
      <c r="G501" s="78" t="n"/>
      <c r="H501" s="78" t="n"/>
      <c r="I501" s="78" t="n"/>
      <c r="J501" s="78" t="n"/>
      <c r="K501" s="78" t="n"/>
      <c r="L501" s="78" t="n"/>
      <c r="M501" s="78" t="n"/>
      <c r="N501" s="78" t="n"/>
      <c r="O501" s="78" t="n"/>
      <c r="P501" s="78" t="n"/>
      <c r="Q501" s="78" t="n"/>
      <c r="R501" s="78" t="n"/>
      <c r="S501" s="79" t="n"/>
      <c r="T501" s="79" t="n"/>
      <c r="U501" s="79" t="n"/>
      <c r="V501" s="79" t="n"/>
      <c r="W501" s="79" t="n"/>
      <c r="X501" s="79" t="n"/>
      <c r="Y501" s="79" t="n"/>
      <c r="Z501" s="79" t="n"/>
      <c r="AA501" s="79" t="n"/>
      <c r="AB501" s="79" t="n"/>
      <c r="AC501" s="79" t="n"/>
      <c r="AD501" s="79" t="n"/>
      <c r="AE501" s="79" t="n"/>
      <c r="AF501" s="79" t="n"/>
      <c r="AG501" s="79" t="n"/>
      <c r="AH501" s="80" t="n"/>
      <c r="AI501" s="80" t="n"/>
      <c r="AJ501" s="80" t="n"/>
      <c r="AK501" s="80" t="n"/>
      <c r="AL501" s="80" t="n"/>
      <c r="AM501" s="80" t="n"/>
      <c r="AN501" s="80" t="n"/>
      <c r="AO501" s="80" t="n"/>
      <c r="AP501" s="80" t="n"/>
      <c r="AQ501" s="80" t="n"/>
      <c r="AR501" s="80" t="n"/>
      <c r="AS501" s="80" t="n"/>
      <c r="AT501" s="81" t="n"/>
      <c r="AU501" s="81" t="n"/>
      <c r="AV501" s="81" t="n"/>
      <c r="AW501" s="82" t="n"/>
      <c r="AX501" s="82" t="n"/>
      <c r="AY501" s="82" t="n"/>
      <c r="AZ501" s="82" t="n"/>
      <c r="BA501" s="82" t="n"/>
      <c r="BB501" s="83" t="n"/>
      <c r="BC501" s="83" t="n"/>
      <c r="BD501" s="84">
        <f>IF($A501="","",IF($DJ501&lt;&gt;"","FIX",IF($DK501&lt;&gt;"","CHECK","OK")))</f>
        <v/>
      </c>
      <c r="BE501" s="85">
        <f>IF($A501="","",IF($DJ501&lt;&gt;"","FIX: "&amp;LEFT($DJ501,LEN($DJ501)-2)&amp;IF($DK501&lt;&gt;"","  ·  ",""),"")&amp;IF($DK501&lt;&gt;"","CHECK: "&amp;LEFT($DK501,LEN($DK501)-2),""))</f>
        <v/>
      </c>
      <c r="BF501" s="84">
        <f>IF(OR($A501="",$K501=""),"",$K501&amp;"'-"&amp;N($L501)&amp;CHAR(34)&amp;" x "&amp;$M501&amp;"'-"&amp;N($N501)&amp;CHAR(34))</f>
        <v/>
      </c>
      <c r="BG501" s="84">
        <f>IF(OR($A501="",$K501=""),"",$K501&amp;N($L501)&amp;$M501&amp;N($N501))</f>
        <v/>
      </c>
      <c r="BH501" s="84">
        <f>IF(OR($A501="",$K501=""),"",$K501*12+N($L501))</f>
        <v/>
      </c>
      <c r="BI501" s="84">
        <f>IF(OR($A501="",$M501=""),"",$M501*12+N($N501))</f>
        <v/>
      </c>
      <c r="BJ501" s="84">
        <f>IF($A501="","",IF(OR($C501="FRAME ONLY",$S501="BL"),0,IF($O501="Y",2,1)))</f>
        <v/>
      </c>
      <c r="BK501" s="86">
        <f>IF(OR(N($BJ501)=0,$BH501=""),"",($BH501-2*EdgeClr-IF($BJ501=2,MeetClr,0))/$BJ501)</f>
        <v/>
      </c>
      <c r="BL501" s="86">
        <f>IF(OR(N($BJ501)=0,$BI501=""),"",$BI501-HeadClr-Undercut)</f>
        <v/>
      </c>
      <c r="BM501" s="86">
        <f>IF($BH501="","",$BH501+2*FaceW+IF(N($Q501)&gt;0,($Q501+FaceW)*IF($R501="LR",2,1),0))</f>
        <v/>
      </c>
      <c r="BN501" s="86">
        <f>IF($BI501="","",$BI501+IF($AB501="Y",4,FaceW)+IF(N($P501)&gt;0,$P501+FaceW,0)+IF(OR($S501="4F",$S501="BL"),FaceW,0))</f>
        <v/>
      </c>
      <c r="BO501" s="86">
        <f>IF($BM501="","",$BM501+2*ROSide)</f>
        <v/>
      </c>
      <c r="BP501" s="86">
        <f>IF($BN501="","",$BN501+ROTop)</f>
        <v/>
      </c>
      <c r="BQ501" s="87">
        <f>IF(OR(N($BJ501)=0,$BH501=""),"",$BH501/$BJ501-ClearDeduct)</f>
        <v/>
      </c>
      <c r="BR501" s="84">
        <f>IF(N($CH501)=0,"",IF($CH501&gt;=180,"A · 3 HR",IF($CH501&gt;=90,"B · 1-1/2 HR",IF($CH501&gt;=60,"B · 1 HR",IF($CH501&gt;=45,"C · 3/4 HR","20 MIN")))))&amp;IF(AND(N($CH501)&gt;0,OR($I501="CORRIDOR",$I501="SMOKE BARRIER"))," · S","")</f>
        <v/>
      </c>
      <c r="BS501" s="84">
        <f>IF($CS501,"",IF($AV501&lt;&gt;"",$AV501,IF(OR($AC501="HGC",$AO501="HGC"),"CONT",IF(($BI501-HeadClr-Undercut)&lt;=60,2,IF(($BI501-HeadClr-Undercut)&lt;=90,3,IF(($BI501-HeadClr-Undercut)&lt;=120,4,5))))))</f>
        <v/>
      </c>
      <c r="BT501" s="84">
        <f>IF($CS501,"",IF($CT501,"CUSTOM (typed)",IF($CV501,$AT501&amp;" "&amp;$CU501&amp;CHAR(34)&amp;IF($CU501&lt;&gt;$BI501,IF(AND($BI501&lt;$CU501,$BI501-IF(N(VLOOKUP($AT501&amp;"|"&amp;$CU501,LocTable,7,FALSE))&gt;0,VLOOKUP($AT501&amp;"|"&amp;$CU501,LocTable,7,FALSE),VLOOKUP($AT501&amp;"|"&amp;$CU501,LocTable,6,FALSE))-$CR501-0.75&gt;=2.125)," cut down"," adj."),""),"ANSI/SDI A250.6")))</f>
        <v/>
      </c>
      <c r="BU501" s="88">
        <f>IF($CS501,"",IF($CT501,IF(N($AW501)&gt;0,N($AW501),""),IF(1&gt;$CQ501,"",IF($CQ501=1,$CW501,$CW501+($CX501-$CW501)*0/($CQ501-1)))))</f>
        <v/>
      </c>
      <c r="BV501" s="88">
        <f>IF($CS501,"",IF($CT501,IF(N($AX501)&gt;0,N($AX501),""),IF(2&gt;$CQ501,"",IF($CQ501=1,$CW501,$CW501+($CX501-$CW501)*1/($CQ501-1)))))</f>
        <v/>
      </c>
      <c r="BW501" s="88">
        <f>IF($CS501,"",IF($CT501,IF(N($AY501)&gt;0,N($AY501),""),IF(3&gt;$CQ501,"",IF($CQ501=1,$CW501,$CW501+($CX501-$CW501)*2/($CQ501-1)))))</f>
        <v/>
      </c>
      <c r="BX501" s="88">
        <f>IF($CS501,"",IF($CT501,IF(N($AZ501)&gt;0,N($AZ501),""),IF(4&gt;$CQ501,"",IF($CQ501=1,$CW501,$CW501+($CX501-$CW501)*3/($CQ501-1)))))</f>
        <v/>
      </c>
      <c r="BY501" s="88">
        <f>IF($CS501,"",IF($CT501,"",IF(5&gt;$CQ501,"",IF($CQ501=1,$CW501,$CW501+($CX501-$CW501)*4/($CQ501-1)))))</f>
        <v/>
      </c>
      <c r="BZ501" s="88">
        <f>IF(OR($CS501,$AP501="-",AND($AP501="",$AD501="")),"",IF(N($BA501)&gt;0,N($BA501),IF($CV501,IF(AND($BI501&lt;$CU501,$BI501-IF(N(VLOOKUP($AT501&amp;"|"&amp;$CU501,LocTable,7,FALSE))&gt;0,VLOOKUP($AT501&amp;"|"&amp;$CU501,LocTable,7,FALSE),VLOOKUP($AT501&amp;"|"&amp;$CU501,LocTable,6,FALSE))-$CR501-0.75&gt;=2.125),VLOOKUP($AT501&amp;"|"&amp;$CU501,LocTable,8,FALSE),VLOOKUP($AT501&amp;"|"&amp;$CU501,LocTable,8,FALSE)+($BI501-$CU501)),$BI501-LockAFF)))</f>
        <v/>
      </c>
      <c r="CA501" s="89">
        <f>IF($BZ501="","",$BI501-$BZ501)</f>
        <v/>
      </c>
      <c r="CB501" s="84">
        <f>IF(OR(NOT(AND($A501&lt;&gt;"",$C501&lt;&gt;"DOOR ONLY")),$BI501=""),"",IF(($BI501+IF(N($P501)&gt;0,$P501+FaceW,0))&lt;=90,3,IF(($BI501+IF(N($P501)&gt;0,$P501+FaceW,0))&lt;=114,4,5)))</f>
        <v/>
      </c>
      <c r="CC501" s="84">
        <f>IF($CB501="","",$CB501*(2+IF(N($Q501)&gt;0,IF($R501="LR",2,1),0)))</f>
        <v/>
      </c>
      <c r="CD501" s="84">
        <f>IF($CB501="","",(2+IF(N($Q501)&gt;0,IF($R501="LR",2,1),0)))</f>
        <v/>
      </c>
      <c r="CE501" s="84">
        <f>IF(N($BJ501)=0,"",IF(OR($AL501="",$AL501="FLUSH"),"FLUSH",IFERROR(LEFT($AL501,FIND("-",$AL501)-1),LEFT($AL501,2))))</f>
        <v/>
      </c>
      <c r="CF501" s="84">
        <f>IF($CE501="","",IFERROR(VALUE(MID($AL501,FIND("-",$AL501)+1,FIND(CHAR(34)&amp;"x",$AL501)-FIND("-",$AL501)-1)),0))</f>
        <v/>
      </c>
      <c r="CG501" s="84">
        <f>IF($CE501="","",IFERROR(VALUE(MID($AL501,FIND(CHAR(34)&amp;"x",$AL501)+2,FIND(CHAR(34),$AL501,FIND(CHAR(34)&amp;"x",$AL501)+2)-FIND(CHAR(34)&amp;"x",$AL501)-2)),0))</f>
        <v/>
      </c>
      <c r="CH501" s="90">
        <f>IF(OR($A501="",$H501="",$H501="NO LAB"),0,IFERROR(VALUE(LEFT($H501,FIND(" ",$H501)-1)),0))</f>
        <v/>
      </c>
      <c r="CI501" s="91">
        <f>IF(OR($A501="",$I501="",$I501="NON-RATED",N($J501)=0),"",IFERROR(VLOOKUP($I501&amp;"|"&amp;$J501,IBC,2,FALSE),"?"))</f>
        <v/>
      </c>
      <c r="CJ501" s="85">
        <f>IF(NOT(AND($A501&lt;&gt;"",$C501&lt;&gt;"DOOR ONLY")),"",TRIM(IFERROR(VLOOKUP($U501,CODES,2,FALSE),"")&amp;" "&amp;$BG501&amp;" "&amp;IFERROR(VLOOKUP($Z501,CODES,2,FALSE),"")&amp;" "&amp;IFERROR(VLOOKUP($X501,CODES,2,FALSE),"")&amp;" "&amp;IFERROR(VLOOKUP($S501,CODES,2,FALSE),"")&amp;IF(N($P501)&gt;0," w/TRANSOM "&amp;$P501&amp;CHAR(34),"")&amp;IF(N($Q501)&gt;0," w/SIDELITE "&amp;$Q501&amp;CHAR(34)&amp;" "&amp;IF($R501="","R",$R501),"")&amp;IF($Y501="","  |  "," | "&amp;IFERROR(VLOOKUP($Y501,CODES,2,FALSE),"")&amp;" | ")&amp;IFERROR(VLOOKUP($AC501,CODES,2,FALSE),"")&amp;" "&amp;IFERROR(VLOOKUP($AD501,CODES,2,FALSE),"")&amp;IF(OR($AE501="",$AE501="-"),""," "&amp;$AE501)&amp;IF(OR($AF501="",$AF501="-"),""," "&amp;$AF501)&amp;IF($AB501="Y"," 4"&amp;CHAR(34)&amp;" HEAD","")&amp;" "&amp;IFERROR(VLOOKUP($H501,CODES,2,FALSE),"")&amp;IF($CT501," | LOC "&amp;$CY501,"")))</f>
        <v/>
      </c>
      <c r="CK501" s="85">
        <f>IF(NOT(AND($A501&lt;&gt;"",N($BJ501)&gt;0)),"",TRIM(IFERROR(VLOOKUP($AH501,CODES,2,FALSE),"")&amp;IF($AI501=""," "," "&amp;$AI501&amp;"GA ")&amp;$BG501&amp;" "&amp;IF($AN501="",IFERROR(VLOOKUP($Z501,CODES,2,FALSE),""),IFERROR(VLOOKUP($AN501,CODES,2,FALSE),""))&amp;IF($BJ501=2," PAIR","")&amp;" DOOR | "&amp;IF($AL501="","?",$AL501)&amp;" | "&amp;IF($AO501="",IFERROR(VLOOKUP($AC501,CODES,2,FALSE),""),IFERROR(VLOOKUP($AO501,CODES,2,FALSE),""))&amp;" "&amp;IFERROR(VLOOKUP($AP501,CODES,2,FALSE),"")&amp;IF(OR($AQ501="",$AQ501="-"),""," SEAM "&amp;$AQ501)&amp;IF($AR501="Y"," ASTRAGAL","")&amp;IF($AJ501=""," "," "&amp;$AJ501)&amp;IF($AK501=""," "," "&amp;$AK501)&amp;IF(OR($AT501="",$AT501="ANSI/SDI",$AT501="CUSTOM LOC"),""," "&amp;$AT501)&amp;IF($AM501=""," "," SERIES "&amp;$AM501)&amp;" "&amp;IFERROR(VLOOKUP($H501,CODES,2,FALSE),"")&amp;IF($CT501," | LOC "&amp;$CZ501,"")))</f>
        <v/>
      </c>
      <c r="CL501" s="84">
        <f>IF(CP501="","",IF(COUNTIF($CP$6:CP501,CP501)=1,MAX($CL$5:CL500)+1,INDEX($CL$5:CL500,MATCH(CP501,$CP$5:CP500,0))))</f>
        <v/>
      </c>
      <c r="CM501" s="84">
        <f>IF(NOT(AND($A501&lt;&gt;"",$C501&lt;&gt;"DOOR ONLY")),"",MAX($CM$5:CM500)+1)</f>
        <v/>
      </c>
      <c r="CN501" s="84">
        <f>IF(NOT(AND($A501&lt;&gt;"",N($BJ501)&gt;0)),"",MAX($CN$5:CN500)+1)</f>
        <v/>
      </c>
      <c r="CO501" s="84">
        <f>IF($A501="","",MAX($CO$5:CO500)+1)</f>
        <v/>
      </c>
      <c r="CP501" s="84">
        <f>IF(OR($A501="",$BH501="",$BI501=""),"",$BG501&amp;"|"&amp;$O501&amp;"|"&amp;$AL501&amp;"|"&amp;$S501&amp;"|"&amp;$P501&amp;"|"&amp;$Q501&amp;$R501&amp;"|"&amp;$C501&amp;"|"&amp;$AB501)</f>
        <v/>
      </c>
      <c r="CQ501" s="84">
        <f>N($BS501)</f>
        <v/>
      </c>
      <c r="CR501" s="84">
        <f>IF(N($AU501)&gt;0,N($AU501),4.5)</f>
        <v/>
      </c>
      <c r="CS501" s="84">
        <f>OR($A501="",$BI501="",$S501="BL",AND($C501="FRAME ONLY",OR($AC501="",$AC501="BLK")))</f>
        <v/>
      </c>
      <c r="CT501" s="84">
        <f>AND(NOT($CS501),OR($AT501="CUSTOM LOC",N($AW501)+N($AX501)+N($AY501)+N($AZ501)+N($BA501)&gt;0))</f>
        <v/>
      </c>
      <c r="CU501" s="84">
        <f>IF($BI501="","",IF($BI501&lt;=80,80,IF($BI501&lt;=84,84,96)))</f>
        <v/>
      </c>
      <c r="CV501" s="84">
        <f>ISNUMBER(MATCH($AT501&amp;"|80",LocKeys,0))</f>
        <v/>
      </c>
      <c r="CW501" s="86">
        <f>IF($CS501,"",IF($CV501,VLOOKUP($AT501&amp;"|"&amp;$CU501,LocTable,4,FALSE),5))</f>
        <v/>
      </c>
      <c r="CX501" s="86">
        <f>IF($CS501,"",IF($CV501,IF(OR($BI501=$CU501,AND($BI501&lt;$CU501,$BI501-IF(N(VLOOKUP($AT501&amp;"|"&amp;$CU501,LocTable,7,FALSE))&gt;0,VLOOKUP($AT501&amp;"|"&amp;$CU501,LocTable,7,FALSE),VLOOKUP($AT501&amp;"|"&amp;$CU501,LocTable,6,FALSE))-$CR501-0.75&gt;=2.125)),IF(N(VLOOKUP($AT501&amp;"|"&amp;$CU501,LocTable,7,FALSE))&gt;0,VLOOKUP($AT501&amp;"|"&amp;$CU501,LocTable,7,FALSE),VLOOKUP($AT501&amp;"|"&amp;$CU501,LocTable,6,FALSE)),$BI501-($CU501-IF(N(VLOOKUP($AT501&amp;"|"&amp;$CU501,LocTable,7,FALSE))&gt;0,VLOOKUP($AT501&amp;"|"&amp;$CU501,LocTable,7,FALSE),VLOOKUP($AT501&amp;"|"&amp;$CU501,LocTable,6,FALSE)))),$BI501-10-$CR501))</f>
        <v/>
      </c>
      <c r="CY501" s="85">
        <f>IF($CS501,"",TRIM(IF(ISNUMBER($BU501),"A "&amp;TRIM(TEXT($BU501,"# ?/??"))&amp;CHAR(34)&amp;"  ","")&amp;IF(ISNUMBER($BV501),"B "&amp;TRIM(TEXT($BV501,"# ?/??"))&amp;CHAR(34)&amp;"  ","")&amp;IF(ISNUMBER($BW501),"C "&amp;TRIM(TEXT($BW501,"# ?/??"))&amp;CHAR(34)&amp;"  ","")&amp;IF(ISNUMBER($BX501),"D "&amp;TRIM(TEXT($BX501,"# ?/??"))&amp;CHAR(34)&amp;"  ","")&amp;IF(ISNUMBER($BY501),"F "&amp;TRIM(TEXT($BY501,"# ?/??"))&amp;CHAR(34)&amp;"  ","")&amp;IF(ISNUMBER($BZ501),"E "&amp;TRIM(TEXT($BZ501,"# ?/??"))&amp;CHAR(34)&amp;"  ","")))</f>
        <v/>
      </c>
      <c r="CZ501" s="85">
        <f>IF(OR($CS501,N($BJ501)=0),"",TRIM(IF(ISNUMBER($BU501),"A "&amp;TRIM(TEXT($BU501-HeadClr,"# ?/??"))&amp;CHAR(34)&amp;"  ","")&amp;IF(ISNUMBER($BV501),"B "&amp;TRIM(TEXT($BV501-HeadClr,"# ?/??"))&amp;CHAR(34)&amp;"  ","")&amp;IF(ISNUMBER($BW501),"C "&amp;TRIM(TEXT($BW501-HeadClr,"# ?/??"))&amp;CHAR(34)&amp;"  ","")&amp;IF(ISNUMBER($BX501),"D "&amp;TRIM(TEXT($BX501-HeadClr,"# ?/??"))&amp;CHAR(34)&amp;"  ","")&amp;IF(ISNUMBER($BY501),"F "&amp;TRIM(TEXT($BY501-HeadClr,"# ?/??"))&amp;CHAR(34)&amp;"  ","")&amp;IF(ISNUMBER($BZ501),"E "&amp;TRIM(TEXT($BZ501-HeadClr,"# ?/??"))&amp;CHAR(34)&amp;"  ","")))</f>
        <v/>
      </c>
      <c r="DA501" s="84">
        <f>IF($A501="","",IF($AN501="",IFERROR(VLOOKUP($Z501,CODES,2,FALSE),""),IFERROR(VLOOKUP($AN501,CODES,2,FALSE),"")))</f>
        <v/>
      </c>
      <c r="DB501" s="84">
        <f>IF($A501="","",IF($O501="Y","PR",IF(OR($Z501="L",$Z501="RR",LEFT($Z501,2)="L-",LEFT($Z501,3)="RR-"),"LH","RH")))</f>
        <v/>
      </c>
      <c r="DC501" s="84">
        <f>IF($A501="","","S.HM"&amp;IF(OR($C501="DOOR ONLY",$X501&lt;&gt;"KD"),"MASONRY","DRYWALL")&amp;IF($C501="DOOR ONLY","",$U501)&amp;IF(AND($C501&lt;&gt;"FRAME ONLY",OR(LEFT($AH501,3)="OAK",LEFT($AH501,3)="BIR",LEFT($AH501,3)="MAP",$AH501="PC",$AH501="MC",$AH501="SCLC",$AH501="P-LAM")),"WD","HM")&amp;"1.75")</f>
        <v/>
      </c>
      <c r="DD501" s="84">
        <f>IF($CJ501="","",IF($O501="Y",$CJ501,SUBSTITUTE($CJ501,$BG501&amp;" "&amp;IFERROR(VLOOKUP($Z501,CODES,2,FALSE),"")&amp;" ",$BG501&amp;" ")))</f>
        <v/>
      </c>
      <c r="DE501" s="84">
        <f>IF($CK501="","",IF($O501="Y",$CK501,SUBSTITUTE($CK501,$BG501&amp;" "&amp;IF($AN501="",IFERROR(VLOOKUP($Z501,CODES,2,FALSE),""),IFERROR(VLOOKUP($AN501,CODES,2,FALSE),""))&amp;" ",$BG501&amp;" ")))</f>
        <v/>
      </c>
      <c r="DF501" s="84">
        <f>IF($CJ501="","",$DC501&amp;"|"&amp;$DD501&amp;"|"&amp;$DB501&amp;"|"&amp;$AT501&amp;"|"&amp;$V501&amp;"|"&amp;$Y501&amp;"|"&amp;$AB501)</f>
        <v/>
      </c>
      <c r="DG501" s="84">
        <f>IF(DF501="","",IF(COUNTIF($DF$6:DF501,DF501)=1,MAX($DG$5:DG500)+1,INDEX($DG$5:DG500,MATCH(DF501,$DF$5:DF500,0))))</f>
        <v/>
      </c>
      <c r="DH501" s="84">
        <f>IF($CK501="","",$DC501&amp;"|"&amp;$DE501&amp;"|"&amp;$AI501&amp;"|"&amp;$BK501&amp;"|"&amp;$BL501)</f>
        <v/>
      </c>
      <c r="DI501" s="84">
        <f>IF(DH501="","",IF(COUNTIF($DH$6:DH501,DH501)=1,MAX($DI$5:DI500)+1,INDEX($DI$5:DI500,MATCH(DH501,$DH$5:DH500,0))))</f>
        <v/>
      </c>
      <c r="DJ501" s="84">
        <f>IF($A501="","",IF($B501="","qty, ","")&amp;IF($C501="","scope, ","")&amp;IF(OR($K501="",$M501=""),"size, ","")&amp;IF(AND($A501&lt;&gt;"",$C501&lt;&gt;"DOOR ONLY"),IF($U501="","jamb depth, ","")&amp;IF($X501="","construction, ","")&amp;IF($Y501="","anchor, ","")&amp;IF($S501="","frame type, ",""),"")&amp;IF(AND(N($BJ501)&gt;0,$Z501=""),"hand, ","")&amp;IF(N($BJ501)&gt;0,IF($AH501="","door material, ","")&amp;IF($AL501="","face type, ","")&amp;IF($AP501="","lock prep, ","")&amp;IF(AND($AO501="",$AC501=""),"hinge prep, ",""),"")&amp;IF(AND($CH501&gt;0,$AH501="FRP"),"FRP cannot carry a label, ","")&amp;IF(AND($O501="Y",OR($Z501="L",$Z501="R",$Z501="LR",$Z501="RR")),"pair marked but hand is single, ","")&amp;IF(AND($O501&lt;&gt;"Y",OR($Z501="PR",AND(LEN($Z501)&gt;1,ISNUMBER(SEARCH("-",$Z501))))),"pair hand on a single door, ","")&amp;IF(AND(ISNUMBER($CI501),$CH501&lt;N($CI501)),"wall needs a "&amp;$CI501&amp;" min door, ","")&amp;IF(AND($CH501&gt;=180,AND(OR($CE501="FG",$CE501="HG",$CE501="FNV",$CE501="FV"),N($CF501)*N($CG501)&gt;100)),"180 min lite over 100 sq in, ","")&amp;IF(N($BK501)&gt;48,"leaf wider than 4'-0"&amp;CHAR(34)&amp;", ","")&amp;IF(AND($CT501,COUNT($AW501:$AZ501)=0,$CQ501&gt;0),"CUSTOM LOC with no locations typed, ",""))</f>
        <v/>
      </c>
      <c r="DK501" s="84">
        <f>IF($A501="","",IF(AND($CH501&gt;0,AND($A501&lt;&gt;"",$C501&lt;&gt;"DOOR ONLY"),$X501="KD",$E501="EXTERIOR"),"KD label on an exterior opening, ","")&amp;IF(AND($E501="EXTERIOR",OR(AND(AND($A501&lt;&gt;"",$C501&lt;&gt;"DOOR ONLY"),$W501="CR"),AND(N($BJ501)&gt;0,$AH501="CR"))),"exterior in CR steel (G9?), ","")&amp;IF(AND(ISNUMBER($BQ501),N($BQ501)&lt;32),"clear width ~"&amp;TEXT($BQ501,"0.0")&amp;CHAR(34)&amp;" under 32"&amp;CHAR(34)&amp;" (ADA), ","")&amp;IF(AND($CH501=90,AND(OR($CE501="FG",$CE501="HG",$CE501="FNV",$CE501="FV"),N($CF501)*N($CG501)&gt;100)),"90 min lite over 100 sq in (stair/exit), ","")&amp;IF(AND($CH501&gt;0,AND($A501&lt;&gt;"",$C501&lt;&gt;"DOOR ONLY"),OR($AF501="",$AF501="-")),"rated: closer reinf.?, ","")&amp;IF(OR($I501="CORRIDOR",$I501="SMOKE BARRIER"),"S label + smoke gasketing, ","")&amp;IF($CI501="?","wall type/hr not in IBC table, ","")&amp;IF(AND(N($BJ501)&gt;0,$BB501=""),"no hardware set, ","")&amp;IF(AND($BB501&lt;&gt;"",ISNA(MATCH($BB501&amp;"",HWSets,0))),"set "&amp;$BB501&amp;" not on HW Sets, ","")&amp;IF(N($BL501)&gt;96,"leaf over 8'-0"&amp;CHAR(34)&amp;" - check listing, ","")&amp;IF(AND($CT501,COUNT($AW501:$AZ501)&gt;0,COUNT($AW501:$AZ501)&lt;&gt;$CQ501),COUNT($AW501:$AZ501)&amp;" custom hinges typed, "&amp;$CQ501&amp;" expected, ","")&amp;IF(AND(ISNUMBER($CA501),OR(N($CA501)&lt;34,N($CA501)&gt;48)),"lock "&amp;TEXT($CA501,"0.0")&amp;CHAR(34)&amp;" AFF outside 34-48"&amp;CHAR(34)&amp;" (ADA), ","")&amp;IF(AND(ISNUMBER($AV501),ISNUMBER($BL501),N($AV501)&lt;IF(N($BL501)&lt;=60,2,IF(N($BL501)&lt;=90,3,IF(N($BL501)&lt;=120,4,5)))),"fewer hinges than standard, ",""))</f>
        <v/>
      </c>
    </row>
    <row r="502" ht="15" customHeight="1">
      <c r="A502" s="77" t="n"/>
      <c r="B502" s="78" t="n"/>
      <c r="C502" s="78" t="n"/>
      <c r="D502" s="78" t="n"/>
      <c r="E502" s="78" t="n"/>
      <c r="F502" s="78" t="n"/>
      <c r="G502" s="78" t="n"/>
      <c r="H502" s="78" t="n"/>
      <c r="I502" s="78" t="n"/>
      <c r="J502" s="78" t="n"/>
      <c r="K502" s="78" t="n"/>
      <c r="L502" s="78" t="n"/>
      <c r="M502" s="78" t="n"/>
      <c r="N502" s="78" t="n"/>
      <c r="O502" s="78" t="n"/>
      <c r="P502" s="78" t="n"/>
      <c r="Q502" s="78" t="n"/>
      <c r="R502" s="78" t="n"/>
      <c r="S502" s="79" t="n"/>
      <c r="T502" s="79" t="n"/>
      <c r="U502" s="79" t="n"/>
      <c r="V502" s="79" t="n"/>
      <c r="W502" s="79" t="n"/>
      <c r="X502" s="79" t="n"/>
      <c r="Y502" s="79" t="n"/>
      <c r="Z502" s="79" t="n"/>
      <c r="AA502" s="79" t="n"/>
      <c r="AB502" s="79" t="n"/>
      <c r="AC502" s="79" t="n"/>
      <c r="AD502" s="79" t="n"/>
      <c r="AE502" s="79" t="n"/>
      <c r="AF502" s="79" t="n"/>
      <c r="AG502" s="79" t="n"/>
      <c r="AH502" s="80" t="n"/>
      <c r="AI502" s="80" t="n"/>
      <c r="AJ502" s="80" t="n"/>
      <c r="AK502" s="80" t="n"/>
      <c r="AL502" s="80" t="n"/>
      <c r="AM502" s="80" t="n"/>
      <c r="AN502" s="80" t="n"/>
      <c r="AO502" s="80" t="n"/>
      <c r="AP502" s="80" t="n"/>
      <c r="AQ502" s="80" t="n"/>
      <c r="AR502" s="80" t="n"/>
      <c r="AS502" s="80" t="n"/>
      <c r="AT502" s="81" t="n"/>
      <c r="AU502" s="81" t="n"/>
      <c r="AV502" s="81" t="n"/>
      <c r="AW502" s="82" t="n"/>
      <c r="AX502" s="82" t="n"/>
      <c r="AY502" s="82" t="n"/>
      <c r="AZ502" s="82" t="n"/>
      <c r="BA502" s="82" t="n"/>
      <c r="BB502" s="83" t="n"/>
      <c r="BC502" s="83" t="n"/>
      <c r="BD502" s="84">
        <f>IF($A502="","",IF($DJ502&lt;&gt;"","FIX",IF($DK502&lt;&gt;"","CHECK","OK")))</f>
        <v/>
      </c>
      <c r="BE502" s="85">
        <f>IF($A502="","",IF($DJ502&lt;&gt;"","FIX: "&amp;LEFT($DJ502,LEN($DJ502)-2)&amp;IF($DK502&lt;&gt;"","  ·  ",""),"")&amp;IF($DK502&lt;&gt;"","CHECK: "&amp;LEFT($DK502,LEN($DK502)-2),""))</f>
        <v/>
      </c>
      <c r="BF502" s="84">
        <f>IF(OR($A502="",$K502=""),"",$K502&amp;"'-"&amp;N($L502)&amp;CHAR(34)&amp;" x "&amp;$M502&amp;"'-"&amp;N($N502)&amp;CHAR(34))</f>
        <v/>
      </c>
      <c r="BG502" s="84">
        <f>IF(OR($A502="",$K502=""),"",$K502&amp;N($L502)&amp;$M502&amp;N($N502))</f>
        <v/>
      </c>
      <c r="BH502" s="84">
        <f>IF(OR($A502="",$K502=""),"",$K502*12+N($L502))</f>
        <v/>
      </c>
      <c r="BI502" s="84">
        <f>IF(OR($A502="",$M502=""),"",$M502*12+N($N502))</f>
        <v/>
      </c>
      <c r="BJ502" s="84">
        <f>IF($A502="","",IF(OR($C502="FRAME ONLY",$S502="BL"),0,IF($O502="Y",2,1)))</f>
        <v/>
      </c>
      <c r="BK502" s="86">
        <f>IF(OR(N($BJ502)=0,$BH502=""),"",($BH502-2*EdgeClr-IF($BJ502=2,MeetClr,0))/$BJ502)</f>
        <v/>
      </c>
      <c r="BL502" s="86">
        <f>IF(OR(N($BJ502)=0,$BI502=""),"",$BI502-HeadClr-Undercut)</f>
        <v/>
      </c>
      <c r="BM502" s="86">
        <f>IF($BH502="","",$BH502+2*FaceW+IF(N($Q502)&gt;0,($Q502+FaceW)*IF($R502="LR",2,1),0))</f>
        <v/>
      </c>
      <c r="BN502" s="86">
        <f>IF($BI502="","",$BI502+IF($AB502="Y",4,FaceW)+IF(N($P502)&gt;0,$P502+FaceW,0)+IF(OR($S502="4F",$S502="BL"),FaceW,0))</f>
        <v/>
      </c>
      <c r="BO502" s="86">
        <f>IF($BM502="","",$BM502+2*ROSide)</f>
        <v/>
      </c>
      <c r="BP502" s="86">
        <f>IF($BN502="","",$BN502+ROTop)</f>
        <v/>
      </c>
      <c r="BQ502" s="87">
        <f>IF(OR(N($BJ502)=0,$BH502=""),"",$BH502/$BJ502-ClearDeduct)</f>
        <v/>
      </c>
      <c r="BR502" s="84">
        <f>IF(N($CH502)=0,"",IF($CH502&gt;=180,"A · 3 HR",IF($CH502&gt;=90,"B · 1-1/2 HR",IF($CH502&gt;=60,"B · 1 HR",IF($CH502&gt;=45,"C · 3/4 HR","20 MIN")))))&amp;IF(AND(N($CH502)&gt;0,OR($I502="CORRIDOR",$I502="SMOKE BARRIER"))," · S","")</f>
        <v/>
      </c>
      <c r="BS502" s="84">
        <f>IF($CS502,"",IF($AV502&lt;&gt;"",$AV502,IF(OR($AC502="HGC",$AO502="HGC"),"CONT",IF(($BI502-HeadClr-Undercut)&lt;=60,2,IF(($BI502-HeadClr-Undercut)&lt;=90,3,IF(($BI502-HeadClr-Undercut)&lt;=120,4,5))))))</f>
        <v/>
      </c>
      <c r="BT502" s="84">
        <f>IF($CS502,"",IF($CT502,"CUSTOM (typed)",IF($CV502,$AT502&amp;" "&amp;$CU502&amp;CHAR(34)&amp;IF($CU502&lt;&gt;$BI502,IF(AND($BI502&lt;$CU502,$BI502-IF(N(VLOOKUP($AT502&amp;"|"&amp;$CU502,LocTable,7,FALSE))&gt;0,VLOOKUP($AT502&amp;"|"&amp;$CU502,LocTable,7,FALSE),VLOOKUP($AT502&amp;"|"&amp;$CU502,LocTable,6,FALSE))-$CR502-0.75&gt;=2.125)," cut down"," adj."),""),"ANSI/SDI A250.6")))</f>
        <v/>
      </c>
      <c r="BU502" s="88">
        <f>IF($CS502,"",IF($CT502,IF(N($AW502)&gt;0,N($AW502),""),IF(1&gt;$CQ502,"",IF($CQ502=1,$CW502,$CW502+($CX502-$CW502)*0/($CQ502-1)))))</f>
        <v/>
      </c>
      <c r="BV502" s="88">
        <f>IF($CS502,"",IF($CT502,IF(N($AX502)&gt;0,N($AX502),""),IF(2&gt;$CQ502,"",IF($CQ502=1,$CW502,$CW502+($CX502-$CW502)*1/($CQ502-1)))))</f>
        <v/>
      </c>
      <c r="BW502" s="88">
        <f>IF($CS502,"",IF($CT502,IF(N($AY502)&gt;0,N($AY502),""),IF(3&gt;$CQ502,"",IF($CQ502=1,$CW502,$CW502+($CX502-$CW502)*2/($CQ502-1)))))</f>
        <v/>
      </c>
      <c r="BX502" s="88">
        <f>IF($CS502,"",IF($CT502,IF(N($AZ502)&gt;0,N($AZ502),""),IF(4&gt;$CQ502,"",IF($CQ502=1,$CW502,$CW502+($CX502-$CW502)*3/($CQ502-1)))))</f>
        <v/>
      </c>
      <c r="BY502" s="88">
        <f>IF($CS502,"",IF($CT502,"",IF(5&gt;$CQ502,"",IF($CQ502=1,$CW502,$CW502+($CX502-$CW502)*4/($CQ502-1)))))</f>
        <v/>
      </c>
      <c r="BZ502" s="88">
        <f>IF(OR($CS502,$AP502="-",AND($AP502="",$AD502="")),"",IF(N($BA502)&gt;0,N($BA502),IF($CV502,IF(AND($BI502&lt;$CU502,$BI502-IF(N(VLOOKUP($AT502&amp;"|"&amp;$CU502,LocTable,7,FALSE))&gt;0,VLOOKUP($AT502&amp;"|"&amp;$CU502,LocTable,7,FALSE),VLOOKUP($AT502&amp;"|"&amp;$CU502,LocTable,6,FALSE))-$CR502-0.75&gt;=2.125),VLOOKUP($AT502&amp;"|"&amp;$CU502,LocTable,8,FALSE),VLOOKUP($AT502&amp;"|"&amp;$CU502,LocTable,8,FALSE)+($BI502-$CU502)),$BI502-LockAFF)))</f>
        <v/>
      </c>
      <c r="CA502" s="89">
        <f>IF($BZ502="","",$BI502-$BZ502)</f>
        <v/>
      </c>
      <c r="CB502" s="84">
        <f>IF(OR(NOT(AND($A502&lt;&gt;"",$C502&lt;&gt;"DOOR ONLY")),$BI502=""),"",IF(($BI502+IF(N($P502)&gt;0,$P502+FaceW,0))&lt;=90,3,IF(($BI502+IF(N($P502)&gt;0,$P502+FaceW,0))&lt;=114,4,5)))</f>
        <v/>
      </c>
      <c r="CC502" s="84">
        <f>IF($CB502="","",$CB502*(2+IF(N($Q502)&gt;0,IF($R502="LR",2,1),0)))</f>
        <v/>
      </c>
      <c r="CD502" s="84">
        <f>IF($CB502="","",(2+IF(N($Q502)&gt;0,IF($R502="LR",2,1),0)))</f>
        <v/>
      </c>
      <c r="CE502" s="84">
        <f>IF(N($BJ502)=0,"",IF(OR($AL502="",$AL502="FLUSH"),"FLUSH",IFERROR(LEFT($AL502,FIND("-",$AL502)-1),LEFT($AL502,2))))</f>
        <v/>
      </c>
      <c r="CF502" s="84">
        <f>IF($CE502="","",IFERROR(VALUE(MID($AL502,FIND("-",$AL502)+1,FIND(CHAR(34)&amp;"x",$AL502)-FIND("-",$AL502)-1)),0))</f>
        <v/>
      </c>
      <c r="CG502" s="84">
        <f>IF($CE502="","",IFERROR(VALUE(MID($AL502,FIND(CHAR(34)&amp;"x",$AL502)+2,FIND(CHAR(34),$AL502,FIND(CHAR(34)&amp;"x",$AL502)+2)-FIND(CHAR(34)&amp;"x",$AL502)-2)),0))</f>
        <v/>
      </c>
      <c r="CH502" s="90">
        <f>IF(OR($A502="",$H502="",$H502="NO LAB"),0,IFERROR(VALUE(LEFT($H502,FIND(" ",$H502)-1)),0))</f>
        <v/>
      </c>
      <c r="CI502" s="91">
        <f>IF(OR($A502="",$I502="",$I502="NON-RATED",N($J502)=0),"",IFERROR(VLOOKUP($I502&amp;"|"&amp;$J502,IBC,2,FALSE),"?"))</f>
        <v/>
      </c>
      <c r="CJ502" s="85">
        <f>IF(NOT(AND($A502&lt;&gt;"",$C502&lt;&gt;"DOOR ONLY")),"",TRIM(IFERROR(VLOOKUP($U502,CODES,2,FALSE),"")&amp;" "&amp;$BG502&amp;" "&amp;IFERROR(VLOOKUP($Z502,CODES,2,FALSE),"")&amp;" "&amp;IFERROR(VLOOKUP($X502,CODES,2,FALSE),"")&amp;" "&amp;IFERROR(VLOOKUP($S502,CODES,2,FALSE),"")&amp;IF(N($P502)&gt;0," w/TRANSOM "&amp;$P502&amp;CHAR(34),"")&amp;IF(N($Q502)&gt;0," w/SIDELITE "&amp;$Q502&amp;CHAR(34)&amp;" "&amp;IF($R502="","R",$R502),"")&amp;IF($Y502="","  |  "," | "&amp;IFERROR(VLOOKUP($Y502,CODES,2,FALSE),"")&amp;" | ")&amp;IFERROR(VLOOKUP($AC502,CODES,2,FALSE),"")&amp;" "&amp;IFERROR(VLOOKUP($AD502,CODES,2,FALSE),"")&amp;IF(OR($AE502="",$AE502="-"),""," "&amp;$AE502)&amp;IF(OR($AF502="",$AF502="-"),""," "&amp;$AF502)&amp;IF($AB502="Y"," 4"&amp;CHAR(34)&amp;" HEAD","")&amp;" "&amp;IFERROR(VLOOKUP($H502,CODES,2,FALSE),"")&amp;IF($CT502," | LOC "&amp;$CY502,"")))</f>
        <v/>
      </c>
      <c r="CK502" s="85">
        <f>IF(NOT(AND($A502&lt;&gt;"",N($BJ502)&gt;0)),"",TRIM(IFERROR(VLOOKUP($AH502,CODES,2,FALSE),"")&amp;IF($AI502=""," "," "&amp;$AI502&amp;"GA ")&amp;$BG502&amp;" "&amp;IF($AN502="",IFERROR(VLOOKUP($Z502,CODES,2,FALSE),""),IFERROR(VLOOKUP($AN502,CODES,2,FALSE),""))&amp;IF($BJ502=2," PAIR","")&amp;" DOOR | "&amp;IF($AL502="","?",$AL502)&amp;" | "&amp;IF($AO502="",IFERROR(VLOOKUP($AC502,CODES,2,FALSE),""),IFERROR(VLOOKUP($AO502,CODES,2,FALSE),""))&amp;" "&amp;IFERROR(VLOOKUP($AP502,CODES,2,FALSE),"")&amp;IF(OR($AQ502="",$AQ502="-"),""," SEAM "&amp;$AQ502)&amp;IF($AR502="Y"," ASTRAGAL","")&amp;IF($AJ502=""," "," "&amp;$AJ502)&amp;IF($AK502=""," "," "&amp;$AK502)&amp;IF(OR($AT502="",$AT502="ANSI/SDI",$AT502="CUSTOM LOC"),""," "&amp;$AT502)&amp;IF($AM502=""," "," SERIES "&amp;$AM502)&amp;" "&amp;IFERROR(VLOOKUP($H502,CODES,2,FALSE),"")&amp;IF($CT502," | LOC "&amp;$CZ502,"")))</f>
        <v/>
      </c>
      <c r="CL502" s="84">
        <f>IF(CP502="","",IF(COUNTIF($CP$6:CP502,CP502)=1,MAX($CL$5:CL501)+1,INDEX($CL$5:CL501,MATCH(CP502,$CP$5:CP501,0))))</f>
        <v/>
      </c>
      <c r="CM502" s="84">
        <f>IF(NOT(AND($A502&lt;&gt;"",$C502&lt;&gt;"DOOR ONLY")),"",MAX($CM$5:CM501)+1)</f>
        <v/>
      </c>
      <c r="CN502" s="84">
        <f>IF(NOT(AND($A502&lt;&gt;"",N($BJ502)&gt;0)),"",MAX($CN$5:CN501)+1)</f>
        <v/>
      </c>
      <c r="CO502" s="84">
        <f>IF($A502="","",MAX($CO$5:CO501)+1)</f>
        <v/>
      </c>
      <c r="CP502" s="84">
        <f>IF(OR($A502="",$BH502="",$BI502=""),"",$BG502&amp;"|"&amp;$O502&amp;"|"&amp;$AL502&amp;"|"&amp;$S502&amp;"|"&amp;$P502&amp;"|"&amp;$Q502&amp;$R502&amp;"|"&amp;$C502&amp;"|"&amp;$AB502)</f>
        <v/>
      </c>
      <c r="CQ502" s="84">
        <f>N($BS502)</f>
        <v/>
      </c>
      <c r="CR502" s="84">
        <f>IF(N($AU502)&gt;0,N($AU502),4.5)</f>
        <v/>
      </c>
      <c r="CS502" s="84">
        <f>OR($A502="",$BI502="",$S502="BL",AND($C502="FRAME ONLY",OR($AC502="",$AC502="BLK")))</f>
        <v/>
      </c>
      <c r="CT502" s="84">
        <f>AND(NOT($CS502),OR($AT502="CUSTOM LOC",N($AW502)+N($AX502)+N($AY502)+N($AZ502)+N($BA502)&gt;0))</f>
        <v/>
      </c>
      <c r="CU502" s="84">
        <f>IF($BI502="","",IF($BI502&lt;=80,80,IF($BI502&lt;=84,84,96)))</f>
        <v/>
      </c>
      <c r="CV502" s="84">
        <f>ISNUMBER(MATCH($AT502&amp;"|80",LocKeys,0))</f>
        <v/>
      </c>
      <c r="CW502" s="86">
        <f>IF($CS502,"",IF($CV502,VLOOKUP($AT502&amp;"|"&amp;$CU502,LocTable,4,FALSE),5))</f>
        <v/>
      </c>
      <c r="CX502" s="86">
        <f>IF($CS502,"",IF($CV502,IF(OR($BI502=$CU502,AND($BI502&lt;$CU502,$BI502-IF(N(VLOOKUP($AT502&amp;"|"&amp;$CU502,LocTable,7,FALSE))&gt;0,VLOOKUP($AT502&amp;"|"&amp;$CU502,LocTable,7,FALSE),VLOOKUP($AT502&amp;"|"&amp;$CU502,LocTable,6,FALSE))-$CR502-0.75&gt;=2.125)),IF(N(VLOOKUP($AT502&amp;"|"&amp;$CU502,LocTable,7,FALSE))&gt;0,VLOOKUP($AT502&amp;"|"&amp;$CU502,LocTable,7,FALSE),VLOOKUP($AT502&amp;"|"&amp;$CU502,LocTable,6,FALSE)),$BI502-($CU502-IF(N(VLOOKUP($AT502&amp;"|"&amp;$CU502,LocTable,7,FALSE))&gt;0,VLOOKUP($AT502&amp;"|"&amp;$CU502,LocTable,7,FALSE),VLOOKUP($AT502&amp;"|"&amp;$CU502,LocTable,6,FALSE)))),$BI502-10-$CR502))</f>
        <v/>
      </c>
      <c r="CY502" s="85">
        <f>IF($CS502,"",TRIM(IF(ISNUMBER($BU502),"A "&amp;TRIM(TEXT($BU502,"# ?/??"))&amp;CHAR(34)&amp;"  ","")&amp;IF(ISNUMBER($BV502),"B "&amp;TRIM(TEXT($BV502,"# ?/??"))&amp;CHAR(34)&amp;"  ","")&amp;IF(ISNUMBER($BW502),"C "&amp;TRIM(TEXT($BW502,"# ?/??"))&amp;CHAR(34)&amp;"  ","")&amp;IF(ISNUMBER($BX502),"D "&amp;TRIM(TEXT($BX502,"# ?/??"))&amp;CHAR(34)&amp;"  ","")&amp;IF(ISNUMBER($BY502),"F "&amp;TRIM(TEXT($BY502,"# ?/??"))&amp;CHAR(34)&amp;"  ","")&amp;IF(ISNUMBER($BZ502),"E "&amp;TRIM(TEXT($BZ502,"# ?/??"))&amp;CHAR(34)&amp;"  ","")))</f>
        <v/>
      </c>
      <c r="CZ502" s="85">
        <f>IF(OR($CS502,N($BJ502)=0),"",TRIM(IF(ISNUMBER($BU502),"A "&amp;TRIM(TEXT($BU502-HeadClr,"# ?/??"))&amp;CHAR(34)&amp;"  ","")&amp;IF(ISNUMBER($BV502),"B "&amp;TRIM(TEXT($BV502-HeadClr,"# ?/??"))&amp;CHAR(34)&amp;"  ","")&amp;IF(ISNUMBER($BW502),"C "&amp;TRIM(TEXT($BW502-HeadClr,"# ?/??"))&amp;CHAR(34)&amp;"  ","")&amp;IF(ISNUMBER($BX502),"D "&amp;TRIM(TEXT($BX502-HeadClr,"# ?/??"))&amp;CHAR(34)&amp;"  ","")&amp;IF(ISNUMBER($BY502),"F "&amp;TRIM(TEXT($BY502-HeadClr,"# ?/??"))&amp;CHAR(34)&amp;"  ","")&amp;IF(ISNUMBER($BZ502),"E "&amp;TRIM(TEXT($BZ502-HeadClr,"# ?/??"))&amp;CHAR(34)&amp;"  ","")))</f>
        <v/>
      </c>
      <c r="DA502" s="84">
        <f>IF($A502="","",IF($AN502="",IFERROR(VLOOKUP($Z502,CODES,2,FALSE),""),IFERROR(VLOOKUP($AN502,CODES,2,FALSE),"")))</f>
        <v/>
      </c>
      <c r="DB502" s="84">
        <f>IF($A502="","",IF($O502="Y","PR",IF(OR($Z502="L",$Z502="RR",LEFT($Z502,2)="L-",LEFT($Z502,3)="RR-"),"LH","RH")))</f>
        <v/>
      </c>
      <c r="DC502" s="84">
        <f>IF($A502="","","S.HM"&amp;IF(OR($C502="DOOR ONLY",$X502&lt;&gt;"KD"),"MASONRY","DRYWALL")&amp;IF($C502="DOOR ONLY","",$U502)&amp;IF(AND($C502&lt;&gt;"FRAME ONLY",OR(LEFT($AH502,3)="OAK",LEFT($AH502,3)="BIR",LEFT($AH502,3)="MAP",$AH502="PC",$AH502="MC",$AH502="SCLC",$AH502="P-LAM")),"WD","HM")&amp;"1.75")</f>
        <v/>
      </c>
      <c r="DD502" s="84">
        <f>IF($CJ502="","",IF($O502="Y",$CJ502,SUBSTITUTE($CJ502,$BG502&amp;" "&amp;IFERROR(VLOOKUP($Z502,CODES,2,FALSE),"")&amp;" ",$BG502&amp;" ")))</f>
        <v/>
      </c>
      <c r="DE502" s="84">
        <f>IF($CK502="","",IF($O502="Y",$CK502,SUBSTITUTE($CK502,$BG502&amp;" "&amp;IF($AN502="",IFERROR(VLOOKUP($Z502,CODES,2,FALSE),""),IFERROR(VLOOKUP($AN502,CODES,2,FALSE),""))&amp;" ",$BG502&amp;" ")))</f>
        <v/>
      </c>
      <c r="DF502" s="84">
        <f>IF($CJ502="","",$DC502&amp;"|"&amp;$DD502&amp;"|"&amp;$DB502&amp;"|"&amp;$AT502&amp;"|"&amp;$V502&amp;"|"&amp;$Y502&amp;"|"&amp;$AB502)</f>
        <v/>
      </c>
      <c r="DG502" s="84">
        <f>IF(DF502="","",IF(COUNTIF($DF$6:DF502,DF502)=1,MAX($DG$5:DG501)+1,INDEX($DG$5:DG501,MATCH(DF502,$DF$5:DF501,0))))</f>
        <v/>
      </c>
      <c r="DH502" s="84">
        <f>IF($CK502="","",$DC502&amp;"|"&amp;$DE502&amp;"|"&amp;$AI502&amp;"|"&amp;$BK502&amp;"|"&amp;$BL502)</f>
        <v/>
      </c>
      <c r="DI502" s="84">
        <f>IF(DH502="","",IF(COUNTIF($DH$6:DH502,DH502)=1,MAX($DI$5:DI501)+1,INDEX($DI$5:DI501,MATCH(DH502,$DH$5:DH501,0))))</f>
        <v/>
      </c>
      <c r="DJ502" s="84">
        <f>IF($A502="","",IF($B502="","qty, ","")&amp;IF($C502="","scope, ","")&amp;IF(OR($K502="",$M502=""),"size, ","")&amp;IF(AND($A502&lt;&gt;"",$C502&lt;&gt;"DOOR ONLY"),IF($U502="","jamb depth, ","")&amp;IF($X502="","construction, ","")&amp;IF($Y502="","anchor, ","")&amp;IF($S502="","frame type, ",""),"")&amp;IF(AND(N($BJ502)&gt;0,$Z502=""),"hand, ","")&amp;IF(N($BJ502)&gt;0,IF($AH502="","door material, ","")&amp;IF($AL502="","face type, ","")&amp;IF($AP502="","lock prep, ","")&amp;IF(AND($AO502="",$AC502=""),"hinge prep, ",""),"")&amp;IF(AND($CH502&gt;0,$AH502="FRP"),"FRP cannot carry a label, ","")&amp;IF(AND($O502="Y",OR($Z502="L",$Z502="R",$Z502="LR",$Z502="RR")),"pair marked but hand is single, ","")&amp;IF(AND($O502&lt;&gt;"Y",OR($Z502="PR",AND(LEN($Z502)&gt;1,ISNUMBER(SEARCH("-",$Z502))))),"pair hand on a single door, ","")&amp;IF(AND(ISNUMBER($CI502),$CH502&lt;N($CI502)),"wall needs a "&amp;$CI502&amp;" min door, ","")&amp;IF(AND($CH502&gt;=180,AND(OR($CE502="FG",$CE502="HG",$CE502="FNV",$CE502="FV"),N($CF502)*N($CG502)&gt;100)),"180 min lite over 100 sq in, ","")&amp;IF(N($BK502)&gt;48,"leaf wider than 4'-0"&amp;CHAR(34)&amp;", ","")&amp;IF(AND($CT502,COUNT($AW502:$AZ502)=0,$CQ502&gt;0),"CUSTOM LOC with no locations typed, ",""))</f>
        <v/>
      </c>
      <c r="DK502" s="84">
        <f>IF($A502="","",IF(AND($CH502&gt;0,AND($A502&lt;&gt;"",$C502&lt;&gt;"DOOR ONLY"),$X502="KD",$E502="EXTERIOR"),"KD label on an exterior opening, ","")&amp;IF(AND($E502="EXTERIOR",OR(AND(AND($A502&lt;&gt;"",$C502&lt;&gt;"DOOR ONLY"),$W502="CR"),AND(N($BJ502)&gt;0,$AH502="CR"))),"exterior in CR steel (G9?), ","")&amp;IF(AND(ISNUMBER($BQ502),N($BQ502)&lt;32),"clear width ~"&amp;TEXT($BQ502,"0.0")&amp;CHAR(34)&amp;" under 32"&amp;CHAR(34)&amp;" (ADA), ","")&amp;IF(AND($CH502=90,AND(OR($CE502="FG",$CE502="HG",$CE502="FNV",$CE502="FV"),N($CF502)*N($CG502)&gt;100)),"90 min lite over 100 sq in (stair/exit), ","")&amp;IF(AND($CH502&gt;0,AND($A502&lt;&gt;"",$C502&lt;&gt;"DOOR ONLY"),OR($AF502="",$AF502="-")),"rated: closer reinf.?, ","")&amp;IF(OR($I502="CORRIDOR",$I502="SMOKE BARRIER"),"S label + smoke gasketing, ","")&amp;IF($CI502="?","wall type/hr not in IBC table, ","")&amp;IF(AND(N($BJ502)&gt;0,$BB502=""),"no hardware set, ","")&amp;IF(AND($BB502&lt;&gt;"",ISNA(MATCH($BB502&amp;"",HWSets,0))),"set "&amp;$BB502&amp;" not on HW Sets, ","")&amp;IF(N($BL502)&gt;96,"leaf over 8'-0"&amp;CHAR(34)&amp;" - check listing, ","")&amp;IF(AND($CT502,COUNT($AW502:$AZ502)&gt;0,COUNT($AW502:$AZ502)&lt;&gt;$CQ502),COUNT($AW502:$AZ502)&amp;" custom hinges typed, "&amp;$CQ502&amp;" expected, ","")&amp;IF(AND(ISNUMBER($CA502),OR(N($CA502)&lt;34,N($CA502)&gt;48)),"lock "&amp;TEXT($CA502,"0.0")&amp;CHAR(34)&amp;" AFF outside 34-48"&amp;CHAR(34)&amp;" (ADA), ","")&amp;IF(AND(ISNUMBER($AV502),ISNUMBER($BL502),N($AV502)&lt;IF(N($BL502)&lt;=60,2,IF(N($BL502)&lt;=90,3,IF(N($BL502)&lt;=120,4,5)))),"fewer hinges than standard, ",""))</f>
        <v/>
      </c>
    </row>
    <row r="503" ht="15" customHeight="1">
      <c r="A503" s="77" t="n"/>
      <c r="B503" s="78" t="n"/>
      <c r="C503" s="78" t="n"/>
      <c r="D503" s="78" t="n"/>
      <c r="E503" s="78" t="n"/>
      <c r="F503" s="78" t="n"/>
      <c r="G503" s="78" t="n"/>
      <c r="H503" s="78" t="n"/>
      <c r="I503" s="78" t="n"/>
      <c r="J503" s="78" t="n"/>
      <c r="K503" s="78" t="n"/>
      <c r="L503" s="78" t="n"/>
      <c r="M503" s="78" t="n"/>
      <c r="N503" s="78" t="n"/>
      <c r="O503" s="78" t="n"/>
      <c r="P503" s="78" t="n"/>
      <c r="Q503" s="78" t="n"/>
      <c r="R503" s="78" t="n"/>
      <c r="S503" s="79" t="n"/>
      <c r="T503" s="79" t="n"/>
      <c r="U503" s="79" t="n"/>
      <c r="V503" s="79" t="n"/>
      <c r="W503" s="79" t="n"/>
      <c r="X503" s="79" t="n"/>
      <c r="Y503" s="79" t="n"/>
      <c r="Z503" s="79" t="n"/>
      <c r="AA503" s="79" t="n"/>
      <c r="AB503" s="79" t="n"/>
      <c r="AC503" s="79" t="n"/>
      <c r="AD503" s="79" t="n"/>
      <c r="AE503" s="79" t="n"/>
      <c r="AF503" s="79" t="n"/>
      <c r="AG503" s="79" t="n"/>
      <c r="AH503" s="80" t="n"/>
      <c r="AI503" s="80" t="n"/>
      <c r="AJ503" s="80" t="n"/>
      <c r="AK503" s="80" t="n"/>
      <c r="AL503" s="80" t="n"/>
      <c r="AM503" s="80" t="n"/>
      <c r="AN503" s="80" t="n"/>
      <c r="AO503" s="80" t="n"/>
      <c r="AP503" s="80" t="n"/>
      <c r="AQ503" s="80" t="n"/>
      <c r="AR503" s="80" t="n"/>
      <c r="AS503" s="80" t="n"/>
      <c r="AT503" s="81" t="n"/>
      <c r="AU503" s="81" t="n"/>
      <c r="AV503" s="81" t="n"/>
      <c r="AW503" s="82" t="n"/>
      <c r="AX503" s="82" t="n"/>
      <c r="AY503" s="82" t="n"/>
      <c r="AZ503" s="82" t="n"/>
      <c r="BA503" s="82" t="n"/>
      <c r="BB503" s="83" t="n"/>
      <c r="BC503" s="83" t="n"/>
      <c r="BD503" s="84">
        <f>IF($A503="","",IF($DJ503&lt;&gt;"","FIX",IF($DK503&lt;&gt;"","CHECK","OK")))</f>
        <v/>
      </c>
      <c r="BE503" s="85">
        <f>IF($A503="","",IF($DJ503&lt;&gt;"","FIX: "&amp;LEFT($DJ503,LEN($DJ503)-2)&amp;IF($DK503&lt;&gt;"","  ·  ",""),"")&amp;IF($DK503&lt;&gt;"","CHECK: "&amp;LEFT($DK503,LEN($DK503)-2),""))</f>
        <v/>
      </c>
      <c r="BF503" s="84">
        <f>IF(OR($A503="",$K503=""),"",$K503&amp;"'-"&amp;N($L503)&amp;CHAR(34)&amp;" x "&amp;$M503&amp;"'-"&amp;N($N503)&amp;CHAR(34))</f>
        <v/>
      </c>
      <c r="BG503" s="84">
        <f>IF(OR($A503="",$K503=""),"",$K503&amp;N($L503)&amp;$M503&amp;N($N503))</f>
        <v/>
      </c>
      <c r="BH503" s="84">
        <f>IF(OR($A503="",$K503=""),"",$K503*12+N($L503))</f>
        <v/>
      </c>
      <c r="BI503" s="84">
        <f>IF(OR($A503="",$M503=""),"",$M503*12+N($N503))</f>
        <v/>
      </c>
      <c r="BJ503" s="84">
        <f>IF($A503="","",IF(OR($C503="FRAME ONLY",$S503="BL"),0,IF($O503="Y",2,1)))</f>
        <v/>
      </c>
      <c r="BK503" s="86">
        <f>IF(OR(N($BJ503)=0,$BH503=""),"",($BH503-2*EdgeClr-IF($BJ503=2,MeetClr,0))/$BJ503)</f>
        <v/>
      </c>
      <c r="BL503" s="86">
        <f>IF(OR(N($BJ503)=0,$BI503=""),"",$BI503-HeadClr-Undercut)</f>
        <v/>
      </c>
      <c r="BM503" s="86">
        <f>IF($BH503="","",$BH503+2*FaceW+IF(N($Q503)&gt;0,($Q503+FaceW)*IF($R503="LR",2,1),0))</f>
        <v/>
      </c>
      <c r="BN503" s="86">
        <f>IF($BI503="","",$BI503+IF($AB503="Y",4,FaceW)+IF(N($P503)&gt;0,$P503+FaceW,0)+IF(OR($S503="4F",$S503="BL"),FaceW,0))</f>
        <v/>
      </c>
      <c r="BO503" s="86">
        <f>IF($BM503="","",$BM503+2*ROSide)</f>
        <v/>
      </c>
      <c r="BP503" s="86">
        <f>IF($BN503="","",$BN503+ROTop)</f>
        <v/>
      </c>
      <c r="BQ503" s="87">
        <f>IF(OR(N($BJ503)=0,$BH503=""),"",$BH503/$BJ503-ClearDeduct)</f>
        <v/>
      </c>
      <c r="BR503" s="84">
        <f>IF(N($CH503)=0,"",IF($CH503&gt;=180,"A · 3 HR",IF($CH503&gt;=90,"B · 1-1/2 HR",IF($CH503&gt;=60,"B · 1 HR",IF($CH503&gt;=45,"C · 3/4 HR","20 MIN")))))&amp;IF(AND(N($CH503)&gt;0,OR($I503="CORRIDOR",$I503="SMOKE BARRIER"))," · S","")</f>
        <v/>
      </c>
      <c r="BS503" s="84">
        <f>IF($CS503,"",IF($AV503&lt;&gt;"",$AV503,IF(OR($AC503="HGC",$AO503="HGC"),"CONT",IF(($BI503-HeadClr-Undercut)&lt;=60,2,IF(($BI503-HeadClr-Undercut)&lt;=90,3,IF(($BI503-HeadClr-Undercut)&lt;=120,4,5))))))</f>
        <v/>
      </c>
      <c r="BT503" s="84">
        <f>IF($CS503,"",IF($CT503,"CUSTOM (typed)",IF($CV503,$AT503&amp;" "&amp;$CU503&amp;CHAR(34)&amp;IF($CU503&lt;&gt;$BI503,IF(AND($BI503&lt;$CU503,$BI503-IF(N(VLOOKUP($AT503&amp;"|"&amp;$CU503,LocTable,7,FALSE))&gt;0,VLOOKUP($AT503&amp;"|"&amp;$CU503,LocTable,7,FALSE),VLOOKUP($AT503&amp;"|"&amp;$CU503,LocTable,6,FALSE))-$CR503-0.75&gt;=2.125)," cut down"," adj."),""),"ANSI/SDI A250.6")))</f>
        <v/>
      </c>
      <c r="BU503" s="88">
        <f>IF($CS503,"",IF($CT503,IF(N($AW503)&gt;0,N($AW503),""),IF(1&gt;$CQ503,"",IF($CQ503=1,$CW503,$CW503+($CX503-$CW503)*0/($CQ503-1)))))</f>
        <v/>
      </c>
      <c r="BV503" s="88">
        <f>IF($CS503,"",IF($CT503,IF(N($AX503)&gt;0,N($AX503),""),IF(2&gt;$CQ503,"",IF($CQ503=1,$CW503,$CW503+($CX503-$CW503)*1/($CQ503-1)))))</f>
        <v/>
      </c>
      <c r="BW503" s="88">
        <f>IF($CS503,"",IF($CT503,IF(N($AY503)&gt;0,N($AY503),""),IF(3&gt;$CQ503,"",IF($CQ503=1,$CW503,$CW503+($CX503-$CW503)*2/($CQ503-1)))))</f>
        <v/>
      </c>
      <c r="BX503" s="88">
        <f>IF($CS503,"",IF($CT503,IF(N($AZ503)&gt;0,N($AZ503),""),IF(4&gt;$CQ503,"",IF($CQ503=1,$CW503,$CW503+($CX503-$CW503)*3/($CQ503-1)))))</f>
        <v/>
      </c>
      <c r="BY503" s="88">
        <f>IF($CS503,"",IF($CT503,"",IF(5&gt;$CQ503,"",IF($CQ503=1,$CW503,$CW503+($CX503-$CW503)*4/($CQ503-1)))))</f>
        <v/>
      </c>
      <c r="BZ503" s="88">
        <f>IF(OR($CS503,$AP503="-",AND($AP503="",$AD503="")),"",IF(N($BA503)&gt;0,N($BA503),IF($CV503,IF(AND($BI503&lt;$CU503,$BI503-IF(N(VLOOKUP($AT503&amp;"|"&amp;$CU503,LocTable,7,FALSE))&gt;0,VLOOKUP($AT503&amp;"|"&amp;$CU503,LocTable,7,FALSE),VLOOKUP($AT503&amp;"|"&amp;$CU503,LocTable,6,FALSE))-$CR503-0.75&gt;=2.125),VLOOKUP($AT503&amp;"|"&amp;$CU503,LocTable,8,FALSE),VLOOKUP($AT503&amp;"|"&amp;$CU503,LocTable,8,FALSE)+($BI503-$CU503)),$BI503-LockAFF)))</f>
        <v/>
      </c>
      <c r="CA503" s="89">
        <f>IF($BZ503="","",$BI503-$BZ503)</f>
        <v/>
      </c>
      <c r="CB503" s="84">
        <f>IF(OR(NOT(AND($A503&lt;&gt;"",$C503&lt;&gt;"DOOR ONLY")),$BI503=""),"",IF(($BI503+IF(N($P503)&gt;0,$P503+FaceW,0))&lt;=90,3,IF(($BI503+IF(N($P503)&gt;0,$P503+FaceW,0))&lt;=114,4,5)))</f>
        <v/>
      </c>
      <c r="CC503" s="84">
        <f>IF($CB503="","",$CB503*(2+IF(N($Q503)&gt;0,IF($R503="LR",2,1),0)))</f>
        <v/>
      </c>
      <c r="CD503" s="84">
        <f>IF($CB503="","",(2+IF(N($Q503)&gt;0,IF($R503="LR",2,1),0)))</f>
        <v/>
      </c>
      <c r="CE503" s="84">
        <f>IF(N($BJ503)=0,"",IF(OR($AL503="",$AL503="FLUSH"),"FLUSH",IFERROR(LEFT($AL503,FIND("-",$AL503)-1),LEFT($AL503,2))))</f>
        <v/>
      </c>
      <c r="CF503" s="84">
        <f>IF($CE503="","",IFERROR(VALUE(MID($AL503,FIND("-",$AL503)+1,FIND(CHAR(34)&amp;"x",$AL503)-FIND("-",$AL503)-1)),0))</f>
        <v/>
      </c>
      <c r="CG503" s="84">
        <f>IF($CE503="","",IFERROR(VALUE(MID($AL503,FIND(CHAR(34)&amp;"x",$AL503)+2,FIND(CHAR(34),$AL503,FIND(CHAR(34)&amp;"x",$AL503)+2)-FIND(CHAR(34)&amp;"x",$AL503)-2)),0))</f>
        <v/>
      </c>
      <c r="CH503" s="90">
        <f>IF(OR($A503="",$H503="",$H503="NO LAB"),0,IFERROR(VALUE(LEFT($H503,FIND(" ",$H503)-1)),0))</f>
        <v/>
      </c>
      <c r="CI503" s="91">
        <f>IF(OR($A503="",$I503="",$I503="NON-RATED",N($J503)=0),"",IFERROR(VLOOKUP($I503&amp;"|"&amp;$J503,IBC,2,FALSE),"?"))</f>
        <v/>
      </c>
      <c r="CJ503" s="85">
        <f>IF(NOT(AND($A503&lt;&gt;"",$C503&lt;&gt;"DOOR ONLY")),"",TRIM(IFERROR(VLOOKUP($U503,CODES,2,FALSE),"")&amp;" "&amp;$BG503&amp;" "&amp;IFERROR(VLOOKUP($Z503,CODES,2,FALSE),"")&amp;" "&amp;IFERROR(VLOOKUP($X503,CODES,2,FALSE),"")&amp;" "&amp;IFERROR(VLOOKUP($S503,CODES,2,FALSE),"")&amp;IF(N($P503)&gt;0," w/TRANSOM "&amp;$P503&amp;CHAR(34),"")&amp;IF(N($Q503)&gt;0," w/SIDELITE "&amp;$Q503&amp;CHAR(34)&amp;" "&amp;IF($R503="","R",$R503),"")&amp;IF($Y503="","  |  "," | "&amp;IFERROR(VLOOKUP($Y503,CODES,2,FALSE),"")&amp;" | ")&amp;IFERROR(VLOOKUP($AC503,CODES,2,FALSE),"")&amp;" "&amp;IFERROR(VLOOKUP($AD503,CODES,2,FALSE),"")&amp;IF(OR($AE503="",$AE503="-"),""," "&amp;$AE503)&amp;IF(OR($AF503="",$AF503="-"),""," "&amp;$AF503)&amp;IF($AB503="Y"," 4"&amp;CHAR(34)&amp;" HEAD","")&amp;" "&amp;IFERROR(VLOOKUP($H503,CODES,2,FALSE),"")&amp;IF($CT503," | LOC "&amp;$CY503,"")))</f>
        <v/>
      </c>
      <c r="CK503" s="85">
        <f>IF(NOT(AND($A503&lt;&gt;"",N($BJ503)&gt;0)),"",TRIM(IFERROR(VLOOKUP($AH503,CODES,2,FALSE),"")&amp;IF($AI503=""," "," "&amp;$AI503&amp;"GA ")&amp;$BG503&amp;" "&amp;IF($AN503="",IFERROR(VLOOKUP($Z503,CODES,2,FALSE),""),IFERROR(VLOOKUP($AN503,CODES,2,FALSE),""))&amp;IF($BJ503=2," PAIR","")&amp;" DOOR | "&amp;IF($AL503="","?",$AL503)&amp;" | "&amp;IF($AO503="",IFERROR(VLOOKUP($AC503,CODES,2,FALSE),""),IFERROR(VLOOKUP($AO503,CODES,2,FALSE),""))&amp;" "&amp;IFERROR(VLOOKUP($AP503,CODES,2,FALSE),"")&amp;IF(OR($AQ503="",$AQ503="-"),""," SEAM "&amp;$AQ503)&amp;IF($AR503="Y"," ASTRAGAL","")&amp;IF($AJ503=""," "," "&amp;$AJ503)&amp;IF($AK503=""," "," "&amp;$AK503)&amp;IF(OR($AT503="",$AT503="ANSI/SDI",$AT503="CUSTOM LOC"),""," "&amp;$AT503)&amp;IF($AM503=""," "," SERIES "&amp;$AM503)&amp;" "&amp;IFERROR(VLOOKUP($H503,CODES,2,FALSE),"")&amp;IF($CT503," | LOC "&amp;$CZ503,"")))</f>
        <v/>
      </c>
      <c r="CL503" s="84">
        <f>IF(CP503="","",IF(COUNTIF($CP$6:CP503,CP503)=1,MAX($CL$5:CL502)+1,INDEX($CL$5:CL502,MATCH(CP503,$CP$5:CP502,0))))</f>
        <v/>
      </c>
      <c r="CM503" s="84">
        <f>IF(NOT(AND($A503&lt;&gt;"",$C503&lt;&gt;"DOOR ONLY")),"",MAX($CM$5:CM502)+1)</f>
        <v/>
      </c>
      <c r="CN503" s="84">
        <f>IF(NOT(AND($A503&lt;&gt;"",N($BJ503)&gt;0)),"",MAX($CN$5:CN502)+1)</f>
        <v/>
      </c>
      <c r="CO503" s="84">
        <f>IF($A503="","",MAX($CO$5:CO502)+1)</f>
        <v/>
      </c>
      <c r="CP503" s="84">
        <f>IF(OR($A503="",$BH503="",$BI503=""),"",$BG503&amp;"|"&amp;$O503&amp;"|"&amp;$AL503&amp;"|"&amp;$S503&amp;"|"&amp;$P503&amp;"|"&amp;$Q503&amp;$R503&amp;"|"&amp;$C503&amp;"|"&amp;$AB503)</f>
        <v/>
      </c>
      <c r="CQ503" s="84">
        <f>N($BS503)</f>
        <v/>
      </c>
      <c r="CR503" s="84">
        <f>IF(N($AU503)&gt;0,N($AU503),4.5)</f>
        <v/>
      </c>
      <c r="CS503" s="84">
        <f>OR($A503="",$BI503="",$S503="BL",AND($C503="FRAME ONLY",OR($AC503="",$AC503="BLK")))</f>
        <v/>
      </c>
      <c r="CT503" s="84">
        <f>AND(NOT($CS503),OR($AT503="CUSTOM LOC",N($AW503)+N($AX503)+N($AY503)+N($AZ503)+N($BA503)&gt;0))</f>
        <v/>
      </c>
      <c r="CU503" s="84">
        <f>IF($BI503="","",IF($BI503&lt;=80,80,IF($BI503&lt;=84,84,96)))</f>
        <v/>
      </c>
      <c r="CV503" s="84">
        <f>ISNUMBER(MATCH($AT503&amp;"|80",LocKeys,0))</f>
        <v/>
      </c>
      <c r="CW503" s="86">
        <f>IF($CS503,"",IF($CV503,VLOOKUP($AT503&amp;"|"&amp;$CU503,LocTable,4,FALSE),5))</f>
        <v/>
      </c>
      <c r="CX503" s="86">
        <f>IF($CS503,"",IF($CV503,IF(OR($BI503=$CU503,AND($BI503&lt;$CU503,$BI503-IF(N(VLOOKUP($AT503&amp;"|"&amp;$CU503,LocTable,7,FALSE))&gt;0,VLOOKUP($AT503&amp;"|"&amp;$CU503,LocTable,7,FALSE),VLOOKUP($AT503&amp;"|"&amp;$CU503,LocTable,6,FALSE))-$CR503-0.75&gt;=2.125)),IF(N(VLOOKUP($AT503&amp;"|"&amp;$CU503,LocTable,7,FALSE))&gt;0,VLOOKUP($AT503&amp;"|"&amp;$CU503,LocTable,7,FALSE),VLOOKUP($AT503&amp;"|"&amp;$CU503,LocTable,6,FALSE)),$BI503-($CU503-IF(N(VLOOKUP($AT503&amp;"|"&amp;$CU503,LocTable,7,FALSE))&gt;0,VLOOKUP($AT503&amp;"|"&amp;$CU503,LocTable,7,FALSE),VLOOKUP($AT503&amp;"|"&amp;$CU503,LocTable,6,FALSE)))),$BI503-10-$CR503))</f>
        <v/>
      </c>
      <c r="CY503" s="85">
        <f>IF($CS503,"",TRIM(IF(ISNUMBER($BU503),"A "&amp;TRIM(TEXT($BU503,"# ?/??"))&amp;CHAR(34)&amp;"  ","")&amp;IF(ISNUMBER($BV503),"B "&amp;TRIM(TEXT($BV503,"# ?/??"))&amp;CHAR(34)&amp;"  ","")&amp;IF(ISNUMBER($BW503),"C "&amp;TRIM(TEXT($BW503,"# ?/??"))&amp;CHAR(34)&amp;"  ","")&amp;IF(ISNUMBER($BX503),"D "&amp;TRIM(TEXT($BX503,"# ?/??"))&amp;CHAR(34)&amp;"  ","")&amp;IF(ISNUMBER($BY503),"F "&amp;TRIM(TEXT($BY503,"# ?/??"))&amp;CHAR(34)&amp;"  ","")&amp;IF(ISNUMBER($BZ503),"E "&amp;TRIM(TEXT($BZ503,"# ?/??"))&amp;CHAR(34)&amp;"  ","")))</f>
        <v/>
      </c>
      <c r="CZ503" s="85">
        <f>IF(OR($CS503,N($BJ503)=0),"",TRIM(IF(ISNUMBER($BU503),"A "&amp;TRIM(TEXT($BU503-HeadClr,"# ?/??"))&amp;CHAR(34)&amp;"  ","")&amp;IF(ISNUMBER($BV503),"B "&amp;TRIM(TEXT($BV503-HeadClr,"# ?/??"))&amp;CHAR(34)&amp;"  ","")&amp;IF(ISNUMBER($BW503),"C "&amp;TRIM(TEXT($BW503-HeadClr,"# ?/??"))&amp;CHAR(34)&amp;"  ","")&amp;IF(ISNUMBER($BX503),"D "&amp;TRIM(TEXT($BX503-HeadClr,"# ?/??"))&amp;CHAR(34)&amp;"  ","")&amp;IF(ISNUMBER($BY503),"F "&amp;TRIM(TEXT($BY503-HeadClr,"# ?/??"))&amp;CHAR(34)&amp;"  ","")&amp;IF(ISNUMBER($BZ503),"E "&amp;TRIM(TEXT($BZ503-HeadClr,"# ?/??"))&amp;CHAR(34)&amp;"  ","")))</f>
        <v/>
      </c>
      <c r="DA503" s="84">
        <f>IF($A503="","",IF($AN503="",IFERROR(VLOOKUP($Z503,CODES,2,FALSE),""),IFERROR(VLOOKUP($AN503,CODES,2,FALSE),"")))</f>
        <v/>
      </c>
      <c r="DB503" s="84">
        <f>IF($A503="","",IF($O503="Y","PR",IF(OR($Z503="L",$Z503="RR",LEFT($Z503,2)="L-",LEFT($Z503,3)="RR-"),"LH","RH")))</f>
        <v/>
      </c>
      <c r="DC503" s="84">
        <f>IF($A503="","","S.HM"&amp;IF(OR($C503="DOOR ONLY",$X503&lt;&gt;"KD"),"MASONRY","DRYWALL")&amp;IF($C503="DOOR ONLY","",$U503)&amp;IF(AND($C503&lt;&gt;"FRAME ONLY",OR(LEFT($AH503,3)="OAK",LEFT($AH503,3)="BIR",LEFT($AH503,3)="MAP",$AH503="PC",$AH503="MC",$AH503="SCLC",$AH503="P-LAM")),"WD","HM")&amp;"1.75")</f>
        <v/>
      </c>
      <c r="DD503" s="84">
        <f>IF($CJ503="","",IF($O503="Y",$CJ503,SUBSTITUTE($CJ503,$BG503&amp;" "&amp;IFERROR(VLOOKUP($Z503,CODES,2,FALSE),"")&amp;" ",$BG503&amp;" ")))</f>
        <v/>
      </c>
      <c r="DE503" s="84">
        <f>IF($CK503="","",IF($O503="Y",$CK503,SUBSTITUTE($CK503,$BG503&amp;" "&amp;IF($AN503="",IFERROR(VLOOKUP($Z503,CODES,2,FALSE),""),IFERROR(VLOOKUP($AN503,CODES,2,FALSE),""))&amp;" ",$BG503&amp;" ")))</f>
        <v/>
      </c>
      <c r="DF503" s="84">
        <f>IF($CJ503="","",$DC503&amp;"|"&amp;$DD503&amp;"|"&amp;$DB503&amp;"|"&amp;$AT503&amp;"|"&amp;$V503&amp;"|"&amp;$Y503&amp;"|"&amp;$AB503)</f>
        <v/>
      </c>
      <c r="DG503" s="84">
        <f>IF(DF503="","",IF(COUNTIF($DF$6:DF503,DF503)=1,MAX($DG$5:DG502)+1,INDEX($DG$5:DG502,MATCH(DF503,$DF$5:DF502,0))))</f>
        <v/>
      </c>
      <c r="DH503" s="84">
        <f>IF($CK503="","",$DC503&amp;"|"&amp;$DE503&amp;"|"&amp;$AI503&amp;"|"&amp;$BK503&amp;"|"&amp;$BL503)</f>
        <v/>
      </c>
      <c r="DI503" s="84">
        <f>IF(DH503="","",IF(COUNTIF($DH$6:DH503,DH503)=1,MAX($DI$5:DI502)+1,INDEX($DI$5:DI502,MATCH(DH503,$DH$5:DH502,0))))</f>
        <v/>
      </c>
      <c r="DJ503" s="84">
        <f>IF($A503="","",IF($B503="","qty, ","")&amp;IF($C503="","scope, ","")&amp;IF(OR($K503="",$M503=""),"size, ","")&amp;IF(AND($A503&lt;&gt;"",$C503&lt;&gt;"DOOR ONLY"),IF($U503="","jamb depth, ","")&amp;IF($X503="","construction, ","")&amp;IF($Y503="","anchor, ","")&amp;IF($S503="","frame type, ",""),"")&amp;IF(AND(N($BJ503)&gt;0,$Z503=""),"hand, ","")&amp;IF(N($BJ503)&gt;0,IF($AH503="","door material, ","")&amp;IF($AL503="","face type, ","")&amp;IF($AP503="","lock prep, ","")&amp;IF(AND($AO503="",$AC503=""),"hinge prep, ",""),"")&amp;IF(AND($CH503&gt;0,$AH503="FRP"),"FRP cannot carry a label, ","")&amp;IF(AND($O503="Y",OR($Z503="L",$Z503="R",$Z503="LR",$Z503="RR")),"pair marked but hand is single, ","")&amp;IF(AND($O503&lt;&gt;"Y",OR($Z503="PR",AND(LEN($Z503)&gt;1,ISNUMBER(SEARCH("-",$Z503))))),"pair hand on a single door, ","")&amp;IF(AND(ISNUMBER($CI503),$CH503&lt;N($CI503)),"wall needs a "&amp;$CI503&amp;" min door, ","")&amp;IF(AND($CH503&gt;=180,AND(OR($CE503="FG",$CE503="HG",$CE503="FNV",$CE503="FV"),N($CF503)*N($CG503)&gt;100)),"180 min lite over 100 sq in, ","")&amp;IF(N($BK503)&gt;48,"leaf wider than 4'-0"&amp;CHAR(34)&amp;", ","")&amp;IF(AND($CT503,COUNT($AW503:$AZ503)=0,$CQ503&gt;0),"CUSTOM LOC with no locations typed, ",""))</f>
        <v/>
      </c>
      <c r="DK503" s="84">
        <f>IF($A503="","",IF(AND($CH503&gt;0,AND($A503&lt;&gt;"",$C503&lt;&gt;"DOOR ONLY"),$X503="KD",$E503="EXTERIOR"),"KD label on an exterior opening, ","")&amp;IF(AND($E503="EXTERIOR",OR(AND(AND($A503&lt;&gt;"",$C503&lt;&gt;"DOOR ONLY"),$W503="CR"),AND(N($BJ503)&gt;0,$AH503="CR"))),"exterior in CR steel (G9?), ","")&amp;IF(AND(ISNUMBER($BQ503),N($BQ503)&lt;32),"clear width ~"&amp;TEXT($BQ503,"0.0")&amp;CHAR(34)&amp;" under 32"&amp;CHAR(34)&amp;" (ADA), ","")&amp;IF(AND($CH503=90,AND(OR($CE503="FG",$CE503="HG",$CE503="FNV",$CE503="FV"),N($CF503)*N($CG503)&gt;100)),"90 min lite over 100 sq in (stair/exit), ","")&amp;IF(AND($CH503&gt;0,AND($A503&lt;&gt;"",$C503&lt;&gt;"DOOR ONLY"),OR($AF503="",$AF503="-")),"rated: closer reinf.?, ","")&amp;IF(OR($I503="CORRIDOR",$I503="SMOKE BARRIER"),"S label + smoke gasketing, ","")&amp;IF($CI503="?","wall type/hr not in IBC table, ","")&amp;IF(AND(N($BJ503)&gt;0,$BB503=""),"no hardware set, ","")&amp;IF(AND($BB503&lt;&gt;"",ISNA(MATCH($BB503&amp;"",HWSets,0))),"set "&amp;$BB503&amp;" not on HW Sets, ","")&amp;IF(N($BL503)&gt;96,"leaf over 8'-0"&amp;CHAR(34)&amp;" - check listing, ","")&amp;IF(AND($CT503,COUNT($AW503:$AZ503)&gt;0,COUNT($AW503:$AZ503)&lt;&gt;$CQ503),COUNT($AW503:$AZ503)&amp;" custom hinges typed, "&amp;$CQ503&amp;" expected, ","")&amp;IF(AND(ISNUMBER($CA503),OR(N($CA503)&lt;34,N($CA503)&gt;48)),"lock "&amp;TEXT($CA503,"0.0")&amp;CHAR(34)&amp;" AFF outside 34-48"&amp;CHAR(34)&amp;" (ADA), ","")&amp;IF(AND(ISNUMBER($AV503),ISNUMBER($BL503),N($AV503)&lt;IF(N($BL503)&lt;=60,2,IF(N($BL503)&lt;=90,3,IF(N($BL503)&lt;=120,4,5)))),"fewer hinges than standard, ",""))</f>
        <v/>
      </c>
    </row>
    <row r="504" ht="15" customHeight="1">
      <c r="A504" s="77" t="n"/>
      <c r="B504" s="78" t="n"/>
      <c r="C504" s="78" t="n"/>
      <c r="D504" s="78" t="n"/>
      <c r="E504" s="78" t="n"/>
      <c r="F504" s="78" t="n"/>
      <c r="G504" s="78" t="n"/>
      <c r="H504" s="78" t="n"/>
      <c r="I504" s="78" t="n"/>
      <c r="J504" s="78" t="n"/>
      <c r="K504" s="78" t="n"/>
      <c r="L504" s="78" t="n"/>
      <c r="M504" s="78" t="n"/>
      <c r="N504" s="78" t="n"/>
      <c r="O504" s="78" t="n"/>
      <c r="P504" s="78" t="n"/>
      <c r="Q504" s="78" t="n"/>
      <c r="R504" s="78" t="n"/>
      <c r="S504" s="79" t="n"/>
      <c r="T504" s="79" t="n"/>
      <c r="U504" s="79" t="n"/>
      <c r="V504" s="79" t="n"/>
      <c r="W504" s="79" t="n"/>
      <c r="X504" s="79" t="n"/>
      <c r="Y504" s="79" t="n"/>
      <c r="Z504" s="79" t="n"/>
      <c r="AA504" s="79" t="n"/>
      <c r="AB504" s="79" t="n"/>
      <c r="AC504" s="79" t="n"/>
      <c r="AD504" s="79" t="n"/>
      <c r="AE504" s="79" t="n"/>
      <c r="AF504" s="79" t="n"/>
      <c r="AG504" s="79" t="n"/>
      <c r="AH504" s="80" t="n"/>
      <c r="AI504" s="80" t="n"/>
      <c r="AJ504" s="80" t="n"/>
      <c r="AK504" s="80" t="n"/>
      <c r="AL504" s="80" t="n"/>
      <c r="AM504" s="80" t="n"/>
      <c r="AN504" s="80" t="n"/>
      <c r="AO504" s="80" t="n"/>
      <c r="AP504" s="80" t="n"/>
      <c r="AQ504" s="80" t="n"/>
      <c r="AR504" s="80" t="n"/>
      <c r="AS504" s="80" t="n"/>
      <c r="AT504" s="81" t="n"/>
      <c r="AU504" s="81" t="n"/>
      <c r="AV504" s="81" t="n"/>
      <c r="AW504" s="82" t="n"/>
      <c r="AX504" s="82" t="n"/>
      <c r="AY504" s="82" t="n"/>
      <c r="AZ504" s="82" t="n"/>
      <c r="BA504" s="82" t="n"/>
      <c r="BB504" s="83" t="n"/>
      <c r="BC504" s="83" t="n"/>
      <c r="BD504" s="84">
        <f>IF($A504="","",IF($DJ504&lt;&gt;"","FIX",IF($DK504&lt;&gt;"","CHECK","OK")))</f>
        <v/>
      </c>
      <c r="BE504" s="85">
        <f>IF($A504="","",IF($DJ504&lt;&gt;"","FIX: "&amp;LEFT($DJ504,LEN($DJ504)-2)&amp;IF($DK504&lt;&gt;"","  ·  ",""),"")&amp;IF($DK504&lt;&gt;"","CHECK: "&amp;LEFT($DK504,LEN($DK504)-2),""))</f>
        <v/>
      </c>
      <c r="BF504" s="84">
        <f>IF(OR($A504="",$K504=""),"",$K504&amp;"'-"&amp;N($L504)&amp;CHAR(34)&amp;" x "&amp;$M504&amp;"'-"&amp;N($N504)&amp;CHAR(34))</f>
        <v/>
      </c>
      <c r="BG504" s="84">
        <f>IF(OR($A504="",$K504=""),"",$K504&amp;N($L504)&amp;$M504&amp;N($N504))</f>
        <v/>
      </c>
      <c r="BH504" s="84">
        <f>IF(OR($A504="",$K504=""),"",$K504*12+N($L504))</f>
        <v/>
      </c>
      <c r="BI504" s="84">
        <f>IF(OR($A504="",$M504=""),"",$M504*12+N($N504))</f>
        <v/>
      </c>
      <c r="BJ504" s="84">
        <f>IF($A504="","",IF(OR($C504="FRAME ONLY",$S504="BL"),0,IF($O504="Y",2,1)))</f>
        <v/>
      </c>
      <c r="BK504" s="86">
        <f>IF(OR(N($BJ504)=0,$BH504=""),"",($BH504-2*EdgeClr-IF($BJ504=2,MeetClr,0))/$BJ504)</f>
        <v/>
      </c>
      <c r="BL504" s="86">
        <f>IF(OR(N($BJ504)=0,$BI504=""),"",$BI504-HeadClr-Undercut)</f>
        <v/>
      </c>
      <c r="BM504" s="86">
        <f>IF($BH504="","",$BH504+2*FaceW+IF(N($Q504)&gt;0,($Q504+FaceW)*IF($R504="LR",2,1),0))</f>
        <v/>
      </c>
      <c r="BN504" s="86">
        <f>IF($BI504="","",$BI504+IF($AB504="Y",4,FaceW)+IF(N($P504)&gt;0,$P504+FaceW,0)+IF(OR($S504="4F",$S504="BL"),FaceW,0))</f>
        <v/>
      </c>
      <c r="BO504" s="86">
        <f>IF($BM504="","",$BM504+2*ROSide)</f>
        <v/>
      </c>
      <c r="BP504" s="86">
        <f>IF($BN504="","",$BN504+ROTop)</f>
        <v/>
      </c>
      <c r="BQ504" s="87">
        <f>IF(OR(N($BJ504)=0,$BH504=""),"",$BH504/$BJ504-ClearDeduct)</f>
        <v/>
      </c>
      <c r="BR504" s="84">
        <f>IF(N($CH504)=0,"",IF($CH504&gt;=180,"A · 3 HR",IF($CH504&gt;=90,"B · 1-1/2 HR",IF($CH504&gt;=60,"B · 1 HR",IF($CH504&gt;=45,"C · 3/4 HR","20 MIN")))))&amp;IF(AND(N($CH504)&gt;0,OR($I504="CORRIDOR",$I504="SMOKE BARRIER"))," · S","")</f>
        <v/>
      </c>
      <c r="BS504" s="84">
        <f>IF($CS504,"",IF($AV504&lt;&gt;"",$AV504,IF(OR($AC504="HGC",$AO504="HGC"),"CONT",IF(($BI504-HeadClr-Undercut)&lt;=60,2,IF(($BI504-HeadClr-Undercut)&lt;=90,3,IF(($BI504-HeadClr-Undercut)&lt;=120,4,5))))))</f>
        <v/>
      </c>
      <c r="BT504" s="84">
        <f>IF($CS504,"",IF($CT504,"CUSTOM (typed)",IF($CV504,$AT504&amp;" "&amp;$CU504&amp;CHAR(34)&amp;IF($CU504&lt;&gt;$BI504,IF(AND($BI504&lt;$CU504,$BI504-IF(N(VLOOKUP($AT504&amp;"|"&amp;$CU504,LocTable,7,FALSE))&gt;0,VLOOKUP($AT504&amp;"|"&amp;$CU504,LocTable,7,FALSE),VLOOKUP($AT504&amp;"|"&amp;$CU504,LocTable,6,FALSE))-$CR504-0.75&gt;=2.125)," cut down"," adj."),""),"ANSI/SDI A250.6")))</f>
        <v/>
      </c>
      <c r="BU504" s="88">
        <f>IF($CS504,"",IF($CT504,IF(N($AW504)&gt;0,N($AW504),""),IF(1&gt;$CQ504,"",IF($CQ504=1,$CW504,$CW504+($CX504-$CW504)*0/($CQ504-1)))))</f>
        <v/>
      </c>
      <c r="BV504" s="88">
        <f>IF($CS504,"",IF($CT504,IF(N($AX504)&gt;0,N($AX504),""),IF(2&gt;$CQ504,"",IF($CQ504=1,$CW504,$CW504+($CX504-$CW504)*1/($CQ504-1)))))</f>
        <v/>
      </c>
      <c r="BW504" s="88">
        <f>IF($CS504,"",IF($CT504,IF(N($AY504)&gt;0,N($AY504),""),IF(3&gt;$CQ504,"",IF($CQ504=1,$CW504,$CW504+($CX504-$CW504)*2/($CQ504-1)))))</f>
        <v/>
      </c>
      <c r="BX504" s="88">
        <f>IF($CS504,"",IF($CT504,IF(N($AZ504)&gt;0,N($AZ504),""),IF(4&gt;$CQ504,"",IF($CQ504=1,$CW504,$CW504+($CX504-$CW504)*3/($CQ504-1)))))</f>
        <v/>
      </c>
      <c r="BY504" s="88">
        <f>IF($CS504,"",IF($CT504,"",IF(5&gt;$CQ504,"",IF($CQ504=1,$CW504,$CW504+($CX504-$CW504)*4/($CQ504-1)))))</f>
        <v/>
      </c>
      <c r="BZ504" s="88">
        <f>IF(OR($CS504,$AP504="-",AND($AP504="",$AD504="")),"",IF(N($BA504)&gt;0,N($BA504),IF($CV504,IF(AND($BI504&lt;$CU504,$BI504-IF(N(VLOOKUP($AT504&amp;"|"&amp;$CU504,LocTable,7,FALSE))&gt;0,VLOOKUP($AT504&amp;"|"&amp;$CU504,LocTable,7,FALSE),VLOOKUP($AT504&amp;"|"&amp;$CU504,LocTable,6,FALSE))-$CR504-0.75&gt;=2.125),VLOOKUP($AT504&amp;"|"&amp;$CU504,LocTable,8,FALSE),VLOOKUP($AT504&amp;"|"&amp;$CU504,LocTable,8,FALSE)+($BI504-$CU504)),$BI504-LockAFF)))</f>
        <v/>
      </c>
      <c r="CA504" s="89">
        <f>IF($BZ504="","",$BI504-$BZ504)</f>
        <v/>
      </c>
      <c r="CB504" s="84">
        <f>IF(OR(NOT(AND($A504&lt;&gt;"",$C504&lt;&gt;"DOOR ONLY")),$BI504=""),"",IF(($BI504+IF(N($P504)&gt;0,$P504+FaceW,0))&lt;=90,3,IF(($BI504+IF(N($P504)&gt;0,$P504+FaceW,0))&lt;=114,4,5)))</f>
        <v/>
      </c>
      <c r="CC504" s="84">
        <f>IF($CB504="","",$CB504*(2+IF(N($Q504)&gt;0,IF($R504="LR",2,1),0)))</f>
        <v/>
      </c>
      <c r="CD504" s="84">
        <f>IF($CB504="","",(2+IF(N($Q504)&gt;0,IF($R504="LR",2,1),0)))</f>
        <v/>
      </c>
      <c r="CE504" s="84">
        <f>IF(N($BJ504)=0,"",IF(OR($AL504="",$AL504="FLUSH"),"FLUSH",IFERROR(LEFT($AL504,FIND("-",$AL504)-1),LEFT($AL504,2))))</f>
        <v/>
      </c>
      <c r="CF504" s="84">
        <f>IF($CE504="","",IFERROR(VALUE(MID($AL504,FIND("-",$AL504)+1,FIND(CHAR(34)&amp;"x",$AL504)-FIND("-",$AL504)-1)),0))</f>
        <v/>
      </c>
      <c r="CG504" s="84">
        <f>IF($CE504="","",IFERROR(VALUE(MID($AL504,FIND(CHAR(34)&amp;"x",$AL504)+2,FIND(CHAR(34),$AL504,FIND(CHAR(34)&amp;"x",$AL504)+2)-FIND(CHAR(34)&amp;"x",$AL504)-2)),0))</f>
        <v/>
      </c>
      <c r="CH504" s="90">
        <f>IF(OR($A504="",$H504="",$H504="NO LAB"),0,IFERROR(VALUE(LEFT($H504,FIND(" ",$H504)-1)),0))</f>
        <v/>
      </c>
      <c r="CI504" s="91">
        <f>IF(OR($A504="",$I504="",$I504="NON-RATED",N($J504)=0),"",IFERROR(VLOOKUP($I504&amp;"|"&amp;$J504,IBC,2,FALSE),"?"))</f>
        <v/>
      </c>
      <c r="CJ504" s="85">
        <f>IF(NOT(AND($A504&lt;&gt;"",$C504&lt;&gt;"DOOR ONLY")),"",TRIM(IFERROR(VLOOKUP($U504,CODES,2,FALSE),"")&amp;" "&amp;$BG504&amp;" "&amp;IFERROR(VLOOKUP($Z504,CODES,2,FALSE),"")&amp;" "&amp;IFERROR(VLOOKUP($X504,CODES,2,FALSE),"")&amp;" "&amp;IFERROR(VLOOKUP($S504,CODES,2,FALSE),"")&amp;IF(N($P504)&gt;0," w/TRANSOM "&amp;$P504&amp;CHAR(34),"")&amp;IF(N($Q504)&gt;0," w/SIDELITE "&amp;$Q504&amp;CHAR(34)&amp;" "&amp;IF($R504="","R",$R504),"")&amp;IF($Y504="","  |  "," | "&amp;IFERROR(VLOOKUP($Y504,CODES,2,FALSE),"")&amp;" | ")&amp;IFERROR(VLOOKUP($AC504,CODES,2,FALSE),"")&amp;" "&amp;IFERROR(VLOOKUP($AD504,CODES,2,FALSE),"")&amp;IF(OR($AE504="",$AE504="-"),""," "&amp;$AE504)&amp;IF(OR($AF504="",$AF504="-"),""," "&amp;$AF504)&amp;IF($AB504="Y"," 4"&amp;CHAR(34)&amp;" HEAD","")&amp;" "&amp;IFERROR(VLOOKUP($H504,CODES,2,FALSE),"")&amp;IF($CT504," | LOC "&amp;$CY504,"")))</f>
        <v/>
      </c>
      <c r="CK504" s="85">
        <f>IF(NOT(AND($A504&lt;&gt;"",N($BJ504)&gt;0)),"",TRIM(IFERROR(VLOOKUP($AH504,CODES,2,FALSE),"")&amp;IF($AI504=""," "," "&amp;$AI504&amp;"GA ")&amp;$BG504&amp;" "&amp;IF($AN504="",IFERROR(VLOOKUP($Z504,CODES,2,FALSE),""),IFERROR(VLOOKUP($AN504,CODES,2,FALSE),""))&amp;IF($BJ504=2," PAIR","")&amp;" DOOR | "&amp;IF($AL504="","?",$AL504)&amp;" | "&amp;IF($AO504="",IFERROR(VLOOKUP($AC504,CODES,2,FALSE),""),IFERROR(VLOOKUP($AO504,CODES,2,FALSE),""))&amp;" "&amp;IFERROR(VLOOKUP($AP504,CODES,2,FALSE),"")&amp;IF(OR($AQ504="",$AQ504="-"),""," SEAM "&amp;$AQ504)&amp;IF($AR504="Y"," ASTRAGAL","")&amp;IF($AJ504=""," "," "&amp;$AJ504)&amp;IF($AK504=""," "," "&amp;$AK504)&amp;IF(OR($AT504="",$AT504="ANSI/SDI",$AT504="CUSTOM LOC"),""," "&amp;$AT504)&amp;IF($AM504=""," "," SERIES "&amp;$AM504)&amp;" "&amp;IFERROR(VLOOKUP($H504,CODES,2,FALSE),"")&amp;IF($CT504," | LOC "&amp;$CZ504,"")))</f>
        <v/>
      </c>
      <c r="CL504" s="84">
        <f>IF(CP504="","",IF(COUNTIF($CP$6:CP504,CP504)=1,MAX($CL$5:CL503)+1,INDEX($CL$5:CL503,MATCH(CP504,$CP$5:CP503,0))))</f>
        <v/>
      </c>
      <c r="CM504" s="84">
        <f>IF(NOT(AND($A504&lt;&gt;"",$C504&lt;&gt;"DOOR ONLY")),"",MAX($CM$5:CM503)+1)</f>
        <v/>
      </c>
      <c r="CN504" s="84">
        <f>IF(NOT(AND($A504&lt;&gt;"",N($BJ504)&gt;0)),"",MAX($CN$5:CN503)+1)</f>
        <v/>
      </c>
      <c r="CO504" s="84">
        <f>IF($A504="","",MAX($CO$5:CO503)+1)</f>
        <v/>
      </c>
      <c r="CP504" s="84">
        <f>IF(OR($A504="",$BH504="",$BI504=""),"",$BG504&amp;"|"&amp;$O504&amp;"|"&amp;$AL504&amp;"|"&amp;$S504&amp;"|"&amp;$P504&amp;"|"&amp;$Q504&amp;$R504&amp;"|"&amp;$C504&amp;"|"&amp;$AB504)</f>
        <v/>
      </c>
      <c r="CQ504" s="84">
        <f>N($BS504)</f>
        <v/>
      </c>
      <c r="CR504" s="84">
        <f>IF(N($AU504)&gt;0,N($AU504),4.5)</f>
        <v/>
      </c>
      <c r="CS504" s="84">
        <f>OR($A504="",$BI504="",$S504="BL",AND($C504="FRAME ONLY",OR($AC504="",$AC504="BLK")))</f>
        <v/>
      </c>
      <c r="CT504" s="84">
        <f>AND(NOT($CS504),OR($AT504="CUSTOM LOC",N($AW504)+N($AX504)+N($AY504)+N($AZ504)+N($BA504)&gt;0))</f>
        <v/>
      </c>
      <c r="CU504" s="84">
        <f>IF($BI504="","",IF($BI504&lt;=80,80,IF($BI504&lt;=84,84,96)))</f>
        <v/>
      </c>
      <c r="CV504" s="84">
        <f>ISNUMBER(MATCH($AT504&amp;"|80",LocKeys,0))</f>
        <v/>
      </c>
      <c r="CW504" s="86">
        <f>IF($CS504,"",IF($CV504,VLOOKUP($AT504&amp;"|"&amp;$CU504,LocTable,4,FALSE),5))</f>
        <v/>
      </c>
      <c r="CX504" s="86">
        <f>IF($CS504,"",IF($CV504,IF(OR($BI504=$CU504,AND($BI504&lt;$CU504,$BI504-IF(N(VLOOKUP($AT504&amp;"|"&amp;$CU504,LocTable,7,FALSE))&gt;0,VLOOKUP($AT504&amp;"|"&amp;$CU504,LocTable,7,FALSE),VLOOKUP($AT504&amp;"|"&amp;$CU504,LocTable,6,FALSE))-$CR504-0.75&gt;=2.125)),IF(N(VLOOKUP($AT504&amp;"|"&amp;$CU504,LocTable,7,FALSE))&gt;0,VLOOKUP($AT504&amp;"|"&amp;$CU504,LocTable,7,FALSE),VLOOKUP($AT504&amp;"|"&amp;$CU504,LocTable,6,FALSE)),$BI504-($CU504-IF(N(VLOOKUP($AT504&amp;"|"&amp;$CU504,LocTable,7,FALSE))&gt;0,VLOOKUP($AT504&amp;"|"&amp;$CU504,LocTable,7,FALSE),VLOOKUP($AT504&amp;"|"&amp;$CU504,LocTable,6,FALSE)))),$BI504-10-$CR504))</f>
        <v/>
      </c>
      <c r="CY504" s="85">
        <f>IF($CS504,"",TRIM(IF(ISNUMBER($BU504),"A "&amp;TRIM(TEXT($BU504,"# ?/??"))&amp;CHAR(34)&amp;"  ","")&amp;IF(ISNUMBER($BV504),"B "&amp;TRIM(TEXT($BV504,"# ?/??"))&amp;CHAR(34)&amp;"  ","")&amp;IF(ISNUMBER($BW504),"C "&amp;TRIM(TEXT($BW504,"# ?/??"))&amp;CHAR(34)&amp;"  ","")&amp;IF(ISNUMBER($BX504),"D "&amp;TRIM(TEXT($BX504,"# ?/??"))&amp;CHAR(34)&amp;"  ","")&amp;IF(ISNUMBER($BY504),"F "&amp;TRIM(TEXT($BY504,"# ?/??"))&amp;CHAR(34)&amp;"  ","")&amp;IF(ISNUMBER($BZ504),"E "&amp;TRIM(TEXT($BZ504,"# ?/??"))&amp;CHAR(34)&amp;"  ","")))</f>
        <v/>
      </c>
      <c r="CZ504" s="85">
        <f>IF(OR($CS504,N($BJ504)=0),"",TRIM(IF(ISNUMBER($BU504),"A "&amp;TRIM(TEXT($BU504-HeadClr,"# ?/??"))&amp;CHAR(34)&amp;"  ","")&amp;IF(ISNUMBER($BV504),"B "&amp;TRIM(TEXT($BV504-HeadClr,"# ?/??"))&amp;CHAR(34)&amp;"  ","")&amp;IF(ISNUMBER($BW504),"C "&amp;TRIM(TEXT($BW504-HeadClr,"# ?/??"))&amp;CHAR(34)&amp;"  ","")&amp;IF(ISNUMBER($BX504),"D "&amp;TRIM(TEXT($BX504-HeadClr,"# ?/??"))&amp;CHAR(34)&amp;"  ","")&amp;IF(ISNUMBER($BY504),"F "&amp;TRIM(TEXT($BY504-HeadClr,"# ?/??"))&amp;CHAR(34)&amp;"  ","")&amp;IF(ISNUMBER($BZ504),"E "&amp;TRIM(TEXT($BZ504-HeadClr,"# ?/??"))&amp;CHAR(34)&amp;"  ","")))</f>
        <v/>
      </c>
      <c r="DA504" s="84">
        <f>IF($A504="","",IF($AN504="",IFERROR(VLOOKUP($Z504,CODES,2,FALSE),""),IFERROR(VLOOKUP($AN504,CODES,2,FALSE),"")))</f>
        <v/>
      </c>
      <c r="DB504" s="84">
        <f>IF($A504="","",IF($O504="Y","PR",IF(OR($Z504="L",$Z504="RR",LEFT($Z504,2)="L-",LEFT($Z504,3)="RR-"),"LH","RH")))</f>
        <v/>
      </c>
      <c r="DC504" s="84">
        <f>IF($A504="","","S.HM"&amp;IF(OR($C504="DOOR ONLY",$X504&lt;&gt;"KD"),"MASONRY","DRYWALL")&amp;IF($C504="DOOR ONLY","",$U504)&amp;IF(AND($C504&lt;&gt;"FRAME ONLY",OR(LEFT($AH504,3)="OAK",LEFT($AH504,3)="BIR",LEFT($AH504,3)="MAP",$AH504="PC",$AH504="MC",$AH504="SCLC",$AH504="P-LAM")),"WD","HM")&amp;"1.75")</f>
        <v/>
      </c>
      <c r="DD504" s="84">
        <f>IF($CJ504="","",IF($O504="Y",$CJ504,SUBSTITUTE($CJ504,$BG504&amp;" "&amp;IFERROR(VLOOKUP($Z504,CODES,2,FALSE),"")&amp;" ",$BG504&amp;" ")))</f>
        <v/>
      </c>
      <c r="DE504" s="84">
        <f>IF($CK504="","",IF($O504="Y",$CK504,SUBSTITUTE($CK504,$BG504&amp;" "&amp;IF($AN504="",IFERROR(VLOOKUP($Z504,CODES,2,FALSE),""),IFERROR(VLOOKUP($AN504,CODES,2,FALSE),""))&amp;" ",$BG504&amp;" ")))</f>
        <v/>
      </c>
      <c r="DF504" s="84">
        <f>IF($CJ504="","",$DC504&amp;"|"&amp;$DD504&amp;"|"&amp;$DB504&amp;"|"&amp;$AT504&amp;"|"&amp;$V504&amp;"|"&amp;$Y504&amp;"|"&amp;$AB504)</f>
        <v/>
      </c>
      <c r="DG504" s="84">
        <f>IF(DF504="","",IF(COUNTIF($DF$6:DF504,DF504)=1,MAX($DG$5:DG503)+1,INDEX($DG$5:DG503,MATCH(DF504,$DF$5:DF503,0))))</f>
        <v/>
      </c>
      <c r="DH504" s="84">
        <f>IF($CK504="","",$DC504&amp;"|"&amp;$DE504&amp;"|"&amp;$AI504&amp;"|"&amp;$BK504&amp;"|"&amp;$BL504)</f>
        <v/>
      </c>
      <c r="DI504" s="84">
        <f>IF(DH504="","",IF(COUNTIF($DH$6:DH504,DH504)=1,MAX($DI$5:DI503)+1,INDEX($DI$5:DI503,MATCH(DH504,$DH$5:DH503,0))))</f>
        <v/>
      </c>
      <c r="DJ504" s="84">
        <f>IF($A504="","",IF($B504="","qty, ","")&amp;IF($C504="","scope, ","")&amp;IF(OR($K504="",$M504=""),"size, ","")&amp;IF(AND($A504&lt;&gt;"",$C504&lt;&gt;"DOOR ONLY"),IF($U504="","jamb depth, ","")&amp;IF($X504="","construction, ","")&amp;IF($Y504="","anchor, ","")&amp;IF($S504="","frame type, ",""),"")&amp;IF(AND(N($BJ504)&gt;0,$Z504=""),"hand, ","")&amp;IF(N($BJ504)&gt;0,IF($AH504="","door material, ","")&amp;IF($AL504="","face type, ","")&amp;IF($AP504="","lock prep, ","")&amp;IF(AND($AO504="",$AC504=""),"hinge prep, ",""),"")&amp;IF(AND($CH504&gt;0,$AH504="FRP"),"FRP cannot carry a label, ","")&amp;IF(AND($O504="Y",OR($Z504="L",$Z504="R",$Z504="LR",$Z504="RR")),"pair marked but hand is single, ","")&amp;IF(AND($O504&lt;&gt;"Y",OR($Z504="PR",AND(LEN($Z504)&gt;1,ISNUMBER(SEARCH("-",$Z504))))),"pair hand on a single door, ","")&amp;IF(AND(ISNUMBER($CI504),$CH504&lt;N($CI504)),"wall needs a "&amp;$CI504&amp;" min door, ","")&amp;IF(AND($CH504&gt;=180,AND(OR($CE504="FG",$CE504="HG",$CE504="FNV",$CE504="FV"),N($CF504)*N($CG504)&gt;100)),"180 min lite over 100 sq in, ","")&amp;IF(N($BK504)&gt;48,"leaf wider than 4'-0"&amp;CHAR(34)&amp;", ","")&amp;IF(AND($CT504,COUNT($AW504:$AZ504)=0,$CQ504&gt;0),"CUSTOM LOC with no locations typed, ",""))</f>
        <v/>
      </c>
      <c r="DK504" s="84">
        <f>IF($A504="","",IF(AND($CH504&gt;0,AND($A504&lt;&gt;"",$C504&lt;&gt;"DOOR ONLY"),$X504="KD",$E504="EXTERIOR"),"KD label on an exterior opening, ","")&amp;IF(AND($E504="EXTERIOR",OR(AND(AND($A504&lt;&gt;"",$C504&lt;&gt;"DOOR ONLY"),$W504="CR"),AND(N($BJ504)&gt;0,$AH504="CR"))),"exterior in CR steel (G9?), ","")&amp;IF(AND(ISNUMBER($BQ504),N($BQ504)&lt;32),"clear width ~"&amp;TEXT($BQ504,"0.0")&amp;CHAR(34)&amp;" under 32"&amp;CHAR(34)&amp;" (ADA), ","")&amp;IF(AND($CH504=90,AND(OR($CE504="FG",$CE504="HG",$CE504="FNV",$CE504="FV"),N($CF504)*N($CG504)&gt;100)),"90 min lite over 100 sq in (stair/exit), ","")&amp;IF(AND($CH504&gt;0,AND($A504&lt;&gt;"",$C504&lt;&gt;"DOOR ONLY"),OR($AF504="",$AF504="-")),"rated: closer reinf.?, ","")&amp;IF(OR($I504="CORRIDOR",$I504="SMOKE BARRIER"),"S label + smoke gasketing, ","")&amp;IF($CI504="?","wall type/hr not in IBC table, ","")&amp;IF(AND(N($BJ504)&gt;0,$BB504=""),"no hardware set, ","")&amp;IF(AND($BB504&lt;&gt;"",ISNA(MATCH($BB504&amp;"",HWSets,0))),"set "&amp;$BB504&amp;" not on HW Sets, ","")&amp;IF(N($BL504)&gt;96,"leaf over 8'-0"&amp;CHAR(34)&amp;" - check listing, ","")&amp;IF(AND($CT504,COUNT($AW504:$AZ504)&gt;0,COUNT($AW504:$AZ504)&lt;&gt;$CQ504),COUNT($AW504:$AZ504)&amp;" custom hinges typed, "&amp;$CQ504&amp;" expected, ","")&amp;IF(AND(ISNUMBER($CA504),OR(N($CA504)&lt;34,N($CA504)&gt;48)),"lock "&amp;TEXT($CA504,"0.0")&amp;CHAR(34)&amp;" AFF outside 34-48"&amp;CHAR(34)&amp;" (ADA), ","")&amp;IF(AND(ISNUMBER($AV504),ISNUMBER($BL504),N($AV504)&lt;IF(N($BL504)&lt;=60,2,IF(N($BL504)&lt;=90,3,IF(N($BL504)&lt;=120,4,5)))),"fewer hinges than standard, ",""))</f>
        <v/>
      </c>
    </row>
    <row r="505" ht="15" customHeight="1">
      <c r="A505" s="92" t="n"/>
      <c r="B505" s="93" t="n"/>
      <c r="C505" s="93" t="n"/>
      <c r="D505" s="93" t="n"/>
      <c r="E505" s="93" t="n"/>
      <c r="F505" s="93" t="n"/>
      <c r="G505" s="93" t="n"/>
      <c r="H505" s="93" t="n"/>
      <c r="I505" s="93" t="n"/>
      <c r="J505" s="93" t="n"/>
      <c r="K505" s="93" t="n"/>
      <c r="L505" s="93" t="n"/>
      <c r="M505" s="93" t="n"/>
      <c r="N505" s="93" t="n"/>
      <c r="O505" s="93" t="n"/>
      <c r="P505" s="93" t="n"/>
      <c r="Q505" s="93" t="n"/>
      <c r="R505" s="93" t="n"/>
      <c r="S505" s="94" t="n"/>
      <c r="T505" s="94" t="n"/>
      <c r="U505" s="94" t="n"/>
      <c r="V505" s="94" t="n"/>
      <c r="W505" s="94" t="n"/>
      <c r="X505" s="94" t="n"/>
      <c r="Y505" s="94" t="n"/>
      <c r="Z505" s="94" t="n"/>
      <c r="AA505" s="94" t="n"/>
      <c r="AB505" s="94" t="n"/>
      <c r="AC505" s="94" t="n"/>
      <c r="AD505" s="94" t="n"/>
      <c r="AE505" s="94" t="n"/>
      <c r="AF505" s="94" t="n"/>
      <c r="AG505" s="94" t="n"/>
      <c r="AH505" s="95" t="n"/>
      <c r="AI505" s="95" t="n"/>
      <c r="AJ505" s="95" t="n"/>
      <c r="AK505" s="95" t="n"/>
      <c r="AL505" s="95" t="n"/>
      <c r="AM505" s="95" t="n"/>
      <c r="AN505" s="95" t="n"/>
      <c r="AO505" s="95" t="n"/>
      <c r="AP505" s="95" t="n"/>
      <c r="AQ505" s="95" t="n"/>
      <c r="AR505" s="95" t="n"/>
      <c r="AS505" s="95" t="n"/>
      <c r="AT505" s="96" t="n"/>
      <c r="AU505" s="96" t="n"/>
      <c r="AV505" s="96" t="n"/>
      <c r="AW505" s="97" t="n"/>
      <c r="AX505" s="97" t="n"/>
      <c r="AY505" s="97" t="n"/>
      <c r="AZ505" s="97" t="n"/>
      <c r="BA505" s="97" t="n"/>
      <c r="BB505" s="98" t="n"/>
      <c r="BC505" s="98" t="n"/>
      <c r="BD505" s="99">
        <f>IF($A505="","",IF($DJ505&lt;&gt;"","FIX",IF($DK505&lt;&gt;"","CHECK","OK")))</f>
        <v/>
      </c>
      <c r="BE505" s="100">
        <f>IF($A505="","",IF($DJ505&lt;&gt;"","FIX: "&amp;LEFT($DJ505,LEN($DJ505)-2)&amp;IF($DK505&lt;&gt;"","  ·  ",""),"")&amp;IF($DK505&lt;&gt;"","CHECK: "&amp;LEFT($DK505,LEN($DK505)-2),""))</f>
        <v/>
      </c>
      <c r="BF505" s="99">
        <f>IF(OR($A505="",$K505=""),"",$K505&amp;"'-"&amp;N($L505)&amp;CHAR(34)&amp;" x "&amp;$M505&amp;"'-"&amp;N($N505)&amp;CHAR(34))</f>
        <v/>
      </c>
      <c r="BG505" s="99">
        <f>IF(OR($A505="",$K505=""),"",$K505&amp;N($L505)&amp;$M505&amp;N($N505))</f>
        <v/>
      </c>
      <c r="BH505" s="99">
        <f>IF(OR($A505="",$K505=""),"",$K505*12+N($L505))</f>
        <v/>
      </c>
      <c r="BI505" s="99">
        <f>IF(OR($A505="",$M505=""),"",$M505*12+N($N505))</f>
        <v/>
      </c>
      <c r="BJ505" s="99">
        <f>IF($A505="","",IF(OR($C505="FRAME ONLY",$S505="BL"),0,IF($O505="Y",2,1)))</f>
        <v/>
      </c>
      <c r="BK505" s="101">
        <f>IF(OR(N($BJ505)=0,$BH505=""),"",($BH505-2*EdgeClr-IF($BJ505=2,MeetClr,0))/$BJ505)</f>
        <v/>
      </c>
      <c r="BL505" s="101">
        <f>IF(OR(N($BJ505)=0,$BI505=""),"",$BI505-HeadClr-Undercut)</f>
        <v/>
      </c>
      <c r="BM505" s="101">
        <f>IF($BH505="","",$BH505+2*FaceW+IF(N($Q505)&gt;0,($Q505+FaceW)*IF($R505="LR",2,1),0))</f>
        <v/>
      </c>
      <c r="BN505" s="101">
        <f>IF($BI505="","",$BI505+IF($AB505="Y",4,FaceW)+IF(N($P505)&gt;0,$P505+FaceW,0)+IF(OR($S505="4F",$S505="BL"),FaceW,0))</f>
        <v/>
      </c>
      <c r="BO505" s="101">
        <f>IF($BM505="","",$BM505+2*ROSide)</f>
        <v/>
      </c>
      <c r="BP505" s="101">
        <f>IF($BN505="","",$BN505+ROTop)</f>
        <v/>
      </c>
      <c r="BQ505" s="102">
        <f>IF(OR(N($BJ505)=0,$BH505=""),"",$BH505/$BJ505-ClearDeduct)</f>
        <v/>
      </c>
      <c r="BR505" s="99">
        <f>IF(N($CH505)=0,"",IF($CH505&gt;=180,"A · 3 HR",IF($CH505&gt;=90,"B · 1-1/2 HR",IF($CH505&gt;=60,"B · 1 HR",IF($CH505&gt;=45,"C · 3/4 HR","20 MIN")))))&amp;IF(AND(N($CH505)&gt;0,OR($I505="CORRIDOR",$I505="SMOKE BARRIER"))," · S","")</f>
        <v/>
      </c>
      <c r="BS505" s="99">
        <f>IF($CS505,"",IF($AV505&lt;&gt;"",$AV505,IF(OR($AC505="HGC",$AO505="HGC"),"CONT",IF(($BI505-HeadClr-Undercut)&lt;=60,2,IF(($BI505-HeadClr-Undercut)&lt;=90,3,IF(($BI505-HeadClr-Undercut)&lt;=120,4,5))))))</f>
        <v/>
      </c>
      <c r="BT505" s="99">
        <f>IF($CS505,"",IF($CT505,"CUSTOM (typed)",IF($CV505,$AT505&amp;" "&amp;$CU505&amp;CHAR(34)&amp;IF($CU505&lt;&gt;$BI505,IF(AND($BI505&lt;$CU505,$BI505-IF(N(VLOOKUP($AT505&amp;"|"&amp;$CU505,LocTable,7,FALSE))&gt;0,VLOOKUP($AT505&amp;"|"&amp;$CU505,LocTable,7,FALSE),VLOOKUP($AT505&amp;"|"&amp;$CU505,LocTable,6,FALSE))-$CR505-0.75&gt;=2.125)," cut down"," adj."),""),"ANSI/SDI A250.6")))</f>
        <v/>
      </c>
      <c r="BU505" s="103">
        <f>IF($CS505,"",IF($CT505,IF(N($AW505)&gt;0,N($AW505),""),IF(1&gt;$CQ505,"",IF($CQ505=1,$CW505,$CW505+($CX505-$CW505)*0/($CQ505-1)))))</f>
        <v/>
      </c>
      <c r="BV505" s="103">
        <f>IF($CS505,"",IF($CT505,IF(N($AX505)&gt;0,N($AX505),""),IF(2&gt;$CQ505,"",IF($CQ505=1,$CW505,$CW505+($CX505-$CW505)*1/($CQ505-1)))))</f>
        <v/>
      </c>
      <c r="BW505" s="103">
        <f>IF($CS505,"",IF($CT505,IF(N($AY505)&gt;0,N($AY505),""),IF(3&gt;$CQ505,"",IF($CQ505=1,$CW505,$CW505+($CX505-$CW505)*2/($CQ505-1)))))</f>
        <v/>
      </c>
      <c r="BX505" s="103">
        <f>IF($CS505,"",IF($CT505,IF(N($AZ505)&gt;0,N($AZ505),""),IF(4&gt;$CQ505,"",IF($CQ505=1,$CW505,$CW505+($CX505-$CW505)*3/($CQ505-1)))))</f>
        <v/>
      </c>
      <c r="BY505" s="103">
        <f>IF($CS505,"",IF($CT505,"",IF(5&gt;$CQ505,"",IF($CQ505=1,$CW505,$CW505+($CX505-$CW505)*4/($CQ505-1)))))</f>
        <v/>
      </c>
      <c r="BZ505" s="103">
        <f>IF(OR($CS505,$AP505="-",AND($AP505="",$AD505="")),"",IF(N($BA505)&gt;0,N($BA505),IF($CV505,IF(AND($BI505&lt;$CU505,$BI505-IF(N(VLOOKUP($AT505&amp;"|"&amp;$CU505,LocTable,7,FALSE))&gt;0,VLOOKUP($AT505&amp;"|"&amp;$CU505,LocTable,7,FALSE),VLOOKUP($AT505&amp;"|"&amp;$CU505,LocTable,6,FALSE))-$CR505-0.75&gt;=2.125),VLOOKUP($AT505&amp;"|"&amp;$CU505,LocTable,8,FALSE),VLOOKUP($AT505&amp;"|"&amp;$CU505,LocTable,8,FALSE)+($BI505-$CU505)),$BI505-LockAFF)))</f>
        <v/>
      </c>
      <c r="CA505" s="104">
        <f>IF($BZ505="","",$BI505-$BZ505)</f>
        <v/>
      </c>
      <c r="CB505" s="99">
        <f>IF(OR(NOT(AND($A505&lt;&gt;"",$C505&lt;&gt;"DOOR ONLY")),$BI505=""),"",IF(($BI505+IF(N($P505)&gt;0,$P505+FaceW,0))&lt;=90,3,IF(($BI505+IF(N($P505)&gt;0,$P505+FaceW,0))&lt;=114,4,5)))</f>
        <v/>
      </c>
      <c r="CC505" s="99">
        <f>IF($CB505="","",$CB505*(2+IF(N($Q505)&gt;0,IF($R505="LR",2,1),0)))</f>
        <v/>
      </c>
      <c r="CD505" s="99">
        <f>IF($CB505="","",(2+IF(N($Q505)&gt;0,IF($R505="LR",2,1),0)))</f>
        <v/>
      </c>
      <c r="CE505" s="99">
        <f>IF(N($BJ505)=0,"",IF(OR($AL505="",$AL505="FLUSH"),"FLUSH",IFERROR(LEFT($AL505,FIND("-",$AL505)-1),LEFT($AL505,2))))</f>
        <v/>
      </c>
      <c r="CF505" s="99">
        <f>IF($CE505="","",IFERROR(VALUE(MID($AL505,FIND("-",$AL505)+1,FIND(CHAR(34)&amp;"x",$AL505)-FIND("-",$AL505)-1)),0))</f>
        <v/>
      </c>
      <c r="CG505" s="99">
        <f>IF($CE505="","",IFERROR(VALUE(MID($AL505,FIND(CHAR(34)&amp;"x",$AL505)+2,FIND(CHAR(34),$AL505,FIND(CHAR(34)&amp;"x",$AL505)+2)-FIND(CHAR(34)&amp;"x",$AL505)-2)),0))</f>
        <v/>
      </c>
      <c r="CH505" s="105">
        <f>IF(OR($A505="",$H505="",$H505="NO LAB"),0,IFERROR(VALUE(LEFT($H505,FIND(" ",$H505)-1)),0))</f>
        <v/>
      </c>
      <c r="CI505" s="106">
        <f>IF(OR($A505="",$I505="",$I505="NON-RATED",N($J505)=0),"",IFERROR(VLOOKUP($I505&amp;"|"&amp;$J505,IBC,2,FALSE),"?"))</f>
        <v/>
      </c>
      <c r="CJ505" s="100">
        <f>IF(NOT(AND($A505&lt;&gt;"",$C505&lt;&gt;"DOOR ONLY")),"",TRIM(IFERROR(VLOOKUP($U505,CODES,2,FALSE),"")&amp;" "&amp;$BG505&amp;" "&amp;IFERROR(VLOOKUP($Z505,CODES,2,FALSE),"")&amp;" "&amp;IFERROR(VLOOKUP($X505,CODES,2,FALSE),"")&amp;" "&amp;IFERROR(VLOOKUP($S505,CODES,2,FALSE),"")&amp;IF(N($P505)&gt;0," w/TRANSOM "&amp;$P505&amp;CHAR(34),"")&amp;IF(N($Q505)&gt;0," w/SIDELITE "&amp;$Q505&amp;CHAR(34)&amp;" "&amp;IF($R505="","R",$R505),"")&amp;IF($Y505="","  |  "," | "&amp;IFERROR(VLOOKUP($Y505,CODES,2,FALSE),"")&amp;" | ")&amp;IFERROR(VLOOKUP($AC505,CODES,2,FALSE),"")&amp;" "&amp;IFERROR(VLOOKUP($AD505,CODES,2,FALSE),"")&amp;IF(OR($AE505="",$AE505="-"),""," "&amp;$AE505)&amp;IF(OR($AF505="",$AF505="-"),""," "&amp;$AF505)&amp;IF($AB505="Y"," 4"&amp;CHAR(34)&amp;" HEAD","")&amp;" "&amp;IFERROR(VLOOKUP($H505,CODES,2,FALSE),"")&amp;IF($CT505," | LOC "&amp;$CY505,"")))</f>
        <v/>
      </c>
      <c r="CK505" s="100">
        <f>IF(NOT(AND($A505&lt;&gt;"",N($BJ505)&gt;0)),"",TRIM(IFERROR(VLOOKUP($AH505,CODES,2,FALSE),"")&amp;IF($AI505=""," "," "&amp;$AI505&amp;"GA ")&amp;$BG505&amp;" "&amp;IF($AN505="",IFERROR(VLOOKUP($Z505,CODES,2,FALSE),""),IFERROR(VLOOKUP($AN505,CODES,2,FALSE),""))&amp;IF($BJ505=2," PAIR","")&amp;" DOOR | "&amp;IF($AL505="","?",$AL505)&amp;" | "&amp;IF($AO505="",IFERROR(VLOOKUP($AC505,CODES,2,FALSE),""),IFERROR(VLOOKUP($AO505,CODES,2,FALSE),""))&amp;" "&amp;IFERROR(VLOOKUP($AP505,CODES,2,FALSE),"")&amp;IF(OR($AQ505="",$AQ505="-"),""," SEAM "&amp;$AQ505)&amp;IF($AR505="Y"," ASTRAGAL","")&amp;IF($AJ505=""," "," "&amp;$AJ505)&amp;IF($AK505=""," "," "&amp;$AK505)&amp;IF(OR($AT505="",$AT505="ANSI/SDI",$AT505="CUSTOM LOC"),""," "&amp;$AT505)&amp;IF($AM505=""," "," SERIES "&amp;$AM505)&amp;" "&amp;IFERROR(VLOOKUP($H505,CODES,2,FALSE),"")&amp;IF($CT505," | LOC "&amp;$CZ505,"")))</f>
        <v/>
      </c>
      <c r="CL505" s="99">
        <f>IF(CP505="","",IF(COUNTIF($CP$6:CP505,CP505)=1,MAX($CL$5:CL504)+1,INDEX($CL$5:CL504,MATCH(CP505,$CP$5:CP504,0))))</f>
        <v/>
      </c>
      <c r="CM505" s="99">
        <f>IF(NOT(AND($A505&lt;&gt;"",$C505&lt;&gt;"DOOR ONLY")),"",MAX($CM$5:CM504)+1)</f>
        <v/>
      </c>
      <c r="CN505" s="99">
        <f>IF(NOT(AND($A505&lt;&gt;"",N($BJ505)&gt;0)),"",MAX($CN$5:CN504)+1)</f>
        <v/>
      </c>
      <c r="CO505" s="99">
        <f>IF($A505="","",MAX($CO$5:CO504)+1)</f>
        <v/>
      </c>
      <c r="CP505" s="99">
        <f>IF(OR($A505="",$BH505="",$BI505=""),"",$BG505&amp;"|"&amp;$O505&amp;"|"&amp;$AL505&amp;"|"&amp;$S505&amp;"|"&amp;$P505&amp;"|"&amp;$Q505&amp;$R505&amp;"|"&amp;$C505&amp;"|"&amp;$AB505)</f>
        <v/>
      </c>
      <c r="CQ505" s="99">
        <f>N($BS505)</f>
        <v/>
      </c>
      <c r="CR505" s="99">
        <f>IF(N($AU505)&gt;0,N($AU505),4.5)</f>
        <v/>
      </c>
      <c r="CS505" s="99">
        <f>OR($A505="",$BI505="",$S505="BL",AND($C505="FRAME ONLY",OR($AC505="",$AC505="BLK")))</f>
        <v/>
      </c>
      <c r="CT505" s="99">
        <f>AND(NOT($CS505),OR($AT505="CUSTOM LOC",N($AW505)+N($AX505)+N($AY505)+N($AZ505)+N($BA505)&gt;0))</f>
        <v/>
      </c>
      <c r="CU505" s="99">
        <f>IF($BI505="","",IF($BI505&lt;=80,80,IF($BI505&lt;=84,84,96)))</f>
        <v/>
      </c>
      <c r="CV505" s="99">
        <f>ISNUMBER(MATCH($AT505&amp;"|80",LocKeys,0))</f>
        <v/>
      </c>
      <c r="CW505" s="101">
        <f>IF($CS505,"",IF($CV505,VLOOKUP($AT505&amp;"|"&amp;$CU505,LocTable,4,FALSE),5))</f>
        <v/>
      </c>
      <c r="CX505" s="101">
        <f>IF($CS505,"",IF($CV505,IF(OR($BI505=$CU505,AND($BI505&lt;$CU505,$BI505-IF(N(VLOOKUP($AT505&amp;"|"&amp;$CU505,LocTable,7,FALSE))&gt;0,VLOOKUP($AT505&amp;"|"&amp;$CU505,LocTable,7,FALSE),VLOOKUP($AT505&amp;"|"&amp;$CU505,LocTable,6,FALSE))-$CR505-0.75&gt;=2.125)),IF(N(VLOOKUP($AT505&amp;"|"&amp;$CU505,LocTable,7,FALSE))&gt;0,VLOOKUP($AT505&amp;"|"&amp;$CU505,LocTable,7,FALSE),VLOOKUP($AT505&amp;"|"&amp;$CU505,LocTable,6,FALSE)),$BI505-($CU505-IF(N(VLOOKUP($AT505&amp;"|"&amp;$CU505,LocTable,7,FALSE))&gt;0,VLOOKUP($AT505&amp;"|"&amp;$CU505,LocTable,7,FALSE),VLOOKUP($AT505&amp;"|"&amp;$CU505,LocTable,6,FALSE)))),$BI505-10-$CR505))</f>
        <v/>
      </c>
      <c r="CY505" s="100">
        <f>IF($CS505,"",TRIM(IF(ISNUMBER($BU505),"A "&amp;TRIM(TEXT($BU505,"# ?/??"))&amp;CHAR(34)&amp;"  ","")&amp;IF(ISNUMBER($BV505),"B "&amp;TRIM(TEXT($BV505,"# ?/??"))&amp;CHAR(34)&amp;"  ","")&amp;IF(ISNUMBER($BW505),"C "&amp;TRIM(TEXT($BW505,"# ?/??"))&amp;CHAR(34)&amp;"  ","")&amp;IF(ISNUMBER($BX505),"D "&amp;TRIM(TEXT($BX505,"# ?/??"))&amp;CHAR(34)&amp;"  ","")&amp;IF(ISNUMBER($BY505),"F "&amp;TRIM(TEXT($BY505,"# ?/??"))&amp;CHAR(34)&amp;"  ","")&amp;IF(ISNUMBER($BZ505),"E "&amp;TRIM(TEXT($BZ505,"# ?/??"))&amp;CHAR(34)&amp;"  ","")))</f>
        <v/>
      </c>
      <c r="CZ505" s="100">
        <f>IF(OR($CS505,N($BJ505)=0),"",TRIM(IF(ISNUMBER($BU505),"A "&amp;TRIM(TEXT($BU505-HeadClr,"# ?/??"))&amp;CHAR(34)&amp;"  ","")&amp;IF(ISNUMBER($BV505),"B "&amp;TRIM(TEXT($BV505-HeadClr,"# ?/??"))&amp;CHAR(34)&amp;"  ","")&amp;IF(ISNUMBER($BW505),"C "&amp;TRIM(TEXT($BW505-HeadClr,"# ?/??"))&amp;CHAR(34)&amp;"  ","")&amp;IF(ISNUMBER($BX505),"D "&amp;TRIM(TEXT($BX505-HeadClr,"# ?/??"))&amp;CHAR(34)&amp;"  ","")&amp;IF(ISNUMBER($BY505),"F "&amp;TRIM(TEXT($BY505-HeadClr,"# ?/??"))&amp;CHAR(34)&amp;"  ","")&amp;IF(ISNUMBER($BZ505),"E "&amp;TRIM(TEXT($BZ505-HeadClr,"# ?/??"))&amp;CHAR(34)&amp;"  ","")))</f>
        <v/>
      </c>
      <c r="DA505" s="99">
        <f>IF($A505="","",IF($AN505="",IFERROR(VLOOKUP($Z505,CODES,2,FALSE),""),IFERROR(VLOOKUP($AN505,CODES,2,FALSE),"")))</f>
        <v/>
      </c>
      <c r="DB505" s="99">
        <f>IF($A505="","",IF($O505="Y","PR",IF(OR($Z505="L",$Z505="RR",LEFT($Z505,2)="L-",LEFT($Z505,3)="RR-"),"LH","RH")))</f>
        <v/>
      </c>
      <c r="DC505" s="99">
        <f>IF($A505="","","S.HM"&amp;IF(OR($C505="DOOR ONLY",$X505&lt;&gt;"KD"),"MASONRY","DRYWALL")&amp;IF($C505="DOOR ONLY","",$U505)&amp;IF(AND($C505&lt;&gt;"FRAME ONLY",OR(LEFT($AH505,3)="OAK",LEFT($AH505,3)="BIR",LEFT($AH505,3)="MAP",$AH505="PC",$AH505="MC",$AH505="SCLC",$AH505="P-LAM")),"WD","HM")&amp;"1.75")</f>
        <v/>
      </c>
      <c r="DD505" s="99">
        <f>IF($CJ505="","",IF($O505="Y",$CJ505,SUBSTITUTE($CJ505,$BG505&amp;" "&amp;IFERROR(VLOOKUP($Z505,CODES,2,FALSE),"")&amp;" ",$BG505&amp;" ")))</f>
        <v/>
      </c>
      <c r="DE505" s="99">
        <f>IF($CK505="","",IF($O505="Y",$CK505,SUBSTITUTE($CK505,$BG505&amp;" "&amp;IF($AN505="",IFERROR(VLOOKUP($Z505,CODES,2,FALSE),""),IFERROR(VLOOKUP($AN505,CODES,2,FALSE),""))&amp;" ",$BG505&amp;" ")))</f>
        <v/>
      </c>
      <c r="DF505" s="99">
        <f>IF($CJ505="","",$DC505&amp;"|"&amp;$DD505&amp;"|"&amp;$DB505&amp;"|"&amp;$AT505&amp;"|"&amp;$V505&amp;"|"&amp;$Y505&amp;"|"&amp;$AB505)</f>
        <v/>
      </c>
      <c r="DG505" s="99">
        <f>IF(DF505="","",IF(COUNTIF($DF$6:DF505,DF505)=1,MAX($DG$5:DG504)+1,INDEX($DG$5:DG504,MATCH(DF505,$DF$5:DF504,0))))</f>
        <v/>
      </c>
      <c r="DH505" s="99">
        <f>IF($CK505="","",$DC505&amp;"|"&amp;$DE505&amp;"|"&amp;$AI505&amp;"|"&amp;$BK505&amp;"|"&amp;$BL505)</f>
        <v/>
      </c>
      <c r="DI505" s="99">
        <f>IF(DH505="","",IF(COUNTIF($DH$6:DH505,DH505)=1,MAX($DI$5:DI504)+1,INDEX($DI$5:DI504,MATCH(DH505,$DH$5:DH504,0))))</f>
        <v/>
      </c>
      <c r="DJ505" s="99">
        <f>IF($A505="","",IF($B505="","qty, ","")&amp;IF($C505="","scope, ","")&amp;IF(OR($K505="",$M505=""),"size, ","")&amp;IF(AND($A505&lt;&gt;"",$C505&lt;&gt;"DOOR ONLY"),IF($U505="","jamb depth, ","")&amp;IF($X505="","construction, ","")&amp;IF($Y505="","anchor, ","")&amp;IF($S505="","frame type, ",""),"")&amp;IF(AND(N($BJ505)&gt;0,$Z505=""),"hand, ","")&amp;IF(N($BJ505)&gt;0,IF($AH505="","door material, ","")&amp;IF($AL505="","face type, ","")&amp;IF($AP505="","lock prep, ","")&amp;IF(AND($AO505="",$AC505=""),"hinge prep, ",""),"")&amp;IF(AND($CH505&gt;0,$AH505="FRP"),"FRP cannot carry a label, ","")&amp;IF(AND($O505="Y",OR($Z505="L",$Z505="R",$Z505="LR",$Z505="RR")),"pair marked but hand is single, ","")&amp;IF(AND($O505&lt;&gt;"Y",OR($Z505="PR",AND(LEN($Z505)&gt;1,ISNUMBER(SEARCH("-",$Z505))))),"pair hand on a single door, ","")&amp;IF(AND(ISNUMBER($CI505),$CH505&lt;N($CI505)),"wall needs a "&amp;$CI505&amp;" min door, ","")&amp;IF(AND($CH505&gt;=180,AND(OR($CE505="FG",$CE505="HG",$CE505="FNV",$CE505="FV"),N($CF505)*N($CG505)&gt;100)),"180 min lite over 100 sq in, ","")&amp;IF(N($BK505)&gt;48,"leaf wider than 4'-0"&amp;CHAR(34)&amp;", ","")&amp;IF(AND($CT505,COUNT($AW505:$AZ505)=0,$CQ505&gt;0),"CUSTOM LOC with no locations typed, ",""))</f>
        <v/>
      </c>
      <c r="DK505" s="99">
        <f>IF($A505="","",IF(AND($CH505&gt;0,AND($A505&lt;&gt;"",$C505&lt;&gt;"DOOR ONLY"),$X505="KD",$E505="EXTERIOR"),"KD label on an exterior opening, ","")&amp;IF(AND($E505="EXTERIOR",OR(AND(AND($A505&lt;&gt;"",$C505&lt;&gt;"DOOR ONLY"),$W505="CR"),AND(N($BJ505)&gt;0,$AH505="CR"))),"exterior in CR steel (G9?), ","")&amp;IF(AND(ISNUMBER($BQ505),N($BQ505)&lt;32),"clear width ~"&amp;TEXT($BQ505,"0.0")&amp;CHAR(34)&amp;" under 32"&amp;CHAR(34)&amp;" (ADA), ","")&amp;IF(AND($CH505=90,AND(OR($CE505="FG",$CE505="HG",$CE505="FNV",$CE505="FV"),N($CF505)*N($CG505)&gt;100)),"90 min lite over 100 sq in (stair/exit), ","")&amp;IF(AND($CH505&gt;0,AND($A505&lt;&gt;"",$C505&lt;&gt;"DOOR ONLY"),OR($AF505="",$AF505="-")),"rated: closer reinf.?, ","")&amp;IF(OR($I505="CORRIDOR",$I505="SMOKE BARRIER"),"S label + smoke gasketing, ","")&amp;IF($CI505="?","wall type/hr not in IBC table, ","")&amp;IF(AND(N($BJ505)&gt;0,$BB505=""),"no hardware set, ","")&amp;IF(AND($BB505&lt;&gt;"",ISNA(MATCH($BB505&amp;"",HWSets,0))),"set "&amp;$BB505&amp;" not on HW Sets, ","")&amp;IF(N($BL505)&gt;96,"leaf over 8'-0"&amp;CHAR(34)&amp;" - check listing, ","")&amp;IF(AND($CT505,COUNT($AW505:$AZ505)&gt;0,COUNT($AW505:$AZ505)&lt;&gt;$CQ505),COUNT($AW505:$AZ505)&amp;" custom hinges typed, "&amp;$CQ505&amp;" expected, ","")&amp;IF(AND(ISNUMBER($CA505),OR(N($CA505)&lt;34,N($CA505)&gt;48)),"lock "&amp;TEXT($CA505,"0.0")&amp;CHAR(34)&amp;" AFF outside 34-48"&amp;CHAR(34)&amp;" (ADA), ","")&amp;IF(AND(ISNUMBER($AV505),ISNUMBER($BL505),N($AV505)&lt;IF(N($BL505)&lt;=60,2,IF(N($BL505)&lt;=90,3,IF(N($BL505)&lt;=120,4,5)))),"fewer hinges than standard, ",""))</f>
        <v/>
      </c>
    </row>
  </sheetData>
  <autoFilter ref="A5:CK505"/>
  <conditionalFormatting sqref="BD6:BD505">
    <cfRule type="cellIs" priority="1" operator="equal" dxfId="0">
      <formula>"OK"</formula>
    </cfRule>
    <cfRule type="cellIs" priority="2" operator="equal" dxfId="1">
      <formula>"FIX"</formula>
    </cfRule>
    <cfRule type="cellIs" priority="3" operator="equal" dxfId="2">
      <formula>"CHECK"</formula>
    </cfRule>
  </conditionalFormatting>
  <conditionalFormatting sqref="BE6:BE505">
    <cfRule type="expression" priority="4" dxfId="3">
      <formula>$BD6="FIX"</formula>
    </cfRule>
  </conditionalFormatting>
  <conditionalFormatting sqref="H6:H505">
    <cfRule type="expression" priority="5" dxfId="4">
      <formula>AND(ISNUMBER($CI6),$CH6&lt;$CI6)</formula>
    </cfRule>
    <cfRule type="expression" priority="6" dxfId="5">
      <formula>$CH6&gt;0</formula>
    </cfRule>
  </conditionalFormatting>
  <conditionalFormatting sqref="BU6:BZ505">
    <cfRule type="expression" priority="7" dxfId="6">
      <formula>$CT6=TRUE</formula>
    </cfRule>
  </conditionalFormatting>
  <conditionalFormatting sqref="BT6:BT505">
    <cfRule type="expression" priority="8" dxfId="7">
      <formula>$CT6=TRUE</formula>
    </cfRule>
  </conditionalFormatting>
  <conditionalFormatting sqref="B6:B505">
    <cfRule type="expression" priority="9" dxfId="8">
      <formula>AND($A6&lt;&gt;"",$B6="")</formula>
    </cfRule>
  </conditionalFormatting>
  <conditionalFormatting sqref="C6:C505">
    <cfRule type="expression" priority="10" dxfId="8">
      <formula>AND($A6&lt;&gt;"",$C6="")</formula>
    </cfRule>
  </conditionalFormatting>
  <conditionalFormatting sqref="K6:K505">
    <cfRule type="expression" priority="11" dxfId="8">
      <formula>AND($A6&lt;&gt;"",$K6="")</formula>
    </cfRule>
  </conditionalFormatting>
  <conditionalFormatting sqref="M6:M505">
    <cfRule type="expression" priority="12" dxfId="8">
      <formula>AND($A6&lt;&gt;"",$M6="")</formula>
    </cfRule>
  </conditionalFormatting>
  <conditionalFormatting sqref="S6:S505">
    <cfRule type="expression" priority="13" dxfId="8">
      <formula>AND($A6&lt;&gt;"",$S6="",$C6&lt;&gt;"DOOR ONLY")</formula>
    </cfRule>
  </conditionalFormatting>
  <conditionalFormatting sqref="U6:U505">
    <cfRule type="expression" priority="14" dxfId="8">
      <formula>AND($A6&lt;&gt;"",$U6="",$C6&lt;&gt;"DOOR ONLY")</formula>
    </cfRule>
  </conditionalFormatting>
  <conditionalFormatting sqref="X6:X505">
    <cfRule type="expression" priority="15" dxfId="8">
      <formula>AND($A6&lt;&gt;"",$X6="",$C6&lt;&gt;"DOOR ONLY")</formula>
    </cfRule>
  </conditionalFormatting>
  <conditionalFormatting sqref="Y6:Y505">
    <cfRule type="expression" priority="16" dxfId="8">
      <formula>AND($A6&lt;&gt;"",$Y6="",$C6&lt;&gt;"DOOR ONLY")</formula>
    </cfRule>
  </conditionalFormatting>
  <conditionalFormatting sqref="Z6:Z505">
    <cfRule type="expression" priority="17" dxfId="8">
      <formula>AND($A6&lt;&gt;"",$Z6="",N($BJ6)&gt;0)</formula>
    </cfRule>
  </conditionalFormatting>
  <conditionalFormatting sqref="AH6:AH505">
    <cfRule type="expression" priority="18" dxfId="8">
      <formula>AND($A6&lt;&gt;"",$AH6="",N($BJ6)&gt;0)</formula>
    </cfRule>
  </conditionalFormatting>
  <conditionalFormatting sqref="AL6:AL505">
    <cfRule type="expression" priority="19" dxfId="8">
      <formula>AND($A6&lt;&gt;"",$AL6="",N($BJ6)&gt;0)</formula>
    </cfRule>
  </conditionalFormatting>
  <conditionalFormatting sqref="AP6:AP505">
    <cfRule type="expression" priority="20" dxfId="8">
      <formula>AND($A6&lt;&gt;"",$AP6="",N($BJ6)&gt;0)</formula>
    </cfRule>
  </conditionalFormatting>
  <dataValidations count="45">
    <dataValidation sqref="C6:C505" showDropDown="0" showInputMessage="0" showErrorMessage="0" allowBlank="1" errorTitle="Not on the list" error="Pick from the list (edit the list on the Lists sheet)." type="list" errorStyle="warning">
      <formula1>=Scope</formula1>
    </dataValidation>
    <dataValidation sqref="D6:D505" showDropDown="0" showInputMessage="0" showErrorMessage="0" allowBlank="1" errorTitle="Not on the list" error="Pick from the list (edit the list on the Lists sheet)." type="list" errorStyle="warning">
      <formula1>=Floor</formula1>
    </dataValidation>
    <dataValidation sqref="E6:E505" showDropDown="0" showInputMessage="0" showErrorMessage="0" allowBlank="1" errorTitle="Not on the list" error="Pick from the list (edit the list on the Lists sheet)." type="list" errorStyle="warning">
      <formula1>=Category</formula1>
    </dataValidation>
    <dataValidation sqref="H6:H505" showDropDown="0" showInputMessage="0" showErrorMessage="0" allowBlank="1" errorTitle="Not on the list" error="Pick from the list (edit the list on the Lists sheet)." type="list" errorStyle="warning">
      <formula1>=FireRating</formula1>
    </dataValidation>
    <dataValidation sqref="I6:I505" showDropDown="0" showInputMessage="0" showErrorMessage="0" allowBlank="1" errorTitle="Not on the list" error="Pick from the list (edit the list on the Lists sheet)." type="list" errorStyle="warning">
      <formula1>=WallType</formula1>
    </dataValidation>
    <dataValidation sqref="J6:J505" showDropDown="0" showInputMessage="0" showErrorMessage="0" allowBlank="1" errorTitle="Not on the list" error="Pick from the list (edit the list on the Lists sheet)." type="list" errorStyle="warning">
      <formula1>=WallHR</formula1>
    </dataValidation>
    <dataValidation sqref="O6:O505" showDropDown="0" showInputMessage="0" showErrorMessage="0" allowBlank="1" errorTitle="Not on the list" error="Pick from the list (edit the list on the Lists sheet)." type="list" errorStyle="warning">
      <formula1>=YesNo</formula1>
    </dataValidation>
    <dataValidation sqref="R6:R505" showDropDown="0" showInputMessage="0" showErrorMessage="0" allowBlank="1" errorTitle="Not on the list" error="Pick from the list (edit the list on the Lists sheet)." type="list" errorStyle="warning">
      <formula1>=SLSide</formula1>
    </dataValidation>
    <dataValidation sqref="S6:S505" showDropDown="0" showInputMessage="0" showErrorMessage="0" allowBlank="1" errorTitle="Not on the list" error="Pick from the list (edit the list on the Lists sheet)." type="list" errorStyle="warning">
      <formula1>=FrameType</formula1>
    </dataValidation>
    <dataValidation sqref="T6:T505" showDropDown="0" showInputMessage="0" showErrorMessage="0" allowBlank="1" errorTitle="Not on the list" error="Pick from the list (edit the list on the Lists sheet)." type="list" errorStyle="warning">
      <formula1>=Profile</formula1>
    </dataValidation>
    <dataValidation sqref="U6:U505" showDropDown="0" showInputMessage="0" showErrorMessage="0" allowBlank="1" errorTitle="Not on the list" error="Pick from the list (edit the list on the Lists sheet)." type="list" errorStyle="warning">
      <formula1>=JambDepth</formula1>
    </dataValidation>
    <dataValidation sqref="V6:V505" showDropDown="0" showInputMessage="0" showErrorMessage="0" allowBlank="1" errorTitle="Not on the list" error="Pick from the list (edit the list on the Lists sheet)." type="list" errorStyle="warning">
      <formula1>=GaugeFrame</formula1>
    </dataValidation>
    <dataValidation sqref="W6:W505" showDropDown="0" showInputMessage="0" showErrorMessage="0" allowBlank="1" errorTitle="Not on the list" error="Pick from the list (edit the list on the Lists sheet)." type="list" errorStyle="warning">
      <formula1>=SteelType</formula1>
    </dataValidation>
    <dataValidation sqref="X6:X505" showDropDown="0" showInputMessage="0" showErrorMessage="0" allowBlank="1" errorTitle="Not on the list" error="Pick from the list (edit the list on the Lists sheet)." type="list" errorStyle="warning">
      <formula1>=Construction</formula1>
    </dataValidation>
    <dataValidation sqref="Y6:Y505" showDropDown="0" showInputMessage="0" showErrorMessage="0" allowBlank="1" errorTitle="Not on the list" error="Pick from the list (edit the list on the Lists sheet)." type="list" errorStyle="warning">
      <formula1>=AnchorType</formula1>
    </dataValidation>
    <dataValidation sqref="Z6:Z505" showDropDown="0" showInputMessage="0" showErrorMessage="0" allowBlank="1" errorTitle="Not on the list" error="Pick from the list (edit the list on the Lists sheet)." type="list" errorStyle="warning">
      <formula1>=Handing</formula1>
    </dataValidation>
    <dataValidation sqref="AA6:AA505" showDropDown="0" showInputMessage="0" showErrorMessage="0" allowBlank="1" errorTitle="Not on the list" error="Pick from the list (edit the list on the Lists sheet)." type="list" errorStyle="warning">
      <formula1>=Manufacturer</formula1>
    </dataValidation>
    <dataValidation sqref="AB6:AB505" showDropDown="0" showInputMessage="0" showErrorMessage="0" allowBlank="1" errorTitle="Not on the list" error="Pick from the list (edit the list on the Lists sheet)." type="list" errorStyle="warning">
      <formula1>=YesNo</formula1>
    </dataValidation>
    <dataValidation sqref="AC6:AC505" showDropDown="0" showInputMessage="0" showErrorMessage="0" allowBlank="1" errorTitle="Not on the list" error="Pick from the list (edit the list on the Lists sheet)." type="list" errorStyle="warning">
      <formula1>=HingePrep</formula1>
    </dataValidation>
    <dataValidation sqref="AD6:AD505" showDropDown="0" showInputMessage="0" showErrorMessage="0" allowBlank="1" errorTitle="Not on the list" error="Pick from the list (edit the list on the Lists sheet)." type="list" errorStyle="warning">
      <formula1>=StrikePrep</formula1>
    </dataValidation>
    <dataValidation sqref="AE6:AE505" showDropDown="0" showInputMessage="0" showErrorMessage="0" allowBlank="1" errorTitle="Not on the list" error="Pick from the list (edit the list on the Lists sheet)." type="list" errorStyle="warning">
      <formula1>=HeaderPrep</formula1>
    </dataValidation>
    <dataValidation sqref="AF6:AF505" showDropDown="0" showInputMessage="0" showErrorMessage="0" allowBlank="1" errorTitle="Not on the list" error="Pick from the list (edit the list on the Lists sheet)." type="list" errorStyle="warning">
      <formula1>=CloserPrep</formula1>
    </dataValidation>
    <dataValidation sqref="AH6:AH505" showDropDown="0" showInputMessage="0" showErrorMessage="0" allowBlank="1" errorTitle="Not on the list" error="Pick from the list (edit the list on the Lists sheet)." type="list" errorStyle="warning">
      <formula1>=DoorMaterial</formula1>
    </dataValidation>
    <dataValidation sqref="AI6:AI505" showDropDown="0" showInputMessage="0" showErrorMessage="0" allowBlank="1" errorTitle="Not on the list" error="Pick from the list (edit the list on the Lists sheet)." type="list" errorStyle="warning">
      <formula1>=GaugeDoor</formula1>
    </dataValidation>
    <dataValidation sqref="AJ6:AJ505" showDropDown="0" showInputMessage="0" showErrorMessage="0" allowBlank="1" errorTitle="Not on the list" error="Pick from the list (edit the list on the Lists sheet)." type="list" errorStyle="warning">
      <formula1>=WoodCore</formula1>
    </dataValidation>
    <dataValidation sqref="AK6:AK505" showDropDown="0" showInputMessage="0" showErrorMessage="0" allowBlank="1" errorTitle="Not on the list" error="Pick from the list (edit the list on the Lists sheet)." type="list" errorStyle="warning">
      <formula1>=WoodFinish</formula1>
    </dataValidation>
    <dataValidation sqref="AL6:AL505" showDropDown="0" showInputMessage="0" showErrorMessage="0" allowBlank="1" errorTitle="Not on the list" error="Pick from the list (edit the list on the Lists sheet)." type="list" errorStyle="warning">
      <formula1>=FaceType</formula1>
    </dataValidation>
    <dataValidation sqref="AM6:AM505" showDropDown="0" showInputMessage="0" showErrorMessage="0" allowBlank="1" errorTitle="Not on the list" error="Pick from the list (edit the list on the Lists sheet)." type="list" errorStyle="warning">
      <formula1>=Series</formula1>
    </dataValidation>
    <dataValidation sqref="AN6:AN505" showDropDown="0" showInputMessage="0" showErrorMessage="0" allowBlank="1" errorTitle="Not on the list" error="Pick from the list (edit the list on the Lists sheet)." type="list" errorStyle="warning">
      <formula1>=Handing</formula1>
    </dataValidation>
    <dataValidation sqref="AT6:AT505" showDropDown="0" showInputMessage="0" showErrorMessage="0" allowBlank="1" errorTitle="Not on the list" error="Pick from the list (edit the list on the Lists sheet)." type="list" errorStyle="warning">
      <formula1>=ManufLoc</formula1>
    </dataValidation>
    <dataValidation sqref="AO6:AO505" showDropDown="0" showInputMessage="0" showErrorMessage="0" allowBlank="1" errorTitle="Not on the list" error="Pick from the list (edit the list on the Lists sheet)." type="list" errorStyle="warning">
      <formula1>=HingePrep</formula1>
    </dataValidation>
    <dataValidation sqref="AP6:AP505" showDropDown="0" showInputMessage="0" showErrorMessage="0" allowBlank="1" errorTitle="Not on the list" error="Pick from the list (edit the list on the Lists sheet)." type="list" errorStyle="warning">
      <formula1>=LockPrep</formula1>
    </dataValidation>
    <dataValidation sqref="AQ6:AQ505" showDropDown="0" showInputMessage="0" showErrorMessage="0" allowBlank="1" errorTitle="Not on the list" error="Pick from the list (edit the list on the Lists sheet)." type="list" errorStyle="warning">
      <formula1>=Edge</formula1>
    </dataValidation>
    <dataValidation sqref="AR6:AR505" showDropDown="0" showInputMessage="0" showErrorMessage="0" allowBlank="1" errorTitle="Not on the list" error="Pick from the list (edit the list on the Lists sheet)." type="list" errorStyle="warning">
      <formula1>=Astragal</formula1>
    </dataValidation>
    <dataValidation sqref="BB6:BB505" showDropDown="0" showInputMessage="0" showErrorMessage="0" allowBlank="1" errorTitle="Not on the list" error="Pick from the list (edit the list on the Lists sheet)." type="list" errorStyle="warning">
      <formula1>=HWSets</formula1>
    </dataValidation>
    <dataValidation sqref="AU6:AU505" showDropDown="0" showInputMessage="0" showErrorMessage="0" allowBlank="1" errorTitle="Not on the list" error="Pick from the list (edit the list on the Lists sheet)." type="list" errorStyle="warning">
      <formula1>=HingeSize</formula1>
    </dataValidation>
    <dataValidation sqref="AV6:AV505" showDropDown="0" showInputMessage="0" showErrorMessage="0" allowBlank="1" errorTitle="Not on the list" error="Pick from the list (edit the list on the Lists sheet)." type="list" errorStyle="warning">
      <formula1>=HingeQty</formula1>
    </dataValidation>
    <dataValidation sqref="B6:B505" showDropDown="0" showInputMessage="0" showErrorMessage="0" allowBlank="1" error="Whole number" type="whole" operator="between">
      <formula1>0</formula1>
      <formula2>999</formula2>
    </dataValidation>
    <dataValidation sqref="K6:K505" showDropDown="0" showInputMessage="0" showErrorMessage="0" allowBlank="1" error="Feet, whole number" type="whole" operator="between">
      <formula1>0</formula1>
      <formula2>30</formula2>
    </dataValidation>
    <dataValidation sqref="M6:M505" showDropDown="0" showInputMessage="0" showErrorMessage="0" allowBlank="1" error="Feet, whole number" type="whole" operator="between">
      <formula1>0</formula1>
      <formula2>30</formula2>
    </dataValidation>
    <dataValidation sqref="L6:L505" showDropDown="0" showInputMessage="1" showErrorMessage="0" allowBlank="1" error="Inches 0 to 11-15/16 (0.5 = 1/2&quot;, 0.75 = 3/4&quot;)" prompt="Inches 0–11. Fractions as decimals: 0.5 = 1/2&quot;" type="decimal" operator="between">
      <formula1>0</formula1>
      <formula2>11.9375</formula2>
    </dataValidation>
    <dataValidation sqref="N6:N505" showDropDown="0" showInputMessage="1" showErrorMessage="0" allowBlank="1" error="Inches 0 to 11-15/16 (0.5 = 1/2&quot;, 0.75 = 3/4&quot;)" prompt="Inches 0–11. Fractions as decimals: 0.5 = 1/2&quot;" type="decimal" operator="between">
      <formula1>0</formula1>
      <formula2>11.9375</formula2>
    </dataValidation>
    <dataValidation sqref="P6:P505" showDropDown="0" showInputMessage="1" showErrorMessage="0" allowBlank="1" prompt="Glass opening size in inches. Leave blank if none." type="decimal" operator="between">
      <formula1>0</formula1>
      <formula2>120</formula2>
    </dataValidation>
    <dataValidation sqref="Q6:Q505" showDropDown="0" showInputMessage="1" showErrorMessage="0" allowBlank="1" prompt="Glass opening size in inches. Leave blank if none." type="decimal" operator="between">
      <formula1>0</formula1>
      <formula2>120</formula2>
    </dataValidation>
    <dataValidation sqref="AW6:BA505" showDropDown="0" showInputMessage="1" showErrorMessage="0" allowBlank="1" promptTitle="Custom location" prompt="Inches from the TOP INSIDE of the frame (head rabbet) to the TOP of the hinge. E = strike centre line from the same point. Typing any value switches the row to custom locations. Fractions as decimals: 37.25 = 37-1/4&quot;" type="decimal" operator="between">
      <formula1>0</formula1>
      <formula2>144</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C07F00"/>
    <outlinePr summaryBelow="1" summaryRight="1"/>
    <pageSetUpPr fitToPage="1"/>
  </sheetPr>
  <dimension ref="A1:S50"/>
  <sheetViews>
    <sheetView showGridLines="0" workbookViewId="0">
      <selection activeCell="A1" sqref="A1"/>
    </sheetView>
  </sheetViews>
  <sheetFormatPr baseColWidth="8" defaultRowHeight="15"/>
  <cols>
    <col width="2" customWidth="1" min="1" max="1"/>
    <col width="9" customWidth="1" min="2" max="2"/>
    <col width="8.6" customWidth="1" min="3" max="3"/>
    <col width="8.6" customWidth="1" min="4" max="4"/>
    <col width="8.6" customWidth="1" min="5" max="5"/>
    <col width="8.6" customWidth="1" min="6" max="6"/>
    <col width="8.6" customWidth="1" min="7" max="7"/>
    <col width="8.6" customWidth="1" min="8" max="8"/>
    <col width="8.6" customWidth="1" min="9" max="9"/>
    <col width="8.6" customWidth="1" min="10" max="10"/>
    <col width="8.6" customWidth="1" min="11" max="11"/>
    <col width="8.6" customWidth="1" min="12" max="12"/>
    <col width="2" customWidth="1" min="13" max="13"/>
    <col width="20" customWidth="1" min="14" max="14"/>
    <col width="12" customWidth="1" min="15" max="15"/>
    <col width="12" customWidth="1" min="16" max="16"/>
    <col width="12" customWidth="1" min="17" max="17"/>
    <col width="12" customWidth="1" min="18" max="18"/>
    <col width="12" customWidth="1" min="19" max="19"/>
  </cols>
  <sheetData>
    <row r="1" ht="30" customHeight="1">
      <c r="A1" s="1" t="n"/>
      <c r="B1" s="38" t="inlineStr">
        <is>
          <t>ELEVATION</t>
        </is>
      </c>
      <c r="C1" s="1" t="n"/>
      <c r="D1" s="1" t="n"/>
      <c r="E1" s="1" t="n"/>
      <c r="F1" s="1" t="n"/>
      <c r="G1" s="1" t="n"/>
      <c r="H1" s="1" t="n"/>
      <c r="I1" s="1" t="n"/>
      <c r="J1" s="1" t="n"/>
      <c r="K1" s="1" t="n"/>
      <c r="L1" s="1" t="n"/>
      <c r="M1" s="1" t="n"/>
      <c r="N1" s="1" t="n"/>
      <c r="O1" s="1" t="n"/>
      <c r="P1" s="1" t="n"/>
      <c r="Q1" s="1" t="n"/>
      <c r="R1" s="1" t="n"/>
      <c r="S1" s="39">
        <f>IF(JobName="","OPENING TAKEOFF  ·  FORM 3.2",JobName&amp;IF(JobNo="",""," · JOB "&amp;JobNo))</f>
        <v/>
      </c>
    </row>
    <row r="2" ht="18" customHeight="1">
      <c r="A2" s="1" t="n"/>
      <c r="B2" s="40" t="inlineStr">
        <is>
          <t>Pick a mark: the drawing, hinge and strike locations, sizes, checks and order lines follow the Takeoff row.</t>
        </is>
      </c>
      <c r="C2" s="1" t="n"/>
      <c r="D2" s="1" t="n"/>
      <c r="E2" s="1" t="n"/>
      <c r="F2" s="1" t="n"/>
      <c r="G2" s="1" t="n"/>
      <c r="H2" s="1" t="n"/>
      <c r="I2" s="1" t="n"/>
      <c r="J2" s="1" t="n"/>
      <c r="K2" s="1" t="n"/>
      <c r="L2" s="1" t="n"/>
      <c r="M2" s="1" t="n"/>
      <c r="N2" s="1" t="n"/>
      <c r="O2" s="1" t="n"/>
      <c r="P2" s="1" t="n"/>
      <c r="Q2" s="1" t="n"/>
      <c r="R2" s="1" t="n"/>
      <c r="S2" s="41">
        <f>TEXT(JobDate,"mmm d, yyyy")&amp;IF(JobRev="",""," · "&amp;JobRev)</f>
        <v/>
      </c>
    </row>
    <row r="3" ht="4" customHeight="1">
      <c r="A3" s="6" t="n"/>
      <c r="B3" s="6" t="n"/>
      <c r="C3" s="6" t="n"/>
      <c r="D3" s="6" t="n"/>
      <c r="E3" s="6" t="n"/>
      <c r="F3" s="6" t="n"/>
      <c r="G3" s="6" t="n"/>
      <c r="H3" s="6" t="n"/>
      <c r="I3" s="6" t="n"/>
      <c r="J3" s="6" t="n"/>
      <c r="K3" s="6" t="n"/>
      <c r="L3" s="6" t="n"/>
      <c r="M3" s="6" t="n"/>
      <c r="N3" s="6" t="n"/>
      <c r="O3" s="6" t="n"/>
      <c r="P3" s="6" t="n"/>
      <c r="Q3" s="6" t="n"/>
      <c r="R3" s="6" t="n"/>
      <c r="S3" s="6" t="n"/>
    </row>
    <row r="5" ht="30" customHeight="1">
      <c r="B5" s="107" t="inlineStr">
        <is>
          <t>MARK ▸</t>
        </is>
      </c>
      <c r="C5" s="108" t="inlineStr">
        <is>
          <t>101</t>
        </is>
      </c>
      <c r="E5" s="109">
        <f>IF(ElevCalc!$B$73,ElevCalc!$B$24&amp;IF(ElevCalc!$B$96," PAIR","")&amp;"   ·   "&amp;ElevCalc!$B$23&amp;"   ·   "&amp;IF(ElevCalc!$B$29="","",ElevCalc!$B$29&amp;" → "&amp;ElevCalc!$B$30),IF(Elevation!$C$5="","Pick a mark","Mark not found on the Takeoff"))</f>
        <v/>
      </c>
    </row>
    <row r="7" ht="18" customHeight="1">
      <c r="B7" s="110" t="n"/>
      <c r="C7" s="111" t="n"/>
      <c r="D7" s="111" t="n"/>
      <c r="E7" s="111" t="n"/>
      <c r="F7" s="111" t="n"/>
      <c r="G7" s="111" t="n"/>
      <c r="H7" s="111" t="n"/>
      <c r="I7" s="111" t="n"/>
      <c r="J7" s="111" t="n"/>
      <c r="K7" s="111" t="n"/>
      <c r="L7" s="112" t="n"/>
      <c r="N7" s="7" t="inlineStr">
        <is>
          <t>OPENING</t>
        </is>
      </c>
      <c r="O7" s="8" t="n"/>
      <c r="P7" s="8" t="n"/>
      <c r="Q7" s="8" t="n"/>
      <c r="R7" s="8" t="n"/>
      <c r="S7" s="8" t="n"/>
    </row>
    <row r="8">
      <c r="B8" s="113" t="n"/>
      <c r="C8" s="114" t="n"/>
      <c r="D8" s="114" t="n"/>
      <c r="E8" s="114" t="n"/>
      <c r="F8" s="114" t="n"/>
      <c r="G8" s="114" t="n"/>
      <c r="H8" s="114" t="n"/>
      <c r="I8" s="114" t="n"/>
      <c r="J8" s="114" t="n"/>
      <c r="K8" s="114" t="n"/>
      <c r="L8" s="115" t="n"/>
      <c r="N8" s="116" t="inlineStr">
        <is>
          <t>Mark · qty</t>
        </is>
      </c>
      <c r="O8" s="117">
        <f>IF(ElevCalc!$B$73,ElevCalc!$B$2&amp;"   ·   qty "&amp;ElevCalc!$B$27&amp;"   ·   floor "&amp;ElevCalc!$B$70,"")</f>
        <v/>
      </c>
      <c r="P8" s="118" t="n"/>
      <c r="Q8" s="118" t="n"/>
      <c r="R8" s="118" t="n"/>
      <c r="S8" s="118" t="n"/>
    </row>
    <row r="9">
      <c r="B9" s="113" t="n"/>
      <c r="C9" s="114" t="n"/>
      <c r="D9" s="114" t="n"/>
      <c r="E9" s="114" t="n"/>
      <c r="F9" s="114" t="n"/>
      <c r="G9" s="114" t="n"/>
      <c r="H9" s="114" t="n"/>
      <c r="I9" s="114" t="n"/>
      <c r="J9" s="114" t="n"/>
      <c r="K9" s="114" t="n"/>
      <c r="L9" s="115" t="n"/>
      <c r="N9" s="116" t="inlineStr">
        <is>
          <t>Room</t>
        </is>
      </c>
      <c r="O9" s="117">
        <f>IF(ElevCalc!$B$73,ElevCalc!$B$29&amp;IF(ElevCalc!$B$30="",""," → "&amp;ElevCalc!$B$30),"")</f>
        <v/>
      </c>
      <c r="P9" s="118" t="n"/>
      <c r="Q9" s="118" t="n"/>
      <c r="R9" s="118" t="n"/>
      <c r="S9" s="118" t="n"/>
    </row>
    <row r="10">
      <c r="B10" s="113" t="n"/>
      <c r="C10" s="114" t="n"/>
      <c r="D10" s="114" t="n"/>
      <c r="E10" s="114" t="n"/>
      <c r="F10" s="114" t="n"/>
      <c r="G10" s="114" t="n"/>
      <c r="H10" s="114" t="n"/>
      <c r="I10" s="114" t="n"/>
      <c r="J10" s="114" t="n"/>
      <c r="K10" s="114" t="n"/>
      <c r="L10" s="115" t="n"/>
      <c r="N10" s="116" t="inlineStr">
        <is>
          <t>Elevation type</t>
        </is>
      </c>
      <c r="O10" s="117">
        <f>IF(ElevCalc!$B$73,"Type "&amp;ElevCalc!$B$28&amp;"  ·  "&amp;SUMIF(tk_ETYPE,ElevCalc!$B$28,tk_QTY)&amp;" openings alike","")</f>
        <v/>
      </c>
      <c r="P10" s="118" t="n"/>
      <c r="Q10" s="118" t="n"/>
      <c r="R10" s="118" t="n"/>
      <c r="S10" s="118" t="n"/>
    </row>
    <row r="11">
      <c r="B11" s="113" t="n"/>
      <c r="C11" s="114" t="n"/>
      <c r="D11" s="114" t="n"/>
      <c r="E11" s="114" t="n"/>
      <c r="F11" s="114" t="n"/>
      <c r="G11" s="114" t="n"/>
      <c r="H11" s="114" t="n"/>
      <c r="I11" s="114" t="n"/>
      <c r="J11" s="114" t="n"/>
      <c r="K11" s="114" t="n"/>
      <c r="L11" s="115" t="n"/>
      <c r="N11" s="116" t="inlineStr">
        <is>
          <t>Frame</t>
        </is>
      </c>
      <c r="O11" s="117">
        <f>IF(ElevCalc!$B$3="DOOR ONLY","Existing / by others (door only)",IF(ElevCalc!$B$73,ElevCalc!$B$4&amp;"  ·  "&amp;IFERROR(VLOOKUP(ElevCalc!$B$41,CODES,2,FALSE),ElevCalc!$B$41)&amp;"  ·  "&amp;ElevCalc!$B$64&amp;" "&amp;ElevCalc!$B$63&amp;"GA  ·  jamb "&amp;IFERROR(VLOOKUP(ElevCalc!$B$42,CODES,2,FALSE),ElevCalc!$B$42)&amp;"  ·  "&amp;IFERROR(VLOOKUP(ElevCalc!$B$65,CODES,2,FALSE),ElevCalc!$B$65),""))</f>
        <v/>
      </c>
      <c r="P11" s="118" t="n"/>
      <c r="Q11" s="118" t="n"/>
      <c r="R11" s="118" t="n"/>
      <c r="S11" s="118" t="n"/>
    </row>
    <row r="12">
      <c r="B12" s="113" t="n"/>
      <c r="C12" s="114" t="n"/>
      <c r="D12" s="114" t="n"/>
      <c r="E12" s="114" t="n"/>
      <c r="F12" s="114" t="n"/>
      <c r="G12" s="114" t="n"/>
      <c r="H12" s="114" t="n"/>
      <c r="I12" s="114" t="n"/>
      <c r="J12" s="114" t="n"/>
      <c r="K12" s="114" t="n"/>
      <c r="L12" s="115" t="n"/>
      <c r="N12" s="116" t="inlineStr">
        <is>
          <t>Door</t>
        </is>
      </c>
      <c r="O12" s="117">
        <f>IF(ElevCalc!$B$93&gt;0,IFERROR(VLOOKUP(ElevCalc!$B$43,CODES,2,FALSE),ElevCalc!$B$43)&amp;IF(ElevCalc!$B$62="",""," "&amp;ElevCalc!$B$62&amp;"GA")&amp;"  ·  "&amp;ElevCalc!$B$9&amp;"  ·  hand "&amp;ElevCalc!$B$99,"No door on this opening")</f>
        <v/>
      </c>
      <c r="P12" s="118" t="n"/>
      <c r="Q12" s="118" t="n"/>
      <c r="R12" s="118" t="n"/>
      <c r="S12" s="118" t="n"/>
    </row>
    <row r="13">
      <c r="B13" s="113" t="n"/>
      <c r="C13" s="114" t="n"/>
      <c r="D13" s="114" t="n"/>
      <c r="E13" s="114" t="n"/>
      <c r="F13" s="114" t="n"/>
      <c r="G13" s="114" t="n"/>
      <c r="H13" s="114" t="n"/>
      <c r="I13" s="114" t="n"/>
      <c r="J13" s="114" t="n"/>
      <c r="K13" s="114" t="n"/>
      <c r="L13" s="115" t="n"/>
      <c r="N13" s="116" t="inlineStr">
        <is>
          <t>Rating · label</t>
        </is>
      </c>
      <c r="O13" s="117">
        <f>IF(ElevCalc!$B$73,IF(ElevCalc!$B$55="",ElevCalc!$B$23,ElevCalc!$B$23&amp;"  ·  class "&amp;ElevCalc!$B$55&amp;" label"),"")</f>
        <v/>
      </c>
      <c r="P13" s="118" t="n"/>
      <c r="Q13" s="118" t="n"/>
      <c r="R13" s="118" t="n"/>
      <c r="S13" s="118" t="n"/>
    </row>
    <row r="14">
      <c r="B14" s="113" t="n"/>
      <c r="C14" s="114" t="n"/>
      <c r="D14" s="114" t="n"/>
      <c r="E14" s="114" t="n"/>
      <c r="F14" s="114" t="n"/>
      <c r="G14" s="114" t="n"/>
      <c r="H14" s="114" t="n"/>
      <c r="I14" s="114" t="n"/>
      <c r="J14" s="114" t="n"/>
      <c r="K14" s="114" t="n"/>
      <c r="L14" s="115" t="n"/>
      <c r="N14" s="116" t="inlineStr">
        <is>
          <t>Wall</t>
        </is>
      </c>
      <c r="O14" s="117">
        <f>IF(ElevCalc!$B$67="","—",ElevCalc!$B$67&amp;IF(N(ElevCalc!$B$68)&gt;0," "&amp;ElevCalc!$B$68&amp;" HR","")&amp;IF(ISNUMBER(ElevCalc!$B$40),"  ·  needs "&amp;ElevCalc!$B$40&amp;" min door",""))</f>
        <v/>
      </c>
      <c r="P14" s="118" t="n"/>
      <c r="Q14" s="118" t="n"/>
      <c r="R14" s="118" t="n"/>
      <c r="S14" s="118" t="n"/>
    </row>
    <row r="15">
      <c r="B15" s="113" t="n"/>
      <c r="C15" s="114" t="n"/>
      <c r="D15" s="114" t="n"/>
      <c r="E15" s="114" t="n"/>
      <c r="F15" s="114" t="n"/>
      <c r="G15" s="114" t="n"/>
      <c r="H15" s="114" t="n"/>
      <c r="I15" s="114" t="n"/>
      <c r="J15" s="114" t="n"/>
      <c r="K15" s="114" t="n"/>
      <c r="L15" s="115" t="n"/>
    </row>
    <row r="16" ht="18" customHeight="1">
      <c r="B16" s="113" t="n"/>
      <c r="C16" s="114" t="n"/>
      <c r="D16" s="114" t="n"/>
      <c r="E16" s="114" t="n"/>
      <c r="F16" s="114" t="n"/>
      <c r="G16" s="114" t="n"/>
      <c r="H16" s="114" t="n"/>
      <c r="I16" s="114" t="n"/>
      <c r="J16" s="114" t="n"/>
      <c r="K16" s="114" t="n"/>
      <c r="L16" s="115" t="n"/>
      <c r="N16" s="7" t="inlineStr">
        <is>
          <t>SIZES</t>
        </is>
      </c>
      <c r="O16" s="8" t="n"/>
      <c r="P16" s="8" t="n"/>
      <c r="Q16" s="8" t="n"/>
      <c r="R16" s="8" t="n"/>
      <c r="S16" s="8" t="n"/>
    </row>
    <row r="17">
      <c r="B17" s="113" t="n"/>
      <c r="C17" s="114" t="n"/>
      <c r="D17" s="114" t="n"/>
      <c r="E17" s="114" t="n"/>
      <c r="F17" s="114" t="n"/>
      <c r="G17" s="114" t="n"/>
      <c r="H17" s="114" t="n"/>
      <c r="I17" s="114" t="n"/>
      <c r="J17" s="114" t="n"/>
      <c r="K17" s="114" t="n"/>
      <c r="L17" s="115" t="n"/>
      <c r="N17" s="116" t="inlineStr">
        <is>
          <t>Opening (nominal)</t>
        </is>
      </c>
      <c r="O17" s="117">
        <f>IF(ElevCalc!$B$73,INT(ROUND(ElevCalc!$B$74,4)/12)&amp;"'-"&amp;IF(ROUND(MOD(ElevCalc!$B$74,12),4)=0,"0",TRIM(TEXT(MOD(ElevCalc!$B$74,12),"# ?/??")))&amp;CHAR(34)&amp;" x "&amp;INT(ROUND(ElevCalc!$B$75,4)/12)&amp;"'-"&amp;IF(ROUND(MOD(ElevCalc!$B$75,12),4)=0,"0",TRIM(TEXT(MOD(ElevCalc!$B$75,12),"# ?/??")))&amp;CHAR(34)&amp;"   ("&amp;ElevCalc!$B$71&amp;")","")</f>
        <v/>
      </c>
      <c r="P17" s="118" t="n"/>
      <c r="Q17" s="118" t="n"/>
      <c r="R17" s="118" t="n"/>
      <c r="S17" s="118" t="n"/>
    </row>
    <row r="18">
      <c r="B18" s="113" t="n"/>
      <c r="C18" s="114" t="n"/>
      <c r="D18" s="114" t="n"/>
      <c r="E18" s="114" t="n"/>
      <c r="F18" s="114" t="n"/>
      <c r="G18" s="114" t="n"/>
      <c r="H18" s="114" t="n"/>
      <c r="I18" s="114" t="n"/>
      <c r="J18" s="114" t="n"/>
      <c r="K18" s="114" t="n"/>
      <c r="L18" s="115" t="n"/>
      <c r="N18" s="116" t="inlineStr">
        <is>
          <t>Leaves · leaf size</t>
        </is>
      </c>
      <c r="O18" s="117">
        <f>IF(ElevCalc!$B$93&gt;0,ElevCalc!$B$93&amp;" × "&amp;INT(ROUND(ElevCalc!$B$94,4)/12)&amp;"'-"&amp;IF(ROUND(MOD(ElevCalc!$B$94,12),4)=0,"0",TRIM(TEXT(MOD(ElevCalc!$B$94,12),"# ?/??")))&amp;CHAR(34)&amp;" x "&amp;INT(ROUND(ElevCalc!$B$95,4)/12)&amp;"'-"&amp;IF(ROUND(MOD(ElevCalc!$B$95,12),4)=0,"0",TRIM(TEXT(MOD(ElevCalc!$B$95,12),"# ?/??")))&amp;CHAR(34),"no door")</f>
        <v/>
      </c>
      <c r="P18" s="118" t="n"/>
      <c r="Q18" s="118" t="n"/>
      <c r="R18" s="118" t="n"/>
      <c r="S18" s="118" t="n"/>
    </row>
    <row r="19">
      <c r="B19" s="113" t="n"/>
      <c r="C19" s="114" t="n"/>
      <c r="D19" s="114" t="n"/>
      <c r="E19" s="114" t="n"/>
      <c r="F19" s="114" t="n"/>
      <c r="G19" s="114" t="n"/>
      <c r="H19" s="114" t="n"/>
      <c r="I19" s="114" t="n"/>
      <c r="J19" s="114" t="n"/>
      <c r="K19" s="114" t="n"/>
      <c r="L19" s="115" t="n"/>
      <c r="N19" s="116" t="inlineStr">
        <is>
          <t>Frame overall</t>
        </is>
      </c>
      <c r="O19" s="117">
        <f>IF(ElevCalc!$B$73,INT(ROUND(ElevCalc!$B$85,4)/12)&amp;"'-"&amp;IF(ROUND(MOD(ElevCalc!$B$85,12),4)=0,"0",TRIM(TEXT(MOD(ElevCalc!$B$85,12),"# ?/??")))&amp;CHAR(34)&amp;" x "&amp;INT(ROUND(ElevCalc!$B$86,4)/12)&amp;"'-"&amp;IF(ROUND(MOD(ElevCalc!$B$86,12),4)=0,"0",TRIM(TEXT(MOD(ElevCalc!$B$86,12),"# ?/??")))&amp;CHAR(34),"")</f>
        <v/>
      </c>
      <c r="P19" s="118" t="n"/>
      <c r="Q19" s="118" t="n"/>
      <c r="R19" s="118" t="n"/>
      <c r="S19" s="118" t="n"/>
    </row>
    <row r="20">
      <c r="B20" s="113" t="n"/>
      <c r="C20" s="114" t="n"/>
      <c r="D20" s="114" t="n"/>
      <c r="E20" s="114" t="n"/>
      <c r="F20" s="114" t="n"/>
      <c r="G20" s="114" t="n"/>
      <c r="H20" s="114" t="n"/>
      <c r="I20" s="114" t="n"/>
      <c r="J20" s="114" t="n"/>
      <c r="K20" s="114" t="n"/>
      <c r="L20" s="115" t="n"/>
      <c r="N20" s="116" t="inlineStr">
        <is>
          <t>Rough opening</t>
        </is>
      </c>
      <c r="O20" s="117">
        <f>IF(ElevCalc!$B$73,INT(ROUND(N(ElevCalc!$B$36),4)/12)&amp;"'-"&amp;IF(ROUND(MOD(N(ElevCalc!$B$36),12),4)=0,"0",TRIM(TEXT(MOD(N(ElevCalc!$B$36),12),"# ?/??")))&amp;CHAR(34)&amp;" x "&amp;INT(ROUND(N(ElevCalc!$B$37),4)/12)&amp;"'-"&amp;IF(ROUND(MOD(N(ElevCalc!$B$37),12),4)=0,"0",TRIM(TEXT(MOD(N(ElevCalc!$B$37),12),"# ?/??")))&amp;CHAR(34),"")</f>
        <v/>
      </c>
      <c r="P20" s="118" t="n"/>
      <c r="Q20" s="118" t="n"/>
      <c r="R20" s="118" t="n"/>
      <c r="S20" s="118" t="n"/>
    </row>
    <row r="21">
      <c r="B21" s="113" t="n"/>
      <c r="C21" s="114" t="n"/>
      <c r="D21" s="114" t="n"/>
      <c r="E21" s="114" t="n"/>
      <c r="F21" s="114" t="n"/>
      <c r="G21" s="114" t="n"/>
      <c r="H21" s="114" t="n"/>
      <c r="I21" s="114" t="n"/>
      <c r="J21" s="114" t="n"/>
      <c r="K21" s="114" t="n"/>
      <c r="L21" s="115" t="n"/>
      <c r="N21" s="116" t="inlineStr">
        <is>
          <t>Clear width (approx.)</t>
        </is>
      </c>
      <c r="O21" s="117">
        <f>IF(ISNUMBER(ElevCalc!$B$38),TEXT(ElevCalc!$B$38,"0.0")&amp;CHAR(34)&amp;IF(ElevCalc!$B$38&lt;32,"   ⚠ under 32"&amp;CHAR(34)&amp;" ADA","   ✓ ADA"),"")</f>
        <v/>
      </c>
      <c r="P21" s="118" t="n"/>
      <c r="Q21" s="118" t="n"/>
      <c r="R21" s="118" t="n"/>
      <c r="S21" s="118" t="n"/>
    </row>
    <row r="22">
      <c r="B22" s="113" t="n"/>
      <c r="C22" s="114" t="n"/>
      <c r="D22" s="114" t="n"/>
      <c r="E22" s="114" t="n"/>
      <c r="F22" s="114" t="n"/>
      <c r="G22" s="114" t="n"/>
      <c r="H22" s="114" t="n"/>
      <c r="I22" s="114" t="n"/>
      <c r="J22" s="114" t="n"/>
      <c r="K22" s="114" t="n"/>
      <c r="L22" s="115" t="n"/>
      <c r="N22" s="116" t="inlineStr">
        <is>
          <t>Lite / louver</t>
        </is>
      </c>
      <c r="O22" s="117">
        <f>IF(ElevCalc!$B$111,ElevCalc!$B$9&amp;"  ·  "&amp;ElevCalc!$B$109&amp;" x "&amp;N(ElevCalc!$B$22)&amp;CHAR(34),IF(ElevCalc!$B$93&gt;0,"flush",""))</f>
        <v/>
      </c>
      <c r="P22" s="118" t="n"/>
      <c r="Q22" s="118" t="n"/>
      <c r="R22" s="118" t="n"/>
      <c r="S22" s="118" t="n"/>
    </row>
    <row r="23">
      <c r="B23" s="113" t="n"/>
      <c r="C23" s="114" t="n"/>
      <c r="D23" s="114" t="n"/>
      <c r="E23" s="114" t="n"/>
      <c r="F23" s="114" t="n"/>
      <c r="G23" s="114" t="n"/>
      <c r="H23" s="114" t="n"/>
      <c r="I23" s="114" t="n"/>
      <c r="J23" s="114" t="n"/>
      <c r="K23" s="114" t="n"/>
      <c r="L23" s="115" t="n"/>
      <c r="N23" s="116" t="inlineStr">
        <is>
          <t>Undercut · head</t>
        </is>
      </c>
      <c r="O23" s="117">
        <f>IF(ElevCalc!$B$93&gt;0,"UC "&amp;TRIM(TEXT(Undercut,"# ?/??"))&amp;CHAR(34),"")&amp;"  ·  "&amp;IF(ElevCalc!$B$8="Y","4"&amp;CHAR(34)&amp;" head",TRIM(TEXT(FaceW,"# ?/??"))&amp;CHAR(34)&amp;" head")</f>
        <v/>
      </c>
      <c r="P23" s="118" t="n"/>
      <c r="Q23" s="118" t="n"/>
      <c r="R23" s="118" t="n"/>
      <c r="S23" s="118" t="n"/>
    </row>
    <row r="24">
      <c r="B24" s="113" t="n"/>
      <c r="C24" s="114" t="n"/>
      <c r="D24" s="114" t="n"/>
      <c r="E24" s="114" t="n"/>
      <c r="F24" s="114" t="n"/>
      <c r="G24" s="114" t="n"/>
      <c r="H24" s="114" t="n"/>
      <c r="I24" s="114" t="n"/>
      <c r="J24" s="114" t="n"/>
      <c r="K24" s="114" t="n"/>
      <c r="L24" s="115" t="n"/>
      <c r="N24" s="116" t="inlineStr">
        <is>
          <t>Anchors</t>
        </is>
      </c>
      <c r="O24" s="117">
        <f>IF(ISNUMBER(ElevCalc!$B$56),ElevCalc!$B$56&amp;" per jamb  ·  "&amp;ElevCalc!$B$57&amp;" jamb + "&amp;ElevCalc!$B$58&amp;" base per frame","—")</f>
        <v/>
      </c>
      <c r="P24" s="118" t="n"/>
      <c r="Q24" s="118" t="n"/>
      <c r="R24" s="118" t="n"/>
      <c r="S24" s="118" t="n"/>
    </row>
    <row r="25">
      <c r="B25" s="113" t="n"/>
      <c r="C25" s="114" t="n"/>
      <c r="D25" s="114" t="n"/>
      <c r="E25" s="114" t="n"/>
      <c r="F25" s="114" t="n"/>
      <c r="G25" s="114" t="n"/>
      <c r="H25" s="114" t="n"/>
      <c r="I25" s="114" t="n"/>
      <c r="J25" s="114" t="n"/>
      <c r="K25" s="114" t="n"/>
      <c r="L25" s="115" t="n"/>
    </row>
    <row r="26" ht="18" customHeight="1">
      <c r="B26" s="113" t="n"/>
      <c r="C26" s="114" t="n"/>
      <c r="D26" s="114" t="n"/>
      <c r="E26" s="114" t="n"/>
      <c r="F26" s="114" t="n"/>
      <c r="G26" s="114" t="n"/>
      <c r="H26" s="114" t="n"/>
      <c r="I26" s="114" t="n"/>
      <c r="J26" s="114" t="n"/>
      <c r="K26" s="114" t="n"/>
      <c r="L26" s="115" t="n"/>
      <c r="N26" s="66" t="inlineStr">
        <is>
          <t>HINGE &amp; STRIKE LOCATIONS</t>
        </is>
      </c>
      <c r="O26" s="27" t="n"/>
      <c r="P26" s="27" t="n"/>
      <c r="Q26" s="27" t="n"/>
      <c r="R26" s="27" t="n"/>
      <c r="S26" s="27" t="n"/>
    </row>
    <row r="27">
      <c r="B27" s="113" t="n"/>
      <c r="C27" s="114" t="n"/>
      <c r="D27" s="114" t="n"/>
      <c r="E27" s="114" t="n"/>
      <c r="F27" s="114" t="n"/>
      <c r="G27" s="114" t="n"/>
      <c r="H27" s="114" t="n"/>
      <c r="I27" s="114" t="n"/>
      <c r="J27" s="114" t="n"/>
      <c r="K27" s="114" t="n"/>
      <c r="L27" s="115" t="n"/>
      <c r="N27" s="116" t="inlineStr">
        <is>
          <t>Standard</t>
        </is>
      </c>
      <c r="O27" s="119">
        <f>IF(ElevCalc!$B$54="","No hinges",ElevCalc!$B$54&amp;"  ·  "&amp;ElevCalc!$B$39&amp;IF(ISNUMBER(ElevCalc!$B$39)," hinges "&amp;ElevCalc!$B$121&amp;CHAR(34),""))</f>
        <v/>
      </c>
      <c r="P27" s="118" t="n"/>
      <c r="Q27" s="118" t="n"/>
      <c r="R27" s="118" t="n"/>
      <c r="S27" s="118" t="n"/>
    </row>
    <row r="28">
      <c r="B28" s="113" t="n"/>
      <c r="C28" s="114" t="n"/>
      <c r="D28" s="114" t="n"/>
      <c r="E28" s="114" t="n"/>
      <c r="F28" s="114" t="n"/>
      <c r="G28" s="114" t="n"/>
      <c r="H28" s="114" t="n"/>
      <c r="I28" s="114" t="n"/>
      <c r="J28" s="114" t="n"/>
      <c r="K28" s="114" t="n"/>
      <c r="L28" s="115" t="n"/>
      <c r="N28" s="120" t="inlineStr">
        <is>
          <t>inches</t>
        </is>
      </c>
      <c r="O28" s="120" t="inlineStr">
        <is>
          <t>A</t>
        </is>
      </c>
      <c r="P28" s="120" t="inlineStr">
        <is>
          <t>B</t>
        </is>
      </c>
      <c r="Q28" s="120" t="inlineStr">
        <is>
          <t>C</t>
        </is>
      </c>
      <c r="R28" s="120" t="inlineStr">
        <is>
          <t>D</t>
        </is>
      </c>
      <c r="S28" s="120" t="inlineStr">
        <is>
          <t>F</t>
        </is>
      </c>
    </row>
    <row r="29" ht="24" customHeight="1">
      <c r="B29" s="113" t="n"/>
      <c r="C29" s="114" t="n"/>
      <c r="D29" s="114" t="n"/>
      <c r="E29" s="114" t="n"/>
      <c r="F29" s="114" t="n"/>
      <c r="G29" s="114" t="n"/>
      <c r="H29" s="114" t="n"/>
      <c r="I29" s="114" t="n"/>
      <c r="J29" s="114" t="n"/>
      <c r="K29" s="114" t="n"/>
      <c r="L29" s="115" t="n"/>
      <c r="N29" s="121" t="inlineStr">
        <is>
          <t>Frame: top of frame → top of hinge</t>
        </is>
      </c>
      <c r="O29" s="122">
        <f>IF(ISNUMBER(ElevCalc!$B$46),TRIM(TEXT(ElevCalc!$B$46,"# ?/??"))&amp;CHAR(34),"")</f>
        <v/>
      </c>
      <c r="P29" s="122">
        <f>IF(ISNUMBER(ElevCalc!$B$47),TRIM(TEXT(ElevCalc!$B$47,"# ?/??"))&amp;CHAR(34),"")</f>
        <v/>
      </c>
      <c r="Q29" s="122">
        <f>IF(ISNUMBER(ElevCalc!$B$48),TRIM(TEXT(ElevCalc!$B$48,"# ?/??"))&amp;CHAR(34),"")</f>
        <v/>
      </c>
      <c r="R29" s="122">
        <f>IF(ISNUMBER(ElevCalc!$B$49),TRIM(TEXT(ElevCalc!$B$49,"# ?/??"))&amp;CHAR(34),"")</f>
        <v/>
      </c>
      <c r="S29" s="122">
        <f>IF(ISNUMBER(ElevCalc!$B$50),TRIM(TEXT(ElevCalc!$B$50,"# ?/??"))&amp;CHAR(34),"")</f>
        <v/>
      </c>
    </row>
    <row r="30" ht="24" customHeight="1">
      <c r="B30" s="113" t="n"/>
      <c r="C30" s="114" t="n"/>
      <c r="D30" s="114" t="n"/>
      <c r="E30" s="114" t="n"/>
      <c r="F30" s="114" t="n"/>
      <c r="G30" s="114" t="n"/>
      <c r="H30" s="114" t="n"/>
      <c r="I30" s="114" t="n"/>
      <c r="J30" s="114" t="n"/>
      <c r="K30" s="114" t="n"/>
      <c r="L30" s="115" t="n"/>
      <c r="N30" s="121" t="inlineStr">
        <is>
          <t>Door: top of door → top of hinge</t>
        </is>
      </c>
      <c r="O30" s="122">
        <f>IF(ISNUMBER(ElevCalc!$B$46),TRIM(TEXT(ElevCalc!$B$46-HeadClr,"# ?/??"))&amp;CHAR(34),"")</f>
        <v/>
      </c>
      <c r="P30" s="122">
        <f>IF(ISNUMBER(ElevCalc!$B$47),TRIM(TEXT(ElevCalc!$B$47-HeadClr,"# ?/??"))&amp;CHAR(34),"")</f>
        <v/>
      </c>
      <c r="Q30" s="122">
        <f>IF(ISNUMBER(ElevCalc!$B$48),TRIM(TEXT(ElevCalc!$B$48-HeadClr,"# ?/??"))&amp;CHAR(34),"")</f>
        <v/>
      </c>
      <c r="R30" s="122">
        <f>IF(ISNUMBER(ElevCalc!$B$49),TRIM(TEXT(ElevCalc!$B$49-HeadClr,"# ?/??"))&amp;CHAR(34),"")</f>
        <v/>
      </c>
      <c r="S30" s="122">
        <f>IF(ISNUMBER(ElevCalc!$B$50),TRIM(TEXT(ElevCalc!$B$50-HeadClr,"# ?/??"))&amp;CHAR(34),"")</f>
        <v/>
      </c>
    </row>
    <row r="31" ht="24" customHeight="1">
      <c r="B31" s="113" t="n"/>
      <c r="C31" s="114" t="n"/>
      <c r="D31" s="114" t="n"/>
      <c r="E31" s="114" t="n"/>
      <c r="F31" s="114" t="n"/>
      <c r="G31" s="114" t="n"/>
      <c r="H31" s="114" t="n"/>
      <c r="I31" s="114" t="n"/>
      <c r="J31" s="114" t="n"/>
      <c r="K31" s="114" t="n"/>
      <c r="L31" s="115" t="n"/>
      <c r="N31" s="121" t="inlineStr">
        <is>
          <t>Hinge centre line AFF</t>
        </is>
      </c>
      <c r="O31" s="122">
        <f>IF(ISNUMBER(ElevCalc!$B$46),TRIM(TEXT(ElevCalc!$B$75-ElevCalc!$B$46-ElevCalc!$B$121/2,"# ?/??"))&amp;CHAR(34),"")</f>
        <v/>
      </c>
      <c r="P31" s="122">
        <f>IF(ISNUMBER(ElevCalc!$B$47),TRIM(TEXT(ElevCalc!$B$75-ElevCalc!$B$47-ElevCalc!$B$121/2,"# ?/??"))&amp;CHAR(34),"")</f>
        <v/>
      </c>
      <c r="Q31" s="122">
        <f>IF(ISNUMBER(ElevCalc!$B$48),TRIM(TEXT(ElevCalc!$B$75-ElevCalc!$B$48-ElevCalc!$B$121/2,"# ?/??"))&amp;CHAR(34),"")</f>
        <v/>
      </c>
      <c r="R31" s="122">
        <f>IF(ISNUMBER(ElevCalc!$B$49),TRIM(TEXT(ElevCalc!$B$75-ElevCalc!$B$49-ElevCalc!$B$121/2,"# ?/??"))&amp;CHAR(34),"")</f>
        <v/>
      </c>
      <c r="S31" s="122">
        <f>IF(ISNUMBER(ElevCalc!$B$50),TRIM(TEXT(ElevCalc!$B$75-ElevCalc!$B$50-ElevCalc!$B$121/2,"# ?/??"))&amp;CHAR(34),"")</f>
        <v/>
      </c>
    </row>
    <row r="32">
      <c r="B32" s="113" t="n"/>
      <c r="C32" s="114" t="n"/>
      <c r="D32" s="114" t="n"/>
      <c r="E32" s="114" t="n"/>
      <c r="F32" s="114" t="n"/>
      <c r="G32" s="114" t="n"/>
      <c r="H32" s="114" t="n"/>
      <c r="I32" s="114" t="n"/>
      <c r="J32" s="114" t="n"/>
      <c r="K32" s="114" t="n"/>
      <c r="L32" s="115" t="n"/>
      <c r="N32" s="116" t="inlineStr">
        <is>
          <t>E · strike / lock</t>
        </is>
      </c>
      <c r="O32" s="123">
        <f>IF(ISNUMBER(ElevCalc!$B$51),"E "&amp;TRIM(TEXT(ElevCalc!$B$51,"# ?/??"))&amp;CHAR(34)&amp;" from top of frame  ·  "&amp;TRIM(TEXT(ElevCalc!$B$51-HeadClr,"# ?/??"))&amp;CHAR(34)&amp;" from top of door  ·  "&amp;TRIM(TEXT(ElevCalc!$B$119,"# ?/??"))&amp;CHAR(34)&amp;" AFF","—")</f>
        <v/>
      </c>
      <c r="P32" s="118" t="n"/>
      <c r="Q32" s="118" t="n"/>
      <c r="R32" s="118" t="n"/>
      <c r="S32" s="118" t="n"/>
    </row>
    <row r="33">
      <c r="B33" s="113" t="n"/>
      <c r="C33" s="114" t="n"/>
      <c r="D33" s="114" t="n"/>
      <c r="E33" s="114" t="n"/>
      <c r="F33" s="114" t="n"/>
      <c r="G33" s="114" t="n"/>
      <c r="H33" s="114" t="n"/>
      <c r="I33" s="114" t="n"/>
      <c r="J33" s="114" t="n"/>
      <c r="K33" s="114" t="n"/>
      <c r="L33" s="115" t="n"/>
    </row>
    <row r="34" ht="18" customHeight="1">
      <c r="B34" s="113" t="n"/>
      <c r="C34" s="114" t="n"/>
      <c r="D34" s="114" t="n"/>
      <c r="E34" s="114" t="n"/>
      <c r="F34" s="114" t="n"/>
      <c r="G34" s="114" t="n"/>
      <c r="H34" s="114" t="n"/>
      <c r="I34" s="114" t="n"/>
      <c r="J34" s="114" t="n"/>
      <c r="K34" s="114" t="n"/>
      <c r="L34" s="115" t="n"/>
      <c r="N34" s="70" t="inlineStr">
        <is>
          <t>CHECKS</t>
        </is>
      </c>
      <c r="O34" s="31" t="n"/>
      <c r="P34" s="31" t="n"/>
      <c r="Q34" s="31" t="n"/>
      <c r="R34" s="31" t="n"/>
      <c r="S34" s="31" t="n"/>
    </row>
    <row r="35">
      <c r="B35" s="113" t="n"/>
      <c r="C35" s="114" t="n"/>
      <c r="D35" s="114" t="n"/>
      <c r="E35" s="114" t="n"/>
      <c r="F35" s="114" t="n"/>
      <c r="G35" s="114" t="n"/>
      <c r="H35" s="114" t="n"/>
      <c r="I35" s="114" t="n"/>
      <c r="J35" s="114" t="n"/>
      <c r="K35" s="114" t="n"/>
      <c r="L35" s="115" t="n"/>
      <c r="N35" s="116" t="inlineStr">
        <is>
          <t>Status</t>
        </is>
      </c>
      <c r="O35" s="124">
        <f>ElevCalc!$B$32</f>
        <v/>
      </c>
      <c r="P35" s="118" t="n"/>
      <c r="Q35" s="118" t="n"/>
      <c r="R35" s="118" t="n"/>
      <c r="S35" s="118" t="n"/>
    </row>
    <row r="36" ht="30" customHeight="1">
      <c r="B36" s="113" t="n"/>
      <c r="C36" s="114" t="n"/>
      <c r="D36" s="114" t="n"/>
      <c r="E36" s="114" t="n"/>
      <c r="F36" s="114" t="n"/>
      <c r="G36" s="114" t="n"/>
      <c r="H36" s="114" t="n"/>
      <c r="I36" s="114" t="n"/>
      <c r="J36" s="114" t="n"/>
      <c r="K36" s="114" t="n"/>
      <c r="L36" s="115" t="n"/>
      <c r="N36" s="116" t="inlineStr">
        <is>
          <t>Why</t>
        </is>
      </c>
      <c r="O36" s="117">
        <f>ElevCalc!$B$33</f>
        <v/>
      </c>
      <c r="P36" s="118" t="n"/>
      <c r="Q36" s="118" t="n"/>
      <c r="R36" s="118" t="n"/>
      <c r="S36" s="118" t="n"/>
    </row>
    <row r="37">
      <c r="B37" s="113" t="n"/>
      <c r="C37" s="114" t="n"/>
      <c r="D37" s="114" t="n"/>
      <c r="E37" s="114" t="n"/>
      <c r="F37" s="114" t="n"/>
      <c r="G37" s="114" t="n"/>
      <c r="H37" s="114" t="n"/>
      <c r="I37" s="114" t="n"/>
      <c r="J37" s="114" t="n"/>
      <c r="K37" s="114" t="n"/>
      <c r="L37" s="115" t="n"/>
    </row>
    <row r="38" ht="18" customHeight="1">
      <c r="B38" s="113" t="n"/>
      <c r="C38" s="114" t="n"/>
      <c r="D38" s="114" t="n"/>
      <c r="E38" s="114" t="n"/>
      <c r="F38" s="114" t="n"/>
      <c r="G38" s="114" t="n"/>
      <c r="H38" s="114" t="n"/>
      <c r="I38" s="114" t="n"/>
      <c r="J38" s="114" t="n"/>
      <c r="K38" s="114" t="n"/>
      <c r="L38" s="115" t="n"/>
      <c r="N38" s="62" t="inlineStr">
        <is>
          <t>ORDER LINES</t>
        </is>
      </c>
      <c r="O38" s="23" t="n"/>
      <c r="P38" s="23" t="n"/>
      <c r="Q38" s="23" t="n"/>
      <c r="R38" s="23" t="n"/>
      <c r="S38" s="23" t="n"/>
    </row>
    <row r="39" ht="30" customHeight="1">
      <c r="B39" s="113" t="n"/>
      <c r="C39" s="114" t="n"/>
      <c r="D39" s="114" t="n"/>
      <c r="E39" s="114" t="n"/>
      <c r="F39" s="114" t="n"/>
      <c r="G39" s="114" t="n"/>
      <c r="H39" s="114" t="n"/>
      <c r="I39" s="114" t="n"/>
      <c r="J39" s="114" t="n"/>
      <c r="K39" s="114" t="n"/>
      <c r="L39" s="115" t="n"/>
      <c r="N39" s="116" t="inlineStr">
        <is>
          <t>Frame</t>
        </is>
      </c>
      <c r="O39" s="117">
        <f>ElevCalc!$B$34</f>
        <v/>
      </c>
      <c r="P39" s="118" t="n"/>
      <c r="Q39" s="118" t="n"/>
      <c r="R39" s="118" t="n"/>
      <c r="S39" s="118" t="n"/>
    </row>
    <row r="40" ht="30" customHeight="1">
      <c r="B40" s="125" t="n"/>
      <c r="C40" s="126" t="n"/>
      <c r="D40" s="126" t="n"/>
      <c r="E40" s="126" t="n"/>
      <c r="F40" s="126" t="n"/>
      <c r="G40" s="126" t="n"/>
      <c r="H40" s="126" t="n"/>
      <c r="I40" s="126" t="n"/>
      <c r="J40" s="126" t="n"/>
      <c r="K40" s="126" t="n"/>
      <c r="L40" s="127" t="n"/>
      <c r="N40" s="116" t="inlineStr">
        <is>
          <t>Door</t>
        </is>
      </c>
      <c r="O40" s="117">
        <f>ElevCalc!$B$35</f>
        <v/>
      </c>
      <c r="P40" s="118" t="n"/>
      <c r="Q40" s="118" t="n"/>
      <c r="R40" s="118" t="n"/>
      <c r="S40" s="118" t="n"/>
    </row>
    <row r="42" ht="18" customHeight="1">
      <c r="B42" s="42" t="inlineStr">
        <is>
          <t>TITLE BLOCK</t>
        </is>
      </c>
      <c r="C42" s="43" t="n"/>
      <c r="D42" s="43" t="n"/>
      <c r="E42" s="43" t="n"/>
      <c r="F42" s="43" t="n"/>
      <c r="G42" s="43" t="n"/>
      <c r="H42" s="43" t="n"/>
      <c r="I42" s="43" t="n"/>
      <c r="J42" s="43" t="n"/>
      <c r="K42" s="43" t="n"/>
      <c r="L42" s="44" t="n"/>
    </row>
    <row r="43">
      <c r="B43" s="128" t="inlineStr">
        <is>
          <t>JOB</t>
        </is>
      </c>
      <c r="C43" s="129" t="n"/>
      <c r="D43" s="129" t="n"/>
      <c r="E43" s="129" t="n"/>
      <c r="F43" s="130" t="n"/>
      <c r="G43" s="131" t="inlineStr">
        <is>
          <t>JOB NO.</t>
        </is>
      </c>
      <c r="H43" s="129" t="n"/>
      <c r="I43" s="130" t="n"/>
      <c r="J43" s="131" t="inlineStr">
        <is>
          <t>REV</t>
        </is>
      </c>
      <c r="K43" s="130" t="n"/>
      <c r="L43" s="132" t="n"/>
    </row>
    <row r="44">
      <c r="B44" s="133">
        <f>JobName&amp;""</f>
        <v/>
      </c>
      <c r="C44" s="134" t="n"/>
      <c r="D44" s="134" t="n"/>
      <c r="E44" s="134" t="n"/>
      <c r="F44" s="135" t="n"/>
      <c r="G44" s="136">
        <f>JobNo&amp;""</f>
        <v/>
      </c>
      <c r="H44" s="134" t="n"/>
      <c r="I44" s="135" t="n"/>
      <c r="J44" s="136">
        <f>JobRev&amp;""</f>
        <v/>
      </c>
      <c r="K44" s="135" t="n"/>
      <c r="L44" s="132" t="n"/>
    </row>
    <row r="45">
      <c r="B45" s="128" t="inlineStr">
        <is>
          <t>ARCHITECT</t>
        </is>
      </c>
      <c r="C45" s="129" t="n"/>
      <c r="D45" s="129" t="n"/>
      <c r="E45" s="129" t="n"/>
      <c r="F45" s="130" t="n"/>
      <c r="G45" s="131" t="inlineStr">
        <is>
          <t>GC</t>
        </is>
      </c>
      <c r="H45" s="129" t="n"/>
      <c r="I45" s="129" t="n"/>
      <c r="J45" s="129" t="n"/>
      <c r="K45" s="130" t="n"/>
      <c r="L45" s="132" t="n"/>
    </row>
    <row r="46">
      <c r="B46" s="133">
        <f>JobArch&amp;""</f>
        <v/>
      </c>
      <c r="C46" s="134" t="n"/>
      <c r="D46" s="134" t="n"/>
      <c r="E46" s="134" t="n"/>
      <c r="F46" s="135" t="n"/>
      <c r="G46" s="136">
        <f>JobGC&amp;""</f>
        <v/>
      </c>
      <c r="H46" s="134" t="n"/>
      <c r="I46" s="134" t="n"/>
      <c r="J46" s="134" t="n"/>
      <c r="K46" s="135" t="n"/>
      <c r="L46" s="132" t="n"/>
    </row>
    <row r="47">
      <c r="B47" s="128" t="inlineStr">
        <is>
          <t>DRAWN BY</t>
        </is>
      </c>
      <c r="C47" s="129" t="n"/>
      <c r="D47" s="130" t="n"/>
      <c r="E47" s="131" t="inlineStr">
        <is>
          <t>DATE</t>
        </is>
      </c>
      <c r="F47" s="129" t="n"/>
      <c r="G47" s="130" t="n"/>
      <c r="H47" s="131" t="inlineStr">
        <is>
          <t>SHEET</t>
        </is>
      </c>
      <c r="I47" s="129" t="n"/>
      <c r="J47" s="130" t="n"/>
      <c r="K47" s="137" t="n"/>
      <c r="L47" s="132" t="n"/>
    </row>
    <row r="48">
      <c r="B48" s="138">
        <f>JobEst&amp;""</f>
        <v/>
      </c>
      <c r="C48" s="139" t="n"/>
      <c r="D48" s="140" t="n"/>
      <c r="E48" s="141">
        <f>TEXT(JobDate,"mm/dd/yyyy")</f>
        <v/>
      </c>
      <c r="F48" s="139" t="n"/>
      <c r="G48" s="140" t="n"/>
      <c r="H48" s="141">
        <f>"E-"&amp;Elevation!$C$5</f>
        <v/>
      </c>
      <c r="I48" s="139" t="n"/>
      <c r="J48" s="140" t="n"/>
      <c r="K48" s="139" t="n"/>
      <c r="L48" s="142" t="n"/>
    </row>
    <row r="50">
      <c r="B50" s="143" t="inlineStr">
        <is>
          <t>Drawn from the push side (outside / corridor). ▬ orange = hinge at its real location and length, letter + inches from the top of the frame.  ● red = lever at lock height, E = strike.  ‒ ‒ swing (point = hinge side).  Blue = glass / louver.  Grey dashed frame = existing / by others.</t>
        </is>
      </c>
    </row>
  </sheetData>
  <mergeCells count="29">
    <mergeCell ref="J44:K44"/>
    <mergeCell ref="O10:S10"/>
    <mergeCell ref="O19:S19"/>
    <mergeCell ref="O24:S24"/>
    <mergeCell ref="B46:F46"/>
    <mergeCell ref="O18:S18"/>
    <mergeCell ref="O9:S9"/>
    <mergeCell ref="O36:S36"/>
    <mergeCell ref="O39:S39"/>
    <mergeCell ref="O20:S20"/>
    <mergeCell ref="O32:S32"/>
    <mergeCell ref="O22:S22"/>
    <mergeCell ref="H48:J48"/>
    <mergeCell ref="O35:S35"/>
    <mergeCell ref="B44:F44"/>
    <mergeCell ref="G44:I44"/>
    <mergeCell ref="O21:S21"/>
    <mergeCell ref="O40:S40"/>
    <mergeCell ref="O27:S27"/>
    <mergeCell ref="O12:S12"/>
    <mergeCell ref="O8:S8"/>
    <mergeCell ref="O17:S17"/>
    <mergeCell ref="O11:S11"/>
    <mergeCell ref="E48:G48"/>
    <mergeCell ref="O23:S23"/>
    <mergeCell ref="O14:S14"/>
    <mergeCell ref="G46:K46"/>
    <mergeCell ref="O13:S13"/>
    <mergeCell ref="B48:D48"/>
  </mergeCells>
  <conditionalFormatting sqref="O35">
    <cfRule type="cellIs" priority="1" operator="equal" dxfId="0">
      <formula>"OK"</formula>
    </cfRule>
    <cfRule type="cellIs" priority="2" operator="equal" dxfId="1">
      <formula>"FIX"</formula>
    </cfRule>
    <cfRule type="cellIs" priority="3" operator="equal" dxfId="2">
      <formula>"CHECK"</formula>
    </cfRule>
  </conditionalFormatting>
  <dataValidations count="1">
    <dataValidation sqref="C5" showDropDown="0" showInputMessage="0" showErrorMessage="0" allowBlank="1" type="list">
      <formula1>=Takeoff!$A$6:$A$505</formula1>
    </dataValidation>
  </dataValidations>
  <pageMargins left="0.75" right="0.75" top="1" bottom="1" header="0.5" footer="0.5"/>
  <pageSetup orientation="landscape" fitToHeight="1" fitToWidth="1"/>
  <drawing xmlns:r="http://schemas.openxmlformats.org/officeDocument/2006/relationships" r:id="rId1"/>
</worksheet>
</file>

<file path=xl/worksheets/sheet5.xml><?xml version="1.0" encoding="utf-8"?>
<worksheet xmlns="http://schemas.openxmlformats.org/spreadsheetml/2006/main">
  <sheetPr>
    <tabColor rgb="00C07F00"/>
    <outlinePr summaryBelow="1" summaryRight="1"/>
    <pageSetUpPr fitToPage="1"/>
  </sheetPr>
  <dimension ref="A1:V60"/>
  <sheetViews>
    <sheetView showGridLines="0" workbookViewId="0">
      <selection activeCell="A1" sqref="A1"/>
    </sheetView>
  </sheetViews>
  <sheetFormatPr baseColWidth="8" defaultRowHeight="15"/>
  <cols>
    <col width="2" customWidth="1" min="1" max="1"/>
    <col width="8.4" customWidth="1" min="2" max="2"/>
    <col width="8.4" customWidth="1" min="3" max="3"/>
    <col width="8.4" customWidth="1" min="4" max="4"/>
    <col width="8.4" customWidth="1" min="5" max="5"/>
    <col width="8.4" customWidth="1" min="6" max="6"/>
    <col width="8.4" customWidth="1" min="7" max="7"/>
    <col width="8.4" customWidth="1" min="8" max="8"/>
    <col width="8.4" customWidth="1" min="9" max="9"/>
    <col width="8.4" customWidth="1" min="10" max="10"/>
    <col width="8.4" customWidth="1" min="11" max="11"/>
    <col width="8.4" customWidth="1" min="12" max="12"/>
    <col width="8.4" customWidth="1" min="13" max="13"/>
    <col width="8.4" customWidth="1" min="14" max="14"/>
    <col width="8.4" customWidth="1" min="15" max="15"/>
    <col width="8.4" customWidth="1" min="16" max="16"/>
    <col width="8.4" customWidth="1" min="17" max="17"/>
    <col width="8.4" customWidth="1" min="18" max="18"/>
    <col width="8.4" customWidth="1" min="19" max="19"/>
    <col width="8.4" customWidth="1" min="20" max="20"/>
    <col width="8.4" customWidth="1" min="21" max="21"/>
    <col width="8.4" customWidth="1" min="22" max="22"/>
    <col width="8.4" customWidth="1" min="23" max="23"/>
  </cols>
  <sheetData>
    <row r="1" ht="30" customHeight="1">
      <c r="A1" s="1" t="n"/>
      <c r="B1" s="38" t="inlineStr">
        <is>
          <t>ELEVATIONS</t>
        </is>
      </c>
      <c r="C1" s="1" t="n"/>
      <c r="D1" s="1" t="n"/>
      <c r="E1" s="1" t="n"/>
      <c r="F1" s="1" t="n"/>
      <c r="G1" s="1" t="n"/>
      <c r="H1" s="1" t="n"/>
      <c r="I1" s="1" t="n"/>
      <c r="J1" s="1" t="n"/>
      <c r="K1" s="1" t="n"/>
      <c r="L1" s="1" t="n"/>
      <c r="M1" s="1" t="n"/>
      <c r="N1" s="1" t="n"/>
      <c r="O1" s="1" t="n"/>
      <c r="P1" s="1" t="n"/>
      <c r="Q1" s="1" t="n"/>
      <c r="R1" s="1" t="n"/>
      <c r="S1" s="1" t="n"/>
      <c r="T1" s="1" t="n"/>
      <c r="U1" s="1" t="n"/>
      <c r="V1" s="39">
        <f>IF(JobName="","OPENING TAKEOFF  ·  FORM 3.2",JobName&amp;IF(JobNo="",""," · JOB "&amp;JobNo))</f>
        <v/>
      </c>
    </row>
    <row r="2" ht="18" customHeight="1">
      <c r="A2" s="1" t="n"/>
      <c r="B2" s="40" t="inlineStr">
        <is>
          <t>One drawing per elevation type (size, pair, lite, frame type, transom/sidelite, head). Six to a page — change the page number to see more.</t>
        </is>
      </c>
      <c r="C2" s="1" t="n"/>
      <c r="D2" s="1" t="n"/>
      <c r="E2" s="1" t="n"/>
      <c r="F2" s="1" t="n"/>
      <c r="G2" s="1" t="n"/>
      <c r="H2" s="1" t="n"/>
      <c r="I2" s="1" t="n"/>
      <c r="J2" s="1" t="n"/>
      <c r="K2" s="1" t="n"/>
      <c r="L2" s="1" t="n"/>
      <c r="M2" s="1" t="n"/>
      <c r="N2" s="1" t="n"/>
      <c r="O2" s="1" t="n"/>
      <c r="P2" s="1" t="n"/>
      <c r="Q2" s="1" t="n"/>
      <c r="R2" s="1" t="n"/>
      <c r="S2" s="1" t="n"/>
      <c r="T2" s="1" t="n"/>
      <c r="U2" s="1" t="n"/>
      <c r="V2" s="41">
        <f>TEXT(JobDate,"mmm d, yyyy")&amp;IF(JobRev="",""," · "&amp;JobRev)</f>
        <v/>
      </c>
    </row>
    <row r="3" ht="4" customHeight="1">
      <c r="A3" s="6" t="n"/>
      <c r="B3" s="6" t="n"/>
      <c r="C3" s="6" t="n"/>
      <c r="D3" s="6" t="n"/>
      <c r="E3" s="6" t="n"/>
      <c r="F3" s="6" t="n"/>
      <c r="G3" s="6" t="n"/>
      <c r="H3" s="6" t="n"/>
      <c r="I3" s="6" t="n"/>
      <c r="J3" s="6" t="n"/>
      <c r="K3" s="6" t="n"/>
      <c r="L3" s="6" t="n"/>
      <c r="M3" s="6" t="n"/>
      <c r="N3" s="6" t="n"/>
      <c r="O3" s="6" t="n"/>
      <c r="P3" s="6" t="n"/>
      <c r="Q3" s="6" t="n"/>
      <c r="R3" s="6" t="n"/>
      <c r="S3" s="6" t="n"/>
      <c r="T3" s="6" t="n"/>
      <c r="U3" s="6" t="n"/>
      <c r="V3" s="6" t="n"/>
    </row>
    <row r="5" ht="28" customHeight="1">
      <c r="B5" s="107" t="inlineStr">
        <is>
          <t>PAGE  ▸</t>
        </is>
      </c>
      <c r="C5" s="144" t="n">
        <v>1</v>
      </c>
      <c r="D5" s="145">
        <f>"of "&amp;MAX(1,ROUNDUP(MAX(tk_ETYPE)/6,0))&amp;"   ·   "&amp;MAX(tk_ETYPE)&amp;" types   ·   "&amp;SUM(tk_QTY)&amp;" openings"</f>
        <v/>
      </c>
    </row>
    <row r="7">
      <c r="B7" s="146">
        <f>IF(ElevCalc!$G$73,"TYPE "&amp;((Elevations!$C$5-1)*6+1)&amp;"   ·   "&amp;ElevCalc!$G$24&amp;IF(ElevCalc!$G$96," PAIR",""),"")</f>
        <v/>
      </c>
      <c r="C7" s="147" t="n"/>
      <c r="D7" s="147" t="n"/>
      <c r="E7" s="147" t="n"/>
      <c r="F7" s="147" t="n"/>
      <c r="G7" s="147" t="n"/>
      <c r="H7" s="148" t="n"/>
      <c r="I7" s="146">
        <f>IF(ElevCalc!$L$73,"TYPE "&amp;((Elevations!$C$5-1)*6+2)&amp;"   ·   "&amp;ElevCalc!$L$24&amp;IF(ElevCalc!$L$96," PAIR",""),"")</f>
        <v/>
      </c>
      <c r="J7" s="147" t="n"/>
      <c r="K7" s="147" t="n"/>
      <c r="L7" s="147" t="n"/>
      <c r="M7" s="147" t="n"/>
      <c r="N7" s="147" t="n"/>
      <c r="O7" s="148" t="n"/>
      <c r="P7" s="146">
        <f>IF(ElevCalc!$Q$73,"TYPE "&amp;((Elevations!$C$5-1)*6+3)&amp;"   ·   "&amp;ElevCalc!$Q$24&amp;IF(ElevCalc!$Q$96," PAIR",""),"")</f>
        <v/>
      </c>
      <c r="Q7" s="147" t="n"/>
      <c r="R7" s="147" t="n"/>
      <c r="S7" s="147" t="n"/>
      <c r="T7" s="147" t="n"/>
      <c r="U7" s="147" t="n"/>
      <c r="V7" s="148" t="n"/>
    </row>
    <row r="8">
      <c r="B8" s="149">
        <f>IF(ElevCalc!$G$73,ElevCalc!$G$4&amp;"  ·  "&amp;IF(ElevCalc!$G$93&gt;0,ElevCalc!$G$9,"no door")&amp;"  ·  "&amp;ElevCalc!$G$3&amp;IF(ElevCalc!$G$55="","","  ·  "&amp;ElevCalc!$G$55),"")</f>
        <v/>
      </c>
      <c r="C8" s="137" t="n"/>
      <c r="D8" s="137" t="n"/>
      <c r="E8" s="137" t="n"/>
      <c r="F8" s="137" t="n"/>
      <c r="G8" s="137" t="n"/>
      <c r="H8" s="150" t="n"/>
      <c r="I8" s="149">
        <f>IF(ElevCalc!$L$73,ElevCalc!$L$4&amp;"  ·  "&amp;IF(ElevCalc!$L$93&gt;0,ElevCalc!$L$9,"no door")&amp;"  ·  "&amp;ElevCalc!$L$3&amp;IF(ElevCalc!$L$55="","","  ·  "&amp;ElevCalc!$L$55),"")</f>
        <v/>
      </c>
      <c r="J8" s="137" t="n"/>
      <c r="K8" s="137" t="n"/>
      <c r="L8" s="137" t="n"/>
      <c r="M8" s="137" t="n"/>
      <c r="N8" s="137" t="n"/>
      <c r="O8" s="150" t="n"/>
      <c r="P8" s="149">
        <f>IF(ElevCalc!$Q$73,ElevCalc!$Q$4&amp;"  ·  "&amp;IF(ElevCalc!$Q$93&gt;0,ElevCalc!$Q$9,"no door")&amp;"  ·  "&amp;ElevCalc!$Q$3&amp;IF(ElevCalc!$Q$55="","","  ·  "&amp;ElevCalc!$Q$55),"")</f>
        <v/>
      </c>
      <c r="Q8" s="137" t="n"/>
      <c r="R8" s="137" t="n"/>
      <c r="S8" s="137" t="n"/>
      <c r="T8" s="137" t="n"/>
      <c r="U8" s="137" t="n"/>
      <c r="V8" s="150" t="n"/>
    </row>
    <row r="9">
      <c r="B9" s="151">
        <f>IF(ElevCalc!$G$73,SUMIF(tk_ETYPE,((Elevations!$C$5-1)*6+1),tk_QTY)&amp;" openings  ·  e.g. mark "&amp;ElevCalc!$G$2&amp;"  ·  "&amp;ElevCalc!$G$54,"")</f>
        <v/>
      </c>
      <c r="C9" s="137" t="n"/>
      <c r="D9" s="137" t="n"/>
      <c r="E9" s="137" t="n"/>
      <c r="F9" s="137" t="n"/>
      <c r="G9" s="137" t="n"/>
      <c r="H9" s="150" t="n"/>
      <c r="I9" s="151">
        <f>IF(ElevCalc!$L$73,SUMIF(tk_ETYPE,((Elevations!$C$5-1)*6+2),tk_QTY)&amp;" openings  ·  e.g. mark "&amp;ElevCalc!$L$2&amp;"  ·  "&amp;ElevCalc!$L$54,"")</f>
        <v/>
      </c>
      <c r="J9" s="137" t="n"/>
      <c r="K9" s="137" t="n"/>
      <c r="L9" s="137" t="n"/>
      <c r="M9" s="137" t="n"/>
      <c r="N9" s="137" t="n"/>
      <c r="O9" s="150" t="n"/>
      <c r="P9" s="151">
        <f>IF(ElevCalc!$Q$73,SUMIF(tk_ETYPE,((Elevations!$C$5-1)*6+3),tk_QTY)&amp;" openings  ·  e.g. mark "&amp;ElevCalc!$Q$2&amp;"  ·  "&amp;ElevCalc!$Q$54,"")</f>
        <v/>
      </c>
      <c r="Q9" s="137" t="n"/>
      <c r="R9" s="137" t="n"/>
      <c r="S9" s="137" t="n"/>
      <c r="T9" s="137" t="n"/>
      <c r="U9" s="137" t="n"/>
      <c r="V9" s="150" t="n"/>
    </row>
    <row r="10">
      <c r="B10" s="152">
        <f>IF(ElevCalc!$G$73,ElevCalc!$G$59,"")</f>
        <v/>
      </c>
      <c r="C10" s="137" t="n"/>
      <c r="D10" s="137" t="n"/>
      <c r="E10" s="137" t="n"/>
      <c r="F10" s="137" t="n"/>
      <c r="G10" s="137" t="n"/>
      <c r="H10" s="150" t="n"/>
      <c r="I10" s="152">
        <f>IF(ElevCalc!$L$73,ElevCalc!$L$59,"")</f>
        <v/>
      </c>
      <c r="J10" s="137" t="n"/>
      <c r="K10" s="137" t="n"/>
      <c r="L10" s="137" t="n"/>
      <c r="M10" s="137" t="n"/>
      <c r="N10" s="137" t="n"/>
      <c r="O10" s="150" t="n"/>
      <c r="P10" s="152">
        <f>IF(ElevCalc!$Q$73,ElevCalc!$Q$59,"")</f>
        <v/>
      </c>
      <c r="Q10" s="137" t="n"/>
      <c r="R10" s="137" t="n"/>
      <c r="S10" s="137" t="n"/>
      <c r="T10" s="137" t="n"/>
      <c r="U10" s="137" t="n"/>
      <c r="V10" s="150" t="n"/>
    </row>
    <row r="11">
      <c r="B11" s="153" t="n"/>
      <c r="C11" s="137" t="n"/>
      <c r="D11" s="137" t="n"/>
      <c r="E11" s="137" t="n"/>
      <c r="F11" s="137" t="n"/>
      <c r="G11" s="137" t="n"/>
      <c r="H11" s="150" t="n"/>
      <c r="I11" s="153" t="n"/>
      <c r="J11" s="137" t="n"/>
      <c r="K11" s="137" t="n"/>
      <c r="L11" s="137" t="n"/>
      <c r="M11" s="137" t="n"/>
      <c r="N11" s="137" t="n"/>
      <c r="O11" s="150" t="n"/>
      <c r="P11" s="153" t="n"/>
      <c r="Q11" s="137" t="n"/>
      <c r="R11" s="137" t="n"/>
      <c r="S11" s="137" t="n"/>
      <c r="T11" s="137" t="n"/>
      <c r="U11" s="137" t="n"/>
      <c r="V11" s="150" t="n"/>
    </row>
    <row r="12">
      <c r="B12" s="153" t="n"/>
      <c r="C12" s="137" t="n"/>
      <c r="D12" s="137" t="n"/>
      <c r="E12" s="137" t="n"/>
      <c r="F12" s="137" t="n"/>
      <c r="G12" s="137" t="n"/>
      <c r="H12" s="150" t="n"/>
      <c r="I12" s="153" t="n"/>
      <c r="J12" s="137" t="n"/>
      <c r="K12" s="137" t="n"/>
      <c r="L12" s="137" t="n"/>
      <c r="M12" s="137" t="n"/>
      <c r="N12" s="137" t="n"/>
      <c r="O12" s="150" t="n"/>
      <c r="P12" s="153" t="n"/>
      <c r="Q12" s="137" t="n"/>
      <c r="R12" s="137" t="n"/>
      <c r="S12" s="137" t="n"/>
      <c r="T12" s="137" t="n"/>
      <c r="U12" s="137" t="n"/>
      <c r="V12" s="150" t="n"/>
    </row>
    <row r="13">
      <c r="B13" s="153" t="n"/>
      <c r="C13" s="137" t="n"/>
      <c r="D13" s="137" t="n"/>
      <c r="E13" s="137" t="n"/>
      <c r="F13" s="137" t="n"/>
      <c r="G13" s="137" t="n"/>
      <c r="H13" s="150" t="n"/>
      <c r="I13" s="153" t="n"/>
      <c r="J13" s="137" t="n"/>
      <c r="K13" s="137" t="n"/>
      <c r="L13" s="137" t="n"/>
      <c r="M13" s="137" t="n"/>
      <c r="N13" s="137" t="n"/>
      <c r="O13" s="150" t="n"/>
      <c r="P13" s="153" t="n"/>
      <c r="Q13" s="137" t="n"/>
      <c r="R13" s="137" t="n"/>
      <c r="S13" s="137" t="n"/>
      <c r="T13" s="137" t="n"/>
      <c r="U13" s="137" t="n"/>
      <c r="V13" s="150" t="n"/>
    </row>
    <row r="14">
      <c r="B14" s="153" t="n"/>
      <c r="C14" s="137" t="n"/>
      <c r="D14" s="137" t="n"/>
      <c r="E14" s="137" t="n"/>
      <c r="F14" s="137" t="n"/>
      <c r="G14" s="137" t="n"/>
      <c r="H14" s="150" t="n"/>
      <c r="I14" s="153" t="n"/>
      <c r="J14" s="137" t="n"/>
      <c r="K14" s="137" t="n"/>
      <c r="L14" s="137" t="n"/>
      <c r="M14" s="137" t="n"/>
      <c r="N14" s="137" t="n"/>
      <c r="O14" s="150" t="n"/>
      <c r="P14" s="153" t="n"/>
      <c r="Q14" s="137" t="n"/>
      <c r="R14" s="137" t="n"/>
      <c r="S14" s="137" t="n"/>
      <c r="T14" s="137" t="n"/>
      <c r="U14" s="137" t="n"/>
      <c r="V14" s="150" t="n"/>
    </row>
    <row r="15">
      <c r="B15" s="153" t="n"/>
      <c r="C15" s="137" t="n"/>
      <c r="D15" s="137" t="n"/>
      <c r="E15" s="137" t="n"/>
      <c r="F15" s="137" t="n"/>
      <c r="G15" s="137" t="n"/>
      <c r="H15" s="150" t="n"/>
      <c r="I15" s="153" t="n"/>
      <c r="J15" s="137" t="n"/>
      <c r="K15" s="137" t="n"/>
      <c r="L15" s="137" t="n"/>
      <c r="M15" s="137" t="n"/>
      <c r="N15" s="137" t="n"/>
      <c r="O15" s="150" t="n"/>
      <c r="P15" s="153" t="n"/>
      <c r="Q15" s="137" t="n"/>
      <c r="R15" s="137" t="n"/>
      <c r="S15" s="137" t="n"/>
      <c r="T15" s="137" t="n"/>
      <c r="U15" s="137" t="n"/>
      <c r="V15" s="150" t="n"/>
    </row>
    <row r="16">
      <c r="B16" s="153" t="n"/>
      <c r="C16" s="137" t="n"/>
      <c r="D16" s="137" t="n"/>
      <c r="E16" s="137" t="n"/>
      <c r="F16" s="137" t="n"/>
      <c r="G16" s="137" t="n"/>
      <c r="H16" s="150" t="n"/>
      <c r="I16" s="153" t="n"/>
      <c r="J16" s="137" t="n"/>
      <c r="K16" s="137" t="n"/>
      <c r="L16" s="137" t="n"/>
      <c r="M16" s="137" t="n"/>
      <c r="N16" s="137" t="n"/>
      <c r="O16" s="150" t="n"/>
      <c r="P16" s="153" t="n"/>
      <c r="Q16" s="137" t="n"/>
      <c r="R16" s="137" t="n"/>
      <c r="S16" s="137" t="n"/>
      <c r="T16" s="137" t="n"/>
      <c r="U16" s="137" t="n"/>
      <c r="V16" s="150" t="n"/>
    </row>
    <row r="17">
      <c r="B17" s="153" t="n"/>
      <c r="C17" s="137" t="n"/>
      <c r="D17" s="137" t="n"/>
      <c r="E17" s="137" t="n"/>
      <c r="F17" s="137" t="n"/>
      <c r="G17" s="137" t="n"/>
      <c r="H17" s="150" t="n"/>
      <c r="I17" s="153" t="n"/>
      <c r="J17" s="137" t="n"/>
      <c r="K17" s="137" t="n"/>
      <c r="L17" s="137" t="n"/>
      <c r="M17" s="137" t="n"/>
      <c r="N17" s="137" t="n"/>
      <c r="O17" s="150" t="n"/>
      <c r="P17" s="153" t="n"/>
      <c r="Q17" s="137" t="n"/>
      <c r="R17" s="137" t="n"/>
      <c r="S17" s="137" t="n"/>
      <c r="T17" s="137" t="n"/>
      <c r="U17" s="137" t="n"/>
      <c r="V17" s="150" t="n"/>
    </row>
    <row r="18">
      <c r="B18" s="153" t="n"/>
      <c r="C18" s="137" t="n"/>
      <c r="D18" s="137" t="n"/>
      <c r="E18" s="137" t="n"/>
      <c r="F18" s="137" t="n"/>
      <c r="G18" s="137" t="n"/>
      <c r="H18" s="150" t="n"/>
      <c r="I18" s="153" t="n"/>
      <c r="J18" s="137" t="n"/>
      <c r="K18" s="137" t="n"/>
      <c r="L18" s="137" t="n"/>
      <c r="M18" s="137" t="n"/>
      <c r="N18" s="137" t="n"/>
      <c r="O18" s="150" t="n"/>
      <c r="P18" s="153" t="n"/>
      <c r="Q18" s="137" t="n"/>
      <c r="R18" s="137" t="n"/>
      <c r="S18" s="137" t="n"/>
      <c r="T18" s="137" t="n"/>
      <c r="U18" s="137" t="n"/>
      <c r="V18" s="150" t="n"/>
    </row>
    <row r="19">
      <c r="B19" s="153" t="n"/>
      <c r="C19" s="137" t="n"/>
      <c r="D19" s="137" t="n"/>
      <c r="E19" s="137" t="n"/>
      <c r="F19" s="137" t="n"/>
      <c r="G19" s="137" t="n"/>
      <c r="H19" s="150" t="n"/>
      <c r="I19" s="153" t="n"/>
      <c r="J19" s="137" t="n"/>
      <c r="K19" s="137" t="n"/>
      <c r="L19" s="137" t="n"/>
      <c r="M19" s="137" t="n"/>
      <c r="N19" s="137" t="n"/>
      <c r="O19" s="150" t="n"/>
      <c r="P19" s="153" t="n"/>
      <c r="Q19" s="137" t="n"/>
      <c r="R19" s="137" t="n"/>
      <c r="S19" s="137" t="n"/>
      <c r="T19" s="137" t="n"/>
      <c r="U19" s="137" t="n"/>
      <c r="V19" s="150" t="n"/>
    </row>
    <row r="20">
      <c r="B20" s="153" t="n"/>
      <c r="C20" s="137" t="n"/>
      <c r="D20" s="137" t="n"/>
      <c r="E20" s="137" t="n"/>
      <c r="F20" s="137" t="n"/>
      <c r="G20" s="137" t="n"/>
      <c r="H20" s="150" t="n"/>
      <c r="I20" s="153" t="n"/>
      <c r="J20" s="137" t="n"/>
      <c r="K20" s="137" t="n"/>
      <c r="L20" s="137" t="n"/>
      <c r="M20" s="137" t="n"/>
      <c r="N20" s="137" t="n"/>
      <c r="O20" s="150" t="n"/>
      <c r="P20" s="153" t="n"/>
      <c r="Q20" s="137" t="n"/>
      <c r="R20" s="137" t="n"/>
      <c r="S20" s="137" t="n"/>
      <c r="T20" s="137" t="n"/>
      <c r="U20" s="137" t="n"/>
      <c r="V20" s="150" t="n"/>
    </row>
    <row r="21">
      <c r="B21" s="153" t="n"/>
      <c r="C21" s="137" t="n"/>
      <c r="D21" s="137" t="n"/>
      <c r="E21" s="137" t="n"/>
      <c r="F21" s="137" t="n"/>
      <c r="G21" s="137" t="n"/>
      <c r="H21" s="150" t="n"/>
      <c r="I21" s="153" t="n"/>
      <c r="J21" s="137" t="n"/>
      <c r="K21" s="137" t="n"/>
      <c r="L21" s="137" t="n"/>
      <c r="M21" s="137" t="n"/>
      <c r="N21" s="137" t="n"/>
      <c r="O21" s="150" t="n"/>
      <c r="P21" s="153" t="n"/>
      <c r="Q21" s="137" t="n"/>
      <c r="R21" s="137" t="n"/>
      <c r="S21" s="137" t="n"/>
      <c r="T21" s="137" t="n"/>
      <c r="U21" s="137" t="n"/>
      <c r="V21" s="150" t="n"/>
    </row>
    <row r="22">
      <c r="B22" s="153" t="n"/>
      <c r="C22" s="137" t="n"/>
      <c r="D22" s="137" t="n"/>
      <c r="E22" s="137" t="n"/>
      <c r="F22" s="137" t="n"/>
      <c r="G22" s="137" t="n"/>
      <c r="H22" s="150" t="n"/>
      <c r="I22" s="153" t="n"/>
      <c r="J22" s="137" t="n"/>
      <c r="K22" s="137" t="n"/>
      <c r="L22" s="137" t="n"/>
      <c r="M22" s="137" t="n"/>
      <c r="N22" s="137" t="n"/>
      <c r="O22" s="150" t="n"/>
      <c r="P22" s="153" t="n"/>
      <c r="Q22" s="137" t="n"/>
      <c r="R22" s="137" t="n"/>
      <c r="S22" s="137" t="n"/>
      <c r="T22" s="137" t="n"/>
      <c r="U22" s="137" t="n"/>
      <c r="V22" s="150" t="n"/>
    </row>
    <row r="23">
      <c r="B23" s="153" t="n"/>
      <c r="C23" s="137" t="n"/>
      <c r="D23" s="137" t="n"/>
      <c r="E23" s="137" t="n"/>
      <c r="F23" s="137" t="n"/>
      <c r="G23" s="137" t="n"/>
      <c r="H23" s="150" t="n"/>
      <c r="I23" s="153" t="n"/>
      <c r="J23" s="137" t="n"/>
      <c r="K23" s="137" t="n"/>
      <c r="L23" s="137" t="n"/>
      <c r="M23" s="137" t="n"/>
      <c r="N23" s="137" t="n"/>
      <c r="O23" s="150" t="n"/>
      <c r="P23" s="153" t="n"/>
      <c r="Q23" s="137" t="n"/>
      <c r="R23" s="137" t="n"/>
      <c r="S23" s="137" t="n"/>
      <c r="T23" s="137" t="n"/>
      <c r="U23" s="137" t="n"/>
      <c r="V23" s="150" t="n"/>
    </row>
    <row r="24">
      <c r="B24" s="153" t="n"/>
      <c r="C24" s="137" t="n"/>
      <c r="D24" s="137" t="n"/>
      <c r="E24" s="137" t="n"/>
      <c r="F24" s="137" t="n"/>
      <c r="G24" s="137" t="n"/>
      <c r="H24" s="150" t="n"/>
      <c r="I24" s="153" t="n"/>
      <c r="J24" s="137" t="n"/>
      <c r="K24" s="137" t="n"/>
      <c r="L24" s="137" t="n"/>
      <c r="M24" s="137" t="n"/>
      <c r="N24" s="137" t="n"/>
      <c r="O24" s="150" t="n"/>
      <c r="P24" s="153" t="n"/>
      <c r="Q24" s="137" t="n"/>
      <c r="R24" s="137" t="n"/>
      <c r="S24" s="137" t="n"/>
      <c r="T24" s="137" t="n"/>
      <c r="U24" s="137" t="n"/>
      <c r="V24" s="150" t="n"/>
    </row>
    <row r="25">
      <c r="B25" s="153" t="n"/>
      <c r="C25" s="137" t="n"/>
      <c r="D25" s="137" t="n"/>
      <c r="E25" s="137" t="n"/>
      <c r="F25" s="137" t="n"/>
      <c r="G25" s="137" t="n"/>
      <c r="H25" s="150" t="n"/>
      <c r="I25" s="153" t="n"/>
      <c r="J25" s="137" t="n"/>
      <c r="K25" s="137" t="n"/>
      <c r="L25" s="137" t="n"/>
      <c r="M25" s="137" t="n"/>
      <c r="N25" s="137" t="n"/>
      <c r="O25" s="150" t="n"/>
      <c r="P25" s="153" t="n"/>
      <c r="Q25" s="137" t="n"/>
      <c r="R25" s="137" t="n"/>
      <c r="S25" s="137" t="n"/>
      <c r="T25" s="137" t="n"/>
      <c r="U25" s="137" t="n"/>
      <c r="V25" s="150" t="n"/>
    </row>
    <row r="26">
      <c r="B26" s="153" t="n"/>
      <c r="C26" s="137" t="n"/>
      <c r="D26" s="137" t="n"/>
      <c r="E26" s="137" t="n"/>
      <c r="F26" s="137" t="n"/>
      <c r="G26" s="137" t="n"/>
      <c r="H26" s="150" t="n"/>
      <c r="I26" s="153" t="n"/>
      <c r="J26" s="137" t="n"/>
      <c r="K26" s="137" t="n"/>
      <c r="L26" s="137" t="n"/>
      <c r="M26" s="137" t="n"/>
      <c r="N26" s="137" t="n"/>
      <c r="O26" s="150" t="n"/>
      <c r="P26" s="153" t="n"/>
      <c r="Q26" s="137" t="n"/>
      <c r="R26" s="137" t="n"/>
      <c r="S26" s="137" t="n"/>
      <c r="T26" s="137" t="n"/>
      <c r="U26" s="137" t="n"/>
      <c r="V26" s="150" t="n"/>
    </row>
    <row r="27">
      <c r="B27" s="153" t="n"/>
      <c r="C27" s="137" t="n"/>
      <c r="D27" s="137" t="n"/>
      <c r="E27" s="137" t="n"/>
      <c r="F27" s="137" t="n"/>
      <c r="G27" s="137" t="n"/>
      <c r="H27" s="150" t="n"/>
      <c r="I27" s="153" t="n"/>
      <c r="J27" s="137" t="n"/>
      <c r="K27" s="137" t="n"/>
      <c r="L27" s="137" t="n"/>
      <c r="M27" s="137" t="n"/>
      <c r="N27" s="137" t="n"/>
      <c r="O27" s="150" t="n"/>
      <c r="P27" s="153" t="n"/>
      <c r="Q27" s="137" t="n"/>
      <c r="R27" s="137" t="n"/>
      <c r="S27" s="137" t="n"/>
      <c r="T27" s="137" t="n"/>
      <c r="U27" s="137" t="n"/>
      <c r="V27" s="150" t="n"/>
    </row>
    <row r="28">
      <c r="B28" s="153" t="n"/>
      <c r="C28" s="137" t="n"/>
      <c r="D28" s="137" t="n"/>
      <c r="E28" s="137" t="n"/>
      <c r="F28" s="137" t="n"/>
      <c r="G28" s="137" t="n"/>
      <c r="H28" s="150" t="n"/>
      <c r="I28" s="153" t="n"/>
      <c r="J28" s="137" t="n"/>
      <c r="K28" s="137" t="n"/>
      <c r="L28" s="137" t="n"/>
      <c r="M28" s="137" t="n"/>
      <c r="N28" s="137" t="n"/>
      <c r="O28" s="150" t="n"/>
      <c r="P28" s="153" t="n"/>
      <c r="Q28" s="137" t="n"/>
      <c r="R28" s="137" t="n"/>
      <c r="S28" s="137" t="n"/>
      <c r="T28" s="137" t="n"/>
      <c r="U28" s="137" t="n"/>
      <c r="V28" s="150" t="n"/>
    </row>
    <row r="29">
      <c r="B29" s="153" t="n"/>
      <c r="C29" s="137" t="n"/>
      <c r="D29" s="137" t="n"/>
      <c r="E29" s="137" t="n"/>
      <c r="F29" s="137" t="n"/>
      <c r="G29" s="137" t="n"/>
      <c r="H29" s="150" t="n"/>
      <c r="I29" s="153" t="n"/>
      <c r="J29" s="137" t="n"/>
      <c r="K29" s="137" t="n"/>
      <c r="L29" s="137" t="n"/>
      <c r="M29" s="137" t="n"/>
      <c r="N29" s="137" t="n"/>
      <c r="O29" s="150" t="n"/>
      <c r="P29" s="153" t="n"/>
      <c r="Q29" s="137" t="n"/>
      <c r="R29" s="137" t="n"/>
      <c r="S29" s="137" t="n"/>
      <c r="T29" s="137" t="n"/>
      <c r="U29" s="137" t="n"/>
      <c r="V29" s="150" t="n"/>
    </row>
    <row r="30">
      <c r="B30" s="153" t="n"/>
      <c r="C30" s="137" t="n"/>
      <c r="D30" s="137" t="n"/>
      <c r="E30" s="137" t="n"/>
      <c r="F30" s="137" t="n"/>
      <c r="G30" s="137" t="n"/>
      <c r="H30" s="150" t="n"/>
      <c r="I30" s="153" t="n"/>
      <c r="J30" s="137" t="n"/>
      <c r="K30" s="137" t="n"/>
      <c r="L30" s="137" t="n"/>
      <c r="M30" s="137" t="n"/>
      <c r="N30" s="137" t="n"/>
      <c r="O30" s="150" t="n"/>
      <c r="P30" s="153" t="n"/>
      <c r="Q30" s="137" t="n"/>
      <c r="R30" s="137" t="n"/>
      <c r="S30" s="137" t="n"/>
      <c r="T30" s="137" t="n"/>
      <c r="U30" s="137" t="n"/>
      <c r="V30" s="150" t="n"/>
    </row>
    <row r="31">
      <c r="B31" s="153" t="n"/>
      <c r="C31" s="137" t="n"/>
      <c r="D31" s="137" t="n"/>
      <c r="E31" s="137" t="n"/>
      <c r="F31" s="137" t="n"/>
      <c r="G31" s="137" t="n"/>
      <c r="H31" s="150" t="n"/>
      <c r="I31" s="153" t="n"/>
      <c r="J31" s="137" t="n"/>
      <c r="K31" s="137" t="n"/>
      <c r="L31" s="137" t="n"/>
      <c r="M31" s="137" t="n"/>
      <c r="N31" s="137" t="n"/>
      <c r="O31" s="150" t="n"/>
      <c r="P31" s="153" t="n"/>
      <c r="Q31" s="137" t="n"/>
      <c r="R31" s="137" t="n"/>
      <c r="S31" s="137" t="n"/>
      <c r="T31" s="137" t="n"/>
      <c r="U31" s="137" t="n"/>
      <c r="V31" s="150" t="n"/>
    </row>
    <row r="32">
      <c r="B32" s="154" t="n"/>
      <c r="C32" s="134" t="n"/>
      <c r="D32" s="134" t="n"/>
      <c r="E32" s="134" t="n"/>
      <c r="F32" s="134" t="n"/>
      <c r="G32" s="134" t="n"/>
      <c r="H32" s="135" t="n"/>
      <c r="I32" s="154" t="n"/>
      <c r="J32" s="134" t="n"/>
      <c r="K32" s="134" t="n"/>
      <c r="L32" s="134" t="n"/>
      <c r="M32" s="134" t="n"/>
      <c r="N32" s="134" t="n"/>
      <c r="O32" s="135" t="n"/>
      <c r="P32" s="154" t="n"/>
      <c r="Q32" s="134" t="n"/>
      <c r="R32" s="134" t="n"/>
      <c r="S32" s="134" t="n"/>
      <c r="T32" s="134" t="n"/>
      <c r="U32" s="134" t="n"/>
      <c r="V32" s="135" t="n"/>
    </row>
    <row r="35">
      <c r="B35" s="146">
        <f>IF(ElevCalc!$V$73,"TYPE "&amp;((Elevations!$C$5-1)*6+4)&amp;"   ·   "&amp;ElevCalc!$V$24&amp;IF(ElevCalc!$V$96," PAIR",""),"")</f>
        <v/>
      </c>
      <c r="C35" s="147" t="n"/>
      <c r="D35" s="147" t="n"/>
      <c r="E35" s="147" t="n"/>
      <c r="F35" s="147" t="n"/>
      <c r="G35" s="147" t="n"/>
      <c r="H35" s="148" t="n"/>
      <c r="I35" s="146">
        <f>IF(ElevCalc!$AA$73,"TYPE "&amp;((Elevations!$C$5-1)*6+5)&amp;"   ·   "&amp;ElevCalc!$AA$24&amp;IF(ElevCalc!$AA$96," PAIR",""),"")</f>
        <v/>
      </c>
      <c r="J35" s="147" t="n"/>
      <c r="K35" s="147" t="n"/>
      <c r="L35" s="147" t="n"/>
      <c r="M35" s="147" t="n"/>
      <c r="N35" s="147" t="n"/>
      <c r="O35" s="148" t="n"/>
      <c r="P35" s="146">
        <f>IF(ElevCalc!$AF$73,"TYPE "&amp;((Elevations!$C$5-1)*6+6)&amp;"   ·   "&amp;ElevCalc!$AF$24&amp;IF(ElevCalc!$AF$96," PAIR",""),"")</f>
        <v/>
      </c>
      <c r="Q35" s="147" t="n"/>
      <c r="R35" s="147" t="n"/>
      <c r="S35" s="147" t="n"/>
      <c r="T35" s="147" t="n"/>
      <c r="U35" s="147" t="n"/>
      <c r="V35" s="148" t="n"/>
    </row>
    <row r="36">
      <c r="B36" s="149">
        <f>IF(ElevCalc!$V$73,ElevCalc!$V$4&amp;"  ·  "&amp;IF(ElevCalc!$V$93&gt;0,ElevCalc!$V$9,"no door")&amp;"  ·  "&amp;ElevCalc!$V$3&amp;IF(ElevCalc!$V$55="","","  ·  "&amp;ElevCalc!$V$55),"")</f>
        <v/>
      </c>
      <c r="C36" s="137" t="n"/>
      <c r="D36" s="137" t="n"/>
      <c r="E36" s="137" t="n"/>
      <c r="F36" s="137" t="n"/>
      <c r="G36" s="137" t="n"/>
      <c r="H36" s="150" t="n"/>
      <c r="I36" s="149">
        <f>IF(ElevCalc!$AA$73,ElevCalc!$AA$4&amp;"  ·  "&amp;IF(ElevCalc!$AA$93&gt;0,ElevCalc!$AA$9,"no door")&amp;"  ·  "&amp;ElevCalc!$AA$3&amp;IF(ElevCalc!$AA$55="","","  ·  "&amp;ElevCalc!$AA$55),"")</f>
        <v/>
      </c>
      <c r="J36" s="137" t="n"/>
      <c r="K36" s="137" t="n"/>
      <c r="L36" s="137" t="n"/>
      <c r="M36" s="137" t="n"/>
      <c r="N36" s="137" t="n"/>
      <c r="O36" s="150" t="n"/>
      <c r="P36" s="149">
        <f>IF(ElevCalc!$AF$73,ElevCalc!$AF$4&amp;"  ·  "&amp;IF(ElevCalc!$AF$93&gt;0,ElevCalc!$AF$9,"no door")&amp;"  ·  "&amp;ElevCalc!$AF$3&amp;IF(ElevCalc!$AF$55="","","  ·  "&amp;ElevCalc!$AF$55),"")</f>
        <v/>
      </c>
      <c r="Q36" s="137" t="n"/>
      <c r="R36" s="137" t="n"/>
      <c r="S36" s="137" t="n"/>
      <c r="T36" s="137" t="n"/>
      <c r="U36" s="137" t="n"/>
      <c r="V36" s="150" t="n"/>
    </row>
    <row r="37">
      <c r="B37" s="151">
        <f>IF(ElevCalc!$V$73,SUMIF(tk_ETYPE,((Elevations!$C$5-1)*6+4),tk_QTY)&amp;" openings  ·  e.g. mark "&amp;ElevCalc!$V$2&amp;"  ·  "&amp;ElevCalc!$V$54,"")</f>
        <v/>
      </c>
      <c r="C37" s="137" t="n"/>
      <c r="D37" s="137" t="n"/>
      <c r="E37" s="137" t="n"/>
      <c r="F37" s="137" t="n"/>
      <c r="G37" s="137" t="n"/>
      <c r="H37" s="150" t="n"/>
      <c r="I37" s="151">
        <f>IF(ElevCalc!$AA$73,SUMIF(tk_ETYPE,((Elevations!$C$5-1)*6+5),tk_QTY)&amp;" openings  ·  e.g. mark "&amp;ElevCalc!$AA$2&amp;"  ·  "&amp;ElevCalc!$AA$54,"")</f>
        <v/>
      </c>
      <c r="J37" s="137" t="n"/>
      <c r="K37" s="137" t="n"/>
      <c r="L37" s="137" t="n"/>
      <c r="M37" s="137" t="n"/>
      <c r="N37" s="137" t="n"/>
      <c r="O37" s="150" t="n"/>
      <c r="P37" s="151">
        <f>IF(ElevCalc!$AF$73,SUMIF(tk_ETYPE,((Elevations!$C$5-1)*6+6),tk_QTY)&amp;" openings  ·  e.g. mark "&amp;ElevCalc!$AF$2&amp;"  ·  "&amp;ElevCalc!$AF$54,"")</f>
        <v/>
      </c>
      <c r="Q37" s="137" t="n"/>
      <c r="R37" s="137" t="n"/>
      <c r="S37" s="137" t="n"/>
      <c r="T37" s="137" t="n"/>
      <c r="U37" s="137" t="n"/>
      <c r="V37" s="150" t="n"/>
    </row>
    <row r="38">
      <c r="B38" s="152">
        <f>IF(ElevCalc!$V$73,ElevCalc!$V$59,"")</f>
        <v/>
      </c>
      <c r="C38" s="137" t="n"/>
      <c r="D38" s="137" t="n"/>
      <c r="E38" s="137" t="n"/>
      <c r="F38" s="137" t="n"/>
      <c r="G38" s="137" t="n"/>
      <c r="H38" s="150" t="n"/>
      <c r="I38" s="152">
        <f>IF(ElevCalc!$AA$73,ElevCalc!$AA$59,"")</f>
        <v/>
      </c>
      <c r="J38" s="137" t="n"/>
      <c r="K38" s="137" t="n"/>
      <c r="L38" s="137" t="n"/>
      <c r="M38" s="137" t="n"/>
      <c r="N38" s="137" t="n"/>
      <c r="O38" s="150" t="n"/>
      <c r="P38" s="152">
        <f>IF(ElevCalc!$AF$73,ElevCalc!$AF$59,"")</f>
        <v/>
      </c>
      <c r="Q38" s="137" t="n"/>
      <c r="R38" s="137" t="n"/>
      <c r="S38" s="137" t="n"/>
      <c r="T38" s="137" t="n"/>
      <c r="U38" s="137" t="n"/>
      <c r="V38" s="150" t="n"/>
    </row>
    <row r="39">
      <c r="B39" s="153" t="n"/>
      <c r="C39" s="137" t="n"/>
      <c r="D39" s="137" t="n"/>
      <c r="E39" s="137" t="n"/>
      <c r="F39" s="137" t="n"/>
      <c r="G39" s="137" t="n"/>
      <c r="H39" s="150" t="n"/>
      <c r="I39" s="153" t="n"/>
      <c r="J39" s="137" t="n"/>
      <c r="K39" s="137" t="n"/>
      <c r="L39" s="137" t="n"/>
      <c r="M39" s="137" t="n"/>
      <c r="N39" s="137" t="n"/>
      <c r="O39" s="150" t="n"/>
      <c r="P39" s="153" t="n"/>
      <c r="Q39" s="137" t="n"/>
      <c r="R39" s="137" t="n"/>
      <c r="S39" s="137" t="n"/>
      <c r="T39" s="137" t="n"/>
      <c r="U39" s="137" t="n"/>
      <c r="V39" s="150" t="n"/>
    </row>
    <row r="40">
      <c r="B40" s="153" t="n"/>
      <c r="C40" s="137" t="n"/>
      <c r="D40" s="137" t="n"/>
      <c r="E40" s="137" t="n"/>
      <c r="F40" s="137" t="n"/>
      <c r="G40" s="137" t="n"/>
      <c r="H40" s="150" t="n"/>
      <c r="I40" s="153" t="n"/>
      <c r="J40" s="137" t="n"/>
      <c r="K40" s="137" t="n"/>
      <c r="L40" s="137" t="n"/>
      <c r="M40" s="137" t="n"/>
      <c r="N40" s="137" t="n"/>
      <c r="O40" s="150" t="n"/>
      <c r="P40" s="153" t="n"/>
      <c r="Q40" s="137" t="n"/>
      <c r="R40" s="137" t="n"/>
      <c r="S40" s="137" t="n"/>
      <c r="T40" s="137" t="n"/>
      <c r="U40" s="137" t="n"/>
      <c r="V40" s="150" t="n"/>
    </row>
    <row r="41">
      <c r="B41" s="153" t="n"/>
      <c r="C41" s="137" t="n"/>
      <c r="D41" s="137" t="n"/>
      <c r="E41" s="137" t="n"/>
      <c r="F41" s="137" t="n"/>
      <c r="G41" s="137" t="n"/>
      <c r="H41" s="150" t="n"/>
      <c r="I41" s="153" t="n"/>
      <c r="J41" s="137" t="n"/>
      <c r="K41" s="137" t="n"/>
      <c r="L41" s="137" t="n"/>
      <c r="M41" s="137" t="n"/>
      <c r="N41" s="137" t="n"/>
      <c r="O41" s="150" t="n"/>
      <c r="P41" s="153" t="n"/>
      <c r="Q41" s="137" t="n"/>
      <c r="R41" s="137" t="n"/>
      <c r="S41" s="137" t="n"/>
      <c r="T41" s="137" t="n"/>
      <c r="U41" s="137" t="n"/>
      <c r="V41" s="150" t="n"/>
    </row>
    <row r="42">
      <c r="B42" s="153" t="n"/>
      <c r="C42" s="137" t="n"/>
      <c r="D42" s="137" t="n"/>
      <c r="E42" s="137" t="n"/>
      <c r="F42" s="137" t="n"/>
      <c r="G42" s="137" t="n"/>
      <c r="H42" s="150" t="n"/>
      <c r="I42" s="153" t="n"/>
      <c r="J42" s="137" t="n"/>
      <c r="K42" s="137" t="n"/>
      <c r="L42" s="137" t="n"/>
      <c r="M42" s="137" t="n"/>
      <c r="N42" s="137" t="n"/>
      <c r="O42" s="150" t="n"/>
      <c r="P42" s="153" t="n"/>
      <c r="Q42" s="137" t="n"/>
      <c r="R42" s="137" t="n"/>
      <c r="S42" s="137" t="n"/>
      <c r="T42" s="137" t="n"/>
      <c r="U42" s="137" t="n"/>
      <c r="V42" s="150" t="n"/>
    </row>
    <row r="43">
      <c r="B43" s="153" t="n"/>
      <c r="C43" s="137" t="n"/>
      <c r="D43" s="137" t="n"/>
      <c r="E43" s="137" t="n"/>
      <c r="F43" s="137" t="n"/>
      <c r="G43" s="137" t="n"/>
      <c r="H43" s="150" t="n"/>
      <c r="I43" s="153" t="n"/>
      <c r="J43" s="137" t="n"/>
      <c r="K43" s="137" t="n"/>
      <c r="L43" s="137" t="n"/>
      <c r="M43" s="137" t="n"/>
      <c r="N43" s="137" t="n"/>
      <c r="O43" s="150" t="n"/>
      <c r="P43" s="153" t="n"/>
      <c r="Q43" s="137" t="n"/>
      <c r="R43" s="137" t="n"/>
      <c r="S43" s="137" t="n"/>
      <c r="T43" s="137" t="n"/>
      <c r="U43" s="137" t="n"/>
      <c r="V43" s="150" t="n"/>
    </row>
    <row r="44">
      <c r="B44" s="153" t="n"/>
      <c r="C44" s="137" t="n"/>
      <c r="D44" s="137" t="n"/>
      <c r="E44" s="137" t="n"/>
      <c r="F44" s="137" t="n"/>
      <c r="G44" s="137" t="n"/>
      <c r="H44" s="150" t="n"/>
      <c r="I44" s="153" t="n"/>
      <c r="J44" s="137" t="n"/>
      <c r="K44" s="137" t="n"/>
      <c r="L44" s="137" t="n"/>
      <c r="M44" s="137" t="n"/>
      <c r="N44" s="137" t="n"/>
      <c r="O44" s="150" t="n"/>
      <c r="P44" s="153" t="n"/>
      <c r="Q44" s="137" t="n"/>
      <c r="R44" s="137" t="n"/>
      <c r="S44" s="137" t="n"/>
      <c r="T44" s="137" t="n"/>
      <c r="U44" s="137" t="n"/>
      <c r="V44" s="150" t="n"/>
    </row>
    <row r="45">
      <c r="B45" s="153" t="n"/>
      <c r="C45" s="137" t="n"/>
      <c r="D45" s="137" t="n"/>
      <c r="E45" s="137" t="n"/>
      <c r="F45" s="137" t="n"/>
      <c r="G45" s="137" t="n"/>
      <c r="H45" s="150" t="n"/>
      <c r="I45" s="153" t="n"/>
      <c r="J45" s="137" t="n"/>
      <c r="K45" s="137" t="n"/>
      <c r="L45" s="137" t="n"/>
      <c r="M45" s="137" t="n"/>
      <c r="N45" s="137" t="n"/>
      <c r="O45" s="150" t="n"/>
      <c r="P45" s="153" t="n"/>
      <c r="Q45" s="137" t="n"/>
      <c r="R45" s="137" t="n"/>
      <c r="S45" s="137" t="n"/>
      <c r="T45" s="137" t="n"/>
      <c r="U45" s="137" t="n"/>
      <c r="V45" s="150" t="n"/>
    </row>
    <row r="46">
      <c r="B46" s="153" t="n"/>
      <c r="C46" s="137" t="n"/>
      <c r="D46" s="137" t="n"/>
      <c r="E46" s="137" t="n"/>
      <c r="F46" s="137" t="n"/>
      <c r="G46" s="137" t="n"/>
      <c r="H46" s="150" t="n"/>
      <c r="I46" s="153" t="n"/>
      <c r="J46" s="137" t="n"/>
      <c r="K46" s="137" t="n"/>
      <c r="L46" s="137" t="n"/>
      <c r="M46" s="137" t="n"/>
      <c r="N46" s="137" t="n"/>
      <c r="O46" s="150" t="n"/>
      <c r="P46" s="153" t="n"/>
      <c r="Q46" s="137" t="n"/>
      <c r="R46" s="137" t="n"/>
      <c r="S46" s="137" t="n"/>
      <c r="T46" s="137" t="n"/>
      <c r="U46" s="137" t="n"/>
      <c r="V46" s="150" t="n"/>
    </row>
    <row r="47">
      <c r="B47" s="153" t="n"/>
      <c r="C47" s="137" t="n"/>
      <c r="D47" s="137" t="n"/>
      <c r="E47" s="137" t="n"/>
      <c r="F47" s="137" t="n"/>
      <c r="G47" s="137" t="n"/>
      <c r="H47" s="150" t="n"/>
      <c r="I47" s="153" t="n"/>
      <c r="J47" s="137" t="n"/>
      <c r="K47" s="137" t="n"/>
      <c r="L47" s="137" t="n"/>
      <c r="M47" s="137" t="n"/>
      <c r="N47" s="137" t="n"/>
      <c r="O47" s="150" t="n"/>
      <c r="P47" s="153" t="n"/>
      <c r="Q47" s="137" t="n"/>
      <c r="R47" s="137" t="n"/>
      <c r="S47" s="137" t="n"/>
      <c r="T47" s="137" t="n"/>
      <c r="U47" s="137" t="n"/>
      <c r="V47" s="150" t="n"/>
    </row>
    <row r="48">
      <c r="B48" s="153" t="n"/>
      <c r="C48" s="137" t="n"/>
      <c r="D48" s="137" t="n"/>
      <c r="E48" s="137" t="n"/>
      <c r="F48" s="137" t="n"/>
      <c r="G48" s="137" t="n"/>
      <c r="H48" s="150" t="n"/>
      <c r="I48" s="153" t="n"/>
      <c r="J48" s="137" t="n"/>
      <c r="K48" s="137" t="n"/>
      <c r="L48" s="137" t="n"/>
      <c r="M48" s="137" t="n"/>
      <c r="N48" s="137" t="n"/>
      <c r="O48" s="150" t="n"/>
      <c r="P48" s="153" t="n"/>
      <c r="Q48" s="137" t="n"/>
      <c r="R48" s="137" t="n"/>
      <c r="S48" s="137" t="n"/>
      <c r="T48" s="137" t="n"/>
      <c r="U48" s="137" t="n"/>
      <c r="V48" s="150" t="n"/>
    </row>
    <row r="49">
      <c r="B49" s="153" t="n"/>
      <c r="C49" s="137" t="n"/>
      <c r="D49" s="137" t="n"/>
      <c r="E49" s="137" t="n"/>
      <c r="F49" s="137" t="n"/>
      <c r="G49" s="137" t="n"/>
      <c r="H49" s="150" t="n"/>
      <c r="I49" s="153" t="n"/>
      <c r="J49" s="137" t="n"/>
      <c r="K49" s="137" t="n"/>
      <c r="L49" s="137" t="n"/>
      <c r="M49" s="137" t="n"/>
      <c r="N49" s="137" t="n"/>
      <c r="O49" s="150" t="n"/>
      <c r="P49" s="153" t="n"/>
      <c r="Q49" s="137" t="n"/>
      <c r="R49" s="137" t="n"/>
      <c r="S49" s="137" t="n"/>
      <c r="T49" s="137" t="n"/>
      <c r="U49" s="137" t="n"/>
      <c r="V49" s="150" t="n"/>
    </row>
    <row r="50">
      <c r="B50" s="153" t="n"/>
      <c r="C50" s="137" t="n"/>
      <c r="D50" s="137" t="n"/>
      <c r="E50" s="137" t="n"/>
      <c r="F50" s="137" t="n"/>
      <c r="G50" s="137" t="n"/>
      <c r="H50" s="150" t="n"/>
      <c r="I50" s="153" t="n"/>
      <c r="J50" s="137" t="n"/>
      <c r="K50" s="137" t="n"/>
      <c r="L50" s="137" t="n"/>
      <c r="M50" s="137" t="n"/>
      <c r="N50" s="137" t="n"/>
      <c r="O50" s="150" t="n"/>
      <c r="P50" s="153" t="n"/>
      <c r="Q50" s="137" t="n"/>
      <c r="R50" s="137" t="n"/>
      <c r="S50" s="137" t="n"/>
      <c r="T50" s="137" t="n"/>
      <c r="U50" s="137" t="n"/>
      <c r="V50" s="150" t="n"/>
    </row>
    <row r="51">
      <c r="B51" s="153" t="n"/>
      <c r="C51" s="137" t="n"/>
      <c r="D51" s="137" t="n"/>
      <c r="E51" s="137" t="n"/>
      <c r="F51" s="137" t="n"/>
      <c r="G51" s="137" t="n"/>
      <c r="H51" s="150" t="n"/>
      <c r="I51" s="153" t="n"/>
      <c r="J51" s="137" t="n"/>
      <c r="K51" s="137" t="n"/>
      <c r="L51" s="137" t="n"/>
      <c r="M51" s="137" t="n"/>
      <c r="N51" s="137" t="n"/>
      <c r="O51" s="150" t="n"/>
      <c r="P51" s="153" t="n"/>
      <c r="Q51" s="137" t="n"/>
      <c r="R51" s="137" t="n"/>
      <c r="S51" s="137" t="n"/>
      <c r="T51" s="137" t="n"/>
      <c r="U51" s="137" t="n"/>
      <c r="V51" s="150" t="n"/>
    </row>
    <row r="52">
      <c r="B52" s="153" t="n"/>
      <c r="C52" s="137" t="n"/>
      <c r="D52" s="137" t="n"/>
      <c r="E52" s="137" t="n"/>
      <c r="F52" s="137" t="n"/>
      <c r="G52" s="137" t="n"/>
      <c r="H52" s="150" t="n"/>
      <c r="I52" s="153" t="n"/>
      <c r="J52" s="137" t="n"/>
      <c r="K52" s="137" t="n"/>
      <c r="L52" s="137" t="n"/>
      <c r="M52" s="137" t="n"/>
      <c r="N52" s="137" t="n"/>
      <c r="O52" s="150" t="n"/>
      <c r="P52" s="153" t="n"/>
      <c r="Q52" s="137" t="n"/>
      <c r="R52" s="137" t="n"/>
      <c r="S52" s="137" t="n"/>
      <c r="T52" s="137" t="n"/>
      <c r="U52" s="137" t="n"/>
      <c r="V52" s="150" t="n"/>
    </row>
    <row r="53">
      <c r="B53" s="153" t="n"/>
      <c r="C53" s="137" t="n"/>
      <c r="D53" s="137" t="n"/>
      <c r="E53" s="137" t="n"/>
      <c r="F53" s="137" t="n"/>
      <c r="G53" s="137" t="n"/>
      <c r="H53" s="150" t="n"/>
      <c r="I53" s="153" t="n"/>
      <c r="J53" s="137" t="n"/>
      <c r="K53" s="137" t="n"/>
      <c r="L53" s="137" t="n"/>
      <c r="M53" s="137" t="n"/>
      <c r="N53" s="137" t="n"/>
      <c r="O53" s="150" t="n"/>
      <c r="P53" s="153" t="n"/>
      <c r="Q53" s="137" t="n"/>
      <c r="R53" s="137" t="n"/>
      <c r="S53" s="137" t="n"/>
      <c r="T53" s="137" t="n"/>
      <c r="U53" s="137" t="n"/>
      <c r="V53" s="150" t="n"/>
    </row>
    <row r="54">
      <c r="B54" s="153" t="n"/>
      <c r="C54" s="137" t="n"/>
      <c r="D54" s="137" t="n"/>
      <c r="E54" s="137" t="n"/>
      <c r="F54" s="137" t="n"/>
      <c r="G54" s="137" t="n"/>
      <c r="H54" s="150" t="n"/>
      <c r="I54" s="153" t="n"/>
      <c r="J54" s="137" t="n"/>
      <c r="K54" s="137" t="n"/>
      <c r="L54" s="137" t="n"/>
      <c r="M54" s="137" t="n"/>
      <c r="N54" s="137" t="n"/>
      <c r="O54" s="150" t="n"/>
      <c r="P54" s="153" t="n"/>
      <c r="Q54" s="137" t="n"/>
      <c r="R54" s="137" t="n"/>
      <c r="S54" s="137" t="n"/>
      <c r="T54" s="137" t="n"/>
      <c r="U54" s="137" t="n"/>
      <c r="V54" s="150" t="n"/>
    </row>
    <row r="55">
      <c r="B55" s="153" t="n"/>
      <c r="C55" s="137" t="n"/>
      <c r="D55" s="137" t="n"/>
      <c r="E55" s="137" t="n"/>
      <c r="F55" s="137" t="n"/>
      <c r="G55" s="137" t="n"/>
      <c r="H55" s="150" t="n"/>
      <c r="I55" s="153" t="n"/>
      <c r="J55" s="137" t="n"/>
      <c r="K55" s="137" t="n"/>
      <c r="L55" s="137" t="n"/>
      <c r="M55" s="137" t="n"/>
      <c r="N55" s="137" t="n"/>
      <c r="O55" s="150" t="n"/>
      <c r="P55" s="153" t="n"/>
      <c r="Q55" s="137" t="n"/>
      <c r="R55" s="137" t="n"/>
      <c r="S55" s="137" t="n"/>
      <c r="T55" s="137" t="n"/>
      <c r="U55" s="137" t="n"/>
      <c r="V55" s="150" t="n"/>
    </row>
    <row r="56">
      <c r="B56" s="153" t="n"/>
      <c r="C56" s="137" t="n"/>
      <c r="D56" s="137" t="n"/>
      <c r="E56" s="137" t="n"/>
      <c r="F56" s="137" t="n"/>
      <c r="G56" s="137" t="n"/>
      <c r="H56" s="150" t="n"/>
      <c r="I56" s="153" t="n"/>
      <c r="J56" s="137" t="n"/>
      <c r="K56" s="137" t="n"/>
      <c r="L56" s="137" t="n"/>
      <c r="M56" s="137" t="n"/>
      <c r="N56" s="137" t="n"/>
      <c r="O56" s="150" t="n"/>
      <c r="P56" s="153" t="n"/>
      <c r="Q56" s="137" t="n"/>
      <c r="R56" s="137" t="n"/>
      <c r="S56" s="137" t="n"/>
      <c r="T56" s="137" t="n"/>
      <c r="U56" s="137" t="n"/>
      <c r="V56" s="150" t="n"/>
    </row>
    <row r="57">
      <c r="B57" s="153" t="n"/>
      <c r="C57" s="137" t="n"/>
      <c r="D57" s="137" t="n"/>
      <c r="E57" s="137" t="n"/>
      <c r="F57" s="137" t="n"/>
      <c r="G57" s="137" t="n"/>
      <c r="H57" s="150" t="n"/>
      <c r="I57" s="153" t="n"/>
      <c r="J57" s="137" t="n"/>
      <c r="K57" s="137" t="n"/>
      <c r="L57" s="137" t="n"/>
      <c r="M57" s="137" t="n"/>
      <c r="N57" s="137" t="n"/>
      <c r="O57" s="150" t="n"/>
      <c r="P57" s="153" t="n"/>
      <c r="Q57" s="137" t="n"/>
      <c r="R57" s="137" t="n"/>
      <c r="S57" s="137" t="n"/>
      <c r="T57" s="137" t="n"/>
      <c r="U57" s="137" t="n"/>
      <c r="V57" s="150" t="n"/>
    </row>
    <row r="58">
      <c r="B58" s="153" t="n"/>
      <c r="C58" s="137" t="n"/>
      <c r="D58" s="137" t="n"/>
      <c r="E58" s="137" t="n"/>
      <c r="F58" s="137" t="n"/>
      <c r="G58" s="137" t="n"/>
      <c r="H58" s="150" t="n"/>
      <c r="I58" s="153" t="n"/>
      <c r="J58" s="137" t="n"/>
      <c r="K58" s="137" t="n"/>
      <c r="L58" s="137" t="n"/>
      <c r="M58" s="137" t="n"/>
      <c r="N58" s="137" t="n"/>
      <c r="O58" s="150" t="n"/>
      <c r="P58" s="153" t="n"/>
      <c r="Q58" s="137" t="n"/>
      <c r="R58" s="137" t="n"/>
      <c r="S58" s="137" t="n"/>
      <c r="T58" s="137" t="n"/>
      <c r="U58" s="137" t="n"/>
      <c r="V58" s="150" t="n"/>
    </row>
    <row r="59">
      <c r="B59" s="153" t="n"/>
      <c r="C59" s="137" t="n"/>
      <c r="D59" s="137" t="n"/>
      <c r="E59" s="137" t="n"/>
      <c r="F59" s="137" t="n"/>
      <c r="G59" s="137" t="n"/>
      <c r="H59" s="150" t="n"/>
      <c r="I59" s="153" t="n"/>
      <c r="J59" s="137" t="n"/>
      <c r="K59" s="137" t="n"/>
      <c r="L59" s="137" t="n"/>
      <c r="M59" s="137" t="n"/>
      <c r="N59" s="137" t="n"/>
      <c r="O59" s="150" t="n"/>
      <c r="P59" s="153" t="n"/>
      <c r="Q59" s="137" t="n"/>
      <c r="R59" s="137" t="n"/>
      <c r="S59" s="137" t="n"/>
      <c r="T59" s="137" t="n"/>
      <c r="U59" s="137" t="n"/>
      <c r="V59" s="150" t="n"/>
    </row>
    <row r="60">
      <c r="B60" s="154" t="n"/>
      <c r="C60" s="134" t="n"/>
      <c r="D60" s="134" t="n"/>
      <c r="E60" s="134" t="n"/>
      <c r="F60" s="134" t="n"/>
      <c r="G60" s="134" t="n"/>
      <c r="H60" s="135" t="n"/>
      <c r="I60" s="154" t="n"/>
      <c r="J60" s="134" t="n"/>
      <c r="K60" s="134" t="n"/>
      <c r="L60" s="134" t="n"/>
      <c r="M60" s="134" t="n"/>
      <c r="N60" s="134" t="n"/>
      <c r="O60" s="135" t="n"/>
      <c r="P60" s="154" t="n"/>
      <c r="Q60" s="134" t="n"/>
      <c r="R60" s="134" t="n"/>
      <c r="S60" s="134" t="n"/>
      <c r="T60" s="134" t="n"/>
      <c r="U60" s="134" t="n"/>
      <c r="V60" s="135" t="n"/>
    </row>
  </sheetData>
  <dataValidations count="1">
    <dataValidation sqref="C5" showDropDown="0" showInputMessage="0" showErrorMessage="0" allowBlank="0" type="whole" operator="between">
      <formula1>1</formula1>
      <formula2>99</formula2>
    </dataValidation>
  </dataValidations>
  <pageMargins left="0.75" right="0.75" top="1" bottom="1" header="0.5" footer="0.5"/>
  <pageSetup orientation="landscape" fitToHeight="1" fitToWidth="1"/>
  <drawing xmlns:r="http://schemas.openxmlformats.org/officeDocument/2006/relationships" r:id="rId1"/>
</worksheet>
</file>

<file path=xl/worksheets/sheet6.xml><?xml version="1.0" encoding="utf-8"?>
<worksheet xmlns="http://schemas.openxmlformats.org/spreadsheetml/2006/main">
  <sheetPr>
    <tabColor rgb="002E6B4F"/>
    <outlinePr summaryBelow="1" summaryRight="1"/>
    <pageSetUpPr fitToPage="1"/>
  </sheetPr>
  <dimension ref="A1:W506"/>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14" customWidth="1" min="3" max="3"/>
    <col width="5" customWidth="1" min="4" max="4"/>
    <col width="13" customWidth="1" min="5" max="5"/>
    <col width="5" customWidth="1" min="6" max="6"/>
    <col width="8" customWidth="1" min="7" max="7"/>
    <col width="5" customWidth="1" min="8" max="8"/>
    <col width="15" customWidth="1" min="9" max="9"/>
    <col width="7" customWidth="1" min="10" max="10"/>
    <col width="6" customWidth="1" min="11" max="11"/>
    <col width="9" customWidth="1" min="12" max="12"/>
    <col width="8" customWidth="1" min="13" max="13"/>
    <col width="7" customWidth="1" min="14" max="14"/>
    <col width="8" customWidth="1" min="15" max="15"/>
    <col width="9" customWidth="1" min="16" max="16"/>
    <col width="13" customWidth="1" min="17" max="17"/>
    <col width="7" customWidth="1" min="18" max="18"/>
    <col width="20" customWidth="1" min="19" max="19"/>
    <col width="7" customWidth="1" min="20" max="20"/>
    <col width="6" customWidth="1" min="21" max="21"/>
    <col width="7" customWidth="1" min="22" max="22"/>
    <col width="30" customWidth="1" min="23" max="23"/>
  </cols>
  <sheetData>
    <row r="1" ht="30" customHeight="1">
      <c r="A1" s="1" t="n"/>
      <c r="B1" s="38" t="inlineStr">
        <is>
          <t>DOOR SCHEDULE</t>
        </is>
      </c>
      <c r="C1" s="1" t="n"/>
      <c r="D1" s="1" t="n"/>
      <c r="E1" s="1" t="n"/>
      <c r="F1" s="1" t="n"/>
      <c r="G1" s="1" t="n"/>
      <c r="H1" s="1" t="n"/>
      <c r="I1" s="1" t="n"/>
      <c r="J1" s="1" t="n"/>
      <c r="K1" s="1" t="n"/>
      <c r="L1" s="1" t="n"/>
      <c r="M1" s="1" t="n"/>
      <c r="N1" s="1" t="n"/>
      <c r="O1" s="1" t="n"/>
      <c r="P1" s="1" t="n"/>
      <c r="Q1" s="1" t="n"/>
      <c r="R1" s="1" t="n"/>
      <c r="S1" s="1" t="n"/>
      <c r="T1" s="1" t="n"/>
      <c r="U1" s="1" t="n"/>
      <c r="V1" s="1" t="n"/>
      <c r="W1" s="39">
        <f>IF(JobName="","OPENING TAKEOFF  ·  FORM 3.2",JobName&amp;IF(JobNo="",""," · JOB "&amp;JobNo))</f>
        <v/>
      </c>
    </row>
    <row r="2" ht="18" customHeight="1">
      <c r="A2" s="1" t="n"/>
      <c r="B2" s="40" t="inlineStr">
        <is>
          <t>Architectural door schedule, every opening in Takeoff order. Print it for the submittal or to check against the drawings.</t>
        </is>
      </c>
      <c r="C2" s="1" t="n"/>
      <c r="D2" s="1" t="n"/>
      <c r="E2" s="1" t="n"/>
      <c r="F2" s="1" t="n"/>
      <c r="G2" s="1" t="n"/>
      <c r="H2" s="1" t="n"/>
      <c r="I2" s="1" t="n"/>
      <c r="J2" s="1" t="n"/>
      <c r="K2" s="1" t="n"/>
      <c r="L2" s="1" t="n"/>
      <c r="M2" s="1" t="n"/>
      <c r="N2" s="1" t="n"/>
      <c r="O2" s="1" t="n"/>
      <c r="P2" s="1" t="n"/>
      <c r="Q2" s="1" t="n"/>
      <c r="R2" s="1" t="n"/>
      <c r="S2" s="1" t="n"/>
      <c r="T2" s="1" t="n"/>
      <c r="U2" s="1" t="n"/>
      <c r="V2" s="1" t="n"/>
      <c r="W2" s="41">
        <f>TEXT(JobDate,"mmm d, yyyy")&amp;IF(JobRev="",""," · "&amp;JobRev)</f>
        <v/>
      </c>
    </row>
    <row r="3" ht="4" customHeight="1">
      <c r="A3" s="6" t="n"/>
      <c r="B3" s="6" t="n"/>
      <c r="C3" s="6" t="n"/>
      <c r="D3" s="6" t="n"/>
      <c r="E3" s="6" t="n"/>
      <c r="F3" s="6" t="n"/>
      <c r="G3" s="6" t="n"/>
      <c r="H3" s="6" t="n"/>
      <c r="I3" s="6" t="n"/>
      <c r="J3" s="6" t="n"/>
      <c r="K3" s="6" t="n"/>
      <c r="L3" s="6" t="n"/>
      <c r="M3" s="6" t="n"/>
      <c r="N3" s="6" t="n"/>
      <c r="O3" s="6" t="n"/>
      <c r="P3" s="6" t="n"/>
      <c r="Q3" s="6" t="n"/>
      <c r="R3" s="6" t="n"/>
      <c r="S3" s="6" t="n"/>
      <c r="T3" s="6" t="n"/>
      <c r="U3" s="6" t="n"/>
      <c r="V3" s="6" t="n"/>
      <c r="W3" s="6" t="n"/>
    </row>
    <row r="4">
      <c r="A4" s="155">
        <f>COUNT(tk_ASEQ)&amp;" lines  ·  "&amp;SUMPRODUCT(tk_QTY,--(tk_ASEQ&lt;&gt;""))&amp;" openings"</f>
        <v/>
      </c>
    </row>
    <row r="5">
      <c r="A5" s="156" t="inlineStr">
        <is>
          <t>OPENING</t>
        </is>
      </c>
      <c r="B5" s="8" t="n"/>
      <c r="C5" s="8" t="n"/>
      <c r="D5" s="8" t="n"/>
      <c r="E5" s="8" t="n"/>
      <c r="F5" s="157" t="inlineStr">
        <is>
          <t>DOOR</t>
        </is>
      </c>
      <c r="G5" s="25" t="n"/>
      <c r="H5" s="25" t="n"/>
      <c r="I5" s="25" t="n"/>
      <c r="J5" s="25" t="n"/>
      <c r="K5" s="158" t="inlineStr">
        <is>
          <t>FRAME</t>
        </is>
      </c>
      <c r="L5" s="23" t="n"/>
      <c r="M5" s="23" t="n"/>
      <c r="N5" s="23" t="n"/>
      <c r="O5" s="23" t="n"/>
      <c r="P5" s="159" t="inlineStr">
        <is>
          <t>RATING · HARDWARE · STATUS</t>
        </is>
      </c>
      <c r="Q5" s="31" t="n"/>
      <c r="R5" s="31" t="n"/>
      <c r="S5" s="31" t="n"/>
      <c r="T5" s="31" t="n"/>
      <c r="U5" s="31" t="n"/>
      <c r="V5" s="31" t="n"/>
      <c r="W5" s="31" t="n"/>
    </row>
    <row r="6" ht="30" customHeight="1">
      <c r="A6" s="160" t="inlineStr">
        <is>
          <t>MARK</t>
        </is>
      </c>
      <c r="B6" s="160" t="inlineStr">
        <is>
          <t>FROM</t>
        </is>
      </c>
      <c r="C6" s="160" t="inlineStr">
        <is>
          <t>TO</t>
        </is>
      </c>
      <c r="D6" s="160" t="inlineStr">
        <is>
          <t>QTY</t>
        </is>
      </c>
      <c r="E6" s="160" t="inlineStr">
        <is>
          <t>SIZE</t>
        </is>
      </c>
      <c r="F6" s="160" t="inlineStr">
        <is>
          <t>PAIR</t>
        </is>
      </c>
      <c r="G6" s="160" t="inlineStr">
        <is>
          <t>MATL</t>
        </is>
      </c>
      <c r="H6" s="160" t="inlineStr">
        <is>
          <t>GA</t>
        </is>
      </c>
      <c r="I6" s="160" t="inlineStr">
        <is>
          <t>ELEV / LITE</t>
        </is>
      </c>
      <c r="J6" s="160" t="inlineStr">
        <is>
          <t>HAND</t>
        </is>
      </c>
      <c r="K6" s="160" t="inlineStr">
        <is>
          <t>TYPE</t>
        </is>
      </c>
      <c r="L6" s="160" t="inlineStr">
        <is>
          <t>STEEL / GA</t>
        </is>
      </c>
      <c r="M6" s="160" t="inlineStr">
        <is>
          <t>JAMB</t>
        </is>
      </c>
      <c r="N6" s="160" t="inlineStr">
        <is>
          <t>CONSTR</t>
        </is>
      </c>
      <c r="O6" s="160" t="inlineStr">
        <is>
          <t>ANCHOR</t>
        </is>
      </c>
      <c r="P6" s="160" t="inlineStr">
        <is>
          <t>RATING</t>
        </is>
      </c>
      <c r="Q6" s="160" t="inlineStr">
        <is>
          <t>LABEL</t>
        </is>
      </c>
      <c r="R6" s="160" t="inlineStr">
        <is>
          <t>HW SET</t>
        </is>
      </c>
      <c r="S6" s="160" t="inlineStr">
        <is>
          <t>HINGES</t>
        </is>
      </c>
      <c r="T6" s="160" t="inlineStr">
        <is>
          <t>LOCK</t>
        </is>
      </c>
      <c r="U6" s="160" t="inlineStr">
        <is>
          <t>ELEV TYPE</t>
        </is>
      </c>
      <c r="V6" s="160" t="inlineStr">
        <is>
          <t>CHECK</t>
        </is>
      </c>
      <c r="W6" s="160" t="inlineStr">
        <is>
          <t>REMARKS</t>
        </is>
      </c>
    </row>
    <row r="7">
      <c r="A7" s="161">
        <f>IFERROR(""&amp;INDEX(tk_MARK,MATCH(1,tk_ASEQ,0)),"")</f>
        <v/>
      </c>
      <c r="B7" s="162">
        <f>IFERROR(""&amp;INDEX(tk_ROOMF,MATCH(1,tk_ASEQ,0)),"")</f>
        <v/>
      </c>
      <c r="C7" s="162">
        <f>IFERROR(""&amp;INDEX(tk_ROOMT,MATCH(1,tk_ASEQ,0)),"")</f>
        <v/>
      </c>
      <c r="D7" s="162">
        <f>IFERROR(INDEX(tk_QTY,MATCH(1,tk_ASEQ,0)),"")</f>
        <v/>
      </c>
      <c r="E7" s="162">
        <f>IFERROR(""&amp;INDEX(tk_SIZE,MATCH(1,tk_ASEQ,0)),"")</f>
        <v/>
      </c>
      <c r="F7" s="162">
        <f>IFERROR(""&amp;INDEX(tk_PAIR,MATCH(1,tk_ASEQ,0)),"")</f>
        <v/>
      </c>
      <c r="G7" s="162">
        <f>IFERROR(""&amp;INDEX(tk_DMAT,MATCH(1,tk_ASEQ,0)),"")</f>
        <v/>
      </c>
      <c r="H7" s="162">
        <f>IFERROR(""&amp;INDEX(tk_DGA,MATCH(1,tk_ASEQ,0)),"")</f>
        <v/>
      </c>
      <c r="I7" s="162">
        <f>IFERROR(""&amp;INDEX(tk_FACE,MATCH(1,tk_ASEQ,0)),"")</f>
        <v/>
      </c>
      <c r="J7" s="162">
        <f>IFERROR(IF(INDEX(tk_DHAND,MATCH(1,tk_ASEQ,0))="",""&amp;INDEX(tk_HAND,MATCH(1,tk_ASEQ,0)),""&amp;INDEX(tk_DHAND,MATCH(1,tk_ASEQ,0))),"")</f>
        <v/>
      </c>
      <c r="K7" s="162">
        <f>IFERROR(""&amp;INDEX(tk_FDESC,MATCH(1,tk_ASEQ,0)),"")</f>
        <v/>
      </c>
      <c r="L7" s="162">
        <f>IFERROR(INDEX(tk_STEEL,MATCH(1,tk_ASEQ,0))&amp;IF(INDEX(tk_FGA,MATCH(1,tk_ASEQ,0))="",""," "&amp;INDEX(tk_FGA,MATCH(1,tk_ASEQ,0))&amp;"GA"),"")</f>
        <v/>
      </c>
      <c r="M7" s="162">
        <f>IFERROR(IFERROR(VLOOKUP(INDEX(tk_JAMB,MATCH(1,tk_ASEQ,0)),CODES,2,FALSE),""&amp;INDEX(tk_JAMB,MATCH(1,tk_ASEQ,0))),"")</f>
        <v/>
      </c>
      <c r="N7" s="162">
        <f>IFERROR(""&amp;INDEX(tk_CONSTR,MATCH(1,tk_ASEQ,0)),"")</f>
        <v/>
      </c>
      <c r="O7" s="162">
        <f>IFERROR(""&amp;INDEX(tk_ANCHOR,MATCH(1,tk_ASEQ,0)),"")</f>
        <v/>
      </c>
      <c r="P7" s="162">
        <f>IFERROR(""&amp;INDEX(tk_RATING,MATCH(1,tk_ASEQ,0)),"")</f>
        <v/>
      </c>
      <c r="Q7" s="162">
        <f>IFERROR(""&amp;INDEX(tk_LABEL,MATCH(1,tk_ASEQ,0)),"")</f>
        <v/>
      </c>
      <c r="R7" s="162">
        <f>IFERROR(""&amp;INDEX(tk_HWSET,MATCH(1,tk_ASEQ,0)),"")</f>
        <v/>
      </c>
      <c r="S7" s="162">
        <f>IFERROR(IF(""&amp;INDEX(tk_HINGES,MATCH(1,tk_ASEQ,0))="","",INDEX(tk_HINGES,MATCH(1,tk_ASEQ,0))&amp;" · "&amp;INDEX(tk_LSRC,MATCH(1,tk_ASEQ,0))),"")</f>
        <v/>
      </c>
      <c r="T7" s="162">
        <f>IFERROR(""&amp;INDEX(tk_LOCK,MATCH(1,tk_ASEQ,0)),"")</f>
        <v/>
      </c>
      <c r="U7" s="162">
        <f>IFERROR(INDEX(tk_ETYPE,MATCH(1,tk_ASEQ,0)),"")</f>
        <v/>
      </c>
      <c r="V7" s="162">
        <f>IFERROR(""&amp;INDEX(tk_CHECK,MATCH(1,tk_ASEQ,0)),"")</f>
        <v/>
      </c>
      <c r="W7" s="162">
        <f>IFERROR(TRIM(INDEX(tk_DNOTES,MATCH(1,tk_ASEQ,0))&amp;" "&amp;INDEX(tk_FNOTES,MATCH(1,tk_ASEQ,0))),"")</f>
        <v/>
      </c>
    </row>
    <row r="8">
      <c r="A8" s="161">
        <f>IFERROR(""&amp;INDEX(tk_MARK,MATCH(2,tk_ASEQ,0)),"")</f>
        <v/>
      </c>
      <c r="B8" s="162">
        <f>IFERROR(""&amp;INDEX(tk_ROOMF,MATCH(2,tk_ASEQ,0)),"")</f>
        <v/>
      </c>
      <c r="C8" s="162">
        <f>IFERROR(""&amp;INDEX(tk_ROOMT,MATCH(2,tk_ASEQ,0)),"")</f>
        <v/>
      </c>
      <c r="D8" s="162">
        <f>IFERROR(INDEX(tk_QTY,MATCH(2,tk_ASEQ,0)),"")</f>
        <v/>
      </c>
      <c r="E8" s="162">
        <f>IFERROR(""&amp;INDEX(tk_SIZE,MATCH(2,tk_ASEQ,0)),"")</f>
        <v/>
      </c>
      <c r="F8" s="162">
        <f>IFERROR(""&amp;INDEX(tk_PAIR,MATCH(2,tk_ASEQ,0)),"")</f>
        <v/>
      </c>
      <c r="G8" s="162">
        <f>IFERROR(""&amp;INDEX(tk_DMAT,MATCH(2,tk_ASEQ,0)),"")</f>
        <v/>
      </c>
      <c r="H8" s="162">
        <f>IFERROR(""&amp;INDEX(tk_DGA,MATCH(2,tk_ASEQ,0)),"")</f>
        <v/>
      </c>
      <c r="I8" s="162">
        <f>IFERROR(""&amp;INDEX(tk_FACE,MATCH(2,tk_ASEQ,0)),"")</f>
        <v/>
      </c>
      <c r="J8" s="162">
        <f>IFERROR(IF(INDEX(tk_DHAND,MATCH(2,tk_ASEQ,0))="",""&amp;INDEX(tk_HAND,MATCH(2,tk_ASEQ,0)),""&amp;INDEX(tk_DHAND,MATCH(2,tk_ASEQ,0))),"")</f>
        <v/>
      </c>
      <c r="K8" s="162">
        <f>IFERROR(""&amp;INDEX(tk_FDESC,MATCH(2,tk_ASEQ,0)),"")</f>
        <v/>
      </c>
      <c r="L8" s="162">
        <f>IFERROR(INDEX(tk_STEEL,MATCH(2,tk_ASEQ,0))&amp;IF(INDEX(tk_FGA,MATCH(2,tk_ASEQ,0))="",""," "&amp;INDEX(tk_FGA,MATCH(2,tk_ASEQ,0))&amp;"GA"),"")</f>
        <v/>
      </c>
      <c r="M8" s="162">
        <f>IFERROR(IFERROR(VLOOKUP(INDEX(tk_JAMB,MATCH(2,tk_ASEQ,0)),CODES,2,FALSE),""&amp;INDEX(tk_JAMB,MATCH(2,tk_ASEQ,0))),"")</f>
        <v/>
      </c>
      <c r="N8" s="162">
        <f>IFERROR(""&amp;INDEX(tk_CONSTR,MATCH(2,tk_ASEQ,0)),"")</f>
        <v/>
      </c>
      <c r="O8" s="162">
        <f>IFERROR(""&amp;INDEX(tk_ANCHOR,MATCH(2,tk_ASEQ,0)),"")</f>
        <v/>
      </c>
      <c r="P8" s="162">
        <f>IFERROR(""&amp;INDEX(tk_RATING,MATCH(2,tk_ASEQ,0)),"")</f>
        <v/>
      </c>
      <c r="Q8" s="162">
        <f>IFERROR(""&amp;INDEX(tk_LABEL,MATCH(2,tk_ASEQ,0)),"")</f>
        <v/>
      </c>
      <c r="R8" s="162">
        <f>IFERROR(""&amp;INDEX(tk_HWSET,MATCH(2,tk_ASEQ,0)),"")</f>
        <v/>
      </c>
      <c r="S8" s="162">
        <f>IFERROR(IF(""&amp;INDEX(tk_HINGES,MATCH(2,tk_ASEQ,0))="","",INDEX(tk_HINGES,MATCH(2,tk_ASEQ,0))&amp;" · "&amp;INDEX(tk_LSRC,MATCH(2,tk_ASEQ,0))),"")</f>
        <v/>
      </c>
      <c r="T8" s="162">
        <f>IFERROR(""&amp;INDEX(tk_LOCK,MATCH(2,tk_ASEQ,0)),"")</f>
        <v/>
      </c>
      <c r="U8" s="162">
        <f>IFERROR(INDEX(tk_ETYPE,MATCH(2,tk_ASEQ,0)),"")</f>
        <v/>
      </c>
      <c r="V8" s="162">
        <f>IFERROR(""&amp;INDEX(tk_CHECK,MATCH(2,tk_ASEQ,0)),"")</f>
        <v/>
      </c>
      <c r="W8" s="162">
        <f>IFERROR(TRIM(INDEX(tk_DNOTES,MATCH(2,tk_ASEQ,0))&amp;" "&amp;INDEX(tk_FNOTES,MATCH(2,tk_ASEQ,0))),"")</f>
        <v/>
      </c>
    </row>
    <row r="9">
      <c r="A9" s="161">
        <f>IFERROR(""&amp;INDEX(tk_MARK,MATCH(3,tk_ASEQ,0)),"")</f>
        <v/>
      </c>
      <c r="B9" s="162">
        <f>IFERROR(""&amp;INDEX(tk_ROOMF,MATCH(3,tk_ASEQ,0)),"")</f>
        <v/>
      </c>
      <c r="C9" s="162">
        <f>IFERROR(""&amp;INDEX(tk_ROOMT,MATCH(3,tk_ASEQ,0)),"")</f>
        <v/>
      </c>
      <c r="D9" s="162">
        <f>IFERROR(INDEX(tk_QTY,MATCH(3,tk_ASEQ,0)),"")</f>
        <v/>
      </c>
      <c r="E9" s="162">
        <f>IFERROR(""&amp;INDEX(tk_SIZE,MATCH(3,tk_ASEQ,0)),"")</f>
        <v/>
      </c>
      <c r="F9" s="162">
        <f>IFERROR(""&amp;INDEX(tk_PAIR,MATCH(3,tk_ASEQ,0)),"")</f>
        <v/>
      </c>
      <c r="G9" s="162">
        <f>IFERROR(""&amp;INDEX(tk_DMAT,MATCH(3,tk_ASEQ,0)),"")</f>
        <v/>
      </c>
      <c r="H9" s="162">
        <f>IFERROR(""&amp;INDEX(tk_DGA,MATCH(3,tk_ASEQ,0)),"")</f>
        <v/>
      </c>
      <c r="I9" s="162">
        <f>IFERROR(""&amp;INDEX(tk_FACE,MATCH(3,tk_ASEQ,0)),"")</f>
        <v/>
      </c>
      <c r="J9" s="162">
        <f>IFERROR(IF(INDEX(tk_DHAND,MATCH(3,tk_ASEQ,0))="",""&amp;INDEX(tk_HAND,MATCH(3,tk_ASEQ,0)),""&amp;INDEX(tk_DHAND,MATCH(3,tk_ASEQ,0))),"")</f>
        <v/>
      </c>
      <c r="K9" s="162">
        <f>IFERROR(""&amp;INDEX(tk_FDESC,MATCH(3,tk_ASEQ,0)),"")</f>
        <v/>
      </c>
      <c r="L9" s="162">
        <f>IFERROR(INDEX(tk_STEEL,MATCH(3,tk_ASEQ,0))&amp;IF(INDEX(tk_FGA,MATCH(3,tk_ASEQ,0))="",""," "&amp;INDEX(tk_FGA,MATCH(3,tk_ASEQ,0))&amp;"GA"),"")</f>
        <v/>
      </c>
      <c r="M9" s="162">
        <f>IFERROR(IFERROR(VLOOKUP(INDEX(tk_JAMB,MATCH(3,tk_ASEQ,0)),CODES,2,FALSE),""&amp;INDEX(tk_JAMB,MATCH(3,tk_ASEQ,0))),"")</f>
        <v/>
      </c>
      <c r="N9" s="162">
        <f>IFERROR(""&amp;INDEX(tk_CONSTR,MATCH(3,tk_ASEQ,0)),"")</f>
        <v/>
      </c>
      <c r="O9" s="162">
        <f>IFERROR(""&amp;INDEX(tk_ANCHOR,MATCH(3,tk_ASEQ,0)),"")</f>
        <v/>
      </c>
      <c r="P9" s="162">
        <f>IFERROR(""&amp;INDEX(tk_RATING,MATCH(3,tk_ASEQ,0)),"")</f>
        <v/>
      </c>
      <c r="Q9" s="162">
        <f>IFERROR(""&amp;INDEX(tk_LABEL,MATCH(3,tk_ASEQ,0)),"")</f>
        <v/>
      </c>
      <c r="R9" s="162">
        <f>IFERROR(""&amp;INDEX(tk_HWSET,MATCH(3,tk_ASEQ,0)),"")</f>
        <v/>
      </c>
      <c r="S9" s="162">
        <f>IFERROR(IF(""&amp;INDEX(tk_HINGES,MATCH(3,tk_ASEQ,0))="","",INDEX(tk_HINGES,MATCH(3,tk_ASEQ,0))&amp;" · "&amp;INDEX(tk_LSRC,MATCH(3,tk_ASEQ,0))),"")</f>
        <v/>
      </c>
      <c r="T9" s="162">
        <f>IFERROR(""&amp;INDEX(tk_LOCK,MATCH(3,tk_ASEQ,0)),"")</f>
        <v/>
      </c>
      <c r="U9" s="162">
        <f>IFERROR(INDEX(tk_ETYPE,MATCH(3,tk_ASEQ,0)),"")</f>
        <v/>
      </c>
      <c r="V9" s="162">
        <f>IFERROR(""&amp;INDEX(tk_CHECK,MATCH(3,tk_ASEQ,0)),"")</f>
        <v/>
      </c>
      <c r="W9" s="162">
        <f>IFERROR(TRIM(INDEX(tk_DNOTES,MATCH(3,tk_ASEQ,0))&amp;" "&amp;INDEX(tk_FNOTES,MATCH(3,tk_ASEQ,0))),"")</f>
        <v/>
      </c>
    </row>
    <row r="10">
      <c r="A10" s="161">
        <f>IFERROR(""&amp;INDEX(tk_MARK,MATCH(4,tk_ASEQ,0)),"")</f>
        <v/>
      </c>
      <c r="B10" s="162">
        <f>IFERROR(""&amp;INDEX(tk_ROOMF,MATCH(4,tk_ASEQ,0)),"")</f>
        <v/>
      </c>
      <c r="C10" s="162">
        <f>IFERROR(""&amp;INDEX(tk_ROOMT,MATCH(4,tk_ASEQ,0)),"")</f>
        <v/>
      </c>
      <c r="D10" s="162">
        <f>IFERROR(INDEX(tk_QTY,MATCH(4,tk_ASEQ,0)),"")</f>
        <v/>
      </c>
      <c r="E10" s="162">
        <f>IFERROR(""&amp;INDEX(tk_SIZE,MATCH(4,tk_ASEQ,0)),"")</f>
        <v/>
      </c>
      <c r="F10" s="162">
        <f>IFERROR(""&amp;INDEX(tk_PAIR,MATCH(4,tk_ASEQ,0)),"")</f>
        <v/>
      </c>
      <c r="G10" s="162">
        <f>IFERROR(""&amp;INDEX(tk_DMAT,MATCH(4,tk_ASEQ,0)),"")</f>
        <v/>
      </c>
      <c r="H10" s="162">
        <f>IFERROR(""&amp;INDEX(tk_DGA,MATCH(4,tk_ASEQ,0)),"")</f>
        <v/>
      </c>
      <c r="I10" s="162">
        <f>IFERROR(""&amp;INDEX(tk_FACE,MATCH(4,tk_ASEQ,0)),"")</f>
        <v/>
      </c>
      <c r="J10" s="162">
        <f>IFERROR(IF(INDEX(tk_DHAND,MATCH(4,tk_ASEQ,0))="",""&amp;INDEX(tk_HAND,MATCH(4,tk_ASEQ,0)),""&amp;INDEX(tk_DHAND,MATCH(4,tk_ASEQ,0))),"")</f>
        <v/>
      </c>
      <c r="K10" s="162">
        <f>IFERROR(""&amp;INDEX(tk_FDESC,MATCH(4,tk_ASEQ,0)),"")</f>
        <v/>
      </c>
      <c r="L10" s="162">
        <f>IFERROR(INDEX(tk_STEEL,MATCH(4,tk_ASEQ,0))&amp;IF(INDEX(tk_FGA,MATCH(4,tk_ASEQ,0))="",""," "&amp;INDEX(tk_FGA,MATCH(4,tk_ASEQ,0))&amp;"GA"),"")</f>
        <v/>
      </c>
      <c r="M10" s="162">
        <f>IFERROR(IFERROR(VLOOKUP(INDEX(tk_JAMB,MATCH(4,tk_ASEQ,0)),CODES,2,FALSE),""&amp;INDEX(tk_JAMB,MATCH(4,tk_ASEQ,0))),"")</f>
        <v/>
      </c>
      <c r="N10" s="162">
        <f>IFERROR(""&amp;INDEX(tk_CONSTR,MATCH(4,tk_ASEQ,0)),"")</f>
        <v/>
      </c>
      <c r="O10" s="162">
        <f>IFERROR(""&amp;INDEX(tk_ANCHOR,MATCH(4,tk_ASEQ,0)),"")</f>
        <v/>
      </c>
      <c r="P10" s="162">
        <f>IFERROR(""&amp;INDEX(tk_RATING,MATCH(4,tk_ASEQ,0)),"")</f>
        <v/>
      </c>
      <c r="Q10" s="162">
        <f>IFERROR(""&amp;INDEX(tk_LABEL,MATCH(4,tk_ASEQ,0)),"")</f>
        <v/>
      </c>
      <c r="R10" s="162">
        <f>IFERROR(""&amp;INDEX(tk_HWSET,MATCH(4,tk_ASEQ,0)),"")</f>
        <v/>
      </c>
      <c r="S10" s="162">
        <f>IFERROR(IF(""&amp;INDEX(tk_HINGES,MATCH(4,tk_ASEQ,0))="","",INDEX(tk_HINGES,MATCH(4,tk_ASEQ,0))&amp;" · "&amp;INDEX(tk_LSRC,MATCH(4,tk_ASEQ,0))),"")</f>
        <v/>
      </c>
      <c r="T10" s="162">
        <f>IFERROR(""&amp;INDEX(tk_LOCK,MATCH(4,tk_ASEQ,0)),"")</f>
        <v/>
      </c>
      <c r="U10" s="162">
        <f>IFERROR(INDEX(tk_ETYPE,MATCH(4,tk_ASEQ,0)),"")</f>
        <v/>
      </c>
      <c r="V10" s="162">
        <f>IFERROR(""&amp;INDEX(tk_CHECK,MATCH(4,tk_ASEQ,0)),"")</f>
        <v/>
      </c>
      <c r="W10" s="162">
        <f>IFERROR(TRIM(INDEX(tk_DNOTES,MATCH(4,tk_ASEQ,0))&amp;" "&amp;INDEX(tk_FNOTES,MATCH(4,tk_ASEQ,0))),"")</f>
        <v/>
      </c>
    </row>
    <row r="11">
      <c r="A11" s="161">
        <f>IFERROR(""&amp;INDEX(tk_MARK,MATCH(5,tk_ASEQ,0)),"")</f>
        <v/>
      </c>
      <c r="B11" s="162">
        <f>IFERROR(""&amp;INDEX(tk_ROOMF,MATCH(5,tk_ASEQ,0)),"")</f>
        <v/>
      </c>
      <c r="C11" s="162">
        <f>IFERROR(""&amp;INDEX(tk_ROOMT,MATCH(5,tk_ASEQ,0)),"")</f>
        <v/>
      </c>
      <c r="D11" s="162">
        <f>IFERROR(INDEX(tk_QTY,MATCH(5,tk_ASEQ,0)),"")</f>
        <v/>
      </c>
      <c r="E11" s="162">
        <f>IFERROR(""&amp;INDEX(tk_SIZE,MATCH(5,tk_ASEQ,0)),"")</f>
        <v/>
      </c>
      <c r="F11" s="162">
        <f>IFERROR(""&amp;INDEX(tk_PAIR,MATCH(5,tk_ASEQ,0)),"")</f>
        <v/>
      </c>
      <c r="G11" s="162">
        <f>IFERROR(""&amp;INDEX(tk_DMAT,MATCH(5,tk_ASEQ,0)),"")</f>
        <v/>
      </c>
      <c r="H11" s="162">
        <f>IFERROR(""&amp;INDEX(tk_DGA,MATCH(5,tk_ASEQ,0)),"")</f>
        <v/>
      </c>
      <c r="I11" s="162">
        <f>IFERROR(""&amp;INDEX(tk_FACE,MATCH(5,tk_ASEQ,0)),"")</f>
        <v/>
      </c>
      <c r="J11" s="162">
        <f>IFERROR(IF(INDEX(tk_DHAND,MATCH(5,tk_ASEQ,0))="",""&amp;INDEX(tk_HAND,MATCH(5,tk_ASEQ,0)),""&amp;INDEX(tk_DHAND,MATCH(5,tk_ASEQ,0))),"")</f>
        <v/>
      </c>
      <c r="K11" s="162">
        <f>IFERROR(""&amp;INDEX(tk_FDESC,MATCH(5,tk_ASEQ,0)),"")</f>
        <v/>
      </c>
      <c r="L11" s="162">
        <f>IFERROR(INDEX(tk_STEEL,MATCH(5,tk_ASEQ,0))&amp;IF(INDEX(tk_FGA,MATCH(5,tk_ASEQ,0))="",""," "&amp;INDEX(tk_FGA,MATCH(5,tk_ASEQ,0))&amp;"GA"),"")</f>
        <v/>
      </c>
      <c r="M11" s="162">
        <f>IFERROR(IFERROR(VLOOKUP(INDEX(tk_JAMB,MATCH(5,tk_ASEQ,0)),CODES,2,FALSE),""&amp;INDEX(tk_JAMB,MATCH(5,tk_ASEQ,0))),"")</f>
        <v/>
      </c>
      <c r="N11" s="162">
        <f>IFERROR(""&amp;INDEX(tk_CONSTR,MATCH(5,tk_ASEQ,0)),"")</f>
        <v/>
      </c>
      <c r="O11" s="162">
        <f>IFERROR(""&amp;INDEX(tk_ANCHOR,MATCH(5,tk_ASEQ,0)),"")</f>
        <v/>
      </c>
      <c r="P11" s="162">
        <f>IFERROR(""&amp;INDEX(tk_RATING,MATCH(5,tk_ASEQ,0)),"")</f>
        <v/>
      </c>
      <c r="Q11" s="162">
        <f>IFERROR(""&amp;INDEX(tk_LABEL,MATCH(5,tk_ASEQ,0)),"")</f>
        <v/>
      </c>
      <c r="R11" s="162">
        <f>IFERROR(""&amp;INDEX(tk_HWSET,MATCH(5,tk_ASEQ,0)),"")</f>
        <v/>
      </c>
      <c r="S11" s="162">
        <f>IFERROR(IF(""&amp;INDEX(tk_HINGES,MATCH(5,tk_ASEQ,0))="","",INDEX(tk_HINGES,MATCH(5,tk_ASEQ,0))&amp;" · "&amp;INDEX(tk_LSRC,MATCH(5,tk_ASEQ,0))),"")</f>
        <v/>
      </c>
      <c r="T11" s="162">
        <f>IFERROR(""&amp;INDEX(tk_LOCK,MATCH(5,tk_ASEQ,0)),"")</f>
        <v/>
      </c>
      <c r="U11" s="162">
        <f>IFERROR(INDEX(tk_ETYPE,MATCH(5,tk_ASEQ,0)),"")</f>
        <v/>
      </c>
      <c r="V11" s="162">
        <f>IFERROR(""&amp;INDEX(tk_CHECK,MATCH(5,tk_ASEQ,0)),"")</f>
        <v/>
      </c>
      <c r="W11" s="162">
        <f>IFERROR(TRIM(INDEX(tk_DNOTES,MATCH(5,tk_ASEQ,0))&amp;" "&amp;INDEX(tk_FNOTES,MATCH(5,tk_ASEQ,0))),"")</f>
        <v/>
      </c>
    </row>
    <row r="12">
      <c r="A12" s="161">
        <f>IFERROR(""&amp;INDEX(tk_MARK,MATCH(6,tk_ASEQ,0)),"")</f>
        <v/>
      </c>
      <c r="B12" s="162">
        <f>IFERROR(""&amp;INDEX(tk_ROOMF,MATCH(6,tk_ASEQ,0)),"")</f>
        <v/>
      </c>
      <c r="C12" s="162">
        <f>IFERROR(""&amp;INDEX(tk_ROOMT,MATCH(6,tk_ASEQ,0)),"")</f>
        <v/>
      </c>
      <c r="D12" s="162">
        <f>IFERROR(INDEX(tk_QTY,MATCH(6,tk_ASEQ,0)),"")</f>
        <v/>
      </c>
      <c r="E12" s="162">
        <f>IFERROR(""&amp;INDEX(tk_SIZE,MATCH(6,tk_ASEQ,0)),"")</f>
        <v/>
      </c>
      <c r="F12" s="162">
        <f>IFERROR(""&amp;INDEX(tk_PAIR,MATCH(6,tk_ASEQ,0)),"")</f>
        <v/>
      </c>
      <c r="G12" s="162">
        <f>IFERROR(""&amp;INDEX(tk_DMAT,MATCH(6,tk_ASEQ,0)),"")</f>
        <v/>
      </c>
      <c r="H12" s="162">
        <f>IFERROR(""&amp;INDEX(tk_DGA,MATCH(6,tk_ASEQ,0)),"")</f>
        <v/>
      </c>
      <c r="I12" s="162">
        <f>IFERROR(""&amp;INDEX(tk_FACE,MATCH(6,tk_ASEQ,0)),"")</f>
        <v/>
      </c>
      <c r="J12" s="162">
        <f>IFERROR(IF(INDEX(tk_DHAND,MATCH(6,tk_ASEQ,0))="",""&amp;INDEX(tk_HAND,MATCH(6,tk_ASEQ,0)),""&amp;INDEX(tk_DHAND,MATCH(6,tk_ASEQ,0))),"")</f>
        <v/>
      </c>
      <c r="K12" s="162">
        <f>IFERROR(""&amp;INDEX(tk_FDESC,MATCH(6,tk_ASEQ,0)),"")</f>
        <v/>
      </c>
      <c r="L12" s="162">
        <f>IFERROR(INDEX(tk_STEEL,MATCH(6,tk_ASEQ,0))&amp;IF(INDEX(tk_FGA,MATCH(6,tk_ASEQ,0))="",""," "&amp;INDEX(tk_FGA,MATCH(6,tk_ASEQ,0))&amp;"GA"),"")</f>
        <v/>
      </c>
      <c r="M12" s="162">
        <f>IFERROR(IFERROR(VLOOKUP(INDEX(tk_JAMB,MATCH(6,tk_ASEQ,0)),CODES,2,FALSE),""&amp;INDEX(tk_JAMB,MATCH(6,tk_ASEQ,0))),"")</f>
        <v/>
      </c>
      <c r="N12" s="162">
        <f>IFERROR(""&amp;INDEX(tk_CONSTR,MATCH(6,tk_ASEQ,0)),"")</f>
        <v/>
      </c>
      <c r="O12" s="162">
        <f>IFERROR(""&amp;INDEX(tk_ANCHOR,MATCH(6,tk_ASEQ,0)),"")</f>
        <v/>
      </c>
      <c r="P12" s="162">
        <f>IFERROR(""&amp;INDEX(tk_RATING,MATCH(6,tk_ASEQ,0)),"")</f>
        <v/>
      </c>
      <c r="Q12" s="162">
        <f>IFERROR(""&amp;INDEX(tk_LABEL,MATCH(6,tk_ASEQ,0)),"")</f>
        <v/>
      </c>
      <c r="R12" s="162">
        <f>IFERROR(""&amp;INDEX(tk_HWSET,MATCH(6,tk_ASEQ,0)),"")</f>
        <v/>
      </c>
      <c r="S12" s="162">
        <f>IFERROR(IF(""&amp;INDEX(tk_HINGES,MATCH(6,tk_ASEQ,0))="","",INDEX(tk_HINGES,MATCH(6,tk_ASEQ,0))&amp;" · "&amp;INDEX(tk_LSRC,MATCH(6,tk_ASEQ,0))),"")</f>
        <v/>
      </c>
      <c r="T12" s="162">
        <f>IFERROR(""&amp;INDEX(tk_LOCK,MATCH(6,tk_ASEQ,0)),"")</f>
        <v/>
      </c>
      <c r="U12" s="162">
        <f>IFERROR(INDEX(tk_ETYPE,MATCH(6,tk_ASEQ,0)),"")</f>
        <v/>
      </c>
      <c r="V12" s="162">
        <f>IFERROR(""&amp;INDEX(tk_CHECK,MATCH(6,tk_ASEQ,0)),"")</f>
        <v/>
      </c>
      <c r="W12" s="162">
        <f>IFERROR(TRIM(INDEX(tk_DNOTES,MATCH(6,tk_ASEQ,0))&amp;" "&amp;INDEX(tk_FNOTES,MATCH(6,tk_ASEQ,0))),"")</f>
        <v/>
      </c>
    </row>
    <row r="13">
      <c r="A13" s="161">
        <f>IFERROR(""&amp;INDEX(tk_MARK,MATCH(7,tk_ASEQ,0)),"")</f>
        <v/>
      </c>
      <c r="B13" s="162">
        <f>IFERROR(""&amp;INDEX(tk_ROOMF,MATCH(7,tk_ASEQ,0)),"")</f>
        <v/>
      </c>
      <c r="C13" s="162">
        <f>IFERROR(""&amp;INDEX(tk_ROOMT,MATCH(7,tk_ASEQ,0)),"")</f>
        <v/>
      </c>
      <c r="D13" s="162">
        <f>IFERROR(INDEX(tk_QTY,MATCH(7,tk_ASEQ,0)),"")</f>
        <v/>
      </c>
      <c r="E13" s="162">
        <f>IFERROR(""&amp;INDEX(tk_SIZE,MATCH(7,tk_ASEQ,0)),"")</f>
        <v/>
      </c>
      <c r="F13" s="162">
        <f>IFERROR(""&amp;INDEX(tk_PAIR,MATCH(7,tk_ASEQ,0)),"")</f>
        <v/>
      </c>
      <c r="G13" s="162">
        <f>IFERROR(""&amp;INDEX(tk_DMAT,MATCH(7,tk_ASEQ,0)),"")</f>
        <v/>
      </c>
      <c r="H13" s="162">
        <f>IFERROR(""&amp;INDEX(tk_DGA,MATCH(7,tk_ASEQ,0)),"")</f>
        <v/>
      </c>
      <c r="I13" s="162">
        <f>IFERROR(""&amp;INDEX(tk_FACE,MATCH(7,tk_ASEQ,0)),"")</f>
        <v/>
      </c>
      <c r="J13" s="162">
        <f>IFERROR(IF(INDEX(tk_DHAND,MATCH(7,tk_ASEQ,0))="",""&amp;INDEX(tk_HAND,MATCH(7,tk_ASEQ,0)),""&amp;INDEX(tk_DHAND,MATCH(7,tk_ASEQ,0))),"")</f>
        <v/>
      </c>
      <c r="K13" s="162">
        <f>IFERROR(""&amp;INDEX(tk_FDESC,MATCH(7,tk_ASEQ,0)),"")</f>
        <v/>
      </c>
      <c r="L13" s="162">
        <f>IFERROR(INDEX(tk_STEEL,MATCH(7,tk_ASEQ,0))&amp;IF(INDEX(tk_FGA,MATCH(7,tk_ASEQ,0))="",""," "&amp;INDEX(tk_FGA,MATCH(7,tk_ASEQ,0))&amp;"GA"),"")</f>
        <v/>
      </c>
      <c r="M13" s="162">
        <f>IFERROR(IFERROR(VLOOKUP(INDEX(tk_JAMB,MATCH(7,tk_ASEQ,0)),CODES,2,FALSE),""&amp;INDEX(tk_JAMB,MATCH(7,tk_ASEQ,0))),"")</f>
        <v/>
      </c>
      <c r="N13" s="162">
        <f>IFERROR(""&amp;INDEX(tk_CONSTR,MATCH(7,tk_ASEQ,0)),"")</f>
        <v/>
      </c>
      <c r="O13" s="162">
        <f>IFERROR(""&amp;INDEX(tk_ANCHOR,MATCH(7,tk_ASEQ,0)),"")</f>
        <v/>
      </c>
      <c r="P13" s="162">
        <f>IFERROR(""&amp;INDEX(tk_RATING,MATCH(7,tk_ASEQ,0)),"")</f>
        <v/>
      </c>
      <c r="Q13" s="162">
        <f>IFERROR(""&amp;INDEX(tk_LABEL,MATCH(7,tk_ASEQ,0)),"")</f>
        <v/>
      </c>
      <c r="R13" s="162">
        <f>IFERROR(""&amp;INDEX(tk_HWSET,MATCH(7,tk_ASEQ,0)),"")</f>
        <v/>
      </c>
      <c r="S13" s="162">
        <f>IFERROR(IF(""&amp;INDEX(tk_HINGES,MATCH(7,tk_ASEQ,0))="","",INDEX(tk_HINGES,MATCH(7,tk_ASEQ,0))&amp;" · "&amp;INDEX(tk_LSRC,MATCH(7,tk_ASEQ,0))),"")</f>
        <v/>
      </c>
      <c r="T13" s="162">
        <f>IFERROR(""&amp;INDEX(tk_LOCK,MATCH(7,tk_ASEQ,0)),"")</f>
        <v/>
      </c>
      <c r="U13" s="162">
        <f>IFERROR(INDEX(tk_ETYPE,MATCH(7,tk_ASEQ,0)),"")</f>
        <v/>
      </c>
      <c r="V13" s="162">
        <f>IFERROR(""&amp;INDEX(tk_CHECK,MATCH(7,tk_ASEQ,0)),"")</f>
        <v/>
      </c>
      <c r="W13" s="162">
        <f>IFERROR(TRIM(INDEX(tk_DNOTES,MATCH(7,tk_ASEQ,0))&amp;" "&amp;INDEX(tk_FNOTES,MATCH(7,tk_ASEQ,0))),"")</f>
        <v/>
      </c>
    </row>
    <row r="14">
      <c r="A14" s="161">
        <f>IFERROR(""&amp;INDEX(tk_MARK,MATCH(8,tk_ASEQ,0)),"")</f>
        <v/>
      </c>
      <c r="B14" s="162">
        <f>IFERROR(""&amp;INDEX(tk_ROOMF,MATCH(8,tk_ASEQ,0)),"")</f>
        <v/>
      </c>
      <c r="C14" s="162">
        <f>IFERROR(""&amp;INDEX(tk_ROOMT,MATCH(8,tk_ASEQ,0)),"")</f>
        <v/>
      </c>
      <c r="D14" s="162">
        <f>IFERROR(INDEX(tk_QTY,MATCH(8,tk_ASEQ,0)),"")</f>
        <v/>
      </c>
      <c r="E14" s="162">
        <f>IFERROR(""&amp;INDEX(tk_SIZE,MATCH(8,tk_ASEQ,0)),"")</f>
        <v/>
      </c>
      <c r="F14" s="162">
        <f>IFERROR(""&amp;INDEX(tk_PAIR,MATCH(8,tk_ASEQ,0)),"")</f>
        <v/>
      </c>
      <c r="G14" s="162">
        <f>IFERROR(""&amp;INDEX(tk_DMAT,MATCH(8,tk_ASEQ,0)),"")</f>
        <v/>
      </c>
      <c r="H14" s="162">
        <f>IFERROR(""&amp;INDEX(tk_DGA,MATCH(8,tk_ASEQ,0)),"")</f>
        <v/>
      </c>
      <c r="I14" s="162">
        <f>IFERROR(""&amp;INDEX(tk_FACE,MATCH(8,tk_ASEQ,0)),"")</f>
        <v/>
      </c>
      <c r="J14" s="162">
        <f>IFERROR(IF(INDEX(tk_DHAND,MATCH(8,tk_ASEQ,0))="",""&amp;INDEX(tk_HAND,MATCH(8,tk_ASEQ,0)),""&amp;INDEX(tk_DHAND,MATCH(8,tk_ASEQ,0))),"")</f>
        <v/>
      </c>
      <c r="K14" s="162">
        <f>IFERROR(""&amp;INDEX(tk_FDESC,MATCH(8,tk_ASEQ,0)),"")</f>
        <v/>
      </c>
      <c r="L14" s="162">
        <f>IFERROR(INDEX(tk_STEEL,MATCH(8,tk_ASEQ,0))&amp;IF(INDEX(tk_FGA,MATCH(8,tk_ASEQ,0))="",""," "&amp;INDEX(tk_FGA,MATCH(8,tk_ASEQ,0))&amp;"GA"),"")</f>
        <v/>
      </c>
      <c r="M14" s="162">
        <f>IFERROR(IFERROR(VLOOKUP(INDEX(tk_JAMB,MATCH(8,tk_ASEQ,0)),CODES,2,FALSE),""&amp;INDEX(tk_JAMB,MATCH(8,tk_ASEQ,0))),"")</f>
        <v/>
      </c>
      <c r="N14" s="162">
        <f>IFERROR(""&amp;INDEX(tk_CONSTR,MATCH(8,tk_ASEQ,0)),"")</f>
        <v/>
      </c>
      <c r="O14" s="162">
        <f>IFERROR(""&amp;INDEX(tk_ANCHOR,MATCH(8,tk_ASEQ,0)),"")</f>
        <v/>
      </c>
      <c r="P14" s="162">
        <f>IFERROR(""&amp;INDEX(tk_RATING,MATCH(8,tk_ASEQ,0)),"")</f>
        <v/>
      </c>
      <c r="Q14" s="162">
        <f>IFERROR(""&amp;INDEX(tk_LABEL,MATCH(8,tk_ASEQ,0)),"")</f>
        <v/>
      </c>
      <c r="R14" s="162">
        <f>IFERROR(""&amp;INDEX(tk_HWSET,MATCH(8,tk_ASEQ,0)),"")</f>
        <v/>
      </c>
      <c r="S14" s="162">
        <f>IFERROR(IF(""&amp;INDEX(tk_HINGES,MATCH(8,tk_ASEQ,0))="","",INDEX(tk_HINGES,MATCH(8,tk_ASEQ,0))&amp;" · "&amp;INDEX(tk_LSRC,MATCH(8,tk_ASEQ,0))),"")</f>
        <v/>
      </c>
      <c r="T14" s="162">
        <f>IFERROR(""&amp;INDEX(tk_LOCK,MATCH(8,tk_ASEQ,0)),"")</f>
        <v/>
      </c>
      <c r="U14" s="162">
        <f>IFERROR(INDEX(tk_ETYPE,MATCH(8,tk_ASEQ,0)),"")</f>
        <v/>
      </c>
      <c r="V14" s="162">
        <f>IFERROR(""&amp;INDEX(tk_CHECK,MATCH(8,tk_ASEQ,0)),"")</f>
        <v/>
      </c>
      <c r="W14" s="162">
        <f>IFERROR(TRIM(INDEX(tk_DNOTES,MATCH(8,tk_ASEQ,0))&amp;" "&amp;INDEX(tk_FNOTES,MATCH(8,tk_ASEQ,0))),"")</f>
        <v/>
      </c>
    </row>
    <row r="15">
      <c r="A15" s="161">
        <f>IFERROR(""&amp;INDEX(tk_MARK,MATCH(9,tk_ASEQ,0)),"")</f>
        <v/>
      </c>
      <c r="B15" s="162">
        <f>IFERROR(""&amp;INDEX(tk_ROOMF,MATCH(9,tk_ASEQ,0)),"")</f>
        <v/>
      </c>
      <c r="C15" s="162">
        <f>IFERROR(""&amp;INDEX(tk_ROOMT,MATCH(9,tk_ASEQ,0)),"")</f>
        <v/>
      </c>
      <c r="D15" s="162">
        <f>IFERROR(INDEX(tk_QTY,MATCH(9,tk_ASEQ,0)),"")</f>
        <v/>
      </c>
      <c r="E15" s="162">
        <f>IFERROR(""&amp;INDEX(tk_SIZE,MATCH(9,tk_ASEQ,0)),"")</f>
        <v/>
      </c>
      <c r="F15" s="162">
        <f>IFERROR(""&amp;INDEX(tk_PAIR,MATCH(9,tk_ASEQ,0)),"")</f>
        <v/>
      </c>
      <c r="G15" s="162">
        <f>IFERROR(""&amp;INDEX(tk_DMAT,MATCH(9,tk_ASEQ,0)),"")</f>
        <v/>
      </c>
      <c r="H15" s="162">
        <f>IFERROR(""&amp;INDEX(tk_DGA,MATCH(9,tk_ASEQ,0)),"")</f>
        <v/>
      </c>
      <c r="I15" s="162">
        <f>IFERROR(""&amp;INDEX(tk_FACE,MATCH(9,tk_ASEQ,0)),"")</f>
        <v/>
      </c>
      <c r="J15" s="162">
        <f>IFERROR(IF(INDEX(tk_DHAND,MATCH(9,tk_ASEQ,0))="",""&amp;INDEX(tk_HAND,MATCH(9,tk_ASEQ,0)),""&amp;INDEX(tk_DHAND,MATCH(9,tk_ASEQ,0))),"")</f>
        <v/>
      </c>
      <c r="K15" s="162">
        <f>IFERROR(""&amp;INDEX(tk_FDESC,MATCH(9,tk_ASEQ,0)),"")</f>
        <v/>
      </c>
      <c r="L15" s="162">
        <f>IFERROR(INDEX(tk_STEEL,MATCH(9,tk_ASEQ,0))&amp;IF(INDEX(tk_FGA,MATCH(9,tk_ASEQ,0))="",""," "&amp;INDEX(tk_FGA,MATCH(9,tk_ASEQ,0))&amp;"GA"),"")</f>
        <v/>
      </c>
      <c r="M15" s="162">
        <f>IFERROR(IFERROR(VLOOKUP(INDEX(tk_JAMB,MATCH(9,tk_ASEQ,0)),CODES,2,FALSE),""&amp;INDEX(tk_JAMB,MATCH(9,tk_ASEQ,0))),"")</f>
        <v/>
      </c>
      <c r="N15" s="162">
        <f>IFERROR(""&amp;INDEX(tk_CONSTR,MATCH(9,tk_ASEQ,0)),"")</f>
        <v/>
      </c>
      <c r="O15" s="162">
        <f>IFERROR(""&amp;INDEX(tk_ANCHOR,MATCH(9,tk_ASEQ,0)),"")</f>
        <v/>
      </c>
      <c r="P15" s="162">
        <f>IFERROR(""&amp;INDEX(tk_RATING,MATCH(9,tk_ASEQ,0)),"")</f>
        <v/>
      </c>
      <c r="Q15" s="162">
        <f>IFERROR(""&amp;INDEX(tk_LABEL,MATCH(9,tk_ASEQ,0)),"")</f>
        <v/>
      </c>
      <c r="R15" s="162">
        <f>IFERROR(""&amp;INDEX(tk_HWSET,MATCH(9,tk_ASEQ,0)),"")</f>
        <v/>
      </c>
      <c r="S15" s="162">
        <f>IFERROR(IF(""&amp;INDEX(tk_HINGES,MATCH(9,tk_ASEQ,0))="","",INDEX(tk_HINGES,MATCH(9,tk_ASEQ,0))&amp;" · "&amp;INDEX(tk_LSRC,MATCH(9,tk_ASEQ,0))),"")</f>
        <v/>
      </c>
      <c r="T15" s="162">
        <f>IFERROR(""&amp;INDEX(tk_LOCK,MATCH(9,tk_ASEQ,0)),"")</f>
        <v/>
      </c>
      <c r="U15" s="162">
        <f>IFERROR(INDEX(tk_ETYPE,MATCH(9,tk_ASEQ,0)),"")</f>
        <v/>
      </c>
      <c r="V15" s="162">
        <f>IFERROR(""&amp;INDEX(tk_CHECK,MATCH(9,tk_ASEQ,0)),"")</f>
        <v/>
      </c>
      <c r="W15" s="162">
        <f>IFERROR(TRIM(INDEX(tk_DNOTES,MATCH(9,tk_ASEQ,0))&amp;" "&amp;INDEX(tk_FNOTES,MATCH(9,tk_ASEQ,0))),"")</f>
        <v/>
      </c>
    </row>
    <row r="16">
      <c r="A16" s="161">
        <f>IFERROR(""&amp;INDEX(tk_MARK,MATCH(10,tk_ASEQ,0)),"")</f>
        <v/>
      </c>
      <c r="B16" s="162">
        <f>IFERROR(""&amp;INDEX(tk_ROOMF,MATCH(10,tk_ASEQ,0)),"")</f>
        <v/>
      </c>
      <c r="C16" s="162">
        <f>IFERROR(""&amp;INDEX(tk_ROOMT,MATCH(10,tk_ASEQ,0)),"")</f>
        <v/>
      </c>
      <c r="D16" s="162">
        <f>IFERROR(INDEX(tk_QTY,MATCH(10,tk_ASEQ,0)),"")</f>
        <v/>
      </c>
      <c r="E16" s="162">
        <f>IFERROR(""&amp;INDEX(tk_SIZE,MATCH(10,tk_ASEQ,0)),"")</f>
        <v/>
      </c>
      <c r="F16" s="162">
        <f>IFERROR(""&amp;INDEX(tk_PAIR,MATCH(10,tk_ASEQ,0)),"")</f>
        <v/>
      </c>
      <c r="G16" s="162">
        <f>IFERROR(""&amp;INDEX(tk_DMAT,MATCH(10,tk_ASEQ,0)),"")</f>
        <v/>
      </c>
      <c r="H16" s="162">
        <f>IFERROR(""&amp;INDEX(tk_DGA,MATCH(10,tk_ASEQ,0)),"")</f>
        <v/>
      </c>
      <c r="I16" s="162">
        <f>IFERROR(""&amp;INDEX(tk_FACE,MATCH(10,tk_ASEQ,0)),"")</f>
        <v/>
      </c>
      <c r="J16" s="162">
        <f>IFERROR(IF(INDEX(tk_DHAND,MATCH(10,tk_ASEQ,0))="",""&amp;INDEX(tk_HAND,MATCH(10,tk_ASEQ,0)),""&amp;INDEX(tk_DHAND,MATCH(10,tk_ASEQ,0))),"")</f>
        <v/>
      </c>
      <c r="K16" s="162">
        <f>IFERROR(""&amp;INDEX(tk_FDESC,MATCH(10,tk_ASEQ,0)),"")</f>
        <v/>
      </c>
      <c r="L16" s="162">
        <f>IFERROR(INDEX(tk_STEEL,MATCH(10,tk_ASEQ,0))&amp;IF(INDEX(tk_FGA,MATCH(10,tk_ASEQ,0))="",""," "&amp;INDEX(tk_FGA,MATCH(10,tk_ASEQ,0))&amp;"GA"),"")</f>
        <v/>
      </c>
      <c r="M16" s="162">
        <f>IFERROR(IFERROR(VLOOKUP(INDEX(tk_JAMB,MATCH(10,tk_ASEQ,0)),CODES,2,FALSE),""&amp;INDEX(tk_JAMB,MATCH(10,tk_ASEQ,0))),"")</f>
        <v/>
      </c>
      <c r="N16" s="162">
        <f>IFERROR(""&amp;INDEX(tk_CONSTR,MATCH(10,tk_ASEQ,0)),"")</f>
        <v/>
      </c>
      <c r="O16" s="162">
        <f>IFERROR(""&amp;INDEX(tk_ANCHOR,MATCH(10,tk_ASEQ,0)),"")</f>
        <v/>
      </c>
      <c r="P16" s="162">
        <f>IFERROR(""&amp;INDEX(tk_RATING,MATCH(10,tk_ASEQ,0)),"")</f>
        <v/>
      </c>
      <c r="Q16" s="162">
        <f>IFERROR(""&amp;INDEX(tk_LABEL,MATCH(10,tk_ASEQ,0)),"")</f>
        <v/>
      </c>
      <c r="R16" s="162">
        <f>IFERROR(""&amp;INDEX(tk_HWSET,MATCH(10,tk_ASEQ,0)),"")</f>
        <v/>
      </c>
      <c r="S16" s="162">
        <f>IFERROR(IF(""&amp;INDEX(tk_HINGES,MATCH(10,tk_ASEQ,0))="","",INDEX(tk_HINGES,MATCH(10,tk_ASEQ,0))&amp;" · "&amp;INDEX(tk_LSRC,MATCH(10,tk_ASEQ,0))),"")</f>
        <v/>
      </c>
      <c r="T16" s="162">
        <f>IFERROR(""&amp;INDEX(tk_LOCK,MATCH(10,tk_ASEQ,0)),"")</f>
        <v/>
      </c>
      <c r="U16" s="162">
        <f>IFERROR(INDEX(tk_ETYPE,MATCH(10,tk_ASEQ,0)),"")</f>
        <v/>
      </c>
      <c r="V16" s="162">
        <f>IFERROR(""&amp;INDEX(tk_CHECK,MATCH(10,tk_ASEQ,0)),"")</f>
        <v/>
      </c>
      <c r="W16" s="162">
        <f>IFERROR(TRIM(INDEX(tk_DNOTES,MATCH(10,tk_ASEQ,0))&amp;" "&amp;INDEX(tk_FNOTES,MATCH(10,tk_ASEQ,0))),"")</f>
        <v/>
      </c>
    </row>
    <row r="17">
      <c r="A17" s="161">
        <f>IFERROR(""&amp;INDEX(tk_MARK,MATCH(11,tk_ASEQ,0)),"")</f>
        <v/>
      </c>
      <c r="B17" s="162">
        <f>IFERROR(""&amp;INDEX(tk_ROOMF,MATCH(11,tk_ASEQ,0)),"")</f>
        <v/>
      </c>
      <c r="C17" s="162">
        <f>IFERROR(""&amp;INDEX(tk_ROOMT,MATCH(11,tk_ASEQ,0)),"")</f>
        <v/>
      </c>
      <c r="D17" s="162">
        <f>IFERROR(INDEX(tk_QTY,MATCH(11,tk_ASEQ,0)),"")</f>
        <v/>
      </c>
      <c r="E17" s="162">
        <f>IFERROR(""&amp;INDEX(tk_SIZE,MATCH(11,tk_ASEQ,0)),"")</f>
        <v/>
      </c>
      <c r="F17" s="162">
        <f>IFERROR(""&amp;INDEX(tk_PAIR,MATCH(11,tk_ASEQ,0)),"")</f>
        <v/>
      </c>
      <c r="G17" s="162">
        <f>IFERROR(""&amp;INDEX(tk_DMAT,MATCH(11,tk_ASEQ,0)),"")</f>
        <v/>
      </c>
      <c r="H17" s="162">
        <f>IFERROR(""&amp;INDEX(tk_DGA,MATCH(11,tk_ASEQ,0)),"")</f>
        <v/>
      </c>
      <c r="I17" s="162">
        <f>IFERROR(""&amp;INDEX(tk_FACE,MATCH(11,tk_ASEQ,0)),"")</f>
        <v/>
      </c>
      <c r="J17" s="162">
        <f>IFERROR(IF(INDEX(tk_DHAND,MATCH(11,tk_ASEQ,0))="",""&amp;INDEX(tk_HAND,MATCH(11,tk_ASEQ,0)),""&amp;INDEX(tk_DHAND,MATCH(11,tk_ASEQ,0))),"")</f>
        <v/>
      </c>
      <c r="K17" s="162">
        <f>IFERROR(""&amp;INDEX(tk_FDESC,MATCH(11,tk_ASEQ,0)),"")</f>
        <v/>
      </c>
      <c r="L17" s="162">
        <f>IFERROR(INDEX(tk_STEEL,MATCH(11,tk_ASEQ,0))&amp;IF(INDEX(tk_FGA,MATCH(11,tk_ASEQ,0))="",""," "&amp;INDEX(tk_FGA,MATCH(11,tk_ASEQ,0))&amp;"GA"),"")</f>
        <v/>
      </c>
      <c r="M17" s="162">
        <f>IFERROR(IFERROR(VLOOKUP(INDEX(tk_JAMB,MATCH(11,tk_ASEQ,0)),CODES,2,FALSE),""&amp;INDEX(tk_JAMB,MATCH(11,tk_ASEQ,0))),"")</f>
        <v/>
      </c>
      <c r="N17" s="162">
        <f>IFERROR(""&amp;INDEX(tk_CONSTR,MATCH(11,tk_ASEQ,0)),"")</f>
        <v/>
      </c>
      <c r="O17" s="162">
        <f>IFERROR(""&amp;INDEX(tk_ANCHOR,MATCH(11,tk_ASEQ,0)),"")</f>
        <v/>
      </c>
      <c r="P17" s="162">
        <f>IFERROR(""&amp;INDEX(tk_RATING,MATCH(11,tk_ASEQ,0)),"")</f>
        <v/>
      </c>
      <c r="Q17" s="162">
        <f>IFERROR(""&amp;INDEX(tk_LABEL,MATCH(11,tk_ASEQ,0)),"")</f>
        <v/>
      </c>
      <c r="R17" s="162">
        <f>IFERROR(""&amp;INDEX(tk_HWSET,MATCH(11,tk_ASEQ,0)),"")</f>
        <v/>
      </c>
      <c r="S17" s="162">
        <f>IFERROR(IF(""&amp;INDEX(tk_HINGES,MATCH(11,tk_ASEQ,0))="","",INDEX(tk_HINGES,MATCH(11,tk_ASEQ,0))&amp;" · "&amp;INDEX(tk_LSRC,MATCH(11,tk_ASEQ,0))),"")</f>
        <v/>
      </c>
      <c r="T17" s="162">
        <f>IFERROR(""&amp;INDEX(tk_LOCK,MATCH(11,tk_ASEQ,0)),"")</f>
        <v/>
      </c>
      <c r="U17" s="162">
        <f>IFERROR(INDEX(tk_ETYPE,MATCH(11,tk_ASEQ,0)),"")</f>
        <v/>
      </c>
      <c r="V17" s="162">
        <f>IFERROR(""&amp;INDEX(tk_CHECK,MATCH(11,tk_ASEQ,0)),"")</f>
        <v/>
      </c>
      <c r="W17" s="162">
        <f>IFERROR(TRIM(INDEX(tk_DNOTES,MATCH(11,tk_ASEQ,0))&amp;" "&amp;INDEX(tk_FNOTES,MATCH(11,tk_ASEQ,0))),"")</f>
        <v/>
      </c>
    </row>
    <row r="18">
      <c r="A18" s="161">
        <f>IFERROR(""&amp;INDEX(tk_MARK,MATCH(12,tk_ASEQ,0)),"")</f>
        <v/>
      </c>
      <c r="B18" s="162">
        <f>IFERROR(""&amp;INDEX(tk_ROOMF,MATCH(12,tk_ASEQ,0)),"")</f>
        <v/>
      </c>
      <c r="C18" s="162">
        <f>IFERROR(""&amp;INDEX(tk_ROOMT,MATCH(12,tk_ASEQ,0)),"")</f>
        <v/>
      </c>
      <c r="D18" s="162">
        <f>IFERROR(INDEX(tk_QTY,MATCH(12,tk_ASEQ,0)),"")</f>
        <v/>
      </c>
      <c r="E18" s="162">
        <f>IFERROR(""&amp;INDEX(tk_SIZE,MATCH(12,tk_ASEQ,0)),"")</f>
        <v/>
      </c>
      <c r="F18" s="162">
        <f>IFERROR(""&amp;INDEX(tk_PAIR,MATCH(12,tk_ASEQ,0)),"")</f>
        <v/>
      </c>
      <c r="G18" s="162">
        <f>IFERROR(""&amp;INDEX(tk_DMAT,MATCH(12,tk_ASEQ,0)),"")</f>
        <v/>
      </c>
      <c r="H18" s="162">
        <f>IFERROR(""&amp;INDEX(tk_DGA,MATCH(12,tk_ASEQ,0)),"")</f>
        <v/>
      </c>
      <c r="I18" s="162">
        <f>IFERROR(""&amp;INDEX(tk_FACE,MATCH(12,tk_ASEQ,0)),"")</f>
        <v/>
      </c>
      <c r="J18" s="162">
        <f>IFERROR(IF(INDEX(tk_DHAND,MATCH(12,tk_ASEQ,0))="",""&amp;INDEX(tk_HAND,MATCH(12,tk_ASEQ,0)),""&amp;INDEX(tk_DHAND,MATCH(12,tk_ASEQ,0))),"")</f>
        <v/>
      </c>
      <c r="K18" s="162">
        <f>IFERROR(""&amp;INDEX(tk_FDESC,MATCH(12,tk_ASEQ,0)),"")</f>
        <v/>
      </c>
      <c r="L18" s="162">
        <f>IFERROR(INDEX(tk_STEEL,MATCH(12,tk_ASEQ,0))&amp;IF(INDEX(tk_FGA,MATCH(12,tk_ASEQ,0))="",""," "&amp;INDEX(tk_FGA,MATCH(12,tk_ASEQ,0))&amp;"GA"),"")</f>
        <v/>
      </c>
      <c r="M18" s="162">
        <f>IFERROR(IFERROR(VLOOKUP(INDEX(tk_JAMB,MATCH(12,tk_ASEQ,0)),CODES,2,FALSE),""&amp;INDEX(tk_JAMB,MATCH(12,tk_ASEQ,0))),"")</f>
        <v/>
      </c>
      <c r="N18" s="162">
        <f>IFERROR(""&amp;INDEX(tk_CONSTR,MATCH(12,tk_ASEQ,0)),"")</f>
        <v/>
      </c>
      <c r="O18" s="162">
        <f>IFERROR(""&amp;INDEX(tk_ANCHOR,MATCH(12,tk_ASEQ,0)),"")</f>
        <v/>
      </c>
      <c r="P18" s="162">
        <f>IFERROR(""&amp;INDEX(tk_RATING,MATCH(12,tk_ASEQ,0)),"")</f>
        <v/>
      </c>
      <c r="Q18" s="162">
        <f>IFERROR(""&amp;INDEX(tk_LABEL,MATCH(12,tk_ASEQ,0)),"")</f>
        <v/>
      </c>
      <c r="R18" s="162">
        <f>IFERROR(""&amp;INDEX(tk_HWSET,MATCH(12,tk_ASEQ,0)),"")</f>
        <v/>
      </c>
      <c r="S18" s="162">
        <f>IFERROR(IF(""&amp;INDEX(tk_HINGES,MATCH(12,tk_ASEQ,0))="","",INDEX(tk_HINGES,MATCH(12,tk_ASEQ,0))&amp;" · "&amp;INDEX(tk_LSRC,MATCH(12,tk_ASEQ,0))),"")</f>
        <v/>
      </c>
      <c r="T18" s="162">
        <f>IFERROR(""&amp;INDEX(tk_LOCK,MATCH(12,tk_ASEQ,0)),"")</f>
        <v/>
      </c>
      <c r="U18" s="162">
        <f>IFERROR(INDEX(tk_ETYPE,MATCH(12,tk_ASEQ,0)),"")</f>
        <v/>
      </c>
      <c r="V18" s="162">
        <f>IFERROR(""&amp;INDEX(tk_CHECK,MATCH(12,tk_ASEQ,0)),"")</f>
        <v/>
      </c>
      <c r="W18" s="162">
        <f>IFERROR(TRIM(INDEX(tk_DNOTES,MATCH(12,tk_ASEQ,0))&amp;" "&amp;INDEX(tk_FNOTES,MATCH(12,tk_ASEQ,0))),"")</f>
        <v/>
      </c>
    </row>
    <row r="19">
      <c r="A19" s="161">
        <f>IFERROR(""&amp;INDEX(tk_MARK,MATCH(13,tk_ASEQ,0)),"")</f>
        <v/>
      </c>
      <c r="B19" s="162">
        <f>IFERROR(""&amp;INDEX(tk_ROOMF,MATCH(13,tk_ASEQ,0)),"")</f>
        <v/>
      </c>
      <c r="C19" s="162">
        <f>IFERROR(""&amp;INDEX(tk_ROOMT,MATCH(13,tk_ASEQ,0)),"")</f>
        <v/>
      </c>
      <c r="D19" s="162">
        <f>IFERROR(INDEX(tk_QTY,MATCH(13,tk_ASEQ,0)),"")</f>
        <v/>
      </c>
      <c r="E19" s="162">
        <f>IFERROR(""&amp;INDEX(tk_SIZE,MATCH(13,tk_ASEQ,0)),"")</f>
        <v/>
      </c>
      <c r="F19" s="162">
        <f>IFERROR(""&amp;INDEX(tk_PAIR,MATCH(13,tk_ASEQ,0)),"")</f>
        <v/>
      </c>
      <c r="G19" s="162">
        <f>IFERROR(""&amp;INDEX(tk_DMAT,MATCH(13,tk_ASEQ,0)),"")</f>
        <v/>
      </c>
      <c r="H19" s="162">
        <f>IFERROR(""&amp;INDEX(tk_DGA,MATCH(13,tk_ASEQ,0)),"")</f>
        <v/>
      </c>
      <c r="I19" s="162">
        <f>IFERROR(""&amp;INDEX(tk_FACE,MATCH(13,tk_ASEQ,0)),"")</f>
        <v/>
      </c>
      <c r="J19" s="162">
        <f>IFERROR(IF(INDEX(tk_DHAND,MATCH(13,tk_ASEQ,0))="",""&amp;INDEX(tk_HAND,MATCH(13,tk_ASEQ,0)),""&amp;INDEX(tk_DHAND,MATCH(13,tk_ASEQ,0))),"")</f>
        <v/>
      </c>
      <c r="K19" s="162">
        <f>IFERROR(""&amp;INDEX(tk_FDESC,MATCH(13,tk_ASEQ,0)),"")</f>
        <v/>
      </c>
      <c r="L19" s="162">
        <f>IFERROR(INDEX(tk_STEEL,MATCH(13,tk_ASEQ,0))&amp;IF(INDEX(tk_FGA,MATCH(13,tk_ASEQ,0))="",""," "&amp;INDEX(tk_FGA,MATCH(13,tk_ASEQ,0))&amp;"GA"),"")</f>
        <v/>
      </c>
      <c r="M19" s="162">
        <f>IFERROR(IFERROR(VLOOKUP(INDEX(tk_JAMB,MATCH(13,tk_ASEQ,0)),CODES,2,FALSE),""&amp;INDEX(tk_JAMB,MATCH(13,tk_ASEQ,0))),"")</f>
        <v/>
      </c>
      <c r="N19" s="162">
        <f>IFERROR(""&amp;INDEX(tk_CONSTR,MATCH(13,tk_ASEQ,0)),"")</f>
        <v/>
      </c>
      <c r="O19" s="162">
        <f>IFERROR(""&amp;INDEX(tk_ANCHOR,MATCH(13,tk_ASEQ,0)),"")</f>
        <v/>
      </c>
      <c r="P19" s="162">
        <f>IFERROR(""&amp;INDEX(tk_RATING,MATCH(13,tk_ASEQ,0)),"")</f>
        <v/>
      </c>
      <c r="Q19" s="162">
        <f>IFERROR(""&amp;INDEX(tk_LABEL,MATCH(13,tk_ASEQ,0)),"")</f>
        <v/>
      </c>
      <c r="R19" s="162">
        <f>IFERROR(""&amp;INDEX(tk_HWSET,MATCH(13,tk_ASEQ,0)),"")</f>
        <v/>
      </c>
      <c r="S19" s="162">
        <f>IFERROR(IF(""&amp;INDEX(tk_HINGES,MATCH(13,tk_ASEQ,0))="","",INDEX(tk_HINGES,MATCH(13,tk_ASEQ,0))&amp;" · "&amp;INDEX(tk_LSRC,MATCH(13,tk_ASEQ,0))),"")</f>
        <v/>
      </c>
      <c r="T19" s="162">
        <f>IFERROR(""&amp;INDEX(tk_LOCK,MATCH(13,tk_ASEQ,0)),"")</f>
        <v/>
      </c>
      <c r="U19" s="162">
        <f>IFERROR(INDEX(tk_ETYPE,MATCH(13,tk_ASEQ,0)),"")</f>
        <v/>
      </c>
      <c r="V19" s="162">
        <f>IFERROR(""&amp;INDEX(tk_CHECK,MATCH(13,tk_ASEQ,0)),"")</f>
        <v/>
      </c>
      <c r="W19" s="162">
        <f>IFERROR(TRIM(INDEX(tk_DNOTES,MATCH(13,tk_ASEQ,0))&amp;" "&amp;INDEX(tk_FNOTES,MATCH(13,tk_ASEQ,0))),"")</f>
        <v/>
      </c>
    </row>
    <row r="20">
      <c r="A20" s="161">
        <f>IFERROR(""&amp;INDEX(tk_MARK,MATCH(14,tk_ASEQ,0)),"")</f>
        <v/>
      </c>
      <c r="B20" s="162">
        <f>IFERROR(""&amp;INDEX(tk_ROOMF,MATCH(14,tk_ASEQ,0)),"")</f>
        <v/>
      </c>
      <c r="C20" s="162">
        <f>IFERROR(""&amp;INDEX(tk_ROOMT,MATCH(14,tk_ASEQ,0)),"")</f>
        <v/>
      </c>
      <c r="D20" s="162">
        <f>IFERROR(INDEX(tk_QTY,MATCH(14,tk_ASEQ,0)),"")</f>
        <v/>
      </c>
      <c r="E20" s="162">
        <f>IFERROR(""&amp;INDEX(tk_SIZE,MATCH(14,tk_ASEQ,0)),"")</f>
        <v/>
      </c>
      <c r="F20" s="162">
        <f>IFERROR(""&amp;INDEX(tk_PAIR,MATCH(14,tk_ASEQ,0)),"")</f>
        <v/>
      </c>
      <c r="G20" s="162">
        <f>IFERROR(""&amp;INDEX(tk_DMAT,MATCH(14,tk_ASEQ,0)),"")</f>
        <v/>
      </c>
      <c r="H20" s="162">
        <f>IFERROR(""&amp;INDEX(tk_DGA,MATCH(14,tk_ASEQ,0)),"")</f>
        <v/>
      </c>
      <c r="I20" s="162">
        <f>IFERROR(""&amp;INDEX(tk_FACE,MATCH(14,tk_ASEQ,0)),"")</f>
        <v/>
      </c>
      <c r="J20" s="162">
        <f>IFERROR(IF(INDEX(tk_DHAND,MATCH(14,tk_ASEQ,0))="",""&amp;INDEX(tk_HAND,MATCH(14,tk_ASEQ,0)),""&amp;INDEX(tk_DHAND,MATCH(14,tk_ASEQ,0))),"")</f>
        <v/>
      </c>
      <c r="K20" s="162">
        <f>IFERROR(""&amp;INDEX(tk_FDESC,MATCH(14,tk_ASEQ,0)),"")</f>
        <v/>
      </c>
      <c r="L20" s="162">
        <f>IFERROR(INDEX(tk_STEEL,MATCH(14,tk_ASEQ,0))&amp;IF(INDEX(tk_FGA,MATCH(14,tk_ASEQ,0))="",""," "&amp;INDEX(tk_FGA,MATCH(14,tk_ASEQ,0))&amp;"GA"),"")</f>
        <v/>
      </c>
      <c r="M20" s="162">
        <f>IFERROR(IFERROR(VLOOKUP(INDEX(tk_JAMB,MATCH(14,tk_ASEQ,0)),CODES,2,FALSE),""&amp;INDEX(tk_JAMB,MATCH(14,tk_ASEQ,0))),"")</f>
        <v/>
      </c>
      <c r="N20" s="162">
        <f>IFERROR(""&amp;INDEX(tk_CONSTR,MATCH(14,tk_ASEQ,0)),"")</f>
        <v/>
      </c>
      <c r="O20" s="162">
        <f>IFERROR(""&amp;INDEX(tk_ANCHOR,MATCH(14,tk_ASEQ,0)),"")</f>
        <v/>
      </c>
      <c r="P20" s="162">
        <f>IFERROR(""&amp;INDEX(tk_RATING,MATCH(14,tk_ASEQ,0)),"")</f>
        <v/>
      </c>
      <c r="Q20" s="162">
        <f>IFERROR(""&amp;INDEX(tk_LABEL,MATCH(14,tk_ASEQ,0)),"")</f>
        <v/>
      </c>
      <c r="R20" s="162">
        <f>IFERROR(""&amp;INDEX(tk_HWSET,MATCH(14,tk_ASEQ,0)),"")</f>
        <v/>
      </c>
      <c r="S20" s="162">
        <f>IFERROR(IF(""&amp;INDEX(tk_HINGES,MATCH(14,tk_ASEQ,0))="","",INDEX(tk_HINGES,MATCH(14,tk_ASEQ,0))&amp;" · "&amp;INDEX(tk_LSRC,MATCH(14,tk_ASEQ,0))),"")</f>
        <v/>
      </c>
      <c r="T20" s="162">
        <f>IFERROR(""&amp;INDEX(tk_LOCK,MATCH(14,tk_ASEQ,0)),"")</f>
        <v/>
      </c>
      <c r="U20" s="162">
        <f>IFERROR(INDEX(tk_ETYPE,MATCH(14,tk_ASEQ,0)),"")</f>
        <v/>
      </c>
      <c r="V20" s="162">
        <f>IFERROR(""&amp;INDEX(tk_CHECK,MATCH(14,tk_ASEQ,0)),"")</f>
        <v/>
      </c>
      <c r="W20" s="162">
        <f>IFERROR(TRIM(INDEX(tk_DNOTES,MATCH(14,tk_ASEQ,0))&amp;" "&amp;INDEX(tk_FNOTES,MATCH(14,tk_ASEQ,0))),"")</f>
        <v/>
      </c>
    </row>
    <row r="21">
      <c r="A21" s="161">
        <f>IFERROR(""&amp;INDEX(tk_MARK,MATCH(15,tk_ASEQ,0)),"")</f>
        <v/>
      </c>
      <c r="B21" s="162">
        <f>IFERROR(""&amp;INDEX(tk_ROOMF,MATCH(15,tk_ASEQ,0)),"")</f>
        <v/>
      </c>
      <c r="C21" s="162">
        <f>IFERROR(""&amp;INDEX(tk_ROOMT,MATCH(15,tk_ASEQ,0)),"")</f>
        <v/>
      </c>
      <c r="D21" s="162">
        <f>IFERROR(INDEX(tk_QTY,MATCH(15,tk_ASEQ,0)),"")</f>
        <v/>
      </c>
      <c r="E21" s="162">
        <f>IFERROR(""&amp;INDEX(tk_SIZE,MATCH(15,tk_ASEQ,0)),"")</f>
        <v/>
      </c>
      <c r="F21" s="162">
        <f>IFERROR(""&amp;INDEX(tk_PAIR,MATCH(15,tk_ASEQ,0)),"")</f>
        <v/>
      </c>
      <c r="G21" s="162">
        <f>IFERROR(""&amp;INDEX(tk_DMAT,MATCH(15,tk_ASEQ,0)),"")</f>
        <v/>
      </c>
      <c r="H21" s="162">
        <f>IFERROR(""&amp;INDEX(tk_DGA,MATCH(15,tk_ASEQ,0)),"")</f>
        <v/>
      </c>
      <c r="I21" s="162">
        <f>IFERROR(""&amp;INDEX(tk_FACE,MATCH(15,tk_ASEQ,0)),"")</f>
        <v/>
      </c>
      <c r="J21" s="162">
        <f>IFERROR(IF(INDEX(tk_DHAND,MATCH(15,tk_ASEQ,0))="",""&amp;INDEX(tk_HAND,MATCH(15,tk_ASEQ,0)),""&amp;INDEX(tk_DHAND,MATCH(15,tk_ASEQ,0))),"")</f>
        <v/>
      </c>
      <c r="K21" s="162">
        <f>IFERROR(""&amp;INDEX(tk_FDESC,MATCH(15,tk_ASEQ,0)),"")</f>
        <v/>
      </c>
      <c r="L21" s="162">
        <f>IFERROR(INDEX(tk_STEEL,MATCH(15,tk_ASEQ,0))&amp;IF(INDEX(tk_FGA,MATCH(15,tk_ASEQ,0))="",""," "&amp;INDEX(tk_FGA,MATCH(15,tk_ASEQ,0))&amp;"GA"),"")</f>
        <v/>
      </c>
      <c r="M21" s="162">
        <f>IFERROR(IFERROR(VLOOKUP(INDEX(tk_JAMB,MATCH(15,tk_ASEQ,0)),CODES,2,FALSE),""&amp;INDEX(tk_JAMB,MATCH(15,tk_ASEQ,0))),"")</f>
        <v/>
      </c>
      <c r="N21" s="162">
        <f>IFERROR(""&amp;INDEX(tk_CONSTR,MATCH(15,tk_ASEQ,0)),"")</f>
        <v/>
      </c>
      <c r="O21" s="162">
        <f>IFERROR(""&amp;INDEX(tk_ANCHOR,MATCH(15,tk_ASEQ,0)),"")</f>
        <v/>
      </c>
      <c r="P21" s="162">
        <f>IFERROR(""&amp;INDEX(tk_RATING,MATCH(15,tk_ASEQ,0)),"")</f>
        <v/>
      </c>
      <c r="Q21" s="162">
        <f>IFERROR(""&amp;INDEX(tk_LABEL,MATCH(15,tk_ASEQ,0)),"")</f>
        <v/>
      </c>
      <c r="R21" s="162">
        <f>IFERROR(""&amp;INDEX(tk_HWSET,MATCH(15,tk_ASEQ,0)),"")</f>
        <v/>
      </c>
      <c r="S21" s="162">
        <f>IFERROR(IF(""&amp;INDEX(tk_HINGES,MATCH(15,tk_ASEQ,0))="","",INDEX(tk_HINGES,MATCH(15,tk_ASEQ,0))&amp;" · "&amp;INDEX(tk_LSRC,MATCH(15,tk_ASEQ,0))),"")</f>
        <v/>
      </c>
      <c r="T21" s="162">
        <f>IFERROR(""&amp;INDEX(tk_LOCK,MATCH(15,tk_ASEQ,0)),"")</f>
        <v/>
      </c>
      <c r="U21" s="162">
        <f>IFERROR(INDEX(tk_ETYPE,MATCH(15,tk_ASEQ,0)),"")</f>
        <v/>
      </c>
      <c r="V21" s="162">
        <f>IFERROR(""&amp;INDEX(tk_CHECK,MATCH(15,tk_ASEQ,0)),"")</f>
        <v/>
      </c>
      <c r="W21" s="162">
        <f>IFERROR(TRIM(INDEX(tk_DNOTES,MATCH(15,tk_ASEQ,0))&amp;" "&amp;INDEX(tk_FNOTES,MATCH(15,tk_ASEQ,0))),"")</f>
        <v/>
      </c>
    </row>
    <row r="22">
      <c r="A22" s="161">
        <f>IFERROR(""&amp;INDEX(tk_MARK,MATCH(16,tk_ASEQ,0)),"")</f>
        <v/>
      </c>
      <c r="B22" s="162">
        <f>IFERROR(""&amp;INDEX(tk_ROOMF,MATCH(16,tk_ASEQ,0)),"")</f>
        <v/>
      </c>
      <c r="C22" s="162">
        <f>IFERROR(""&amp;INDEX(tk_ROOMT,MATCH(16,tk_ASEQ,0)),"")</f>
        <v/>
      </c>
      <c r="D22" s="162">
        <f>IFERROR(INDEX(tk_QTY,MATCH(16,tk_ASEQ,0)),"")</f>
        <v/>
      </c>
      <c r="E22" s="162">
        <f>IFERROR(""&amp;INDEX(tk_SIZE,MATCH(16,tk_ASEQ,0)),"")</f>
        <v/>
      </c>
      <c r="F22" s="162">
        <f>IFERROR(""&amp;INDEX(tk_PAIR,MATCH(16,tk_ASEQ,0)),"")</f>
        <v/>
      </c>
      <c r="G22" s="162">
        <f>IFERROR(""&amp;INDEX(tk_DMAT,MATCH(16,tk_ASEQ,0)),"")</f>
        <v/>
      </c>
      <c r="H22" s="162">
        <f>IFERROR(""&amp;INDEX(tk_DGA,MATCH(16,tk_ASEQ,0)),"")</f>
        <v/>
      </c>
      <c r="I22" s="162">
        <f>IFERROR(""&amp;INDEX(tk_FACE,MATCH(16,tk_ASEQ,0)),"")</f>
        <v/>
      </c>
      <c r="J22" s="162">
        <f>IFERROR(IF(INDEX(tk_DHAND,MATCH(16,tk_ASEQ,0))="",""&amp;INDEX(tk_HAND,MATCH(16,tk_ASEQ,0)),""&amp;INDEX(tk_DHAND,MATCH(16,tk_ASEQ,0))),"")</f>
        <v/>
      </c>
      <c r="K22" s="162">
        <f>IFERROR(""&amp;INDEX(tk_FDESC,MATCH(16,tk_ASEQ,0)),"")</f>
        <v/>
      </c>
      <c r="L22" s="162">
        <f>IFERROR(INDEX(tk_STEEL,MATCH(16,tk_ASEQ,0))&amp;IF(INDEX(tk_FGA,MATCH(16,tk_ASEQ,0))="",""," "&amp;INDEX(tk_FGA,MATCH(16,tk_ASEQ,0))&amp;"GA"),"")</f>
        <v/>
      </c>
      <c r="M22" s="162">
        <f>IFERROR(IFERROR(VLOOKUP(INDEX(tk_JAMB,MATCH(16,tk_ASEQ,0)),CODES,2,FALSE),""&amp;INDEX(tk_JAMB,MATCH(16,tk_ASEQ,0))),"")</f>
        <v/>
      </c>
      <c r="N22" s="162">
        <f>IFERROR(""&amp;INDEX(tk_CONSTR,MATCH(16,tk_ASEQ,0)),"")</f>
        <v/>
      </c>
      <c r="O22" s="162">
        <f>IFERROR(""&amp;INDEX(tk_ANCHOR,MATCH(16,tk_ASEQ,0)),"")</f>
        <v/>
      </c>
      <c r="P22" s="162">
        <f>IFERROR(""&amp;INDEX(tk_RATING,MATCH(16,tk_ASEQ,0)),"")</f>
        <v/>
      </c>
      <c r="Q22" s="162">
        <f>IFERROR(""&amp;INDEX(tk_LABEL,MATCH(16,tk_ASEQ,0)),"")</f>
        <v/>
      </c>
      <c r="R22" s="162">
        <f>IFERROR(""&amp;INDEX(tk_HWSET,MATCH(16,tk_ASEQ,0)),"")</f>
        <v/>
      </c>
      <c r="S22" s="162">
        <f>IFERROR(IF(""&amp;INDEX(tk_HINGES,MATCH(16,tk_ASEQ,0))="","",INDEX(tk_HINGES,MATCH(16,tk_ASEQ,0))&amp;" · "&amp;INDEX(tk_LSRC,MATCH(16,tk_ASEQ,0))),"")</f>
        <v/>
      </c>
      <c r="T22" s="162">
        <f>IFERROR(""&amp;INDEX(tk_LOCK,MATCH(16,tk_ASEQ,0)),"")</f>
        <v/>
      </c>
      <c r="U22" s="162">
        <f>IFERROR(INDEX(tk_ETYPE,MATCH(16,tk_ASEQ,0)),"")</f>
        <v/>
      </c>
      <c r="V22" s="162">
        <f>IFERROR(""&amp;INDEX(tk_CHECK,MATCH(16,tk_ASEQ,0)),"")</f>
        <v/>
      </c>
      <c r="W22" s="162">
        <f>IFERROR(TRIM(INDEX(tk_DNOTES,MATCH(16,tk_ASEQ,0))&amp;" "&amp;INDEX(tk_FNOTES,MATCH(16,tk_ASEQ,0))),"")</f>
        <v/>
      </c>
    </row>
    <row r="23">
      <c r="A23" s="161">
        <f>IFERROR(""&amp;INDEX(tk_MARK,MATCH(17,tk_ASEQ,0)),"")</f>
        <v/>
      </c>
      <c r="B23" s="162">
        <f>IFERROR(""&amp;INDEX(tk_ROOMF,MATCH(17,tk_ASEQ,0)),"")</f>
        <v/>
      </c>
      <c r="C23" s="162">
        <f>IFERROR(""&amp;INDEX(tk_ROOMT,MATCH(17,tk_ASEQ,0)),"")</f>
        <v/>
      </c>
      <c r="D23" s="162">
        <f>IFERROR(INDEX(tk_QTY,MATCH(17,tk_ASEQ,0)),"")</f>
        <v/>
      </c>
      <c r="E23" s="162">
        <f>IFERROR(""&amp;INDEX(tk_SIZE,MATCH(17,tk_ASEQ,0)),"")</f>
        <v/>
      </c>
      <c r="F23" s="162">
        <f>IFERROR(""&amp;INDEX(tk_PAIR,MATCH(17,tk_ASEQ,0)),"")</f>
        <v/>
      </c>
      <c r="G23" s="162">
        <f>IFERROR(""&amp;INDEX(tk_DMAT,MATCH(17,tk_ASEQ,0)),"")</f>
        <v/>
      </c>
      <c r="H23" s="162">
        <f>IFERROR(""&amp;INDEX(tk_DGA,MATCH(17,tk_ASEQ,0)),"")</f>
        <v/>
      </c>
      <c r="I23" s="162">
        <f>IFERROR(""&amp;INDEX(tk_FACE,MATCH(17,tk_ASEQ,0)),"")</f>
        <v/>
      </c>
      <c r="J23" s="162">
        <f>IFERROR(IF(INDEX(tk_DHAND,MATCH(17,tk_ASEQ,0))="",""&amp;INDEX(tk_HAND,MATCH(17,tk_ASEQ,0)),""&amp;INDEX(tk_DHAND,MATCH(17,tk_ASEQ,0))),"")</f>
        <v/>
      </c>
      <c r="K23" s="162">
        <f>IFERROR(""&amp;INDEX(tk_FDESC,MATCH(17,tk_ASEQ,0)),"")</f>
        <v/>
      </c>
      <c r="L23" s="162">
        <f>IFERROR(INDEX(tk_STEEL,MATCH(17,tk_ASEQ,0))&amp;IF(INDEX(tk_FGA,MATCH(17,tk_ASEQ,0))="",""," "&amp;INDEX(tk_FGA,MATCH(17,tk_ASEQ,0))&amp;"GA"),"")</f>
        <v/>
      </c>
      <c r="M23" s="162">
        <f>IFERROR(IFERROR(VLOOKUP(INDEX(tk_JAMB,MATCH(17,tk_ASEQ,0)),CODES,2,FALSE),""&amp;INDEX(tk_JAMB,MATCH(17,tk_ASEQ,0))),"")</f>
        <v/>
      </c>
      <c r="N23" s="162">
        <f>IFERROR(""&amp;INDEX(tk_CONSTR,MATCH(17,tk_ASEQ,0)),"")</f>
        <v/>
      </c>
      <c r="O23" s="162">
        <f>IFERROR(""&amp;INDEX(tk_ANCHOR,MATCH(17,tk_ASEQ,0)),"")</f>
        <v/>
      </c>
      <c r="P23" s="162">
        <f>IFERROR(""&amp;INDEX(tk_RATING,MATCH(17,tk_ASEQ,0)),"")</f>
        <v/>
      </c>
      <c r="Q23" s="162">
        <f>IFERROR(""&amp;INDEX(tk_LABEL,MATCH(17,tk_ASEQ,0)),"")</f>
        <v/>
      </c>
      <c r="R23" s="162">
        <f>IFERROR(""&amp;INDEX(tk_HWSET,MATCH(17,tk_ASEQ,0)),"")</f>
        <v/>
      </c>
      <c r="S23" s="162">
        <f>IFERROR(IF(""&amp;INDEX(tk_HINGES,MATCH(17,tk_ASEQ,0))="","",INDEX(tk_HINGES,MATCH(17,tk_ASEQ,0))&amp;" · "&amp;INDEX(tk_LSRC,MATCH(17,tk_ASEQ,0))),"")</f>
        <v/>
      </c>
      <c r="T23" s="162">
        <f>IFERROR(""&amp;INDEX(tk_LOCK,MATCH(17,tk_ASEQ,0)),"")</f>
        <v/>
      </c>
      <c r="U23" s="162">
        <f>IFERROR(INDEX(tk_ETYPE,MATCH(17,tk_ASEQ,0)),"")</f>
        <v/>
      </c>
      <c r="V23" s="162">
        <f>IFERROR(""&amp;INDEX(tk_CHECK,MATCH(17,tk_ASEQ,0)),"")</f>
        <v/>
      </c>
      <c r="W23" s="162">
        <f>IFERROR(TRIM(INDEX(tk_DNOTES,MATCH(17,tk_ASEQ,0))&amp;" "&amp;INDEX(tk_FNOTES,MATCH(17,tk_ASEQ,0))),"")</f>
        <v/>
      </c>
    </row>
    <row r="24">
      <c r="A24" s="161">
        <f>IFERROR(""&amp;INDEX(tk_MARK,MATCH(18,tk_ASEQ,0)),"")</f>
        <v/>
      </c>
      <c r="B24" s="162">
        <f>IFERROR(""&amp;INDEX(tk_ROOMF,MATCH(18,tk_ASEQ,0)),"")</f>
        <v/>
      </c>
      <c r="C24" s="162">
        <f>IFERROR(""&amp;INDEX(tk_ROOMT,MATCH(18,tk_ASEQ,0)),"")</f>
        <v/>
      </c>
      <c r="D24" s="162">
        <f>IFERROR(INDEX(tk_QTY,MATCH(18,tk_ASEQ,0)),"")</f>
        <v/>
      </c>
      <c r="E24" s="162">
        <f>IFERROR(""&amp;INDEX(tk_SIZE,MATCH(18,tk_ASEQ,0)),"")</f>
        <v/>
      </c>
      <c r="F24" s="162">
        <f>IFERROR(""&amp;INDEX(tk_PAIR,MATCH(18,tk_ASEQ,0)),"")</f>
        <v/>
      </c>
      <c r="G24" s="162">
        <f>IFERROR(""&amp;INDEX(tk_DMAT,MATCH(18,tk_ASEQ,0)),"")</f>
        <v/>
      </c>
      <c r="H24" s="162">
        <f>IFERROR(""&amp;INDEX(tk_DGA,MATCH(18,tk_ASEQ,0)),"")</f>
        <v/>
      </c>
      <c r="I24" s="162">
        <f>IFERROR(""&amp;INDEX(tk_FACE,MATCH(18,tk_ASEQ,0)),"")</f>
        <v/>
      </c>
      <c r="J24" s="162">
        <f>IFERROR(IF(INDEX(tk_DHAND,MATCH(18,tk_ASEQ,0))="",""&amp;INDEX(tk_HAND,MATCH(18,tk_ASEQ,0)),""&amp;INDEX(tk_DHAND,MATCH(18,tk_ASEQ,0))),"")</f>
        <v/>
      </c>
      <c r="K24" s="162">
        <f>IFERROR(""&amp;INDEX(tk_FDESC,MATCH(18,tk_ASEQ,0)),"")</f>
        <v/>
      </c>
      <c r="L24" s="162">
        <f>IFERROR(INDEX(tk_STEEL,MATCH(18,tk_ASEQ,0))&amp;IF(INDEX(tk_FGA,MATCH(18,tk_ASEQ,0))="",""," "&amp;INDEX(tk_FGA,MATCH(18,tk_ASEQ,0))&amp;"GA"),"")</f>
        <v/>
      </c>
      <c r="M24" s="162">
        <f>IFERROR(IFERROR(VLOOKUP(INDEX(tk_JAMB,MATCH(18,tk_ASEQ,0)),CODES,2,FALSE),""&amp;INDEX(tk_JAMB,MATCH(18,tk_ASEQ,0))),"")</f>
        <v/>
      </c>
      <c r="N24" s="162">
        <f>IFERROR(""&amp;INDEX(tk_CONSTR,MATCH(18,tk_ASEQ,0)),"")</f>
        <v/>
      </c>
      <c r="O24" s="162">
        <f>IFERROR(""&amp;INDEX(tk_ANCHOR,MATCH(18,tk_ASEQ,0)),"")</f>
        <v/>
      </c>
      <c r="P24" s="162">
        <f>IFERROR(""&amp;INDEX(tk_RATING,MATCH(18,tk_ASEQ,0)),"")</f>
        <v/>
      </c>
      <c r="Q24" s="162">
        <f>IFERROR(""&amp;INDEX(tk_LABEL,MATCH(18,tk_ASEQ,0)),"")</f>
        <v/>
      </c>
      <c r="R24" s="162">
        <f>IFERROR(""&amp;INDEX(tk_HWSET,MATCH(18,tk_ASEQ,0)),"")</f>
        <v/>
      </c>
      <c r="S24" s="162">
        <f>IFERROR(IF(""&amp;INDEX(tk_HINGES,MATCH(18,tk_ASEQ,0))="","",INDEX(tk_HINGES,MATCH(18,tk_ASEQ,0))&amp;" · "&amp;INDEX(tk_LSRC,MATCH(18,tk_ASEQ,0))),"")</f>
        <v/>
      </c>
      <c r="T24" s="162">
        <f>IFERROR(""&amp;INDEX(tk_LOCK,MATCH(18,tk_ASEQ,0)),"")</f>
        <v/>
      </c>
      <c r="U24" s="162">
        <f>IFERROR(INDEX(tk_ETYPE,MATCH(18,tk_ASEQ,0)),"")</f>
        <v/>
      </c>
      <c r="V24" s="162">
        <f>IFERROR(""&amp;INDEX(tk_CHECK,MATCH(18,tk_ASEQ,0)),"")</f>
        <v/>
      </c>
      <c r="W24" s="162">
        <f>IFERROR(TRIM(INDEX(tk_DNOTES,MATCH(18,tk_ASEQ,0))&amp;" "&amp;INDEX(tk_FNOTES,MATCH(18,tk_ASEQ,0))),"")</f>
        <v/>
      </c>
    </row>
    <row r="25">
      <c r="A25" s="161">
        <f>IFERROR(""&amp;INDEX(tk_MARK,MATCH(19,tk_ASEQ,0)),"")</f>
        <v/>
      </c>
      <c r="B25" s="162">
        <f>IFERROR(""&amp;INDEX(tk_ROOMF,MATCH(19,tk_ASEQ,0)),"")</f>
        <v/>
      </c>
      <c r="C25" s="162">
        <f>IFERROR(""&amp;INDEX(tk_ROOMT,MATCH(19,tk_ASEQ,0)),"")</f>
        <v/>
      </c>
      <c r="D25" s="162">
        <f>IFERROR(INDEX(tk_QTY,MATCH(19,tk_ASEQ,0)),"")</f>
        <v/>
      </c>
      <c r="E25" s="162">
        <f>IFERROR(""&amp;INDEX(tk_SIZE,MATCH(19,tk_ASEQ,0)),"")</f>
        <v/>
      </c>
      <c r="F25" s="162">
        <f>IFERROR(""&amp;INDEX(tk_PAIR,MATCH(19,tk_ASEQ,0)),"")</f>
        <v/>
      </c>
      <c r="G25" s="162">
        <f>IFERROR(""&amp;INDEX(tk_DMAT,MATCH(19,tk_ASEQ,0)),"")</f>
        <v/>
      </c>
      <c r="H25" s="162">
        <f>IFERROR(""&amp;INDEX(tk_DGA,MATCH(19,tk_ASEQ,0)),"")</f>
        <v/>
      </c>
      <c r="I25" s="162">
        <f>IFERROR(""&amp;INDEX(tk_FACE,MATCH(19,tk_ASEQ,0)),"")</f>
        <v/>
      </c>
      <c r="J25" s="162">
        <f>IFERROR(IF(INDEX(tk_DHAND,MATCH(19,tk_ASEQ,0))="",""&amp;INDEX(tk_HAND,MATCH(19,tk_ASEQ,0)),""&amp;INDEX(tk_DHAND,MATCH(19,tk_ASEQ,0))),"")</f>
        <v/>
      </c>
      <c r="K25" s="162">
        <f>IFERROR(""&amp;INDEX(tk_FDESC,MATCH(19,tk_ASEQ,0)),"")</f>
        <v/>
      </c>
      <c r="L25" s="162">
        <f>IFERROR(INDEX(tk_STEEL,MATCH(19,tk_ASEQ,0))&amp;IF(INDEX(tk_FGA,MATCH(19,tk_ASEQ,0))="",""," "&amp;INDEX(tk_FGA,MATCH(19,tk_ASEQ,0))&amp;"GA"),"")</f>
        <v/>
      </c>
      <c r="M25" s="162">
        <f>IFERROR(IFERROR(VLOOKUP(INDEX(tk_JAMB,MATCH(19,tk_ASEQ,0)),CODES,2,FALSE),""&amp;INDEX(tk_JAMB,MATCH(19,tk_ASEQ,0))),"")</f>
        <v/>
      </c>
      <c r="N25" s="162">
        <f>IFERROR(""&amp;INDEX(tk_CONSTR,MATCH(19,tk_ASEQ,0)),"")</f>
        <v/>
      </c>
      <c r="O25" s="162">
        <f>IFERROR(""&amp;INDEX(tk_ANCHOR,MATCH(19,tk_ASEQ,0)),"")</f>
        <v/>
      </c>
      <c r="P25" s="162">
        <f>IFERROR(""&amp;INDEX(tk_RATING,MATCH(19,tk_ASEQ,0)),"")</f>
        <v/>
      </c>
      <c r="Q25" s="162">
        <f>IFERROR(""&amp;INDEX(tk_LABEL,MATCH(19,tk_ASEQ,0)),"")</f>
        <v/>
      </c>
      <c r="R25" s="162">
        <f>IFERROR(""&amp;INDEX(tk_HWSET,MATCH(19,tk_ASEQ,0)),"")</f>
        <v/>
      </c>
      <c r="S25" s="162">
        <f>IFERROR(IF(""&amp;INDEX(tk_HINGES,MATCH(19,tk_ASEQ,0))="","",INDEX(tk_HINGES,MATCH(19,tk_ASEQ,0))&amp;" · "&amp;INDEX(tk_LSRC,MATCH(19,tk_ASEQ,0))),"")</f>
        <v/>
      </c>
      <c r="T25" s="162">
        <f>IFERROR(""&amp;INDEX(tk_LOCK,MATCH(19,tk_ASEQ,0)),"")</f>
        <v/>
      </c>
      <c r="U25" s="162">
        <f>IFERROR(INDEX(tk_ETYPE,MATCH(19,tk_ASEQ,0)),"")</f>
        <v/>
      </c>
      <c r="V25" s="162">
        <f>IFERROR(""&amp;INDEX(tk_CHECK,MATCH(19,tk_ASEQ,0)),"")</f>
        <v/>
      </c>
      <c r="W25" s="162">
        <f>IFERROR(TRIM(INDEX(tk_DNOTES,MATCH(19,tk_ASEQ,0))&amp;" "&amp;INDEX(tk_FNOTES,MATCH(19,tk_ASEQ,0))),"")</f>
        <v/>
      </c>
    </row>
    <row r="26">
      <c r="A26" s="161">
        <f>IFERROR(""&amp;INDEX(tk_MARK,MATCH(20,tk_ASEQ,0)),"")</f>
        <v/>
      </c>
      <c r="B26" s="162">
        <f>IFERROR(""&amp;INDEX(tk_ROOMF,MATCH(20,tk_ASEQ,0)),"")</f>
        <v/>
      </c>
      <c r="C26" s="162">
        <f>IFERROR(""&amp;INDEX(tk_ROOMT,MATCH(20,tk_ASEQ,0)),"")</f>
        <v/>
      </c>
      <c r="D26" s="162">
        <f>IFERROR(INDEX(tk_QTY,MATCH(20,tk_ASEQ,0)),"")</f>
        <v/>
      </c>
      <c r="E26" s="162">
        <f>IFERROR(""&amp;INDEX(tk_SIZE,MATCH(20,tk_ASEQ,0)),"")</f>
        <v/>
      </c>
      <c r="F26" s="162">
        <f>IFERROR(""&amp;INDEX(tk_PAIR,MATCH(20,tk_ASEQ,0)),"")</f>
        <v/>
      </c>
      <c r="G26" s="162">
        <f>IFERROR(""&amp;INDEX(tk_DMAT,MATCH(20,tk_ASEQ,0)),"")</f>
        <v/>
      </c>
      <c r="H26" s="162">
        <f>IFERROR(""&amp;INDEX(tk_DGA,MATCH(20,tk_ASEQ,0)),"")</f>
        <v/>
      </c>
      <c r="I26" s="162">
        <f>IFERROR(""&amp;INDEX(tk_FACE,MATCH(20,tk_ASEQ,0)),"")</f>
        <v/>
      </c>
      <c r="J26" s="162">
        <f>IFERROR(IF(INDEX(tk_DHAND,MATCH(20,tk_ASEQ,0))="",""&amp;INDEX(tk_HAND,MATCH(20,tk_ASEQ,0)),""&amp;INDEX(tk_DHAND,MATCH(20,tk_ASEQ,0))),"")</f>
        <v/>
      </c>
      <c r="K26" s="162">
        <f>IFERROR(""&amp;INDEX(tk_FDESC,MATCH(20,tk_ASEQ,0)),"")</f>
        <v/>
      </c>
      <c r="L26" s="162">
        <f>IFERROR(INDEX(tk_STEEL,MATCH(20,tk_ASEQ,0))&amp;IF(INDEX(tk_FGA,MATCH(20,tk_ASEQ,0))="",""," "&amp;INDEX(tk_FGA,MATCH(20,tk_ASEQ,0))&amp;"GA"),"")</f>
        <v/>
      </c>
      <c r="M26" s="162">
        <f>IFERROR(IFERROR(VLOOKUP(INDEX(tk_JAMB,MATCH(20,tk_ASEQ,0)),CODES,2,FALSE),""&amp;INDEX(tk_JAMB,MATCH(20,tk_ASEQ,0))),"")</f>
        <v/>
      </c>
      <c r="N26" s="162">
        <f>IFERROR(""&amp;INDEX(tk_CONSTR,MATCH(20,tk_ASEQ,0)),"")</f>
        <v/>
      </c>
      <c r="O26" s="162">
        <f>IFERROR(""&amp;INDEX(tk_ANCHOR,MATCH(20,tk_ASEQ,0)),"")</f>
        <v/>
      </c>
      <c r="P26" s="162">
        <f>IFERROR(""&amp;INDEX(tk_RATING,MATCH(20,tk_ASEQ,0)),"")</f>
        <v/>
      </c>
      <c r="Q26" s="162">
        <f>IFERROR(""&amp;INDEX(tk_LABEL,MATCH(20,tk_ASEQ,0)),"")</f>
        <v/>
      </c>
      <c r="R26" s="162">
        <f>IFERROR(""&amp;INDEX(tk_HWSET,MATCH(20,tk_ASEQ,0)),"")</f>
        <v/>
      </c>
      <c r="S26" s="162">
        <f>IFERROR(IF(""&amp;INDEX(tk_HINGES,MATCH(20,tk_ASEQ,0))="","",INDEX(tk_HINGES,MATCH(20,tk_ASEQ,0))&amp;" · "&amp;INDEX(tk_LSRC,MATCH(20,tk_ASEQ,0))),"")</f>
        <v/>
      </c>
      <c r="T26" s="162">
        <f>IFERROR(""&amp;INDEX(tk_LOCK,MATCH(20,tk_ASEQ,0)),"")</f>
        <v/>
      </c>
      <c r="U26" s="162">
        <f>IFERROR(INDEX(tk_ETYPE,MATCH(20,tk_ASEQ,0)),"")</f>
        <v/>
      </c>
      <c r="V26" s="162">
        <f>IFERROR(""&amp;INDEX(tk_CHECK,MATCH(20,tk_ASEQ,0)),"")</f>
        <v/>
      </c>
      <c r="W26" s="162">
        <f>IFERROR(TRIM(INDEX(tk_DNOTES,MATCH(20,tk_ASEQ,0))&amp;" "&amp;INDEX(tk_FNOTES,MATCH(20,tk_ASEQ,0))),"")</f>
        <v/>
      </c>
    </row>
    <row r="27">
      <c r="A27" s="161">
        <f>IFERROR(""&amp;INDEX(tk_MARK,MATCH(21,tk_ASEQ,0)),"")</f>
        <v/>
      </c>
      <c r="B27" s="162">
        <f>IFERROR(""&amp;INDEX(tk_ROOMF,MATCH(21,tk_ASEQ,0)),"")</f>
        <v/>
      </c>
      <c r="C27" s="162">
        <f>IFERROR(""&amp;INDEX(tk_ROOMT,MATCH(21,tk_ASEQ,0)),"")</f>
        <v/>
      </c>
      <c r="D27" s="162">
        <f>IFERROR(INDEX(tk_QTY,MATCH(21,tk_ASEQ,0)),"")</f>
        <v/>
      </c>
      <c r="E27" s="162">
        <f>IFERROR(""&amp;INDEX(tk_SIZE,MATCH(21,tk_ASEQ,0)),"")</f>
        <v/>
      </c>
      <c r="F27" s="162">
        <f>IFERROR(""&amp;INDEX(tk_PAIR,MATCH(21,tk_ASEQ,0)),"")</f>
        <v/>
      </c>
      <c r="G27" s="162">
        <f>IFERROR(""&amp;INDEX(tk_DMAT,MATCH(21,tk_ASEQ,0)),"")</f>
        <v/>
      </c>
      <c r="H27" s="162">
        <f>IFERROR(""&amp;INDEX(tk_DGA,MATCH(21,tk_ASEQ,0)),"")</f>
        <v/>
      </c>
      <c r="I27" s="162">
        <f>IFERROR(""&amp;INDEX(tk_FACE,MATCH(21,tk_ASEQ,0)),"")</f>
        <v/>
      </c>
      <c r="J27" s="162">
        <f>IFERROR(IF(INDEX(tk_DHAND,MATCH(21,tk_ASEQ,0))="",""&amp;INDEX(tk_HAND,MATCH(21,tk_ASEQ,0)),""&amp;INDEX(tk_DHAND,MATCH(21,tk_ASEQ,0))),"")</f>
        <v/>
      </c>
      <c r="K27" s="162">
        <f>IFERROR(""&amp;INDEX(tk_FDESC,MATCH(21,tk_ASEQ,0)),"")</f>
        <v/>
      </c>
      <c r="L27" s="162">
        <f>IFERROR(INDEX(tk_STEEL,MATCH(21,tk_ASEQ,0))&amp;IF(INDEX(tk_FGA,MATCH(21,tk_ASEQ,0))="",""," "&amp;INDEX(tk_FGA,MATCH(21,tk_ASEQ,0))&amp;"GA"),"")</f>
        <v/>
      </c>
      <c r="M27" s="162">
        <f>IFERROR(IFERROR(VLOOKUP(INDEX(tk_JAMB,MATCH(21,tk_ASEQ,0)),CODES,2,FALSE),""&amp;INDEX(tk_JAMB,MATCH(21,tk_ASEQ,0))),"")</f>
        <v/>
      </c>
      <c r="N27" s="162">
        <f>IFERROR(""&amp;INDEX(tk_CONSTR,MATCH(21,tk_ASEQ,0)),"")</f>
        <v/>
      </c>
      <c r="O27" s="162">
        <f>IFERROR(""&amp;INDEX(tk_ANCHOR,MATCH(21,tk_ASEQ,0)),"")</f>
        <v/>
      </c>
      <c r="P27" s="162">
        <f>IFERROR(""&amp;INDEX(tk_RATING,MATCH(21,tk_ASEQ,0)),"")</f>
        <v/>
      </c>
      <c r="Q27" s="162">
        <f>IFERROR(""&amp;INDEX(tk_LABEL,MATCH(21,tk_ASEQ,0)),"")</f>
        <v/>
      </c>
      <c r="R27" s="162">
        <f>IFERROR(""&amp;INDEX(tk_HWSET,MATCH(21,tk_ASEQ,0)),"")</f>
        <v/>
      </c>
      <c r="S27" s="162">
        <f>IFERROR(IF(""&amp;INDEX(tk_HINGES,MATCH(21,tk_ASEQ,0))="","",INDEX(tk_HINGES,MATCH(21,tk_ASEQ,0))&amp;" · "&amp;INDEX(tk_LSRC,MATCH(21,tk_ASEQ,0))),"")</f>
        <v/>
      </c>
      <c r="T27" s="162">
        <f>IFERROR(""&amp;INDEX(tk_LOCK,MATCH(21,tk_ASEQ,0)),"")</f>
        <v/>
      </c>
      <c r="U27" s="162">
        <f>IFERROR(INDEX(tk_ETYPE,MATCH(21,tk_ASEQ,0)),"")</f>
        <v/>
      </c>
      <c r="V27" s="162">
        <f>IFERROR(""&amp;INDEX(tk_CHECK,MATCH(21,tk_ASEQ,0)),"")</f>
        <v/>
      </c>
      <c r="W27" s="162">
        <f>IFERROR(TRIM(INDEX(tk_DNOTES,MATCH(21,tk_ASEQ,0))&amp;" "&amp;INDEX(tk_FNOTES,MATCH(21,tk_ASEQ,0))),"")</f>
        <v/>
      </c>
    </row>
    <row r="28">
      <c r="A28" s="161">
        <f>IFERROR(""&amp;INDEX(tk_MARK,MATCH(22,tk_ASEQ,0)),"")</f>
        <v/>
      </c>
      <c r="B28" s="162">
        <f>IFERROR(""&amp;INDEX(tk_ROOMF,MATCH(22,tk_ASEQ,0)),"")</f>
        <v/>
      </c>
      <c r="C28" s="162">
        <f>IFERROR(""&amp;INDEX(tk_ROOMT,MATCH(22,tk_ASEQ,0)),"")</f>
        <v/>
      </c>
      <c r="D28" s="162">
        <f>IFERROR(INDEX(tk_QTY,MATCH(22,tk_ASEQ,0)),"")</f>
        <v/>
      </c>
      <c r="E28" s="162">
        <f>IFERROR(""&amp;INDEX(tk_SIZE,MATCH(22,tk_ASEQ,0)),"")</f>
        <v/>
      </c>
      <c r="F28" s="162">
        <f>IFERROR(""&amp;INDEX(tk_PAIR,MATCH(22,tk_ASEQ,0)),"")</f>
        <v/>
      </c>
      <c r="G28" s="162">
        <f>IFERROR(""&amp;INDEX(tk_DMAT,MATCH(22,tk_ASEQ,0)),"")</f>
        <v/>
      </c>
      <c r="H28" s="162">
        <f>IFERROR(""&amp;INDEX(tk_DGA,MATCH(22,tk_ASEQ,0)),"")</f>
        <v/>
      </c>
      <c r="I28" s="162">
        <f>IFERROR(""&amp;INDEX(tk_FACE,MATCH(22,tk_ASEQ,0)),"")</f>
        <v/>
      </c>
      <c r="J28" s="162">
        <f>IFERROR(IF(INDEX(tk_DHAND,MATCH(22,tk_ASEQ,0))="",""&amp;INDEX(tk_HAND,MATCH(22,tk_ASEQ,0)),""&amp;INDEX(tk_DHAND,MATCH(22,tk_ASEQ,0))),"")</f>
        <v/>
      </c>
      <c r="K28" s="162">
        <f>IFERROR(""&amp;INDEX(tk_FDESC,MATCH(22,tk_ASEQ,0)),"")</f>
        <v/>
      </c>
      <c r="L28" s="162">
        <f>IFERROR(INDEX(tk_STEEL,MATCH(22,tk_ASEQ,0))&amp;IF(INDEX(tk_FGA,MATCH(22,tk_ASEQ,0))="",""," "&amp;INDEX(tk_FGA,MATCH(22,tk_ASEQ,0))&amp;"GA"),"")</f>
        <v/>
      </c>
      <c r="M28" s="162">
        <f>IFERROR(IFERROR(VLOOKUP(INDEX(tk_JAMB,MATCH(22,tk_ASEQ,0)),CODES,2,FALSE),""&amp;INDEX(tk_JAMB,MATCH(22,tk_ASEQ,0))),"")</f>
        <v/>
      </c>
      <c r="N28" s="162">
        <f>IFERROR(""&amp;INDEX(tk_CONSTR,MATCH(22,tk_ASEQ,0)),"")</f>
        <v/>
      </c>
      <c r="O28" s="162">
        <f>IFERROR(""&amp;INDEX(tk_ANCHOR,MATCH(22,tk_ASEQ,0)),"")</f>
        <v/>
      </c>
      <c r="P28" s="162">
        <f>IFERROR(""&amp;INDEX(tk_RATING,MATCH(22,tk_ASEQ,0)),"")</f>
        <v/>
      </c>
      <c r="Q28" s="162">
        <f>IFERROR(""&amp;INDEX(tk_LABEL,MATCH(22,tk_ASEQ,0)),"")</f>
        <v/>
      </c>
      <c r="R28" s="162">
        <f>IFERROR(""&amp;INDEX(tk_HWSET,MATCH(22,tk_ASEQ,0)),"")</f>
        <v/>
      </c>
      <c r="S28" s="162">
        <f>IFERROR(IF(""&amp;INDEX(tk_HINGES,MATCH(22,tk_ASEQ,0))="","",INDEX(tk_HINGES,MATCH(22,tk_ASEQ,0))&amp;" · "&amp;INDEX(tk_LSRC,MATCH(22,tk_ASEQ,0))),"")</f>
        <v/>
      </c>
      <c r="T28" s="162">
        <f>IFERROR(""&amp;INDEX(tk_LOCK,MATCH(22,tk_ASEQ,0)),"")</f>
        <v/>
      </c>
      <c r="U28" s="162">
        <f>IFERROR(INDEX(tk_ETYPE,MATCH(22,tk_ASEQ,0)),"")</f>
        <v/>
      </c>
      <c r="V28" s="162">
        <f>IFERROR(""&amp;INDEX(tk_CHECK,MATCH(22,tk_ASEQ,0)),"")</f>
        <v/>
      </c>
      <c r="W28" s="162">
        <f>IFERROR(TRIM(INDEX(tk_DNOTES,MATCH(22,tk_ASEQ,0))&amp;" "&amp;INDEX(tk_FNOTES,MATCH(22,tk_ASEQ,0))),"")</f>
        <v/>
      </c>
    </row>
    <row r="29">
      <c r="A29" s="161">
        <f>IFERROR(""&amp;INDEX(tk_MARK,MATCH(23,tk_ASEQ,0)),"")</f>
        <v/>
      </c>
      <c r="B29" s="162">
        <f>IFERROR(""&amp;INDEX(tk_ROOMF,MATCH(23,tk_ASEQ,0)),"")</f>
        <v/>
      </c>
      <c r="C29" s="162">
        <f>IFERROR(""&amp;INDEX(tk_ROOMT,MATCH(23,tk_ASEQ,0)),"")</f>
        <v/>
      </c>
      <c r="D29" s="162">
        <f>IFERROR(INDEX(tk_QTY,MATCH(23,tk_ASEQ,0)),"")</f>
        <v/>
      </c>
      <c r="E29" s="162">
        <f>IFERROR(""&amp;INDEX(tk_SIZE,MATCH(23,tk_ASEQ,0)),"")</f>
        <v/>
      </c>
      <c r="F29" s="162">
        <f>IFERROR(""&amp;INDEX(tk_PAIR,MATCH(23,tk_ASEQ,0)),"")</f>
        <v/>
      </c>
      <c r="G29" s="162">
        <f>IFERROR(""&amp;INDEX(tk_DMAT,MATCH(23,tk_ASEQ,0)),"")</f>
        <v/>
      </c>
      <c r="H29" s="162">
        <f>IFERROR(""&amp;INDEX(tk_DGA,MATCH(23,tk_ASEQ,0)),"")</f>
        <v/>
      </c>
      <c r="I29" s="162">
        <f>IFERROR(""&amp;INDEX(tk_FACE,MATCH(23,tk_ASEQ,0)),"")</f>
        <v/>
      </c>
      <c r="J29" s="162">
        <f>IFERROR(IF(INDEX(tk_DHAND,MATCH(23,tk_ASEQ,0))="",""&amp;INDEX(tk_HAND,MATCH(23,tk_ASEQ,0)),""&amp;INDEX(tk_DHAND,MATCH(23,tk_ASEQ,0))),"")</f>
        <v/>
      </c>
      <c r="K29" s="162">
        <f>IFERROR(""&amp;INDEX(tk_FDESC,MATCH(23,tk_ASEQ,0)),"")</f>
        <v/>
      </c>
      <c r="L29" s="162">
        <f>IFERROR(INDEX(tk_STEEL,MATCH(23,tk_ASEQ,0))&amp;IF(INDEX(tk_FGA,MATCH(23,tk_ASEQ,0))="",""," "&amp;INDEX(tk_FGA,MATCH(23,tk_ASEQ,0))&amp;"GA"),"")</f>
        <v/>
      </c>
      <c r="M29" s="162">
        <f>IFERROR(IFERROR(VLOOKUP(INDEX(tk_JAMB,MATCH(23,tk_ASEQ,0)),CODES,2,FALSE),""&amp;INDEX(tk_JAMB,MATCH(23,tk_ASEQ,0))),"")</f>
        <v/>
      </c>
      <c r="N29" s="162">
        <f>IFERROR(""&amp;INDEX(tk_CONSTR,MATCH(23,tk_ASEQ,0)),"")</f>
        <v/>
      </c>
      <c r="O29" s="162">
        <f>IFERROR(""&amp;INDEX(tk_ANCHOR,MATCH(23,tk_ASEQ,0)),"")</f>
        <v/>
      </c>
      <c r="P29" s="162">
        <f>IFERROR(""&amp;INDEX(tk_RATING,MATCH(23,tk_ASEQ,0)),"")</f>
        <v/>
      </c>
      <c r="Q29" s="162">
        <f>IFERROR(""&amp;INDEX(tk_LABEL,MATCH(23,tk_ASEQ,0)),"")</f>
        <v/>
      </c>
      <c r="R29" s="162">
        <f>IFERROR(""&amp;INDEX(tk_HWSET,MATCH(23,tk_ASEQ,0)),"")</f>
        <v/>
      </c>
      <c r="S29" s="162">
        <f>IFERROR(IF(""&amp;INDEX(tk_HINGES,MATCH(23,tk_ASEQ,0))="","",INDEX(tk_HINGES,MATCH(23,tk_ASEQ,0))&amp;" · "&amp;INDEX(tk_LSRC,MATCH(23,tk_ASEQ,0))),"")</f>
        <v/>
      </c>
      <c r="T29" s="162">
        <f>IFERROR(""&amp;INDEX(tk_LOCK,MATCH(23,tk_ASEQ,0)),"")</f>
        <v/>
      </c>
      <c r="U29" s="162">
        <f>IFERROR(INDEX(tk_ETYPE,MATCH(23,tk_ASEQ,0)),"")</f>
        <v/>
      </c>
      <c r="V29" s="162">
        <f>IFERROR(""&amp;INDEX(tk_CHECK,MATCH(23,tk_ASEQ,0)),"")</f>
        <v/>
      </c>
      <c r="W29" s="162">
        <f>IFERROR(TRIM(INDEX(tk_DNOTES,MATCH(23,tk_ASEQ,0))&amp;" "&amp;INDEX(tk_FNOTES,MATCH(23,tk_ASEQ,0))),"")</f>
        <v/>
      </c>
    </row>
    <row r="30">
      <c r="A30" s="161">
        <f>IFERROR(""&amp;INDEX(tk_MARK,MATCH(24,tk_ASEQ,0)),"")</f>
        <v/>
      </c>
      <c r="B30" s="162">
        <f>IFERROR(""&amp;INDEX(tk_ROOMF,MATCH(24,tk_ASEQ,0)),"")</f>
        <v/>
      </c>
      <c r="C30" s="162">
        <f>IFERROR(""&amp;INDEX(tk_ROOMT,MATCH(24,tk_ASEQ,0)),"")</f>
        <v/>
      </c>
      <c r="D30" s="162">
        <f>IFERROR(INDEX(tk_QTY,MATCH(24,tk_ASEQ,0)),"")</f>
        <v/>
      </c>
      <c r="E30" s="162">
        <f>IFERROR(""&amp;INDEX(tk_SIZE,MATCH(24,tk_ASEQ,0)),"")</f>
        <v/>
      </c>
      <c r="F30" s="162">
        <f>IFERROR(""&amp;INDEX(tk_PAIR,MATCH(24,tk_ASEQ,0)),"")</f>
        <v/>
      </c>
      <c r="G30" s="162">
        <f>IFERROR(""&amp;INDEX(tk_DMAT,MATCH(24,tk_ASEQ,0)),"")</f>
        <v/>
      </c>
      <c r="H30" s="162">
        <f>IFERROR(""&amp;INDEX(tk_DGA,MATCH(24,tk_ASEQ,0)),"")</f>
        <v/>
      </c>
      <c r="I30" s="162">
        <f>IFERROR(""&amp;INDEX(tk_FACE,MATCH(24,tk_ASEQ,0)),"")</f>
        <v/>
      </c>
      <c r="J30" s="162">
        <f>IFERROR(IF(INDEX(tk_DHAND,MATCH(24,tk_ASEQ,0))="",""&amp;INDEX(tk_HAND,MATCH(24,tk_ASEQ,0)),""&amp;INDEX(tk_DHAND,MATCH(24,tk_ASEQ,0))),"")</f>
        <v/>
      </c>
      <c r="K30" s="162">
        <f>IFERROR(""&amp;INDEX(tk_FDESC,MATCH(24,tk_ASEQ,0)),"")</f>
        <v/>
      </c>
      <c r="L30" s="162">
        <f>IFERROR(INDEX(tk_STEEL,MATCH(24,tk_ASEQ,0))&amp;IF(INDEX(tk_FGA,MATCH(24,tk_ASEQ,0))="",""," "&amp;INDEX(tk_FGA,MATCH(24,tk_ASEQ,0))&amp;"GA"),"")</f>
        <v/>
      </c>
      <c r="M30" s="162">
        <f>IFERROR(IFERROR(VLOOKUP(INDEX(tk_JAMB,MATCH(24,tk_ASEQ,0)),CODES,2,FALSE),""&amp;INDEX(tk_JAMB,MATCH(24,tk_ASEQ,0))),"")</f>
        <v/>
      </c>
      <c r="N30" s="162">
        <f>IFERROR(""&amp;INDEX(tk_CONSTR,MATCH(24,tk_ASEQ,0)),"")</f>
        <v/>
      </c>
      <c r="O30" s="162">
        <f>IFERROR(""&amp;INDEX(tk_ANCHOR,MATCH(24,tk_ASEQ,0)),"")</f>
        <v/>
      </c>
      <c r="P30" s="162">
        <f>IFERROR(""&amp;INDEX(tk_RATING,MATCH(24,tk_ASEQ,0)),"")</f>
        <v/>
      </c>
      <c r="Q30" s="162">
        <f>IFERROR(""&amp;INDEX(tk_LABEL,MATCH(24,tk_ASEQ,0)),"")</f>
        <v/>
      </c>
      <c r="R30" s="162">
        <f>IFERROR(""&amp;INDEX(tk_HWSET,MATCH(24,tk_ASEQ,0)),"")</f>
        <v/>
      </c>
      <c r="S30" s="162">
        <f>IFERROR(IF(""&amp;INDEX(tk_HINGES,MATCH(24,tk_ASEQ,0))="","",INDEX(tk_HINGES,MATCH(24,tk_ASEQ,0))&amp;" · "&amp;INDEX(tk_LSRC,MATCH(24,tk_ASEQ,0))),"")</f>
        <v/>
      </c>
      <c r="T30" s="162">
        <f>IFERROR(""&amp;INDEX(tk_LOCK,MATCH(24,tk_ASEQ,0)),"")</f>
        <v/>
      </c>
      <c r="U30" s="162">
        <f>IFERROR(INDEX(tk_ETYPE,MATCH(24,tk_ASEQ,0)),"")</f>
        <v/>
      </c>
      <c r="V30" s="162">
        <f>IFERROR(""&amp;INDEX(tk_CHECK,MATCH(24,tk_ASEQ,0)),"")</f>
        <v/>
      </c>
      <c r="W30" s="162">
        <f>IFERROR(TRIM(INDEX(tk_DNOTES,MATCH(24,tk_ASEQ,0))&amp;" "&amp;INDEX(tk_FNOTES,MATCH(24,tk_ASEQ,0))),"")</f>
        <v/>
      </c>
    </row>
    <row r="31">
      <c r="A31" s="161">
        <f>IFERROR(""&amp;INDEX(tk_MARK,MATCH(25,tk_ASEQ,0)),"")</f>
        <v/>
      </c>
      <c r="B31" s="162">
        <f>IFERROR(""&amp;INDEX(tk_ROOMF,MATCH(25,tk_ASEQ,0)),"")</f>
        <v/>
      </c>
      <c r="C31" s="162">
        <f>IFERROR(""&amp;INDEX(tk_ROOMT,MATCH(25,tk_ASEQ,0)),"")</f>
        <v/>
      </c>
      <c r="D31" s="162">
        <f>IFERROR(INDEX(tk_QTY,MATCH(25,tk_ASEQ,0)),"")</f>
        <v/>
      </c>
      <c r="E31" s="162">
        <f>IFERROR(""&amp;INDEX(tk_SIZE,MATCH(25,tk_ASEQ,0)),"")</f>
        <v/>
      </c>
      <c r="F31" s="162">
        <f>IFERROR(""&amp;INDEX(tk_PAIR,MATCH(25,tk_ASEQ,0)),"")</f>
        <v/>
      </c>
      <c r="G31" s="162">
        <f>IFERROR(""&amp;INDEX(tk_DMAT,MATCH(25,tk_ASEQ,0)),"")</f>
        <v/>
      </c>
      <c r="H31" s="162">
        <f>IFERROR(""&amp;INDEX(tk_DGA,MATCH(25,tk_ASEQ,0)),"")</f>
        <v/>
      </c>
      <c r="I31" s="162">
        <f>IFERROR(""&amp;INDEX(tk_FACE,MATCH(25,tk_ASEQ,0)),"")</f>
        <v/>
      </c>
      <c r="J31" s="162">
        <f>IFERROR(IF(INDEX(tk_DHAND,MATCH(25,tk_ASEQ,0))="",""&amp;INDEX(tk_HAND,MATCH(25,tk_ASEQ,0)),""&amp;INDEX(tk_DHAND,MATCH(25,tk_ASEQ,0))),"")</f>
        <v/>
      </c>
      <c r="K31" s="162">
        <f>IFERROR(""&amp;INDEX(tk_FDESC,MATCH(25,tk_ASEQ,0)),"")</f>
        <v/>
      </c>
      <c r="L31" s="162">
        <f>IFERROR(INDEX(tk_STEEL,MATCH(25,tk_ASEQ,0))&amp;IF(INDEX(tk_FGA,MATCH(25,tk_ASEQ,0))="",""," "&amp;INDEX(tk_FGA,MATCH(25,tk_ASEQ,0))&amp;"GA"),"")</f>
        <v/>
      </c>
      <c r="M31" s="162">
        <f>IFERROR(IFERROR(VLOOKUP(INDEX(tk_JAMB,MATCH(25,tk_ASEQ,0)),CODES,2,FALSE),""&amp;INDEX(tk_JAMB,MATCH(25,tk_ASEQ,0))),"")</f>
        <v/>
      </c>
      <c r="N31" s="162">
        <f>IFERROR(""&amp;INDEX(tk_CONSTR,MATCH(25,tk_ASEQ,0)),"")</f>
        <v/>
      </c>
      <c r="O31" s="162">
        <f>IFERROR(""&amp;INDEX(tk_ANCHOR,MATCH(25,tk_ASEQ,0)),"")</f>
        <v/>
      </c>
      <c r="P31" s="162">
        <f>IFERROR(""&amp;INDEX(tk_RATING,MATCH(25,tk_ASEQ,0)),"")</f>
        <v/>
      </c>
      <c r="Q31" s="162">
        <f>IFERROR(""&amp;INDEX(tk_LABEL,MATCH(25,tk_ASEQ,0)),"")</f>
        <v/>
      </c>
      <c r="R31" s="162">
        <f>IFERROR(""&amp;INDEX(tk_HWSET,MATCH(25,tk_ASEQ,0)),"")</f>
        <v/>
      </c>
      <c r="S31" s="162">
        <f>IFERROR(IF(""&amp;INDEX(tk_HINGES,MATCH(25,tk_ASEQ,0))="","",INDEX(tk_HINGES,MATCH(25,tk_ASEQ,0))&amp;" · "&amp;INDEX(tk_LSRC,MATCH(25,tk_ASEQ,0))),"")</f>
        <v/>
      </c>
      <c r="T31" s="162">
        <f>IFERROR(""&amp;INDEX(tk_LOCK,MATCH(25,tk_ASEQ,0)),"")</f>
        <v/>
      </c>
      <c r="U31" s="162">
        <f>IFERROR(INDEX(tk_ETYPE,MATCH(25,tk_ASEQ,0)),"")</f>
        <v/>
      </c>
      <c r="V31" s="162">
        <f>IFERROR(""&amp;INDEX(tk_CHECK,MATCH(25,tk_ASEQ,0)),"")</f>
        <v/>
      </c>
      <c r="W31" s="162">
        <f>IFERROR(TRIM(INDEX(tk_DNOTES,MATCH(25,tk_ASEQ,0))&amp;" "&amp;INDEX(tk_FNOTES,MATCH(25,tk_ASEQ,0))),"")</f>
        <v/>
      </c>
    </row>
    <row r="32">
      <c r="A32" s="161">
        <f>IFERROR(""&amp;INDEX(tk_MARK,MATCH(26,tk_ASEQ,0)),"")</f>
        <v/>
      </c>
      <c r="B32" s="162">
        <f>IFERROR(""&amp;INDEX(tk_ROOMF,MATCH(26,tk_ASEQ,0)),"")</f>
        <v/>
      </c>
      <c r="C32" s="162">
        <f>IFERROR(""&amp;INDEX(tk_ROOMT,MATCH(26,tk_ASEQ,0)),"")</f>
        <v/>
      </c>
      <c r="D32" s="162">
        <f>IFERROR(INDEX(tk_QTY,MATCH(26,tk_ASEQ,0)),"")</f>
        <v/>
      </c>
      <c r="E32" s="162">
        <f>IFERROR(""&amp;INDEX(tk_SIZE,MATCH(26,tk_ASEQ,0)),"")</f>
        <v/>
      </c>
      <c r="F32" s="162">
        <f>IFERROR(""&amp;INDEX(tk_PAIR,MATCH(26,tk_ASEQ,0)),"")</f>
        <v/>
      </c>
      <c r="G32" s="162">
        <f>IFERROR(""&amp;INDEX(tk_DMAT,MATCH(26,tk_ASEQ,0)),"")</f>
        <v/>
      </c>
      <c r="H32" s="162">
        <f>IFERROR(""&amp;INDEX(tk_DGA,MATCH(26,tk_ASEQ,0)),"")</f>
        <v/>
      </c>
      <c r="I32" s="162">
        <f>IFERROR(""&amp;INDEX(tk_FACE,MATCH(26,tk_ASEQ,0)),"")</f>
        <v/>
      </c>
      <c r="J32" s="162">
        <f>IFERROR(IF(INDEX(tk_DHAND,MATCH(26,tk_ASEQ,0))="",""&amp;INDEX(tk_HAND,MATCH(26,tk_ASEQ,0)),""&amp;INDEX(tk_DHAND,MATCH(26,tk_ASEQ,0))),"")</f>
        <v/>
      </c>
      <c r="K32" s="162">
        <f>IFERROR(""&amp;INDEX(tk_FDESC,MATCH(26,tk_ASEQ,0)),"")</f>
        <v/>
      </c>
      <c r="L32" s="162">
        <f>IFERROR(INDEX(tk_STEEL,MATCH(26,tk_ASEQ,0))&amp;IF(INDEX(tk_FGA,MATCH(26,tk_ASEQ,0))="",""," "&amp;INDEX(tk_FGA,MATCH(26,tk_ASEQ,0))&amp;"GA"),"")</f>
        <v/>
      </c>
      <c r="M32" s="162">
        <f>IFERROR(IFERROR(VLOOKUP(INDEX(tk_JAMB,MATCH(26,tk_ASEQ,0)),CODES,2,FALSE),""&amp;INDEX(tk_JAMB,MATCH(26,tk_ASEQ,0))),"")</f>
        <v/>
      </c>
      <c r="N32" s="162">
        <f>IFERROR(""&amp;INDEX(tk_CONSTR,MATCH(26,tk_ASEQ,0)),"")</f>
        <v/>
      </c>
      <c r="O32" s="162">
        <f>IFERROR(""&amp;INDEX(tk_ANCHOR,MATCH(26,tk_ASEQ,0)),"")</f>
        <v/>
      </c>
      <c r="P32" s="162">
        <f>IFERROR(""&amp;INDEX(tk_RATING,MATCH(26,tk_ASEQ,0)),"")</f>
        <v/>
      </c>
      <c r="Q32" s="162">
        <f>IFERROR(""&amp;INDEX(tk_LABEL,MATCH(26,tk_ASEQ,0)),"")</f>
        <v/>
      </c>
      <c r="R32" s="162">
        <f>IFERROR(""&amp;INDEX(tk_HWSET,MATCH(26,tk_ASEQ,0)),"")</f>
        <v/>
      </c>
      <c r="S32" s="162">
        <f>IFERROR(IF(""&amp;INDEX(tk_HINGES,MATCH(26,tk_ASEQ,0))="","",INDEX(tk_HINGES,MATCH(26,tk_ASEQ,0))&amp;" · "&amp;INDEX(tk_LSRC,MATCH(26,tk_ASEQ,0))),"")</f>
        <v/>
      </c>
      <c r="T32" s="162">
        <f>IFERROR(""&amp;INDEX(tk_LOCK,MATCH(26,tk_ASEQ,0)),"")</f>
        <v/>
      </c>
      <c r="U32" s="162">
        <f>IFERROR(INDEX(tk_ETYPE,MATCH(26,tk_ASEQ,0)),"")</f>
        <v/>
      </c>
      <c r="V32" s="162">
        <f>IFERROR(""&amp;INDEX(tk_CHECK,MATCH(26,tk_ASEQ,0)),"")</f>
        <v/>
      </c>
      <c r="W32" s="162">
        <f>IFERROR(TRIM(INDEX(tk_DNOTES,MATCH(26,tk_ASEQ,0))&amp;" "&amp;INDEX(tk_FNOTES,MATCH(26,tk_ASEQ,0))),"")</f>
        <v/>
      </c>
    </row>
    <row r="33">
      <c r="A33" s="161">
        <f>IFERROR(""&amp;INDEX(tk_MARK,MATCH(27,tk_ASEQ,0)),"")</f>
        <v/>
      </c>
      <c r="B33" s="162">
        <f>IFERROR(""&amp;INDEX(tk_ROOMF,MATCH(27,tk_ASEQ,0)),"")</f>
        <v/>
      </c>
      <c r="C33" s="162">
        <f>IFERROR(""&amp;INDEX(tk_ROOMT,MATCH(27,tk_ASEQ,0)),"")</f>
        <v/>
      </c>
      <c r="D33" s="162">
        <f>IFERROR(INDEX(tk_QTY,MATCH(27,tk_ASEQ,0)),"")</f>
        <v/>
      </c>
      <c r="E33" s="162">
        <f>IFERROR(""&amp;INDEX(tk_SIZE,MATCH(27,tk_ASEQ,0)),"")</f>
        <v/>
      </c>
      <c r="F33" s="162">
        <f>IFERROR(""&amp;INDEX(tk_PAIR,MATCH(27,tk_ASEQ,0)),"")</f>
        <v/>
      </c>
      <c r="G33" s="162">
        <f>IFERROR(""&amp;INDEX(tk_DMAT,MATCH(27,tk_ASEQ,0)),"")</f>
        <v/>
      </c>
      <c r="H33" s="162">
        <f>IFERROR(""&amp;INDEX(tk_DGA,MATCH(27,tk_ASEQ,0)),"")</f>
        <v/>
      </c>
      <c r="I33" s="162">
        <f>IFERROR(""&amp;INDEX(tk_FACE,MATCH(27,tk_ASEQ,0)),"")</f>
        <v/>
      </c>
      <c r="J33" s="162">
        <f>IFERROR(IF(INDEX(tk_DHAND,MATCH(27,tk_ASEQ,0))="",""&amp;INDEX(tk_HAND,MATCH(27,tk_ASEQ,0)),""&amp;INDEX(tk_DHAND,MATCH(27,tk_ASEQ,0))),"")</f>
        <v/>
      </c>
      <c r="K33" s="162">
        <f>IFERROR(""&amp;INDEX(tk_FDESC,MATCH(27,tk_ASEQ,0)),"")</f>
        <v/>
      </c>
      <c r="L33" s="162">
        <f>IFERROR(INDEX(tk_STEEL,MATCH(27,tk_ASEQ,0))&amp;IF(INDEX(tk_FGA,MATCH(27,tk_ASEQ,0))="",""," "&amp;INDEX(tk_FGA,MATCH(27,tk_ASEQ,0))&amp;"GA"),"")</f>
        <v/>
      </c>
      <c r="M33" s="162">
        <f>IFERROR(IFERROR(VLOOKUP(INDEX(tk_JAMB,MATCH(27,tk_ASEQ,0)),CODES,2,FALSE),""&amp;INDEX(tk_JAMB,MATCH(27,tk_ASEQ,0))),"")</f>
        <v/>
      </c>
      <c r="N33" s="162">
        <f>IFERROR(""&amp;INDEX(tk_CONSTR,MATCH(27,tk_ASEQ,0)),"")</f>
        <v/>
      </c>
      <c r="O33" s="162">
        <f>IFERROR(""&amp;INDEX(tk_ANCHOR,MATCH(27,tk_ASEQ,0)),"")</f>
        <v/>
      </c>
      <c r="P33" s="162">
        <f>IFERROR(""&amp;INDEX(tk_RATING,MATCH(27,tk_ASEQ,0)),"")</f>
        <v/>
      </c>
      <c r="Q33" s="162">
        <f>IFERROR(""&amp;INDEX(tk_LABEL,MATCH(27,tk_ASEQ,0)),"")</f>
        <v/>
      </c>
      <c r="R33" s="162">
        <f>IFERROR(""&amp;INDEX(tk_HWSET,MATCH(27,tk_ASEQ,0)),"")</f>
        <v/>
      </c>
      <c r="S33" s="162">
        <f>IFERROR(IF(""&amp;INDEX(tk_HINGES,MATCH(27,tk_ASEQ,0))="","",INDEX(tk_HINGES,MATCH(27,tk_ASEQ,0))&amp;" · "&amp;INDEX(tk_LSRC,MATCH(27,tk_ASEQ,0))),"")</f>
        <v/>
      </c>
      <c r="T33" s="162">
        <f>IFERROR(""&amp;INDEX(tk_LOCK,MATCH(27,tk_ASEQ,0)),"")</f>
        <v/>
      </c>
      <c r="U33" s="162">
        <f>IFERROR(INDEX(tk_ETYPE,MATCH(27,tk_ASEQ,0)),"")</f>
        <v/>
      </c>
      <c r="V33" s="162">
        <f>IFERROR(""&amp;INDEX(tk_CHECK,MATCH(27,tk_ASEQ,0)),"")</f>
        <v/>
      </c>
      <c r="W33" s="162">
        <f>IFERROR(TRIM(INDEX(tk_DNOTES,MATCH(27,tk_ASEQ,0))&amp;" "&amp;INDEX(tk_FNOTES,MATCH(27,tk_ASEQ,0))),"")</f>
        <v/>
      </c>
    </row>
    <row r="34">
      <c r="A34" s="161">
        <f>IFERROR(""&amp;INDEX(tk_MARK,MATCH(28,tk_ASEQ,0)),"")</f>
        <v/>
      </c>
      <c r="B34" s="162">
        <f>IFERROR(""&amp;INDEX(tk_ROOMF,MATCH(28,tk_ASEQ,0)),"")</f>
        <v/>
      </c>
      <c r="C34" s="162">
        <f>IFERROR(""&amp;INDEX(tk_ROOMT,MATCH(28,tk_ASEQ,0)),"")</f>
        <v/>
      </c>
      <c r="D34" s="162">
        <f>IFERROR(INDEX(tk_QTY,MATCH(28,tk_ASEQ,0)),"")</f>
        <v/>
      </c>
      <c r="E34" s="162">
        <f>IFERROR(""&amp;INDEX(tk_SIZE,MATCH(28,tk_ASEQ,0)),"")</f>
        <v/>
      </c>
      <c r="F34" s="162">
        <f>IFERROR(""&amp;INDEX(tk_PAIR,MATCH(28,tk_ASEQ,0)),"")</f>
        <v/>
      </c>
      <c r="G34" s="162">
        <f>IFERROR(""&amp;INDEX(tk_DMAT,MATCH(28,tk_ASEQ,0)),"")</f>
        <v/>
      </c>
      <c r="H34" s="162">
        <f>IFERROR(""&amp;INDEX(tk_DGA,MATCH(28,tk_ASEQ,0)),"")</f>
        <v/>
      </c>
      <c r="I34" s="162">
        <f>IFERROR(""&amp;INDEX(tk_FACE,MATCH(28,tk_ASEQ,0)),"")</f>
        <v/>
      </c>
      <c r="J34" s="162">
        <f>IFERROR(IF(INDEX(tk_DHAND,MATCH(28,tk_ASEQ,0))="",""&amp;INDEX(tk_HAND,MATCH(28,tk_ASEQ,0)),""&amp;INDEX(tk_DHAND,MATCH(28,tk_ASEQ,0))),"")</f>
        <v/>
      </c>
      <c r="K34" s="162">
        <f>IFERROR(""&amp;INDEX(tk_FDESC,MATCH(28,tk_ASEQ,0)),"")</f>
        <v/>
      </c>
      <c r="L34" s="162">
        <f>IFERROR(INDEX(tk_STEEL,MATCH(28,tk_ASEQ,0))&amp;IF(INDEX(tk_FGA,MATCH(28,tk_ASEQ,0))="",""," "&amp;INDEX(tk_FGA,MATCH(28,tk_ASEQ,0))&amp;"GA"),"")</f>
        <v/>
      </c>
      <c r="M34" s="162">
        <f>IFERROR(IFERROR(VLOOKUP(INDEX(tk_JAMB,MATCH(28,tk_ASEQ,0)),CODES,2,FALSE),""&amp;INDEX(tk_JAMB,MATCH(28,tk_ASEQ,0))),"")</f>
        <v/>
      </c>
      <c r="N34" s="162">
        <f>IFERROR(""&amp;INDEX(tk_CONSTR,MATCH(28,tk_ASEQ,0)),"")</f>
        <v/>
      </c>
      <c r="O34" s="162">
        <f>IFERROR(""&amp;INDEX(tk_ANCHOR,MATCH(28,tk_ASEQ,0)),"")</f>
        <v/>
      </c>
      <c r="P34" s="162">
        <f>IFERROR(""&amp;INDEX(tk_RATING,MATCH(28,tk_ASEQ,0)),"")</f>
        <v/>
      </c>
      <c r="Q34" s="162">
        <f>IFERROR(""&amp;INDEX(tk_LABEL,MATCH(28,tk_ASEQ,0)),"")</f>
        <v/>
      </c>
      <c r="R34" s="162">
        <f>IFERROR(""&amp;INDEX(tk_HWSET,MATCH(28,tk_ASEQ,0)),"")</f>
        <v/>
      </c>
      <c r="S34" s="162">
        <f>IFERROR(IF(""&amp;INDEX(tk_HINGES,MATCH(28,tk_ASEQ,0))="","",INDEX(tk_HINGES,MATCH(28,tk_ASEQ,0))&amp;" · "&amp;INDEX(tk_LSRC,MATCH(28,tk_ASEQ,0))),"")</f>
        <v/>
      </c>
      <c r="T34" s="162">
        <f>IFERROR(""&amp;INDEX(tk_LOCK,MATCH(28,tk_ASEQ,0)),"")</f>
        <v/>
      </c>
      <c r="U34" s="162">
        <f>IFERROR(INDEX(tk_ETYPE,MATCH(28,tk_ASEQ,0)),"")</f>
        <v/>
      </c>
      <c r="V34" s="162">
        <f>IFERROR(""&amp;INDEX(tk_CHECK,MATCH(28,tk_ASEQ,0)),"")</f>
        <v/>
      </c>
      <c r="W34" s="162">
        <f>IFERROR(TRIM(INDEX(tk_DNOTES,MATCH(28,tk_ASEQ,0))&amp;" "&amp;INDEX(tk_FNOTES,MATCH(28,tk_ASEQ,0))),"")</f>
        <v/>
      </c>
    </row>
    <row r="35">
      <c r="A35" s="161">
        <f>IFERROR(""&amp;INDEX(tk_MARK,MATCH(29,tk_ASEQ,0)),"")</f>
        <v/>
      </c>
      <c r="B35" s="162">
        <f>IFERROR(""&amp;INDEX(tk_ROOMF,MATCH(29,tk_ASEQ,0)),"")</f>
        <v/>
      </c>
      <c r="C35" s="162">
        <f>IFERROR(""&amp;INDEX(tk_ROOMT,MATCH(29,tk_ASEQ,0)),"")</f>
        <v/>
      </c>
      <c r="D35" s="162">
        <f>IFERROR(INDEX(tk_QTY,MATCH(29,tk_ASEQ,0)),"")</f>
        <v/>
      </c>
      <c r="E35" s="162">
        <f>IFERROR(""&amp;INDEX(tk_SIZE,MATCH(29,tk_ASEQ,0)),"")</f>
        <v/>
      </c>
      <c r="F35" s="162">
        <f>IFERROR(""&amp;INDEX(tk_PAIR,MATCH(29,tk_ASEQ,0)),"")</f>
        <v/>
      </c>
      <c r="G35" s="162">
        <f>IFERROR(""&amp;INDEX(tk_DMAT,MATCH(29,tk_ASEQ,0)),"")</f>
        <v/>
      </c>
      <c r="H35" s="162">
        <f>IFERROR(""&amp;INDEX(tk_DGA,MATCH(29,tk_ASEQ,0)),"")</f>
        <v/>
      </c>
      <c r="I35" s="162">
        <f>IFERROR(""&amp;INDEX(tk_FACE,MATCH(29,tk_ASEQ,0)),"")</f>
        <v/>
      </c>
      <c r="J35" s="162">
        <f>IFERROR(IF(INDEX(tk_DHAND,MATCH(29,tk_ASEQ,0))="",""&amp;INDEX(tk_HAND,MATCH(29,tk_ASEQ,0)),""&amp;INDEX(tk_DHAND,MATCH(29,tk_ASEQ,0))),"")</f>
        <v/>
      </c>
      <c r="K35" s="162">
        <f>IFERROR(""&amp;INDEX(tk_FDESC,MATCH(29,tk_ASEQ,0)),"")</f>
        <v/>
      </c>
      <c r="L35" s="162">
        <f>IFERROR(INDEX(tk_STEEL,MATCH(29,tk_ASEQ,0))&amp;IF(INDEX(tk_FGA,MATCH(29,tk_ASEQ,0))="",""," "&amp;INDEX(tk_FGA,MATCH(29,tk_ASEQ,0))&amp;"GA"),"")</f>
        <v/>
      </c>
      <c r="M35" s="162">
        <f>IFERROR(IFERROR(VLOOKUP(INDEX(tk_JAMB,MATCH(29,tk_ASEQ,0)),CODES,2,FALSE),""&amp;INDEX(tk_JAMB,MATCH(29,tk_ASEQ,0))),"")</f>
        <v/>
      </c>
      <c r="N35" s="162">
        <f>IFERROR(""&amp;INDEX(tk_CONSTR,MATCH(29,tk_ASEQ,0)),"")</f>
        <v/>
      </c>
      <c r="O35" s="162">
        <f>IFERROR(""&amp;INDEX(tk_ANCHOR,MATCH(29,tk_ASEQ,0)),"")</f>
        <v/>
      </c>
      <c r="P35" s="162">
        <f>IFERROR(""&amp;INDEX(tk_RATING,MATCH(29,tk_ASEQ,0)),"")</f>
        <v/>
      </c>
      <c r="Q35" s="162">
        <f>IFERROR(""&amp;INDEX(tk_LABEL,MATCH(29,tk_ASEQ,0)),"")</f>
        <v/>
      </c>
      <c r="R35" s="162">
        <f>IFERROR(""&amp;INDEX(tk_HWSET,MATCH(29,tk_ASEQ,0)),"")</f>
        <v/>
      </c>
      <c r="S35" s="162">
        <f>IFERROR(IF(""&amp;INDEX(tk_HINGES,MATCH(29,tk_ASEQ,0))="","",INDEX(tk_HINGES,MATCH(29,tk_ASEQ,0))&amp;" · "&amp;INDEX(tk_LSRC,MATCH(29,tk_ASEQ,0))),"")</f>
        <v/>
      </c>
      <c r="T35" s="162">
        <f>IFERROR(""&amp;INDEX(tk_LOCK,MATCH(29,tk_ASEQ,0)),"")</f>
        <v/>
      </c>
      <c r="U35" s="162">
        <f>IFERROR(INDEX(tk_ETYPE,MATCH(29,tk_ASEQ,0)),"")</f>
        <v/>
      </c>
      <c r="V35" s="162">
        <f>IFERROR(""&amp;INDEX(tk_CHECK,MATCH(29,tk_ASEQ,0)),"")</f>
        <v/>
      </c>
      <c r="W35" s="162">
        <f>IFERROR(TRIM(INDEX(tk_DNOTES,MATCH(29,tk_ASEQ,0))&amp;" "&amp;INDEX(tk_FNOTES,MATCH(29,tk_ASEQ,0))),"")</f>
        <v/>
      </c>
    </row>
    <row r="36">
      <c r="A36" s="161">
        <f>IFERROR(""&amp;INDEX(tk_MARK,MATCH(30,tk_ASEQ,0)),"")</f>
        <v/>
      </c>
      <c r="B36" s="162">
        <f>IFERROR(""&amp;INDEX(tk_ROOMF,MATCH(30,tk_ASEQ,0)),"")</f>
        <v/>
      </c>
      <c r="C36" s="162">
        <f>IFERROR(""&amp;INDEX(tk_ROOMT,MATCH(30,tk_ASEQ,0)),"")</f>
        <v/>
      </c>
      <c r="D36" s="162">
        <f>IFERROR(INDEX(tk_QTY,MATCH(30,tk_ASEQ,0)),"")</f>
        <v/>
      </c>
      <c r="E36" s="162">
        <f>IFERROR(""&amp;INDEX(tk_SIZE,MATCH(30,tk_ASEQ,0)),"")</f>
        <v/>
      </c>
      <c r="F36" s="162">
        <f>IFERROR(""&amp;INDEX(tk_PAIR,MATCH(30,tk_ASEQ,0)),"")</f>
        <v/>
      </c>
      <c r="G36" s="162">
        <f>IFERROR(""&amp;INDEX(tk_DMAT,MATCH(30,tk_ASEQ,0)),"")</f>
        <v/>
      </c>
      <c r="H36" s="162">
        <f>IFERROR(""&amp;INDEX(tk_DGA,MATCH(30,tk_ASEQ,0)),"")</f>
        <v/>
      </c>
      <c r="I36" s="162">
        <f>IFERROR(""&amp;INDEX(tk_FACE,MATCH(30,tk_ASEQ,0)),"")</f>
        <v/>
      </c>
      <c r="J36" s="162">
        <f>IFERROR(IF(INDEX(tk_DHAND,MATCH(30,tk_ASEQ,0))="",""&amp;INDEX(tk_HAND,MATCH(30,tk_ASEQ,0)),""&amp;INDEX(tk_DHAND,MATCH(30,tk_ASEQ,0))),"")</f>
        <v/>
      </c>
      <c r="K36" s="162">
        <f>IFERROR(""&amp;INDEX(tk_FDESC,MATCH(30,tk_ASEQ,0)),"")</f>
        <v/>
      </c>
      <c r="L36" s="162">
        <f>IFERROR(INDEX(tk_STEEL,MATCH(30,tk_ASEQ,0))&amp;IF(INDEX(tk_FGA,MATCH(30,tk_ASEQ,0))="",""," "&amp;INDEX(tk_FGA,MATCH(30,tk_ASEQ,0))&amp;"GA"),"")</f>
        <v/>
      </c>
      <c r="M36" s="162">
        <f>IFERROR(IFERROR(VLOOKUP(INDEX(tk_JAMB,MATCH(30,tk_ASEQ,0)),CODES,2,FALSE),""&amp;INDEX(tk_JAMB,MATCH(30,tk_ASEQ,0))),"")</f>
        <v/>
      </c>
      <c r="N36" s="162">
        <f>IFERROR(""&amp;INDEX(tk_CONSTR,MATCH(30,tk_ASEQ,0)),"")</f>
        <v/>
      </c>
      <c r="O36" s="162">
        <f>IFERROR(""&amp;INDEX(tk_ANCHOR,MATCH(30,tk_ASEQ,0)),"")</f>
        <v/>
      </c>
      <c r="P36" s="162">
        <f>IFERROR(""&amp;INDEX(tk_RATING,MATCH(30,tk_ASEQ,0)),"")</f>
        <v/>
      </c>
      <c r="Q36" s="162">
        <f>IFERROR(""&amp;INDEX(tk_LABEL,MATCH(30,tk_ASEQ,0)),"")</f>
        <v/>
      </c>
      <c r="R36" s="162">
        <f>IFERROR(""&amp;INDEX(tk_HWSET,MATCH(30,tk_ASEQ,0)),"")</f>
        <v/>
      </c>
      <c r="S36" s="162">
        <f>IFERROR(IF(""&amp;INDEX(tk_HINGES,MATCH(30,tk_ASEQ,0))="","",INDEX(tk_HINGES,MATCH(30,tk_ASEQ,0))&amp;" · "&amp;INDEX(tk_LSRC,MATCH(30,tk_ASEQ,0))),"")</f>
        <v/>
      </c>
      <c r="T36" s="162">
        <f>IFERROR(""&amp;INDEX(tk_LOCK,MATCH(30,tk_ASEQ,0)),"")</f>
        <v/>
      </c>
      <c r="U36" s="162">
        <f>IFERROR(INDEX(tk_ETYPE,MATCH(30,tk_ASEQ,0)),"")</f>
        <v/>
      </c>
      <c r="V36" s="162">
        <f>IFERROR(""&amp;INDEX(tk_CHECK,MATCH(30,tk_ASEQ,0)),"")</f>
        <v/>
      </c>
      <c r="W36" s="162">
        <f>IFERROR(TRIM(INDEX(tk_DNOTES,MATCH(30,tk_ASEQ,0))&amp;" "&amp;INDEX(tk_FNOTES,MATCH(30,tk_ASEQ,0))),"")</f>
        <v/>
      </c>
    </row>
    <row r="37">
      <c r="A37" s="161">
        <f>IFERROR(""&amp;INDEX(tk_MARK,MATCH(31,tk_ASEQ,0)),"")</f>
        <v/>
      </c>
      <c r="B37" s="162">
        <f>IFERROR(""&amp;INDEX(tk_ROOMF,MATCH(31,tk_ASEQ,0)),"")</f>
        <v/>
      </c>
      <c r="C37" s="162">
        <f>IFERROR(""&amp;INDEX(tk_ROOMT,MATCH(31,tk_ASEQ,0)),"")</f>
        <v/>
      </c>
      <c r="D37" s="162">
        <f>IFERROR(INDEX(tk_QTY,MATCH(31,tk_ASEQ,0)),"")</f>
        <v/>
      </c>
      <c r="E37" s="162">
        <f>IFERROR(""&amp;INDEX(tk_SIZE,MATCH(31,tk_ASEQ,0)),"")</f>
        <v/>
      </c>
      <c r="F37" s="162">
        <f>IFERROR(""&amp;INDEX(tk_PAIR,MATCH(31,tk_ASEQ,0)),"")</f>
        <v/>
      </c>
      <c r="G37" s="162">
        <f>IFERROR(""&amp;INDEX(tk_DMAT,MATCH(31,tk_ASEQ,0)),"")</f>
        <v/>
      </c>
      <c r="H37" s="162">
        <f>IFERROR(""&amp;INDEX(tk_DGA,MATCH(31,tk_ASEQ,0)),"")</f>
        <v/>
      </c>
      <c r="I37" s="162">
        <f>IFERROR(""&amp;INDEX(tk_FACE,MATCH(31,tk_ASEQ,0)),"")</f>
        <v/>
      </c>
      <c r="J37" s="162">
        <f>IFERROR(IF(INDEX(tk_DHAND,MATCH(31,tk_ASEQ,0))="",""&amp;INDEX(tk_HAND,MATCH(31,tk_ASEQ,0)),""&amp;INDEX(tk_DHAND,MATCH(31,tk_ASEQ,0))),"")</f>
        <v/>
      </c>
      <c r="K37" s="162">
        <f>IFERROR(""&amp;INDEX(tk_FDESC,MATCH(31,tk_ASEQ,0)),"")</f>
        <v/>
      </c>
      <c r="L37" s="162">
        <f>IFERROR(INDEX(tk_STEEL,MATCH(31,tk_ASEQ,0))&amp;IF(INDEX(tk_FGA,MATCH(31,tk_ASEQ,0))="",""," "&amp;INDEX(tk_FGA,MATCH(31,tk_ASEQ,0))&amp;"GA"),"")</f>
        <v/>
      </c>
      <c r="M37" s="162">
        <f>IFERROR(IFERROR(VLOOKUP(INDEX(tk_JAMB,MATCH(31,tk_ASEQ,0)),CODES,2,FALSE),""&amp;INDEX(tk_JAMB,MATCH(31,tk_ASEQ,0))),"")</f>
        <v/>
      </c>
      <c r="N37" s="162">
        <f>IFERROR(""&amp;INDEX(tk_CONSTR,MATCH(31,tk_ASEQ,0)),"")</f>
        <v/>
      </c>
      <c r="O37" s="162">
        <f>IFERROR(""&amp;INDEX(tk_ANCHOR,MATCH(31,tk_ASEQ,0)),"")</f>
        <v/>
      </c>
      <c r="P37" s="162">
        <f>IFERROR(""&amp;INDEX(tk_RATING,MATCH(31,tk_ASEQ,0)),"")</f>
        <v/>
      </c>
      <c r="Q37" s="162">
        <f>IFERROR(""&amp;INDEX(tk_LABEL,MATCH(31,tk_ASEQ,0)),"")</f>
        <v/>
      </c>
      <c r="R37" s="162">
        <f>IFERROR(""&amp;INDEX(tk_HWSET,MATCH(31,tk_ASEQ,0)),"")</f>
        <v/>
      </c>
      <c r="S37" s="162">
        <f>IFERROR(IF(""&amp;INDEX(tk_HINGES,MATCH(31,tk_ASEQ,0))="","",INDEX(tk_HINGES,MATCH(31,tk_ASEQ,0))&amp;" · "&amp;INDEX(tk_LSRC,MATCH(31,tk_ASEQ,0))),"")</f>
        <v/>
      </c>
      <c r="T37" s="162">
        <f>IFERROR(""&amp;INDEX(tk_LOCK,MATCH(31,tk_ASEQ,0)),"")</f>
        <v/>
      </c>
      <c r="U37" s="162">
        <f>IFERROR(INDEX(tk_ETYPE,MATCH(31,tk_ASEQ,0)),"")</f>
        <v/>
      </c>
      <c r="V37" s="162">
        <f>IFERROR(""&amp;INDEX(tk_CHECK,MATCH(31,tk_ASEQ,0)),"")</f>
        <v/>
      </c>
      <c r="W37" s="162">
        <f>IFERROR(TRIM(INDEX(tk_DNOTES,MATCH(31,tk_ASEQ,0))&amp;" "&amp;INDEX(tk_FNOTES,MATCH(31,tk_ASEQ,0))),"")</f>
        <v/>
      </c>
    </row>
    <row r="38">
      <c r="A38" s="161">
        <f>IFERROR(""&amp;INDEX(tk_MARK,MATCH(32,tk_ASEQ,0)),"")</f>
        <v/>
      </c>
      <c r="B38" s="162">
        <f>IFERROR(""&amp;INDEX(tk_ROOMF,MATCH(32,tk_ASEQ,0)),"")</f>
        <v/>
      </c>
      <c r="C38" s="162">
        <f>IFERROR(""&amp;INDEX(tk_ROOMT,MATCH(32,tk_ASEQ,0)),"")</f>
        <v/>
      </c>
      <c r="D38" s="162">
        <f>IFERROR(INDEX(tk_QTY,MATCH(32,tk_ASEQ,0)),"")</f>
        <v/>
      </c>
      <c r="E38" s="162">
        <f>IFERROR(""&amp;INDEX(tk_SIZE,MATCH(32,tk_ASEQ,0)),"")</f>
        <v/>
      </c>
      <c r="F38" s="162">
        <f>IFERROR(""&amp;INDEX(tk_PAIR,MATCH(32,tk_ASEQ,0)),"")</f>
        <v/>
      </c>
      <c r="G38" s="162">
        <f>IFERROR(""&amp;INDEX(tk_DMAT,MATCH(32,tk_ASEQ,0)),"")</f>
        <v/>
      </c>
      <c r="H38" s="162">
        <f>IFERROR(""&amp;INDEX(tk_DGA,MATCH(32,tk_ASEQ,0)),"")</f>
        <v/>
      </c>
      <c r="I38" s="162">
        <f>IFERROR(""&amp;INDEX(tk_FACE,MATCH(32,tk_ASEQ,0)),"")</f>
        <v/>
      </c>
      <c r="J38" s="162">
        <f>IFERROR(IF(INDEX(tk_DHAND,MATCH(32,tk_ASEQ,0))="",""&amp;INDEX(tk_HAND,MATCH(32,tk_ASEQ,0)),""&amp;INDEX(tk_DHAND,MATCH(32,tk_ASEQ,0))),"")</f>
        <v/>
      </c>
      <c r="K38" s="162">
        <f>IFERROR(""&amp;INDEX(tk_FDESC,MATCH(32,tk_ASEQ,0)),"")</f>
        <v/>
      </c>
      <c r="L38" s="162">
        <f>IFERROR(INDEX(tk_STEEL,MATCH(32,tk_ASEQ,0))&amp;IF(INDEX(tk_FGA,MATCH(32,tk_ASEQ,0))="",""," "&amp;INDEX(tk_FGA,MATCH(32,tk_ASEQ,0))&amp;"GA"),"")</f>
        <v/>
      </c>
      <c r="M38" s="162">
        <f>IFERROR(IFERROR(VLOOKUP(INDEX(tk_JAMB,MATCH(32,tk_ASEQ,0)),CODES,2,FALSE),""&amp;INDEX(tk_JAMB,MATCH(32,tk_ASEQ,0))),"")</f>
        <v/>
      </c>
      <c r="N38" s="162">
        <f>IFERROR(""&amp;INDEX(tk_CONSTR,MATCH(32,tk_ASEQ,0)),"")</f>
        <v/>
      </c>
      <c r="O38" s="162">
        <f>IFERROR(""&amp;INDEX(tk_ANCHOR,MATCH(32,tk_ASEQ,0)),"")</f>
        <v/>
      </c>
      <c r="P38" s="162">
        <f>IFERROR(""&amp;INDEX(tk_RATING,MATCH(32,tk_ASEQ,0)),"")</f>
        <v/>
      </c>
      <c r="Q38" s="162">
        <f>IFERROR(""&amp;INDEX(tk_LABEL,MATCH(32,tk_ASEQ,0)),"")</f>
        <v/>
      </c>
      <c r="R38" s="162">
        <f>IFERROR(""&amp;INDEX(tk_HWSET,MATCH(32,tk_ASEQ,0)),"")</f>
        <v/>
      </c>
      <c r="S38" s="162">
        <f>IFERROR(IF(""&amp;INDEX(tk_HINGES,MATCH(32,tk_ASEQ,0))="","",INDEX(tk_HINGES,MATCH(32,tk_ASEQ,0))&amp;" · "&amp;INDEX(tk_LSRC,MATCH(32,tk_ASEQ,0))),"")</f>
        <v/>
      </c>
      <c r="T38" s="162">
        <f>IFERROR(""&amp;INDEX(tk_LOCK,MATCH(32,tk_ASEQ,0)),"")</f>
        <v/>
      </c>
      <c r="U38" s="162">
        <f>IFERROR(INDEX(tk_ETYPE,MATCH(32,tk_ASEQ,0)),"")</f>
        <v/>
      </c>
      <c r="V38" s="162">
        <f>IFERROR(""&amp;INDEX(tk_CHECK,MATCH(32,tk_ASEQ,0)),"")</f>
        <v/>
      </c>
      <c r="W38" s="162">
        <f>IFERROR(TRIM(INDEX(tk_DNOTES,MATCH(32,tk_ASEQ,0))&amp;" "&amp;INDEX(tk_FNOTES,MATCH(32,tk_ASEQ,0))),"")</f>
        <v/>
      </c>
    </row>
    <row r="39">
      <c r="A39" s="161">
        <f>IFERROR(""&amp;INDEX(tk_MARK,MATCH(33,tk_ASEQ,0)),"")</f>
        <v/>
      </c>
      <c r="B39" s="162">
        <f>IFERROR(""&amp;INDEX(tk_ROOMF,MATCH(33,tk_ASEQ,0)),"")</f>
        <v/>
      </c>
      <c r="C39" s="162">
        <f>IFERROR(""&amp;INDEX(tk_ROOMT,MATCH(33,tk_ASEQ,0)),"")</f>
        <v/>
      </c>
      <c r="D39" s="162">
        <f>IFERROR(INDEX(tk_QTY,MATCH(33,tk_ASEQ,0)),"")</f>
        <v/>
      </c>
      <c r="E39" s="162">
        <f>IFERROR(""&amp;INDEX(tk_SIZE,MATCH(33,tk_ASEQ,0)),"")</f>
        <v/>
      </c>
      <c r="F39" s="162">
        <f>IFERROR(""&amp;INDEX(tk_PAIR,MATCH(33,tk_ASEQ,0)),"")</f>
        <v/>
      </c>
      <c r="G39" s="162">
        <f>IFERROR(""&amp;INDEX(tk_DMAT,MATCH(33,tk_ASEQ,0)),"")</f>
        <v/>
      </c>
      <c r="H39" s="162">
        <f>IFERROR(""&amp;INDEX(tk_DGA,MATCH(33,tk_ASEQ,0)),"")</f>
        <v/>
      </c>
      <c r="I39" s="162">
        <f>IFERROR(""&amp;INDEX(tk_FACE,MATCH(33,tk_ASEQ,0)),"")</f>
        <v/>
      </c>
      <c r="J39" s="162">
        <f>IFERROR(IF(INDEX(tk_DHAND,MATCH(33,tk_ASEQ,0))="",""&amp;INDEX(tk_HAND,MATCH(33,tk_ASEQ,0)),""&amp;INDEX(tk_DHAND,MATCH(33,tk_ASEQ,0))),"")</f>
        <v/>
      </c>
      <c r="K39" s="162">
        <f>IFERROR(""&amp;INDEX(tk_FDESC,MATCH(33,tk_ASEQ,0)),"")</f>
        <v/>
      </c>
      <c r="L39" s="162">
        <f>IFERROR(INDEX(tk_STEEL,MATCH(33,tk_ASEQ,0))&amp;IF(INDEX(tk_FGA,MATCH(33,tk_ASEQ,0))="",""," "&amp;INDEX(tk_FGA,MATCH(33,tk_ASEQ,0))&amp;"GA"),"")</f>
        <v/>
      </c>
      <c r="M39" s="162">
        <f>IFERROR(IFERROR(VLOOKUP(INDEX(tk_JAMB,MATCH(33,tk_ASEQ,0)),CODES,2,FALSE),""&amp;INDEX(tk_JAMB,MATCH(33,tk_ASEQ,0))),"")</f>
        <v/>
      </c>
      <c r="N39" s="162">
        <f>IFERROR(""&amp;INDEX(tk_CONSTR,MATCH(33,tk_ASEQ,0)),"")</f>
        <v/>
      </c>
      <c r="O39" s="162">
        <f>IFERROR(""&amp;INDEX(tk_ANCHOR,MATCH(33,tk_ASEQ,0)),"")</f>
        <v/>
      </c>
      <c r="P39" s="162">
        <f>IFERROR(""&amp;INDEX(tk_RATING,MATCH(33,tk_ASEQ,0)),"")</f>
        <v/>
      </c>
      <c r="Q39" s="162">
        <f>IFERROR(""&amp;INDEX(tk_LABEL,MATCH(33,tk_ASEQ,0)),"")</f>
        <v/>
      </c>
      <c r="R39" s="162">
        <f>IFERROR(""&amp;INDEX(tk_HWSET,MATCH(33,tk_ASEQ,0)),"")</f>
        <v/>
      </c>
      <c r="S39" s="162">
        <f>IFERROR(IF(""&amp;INDEX(tk_HINGES,MATCH(33,tk_ASEQ,0))="","",INDEX(tk_HINGES,MATCH(33,tk_ASEQ,0))&amp;" · "&amp;INDEX(tk_LSRC,MATCH(33,tk_ASEQ,0))),"")</f>
        <v/>
      </c>
      <c r="T39" s="162">
        <f>IFERROR(""&amp;INDEX(tk_LOCK,MATCH(33,tk_ASEQ,0)),"")</f>
        <v/>
      </c>
      <c r="U39" s="162">
        <f>IFERROR(INDEX(tk_ETYPE,MATCH(33,tk_ASEQ,0)),"")</f>
        <v/>
      </c>
      <c r="V39" s="162">
        <f>IFERROR(""&amp;INDEX(tk_CHECK,MATCH(33,tk_ASEQ,0)),"")</f>
        <v/>
      </c>
      <c r="W39" s="162">
        <f>IFERROR(TRIM(INDEX(tk_DNOTES,MATCH(33,tk_ASEQ,0))&amp;" "&amp;INDEX(tk_FNOTES,MATCH(33,tk_ASEQ,0))),"")</f>
        <v/>
      </c>
    </row>
    <row r="40">
      <c r="A40" s="161">
        <f>IFERROR(""&amp;INDEX(tk_MARK,MATCH(34,tk_ASEQ,0)),"")</f>
        <v/>
      </c>
      <c r="B40" s="162">
        <f>IFERROR(""&amp;INDEX(tk_ROOMF,MATCH(34,tk_ASEQ,0)),"")</f>
        <v/>
      </c>
      <c r="C40" s="162">
        <f>IFERROR(""&amp;INDEX(tk_ROOMT,MATCH(34,tk_ASEQ,0)),"")</f>
        <v/>
      </c>
      <c r="D40" s="162">
        <f>IFERROR(INDEX(tk_QTY,MATCH(34,tk_ASEQ,0)),"")</f>
        <v/>
      </c>
      <c r="E40" s="162">
        <f>IFERROR(""&amp;INDEX(tk_SIZE,MATCH(34,tk_ASEQ,0)),"")</f>
        <v/>
      </c>
      <c r="F40" s="162">
        <f>IFERROR(""&amp;INDEX(tk_PAIR,MATCH(34,tk_ASEQ,0)),"")</f>
        <v/>
      </c>
      <c r="G40" s="162">
        <f>IFERROR(""&amp;INDEX(tk_DMAT,MATCH(34,tk_ASEQ,0)),"")</f>
        <v/>
      </c>
      <c r="H40" s="162">
        <f>IFERROR(""&amp;INDEX(tk_DGA,MATCH(34,tk_ASEQ,0)),"")</f>
        <v/>
      </c>
      <c r="I40" s="162">
        <f>IFERROR(""&amp;INDEX(tk_FACE,MATCH(34,tk_ASEQ,0)),"")</f>
        <v/>
      </c>
      <c r="J40" s="162">
        <f>IFERROR(IF(INDEX(tk_DHAND,MATCH(34,tk_ASEQ,0))="",""&amp;INDEX(tk_HAND,MATCH(34,tk_ASEQ,0)),""&amp;INDEX(tk_DHAND,MATCH(34,tk_ASEQ,0))),"")</f>
        <v/>
      </c>
      <c r="K40" s="162">
        <f>IFERROR(""&amp;INDEX(tk_FDESC,MATCH(34,tk_ASEQ,0)),"")</f>
        <v/>
      </c>
      <c r="L40" s="162">
        <f>IFERROR(INDEX(tk_STEEL,MATCH(34,tk_ASEQ,0))&amp;IF(INDEX(tk_FGA,MATCH(34,tk_ASEQ,0))="",""," "&amp;INDEX(tk_FGA,MATCH(34,tk_ASEQ,0))&amp;"GA"),"")</f>
        <v/>
      </c>
      <c r="M40" s="162">
        <f>IFERROR(IFERROR(VLOOKUP(INDEX(tk_JAMB,MATCH(34,tk_ASEQ,0)),CODES,2,FALSE),""&amp;INDEX(tk_JAMB,MATCH(34,tk_ASEQ,0))),"")</f>
        <v/>
      </c>
      <c r="N40" s="162">
        <f>IFERROR(""&amp;INDEX(tk_CONSTR,MATCH(34,tk_ASEQ,0)),"")</f>
        <v/>
      </c>
      <c r="O40" s="162">
        <f>IFERROR(""&amp;INDEX(tk_ANCHOR,MATCH(34,tk_ASEQ,0)),"")</f>
        <v/>
      </c>
      <c r="P40" s="162">
        <f>IFERROR(""&amp;INDEX(tk_RATING,MATCH(34,tk_ASEQ,0)),"")</f>
        <v/>
      </c>
      <c r="Q40" s="162">
        <f>IFERROR(""&amp;INDEX(tk_LABEL,MATCH(34,tk_ASEQ,0)),"")</f>
        <v/>
      </c>
      <c r="R40" s="162">
        <f>IFERROR(""&amp;INDEX(tk_HWSET,MATCH(34,tk_ASEQ,0)),"")</f>
        <v/>
      </c>
      <c r="S40" s="162">
        <f>IFERROR(IF(""&amp;INDEX(tk_HINGES,MATCH(34,tk_ASEQ,0))="","",INDEX(tk_HINGES,MATCH(34,tk_ASEQ,0))&amp;" · "&amp;INDEX(tk_LSRC,MATCH(34,tk_ASEQ,0))),"")</f>
        <v/>
      </c>
      <c r="T40" s="162">
        <f>IFERROR(""&amp;INDEX(tk_LOCK,MATCH(34,tk_ASEQ,0)),"")</f>
        <v/>
      </c>
      <c r="U40" s="162">
        <f>IFERROR(INDEX(tk_ETYPE,MATCH(34,tk_ASEQ,0)),"")</f>
        <v/>
      </c>
      <c r="V40" s="162">
        <f>IFERROR(""&amp;INDEX(tk_CHECK,MATCH(34,tk_ASEQ,0)),"")</f>
        <v/>
      </c>
      <c r="W40" s="162">
        <f>IFERROR(TRIM(INDEX(tk_DNOTES,MATCH(34,tk_ASEQ,0))&amp;" "&amp;INDEX(tk_FNOTES,MATCH(34,tk_ASEQ,0))),"")</f>
        <v/>
      </c>
    </row>
    <row r="41">
      <c r="A41" s="161">
        <f>IFERROR(""&amp;INDEX(tk_MARK,MATCH(35,tk_ASEQ,0)),"")</f>
        <v/>
      </c>
      <c r="B41" s="162">
        <f>IFERROR(""&amp;INDEX(tk_ROOMF,MATCH(35,tk_ASEQ,0)),"")</f>
        <v/>
      </c>
      <c r="C41" s="162">
        <f>IFERROR(""&amp;INDEX(tk_ROOMT,MATCH(35,tk_ASEQ,0)),"")</f>
        <v/>
      </c>
      <c r="D41" s="162">
        <f>IFERROR(INDEX(tk_QTY,MATCH(35,tk_ASEQ,0)),"")</f>
        <v/>
      </c>
      <c r="E41" s="162">
        <f>IFERROR(""&amp;INDEX(tk_SIZE,MATCH(35,tk_ASEQ,0)),"")</f>
        <v/>
      </c>
      <c r="F41" s="162">
        <f>IFERROR(""&amp;INDEX(tk_PAIR,MATCH(35,tk_ASEQ,0)),"")</f>
        <v/>
      </c>
      <c r="G41" s="162">
        <f>IFERROR(""&amp;INDEX(tk_DMAT,MATCH(35,tk_ASEQ,0)),"")</f>
        <v/>
      </c>
      <c r="H41" s="162">
        <f>IFERROR(""&amp;INDEX(tk_DGA,MATCH(35,tk_ASEQ,0)),"")</f>
        <v/>
      </c>
      <c r="I41" s="162">
        <f>IFERROR(""&amp;INDEX(tk_FACE,MATCH(35,tk_ASEQ,0)),"")</f>
        <v/>
      </c>
      <c r="J41" s="162">
        <f>IFERROR(IF(INDEX(tk_DHAND,MATCH(35,tk_ASEQ,0))="",""&amp;INDEX(tk_HAND,MATCH(35,tk_ASEQ,0)),""&amp;INDEX(tk_DHAND,MATCH(35,tk_ASEQ,0))),"")</f>
        <v/>
      </c>
      <c r="K41" s="162">
        <f>IFERROR(""&amp;INDEX(tk_FDESC,MATCH(35,tk_ASEQ,0)),"")</f>
        <v/>
      </c>
      <c r="L41" s="162">
        <f>IFERROR(INDEX(tk_STEEL,MATCH(35,tk_ASEQ,0))&amp;IF(INDEX(tk_FGA,MATCH(35,tk_ASEQ,0))="",""," "&amp;INDEX(tk_FGA,MATCH(35,tk_ASEQ,0))&amp;"GA"),"")</f>
        <v/>
      </c>
      <c r="M41" s="162">
        <f>IFERROR(IFERROR(VLOOKUP(INDEX(tk_JAMB,MATCH(35,tk_ASEQ,0)),CODES,2,FALSE),""&amp;INDEX(tk_JAMB,MATCH(35,tk_ASEQ,0))),"")</f>
        <v/>
      </c>
      <c r="N41" s="162">
        <f>IFERROR(""&amp;INDEX(tk_CONSTR,MATCH(35,tk_ASEQ,0)),"")</f>
        <v/>
      </c>
      <c r="O41" s="162">
        <f>IFERROR(""&amp;INDEX(tk_ANCHOR,MATCH(35,tk_ASEQ,0)),"")</f>
        <v/>
      </c>
      <c r="P41" s="162">
        <f>IFERROR(""&amp;INDEX(tk_RATING,MATCH(35,tk_ASEQ,0)),"")</f>
        <v/>
      </c>
      <c r="Q41" s="162">
        <f>IFERROR(""&amp;INDEX(tk_LABEL,MATCH(35,tk_ASEQ,0)),"")</f>
        <v/>
      </c>
      <c r="R41" s="162">
        <f>IFERROR(""&amp;INDEX(tk_HWSET,MATCH(35,tk_ASEQ,0)),"")</f>
        <v/>
      </c>
      <c r="S41" s="162">
        <f>IFERROR(IF(""&amp;INDEX(tk_HINGES,MATCH(35,tk_ASEQ,0))="","",INDEX(tk_HINGES,MATCH(35,tk_ASEQ,0))&amp;" · "&amp;INDEX(tk_LSRC,MATCH(35,tk_ASEQ,0))),"")</f>
        <v/>
      </c>
      <c r="T41" s="162">
        <f>IFERROR(""&amp;INDEX(tk_LOCK,MATCH(35,tk_ASEQ,0)),"")</f>
        <v/>
      </c>
      <c r="U41" s="162">
        <f>IFERROR(INDEX(tk_ETYPE,MATCH(35,tk_ASEQ,0)),"")</f>
        <v/>
      </c>
      <c r="V41" s="162">
        <f>IFERROR(""&amp;INDEX(tk_CHECK,MATCH(35,tk_ASEQ,0)),"")</f>
        <v/>
      </c>
      <c r="W41" s="162">
        <f>IFERROR(TRIM(INDEX(tk_DNOTES,MATCH(35,tk_ASEQ,0))&amp;" "&amp;INDEX(tk_FNOTES,MATCH(35,tk_ASEQ,0))),"")</f>
        <v/>
      </c>
    </row>
    <row r="42">
      <c r="A42" s="161">
        <f>IFERROR(""&amp;INDEX(tk_MARK,MATCH(36,tk_ASEQ,0)),"")</f>
        <v/>
      </c>
      <c r="B42" s="162">
        <f>IFERROR(""&amp;INDEX(tk_ROOMF,MATCH(36,tk_ASEQ,0)),"")</f>
        <v/>
      </c>
      <c r="C42" s="162">
        <f>IFERROR(""&amp;INDEX(tk_ROOMT,MATCH(36,tk_ASEQ,0)),"")</f>
        <v/>
      </c>
      <c r="D42" s="162">
        <f>IFERROR(INDEX(tk_QTY,MATCH(36,tk_ASEQ,0)),"")</f>
        <v/>
      </c>
      <c r="E42" s="162">
        <f>IFERROR(""&amp;INDEX(tk_SIZE,MATCH(36,tk_ASEQ,0)),"")</f>
        <v/>
      </c>
      <c r="F42" s="162">
        <f>IFERROR(""&amp;INDEX(tk_PAIR,MATCH(36,tk_ASEQ,0)),"")</f>
        <v/>
      </c>
      <c r="G42" s="162">
        <f>IFERROR(""&amp;INDEX(tk_DMAT,MATCH(36,tk_ASEQ,0)),"")</f>
        <v/>
      </c>
      <c r="H42" s="162">
        <f>IFERROR(""&amp;INDEX(tk_DGA,MATCH(36,tk_ASEQ,0)),"")</f>
        <v/>
      </c>
      <c r="I42" s="162">
        <f>IFERROR(""&amp;INDEX(tk_FACE,MATCH(36,tk_ASEQ,0)),"")</f>
        <v/>
      </c>
      <c r="J42" s="162">
        <f>IFERROR(IF(INDEX(tk_DHAND,MATCH(36,tk_ASEQ,0))="",""&amp;INDEX(tk_HAND,MATCH(36,tk_ASEQ,0)),""&amp;INDEX(tk_DHAND,MATCH(36,tk_ASEQ,0))),"")</f>
        <v/>
      </c>
      <c r="K42" s="162">
        <f>IFERROR(""&amp;INDEX(tk_FDESC,MATCH(36,tk_ASEQ,0)),"")</f>
        <v/>
      </c>
      <c r="L42" s="162">
        <f>IFERROR(INDEX(tk_STEEL,MATCH(36,tk_ASEQ,0))&amp;IF(INDEX(tk_FGA,MATCH(36,tk_ASEQ,0))="",""," "&amp;INDEX(tk_FGA,MATCH(36,tk_ASEQ,0))&amp;"GA"),"")</f>
        <v/>
      </c>
      <c r="M42" s="162">
        <f>IFERROR(IFERROR(VLOOKUP(INDEX(tk_JAMB,MATCH(36,tk_ASEQ,0)),CODES,2,FALSE),""&amp;INDEX(tk_JAMB,MATCH(36,tk_ASEQ,0))),"")</f>
        <v/>
      </c>
      <c r="N42" s="162">
        <f>IFERROR(""&amp;INDEX(tk_CONSTR,MATCH(36,tk_ASEQ,0)),"")</f>
        <v/>
      </c>
      <c r="O42" s="162">
        <f>IFERROR(""&amp;INDEX(tk_ANCHOR,MATCH(36,tk_ASEQ,0)),"")</f>
        <v/>
      </c>
      <c r="P42" s="162">
        <f>IFERROR(""&amp;INDEX(tk_RATING,MATCH(36,tk_ASEQ,0)),"")</f>
        <v/>
      </c>
      <c r="Q42" s="162">
        <f>IFERROR(""&amp;INDEX(tk_LABEL,MATCH(36,tk_ASEQ,0)),"")</f>
        <v/>
      </c>
      <c r="R42" s="162">
        <f>IFERROR(""&amp;INDEX(tk_HWSET,MATCH(36,tk_ASEQ,0)),"")</f>
        <v/>
      </c>
      <c r="S42" s="162">
        <f>IFERROR(IF(""&amp;INDEX(tk_HINGES,MATCH(36,tk_ASEQ,0))="","",INDEX(tk_HINGES,MATCH(36,tk_ASEQ,0))&amp;" · "&amp;INDEX(tk_LSRC,MATCH(36,tk_ASEQ,0))),"")</f>
        <v/>
      </c>
      <c r="T42" s="162">
        <f>IFERROR(""&amp;INDEX(tk_LOCK,MATCH(36,tk_ASEQ,0)),"")</f>
        <v/>
      </c>
      <c r="U42" s="162">
        <f>IFERROR(INDEX(tk_ETYPE,MATCH(36,tk_ASEQ,0)),"")</f>
        <v/>
      </c>
      <c r="V42" s="162">
        <f>IFERROR(""&amp;INDEX(tk_CHECK,MATCH(36,tk_ASEQ,0)),"")</f>
        <v/>
      </c>
      <c r="W42" s="162">
        <f>IFERROR(TRIM(INDEX(tk_DNOTES,MATCH(36,tk_ASEQ,0))&amp;" "&amp;INDEX(tk_FNOTES,MATCH(36,tk_ASEQ,0))),"")</f>
        <v/>
      </c>
    </row>
    <row r="43">
      <c r="A43" s="161">
        <f>IFERROR(""&amp;INDEX(tk_MARK,MATCH(37,tk_ASEQ,0)),"")</f>
        <v/>
      </c>
      <c r="B43" s="162">
        <f>IFERROR(""&amp;INDEX(tk_ROOMF,MATCH(37,tk_ASEQ,0)),"")</f>
        <v/>
      </c>
      <c r="C43" s="162">
        <f>IFERROR(""&amp;INDEX(tk_ROOMT,MATCH(37,tk_ASEQ,0)),"")</f>
        <v/>
      </c>
      <c r="D43" s="162">
        <f>IFERROR(INDEX(tk_QTY,MATCH(37,tk_ASEQ,0)),"")</f>
        <v/>
      </c>
      <c r="E43" s="162">
        <f>IFERROR(""&amp;INDEX(tk_SIZE,MATCH(37,tk_ASEQ,0)),"")</f>
        <v/>
      </c>
      <c r="F43" s="162">
        <f>IFERROR(""&amp;INDEX(tk_PAIR,MATCH(37,tk_ASEQ,0)),"")</f>
        <v/>
      </c>
      <c r="G43" s="162">
        <f>IFERROR(""&amp;INDEX(tk_DMAT,MATCH(37,tk_ASEQ,0)),"")</f>
        <v/>
      </c>
      <c r="H43" s="162">
        <f>IFERROR(""&amp;INDEX(tk_DGA,MATCH(37,tk_ASEQ,0)),"")</f>
        <v/>
      </c>
      <c r="I43" s="162">
        <f>IFERROR(""&amp;INDEX(tk_FACE,MATCH(37,tk_ASEQ,0)),"")</f>
        <v/>
      </c>
      <c r="J43" s="162">
        <f>IFERROR(IF(INDEX(tk_DHAND,MATCH(37,tk_ASEQ,0))="",""&amp;INDEX(tk_HAND,MATCH(37,tk_ASEQ,0)),""&amp;INDEX(tk_DHAND,MATCH(37,tk_ASEQ,0))),"")</f>
        <v/>
      </c>
      <c r="K43" s="162">
        <f>IFERROR(""&amp;INDEX(tk_FDESC,MATCH(37,tk_ASEQ,0)),"")</f>
        <v/>
      </c>
      <c r="L43" s="162">
        <f>IFERROR(INDEX(tk_STEEL,MATCH(37,tk_ASEQ,0))&amp;IF(INDEX(tk_FGA,MATCH(37,tk_ASEQ,0))="",""," "&amp;INDEX(tk_FGA,MATCH(37,tk_ASEQ,0))&amp;"GA"),"")</f>
        <v/>
      </c>
      <c r="M43" s="162">
        <f>IFERROR(IFERROR(VLOOKUP(INDEX(tk_JAMB,MATCH(37,tk_ASEQ,0)),CODES,2,FALSE),""&amp;INDEX(tk_JAMB,MATCH(37,tk_ASEQ,0))),"")</f>
        <v/>
      </c>
      <c r="N43" s="162">
        <f>IFERROR(""&amp;INDEX(tk_CONSTR,MATCH(37,tk_ASEQ,0)),"")</f>
        <v/>
      </c>
      <c r="O43" s="162">
        <f>IFERROR(""&amp;INDEX(tk_ANCHOR,MATCH(37,tk_ASEQ,0)),"")</f>
        <v/>
      </c>
      <c r="P43" s="162">
        <f>IFERROR(""&amp;INDEX(tk_RATING,MATCH(37,tk_ASEQ,0)),"")</f>
        <v/>
      </c>
      <c r="Q43" s="162">
        <f>IFERROR(""&amp;INDEX(tk_LABEL,MATCH(37,tk_ASEQ,0)),"")</f>
        <v/>
      </c>
      <c r="R43" s="162">
        <f>IFERROR(""&amp;INDEX(tk_HWSET,MATCH(37,tk_ASEQ,0)),"")</f>
        <v/>
      </c>
      <c r="S43" s="162">
        <f>IFERROR(IF(""&amp;INDEX(tk_HINGES,MATCH(37,tk_ASEQ,0))="","",INDEX(tk_HINGES,MATCH(37,tk_ASEQ,0))&amp;" · "&amp;INDEX(tk_LSRC,MATCH(37,tk_ASEQ,0))),"")</f>
        <v/>
      </c>
      <c r="T43" s="162">
        <f>IFERROR(""&amp;INDEX(tk_LOCK,MATCH(37,tk_ASEQ,0)),"")</f>
        <v/>
      </c>
      <c r="U43" s="162">
        <f>IFERROR(INDEX(tk_ETYPE,MATCH(37,tk_ASEQ,0)),"")</f>
        <v/>
      </c>
      <c r="V43" s="162">
        <f>IFERROR(""&amp;INDEX(tk_CHECK,MATCH(37,tk_ASEQ,0)),"")</f>
        <v/>
      </c>
      <c r="W43" s="162">
        <f>IFERROR(TRIM(INDEX(tk_DNOTES,MATCH(37,tk_ASEQ,0))&amp;" "&amp;INDEX(tk_FNOTES,MATCH(37,tk_ASEQ,0))),"")</f>
        <v/>
      </c>
    </row>
    <row r="44">
      <c r="A44" s="161">
        <f>IFERROR(""&amp;INDEX(tk_MARK,MATCH(38,tk_ASEQ,0)),"")</f>
        <v/>
      </c>
      <c r="B44" s="162">
        <f>IFERROR(""&amp;INDEX(tk_ROOMF,MATCH(38,tk_ASEQ,0)),"")</f>
        <v/>
      </c>
      <c r="C44" s="162">
        <f>IFERROR(""&amp;INDEX(tk_ROOMT,MATCH(38,tk_ASEQ,0)),"")</f>
        <v/>
      </c>
      <c r="D44" s="162">
        <f>IFERROR(INDEX(tk_QTY,MATCH(38,tk_ASEQ,0)),"")</f>
        <v/>
      </c>
      <c r="E44" s="162">
        <f>IFERROR(""&amp;INDEX(tk_SIZE,MATCH(38,tk_ASEQ,0)),"")</f>
        <v/>
      </c>
      <c r="F44" s="162">
        <f>IFERROR(""&amp;INDEX(tk_PAIR,MATCH(38,tk_ASEQ,0)),"")</f>
        <v/>
      </c>
      <c r="G44" s="162">
        <f>IFERROR(""&amp;INDEX(tk_DMAT,MATCH(38,tk_ASEQ,0)),"")</f>
        <v/>
      </c>
      <c r="H44" s="162">
        <f>IFERROR(""&amp;INDEX(tk_DGA,MATCH(38,tk_ASEQ,0)),"")</f>
        <v/>
      </c>
      <c r="I44" s="162">
        <f>IFERROR(""&amp;INDEX(tk_FACE,MATCH(38,tk_ASEQ,0)),"")</f>
        <v/>
      </c>
      <c r="J44" s="162">
        <f>IFERROR(IF(INDEX(tk_DHAND,MATCH(38,tk_ASEQ,0))="",""&amp;INDEX(tk_HAND,MATCH(38,tk_ASEQ,0)),""&amp;INDEX(tk_DHAND,MATCH(38,tk_ASEQ,0))),"")</f>
        <v/>
      </c>
      <c r="K44" s="162">
        <f>IFERROR(""&amp;INDEX(tk_FDESC,MATCH(38,tk_ASEQ,0)),"")</f>
        <v/>
      </c>
      <c r="L44" s="162">
        <f>IFERROR(INDEX(tk_STEEL,MATCH(38,tk_ASEQ,0))&amp;IF(INDEX(tk_FGA,MATCH(38,tk_ASEQ,0))="",""," "&amp;INDEX(tk_FGA,MATCH(38,tk_ASEQ,0))&amp;"GA"),"")</f>
        <v/>
      </c>
      <c r="M44" s="162">
        <f>IFERROR(IFERROR(VLOOKUP(INDEX(tk_JAMB,MATCH(38,tk_ASEQ,0)),CODES,2,FALSE),""&amp;INDEX(tk_JAMB,MATCH(38,tk_ASEQ,0))),"")</f>
        <v/>
      </c>
      <c r="N44" s="162">
        <f>IFERROR(""&amp;INDEX(tk_CONSTR,MATCH(38,tk_ASEQ,0)),"")</f>
        <v/>
      </c>
      <c r="O44" s="162">
        <f>IFERROR(""&amp;INDEX(tk_ANCHOR,MATCH(38,tk_ASEQ,0)),"")</f>
        <v/>
      </c>
      <c r="P44" s="162">
        <f>IFERROR(""&amp;INDEX(tk_RATING,MATCH(38,tk_ASEQ,0)),"")</f>
        <v/>
      </c>
      <c r="Q44" s="162">
        <f>IFERROR(""&amp;INDEX(tk_LABEL,MATCH(38,tk_ASEQ,0)),"")</f>
        <v/>
      </c>
      <c r="R44" s="162">
        <f>IFERROR(""&amp;INDEX(tk_HWSET,MATCH(38,tk_ASEQ,0)),"")</f>
        <v/>
      </c>
      <c r="S44" s="162">
        <f>IFERROR(IF(""&amp;INDEX(tk_HINGES,MATCH(38,tk_ASEQ,0))="","",INDEX(tk_HINGES,MATCH(38,tk_ASEQ,0))&amp;" · "&amp;INDEX(tk_LSRC,MATCH(38,tk_ASEQ,0))),"")</f>
        <v/>
      </c>
      <c r="T44" s="162">
        <f>IFERROR(""&amp;INDEX(tk_LOCK,MATCH(38,tk_ASEQ,0)),"")</f>
        <v/>
      </c>
      <c r="U44" s="162">
        <f>IFERROR(INDEX(tk_ETYPE,MATCH(38,tk_ASEQ,0)),"")</f>
        <v/>
      </c>
      <c r="V44" s="162">
        <f>IFERROR(""&amp;INDEX(tk_CHECK,MATCH(38,tk_ASEQ,0)),"")</f>
        <v/>
      </c>
      <c r="W44" s="162">
        <f>IFERROR(TRIM(INDEX(tk_DNOTES,MATCH(38,tk_ASEQ,0))&amp;" "&amp;INDEX(tk_FNOTES,MATCH(38,tk_ASEQ,0))),"")</f>
        <v/>
      </c>
    </row>
    <row r="45">
      <c r="A45" s="161">
        <f>IFERROR(""&amp;INDEX(tk_MARK,MATCH(39,tk_ASEQ,0)),"")</f>
        <v/>
      </c>
      <c r="B45" s="162">
        <f>IFERROR(""&amp;INDEX(tk_ROOMF,MATCH(39,tk_ASEQ,0)),"")</f>
        <v/>
      </c>
      <c r="C45" s="162">
        <f>IFERROR(""&amp;INDEX(tk_ROOMT,MATCH(39,tk_ASEQ,0)),"")</f>
        <v/>
      </c>
      <c r="D45" s="162">
        <f>IFERROR(INDEX(tk_QTY,MATCH(39,tk_ASEQ,0)),"")</f>
        <v/>
      </c>
      <c r="E45" s="162">
        <f>IFERROR(""&amp;INDEX(tk_SIZE,MATCH(39,tk_ASEQ,0)),"")</f>
        <v/>
      </c>
      <c r="F45" s="162">
        <f>IFERROR(""&amp;INDEX(tk_PAIR,MATCH(39,tk_ASEQ,0)),"")</f>
        <v/>
      </c>
      <c r="G45" s="162">
        <f>IFERROR(""&amp;INDEX(tk_DMAT,MATCH(39,tk_ASEQ,0)),"")</f>
        <v/>
      </c>
      <c r="H45" s="162">
        <f>IFERROR(""&amp;INDEX(tk_DGA,MATCH(39,tk_ASEQ,0)),"")</f>
        <v/>
      </c>
      <c r="I45" s="162">
        <f>IFERROR(""&amp;INDEX(tk_FACE,MATCH(39,tk_ASEQ,0)),"")</f>
        <v/>
      </c>
      <c r="J45" s="162">
        <f>IFERROR(IF(INDEX(tk_DHAND,MATCH(39,tk_ASEQ,0))="",""&amp;INDEX(tk_HAND,MATCH(39,tk_ASEQ,0)),""&amp;INDEX(tk_DHAND,MATCH(39,tk_ASEQ,0))),"")</f>
        <v/>
      </c>
      <c r="K45" s="162">
        <f>IFERROR(""&amp;INDEX(tk_FDESC,MATCH(39,tk_ASEQ,0)),"")</f>
        <v/>
      </c>
      <c r="L45" s="162">
        <f>IFERROR(INDEX(tk_STEEL,MATCH(39,tk_ASEQ,0))&amp;IF(INDEX(tk_FGA,MATCH(39,tk_ASEQ,0))="",""," "&amp;INDEX(tk_FGA,MATCH(39,tk_ASEQ,0))&amp;"GA"),"")</f>
        <v/>
      </c>
      <c r="M45" s="162">
        <f>IFERROR(IFERROR(VLOOKUP(INDEX(tk_JAMB,MATCH(39,tk_ASEQ,0)),CODES,2,FALSE),""&amp;INDEX(tk_JAMB,MATCH(39,tk_ASEQ,0))),"")</f>
        <v/>
      </c>
      <c r="N45" s="162">
        <f>IFERROR(""&amp;INDEX(tk_CONSTR,MATCH(39,tk_ASEQ,0)),"")</f>
        <v/>
      </c>
      <c r="O45" s="162">
        <f>IFERROR(""&amp;INDEX(tk_ANCHOR,MATCH(39,tk_ASEQ,0)),"")</f>
        <v/>
      </c>
      <c r="P45" s="162">
        <f>IFERROR(""&amp;INDEX(tk_RATING,MATCH(39,tk_ASEQ,0)),"")</f>
        <v/>
      </c>
      <c r="Q45" s="162">
        <f>IFERROR(""&amp;INDEX(tk_LABEL,MATCH(39,tk_ASEQ,0)),"")</f>
        <v/>
      </c>
      <c r="R45" s="162">
        <f>IFERROR(""&amp;INDEX(tk_HWSET,MATCH(39,tk_ASEQ,0)),"")</f>
        <v/>
      </c>
      <c r="S45" s="162">
        <f>IFERROR(IF(""&amp;INDEX(tk_HINGES,MATCH(39,tk_ASEQ,0))="","",INDEX(tk_HINGES,MATCH(39,tk_ASEQ,0))&amp;" · "&amp;INDEX(tk_LSRC,MATCH(39,tk_ASEQ,0))),"")</f>
        <v/>
      </c>
      <c r="T45" s="162">
        <f>IFERROR(""&amp;INDEX(tk_LOCK,MATCH(39,tk_ASEQ,0)),"")</f>
        <v/>
      </c>
      <c r="U45" s="162">
        <f>IFERROR(INDEX(tk_ETYPE,MATCH(39,tk_ASEQ,0)),"")</f>
        <v/>
      </c>
      <c r="V45" s="162">
        <f>IFERROR(""&amp;INDEX(tk_CHECK,MATCH(39,tk_ASEQ,0)),"")</f>
        <v/>
      </c>
      <c r="W45" s="162">
        <f>IFERROR(TRIM(INDEX(tk_DNOTES,MATCH(39,tk_ASEQ,0))&amp;" "&amp;INDEX(tk_FNOTES,MATCH(39,tk_ASEQ,0))),"")</f>
        <v/>
      </c>
    </row>
    <row r="46">
      <c r="A46" s="161">
        <f>IFERROR(""&amp;INDEX(tk_MARK,MATCH(40,tk_ASEQ,0)),"")</f>
        <v/>
      </c>
      <c r="B46" s="162">
        <f>IFERROR(""&amp;INDEX(tk_ROOMF,MATCH(40,tk_ASEQ,0)),"")</f>
        <v/>
      </c>
      <c r="C46" s="162">
        <f>IFERROR(""&amp;INDEX(tk_ROOMT,MATCH(40,tk_ASEQ,0)),"")</f>
        <v/>
      </c>
      <c r="D46" s="162">
        <f>IFERROR(INDEX(tk_QTY,MATCH(40,tk_ASEQ,0)),"")</f>
        <v/>
      </c>
      <c r="E46" s="162">
        <f>IFERROR(""&amp;INDEX(tk_SIZE,MATCH(40,tk_ASEQ,0)),"")</f>
        <v/>
      </c>
      <c r="F46" s="162">
        <f>IFERROR(""&amp;INDEX(tk_PAIR,MATCH(40,tk_ASEQ,0)),"")</f>
        <v/>
      </c>
      <c r="G46" s="162">
        <f>IFERROR(""&amp;INDEX(tk_DMAT,MATCH(40,tk_ASEQ,0)),"")</f>
        <v/>
      </c>
      <c r="H46" s="162">
        <f>IFERROR(""&amp;INDEX(tk_DGA,MATCH(40,tk_ASEQ,0)),"")</f>
        <v/>
      </c>
      <c r="I46" s="162">
        <f>IFERROR(""&amp;INDEX(tk_FACE,MATCH(40,tk_ASEQ,0)),"")</f>
        <v/>
      </c>
      <c r="J46" s="162">
        <f>IFERROR(IF(INDEX(tk_DHAND,MATCH(40,tk_ASEQ,0))="",""&amp;INDEX(tk_HAND,MATCH(40,tk_ASEQ,0)),""&amp;INDEX(tk_DHAND,MATCH(40,tk_ASEQ,0))),"")</f>
        <v/>
      </c>
      <c r="K46" s="162">
        <f>IFERROR(""&amp;INDEX(tk_FDESC,MATCH(40,tk_ASEQ,0)),"")</f>
        <v/>
      </c>
      <c r="L46" s="162">
        <f>IFERROR(INDEX(tk_STEEL,MATCH(40,tk_ASEQ,0))&amp;IF(INDEX(tk_FGA,MATCH(40,tk_ASEQ,0))="",""," "&amp;INDEX(tk_FGA,MATCH(40,tk_ASEQ,0))&amp;"GA"),"")</f>
        <v/>
      </c>
      <c r="M46" s="162">
        <f>IFERROR(IFERROR(VLOOKUP(INDEX(tk_JAMB,MATCH(40,tk_ASEQ,0)),CODES,2,FALSE),""&amp;INDEX(tk_JAMB,MATCH(40,tk_ASEQ,0))),"")</f>
        <v/>
      </c>
      <c r="N46" s="162">
        <f>IFERROR(""&amp;INDEX(tk_CONSTR,MATCH(40,tk_ASEQ,0)),"")</f>
        <v/>
      </c>
      <c r="O46" s="162">
        <f>IFERROR(""&amp;INDEX(tk_ANCHOR,MATCH(40,tk_ASEQ,0)),"")</f>
        <v/>
      </c>
      <c r="P46" s="162">
        <f>IFERROR(""&amp;INDEX(tk_RATING,MATCH(40,tk_ASEQ,0)),"")</f>
        <v/>
      </c>
      <c r="Q46" s="162">
        <f>IFERROR(""&amp;INDEX(tk_LABEL,MATCH(40,tk_ASEQ,0)),"")</f>
        <v/>
      </c>
      <c r="R46" s="162">
        <f>IFERROR(""&amp;INDEX(tk_HWSET,MATCH(40,tk_ASEQ,0)),"")</f>
        <v/>
      </c>
      <c r="S46" s="162">
        <f>IFERROR(IF(""&amp;INDEX(tk_HINGES,MATCH(40,tk_ASEQ,0))="","",INDEX(tk_HINGES,MATCH(40,tk_ASEQ,0))&amp;" · "&amp;INDEX(tk_LSRC,MATCH(40,tk_ASEQ,0))),"")</f>
        <v/>
      </c>
      <c r="T46" s="162">
        <f>IFERROR(""&amp;INDEX(tk_LOCK,MATCH(40,tk_ASEQ,0)),"")</f>
        <v/>
      </c>
      <c r="U46" s="162">
        <f>IFERROR(INDEX(tk_ETYPE,MATCH(40,tk_ASEQ,0)),"")</f>
        <v/>
      </c>
      <c r="V46" s="162">
        <f>IFERROR(""&amp;INDEX(tk_CHECK,MATCH(40,tk_ASEQ,0)),"")</f>
        <v/>
      </c>
      <c r="W46" s="162">
        <f>IFERROR(TRIM(INDEX(tk_DNOTES,MATCH(40,tk_ASEQ,0))&amp;" "&amp;INDEX(tk_FNOTES,MATCH(40,tk_ASEQ,0))),"")</f>
        <v/>
      </c>
    </row>
    <row r="47">
      <c r="A47" s="161">
        <f>IFERROR(""&amp;INDEX(tk_MARK,MATCH(41,tk_ASEQ,0)),"")</f>
        <v/>
      </c>
      <c r="B47" s="162">
        <f>IFERROR(""&amp;INDEX(tk_ROOMF,MATCH(41,tk_ASEQ,0)),"")</f>
        <v/>
      </c>
      <c r="C47" s="162">
        <f>IFERROR(""&amp;INDEX(tk_ROOMT,MATCH(41,tk_ASEQ,0)),"")</f>
        <v/>
      </c>
      <c r="D47" s="162">
        <f>IFERROR(INDEX(tk_QTY,MATCH(41,tk_ASEQ,0)),"")</f>
        <v/>
      </c>
      <c r="E47" s="162">
        <f>IFERROR(""&amp;INDEX(tk_SIZE,MATCH(41,tk_ASEQ,0)),"")</f>
        <v/>
      </c>
      <c r="F47" s="162">
        <f>IFERROR(""&amp;INDEX(tk_PAIR,MATCH(41,tk_ASEQ,0)),"")</f>
        <v/>
      </c>
      <c r="G47" s="162">
        <f>IFERROR(""&amp;INDEX(tk_DMAT,MATCH(41,tk_ASEQ,0)),"")</f>
        <v/>
      </c>
      <c r="H47" s="162">
        <f>IFERROR(""&amp;INDEX(tk_DGA,MATCH(41,tk_ASEQ,0)),"")</f>
        <v/>
      </c>
      <c r="I47" s="162">
        <f>IFERROR(""&amp;INDEX(tk_FACE,MATCH(41,tk_ASEQ,0)),"")</f>
        <v/>
      </c>
      <c r="J47" s="162">
        <f>IFERROR(IF(INDEX(tk_DHAND,MATCH(41,tk_ASEQ,0))="",""&amp;INDEX(tk_HAND,MATCH(41,tk_ASEQ,0)),""&amp;INDEX(tk_DHAND,MATCH(41,tk_ASEQ,0))),"")</f>
        <v/>
      </c>
      <c r="K47" s="162">
        <f>IFERROR(""&amp;INDEX(tk_FDESC,MATCH(41,tk_ASEQ,0)),"")</f>
        <v/>
      </c>
      <c r="L47" s="162">
        <f>IFERROR(INDEX(tk_STEEL,MATCH(41,tk_ASEQ,0))&amp;IF(INDEX(tk_FGA,MATCH(41,tk_ASEQ,0))="",""," "&amp;INDEX(tk_FGA,MATCH(41,tk_ASEQ,0))&amp;"GA"),"")</f>
        <v/>
      </c>
      <c r="M47" s="162">
        <f>IFERROR(IFERROR(VLOOKUP(INDEX(tk_JAMB,MATCH(41,tk_ASEQ,0)),CODES,2,FALSE),""&amp;INDEX(tk_JAMB,MATCH(41,tk_ASEQ,0))),"")</f>
        <v/>
      </c>
      <c r="N47" s="162">
        <f>IFERROR(""&amp;INDEX(tk_CONSTR,MATCH(41,tk_ASEQ,0)),"")</f>
        <v/>
      </c>
      <c r="O47" s="162">
        <f>IFERROR(""&amp;INDEX(tk_ANCHOR,MATCH(41,tk_ASEQ,0)),"")</f>
        <v/>
      </c>
      <c r="P47" s="162">
        <f>IFERROR(""&amp;INDEX(tk_RATING,MATCH(41,tk_ASEQ,0)),"")</f>
        <v/>
      </c>
      <c r="Q47" s="162">
        <f>IFERROR(""&amp;INDEX(tk_LABEL,MATCH(41,tk_ASEQ,0)),"")</f>
        <v/>
      </c>
      <c r="R47" s="162">
        <f>IFERROR(""&amp;INDEX(tk_HWSET,MATCH(41,tk_ASEQ,0)),"")</f>
        <v/>
      </c>
      <c r="S47" s="162">
        <f>IFERROR(IF(""&amp;INDEX(tk_HINGES,MATCH(41,tk_ASEQ,0))="","",INDEX(tk_HINGES,MATCH(41,tk_ASEQ,0))&amp;" · "&amp;INDEX(tk_LSRC,MATCH(41,tk_ASEQ,0))),"")</f>
        <v/>
      </c>
      <c r="T47" s="162">
        <f>IFERROR(""&amp;INDEX(tk_LOCK,MATCH(41,tk_ASEQ,0)),"")</f>
        <v/>
      </c>
      <c r="U47" s="162">
        <f>IFERROR(INDEX(tk_ETYPE,MATCH(41,tk_ASEQ,0)),"")</f>
        <v/>
      </c>
      <c r="V47" s="162">
        <f>IFERROR(""&amp;INDEX(tk_CHECK,MATCH(41,tk_ASEQ,0)),"")</f>
        <v/>
      </c>
      <c r="W47" s="162">
        <f>IFERROR(TRIM(INDEX(tk_DNOTES,MATCH(41,tk_ASEQ,0))&amp;" "&amp;INDEX(tk_FNOTES,MATCH(41,tk_ASEQ,0))),"")</f>
        <v/>
      </c>
    </row>
    <row r="48">
      <c r="A48" s="161">
        <f>IFERROR(""&amp;INDEX(tk_MARK,MATCH(42,tk_ASEQ,0)),"")</f>
        <v/>
      </c>
      <c r="B48" s="162">
        <f>IFERROR(""&amp;INDEX(tk_ROOMF,MATCH(42,tk_ASEQ,0)),"")</f>
        <v/>
      </c>
      <c r="C48" s="162">
        <f>IFERROR(""&amp;INDEX(tk_ROOMT,MATCH(42,tk_ASEQ,0)),"")</f>
        <v/>
      </c>
      <c r="D48" s="162">
        <f>IFERROR(INDEX(tk_QTY,MATCH(42,tk_ASEQ,0)),"")</f>
        <v/>
      </c>
      <c r="E48" s="162">
        <f>IFERROR(""&amp;INDEX(tk_SIZE,MATCH(42,tk_ASEQ,0)),"")</f>
        <v/>
      </c>
      <c r="F48" s="162">
        <f>IFERROR(""&amp;INDEX(tk_PAIR,MATCH(42,tk_ASEQ,0)),"")</f>
        <v/>
      </c>
      <c r="G48" s="162">
        <f>IFERROR(""&amp;INDEX(tk_DMAT,MATCH(42,tk_ASEQ,0)),"")</f>
        <v/>
      </c>
      <c r="H48" s="162">
        <f>IFERROR(""&amp;INDEX(tk_DGA,MATCH(42,tk_ASEQ,0)),"")</f>
        <v/>
      </c>
      <c r="I48" s="162">
        <f>IFERROR(""&amp;INDEX(tk_FACE,MATCH(42,tk_ASEQ,0)),"")</f>
        <v/>
      </c>
      <c r="J48" s="162">
        <f>IFERROR(IF(INDEX(tk_DHAND,MATCH(42,tk_ASEQ,0))="",""&amp;INDEX(tk_HAND,MATCH(42,tk_ASEQ,0)),""&amp;INDEX(tk_DHAND,MATCH(42,tk_ASEQ,0))),"")</f>
        <v/>
      </c>
      <c r="K48" s="162">
        <f>IFERROR(""&amp;INDEX(tk_FDESC,MATCH(42,tk_ASEQ,0)),"")</f>
        <v/>
      </c>
      <c r="L48" s="162">
        <f>IFERROR(INDEX(tk_STEEL,MATCH(42,tk_ASEQ,0))&amp;IF(INDEX(tk_FGA,MATCH(42,tk_ASEQ,0))="",""," "&amp;INDEX(tk_FGA,MATCH(42,tk_ASEQ,0))&amp;"GA"),"")</f>
        <v/>
      </c>
      <c r="M48" s="162">
        <f>IFERROR(IFERROR(VLOOKUP(INDEX(tk_JAMB,MATCH(42,tk_ASEQ,0)),CODES,2,FALSE),""&amp;INDEX(tk_JAMB,MATCH(42,tk_ASEQ,0))),"")</f>
        <v/>
      </c>
      <c r="N48" s="162">
        <f>IFERROR(""&amp;INDEX(tk_CONSTR,MATCH(42,tk_ASEQ,0)),"")</f>
        <v/>
      </c>
      <c r="O48" s="162">
        <f>IFERROR(""&amp;INDEX(tk_ANCHOR,MATCH(42,tk_ASEQ,0)),"")</f>
        <v/>
      </c>
      <c r="P48" s="162">
        <f>IFERROR(""&amp;INDEX(tk_RATING,MATCH(42,tk_ASEQ,0)),"")</f>
        <v/>
      </c>
      <c r="Q48" s="162">
        <f>IFERROR(""&amp;INDEX(tk_LABEL,MATCH(42,tk_ASEQ,0)),"")</f>
        <v/>
      </c>
      <c r="R48" s="162">
        <f>IFERROR(""&amp;INDEX(tk_HWSET,MATCH(42,tk_ASEQ,0)),"")</f>
        <v/>
      </c>
      <c r="S48" s="162">
        <f>IFERROR(IF(""&amp;INDEX(tk_HINGES,MATCH(42,tk_ASEQ,0))="","",INDEX(tk_HINGES,MATCH(42,tk_ASEQ,0))&amp;" · "&amp;INDEX(tk_LSRC,MATCH(42,tk_ASEQ,0))),"")</f>
        <v/>
      </c>
      <c r="T48" s="162">
        <f>IFERROR(""&amp;INDEX(tk_LOCK,MATCH(42,tk_ASEQ,0)),"")</f>
        <v/>
      </c>
      <c r="U48" s="162">
        <f>IFERROR(INDEX(tk_ETYPE,MATCH(42,tk_ASEQ,0)),"")</f>
        <v/>
      </c>
      <c r="V48" s="162">
        <f>IFERROR(""&amp;INDEX(tk_CHECK,MATCH(42,tk_ASEQ,0)),"")</f>
        <v/>
      </c>
      <c r="W48" s="162">
        <f>IFERROR(TRIM(INDEX(tk_DNOTES,MATCH(42,tk_ASEQ,0))&amp;" "&amp;INDEX(tk_FNOTES,MATCH(42,tk_ASEQ,0))),"")</f>
        <v/>
      </c>
    </row>
    <row r="49">
      <c r="A49" s="161">
        <f>IFERROR(""&amp;INDEX(tk_MARK,MATCH(43,tk_ASEQ,0)),"")</f>
        <v/>
      </c>
      <c r="B49" s="162">
        <f>IFERROR(""&amp;INDEX(tk_ROOMF,MATCH(43,tk_ASEQ,0)),"")</f>
        <v/>
      </c>
      <c r="C49" s="162">
        <f>IFERROR(""&amp;INDEX(tk_ROOMT,MATCH(43,tk_ASEQ,0)),"")</f>
        <v/>
      </c>
      <c r="D49" s="162">
        <f>IFERROR(INDEX(tk_QTY,MATCH(43,tk_ASEQ,0)),"")</f>
        <v/>
      </c>
      <c r="E49" s="162">
        <f>IFERROR(""&amp;INDEX(tk_SIZE,MATCH(43,tk_ASEQ,0)),"")</f>
        <v/>
      </c>
      <c r="F49" s="162">
        <f>IFERROR(""&amp;INDEX(tk_PAIR,MATCH(43,tk_ASEQ,0)),"")</f>
        <v/>
      </c>
      <c r="G49" s="162">
        <f>IFERROR(""&amp;INDEX(tk_DMAT,MATCH(43,tk_ASEQ,0)),"")</f>
        <v/>
      </c>
      <c r="H49" s="162">
        <f>IFERROR(""&amp;INDEX(tk_DGA,MATCH(43,tk_ASEQ,0)),"")</f>
        <v/>
      </c>
      <c r="I49" s="162">
        <f>IFERROR(""&amp;INDEX(tk_FACE,MATCH(43,tk_ASEQ,0)),"")</f>
        <v/>
      </c>
      <c r="J49" s="162">
        <f>IFERROR(IF(INDEX(tk_DHAND,MATCH(43,tk_ASEQ,0))="",""&amp;INDEX(tk_HAND,MATCH(43,tk_ASEQ,0)),""&amp;INDEX(tk_DHAND,MATCH(43,tk_ASEQ,0))),"")</f>
        <v/>
      </c>
      <c r="K49" s="162">
        <f>IFERROR(""&amp;INDEX(tk_FDESC,MATCH(43,tk_ASEQ,0)),"")</f>
        <v/>
      </c>
      <c r="L49" s="162">
        <f>IFERROR(INDEX(tk_STEEL,MATCH(43,tk_ASEQ,0))&amp;IF(INDEX(tk_FGA,MATCH(43,tk_ASEQ,0))="",""," "&amp;INDEX(tk_FGA,MATCH(43,tk_ASEQ,0))&amp;"GA"),"")</f>
        <v/>
      </c>
      <c r="M49" s="162">
        <f>IFERROR(IFERROR(VLOOKUP(INDEX(tk_JAMB,MATCH(43,tk_ASEQ,0)),CODES,2,FALSE),""&amp;INDEX(tk_JAMB,MATCH(43,tk_ASEQ,0))),"")</f>
        <v/>
      </c>
      <c r="N49" s="162">
        <f>IFERROR(""&amp;INDEX(tk_CONSTR,MATCH(43,tk_ASEQ,0)),"")</f>
        <v/>
      </c>
      <c r="O49" s="162">
        <f>IFERROR(""&amp;INDEX(tk_ANCHOR,MATCH(43,tk_ASEQ,0)),"")</f>
        <v/>
      </c>
      <c r="P49" s="162">
        <f>IFERROR(""&amp;INDEX(tk_RATING,MATCH(43,tk_ASEQ,0)),"")</f>
        <v/>
      </c>
      <c r="Q49" s="162">
        <f>IFERROR(""&amp;INDEX(tk_LABEL,MATCH(43,tk_ASEQ,0)),"")</f>
        <v/>
      </c>
      <c r="R49" s="162">
        <f>IFERROR(""&amp;INDEX(tk_HWSET,MATCH(43,tk_ASEQ,0)),"")</f>
        <v/>
      </c>
      <c r="S49" s="162">
        <f>IFERROR(IF(""&amp;INDEX(tk_HINGES,MATCH(43,tk_ASEQ,0))="","",INDEX(tk_HINGES,MATCH(43,tk_ASEQ,0))&amp;" · "&amp;INDEX(tk_LSRC,MATCH(43,tk_ASEQ,0))),"")</f>
        <v/>
      </c>
      <c r="T49" s="162">
        <f>IFERROR(""&amp;INDEX(tk_LOCK,MATCH(43,tk_ASEQ,0)),"")</f>
        <v/>
      </c>
      <c r="U49" s="162">
        <f>IFERROR(INDEX(tk_ETYPE,MATCH(43,tk_ASEQ,0)),"")</f>
        <v/>
      </c>
      <c r="V49" s="162">
        <f>IFERROR(""&amp;INDEX(tk_CHECK,MATCH(43,tk_ASEQ,0)),"")</f>
        <v/>
      </c>
      <c r="W49" s="162">
        <f>IFERROR(TRIM(INDEX(tk_DNOTES,MATCH(43,tk_ASEQ,0))&amp;" "&amp;INDEX(tk_FNOTES,MATCH(43,tk_ASEQ,0))),"")</f>
        <v/>
      </c>
    </row>
    <row r="50">
      <c r="A50" s="161">
        <f>IFERROR(""&amp;INDEX(tk_MARK,MATCH(44,tk_ASEQ,0)),"")</f>
        <v/>
      </c>
      <c r="B50" s="162">
        <f>IFERROR(""&amp;INDEX(tk_ROOMF,MATCH(44,tk_ASEQ,0)),"")</f>
        <v/>
      </c>
      <c r="C50" s="162">
        <f>IFERROR(""&amp;INDEX(tk_ROOMT,MATCH(44,tk_ASEQ,0)),"")</f>
        <v/>
      </c>
      <c r="D50" s="162">
        <f>IFERROR(INDEX(tk_QTY,MATCH(44,tk_ASEQ,0)),"")</f>
        <v/>
      </c>
      <c r="E50" s="162">
        <f>IFERROR(""&amp;INDEX(tk_SIZE,MATCH(44,tk_ASEQ,0)),"")</f>
        <v/>
      </c>
      <c r="F50" s="162">
        <f>IFERROR(""&amp;INDEX(tk_PAIR,MATCH(44,tk_ASEQ,0)),"")</f>
        <v/>
      </c>
      <c r="G50" s="162">
        <f>IFERROR(""&amp;INDEX(tk_DMAT,MATCH(44,tk_ASEQ,0)),"")</f>
        <v/>
      </c>
      <c r="H50" s="162">
        <f>IFERROR(""&amp;INDEX(tk_DGA,MATCH(44,tk_ASEQ,0)),"")</f>
        <v/>
      </c>
      <c r="I50" s="162">
        <f>IFERROR(""&amp;INDEX(tk_FACE,MATCH(44,tk_ASEQ,0)),"")</f>
        <v/>
      </c>
      <c r="J50" s="162">
        <f>IFERROR(IF(INDEX(tk_DHAND,MATCH(44,tk_ASEQ,0))="",""&amp;INDEX(tk_HAND,MATCH(44,tk_ASEQ,0)),""&amp;INDEX(tk_DHAND,MATCH(44,tk_ASEQ,0))),"")</f>
        <v/>
      </c>
      <c r="K50" s="162">
        <f>IFERROR(""&amp;INDEX(tk_FDESC,MATCH(44,tk_ASEQ,0)),"")</f>
        <v/>
      </c>
      <c r="L50" s="162">
        <f>IFERROR(INDEX(tk_STEEL,MATCH(44,tk_ASEQ,0))&amp;IF(INDEX(tk_FGA,MATCH(44,tk_ASEQ,0))="",""," "&amp;INDEX(tk_FGA,MATCH(44,tk_ASEQ,0))&amp;"GA"),"")</f>
        <v/>
      </c>
      <c r="M50" s="162">
        <f>IFERROR(IFERROR(VLOOKUP(INDEX(tk_JAMB,MATCH(44,tk_ASEQ,0)),CODES,2,FALSE),""&amp;INDEX(tk_JAMB,MATCH(44,tk_ASEQ,0))),"")</f>
        <v/>
      </c>
      <c r="N50" s="162">
        <f>IFERROR(""&amp;INDEX(tk_CONSTR,MATCH(44,tk_ASEQ,0)),"")</f>
        <v/>
      </c>
      <c r="O50" s="162">
        <f>IFERROR(""&amp;INDEX(tk_ANCHOR,MATCH(44,tk_ASEQ,0)),"")</f>
        <v/>
      </c>
      <c r="P50" s="162">
        <f>IFERROR(""&amp;INDEX(tk_RATING,MATCH(44,tk_ASEQ,0)),"")</f>
        <v/>
      </c>
      <c r="Q50" s="162">
        <f>IFERROR(""&amp;INDEX(tk_LABEL,MATCH(44,tk_ASEQ,0)),"")</f>
        <v/>
      </c>
      <c r="R50" s="162">
        <f>IFERROR(""&amp;INDEX(tk_HWSET,MATCH(44,tk_ASEQ,0)),"")</f>
        <v/>
      </c>
      <c r="S50" s="162">
        <f>IFERROR(IF(""&amp;INDEX(tk_HINGES,MATCH(44,tk_ASEQ,0))="","",INDEX(tk_HINGES,MATCH(44,tk_ASEQ,0))&amp;" · "&amp;INDEX(tk_LSRC,MATCH(44,tk_ASEQ,0))),"")</f>
        <v/>
      </c>
      <c r="T50" s="162">
        <f>IFERROR(""&amp;INDEX(tk_LOCK,MATCH(44,tk_ASEQ,0)),"")</f>
        <v/>
      </c>
      <c r="U50" s="162">
        <f>IFERROR(INDEX(tk_ETYPE,MATCH(44,tk_ASEQ,0)),"")</f>
        <v/>
      </c>
      <c r="V50" s="162">
        <f>IFERROR(""&amp;INDEX(tk_CHECK,MATCH(44,tk_ASEQ,0)),"")</f>
        <v/>
      </c>
      <c r="W50" s="162">
        <f>IFERROR(TRIM(INDEX(tk_DNOTES,MATCH(44,tk_ASEQ,0))&amp;" "&amp;INDEX(tk_FNOTES,MATCH(44,tk_ASEQ,0))),"")</f>
        <v/>
      </c>
    </row>
    <row r="51">
      <c r="A51" s="161">
        <f>IFERROR(""&amp;INDEX(tk_MARK,MATCH(45,tk_ASEQ,0)),"")</f>
        <v/>
      </c>
      <c r="B51" s="162">
        <f>IFERROR(""&amp;INDEX(tk_ROOMF,MATCH(45,tk_ASEQ,0)),"")</f>
        <v/>
      </c>
      <c r="C51" s="162">
        <f>IFERROR(""&amp;INDEX(tk_ROOMT,MATCH(45,tk_ASEQ,0)),"")</f>
        <v/>
      </c>
      <c r="D51" s="162">
        <f>IFERROR(INDEX(tk_QTY,MATCH(45,tk_ASEQ,0)),"")</f>
        <v/>
      </c>
      <c r="E51" s="162">
        <f>IFERROR(""&amp;INDEX(tk_SIZE,MATCH(45,tk_ASEQ,0)),"")</f>
        <v/>
      </c>
      <c r="F51" s="162">
        <f>IFERROR(""&amp;INDEX(tk_PAIR,MATCH(45,tk_ASEQ,0)),"")</f>
        <v/>
      </c>
      <c r="G51" s="162">
        <f>IFERROR(""&amp;INDEX(tk_DMAT,MATCH(45,tk_ASEQ,0)),"")</f>
        <v/>
      </c>
      <c r="H51" s="162">
        <f>IFERROR(""&amp;INDEX(tk_DGA,MATCH(45,tk_ASEQ,0)),"")</f>
        <v/>
      </c>
      <c r="I51" s="162">
        <f>IFERROR(""&amp;INDEX(tk_FACE,MATCH(45,tk_ASEQ,0)),"")</f>
        <v/>
      </c>
      <c r="J51" s="162">
        <f>IFERROR(IF(INDEX(tk_DHAND,MATCH(45,tk_ASEQ,0))="",""&amp;INDEX(tk_HAND,MATCH(45,tk_ASEQ,0)),""&amp;INDEX(tk_DHAND,MATCH(45,tk_ASEQ,0))),"")</f>
        <v/>
      </c>
      <c r="K51" s="162">
        <f>IFERROR(""&amp;INDEX(tk_FDESC,MATCH(45,tk_ASEQ,0)),"")</f>
        <v/>
      </c>
      <c r="L51" s="162">
        <f>IFERROR(INDEX(tk_STEEL,MATCH(45,tk_ASEQ,0))&amp;IF(INDEX(tk_FGA,MATCH(45,tk_ASEQ,0))="",""," "&amp;INDEX(tk_FGA,MATCH(45,tk_ASEQ,0))&amp;"GA"),"")</f>
        <v/>
      </c>
      <c r="M51" s="162">
        <f>IFERROR(IFERROR(VLOOKUP(INDEX(tk_JAMB,MATCH(45,tk_ASEQ,0)),CODES,2,FALSE),""&amp;INDEX(tk_JAMB,MATCH(45,tk_ASEQ,0))),"")</f>
        <v/>
      </c>
      <c r="N51" s="162">
        <f>IFERROR(""&amp;INDEX(tk_CONSTR,MATCH(45,tk_ASEQ,0)),"")</f>
        <v/>
      </c>
      <c r="O51" s="162">
        <f>IFERROR(""&amp;INDEX(tk_ANCHOR,MATCH(45,tk_ASEQ,0)),"")</f>
        <v/>
      </c>
      <c r="P51" s="162">
        <f>IFERROR(""&amp;INDEX(tk_RATING,MATCH(45,tk_ASEQ,0)),"")</f>
        <v/>
      </c>
      <c r="Q51" s="162">
        <f>IFERROR(""&amp;INDEX(tk_LABEL,MATCH(45,tk_ASEQ,0)),"")</f>
        <v/>
      </c>
      <c r="R51" s="162">
        <f>IFERROR(""&amp;INDEX(tk_HWSET,MATCH(45,tk_ASEQ,0)),"")</f>
        <v/>
      </c>
      <c r="S51" s="162">
        <f>IFERROR(IF(""&amp;INDEX(tk_HINGES,MATCH(45,tk_ASEQ,0))="","",INDEX(tk_HINGES,MATCH(45,tk_ASEQ,0))&amp;" · "&amp;INDEX(tk_LSRC,MATCH(45,tk_ASEQ,0))),"")</f>
        <v/>
      </c>
      <c r="T51" s="162">
        <f>IFERROR(""&amp;INDEX(tk_LOCK,MATCH(45,tk_ASEQ,0)),"")</f>
        <v/>
      </c>
      <c r="U51" s="162">
        <f>IFERROR(INDEX(tk_ETYPE,MATCH(45,tk_ASEQ,0)),"")</f>
        <v/>
      </c>
      <c r="V51" s="162">
        <f>IFERROR(""&amp;INDEX(tk_CHECK,MATCH(45,tk_ASEQ,0)),"")</f>
        <v/>
      </c>
      <c r="W51" s="162">
        <f>IFERROR(TRIM(INDEX(tk_DNOTES,MATCH(45,tk_ASEQ,0))&amp;" "&amp;INDEX(tk_FNOTES,MATCH(45,tk_ASEQ,0))),"")</f>
        <v/>
      </c>
    </row>
    <row r="52">
      <c r="A52" s="161">
        <f>IFERROR(""&amp;INDEX(tk_MARK,MATCH(46,tk_ASEQ,0)),"")</f>
        <v/>
      </c>
      <c r="B52" s="162">
        <f>IFERROR(""&amp;INDEX(tk_ROOMF,MATCH(46,tk_ASEQ,0)),"")</f>
        <v/>
      </c>
      <c r="C52" s="162">
        <f>IFERROR(""&amp;INDEX(tk_ROOMT,MATCH(46,tk_ASEQ,0)),"")</f>
        <v/>
      </c>
      <c r="D52" s="162">
        <f>IFERROR(INDEX(tk_QTY,MATCH(46,tk_ASEQ,0)),"")</f>
        <v/>
      </c>
      <c r="E52" s="162">
        <f>IFERROR(""&amp;INDEX(tk_SIZE,MATCH(46,tk_ASEQ,0)),"")</f>
        <v/>
      </c>
      <c r="F52" s="162">
        <f>IFERROR(""&amp;INDEX(tk_PAIR,MATCH(46,tk_ASEQ,0)),"")</f>
        <v/>
      </c>
      <c r="G52" s="162">
        <f>IFERROR(""&amp;INDEX(tk_DMAT,MATCH(46,tk_ASEQ,0)),"")</f>
        <v/>
      </c>
      <c r="H52" s="162">
        <f>IFERROR(""&amp;INDEX(tk_DGA,MATCH(46,tk_ASEQ,0)),"")</f>
        <v/>
      </c>
      <c r="I52" s="162">
        <f>IFERROR(""&amp;INDEX(tk_FACE,MATCH(46,tk_ASEQ,0)),"")</f>
        <v/>
      </c>
      <c r="J52" s="162">
        <f>IFERROR(IF(INDEX(tk_DHAND,MATCH(46,tk_ASEQ,0))="",""&amp;INDEX(tk_HAND,MATCH(46,tk_ASEQ,0)),""&amp;INDEX(tk_DHAND,MATCH(46,tk_ASEQ,0))),"")</f>
        <v/>
      </c>
      <c r="K52" s="162">
        <f>IFERROR(""&amp;INDEX(tk_FDESC,MATCH(46,tk_ASEQ,0)),"")</f>
        <v/>
      </c>
      <c r="L52" s="162">
        <f>IFERROR(INDEX(tk_STEEL,MATCH(46,tk_ASEQ,0))&amp;IF(INDEX(tk_FGA,MATCH(46,tk_ASEQ,0))="",""," "&amp;INDEX(tk_FGA,MATCH(46,tk_ASEQ,0))&amp;"GA"),"")</f>
        <v/>
      </c>
      <c r="M52" s="162">
        <f>IFERROR(IFERROR(VLOOKUP(INDEX(tk_JAMB,MATCH(46,tk_ASEQ,0)),CODES,2,FALSE),""&amp;INDEX(tk_JAMB,MATCH(46,tk_ASEQ,0))),"")</f>
        <v/>
      </c>
      <c r="N52" s="162">
        <f>IFERROR(""&amp;INDEX(tk_CONSTR,MATCH(46,tk_ASEQ,0)),"")</f>
        <v/>
      </c>
      <c r="O52" s="162">
        <f>IFERROR(""&amp;INDEX(tk_ANCHOR,MATCH(46,tk_ASEQ,0)),"")</f>
        <v/>
      </c>
      <c r="P52" s="162">
        <f>IFERROR(""&amp;INDEX(tk_RATING,MATCH(46,tk_ASEQ,0)),"")</f>
        <v/>
      </c>
      <c r="Q52" s="162">
        <f>IFERROR(""&amp;INDEX(tk_LABEL,MATCH(46,tk_ASEQ,0)),"")</f>
        <v/>
      </c>
      <c r="R52" s="162">
        <f>IFERROR(""&amp;INDEX(tk_HWSET,MATCH(46,tk_ASEQ,0)),"")</f>
        <v/>
      </c>
      <c r="S52" s="162">
        <f>IFERROR(IF(""&amp;INDEX(tk_HINGES,MATCH(46,tk_ASEQ,0))="","",INDEX(tk_HINGES,MATCH(46,tk_ASEQ,0))&amp;" · "&amp;INDEX(tk_LSRC,MATCH(46,tk_ASEQ,0))),"")</f>
        <v/>
      </c>
      <c r="T52" s="162">
        <f>IFERROR(""&amp;INDEX(tk_LOCK,MATCH(46,tk_ASEQ,0)),"")</f>
        <v/>
      </c>
      <c r="U52" s="162">
        <f>IFERROR(INDEX(tk_ETYPE,MATCH(46,tk_ASEQ,0)),"")</f>
        <v/>
      </c>
      <c r="V52" s="162">
        <f>IFERROR(""&amp;INDEX(tk_CHECK,MATCH(46,tk_ASEQ,0)),"")</f>
        <v/>
      </c>
      <c r="W52" s="162">
        <f>IFERROR(TRIM(INDEX(tk_DNOTES,MATCH(46,tk_ASEQ,0))&amp;" "&amp;INDEX(tk_FNOTES,MATCH(46,tk_ASEQ,0))),"")</f>
        <v/>
      </c>
    </row>
    <row r="53">
      <c r="A53" s="161">
        <f>IFERROR(""&amp;INDEX(tk_MARK,MATCH(47,tk_ASEQ,0)),"")</f>
        <v/>
      </c>
      <c r="B53" s="162">
        <f>IFERROR(""&amp;INDEX(tk_ROOMF,MATCH(47,tk_ASEQ,0)),"")</f>
        <v/>
      </c>
      <c r="C53" s="162">
        <f>IFERROR(""&amp;INDEX(tk_ROOMT,MATCH(47,tk_ASEQ,0)),"")</f>
        <v/>
      </c>
      <c r="D53" s="162">
        <f>IFERROR(INDEX(tk_QTY,MATCH(47,tk_ASEQ,0)),"")</f>
        <v/>
      </c>
      <c r="E53" s="162">
        <f>IFERROR(""&amp;INDEX(tk_SIZE,MATCH(47,tk_ASEQ,0)),"")</f>
        <v/>
      </c>
      <c r="F53" s="162">
        <f>IFERROR(""&amp;INDEX(tk_PAIR,MATCH(47,tk_ASEQ,0)),"")</f>
        <v/>
      </c>
      <c r="G53" s="162">
        <f>IFERROR(""&amp;INDEX(tk_DMAT,MATCH(47,tk_ASEQ,0)),"")</f>
        <v/>
      </c>
      <c r="H53" s="162">
        <f>IFERROR(""&amp;INDEX(tk_DGA,MATCH(47,tk_ASEQ,0)),"")</f>
        <v/>
      </c>
      <c r="I53" s="162">
        <f>IFERROR(""&amp;INDEX(tk_FACE,MATCH(47,tk_ASEQ,0)),"")</f>
        <v/>
      </c>
      <c r="J53" s="162">
        <f>IFERROR(IF(INDEX(tk_DHAND,MATCH(47,tk_ASEQ,0))="",""&amp;INDEX(tk_HAND,MATCH(47,tk_ASEQ,0)),""&amp;INDEX(tk_DHAND,MATCH(47,tk_ASEQ,0))),"")</f>
        <v/>
      </c>
      <c r="K53" s="162">
        <f>IFERROR(""&amp;INDEX(tk_FDESC,MATCH(47,tk_ASEQ,0)),"")</f>
        <v/>
      </c>
      <c r="L53" s="162">
        <f>IFERROR(INDEX(tk_STEEL,MATCH(47,tk_ASEQ,0))&amp;IF(INDEX(tk_FGA,MATCH(47,tk_ASEQ,0))="",""," "&amp;INDEX(tk_FGA,MATCH(47,tk_ASEQ,0))&amp;"GA"),"")</f>
        <v/>
      </c>
      <c r="M53" s="162">
        <f>IFERROR(IFERROR(VLOOKUP(INDEX(tk_JAMB,MATCH(47,tk_ASEQ,0)),CODES,2,FALSE),""&amp;INDEX(tk_JAMB,MATCH(47,tk_ASEQ,0))),"")</f>
        <v/>
      </c>
      <c r="N53" s="162">
        <f>IFERROR(""&amp;INDEX(tk_CONSTR,MATCH(47,tk_ASEQ,0)),"")</f>
        <v/>
      </c>
      <c r="O53" s="162">
        <f>IFERROR(""&amp;INDEX(tk_ANCHOR,MATCH(47,tk_ASEQ,0)),"")</f>
        <v/>
      </c>
      <c r="P53" s="162">
        <f>IFERROR(""&amp;INDEX(tk_RATING,MATCH(47,tk_ASEQ,0)),"")</f>
        <v/>
      </c>
      <c r="Q53" s="162">
        <f>IFERROR(""&amp;INDEX(tk_LABEL,MATCH(47,tk_ASEQ,0)),"")</f>
        <v/>
      </c>
      <c r="R53" s="162">
        <f>IFERROR(""&amp;INDEX(tk_HWSET,MATCH(47,tk_ASEQ,0)),"")</f>
        <v/>
      </c>
      <c r="S53" s="162">
        <f>IFERROR(IF(""&amp;INDEX(tk_HINGES,MATCH(47,tk_ASEQ,0))="","",INDEX(tk_HINGES,MATCH(47,tk_ASEQ,0))&amp;" · "&amp;INDEX(tk_LSRC,MATCH(47,tk_ASEQ,0))),"")</f>
        <v/>
      </c>
      <c r="T53" s="162">
        <f>IFERROR(""&amp;INDEX(tk_LOCK,MATCH(47,tk_ASEQ,0)),"")</f>
        <v/>
      </c>
      <c r="U53" s="162">
        <f>IFERROR(INDEX(tk_ETYPE,MATCH(47,tk_ASEQ,0)),"")</f>
        <v/>
      </c>
      <c r="V53" s="162">
        <f>IFERROR(""&amp;INDEX(tk_CHECK,MATCH(47,tk_ASEQ,0)),"")</f>
        <v/>
      </c>
      <c r="W53" s="162">
        <f>IFERROR(TRIM(INDEX(tk_DNOTES,MATCH(47,tk_ASEQ,0))&amp;" "&amp;INDEX(tk_FNOTES,MATCH(47,tk_ASEQ,0))),"")</f>
        <v/>
      </c>
    </row>
    <row r="54">
      <c r="A54" s="161">
        <f>IFERROR(""&amp;INDEX(tk_MARK,MATCH(48,tk_ASEQ,0)),"")</f>
        <v/>
      </c>
      <c r="B54" s="162">
        <f>IFERROR(""&amp;INDEX(tk_ROOMF,MATCH(48,tk_ASEQ,0)),"")</f>
        <v/>
      </c>
      <c r="C54" s="162">
        <f>IFERROR(""&amp;INDEX(tk_ROOMT,MATCH(48,tk_ASEQ,0)),"")</f>
        <v/>
      </c>
      <c r="D54" s="162">
        <f>IFERROR(INDEX(tk_QTY,MATCH(48,tk_ASEQ,0)),"")</f>
        <v/>
      </c>
      <c r="E54" s="162">
        <f>IFERROR(""&amp;INDEX(tk_SIZE,MATCH(48,tk_ASEQ,0)),"")</f>
        <v/>
      </c>
      <c r="F54" s="162">
        <f>IFERROR(""&amp;INDEX(tk_PAIR,MATCH(48,tk_ASEQ,0)),"")</f>
        <v/>
      </c>
      <c r="G54" s="162">
        <f>IFERROR(""&amp;INDEX(tk_DMAT,MATCH(48,tk_ASEQ,0)),"")</f>
        <v/>
      </c>
      <c r="H54" s="162">
        <f>IFERROR(""&amp;INDEX(tk_DGA,MATCH(48,tk_ASEQ,0)),"")</f>
        <v/>
      </c>
      <c r="I54" s="162">
        <f>IFERROR(""&amp;INDEX(tk_FACE,MATCH(48,tk_ASEQ,0)),"")</f>
        <v/>
      </c>
      <c r="J54" s="162">
        <f>IFERROR(IF(INDEX(tk_DHAND,MATCH(48,tk_ASEQ,0))="",""&amp;INDEX(tk_HAND,MATCH(48,tk_ASEQ,0)),""&amp;INDEX(tk_DHAND,MATCH(48,tk_ASEQ,0))),"")</f>
        <v/>
      </c>
      <c r="K54" s="162">
        <f>IFERROR(""&amp;INDEX(tk_FDESC,MATCH(48,tk_ASEQ,0)),"")</f>
        <v/>
      </c>
      <c r="L54" s="162">
        <f>IFERROR(INDEX(tk_STEEL,MATCH(48,tk_ASEQ,0))&amp;IF(INDEX(tk_FGA,MATCH(48,tk_ASEQ,0))="",""," "&amp;INDEX(tk_FGA,MATCH(48,tk_ASEQ,0))&amp;"GA"),"")</f>
        <v/>
      </c>
      <c r="M54" s="162">
        <f>IFERROR(IFERROR(VLOOKUP(INDEX(tk_JAMB,MATCH(48,tk_ASEQ,0)),CODES,2,FALSE),""&amp;INDEX(tk_JAMB,MATCH(48,tk_ASEQ,0))),"")</f>
        <v/>
      </c>
      <c r="N54" s="162">
        <f>IFERROR(""&amp;INDEX(tk_CONSTR,MATCH(48,tk_ASEQ,0)),"")</f>
        <v/>
      </c>
      <c r="O54" s="162">
        <f>IFERROR(""&amp;INDEX(tk_ANCHOR,MATCH(48,tk_ASEQ,0)),"")</f>
        <v/>
      </c>
      <c r="P54" s="162">
        <f>IFERROR(""&amp;INDEX(tk_RATING,MATCH(48,tk_ASEQ,0)),"")</f>
        <v/>
      </c>
      <c r="Q54" s="162">
        <f>IFERROR(""&amp;INDEX(tk_LABEL,MATCH(48,tk_ASEQ,0)),"")</f>
        <v/>
      </c>
      <c r="R54" s="162">
        <f>IFERROR(""&amp;INDEX(tk_HWSET,MATCH(48,tk_ASEQ,0)),"")</f>
        <v/>
      </c>
      <c r="S54" s="162">
        <f>IFERROR(IF(""&amp;INDEX(tk_HINGES,MATCH(48,tk_ASEQ,0))="","",INDEX(tk_HINGES,MATCH(48,tk_ASEQ,0))&amp;" · "&amp;INDEX(tk_LSRC,MATCH(48,tk_ASEQ,0))),"")</f>
        <v/>
      </c>
      <c r="T54" s="162">
        <f>IFERROR(""&amp;INDEX(tk_LOCK,MATCH(48,tk_ASEQ,0)),"")</f>
        <v/>
      </c>
      <c r="U54" s="162">
        <f>IFERROR(INDEX(tk_ETYPE,MATCH(48,tk_ASEQ,0)),"")</f>
        <v/>
      </c>
      <c r="V54" s="162">
        <f>IFERROR(""&amp;INDEX(tk_CHECK,MATCH(48,tk_ASEQ,0)),"")</f>
        <v/>
      </c>
      <c r="W54" s="162">
        <f>IFERROR(TRIM(INDEX(tk_DNOTES,MATCH(48,tk_ASEQ,0))&amp;" "&amp;INDEX(tk_FNOTES,MATCH(48,tk_ASEQ,0))),"")</f>
        <v/>
      </c>
    </row>
    <row r="55">
      <c r="A55" s="161">
        <f>IFERROR(""&amp;INDEX(tk_MARK,MATCH(49,tk_ASEQ,0)),"")</f>
        <v/>
      </c>
      <c r="B55" s="162">
        <f>IFERROR(""&amp;INDEX(tk_ROOMF,MATCH(49,tk_ASEQ,0)),"")</f>
        <v/>
      </c>
      <c r="C55" s="162">
        <f>IFERROR(""&amp;INDEX(tk_ROOMT,MATCH(49,tk_ASEQ,0)),"")</f>
        <v/>
      </c>
      <c r="D55" s="162">
        <f>IFERROR(INDEX(tk_QTY,MATCH(49,tk_ASEQ,0)),"")</f>
        <v/>
      </c>
      <c r="E55" s="162">
        <f>IFERROR(""&amp;INDEX(tk_SIZE,MATCH(49,tk_ASEQ,0)),"")</f>
        <v/>
      </c>
      <c r="F55" s="162">
        <f>IFERROR(""&amp;INDEX(tk_PAIR,MATCH(49,tk_ASEQ,0)),"")</f>
        <v/>
      </c>
      <c r="G55" s="162">
        <f>IFERROR(""&amp;INDEX(tk_DMAT,MATCH(49,tk_ASEQ,0)),"")</f>
        <v/>
      </c>
      <c r="H55" s="162">
        <f>IFERROR(""&amp;INDEX(tk_DGA,MATCH(49,tk_ASEQ,0)),"")</f>
        <v/>
      </c>
      <c r="I55" s="162">
        <f>IFERROR(""&amp;INDEX(tk_FACE,MATCH(49,tk_ASEQ,0)),"")</f>
        <v/>
      </c>
      <c r="J55" s="162">
        <f>IFERROR(IF(INDEX(tk_DHAND,MATCH(49,tk_ASEQ,0))="",""&amp;INDEX(tk_HAND,MATCH(49,tk_ASEQ,0)),""&amp;INDEX(tk_DHAND,MATCH(49,tk_ASEQ,0))),"")</f>
        <v/>
      </c>
      <c r="K55" s="162">
        <f>IFERROR(""&amp;INDEX(tk_FDESC,MATCH(49,tk_ASEQ,0)),"")</f>
        <v/>
      </c>
      <c r="L55" s="162">
        <f>IFERROR(INDEX(tk_STEEL,MATCH(49,tk_ASEQ,0))&amp;IF(INDEX(tk_FGA,MATCH(49,tk_ASEQ,0))="",""," "&amp;INDEX(tk_FGA,MATCH(49,tk_ASEQ,0))&amp;"GA"),"")</f>
        <v/>
      </c>
      <c r="M55" s="162">
        <f>IFERROR(IFERROR(VLOOKUP(INDEX(tk_JAMB,MATCH(49,tk_ASEQ,0)),CODES,2,FALSE),""&amp;INDEX(tk_JAMB,MATCH(49,tk_ASEQ,0))),"")</f>
        <v/>
      </c>
      <c r="N55" s="162">
        <f>IFERROR(""&amp;INDEX(tk_CONSTR,MATCH(49,tk_ASEQ,0)),"")</f>
        <v/>
      </c>
      <c r="O55" s="162">
        <f>IFERROR(""&amp;INDEX(tk_ANCHOR,MATCH(49,tk_ASEQ,0)),"")</f>
        <v/>
      </c>
      <c r="P55" s="162">
        <f>IFERROR(""&amp;INDEX(tk_RATING,MATCH(49,tk_ASEQ,0)),"")</f>
        <v/>
      </c>
      <c r="Q55" s="162">
        <f>IFERROR(""&amp;INDEX(tk_LABEL,MATCH(49,tk_ASEQ,0)),"")</f>
        <v/>
      </c>
      <c r="R55" s="162">
        <f>IFERROR(""&amp;INDEX(tk_HWSET,MATCH(49,tk_ASEQ,0)),"")</f>
        <v/>
      </c>
      <c r="S55" s="162">
        <f>IFERROR(IF(""&amp;INDEX(tk_HINGES,MATCH(49,tk_ASEQ,0))="","",INDEX(tk_HINGES,MATCH(49,tk_ASEQ,0))&amp;" · "&amp;INDEX(tk_LSRC,MATCH(49,tk_ASEQ,0))),"")</f>
        <v/>
      </c>
      <c r="T55" s="162">
        <f>IFERROR(""&amp;INDEX(tk_LOCK,MATCH(49,tk_ASEQ,0)),"")</f>
        <v/>
      </c>
      <c r="U55" s="162">
        <f>IFERROR(INDEX(tk_ETYPE,MATCH(49,tk_ASEQ,0)),"")</f>
        <v/>
      </c>
      <c r="V55" s="162">
        <f>IFERROR(""&amp;INDEX(tk_CHECK,MATCH(49,tk_ASEQ,0)),"")</f>
        <v/>
      </c>
      <c r="W55" s="162">
        <f>IFERROR(TRIM(INDEX(tk_DNOTES,MATCH(49,tk_ASEQ,0))&amp;" "&amp;INDEX(tk_FNOTES,MATCH(49,tk_ASEQ,0))),"")</f>
        <v/>
      </c>
    </row>
    <row r="56">
      <c r="A56" s="161">
        <f>IFERROR(""&amp;INDEX(tk_MARK,MATCH(50,tk_ASEQ,0)),"")</f>
        <v/>
      </c>
      <c r="B56" s="162">
        <f>IFERROR(""&amp;INDEX(tk_ROOMF,MATCH(50,tk_ASEQ,0)),"")</f>
        <v/>
      </c>
      <c r="C56" s="162">
        <f>IFERROR(""&amp;INDEX(tk_ROOMT,MATCH(50,tk_ASEQ,0)),"")</f>
        <v/>
      </c>
      <c r="D56" s="162">
        <f>IFERROR(INDEX(tk_QTY,MATCH(50,tk_ASEQ,0)),"")</f>
        <v/>
      </c>
      <c r="E56" s="162">
        <f>IFERROR(""&amp;INDEX(tk_SIZE,MATCH(50,tk_ASEQ,0)),"")</f>
        <v/>
      </c>
      <c r="F56" s="162">
        <f>IFERROR(""&amp;INDEX(tk_PAIR,MATCH(50,tk_ASEQ,0)),"")</f>
        <v/>
      </c>
      <c r="G56" s="162">
        <f>IFERROR(""&amp;INDEX(tk_DMAT,MATCH(50,tk_ASEQ,0)),"")</f>
        <v/>
      </c>
      <c r="H56" s="162">
        <f>IFERROR(""&amp;INDEX(tk_DGA,MATCH(50,tk_ASEQ,0)),"")</f>
        <v/>
      </c>
      <c r="I56" s="162">
        <f>IFERROR(""&amp;INDEX(tk_FACE,MATCH(50,tk_ASEQ,0)),"")</f>
        <v/>
      </c>
      <c r="J56" s="162">
        <f>IFERROR(IF(INDEX(tk_DHAND,MATCH(50,tk_ASEQ,0))="",""&amp;INDEX(tk_HAND,MATCH(50,tk_ASEQ,0)),""&amp;INDEX(tk_DHAND,MATCH(50,tk_ASEQ,0))),"")</f>
        <v/>
      </c>
      <c r="K56" s="162">
        <f>IFERROR(""&amp;INDEX(tk_FDESC,MATCH(50,tk_ASEQ,0)),"")</f>
        <v/>
      </c>
      <c r="L56" s="162">
        <f>IFERROR(INDEX(tk_STEEL,MATCH(50,tk_ASEQ,0))&amp;IF(INDEX(tk_FGA,MATCH(50,tk_ASEQ,0))="",""," "&amp;INDEX(tk_FGA,MATCH(50,tk_ASEQ,0))&amp;"GA"),"")</f>
        <v/>
      </c>
      <c r="M56" s="162">
        <f>IFERROR(IFERROR(VLOOKUP(INDEX(tk_JAMB,MATCH(50,tk_ASEQ,0)),CODES,2,FALSE),""&amp;INDEX(tk_JAMB,MATCH(50,tk_ASEQ,0))),"")</f>
        <v/>
      </c>
      <c r="N56" s="162">
        <f>IFERROR(""&amp;INDEX(tk_CONSTR,MATCH(50,tk_ASEQ,0)),"")</f>
        <v/>
      </c>
      <c r="O56" s="162">
        <f>IFERROR(""&amp;INDEX(tk_ANCHOR,MATCH(50,tk_ASEQ,0)),"")</f>
        <v/>
      </c>
      <c r="P56" s="162">
        <f>IFERROR(""&amp;INDEX(tk_RATING,MATCH(50,tk_ASEQ,0)),"")</f>
        <v/>
      </c>
      <c r="Q56" s="162">
        <f>IFERROR(""&amp;INDEX(tk_LABEL,MATCH(50,tk_ASEQ,0)),"")</f>
        <v/>
      </c>
      <c r="R56" s="162">
        <f>IFERROR(""&amp;INDEX(tk_HWSET,MATCH(50,tk_ASEQ,0)),"")</f>
        <v/>
      </c>
      <c r="S56" s="162">
        <f>IFERROR(IF(""&amp;INDEX(tk_HINGES,MATCH(50,tk_ASEQ,0))="","",INDEX(tk_HINGES,MATCH(50,tk_ASEQ,0))&amp;" · "&amp;INDEX(tk_LSRC,MATCH(50,tk_ASEQ,0))),"")</f>
        <v/>
      </c>
      <c r="T56" s="162">
        <f>IFERROR(""&amp;INDEX(tk_LOCK,MATCH(50,tk_ASEQ,0)),"")</f>
        <v/>
      </c>
      <c r="U56" s="162">
        <f>IFERROR(INDEX(tk_ETYPE,MATCH(50,tk_ASEQ,0)),"")</f>
        <v/>
      </c>
      <c r="V56" s="162">
        <f>IFERROR(""&amp;INDEX(tk_CHECK,MATCH(50,tk_ASEQ,0)),"")</f>
        <v/>
      </c>
      <c r="W56" s="162">
        <f>IFERROR(TRIM(INDEX(tk_DNOTES,MATCH(50,tk_ASEQ,0))&amp;" "&amp;INDEX(tk_FNOTES,MATCH(50,tk_ASEQ,0))),"")</f>
        <v/>
      </c>
    </row>
    <row r="57">
      <c r="A57" s="161">
        <f>IFERROR(""&amp;INDEX(tk_MARK,MATCH(51,tk_ASEQ,0)),"")</f>
        <v/>
      </c>
      <c r="B57" s="162">
        <f>IFERROR(""&amp;INDEX(tk_ROOMF,MATCH(51,tk_ASEQ,0)),"")</f>
        <v/>
      </c>
      <c r="C57" s="162">
        <f>IFERROR(""&amp;INDEX(tk_ROOMT,MATCH(51,tk_ASEQ,0)),"")</f>
        <v/>
      </c>
      <c r="D57" s="162">
        <f>IFERROR(INDEX(tk_QTY,MATCH(51,tk_ASEQ,0)),"")</f>
        <v/>
      </c>
      <c r="E57" s="162">
        <f>IFERROR(""&amp;INDEX(tk_SIZE,MATCH(51,tk_ASEQ,0)),"")</f>
        <v/>
      </c>
      <c r="F57" s="162">
        <f>IFERROR(""&amp;INDEX(tk_PAIR,MATCH(51,tk_ASEQ,0)),"")</f>
        <v/>
      </c>
      <c r="G57" s="162">
        <f>IFERROR(""&amp;INDEX(tk_DMAT,MATCH(51,tk_ASEQ,0)),"")</f>
        <v/>
      </c>
      <c r="H57" s="162">
        <f>IFERROR(""&amp;INDEX(tk_DGA,MATCH(51,tk_ASEQ,0)),"")</f>
        <v/>
      </c>
      <c r="I57" s="162">
        <f>IFERROR(""&amp;INDEX(tk_FACE,MATCH(51,tk_ASEQ,0)),"")</f>
        <v/>
      </c>
      <c r="J57" s="162">
        <f>IFERROR(IF(INDEX(tk_DHAND,MATCH(51,tk_ASEQ,0))="",""&amp;INDEX(tk_HAND,MATCH(51,tk_ASEQ,0)),""&amp;INDEX(tk_DHAND,MATCH(51,tk_ASEQ,0))),"")</f>
        <v/>
      </c>
      <c r="K57" s="162">
        <f>IFERROR(""&amp;INDEX(tk_FDESC,MATCH(51,tk_ASEQ,0)),"")</f>
        <v/>
      </c>
      <c r="L57" s="162">
        <f>IFERROR(INDEX(tk_STEEL,MATCH(51,tk_ASEQ,0))&amp;IF(INDEX(tk_FGA,MATCH(51,tk_ASEQ,0))="",""," "&amp;INDEX(tk_FGA,MATCH(51,tk_ASEQ,0))&amp;"GA"),"")</f>
        <v/>
      </c>
      <c r="M57" s="162">
        <f>IFERROR(IFERROR(VLOOKUP(INDEX(tk_JAMB,MATCH(51,tk_ASEQ,0)),CODES,2,FALSE),""&amp;INDEX(tk_JAMB,MATCH(51,tk_ASEQ,0))),"")</f>
        <v/>
      </c>
      <c r="N57" s="162">
        <f>IFERROR(""&amp;INDEX(tk_CONSTR,MATCH(51,tk_ASEQ,0)),"")</f>
        <v/>
      </c>
      <c r="O57" s="162">
        <f>IFERROR(""&amp;INDEX(tk_ANCHOR,MATCH(51,tk_ASEQ,0)),"")</f>
        <v/>
      </c>
      <c r="P57" s="162">
        <f>IFERROR(""&amp;INDEX(tk_RATING,MATCH(51,tk_ASEQ,0)),"")</f>
        <v/>
      </c>
      <c r="Q57" s="162">
        <f>IFERROR(""&amp;INDEX(tk_LABEL,MATCH(51,tk_ASEQ,0)),"")</f>
        <v/>
      </c>
      <c r="R57" s="162">
        <f>IFERROR(""&amp;INDEX(tk_HWSET,MATCH(51,tk_ASEQ,0)),"")</f>
        <v/>
      </c>
      <c r="S57" s="162">
        <f>IFERROR(IF(""&amp;INDEX(tk_HINGES,MATCH(51,tk_ASEQ,0))="","",INDEX(tk_HINGES,MATCH(51,tk_ASEQ,0))&amp;" · "&amp;INDEX(tk_LSRC,MATCH(51,tk_ASEQ,0))),"")</f>
        <v/>
      </c>
      <c r="T57" s="162">
        <f>IFERROR(""&amp;INDEX(tk_LOCK,MATCH(51,tk_ASEQ,0)),"")</f>
        <v/>
      </c>
      <c r="U57" s="162">
        <f>IFERROR(INDEX(tk_ETYPE,MATCH(51,tk_ASEQ,0)),"")</f>
        <v/>
      </c>
      <c r="V57" s="162">
        <f>IFERROR(""&amp;INDEX(tk_CHECK,MATCH(51,tk_ASEQ,0)),"")</f>
        <v/>
      </c>
      <c r="W57" s="162">
        <f>IFERROR(TRIM(INDEX(tk_DNOTES,MATCH(51,tk_ASEQ,0))&amp;" "&amp;INDEX(tk_FNOTES,MATCH(51,tk_ASEQ,0))),"")</f>
        <v/>
      </c>
    </row>
    <row r="58">
      <c r="A58" s="161">
        <f>IFERROR(""&amp;INDEX(tk_MARK,MATCH(52,tk_ASEQ,0)),"")</f>
        <v/>
      </c>
      <c r="B58" s="162">
        <f>IFERROR(""&amp;INDEX(tk_ROOMF,MATCH(52,tk_ASEQ,0)),"")</f>
        <v/>
      </c>
      <c r="C58" s="162">
        <f>IFERROR(""&amp;INDEX(tk_ROOMT,MATCH(52,tk_ASEQ,0)),"")</f>
        <v/>
      </c>
      <c r="D58" s="162">
        <f>IFERROR(INDEX(tk_QTY,MATCH(52,tk_ASEQ,0)),"")</f>
        <v/>
      </c>
      <c r="E58" s="162">
        <f>IFERROR(""&amp;INDEX(tk_SIZE,MATCH(52,tk_ASEQ,0)),"")</f>
        <v/>
      </c>
      <c r="F58" s="162">
        <f>IFERROR(""&amp;INDEX(tk_PAIR,MATCH(52,tk_ASEQ,0)),"")</f>
        <v/>
      </c>
      <c r="G58" s="162">
        <f>IFERROR(""&amp;INDEX(tk_DMAT,MATCH(52,tk_ASEQ,0)),"")</f>
        <v/>
      </c>
      <c r="H58" s="162">
        <f>IFERROR(""&amp;INDEX(tk_DGA,MATCH(52,tk_ASEQ,0)),"")</f>
        <v/>
      </c>
      <c r="I58" s="162">
        <f>IFERROR(""&amp;INDEX(tk_FACE,MATCH(52,tk_ASEQ,0)),"")</f>
        <v/>
      </c>
      <c r="J58" s="162">
        <f>IFERROR(IF(INDEX(tk_DHAND,MATCH(52,tk_ASEQ,0))="",""&amp;INDEX(tk_HAND,MATCH(52,tk_ASEQ,0)),""&amp;INDEX(tk_DHAND,MATCH(52,tk_ASEQ,0))),"")</f>
        <v/>
      </c>
      <c r="K58" s="162">
        <f>IFERROR(""&amp;INDEX(tk_FDESC,MATCH(52,tk_ASEQ,0)),"")</f>
        <v/>
      </c>
      <c r="L58" s="162">
        <f>IFERROR(INDEX(tk_STEEL,MATCH(52,tk_ASEQ,0))&amp;IF(INDEX(tk_FGA,MATCH(52,tk_ASEQ,0))="",""," "&amp;INDEX(tk_FGA,MATCH(52,tk_ASEQ,0))&amp;"GA"),"")</f>
        <v/>
      </c>
      <c r="M58" s="162">
        <f>IFERROR(IFERROR(VLOOKUP(INDEX(tk_JAMB,MATCH(52,tk_ASEQ,0)),CODES,2,FALSE),""&amp;INDEX(tk_JAMB,MATCH(52,tk_ASEQ,0))),"")</f>
        <v/>
      </c>
      <c r="N58" s="162">
        <f>IFERROR(""&amp;INDEX(tk_CONSTR,MATCH(52,tk_ASEQ,0)),"")</f>
        <v/>
      </c>
      <c r="O58" s="162">
        <f>IFERROR(""&amp;INDEX(tk_ANCHOR,MATCH(52,tk_ASEQ,0)),"")</f>
        <v/>
      </c>
      <c r="P58" s="162">
        <f>IFERROR(""&amp;INDEX(tk_RATING,MATCH(52,tk_ASEQ,0)),"")</f>
        <v/>
      </c>
      <c r="Q58" s="162">
        <f>IFERROR(""&amp;INDEX(tk_LABEL,MATCH(52,tk_ASEQ,0)),"")</f>
        <v/>
      </c>
      <c r="R58" s="162">
        <f>IFERROR(""&amp;INDEX(tk_HWSET,MATCH(52,tk_ASEQ,0)),"")</f>
        <v/>
      </c>
      <c r="S58" s="162">
        <f>IFERROR(IF(""&amp;INDEX(tk_HINGES,MATCH(52,tk_ASEQ,0))="","",INDEX(tk_HINGES,MATCH(52,tk_ASEQ,0))&amp;" · "&amp;INDEX(tk_LSRC,MATCH(52,tk_ASEQ,0))),"")</f>
        <v/>
      </c>
      <c r="T58" s="162">
        <f>IFERROR(""&amp;INDEX(tk_LOCK,MATCH(52,tk_ASEQ,0)),"")</f>
        <v/>
      </c>
      <c r="U58" s="162">
        <f>IFERROR(INDEX(tk_ETYPE,MATCH(52,tk_ASEQ,0)),"")</f>
        <v/>
      </c>
      <c r="V58" s="162">
        <f>IFERROR(""&amp;INDEX(tk_CHECK,MATCH(52,tk_ASEQ,0)),"")</f>
        <v/>
      </c>
      <c r="W58" s="162">
        <f>IFERROR(TRIM(INDEX(tk_DNOTES,MATCH(52,tk_ASEQ,0))&amp;" "&amp;INDEX(tk_FNOTES,MATCH(52,tk_ASEQ,0))),"")</f>
        <v/>
      </c>
    </row>
    <row r="59">
      <c r="A59" s="161">
        <f>IFERROR(""&amp;INDEX(tk_MARK,MATCH(53,tk_ASEQ,0)),"")</f>
        <v/>
      </c>
      <c r="B59" s="162">
        <f>IFERROR(""&amp;INDEX(tk_ROOMF,MATCH(53,tk_ASEQ,0)),"")</f>
        <v/>
      </c>
      <c r="C59" s="162">
        <f>IFERROR(""&amp;INDEX(tk_ROOMT,MATCH(53,tk_ASEQ,0)),"")</f>
        <v/>
      </c>
      <c r="D59" s="162">
        <f>IFERROR(INDEX(tk_QTY,MATCH(53,tk_ASEQ,0)),"")</f>
        <v/>
      </c>
      <c r="E59" s="162">
        <f>IFERROR(""&amp;INDEX(tk_SIZE,MATCH(53,tk_ASEQ,0)),"")</f>
        <v/>
      </c>
      <c r="F59" s="162">
        <f>IFERROR(""&amp;INDEX(tk_PAIR,MATCH(53,tk_ASEQ,0)),"")</f>
        <v/>
      </c>
      <c r="G59" s="162">
        <f>IFERROR(""&amp;INDEX(tk_DMAT,MATCH(53,tk_ASEQ,0)),"")</f>
        <v/>
      </c>
      <c r="H59" s="162">
        <f>IFERROR(""&amp;INDEX(tk_DGA,MATCH(53,tk_ASEQ,0)),"")</f>
        <v/>
      </c>
      <c r="I59" s="162">
        <f>IFERROR(""&amp;INDEX(tk_FACE,MATCH(53,tk_ASEQ,0)),"")</f>
        <v/>
      </c>
      <c r="J59" s="162">
        <f>IFERROR(IF(INDEX(tk_DHAND,MATCH(53,tk_ASEQ,0))="",""&amp;INDEX(tk_HAND,MATCH(53,tk_ASEQ,0)),""&amp;INDEX(tk_DHAND,MATCH(53,tk_ASEQ,0))),"")</f>
        <v/>
      </c>
      <c r="K59" s="162">
        <f>IFERROR(""&amp;INDEX(tk_FDESC,MATCH(53,tk_ASEQ,0)),"")</f>
        <v/>
      </c>
      <c r="L59" s="162">
        <f>IFERROR(INDEX(tk_STEEL,MATCH(53,tk_ASEQ,0))&amp;IF(INDEX(tk_FGA,MATCH(53,tk_ASEQ,0))="",""," "&amp;INDEX(tk_FGA,MATCH(53,tk_ASEQ,0))&amp;"GA"),"")</f>
        <v/>
      </c>
      <c r="M59" s="162">
        <f>IFERROR(IFERROR(VLOOKUP(INDEX(tk_JAMB,MATCH(53,tk_ASEQ,0)),CODES,2,FALSE),""&amp;INDEX(tk_JAMB,MATCH(53,tk_ASEQ,0))),"")</f>
        <v/>
      </c>
      <c r="N59" s="162">
        <f>IFERROR(""&amp;INDEX(tk_CONSTR,MATCH(53,tk_ASEQ,0)),"")</f>
        <v/>
      </c>
      <c r="O59" s="162">
        <f>IFERROR(""&amp;INDEX(tk_ANCHOR,MATCH(53,tk_ASEQ,0)),"")</f>
        <v/>
      </c>
      <c r="P59" s="162">
        <f>IFERROR(""&amp;INDEX(tk_RATING,MATCH(53,tk_ASEQ,0)),"")</f>
        <v/>
      </c>
      <c r="Q59" s="162">
        <f>IFERROR(""&amp;INDEX(tk_LABEL,MATCH(53,tk_ASEQ,0)),"")</f>
        <v/>
      </c>
      <c r="R59" s="162">
        <f>IFERROR(""&amp;INDEX(tk_HWSET,MATCH(53,tk_ASEQ,0)),"")</f>
        <v/>
      </c>
      <c r="S59" s="162">
        <f>IFERROR(IF(""&amp;INDEX(tk_HINGES,MATCH(53,tk_ASEQ,0))="","",INDEX(tk_HINGES,MATCH(53,tk_ASEQ,0))&amp;" · "&amp;INDEX(tk_LSRC,MATCH(53,tk_ASEQ,0))),"")</f>
        <v/>
      </c>
      <c r="T59" s="162">
        <f>IFERROR(""&amp;INDEX(tk_LOCK,MATCH(53,tk_ASEQ,0)),"")</f>
        <v/>
      </c>
      <c r="U59" s="162">
        <f>IFERROR(INDEX(tk_ETYPE,MATCH(53,tk_ASEQ,0)),"")</f>
        <v/>
      </c>
      <c r="V59" s="162">
        <f>IFERROR(""&amp;INDEX(tk_CHECK,MATCH(53,tk_ASEQ,0)),"")</f>
        <v/>
      </c>
      <c r="W59" s="162">
        <f>IFERROR(TRIM(INDEX(tk_DNOTES,MATCH(53,tk_ASEQ,0))&amp;" "&amp;INDEX(tk_FNOTES,MATCH(53,tk_ASEQ,0))),"")</f>
        <v/>
      </c>
    </row>
    <row r="60">
      <c r="A60" s="161">
        <f>IFERROR(""&amp;INDEX(tk_MARK,MATCH(54,tk_ASEQ,0)),"")</f>
        <v/>
      </c>
      <c r="B60" s="162">
        <f>IFERROR(""&amp;INDEX(tk_ROOMF,MATCH(54,tk_ASEQ,0)),"")</f>
        <v/>
      </c>
      <c r="C60" s="162">
        <f>IFERROR(""&amp;INDEX(tk_ROOMT,MATCH(54,tk_ASEQ,0)),"")</f>
        <v/>
      </c>
      <c r="D60" s="162">
        <f>IFERROR(INDEX(tk_QTY,MATCH(54,tk_ASEQ,0)),"")</f>
        <v/>
      </c>
      <c r="E60" s="162">
        <f>IFERROR(""&amp;INDEX(tk_SIZE,MATCH(54,tk_ASEQ,0)),"")</f>
        <v/>
      </c>
      <c r="F60" s="162">
        <f>IFERROR(""&amp;INDEX(tk_PAIR,MATCH(54,tk_ASEQ,0)),"")</f>
        <v/>
      </c>
      <c r="G60" s="162">
        <f>IFERROR(""&amp;INDEX(tk_DMAT,MATCH(54,tk_ASEQ,0)),"")</f>
        <v/>
      </c>
      <c r="H60" s="162">
        <f>IFERROR(""&amp;INDEX(tk_DGA,MATCH(54,tk_ASEQ,0)),"")</f>
        <v/>
      </c>
      <c r="I60" s="162">
        <f>IFERROR(""&amp;INDEX(tk_FACE,MATCH(54,tk_ASEQ,0)),"")</f>
        <v/>
      </c>
      <c r="J60" s="162">
        <f>IFERROR(IF(INDEX(tk_DHAND,MATCH(54,tk_ASEQ,0))="",""&amp;INDEX(tk_HAND,MATCH(54,tk_ASEQ,0)),""&amp;INDEX(tk_DHAND,MATCH(54,tk_ASEQ,0))),"")</f>
        <v/>
      </c>
      <c r="K60" s="162">
        <f>IFERROR(""&amp;INDEX(tk_FDESC,MATCH(54,tk_ASEQ,0)),"")</f>
        <v/>
      </c>
      <c r="L60" s="162">
        <f>IFERROR(INDEX(tk_STEEL,MATCH(54,tk_ASEQ,0))&amp;IF(INDEX(tk_FGA,MATCH(54,tk_ASEQ,0))="",""," "&amp;INDEX(tk_FGA,MATCH(54,tk_ASEQ,0))&amp;"GA"),"")</f>
        <v/>
      </c>
      <c r="M60" s="162">
        <f>IFERROR(IFERROR(VLOOKUP(INDEX(tk_JAMB,MATCH(54,tk_ASEQ,0)),CODES,2,FALSE),""&amp;INDEX(tk_JAMB,MATCH(54,tk_ASEQ,0))),"")</f>
        <v/>
      </c>
      <c r="N60" s="162">
        <f>IFERROR(""&amp;INDEX(tk_CONSTR,MATCH(54,tk_ASEQ,0)),"")</f>
        <v/>
      </c>
      <c r="O60" s="162">
        <f>IFERROR(""&amp;INDEX(tk_ANCHOR,MATCH(54,tk_ASEQ,0)),"")</f>
        <v/>
      </c>
      <c r="P60" s="162">
        <f>IFERROR(""&amp;INDEX(tk_RATING,MATCH(54,tk_ASEQ,0)),"")</f>
        <v/>
      </c>
      <c r="Q60" s="162">
        <f>IFERROR(""&amp;INDEX(tk_LABEL,MATCH(54,tk_ASEQ,0)),"")</f>
        <v/>
      </c>
      <c r="R60" s="162">
        <f>IFERROR(""&amp;INDEX(tk_HWSET,MATCH(54,tk_ASEQ,0)),"")</f>
        <v/>
      </c>
      <c r="S60" s="162">
        <f>IFERROR(IF(""&amp;INDEX(tk_HINGES,MATCH(54,tk_ASEQ,0))="","",INDEX(tk_HINGES,MATCH(54,tk_ASEQ,0))&amp;" · "&amp;INDEX(tk_LSRC,MATCH(54,tk_ASEQ,0))),"")</f>
        <v/>
      </c>
      <c r="T60" s="162">
        <f>IFERROR(""&amp;INDEX(tk_LOCK,MATCH(54,tk_ASEQ,0)),"")</f>
        <v/>
      </c>
      <c r="U60" s="162">
        <f>IFERROR(INDEX(tk_ETYPE,MATCH(54,tk_ASEQ,0)),"")</f>
        <v/>
      </c>
      <c r="V60" s="162">
        <f>IFERROR(""&amp;INDEX(tk_CHECK,MATCH(54,tk_ASEQ,0)),"")</f>
        <v/>
      </c>
      <c r="W60" s="162">
        <f>IFERROR(TRIM(INDEX(tk_DNOTES,MATCH(54,tk_ASEQ,0))&amp;" "&amp;INDEX(tk_FNOTES,MATCH(54,tk_ASEQ,0))),"")</f>
        <v/>
      </c>
    </row>
    <row r="61">
      <c r="A61" s="161">
        <f>IFERROR(""&amp;INDEX(tk_MARK,MATCH(55,tk_ASEQ,0)),"")</f>
        <v/>
      </c>
      <c r="B61" s="162">
        <f>IFERROR(""&amp;INDEX(tk_ROOMF,MATCH(55,tk_ASEQ,0)),"")</f>
        <v/>
      </c>
      <c r="C61" s="162">
        <f>IFERROR(""&amp;INDEX(tk_ROOMT,MATCH(55,tk_ASEQ,0)),"")</f>
        <v/>
      </c>
      <c r="D61" s="162">
        <f>IFERROR(INDEX(tk_QTY,MATCH(55,tk_ASEQ,0)),"")</f>
        <v/>
      </c>
      <c r="E61" s="162">
        <f>IFERROR(""&amp;INDEX(tk_SIZE,MATCH(55,tk_ASEQ,0)),"")</f>
        <v/>
      </c>
      <c r="F61" s="162">
        <f>IFERROR(""&amp;INDEX(tk_PAIR,MATCH(55,tk_ASEQ,0)),"")</f>
        <v/>
      </c>
      <c r="G61" s="162">
        <f>IFERROR(""&amp;INDEX(tk_DMAT,MATCH(55,tk_ASEQ,0)),"")</f>
        <v/>
      </c>
      <c r="H61" s="162">
        <f>IFERROR(""&amp;INDEX(tk_DGA,MATCH(55,tk_ASEQ,0)),"")</f>
        <v/>
      </c>
      <c r="I61" s="162">
        <f>IFERROR(""&amp;INDEX(tk_FACE,MATCH(55,tk_ASEQ,0)),"")</f>
        <v/>
      </c>
      <c r="J61" s="162">
        <f>IFERROR(IF(INDEX(tk_DHAND,MATCH(55,tk_ASEQ,0))="",""&amp;INDEX(tk_HAND,MATCH(55,tk_ASEQ,0)),""&amp;INDEX(tk_DHAND,MATCH(55,tk_ASEQ,0))),"")</f>
        <v/>
      </c>
      <c r="K61" s="162">
        <f>IFERROR(""&amp;INDEX(tk_FDESC,MATCH(55,tk_ASEQ,0)),"")</f>
        <v/>
      </c>
      <c r="L61" s="162">
        <f>IFERROR(INDEX(tk_STEEL,MATCH(55,tk_ASEQ,0))&amp;IF(INDEX(tk_FGA,MATCH(55,tk_ASEQ,0))="",""," "&amp;INDEX(tk_FGA,MATCH(55,tk_ASEQ,0))&amp;"GA"),"")</f>
        <v/>
      </c>
      <c r="M61" s="162">
        <f>IFERROR(IFERROR(VLOOKUP(INDEX(tk_JAMB,MATCH(55,tk_ASEQ,0)),CODES,2,FALSE),""&amp;INDEX(tk_JAMB,MATCH(55,tk_ASEQ,0))),"")</f>
        <v/>
      </c>
      <c r="N61" s="162">
        <f>IFERROR(""&amp;INDEX(tk_CONSTR,MATCH(55,tk_ASEQ,0)),"")</f>
        <v/>
      </c>
      <c r="O61" s="162">
        <f>IFERROR(""&amp;INDEX(tk_ANCHOR,MATCH(55,tk_ASEQ,0)),"")</f>
        <v/>
      </c>
      <c r="P61" s="162">
        <f>IFERROR(""&amp;INDEX(tk_RATING,MATCH(55,tk_ASEQ,0)),"")</f>
        <v/>
      </c>
      <c r="Q61" s="162">
        <f>IFERROR(""&amp;INDEX(tk_LABEL,MATCH(55,tk_ASEQ,0)),"")</f>
        <v/>
      </c>
      <c r="R61" s="162">
        <f>IFERROR(""&amp;INDEX(tk_HWSET,MATCH(55,tk_ASEQ,0)),"")</f>
        <v/>
      </c>
      <c r="S61" s="162">
        <f>IFERROR(IF(""&amp;INDEX(tk_HINGES,MATCH(55,tk_ASEQ,0))="","",INDEX(tk_HINGES,MATCH(55,tk_ASEQ,0))&amp;" · "&amp;INDEX(tk_LSRC,MATCH(55,tk_ASEQ,0))),"")</f>
        <v/>
      </c>
      <c r="T61" s="162">
        <f>IFERROR(""&amp;INDEX(tk_LOCK,MATCH(55,tk_ASEQ,0)),"")</f>
        <v/>
      </c>
      <c r="U61" s="162">
        <f>IFERROR(INDEX(tk_ETYPE,MATCH(55,tk_ASEQ,0)),"")</f>
        <v/>
      </c>
      <c r="V61" s="162">
        <f>IFERROR(""&amp;INDEX(tk_CHECK,MATCH(55,tk_ASEQ,0)),"")</f>
        <v/>
      </c>
      <c r="W61" s="162">
        <f>IFERROR(TRIM(INDEX(tk_DNOTES,MATCH(55,tk_ASEQ,0))&amp;" "&amp;INDEX(tk_FNOTES,MATCH(55,tk_ASEQ,0))),"")</f>
        <v/>
      </c>
    </row>
    <row r="62">
      <c r="A62" s="161">
        <f>IFERROR(""&amp;INDEX(tk_MARK,MATCH(56,tk_ASEQ,0)),"")</f>
        <v/>
      </c>
      <c r="B62" s="162">
        <f>IFERROR(""&amp;INDEX(tk_ROOMF,MATCH(56,tk_ASEQ,0)),"")</f>
        <v/>
      </c>
      <c r="C62" s="162">
        <f>IFERROR(""&amp;INDEX(tk_ROOMT,MATCH(56,tk_ASEQ,0)),"")</f>
        <v/>
      </c>
      <c r="D62" s="162">
        <f>IFERROR(INDEX(tk_QTY,MATCH(56,tk_ASEQ,0)),"")</f>
        <v/>
      </c>
      <c r="E62" s="162">
        <f>IFERROR(""&amp;INDEX(tk_SIZE,MATCH(56,tk_ASEQ,0)),"")</f>
        <v/>
      </c>
      <c r="F62" s="162">
        <f>IFERROR(""&amp;INDEX(tk_PAIR,MATCH(56,tk_ASEQ,0)),"")</f>
        <v/>
      </c>
      <c r="G62" s="162">
        <f>IFERROR(""&amp;INDEX(tk_DMAT,MATCH(56,tk_ASEQ,0)),"")</f>
        <v/>
      </c>
      <c r="H62" s="162">
        <f>IFERROR(""&amp;INDEX(tk_DGA,MATCH(56,tk_ASEQ,0)),"")</f>
        <v/>
      </c>
      <c r="I62" s="162">
        <f>IFERROR(""&amp;INDEX(tk_FACE,MATCH(56,tk_ASEQ,0)),"")</f>
        <v/>
      </c>
      <c r="J62" s="162">
        <f>IFERROR(IF(INDEX(tk_DHAND,MATCH(56,tk_ASEQ,0))="",""&amp;INDEX(tk_HAND,MATCH(56,tk_ASEQ,0)),""&amp;INDEX(tk_DHAND,MATCH(56,tk_ASEQ,0))),"")</f>
        <v/>
      </c>
      <c r="K62" s="162">
        <f>IFERROR(""&amp;INDEX(tk_FDESC,MATCH(56,tk_ASEQ,0)),"")</f>
        <v/>
      </c>
      <c r="L62" s="162">
        <f>IFERROR(INDEX(tk_STEEL,MATCH(56,tk_ASEQ,0))&amp;IF(INDEX(tk_FGA,MATCH(56,tk_ASEQ,0))="",""," "&amp;INDEX(tk_FGA,MATCH(56,tk_ASEQ,0))&amp;"GA"),"")</f>
        <v/>
      </c>
      <c r="M62" s="162">
        <f>IFERROR(IFERROR(VLOOKUP(INDEX(tk_JAMB,MATCH(56,tk_ASEQ,0)),CODES,2,FALSE),""&amp;INDEX(tk_JAMB,MATCH(56,tk_ASEQ,0))),"")</f>
        <v/>
      </c>
      <c r="N62" s="162">
        <f>IFERROR(""&amp;INDEX(tk_CONSTR,MATCH(56,tk_ASEQ,0)),"")</f>
        <v/>
      </c>
      <c r="O62" s="162">
        <f>IFERROR(""&amp;INDEX(tk_ANCHOR,MATCH(56,tk_ASEQ,0)),"")</f>
        <v/>
      </c>
      <c r="P62" s="162">
        <f>IFERROR(""&amp;INDEX(tk_RATING,MATCH(56,tk_ASEQ,0)),"")</f>
        <v/>
      </c>
      <c r="Q62" s="162">
        <f>IFERROR(""&amp;INDEX(tk_LABEL,MATCH(56,tk_ASEQ,0)),"")</f>
        <v/>
      </c>
      <c r="R62" s="162">
        <f>IFERROR(""&amp;INDEX(tk_HWSET,MATCH(56,tk_ASEQ,0)),"")</f>
        <v/>
      </c>
      <c r="S62" s="162">
        <f>IFERROR(IF(""&amp;INDEX(tk_HINGES,MATCH(56,tk_ASEQ,0))="","",INDEX(tk_HINGES,MATCH(56,tk_ASEQ,0))&amp;" · "&amp;INDEX(tk_LSRC,MATCH(56,tk_ASEQ,0))),"")</f>
        <v/>
      </c>
      <c r="T62" s="162">
        <f>IFERROR(""&amp;INDEX(tk_LOCK,MATCH(56,tk_ASEQ,0)),"")</f>
        <v/>
      </c>
      <c r="U62" s="162">
        <f>IFERROR(INDEX(tk_ETYPE,MATCH(56,tk_ASEQ,0)),"")</f>
        <v/>
      </c>
      <c r="V62" s="162">
        <f>IFERROR(""&amp;INDEX(tk_CHECK,MATCH(56,tk_ASEQ,0)),"")</f>
        <v/>
      </c>
      <c r="W62" s="162">
        <f>IFERROR(TRIM(INDEX(tk_DNOTES,MATCH(56,tk_ASEQ,0))&amp;" "&amp;INDEX(tk_FNOTES,MATCH(56,tk_ASEQ,0))),"")</f>
        <v/>
      </c>
    </row>
    <row r="63">
      <c r="A63" s="161">
        <f>IFERROR(""&amp;INDEX(tk_MARK,MATCH(57,tk_ASEQ,0)),"")</f>
        <v/>
      </c>
      <c r="B63" s="162">
        <f>IFERROR(""&amp;INDEX(tk_ROOMF,MATCH(57,tk_ASEQ,0)),"")</f>
        <v/>
      </c>
      <c r="C63" s="162">
        <f>IFERROR(""&amp;INDEX(tk_ROOMT,MATCH(57,tk_ASEQ,0)),"")</f>
        <v/>
      </c>
      <c r="D63" s="162">
        <f>IFERROR(INDEX(tk_QTY,MATCH(57,tk_ASEQ,0)),"")</f>
        <v/>
      </c>
      <c r="E63" s="162">
        <f>IFERROR(""&amp;INDEX(tk_SIZE,MATCH(57,tk_ASEQ,0)),"")</f>
        <v/>
      </c>
      <c r="F63" s="162">
        <f>IFERROR(""&amp;INDEX(tk_PAIR,MATCH(57,tk_ASEQ,0)),"")</f>
        <v/>
      </c>
      <c r="G63" s="162">
        <f>IFERROR(""&amp;INDEX(tk_DMAT,MATCH(57,tk_ASEQ,0)),"")</f>
        <v/>
      </c>
      <c r="H63" s="162">
        <f>IFERROR(""&amp;INDEX(tk_DGA,MATCH(57,tk_ASEQ,0)),"")</f>
        <v/>
      </c>
      <c r="I63" s="162">
        <f>IFERROR(""&amp;INDEX(tk_FACE,MATCH(57,tk_ASEQ,0)),"")</f>
        <v/>
      </c>
      <c r="J63" s="162">
        <f>IFERROR(IF(INDEX(tk_DHAND,MATCH(57,tk_ASEQ,0))="",""&amp;INDEX(tk_HAND,MATCH(57,tk_ASEQ,0)),""&amp;INDEX(tk_DHAND,MATCH(57,tk_ASEQ,0))),"")</f>
        <v/>
      </c>
      <c r="K63" s="162">
        <f>IFERROR(""&amp;INDEX(tk_FDESC,MATCH(57,tk_ASEQ,0)),"")</f>
        <v/>
      </c>
      <c r="L63" s="162">
        <f>IFERROR(INDEX(tk_STEEL,MATCH(57,tk_ASEQ,0))&amp;IF(INDEX(tk_FGA,MATCH(57,tk_ASEQ,0))="",""," "&amp;INDEX(tk_FGA,MATCH(57,tk_ASEQ,0))&amp;"GA"),"")</f>
        <v/>
      </c>
      <c r="M63" s="162">
        <f>IFERROR(IFERROR(VLOOKUP(INDEX(tk_JAMB,MATCH(57,tk_ASEQ,0)),CODES,2,FALSE),""&amp;INDEX(tk_JAMB,MATCH(57,tk_ASEQ,0))),"")</f>
        <v/>
      </c>
      <c r="N63" s="162">
        <f>IFERROR(""&amp;INDEX(tk_CONSTR,MATCH(57,tk_ASEQ,0)),"")</f>
        <v/>
      </c>
      <c r="O63" s="162">
        <f>IFERROR(""&amp;INDEX(tk_ANCHOR,MATCH(57,tk_ASEQ,0)),"")</f>
        <v/>
      </c>
      <c r="P63" s="162">
        <f>IFERROR(""&amp;INDEX(tk_RATING,MATCH(57,tk_ASEQ,0)),"")</f>
        <v/>
      </c>
      <c r="Q63" s="162">
        <f>IFERROR(""&amp;INDEX(tk_LABEL,MATCH(57,tk_ASEQ,0)),"")</f>
        <v/>
      </c>
      <c r="R63" s="162">
        <f>IFERROR(""&amp;INDEX(tk_HWSET,MATCH(57,tk_ASEQ,0)),"")</f>
        <v/>
      </c>
      <c r="S63" s="162">
        <f>IFERROR(IF(""&amp;INDEX(tk_HINGES,MATCH(57,tk_ASEQ,0))="","",INDEX(tk_HINGES,MATCH(57,tk_ASEQ,0))&amp;" · "&amp;INDEX(tk_LSRC,MATCH(57,tk_ASEQ,0))),"")</f>
        <v/>
      </c>
      <c r="T63" s="162">
        <f>IFERROR(""&amp;INDEX(tk_LOCK,MATCH(57,tk_ASEQ,0)),"")</f>
        <v/>
      </c>
      <c r="U63" s="162">
        <f>IFERROR(INDEX(tk_ETYPE,MATCH(57,tk_ASEQ,0)),"")</f>
        <v/>
      </c>
      <c r="V63" s="162">
        <f>IFERROR(""&amp;INDEX(tk_CHECK,MATCH(57,tk_ASEQ,0)),"")</f>
        <v/>
      </c>
      <c r="W63" s="162">
        <f>IFERROR(TRIM(INDEX(tk_DNOTES,MATCH(57,tk_ASEQ,0))&amp;" "&amp;INDEX(tk_FNOTES,MATCH(57,tk_ASEQ,0))),"")</f>
        <v/>
      </c>
    </row>
    <row r="64">
      <c r="A64" s="161">
        <f>IFERROR(""&amp;INDEX(tk_MARK,MATCH(58,tk_ASEQ,0)),"")</f>
        <v/>
      </c>
      <c r="B64" s="162">
        <f>IFERROR(""&amp;INDEX(tk_ROOMF,MATCH(58,tk_ASEQ,0)),"")</f>
        <v/>
      </c>
      <c r="C64" s="162">
        <f>IFERROR(""&amp;INDEX(tk_ROOMT,MATCH(58,tk_ASEQ,0)),"")</f>
        <v/>
      </c>
      <c r="D64" s="162">
        <f>IFERROR(INDEX(tk_QTY,MATCH(58,tk_ASEQ,0)),"")</f>
        <v/>
      </c>
      <c r="E64" s="162">
        <f>IFERROR(""&amp;INDEX(tk_SIZE,MATCH(58,tk_ASEQ,0)),"")</f>
        <v/>
      </c>
      <c r="F64" s="162">
        <f>IFERROR(""&amp;INDEX(tk_PAIR,MATCH(58,tk_ASEQ,0)),"")</f>
        <v/>
      </c>
      <c r="G64" s="162">
        <f>IFERROR(""&amp;INDEX(tk_DMAT,MATCH(58,tk_ASEQ,0)),"")</f>
        <v/>
      </c>
      <c r="H64" s="162">
        <f>IFERROR(""&amp;INDEX(tk_DGA,MATCH(58,tk_ASEQ,0)),"")</f>
        <v/>
      </c>
      <c r="I64" s="162">
        <f>IFERROR(""&amp;INDEX(tk_FACE,MATCH(58,tk_ASEQ,0)),"")</f>
        <v/>
      </c>
      <c r="J64" s="162">
        <f>IFERROR(IF(INDEX(tk_DHAND,MATCH(58,tk_ASEQ,0))="",""&amp;INDEX(tk_HAND,MATCH(58,tk_ASEQ,0)),""&amp;INDEX(tk_DHAND,MATCH(58,tk_ASEQ,0))),"")</f>
        <v/>
      </c>
      <c r="K64" s="162">
        <f>IFERROR(""&amp;INDEX(tk_FDESC,MATCH(58,tk_ASEQ,0)),"")</f>
        <v/>
      </c>
      <c r="L64" s="162">
        <f>IFERROR(INDEX(tk_STEEL,MATCH(58,tk_ASEQ,0))&amp;IF(INDEX(tk_FGA,MATCH(58,tk_ASEQ,0))="",""," "&amp;INDEX(tk_FGA,MATCH(58,tk_ASEQ,0))&amp;"GA"),"")</f>
        <v/>
      </c>
      <c r="M64" s="162">
        <f>IFERROR(IFERROR(VLOOKUP(INDEX(tk_JAMB,MATCH(58,tk_ASEQ,0)),CODES,2,FALSE),""&amp;INDEX(tk_JAMB,MATCH(58,tk_ASEQ,0))),"")</f>
        <v/>
      </c>
      <c r="N64" s="162">
        <f>IFERROR(""&amp;INDEX(tk_CONSTR,MATCH(58,tk_ASEQ,0)),"")</f>
        <v/>
      </c>
      <c r="O64" s="162">
        <f>IFERROR(""&amp;INDEX(tk_ANCHOR,MATCH(58,tk_ASEQ,0)),"")</f>
        <v/>
      </c>
      <c r="P64" s="162">
        <f>IFERROR(""&amp;INDEX(tk_RATING,MATCH(58,tk_ASEQ,0)),"")</f>
        <v/>
      </c>
      <c r="Q64" s="162">
        <f>IFERROR(""&amp;INDEX(tk_LABEL,MATCH(58,tk_ASEQ,0)),"")</f>
        <v/>
      </c>
      <c r="R64" s="162">
        <f>IFERROR(""&amp;INDEX(tk_HWSET,MATCH(58,tk_ASEQ,0)),"")</f>
        <v/>
      </c>
      <c r="S64" s="162">
        <f>IFERROR(IF(""&amp;INDEX(tk_HINGES,MATCH(58,tk_ASEQ,0))="","",INDEX(tk_HINGES,MATCH(58,tk_ASEQ,0))&amp;" · "&amp;INDEX(tk_LSRC,MATCH(58,tk_ASEQ,0))),"")</f>
        <v/>
      </c>
      <c r="T64" s="162">
        <f>IFERROR(""&amp;INDEX(tk_LOCK,MATCH(58,tk_ASEQ,0)),"")</f>
        <v/>
      </c>
      <c r="U64" s="162">
        <f>IFERROR(INDEX(tk_ETYPE,MATCH(58,tk_ASEQ,0)),"")</f>
        <v/>
      </c>
      <c r="V64" s="162">
        <f>IFERROR(""&amp;INDEX(tk_CHECK,MATCH(58,tk_ASEQ,0)),"")</f>
        <v/>
      </c>
      <c r="W64" s="162">
        <f>IFERROR(TRIM(INDEX(tk_DNOTES,MATCH(58,tk_ASEQ,0))&amp;" "&amp;INDEX(tk_FNOTES,MATCH(58,tk_ASEQ,0))),"")</f>
        <v/>
      </c>
    </row>
    <row r="65">
      <c r="A65" s="161">
        <f>IFERROR(""&amp;INDEX(tk_MARK,MATCH(59,tk_ASEQ,0)),"")</f>
        <v/>
      </c>
      <c r="B65" s="162">
        <f>IFERROR(""&amp;INDEX(tk_ROOMF,MATCH(59,tk_ASEQ,0)),"")</f>
        <v/>
      </c>
      <c r="C65" s="162">
        <f>IFERROR(""&amp;INDEX(tk_ROOMT,MATCH(59,tk_ASEQ,0)),"")</f>
        <v/>
      </c>
      <c r="D65" s="162">
        <f>IFERROR(INDEX(tk_QTY,MATCH(59,tk_ASEQ,0)),"")</f>
        <v/>
      </c>
      <c r="E65" s="162">
        <f>IFERROR(""&amp;INDEX(tk_SIZE,MATCH(59,tk_ASEQ,0)),"")</f>
        <v/>
      </c>
      <c r="F65" s="162">
        <f>IFERROR(""&amp;INDEX(tk_PAIR,MATCH(59,tk_ASEQ,0)),"")</f>
        <v/>
      </c>
      <c r="G65" s="162">
        <f>IFERROR(""&amp;INDEX(tk_DMAT,MATCH(59,tk_ASEQ,0)),"")</f>
        <v/>
      </c>
      <c r="H65" s="162">
        <f>IFERROR(""&amp;INDEX(tk_DGA,MATCH(59,tk_ASEQ,0)),"")</f>
        <v/>
      </c>
      <c r="I65" s="162">
        <f>IFERROR(""&amp;INDEX(tk_FACE,MATCH(59,tk_ASEQ,0)),"")</f>
        <v/>
      </c>
      <c r="J65" s="162">
        <f>IFERROR(IF(INDEX(tk_DHAND,MATCH(59,tk_ASEQ,0))="",""&amp;INDEX(tk_HAND,MATCH(59,tk_ASEQ,0)),""&amp;INDEX(tk_DHAND,MATCH(59,tk_ASEQ,0))),"")</f>
        <v/>
      </c>
      <c r="K65" s="162">
        <f>IFERROR(""&amp;INDEX(tk_FDESC,MATCH(59,tk_ASEQ,0)),"")</f>
        <v/>
      </c>
      <c r="L65" s="162">
        <f>IFERROR(INDEX(tk_STEEL,MATCH(59,tk_ASEQ,0))&amp;IF(INDEX(tk_FGA,MATCH(59,tk_ASEQ,0))="",""," "&amp;INDEX(tk_FGA,MATCH(59,tk_ASEQ,0))&amp;"GA"),"")</f>
        <v/>
      </c>
      <c r="M65" s="162">
        <f>IFERROR(IFERROR(VLOOKUP(INDEX(tk_JAMB,MATCH(59,tk_ASEQ,0)),CODES,2,FALSE),""&amp;INDEX(tk_JAMB,MATCH(59,tk_ASEQ,0))),"")</f>
        <v/>
      </c>
      <c r="N65" s="162">
        <f>IFERROR(""&amp;INDEX(tk_CONSTR,MATCH(59,tk_ASEQ,0)),"")</f>
        <v/>
      </c>
      <c r="O65" s="162">
        <f>IFERROR(""&amp;INDEX(tk_ANCHOR,MATCH(59,tk_ASEQ,0)),"")</f>
        <v/>
      </c>
      <c r="P65" s="162">
        <f>IFERROR(""&amp;INDEX(tk_RATING,MATCH(59,tk_ASEQ,0)),"")</f>
        <v/>
      </c>
      <c r="Q65" s="162">
        <f>IFERROR(""&amp;INDEX(tk_LABEL,MATCH(59,tk_ASEQ,0)),"")</f>
        <v/>
      </c>
      <c r="R65" s="162">
        <f>IFERROR(""&amp;INDEX(tk_HWSET,MATCH(59,tk_ASEQ,0)),"")</f>
        <v/>
      </c>
      <c r="S65" s="162">
        <f>IFERROR(IF(""&amp;INDEX(tk_HINGES,MATCH(59,tk_ASEQ,0))="","",INDEX(tk_HINGES,MATCH(59,tk_ASEQ,0))&amp;" · "&amp;INDEX(tk_LSRC,MATCH(59,tk_ASEQ,0))),"")</f>
        <v/>
      </c>
      <c r="T65" s="162">
        <f>IFERROR(""&amp;INDEX(tk_LOCK,MATCH(59,tk_ASEQ,0)),"")</f>
        <v/>
      </c>
      <c r="U65" s="162">
        <f>IFERROR(INDEX(tk_ETYPE,MATCH(59,tk_ASEQ,0)),"")</f>
        <v/>
      </c>
      <c r="V65" s="162">
        <f>IFERROR(""&amp;INDEX(tk_CHECK,MATCH(59,tk_ASEQ,0)),"")</f>
        <v/>
      </c>
      <c r="W65" s="162">
        <f>IFERROR(TRIM(INDEX(tk_DNOTES,MATCH(59,tk_ASEQ,0))&amp;" "&amp;INDEX(tk_FNOTES,MATCH(59,tk_ASEQ,0))),"")</f>
        <v/>
      </c>
    </row>
    <row r="66">
      <c r="A66" s="161">
        <f>IFERROR(""&amp;INDEX(tk_MARK,MATCH(60,tk_ASEQ,0)),"")</f>
        <v/>
      </c>
      <c r="B66" s="162">
        <f>IFERROR(""&amp;INDEX(tk_ROOMF,MATCH(60,tk_ASEQ,0)),"")</f>
        <v/>
      </c>
      <c r="C66" s="162">
        <f>IFERROR(""&amp;INDEX(tk_ROOMT,MATCH(60,tk_ASEQ,0)),"")</f>
        <v/>
      </c>
      <c r="D66" s="162">
        <f>IFERROR(INDEX(tk_QTY,MATCH(60,tk_ASEQ,0)),"")</f>
        <v/>
      </c>
      <c r="E66" s="162">
        <f>IFERROR(""&amp;INDEX(tk_SIZE,MATCH(60,tk_ASEQ,0)),"")</f>
        <v/>
      </c>
      <c r="F66" s="162">
        <f>IFERROR(""&amp;INDEX(tk_PAIR,MATCH(60,tk_ASEQ,0)),"")</f>
        <v/>
      </c>
      <c r="G66" s="162">
        <f>IFERROR(""&amp;INDEX(tk_DMAT,MATCH(60,tk_ASEQ,0)),"")</f>
        <v/>
      </c>
      <c r="H66" s="162">
        <f>IFERROR(""&amp;INDEX(tk_DGA,MATCH(60,tk_ASEQ,0)),"")</f>
        <v/>
      </c>
      <c r="I66" s="162">
        <f>IFERROR(""&amp;INDEX(tk_FACE,MATCH(60,tk_ASEQ,0)),"")</f>
        <v/>
      </c>
      <c r="J66" s="162">
        <f>IFERROR(IF(INDEX(tk_DHAND,MATCH(60,tk_ASEQ,0))="",""&amp;INDEX(tk_HAND,MATCH(60,tk_ASEQ,0)),""&amp;INDEX(tk_DHAND,MATCH(60,tk_ASEQ,0))),"")</f>
        <v/>
      </c>
      <c r="K66" s="162">
        <f>IFERROR(""&amp;INDEX(tk_FDESC,MATCH(60,tk_ASEQ,0)),"")</f>
        <v/>
      </c>
      <c r="L66" s="162">
        <f>IFERROR(INDEX(tk_STEEL,MATCH(60,tk_ASEQ,0))&amp;IF(INDEX(tk_FGA,MATCH(60,tk_ASEQ,0))="",""," "&amp;INDEX(tk_FGA,MATCH(60,tk_ASEQ,0))&amp;"GA"),"")</f>
        <v/>
      </c>
      <c r="M66" s="162">
        <f>IFERROR(IFERROR(VLOOKUP(INDEX(tk_JAMB,MATCH(60,tk_ASEQ,0)),CODES,2,FALSE),""&amp;INDEX(tk_JAMB,MATCH(60,tk_ASEQ,0))),"")</f>
        <v/>
      </c>
      <c r="N66" s="162">
        <f>IFERROR(""&amp;INDEX(tk_CONSTR,MATCH(60,tk_ASEQ,0)),"")</f>
        <v/>
      </c>
      <c r="O66" s="162">
        <f>IFERROR(""&amp;INDEX(tk_ANCHOR,MATCH(60,tk_ASEQ,0)),"")</f>
        <v/>
      </c>
      <c r="P66" s="162">
        <f>IFERROR(""&amp;INDEX(tk_RATING,MATCH(60,tk_ASEQ,0)),"")</f>
        <v/>
      </c>
      <c r="Q66" s="162">
        <f>IFERROR(""&amp;INDEX(tk_LABEL,MATCH(60,tk_ASEQ,0)),"")</f>
        <v/>
      </c>
      <c r="R66" s="162">
        <f>IFERROR(""&amp;INDEX(tk_HWSET,MATCH(60,tk_ASEQ,0)),"")</f>
        <v/>
      </c>
      <c r="S66" s="162">
        <f>IFERROR(IF(""&amp;INDEX(tk_HINGES,MATCH(60,tk_ASEQ,0))="","",INDEX(tk_HINGES,MATCH(60,tk_ASEQ,0))&amp;" · "&amp;INDEX(tk_LSRC,MATCH(60,tk_ASEQ,0))),"")</f>
        <v/>
      </c>
      <c r="T66" s="162">
        <f>IFERROR(""&amp;INDEX(tk_LOCK,MATCH(60,tk_ASEQ,0)),"")</f>
        <v/>
      </c>
      <c r="U66" s="162">
        <f>IFERROR(INDEX(tk_ETYPE,MATCH(60,tk_ASEQ,0)),"")</f>
        <v/>
      </c>
      <c r="V66" s="162">
        <f>IFERROR(""&amp;INDEX(tk_CHECK,MATCH(60,tk_ASEQ,0)),"")</f>
        <v/>
      </c>
      <c r="W66" s="162">
        <f>IFERROR(TRIM(INDEX(tk_DNOTES,MATCH(60,tk_ASEQ,0))&amp;" "&amp;INDEX(tk_FNOTES,MATCH(60,tk_ASEQ,0))),"")</f>
        <v/>
      </c>
    </row>
    <row r="67">
      <c r="A67" s="161">
        <f>IFERROR(""&amp;INDEX(tk_MARK,MATCH(61,tk_ASEQ,0)),"")</f>
        <v/>
      </c>
      <c r="B67" s="162">
        <f>IFERROR(""&amp;INDEX(tk_ROOMF,MATCH(61,tk_ASEQ,0)),"")</f>
        <v/>
      </c>
      <c r="C67" s="162">
        <f>IFERROR(""&amp;INDEX(tk_ROOMT,MATCH(61,tk_ASEQ,0)),"")</f>
        <v/>
      </c>
      <c r="D67" s="162">
        <f>IFERROR(INDEX(tk_QTY,MATCH(61,tk_ASEQ,0)),"")</f>
        <v/>
      </c>
      <c r="E67" s="162">
        <f>IFERROR(""&amp;INDEX(tk_SIZE,MATCH(61,tk_ASEQ,0)),"")</f>
        <v/>
      </c>
      <c r="F67" s="162">
        <f>IFERROR(""&amp;INDEX(tk_PAIR,MATCH(61,tk_ASEQ,0)),"")</f>
        <v/>
      </c>
      <c r="G67" s="162">
        <f>IFERROR(""&amp;INDEX(tk_DMAT,MATCH(61,tk_ASEQ,0)),"")</f>
        <v/>
      </c>
      <c r="H67" s="162">
        <f>IFERROR(""&amp;INDEX(tk_DGA,MATCH(61,tk_ASEQ,0)),"")</f>
        <v/>
      </c>
      <c r="I67" s="162">
        <f>IFERROR(""&amp;INDEX(tk_FACE,MATCH(61,tk_ASEQ,0)),"")</f>
        <v/>
      </c>
      <c r="J67" s="162">
        <f>IFERROR(IF(INDEX(tk_DHAND,MATCH(61,tk_ASEQ,0))="",""&amp;INDEX(tk_HAND,MATCH(61,tk_ASEQ,0)),""&amp;INDEX(tk_DHAND,MATCH(61,tk_ASEQ,0))),"")</f>
        <v/>
      </c>
      <c r="K67" s="162">
        <f>IFERROR(""&amp;INDEX(tk_FDESC,MATCH(61,tk_ASEQ,0)),"")</f>
        <v/>
      </c>
      <c r="L67" s="162">
        <f>IFERROR(INDEX(tk_STEEL,MATCH(61,tk_ASEQ,0))&amp;IF(INDEX(tk_FGA,MATCH(61,tk_ASEQ,0))="",""," "&amp;INDEX(tk_FGA,MATCH(61,tk_ASEQ,0))&amp;"GA"),"")</f>
        <v/>
      </c>
      <c r="M67" s="162">
        <f>IFERROR(IFERROR(VLOOKUP(INDEX(tk_JAMB,MATCH(61,tk_ASEQ,0)),CODES,2,FALSE),""&amp;INDEX(tk_JAMB,MATCH(61,tk_ASEQ,0))),"")</f>
        <v/>
      </c>
      <c r="N67" s="162">
        <f>IFERROR(""&amp;INDEX(tk_CONSTR,MATCH(61,tk_ASEQ,0)),"")</f>
        <v/>
      </c>
      <c r="O67" s="162">
        <f>IFERROR(""&amp;INDEX(tk_ANCHOR,MATCH(61,tk_ASEQ,0)),"")</f>
        <v/>
      </c>
      <c r="P67" s="162">
        <f>IFERROR(""&amp;INDEX(tk_RATING,MATCH(61,tk_ASEQ,0)),"")</f>
        <v/>
      </c>
      <c r="Q67" s="162">
        <f>IFERROR(""&amp;INDEX(tk_LABEL,MATCH(61,tk_ASEQ,0)),"")</f>
        <v/>
      </c>
      <c r="R67" s="162">
        <f>IFERROR(""&amp;INDEX(tk_HWSET,MATCH(61,tk_ASEQ,0)),"")</f>
        <v/>
      </c>
      <c r="S67" s="162">
        <f>IFERROR(IF(""&amp;INDEX(tk_HINGES,MATCH(61,tk_ASEQ,0))="","",INDEX(tk_HINGES,MATCH(61,tk_ASEQ,0))&amp;" · "&amp;INDEX(tk_LSRC,MATCH(61,tk_ASEQ,0))),"")</f>
        <v/>
      </c>
      <c r="T67" s="162">
        <f>IFERROR(""&amp;INDEX(tk_LOCK,MATCH(61,tk_ASEQ,0)),"")</f>
        <v/>
      </c>
      <c r="U67" s="162">
        <f>IFERROR(INDEX(tk_ETYPE,MATCH(61,tk_ASEQ,0)),"")</f>
        <v/>
      </c>
      <c r="V67" s="162">
        <f>IFERROR(""&amp;INDEX(tk_CHECK,MATCH(61,tk_ASEQ,0)),"")</f>
        <v/>
      </c>
      <c r="W67" s="162">
        <f>IFERROR(TRIM(INDEX(tk_DNOTES,MATCH(61,tk_ASEQ,0))&amp;" "&amp;INDEX(tk_FNOTES,MATCH(61,tk_ASEQ,0))),"")</f>
        <v/>
      </c>
    </row>
    <row r="68">
      <c r="A68" s="161">
        <f>IFERROR(""&amp;INDEX(tk_MARK,MATCH(62,tk_ASEQ,0)),"")</f>
        <v/>
      </c>
      <c r="B68" s="162">
        <f>IFERROR(""&amp;INDEX(tk_ROOMF,MATCH(62,tk_ASEQ,0)),"")</f>
        <v/>
      </c>
      <c r="C68" s="162">
        <f>IFERROR(""&amp;INDEX(tk_ROOMT,MATCH(62,tk_ASEQ,0)),"")</f>
        <v/>
      </c>
      <c r="D68" s="162">
        <f>IFERROR(INDEX(tk_QTY,MATCH(62,tk_ASEQ,0)),"")</f>
        <v/>
      </c>
      <c r="E68" s="162">
        <f>IFERROR(""&amp;INDEX(tk_SIZE,MATCH(62,tk_ASEQ,0)),"")</f>
        <v/>
      </c>
      <c r="F68" s="162">
        <f>IFERROR(""&amp;INDEX(tk_PAIR,MATCH(62,tk_ASEQ,0)),"")</f>
        <v/>
      </c>
      <c r="G68" s="162">
        <f>IFERROR(""&amp;INDEX(tk_DMAT,MATCH(62,tk_ASEQ,0)),"")</f>
        <v/>
      </c>
      <c r="H68" s="162">
        <f>IFERROR(""&amp;INDEX(tk_DGA,MATCH(62,tk_ASEQ,0)),"")</f>
        <v/>
      </c>
      <c r="I68" s="162">
        <f>IFERROR(""&amp;INDEX(tk_FACE,MATCH(62,tk_ASEQ,0)),"")</f>
        <v/>
      </c>
      <c r="J68" s="162">
        <f>IFERROR(IF(INDEX(tk_DHAND,MATCH(62,tk_ASEQ,0))="",""&amp;INDEX(tk_HAND,MATCH(62,tk_ASEQ,0)),""&amp;INDEX(tk_DHAND,MATCH(62,tk_ASEQ,0))),"")</f>
        <v/>
      </c>
      <c r="K68" s="162">
        <f>IFERROR(""&amp;INDEX(tk_FDESC,MATCH(62,tk_ASEQ,0)),"")</f>
        <v/>
      </c>
      <c r="L68" s="162">
        <f>IFERROR(INDEX(tk_STEEL,MATCH(62,tk_ASEQ,0))&amp;IF(INDEX(tk_FGA,MATCH(62,tk_ASEQ,0))="",""," "&amp;INDEX(tk_FGA,MATCH(62,tk_ASEQ,0))&amp;"GA"),"")</f>
        <v/>
      </c>
      <c r="M68" s="162">
        <f>IFERROR(IFERROR(VLOOKUP(INDEX(tk_JAMB,MATCH(62,tk_ASEQ,0)),CODES,2,FALSE),""&amp;INDEX(tk_JAMB,MATCH(62,tk_ASEQ,0))),"")</f>
        <v/>
      </c>
      <c r="N68" s="162">
        <f>IFERROR(""&amp;INDEX(tk_CONSTR,MATCH(62,tk_ASEQ,0)),"")</f>
        <v/>
      </c>
      <c r="O68" s="162">
        <f>IFERROR(""&amp;INDEX(tk_ANCHOR,MATCH(62,tk_ASEQ,0)),"")</f>
        <v/>
      </c>
      <c r="P68" s="162">
        <f>IFERROR(""&amp;INDEX(tk_RATING,MATCH(62,tk_ASEQ,0)),"")</f>
        <v/>
      </c>
      <c r="Q68" s="162">
        <f>IFERROR(""&amp;INDEX(tk_LABEL,MATCH(62,tk_ASEQ,0)),"")</f>
        <v/>
      </c>
      <c r="R68" s="162">
        <f>IFERROR(""&amp;INDEX(tk_HWSET,MATCH(62,tk_ASEQ,0)),"")</f>
        <v/>
      </c>
      <c r="S68" s="162">
        <f>IFERROR(IF(""&amp;INDEX(tk_HINGES,MATCH(62,tk_ASEQ,0))="","",INDEX(tk_HINGES,MATCH(62,tk_ASEQ,0))&amp;" · "&amp;INDEX(tk_LSRC,MATCH(62,tk_ASEQ,0))),"")</f>
        <v/>
      </c>
      <c r="T68" s="162">
        <f>IFERROR(""&amp;INDEX(tk_LOCK,MATCH(62,tk_ASEQ,0)),"")</f>
        <v/>
      </c>
      <c r="U68" s="162">
        <f>IFERROR(INDEX(tk_ETYPE,MATCH(62,tk_ASEQ,0)),"")</f>
        <v/>
      </c>
      <c r="V68" s="162">
        <f>IFERROR(""&amp;INDEX(tk_CHECK,MATCH(62,tk_ASEQ,0)),"")</f>
        <v/>
      </c>
      <c r="W68" s="162">
        <f>IFERROR(TRIM(INDEX(tk_DNOTES,MATCH(62,tk_ASEQ,0))&amp;" "&amp;INDEX(tk_FNOTES,MATCH(62,tk_ASEQ,0))),"")</f>
        <v/>
      </c>
    </row>
    <row r="69">
      <c r="A69" s="161">
        <f>IFERROR(""&amp;INDEX(tk_MARK,MATCH(63,tk_ASEQ,0)),"")</f>
        <v/>
      </c>
      <c r="B69" s="162">
        <f>IFERROR(""&amp;INDEX(tk_ROOMF,MATCH(63,tk_ASEQ,0)),"")</f>
        <v/>
      </c>
      <c r="C69" s="162">
        <f>IFERROR(""&amp;INDEX(tk_ROOMT,MATCH(63,tk_ASEQ,0)),"")</f>
        <v/>
      </c>
      <c r="D69" s="162">
        <f>IFERROR(INDEX(tk_QTY,MATCH(63,tk_ASEQ,0)),"")</f>
        <v/>
      </c>
      <c r="E69" s="162">
        <f>IFERROR(""&amp;INDEX(tk_SIZE,MATCH(63,tk_ASEQ,0)),"")</f>
        <v/>
      </c>
      <c r="F69" s="162">
        <f>IFERROR(""&amp;INDEX(tk_PAIR,MATCH(63,tk_ASEQ,0)),"")</f>
        <v/>
      </c>
      <c r="G69" s="162">
        <f>IFERROR(""&amp;INDEX(tk_DMAT,MATCH(63,tk_ASEQ,0)),"")</f>
        <v/>
      </c>
      <c r="H69" s="162">
        <f>IFERROR(""&amp;INDEX(tk_DGA,MATCH(63,tk_ASEQ,0)),"")</f>
        <v/>
      </c>
      <c r="I69" s="162">
        <f>IFERROR(""&amp;INDEX(tk_FACE,MATCH(63,tk_ASEQ,0)),"")</f>
        <v/>
      </c>
      <c r="J69" s="162">
        <f>IFERROR(IF(INDEX(tk_DHAND,MATCH(63,tk_ASEQ,0))="",""&amp;INDEX(tk_HAND,MATCH(63,tk_ASEQ,0)),""&amp;INDEX(tk_DHAND,MATCH(63,tk_ASEQ,0))),"")</f>
        <v/>
      </c>
      <c r="K69" s="162">
        <f>IFERROR(""&amp;INDEX(tk_FDESC,MATCH(63,tk_ASEQ,0)),"")</f>
        <v/>
      </c>
      <c r="L69" s="162">
        <f>IFERROR(INDEX(tk_STEEL,MATCH(63,tk_ASEQ,0))&amp;IF(INDEX(tk_FGA,MATCH(63,tk_ASEQ,0))="",""," "&amp;INDEX(tk_FGA,MATCH(63,tk_ASEQ,0))&amp;"GA"),"")</f>
        <v/>
      </c>
      <c r="M69" s="162">
        <f>IFERROR(IFERROR(VLOOKUP(INDEX(tk_JAMB,MATCH(63,tk_ASEQ,0)),CODES,2,FALSE),""&amp;INDEX(tk_JAMB,MATCH(63,tk_ASEQ,0))),"")</f>
        <v/>
      </c>
      <c r="N69" s="162">
        <f>IFERROR(""&amp;INDEX(tk_CONSTR,MATCH(63,tk_ASEQ,0)),"")</f>
        <v/>
      </c>
      <c r="O69" s="162">
        <f>IFERROR(""&amp;INDEX(tk_ANCHOR,MATCH(63,tk_ASEQ,0)),"")</f>
        <v/>
      </c>
      <c r="P69" s="162">
        <f>IFERROR(""&amp;INDEX(tk_RATING,MATCH(63,tk_ASEQ,0)),"")</f>
        <v/>
      </c>
      <c r="Q69" s="162">
        <f>IFERROR(""&amp;INDEX(tk_LABEL,MATCH(63,tk_ASEQ,0)),"")</f>
        <v/>
      </c>
      <c r="R69" s="162">
        <f>IFERROR(""&amp;INDEX(tk_HWSET,MATCH(63,tk_ASEQ,0)),"")</f>
        <v/>
      </c>
      <c r="S69" s="162">
        <f>IFERROR(IF(""&amp;INDEX(tk_HINGES,MATCH(63,tk_ASEQ,0))="","",INDEX(tk_HINGES,MATCH(63,tk_ASEQ,0))&amp;" · "&amp;INDEX(tk_LSRC,MATCH(63,tk_ASEQ,0))),"")</f>
        <v/>
      </c>
      <c r="T69" s="162">
        <f>IFERROR(""&amp;INDEX(tk_LOCK,MATCH(63,tk_ASEQ,0)),"")</f>
        <v/>
      </c>
      <c r="U69" s="162">
        <f>IFERROR(INDEX(tk_ETYPE,MATCH(63,tk_ASEQ,0)),"")</f>
        <v/>
      </c>
      <c r="V69" s="162">
        <f>IFERROR(""&amp;INDEX(tk_CHECK,MATCH(63,tk_ASEQ,0)),"")</f>
        <v/>
      </c>
      <c r="W69" s="162">
        <f>IFERROR(TRIM(INDEX(tk_DNOTES,MATCH(63,tk_ASEQ,0))&amp;" "&amp;INDEX(tk_FNOTES,MATCH(63,tk_ASEQ,0))),"")</f>
        <v/>
      </c>
    </row>
    <row r="70">
      <c r="A70" s="161">
        <f>IFERROR(""&amp;INDEX(tk_MARK,MATCH(64,tk_ASEQ,0)),"")</f>
        <v/>
      </c>
      <c r="B70" s="162">
        <f>IFERROR(""&amp;INDEX(tk_ROOMF,MATCH(64,tk_ASEQ,0)),"")</f>
        <v/>
      </c>
      <c r="C70" s="162">
        <f>IFERROR(""&amp;INDEX(tk_ROOMT,MATCH(64,tk_ASEQ,0)),"")</f>
        <v/>
      </c>
      <c r="D70" s="162">
        <f>IFERROR(INDEX(tk_QTY,MATCH(64,tk_ASEQ,0)),"")</f>
        <v/>
      </c>
      <c r="E70" s="162">
        <f>IFERROR(""&amp;INDEX(tk_SIZE,MATCH(64,tk_ASEQ,0)),"")</f>
        <v/>
      </c>
      <c r="F70" s="162">
        <f>IFERROR(""&amp;INDEX(tk_PAIR,MATCH(64,tk_ASEQ,0)),"")</f>
        <v/>
      </c>
      <c r="G70" s="162">
        <f>IFERROR(""&amp;INDEX(tk_DMAT,MATCH(64,tk_ASEQ,0)),"")</f>
        <v/>
      </c>
      <c r="H70" s="162">
        <f>IFERROR(""&amp;INDEX(tk_DGA,MATCH(64,tk_ASEQ,0)),"")</f>
        <v/>
      </c>
      <c r="I70" s="162">
        <f>IFERROR(""&amp;INDEX(tk_FACE,MATCH(64,tk_ASEQ,0)),"")</f>
        <v/>
      </c>
      <c r="J70" s="162">
        <f>IFERROR(IF(INDEX(tk_DHAND,MATCH(64,tk_ASEQ,0))="",""&amp;INDEX(tk_HAND,MATCH(64,tk_ASEQ,0)),""&amp;INDEX(tk_DHAND,MATCH(64,tk_ASEQ,0))),"")</f>
        <v/>
      </c>
      <c r="K70" s="162">
        <f>IFERROR(""&amp;INDEX(tk_FDESC,MATCH(64,tk_ASEQ,0)),"")</f>
        <v/>
      </c>
      <c r="L70" s="162">
        <f>IFERROR(INDEX(tk_STEEL,MATCH(64,tk_ASEQ,0))&amp;IF(INDEX(tk_FGA,MATCH(64,tk_ASEQ,0))="",""," "&amp;INDEX(tk_FGA,MATCH(64,tk_ASEQ,0))&amp;"GA"),"")</f>
        <v/>
      </c>
      <c r="M70" s="162">
        <f>IFERROR(IFERROR(VLOOKUP(INDEX(tk_JAMB,MATCH(64,tk_ASEQ,0)),CODES,2,FALSE),""&amp;INDEX(tk_JAMB,MATCH(64,tk_ASEQ,0))),"")</f>
        <v/>
      </c>
      <c r="N70" s="162">
        <f>IFERROR(""&amp;INDEX(tk_CONSTR,MATCH(64,tk_ASEQ,0)),"")</f>
        <v/>
      </c>
      <c r="O70" s="162">
        <f>IFERROR(""&amp;INDEX(tk_ANCHOR,MATCH(64,tk_ASEQ,0)),"")</f>
        <v/>
      </c>
      <c r="P70" s="162">
        <f>IFERROR(""&amp;INDEX(tk_RATING,MATCH(64,tk_ASEQ,0)),"")</f>
        <v/>
      </c>
      <c r="Q70" s="162">
        <f>IFERROR(""&amp;INDEX(tk_LABEL,MATCH(64,tk_ASEQ,0)),"")</f>
        <v/>
      </c>
      <c r="R70" s="162">
        <f>IFERROR(""&amp;INDEX(tk_HWSET,MATCH(64,tk_ASEQ,0)),"")</f>
        <v/>
      </c>
      <c r="S70" s="162">
        <f>IFERROR(IF(""&amp;INDEX(tk_HINGES,MATCH(64,tk_ASEQ,0))="","",INDEX(tk_HINGES,MATCH(64,tk_ASEQ,0))&amp;" · "&amp;INDEX(tk_LSRC,MATCH(64,tk_ASEQ,0))),"")</f>
        <v/>
      </c>
      <c r="T70" s="162">
        <f>IFERROR(""&amp;INDEX(tk_LOCK,MATCH(64,tk_ASEQ,0)),"")</f>
        <v/>
      </c>
      <c r="U70" s="162">
        <f>IFERROR(INDEX(tk_ETYPE,MATCH(64,tk_ASEQ,0)),"")</f>
        <v/>
      </c>
      <c r="V70" s="162">
        <f>IFERROR(""&amp;INDEX(tk_CHECK,MATCH(64,tk_ASEQ,0)),"")</f>
        <v/>
      </c>
      <c r="W70" s="162">
        <f>IFERROR(TRIM(INDEX(tk_DNOTES,MATCH(64,tk_ASEQ,0))&amp;" "&amp;INDEX(tk_FNOTES,MATCH(64,tk_ASEQ,0))),"")</f>
        <v/>
      </c>
    </row>
    <row r="71">
      <c r="A71" s="161">
        <f>IFERROR(""&amp;INDEX(tk_MARK,MATCH(65,tk_ASEQ,0)),"")</f>
        <v/>
      </c>
      <c r="B71" s="162">
        <f>IFERROR(""&amp;INDEX(tk_ROOMF,MATCH(65,tk_ASEQ,0)),"")</f>
        <v/>
      </c>
      <c r="C71" s="162">
        <f>IFERROR(""&amp;INDEX(tk_ROOMT,MATCH(65,tk_ASEQ,0)),"")</f>
        <v/>
      </c>
      <c r="D71" s="162">
        <f>IFERROR(INDEX(tk_QTY,MATCH(65,tk_ASEQ,0)),"")</f>
        <v/>
      </c>
      <c r="E71" s="162">
        <f>IFERROR(""&amp;INDEX(tk_SIZE,MATCH(65,tk_ASEQ,0)),"")</f>
        <v/>
      </c>
      <c r="F71" s="162">
        <f>IFERROR(""&amp;INDEX(tk_PAIR,MATCH(65,tk_ASEQ,0)),"")</f>
        <v/>
      </c>
      <c r="G71" s="162">
        <f>IFERROR(""&amp;INDEX(tk_DMAT,MATCH(65,tk_ASEQ,0)),"")</f>
        <v/>
      </c>
      <c r="H71" s="162">
        <f>IFERROR(""&amp;INDEX(tk_DGA,MATCH(65,tk_ASEQ,0)),"")</f>
        <v/>
      </c>
      <c r="I71" s="162">
        <f>IFERROR(""&amp;INDEX(tk_FACE,MATCH(65,tk_ASEQ,0)),"")</f>
        <v/>
      </c>
      <c r="J71" s="162">
        <f>IFERROR(IF(INDEX(tk_DHAND,MATCH(65,tk_ASEQ,0))="",""&amp;INDEX(tk_HAND,MATCH(65,tk_ASEQ,0)),""&amp;INDEX(tk_DHAND,MATCH(65,tk_ASEQ,0))),"")</f>
        <v/>
      </c>
      <c r="K71" s="162">
        <f>IFERROR(""&amp;INDEX(tk_FDESC,MATCH(65,tk_ASEQ,0)),"")</f>
        <v/>
      </c>
      <c r="L71" s="162">
        <f>IFERROR(INDEX(tk_STEEL,MATCH(65,tk_ASEQ,0))&amp;IF(INDEX(tk_FGA,MATCH(65,tk_ASEQ,0))="",""," "&amp;INDEX(tk_FGA,MATCH(65,tk_ASEQ,0))&amp;"GA"),"")</f>
        <v/>
      </c>
      <c r="M71" s="162">
        <f>IFERROR(IFERROR(VLOOKUP(INDEX(tk_JAMB,MATCH(65,tk_ASEQ,0)),CODES,2,FALSE),""&amp;INDEX(tk_JAMB,MATCH(65,tk_ASEQ,0))),"")</f>
        <v/>
      </c>
      <c r="N71" s="162">
        <f>IFERROR(""&amp;INDEX(tk_CONSTR,MATCH(65,tk_ASEQ,0)),"")</f>
        <v/>
      </c>
      <c r="O71" s="162">
        <f>IFERROR(""&amp;INDEX(tk_ANCHOR,MATCH(65,tk_ASEQ,0)),"")</f>
        <v/>
      </c>
      <c r="P71" s="162">
        <f>IFERROR(""&amp;INDEX(tk_RATING,MATCH(65,tk_ASEQ,0)),"")</f>
        <v/>
      </c>
      <c r="Q71" s="162">
        <f>IFERROR(""&amp;INDEX(tk_LABEL,MATCH(65,tk_ASEQ,0)),"")</f>
        <v/>
      </c>
      <c r="R71" s="162">
        <f>IFERROR(""&amp;INDEX(tk_HWSET,MATCH(65,tk_ASEQ,0)),"")</f>
        <v/>
      </c>
      <c r="S71" s="162">
        <f>IFERROR(IF(""&amp;INDEX(tk_HINGES,MATCH(65,tk_ASEQ,0))="","",INDEX(tk_HINGES,MATCH(65,tk_ASEQ,0))&amp;" · "&amp;INDEX(tk_LSRC,MATCH(65,tk_ASEQ,0))),"")</f>
        <v/>
      </c>
      <c r="T71" s="162">
        <f>IFERROR(""&amp;INDEX(tk_LOCK,MATCH(65,tk_ASEQ,0)),"")</f>
        <v/>
      </c>
      <c r="U71" s="162">
        <f>IFERROR(INDEX(tk_ETYPE,MATCH(65,tk_ASEQ,0)),"")</f>
        <v/>
      </c>
      <c r="V71" s="162">
        <f>IFERROR(""&amp;INDEX(tk_CHECK,MATCH(65,tk_ASEQ,0)),"")</f>
        <v/>
      </c>
      <c r="W71" s="162">
        <f>IFERROR(TRIM(INDEX(tk_DNOTES,MATCH(65,tk_ASEQ,0))&amp;" "&amp;INDEX(tk_FNOTES,MATCH(65,tk_ASEQ,0))),"")</f>
        <v/>
      </c>
    </row>
    <row r="72">
      <c r="A72" s="161">
        <f>IFERROR(""&amp;INDEX(tk_MARK,MATCH(66,tk_ASEQ,0)),"")</f>
        <v/>
      </c>
      <c r="B72" s="162">
        <f>IFERROR(""&amp;INDEX(tk_ROOMF,MATCH(66,tk_ASEQ,0)),"")</f>
        <v/>
      </c>
      <c r="C72" s="162">
        <f>IFERROR(""&amp;INDEX(tk_ROOMT,MATCH(66,tk_ASEQ,0)),"")</f>
        <v/>
      </c>
      <c r="D72" s="162">
        <f>IFERROR(INDEX(tk_QTY,MATCH(66,tk_ASEQ,0)),"")</f>
        <v/>
      </c>
      <c r="E72" s="162">
        <f>IFERROR(""&amp;INDEX(tk_SIZE,MATCH(66,tk_ASEQ,0)),"")</f>
        <v/>
      </c>
      <c r="F72" s="162">
        <f>IFERROR(""&amp;INDEX(tk_PAIR,MATCH(66,tk_ASEQ,0)),"")</f>
        <v/>
      </c>
      <c r="G72" s="162">
        <f>IFERROR(""&amp;INDEX(tk_DMAT,MATCH(66,tk_ASEQ,0)),"")</f>
        <v/>
      </c>
      <c r="H72" s="162">
        <f>IFERROR(""&amp;INDEX(tk_DGA,MATCH(66,tk_ASEQ,0)),"")</f>
        <v/>
      </c>
      <c r="I72" s="162">
        <f>IFERROR(""&amp;INDEX(tk_FACE,MATCH(66,tk_ASEQ,0)),"")</f>
        <v/>
      </c>
      <c r="J72" s="162">
        <f>IFERROR(IF(INDEX(tk_DHAND,MATCH(66,tk_ASEQ,0))="",""&amp;INDEX(tk_HAND,MATCH(66,tk_ASEQ,0)),""&amp;INDEX(tk_DHAND,MATCH(66,tk_ASEQ,0))),"")</f>
        <v/>
      </c>
      <c r="K72" s="162">
        <f>IFERROR(""&amp;INDEX(tk_FDESC,MATCH(66,tk_ASEQ,0)),"")</f>
        <v/>
      </c>
      <c r="L72" s="162">
        <f>IFERROR(INDEX(tk_STEEL,MATCH(66,tk_ASEQ,0))&amp;IF(INDEX(tk_FGA,MATCH(66,tk_ASEQ,0))="",""," "&amp;INDEX(tk_FGA,MATCH(66,tk_ASEQ,0))&amp;"GA"),"")</f>
        <v/>
      </c>
      <c r="M72" s="162">
        <f>IFERROR(IFERROR(VLOOKUP(INDEX(tk_JAMB,MATCH(66,tk_ASEQ,0)),CODES,2,FALSE),""&amp;INDEX(tk_JAMB,MATCH(66,tk_ASEQ,0))),"")</f>
        <v/>
      </c>
      <c r="N72" s="162">
        <f>IFERROR(""&amp;INDEX(tk_CONSTR,MATCH(66,tk_ASEQ,0)),"")</f>
        <v/>
      </c>
      <c r="O72" s="162">
        <f>IFERROR(""&amp;INDEX(tk_ANCHOR,MATCH(66,tk_ASEQ,0)),"")</f>
        <v/>
      </c>
      <c r="P72" s="162">
        <f>IFERROR(""&amp;INDEX(tk_RATING,MATCH(66,tk_ASEQ,0)),"")</f>
        <v/>
      </c>
      <c r="Q72" s="162">
        <f>IFERROR(""&amp;INDEX(tk_LABEL,MATCH(66,tk_ASEQ,0)),"")</f>
        <v/>
      </c>
      <c r="R72" s="162">
        <f>IFERROR(""&amp;INDEX(tk_HWSET,MATCH(66,tk_ASEQ,0)),"")</f>
        <v/>
      </c>
      <c r="S72" s="162">
        <f>IFERROR(IF(""&amp;INDEX(tk_HINGES,MATCH(66,tk_ASEQ,0))="","",INDEX(tk_HINGES,MATCH(66,tk_ASEQ,0))&amp;" · "&amp;INDEX(tk_LSRC,MATCH(66,tk_ASEQ,0))),"")</f>
        <v/>
      </c>
      <c r="T72" s="162">
        <f>IFERROR(""&amp;INDEX(tk_LOCK,MATCH(66,tk_ASEQ,0)),"")</f>
        <v/>
      </c>
      <c r="U72" s="162">
        <f>IFERROR(INDEX(tk_ETYPE,MATCH(66,tk_ASEQ,0)),"")</f>
        <v/>
      </c>
      <c r="V72" s="162">
        <f>IFERROR(""&amp;INDEX(tk_CHECK,MATCH(66,tk_ASEQ,0)),"")</f>
        <v/>
      </c>
      <c r="W72" s="162">
        <f>IFERROR(TRIM(INDEX(tk_DNOTES,MATCH(66,tk_ASEQ,0))&amp;" "&amp;INDEX(tk_FNOTES,MATCH(66,tk_ASEQ,0))),"")</f>
        <v/>
      </c>
    </row>
    <row r="73">
      <c r="A73" s="161">
        <f>IFERROR(""&amp;INDEX(tk_MARK,MATCH(67,tk_ASEQ,0)),"")</f>
        <v/>
      </c>
      <c r="B73" s="162">
        <f>IFERROR(""&amp;INDEX(tk_ROOMF,MATCH(67,tk_ASEQ,0)),"")</f>
        <v/>
      </c>
      <c r="C73" s="162">
        <f>IFERROR(""&amp;INDEX(tk_ROOMT,MATCH(67,tk_ASEQ,0)),"")</f>
        <v/>
      </c>
      <c r="D73" s="162">
        <f>IFERROR(INDEX(tk_QTY,MATCH(67,tk_ASEQ,0)),"")</f>
        <v/>
      </c>
      <c r="E73" s="162">
        <f>IFERROR(""&amp;INDEX(tk_SIZE,MATCH(67,tk_ASEQ,0)),"")</f>
        <v/>
      </c>
      <c r="F73" s="162">
        <f>IFERROR(""&amp;INDEX(tk_PAIR,MATCH(67,tk_ASEQ,0)),"")</f>
        <v/>
      </c>
      <c r="G73" s="162">
        <f>IFERROR(""&amp;INDEX(tk_DMAT,MATCH(67,tk_ASEQ,0)),"")</f>
        <v/>
      </c>
      <c r="H73" s="162">
        <f>IFERROR(""&amp;INDEX(tk_DGA,MATCH(67,tk_ASEQ,0)),"")</f>
        <v/>
      </c>
      <c r="I73" s="162">
        <f>IFERROR(""&amp;INDEX(tk_FACE,MATCH(67,tk_ASEQ,0)),"")</f>
        <v/>
      </c>
      <c r="J73" s="162">
        <f>IFERROR(IF(INDEX(tk_DHAND,MATCH(67,tk_ASEQ,0))="",""&amp;INDEX(tk_HAND,MATCH(67,tk_ASEQ,0)),""&amp;INDEX(tk_DHAND,MATCH(67,tk_ASEQ,0))),"")</f>
        <v/>
      </c>
      <c r="K73" s="162">
        <f>IFERROR(""&amp;INDEX(tk_FDESC,MATCH(67,tk_ASEQ,0)),"")</f>
        <v/>
      </c>
      <c r="L73" s="162">
        <f>IFERROR(INDEX(tk_STEEL,MATCH(67,tk_ASEQ,0))&amp;IF(INDEX(tk_FGA,MATCH(67,tk_ASEQ,0))="",""," "&amp;INDEX(tk_FGA,MATCH(67,tk_ASEQ,0))&amp;"GA"),"")</f>
        <v/>
      </c>
      <c r="M73" s="162">
        <f>IFERROR(IFERROR(VLOOKUP(INDEX(tk_JAMB,MATCH(67,tk_ASEQ,0)),CODES,2,FALSE),""&amp;INDEX(tk_JAMB,MATCH(67,tk_ASEQ,0))),"")</f>
        <v/>
      </c>
      <c r="N73" s="162">
        <f>IFERROR(""&amp;INDEX(tk_CONSTR,MATCH(67,tk_ASEQ,0)),"")</f>
        <v/>
      </c>
      <c r="O73" s="162">
        <f>IFERROR(""&amp;INDEX(tk_ANCHOR,MATCH(67,tk_ASEQ,0)),"")</f>
        <v/>
      </c>
      <c r="P73" s="162">
        <f>IFERROR(""&amp;INDEX(tk_RATING,MATCH(67,tk_ASEQ,0)),"")</f>
        <v/>
      </c>
      <c r="Q73" s="162">
        <f>IFERROR(""&amp;INDEX(tk_LABEL,MATCH(67,tk_ASEQ,0)),"")</f>
        <v/>
      </c>
      <c r="R73" s="162">
        <f>IFERROR(""&amp;INDEX(tk_HWSET,MATCH(67,tk_ASEQ,0)),"")</f>
        <v/>
      </c>
      <c r="S73" s="162">
        <f>IFERROR(IF(""&amp;INDEX(tk_HINGES,MATCH(67,tk_ASEQ,0))="","",INDEX(tk_HINGES,MATCH(67,tk_ASEQ,0))&amp;" · "&amp;INDEX(tk_LSRC,MATCH(67,tk_ASEQ,0))),"")</f>
        <v/>
      </c>
      <c r="T73" s="162">
        <f>IFERROR(""&amp;INDEX(tk_LOCK,MATCH(67,tk_ASEQ,0)),"")</f>
        <v/>
      </c>
      <c r="U73" s="162">
        <f>IFERROR(INDEX(tk_ETYPE,MATCH(67,tk_ASEQ,0)),"")</f>
        <v/>
      </c>
      <c r="V73" s="162">
        <f>IFERROR(""&amp;INDEX(tk_CHECK,MATCH(67,tk_ASEQ,0)),"")</f>
        <v/>
      </c>
      <c r="W73" s="162">
        <f>IFERROR(TRIM(INDEX(tk_DNOTES,MATCH(67,tk_ASEQ,0))&amp;" "&amp;INDEX(tk_FNOTES,MATCH(67,tk_ASEQ,0))),"")</f>
        <v/>
      </c>
    </row>
    <row r="74">
      <c r="A74" s="161">
        <f>IFERROR(""&amp;INDEX(tk_MARK,MATCH(68,tk_ASEQ,0)),"")</f>
        <v/>
      </c>
      <c r="B74" s="162">
        <f>IFERROR(""&amp;INDEX(tk_ROOMF,MATCH(68,tk_ASEQ,0)),"")</f>
        <v/>
      </c>
      <c r="C74" s="162">
        <f>IFERROR(""&amp;INDEX(tk_ROOMT,MATCH(68,tk_ASEQ,0)),"")</f>
        <v/>
      </c>
      <c r="D74" s="162">
        <f>IFERROR(INDEX(tk_QTY,MATCH(68,tk_ASEQ,0)),"")</f>
        <v/>
      </c>
      <c r="E74" s="162">
        <f>IFERROR(""&amp;INDEX(tk_SIZE,MATCH(68,tk_ASEQ,0)),"")</f>
        <v/>
      </c>
      <c r="F74" s="162">
        <f>IFERROR(""&amp;INDEX(tk_PAIR,MATCH(68,tk_ASEQ,0)),"")</f>
        <v/>
      </c>
      <c r="G74" s="162">
        <f>IFERROR(""&amp;INDEX(tk_DMAT,MATCH(68,tk_ASEQ,0)),"")</f>
        <v/>
      </c>
      <c r="H74" s="162">
        <f>IFERROR(""&amp;INDEX(tk_DGA,MATCH(68,tk_ASEQ,0)),"")</f>
        <v/>
      </c>
      <c r="I74" s="162">
        <f>IFERROR(""&amp;INDEX(tk_FACE,MATCH(68,tk_ASEQ,0)),"")</f>
        <v/>
      </c>
      <c r="J74" s="162">
        <f>IFERROR(IF(INDEX(tk_DHAND,MATCH(68,tk_ASEQ,0))="",""&amp;INDEX(tk_HAND,MATCH(68,tk_ASEQ,0)),""&amp;INDEX(tk_DHAND,MATCH(68,tk_ASEQ,0))),"")</f>
        <v/>
      </c>
      <c r="K74" s="162">
        <f>IFERROR(""&amp;INDEX(tk_FDESC,MATCH(68,tk_ASEQ,0)),"")</f>
        <v/>
      </c>
      <c r="L74" s="162">
        <f>IFERROR(INDEX(tk_STEEL,MATCH(68,tk_ASEQ,0))&amp;IF(INDEX(tk_FGA,MATCH(68,tk_ASEQ,0))="",""," "&amp;INDEX(tk_FGA,MATCH(68,tk_ASEQ,0))&amp;"GA"),"")</f>
        <v/>
      </c>
      <c r="M74" s="162">
        <f>IFERROR(IFERROR(VLOOKUP(INDEX(tk_JAMB,MATCH(68,tk_ASEQ,0)),CODES,2,FALSE),""&amp;INDEX(tk_JAMB,MATCH(68,tk_ASEQ,0))),"")</f>
        <v/>
      </c>
      <c r="N74" s="162">
        <f>IFERROR(""&amp;INDEX(tk_CONSTR,MATCH(68,tk_ASEQ,0)),"")</f>
        <v/>
      </c>
      <c r="O74" s="162">
        <f>IFERROR(""&amp;INDEX(tk_ANCHOR,MATCH(68,tk_ASEQ,0)),"")</f>
        <v/>
      </c>
      <c r="P74" s="162">
        <f>IFERROR(""&amp;INDEX(tk_RATING,MATCH(68,tk_ASEQ,0)),"")</f>
        <v/>
      </c>
      <c r="Q74" s="162">
        <f>IFERROR(""&amp;INDEX(tk_LABEL,MATCH(68,tk_ASEQ,0)),"")</f>
        <v/>
      </c>
      <c r="R74" s="162">
        <f>IFERROR(""&amp;INDEX(tk_HWSET,MATCH(68,tk_ASEQ,0)),"")</f>
        <v/>
      </c>
      <c r="S74" s="162">
        <f>IFERROR(IF(""&amp;INDEX(tk_HINGES,MATCH(68,tk_ASEQ,0))="","",INDEX(tk_HINGES,MATCH(68,tk_ASEQ,0))&amp;" · "&amp;INDEX(tk_LSRC,MATCH(68,tk_ASEQ,0))),"")</f>
        <v/>
      </c>
      <c r="T74" s="162">
        <f>IFERROR(""&amp;INDEX(tk_LOCK,MATCH(68,tk_ASEQ,0)),"")</f>
        <v/>
      </c>
      <c r="U74" s="162">
        <f>IFERROR(INDEX(tk_ETYPE,MATCH(68,tk_ASEQ,0)),"")</f>
        <v/>
      </c>
      <c r="V74" s="162">
        <f>IFERROR(""&amp;INDEX(tk_CHECK,MATCH(68,tk_ASEQ,0)),"")</f>
        <v/>
      </c>
      <c r="W74" s="162">
        <f>IFERROR(TRIM(INDEX(tk_DNOTES,MATCH(68,tk_ASEQ,0))&amp;" "&amp;INDEX(tk_FNOTES,MATCH(68,tk_ASEQ,0))),"")</f>
        <v/>
      </c>
    </row>
    <row r="75">
      <c r="A75" s="161">
        <f>IFERROR(""&amp;INDEX(tk_MARK,MATCH(69,tk_ASEQ,0)),"")</f>
        <v/>
      </c>
      <c r="B75" s="162">
        <f>IFERROR(""&amp;INDEX(tk_ROOMF,MATCH(69,tk_ASEQ,0)),"")</f>
        <v/>
      </c>
      <c r="C75" s="162">
        <f>IFERROR(""&amp;INDEX(tk_ROOMT,MATCH(69,tk_ASEQ,0)),"")</f>
        <v/>
      </c>
      <c r="D75" s="162">
        <f>IFERROR(INDEX(tk_QTY,MATCH(69,tk_ASEQ,0)),"")</f>
        <v/>
      </c>
      <c r="E75" s="162">
        <f>IFERROR(""&amp;INDEX(tk_SIZE,MATCH(69,tk_ASEQ,0)),"")</f>
        <v/>
      </c>
      <c r="F75" s="162">
        <f>IFERROR(""&amp;INDEX(tk_PAIR,MATCH(69,tk_ASEQ,0)),"")</f>
        <v/>
      </c>
      <c r="G75" s="162">
        <f>IFERROR(""&amp;INDEX(tk_DMAT,MATCH(69,tk_ASEQ,0)),"")</f>
        <v/>
      </c>
      <c r="H75" s="162">
        <f>IFERROR(""&amp;INDEX(tk_DGA,MATCH(69,tk_ASEQ,0)),"")</f>
        <v/>
      </c>
      <c r="I75" s="162">
        <f>IFERROR(""&amp;INDEX(tk_FACE,MATCH(69,tk_ASEQ,0)),"")</f>
        <v/>
      </c>
      <c r="J75" s="162">
        <f>IFERROR(IF(INDEX(tk_DHAND,MATCH(69,tk_ASEQ,0))="",""&amp;INDEX(tk_HAND,MATCH(69,tk_ASEQ,0)),""&amp;INDEX(tk_DHAND,MATCH(69,tk_ASEQ,0))),"")</f>
        <v/>
      </c>
      <c r="K75" s="162">
        <f>IFERROR(""&amp;INDEX(tk_FDESC,MATCH(69,tk_ASEQ,0)),"")</f>
        <v/>
      </c>
      <c r="L75" s="162">
        <f>IFERROR(INDEX(tk_STEEL,MATCH(69,tk_ASEQ,0))&amp;IF(INDEX(tk_FGA,MATCH(69,tk_ASEQ,0))="",""," "&amp;INDEX(tk_FGA,MATCH(69,tk_ASEQ,0))&amp;"GA"),"")</f>
        <v/>
      </c>
      <c r="M75" s="162">
        <f>IFERROR(IFERROR(VLOOKUP(INDEX(tk_JAMB,MATCH(69,tk_ASEQ,0)),CODES,2,FALSE),""&amp;INDEX(tk_JAMB,MATCH(69,tk_ASEQ,0))),"")</f>
        <v/>
      </c>
      <c r="N75" s="162">
        <f>IFERROR(""&amp;INDEX(tk_CONSTR,MATCH(69,tk_ASEQ,0)),"")</f>
        <v/>
      </c>
      <c r="O75" s="162">
        <f>IFERROR(""&amp;INDEX(tk_ANCHOR,MATCH(69,tk_ASEQ,0)),"")</f>
        <v/>
      </c>
      <c r="P75" s="162">
        <f>IFERROR(""&amp;INDEX(tk_RATING,MATCH(69,tk_ASEQ,0)),"")</f>
        <v/>
      </c>
      <c r="Q75" s="162">
        <f>IFERROR(""&amp;INDEX(tk_LABEL,MATCH(69,tk_ASEQ,0)),"")</f>
        <v/>
      </c>
      <c r="R75" s="162">
        <f>IFERROR(""&amp;INDEX(tk_HWSET,MATCH(69,tk_ASEQ,0)),"")</f>
        <v/>
      </c>
      <c r="S75" s="162">
        <f>IFERROR(IF(""&amp;INDEX(tk_HINGES,MATCH(69,tk_ASEQ,0))="","",INDEX(tk_HINGES,MATCH(69,tk_ASEQ,0))&amp;" · "&amp;INDEX(tk_LSRC,MATCH(69,tk_ASEQ,0))),"")</f>
        <v/>
      </c>
      <c r="T75" s="162">
        <f>IFERROR(""&amp;INDEX(tk_LOCK,MATCH(69,tk_ASEQ,0)),"")</f>
        <v/>
      </c>
      <c r="U75" s="162">
        <f>IFERROR(INDEX(tk_ETYPE,MATCH(69,tk_ASEQ,0)),"")</f>
        <v/>
      </c>
      <c r="V75" s="162">
        <f>IFERROR(""&amp;INDEX(tk_CHECK,MATCH(69,tk_ASEQ,0)),"")</f>
        <v/>
      </c>
      <c r="W75" s="162">
        <f>IFERROR(TRIM(INDEX(tk_DNOTES,MATCH(69,tk_ASEQ,0))&amp;" "&amp;INDEX(tk_FNOTES,MATCH(69,tk_ASEQ,0))),"")</f>
        <v/>
      </c>
    </row>
    <row r="76">
      <c r="A76" s="161">
        <f>IFERROR(""&amp;INDEX(tk_MARK,MATCH(70,tk_ASEQ,0)),"")</f>
        <v/>
      </c>
      <c r="B76" s="162">
        <f>IFERROR(""&amp;INDEX(tk_ROOMF,MATCH(70,tk_ASEQ,0)),"")</f>
        <v/>
      </c>
      <c r="C76" s="162">
        <f>IFERROR(""&amp;INDEX(tk_ROOMT,MATCH(70,tk_ASEQ,0)),"")</f>
        <v/>
      </c>
      <c r="D76" s="162">
        <f>IFERROR(INDEX(tk_QTY,MATCH(70,tk_ASEQ,0)),"")</f>
        <v/>
      </c>
      <c r="E76" s="162">
        <f>IFERROR(""&amp;INDEX(tk_SIZE,MATCH(70,tk_ASEQ,0)),"")</f>
        <v/>
      </c>
      <c r="F76" s="162">
        <f>IFERROR(""&amp;INDEX(tk_PAIR,MATCH(70,tk_ASEQ,0)),"")</f>
        <v/>
      </c>
      <c r="G76" s="162">
        <f>IFERROR(""&amp;INDEX(tk_DMAT,MATCH(70,tk_ASEQ,0)),"")</f>
        <v/>
      </c>
      <c r="H76" s="162">
        <f>IFERROR(""&amp;INDEX(tk_DGA,MATCH(70,tk_ASEQ,0)),"")</f>
        <v/>
      </c>
      <c r="I76" s="162">
        <f>IFERROR(""&amp;INDEX(tk_FACE,MATCH(70,tk_ASEQ,0)),"")</f>
        <v/>
      </c>
      <c r="J76" s="162">
        <f>IFERROR(IF(INDEX(tk_DHAND,MATCH(70,tk_ASEQ,0))="",""&amp;INDEX(tk_HAND,MATCH(70,tk_ASEQ,0)),""&amp;INDEX(tk_DHAND,MATCH(70,tk_ASEQ,0))),"")</f>
        <v/>
      </c>
      <c r="K76" s="162">
        <f>IFERROR(""&amp;INDEX(tk_FDESC,MATCH(70,tk_ASEQ,0)),"")</f>
        <v/>
      </c>
      <c r="L76" s="162">
        <f>IFERROR(INDEX(tk_STEEL,MATCH(70,tk_ASEQ,0))&amp;IF(INDEX(tk_FGA,MATCH(70,tk_ASEQ,0))="",""," "&amp;INDEX(tk_FGA,MATCH(70,tk_ASEQ,0))&amp;"GA"),"")</f>
        <v/>
      </c>
      <c r="M76" s="162">
        <f>IFERROR(IFERROR(VLOOKUP(INDEX(tk_JAMB,MATCH(70,tk_ASEQ,0)),CODES,2,FALSE),""&amp;INDEX(tk_JAMB,MATCH(70,tk_ASEQ,0))),"")</f>
        <v/>
      </c>
      <c r="N76" s="162">
        <f>IFERROR(""&amp;INDEX(tk_CONSTR,MATCH(70,tk_ASEQ,0)),"")</f>
        <v/>
      </c>
      <c r="O76" s="162">
        <f>IFERROR(""&amp;INDEX(tk_ANCHOR,MATCH(70,tk_ASEQ,0)),"")</f>
        <v/>
      </c>
      <c r="P76" s="162">
        <f>IFERROR(""&amp;INDEX(tk_RATING,MATCH(70,tk_ASEQ,0)),"")</f>
        <v/>
      </c>
      <c r="Q76" s="162">
        <f>IFERROR(""&amp;INDEX(tk_LABEL,MATCH(70,tk_ASEQ,0)),"")</f>
        <v/>
      </c>
      <c r="R76" s="162">
        <f>IFERROR(""&amp;INDEX(tk_HWSET,MATCH(70,tk_ASEQ,0)),"")</f>
        <v/>
      </c>
      <c r="S76" s="162">
        <f>IFERROR(IF(""&amp;INDEX(tk_HINGES,MATCH(70,tk_ASEQ,0))="","",INDEX(tk_HINGES,MATCH(70,tk_ASEQ,0))&amp;" · "&amp;INDEX(tk_LSRC,MATCH(70,tk_ASEQ,0))),"")</f>
        <v/>
      </c>
      <c r="T76" s="162">
        <f>IFERROR(""&amp;INDEX(tk_LOCK,MATCH(70,tk_ASEQ,0)),"")</f>
        <v/>
      </c>
      <c r="U76" s="162">
        <f>IFERROR(INDEX(tk_ETYPE,MATCH(70,tk_ASEQ,0)),"")</f>
        <v/>
      </c>
      <c r="V76" s="162">
        <f>IFERROR(""&amp;INDEX(tk_CHECK,MATCH(70,tk_ASEQ,0)),"")</f>
        <v/>
      </c>
      <c r="W76" s="162">
        <f>IFERROR(TRIM(INDEX(tk_DNOTES,MATCH(70,tk_ASEQ,0))&amp;" "&amp;INDEX(tk_FNOTES,MATCH(70,tk_ASEQ,0))),"")</f>
        <v/>
      </c>
    </row>
    <row r="77">
      <c r="A77" s="161">
        <f>IFERROR(""&amp;INDEX(tk_MARK,MATCH(71,tk_ASEQ,0)),"")</f>
        <v/>
      </c>
      <c r="B77" s="162">
        <f>IFERROR(""&amp;INDEX(tk_ROOMF,MATCH(71,tk_ASEQ,0)),"")</f>
        <v/>
      </c>
      <c r="C77" s="162">
        <f>IFERROR(""&amp;INDEX(tk_ROOMT,MATCH(71,tk_ASEQ,0)),"")</f>
        <v/>
      </c>
      <c r="D77" s="162">
        <f>IFERROR(INDEX(tk_QTY,MATCH(71,tk_ASEQ,0)),"")</f>
        <v/>
      </c>
      <c r="E77" s="162">
        <f>IFERROR(""&amp;INDEX(tk_SIZE,MATCH(71,tk_ASEQ,0)),"")</f>
        <v/>
      </c>
      <c r="F77" s="162">
        <f>IFERROR(""&amp;INDEX(tk_PAIR,MATCH(71,tk_ASEQ,0)),"")</f>
        <v/>
      </c>
      <c r="G77" s="162">
        <f>IFERROR(""&amp;INDEX(tk_DMAT,MATCH(71,tk_ASEQ,0)),"")</f>
        <v/>
      </c>
      <c r="H77" s="162">
        <f>IFERROR(""&amp;INDEX(tk_DGA,MATCH(71,tk_ASEQ,0)),"")</f>
        <v/>
      </c>
      <c r="I77" s="162">
        <f>IFERROR(""&amp;INDEX(tk_FACE,MATCH(71,tk_ASEQ,0)),"")</f>
        <v/>
      </c>
      <c r="J77" s="162">
        <f>IFERROR(IF(INDEX(tk_DHAND,MATCH(71,tk_ASEQ,0))="",""&amp;INDEX(tk_HAND,MATCH(71,tk_ASEQ,0)),""&amp;INDEX(tk_DHAND,MATCH(71,tk_ASEQ,0))),"")</f>
        <v/>
      </c>
      <c r="K77" s="162">
        <f>IFERROR(""&amp;INDEX(tk_FDESC,MATCH(71,tk_ASEQ,0)),"")</f>
        <v/>
      </c>
      <c r="L77" s="162">
        <f>IFERROR(INDEX(tk_STEEL,MATCH(71,tk_ASEQ,0))&amp;IF(INDEX(tk_FGA,MATCH(71,tk_ASEQ,0))="",""," "&amp;INDEX(tk_FGA,MATCH(71,tk_ASEQ,0))&amp;"GA"),"")</f>
        <v/>
      </c>
      <c r="M77" s="162">
        <f>IFERROR(IFERROR(VLOOKUP(INDEX(tk_JAMB,MATCH(71,tk_ASEQ,0)),CODES,2,FALSE),""&amp;INDEX(tk_JAMB,MATCH(71,tk_ASEQ,0))),"")</f>
        <v/>
      </c>
      <c r="N77" s="162">
        <f>IFERROR(""&amp;INDEX(tk_CONSTR,MATCH(71,tk_ASEQ,0)),"")</f>
        <v/>
      </c>
      <c r="O77" s="162">
        <f>IFERROR(""&amp;INDEX(tk_ANCHOR,MATCH(71,tk_ASEQ,0)),"")</f>
        <v/>
      </c>
      <c r="P77" s="162">
        <f>IFERROR(""&amp;INDEX(tk_RATING,MATCH(71,tk_ASEQ,0)),"")</f>
        <v/>
      </c>
      <c r="Q77" s="162">
        <f>IFERROR(""&amp;INDEX(tk_LABEL,MATCH(71,tk_ASEQ,0)),"")</f>
        <v/>
      </c>
      <c r="R77" s="162">
        <f>IFERROR(""&amp;INDEX(tk_HWSET,MATCH(71,tk_ASEQ,0)),"")</f>
        <v/>
      </c>
      <c r="S77" s="162">
        <f>IFERROR(IF(""&amp;INDEX(tk_HINGES,MATCH(71,tk_ASEQ,0))="","",INDEX(tk_HINGES,MATCH(71,tk_ASEQ,0))&amp;" · "&amp;INDEX(tk_LSRC,MATCH(71,tk_ASEQ,0))),"")</f>
        <v/>
      </c>
      <c r="T77" s="162">
        <f>IFERROR(""&amp;INDEX(tk_LOCK,MATCH(71,tk_ASEQ,0)),"")</f>
        <v/>
      </c>
      <c r="U77" s="162">
        <f>IFERROR(INDEX(tk_ETYPE,MATCH(71,tk_ASEQ,0)),"")</f>
        <v/>
      </c>
      <c r="V77" s="162">
        <f>IFERROR(""&amp;INDEX(tk_CHECK,MATCH(71,tk_ASEQ,0)),"")</f>
        <v/>
      </c>
      <c r="W77" s="162">
        <f>IFERROR(TRIM(INDEX(tk_DNOTES,MATCH(71,tk_ASEQ,0))&amp;" "&amp;INDEX(tk_FNOTES,MATCH(71,tk_ASEQ,0))),"")</f>
        <v/>
      </c>
    </row>
    <row r="78">
      <c r="A78" s="161">
        <f>IFERROR(""&amp;INDEX(tk_MARK,MATCH(72,tk_ASEQ,0)),"")</f>
        <v/>
      </c>
      <c r="B78" s="162">
        <f>IFERROR(""&amp;INDEX(tk_ROOMF,MATCH(72,tk_ASEQ,0)),"")</f>
        <v/>
      </c>
      <c r="C78" s="162">
        <f>IFERROR(""&amp;INDEX(tk_ROOMT,MATCH(72,tk_ASEQ,0)),"")</f>
        <v/>
      </c>
      <c r="D78" s="162">
        <f>IFERROR(INDEX(tk_QTY,MATCH(72,tk_ASEQ,0)),"")</f>
        <v/>
      </c>
      <c r="E78" s="162">
        <f>IFERROR(""&amp;INDEX(tk_SIZE,MATCH(72,tk_ASEQ,0)),"")</f>
        <v/>
      </c>
      <c r="F78" s="162">
        <f>IFERROR(""&amp;INDEX(tk_PAIR,MATCH(72,tk_ASEQ,0)),"")</f>
        <v/>
      </c>
      <c r="G78" s="162">
        <f>IFERROR(""&amp;INDEX(tk_DMAT,MATCH(72,tk_ASEQ,0)),"")</f>
        <v/>
      </c>
      <c r="H78" s="162">
        <f>IFERROR(""&amp;INDEX(tk_DGA,MATCH(72,tk_ASEQ,0)),"")</f>
        <v/>
      </c>
      <c r="I78" s="162">
        <f>IFERROR(""&amp;INDEX(tk_FACE,MATCH(72,tk_ASEQ,0)),"")</f>
        <v/>
      </c>
      <c r="J78" s="162">
        <f>IFERROR(IF(INDEX(tk_DHAND,MATCH(72,tk_ASEQ,0))="",""&amp;INDEX(tk_HAND,MATCH(72,tk_ASEQ,0)),""&amp;INDEX(tk_DHAND,MATCH(72,tk_ASEQ,0))),"")</f>
        <v/>
      </c>
      <c r="K78" s="162">
        <f>IFERROR(""&amp;INDEX(tk_FDESC,MATCH(72,tk_ASEQ,0)),"")</f>
        <v/>
      </c>
      <c r="L78" s="162">
        <f>IFERROR(INDEX(tk_STEEL,MATCH(72,tk_ASEQ,0))&amp;IF(INDEX(tk_FGA,MATCH(72,tk_ASEQ,0))="",""," "&amp;INDEX(tk_FGA,MATCH(72,tk_ASEQ,0))&amp;"GA"),"")</f>
        <v/>
      </c>
      <c r="M78" s="162">
        <f>IFERROR(IFERROR(VLOOKUP(INDEX(tk_JAMB,MATCH(72,tk_ASEQ,0)),CODES,2,FALSE),""&amp;INDEX(tk_JAMB,MATCH(72,tk_ASEQ,0))),"")</f>
        <v/>
      </c>
      <c r="N78" s="162">
        <f>IFERROR(""&amp;INDEX(tk_CONSTR,MATCH(72,tk_ASEQ,0)),"")</f>
        <v/>
      </c>
      <c r="O78" s="162">
        <f>IFERROR(""&amp;INDEX(tk_ANCHOR,MATCH(72,tk_ASEQ,0)),"")</f>
        <v/>
      </c>
      <c r="P78" s="162">
        <f>IFERROR(""&amp;INDEX(tk_RATING,MATCH(72,tk_ASEQ,0)),"")</f>
        <v/>
      </c>
      <c r="Q78" s="162">
        <f>IFERROR(""&amp;INDEX(tk_LABEL,MATCH(72,tk_ASEQ,0)),"")</f>
        <v/>
      </c>
      <c r="R78" s="162">
        <f>IFERROR(""&amp;INDEX(tk_HWSET,MATCH(72,tk_ASEQ,0)),"")</f>
        <v/>
      </c>
      <c r="S78" s="162">
        <f>IFERROR(IF(""&amp;INDEX(tk_HINGES,MATCH(72,tk_ASEQ,0))="","",INDEX(tk_HINGES,MATCH(72,tk_ASEQ,0))&amp;" · "&amp;INDEX(tk_LSRC,MATCH(72,tk_ASEQ,0))),"")</f>
        <v/>
      </c>
      <c r="T78" s="162">
        <f>IFERROR(""&amp;INDEX(tk_LOCK,MATCH(72,tk_ASEQ,0)),"")</f>
        <v/>
      </c>
      <c r="U78" s="162">
        <f>IFERROR(INDEX(tk_ETYPE,MATCH(72,tk_ASEQ,0)),"")</f>
        <v/>
      </c>
      <c r="V78" s="162">
        <f>IFERROR(""&amp;INDEX(tk_CHECK,MATCH(72,tk_ASEQ,0)),"")</f>
        <v/>
      </c>
      <c r="W78" s="162">
        <f>IFERROR(TRIM(INDEX(tk_DNOTES,MATCH(72,tk_ASEQ,0))&amp;" "&amp;INDEX(tk_FNOTES,MATCH(72,tk_ASEQ,0))),"")</f>
        <v/>
      </c>
    </row>
    <row r="79">
      <c r="A79" s="161">
        <f>IFERROR(""&amp;INDEX(tk_MARK,MATCH(73,tk_ASEQ,0)),"")</f>
        <v/>
      </c>
      <c r="B79" s="162">
        <f>IFERROR(""&amp;INDEX(tk_ROOMF,MATCH(73,tk_ASEQ,0)),"")</f>
        <v/>
      </c>
      <c r="C79" s="162">
        <f>IFERROR(""&amp;INDEX(tk_ROOMT,MATCH(73,tk_ASEQ,0)),"")</f>
        <v/>
      </c>
      <c r="D79" s="162">
        <f>IFERROR(INDEX(tk_QTY,MATCH(73,tk_ASEQ,0)),"")</f>
        <v/>
      </c>
      <c r="E79" s="162">
        <f>IFERROR(""&amp;INDEX(tk_SIZE,MATCH(73,tk_ASEQ,0)),"")</f>
        <v/>
      </c>
      <c r="F79" s="162">
        <f>IFERROR(""&amp;INDEX(tk_PAIR,MATCH(73,tk_ASEQ,0)),"")</f>
        <v/>
      </c>
      <c r="G79" s="162">
        <f>IFERROR(""&amp;INDEX(tk_DMAT,MATCH(73,tk_ASEQ,0)),"")</f>
        <v/>
      </c>
      <c r="H79" s="162">
        <f>IFERROR(""&amp;INDEX(tk_DGA,MATCH(73,tk_ASEQ,0)),"")</f>
        <v/>
      </c>
      <c r="I79" s="162">
        <f>IFERROR(""&amp;INDEX(tk_FACE,MATCH(73,tk_ASEQ,0)),"")</f>
        <v/>
      </c>
      <c r="J79" s="162">
        <f>IFERROR(IF(INDEX(tk_DHAND,MATCH(73,tk_ASEQ,0))="",""&amp;INDEX(tk_HAND,MATCH(73,tk_ASEQ,0)),""&amp;INDEX(tk_DHAND,MATCH(73,tk_ASEQ,0))),"")</f>
        <v/>
      </c>
      <c r="K79" s="162">
        <f>IFERROR(""&amp;INDEX(tk_FDESC,MATCH(73,tk_ASEQ,0)),"")</f>
        <v/>
      </c>
      <c r="L79" s="162">
        <f>IFERROR(INDEX(tk_STEEL,MATCH(73,tk_ASEQ,0))&amp;IF(INDEX(tk_FGA,MATCH(73,tk_ASEQ,0))="",""," "&amp;INDEX(tk_FGA,MATCH(73,tk_ASEQ,0))&amp;"GA"),"")</f>
        <v/>
      </c>
      <c r="M79" s="162">
        <f>IFERROR(IFERROR(VLOOKUP(INDEX(tk_JAMB,MATCH(73,tk_ASEQ,0)),CODES,2,FALSE),""&amp;INDEX(tk_JAMB,MATCH(73,tk_ASEQ,0))),"")</f>
        <v/>
      </c>
      <c r="N79" s="162">
        <f>IFERROR(""&amp;INDEX(tk_CONSTR,MATCH(73,tk_ASEQ,0)),"")</f>
        <v/>
      </c>
      <c r="O79" s="162">
        <f>IFERROR(""&amp;INDEX(tk_ANCHOR,MATCH(73,tk_ASEQ,0)),"")</f>
        <v/>
      </c>
      <c r="P79" s="162">
        <f>IFERROR(""&amp;INDEX(tk_RATING,MATCH(73,tk_ASEQ,0)),"")</f>
        <v/>
      </c>
      <c r="Q79" s="162">
        <f>IFERROR(""&amp;INDEX(tk_LABEL,MATCH(73,tk_ASEQ,0)),"")</f>
        <v/>
      </c>
      <c r="R79" s="162">
        <f>IFERROR(""&amp;INDEX(tk_HWSET,MATCH(73,tk_ASEQ,0)),"")</f>
        <v/>
      </c>
      <c r="S79" s="162">
        <f>IFERROR(IF(""&amp;INDEX(tk_HINGES,MATCH(73,tk_ASEQ,0))="","",INDEX(tk_HINGES,MATCH(73,tk_ASEQ,0))&amp;" · "&amp;INDEX(tk_LSRC,MATCH(73,tk_ASEQ,0))),"")</f>
        <v/>
      </c>
      <c r="T79" s="162">
        <f>IFERROR(""&amp;INDEX(tk_LOCK,MATCH(73,tk_ASEQ,0)),"")</f>
        <v/>
      </c>
      <c r="U79" s="162">
        <f>IFERROR(INDEX(tk_ETYPE,MATCH(73,tk_ASEQ,0)),"")</f>
        <v/>
      </c>
      <c r="V79" s="162">
        <f>IFERROR(""&amp;INDEX(tk_CHECK,MATCH(73,tk_ASEQ,0)),"")</f>
        <v/>
      </c>
      <c r="W79" s="162">
        <f>IFERROR(TRIM(INDEX(tk_DNOTES,MATCH(73,tk_ASEQ,0))&amp;" "&amp;INDEX(tk_FNOTES,MATCH(73,tk_ASEQ,0))),"")</f>
        <v/>
      </c>
    </row>
    <row r="80">
      <c r="A80" s="161">
        <f>IFERROR(""&amp;INDEX(tk_MARK,MATCH(74,tk_ASEQ,0)),"")</f>
        <v/>
      </c>
      <c r="B80" s="162">
        <f>IFERROR(""&amp;INDEX(tk_ROOMF,MATCH(74,tk_ASEQ,0)),"")</f>
        <v/>
      </c>
      <c r="C80" s="162">
        <f>IFERROR(""&amp;INDEX(tk_ROOMT,MATCH(74,tk_ASEQ,0)),"")</f>
        <v/>
      </c>
      <c r="D80" s="162">
        <f>IFERROR(INDEX(tk_QTY,MATCH(74,tk_ASEQ,0)),"")</f>
        <v/>
      </c>
      <c r="E80" s="162">
        <f>IFERROR(""&amp;INDEX(tk_SIZE,MATCH(74,tk_ASEQ,0)),"")</f>
        <v/>
      </c>
      <c r="F80" s="162">
        <f>IFERROR(""&amp;INDEX(tk_PAIR,MATCH(74,tk_ASEQ,0)),"")</f>
        <v/>
      </c>
      <c r="G80" s="162">
        <f>IFERROR(""&amp;INDEX(tk_DMAT,MATCH(74,tk_ASEQ,0)),"")</f>
        <v/>
      </c>
      <c r="H80" s="162">
        <f>IFERROR(""&amp;INDEX(tk_DGA,MATCH(74,tk_ASEQ,0)),"")</f>
        <v/>
      </c>
      <c r="I80" s="162">
        <f>IFERROR(""&amp;INDEX(tk_FACE,MATCH(74,tk_ASEQ,0)),"")</f>
        <v/>
      </c>
      <c r="J80" s="162">
        <f>IFERROR(IF(INDEX(tk_DHAND,MATCH(74,tk_ASEQ,0))="",""&amp;INDEX(tk_HAND,MATCH(74,tk_ASEQ,0)),""&amp;INDEX(tk_DHAND,MATCH(74,tk_ASEQ,0))),"")</f>
        <v/>
      </c>
      <c r="K80" s="162">
        <f>IFERROR(""&amp;INDEX(tk_FDESC,MATCH(74,tk_ASEQ,0)),"")</f>
        <v/>
      </c>
      <c r="L80" s="162">
        <f>IFERROR(INDEX(tk_STEEL,MATCH(74,tk_ASEQ,0))&amp;IF(INDEX(tk_FGA,MATCH(74,tk_ASEQ,0))="",""," "&amp;INDEX(tk_FGA,MATCH(74,tk_ASEQ,0))&amp;"GA"),"")</f>
        <v/>
      </c>
      <c r="M80" s="162">
        <f>IFERROR(IFERROR(VLOOKUP(INDEX(tk_JAMB,MATCH(74,tk_ASEQ,0)),CODES,2,FALSE),""&amp;INDEX(tk_JAMB,MATCH(74,tk_ASEQ,0))),"")</f>
        <v/>
      </c>
      <c r="N80" s="162">
        <f>IFERROR(""&amp;INDEX(tk_CONSTR,MATCH(74,tk_ASEQ,0)),"")</f>
        <v/>
      </c>
      <c r="O80" s="162">
        <f>IFERROR(""&amp;INDEX(tk_ANCHOR,MATCH(74,tk_ASEQ,0)),"")</f>
        <v/>
      </c>
      <c r="P80" s="162">
        <f>IFERROR(""&amp;INDEX(tk_RATING,MATCH(74,tk_ASEQ,0)),"")</f>
        <v/>
      </c>
      <c r="Q80" s="162">
        <f>IFERROR(""&amp;INDEX(tk_LABEL,MATCH(74,tk_ASEQ,0)),"")</f>
        <v/>
      </c>
      <c r="R80" s="162">
        <f>IFERROR(""&amp;INDEX(tk_HWSET,MATCH(74,tk_ASEQ,0)),"")</f>
        <v/>
      </c>
      <c r="S80" s="162">
        <f>IFERROR(IF(""&amp;INDEX(tk_HINGES,MATCH(74,tk_ASEQ,0))="","",INDEX(tk_HINGES,MATCH(74,tk_ASEQ,0))&amp;" · "&amp;INDEX(tk_LSRC,MATCH(74,tk_ASEQ,0))),"")</f>
        <v/>
      </c>
      <c r="T80" s="162">
        <f>IFERROR(""&amp;INDEX(tk_LOCK,MATCH(74,tk_ASEQ,0)),"")</f>
        <v/>
      </c>
      <c r="U80" s="162">
        <f>IFERROR(INDEX(tk_ETYPE,MATCH(74,tk_ASEQ,0)),"")</f>
        <v/>
      </c>
      <c r="V80" s="162">
        <f>IFERROR(""&amp;INDEX(tk_CHECK,MATCH(74,tk_ASEQ,0)),"")</f>
        <v/>
      </c>
      <c r="W80" s="162">
        <f>IFERROR(TRIM(INDEX(tk_DNOTES,MATCH(74,tk_ASEQ,0))&amp;" "&amp;INDEX(tk_FNOTES,MATCH(74,tk_ASEQ,0))),"")</f>
        <v/>
      </c>
    </row>
    <row r="81">
      <c r="A81" s="161">
        <f>IFERROR(""&amp;INDEX(tk_MARK,MATCH(75,tk_ASEQ,0)),"")</f>
        <v/>
      </c>
      <c r="B81" s="162">
        <f>IFERROR(""&amp;INDEX(tk_ROOMF,MATCH(75,tk_ASEQ,0)),"")</f>
        <v/>
      </c>
      <c r="C81" s="162">
        <f>IFERROR(""&amp;INDEX(tk_ROOMT,MATCH(75,tk_ASEQ,0)),"")</f>
        <v/>
      </c>
      <c r="D81" s="162">
        <f>IFERROR(INDEX(tk_QTY,MATCH(75,tk_ASEQ,0)),"")</f>
        <v/>
      </c>
      <c r="E81" s="162">
        <f>IFERROR(""&amp;INDEX(tk_SIZE,MATCH(75,tk_ASEQ,0)),"")</f>
        <v/>
      </c>
      <c r="F81" s="162">
        <f>IFERROR(""&amp;INDEX(tk_PAIR,MATCH(75,tk_ASEQ,0)),"")</f>
        <v/>
      </c>
      <c r="G81" s="162">
        <f>IFERROR(""&amp;INDEX(tk_DMAT,MATCH(75,tk_ASEQ,0)),"")</f>
        <v/>
      </c>
      <c r="H81" s="162">
        <f>IFERROR(""&amp;INDEX(tk_DGA,MATCH(75,tk_ASEQ,0)),"")</f>
        <v/>
      </c>
      <c r="I81" s="162">
        <f>IFERROR(""&amp;INDEX(tk_FACE,MATCH(75,tk_ASEQ,0)),"")</f>
        <v/>
      </c>
      <c r="J81" s="162">
        <f>IFERROR(IF(INDEX(tk_DHAND,MATCH(75,tk_ASEQ,0))="",""&amp;INDEX(tk_HAND,MATCH(75,tk_ASEQ,0)),""&amp;INDEX(tk_DHAND,MATCH(75,tk_ASEQ,0))),"")</f>
        <v/>
      </c>
      <c r="K81" s="162">
        <f>IFERROR(""&amp;INDEX(tk_FDESC,MATCH(75,tk_ASEQ,0)),"")</f>
        <v/>
      </c>
      <c r="L81" s="162">
        <f>IFERROR(INDEX(tk_STEEL,MATCH(75,tk_ASEQ,0))&amp;IF(INDEX(tk_FGA,MATCH(75,tk_ASEQ,0))="",""," "&amp;INDEX(tk_FGA,MATCH(75,tk_ASEQ,0))&amp;"GA"),"")</f>
        <v/>
      </c>
      <c r="M81" s="162">
        <f>IFERROR(IFERROR(VLOOKUP(INDEX(tk_JAMB,MATCH(75,tk_ASEQ,0)),CODES,2,FALSE),""&amp;INDEX(tk_JAMB,MATCH(75,tk_ASEQ,0))),"")</f>
        <v/>
      </c>
      <c r="N81" s="162">
        <f>IFERROR(""&amp;INDEX(tk_CONSTR,MATCH(75,tk_ASEQ,0)),"")</f>
        <v/>
      </c>
      <c r="O81" s="162">
        <f>IFERROR(""&amp;INDEX(tk_ANCHOR,MATCH(75,tk_ASEQ,0)),"")</f>
        <v/>
      </c>
      <c r="P81" s="162">
        <f>IFERROR(""&amp;INDEX(tk_RATING,MATCH(75,tk_ASEQ,0)),"")</f>
        <v/>
      </c>
      <c r="Q81" s="162">
        <f>IFERROR(""&amp;INDEX(tk_LABEL,MATCH(75,tk_ASEQ,0)),"")</f>
        <v/>
      </c>
      <c r="R81" s="162">
        <f>IFERROR(""&amp;INDEX(tk_HWSET,MATCH(75,tk_ASEQ,0)),"")</f>
        <v/>
      </c>
      <c r="S81" s="162">
        <f>IFERROR(IF(""&amp;INDEX(tk_HINGES,MATCH(75,tk_ASEQ,0))="","",INDEX(tk_HINGES,MATCH(75,tk_ASEQ,0))&amp;" · "&amp;INDEX(tk_LSRC,MATCH(75,tk_ASEQ,0))),"")</f>
        <v/>
      </c>
      <c r="T81" s="162">
        <f>IFERROR(""&amp;INDEX(tk_LOCK,MATCH(75,tk_ASEQ,0)),"")</f>
        <v/>
      </c>
      <c r="U81" s="162">
        <f>IFERROR(INDEX(tk_ETYPE,MATCH(75,tk_ASEQ,0)),"")</f>
        <v/>
      </c>
      <c r="V81" s="162">
        <f>IFERROR(""&amp;INDEX(tk_CHECK,MATCH(75,tk_ASEQ,0)),"")</f>
        <v/>
      </c>
      <c r="W81" s="162">
        <f>IFERROR(TRIM(INDEX(tk_DNOTES,MATCH(75,tk_ASEQ,0))&amp;" "&amp;INDEX(tk_FNOTES,MATCH(75,tk_ASEQ,0))),"")</f>
        <v/>
      </c>
    </row>
    <row r="82">
      <c r="A82" s="161">
        <f>IFERROR(""&amp;INDEX(tk_MARK,MATCH(76,tk_ASEQ,0)),"")</f>
        <v/>
      </c>
      <c r="B82" s="162">
        <f>IFERROR(""&amp;INDEX(tk_ROOMF,MATCH(76,tk_ASEQ,0)),"")</f>
        <v/>
      </c>
      <c r="C82" s="162">
        <f>IFERROR(""&amp;INDEX(tk_ROOMT,MATCH(76,tk_ASEQ,0)),"")</f>
        <v/>
      </c>
      <c r="D82" s="162">
        <f>IFERROR(INDEX(tk_QTY,MATCH(76,tk_ASEQ,0)),"")</f>
        <v/>
      </c>
      <c r="E82" s="162">
        <f>IFERROR(""&amp;INDEX(tk_SIZE,MATCH(76,tk_ASEQ,0)),"")</f>
        <v/>
      </c>
      <c r="F82" s="162">
        <f>IFERROR(""&amp;INDEX(tk_PAIR,MATCH(76,tk_ASEQ,0)),"")</f>
        <v/>
      </c>
      <c r="G82" s="162">
        <f>IFERROR(""&amp;INDEX(tk_DMAT,MATCH(76,tk_ASEQ,0)),"")</f>
        <v/>
      </c>
      <c r="H82" s="162">
        <f>IFERROR(""&amp;INDEX(tk_DGA,MATCH(76,tk_ASEQ,0)),"")</f>
        <v/>
      </c>
      <c r="I82" s="162">
        <f>IFERROR(""&amp;INDEX(tk_FACE,MATCH(76,tk_ASEQ,0)),"")</f>
        <v/>
      </c>
      <c r="J82" s="162">
        <f>IFERROR(IF(INDEX(tk_DHAND,MATCH(76,tk_ASEQ,0))="",""&amp;INDEX(tk_HAND,MATCH(76,tk_ASEQ,0)),""&amp;INDEX(tk_DHAND,MATCH(76,tk_ASEQ,0))),"")</f>
        <v/>
      </c>
      <c r="K82" s="162">
        <f>IFERROR(""&amp;INDEX(tk_FDESC,MATCH(76,tk_ASEQ,0)),"")</f>
        <v/>
      </c>
      <c r="L82" s="162">
        <f>IFERROR(INDEX(tk_STEEL,MATCH(76,tk_ASEQ,0))&amp;IF(INDEX(tk_FGA,MATCH(76,tk_ASEQ,0))="",""," "&amp;INDEX(tk_FGA,MATCH(76,tk_ASEQ,0))&amp;"GA"),"")</f>
        <v/>
      </c>
      <c r="M82" s="162">
        <f>IFERROR(IFERROR(VLOOKUP(INDEX(tk_JAMB,MATCH(76,tk_ASEQ,0)),CODES,2,FALSE),""&amp;INDEX(tk_JAMB,MATCH(76,tk_ASEQ,0))),"")</f>
        <v/>
      </c>
      <c r="N82" s="162">
        <f>IFERROR(""&amp;INDEX(tk_CONSTR,MATCH(76,tk_ASEQ,0)),"")</f>
        <v/>
      </c>
      <c r="O82" s="162">
        <f>IFERROR(""&amp;INDEX(tk_ANCHOR,MATCH(76,tk_ASEQ,0)),"")</f>
        <v/>
      </c>
      <c r="P82" s="162">
        <f>IFERROR(""&amp;INDEX(tk_RATING,MATCH(76,tk_ASEQ,0)),"")</f>
        <v/>
      </c>
      <c r="Q82" s="162">
        <f>IFERROR(""&amp;INDEX(tk_LABEL,MATCH(76,tk_ASEQ,0)),"")</f>
        <v/>
      </c>
      <c r="R82" s="162">
        <f>IFERROR(""&amp;INDEX(tk_HWSET,MATCH(76,tk_ASEQ,0)),"")</f>
        <v/>
      </c>
      <c r="S82" s="162">
        <f>IFERROR(IF(""&amp;INDEX(tk_HINGES,MATCH(76,tk_ASEQ,0))="","",INDEX(tk_HINGES,MATCH(76,tk_ASEQ,0))&amp;" · "&amp;INDEX(tk_LSRC,MATCH(76,tk_ASEQ,0))),"")</f>
        <v/>
      </c>
      <c r="T82" s="162">
        <f>IFERROR(""&amp;INDEX(tk_LOCK,MATCH(76,tk_ASEQ,0)),"")</f>
        <v/>
      </c>
      <c r="U82" s="162">
        <f>IFERROR(INDEX(tk_ETYPE,MATCH(76,tk_ASEQ,0)),"")</f>
        <v/>
      </c>
      <c r="V82" s="162">
        <f>IFERROR(""&amp;INDEX(tk_CHECK,MATCH(76,tk_ASEQ,0)),"")</f>
        <v/>
      </c>
      <c r="W82" s="162">
        <f>IFERROR(TRIM(INDEX(tk_DNOTES,MATCH(76,tk_ASEQ,0))&amp;" "&amp;INDEX(tk_FNOTES,MATCH(76,tk_ASEQ,0))),"")</f>
        <v/>
      </c>
    </row>
    <row r="83">
      <c r="A83" s="161">
        <f>IFERROR(""&amp;INDEX(tk_MARK,MATCH(77,tk_ASEQ,0)),"")</f>
        <v/>
      </c>
      <c r="B83" s="162">
        <f>IFERROR(""&amp;INDEX(tk_ROOMF,MATCH(77,tk_ASEQ,0)),"")</f>
        <v/>
      </c>
      <c r="C83" s="162">
        <f>IFERROR(""&amp;INDEX(tk_ROOMT,MATCH(77,tk_ASEQ,0)),"")</f>
        <v/>
      </c>
      <c r="D83" s="162">
        <f>IFERROR(INDEX(tk_QTY,MATCH(77,tk_ASEQ,0)),"")</f>
        <v/>
      </c>
      <c r="E83" s="162">
        <f>IFERROR(""&amp;INDEX(tk_SIZE,MATCH(77,tk_ASEQ,0)),"")</f>
        <v/>
      </c>
      <c r="F83" s="162">
        <f>IFERROR(""&amp;INDEX(tk_PAIR,MATCH(77,tk_ASEQ,0)),"")</f>
        <v/>
      </c>
      <c r="G83" s="162">
        <f>IFERROR(""&amp;INDEX(tk_DMAT,MATCH(77,tk_ASEQ,0)),"")</f>
        <v/>
      </c>
      <c r="H83" s="162">
        <f>IFERROR(""&amp;INDEX(tk_DGA,MATCH(77,tk_ASEQ,0)),"")</f>
        <v/>
      </c>
      <c r="I83" s="162">
        <f>IFERROR(""&amp;INDEX(tk_FACE,MATCH(77,tk_ASEQ,0)),"")</f>
        <v/>
      </c>
      <c r="J83" s="162">
        <f>IFERROR(IF(INDEX(tk_DHAND,MATCH(77,tk_ASEQ,0))="",""&amp;INDEX(tk_HAND,MATCH(77,tk_ASEQ,0)),""&amp;INDEX(tk_DHAND,MATCH(77,tk_ASEQ,0))),"")</f>
        <v/>
      </c>
      <c r="K83" s="162">
        <f>IFERROR(""&amp;INDEX(tk_FDESC,MATCH(77,tk_ASEQ,0)),"")</f>
        <v/>
      </c>
      <c r="L83" s="162">
        <f>IFERROR(INDEX(tk_STEEL,MATCH(77,tk_ASEQ,0))&amp;IF(INDEX(tk_FGA,MATCH(77,tk_ASEQ,0))="",""," "&amp;INDEX(tk_FGA,MATCH(77,tk_ASEQ,0))&amp;"GA"),"")</f>
        <v/>
      </c>
      <c r="M83" s="162">
        <f>IFERROR(IFERROR(VLOOKUP(INDEX(tk_JAMB,MATCH(77,tk_ASEQ,0)),CODES,2,FALSE),""&amp;INDEX(tk_JAMB,MATCH(77,tk_ASEQ,0))),"")</f>
        <v/>
      </c>
      <c r="N83" s="162">
        <f>IFERROR(""&amp;INDEX(tk_CONSTR,MATCH(77,tk_ASEQ,0)),"")</f>
        <v/>
      </c>
      <c r="O83" s="162">
        <f>IFERROR(""&amp;INDEX(tk_ANCHOR,MATCH(77,tk_ASEQ,0)),"")</f>
        <v/>
      </c>
      <c r="P83" s="162">
        <f>IFERROR(""&amp;INDEX(tk_RATING,MATCH(77,tk_ASEQ,0)),"")</f>
        <v/>
      </c>
      <c r="Q83" s="162">
        <f>IFERROR(""&amp;INDEX(tk_LABEL,MATCH(77,tk_ASEQ,0)),"")</f>
        <v/>
      </c>
      <c r="R83" s="162">
        <f>IFERROR(""&amp;INDEX(tk_HWSET,MATCH(77,tk_ASEQ,0)),"")</f>
        <v/>
      </c>
      <c r="S83" s="162">
        <f>IFERROR(IF(""&amp;INDEX(tk_HINGES,MATCH(77,tk_ASEQ,0))="","",INDEX(tk_HINGES,MATCH(77,tk_ASEQ,0))&amp;" · "&amp;INDEX(tk_LSRC,MATCH(77,tk_ASEQ,0))),"")</f>
        <v/>
      </c>
      <c r="T83" s="162">
        <f>IFERROR(""&amp;INDEX(tk_LOCK,MATCH(77,tk_ASEQ,0)),"")</f>
        <v/>
      </c>
      <c r="U83" s="162">
        <f>IFERROR(INDEX(tk_ETYPE,MATCH(77,tk_ASEQ,0)),"")</f>
        <v/>
      </c>
      <c r="V83" s="162">
        <f>IFERROR(""&amp;INDEX(tk_CHECK,MATCH(77,tk_ASEQ,0)),"")</f>
        <v/>
      </c>
      <c r="W83" s="162">
        <f>IFERROR(TRIM(INDEX(tk_DNOTES,MATCH(77,tk_ASEQ,0))&amp;" "&amp;INDEX(tk_FNOTES,MATCH(77,tk_ASEQ,0))),"")</f>
        <v/>
      </c>
    </row>
    <row r="84">
      <c r="A84" s="161">
        <f>IFERROR(""&amp;INDEX(tk_MARK,MATCH(78,tk_ASEQ,0)),"")</f>
        <v/>
      </c>
      <c r="B84" s="162">
        <f>IFERROR(""&amp;INDEX(tk_ROOMF,MATCH(78,tk_ASEQ,0)),"")</f>
        <v/>
      </c>
      <c r="C84" s="162">
        <f>IFERROR(""&amp;INDEX(tk_ROOMT,MATCH(78,tk_ASEQ,0)),"")</f>
        <v/>
      </c>
      <c r="D84" s="162">
        <f>IFERROR(INDEX(tk_QTY,MATCH(78,tk_ASEQ,0)),"")</f>
        <v/>
      </c>
      <c r="E84" s="162">
        <f>IFERROR(""&amp;INDEX(tk_SIZE,MATCH(78,tk_ASEQ,0)),"")</f>
        <v/>
      </c>
      <c r="F84" s="162">
        <f>IFERROR(""&amp;INDEX(tk_PAIR,MATCH(78,tk_ASEQ,0)),"")</f>
        <v/>
      </c>
      <c r="G84" s="162">
        <f>IFERROR(""&amp;INDEX(tk_DMAT,MATCH(78,tk_ASEQ,0)),"")</f>
        <v/>
      </c>
      <c r="H84" s="162">
        <f>IFERROR(""&amp;INDEX(tk_DGA,MATCH(78,tk_ASEQ,0)),"")</f>
        <v/>
      </c>
      <c r="I84" s="162">
        <f>IFERROR(""&amp;INDEX(tk_FACE,MATCH(78,tk_ASEQ,0)),"")</f>
        <v/>
      </c>
      <c r="J84" s="162">
        <f>IFERROR(IF(INDEX(tk_DHAND,MATCH(78,tk_ASEQ,0))="",""&amp;INDEX(tk_HAND,MATCH(78,tk_ASEQ,0)),""&amp;INDEX(tk_DHAND,MATCH(78,tk_ASEQ,0))),"")</f>
        <v/>
      </c>
      <c r="K84" s="162">
        <f>IFERROR(""&amp;INDEX(tk_FDESC,MATCH(78,tk_ASEQ,0)),"")</f>
        <v/>
      </c>
      <c r="L84" s="162">
        <f>IFERROR(INDEX(tk_STEEL,MATCH(78,tk_ASEQ,0))&amp;IF(INDEX(tk_FGA,MATCH(78,tk_ASEQ,0))="",""," "&amp;INDEX(tk_FGA,MATCH(78,tk_ASEQ,0))&amp;"GA"),"")</f>
        <v/>
      </c>
      <c r="M84" s="162">
        <f>IFERROR(IFERROR(VLOOKUP(INDEX(tk_JAMB,MATCH(78,tk_ASEQ,0)),CODES,2,FALSE),""&amp;INDEX(tk_JAMB,MATCH(78,tk_ASEQ,0))),"")</f>
        <v/>
      </c>
      <c r="N84" s="162">
        <f>IFERROR(""&amp;INDEX(tk_CONSTR,MATCH(78,tk_ASEQ,0)),"")</f>
        <v/>
      </c>
      <c r="O84" s="162">
        <f>IFERROR(""&amp;INDEX(tk_ANCHOR,MATCH(78,tk_ASEQ,0)),"")</f>
        <v/>
      </c>
      <c r="P84" s="162">
        <f>IFERROR(""&amp;INDEX(tk_RATING,MATCH(78,tk_ASEQ,0)),"")</f>
        <v/>
      </c>
      <c r="Q84" s="162">
        <f>IFERROR(""&amp;INDEX(tk_LABEL,MATCH(78,tk_ASEQ,0)),"")</f>
        <v/>
      </c>
      <c r="R84" s="162">
        <f>IFERROR(""&amp;INDEX(tk_HWSET,MATCH(78,tk_ASEQ,0)),"")</f>
        <v/>
      </c>
      <c r="S84" s="162">
        <f>IFERROR(IF(""&amp;INDEX(tk_HINGES,MATCH(78,tk_ASEQ,0))="","",INDEX(tk_HINGES,MATCH(78,tk_ASEQ,0))&amp;" · "&amp;INDEX(tk_LSRC,MATCH(78,tk_ASEQ,0))),"")</f>
        <v/>
      </c>
      <c r="T84" s="162">
        <f>IFERROR(""&amp;INDEX(tk_LOCK,MATCH(78,tk_ASEQ,0)),"")</f>
        <v/>
      </c>
      <c r="U84" s="162">
        <f>IFERROR(INDEX(tk_ETYPE,MATCH(78,tk_ASEQ,0)),"")</f>
        <v/>
      </c>
      <c r="V84" s="162">
        <f>IFERROR(""&amp;INDEX(tk_CHECK,MATCH(78,tk_ASEQ,0)),"")</f>
        <v/>
      </c>
      <c r="W84" s="162">
        <f>IFERROR(TRIM(INDEX(tk_DNOTES,MATCH(78,tk_ASEQ,0))&amp;" "&amp;INDEX(tk_FNOTES,MATCH(78,tk_ASEQ,0))),"")</f>
        <v/>
      </c>
    </row>
    <row r="85">
      <c r="A85" s="161">
        <f>IFERROR(""&amp;INDEX(tk_MARK,MATCH(79,tk_ASEQ,0)),"")</f>
        <v/>
      </c>
      <c r="B85" s="162">
        <f>IFERROR(""&amp;INDEX(tk_ROOMF,MATCH(79,tk_ASEQ,0)),"")</f>
        <v/>
      </c>
      <c r="C85" s="162">
        <f>IFERROR(""&amp;INDEX(tk_ROOMT,MATCH(79,tk_ASEQ,0)),"")</f>
        <v/>
      </c>
      <c r="D85" s="162">
        <f>IFERROR(INDEX(tk_QTY,MATCH(79,tk_ASEQ,0)),"")</f>
        <v/>
      </c>
      <c r="E85" s="162">
        <f>IFERROR(""&amp;INDEX(tk_SIZE,MATCH(79,tk_ASEQ,0)),"")</f>
        <v/>
      </c>
      <c r="F85" s="162">
        <f>IFERROR(""&amp;INDEX(tk_PAIR,MATCH(79,tk_ASEQ,0)),"")</f>
        <v/>
      </c>
      <c r="G85" s="162">
        <f>IFERROR(""&amp;INDEX(tk_DMAT,MATCH(79,tk_ASEQ,0)),"")</f>
        <v/>
      </c>
      <c r="H85" s="162">
        <f>IFERROR(""&amp;INDEX(tk_DGA,MATCH(79,tk_ASEQ,0)),"")</f>
        <v/>
      </c>
      <c r="I85" s="162">
        <f>IFERROR(""&amp;INDEX(tk_FACE,MATCH(79,tk_ASEQ,0)),"")</f>
        <v/>
      </c>
      <c r="J85" s="162">
        <f>IFERROR(IF(INDEX(tk_DHAND,MATCH(79,tk_ASEQ,0))="",""&amp;INDEX(tk_HAND,MATCH(79,tk_ASEQ,0)),""&amp;INDEX(tk_DHAND,MATCH(79,tk_ASEQ,0))),"")</f>
        <v/>
      </c>
      <c r="K85" s="162">
        <f>IFERROR(""&amp;INDEX(tk_FDESC,MATCH(79,tk_ASEQ,0)),"")</f>
        <v/>
      </c>
      <c r="L85" s="162">
        <f>IFERROR(INDEX(tk_STEEL,MATCH(79,tk_ASEQ,0))&amp;IF(INDEX(tk_FGA,MATCH(79,tk_ASEQ,0))="",""," "&amp;INDEX(tk_FGA,MATCH(79,tk_ASEQ,0))&amp;"GA"),"")</f>
        <v/>
      </c>
      <c r="M85" s="162">
        <f>IFERROR(IFERROR(VLOOKUP(INDEX(tk_JAMB,MATCH(79,tk_ASEQ,0)),CODES,2,FALSE),""&amp;INDEX(tk_JAMB,MATCH(79,tk_ASEQ,0))),"")</f>
        <v/>
      </c>
      <c r="N85" s="162">
        <f>IFERROR(""&amp;INDEX(tk_CONSTR,MATCH(79,tk_ASEQ,0)),"")</f>
        <v/>
      </c>
      <c r="O85" s="162">
        <f>IFERROR(""&amp;INDEX(tk_ANCHOR,MATCH(79,tk_ASEQ,0)),"")</f>
        <v/>
      </c>
      <c r="P85" s="162">
        <f>IFERROR(""&amp;INDEX(tk_RATING,MATCH(79,tk_ASEQ,0)),"")</f>
        <v/>
      </c>
      <c r="Q85" s="162">
        <f>IFERROR(""&amp;INDEX(tk_LABEL,MATCH(79,tk_ASEQ,0)),"")</f>
        <v/>
      </c>
      <c r="R85" s="162">
        <f>IFERROR(""&amp;INDEX(tk_HWSET,MATCH(79,tk_ASEQ,0)),"")</f>
        <v/>
      </c>
      <c r="S85" s="162">
        <f>IFERROR(IF(""&amp;INDEX(tk_HINGES,MATCH(79,tk_ASEQ,0))="","",INDEX(tk_HINGES,MATCH(79,tk_ASEQ,0))&amp;" · "&amp;INDEX(tk_LSRC,MATCH(79,tk_ASEQ,0))),"")</f>
        <v/>
      </c>
      <c r="T85" s="162">
        <f>IFERROR(""&amp;INDEX(tk_LOCK,MATCH(79,tk_ASEQ,0)),"")</f>
        <v/>
      </c>
      <c r="U85" s="162">
        <f>IFERROR(INDEX(tk_ETYPE,MATCH(79,tk_ASEQ,0)),"")</f>
        <v/>
      </c>
      <c r="V85" s="162">
        <f>IFERROR(""&amp;INDEX(tk_CHECK,MATCH(79,tk_ASEQ,0)),"")</f>
        <v/>
      </c>
      <c r="W85" s="162">
        <f>IFERROR(TRIM(INDEX(tk_DNOTES,MATCH(79,tk_ASEQ,0))&amp;" "&amp;INDEX(tk_FNOTES,MATCH(79,tk_ASEQ,0))),"")</f>
        <v/>
      </c>
    </row>
    <row r="86">
      <c r="A86" s="161">
        <f>IFERROR(""&amp;INDEX(tk_MARK,MATCH(80,tk_ASEQ,0)),"")</f>
        <v/>
      </c>
      <c r="B86" s="162">
        <f>IFERROR(""&amp;INDEX(tk_ROOMF,MATCH(80,tk_ASEQ,0)),"")</f>
        <v/>
      </c>
      <c r="C86" s="162">
        <f>IFERROR(""&amp;INDEX(tk_ROOMT,MATCH(80,tk_ASEQ,0)),"")</f>
        <v/>
      </c>
      <c r="D86" s="162">
        <f>IFERROR(INDEX(tk_QTY,MATCH(80,tk_ASEQ,0)),"")</f>
        <v/>
      </c>
      <c r="E86" s="162">
        <f>IFERROR(""&amp;INDEX(tk_SIZE,MATCH(80,tk_ASEQ,0)),"")</f>
        <v/>
      </c>
      <c r="F86" s="162">
        <f>IFERROR(""&amp;INDEX(tk_PAIR,MATCH(80,tk_ASEQ,0)),"")</f>
        <v/>
      </c>
      <c r="G86" s="162">
        <f>IFERROR(""&amp;INDEX(tk_DMAT,MATCH(80,tk_ASEQ,0)),"")</f>
        <v/>
      </c>
      <c r="H86" s="162">
        <f>IFERROR(""&amp;INDEX(tk_DGA,MATCH(80,tk_ASEQ,0)),"")</f>
        <v/>
      </c>
      <c r="I86" s="162">
        <f>IFERROR(""&amp;INDEX(tk_FACE,MATCH(80,tk_ASEQ,0)),"")</f>
        <v/>
      </c>
      <c r="J86" s="162">
        <f>IFERROR(IF(INDEX(tk_DHAND,MATCH(80,tk_ASEQ,0))="",""&amp;INDEX(tk_HAND,MATCH(80,tk_ASEQ,0)),""&amp;INDEX(tk_DHAND,MATCH(80,tk_ASEQ,0))),"")</f>
        <v/>
      </c>
      <c r="K86" s="162">
        <f>IFERROR(""&amp;INDEX(tk_FDESC,MATCH(80,tk_ASEQ,0)),"")</f>
        <v/>
      </c>
      <c r="L86" s="162">
        <f>IFERROR(INDEX(tk_STEEL,MATCH(80,tk_ASEQ,0))&amp;IF(INDEX(tk_FGA,MATCH(80,tk_ASEQ,0))="",""," "&amp;INDEX(tk_FGA,MATCH(80,tk_ASEQ,0))&amp;"GA"),"")</f>
        <v/>
      </c>
      <c r="M86" s="162">
        <f>IFERROR(IFERROR(VLOOKUP(INDEX(tk_JAMB,MATCH(80,tk_ASEQ,0)),CODES,2,FALSE),""&amp;INDEX(tk_JAMB,MATCH(80,tk_ASEQ,0))),"")</f>
        <v/>
      </c>
      <c r="N86" s="162">
        <f>IFERROR(""&amp;INDEX(tk_CONSTR,MATCH(80,tk_ASEQ,0)),"")</f>
        <v/>
      </c>
      <c r="O86" s="162">
        <f>IFERROR(""&amp;INDEX(tk_ANCHOR,MATCH(80,tk_ASEQ,0)),"")</f>
        <v/>
      </c>
      <c r="P86" s="162">
        <f>IFERROR(""&amp;INDEX(tk_RATING,MATCH(80,tk_ASEQ,0)),"")</f>
        <v/>
      </c>
      <c r="Q86" s="162">
        <f>IFERROR(""&amp;INDEX(tk_LABEL,MATCH(80,tk_ASEQ,0)),"")</f>
        <v/>
      </c>
      <c r="R86" s="162">
        <f>IFERROR(""&amp;INDEX(tk_HWSET,MATCH(80,tk_ASEQ,0)),"")</f>
        <v/>
      </c>
      <c r="S86" s="162">
        <f>IFERROR(IF(""&amp;INDEX(tk_HINGES,MATCH(80,tk_ASEQ,0))="","",INDEX(tk_HINGES,MATCH(80,tk_ASEQ,0))&amp;" · "&amp;INDEX(tk_LSRC,MATCH(80,tk_ASEQ,0))),"")</f>
        <v/>
      </c>
      <c r="T86" s="162">
        <f>IFERROR(""&amp;INDEX(tk_LOCK,MATCH(80,tk_ASEQ,0)),"")</f>
        <v/>
      </c>
      <c r="U86" s="162">
        <f>IFERROR(INDEX(tk_ETYPE,MATCH(80,tk_ASEQ,0)),"")</f>
        <v/>
      </c>
      <c r="V86" s="162">
        <f>IFERROR(""&amp;INDEX(tk_CHECK,MATCH(80,tk_ASEQ,0)),"")</f>
        <v/>
      </c>
      <c r="W86" s="162">
        <f>IFERROR(TRIM(INDEX(tk_DNOTES,MATCH(80,tk_ASEQ,0))&amp;" "&amp;INDEX(tk_FNOTES,MATCH(80,tk_ASEQ,0))),"")</f>
        <v/>
      </c>
    </row>
    <row r="87">
      <c r="A87" s="161">
        <f>IFERROR(""&amp;INDEX(tk_MARK,MATCH(81,tk_ASEQ,0)),"")</f>
        <v/>
      </c>
      <c r="B87" s="162">
        <f>IFERROR(""&amp;INDEX(tk_ROOMF,MATCH(81,tk_ASEQ,0)),"")</f>
        <v/>
      </c>
      <c r="C87" s="162">
        <f>IFERROR(""&amp;INDEX(tk_ROOMT,MATCH(81,tk_ASEQ,0)),"")</f>
        <v/>
      </c>
      <c r="D87" s="162">
        <f>IFERROR(INDEX(tk_QTY,MATCH(81,tk_ASEQ,0)),"")</f>
        <v/>
      </c>
      <c r="E87" s="162">
        <f>IFERROR(""&amp;INDEX(tk_SIZE,MATCH(81,tk_ASEQ,0)),"")</f>
        <v/>
      </c>
      <c r="F87" s="162">
        <f>IFERROR(""&amp;INDEX(tk_PAIR,MATCH(81,tk_ASEQ,0)),"")</f>
        <v/>
      </c>
      <c r="G87" s="162">
        <f>IFERROR(""&amp;INDEX(tk_DMAT,MATCH(81,tk_ASEQ,0)),"")</f>
        <v/>
      </c>
      <c r="H87" s="162">
        <f>IFERROR(""&amp;INDEX(tk_DGA,MATCH(81,tk_ASEQ,0)),"")</f>
        <v/>
      </c>
      <c r="I87" s="162">
        <f>IFERROR(""&amp;INDEX(tk_FACE,MATCH(81,tk_ASEQ,0)),"")</f>
        <v/>
      </c>
      <c r="J87" s="162">
        <f>IFERROR(IF(INDEX(tk_DHAND,MATCH(81,tk_ASEQ,0))="",""&amp;INDEX(tk_HAND,MATCH(81,tk_ASEQ,0)),""&amp;INDEX(tk_DHAND,MATCH(81,tk_ASEQ,0))),"")</f>
        <v/>
      </c>
      <c r="K87" s="162">
        <f>IFERROR(""&amp;INDEX(tk_FDESC,MATCH(81,tk_ASEQ,0)),"")</f>
        <v/>
      </c>
      <c r="L87" s="162">
        <f>IFERROR(INDEX(tk_STEEL,MATCH(81,tk_ASEQ,0))&amp;IF(INDEX(tk_FGA,MATCH(81,tk_ASEQ,0))="",""," "&amp;INDEX(tk_FGA,MATCH(81,tk_ASEQ,0))&amp;"GA"),"")</f>
        <v/>
      </c>
      <c r="M87" s="162">
        <f>IFERROR(IFERROR(VLOOKUP(INDEX(tk_JAMB,MATCH(81,tk_ASEQ,0)),CODES,2,FALSE),""&amp;INDEX(tk_JAMB,MATCH(81,tk_ASEQ,0))),"")</f>
        <v/>
      </c>
      <c r="N87" s="162">
        <f>IFERROR(""&amp;INDEX(tk_CONSTR,MATCH(81,tk_ASEQ,0)),"")</f>
        <v/>
      </c>
      <c r="O87" s="162">
        <f>IFERROR(""&amp;INDEX(tk_ANCHOR,MATCH(81,tk_ASEQ,0)),"")</f>
        <v/>
      </c>
      <c r="P87" s="162">
        <f>IFERROR(""&amp;INDEX(tk_RATING,MATCH(81,tk_ASEQ,0)),"")</f>
        <v/>
      </c>
      <c r="Q87" s="162">
        <f>IFERROR(""&amp;INDEX(tk_LABEL,MATCH(81,tk_ASEQ,0)),"")</f>
        <v/>
      </c>
      <c r="R87" s="162">
        <f>IFERROR(""&amp;INDEX(tk_HWSET,MATCH(81,tk_ASEQ,0)),"")</f>
        <v/>
      </c>
      <c r="S87" s="162">
        <f>IFERROR(IF(""&amp;INDEX(tk_HINGES,MATCH(81,tk_ASEQ,0))="","",INDEX(tk_HINGES,MATCH(81,tk_ASEQ,0))&amp;" · "&amp;INDEX(tk_LSRC,MATCH(81,tk_ASEQ,0))),"")</f>
        <v/>
      </c>
      <c r="T87" s="162">
        <f>IFERROR(""&amp;INDEX(tk_LOCK,MATCH(81,tk_ASEQ,0)),"")</f>
        <v/>
      </c>
      <c r="U87" s="162">
        <f>IFERROR(INDEX(tk_ETYPE,MATCH(81,tk_ASEQ,0)),"")</f>
        <v/>
      </c>
      <c r="V87" s="162">
        <f>IFERROR(""&amp;INDEX(tk_CHECK,MATCH(81,tk_ASEQ,0)),"")</f>
        <v/>
      </c>
      <c r="W87" s="162">
        <f>IFERROR(TRIM(INDEX(tk_DNOTES,MATCH(81,tk_ASEQ,0))&amp;" "&amp;INDEX(tk_FNOTES,MATCH(81,tk_ASEQ,0))),"")</f>
        <v/>
      </c>
    </row>
    <row r="88">
      <c r="A88" s="161">
        <f>IFERROR(""&amp;INDEX(tk_MARK,MATCH(82,tk_ASEQ,0)),"")</f>
        <v/>
      </c>
      <c r="B88" s="162">
        <f>IFERROR(""&amp;INDEX(tk_ROOMF,MATCH(82,tk_ASEQ,0)),"")</f>
        <v/>
      </c>
      <c r="C88" s="162">
        <f>IFERROR(""&amp;INDEX(tk_ROOMT,MATCH(82,tk_ASEQ,0)),"")</f>
        <v/>
      </c>
      <c r="D88" s="162">
        <f>IFERROR(INDEX(tk_QTY,MATCH(82,tk_ASEQ,0)),"")</f>
        <v/>
      </c>
      <c r="E88" s="162">
        <f>IFERROR(""&amp;INDEX(tk_SIZE,MATCH(82,tk_ASEQ,0)),"")</f>
        <v/>
      </c>
      <c r="F88" s="162">
        <f>IFERROR(""&amp;INDEX(tk_PAIR,MATCH(82,tk_ASEQ,0)),"")</f>
        <v/>
      </c>
      <c r="G88" s="162">
        <f>IFERROR(""&amp;INDEX(tk_DMAT,MATCH(82,tk_ASEQ,0)),"")</f>
        <v/>
      </c>
      <c r="H88" s="162">
        <f>IFERROR(""&amp;INDEX(tk_DGA,MATCH(82,tk_ASEQ,0)),"")</f>
        <v/>
      </c>
      <c r="I88" s="162">
        <f>IFERROR(""&amp;INDEX(tk_FACE,MATCH(82,tk_ASEQ,0)),"")</f>
        <v/>
      </c>
      <c r="J88" s="162">
        <f>IFERROR(IF(INDEX(tk_DHAND,MATCH(82,tk_ASEQ,0))="",""&amp;INDEX(tk_HAND,MATCH(82,tk_ASEQ,0)),""&amp;INDEX(tk_DHAND,MATCH(82,tk_ASEQ,0))),"")</f>
        <v/>
      </c>
      <c r="K88" s="162">
        <f>IFERROR(""&amp;INDEX(tk_FDESC,MATCH(82,tk_ASEQ,0)),"")</f>
        <v/>
      </c>
      <c r="L88" s="162">
        <f>IFERROR(INDEX(tk_STEEL,MATCH(82,tk_ASEQ,0))&amp;IF(INDEX(tk_FGA,MATCH(82,tk_ASEQ,0))="",""," "&amp;INDEX(tk_FGA,MATCH(82,tk_ASEQ,0))&amp;"GA"),"")</f>
        <v/>
      </c>
      <c r="M88" s="162">
        <f>IFERROR(IFERROR(VLOOKUP(INDEX(tk_JAMB,MATCH(82,tk_ASEQ,0)),CODES,2,FALSE),""&amp;INDEX(tk_JAMB,MATCH(82,tk_ASEQ,0))),"")</f>
        <v/>
      </c>
      <c r="N88" s="162">
        <f>IFERROR(""&amp;INDEX(tk_CONSTR,MATCH(82,tk_ASEQ,0)),"")</f>
        <v/>
      </c>
      <c r="O88" s="162">
        <f>IFERROR(""&amp;INDEX(tk_ANCHOR,MATCH(82,tk_ASEQ,0)),"")</f>
        <v/>
      </c>
      <c r="P88" s="162">
        <f>IFERROR(""&amp;INDEX(tk_RATING,MATCH(82,tk_ASEQ,0)),"")</f>
        <v/>
      </c>
      <c r="Q88" s="162">
        <f>IFERROR(""&amp;INDEX(tk_LABEL,MATCH(82,tk_ASEQ,0)),"")</f>
        <v/>
      </c>
      <c r="R88" s="162">
        <f>IFERROR(""&amp;INDEX(tk_HWSET,MATCH(82,tk_ASEQ,0)),"")</f>
        <v/>
      </c>
      <c r="S88" s="162">
        <f>IFERROR(IF(""&amp;INDEX(tk_HINGES,MATCH(82,tk_ASEQ,0))="","",INDEX(tk_HINGES,MATCH(82,tk_ASEQ,0))&amp;" · "&amp;INDEX(tk_LSRC,MATCH(82,tk_ASEQ,0))),"")</f>
        <v/>
      </c>
      <c r="T88" s="162">
        <f>IFERROR(""&amp;INDEX(tk_LOCK,MATCH(82,tk_ASEQ,0)),"")</f>
        <v/>
      </c>
      <c r="U88" s="162">
        <f>IFERROR(INDEX(tk_ETYPE,MATCH(82,tk_ASEQ,0)),"")</f>
        <v/>
      </c>
      <c r="V88" s="162">
        <f>IFERROR(""&amp;INDEX(tk_CHECK,MATCH(82,tk_ASEQ,0)),"")</f>
        <v/>
      </c>
      <c r="W88" s="162">
        <f>IFERROR(TRIM(INDEX(tk_DNOTES,MATCH(82,tk_ASEQ,0))&amp;" "&amp;INDEX(tk_FNOTES,MATCH(82,tk_ASEQ,0))),"")</f>
        <v/>
      </c>
    </row>
    <row r="89">
      <c r="A89" s="161">
        <f>IFERROR(""&amp;INDEX(tk_MARK,MATCH(83,tk_ASEQ,0)),"")</f>
        <v/>
      </c>
      <c r="B89" s="162">
        <f>IFERROR(""&amp;INDEX(tk_ROOMF,MATCH(83,tk_ASEQ,0)),"")</f>
        <v/>
      </c>
      <c r="C89" s="162">
        <f>IFERROR(""&amp;INDEX(tk_ROOMT,MATCH(83,tk_ASEQ,0)),"")</f>
        <v/>
      </c>
      <c r="D89" s="162">
        <f>IFERROR(INDEX(tk_QTY,MATCH(83,tk_ASEQ,0)),"")</f>
        <v/>
      </c>
      <c r="E89" s="162">
        <f>IFERROR(""&amp;INDEX(tk_SIZE,MATCH(83,tk_ASEQ,0)),"")</f>
        <v/>
      </c>
      <c r="F89" s="162">
        <f>IFERROR(""&amp;INDEX(tk_PAIR,MATCH(83,tk_ASEQ,0)),"")</f>
        <v/>
      </c>
      <c r="G89" s="162">
        <f>IFERROR(""&amp;INDEX(tk_DMAT,MATCH(83,tk_ASEQ,0)),"")</f>
        <v/>
      </c>
      <c r="H89" s="162">
        <f>IFERROR(""&amp;INDEX(tk_DGA,MATCH(83,tk_ASEQ,0)),"")</f>
        <v/>
      </c>
      <c r="I89" s="162">
        <f>IFERROR(""&amp;INDEX(tk_FACE,MATCH(83,tk_ASEQ,0)),"")</f>
        <v/>
      </c>
      <c r="J89" s="162">
        <f>IFERROR(IF(INDEX(tk_DHAND,MATCH(83,tk_ASEQ,0))="",""&amp;INDEX(tk_HAND,MATCH(83,tk_ASEQ,0)),""&amp;INDEX(tk_DHAND,MATCH(83,tk_ASEQ,0))),"")</f>
        <v/>
      </c>
      <c r="K89" s="162">
        <f>IFERROR(""&amp;INDEX(tk_FDESC,MATCH(83,tk_ASEQ,0)),"")</f>
        <v/>
      </c>
      <c r="L89" s="162">
        <f>IFERROR(INDEX(tk_STEEL,MATCH(83,tk_ASEQ,0))&amp;IF(INDEX(tk_FGA,MATCH(83,tk_ASEQ,0))="",""," "&amp;INDEX(tk_FGA,MATCH(83,tk_ASEQ,0))&amp;"GA"),"")</f>
        <v/>
      </c>
      <c r="M89" s="162">
        <f>IFERROR(IFERROR(VLOOKUP(INDEX(tk_JAMB,MATCH(83,tk_ASEQ,0)),CODES,2,FALSE),""&amp;INDEX(tk_JAMB,MATCH(83,tk_ASEQ,0))),"")</f>
        <v/>
      </c>
      <c r="N89" s="162">
        <f>IFERROR(""&amp;INDEX(tk_CONSTR,MATCH(83,tk_ASEQ,0)),"")</f>
        <v/>
      </c>
      <c r="O89" s="162">
        <f>IFERROR(""&amp;INDEX(tk_ANCHOR,MATCH(83,tk_ASEQ,0)),"")</f>
        <v/>
      </c>
      <c r="P89" s="162">
        <f>IFERROR(""&amp;INDEX(tk_RATING,MATCH(83,tk_ASEQ,0)),"")</f>
        <v/>
      </c>
      <c r="Q89" s="162">
        <f>IFERROR(""&amp;INDEX(tk_LABEL,MATCH(83,tk_ASEQ,0)),"")</f>
        <v/>
      </c>
      <c r="R89" s="162">
        <f>IFERROR(""&amp;INDEX(tk_HWSET,MATCH(83,tk_ASEQ,0)),"")</f>
        <v/>
      </c>
      <c r="S89" s="162">
        <f>IFERROR(IF(""&amp;INDEX(tk_HINGES,MATCH(83,tk_ASEQ,0))="","",INDEX(tk_HINGES,MATCH(83,tk_ASEQ,0))&amp;" · "&amp;INDEX(tk_LSRC,MATCH(83,tk_ASEQ,0))),"")</f>
        <v/>
      </c>
      <c r="T89" s="162">
        <f>IFERROR(""&amp;INDEX(tk_LOCK,MATCH(83,tk_ASEQ,0)),"")</f>
        <v/>
      </c>
      <c r="U89" s="162">
        <f>IFERROR(INDEX(tk_ETYPE,MATCH(83,tk_ASEQ,0)),"")</f>
        <v/>
      </c>
      <c r="V89" s="162">
        <f>IFERROR(""&amp;INDEX(tk_CHECK,MATCH(83,tk_ASEQ,0)),"")</f>
        <v/>
      </c>
      <c r="W89" s="162">
        <f>IFERROR(TRIM(INDEX(tk_DNOTES,MATCH(83,tk_ASEQ,0))&amp;" "&amp;INDEX(tk_FNOTES,MATCH(83,tk_ASEQ,0))),"")</f>
        <v/>
      </c>
    </row>
    <row r="90">
      <c r="A90" s="161">
        <f>IFERROR(""&amp;INDEX(tk_MARK,MATCH(84,tk_ASEQ,0)),"")</f>
        <v/>
      </c>
      <c r="B90" s="162">
        <f>IFERROR(""&amp;INDEX(tk_ROOMF,MATCH(84,tk_ASEQ,0)),"")</f>
        <v/>
      </c>
      <c r="C90" s="162">
        <f>IFERROR(""&amp;INDEX(tk_ROOMT,MATCH(84,tk_ASEQ,0)),"")</f>
        <v/>
      </c>
      <c r="D90" s="162">
        <f>IFERROR(INDEX(tk_QTY,MATCH(84,tk_ASEQ,0)),"")</f>
        <v/>
      </c>
      <c r="E90" s="162">
        <f>IFERROR(""&amp;INDEX(tk_SIZE,MATCH(84,tk_ASEQ,0)),"")</f>
        <v/>
      </c>
      <c r="F90" s="162">
        <f>IFERROR(""&amp;INDEX(tk_PAIR,MATCH(84,tk_ASEQ,0)),"")</f>
        <v/>
      </c>
      <c r="G90" s="162">
        <f>IFERROR(""&amp;INDEX(tk_DMAT,MATCH(84,tk_ASEQ,0)),"")</f>
        <v/>
      </c>
      <c r="H90" s="162">
        <f>IFERROR(""&amp;INDEX(tk_DGA,MATCH(84,tk_ASEQ,0)),"")</f>
        <v/>
      </c>
      <c r="I90" s="162">
        <f>IFERROR(""&amp;INDEX(tk_FACE,MATCH(84,tk_ASEQ,0)),"")</f>
        <v/>
      </c>
      <c r="J90" s="162">
        <f>IFERROR(IF(INDEX(tk_DHAND,MATCH(84,tk_ASEQ,0))="",""&amp;INDEX(tk_HAND,MATCH(84,tk_ASEQ,0)),""&amp;INDEX(tk_DHAND,MATCH(84,tk_ASEQ,0))),"")</f>
        <v/>
      </c>
      <c r="K90" s="162">
        <f>IFERROR(""&amp;INDEX(tk_FDESC,MATCH(84,tk_ASEQ,0)),"")</f>
        <v/>
      </c>
      <c r="L90" s="162">
        <f>IFERROR(INDEX(tk_STEEL,MATCH(84,tk_ASEQ,0))&amp;IF(INDEX(tk_FGA,MATCH(84,tk_ASEQ,0))="",""," "&amp;INDEX(tk_FGA,MATCH(84,tk_ASEQ,0))&amp;"GA"),"")</f>
        <v/>
      </c>
      <c r="M90" s="162">
        <f>IFERROR(IFERROR(VLOOKUP(INDEX(tk_JAMB,MATCH(84,tk_ASEQ,0)),CODES,2,FALSE),""&amp;INDEX(tk_JAMB,MATCH(84,tk_ASEQ,0))),"")</f>
        <v/>
      </c>
      <c r="N90" s="162">
        <f>IFERROR(""&amp;INDEX(tk_CONSTR,MATCH(84,tk_ASEQ,0)),"")</f>
        <v/>
      </c>
      <c r="O90" s="162">
        <f>IFERROR(""&amp;INDEX(tk_ANCHOR,MATCH(84,tk_ASEQ,0)),"")</f>
        <v/>
      </c>
      <c r="P90" s="162">
        <f>IFERROR(""&amp;INDEX(tk_RATING,MATCH(84,tk_ASEQ,0)),"")</f>
        <v/>
      </c>
      <c r="Q90" s="162">
        <f>IFERROR(""&amp;INDEX(tk_LABEL,MATCH(84,tk_ASEQ,0)),"")</f>
        <v/>
      </c>
      <c r="R90" s="162">
        <f>IFERROR(""&amp;INDEX(tk_HWSET,MATCH(84,tk_ASEQ,0)),"")</f>
        <v/>
      </c>
      <c r="S90" s="162">
        <f>IFERROR(IF(""&amp;INDEX(tk_HINGES,MATCH(84,tk_ASEQ,0))="","",INDEX(tk_HINGES,MATCH(84,tk_ASEQ,0))&amp;" · "&amp;INDEX(tk_LSRC,MATCH(84,tk_ASEQ,0))),"")</f>
        <v/>
      </c>
      <c r="T90" s="162">
        <f>IFERROR(""&amp;INDEX(tk_LOCK,MATCH(84,tk_ASEQ,0)),"")</f>
        <v/>
      </c>
      <c r="U90" s="162">
        <f>IFERROR(INDEX(tk_ETYPE,MATCH(84,tk_ASEQ,0)),"")</f>
        <v/>
      </c>
      <c r="V90" s="162">
        <f>IFERROR(""&amp;INDEX(tk_CHECK,MATCH(84,tk_ASEQ,0)),"")</f>
        <v/>
      </c>
      <c r="W90" s="162">
        <f>IFERROR(TRIM(INDEX(tk_DNOTES,MATCH(84,tk_ASEQ,0))&amp;" "&amp;INDEX(tk_FNOTES,MATCH(84,tk_ASEQ,0))),"")</f>
        <v/>
      </c>
    </row>
    <row r="91">
      <c r="A91" s="161">
        <f>IFERROR(""&amp;INDEX(tk_MARK,MATCH(85,tk_ASEQ,0)),"")</f>
        <v/>
      </c>
      <c r="B91" s="162">
        <f>IFERROR(""&amp;INDEX(tk_ROOMF,MATCH(85,tk_ASEQ,0)),"")</f>
        <v/>
      </c>
      <c r="C91" s="162">
        <f>IFERROR(""&amp;INDEX(tk_ROOMT,MATCH(85,tk_ASEQ,0)),"")</f>
        <v/>
      </c>
      <c r="D91" s="162">
        <f>IFERROR(INDEX(tk_QTY,MATCH(85,tk_ASEQ,0)),"")</f>
        <v/>
      </c>
      <c r="E91" s="162">
        <f>IFERROR(""&amp;INDEX(tk_SIZE,MATCH(85,tk_ASEQ,0)),"")</f>
        <v/>
      </c>
      <c r="F91" s="162">
        <f>IFERROR(""&amp;INDEX(tk_PAIR,MATCH(85,tk_ASEQ,0)),"")</f>
        <v/>
      </c>
      <c r="G91" s="162">
        <f>IFERROR(""&amp;INDEX(tk_DMAT,MATCH(85,tk_ASEQ,0)),"")</f>
        <v/>
      </c>
      <c r="H91" s="162">
        <f>IFERROR(""&amp;INDEX(tk_DGA,MATCH(85,tk_ASEQ,0)),"")</f>
        <v/>
      </c>
      <c r="I91" s="162">
        <f>IFERROR(""&amp;INDEX(tk_FACE,MATCH(85,tk_ASEQ,0)),"")</f>
        <v/>
      </c>
      <c r="J91" s="162">
        <f>IFERROR(IF(INDEX(tk_DHAND,MATCH(85,tk_ASEQ,0))="",""&amp;INDEX(tk_HAND,MATCH(85,tk_ASEQ,0)),""&amp;INDEX(tk_DHAND,MATCH(85,tk_ASEQ,0))),"")</f>
        <v/>
      </c>
      <c r="K91" s="162">
        <f>IFERROR(""&amp;INDEX(tk_FDESC,MATCH(85,tk_ASEQ,0)),"")</f>
        <v/>
      </c>
      <c r="L91" s="162">
        <f>IFERROR(INDEX(tk_STEEL,MATCH(85,tk_ASEQ,0))&amp;IF(INDEX(tk_FGA,MATCH(85,tk_ASEQ,0))="",""," "&amp;INDEX(tk_FGA,MATCH(85,tk_ASEQ,0))&amp;"GA"),"")</f>
        <v/>
      </c>
      <c r="M91" s="162">
        <f>IFERROR(IFERROR(VLOOKUP(INDEX(tk_JAMB,MATCH(85,tk_ASEQ,0)),CODES,2,FALSE),""&amp;INDEX(tk_JAMB,MATCH(85,tk_ASEQ,0))),"")</f>
        <v/>
      </c>
      <c r="N91" s="162">
        <f>IFERROR(""&amp;INDEX(tk_CONSTR,MATCH(85,tk_ASEQ,0)),"")</f>
        <v/>
      </c>
      <c r="O91" s="162">
        <f>IFERROR(""&amp;INDEX(tk_ANCHOR,MATCH(85,tk_ASEQ,0)),"")</f>
        <v/>
      </c>
      <c r="P91" s="162">
        <f>IFERROR(""&amp;INDEX(tk_RATING,MATCH(85,tk_ASEQ,0)),"")</f>
        <v/>
      </c>
      <c r="Q91" s="162">
        <f>IFERROR(""&amp;INDEX(tk_LABEL,MATCH(85,tk_ASEQ,0)),"")</f>
        <v/>
      </c>
      <c r="R91" s="162">
        <f>IFERROR(""&amp;INDEX(tk_HWSET,MATCH(85,tk_ASEQ,0)),"")</f>
        <v/>
      </c>
      <c r="S91" s="162">
        <f>IFERROR(IF(""&amp;INDEX(tk_HINGES,MATCH(85,tk_ASEQ,0))="","",INDEX(tk_HINGES,MATCH(85,tk_ASEQ,0))&amp;" · "&amp;INDEX(tk_LSRC,MATCH(85,tk_ASEQ,0))),"")</f>
        <v/>
      </c>
      <c r="T91" s="162">
        <f>IFERROR(""&amp;INDEX(tk_LOCK,MATCH(85,tk_ASEQ,0)),"")</f>
        <v/>
      </c>
      <c r="U91" s="162">
        <f>IFERROR(INDEX(tk_ETYPE,MATCH(85,tk_ASEQ,0)),"")</f>
        <v/>
      </c>
      <c r="V91" s="162">
        <f>IFERROR(""&amp;INDEX(tk_CHECK,MATCH(85,tk_ASEQ,0)),"")</f>
        <v/>
      </c>
      <c r="W91" s="162">
        <f>IFERROR(TRIM(INDEX(tk_DNOTES,MATCH(85,tk_ASEQ,0))&amp;" "&amp;INDEX(tk_FNOTES,MATCH(85,tk_ASEQ,0))),"")</f>
        <v/>
      </c>
    </row>
    <row r="92">
      <c r="A92" s="161">
        <f>IFERROR(""&amp;INDEX(tk_MARK,MATCH(86,tk_ASEQ,0)),"")</f>
        <v/>
      </c>
      <c r="B92" s="162">
        <f>IFERROR(""&amp;INDEX(tk_ROOMF,MATCH(86,tk_ASEQ,0)),"")</f>
        <v/>
      </c>
      <c r="C92" s="162">
        <f>IFERROR(""&amp;INDEX(tk_ROOMT,MATCH(86,tk_ASEQ,0)),"")</f>
        <v/>
      </c>
      <c r="D92" s="162">
        <f>IFERROR(INDEX(tk_QTY,MATCH(86,tk_ASEQ,0)),"")</f>
        <v/>
      </c>
      <c r="E92" s="162">
        <f>IFERROR(""&amp;INDEX(tk_SIZE,MATCH(86,tk_ASEQ,0)),"")</f>
        <v/>
      </c>
      <c r="F92" s="162">
        <f>IFERROR(""&amp;INDEX(tk_PAIR,MATCH(86,tk_ASEQ,0)),"")</f>
        <v/>
      </c>
      <c r="G92" s="162">
        <f>IFERROR(""&amp;INDEX(tk_DMAT,MATCH(86,tk_ASEQ,0)),"")</f>
        <v/>
      </c>
      <c r="H92" s="162">
        <f>IFERROR(""&amp;INDEX(tk_DGA,MATCH(86,tk_ASEQ,0)),"")</f>
        <v/>
      </c>
      <c r="I92" s="162">
        <f>IFERROR(""&amp;INDEX(tk_FACE,MATCH(86,tk_ASEQ,0)),"")</f>
        <v/>
      </c>
      <c r="J92" s="162">
        <f>IFERROR(IF(INDEX(tk_DHAND,MATCH(86,tk_ASEQ,0))="",""&amp;INDEX(tk_HAND,MATCH(86,tk_ASEQ,0)),""&amp;INDEX(tk_DHAND,MATCH(86,tk_ASEQ,0))),"")</f>
        <v/>
      </c>
      <c r="K92" s="162">
        <f>IFERROR(""&amp;INDEX(tk_FDESC,MATCH(86,tk_ASEQ,0)),"")</f>
        <v/>
      </c>
      <c r="L92" s="162">
        <f>IFERROR(INDEX(tk_STEEL,MATCH(86,tk_ASEQ,0))&amp;IF(INDEX(tk_FGA,MATCH(86,tk_ASEQ,0))="",""," "&amp;INDEX(tk_FGA,MATCH(86,tk_ASEQ,0))&amp;"GA"),"")</f>
        <v/>
      </c>
      <c r="M92" s="162">
        <f>IFERROR(IFERROR(VLOOKUP(INDEX(tk_JAMB,MATCH(86,tk_ASEQ,0)),CODES,2,FALSE),""&amp;INDEX(tk_JAMB,MATCH(86,tk_ASEQ,0))),"")</f>
        <v/>
      </c>
      <c r="N92" s="162">
        <f>IFERROR(""&amp;INDEX(tk_CONSTR,MATCH(86,tk_ASEQ,0)),"")</f>
        <v/>
      </c>
      <c r="O92" s="162">
        <f>IFERROR(""&amp;INDEX(tk_ANCHOR,MATCH(86,tk_ASEQ,0)),"")</f>
        <v/>
      </c>
      <c r="P92" s="162">
        <f>IFERROR(""&amp;INDEX(tk_RATING,MATCH(86,tk_ASEQ,0)),"")</f>
        <v/>
      </c>
      <c r="Q92" s="162">
        <f>IFERROR(""&amp;INDEX(tk_LABEL,MATCH(86,tk_ASEQ,0)),"")</f>
        <v/>
      </c>
      <c r="R92" s="162">
        <f>IFERROR(""&amp;INDEX(tk_HWSET,MATCH(86,tk_ASEQ,0)),"")</f>
        <v/>
      </c>
      <c r="S92" s="162">
        <f>IFERROR(IF(""&amp;INDEX(tk_HINGES,MATCH(86,tk_ASEQ,0))="","",INDEX(tk_HINGES,MATCH(86,tk_ASEQ,0))&amp;" · "&amp;INDEX(tk_LSRC,MATCH(86,tk_ASEQ,0))),"")</f>
        <v/>
      </c>
      <c r="T92" s="162">
        <f>IFERROR(""&amp;INDEX(tk_LOCK,MATCH(86,tk_ASEQ,0)),"")</f>
        <v/>
      </c>
      <c r="U92" s="162">
        <f>IFERROR(INDEX(tk_ETYPE,MATCH(86,tk_ASEQ,0)),"")</f>
        <v/>
      </c>
      <c r="V92" s="162">
        <f>IFERROR(""&amp;INDEX(tk_CHECK,MATCH(86,tk_ASEQ,0)),"")</f>
        <v/>
      </c>
      <c r="W92" s="162">
        <f>IFERROR(TRIM(INDEX(tk_DNOTES,MATCH(86,tk_ASEQ,0))&amp;" "&amp;INDEX(tk_FNOTES,MATCH(86,tk_ASEQ,0))),"")</f>
        <v/>
      </c>
    </row>
    <row r="93">
      <c r="A93" s="161">
        <f>IFERROR(""&amp;INDEX(tk_MARK,MATCH(87,tk_ASEQ,0)),"")</f>
        <v/>
      </c>
      <c r="B93" s="162">
        <f>IFERROR(""&amp;INDEX(tk_ROOMF,MATCH(87,tk_ASEQ,0)),"")</f>
        <v/>
      </c>
      <c r="C93" s="162">
        <f>IFERROR(""&amp;INDEX(tk_ROOMT,MATCH(87,tk_ASEQ,0)),"")</f>
        <v/>
      </c>
      <c r="D93" s="162">
        <f>IFERROR(INDEX(tk_QTY,MATCH(87,tk_ASEQ,0)),"")</f>
        <v/>
      </c>
      <c r="E93" s="162">
        <f>IFERROR(""&amp;INDEX(tk_SIZE,MATCH(87,tk_ASEQ,0)),"")</f>
        <v/>
      </c>
      <c r="F93" s="162">
        <f>IFERROR(""&amp;INDEX(tk_PAIR,MATCH(87,tk_ASEQ,0)),"")</f>
        <v/>
      </c>
      <c r="G93" s="162">
        <f>IFERROR(""&amp;INDEX(tk_DMAT,MATCH(87,tk_ASEQ,0)),"")</f>
        <v/>
      </c>
      <c r="H93" s="162">
        <f>IFERROR(""&amp;INDEX(tk_DGA,MATCH(87,tk_ASEQ,0)),"")</f>
        <v/>
      </c>
      <c r="I93" s="162">
        <f>IFERROR(""&amp;INDEX(tk_FACE,MATCH(87,tk_ASEQ,0)),"")</f>
        <v/>
      </c>
      <c r="J93" s="162">
        <f>IFERROR(IF(INDEX(tk_DHAND,MATCH(87,tk_ASEQ,0))="",""&amp;INDEX(tk_HAND,MATCH(87,tk_ASEQ,0)),""&amp;INDEX(tk_DHAND,MATCH(87,tk_ASEQ,0))),"")</f>
        <v/>
      </c>
      <c r="K93" s="162">
        <f>IFERROR(""&amp;INDEX(tk_FDESC,MATCH(87,tk_ASEQ,0)),"")</f>
        <v/>
      </c>
      <c r="L93" s="162">
        <f>IFERROR(INDEX(tk_STEEL,MATCH(87,tk_ASEQ,0))&amp;IF(INDEX(tk_FGA,MATCH(87,tk_ASEQ,0))="",""," "&amp;INDEX(tk_FGA,MATCH(87,tk_ASEQ,0))&amp;"GA"),"")</f>
        <v/>
      </c>
      <c r="M93" s="162">
        <f>IFERROR(IFERROR(VLOOKUP(INDEX(tk_JAMB,MATCH(87,tk_ASEQ,0)),CODES,2,FALSE),""&amp;INDEX(tk_JAMB,MATCH(87,tk_ASEQ,0))),"")</f>
        <v/>
      </c>
      <c r="N93" s="162">
        <f>IFERROR(""&amp;INDEX(tk_CONSTR,MATCH(87,tk_ASEQ,0)),"")</f>
        <v/>
      </c>
      <c r="O93" s="162">
        <f>IFERROR(""&amp;INDEX(tk_ANCHOR,MATCH(87,tk_ASEQ,0)),"")</f>
        <v/>
      </c>
      <c r="P93" s="162">
        <f>IFERROR(""&amp;INDEX(tk_RATING,MATCH(87,tk_ASEQ,0)),"")</f>
        <v/>
      </c>
      <c r="Q93" s="162">
        <f>IFERROR(""&amp;INDEX(tk_LABEL,MATCH(87,tk_ASEQ,0)),"")</f>
        <v/>
      </c>
      <c r="R93" s="162">
        <f>IFERROR(""&amp;INDEX(tk_HWSET,MATCH(87,tk_ASEQ,0)),"")</f>
        <v/>
      </c>
      <c r="S93" s="162">
        <f>IFERROR(IF(""&amp;INDEX(tk_HINGES,MATCH(87,tk_ASEQ,0))="","",INDEX(tk_HINGES,MATCH(87,tk_ASEQ,0))&amp;" · "&amp;INDEX(tk_LSRC,MATCH(87,tk_ASEQ,0))),"")</f>
        <v/>
      </c>
      <c r="T93" s="162">
        <f>IFERROR(""&amp;INDEX(tk_LOCK,MATCH(87,tk_ASEQ,0)),"")</f>
        <v/>
      </c>
      <c r="U93" s="162">
        <f>IFERROR(INDEX(tk_ETYPE,MATCH(87,tk_ASEQ,0)),"")</f>
        <v/>
      </c>
      <c r="V93" s="162">
        <f>IFERROR(""&amp;INDEX(tk_CHECK,MATCH(87,tk_ASEQ,0)),"")</f>
        <v/>
      </c>
      <c r="W93" s="162">
        <f>IFERROR(TRIM(INDEX(tk_DNOTES,MATCH(87,tk_ASEQ,0))&amp;" "&amp;INDEX(tk_FNOTES,MATCH(87,tk_ASEQ,0))),"")</f>
        <v/>
      </c>
    </row>
    <row r="94">
      <c r="A94" s="161">
        <f>IFERROR(""&amp;INDEX(tk_MARK,MATCH(88,tk_ASEQ,0)),"")</f>
        <v/>
      </c>
      <c r="B94" s="162">
        <f>IFERROR(""&amp;INDEX(tk_ROOMF,MATCH(88,tk_ASEQ,0)),"")</f>
        <v/>
      </c>
      <c r="C94" s="162">
        <f>IFERROR(""&amp;INDEX(tk_ROOMT,MATCH(88,tk_ASEQ,0)),"")</f>
        <v/>
      </c>
      <c r="D94" s="162">
        <f>IFERROR(INDEX(tk_QTY,MATCH(88,tk_ASEQ,0)),"")</f>
        <v/>
      </c>
      <c r="E94" s="162">
        <f>IFERROR(""&amp;INDEX(tk_SIZE,MATCH(88,tk_ASEQ,0)),"")</f>
        <v/>
      </c>
      <c r="F94" s="162">
        <f>IFERROR(""&amp;INDEX(tk_PAIR,MATCH(88,tk_ASEQ,0)),"")</f>
        <v/>
      </c>
      <c r="G94" s="162">
        <f>IFERROR(""&amp;INDEX(tk_DMAT,MATCH(88,tk_ASEQ,0)),"")</f>
        <v/>
      </c>
      <c r="H94" s="162">
        <f>IFERROR(""&amp;INDEX(tk_DGA,MATCH(88,tk_ASEQ,0)),"")</f>
        <v/>
      </c>
      <c r="I94" s="162">
        <f>IFERROR(""&amp;INDEX(tk_FACE,MATCH(88,tk_ASEQ,0)),"")</f>
        <v/>
      </c>
      <c r="J94" s="162">
        <f>IFERROR(IF(INDEX(tk_DHAND,MATCH(88,tk_ASEQ,0))="",""&amp;INDEX(tk_HAND,MATCH(88,tk_ASEQ,0)),""&amp;INDEX(tk_DHAND,MATCH(88,tk_ASEQ,0))),"")</f>
        <v/>
      </c>
      <c r="K94" s="162">
        <f>IFERROR(""&amp;INDEX(tk_FDESC,MATCH(88,tk_ASEQ,0)),"")</f>
        <v/>
      </c>
      <c r="L94" s="162">
        <f>IFERROR(INDEX(tk_STEEL,MATCH(88,tk_ASEQ,0))&amp;IF(INDEX(tk_FGA,MATCH(88,tk_ASEQ,0))="",""," "&amp;INDEX(tk_FGA,MATCH(88,tk_ASEQ,0))&amp;"GA"),"")</f>
        <v/>
      </c>
      <c r="M94" s="162">
        <f>IFERROR(IFERROR(VLOOKUP(INDEX(tk_JAMB,MATCH(88,tk_ASEQ,0)),CODES,2,FALSE),""&amp;INDEX(tk_JAMB,MATCH(88,tk_ASEQ,0))),"")</f>
        <v/>
      </c>
      <c r="N94" s="162">
        <f>IFERROR(""&amp;INDEX(tk_CONSTR,MATCH(88,tk_ASEQ,0)),"")</f>
        <v/>
      </c>
      <c r="O94" s="162">
        <f>IFERROR(""&amp;INDEX(tk_ANCHOR,MATCH(88,tk_ASEQ,0)),"")</f>
        <v/>
      </c>
      <c r="P94" s="162">
        <f>IFERROR(""&amp;INDEX(tk_RATING,MATCH(88,tk_ASEQ,0)),"")</f>
        <v/>
      </c>
      <c r="Q94" s="162">
        <f>IFERROR(""&amp;INDEX(tk_LABEL,MATCH(88,tk_ASEQ,0)),"")</f>
        <v/>
      </c>
      <c r="R94" s="162">
        <f>IFERROR(""&amp;INDEX(tk_HWSET,MATCH(88,tk_ASEQ,0)),"")</f>
        <v/>
      </c>
      <c r="S94" s="162">
        <f>IFERROR(IF(""&amp;INDEX(tk_HINGES,MATCH(88,tk_ASEQ,0))="","",INDEX(tk_HINGES,MATCH(88,tk_ASEQ,0))&amp;" · "&amp;INDEX(tk_LSRC,MATCH(88,tk_ASEQ,0))),"")</f>
        <v/>
      </c>
      <c r="T94" s="162">
        <f>IFERROR(""&amp;INDEX(tk_LOCK,MATCH(88,tk_ASEQ,0)),"")</f>
        <v/>
      </c>
      <c r="U94" s="162">
        <f>IFERROR(INDEX(tk_ETYPE,MATCH(88,tk_ASEQ,0)),"")</f>
        <v/>
      </c>
      <c r="V94" s="162">
        <f>IFERROR(""&amp;INDEX(tk_CHECK,MATCH(88,tk_ASEQ,0)),"")</f>
        <v/>
      </c>
      <c r="W94" s="162">
        <f>IFERROR(TRIM(INDEX(tk_DNOTES,MATCH(88,tk_ASEQ,0))&amp;" "&amp;INDEX(tk_FNOTES,MATCH(88,tk_ASEQ,0))),"")</f>
        <v/>
      </c>
    </row>
    <row r="95">
      <c r="A95" s="161">
        <f>IFERROR(""&amp;INDEX(tk_MARK,MATCH(89,tk_ASEQ,0)),"")</f>
        <v/>
      </c>
      <c r="B95" s="162">
        <f>IFERROR(""&amp;INDEX(tk_ROOMF,MATCH(89,tk_ASEQ,0)),"")</f>
        <v/>
      </c>
      <c r="C95" s="162">
        <f>IFERROR(""&amp;INDEX(tk_ROOMT,MATCH(89,tk_ASEQ,0)),"")</f>
        <v/>
      </c>
      <c r="D95" s="162">
        <f>IFERROR(INDEX(tk_QTY,MATCH(89,tk_ASEQ,0)),"")</f>
        <v/>
      </c>
      <c r="E95" s="162">
        <f>IFERROR(""&amp;INDEX(tk_SIZE,MATCH(89,tk_ASEQ,0)),"")</f>
        <v/>
      </c>
      <c r="F95" s="162">
        <f>IFERROR(""&amp;INDEX(tk_PAIR,MATCH(89,tk_ASEQ,0)),"")</f>
        <v/>
      </c>
      <c r="G95" s="162">
        <f>IFERROR(""&amp;INDEX(tk_DMAT,MATCH(89,tk_ASEQ,0)),"")</f>
        <v/>
      </c>
      <c r="H95" s="162">
        <f>IFERROR(""&amp;INDEX(tk_DGA,MATCH(89,tk_ASEQ,0)),"")</f>
        <v/>
      </c>
      <c r="I95" s="162">
        <f>IFERROR(""&amp;INDEX(tk_FACE,MATCH(89,tk_ASEQ,0)),"")</f>
        <v/>
      </c>
      <c r="J95" s="162">
        <f>IFERROR(IF(INDEX(tk_DHAND,MATCH(89,tk_ASEQ,0))="",""&amp;INDEX(tk_HAND,MATCH(89,tk_ASEQ,0)),""&amp;INDEX(tk_DHAND,MATCH(89,tk_ASEQ,0))),"")</f>
        <v/>
      </c>
      <c r="K95" s="162">
        <f>IFERROR(""&amp;INDEX(tk_FDESC,MATCH(89,tk_ASEQ,0)),"")</f>
        <v/>
      </c>
      <c r="L95" s="162">
        <f>IFERROR(INDEX(tk_STEEL,MATCH(89,tk_ASEQ,0))&amp;IF(INDEX(tk_FGA,MATCH(89,tk_ASEQ,0))="",""," "&amp;INDEX(tk_FGA,MATCH(89,tk_ASEQ,0))&amp;"GA"),"")</f>
        <v/>
      </c>
      <c r="M95" s="162">
        <f>IFERROR(IFERROR(VLOOKUP(INDEX(tk_JAMB,MATCH(89,tk_ASEQ,0)),CODES,2,FALSE),""&amp;INDEX(tk_JAMB,MATCH(89,tk_ASEQ,0))),"")</f>
        <v/>
      </c>
      <c r="N95" s="162">
        <f>IFERROR(""&amp;INDEX(tk_CONSTR,MATCH(89,tk_ASEQ,0)),"")</f>
        <v/>
      </c>
      <c r="O95" s="162">
        <f>IFERROR(""&amp;INDEX(tk_ANCHOR,MATCH(89,tk_ASEQ,0)),"")</f>
        <v/>
      </c>
      <c r="P95" s="162">
        <f>IFERROR(""&amp;INDEX(tk_RATING,MATCH(89,tk_ASEQ,0)),"")</f>
        <v/>
      </c>
      <c r="Q95" s="162">
        <f>IFERROR(""&amp;INDEX(tk_LABEL,MATCH(89,tk_ASEQ,0)),"")</f>
        <v/>
      </c>
      <c r="R95" s="162">
        <f>IFERROR(""&amp;INDEX(tk_HWSET,MATCH(89,tk_ASEQ,0)),"")</f>
        <v/>
      </c>
      <c r="S95" s="162">
        <f>IFERROR(IF(""&amp;INDEX(tk_HINGES,MATCH(89,tk_ASEQ,0))="","",INDEX(tk_HINGES,MATCH(89,tk_ASEQ,0))&amp;" · "&amp;INDEX(tk_LSRC,MATCH(89,tk_ASEQ,0))),"")</f>
        <v/>
      </c>
      <c r="T95" s="162">
        <f>IFERROR(""&amp;INDEX(tk_LOCK,MATCH(89,tk_ASEQ,0)),"")</f>
        <v/>
      </c>
      <c r="U95" s="162">
        <f>IFERROR(INDEX(tk_ETYPE,MATCH(89,tk_ASEQ,0)),"")</f>
        <v/>
      </c>
      <c r="V95" s="162">
        <f>IFERROR(""&amp;INDEX(tk_CHECK,MATCH(89,tk_ASEQ,0)),"")</f>
        <v/>
      </c>
      <c r="W95" s="162">
        <f>IFERROR(TRIM(INDEX(tk_DNOTES,MATCH(89,tk_ASEQ,0))&amp;" "&amp;INDEX(tk_FNOTES,MATCH(89,tk_ASEQ,0))),"")</f>
        <v/>
      </c>
    </row>
    <row r="96">
      <c r="A96" s="161">
        <f>IFERROR(""&amp;INDEX(tk_MARK,MATCH(90,tk_ASEQ,0)),"")</f>
        <v/>
      </c>
      <c r="B96" s="162">
        <f>IFERROR(""&amp;INDEX(tk_ROOMF,MATCH(90,tk_ASEQ,0)),"")</f>
        <v/>
      </c>
      <c r="C96" s="162">
        <f>IFERROR(""&amp;INDEX(tk_ROOMT,MATCH(90,tk_ASEQ,0)),"")</f>
        <v/>
      </c>
      <c r="D96" s="162">
        <f>IFERROR(INDEX(tk_QTY,MATCH(90,tk_ASEQ,0)),"")</f>
        <v/>
      </c>
      <c r="E96" s="162">
        <f>IFERROR(""&amp;INDEX(tk_SIZE,MATCH(90,tk_ASEQ,0)),"")</f>
        <v/>
      </c>
      <c r="F96" s="162">
        <f>IFERROR(""&amp;INDEX(tk_PAIR,MATCH(90,tk_ASEQ,0)),"")</f>
        <v/>
      </c>
      <c r="G96" s="162">
        <f>IFERROR(""&amp;INDEX(tk_DMAT,MATCH(90,tk_ASEQ,0)),"")</f>
        <v/>
      </c>
      <c r="H96" s="162">
        <f>IFERROR(""&amp;INDEX(tk_DGA,MATCH(90,tk_ASEQ,0)),"")</f>
        <v/>
      </c>
      <c r="I96" s="162">
        <f>IFERROR(""&amp;INDEX(tk_FACE,MATCH(90,tk_ASEQ,0)),"")</f>
        <v/>
      </c>
      <c r="J96" s="162">
        <f>IFERROR(IF(INDEX(tk_DHAND,MATCH(90,tk_ASEQ,0))="",""&amp;INDEX(tk_HAND,MATCH(90,tk_ASEQ,0)),""&amp;INDEX(tk_DHAND,MATCH(90,tk_ASEQ,0))),"")</f>
        <v/>
      </c>
      <c r="K96" s="162">
        <f>IFERROR(""&amp;INDEX(tk_FDESC,MATCH(90,tk_ASEQ,0)),"")</f>
        <v/>
      </c>
      <c r="L96" s="162">
        <f>IFERROR(INDEX(tk_STEEL,MATCH(90,tk_ASEQ,0))&amp;IF(INDEX(tk_FGA,MATCH(90,tk_ASEQ,0))="",""," "&amp;INDEX(tk_FGA,MATCH(90,tk_ASEQ,0))&amp;"GA"),"")</f>
        <v/>
      </c>
      <c r="M96" s="162">
        <f>IFERROR(IFERROR(VLOOKUP(INDEX(tk_JAMB,MATCH(90,tk_ASEQ,0)),CODES,2,FALSE),""&amp;INDEX(tk_JAMB,MATCH(90,tk_ASEQ,0))),"")</f>
        <v/>
      </c>
      <c r="N96" s="162">
        <f>IFERROR(""&amp;INDEX(tk_CONSTR,MATCH(90,tk_ASEQ,0)),"")</f>
        <v/>
      </c>
      <c r="O96" s="162">
        <f>IFERROR(""&amp;INDEX(tk_ANCHOR,MATCH(90,tk_ASEQ,0)),"")</f>
        <v/>
      </c>
      <c r="P96" s="162">
        <f>IFERROR(""&amp;INDEX(tk_RATING,MATCH(90,tk_ASEQ,0)),"")</f>
        <v/>
      </c>
      <c r="Q96" s="162">
        <f>IFERROR(""&amp;INDEX(tk_LABEL,MATCH(90,tk_ASEQ,0)),"")</f>
        <v/>
      </c>
      <c r="R96" s="162">
        <f>IFERROR(""&amp;INDEX(tk_HWSET,MATCH(90,tk_ASEQ,0)),"")</f>
        <v/>
      </c>
      <c r="S96" s="162">
        <f>IFERROR(IF(""&amp;INDEX(tk_HINGES,MATCH(90,tk_ASEQ,0))="","",INDEX(tk_HINGES,MATCH(90,tk_ASEQ,0))&amp;" · "&amp;INDEX(tk_LSRC,MATCH(90,tk_ASEQ,0))),"")</f>
        <v/>
      </c>
      <c r="T96" s="162">
        <f>IFERROR(""&amp;INDEX(tk_LOCK,MATCH(90,tk_ASEQ,0)),"")</f>
        <v/>
      </c>
      <c r="U96" s="162">
        <f>IFERROR(INDEX(tk_ETYPE,MATCH(90,tk_ASEQ,0)),"")</f>
        <v/>
      </c>
      <c r="V96" s="162">
        <f>IFERROR(""&amp;INDEX(tk_CHECK,MATCH(90,tk_ASEQ,0)),"")</f>
        <v/>
      </c>
      <c r="W96" s="162">
        <f>IFERROR(TRIM(INDEX(tk_DNOTES,MATCH(90,tk_ASEQ,0))&amp;" "&amp;INDEX(tk_FNOTES,MATCH(90,tk_ASEQ,0))),"")</f>
        <v/>
      </c>
    </row>
    <row r="97">
      <c r="A97" s="161">
        <f>IFERROR(""&amp;INDEX(tk_MARK,MATCH(91,tk_ASEQ,0)),"")</f>
        <v/>
      </c>
      <c r="B97" s="162">
        <f>IFERROR(""&amp;INDEX(tk_ROOMF,MATCH(91,tk_ASEQ,0)),"")</f>
        <v/>
      </c>
      <c r="C97" s="162">
        <f>IFERROR(""&amp;INDEX(tk_ROOMT,MATCH(91,tk_ASEQ,0)),"")</f>
        <v/>
      </c>
      <c r="D97" s="162">
        <f>IFERROR(INDEX(tk_QTY,MATCH(91,tk_ASEQ,0)),"")</f>
        <v/>
      </c>
      <c r="E97" s="162">
        <f>IFERROR(""&amp;INDEX(tk_SIZE,MATCH(91,tk_ASEQ,0)),"")</f>
        <v/>
      </c>
      <c r="F97" s="162">
        <f>IFERROR(""&amp;INDEX(tk_PAIR,MATCH(91,tk_ASEQ,0)),"")</f>
        <v/>
      </c>
      <c r="G97" s="162">
        <f>IFERROR(""&amp;INDEX(tk_DMAT,MATCH(91,tk_ASEQ,0)),"")</f>
        <v/>
      </c>
      <c r="H97" s="162">
        <f>IFERROR(""&amp;INDEX(tk_DGA,MATCH(91,tk_ASEQ,0)),"")</f>
        <v/>
      </c>
      <c r="I97" s="162">
        <f>IFERROR(""&amp;INDEX(tk_FACE,MATCH(91,tk_ASEQ,0)),"")</f>
        <v/>
      </c>
      <c r="J97" s="162">
        <f>IFERROR(IF(INDEX(tk_DHAND,MATCH(91,tk_ASEQ,0))="",""&amp;INDEX(tk_HAND,MATCH(91,tk_ASEQ,0)),""&amp;INDEX(tk_DHAND,MATCH(91,tk_ASEQ,0))),"")</f>
        <v/>
      </c>
      <c r="K97" s="162">
        <f>IFERROR(""&amp;INDEX(tk_FDESC,MATCH(91,tk_ASEQ,0)),"")</f>
        <v/>
      </c>
      <c r="L97" s="162">
        <f>IFERROR(INDEX(tk_STEEL,MATCH(91,tk_ASEQ,0))&amp;IF(INDEX(tk_FGA,MATCH(91,tk_ASEQ,0))="",""," "&amp;INDEX(tk_FGA,MATCH(91,tk_ASEQ,0))&amp;"GA"),"")</f>
        <v/>
      </c>
      <c r="M97" s="162">
        <f>IFERROR(IFERROR(VLOOKUP(INDEX(tk_JAMB,MATCH(91,tk_ASEQ,0)),CODES,2,FALSE),""&amp;INDEX(tk_JAMB,MATCH(91,tk_ASEQ,0))),"")</f>
        <v/>
      </c>
      <c r="N97" s="162">
        <f>IFERROR(""&amp;INDEX(tk_CONSTR,MATCH(91,tk_ASEQ,0)),"")</f>
        <v/>
      </c>
      <c r="O97" s="162">
        <f>IFERROR(""&amp;INDEX(tk_ANCHOR,MATCH(91,tk_ASEQ,0)),"")</f>
        <v/>
      </c>
      <c r="P97" s="162">
        <f>IFERROR(""&amp;INDEX(tk_RATING,MATCH(91,tk_ASEQ,0)),"")</f>
        <v/>
      </c>
      <c r="Q97" s="162">
        <f>IFERROR(""&amp;INDEX(tk_LABEL,MATCH(91,tk_ASEQ,0)),"")</f>
        <v/>
      </c>
      <c r="R97" s="162">
        <f>IFERROR(""&amp;INDEX(tk_HWSET,MATCH(91,tk_ASEQ,0)),"")</f>
        <v/>
      </c>
      <c r="S97" s="162">
        <f>IFERROR(IF(""&amp;INDEX(tk_HINGES,MATCH(91,tk_ASEQ,0))="","",INDEX(tk_HINGES,MATCH(91,tk_ASEQ,0))&amp;" · "&amp;INDEX(tk_LSRC,MATCH(91,tk_ASEQ,0))),"")</f>
        <v/>
      </c>
      <c r="T97" s="162">
        <f>IFERROR(""&amp;INDEX(tk_LOCK,MATCH(91,tk_ASEQ,0)),"")</f>
        <v/>
      </c>
      <c r="U97" s="162">
        <f>IFERROR(INDEX(tk_ETYPE,MATCH(91,tk_ASEQ,0)),"")</f>
        <v/>
      </c>
      <c r="V97" s="162">
        <f>IFERROR(""&amp;INDEX(tk_CHECK,MATCH(91,tk_ASEQ,0)),"")</f>
        <v/>
      </c>
      <c r="W97" s="162">
        <f>IFERROR(TRIM(INDEX(tk_DNOTES,MATCH(91,tk_ASEQ,0))&amp;" "&amp;INDEX(tk_FNOTES,MATCH(91,tk_ASEQ,0))),"")</f>
        <v/>
      </c>
    </row>
    <row r="98">
      <c r="A98" s="161">
        <f>IFERROR(""&amp;INDEX(tk_MARK,MATCH(92,tk_ASEQ,0)),"")</f>
        <v/>
      </c>
      <c r="B98" s="162">
        <f>IFERROR(""&amp;INDEX(tk_ROOMF,MATCH(92,tk_ASEQ,0)),"")</f>
        <v/>
      </c>
      <c r="C98" s="162">
        <f>IFERROR(""&amp;INDEX(tk_ROOMT,MATCH(92,tk_ASEQ,0)),"")</f>
        <v/>
      </c>
      <c r="D98" s="162">
        <f>IFERROR(INDEX(tk_QTY,MATCH(92,tk_ASEQ,0)),"")</f>
        <v/>
      </c>
      <c r="E98" s="162">
        <f>IFERROR(""&amp;INDEX(tk_SIZE,MATCH(92,tk_ASEQ,0)),"")</f>
        <v/>
      </c>
      <c r="F98" s="162">
        <f>IFERROR(""&amp;INDEX(tk_PAIR,MATCH(92,tk_ASEQ,0)),"")</f>
        <v/>
      </c>
      <c r="G98" s="162">
        <f>IFERROR(""&amp;INDEX(tk_DMAT,MATCH(92,tk_ASEQ,0)),"")</f>
        <v/>
      </c>
      <c r="H98" s="162">
        <f>IFERROR(""&amp;INDEX(tk_DGA,MATCH(92,tk_ASEQ,0)),"")</f>
        <v/>
      </c>
      <c r="I98" s="162">
        <f>IFERROR(""&amp;INDEX(tk_FACE,MATCH(92,tk_ASEQ,0)),"")</f>
        <v/>
      </c>
      <c r="J98" s="162">
        <f>IFERROR(IF(INDEX(tk_DHAND,MATCH(92,tk_ASEQ,0))="",""&amp;INDEX(tk_HAND,MATCH(92,tk_ASEQ,0)),""&amp;INDEX(tk_DHAND,MATCH(92,tk_ASEQ,0))),"")</f>
        <v/>
      </c>
      <c r="K98" s="162">
        <f>IFERROR(""&amp;INDEX(tk_FDESC,MATCH(92,tk_ASEQ,0)),"")</f>
        <v/>
      </c>
      <c r="L98" s="162">
        <f>IFERROR(INDEX(tk_STEEL,MATCH(92,tk_ASEQ,0))&amp;IF(INDEX(tk_FGA,MATCH(92,tk_ASEQ,0))="",""," "&amp;INDEX(tk_FGA,MATCH(92,tk_ASEQ,0))&amp;"GA"),"")</f>
        <v/>
      </c>
      <c r="M98" s="162">
        <f>IFERROR(IFERROR(VLOOKUP(INDEX(tk_JAMB,MATCH(92,tk_ASEQ,0)),CODES,2,FALSE),""&amp;INDEX(tk_JAMB,MATCH(92,tk_ASEQ,0))),"")</f>
        <v/>
      </c>
      <c r="N98" s="162">
        <f>IFERROR(""&amp;INDEX(tk_CONSTR,MATCH(92,tk_ASEQ,0)),"")</f>
        <v/>
      </c>
      <c r="O98" s="162">
        <f>IFERROR(""&amp;INDEX(tk_ANCHOR,MATCH(92,tk_ASEQ,0)),"")</f>
        <v/>
      </c>
      <c r="P98" s="162">
        <f>IFERROR(""&amp;INDEX(tk_RATING,MATCH(92,tk_ASEQ,0)),"")</f>
        <v/>
      </c>
      <c r="Q98" s="162">
        <f>IFERROR(""&amp;INDEX(tk_LABEL,MATCH(92,tk_ASEQ,0)),"")</f>
        <v/>
      </c>
      <c r="R98" s="162">
        <f>IFERROR(""&amp;INDEX(tk_HWSET,MATCH(92,tk_ASEQ,0)),"")</f>
        <v/>
      </c>
      <c r="S98" s="162">
        <f>IFERROR(IF(""&amp;INDEX(tk_HINGES,MATCH(92,tk_ASEQ,0))="","",INDEX(tk_HINGES,MATCH(92,tk_ASEQ,0))&amp;" · "&amp;INDEX(tk_LSRC,MATCH(92,tk_ASEQ,0))),"")</f>
        <v/>
      </c>
      <c r="T98" s="162">
        <f>IFERROR(""&amp;INDEX(tk_LOCK,MATCH(92,tk_ASEQ,0)),"")</f>
        <v/>
      </c>
      <c r="U98" s="162">
        <f>IFERROR(INDEX(tk_ETYPE,MATCH(92,tk_ASEQ,0)),"")</f>
        <v/>
      </c>
      <c r="V98" s="162">
        <f>IFERROR(""&amp;INDEX(tk_CHECK,MATCH(92,tk_ASEQ,0)),"")</f>
        <v/>
      </c>
      <c r="W98" s="162">
        <f>IFERROR(TRIM(INDEX(tk_DNOTES,MATCH(92,tk_ASEQ,0))&amp;" "&amp;INDEX(tk_FNOTES,MATCH(92,tk_ASEQ,0))),"")</f>
        <v/>
      </c>
    </row>
    <row r="99">
      <c r="A99" s="161">
        <f>IFERROR(""&amp;INDEX(tk_MARK,MATCH(93,tk_ASEQ,0)),"")</f>
        <v/>
      </c>
      <c r="B99" s="162">
        <f>IFERROR(""&amp;INDEX(tk_ROOMF,MATCH(93,tk_ASEQ,0)),"")</f>
        <v/>
      </c>
      <c r="C99" s="162">
        <f>IFERROR(""&amp;INDEX(tk_ROOMT,MATCH(93,tk_ASEQ,0)),"")</f>
        <v/>
      </c>
      <c r="D99" s="162">
        <f>IFERROR(INDEX(tk_QTY,MATCH(93,tk_ASEQ,0)),"")</f>
        <v/>
      </c>
      <c r="E99" s="162">
        <f>IFERROR(""&amp;INDEX(tk_SIZE,MATCH(93,tk_ASEQ,0)),"")</f>
        <v/>
      </c>
      <c r="F99" s="162">
        <f>IFERROR(""&amp;INDEX(tk_PAIR,MATCH(93,tk_ASEQ,0)),"")</f>
        <v/>
      </c>
      <c r="G99" s="162">
        <f>IFERROR(""&amp;INDEX(tk_DMAT,MATCH(93,tk_ASEQ,0)),"")</f>
        <v/>
      </c>
      <c r="H99" s="162">
        <f>IFERROR(""&amp;INDEX(tk_DGA,MATCH(93,tk_ASEQ,0)),"")</f>
        <v/>
      </c>
      <c r="I99" s="162">
        <f>IFERROR(""&amp;INDEX(tk_FACE,MATCH(93,tk_ASEQ,0)),"")</f>
        <v/>
      </c>
      <c r="J99" s="162">
        <f>IFERROR(IF(INDEX(tk_DHAND,MATCH(93,tk_ASEQ,0))="",""&amp;INDEX(tk_HAND,MATCH(93,tk_ASEQ,0)),""&amp;INDEX(tk_DHAND,MATCH(93,tk_ASEQ,0))),"")</f>
        <v/>
      </c>
      <c r="K99" s="162">
        <f>IFERROR(""&amp;INDEX(tk_FDESC,MATCH(93,tk_ASEQ,0)),"")</f>
        <v/>
      </c>
      <c r="L99" s="162">
        <f>IFERROR(INDEX(tk_STEEL,MATCH(93,tk_ASEQ,0))&amp;IF(INDEX(tk_FGA,MATCH(93,tk_ASEQ,0))="",""," "&amp;INDEX(tk_FGA,MATCH(93,tk_ASEQ,0))&amp;"GA"),"")</f>
        <v/>
      </c>
      <c r="M99" s="162">
        <f>IFERROR(IFERROR(VLOOKUP(INDEX(tk_JAMB,MATCH(93,tk_ASEQ,0)),CODES,2,FALSE),""&amp;INDEX(tk_JAMB,MATCH(93,tk_ASEQ,0))),"")</f>
        <v/>
      </c>
      <c r="N99" s="162">
        <f>IFERROR(""&amp;INDEX(tk_CONSTR,MATCH(93,tk_ASEQ,0)),"")</f>
        <v/>
      </c>
      <c r="O99" s="162">
        <f>IFERROR(""&amp;INDEX(tk_ANCHOR,MATCH(93,tk_ASEQ,0)),"")</f>
        <v/>
      </c>
      <c r="P99" s="162">
        <f>IFERROR(""&amp;INDEX(tk_RATING,MATCH(93,tk_ASEQ,0)),"")</f>
        <v/>
      </c>
      <c r="Q99" s="162">
        <f>IFERROR(""&amp;INDEX(tk_LABEL,MATCH(93,tk_ASEQ,0)),"")</f>
        <v/>
      </c>
      <c r="R99" s="162">
        <f>IFERROR(""&amp;INDEX(tk_HWSET,MATCH(93,tk_ASEQ,0)),"")</f>
        <v/>
      </c>
      <c r="S99" s="162">
        <f>IFERROR(IF(""&amp;INDEX(tk_HINGES,MATCH(93,tk_ASEQ,0))="","",INDEX(tk_HINGES,MATCH(93,tk_ASEQ,0))&amp;" · "&amp;INDEX(tk_LSRC,MATCH(93,tk_ASEQ,0))),"")</f>
        <v/>
      </c>
      <c r="T99" s="162">
        <f>IFERROR(""&amp;INDEX(tk_LOCK,MATCH(93,tk_ASEQ,0)),"")</f>
        <v/>
      </c>
      <c r="U99" s="162">
        <f>IFERROR(INDEX(tk_ETYPE,MATCH(93,tk_ASEQ,0)),"")</f>
        <v/>
      </c>
      <c r="V99" s="162">
        <f>IFERROR(""&amp;INDEX(tk_CHECK,MATCH(93,tk_ASEQ,0)),"")</f>
        <v/>
      </c>
      <c r="W99" s="162">
        <f>IFERROR(TRIM(INDEX(tk_DNOTES,MATCH(93,tk_ASEQ,0))&amp;" "&amp;INDEX(tk_FNOTES,MATCH(93,tk_ASEQ,0))),"")</f>
        <v/>
      </c>
    </row>
    <row r="100">
      <c r="A100" s="161">
        <f>IFERROR(""&amp;INDEX(tk_MARK,MATCH(94,tk_ASEQ,0)),"")</f>
        <v/>
      </c>
      <c r="B100" s="162">
        <f>IFERROR(""&amp;INDEX(tk_ROOMF,MATCH(94,tk_ASEQ,0)),"")</f>
        <v/>
      </c>
      <c r="C100" s="162">
        <f>IFERROR(""&amp;INDEX(tk_ROOMT,MATCH(94,tk_ASEQ,0)),"")</f>
        <v/>
      </c>
      <c r="D100" s="162">
        <f>IFERROR(INDEX(tk_QTY,MATCH(94,tk_ASEQ,0)),"")</f>
        <v/>
      </c>
      <c r="E100" s="162">
        <f>IFERROR(""&amp;INDEX(tk_SIZE,MATCH(94,tk_ASEQ,0)),"")</f>
        <v/>
      </c>
      <c r="F100" s="162">
        <f>IFERROR(""&amp;INDEX(tk_PAIR,MATCH(94,tk_ASEQ,0)),"")</f>
        <v/>
      </c>
      <c r="G100" s="162">
        <f>IFERROR(""&amp;INDEX(tk_DMAT,MATCH(94,tk_ASEQ,0)),"")</f>
        <v/>
      </c>
      <c r="H100" s="162">
        <f>IFERROR(""&amp;INDEX(tk_DGA,MATCH(94,tk_ASEQ,0)),"")</f>
        <v/>
      </c>
      <c r="I100" s="162">
        <f>IFERROR(""&amp;INDEX(tk_FACE,MATCH(94,tk_ASEQ,0)),"")</f>
        <v/>
      </c>
      <c r="J100" s="162">
        <f>IFERROR(IF(INDEX(tk_DHAND,MATCH(94,tk_ASEQ,0))="",""&amp;INDEX(tk_HAND,MATCH(94,tk_ASEQ,0)),""&amp;INDEX(tk_DHAND,MATCH(94,tk_ASEQ,0))),"")</f>
        <v/>
      </c>
      <c r="K100" s="162">
        <f>IFERROR(""&amp;INDEX(tk_FDESC,MATCH(94,tk_ASEQ,0)),"")</f>
        <v/>
      </c>
      <c r="L100" s="162">
        <f>IFERROR(INDEX(tk_STEEL,MATCH(94,tk_ASEQ,0))&amp;IF(INDEX(tk_FGA,MATCH(94,tk_ASEQ,0))="",""," "&amp;INDEX(tk_FGA,MATCH(94,tk_ASEQ,0))&amp;"GA"),"")</f>
        <v/>
      </c>
      <c r="M100" s="162">
        <f>IFERROR(IFERROR(VLOOKUP(INDEX(tk_JAMB,MATCH(94,tk_ASEQ,0)),CODES,2,FALSE),""&amp;INDEX(tk_JAMB,MATCH(94,tk_ASEQ,0))),"")</f>
        <v/>
      </c>
      <c r="N100" s="162">
        <f>IFERROR(""&amp;INDEX(tk_CONSTR,MATCH(94,tk_ASEQ,0)),"")</f>
        <v/>
      </c>
      <c r="O100" s="162">
        <f>IFERROR(""&amp;INDEX(tk_ANCHOR,MATCH(94,tk_ASEQ,0)),"")</f>
        <v/>
      </c>
      <c r="P100" s="162">
        <f>IFERROR(""&amp;INDEX(tk_RATING,MATCH(94,tk_ASEQ,0)),"")</f>
        <v/>
      </c>
      <c r="Q100" s="162">
        <f>IFERROR(""&amp;INDEX(tk_LABEL,MATCH(94,tk_ASEQ,0)),"")</f>
        <v/>
      </c>
      <c r="R100" s="162">
        <f>IFERROR(""&amp;INDEX(tk_HWSET,MATCH(94,tk_ASEQ,0)),"")</f>
        <v/>
      </c>
      <c r="S100" s="162">
        <f>IFERROR(IF(""&amp;INDEX(tk_HINGES,MATCH(94,tk_ASEQ,0))="","",INDEX(tk_HINGES,MATCH(94,tk_ASEQ,0))&amp;" · "&amp;INDEX(tk_LSRC,MATCH(94,tk_ASEQ,0))),"")</f>
        <v/>
      </c>
      <c r="T100" s="162">
        <f>IFERROR(""&amp;INDEX(tk_LOCK,MATCH(94,tk_ASEQ,0)),"")</f>
        <v/>
      </c>
      <c r="U100" s="162">
        <f>IFERROR(INDEX(tk_ETYPE,MATCH(94,tk_ASEQ,0)),"")</f>
        <v/>
      </c>
      <c r="V100" s="162">
        <f>IFERROR(""&amp;INDEX(tk_CHECK,MATCH(94,tk_ASEQ,0)),"")</f>
        <v/>
      </c>
      <c r="W100" s="162">
        <f>IFERROR(TRIM(INDEX(tk_DNOTES,MATCH(94,tk_ASEQ,0))&amp;" "&amp;INDEX(tk_FNOTES,MATCH(94,tk_ASEQ,0))),"")</f>
        <v/>
      </c>
    </row>
    <row r="101">
      <c r="A101" s="161">
        <f>IFERROR(""&amp;INDEX(tk_MARK,MATCH(95,tk_ASEQ,0)),"")</f>
        <v/>
      </c>
      <c r="B101" s="162">
        <f>IFERROR(""&amp;INDEX(tk_ROOMF,MATCH(95,tk_ASEQ,0)),"")</f>
        <v/>
      </c>
      <c r="C101" s="162">
        <f>IFERROR(""&amp;INDEX(tk_ROOMT,MATCH(95,tk_ASEQ,0)),"")</f>
        <v/>
      </c>
      <c r="D101" s="162">
        <f>IFERROR(INDEX(tk_QTY,MATCH(95,tk_ASEQ,0)),"")</f>
        <v/>
      </c>
      <c r="E101" s="162">
        <f>IFERROR(""&amp;INDEX(tk_SIZE,MATCH(95,tk_ASEQ,0)),"")</f>
        <v/>
      </c>
      <c r="F101" s="162">
        <f>IFERROR(""&amp;INDEX(tk_PAIR,MATCH(95,tk_ASEQ,0)),"")</f>
        <v/>
      </c>
      <c r="G101" s="162">
        <f>IFERROR(""&amp;INDEX(tk_DMAT,MATCH(95,tk_ASEQ,0)),"")</f>
        <v/>
      </c>
      <c r="H101" s="162">
        <f>IFERROR(""&amp;INDEX(tk_DGA,MATCH(95,tk_ASEQ,0)),"")</f>
        <v/>
      </c>
      <c r="I101" s="162">
        <f>IFERROR(""&amp;INDEX(tk_FACE,MATCH(95,tk_ASEQ,0)),"")</f>
        <v/>
      </c>
      <c r="J101" s="162">
        <f>IFERROR(IF(INDEX(tk_DHAND,MATCH(95,tk_ASEQ,0))="",""&amp;INDEX(tk_HAND,MATCH(95,tk_ASEQ,0)),""&amp;INDEX(tk_DHAND,MATCH(95,tk_ASEQ,0))),"")</f>
        <v/>
      </c>
      <c r="K101" s="162">
        <f>IFERROR(""&amp;INDEX(tk_FDESC,MATCH(95,tk_ASEQ,0)),"")</f>
        <v/>
      </c>
      <c r="L101" s="162">
        <f>IFERROR(INDEX(tk_STEEL,MATCH(95,tk_ASEQ,0))&amp;IF(INDEX(tk_FGA,MATCH(95,tk_ASEQ,0))="",""," "&amp;INDEX(tk_FGA,MATCH(95,tk_ASEQ,0))&amp;"GA"),"")</f>
        <v/>
      </c>
      <c r="M101" s="162">
        <f>IFERROR(IFERROR(VLOOKUP(INDEX(tk_JAMB,MATCH(95,tk_ASEQ,0)),CODES,2,FALSE),""&amp;INDEX(tk_JAMB,MATCH(95,tk_ASEQ,0))),"")</f>
        <v/>
      </c>
      <c r="N101" s="162">
        <f>IFERROR(""&amp;INDEX(tk_CONSTR,MATCH(95,tk_ASEQ,0)),"")</f>
        <v/>
      </c>
      <c r="O101" s="162">
        <f>IFERROR(""&amp;INDEX(tk_ANCHOR,MATCH(95,tk_ASEQ,0)),"")</f>
        <v/>
      </c>
      <c r="P101" s="162">
        <f>IFERROR(""&amp;INDEX(tk_RATING,MATCH(95,tk_ASEQ,0)),"")</f>
        <v/>
      </c>
      <c r="Q101" s="162">
        <f>IFERROR(""&amp;INDEX(tk_LABEL,MATCH(95,tk_ASEQ,0)),"")</f>
        <v/>
      </c>
      <c r="R101" s="162">
        <f>IFERROR(""&amp;INDEX(tk_HWSET,MATCH(95,tk_ASEQ,0)),"")</f>
        <v/>
      </c>
      <c r="S101" s="162">
        <f>IFERROR(IF(""&amp;INDEX(tk_HINGES,MATCH(95,tk_ASEQ,0))="","",INDEX(tk_HINGES,MATCH(95,tk_ASEQ,0))&amp;" · "&amp;INDEX(tk_LSRC,MATCH(95,tk_ASEQ,0))),"")</f>
        <v/>
      </c>
      <c r="T101" s="162">
        <f>IFERROR(""&amp;INDEX(tk_LOCK,MATCH(95,tk_ASEQ,0)),"")</f>
        <v/>
      </c>
      <c r="U101" s="162">
        <f>IFERROR(INDEX(tk_ETYPE,MATCH(95,tk_ASEQ,0)),"")</f>
        <v/>
      </c>
      <c r="V101" s="162">
        <f>IFERROR(""&amp;INDEX(tk_CHECK,MATCH(95,tk_ASEQ,0)),"")</f>
        <v/>
      </c>
      <c r="W101" s="162">
        <f>IFERROR(TRIM(INDEX(tk_DNOTES,MATCH(95,tk_ASEQ,0))&amp;" "&amp;INDEX(tk_FNOTES,MATCH(95,tk_ASEQ,0))),"")</f>
        <v/>
      </c>
    </row>
    <row r="102">
      <c r="A102" s="161">
        <f>IFERROR(""&amp;INDEX(tk_MARK,MATCH(96,tk_ASEQ,0)),"")</f>
        <v/>
      </c>
      <c r="B102" s="162">
        <f>IFERROR(""&amp;INDEX(tk_ROOMF,MATCH(96,tk_ASEQ,0)),"")</f>
        <v/>
      </c>
      <c r="C102" s="162">
        <f>IFERROR(""&amp;INDEX(tk_ROOMT,MATCH(96,tk_ASEQ,0)),"")</f>
        <v/>
      </c>
      <c r="D102" s="162">
        <f>IFERROR(INDEX(tk_QTY,MATCH(96,tk_ASEQ,0)),"")</f>
        <v/>
      </c>
      <c r="E102" s="162">
        <f>IFERROR(""&amp;INDEX(tk_SIZE,MATCH(96,tk_ASEQ,0)),"")</f>
        <v/>
      </c>
      <c r="F102" s="162">
        <f>IFERROR(""&amp;INDEX(tk_PAIR,MATCH(96,tk_ASEQ,0)),"")</f>
        <v/>
      </c>
      <c r="G102" s="162">
        <f>IFERROR(""&amp;INDEX(tk_DMAT,MATCH(96,tk_ASEQ,0)),"")</f>
        <v/>
      </c>
      <c r="H102" s="162">
        <f>IFERROR(""&amp;INDEX(tk_DGA,MATCH(96,tk_ASEQ,0)),"")</f>
        <v/>
      </c>
      <c r="I102" s="162">
        <f>IFERROR(""&amp;INDEX(tk_FACE,MATCH(96,tk_ASEQ,0)),"")</f>
        <v/>
      </c>
      <c r="J102" s="162">
        <f>IFERROR(IF(INDEX(tk_DHAND,MATCH(96,tk_ASEQ,0))="",""&amp;INDEX(tk_HAND,MATCH(96,tk_ASEQ,0)),""&amp;INDEX(tk_DHAND,MATCH(96,tk_ASEQ,0))),"")</f>
        <v/>
      </c>
      <c r="K102" s="162">
        <f>IFERROR(""&amp;INDEX(tk_FDESC,MATCH(96,tk_ASEQ,0)),"")</f>
        <v/>
      </c>
      <c r="L102" s="162">
        <f>IFERROR(INDEX(tk_STEEL,MATCH(96,tk_ASEQ,0))&amp;IF(INDEX(tk_FGA,MATCH(96,tk_ASEQ,0))="",""," "&amp;INDEX(tk_FGA,MATCH(96,tk_ASEQ,0))&amp;"GA"),"")</f>
        <v/>
      </c>
      <c r="M102" s="162">
        <f>IFERROR(IFERROR(VLOOKUP(INDEX(tk_JAMB,MATCH(96,tk_ASEQ,0)),CODES,2,FALSE),""&amp;INDEX(tk_JAMB,MATCH(96,tk_ASEQ,0))),"")</f>
        <v/>
      </c>
      <c r="N102" s="162">
        <f>IFERROR(""&amp;INDEX(tk_CONSTR,MATCH(96,tk_ASEQ,0)),"")</f>
        <v/>
      </c>
      <c r="O102" s="162">
        <f>IFERROR(""&amp;INDEX(tk_ANCHOR,MATCH(96,tk_ASEQ,0)),"")</f>
        <v/>
      </c>
      <c r="P102" s="162">
        <f>IFERROR(""&amp;INDEX(tk_RATING,MATCH(96,tk_ASEQ,0)),"")</f>
        <v/>
      </c>
      <c r="Q102" s="162">
        <f>IFERROR(""&amp;INDEX(tk_LABEL,MATCH(96,tk_ASEQ,0)),"")</f>
        <v/>
      </c>
      <c r="R102" s="162">
        <f>IFERROR(""&amp;INDEX(tk_HWSET,MATCH(96,tk_ASEQ,0)),"")</f>
        <v/>
      </c>
      <c r="S102" s="162">
        <f>IFERROR(IF(""&amp;INDEX(tk_HINGES,MATCH(96,tk_ASEQ,0))="","",INDEX(tk_HINGES,MATCH(96,tk_ASEQ,0))&amp;" · "&amp;INDEX(tk_LSRC,MATCH(96,tk_ASEQ,0))),"")</f>
        <v/>
      </c>
      <c r="T102" s="162">
        <f>IFERROR(""&amp;INDEX(tk_LOCK,MATCH(96,tk_ASEQ,0)),"")</f>
        <v/>
      </c>
      <c r="U102" s="162">
        <f>IFERROR(INDEX(tk_ETYPE,MATCH(96,tk_ASEQ,0)),"")</f>
        <v/>
      </c>
      <c r="V102" s="162">
        <f>IFERROR(""&amp;INDEX(tk_CHECK,MATCH(96,tk_ASEQ,0)),"")</f>
        <v/>
      </c>
      <c r="W102" s="162">
        <f>IFERROR(TRIM(INDEX(tk_DNOTES,MATCH(96,tk_ASEQ,0))&amp;" "&amp;INDEX(tk_FNOTES,MATCH(96,tk_ASEQ,0))),"")</f>
        <v/>
      </c>
    </row>
    <row r="103">
      <c r="A103" s="161">
        <f>IFERROR(""&amp;INDEX(tk_MARK,MATCH(97,tk_ASEQ,0)),"")</f>
        <v/>
      </c>
      <c r="B103" s="162">
        <f>IFERROR(""&amp;INDEX(tk_ROOMF,MATCH(97,tk_ASEQ,0)),"")</f>
        <v/>
      </c>
      <c r="C103" s="162">
        <f>IFERROR(""&amp;INDEX(tk_ROOMT,MATCH(97,tk_ASEQ,0)),"")</f>
        <v/>
      </c>
      <c r="D103" s="162">
        <f>IFERROR(INDEX(tk_QTY,MATCH(97,tk_ASEQ,0)),"")</f>
        <v/>
      </c>
      <c r="E103" s="162">
        <f>IFERROR(""&amp;INDEX(tk_SIZE,MATCH(97,tk_ASEQ,0)),"")</f>
        <v/>
      </c>
      <c r="F103" s="162">
        <f>IFERROR(""&amp;INDEX(tk_PAIR,MATCH(97,tk_ASEQ,0)),"")</f>
        <v/>
      </c>
      <c r="G103" s="162">
        <f>IFERROR(""&amp;INDEX(tk_DMAT,MATCH(97,tk_ASEQ,0)),"")</f>
        <v/>
      </c>
      <c r="H103" s="162">
        <f>IFERROR(""&amp;INDEX(tk_DGA,MATCH(97,tk_ASEQ,0)),"")</f>
        <v/>
      </c>
      <c r="I103" s="162">
        <f>IFERROR(""&amp;INDEX(tk_FACE,MATCH(97,tk_ASEQ,0)),"")</f>
        <v/>
      </c>
      <c r="J103" s="162">
        <f>IFERROR(IF(INDEX(tk_DHAND,MATCH(97,tk_ASEQ,0))="",""&amp;INDEX(tk_HAND,MATCH(97,tk_ASEQ,0)),""&amp;INDEX(tk_DHAND,MATCH(97,tk_ASEQ,0))),"")</f>
        <v/>
      </c>
      <c r="K103" s="162">
        <f>IFERROR(""&amp;INDEX(tk_FDESC,MATCH(97,tk_ASEQ,0)),"")</f>
        <v/>
      </c>
      <c r="L103" s="162">
        <f>IFERROR(INDEX(tk_STEEL,MATCH(97,tk_ASEQ,0))&amp;IF(INDEX(tk_FGA,MATCH(97,tk_ASEQ,0))="",""," "&amp;INDEX(tk_FGA,MATCH(97,tk_ASEQ,0))&amp;"GA"),"")</f>
        <v/>
      </c>
      <c r="M103" s="162">
        <f>IFERROR(IFERROR(VLOOKUP(INDEX(tk_JAMB,MATCH(97,tk_ASEQ,0)),CODES,2,FALSE),""&amp;INDEX(tk_JAMB,MATCH(97,tk_ASEQ,0))),"")</f>
        <v/>
      </c>
      <c r="N103" s="162">
        <f>IFERROR(""&amp;INDEX(tk_CONSTR,MATCH(97,tk_ASEQ,0)),"")</f>
        <v/>
      </c>
      <c r="O103" s="162">
        <f>IFERROR(""&amp;INDEX(tk_ANCHOR,MATCH(97,tk_ASEQ,0)),"")</f>
        <v/>
      </c>
      <c r="P103" s="162">
        <f>IFERROR(""&amp;INDEX(tk_RATING,MATCH(97,tk_ASEQ,0)),"")</f>
        <v/>
      </c>
      <c r="Q103" s="162">
        <f>IFERROR(""&amp;INDEX(tk_LABEL,MATCH(97,tk_ASEQ,0)),"")</f>
        <v/>
      </c>
      <c r="R103" s="162">
        <f>IFERROR(""&amp;INDEX(tk_HWSET,MATCH(97,tk_ASEQ,0)),"")</f>
        <v/>
      </c>
      <c r="S103" s="162">
        <f>IFERROR(IF(""&amp;INDEX(tk_HINGES,MATCH(97,tk_ASEQ,0))="","",INDEX(tk_HINGES,MATCH(97,tk_ASEQ,0))&amp;" · "&amp;INDEX(tk_LSRC,MATCH(97,tk_ASEQ,0))),"")</f>
        <v/>
      </c>
      <c r="T103" s="162">
        <f>IFERROR(""&amp;INDEX(tk_LOCK,MATCH(97,tk_ASEQ,0)),"")</f>
        <v/>
      </c>
      <c r="U103" s="162">
        <f>IFERROR(INDEX(tk_ETYPE,MATCH(97,tk_ASEQ,0)),"")</f>
        <v/>
      </c>
      <c r="V103" s="162">
        <f>IFERROR(""&amp;INDEX(tk_CHECK,MATCH(97,tk_ASEQ,0)),"")</f>
        <v/>
      </c>
      <c r="W103" s="162">
        <f>IFERROR(TRIM(INDEX(tk_DNOTES,MATCH(97,tk_ASEQ,0))&amp;" "&amp;INDEX(tk_FNOTES,MATCH(97,tk_ASEQ,0))),"")</f>
        <v/>
      </c>
    </row>
    <row r="104">
      <c r="A104" s="161">
        <f>IFERROR(""&amp;INDEX(tk_MARK,MATCH(98,tk_ASEQ,0)),"")</f>
        <v/>
      </c>
      <c r="B104" s="162">
        <f>IFERROR(""&amp;INDEX(tk_ROOMF,MATCH(98,tk_ASEQ,0)),"")</f>
        <v/>
      </c>
      <c r="C104" s="162">
        <f>IFERROR(""&amp;INDEX(tk_ROOMT,MATCH(98,tk_ASEQ,0)),"")</f>
        <v/>
      </c>
      <c r="D104" s="162">
        <f>IFERROR(INDEX(tk_QTY,MATCH(98,tk_ASEQ,0)),"")</f>
        <v/>
      </c>
      <c r="E104" s="162">
        <f>IFERROR(""&amp;INDEX(tk_SIZE,MATCH(98,tk_ASEQ,0)),"")</f>
        <v/>
      </c>
      <c r="F104" s="162">
        <f>IFERROR(""&amp;INDEX(tk_PAIR,MATCH(98,tk_ASEQ,0)),"")</f>
        <v/>
      </c>
      <c r="G104" s="162">
        <f>IFERROR(""&amp;INDEX(tk_DMAT,MATCH(98,tk_ASEQ,0)),"")</f>
        <v/>
      </c>
      <c r="H104" s="162">
        <f>IFERROR(""&amp;INDEX(tk_DGA,MATCH(98,tk_ASEQ,0)),"")</f>
        <v/>
      </c>
      <c r="I104" s="162">
        <f>IFERROR(""&amp;INDEX(tk_FACE,MATCH(98,tk_ASEQ,0)),"")</f>
        <v/>
      </c>
      <c r="J104" s="162">
        <f>IFERROR(IF(INDEX(tk_DHAND,MATCH(98,tk_ASEQ,0))="",""&amp;INDEX(tk_HAND,MATCH(98,tk_ASEQ,0)),""&amp;INDEX(tk_DHAND,MATCH(98,tk_ASEQ,0))),"")</f>
        <v/>
      </c>
      <c r="K104" s="162">
        <f>IFERROR(""&amp;INDEX(tk_FDESC,MATCH(98,tk_ASEQ,0)),"")</f>
        <v/>
      </c>
      <c r="L104" s="162">
        <f>IFERROR(INDEX(tk_STEEL,MATCH(98,tk_ASEQ,0))&amp;IF(INDEX(tk_FGA,MATCH(98,tk_ASEQ,0))="",""," "&amp;INDEX(tk_FGA,MATCH(98,tk_ASEQ,0))&amp;"GA"),"")</f>
        <v/>
      </c>
      <c r="M104" s="162">
        <f>IFERROR(IFERROR(VLOOKUP(INDEX(tk_JAMB,MATCH(98,tk_ASEQ,0)),CODES,2,FALSE),""&amp;INDEX(tk_JAMB,MATCH(98,tk_ASEQ,0))),"")</f>
        <v/>
      </c>
      <c r="N104" s="162">
        <f>IFERROR(""&amp;INDEX(tk_CONSTR,MATCH(98,tk_ASEQ,0)),"")</f>
        <v/>
      </c>
      <c r="O104" s="162">
        <f>IFERROR(""&amp;INDEX(tk_ANCHOR,MATCH(98,tk_ASEQ,0)),"")</f>
        <v/>
      </c>
      <c r="P104" s="162">
        <f>IFERROR(""&amp;INDEX(tk_RATING,MATCH(98,tk_ASEQ,0)),"")</f>
        <v/>
      </c>
      <c r="Q104" s="162">
        <f>IFERROR(""&amp;INDEX(tk_LABEL,MATCH(98,tk_ASEQ,0)),"")</f>
        <v/>
      </c>
      <c r="R104" s="162">
        <f>IFERROR(""&amp;INDEX(tk_HWSET,MATCH(98,tk_ASEQ,0)),"")</f>
        <v/>
      </c>
      <c r="S104" s="162">
        <f>IFERROR(IF(""&amp;INDEX(tk_HINGES,MATCH(98,tk_ASEQ,0))="","",INDEX(tk_HINGES,MATCH(98,tk_ASEQ,0))&amp;" · "&amp;INDEX(tk_LSRC,MATCH(98,tk_ASEQ,0))),"")</f>
        <v/>
      </c>
      <c r="T104" s="162">
        <f>IFERROR(""&amp;INDEX(tk_LOCK,MATCH(98,tk_ASEQ,0)),"")</f>
        <v/>
      </c>
      <c r="U104" s="162">
        <f>IFERROR(INDEX(tk_ETYPE,MATCH(98,tk_ASEQ,0)),"")</f>
        <v/>
      </c>
      <c r="V104" s="162">
        <f>IFERROR(""&amp;INDEX(tk_CHECK,MATCH(98,tk_ASEQ,0)),"")</f>
        <v/>
      </c>
      <c r="W104" s="162">
        <f>IFERROR(TRIM(INDEX(tk_DNOTES,MATCH(98,tk_ASEQ,0))&amp;" "&amp;INDEX(tk_FNOTES,MATCH(98,tk_ASEQ,0))),"")</f>
        <v/>
      </c>
    </row>
    <row r="105">
      <c r="A105" s="161">
        <f>IFERROR(""&amp;INDEX(tk_MARK,MATCH(99,tk_ASEQ,0)),"")</f>
        <v/>
      </c>
      <c r="B105" s="162">
        <f>IFERROR(""&amp;INDEX(tk_ROOMF,MATCH(99,tk_ASEQ,0)),"")</f>
        <v/>
      </c>
      <c r="C105" s="162">
        <f>IFERROR(""&amp;INDEX(tk_ROOMT,MATCH(99,tk_ASEQ,0)),"")</f>
        <v/>
      </c>
      <c r="D105" s="162">
        <f>IFERROR(INDEX(tk_QTY,MATCH(99,tk_ASEQ,0)),"")</f>
        <v/>
      </c>
      <c r="E105" s="162">
        <f>IFERROR(""&amp;INDEX(tk_SIZE,MATCH(99,tk_ASEQ,0)),"")</f>
        <v/>
      </c>
      <c r="F105" s="162">
        <f>IFERROR(""&amp;INDEX(tk_PAIR,MATCH(99,tk_ASEQ,0)),"")</f>
        <v/>
      </c>
      <c r="G105" s="162">
        <f>IFERROR(""&amp;INDEX(tk_DMAT,MATCH(99,tk_ASEQ,0)),"")</f>
        <v/>
      </c>
      <c r="H105" s="162">
        <f>IFERROR(""&amp;INDEX(tk_DGA,MATCH(99,tk_ASEQ,0)),"")</f>
        <v/>
      </c>
      <c r="I105" s="162">
        <f>IFERROR(""&amp;INDEX(tk_FACE,MATCH(99,tk_ASEQ,0)),"")</f>
        <v/>
      </c>
      <c r="J105" s="162">
        <f>IFERROR(IF(INDEX(tk_DHAND,MATCH(99,tk_ASEQ,0))="",""&amp;INDEX(tk_HAND,MATCH(99,tk_ASEQ,0)),""&amp;INDEX(tk_DHAND,MATCH(99,tk_ASEQ,0))),"")</f>
        <v/>
      </c>
      <c r="K105" s="162">
        <f>IFERROR(""&amp;INDEX(tk_FDESC,MATCH(99,tk_ASEQ,0)),"")</f>
        <v/>
      </c>
      <c r="L105" s="162">
        <f>IFERROR(INDEX(tk_STEEL,MATCH(99,tk_ASEQ,0))&amp;IF(INDEX(tk_FGA,MATCH(99,tk_ASEQ,0))="",""," "&amp;INDEX(tk_FGA,MATCH(99,tk_ASEQ,0))&amp;"GA"),"")</f>
        <v/>
      </c>
      <c r="M105" s="162">
        <f>IFERROR(IFERROR(VLOOKUP(INDEX(tk_JAMB,MATCH(99,tk_ASEQ,0)),CODES,2,FALSE),""&amp;INDEX(tk_JAMB,MATCH(99,tk_ASEQ,0))),"")</f>
        <v/>
      </c>
      <c r="N105" s="162">
        <f>IFERROR(""&amp;INDEX(tk_CONSTR,MATCH(99,tk_ASEQ,0)),"")</f>
        <v/>
      </c>
      <c r="O105" s="162">
        <f>IFERROR(""&amp;INDEX(tk_ANCHOR,MATCH(99,tk_ASEQ,0)),"")</f>
        <v/>
      </c>
      <c r="P105" s="162">
        <f>IFERROR(""&amp;INDEX(tk_RATING,MATCH(99,tk_ASEQ,0)),"")</f>
        <v/>
      </c>
      <c r="Q105" s="162">
        <f>IFERROR(""&amp;INDEX(tk_LABEL,MATCH(99,tk_ASEQ,0)),"")</f>
        <v/>
      </c>
      <c r="R105" s="162">
        <f>IFERROR(""&amp;INDEX(tk_HWSET,MATCH(99,tk_ASEQ,0)),"")</f>
        <v/>
      </c>
      <c r="S105" s="162">
        <f>IFERROR(IF(""&amp;INDEX(tk_HINGES,MATCH(99,tk_ASEQ,0))="","",INDEX(tk_HINGES,MATCH(99,tk_ASEQ,0))&amp;" · "&amp;INDEX(tk_LSRC,MATCH(99,tk_ASEQ,0))),"")</f>
        <v/>
      </c>
      <c r="T105" s="162">
        <f>IFERROR(""&amp;INDEX(tk_LOCK,MATCH(99,tk_ASEQ,0)),"")</f>
        <v/>
      </c>
      <c r="U105" s="162">
        <f>IFERROR(INDEX(tk_ETYPE,MATCH(99,tk_ASEQ,0)),"")</f>
        <v/>
      </c>
      <c r="V105" s="162">
        <f>IFERROR(""&amp;INDEX(tk_CHECK,MATCH(99,tk_ASEQ,0)),"")</f>
        <v/>
      </c>
      <c r="W105" s="162">
        <f>IFERROR(TRIM(INDEX(tk_DNOTES,MATCH(99,tk_ASEQ,0))&amp;" "&amp;INDEX(tk_FNOTES,MATCH(99,tk_ASEQ,0))),"")</f>
        <v/>
      </c>
    </row>
    <row r="106">
      <c r="A106" s="161">
        <f>IFERROR(""&amp;INDEX(tk_MARK,MATCH(100,tk_ASEQ,0)),"")</f>
        <v/>
      </c>
      <c r="B106" s="162">
        <f>IFERROR(""&amp;INDEX(tk_ROOMF,MATCH(100,tk_ASEQ,0)),"")</f>
        <v/>
      </c>
      <c r="C106" s="162">
        <f>IFERROR(""&amp;INDEX(tk_ROOMT,MATCH(100,tk_ASEQ,0)),"")</f>
        <v/>
      </c>
      <c r="D106" s="162">
        <f>IFERROR(INDEX(tk_QTY,MATCH(100,tk_ASEQ,0)),"")</f>
        <v/>
      </c>
      <c r="E106" s="162">
        <f>IFERROR(""&amp;INDEX(tk_SIZE,MATCH(100,tk_ASEQ,0)),"")</f>
        <v/>
      </c>
      <c r="F106" s="162">
        <f>IFERROR(""&amp;INDEX(tk_PAIR,MATCH(100,tk_ASEQ,0)),"")</f>
        <v/>
      </c>
      <c r="G106" s="162">
        <f>IFERROR(""&amp;INDEX(tk_DMAT,MATCH(100,tk_ASEQ,0)),"")</f>
        <v/>
      </c>
      <c r="H106" s="162">
        <f>IFERROR(""&amp;INDEX(tk_DGA,MATCH(100,tk_ASEQ,0)),"")</f>
        <v/>
      </c>
      <c r="I106" s="162">
        <f>IFERROR(""&amp;INDEX(tk_FACE,MATCH(100,tk_ASEQ,0)),"")</f>
        <v/>
      </c>
      <c r="J106" s="162">
        <f>IFERROR(IF(INDEX(tk_DHAND,MATCH(100,tk_ASEQ,0))="",""&amp;INDEX(tk_HAND,MATCH(100,tk_ASEQ,0)),""&amp;INDEX(tk_DHAND,MATCH(100,tk_ASEQ,0))),"")</f>
        <v/>
      </c>
      <c r="K106" s="162">
        <f>IFERROR(""&amp;INDEX(tk_FDESC,MATCH(100,tk_ASEQ,0)),"")</f>
        <v/>
      </c>
      <c r="L106" s="162">
        <f>IFERROR(INDEX(tk_STEEL,MATCH(100,tk_ASEQ,0))&amp;IF(INDEX(tk_FGA,MATCH(100,tk_ASEQ,0))="",""," "&amp;INDEX(tk_FGA,MATCH(100,tk_ASEQ,0))&amp;"GA"),"")</f>
        <v/>
      </c>
      <c r="M106" s="162">
        <f>IFERROR(IFERROR(VLOOKUP(INDEX(tk_JAMB,MATCH(100,tk_ASEQ,0)),CODES,2,FALSE),""&amp;INDEX(tk_JAMB,MATCH(100,tk_ASEQ,0))),"")</f>
        <v/>
      </c>
      <c r="N106" s="162">
        <f>IFERROR(""&amp;INDEX(tk_CONSTR,MATCH(100,tk_ASEQ,0)),"")</f>
        <v/>
      </c>
      <c r="O106" s="162">
        <f>IFERROR(""&amp;INDEX(tk_ANCHOR,MATCH(100,tk_ASEQ,0)),"")</f>
        <v/>
      </c>
      <c r="P106" s="162">
        <f>IFERROR(""&amp;INDEX(tk_RATING,MATCH(100,tk_ASEQ,0)),"")</f>
        <v/>
      </c>
      <c r="Q106" s="162">
        <f>IFERROR(""&amp;INDEX(tk_LABEL,MATCH(100,tk_ASEQ,0)),"")</f>
        <v/>
      </c>
      <c r="R106" s="162">
        <f>IFERROR(""&amp;INDEX(tk_HWSET,MATCH(100,tk_ASEQ,0)),"")</f>
        <v/>
      </c>
      <c r="S106" s="162">
        <f>IFERROR(IF(""&amp;INDEX(tk_HINGES,MATCH(100,tk_ASEQ,0))="","",INDEX(tk_HINGES,MATCH(100,tk_ASEQ,0))&amp;" · "&amp;INDEX(tk_LSRC,MATCH(100,tk_ASEQ,0))),"")</f>
        <v/>
      </c>
      <c r="T106" s="162">
        <f>IFERROR(""&amp;INDEX(tk_LOCK,MATCH(100,tk_ASEQ,0)),"")</f>
        <v/>
      </c>
      <c r="U106" s="162">
        <f>IFERROR(INDEX(tk_ETYPE,MATCH(100,tk_ASEQ,0)),"")</f>
        <v/>
      </c>
      <c r="V106" s="162">
        <f>IFERROR(""&amp;INDEX(tk_CHECK,MATCH(100,tk_ASEQ,0)),"")</f>
        <v/>
      </c>
      <c r="W106" s="162">
        <f>IFERROR(TRIM(INDEX(tk_DNOTES,MATCH(100,tk_ASEQ,0))&amp;" "&amp;INDEX(tk_FNOTES,MATCH(100,tk_ASEQ,0))),"")</f>
        <v/>
      </c>
    </row>
    <row r="107">
      <c r="A107" s="161">
        <f>IFERROR(""&amp;INDEX(tk_MARK,MATCH(101,tk_ASEQ,0)),"")</f>
        <v/>
      </c>
      <c r="B107" s="162">
        <f>IFERROR(""&amp;INDEX(tk_ROOMF,MATCH(101,tk_ASEQ,0)),"")</f>
        <v/>
      </c>
      <c r="C107" s="162">
        <f>IFERROR(""&amp;INDEX(tk_ROOMT,MATCH(101,tk_ASEQ,0)),"")</f>
        <v/>
      </c>
      <c r="D107" s="162">
        <f>IFERROR(INDEX(tk_QTY,MATCH(101,tk_ASEQ,0)),"")</f>
        <v/>
      </c>
      <c r="E107" s="162">
        <f>IFERROR(""&amp;INDEX(tk_SIZE,MATCH(101,tk_ASEQ,0)),"")</f>
        <v/>
      </c>
      <c r="F107" s="162">
        <f>IFERROR(""&amp;INDEX(tk_PAIR,MATCH(101,tk_ASEQ,0)),"")</f>
        <v/>
      </c>
      <c r="G107" s="162">
        <f>IFERROR(""&amp;INDEX(tk_DMAT,MATCH(101,tk_ASEQ,0)),"")</f>
        <v/>
      </c>
      <c r="H107" s="162">
        <f>IFERROR(""&amp;INDEX(tk_DGA,MATCH(101,tk_ASEQ,0)),"")</f>
        <v/>
      </c>
      <c r="I107" s="162">
        <f>IFERROR(""&amp;INDEX(tk_FACE,MATCH(101,tk_ASEQ,0)),"")</f>
        <v/>
      </c>
      <c r="J107" s="162">
        <f>IFERROR(IF(INDEX(tk_DHAND,MATCH(101,tk_ASEQ,0))="",""&amp;INDEX(tk_HAND,MATCH(101,tk_ASEQ,0)),""&amp;INDEX(tk_DHAND,MATCH(101,tk_ASEQ,0))),"")</f>
        <v/>
      </c>
      <c r="K107" s="162">
        <f>IFERROR(""&amp;INDEX(tk_FDESC,MATCH(101,tk_ASEQ,0)),"")</f>
        <v/>
      </c>
      <c r="L107" s="162">
        <f>IFERROR(INDEX(tk_STEEL,MATCH(101,tk_ASEQ,0))&amp;IF(INDEX(tk_FGA,MATCH(101,tk_ASEQ,0))="",""," "&amp;INDEX(tk_FGA,MATCH(101,tk_ASEQ,0))&amp;"GA"),"")</f>
        <v/>
      </c>
      <c r="M107" s="162">
        <f>IFERROR(IFERROR(VLOOKUP(INDEX(tk_JAMB,MATCH(101,tk_ASEQ,0)),CODES,2,FALSE),""&amp;INDEX(tk_JAMB,MATCH(101,tk_ASEQ,0))),"")</f>
        <v/>
      </c>
      <c r="N107" s="162">
        <f>IFERROR(""&amp;INDEX(tk_CONSTR,MATCH(101,tk_ASEQ,0)),"")</f>
        <v/>
      </c>
      <c r="O107" s="162">
        <f>IFERROR(""&amp;INDEX(tk_ANCHOR,MATCH(101,tk_ASEQ,0)),"")</f>
        <v/>
      </c>
      <c r="P107" s="162">
        <f>IFERROR(""&amp;INDEX(tk_RATING,MATCH(101,tk_ASEQ,0)),"")</f>
        <v/>
      </c>
      <c r="Q107" s="162">
        <f>IFERROR(""&amp;INDEX(tk_LABEL,MATCH(101,tk_ASEQ,0)),"")</f>
        <v/>
      </c>
      <c r="R107" s="162">
        <f>IFERROR(""&amp;INDEX(tk_HWSET,MATCH(101,tk_ASEQ,0)),"")</f>
        <v/>
      </c>
      <c r="S107" s="162">
        <f>IFERROR(IF(""&amp;INDEX(tk_HINGES,MATCH(101,tk_ASEQ,0))="","",INDEX(tk_HINGES,MATCH(101,tk_ASEQ,0))&amp;" · "&amp;INDEX(tk_LSRC,MATCH(101,tk_ASEQ,0))),"")</f>
        <v/>
      </c>
      <c r="T107" s="162">
        <f>IFERROR(""&amp;INDEX(tk_LOCK,MATCH(101,tk_ASEQ,0)),"")</f>
        <v/>
      </c>
      <c r="U107" s="162">
        <f>IFERROR(INDEX(tk_ETYPE,MATCH(101,tk_ASEQ,0)),"")</f>
        <v/>
      </c>
      <c r="V107" s="162">
        <f>IFERROR(""&amp;INDEX(tk_CHECK,MATCH(101,tk_ASEQ,0)),"")</f>
        <v/>
      </c>
      <c r="W107" s="162">
        <f>IFERROR(TRIM(INDEX(tk_DNOTES,MATCH(101,tk_ASEQ,0))&amp;" "&amp;INDEX(tk_FNOTES,MATCH(101,tk_ASEQ,0))),"")</f>
        <v/>
      </c>
    </row>
    <row r="108">
      <c r="A108" s="161">
        <f>IFERROR(""&amp;INDEX(tk_MARK,MATCH(102,tk_ASEQ,0)),"")</f>
        <v/>
      </c>
      <c r="B108" s="162">
        <f>IFERROR(""&amp;INDEX(tk_ROOMF,MATCH(102,tk_ASEQ,0)),"")</f>
        <v/>
      </c>
      <c r="C108" s="162">
        <f>IFERROR(""&amp;INDEX(tk_ROOMT,MATCH(102,tk_ASEQ,0)),"")</f>
        <v/>
      </c>
      <c r="D108" s="162">
        <f>IFERROR(INDEX(tk_QTY,MATCH(102,tk_ASEQ,0)),"")</f>
        <v/>
      </c>
      <c r="E108" s="162">
        <f>IFERROR(""&amp;INDEX(tk_SIZE,MATCH(102,tk_ASEQ,0)),"")</f>
        <v/>
      </c>
      <c r="F108" s="162">
        <f>IFERROR(""&amp;INDEX(tk_PAIR,MATCH(102,tk_ASEQ,0)),"")</f>
        <v/>
      </c>
      <c r="G108" s="162">
        <f>IFERROR(""&amp;INDEX(tk_DMAT,MATCH(102,tk_ASEQ,0)),"")</f>
        <v/>
      </c>
      <c r="H108" s="162">
        <f>IFERROR(""&amp;INDEX(tk_DGA,MATCH(102,tk_ASEQ,0)),"")</f>
        <v/>
      </c>
      <c r="I108" s="162">
        <f>IFERROR(""&amp;INDEX(tk_FACE,MATCH(102,tk_ASEQ,0)),"")</f>
        <v/>
      </c>
      <c r="J108" s="162">
        <f>IFERROR(IF(INDEX(tk_DHAND,MATCH(102,tk_ASEQ,0))="",""&amp;INDEX(tk_HAND,MATCH(102,tk_ASEQ,0)),""&amp;INDEX(tk_DHAND,MATCH(102,tk_ASEQ,0))),"")</f>
        <v/>
      </c>
      <c r="K108" s="162">
        <f>IFERROR(""&amp;INDEX(tk_FDESC,MATCH(102,tk_ASEQ,0)),"")</f>
        <v/>
      </c>
      <c r="L108" s="162">
        <f>IFERROR(INDEX(tk_STEEL,MATCH(102,tk_ASEQ,0))&amp;IF(INDEX(tk_FGA,MATCH(102,tk_ASEQ,0))="",""," "&amp;INDEX(tk_FGA,MATCH(102,tk_ASEQ,0))&amp;"GA"),"")</f>
        <v/>
      </c>
      <c r="M108" s="162">
        <f>IFERROR(IFERROR(VLOOKUP(INDEX(tk_JAMB,MATCH(102,tk_ASEQ,0)),CODES,2,FALSE),""&amp;INDEX(tk_JAMB,MATCH(102,tk_ASEQ,0))),"")</f>
        <v/>
      </c>
      <c r="N108" s="162">
        <f>IFERROR(""&amp;INDEX(tk_CONSTR,MATCH(102,tk_ASEQ,0)),"")</f>
        <v/>
      </c>
      <c r="O108" s="162">
        <f>IFERROR(""&amp;INDEX(tk_ANCHOR,MATCH(102,tk_ASEQ,0)),"")</f>
        <v/>
      </c>
      <c r="P108" s="162">
        <f>IFERROR(""&amp;INDEX(tk_RATING,MATCH(102,tk_ASEQ,0)),"")</f>
        <v/>
      </c>
      <c r="Q108" s="162">
        <f>IFERROR(""&amp;INDEX(tk_LABEL,MATCH(102,tk_ASEQ,0)),"")</f>
        <v/>
      </c>
      <c r="R108" s="162">
        <f>IFERROR(""&amp;INDEX(tk_HWSET,MATCH(102,tk_ASEQ,0)),"")</f>
        <v/>
      </c>
      <c r="S108" s="162">
        <f>IFERROR(IF(""&amp;INDEX(tk_HINGES,MATCH(102,tk_ASEQ,0))="","",INDEX(tk_HINGES,MATCH(102,tk_ASEQ,0))&amp;" · "&amp;INDEX(tk_LSRC,MATCH(102,tk_ASEQ,0))),"")</f>
        <v/>
      </c>
      <c r="T108" s="162">
        <f>IFERROR(""&amp;INDEX(tk_LOCK,MATCH(102,tk_ASEQ,0)),"")</f>
        <v/>
      </c>
      <c r="U108" s="162">
        <f>IFERROR(INDEX(tk_ETYPE,MATCH(102,tk_ASEQ,0)),"")</f>
        <v/>
      </c>
      <c r="V108" s="162">
        <f>IFERROR(""&amp;INDEX(tk_CHECK,MATCH(102,tk_ASEQ,0)),"")</f>
        <v/>
      </c>
      <c r="W108" s="162">
        <f>IFERROR(TRIM(INDEX(tk_DNOTES,MATCH(102,tk_ASEQ,0))&amp;" "&amp;INDEX(tk_FNOTES,MATCH(102,tk_ASEQ,0))),"")</f>
        <v/>
      </c>
    </row>
    <row r="109">
      <c r="A109" s="161">
        <f>IFERROR(""&amp;INDEX(tk_MARK,MATCH(103,tk_ASEQ,0)),"")</f>
        <v/>
      </c>
      <c r="B109" s="162">
        <f>IFERROR(""&amp;INDEX(tk_ROOMF,MATCH(103,tk_ASEQ,0)),"")</f>
        <v/>
      </c>
      <c r="C109" s="162">
        <f>IFERROR(""&amp;INDEX(tk_ROOMT,MATCH(103,tk_ASEQ,0)),"")</f>
        <v/>
      </c>
      <c r="D109" s="162">
        <f>IFERROR(INDEX(tk_QTY,MATCH(103,tk_ASEQ,0)),"")</f>
        <v/>
      </c>
      <c r="E109" s="162">
        <f>IFERROR(""&amp;INDEX(tk_SIZE,MATCH(103,tk_ASEQ,0)),"")</f>
        <v/>
      </c>
      <c r="F109" s="162">
        <f>IFERROR(""&amp;INDEX(tk_PAIR,MATCH(103,tk_ASEQ,0)),"")</f>
        <v/>
      </c>
      <c r="G109" s="162">
        <f>IFERROR(""&amp;INDEX(tk_DMAT,MATCH(103,tk_ASEQ,0)),"")</f>
        <v/>
      </c>
      <c r="H109" s="162">
        <f>IFERROR(""&amp;INDEX(tk_DGA,MATCH(103,tk_ASEQ,0)),"")</f>
        <v/>
      </c>
      <c r="I109" s="162">
        <f>IFERROR(""&amp;INDEX(tk_FACE,MATCH(103,tk_ASEQ,0)),"")</f>
        <v/>
      </c>
      <c r="J109" s="162">
        <f>IFERROR(IF(INDEX(tk_DHAND,MATCH(103,tk_ASEQ,0))="",""&amp;INDEX(tk_HAND,MATCH(103,tk_ASEQ,0)),""&amp;INDEX(tk_DHAND,MATCH(103,tk_ASEQ,0))),"")</f>
        <v/>
      </c>
      <c r="K109" s="162">
        <f>IFERROR(""&amp;INDEX(tk_FDESC,MATCH(103,tk_ASEQ,0)),"")</f>
        <v/>
      </c>
      <c r="L109" s="162">
        <f>IFERROR(INDEX(tk_STEEL,MATCH(103,tk_ASEQ,0))&amp;IF(INDEX(tk_FGA,MATCH(103,tk_ASEQ,0))="",""," "&amp;INDEX(tk_FGA,MATCH(103,tk_ASEQ,0))&amp;"GA"),"")</f>
        <v/>
      </c>
      <c r="M109" s="162">
        <f>IFERROR(IFERROR(VLOOKUP(INDEX(tk_JAMB,MATCH(103,tk_ASEQ,0)),CODES,2,FALSE),""&amp;INDEX(tk_JAMB,MATCH(103,tk_ASEQ,0))),"")</f>
        <v/>
      </c>
      <c r="N109" s="162">
        <f>IFERROR(""&amp;INDEX(tk_CONSTR,MATCH(103,tk_ASEQ,0)),"")</f>
        <v/>
      </c>
      <c r="O109" s="162">
        <f>IFERROR(""&amp;INDEX(tk_ANCHOR,MATCH(103,tk_ASEQ,0)),"")</f>
        <v/>
      </c>
      <c r="P109" s="162">
        <f>IFERROR(""&amp;INDEX(tk_RATING,MATCH(103,tk_ASEQ,0)),"")</f>
        <v/>
      </c>
      <c r="Q109" s="162">
        <f>IFERROR(""&amp;INDEX(tk_LABEL,MATCH(103,tk_ASEQ,0)),"")</f>
        <v/>
      </c>
      <c r="R109" s="162">
        <f>IFERROR(""&amp;INDEX(tk_HWSET,MATCH(103,tk_ASEQ,0)),"")</f>
        <v/>
      </c>
      <c r="S109" s="162">
        <f>IFERROR(IF(""&amp;INDEX(tk_HINGES,MATCH(103,tk_ASEQ,0))="","",INDEX(tk_HINGES,MATCH(103,tk_ASEQ,0))&amp;" · "&amp;INDEX(tk_LSRC,MATCH(103,tk_ASEQ,0))),"")</f>
        <v/>
      </c>
      <c r="T109" s="162">
        <f>IFERROR(""&amp;INDEX(tk_LOCK,MATCH(103,tk_ASEQ,0)),"")</f>
        <v/>
      </c>
      <c r="U109" s="162">
        <f>IFERROR(INDEX(tk_ETYPE,MATCH(103,tk_ASEQ,0)),"")</f>
        <v/>
      </c>
      <c r="V109" s="162">
        <f>IFERROR(""&amp;INDEX(tk_CHECK,MATCH(103,tk_ASEQ,0)),"")</f>
        <v/>
      </c>
      <c r="W109" s="162">
        <f>IFERROR(TRIM(INDEX(tk_DNOTES,MATCH(103,tk_ASEQ,0))&amp;" "&amp;INDEX(tk_FNOTES,MATCH(103,tk_ASEQ,0))),"")</f>
        <v/>
      </c>
    </row>
    <row r="110">
      <c r="A110" s="161">
        <f>IFERROR(""&amp;INDEX(tk_MARK,MATCH(104,tk_ASEQ,0)),"")</f>
        <v/>
      </c>
      <c r="B110" s="162">
        <f>IFERROR(""&amp;INDEX(tk_ROOMF,MATCH(104,tk_ASEQ,0)),"")</f>
        <v/>
      </c>
      <c r="C110" s="162">
        <f>IFERROR(""&amp;INDEX(tk_ROOMT,MATCH(104,tk_ASEQ,0)),"")</f>
        <v/>
      </c>
      <c r="D110" s="162">
        <f>IFERROR(INDEX(tk_QTY,MATCH(104,tk_ASEQ,0)),"")</f>
        <v/>
      </c>
      <c r="E110" s="162">
        <f>IFERROR(""&amp;INDEX(tk_SIZE,MATCH(104,tk_ASEQ,0)),"")</f>
        <v/>
      </c>
      <c r="F110" s="162">
        <f>IFERROR(""&amp;INDEX(tk_PAIR,MATCH(104,tk_ASEQ,0)),"")</f>
        <v/>
      </c>
      <c r="G110" s="162">
        <f>IFERROR(""&amp;INDEX(tk_DMAT,MATCH(104,tk_ASEQ,0)),"")</f>
        <v/>
      </c>
      <c r="H110" s="162">
        <f>IFERROR(""&amp;INDEX(tk_DGA,MATCH(104,tk_ASEQ,0)),"")</f>
        <v/>
      </c>
      <c r="I110" s="162">
        <f>IFERROR(""&amp;INDEX(tk_FACE,MATCH(104,tk_ASEQ,0)),"")</f>
        <v/>
      </c>
      <c r="J110" s="162">
        <f>IFERROR(IF(INDEX(tk_DHAND,MATCH(104,tk_ASEQ,0))="",""&amp;INDEX(tk_HAND,MATCH(104,tk_ASEQ,0)),""&amp;INDEX(tk_DHAND,MATCH(104,tk_ASEQ,0))),"")</f>
        <v/>
      </c>
      <c r="K110" s="162">
        <f>IFERROR(""&amp;INDEX(tk_FDESC,MATCH(104,tk_ASEQ,0)),"")</f>
        <v/>
      </c>
      <c r="L110" s="162">
        <f>IFERROR(INDEX(tk_STEEL,MATCH(104,tk_ASEQ,0))&amp;IF(INDEX(tk_FGA,MATCH(104,tk_ASEQ,0))="",""," "&amp;INDEX(tk_FGA,MATCH(104,tk_ASEQ,0))&amp;"GA"),"")</f>
        <v/>
      </c>
      <c r="M110" s="162">
        <f>IFERROR(IFERROR(VLOOKUP(INDEX(tk_JAMB,MATCH(104,tk_ASEQ,0)),CODES,2,FALSE),""&amp;INDEX(tk_JAMB,MATCH(104,tk_ASEQ,0))),"")</f>
        <v/>
      </c>
      <c r="N110" s="162">
        <f>IFERROR(""&amp;INDEX(tk_CONSTR,MATCH(104,tk_ASEQ,0)),"")</f>
        <v/>
      </c>
      <c r="O110" s="162">
        <f>IFERROR(""&amp;INDEX(tk_ANCHOR,MATCH(104,tk_ASEQ,0)),"")</f>
        <v/>
      </c>
      <c r="P110" s="162">
        <f>IFERROR(""&amp;INDEX(tk_RATING,MATCH(104,tk_ASEQ,0)),"")</f>
        <v/>
      </c>
      <c r="Q110" s="162">
        <f>IFERROR(""&amp;INDEX(tk_LABEL,MATCH(104,tk_ASEQ,0)),"")</f>
        <v/>
      </c>
      <c r="R110" s="162">
        <f>IFERROR(""&amp;INDEX(tk_HWSET,MATCH(104,tk_ASEQ,0)),"")</f>
        <v/>
      </c>
      <c r="S110" s="162">
        <f>IFERROR(IF(""&amp;INDEX(tk_HINGES,MATCH(104,tk_ASEQ,0))="","",INDEX(tk_HINGES,MATCH(104,tk_ASEQ,0))&amp;" · "&amp;INDEX(tk_LSRC,MATCH(104,tk_ASEQ,0))),"")</f>
        <v/>
      </c>
      <c r="T110" s="162">
        <f>IFERROR(""&amp;INDEX(tk_LOCK,MATCH(104,tk_ASEQ,0)),"")</f>
        <v/>
      </c>
      <c r="U110" s="162">
        <f>IFERROR(INDEX(tk_ETYPE,MATCH(104,tk_ASEQ,0)),"")</f>
        <v/>
      </c>
      <c r="V110" s="162">
        <f>IFERROR(""&amp;INDEX(tk_CHECK,MATCH(104,tk_ASEQ,0)),"")</f>
        <v/>
      </c>
      <c r="W110" s="162">
        <f>IFERROR(TRIM(INDEX(tk_DNOTES,MATCH(104,tk_ASEQ,0))&amp;" "&amp;INDEX(tk_FNOTES,MATCH(104,tk_ASEQ,0))),"")</f>
        <v/>
      </c>
    </row>
    <row r="111">
      <c r="A111" s="161">
        <f>IFERROR(""&amp;INDEX(tk_MARK,MATCH(105,tk_ASEQ,0)),"")</f>
        <v/>
      </c>
      <c r="B111" s="162">
        <f>IFERROR(""&amp;INDEX(tk_ROOMF,MATCH(105,tk_ASEQ,0)),"")</f>
        <v/>
      </c>
      <c r="C111" s="162">
        <f>IFERROR(""&amp;INDEX(tk_ROOMT,MATCH(105,tk_ASEQ,0)),"")</f>
        <v/>
      </c>
      <c r="D111" s="162">
        <f>IFERROR(INDEX(tk_QTY,MATCH(105,tk_ASEQ,0)),"")</f>
        <v/>
      </c>
      <c r="E111" s="162">
        <f>IFERROR(""&amp;INDEX(tk_SIZE,MATCH(105,tk_ASEQ,0)),"")</f>
        <v/>
      </c>
      <c r="F111" s="162">
        <f>IFERROR(""&amp;INDEX(tk_PAIR,MATCH(105,tk_ASEQ,0)),"")</f>
        <v/>
      </c>
      <c r="G111" s="162">
        <f>IFERROR(""&amp;INDEX(tk_DMAT,MATCH(105,tk_ASEQ,0)),"")</f>
        <v/>
      </c>
      <c r="H111" s="162">
        <f>IFERROR(""&amp;INDEX(tk_DGA,MATCH(105,tk_ASEQ,0)),"")</f>
        <v/>
      </c>
      <c r="I111" s="162">
        <f>IFERROR(""&amp;INDEX(tk_FACE,MATCH(105,tk_ASEQ,0)),"")</f>
        <v/>
      </c>
      <c r="J111" s="162">
        <f>IFERROR(IF(INDEX(tk_DHAND,MATCH(105,tk_ASEQ,0))="",""&amp;INDEX(tk_HAND,MATCH(105,tk_ASEQ,0)),""&amp;INDEX(tk_DHAND,MATCH(105,tk_ASEQ,0))),"")</f>
        <v/>
      </c>
      <c r="K111" s="162">
        <f>IFERROR(""&amp;INDEX(tk_FDESC,MATCH(105,tk_ASEQ,0)),"")</f>
        <v/>
      </c>
      <c r="L111" s="162">
        <f>IFERROR(INDEX(tk_STEEL,MATCH(105,tk_ASEQ,0))&amp;IF(INDEX(tk_FGA,MATCH(105,tk_ASEQ,0))="",""," "&amp;INDEX(tk_FGA,MATCH(105,tk_ASEQ,0))&amp;"GA"),"")</f>
        <v/>
      </c>
      <c r="M111" s="162">
        <f>IFERROR(IFERROR(VLOOKUP(INDEX(tk_JAMB,MATCH(105,tk_ASEQ,0)),CODES,2,FALSE),""&amp;INDEX(tk_JAMB,MATCH(105,tk_ASEQ,0))),"")</f>
        <v/>
      </c>
      <c r="N111" s="162">
        <f>IFERROR(""&amp;INDEX(tk_CONSTR,MATCH(105,tk_ASEQ,0)),"")</f>
        <v/>
      </c>
      <c r="O111" s="162">
        <f>IFERROR(""&amp;INDEX(tk_ANCHOR,MATCH(105,tk_ASEQ,0)),"")</f>
        <v/>
      </c>
      <c r="P111" s="162">
        <f>IFERROR(""&amp;INDEX(tk_RATING,MATCH(105,tk_ASEQ,0)),"")</f>
        <v/>
      </c>
      <c r="Q111" s="162">
        <f>IFERROR(""&amp;INDEX(tk_LABEL,MATCH(105,tk_ASEQ,0)),"")</f>
        <v/>
      </c>
      <c r="R111" s="162">
        <f>IFERROR(""&amp;INDEX(tk_HWSET,MATCH(105,tk_ASEQ,0)),"")</f>
        <v/>
      </c>
      <c r="S111" s="162">
        <f>IFERROR(IF(""&amp;INDEX(tk_HINGES,MATCH(105,tk_ASEQ,0))="","",INDEX(tk_HINGES,MATCH(105,tk_ASEQ,0))&amp;" · "&amp;INDEX(tk_LSRC,MATCH(105,tk_ASEQ,0))),"")</f>
        <v/>
      </c>
      <c r="T111" s="162">
        <f>IFERROR(""&amp;INDEX(tk_LOCK,MATCH(105,tk_ASEQ,0)),"")</f>
        <v/>
      </c>
      <c r="U111" s="162">
        <f>IFERROR(INDEX(tk_ETYPE,MATCH(105,tk_ASEQ,0)),"")</f>
        <v/>
      </c>
      <c r="V111" s="162">
        <f>IFERROR(""&amp;INDEX(tk_CHECK,MATCH(105,tk_ASEQ,0)),"")</f>
        <v/>
      </c>
      <c r="W111" s="162">
        <f>IFERROR(TRIM(INDEX(tk_DNOTES,MATCH(105,tk_ASEQ,0))&amp;" "&amp;INDEX(tk_FNOTES,MATCH(105,tk_ASEQ,0))),"")</f>
        <v/>
      </c>
    </row>
    <row r="112">
      <c r="A112" s="161">
        <f>IFERROR(""&amp;INDEX(tk_MARK,MATCH(106,tk_ASEQ,0)),"")</f>
        <v/>
      </c>
      <c r="B112" s="162">
        <f>IFERROR(""&amp;INDEX(tk_ROOMF,MATCH(106,tk_ASEQ,0)),"")</f>
        <v/>
      </c>
      <c r="C112" s="162">
        <f>IFERROR(""&amp;INDEX(tk_ROOMT,MATCH(106,tk_ASEQ,0)),"")</f>
        <v/>
      </c>
      <c r="D112" s="162">
        <f>IFERROR(INDEX(tk_QTY,MATCH(106,tk_ASEQ,0)),"")</f>
        <v/>
      </c>
      <c r="E112" s="162">
        <f>IFERROR(""&amp;INDEX(tk_SIZE,MATCH(106,tk_ASEQ,0)),"")</f>
        <v/>
      </c>
      <c r="F112" s="162">
        <f>IFERROR(""&amp;INDEX(tk_PAIR,MATCH(106,tk_ASEQ,0)),"")</f>
        <v/>
      </c>
      <c r="G112" s="162">
        <f>IFERROR(""&amp;INDEX(tk_DMAT,MATCH(106,tk_ASEQ,0)),"")</f>
        <v/>
      </c>
      <c r="H112" s="162">
        <f>IFERROR(""&amp;INDEX(tk_DGA,MATCH(106,tk_ASEQ,0)),"")</f>
        <v/>
      </c>
      <c r="I112" s="162">
        <f>IFERROR(""&amp;INDEX(tk_FACE,MATCH(106,tk_ASEQ,0)),"")</f>
        <v/>
      </c>
      <c r="J112" s="162">
        <f>IFERROR(IF(INDEX(tk_DHAND,MATCH(106,tk_ASEQ,0))="",""&amp;INDEX(tk_HAND,MATCH(106,tk_ASEQ,0)),""&amp;INDEX(tk_DHAND,MATCH(106,tk_ASEQ,0))),"")</f>
        <v/>
      </c>
      <c r="K112" s="162">
        <f>IFERROR(""&amp;INDEX(tk_FDESC,MATCH(106,tk_ASEQ,0)),"")</f>
        <v/>
      </c>
      <c r="L112" s="162">
        <f>IFERROR(INDEX(tk_STEEL,MATCH(106,tk_ASEQ,0))&amp;IF(INDEX(tk_FGA,MATCH(106,tk_ASEQ,0))="",""," "&amp;INDEX(tk_FGA,MATCH(106,tk_ASEQ,0))&amp;"GA"),"")</f>
        <v/>
      </c>
      <c r="M112" s="162">
        <f>IFERROR(IFERROR(VLOOKUP(INDEX(tk_JAMB,MATCH(106,tk_ASEQ,0)),CODES,2,FALSE),""&amp;INDEX(tk_JAMB,MATCH(106,tk_ASEQ,0))),"")</f>
        <v/>
      </c>
      <c r="N112" s="162">
        <f>IFERROR(""&amp;INDEX(tk_CONSTR,MATCH(106,tk_ASEQ,0)),"")</f>
        <v/>
      </c>
      <c r="O112" s="162">
        <f>IFERROR(""&amp;INDEX(tk_ANCHOR,MATCH(106,tk_ASEQ,0)),"")</f>
        <v/>
      </c>
      <c r="P112" s="162">
        <f>IFERROR(""&amp;INDEX(tk_RATING,MATCH(106,tk_ASEQ,0)),"")</f>
        <v/>
      </c>
      <c r="Q112" s="162">
        <f>IFERROR(""&amp;INDEX(tk_LABEL,MATCH(106,tk_ASEQ,0)),"")</f>
        <v/>
      </c>
      <c r="R112" s="162">
        <f>IFERROR(""&amp;INDEX(tk_HWSET,MATCH(106,tk_ASEQ,0)),"")</f>
        <v/>
      </c>
      <c r="S112" s="162">
        <f>IFERROR(IF(""&amp;INDEX(tk_HINGES,MATCH(106,tk_ASEQ,0))="","",INDEX(tk_HINGES,MATCH(106,tk_ASEQ,0))&amp;" · "&amp;INDEX(tk_LSRC,MATCH(106,tk_ASEQ,0))),"")</f>
        <v/>
      </c>
      <c r="T112" s="162">
        <f>IFERROR(""&amp;INDEX(tk_LOCK,MATCH(106,tk_ASEQ,0)),"")</f>
        <v/>
      </c>
      <c r="U112" s="162">
        <f>IFERROR(INDEX(tk_ETYPE,MATCH(106,tk_ASEQ,0)),"")</f>
        <v/>
      </c>
      <c r="V112" s="162">
        <f>IFERROR(""&amp;INDEX(tk_CHECK,MATCH(106,tk_ASEQ,0)),"")</f>
        <v/>
      </c>
      <c r="W112" s="162">
        <f>IFERROR(TRIM(INDEX(tk_DNOTES,MATCH(106,tk_ASEQ,0))&amp;" "&amp;INDEX(tk_FNOTES,MATCH(106,tk_ASEQ,0))),"")</f>
        <v/>
      </c>
    </row>
    <row r="113">
      <c r="A113" s="161">
        <f>IFERROR(""&amp;INDEX(tk_MARK,MATCH(107,tk_ASEQ,0)),"")</f>
        <v/>
      </c>
      <c r="B113" s="162">
        <f>IFERROR(""&amp;INDEX(tk_ROOMF,MATCH(107,tk_ASEQ,0)),"")</f>
        <v/>
      </c>
      <c r="C113" s="162">
        <f>IFERROR(""&amp;INDEX(tk_ROOMT,MATCH(107,tk_ASEQ,0)),"")</f>
        <v/>
      </c>
      <c r="D113" s="162">
        <f>IFERROR(INDEX(tk_QTY,MATCH(107,tk_ASEQ,0)),"")</f>
        <v/>
      </c>
      <c r="E113" s="162">
        <f>IFERROR(""&amp;INDEX(tk_SIZE,MATCH(107,tk_ASEQ,0)),"")</f>
        <v/>
      </c>
      <c r="F113" s="162">
        <f>IFERROR(""&amp;INDEX(tk_PAIR,MATCH(107,tk_ASEQ,0)),"")</f>
        <v/>
      </c>
      <c r="G113" s="162">
        <f>IFERROR(""&amp;INDEX(tk_DMAT,MATCH(107,tk_ASEQ,0)),"")</f>
        <v/>
      </c>
      <c r="H113" s="162">
        <f>IFERROR(""&amp;INDEX(tk_DGA,MATCH(107,tk_ASEQ,0)),"")</f>
        <v/>
      </c>
      <c r="I113" s="162">
        <f>IFERROR(""&amp;INDEX(tk_FACE,MATCH(107,tk_ASEQ,0)),"")</f>
        <v/>
      </c>
      <c r="J113" s="162">
        <f>IFERROR(IF(INDEX(tk_DHAND,MATCH(107,tk_ASEQ,0))="",""&amp;INDEX(tk_HAND,MATCH(107,tk_ASEQ,0)),""&amp;INDEX(tk_DHAND,MATCH(107,tk_ASEQ,0))),"")</f>
        <v/>
      </c>
      <c r="K113" s="162">
        <f>IFERROR(""&amp;INDEX(tk_FDESC,MATCH(107,tk_ASEQ,0)),"")</f>
        <v/>
      </c>
      <c r="L113" s="162">
        <f>IFERROR(INDEX(tk_STEEL,MATCH(107,tk_ASEQ,0))&amp;IF(INDEX(tk_FGA,MATCH(107,tk_ASEQ,0))="",""," "&amp;INDEX(tk_FGA,MATCH(107,tk_ASEQ,0))&amp;"GA"),"")</f>
        <v/>
      </c>
      <c r="M113" s="162">
        <f>IFERROR(IFERROR(VLOOKUP(INDEX(tk_JAMB,MATCH(107,tk_ASEQ,0)),CODES,2,FALSE),""&amp;INDEX(tk_JAMB,MATCH(107,tk_ASEQ,0))),"")</f>
        <v/>
      </c>
      <c r="N113" s="162">
        <f>IFERROR(""&amp;INDEX(tk_CONSTR,MATCH(107,tk_ASEQ,0)),"")</f>
        <v/>
      </c>
      <c r="O113" s="162">
        <f>IFERROR(""&amp;INDEX(tk_ANCHOR,MATCH(107,tk_ASEQ,0)),"")</f>
        <v/>
      </c>
      <c r="P113" s="162">
        <f>IFERROR(""&amp;INDEX(tk_RATING,MATCH(107,tk_ASEQ,0)),"")</f>
        <v/>
      </c>
      <c r="Q113" s="162">
        <f>IFERROR(""&amp;INDEX(tk_LABEL,MATCH(107,tk_ASEQ,0)),"")</f>
        <v/>
      </c>
      <c r="R113" s="162">
        <f>IFERROR(""&amp;INDEX(tk_HWSET,MATCH(107,tk_ASEQ,0)),"")</f>
        <v/>
      </c>
      <c r="S113" s="162">
        <f>IFERROR(IF(""&amp;INDEX(tk_HINGES,MATCH(107,tk_ASEQ,0))="","",INDEX(tk_HINGES,MATCH(107,tk_ASEQ,0))&amp;" · "&amp;INDEX(tk_LSRC,MATCH(107,tk_ASEQ,0))),"")</f>
        <v/>
      </c>
      <c r="T113" s="162">
        <f>IFERROR(""&amp;INDEX(tk_LOCK,MATCH(107,tk_ASEQ,0)),"")</f>
        <v/>
      </c>
      <c r="U113" s="162">
        <f>IFERROR(INDEX(tk_ETYPE,MATCH(107,tk_ASEQ,0)),"")</f>
        <v/>
      </c>
      <c r="V113" s="162">
        <f>IFERROR(""&amp;INDEX(tk_CHECK,MATCH(107,tk_ASEQ,0)),"")</f>
        <v/>
      </c>
      <c r="W113" s="162">
        <f>IFERROR(TRIM(INDEX(tk_DNOTES,MATCH(107,tk_ASEQ,0))&amp;" "&amp;INDEX(tk_FNOTES,MATCH(107,tk_ASEQ,0))),"")</f>
        <v/>
      </c>
    </row>
    <row r="114">
      <c r="A114" s="161">
        <f>IFERROR(""&amp;INDEX(tk_MARK,MATCH(108,tk_ASEQ,0)),"")</f>
        <v/>
      </c>
      <c r="B114" s="162">
        <f>IFERROR(""&amp;INDEX(tk_ROOMF,MATCH(108,tk_ASEQ,0)),"")</f>
        <v/>
      </c>
      <c r="C114" s="162">
        <f>IFERROR(""&amp;INDEX(tk_ROOMT,MATCH(108,tk_ASEQ,0)),"")</f>
        <v/>
      </c>
      <c r="D114" s="162">
        <f>IFERROR(INDEX(tk_QTY,MATCH(108,tk_ASEQ,0)),"")</f>
        <v/>
      </c>
      <c r="E114" s="162">
        <f>IFERROR(""&amp;INDEX(tk_SIZE,MATCH(108,tk_ASEQ,0)),"")</f>
        <v/>
      </c>
      <c r="F114" s="162">
        <f>IFERROR(""&amp;INDEX(tk_PAIR,MATCH(108,tk_ASEQ,0)),"")</f>
        <v/>
      </c>
      <c r="G114" s="162">
        <f>IFERROR(""&amp;INDEX(tk_DMAT,MATCH(108,tk_ASEQ,0)),"")</f>
        <v/>
      </c>
      <c r="H114" s="162">
        <f>IFERROR(""&amp;INDEX(tk_DGA,MATCH(108,tk_ASEQ,0)),"")</f>
        <v/>
      </c>
      <c r="I114" s="162">
        <f>IFERROR(""&amp;INDEX(tk_FACE,MATCH(108,tk_ASEQ,0)),"")</f>
        <v/>
      </c>
      <c r="J114" s="162">
        <f>IFERROR(IF(INDEX(tk_DHAND,MATCH(108,tk_ASEQ,0))="",""&amp;INDEX(tk_HAND,MATCH(108,tk_ASEQ,0)),""&amp;INDEX(tk_DHAND,MATCH(108,tk_ASEQ,0))),"")</f>
        <v/>
      </c>
      <c r="K114" s="162">
        <f>IFERROR(""&amp;INDEX(tk_FDESC,MATCH(108,tk_ASEQ,0)),"")</f>
        <v/>
      </c>
      <c r="L114" s="162">
        <f>IFERROR(INDEX(tk_STEEL,MATCH(108,tk_ASEQ,0))&amp;IF(INDEX(tk_FGA,MATCH(108,tk_ASEQ,0))="",""," "&amp;INDEX(tk_FGA,MATCH(108,tk_ASEQ,0))&amp;"GA"),"")</f>
        <v/>
      </c>
      <c r="M114" s="162">
        <f>IFERROR(IFERROR(VLOOKUP(INDEX(tk_JAMB,MATCH(108,tk_ASEQ,0)),CODES,2,FALSE),""&amp;INDEX(tk_JAMB,MATCH(108,tk_ASEQ,0))),"")</f>
        <v/>
      </c>
      <c r="N114" s="162">
        <f>IFERROR(""&amp;INDEX(tk_CONSTR,MATCH(108,tk_ASEQ,0)),"")</f>
        <v/>
      </c>
      <c r="O114" s="162">
        <f>IFERROR(""&amp;INDEX(tk_ANCHOR,MATCH(108,tk_ASEQ,0)),"")</f>
        <v/>
      </c>
      <c r="P114" s="162">
        <f>IFERROR(""&amp;INDEX(tk_RATING,MATCH(108,tk_ASEQ,0)),"")</f>
        <v/>
      </c>
      <c r="Q114" s="162">
        <f>IFERROR(""&amp;INDEX(tk_LABEL,MATCH(108,tk_ASEQ,0)),"")</f>
        <v/>
      </c>
      <c r="R114" s="162">
        <f>IFERROR(""&amp;INDEX(tk_HWSET,MATCH(108,tk_ASEQ,0)),"")</f>
        <v/>
      </c>
      <c r="S114" s="162">
        <f>IFERROR(IF(""&amp;INDEX(tk_HINGES,MATCH(108,tk_ASEQ,0))="","",INDEX(tk_HINGES,MATCH(108,tk_ASEQ,0))&amp;" · "&amp;INDEX(tk_LSRC,MATCH(108,tk_ASEQ,0))),"")</f>
        <v/>
      </c>
      <c r="T114" s="162">
        <f>IFERROR(""&amp;INDEX(tk_LOCK,MATCH(108,tk_ASEQ,0)),"")</f>
        <v/>
      </c>
      <c r="U114" s="162">
        <f>IFERROR(INDEX(tk_ETYPE,MATCH(108,tk_ASEQ,0)),"")</f>
        <v/>
      </c>
      <c r="V114" s="162">
        <f>IFERROR(""&amp;INDEX(tk_CHECK,MATCH(108,tk_ASEQ,0)),"")</f>
        <v/>
      </c>
      <c r="W114" s="162">
        <f>IFERROR(TRIM(INDEX(tk_DNOTES,MATCH(108,tk_ASEQ,0))&amp;" "&amp;INDEX(tk_FNOTES,MATCH(108,tk_ASEQ,0))),"")</f>
        <v/>
      </c>
    </row>
    <row r="115">
      <c r="A115" s="161">
        <f>IFERROR(""&amp;INDEX(tk_MARK,MATCH(109,tk_ASEQ,0)),"")</f>
        <v/>
      </c>
      <c r="B115" s="162">
        <f>IFERROR(""&amp;INDEX(tk_ROOMF,MATCH(109,tk_ASEQ,0)),"")</f>
        <v/>
      </c>
      <c r="C115" s="162">
        <f>IFERROR(""&amp;INDEX(tk_ROOMT,MATCH(109,tk_ASEQ,0)),"")</f>
        <v/>
      </c>
      <c r="D115" s="162">
        <f>IFERROR(INDEX(tk_QTY,MATCH(109,tk_ASEQ,0)),"")</f>
        <v/>
      </c>
      <c r="E115" s="162">
        <f>IFERROR(""&amp;INDEX(tk_SIZE,MATCH(109,tk_ASEQ,0)),"")</f>
        <v/>
      </c>
      <c r="F115" s="162">
        <f>IFERROR(""&amp;INDEX(tk_PAIR,MATCH(109,tk_ASEQ,0)),"")</f>
        <v/>
      </c>
      <c r="G115" s="162">
        <f>IFERROR(""&amp;INDEX(tk_DMAT,MATCH(109,tk_ASEQ,0)),"")</f>
        <v/>
      </c>
      <c r="H115" s="162">
        <f>IFERROR(""&amp;INDEX(tk_DGA,MATCH(109,tk_ASEQ,0)),"")</f>
        <v/>
      </c>
      <c r="I115" s="162">
        <f>IFERROR(""&amp;INDEX(tk_FACE,MATCH(109,tk_ASEQ,0)),"")</f>
        <v/>
      </c>
      <c r="J115" s="162">
        <f>IFERROR(IF(INDEX(tk_DHAND,MATCH(109,tk_ASEQ,0))="",""&amp;INDEX(tk_HAND,MATCH(109,tk_ASEQ,0)),""&amp;INDEX(tk_DHAND,MATCH(109,tk_ASEQ,0))),"")</f>
        <v/>
      </c>
      <c r="K115" s="162">
        <f>IFERROR(""&amp;INDEX(tk_FDESC,MATCH(109,tk_ASEQ,0)),"")</f>
        <v/>
      </c>
      <c r="L115" s="162">
        <f>IFERROR(INDEX(tk_STEEL,MATCH(109,tk_ASEQ,0))&amp;IF(INDEX(tk_FGA,MATCH(109,tk_ASEQ,0))="",""," "&amp;INDEX(tk_FGA,MATCH(109,tk_ASEQ,0))&amp;"GA"),"")</f>
        <v/>
      </c>
      <c r="M115" s="162">
        <f>IFERROR(IFERROR(VLOOKUP(INDEX(tk_JAMB,MATCH(109,tk_ASEQ,0)),CODES,2,FALSE),""&amp;INDEX(tk_JAMB,MATCH(109,tk_ASEQ,0))),"")</f>
        <v/>
      </c>
      <c r="N115" s="162">
        <f>IFERROR(""&amp;INDEX(tk_CONSTR,MATCH(109,tk_ASEQ,0)),"")</f>
        <v/>
      </c>
      <c r="O115" s="162">
        <f>IFERROR(""&amp;INDEX(tk_ANCHOR,MATCH(109,tk_ASEQ,0)),"")</f>
        <v/>
      </c>
      <c r="P115" s="162">
        <f>IFERROR(""&amp;INDEX(tk_RATING,MATCH(109,tk_ASEQ,0)),"")</f>
        <v/>
      </c>
      <c r="Q115" s="162">
        <f>IFERROR(""&amp;INDEX(tk_LABEL,MATCH(109,tk_ASEQ,0)),"")</f>
        <v/>
      </c>
      <c r="R115" s="162">
        <f>IFERROR(""&amp;INDEX(tk_HWSET,MATCH(109,tk_ASEQ,0)),"")</f>
        <v/>
      </c>
      <c r="S115" s="162">
        <f>IFERROR(IF(""&amp;INDEX(tk_HINGES,MATCH(109,tk_ASEQ,0))="","",INDEX(tk_HINGES,MATCH(109,tk_ASEQ,0))&amp;" · "&amp;INDEX(tk_LSRC,MATCH(109,tk_ASEQ,0))),"")</f>
        <v/>
      </c>
      <c r="T115" s="162">
        <f>IFERROR(""&amp;INDEX(tk_LOCK,MATCH(109,tk_ASEQ,0)),"")</f>
        <v/>
      </c>
      <c r="U115" s="162">
        <f>IFERROR(INDEX(tk_ETYPE,MATCH(109,tk_ASEQ,0)),"")</f>
        <v/>
      </c>
      <c r="V115" s="162">
        <f>IFERROR(""&amp;INDEX(tk_CHECK,MATCH(109,tk_ASEQ,0)),"")</f>
        <v/>
      </c>
      <c r="W115" s="162">
        <f>IFERROR(TRIM(INDEX(tk_DNOTES,MATCH(109,tk_ASEQ,0))&amp;" "&amp;INDEX(tk_FNOTES,MATCH(109,tk_ASEQ,0))),"")</f>
        <v/>
      </c>
    </row>
    <row r="116">
      <c r="A116" s="161">
        <f>IFERROR(""&amp;INDEX(tk_MARK,MATCH(110,tk_ASEQ,0)),"")</f>
        <v/>
      </c>
      <c r="B116" s="162">
        <f>IFERROR(""&amp;INDEX(tk_ROOMF,MATCH(110,tk_ASEQ,0)),"")</f>
        <v/>
      </c>
      <c r="C116" s="162">
        <f>IFERROR(""&amp;INDEX(tk_ROOMT,MATCH(110,tk_ASEQ,0)),"")</f>
        <v/>
      </c>
      <c r="D116" s="162">
        <f>IFERROR(INDEX(tk_QTY,MATCH(110,tk_ASEQ,0)),"")</f>
        <v/>
      </c>
      <c r="E116" s="162">
        <f>IFERROR(""&amp;INDEX(tk_SIZE,MATCH(110,tk_ASEQ,0)),"")</f>
        <v/>
      </c>
      <c r="F116" s="162">
        <f>IFERROR(""&amp;INDEX(tk_PAIR,MATCH(110,tk_ASEQ,0)),"")</f>
        <v/>
      </c>
      <c r="G116" s="162">
        <f>IFERROR(""&amp;INDEX(tk_DMAT,MATCH(110,tk_ASEQ,0)),"")</f>
        <v/>
      </c>
      <c r="H116" s="162">
        <f>IFERROR(""&amp;INDEX(tk_DGA,MATCH(110,tk_ASEQ,0)),"")</f>
        <v/>
      </c>
      <c r="I116" s="162">
        <f>IFERROR(""&amp;INDEX(tk_FACE,MATCH(110,tk_ASEQ,0)),"")</f>
        <v/>
      </c>
      <c r="J116" s="162">
        <f>IFERROR(IF(INDEX(tk_DHAND,MATCH(110,tk_ASEQ,0))="",""&amp;INDEX(tk_HAND,MATCH(110,tk_ASEQ,0)),""&amp;INDEX(tk_DHAND,MATCH(110,tk_ASEQ,0))),"")</f>
        <v/>
      </c>
      <c r="K116" s="162">
        <f>IFERROR(""&amp;INDEX(tk_FDESC,MATCH(110,tk_ASEQ,0)),"")</f>
        <v/>
      </c>
      <c r="L116" s="162">
        <f>IFERROR(INDEX(tk_STEEL,MATCH(110,tk_ASEQ,0))&amp;IF(INDEX(tk_FGA,MATCH(110,tk_ASEQ,0))="",""," "&amp;INDEX(tk_FGA,MATCH(110,tk_ASEQ,0))&amp;"GA"),"")</f>
        <v/>
      </c>
      <c r="M116" s="162">
        <f>IFERROR(IFERROR(VLOOKUP(INDEX(tk_JAMB,MATCH(110,tk_ASEQ,0)),CODES,2,FALSE),""&amp;INDEX(tk_JAMB,MATCH(110,tk_ASEQ,0))),"")</f>
        <v/>
      </c>
      <c r="N116" s="162">
        <f>IFERROR(""&amp;INDEX(tk_CONSTR,MATCH(110,tk_ASEQ,0)),"")</f>
        <v/>
      </c>
      <c r="O116" s="162">
        <f>IFERROR(""&amp;INDEX(tk_ANCHOR,MATCH(110,tk_ASEQ,0)),"")</f>
        <v/>
      </c>
      <c r="P116" s="162">
        <f>IFERROR(""&amp;INDEX(tk_RATING,MATCH(110,tk_ASEQ,0)),"")</f>
        <v/>
      </c>
      <c r="Q116" s="162">
        <f>IFERROR(""&amp;INDEX(tk_LABEL,MATCH(110,tk_ASEQ,0)),"")</f>
        <v/>
      </c>
      <c r="R116" s="162">
        <f>IFERROR(""&amp;INDEX(tk_HWSET,MATCH(110,tk_ASEQ,0)),"")</f>
        <v/>
      </c>
      <c r="S116" s="162">
        <f>IFERROR(IF(""&amp;INDEX(tk_HINGES,MATCH(110,tk_ASEQ,0))="","",INDEX(tk_HINGES,MATCH(110,tk_ASEQ,0))&amp;" · "&amp;INDEX(tk_LSRC,MATCH(110,tk_ASEQ,0))),"")</f>
        <v/>
      </c>
      <c r="T116" s="162">
        <f>IFERROR(""&amp;INDEX(tk_LOCK,MATCH(110,tk_ASEQ,0)),"")</f>
        <v/>
      </c>
      <c r="U116" s="162">
        <f>IFERROR(INDEX(tk_ETYPE,MATCH(110,tk_ASEQ,0)),"")</f>
        <v/>
      </c>
      <c r="V116" s="162">
        <f>IFERROR(""&amp;INDEX(tk_CHECK,MATCH(110,tk_ASEQ,0)),"")</f>
        <v/>
      </c>
      <c r="W116" s="162">
        <f>IFERROR(TRIM(INDEX(tk_DNOTES,MATCH(110,tk_ASEQ,0))&amp;" "&amp;INDEX(tk_FNOTES,MATCH(110,tk_ASEQ,0))),"")</f>
        <v/>
      </c>
    </row>
    <row r="117">
      <c r="A117" s="161">
        <f>IFERROR(""&amp;INDEX(tk_MARK,MATCH(111,tk_ASEQ,0)),"")</f>
        <v/>
      </c>
      <c r="B117" s="162">
        <f>IFERROR(""&amp;INDEX(tk_ROOMF,MATCH(111,tk_ASEQ,0)),"")</f>
        <v/>
      </c>
      <c r="C117" s="162">
        <f>IFERROR(""&amp;INDEX(tk_ROOMT,MATCH(111,tk_ASEQ,0)),"")</f>
        <v/>
      </c>
      <c r="D117" s="162">
        <f>IFERROR(INDEX(tk_QTY,MATCH(111,tk_ASEQ,0)),"")</f>
        <v/>
      </c>
      <c r="E117" s="162">
        <f>IFERROR(""&amp;INDEX(tk_SIZE,MATCH(111,tk_ASEQ,0)),"")</f>
        <v/>
      </c>
      <c r="F117" s="162">
        <f>IFERROR(""&amp;INDEX(tk_PAIR,MATCH(111,tk_ASEQ,0)),"")</f>
        <v/>
      </c>
      <c r="G117" s="162">
        <f>IFERROR(""&amp;INDEX(tk_DMAT,MATCH(111,tk_ASEQ,0)),"")</f>
        <v/>
      </c>
      <c r="H117" s="162">
        <f>IFERROR(""&amp;INDEX(tk_DGA,MATCH(111,tk_ASEQ,0)),"")</f>
        <v/>
      </c>
      <c r="I117" s="162">
        <f>IFERROR(""&amp;INDEX(tk_FACE,MATCH(111,tk_ASEQ,0)),"")</f>
        <v/>
      </c>
      <c r="J117" s="162">
        <f>IFERROR(IF(INDEX(tk_DHAND,MATCH(111,tk_ASEQ,0))="",""&amp;INDEX(tk_HAND,MATCH(111,tk_ASEQ,0)),""&amp;INDEX(tk_DHAND,MATCH(111,tk_ASEQ,0))),"")</f>
        <v/>
      </c>
      <c r="K117" s="162">
        <f>IFERROR(""&amp;INDEX(tk_FDESC,MATCH(111,tk_ASEQ,0)),"")</f>
        <v/>
      </c>
      <c r="L117" s="162">
        <f>IFERROR(INDEX(tk_STEEL,MATCH(111,tk_ASEQ,0))&amp;IF(INDEX(tk_FGA,MATCH(111,tk_ASEQ,0))="",""," "&amp;INDEX(tk_FGA,MATCH(111,tk_ASEQ,0))&amp;"GA"),"")</f>
        <v/>
      </c>
      <c r="M117" s="162">
        <f>IFERROR(IFERROR(VLOOKUP(INDEX(tk_JAMB,MATCH(111,tk_ASEQ,0)),CODES,2,FALSE),""&amp;INDEX(tk_JAMB,MATCH(111,tk_ASEQ,0))),"")</f>
        <v/>
      </c>
      <c r="N117" s="162">
        <f>IFERROR(""&amp;INDEX(tk_CONSTR,MATCH(111,tk_ASEQ,0)),"")</f>
        <v/>
      </c>
      <c r="O117" s="162">
        <f>IFERROR(""&amp;INDEX(tk_ANCHOR,MATCH(111,tk_ASEQ,0)),"")</f>
        <v/>
      </c>
      <c r="P117" s="162">
        <f>IFERROR(""&amp;INDEX(tk_RATING,MATCH(111,tk_ASEQ,0)),"")</f>
        <v/>
      </c>
      <c r="Q117" s="162">
        <f>IFERROR(""&amp;INDEX(tk_LABEL,MATCH(111,tk_ASEQ,0)),"")</f>
        <v/>
      </c>
      <c r="R117" s="162">
        <f>IFERROR(""&amp;INDEX(tk_HWSET,MATCH(111,tk_ASEQ,0)),"")</f>
        <v/>
      </c>
      <c r="S117" s="162">
        <f>IFERROR(IF(""&amp;INDEX(tk_HINGES,MATCH(111,tk_ASEQ,0))="","",INDEX(tk_HINGES,MATCH(111,tk_ASEQ,0))&amp;" · "&amp;INDEX(tk_LSRC,MATCH(111,tk_ASEQ,0))),"")</f>
        <v/>
      </c>
      <c r="T117" s="162">
        <f>IFERROR(""&amp;INDEX(tk_LOCK,MATCH(111,tk_ASEQ,0)),"")</f>
        <v/>
      </c>
      <c r="U117" s="162">
        <f>IFERROR(INDEX(tk_ETYPE,MATCH(111,tk_ASEQ,0)),"")</f>
        <v/>
      </c>
      <c r="V117" s="162">
        <f>IFERROR(""&amp;INDEX(tk_CHECK,MATCH(111,tk_ASEQ,0)),"")</f>
        <v/>
      </c>
      <c r="W117" s="162">
        <f>IFERROR(TRIM(INDEX(tk_DNOTES,MATCH(111,tk_ASEQ,0))&amp;" "&amp;INDEX(tk_FNOTES,MATCH(111,tk_ASEQ,0))),"")</f>
        <v/>
      </c>
    </row>
    <row r="118">
      <c r="A118" s="161">
        <f>IFERROR(""&amp;INDEX(tk_MARK,MATCH(112,tk_ASEQ,0)),"")</f>
        <v/>
      </c>
      <c r="B118" s="162">
        <f>IFERROR(""&amp;INDEX(tk_ROOMF,MATCH(112,tk_ASEQ,0)),"")</f>
        <v/>
      </c>
      <c r="C118" s="162">
        <f>IFERROR(""&amp;INDEX(tk_ROOMT,MATCH(112,tk_ASEQ,0)),"")</f>
        <v/>
      </c>
      <c r="D118" s="162">
        <f>IFERROR(INDEX(tk_QTY,MATCH(112,tk_ASEQ,0)),"")</f>
        <v/>
      </c>
      <c r="E118" s="162">
        <f>IFERROR(""&amp;INDEX(tk_SIZE,MATCH(112,tk_ASEQ,0)),"")</f>
        <v/>
      </c>
      <c r="F118" s="162">
        <f>IFERROR(""&amp;INDEX(tk_PAIR,MATCH(112,tk_ASEQ,0)),"")</f>
        <v/>
      </c>
      <c r="G118" s="162">
        <f>IFERROR(""&amp;INDEX(tk_DMAT,MATCH(112,tk_ASEQ,0)),"")</f>
        <v/>
      </c>
      <c r="H118" s="162">
        <f>IFERROR(""&amp;INDEX(tk_DGA,MATCH(112,tk_ASEQ,0)),"")</f>
        <v/>
      </c>
      <c r="I118" s="162">
        <f>IFERROR(""&amp;INDEX(tk_FACE,MATCH(112,tk_ASEQ,0)),"")</f>
        <v/>
      </c>
      <c r="J118" s="162">
        <f>IFERROR(IF(INDEX(tk_DHAND,MATCH(112,tk_ASEQ,0))="",""&amp;INDEX(tk_HAND,MATCH(112,tk_ASEQ,0)),""&amp;INDEX(tk_DHAND,MATCH(112,tk_ASEQ,0))),"")</f>
        <v/>
      </c>
      <c r="K118" s="162">
        <f>IFERROR(""&amp;INDEX(tk_FDESC,MATCH(112,tk_ASEQ,0)),"")</f>
        <v/>
      </c>
      <c r="L118" s="162">
        <f>IFERROR(INDEX(tk_STEEL,MATCH(112,tk_ASEQ,0))&amp;IF(INDEX(tk_FGA,MATCH(112,tk_ASEQ,0))="",""," "&amp;INDEX(tk_FGA,MATCH(112,tk_ASEQ,0))&amp;"GA"),"")</f>
        <v/>
      </c>
      <c r="M118" s="162">
        <f>IFERROR(IFERROR(VLOOKUP(INDEX(tk_JAMB,MATCH(112,tk_ASEQ,0)),CODES,2,FALSE),""&amp;INDEX(tk_JAMB,MATCH(112,tk_ASEQ,0))),"")</f>
        <v/>
      </c>
      <c r="N118" s="162">
        <f>IFERROR(""&amp;INDEX(tk_CONSTR,MATCH(112,tk_ASEQ,0)),"")</f>
        <v/>
      </c>
      <c r="O118" s="162">
        <f>IFERROR(""&amp;INDEX(tk_ANCHOR,MATCH(112,tk_ASEQ,0)),"")</f>
        <v/>
      </c>
      <c r="P118" s="162">
        <f>IFERROR(""&amp;INDEX(tk_RATING,MATCH(112,tk_ASEQ,0)),"")</f>
        <v/>
      </c>
      <c r="Q118" s="162">
        <f>IFERROR(""&amp;INDEX(tk_LABEL,MATCH(112,tk_ASEQ,0)),"")</f>
        <v/>
      </c>
      <c r="R118" s="162">
        <f>IFERROR(""&amp;INDEX(tk_HWSET,MATCH(112,tk_ASEQ,0)),"")</f>
        <v/>
      </c>
      <c r="S118" s="162">
        <f>IFERROR(IF(""&amp;INDEX(tk_HINGES,MATCH(112,tk_ASEQ,0))="","",INDEX(tk_HINGES,MATCH(112,tk_ASEQ,0))&amp;" · "&amp;INDEX(tk_LSRC,MATCH(112,tk_ASEQ,0))),"")</f>
        <v/>
      </c>
      <c r="T118" s="162">
        <f>IFERROR(""&amp;INDEX(tk_LOCK,MATCH(112,tk_ASEQ,0)),"")</f>
        <v/>
      </c>
      <c r="U118" s="162">
        <f>IFERROR(INDEX(tk_ETYPE,MATCH(112,tk_ASEQ,0)),"")</f>
        <v/>
      </c>
      <c r="V118" s="162">
        <f>IFERROR(""&amp;INDEX(tk_CHECK,MATCH(112,tk_ASEQ,0)),"")</f>
        <v/>
      </c>
      <c r="W118" s="162">
        <f>IFERROR(TRIM(INDEX(tk_DNOTES,MATCH(112,tk_ASEQ,0))&amp;" "&amp;INDEX(tk_FNOTES,MATCH(112,tk_ASEQ,0))),"")</f>
        <v/>
      </c>
    </row>
    <row r="119">
      <c r="A119" s="161">
        <f>IFERROR(""&amp;INDEX(tk_MARK,MATCH(113,tk_ASEQ,0)),"")</f>
        <v/>
      </c>
      <c r="B119" s="162">
        <f>IFERROR(""&amp;INDEX(tk_ROOMF,MATCH(113,tk_ASEQ,0)),"")</f>
        <v/>
      </c>
      <c r="C119" s="162">
        <f>IFERROR(""&amp;INDEX(tk_ROOMT,MATCH(113,tk_ASEQ,0)),"")</f>
        <v/>
      </c>
      <c r="D119" s="162">
        <f>IFERROR(INDEX(tk_QTY,MATCH(113,tk_ASEQ,0)),"")</f>
        <v/>
      </c>
      <c r="E119" s="162">
        <f>IFERROR(""&amp;INDEX(tk_SIZE,MATCH(113,tk_ASEQ,0)),"")</f>
        <v/>
      </c>
      <c r="F119" s="162">
        <f>IFERROR(""&amp;INDEX(tk_PAIR,MATCH(113,tk_ASEQ,0)),"")</f>
        <v/>
      </c>
      <c r="G119" s="162">
        <f>IFERROR(""&amp;INDEX(tk_DMAT,MATCH(113,tk_ASEQ,0)),"")</f>
        <v/>
      </c>
      <c r="H119" s="162">
        <f>IFERROR(""&amp;INDEX(tk_DGA,MATCH(113,tk_ASEQ,0)),"")</f>
        <v/>
      </c>
      <c r="I119" s="162">
        <f>IFERROR(""&amp;INDEX(tk_FACE,MATCH(113,tk_ASEQ,0)),"")</f>
        <v/>
      </c>
      <c r="J119" s="162">
        <f>IFERROR(IF(INDEX(tk_DHAND,MATCH(113,tk_ASEQ,0))="",""&amp;INDEX(tk_HAND,MATCH(113,tk_ASEQ,0)),""&amp;INDEX(tk_DHAND,MATCH(113,tk_ASEQ,0))),"")</f>
        <v/>
      </c>
      <c r="K119" s="162">
        <f>IFERROR(""&amp;INDEX(tk_FDESC,MATCH(113,tk_ASEQ,0)),"")</f>
        <v/>
      </c>
      <c r="L119" s="162">
        <f>IFERROR(INDEX(tk_STEEL,MATCH(113,tk_ASEQ,0))&amp;IF(INDEX(tk_FGA,MATCH(113,tk_ASEQ,0))="",""," "&amp;INDEX(tk_FGA,MATCH(113,tk_ASEQ,0))&amp;"GA"),"")</f>
        <v/>
      </c>
      <c r="M119" s="162">
        <f>IFERROR(IFERROR(VLOOKUP(INDEX(tk_JAMB,MATCH(113,tk_ASEQ,0)),CODES,2,FALSE),""&amp;INDEX(tk_JAMB,MATCH(113,tk_ASEQ,0))),"")</f>
        <v/>
      </c>
      <c r="N119" s="162">
        <f>IFERROR(""&amp;INDEX(tk_CONSTR,MATCH(113,tk_ASEQ,0)),"")</f>
        <v/>
      </c>
      <c r="O119" s="162">
        <f>IFERROR(""&amp;INDEX(tk_ANCHOR,MATCH(113,tk_ASEQ,0)),"")</f>
        <v/>
      </c>
      <c r="P119" s="162">
        <f>IFERROR(""&amp;INDEX(tk_RATING,MATCH(113,tk_ASEQ,0)),"")</f>
        <v/>
      </c>
      <c r="Q119" s="162">
        <f>IFERROR(""&amp;INDEX(tk_LABEL,MATCH(113,tk_ASEQ,0)),"")</f>
        <v/>
      </c>
      <c r="R119" s="162">
        <f>IFERROR(""&amp;INDEX(tk_HWSET,MATCH(113,tk_ASEQ,0)),"")</f>
        <v/>
      </c>
      <c r="S119" s="162">
        <f>IFERROR(IF(""&amp;INDEX(tk_HINGES,MATCH(113,tk_ASEQ,0))="","",INDEX(tk_HINGES,MATCH(113,tk_ASEQ,0))&amp;" · "&amp;INDEX(tk_LSRC,MATCH(113,tk_ASEQ,0))),"")</f>
        <v/>
      </c>
      <c r="T119" s="162">
        <f>IFERROR(""&amp;INDEX(tk_LOCK,MATCH(113,tk_ASEQ,0)),"")</f>
        <v/>
      </c>
      <c r="U119" s="162">
        <f>IFERROR(INDEX(tk_ETYPE,MATCH(113,tk_ASEQ,0)),"")</f>
        <v/>
      </c>
      <c r="V119" s="162">
        <f>IFERROR(""&amp;INDEX(tk_CHECK,MATCH(113,tk_ASEQ,0)),"")</f>
        <v/>
      </c>
      <c r="W119" s="162">
        <f>IFERROR(TRIM(INDEX(tk_DNOTES,MATCH(113,tk_ASEQ,0))&amp;" "&amp;INDEX(tk_FNOTES,MATCH(113,tk_ASEQ,0))),"")</f>
        <v/>
      </c>
    </row>
    <row r="120">
      <c r="A120" s="161">
        <f>IFERROR(""&amp;INDEX(tk_MARK,MATCH(114,tk_ASEQ,0)),"")</f>
        <v/>
      </c>
      <c r="B120" s="162">
        <f>IFERROR(""&amp;INDEX(tk_ROOMF,MATCH(114,tk_ASEQ,0)),"")</f>
        <v/>
      </c>
      <c r="C120" s="162">
        <f>IFERROR(""&amp;INDEX(tk_ROOMT,MATCH(114,tk_ASEQ,0)),"")</f>
        <v/>
      </c>
      <c r="D120" s="162">
        <f>IFERROR(INDEX(tk_QTY,MATCH(114,tk_ASEQ,0)),"")</f>
        <v/>
      </c>
      <c r="E120" s="162">
        <f>IFERROR(""&amp;INDEX(tk_SIZE,MATCH(114,tk_ASEQ,0)),"")</f>
        <v/>
      </c>
      <c r="F120" s="162">
        <f>IFERROR(""&amp;INDEX(tk_PAIR,MATCH(114,tk_ASEQ,0)),"")</f>
        <v/>
      </c>
      <c r="G120" s="162">
        <f>IFERROR(""&amp;INDEX(tk_DMAT,MATCH(114,tk_ASEQ,0)),"")</f>
        <v/>
      </c>
      <c r="H120" s="162">
        <f>IFERROR(""&amp;INDEX(tk_DGA,MATCH(114,tk_ASEQ,0)),"")</f>
        <v/>
      </c>
      <c r="I120" s="162">
        <f>IFERROR(""&amp;INDEX(tk_FACE,MATCH(114,tk_ASEQ,0)),"")</f>
        <v/>
      </c>
      <c r="J120" s="162">
        <f>IFERROR(IF(INDEX(tk_DHAND,MATCH(114,tk_ASEQ,0))="",""&amp;INDEX(tk_HAND,MATCH(114,tk_ASEQ,0)),""&amp;INDEX(tk_DHAND,MATCH(114,tk_ASEQ,0))),"")</f>
        <v/>
      </c>
      <c r="K120" s="162">
        <f>IFERROR(""&amp;INDEX(tk_FDESC,MATCH(114,tk_ASEQ,0)),"")</f>
        <v/>
      </c>
      <c r="L120" s="162">
        <f>IFERROR(INDEX(tk_STEEL,MATCH(114,tk_ASEQ,0))&amp;IF(INDEX(tk_FGA,MATCH(114,tk_ASEQ,0))="",""," "&amp;INDEX(tk_FGA,MATCH(114,tk_ASEQ,0))&amp;"GA"),"")</f>
        <v/>
      </c>
      <c r="M120" s="162">
        <f>IFERROR(IFERROR(VLOOKUP(INDEX(tk_JAMB,MATCH(114,tk_ASEQ,0)),CODES,2,FALSE),""&amp;INDEX(tk_JAMB,MATCH(114,tk_ASEQ,0))),"")</f>
        <v/>
      </c>
      <c r="N120" s="162">
        <f>IFERROR(""&amp;INDEX(tk_CONSTR,MATCH(114,tk_ASEQ,0)),"")</f>
        <v/>
      </c>
      <c r="O120" s="162">
        <f>IFERROR(""&amp;INDEX(tk_ANCHOR,MATCH(114,tk_ASEQ,0)),"")</f>
        <v/>
      </c>
      <c r="P120" s="162">
        <f>IFERROR(""&amp;INDEX(tk_RATING,MATCH(114,tk_ASEQ,0)),"")</f>
        <v/>
      </c>
      <c r="Q120" s="162">
        <f>IFERROR(""&amp;INDEX(tk_LABEL,MATCH(114,tk_ASEQ,0)),"")</f>
        <v/>
      </c>
      <c r="R120" s="162">
        <f>IFERROR(""&amp;INDEX(tk_HWSET,MATCH(114,tk_ASEQ,0)),"")</f>
        <v/>
      </c>
      <c r="S120" s="162">
        <f>IFERROR(IF(""&amp;INDEX(tk_HINGES,MATCH(114,tk_ASEQ,0))="","",INDEX(tk_HINGES,MATCH(114,tk_ASEQ,0))&amp;" · "&amp;INDEX(tk_LSRC,MATCH(114,tk_ASEQ,0))),"")</f>
        <v/>
      </c>
      <c r="T120" s="162">
        <f>IFERROR(""&amp;INDEX(tk_LOCK,MATCH(114,tk_ASEQ,0)),"")</f>
        <v/>
      </c>
      <c r="U120" s="162">
        <f>IFERROR(INDEX(tk_ETYPE,MATCH(114,tk_ASEQ,0)),"")</f>
        <v/>
      </c>
      <c r="V120" s="162">
        <f>IFERROR(""&amp;INDEX(tk_CHECK,MATCH(114,tk_ASEQ,0)),"")</f>
        <v/>
      </c>
      <c r="W120" s="162">
        <f>IFERROR(TRIM(INDEX(tk_DNOTES,MATCH(114,tk_ASEQ,0))&amp;" "&amp;INDEX(tk_FNOTES,MATCH(114,tk_ASEQ,0))),"")</f>
        <v/>
      </c>
    </row>
    <row r="121">
      <c r="A121" s="161">
        <f>IFERROR(""&amp;INDEX(tk_MARK,MATCH(115,tk_ASEQ,0)),"")</f>
        <v/>
      </c>
      <c r="B121" s="162">
        <f>IFERROR(""&amp;INDEX(tk_ROOMF,MATCH(115,tk_ASEQ,0)),"")</f>
        <v/>
      </c>
      <c r="C121" s="162">
        <f>IFERROR(""&amp;INDEX(tk_ROOMT,MATCH(115,tk_ASEQ,0)),"")</f>
        <v/>
      </c>
      <c r="D121" s="162">
        <f>IFERROR(INDEX(tk_QTY,MATCH(115,tk_ASEQ,0)),"")</f>
        <v/>
      </c>
      <c r="E121" s="162">
        <f>IFERROR(""&amp;INDEX(tk_SIZE,MATCH(115,tk_ASEQ,0)),"")</f>
        <v/>
      </c>
      <c r="F121" s="162">
        <f>IFERROR(""&amp;INDEX(tk_PAIR,MATCH(115,tk_ASEQ,0)),"")</f>
        <v/>
      </c>
      <c r="G121" s="162">
        <f>IFERROR(""&amp;INDEX(tk_DMAT,MATCH(115,tk_ASEQ,0)),"")</f>
        <v/>
      </c>
      <c r="H121" s="162">
        <f>IFERROR(""&amp;INDEX(tk_DGA,MATCH(115,tk_ASEQ,0)),"")</f>
        <v/>
      </c>
      <c r="I121" s="162">
        <f>IFERROR(""&amp;INDEX(tk_FACE,MATCH(115,tk_ASEQ,0)),"")</f>
        <v/>
      </c>
      <c r="J121" s="162">
        <f>IFERROR(IF(INDEX(tk_DHAND,MATCH(115,tk_ASEQ,0))="",""&amp;INDEX(tk_HAND,MATCH(115,tk_ASEQ,0)),""&amp;INDEX(tk_DHAND,MATCH(115,tk_ASEQ,0))),"")</f>
        <v/>
      </c>
      <c r="K121" s="162">
        <f>IFERROR(""&amp;INDEX(tk_FDESC,MATCH(115,tk_ASEQ,0)),"")</f>
        <v/>
      </c>
      <c r="L121" s="162">
        <f>IFERROR(INDEX(tk_STEEL,MATCH(115,tk_ASEQ,0))&amp;IF(INDEX(tk_FGA,MATCH(115,tk_ASEQ,0))="",""," "&amp;INDEX(tk_FGA,MATCH(115,tk_ASEQ,0))&amp;"GA"),"")</f>
        <v/>
      </c>
      <c r="M121" s="162">
        <f>IFERROR(IFERROR(VLOOKUP(INDEX(tk_JAMB,MATCH(115,tk_ASEQ,0)),CODES,2,FALSE),""&amp;INDEX(tk_JAMB,MATCH(115,tk_ASEQ,0))),"")</f>
        <v/>
      </c>
      <c r="N121" s="162">
        <f>IFERROR(""&amp;INDEX(tk_CONSTR,MATCH(115,tk_ASEQ,0)),"")</f>
        <v/>
      </c>
      <c r="O121" s="162">
        <f>IFERROR(""&amp;INDEX(tk_ANCHOR,MATCH(115,tk_ASEQ,0)),"")</f>
        <v/>
      </c>
      <c r="P121" s="162">
        <f>IFERROR(""&amp;INDEX(tk_RATING,MATCH(115,tk_ASEQ,0)),"")</f>
        <v/>
      </c>
      <c r="Q121" s="162">
        <f>IFERROR(""&amp;INDEX(tk_LABEL,MATCH(115,tk_ASEQ,0)),"")</f>
        <v/>
      </c>
      <c r="R121" s="162">
        <f>IFERROR(""&amp;INDEX(tk_HWSET,MATCH(115,tk_ASEQ,0)),"")</f>
        <v/>
      </c>
      <c r="S121" s="162">
        <f>IFERROR(IF(""&amp;INDEX(tk_HINGES,MATCH(115,tk_ASEQ,0))="","",INDEX(tk_HINGES,MATCH(115,tk_ASEQ,0))&amp;" · "&amp;INDEX(tk_LSRC,MATCH(115,tk_ASEQ,0))),"")</f>
        <v/>
      </c>
      <c r="T121" s="162">
        <f>IFERROR(""&amp;INDEX(tk_LOCK,MATCH(115,tk_ASEQ,0)),"")</f>
        <v/>
      </c>
      <c r="U121" s="162">
        <f>IFERROR(INDEX(tk_ETYPE,MATCH(115,tk_ASEQ,0)),"")</f>
        <v/>
      </c>
      <c r="V121" s="162">
        <f>IFERROR(""&amp;INDEX(tk_CHECK,MATCH(115,tk_ASEQ,0)),"")</f>
        <v/>
      </c>
      <c r="W121" s="162">
        <f>IFERROR(TRIM(INDEX(tk_DNOTES,MATCH(115,tk_ASEQ,0))&amp;" "&amp;INDEX(tk_FNOTES,MATCH(115,tk_ASEQ,0))),"")</f>
        <v/>
      </c>
    </row>
    <row r="122">
      <c r="A122" s="161">
        <f>IFERROR(""&amp;INDEX(tk_MARK,MATCH(116,tk_ASEQ,0)),"")</f>
        <v/>
      </c>
      <c r="B122" s="162">
        <f>IFERROR(""&amp;INDEX(tk_ROOMF,MATCH(116,tk_ASEQ,0)),"")</f>
        <v/>
      </c>
      <c r="C122" s="162">
        <f>IFERROR(""&amp;INDEX(tk_ROOMT,MATCH(116,tk_ASEQ,0)),"")</f>
        <v/>
      </c>
      <c r="D122" s="162">
        <f>IFERROR(INDEX(tk_QTY,MATCH(116,tk_ASEQ,0)),"")</f>
        <v/>
      </c>
      <c r="E122" s="162">
        <f>IFERROR(""&amp;INDEX(tk_SIZE,MATCH(116,tk_ASEQ,0)),"")</f>
        <v/>
      </c>
      <c r="F122" s="162">
        <f>IFERROR(""&amp;INDEX(tk_PAIR,MATCH(116,tk_ASEQ,0)),"")</f>
        <v/>
      </c>
      <c r="G122" s="162">
        <f>IFERROR(""&amp;INDEX(tk_DMAT,MATCH(116,tk_ASEQ,0)),"")</f>
        <v/>
      </c>
      <c r="H122" s="162">
        <f>IFERROR(""&amp;INDEX(tk_DGA,MATCH(116,tk_ASEQ,0)),"")</f>
        <v/>
      </c>
      <c r="I122" s="162">
        <f>IFERROR(""&amp;INDEX(tk_FACE,MATCH(116,tk_ASEQ,0)),"")</f>
        <v/>
      </c>
      <c r="J122" s="162">
        <f>IFERROR(IF(INDEX(tk_DHAND,MATCH(116,tk_ASEQ,0))="",""&amp;INDEX(tk_HAND,MATCH(116,tk_ASEQ,0)),""&amp;INDEX(tk_DHAND,MATCH(116,tk_ASEQ,0))),"")</f>
        <v/>
      </c>
      <c r="K122" s="162">
        <f>IFERROR(""&amp;INDEX(tk_FDESC,MATCH(116,tk_ASEQ,0)),"")</f>
        <v/>
      </c>
      <c r="L122" s="162">
        <f>IFERROR(INDEX(tk_STEEL,MATCH(116,tk_ASEQ,0))&amp;IF(INDEX(tk_FGA,MATCH(116,tk_ASEQ,0))="",""," "&amp;INDEX(tk_FGA,MATCH(116,tk_ASEQ,0))&amp;"GA"),"")</f>
        <v/>
      </c>
      <c r="M122" s="162">
        <f>IFERROR(IFERROR(VLOOKUP(INDEX(tk_JAMB,MATCH(116,tk_ASEQ,0)),CODES,2,FALSE),""&amp;INDEX(tk_JAMB,MATCH(116,tk_ASEQ,0))),"")</f>
        <v/>
      </c>
      <c r="N122" s="162">
        <f>IFERROR(""&amp;INDEX(tk_CONSTR,MATCH(116,tk_ASEQ,0)),"")</f>
        <v/>
      </c>
      <c r="O122" s="162">
        <f>IFERROR(""&amp;INDEX(tk_ANCHOR,MATCH(116,tk_ASEQ,0)),"")</f>
        <v/>
      </c>
      <c r="P122" s="162">
        <f>IFERROR(""&amp;INDEX(tk_RATING,MATCH(116,tk_ASEQ,0)),"")</f>
        <v/>
      </c>
      <c r="Q122" s="162">
        <f>IFERROR(""&amp;INDEX(tk_LABEL,MATCH(116,tk_ASEQ,0)),"")</f>
        <v/>
      </c>
      <c r="R122" s="162">
        <f>IFERROR(""&amp;INDEX(tk_HWSET,MATCH(116,tk_ASEQ,0)),"")</f>
        <v/>
      </c>
      <c r="S122" s="162">
        <f>IFERROR(IF(""&amp;INDEX(tk_HINGES,MATCH(116,tk_ASEQ,0))="","",INDEX(tk_HINGES,MATCH(116,tk_ASEQ,0))&amp;" · "&amp;INDEX(tk_LSRC,MATCH(116,tk_ASEQ,0))),"")</f>
        <v/>
      </c>
      <c r="T122" s="162">
        <f>IFERROR(""&amp;INDEX(tk_LOCK,MATCH(116,tk_ASEQ,0)),"")</f>
        <v/>
      </c>
      <c r="U122" s="162">
        <f>IFERROR(INDEX(tk_ETYPE,MATCH(116,tk_ASEQ,0)),"")</f>
        <v/>
      </c>
      <c r="V122" s="162">
        <f>IFERROR(""&amp;INDEX(tk_CHECK,MATCH(116,tk_ASEQ,0)),"")</f>
        <v/>
      </c>
      <c r="W122" s="162">
        <f>IFERROR(TRIM(INDEX(tk_DNOTES,MATCH(116,tk_ASEQ,0))&amp;" "&amp;INDEX(tk_FNOTES,MATCH(116,tk_ASEQ,0))),"")</f>
        <v/>
      </c>
    </row>
    <row r="123">
      <c r="A123" s="161">
        <f>IFERROR(""&amp;INDEX(tk_MARK,MATCH(117,tk_ASEQ,0)),"")</f>
        <v/>
      </c>
      <c r="B123" s="162">
        <f>IFERROR(""&amp;INDEX(tk_ROOMF,MATCH(117,tk_ASEQ,0)),"")</f>
        <v/>
      </c>
      <c r="C123" s="162">
        <f>IFERROR(""&amp;INDEX(tk_ROOMT,MATCH(117,tk_ASEQ,0)),"")</f>
        <v/>
      </c>
      <c r="D123" s="162">
        <f>IFERROR(INDEX(tk_QTY,MATCH(117,tk_ASEQ,0)),"")</f>
        <v/>
      </c>
      <c r="E123" s="162">
        <f>IFERROR(""&amp;INDEX(tk_SIZE,MATCH(117,tk_ASEQ,0)),"")</f>
        <v/>
      </c>
      <c r="F123" s="162">
        <f>IFERROR(""&amp;INDEX(tk_PAIR,MATCH(117,tk_ASEQ,0)),"")</f>
        <v/>
      </c>
      <c r="G123" s="162">
        <f>IFERROR(""&amp;INDEX(tk_DMAT,MATCH(117,tk_ASEQ,0)),"")</f>
        <v/>
      </c>
      <c r="H123" s="162">
        <f>IFERROR(""&amp;INDEX(tk_DGA,MATCH(117,tk_ASEQ,0)),"")</f>
        <v/>
      </c>
      <c r="I123" s="162">
        <f>IFERROR(""&amp;INDEX(tk_FACE,MATCH(117,tk_ASEQ,0)),"")</f>
        <v/>
      </c>
      <c r="J123" s="162">
        <f>IFERROR(IF(INDEX(tk_DHAND,MATCH(117,tk_ASEQ,0))="",""&amp;INDEX(tk_HAND,MATCH(117,tk_ASEQ,0)),""&amp;INDEX(tk_DHAND,MATCH(117,tk_ASEQ,0))),"")</f>
        <v/>
      </c>
      <c r="K123" s="162">
        <f>IFERROR(""&amp;INDEX(tk_FDESC,MATCH(117,tk_ASEQ,0)),"")</f>
        <v/>
      </c>
      <c r="L123" s="162">
        <f>IFERROR(INDEX(tk_STEEL,MATCH(117,tk_ASEQ,0))&amp;IF(INDEX(tk_FGA,MATCH(117,tk_ASEQ,0))="",""," "&amp;INDEX(tk_FGA,MATCH(117,tk_ASEQ,0))&amp;"GA"),"")</f>
        <v/>
      </c>
      <c r="M123" s="162">
        <f>IFERROR(IFERROR(VLOOKUP(INDEX(tk_JAMB,MATCH(117,tk_ASEQ,0)),CODES,2,FALSE),""&amp;INDEX(tk_JAMB,MATCH(117,tk_ASEQ,0))),"")</f>
        <v/>
      </c>
      <c r="N123" s="162">
        <f>IFERROR(""&amp;INDEX(tk_CONSTR,MATCH(117,tk_ASEQ,0)),"")</f>
        <v/>
      </c>
      <c r="O123" s="162">
        <f>IFERROR(""&amp;INDEX(tk_ANCHOR,MATCH(117,tk_ASEQ,0)),"")</f>
        <v/>
      </c>
      <c r="P123" s="162">
        <f>IFERROR(""&amp;INDEX(tk_RATING,MATCH(117,tk_ASEQ,0)),"")</f>
        <v/>
      </c>
      <c r="Q123" s="162">
        <f>IFERROR(""&amp;INDEX(tk_LABEL,MATCH(117,tk_ASEQ,0)),"")</f>
        <v/>
      </c>
      <c r="R123" s="162">
        <f>IFERROR(""&amp;INDEX(tk_HWSET,MATCH(117,tk_ASEQ,0)),"")</f>
        <v/>
      </c>
      <c r="S123" s="162">
        <f>IFERROR(IF(""&amp;INDEX(tk_HINGES,MATCH(117,tk_ASEQ,0))="","",INDEX(tk_HINGES,MATCH(117,tk_ASEQ,0))&amp;" · "&amp;INDEX(tk_LSRC,MATCH(117,tk_ASEQ,0))),"")</f>
        <v/>
      </c>
      <c r="T123" s="162">
        <f>IFERROR(""&amp;INDEX(tk_LOCK,MATCH(117,tk_ASEQ,0)),"")</f>
        <v/>
      </c>
      <c r="U123" s="162">
        <f>IFERROR(INDEX(tk_ETYPE,MATCH(117,tk_ASEQ,0)),"")</f>
        <v/>
      </c>
      <c r="V123" s="162">
        <f>IFERROR(""&amp;INDEX(tk_CHECK,MATCH(117,tk_ASEQ,0)),"")</f>
        <v/>
      </c>
      <c r="W123" s="162">
        <f>IFERROR(TRIM(INDEX(tk_DNOTES,MATCH(117,tk_ASEQ,0))&amp;" "&amp;INDEX(tk_FNOTES,MATCH(117,tk_ASEQ,0))),"")</f>
        <v/>
      </c>
    </row>
    <row r="124">
      <c r="A124" s="161">
        <f>IFERROR(""&amp;INDEX(tk_MARK,MATCH(118,tk_ASEQ,0)),"")</f>
        <v/>
      </c>
      <c r="B124" s="162">
        <f>IFERROR(""&amp;INDEX(tk_ROOMF,MATCH(118,tk_ASEQ,0)),"")</f>
        <v/>
      </c>
      <c r="C124" s="162">
        <f>IFERROR(""&amp;INDEX(tk_ROOMT,MATCH(118,tk_ASEQ,0)),"")</f>
        <v/>
      </c>
      <c r="D124" s="162">
        <f>IFERROR(INDEX(tk_QTY,MATCH(118,tk_ASEQ,0)),"")</f>
        <v/>
      </c>
      <c r="E124" s="162">
        <f>IFERROR(""&amp;INDEX(tk_SIZE,MATCH(118,tk_ASEQ,0)),"")</f>
        <v/>
      </c>
      <c r="F124" s="162">
        <f>IFERROR(""&amp;INDEX(tk_PAIR,MATCH(118,tk_ASEQ,0)),"")</f>
        <v/>
      </c>
      <c r="G124" s="162">
        <f>IFERROR(""&amp;INDEX(tk_DMAT,MATCH(118,tk_ASEQ,0)),"")</f>
        <v/>
      </c>
      <c r="H124" s="162">
        <f>IFERROR(""&amp;INDEX(tk_DGA,MATCH(118,tk_ASEQ,0)),"")</f>
        <v/>
      </c>
      <c r="I124" s="162">
        <f>IFERROR(""&amp;INDEX(tk_FACE,MATCH(118,tk_ASEQ,0)),"")</f>
        <v/>
      </c>
      <c r="J124" s="162">
        <f>IFERROR(IF(INDEX(tk_DHAND,MATCH(118,tk_ASEQ,0))="",""&amp;INDEX(tk_HAND,MATCH(118,tk_ASEQ,0)),""&amp;INDEX(tk_DHAND,MATCH(118,tk_ASEQ,0))),"")</f>
        <v/>
      </c>
      <c r="K124" s="162">
        <f>IFERROR(""&amp;INDEX(tk_FDESC,MATCH(118,tk_ASEQ,0)),"")</f>
        <v/>
      </c>
      <c r="L124" s="162">
        <f>IFERROR(INDEX(tk_STEEL,MATCH(118,tk_ASEQ,0))&amp;IF(INDEX(tk_FGA,MATCH(118,tk_ASEQ,0))="",""," "&amp;INDEX(tk_FGA,MATCH(118,tk_ASEQ,0))&amp;"GA"),"")</f>
        <v/>
      </c>
      <c r="M124" s="162">
        <f>IFERROR(IFERROR(VLOOKUP(INDEX(tk_JAMB,MATCH(118,tk_ASEQ,0)),CODES,2,FALSE),""&amp;INDEX(tk_JAMB,MATCH(118,tk_ASEQ,0))),"")</f>
        <v/>
      </c>
      <c r="N124" s="162">
        <f>IFERROR(""&amp;INDEX(tk_CONSTR,MATCH(118,tk_ASEQ,0)),"")</f>
        <v/>
      </c>
      <c r="O124" s="162">
        <f>IFERROR(""&amp;INDEX(tk_ANCHOR,MATCH(118,tk_ASEQ,0)),"")</f>
        <v/>
      </c>
      <c r="P124" s="162">
        <f>IFERROR(""&amp;INDEX(tk_RATING,MATCH(118,tk_ASEQ,0)),"")</f>
        <v/>
      </c>
      <c r="Q124" s="162">
        <f>IFERROR(""&amp;INDEX(tk_LABEL,MATCH(118,tk_ASEQ,0)),"")</f>
        <v/>
      </c>
      <c r="R124" s="162">
        <f>IFERROR(""&amp;INDEX(tk_HWSET,MATCH(118,tk_ASEQ,0)),"")</f>
        <v/>
      </c>
      <c r="S124" s="162">
        <f>IFERROR(IF(""&amp;INDEX(tk_HINGES,MATCH(118,tk_ASEQ,0))="","",INDEX(tk_HINGES,MATCH(118,tk_ASEQ,0))&amp;" · "&amp;INDEX(tk_LSRC,MATCH(118,tk_ASEQ,0))),"")</f>
        <v/>
      </c>
      <c r="T124" s="162">
        <f>IFERROR(""&amp;INDEX(tk_LOCK,MATCH(118,tk_ASEQ,0)),"")</f>
        <v/>
      </c>
      <c r="U124" s="162">
        <f>IFERROR(INDEX(tk_ETYPE,MATCH(118,tk_ASEQ,0)),"")</f>
        <v/>
      </c>
      <c r="V124" s="162">
        <f>IFERROR(""&amp;INDEX(tk_CHECK,MATCH(118,tk_ASEQ,0)),"")</f>
        <v/>
      </c>
      <c r="W124" s="162">
        <f>IFERROR(TRIM(INDEX(tk_DNOTES,MATCH(118,tk_ASEQ,0))&amp;" "&amp;INDEX(tk_FNOTES,MATCH(118,tk_ASEQ,0))),"")</f>
        <v/>
      </c>
    </row>
    <row r="125">
      <c r="A125" s="161">
        <f>IFERROR(""&amp;INDEX(tk_MARK,MATCH(119,tk_ASEQ,0)),"")</f>
        <v/>
      </c>
      <c r="B125" s="162">
        <f>IFERROR(""&amp;INDEX(tk_ROOMF,MATCH(119,tk_ASEQ,0)),"")</f>
        <v/>
      </c>
      <c r="C125" s="162">
        <f>IFERROR(""&amp;INDEX(tk_ROOMT,MATCH(119,tk_ASEQ,0)),"")</f>
        <v/>
      </c>
      <c r="D125" s="162">
        <f>IFERROR(INDEX(tk_QTY,MATCH(119,tk_ASEQ,0)),"")</f>
        <v/>
      </c>
      <c r="E125" s="162">
        <f>IFERROR(""&amp;INDEX(tk_SIZE,MATCH(119,tk_ASEQ,0)),"")</f>
        <v/>
      </c>
      <c r="F125" s="162">
        <f>IFERROR(""&amp;INDEX(tk_PAIR,MATCH(119,tk_ASEQ,0)),"")</f>
        <v/>
      </c>
      <c r="G125" s="162">
        <f>IFERROR(""&amp;INDEX(tk_DMAT,MATCH(119,tk_ASEQ,0)),"")</f>
        <v/>
      </c>
      <c r="H125" s="162">
        <f>IFERROR(""&amp;INDEX(tk_DGA,MATCH(119,tk_ASEQ,0)),"")</f>
        <v/>
      </c>
      <c r="I125" s="162">
        <f>IFERROR(""&amp;INDEX(tk_FACE,MATCH(119,tk_ASEQ,0)),"")</f>
        <v/>
      </c>
      <c r="J125" s="162">
        <f>IFERROR(IF(INDEX(tk_DHAND,MATCH(119,tk_ASEQ,0))="",""&amp;INDEX(tk_HAND,MATCH(119,tk_ASEQ,0)),""&amp;INDEX(tk_DHAND,MATCH(119,tk_ASEQ,0))),"")</f>
        <v/>
      </c>
      <c r="K125" s="162">
        <f>IFERROR(""&amp;INDEX(tk_FDESC,MATCH(119,tk_ASEQ,0)),"")</f>
        <v/>
      </c>
      <c r="L125" s="162">
        <f>IFERROR(INDEX(tk_STEEL,MATCH(119,tk_ASEQ,0))&amp;IF(INDEX(tk_FGA,MATCH(119,tk_ASEQ,0))="",""," "&amp;INDEX(tk_FGA,MATCH(119,tk_ASEQ,0))&amp;"GA"),"")</f>
        <v/>
      </c>
      <c r="M125" s="162">
        <f>IFERROR(IFERROR(VLOOKUP(INDEX(tk_JAMB,MATCH(119,tk_ASEQ,0)),CODES,2,FALSE),""&amp;INDEX(tk_JAMB,MATCH(119,tk_ASEQ,0))),"")</f>
        <v/>
      </c>
      <c r="N125" s="162">
        <f>IFERROR(""&amp;INDEX(tk_CONSTR,MATCH(119,tk_ASEQ,0)),"")</f>
        <v/>
      </c>
      <c r="O125" s="162">
        <f>IFERROR(""&amp;INDEX(tk_ANCHOR,MATCH(119,tk_ASEQ,0)),"")</f>
        <v/>
      </c>
      <c r="P125" s="162">
        <f>IFERROR(""&amp;INDEX(tk_RATING,MATCH(119,tk_ASEQ,0)),"")</f>
        <v/>
      </c>
      <c r="Q125" s="162">
        <f>IFERROR(""&amp;INDEX(tk_LABEL,MATCH(119,tk_ASEQ,0)),"")</f>
        <v/>
      </c>
      <c r="R125" s="162">
        <f>IFERROR(""&amp;INDEX(tk_HWSET,MATCH(119,tk_ASEQ,0)),"")</f>
        <v/>
      </c>
      <c r="S125" s="162">
        <f>IFERROR(IF(""&amp;INDEX(tk_HINGES,MATCH(119,tk_ASEQ,0))="","",INDEX(tk_HINGES,MATCH(119,tk_ASEQ,0))&amp;" · "&amp;INDEX(tk_LSRC,MATCH(119,tk_ASEQ,0))),"")</f>
        <v/>
      </c>
      <c r="T125" s="162">
        <f>IFERROR(""&amp;INDEX(tk_LOCK,MATCH(119,tk_ASEQ,0)),"")</f>
        <v/>
      </c>
      <c r="U125" s="162">
        <f>IFERROR(INDEX(tk_ETYPE,MATCH(119,tk_ASEQ,0)),"")</f>
        <v/>
      </c>
      <c r="V125" s="162">
        <f>IFERROR(""&amp;INDEX(tk_CHECK,MATCH(119,tk_ASEQ,0)),"")</f>
        <v/>
      </c>
      <c r="W125" s="162">
        <f>IFERROR(TRIM(INDEX(tk_DNOTES,MATCH(119,tk_ASEQ,0))&amp;" "&amp;INDEX(tk_FNOTES,MATCH(119,tk_ASEQ,0))),"")</f>
        <v/>
      </c>
    </row>
    <row r="126">
      <c r="A126" s="161">
        <f>IFERROR(""&amp;INDEX(tk_MARK,MATCH(120,tk_ASEQ,0)),"")</f>
        <v/>
      </c>
      <c r="B126" s="162">
        <f>IFERROR(""&amp;INDEX(tk_ROOMF,MATCH(120,tk_ASEQ,0)),"")</f>
        <v/>
      </c>
      <c r="C126" s="162">
        <f>IFERROR(""&amp;INDEX(tk_ROOMT,MATCH(120,tk_ASEQ,0)),"")</f>
        <v/>
      </c>
      <c r="D126" s="162">
        <f>IFERROR(INDEX(tk_QTY,MATCH(120,tk_ASEQ,0)),"")</f>
        <v/>
      </c>
      <c r="E126" s="162">
        <f>IFERROR(""&amp;INDEX(tk_SIZE,MATCH(120,tk_ASEQ,0)),"")</f>
        <v/>
      </c>
      <c r="F126" s="162">
        <f>IFERROR(""&amp;INDEX(tk_PAIR,MATCH(120,tk_ASEQ,0)),"")</f>
        <v/>
      </c>
      <c r="G126" s="162">
        <f>IFERROR(""&amp;INDEX(tk_DMAT,MATCH(120,tk_ASEQ,0)),"")</f>
        <v/>
      </c>
      <c r="H126" s="162">
        <f>IFERROR(""&amp;INDEX(tk_DGA,MATCH(120,tk_ASEQ,0)),"")</f>
        <v/>
      </c>
      <c r="I126" s="162">
        <f>IFERROR(""&amp;INDEX(tk_FACE,MATCH(120,tk_ASEQ,0)),"")</f>
        <v/>
      </c>
      <c r="J126" s="162">
        <f>IFERROR(IF(INDEX(tk_DHAND,MATCH(120,tk_ASEQ,0))="",""&amp;INDEX(tk_HAND,MATCH(120,tk_ASEQ,0)),""&amp;INDEX(tk_DHAND,MATCH(120,tk_ASEQ,0))),"")</f>
        <v/>
      </c>
      <c r="K126" s="162">
        <f>IFERROR(""&amp;INDEX(tk_FDESC,MATCH(120,tk_ASEQ,0)),"")</f>
        <v/>
      </c>
      <c r="L126" s="162">
        <f>IFERROR(INDEX(tk_STEEL,MATCH(120,tk_ASEQ,0))&amp;IF(INDEX(tk_FGA,MATCH(120,tk_ASEQ,0))="",""," "&amp;INDEX(tk_FGA,MATCH(120,tk_ASEQ,0))&amp;"GA"),"")</f>
        <v/>
      </c>
      <c r="M126" s="162">
        <f>IFERROR(IFERROR(VLOOKUP(INDEX(tk_JAMB,MATCH(120,tk_ASEQ,0)),CODES,2,FALSE),""&amp;INDEX(tk_JAMB,MATCH(120,tk_ASEQ,0))),"")</f>
        <v/>
      </c>
      <c r="N126" s="162">
        <f>IFERROR(""&amp;INDEX(tk_CONSTR,MATCH(120,tk_ASEQ,0)),"")</f>
        <v/>
      </c>
      <c r="O126" s="162">
        <f>IFERROR(""&amp;INDEX(tk_ANCHOR,MATCH(120,tk_ASEQ,0)),"")</f>
        <v/>
      </c>
      <c r="P126" s="162">
        <f>IFERROR(""&amp;INDEX(tk_RATING,MATCH(120,tk_ASEQ,0)),"")</f>
        <v/>
      </c>
      <c r="Q126" s="162">
        <f>IFERROR(""&amp;INDEX(tk_LABEL,MATCH(120,tk_ASEQ,0)),"")</f>
        <v/>
      </c>
      <c r="R126" s="162">
        <f>IFERROR(""&amp;INDEX(tk_HWSET,MATCH(120,tk_ASEQ,0)),"")</f>
        <v/>
      </c>
      <c r="S126" s="162">
        <f>IFERROR(IF(""&amp;INDEX(tk_HINGES,MATCH(120,tk_ASEQ,0))="","",INDEX(tk_HINGES,MATCH(120,tk_ASEQ,0))&amp;" · "&amp;INDEX(tk_LSRC,MATCH(120,tk_ASEQ,0))),"")</f>
        <v/>
      </c>
      <c r="T126" s="162">
        <f>IFERROR(""&amp;INDEX(tk_LOCK,MATCH(120,tk_ASEQ,0)),"")</f>
        <v/>
      </c>
      <c r="U126" s="162">
        <f>IFERROR(INDEX(tk_ETYPE,MATCH(120,tk_ASEQ,0)),"")</f>
        <v/>
      </c>
      <c r="V126" s="162">
        <f>IFERROR(""&amp;INDEX(tk_CHECK,MATCH(120,tk_ASEQ,0)),"")</f>
        <v/>
      </c>
      <c r="W126" s="162">
        <f>IFERROR(TRIM(INDEX(tk_DNOTES,MATCH(120,tk_ASEQ,0))&amp;" "&amp;INDEX(tk_FNOTES,MATCH(120,tk_ASEQ,0))),"")</f>
        <v/>
      </c>
    </row>
    <row r="127">
      <c r="A127" s="161">
        <f>IFERROR(""&amp;INDEX(tk_MARK,MATCH(121,tk_ASEQ,0)),"")</f>
        <v/>
      </c>
      <c r="B127" s="162">
        <f>IFERROR(""&amp;INDEX(tk_ROOMF,MATCH(121,tk_ASEQ,0)),"")</f>
        <v/>
      </c>
      <c r="C127" s="162">
        <f>IFERROR(""&amp;INDEX(tk_ROOMT,MATCH(121,tk_ASEQ,0)),"")</f>
        <v/>
      </c>
      <c r="D127" s="162">
        <f>IFERROR(INDEX(tk_QTY,MATCH(121,tk_ASEQ,0)),"")</f>
        <v/>
      </c>
      <c r="E127" s="162">
        <f>IFERROR(""&amp;INDEX(tk_SIZE,MATCH(121,tk_ASEQ,0)),"")</f>
        <v/>
      </c>
      <c r="F127" s="162">
        <f>IFERROR(""&amp;INDEX(tk_PAIR,MATCH(121,tk_ASEQ,0)),"")</f>
        <v/>
      </c>
      <c r="G127" s="162">
        <f>IFERROR(""&amp;INDEX(tk_DMAT,MATCH(121,tk_ASEQ,0)),"")</f>
        <v/>
      </c>
      <c r="H127" s="162">
        <f>IFERROR(""&amp;INDEX(tk_DGA,MATCH(121,tk_ASEQ,0)),"")</f>
        <v/>
      </c>
      <c r="I127" s="162">
        <f>IFERROR(""&amp;INDEX(tk_FACE,MATCH(121,tk_ASEQ,0)),"")</f>
        <v/>
      </c>
      <c r="J127" s="162">
        <f>IFERROR(IF(INDEX(tk_DHAND,MATCH(121,tk_ASEQ,0))="",""&amp;INDEX(tk_HAND,MATCH(121,tk_ASEQ,0)),""&amp;INDEX(tk_DHAND,MATCH(121,tk_ASEQ,0))),"")</f>
        <v/>
      </c>
      <c r="K127" s="162">
        <f>IFERROR(""&amp;INDEX(tk_FDESC,MATCH(121,tk_ASEQ,0)),"")</f>
        <v/>
      </c>
      <c r="L127" s="162">
        <f>IFERROR(INDEX(tk_STEEL,MATCH(121,tk_ASEQ,0))&amp;IF(INDEX(tk_FGA,MATCH(121,tk_ASEQ,0))="",""," "&amp;INDEX(tk_FGA,MATCH(121,tk_ASEQ,0))&amp;"GA"),"")</f>
        <v/>
      </c>
      <c r="M127" s="162">
        <f>IFERROR(IFERROR(VLOOKUP(INDEX(tk_JAMB,MATCH(121,tk_ASEQ,0)),CODES,2,FALSE),""&amp;INDEX(tk_JAMB,MATCH(121,tk_ASEQ,0))),"")</f>
        <v/>
      </c>
      <c r="N127" s="162">
        <f>IFERROR(""&amp;INDEX(tk_CONSTR,MATCH(121,tk_ASEQ,0)),"")</f>
        <v/>
      </c>
      <c r="O127" s="162">
        <f>IFERROR(""&amp;INDEX(tk_ANCHOR,MATCH(121,tk_ASEQ,0)),"")</f>
        <v/>
      </c>
      <c r="P127" s="162">
        <f>IFERROR(""&amp;INDEX(tk_RATING,MATCH(121,tk_ASEQ,0)),"")</f>
        <v/>
      </c>
      <c r="Q127" s="162">
        <f>IFERROR(""&amp;INDEX(tk_LABEL,MATCH(121,tk_ASEQ,0)),"")</f>
        <v/>
      </c>
      <c r="R127" s="162">
        <f>IFERROR(""&amp;INDEX(tk_HWSET,MATCH(121,tk_ASEQ,0)),"")</f>
        <v/>
      </c>
      <c r="S127" s="162">
        <f>IFERROR(IF(""&amp;INDEX(tk_HINGES,MATCH(121,tk_ASEQ,0))="","",INDEX(tk_HINGES,MATCH(121,tk_ASEQ,0))&amp;" · "&amp;INDEX(tk_LSRC,MATCH(121,tk_ASEQ,0))),"")</f>
        <v/>
      </c>
      <c r="T127" s="162">
        <f>IFERROR(""&amp;INDEX(tk_LOCK,MATCH(121,tk_ASEQ,0)),"")</f>
        <v/>
      </c>
      <c r="U127" s="162">
        <f>IFERROR(INDEX(tk_ETYPE,MATCH(121,tk_ASEQ,0)),"")</f>
        <v/>
      </c>
      <c r="V127" s="162">
        <f>IFERROR(""&amp;INDEX(tk_CHECK,MATCH(121,tk_ASEQ,0)),"")</f>
        <v/>
      </c>
      <c r="W127" s="162">
        <f>IFERROR(TRIM(INDEX(tk_DNOTES,MATCH(121,tk_ASEQ,0))&amp;" "&amp;INDEX(tk_FNOTES,MATCH(121,tk_ASEQ,0))),"")</f>
        <v/>
      </c>
    </row>
    <row r="128">
      <c r="A128" s="161">
        <f>IFERROR(""&amp;INDEX(tk_MARK,MATCH(122,tk_ASEQ,0)),"")</f>
        <v/>
      </c>
      <c r="B128" s="162">
        <f>IFERROR(""&amp;INDEX(tk_ROOMF,MATCH(122,tk_ASEQ,0)),"")</f>
        <v/>
      </c>
      <c r="C128" s="162">
        <f>IFERROR(""&amp;INDEX(tk_ROOMT,MATCH(122,tk_ASEQ,0)),"")</f>
        <v/>
      </c>
      <c r="D128" s="162">
        <f>IFERROR(INDEX(tk_QTY,MATCH(122,tk_ASEQ,0)),"")</f>
        <v/>
      </c>
      <c r="E128" s="162">
        <f>IFERROR(""&amp;INDEX(tk_SIZE,MATCH(122,tk_ASEQ,0)),"")</f>
        <v/>
      </c>
      <c r="F128" s="162">
        <f>IFERROR(""&amp;INDEX(tk_PAIR,MATCH(122,tk_ASEQ,0)),"")</f>
        <v/>
      </c>
      <c r="G128" s="162">
        <f>IFERROR(""&amp;INDEX(tk_DMAT,MATCH(122,tk_ASEQ,0)),"")</f>
        <v/>
      </c>
      <c r="H128" s="162">
        <f>IFERROR(""&amp;INDEX(tk_DGA,MATCH(122,tk_ASEQ,0)),"")</f>
        <v/>
      </c>
      <c r="I128" s="162">
        <f>IFERROR(""&amp;INDEX(tk_FACE,MATCH(122,tk_ASEQ,0)),"")</f>
        <v/>
      </c>
      <c r="J128" s="162">
        <f>IFERROR(IF(INDEX(tk_DHAND,MATCH(122,tk_ASEQ,0))="",""&amp;INDEX(tk_HAND,MATCH(122,tk_ASEQ,0)),""&amp;INDEX(tk_DHAND,MATCH(122,tk_ASEQ,0))),"")</f>
        <v/>
      </c>
      <c r="K128" s="162">
        <f>IFERROR(""&amp;INDEX(tk_FDESC,MATCH(122,tk_ASEQ,0)),"")</f>
        <v/>
      </c>
      <c r="L128" s="162">
        <f>IFERROR(INDEX(tk_STEEL,MATCH(122,tk_ASEQ,0))&amp;IF(INDEX(tk_FGA,MATCH(122,tk_ASEQ,0))="",""," "&amp;INDEX(tk_FGA,MATCH(122,tk_ASEQ,0))&amp;"GA"),"")</f>
        <v/>
      </c>
      <c r="M128" s="162">
        <f>IFERROR(IFERROR(VLOOKUP(INDEX(tk_JAMB,MATCH(122,tk_ASEQ,0)),CODES,2,FALSE),""&amp;INDEX(tk_JAMB,MATCH(122,tk_ASEQ,0))),"")</f>
        <v/>
      </c>
      <c r="N128" s="162">
        <f>IFERROR(""&amp;INDEX(tk_CONSTR,MATCH(122,tk_ASEQ,0)),"")</f>
        <v/>
      </c>
      <c r="O128" s="162">
        <f>IFERROR(""&amp;INDEX(tk_ANCHOR,MATCH(122,tk_ASEQ,0)),"")</f>
        <v/>
      </c>
      <c r="P128" s="162">
        <f>IFERROR(""&amp;INDEX(tk_RATING,MATCH(122,tk_ASEQ,0)),"")</f>
        <v/>
      </c>
      <c r="Q128" s="162">
        <f>IFERROR(""&amp;INDEX(tk_LABEL,MATCH(122,tk_ASEQ,0)),"")</f>
        <v/>
      </c>
      <c r="R128" s="162">
        <f>IFERROR(""&amp;INDEX(tk_HWSET,MATCH(122,tk_ASEQ,0)),"")</f>
        <v/>
      </c>
      <c r="S128" s="162">
        <f>IFERROR(IF(""&amp;INDEX(tk_HINGES,MATCH(122,tk_ASEQ,0))="","",INDEX(tk_HINGES,MATCH(122,tk_ASEQ,0))&amp;" · "&amp;INDEX(tk_LSRC,MATCH(122,tk_ASEQ,0))),"")</f>
        <v/>
      </c>
      <c r="T128" s="162">
        <f>IFERROR(""&amp;INDEX(tk_LOCK,MATCH(122,tk_ASEQ,0)),"")</f>
        <v/>
      </c>
      <c r="U128" s="162">
        <f>IFERROR(INDEX(tk_ETYPE,MATCH(122,tk_ASEQ,0)),"")</f>
        <v/>
      </c>
      <c r="V128" s="162">
        <f>IFERROR(""&amp;INDEX(tk_CHECK,MATCH(122,tk_ASEQ,0)),"")</f>
        <v/>
      </c>
      <c r="W128" s="162">
        <f>IFERROR(TRIM(INDEX(tk_DNOTES,MATCH(122,tk_ASEQ,0))&amp;" "&amp;INDEX(tk_FNOTES,MATCH(122,tk_ASEQ,0))),"")</f>
        <v/>
      </c>
    </row>
    <row r="129">
      <c r="A129" s="161">
        <f>IFERROR(""&amp;INDEX(tk_MARK,MATCH(123,tk_ASEQ,0)),"")</f>
        <v/>
      </c>
      <c r="B129" s="162">
        <f>IFERROR(""&amp;INDEX(tk_ROOMF,MATCH(123,tk_ASEQ,0)),"")</f>
        <v/>
      </c>
      <c r="C129" s="162">
        <f>IFERROR(""&amp;INDEX(tk_ROOMT,MATCH(123,tk_ASEQ,0)),"")</f>
        <v/>
      </c>
      <c r="D129" s="162">
        <f>IFERROR(INDEX(tk_QTY,MATCH(123,tk_ASEQ,0)),"")</f>
        <v/>
      </c>
      <c r="E129" s="162">
        <f>IFERROR(""&amp;INDEX(tk_SIZE,MATCH(123,tk_ASEQ,0)),"")</f>
        <v/>
      </c>
      <c r="F129" s="162">
        <f>IFERROR(""&amp;INDEX(tk_PAIR,MATCH(123,tk_ASEQ,0)),"")</f>
        <v/>
      </c>
      <c r="G129" s="162">
        <f>IFERROR(""&amp;INDEX(tk_DMAT,MATCH(123,tk_ASEQ,0)),"")</f>
        <v/>
      </c>
      <c r="H129" s="162">
        <f>IFERROR(""&amp;INDEX(tk_DGA,MATCH(123,tk_ASEQ,0)),"")</f>
        <v/>
      </c>
      <c r="I129" s="162">
        <f>IFERROR(""&amp;INDEX(tk_FACE,MATCH(123,tk_ASEQ,0)),"")</f>
        <v/>
      </c>
      <c r="J129" s="162">
        <f>IFERROR(IF(INDEX(tk_DHAND,MATCH(123,tk_ASEQ,0))="",""&amp;INDEX(tk_HAND,MATCH(123,tk_ASEQ,0)),""&amp;INDEX(tk_DHAND,MATCH(123,tk_ASEQ,0))),"")</f>
        <v/>
      </c>
      <c r="K129" s="162">
        <f>IFERROR(""&amp;INDEX(tk_FDESC,MATCH(123,tk_ASEQ,0)),"")</f>
        <v/>
      </c>
      <c r="L129" s="162">
        <f>IFERROR(INDEX(tk_STEEL,MATCH(123,tk_ASEQ,0))&amp;IF(INDEX(tk_FGA,MATCH(123,tk_ASEQ,0))="",""," "&amp;INDEX(tk_FGA,MATCH(123,tk_ASEQ,0))&amp;"GA"),"")</f>
        <v/>
      </c>
      <c r="M129" s="162">
        <f>IFERROR(IFERROR(VLOOKUP(INDEX(tk_JAMB,MATCH(123,tk_ASEQ,0)),CODES,2,FALSE),""&amp;INDEX(tk_JAMB,MATCH(123,tk_ASEQ,0))),"")</f>
        <v/>
      </c>
      <c r="N129" s="162">
        <f>IFERROR(""&amp;INDEX(tk_CONSTR,MATCH(123,tk_ASEQ,0)),"")</f>
        <v/>
      </c>
      <c r="O129" s="162">
        <f>IFERROR(""&amp;INDEX(tk_ANCHOR,MATCH(123,tk_ASEQ,0)),"")</f>
        <v/>
      </c>
      <c r="P129" s="162">
        <f>IFERROR(""&amp;INDEX(tk_RATING,MATCH(123,tk_ASEQ,0)),"")</f>
        <v/>
      </c>
      <c r="Q129" s="162">
        <f>IFERROR(""&amp;INDEX(tk_LABEL,MATCH(123,tk_ASEQ,0)),"")</f>
        <v/>
      </c>
      <c r="R129" s="162">
        <f>IFERROR(""&amp;INDEX(tk_HWSET,MATCH(123,tk_ASEQ,0)),"")</f>
        <v/>
      </c>
      <c r="S129" s="162">
        <f>IFERROR(IF(""&amp;INDEX(tk_HINGES,MATCH(123,tk_ASEQ,0))="","",INDEX(tk_HINGES,MATCH(123,tk_ASEQ,0))&amp;" · "&amp;INDEX(tk_LSRC,MATCH(123,tk_ASEQ,0))),"")</f>
        <v/>
      </c>
      <c r="T129" s="162">
        <f>IFERROR(""&amp;INDEX(tk_LOCK,MATCH(123,tk_ASEQ,0)),"")</f>
        <v/>
      </c>
      <c r="U129" s="162">
        <f>IFERROR(INDEX(tk_ETYPE,MATCH(123,tk_ASEQ,0)),"")</f>
        <v/>
      </c>
      <c r="V129" s="162">
        <f>IFERROR(""&amp;INDEX(tk_CHECK,MATCH(123,tk_ASEQ,0)),"")</f>
        <v/>
      </c>
      <c r="W129" s="162">
        <f>IFERROR(TRIM(INDEX(tk_DNOTES,MATCH(123,tk_ASEQ,0))&amp;" "&amp;INDEX(tk_FNOTES,MATCH(123,tk_ASEQ,0))),"")</f>
        <v/>
      </c>
    </row>
    <row r="130">
      <c r="A130" s="161">
        <f>IFERROR(""&amp;INDEX(tk_MARK,MATCH(124,tk_ASEQ,0)),"")</f>
        <v/>
      </c>
      <c r="B130" s="162">
        <f>IFERROR(""&amp;INDEX(tk_ROOMF,MATCH(124,tk_ASEQ,0)),"")</f>
        <v/>
      </c>
      <c r="C130" s="162">
        <f>IFERROR(""&amp;INDEX(tk_ROOMT,MATCH(124,tk_ASEQ,0)),"")</f>
        <v/>
      </c>
      <c r="D130" s="162">
        <f>IFERROR(INDEX(tk_QTY,MATCH(124,tk_ASEQ,0)),"")</f>
        <v/>
      </c>
      <c r="E130" s="162">
        <f>IFERROR(""&amp;INDEX(tk_SIZE,MATCH(124,tk_ASEQ,0)),"")</f>
        <v/>
      </c>
      <c r="F130" s="162">
        <f>IFERROR(""&amp;INDEX(tk_PAIR,MATCH(124,tk_ASEQ,0)),"")</f>
        <v/>
      </c>
      <c r="G130" s="162">
        <f>IFERROR(""&amp;INDEX(tk_DMAT,MATCH(124,tk_ASEQ,0)),"")</f>
        <v/>
      </c>
      <c r="H130" s="162">
        <f>IFERROR(""&amp;INDEX(tk_DGA,MATCH(124,tk_ASEQ,0)),"")</f>
        <v/>
      </c>
      <c r="I130" s="162">
        <f>IFERROR(""&amp;INDEX(tk_FACE,MATCH(124,tk_ASEQ,0)),"")</f>
        <v/>
      </c>
      <c r="J130" s="162">
        <f>IFERROR(IF(INDEX(tk_DHAND,MATCH(124,tk_ASEQ,0))="",""&amp;INDEX(tk_HAND,MATCH(124,tk_ASEQ,0)),""&amp;INDEX(tk_DHAND,MATCH(124,tk_ASEQ,0))),"")</f>
        <v/>
      </c>
      <c r="K130" s="162">
        <f>IFERROR(""&amp;INDEX(tk_FDESC,MATCH(124,tk_ASEQ,0)),"")</f>
        <v/>
      </c>
      <c r="L130" s="162">
        <f>IFERROR(INDEX(tk_STEEL,MATCH(124,tk_ASEQ,0))&amp;IF(INDEX(tk_FGA,MATCH(124,tk_ASEQ,0))="",""," "&amp;INDEX(tk_FGA,MATCH(124,tk_ASEQ,0))&amp;"GA"),"")</f>
        <v/>
      </c>
      <c r="M130" s="162">
        <f>IFERROR(IFERROR(VLOOKUP(INDEX(tk_JAMB,MATCH(124,tk_ASEQ,0)),CODES,2,FALSE),""&amp;INDEX(tk_JAMB,MATCH(124,tk_ASEQ,0))),"")</f>
        <v/>
      </c>
      <c r="N130" s="162">
        <f>IFERROR(""&amp;INDEX(tk_CONSTR,MATCH(124,tk_ASEQ,0)),"")</f>
        <v/>
      </c>
      <c r="O130" s="162">
        <f>IFERROR(""&amp;INDEX(tk_ANCHOR,MATCH(124,tk_ASEQ,0)),"")</f>
        <v/>
      </c>
      <c r="P130" s="162">
        <f>IFERROR(""&amp;INDEX(tk_RATING,MATCH(124,tk_ASEQ,0)),"")</f>
        <v/>
      </c>
      <c r="Q130" s="162">
        <f>IFERROR(""&amp;INDEX(tk_LABEL,MATCH(124,tk_ASEQ,0)),"")</f>
        <v/>
      </c>
      <c r="R130" s="162">
        <f>IFERROR(""&amp;INDEX(tk_HWSET,MATCH(124,tk_ASEQ,0)),"")</f>
        <v/>
      </c>
      <c r="S130" s="162">
        <f>IFERROR(IF(""&amp;INDEX(tk_HINGES,MATCH(124,tk_ASEQ,0))="","",INDEX(tk_HINGES,MATCH(124,tk_ASEQ,0))&amp;" · "&amp;INDEX(tk_LSRC,MATCH(124,tk_ASEQ,0))),"")</f>
        <v/>
      </c>
      <c r="T130" s="162">
        <f>IFERROR(""&amp;INDEX(tk_LOCK,MATCH(124,tk_ASEQ,0)),"")</f>
        <v/>
      </c>
      <c r="U130" s="162">
        <f>IFERROR(INDEX(tk_ETYPE,MATCH(124,tk_ASEQ,0)),"")</f>
        <v/>
      </c>
      <c r="V130" s="162">
        <f>IFERROR(""&amp;INDEX(tk_CHECK,MATCH(124,tk_ASEQ,0)),"")</f>
        <v/>
      </c>
      <c r="W130" s="162">
        <f>IFERROR(TRIM(INDEX(tk_DNOTES,MATCH(124,tk_ASEQ,0))&amp;" "&amp;INDEX(tk_FNOTES,MATCH(124,tk_ASEQ,0))),"")</f>
        <v/>
      </c>
    </row>
    <row r="131">
      <c r="A131" s="161">
        <f>IFERROR(""&amp;INDEX(tk_MARK,MATCH(125,tk_ASEQ,0)),"")</f>
        <v/>
      </c>
      <c r="B131" s="162">
        <f>IFERROR(""&amp;INDEX(tk_ROOMF,MATCH(125,tk_ASEQ,0)),"")</f>
        <v/>
      </c>
      <c r="C131" s="162">
        <f>IFERROR(""&amp;INDEX(tk_ROOMT,MATCH(125,tk_ASEQ,0)),"")</f>
        <v/>
      </c>
      <c r="D131" s="162">
        <f>IFERROR(INDEX(tk_QTY,MATCH(125,tk_ASEQ,0)),"")</f>
        <v/>
      </c>
      <c r="E131" s="162">
        <f>IFERROR(""&amp;INDEX(tk_SIZE,MATCH(125,tk_ASEQ,0)),"")</f>
        <v/>
      </c>
      <c r="F131" s="162">
        <f>IFERROR(""&amp;INDEX(tk_PAIR,MATCH(125,tk_ASEQ,0)),"")</f>
        <v/>
      </c>
      <c r="G131" s="162">
        <f>IFERROR(""&amp;INDEX(tk_DMAT,MATCH(125,tk_ASEQ,0)),"")</f>
        <v/>
      </c>
      <c r="H131" s="162">
        <f>IFERROR(""&amp;INDEX(tk_DGA,MATCH(125,tk_ASEQ,0)),"")</f>
        <v/>
      </c>
      <c r="I131" s="162">
        <f>IFERROR(""&amp;INDEX(tk_FACE,MATCH(125,tk_ASEQ,0)),"")</f>
        <v/>
      </c>
      <c r="J131" s="162">
        <f>IFERROR(IF(INDEX(tk_DHAND,MATCH(125,tk_ASEQ,0))="",""&amp;INDEX(tk_HAND,MATCH(125,tk_ASEQ,0)),""&amp;INDEX(tk_DHAND,MATCH(125,tk_ASEQ,0))),"")</f>
        <v/>
      </c>
      <c r="K131" s="162">
        <f>IFERROR(""&amp;INDEX(tk_FDESC,MATCH(125,tk_ASEQ,0)),"")</f>
        <v/>
      </c>
      <c r="L131" s="162">
        <f>IFERROR(INDEX(tk_STEEL,MATCH(125,tk_ASEQ,0))&amp;IF(INDEX(tk_FGA,MATCH(125,tk_ASEQ,0))="",""," "&amp;INDEX(tk_FGA,MATCH(125,tk_ASEQ,0))&amp;"GA"),"")</f>
        <v/>
      </c>
      <c r="M131" s="162">
        <f>IFERROR(IFERROR(VLOOKUP(INDEX(tk_JAMB,MATCH(125,tk_ASEQ,0)),CODES,2,FALSE),""&amp;INDEX(tk_JAMB,MATCH(125,tk_ASEQ,0))),"")</f>
        <v/>
      </c>
      <c r="N131" s="162">
        <f>IFERROR(""&amp;INDEX(tk_CONSTR,MATCH(125,tk_ASEQ,0)),"")</f>
        <v/>
      </c>
      <c r="O131" s="162">
        <f>IFERROR(""&amp;INDEX(tk_ANCHOR,MATCH(125,tk_ASEQ,0)),"")</f>
        <v/>
      </c>
      <c r="P131" s="162">
        <f>IFERROR(""&amp;INDEX(tk_RATING,MATCH(125,tk_ASEQ,0)),"")</f>
        <v/>
      </c>
      <c r="Q131" s="162">
        <f>IFERROR(""&amp;INDEX(tk_LABEL,MATCH(125,tk_ASEQ,0)),"")</f>
        <v/>
      </c>
      <c r="R131" s="162">
        <f>IFERROR(""&amp;INDEX(tk_HWSET,MATCH(125,tk_ASEQ,0)),"")</f>
        <v/>
      </c>
      <c r="S131" s="162">
        <f>IFERROR(IF(""&amp;INDEX(tk_HINGES,MATCH(125,tk_ASEQ,0))="","",INDEX(tk_HINGES,MATCH(125,tk_ASEQ,0))&amp;" · "&amp;INDEX(tk_LSRC,MATCH(125,tk_ASEQ,0))),"")</f>
        <v/>
      </c>
      <c r="T131" s="162">
        <f>IFERROR(""&amp;INDEX(tk_LOCK,MATCH(125,tk_ASEQ,0)),"")</f>
        <v/>
      </c>
      <c r="U131" s="162">
        <f>IFERROR(INDEX(tk_ETYPE,MATCH(125,tk_ASEQ,0)),"")</f>
        <v/>
      </c>
      <c r="V131" s="162">
        <f>IFERROR(""&amp;INDEX(tk_CHECK,MATCH(125,tk_ASEQ,0)),"")</f>
        <v/>
      </c>
      <c r="W131" s="162">
        <f>IFERROR(TRIM(INDEX(tk_DNOTES,MATCH(125,tk_ASEQ,0))&amp;" "&amp;INDEX(tk_FNOTES,MATCH(125,tk_ASEQ,0))),"")</f>
        <v/>
      </c>
    </row>
    <row r="132">
      <c r="A132" s="161">
        <f>IFERROR(""&amp;INDEX(tk_MARK,MATCH(126,tk_ASEQ,0)),"")</f>
        <v/>
      </c>
      <c r="B132" s="162">
        <f>IFERROR(""&amp;INDEX(tk_ROOMF,MATCH(126,tk_ASEQ,0)),"")</f>
        <v/>
      </c>
      <c r="C132" s="162">
        <f>IFERROR(""&amp;INDEX(tk_ROOMT,MATCH(126,tk_ASEQ,0)),"")</f>
        <v/>
      </c>
      <c r="D132" s="162">
        <f>IFERROR(INDEX(tk_QTY,MATCH(126,tk_ASEQ,0)),"")</f>
        <v/>
      </c>
      <c r="E132" s="162">
        <f>IFERROR(""&amp;INDEX(tk_SIZE,MATCH(126,tk_ASEQ,0)),"")</f>
        <v/>
      </c>
      <c r="F132" s="162">
        <f>IFERROR(""&amp;INDEX(tk_PAIR,MATCH(126,tk_ASEQ,0)),"")</f>
        <v/>
      </c>
      <c r="G132" s="162">
        <f>IFERROR(""&amp;INDEX(tk_DMAT,MATCH(126,tk_ASEQ,0)),"")</f>
        <v/>
      </c>
      <c r="H132" s="162">
        <f>IFERROR(""&amp;INDEX(tk_DGA,MATCH(126,tk_ASEQ,0)),"")</f>
        <v/>
      </c>
      <c r="I132" s="162">
        <f>IFERROR(""&amp;INDEX(tk_FACE,MATCH(126,tk_ASEQ,0)),"")</f>
        <v/>
      </c>
      <c r="J132" s="162">
        <f>IFERROR(IF(INDEX(tk_DHAND,MATCH(126,tk_ASEQ,0))="",""&amp;INDEX(tk_HAND,MATCH(126,tk_ASEQ,0)),""&amp;INDEX(tk_DHAND,MATCH(126,tk_ASEQ,0))),"")</f>
        <v/>
      </c>
      <c r="K132" s="162">
        <f>IFERROR(""&amp;INDEX(tk_FDESC,MATCH(126,tk_ASEQ,0)),"")</f>
        <v/>
      </c>
      <c r="L132" s="162">
        <f>IFERROR(INDEX(tk_STEEL,MATCH(126,tk_ASEQ,0))&amp;IF(INDEX(tk_FGA,MATCH(126,tk_ASEQ,0))="",""," "&amp;INDEX(tk_FGA,MATCH(126,tk_ASEQ,0))&amp;"GA"),"")</f>
        <v/>
      </c>
      <c r="M132" s="162">
        <f>IFERROR(IFERROR(VLOOKUP(INDEX(tk_JAMB,MATCH(126,tk_ASEQ,0)),CODES,2,FALSE),""&amp;INDEX(tk_JAMB,MATCH(126,tk_ASEQ,0))),"")</f>
        <v/>
      </c>
      <c r="N132" s="162">
        <f>IFERROR(""&amp;INDEX(tk_CONSTR,MATCH(126,tk_ASEQ,0)),"")</f>
        <v/>
      </c>
      <c r="O132" s="162">
        <f>IFERROR(""&amp;INDEX(tk_ANCHOR,MATCH(126,tk_ASEQ,0)),"")</f>
        <v/>
      </c>
      <c r="P132" s="162">
        <f>IFERROR(""&amp;INDEX(tk_RATING,MATCH(126,tk_ASEQ,0)),"")</f>
        <v/>
      </c>
      <c r="Q132" s="162">
        <f>IFERROR(""&amp;INDEX(tk_LABEL,MATCH(126,tk_ASEQ,0)),"")</f>
        <v/>
      </c>
      <c r="R132" s="162">
        <f>IFERROR(""&amp;INDEX(tk_HWSET,MATCH(126,tk_ASEQ,0)),"")</f>
        <v/>
      </c>
      <c r="S132" s="162">
        <f>IFERROR(IF(""&amp;INDEX(tk_HINGES,MATCH(126,tk_ASEQ,0))="","",INDEX(tk_HINGES,MATCH(126,tk_ASEQ,0))&amp;" · "&amp;INDEX(tk_LSRC,MATCH(126,tk_ASEQ,0))),"")</f>
        <v/>
      </c>
      <c r="T132" s="162">
        <f>IFERROR(""&amp;INDEX(tk_LOCK,MATCH(126,tk_ASEQ,0)),"")</f>
        <v/>
      </c>
      <c r="U132" s="162">
        <f>IFERROR(INDEX(tk_ETYPE,MATCH(126,tk_ASEQ,0)),"")</f>
        <v/>
      </c>
      <c r="V132" s="162">
        <f>IFERROR(""&amp;INDEX(tk_CHECK,MATCH(126,tk_ASEQ,0)),"")</f>
        <v/>
      </c>
      <c r="W132" s="162">
        <f>IFERROR(TRIM(INDEX(tk_DNOTES,MATCH(126,tk_ASEQ,0))&amp;" "&amp;INDEX(tk_FNOTES,MATCH(126,tk_ASEQ,0))),"")</f>
        <v/>
      </c>
    </row>
    <row r="133">
      <c r="A133" s="161">
        <f>IFERROR(""&amp;INDEX(tk_MARK,MATCH(127,tk_ASEQ,0)),"")</f>
        <v/>
      </c>
      <c r="B133" s="162">
        <f>IFERROR(""&amp;INDEX(tk_ROOMF,MATCH(127,tk_ASEQ,0)),"")</f>
        <v/>
      </c>
      <c r="C133" s="162">
        <f>IFERROR(""&amp;INDEX(tk_ROOMT,MATCH(127,tk_ASEQ,0)),"")</f>
        <v/>
      </c>
      <c r="D133" s="162">
        <f>IFERROR(INDEX(tk_QTY,MATCH(127,tk_ASEQ,0)),"")</f>
        <v/>
      </c>
      <c r="E133" s="162">
        <f>IFERROR(""&amp;INDEX(tk_SIZE,MATCH(127,tk_ASEQ,0)),"")</f>
        <v/>
      </c>
      <c r="F133" s="162">
        <f>IFERROR(""&amp;INDEX(tk_PAIR,MATCH(127,tk_ASEQ,0)),"")</f>
        <v/>
      </c>
      <c r="G133" s="162">
        <f>IFERROR(""&amp;INDEX(tk_DMAT,MATCH(127,tk_ASEQ,0)),"")</f>
        <v/>
      </c>
      <c r="H133" s="162">
        <f>IFERROR(""&amp;INDEX(tk_DGA,MATCH(127,tk_ASEQ,0)),"")</f>
        <v/>
      </c>
      <c r="I133" s="162">
        <f>IFERROR(""&amp;INDEX(tk_FACE,MATCH(127,tk_ASEQ,0)),"")</f>
        <v/>
      </c>
      <c r="J133" s="162">
        <f>IFERROR(IF(INDEX(tk_DHAND,MATCH(127,tk_ASEQ,0))="",""&amp;INDEX(tk_HAND,MATCH(127,tk_ASEQ,0)),""&amp;INDEX(tk_DHAND,MATCH(127,tk_ASEQ,0))),"")</f>
        <v/>
      </c>
      <c r="K133" s="162">
        <f>IFERROR(""&amp;INDEX(tk_FDESC,MATCH(127,tk_ASEQ,0)),"")</f>
        <v/>
      </c>
      <c r="L133" s="162">
        <f>IFERROR(INDEX(tk_STEEL,MATCH(127,tk_ASEQ,0))&amp;IF(INDEX(tk_FGA,MATCH(127,tk_ASEQ,0))="",""," "&amp;INDEX(tk_FGA,MATCH(127,tk_ASEQ,0))&amp;"GA"),"")</f>
        <v/>
      </c>
      <c r="M133" s="162">
        <f>IFERROR(IFERROR(VLOOKUP(INDEX(tk_JAMB,MATCH(127,tk_ASEQ,0)),CODES,2,FALSE),""&amp;INDEX(tk_JAMB,MATCH(127,tk_ASEQ,0))),"")</f>
        <v/>
      </c>
      <c r="N133" s="162">
        <f>IFERROR(""&amp;INDEX(tk_CONSTR,MATCH(127,tk_ASEQ,0)),"")</f>
        <v/>
      </c>
      <c r="O133" s="162">
        <f>IFERROR(""&amp;INDEX(tk_ANCHOR,MATCH(127,tk_ASEQ,0)),"")</f>
        <v/>
      </c>
      <c r="P133" s="162">
        <f>IFERROR(""&amp;INDEX(tk_RATING,MATCH(127,tk_ASEQ,0)),"")</f>
        <v/>
      </c>
      <c r="Q133" s="162">
        <f>IFERROR(""&amp;INDEX(tk_LABEL,MATCH(127,tk_ASEQ,0)),"")</f>
        <v/>
      </c>
      <c r="R133" s="162">
        <f>IFERROR(""&amp;INDEX(tk_HWSET,MATCH(127,tk_ASEQ,0)),"")</f>
        <v/>
      </c>
      <c r="S133" s="162">
        <f>IFERROR(IF(""&amp;INDEX(tk_HINGES,MATCH(127,tk_ASEQ,0))="","",INDEX(tk_HINGES,MATCH(127,tk_ASEQ,0))&amp;" · "&amp;INDEX(tk_LSRC,MATCH(127,tk_ASEQ,0))),"")</f>
        <v/>
      </c>
      <c r="T133" s="162">
        <f>IFERROR(""&amp;INDEX(tk_LOCK,MATCH(127,tk_ASEQ,0)),"")</f>
        <v/>
      </c>
      <c r="U133" s="162">
        <f>IFERROR(INDEX(tk_ETYPE,MATCH(127,tk_ASEQ,0)),"")</f>
        <v/>
      </c>
      <c r="V133" s="162">
        <f>IFERROR(""&amp;INDEX(tk_CHECK,MATCH(127,tk_ASEQ,0)),"")</f>
        <v/>
      </c>
      <c r="W133" s="162">
        <f>IFERROR(TRIM(INDEX(tk_DNOTES,MATCH(127,tk_ASEQ,0))&amp;" "&amp;INDEX(tk_FNOTES,MATCH(127,tk_ASEQ,0))),"")</f>
        <v/>
      </c>
    </row>
    <row r="134">
      <c r="A134" s="161">
        <f>IFERROR(""&amp;INDEX(tk_MARK,MATCH(128,tk_ASEQ,0)),"")</f>
        <v/>
      </c>
      <c r="B134" s="162">
        <f>IFERROR(""&amp;INDEX(tk_ROOMF,MATCH(128,tk_ASEQ,0)),"")</f>
        <v/>
      </c>
      <c r="C134" s="162">
        <f>IFERROR(""&amp;INDEX(tk_ROOMT,MATCH(128,tk_ASEQ,0)),"")</f>
        <v/>
      </c>
      <c r="D134" s="162">
        <f>IFERROR(INDEX(tk_QTY,MATCH(128,tk_ASEQ,0)),"")</f>
        <v/>
      </c>
      <c r="E134" s="162">
        <f>IFERROR(""&amp;INDEX(tk_SIZE,MATCH(128,tk_ASEQ,0)),"")</f>
        <v/>
      </c>
      <c r="F134" s="162">
        <f>IFERROR(""&amp;INDEX(tk_PAIR,MATCH(128,tk_ASEQ,0)),"")</f>
        <v/>
      </c>
      <c r="G134" s="162">
        <f>IFERROR(""&amp;INDEX(tk_DMAT,MATCH(128,tk_ASEQ,0)),"")</f>
        <v/>
      </c>
      <c r="H134" s="162">
        <f>IFERROR(""&amp;INDEX(tk_DGA,MATCH(128,tk_ASEQ,0)),"")</f>
        <v/>
      </c>
      <c r="I134" s="162">
        <f>IFERROR(""&amp;INDEX(tk_FACE,MATCH(128,tk_ASEQ,0)),"")</f>
        <v/>
      </c>
      <c r="J134" s="162">
        <f>IFERROR(IF(INDEX(tk_DHAND,MATCH(128,tk_ASEQ,0))="",""&amp;INDEX(tk_HAND,MATCH(128,tk_ASEQ,0)),""&amp;INDEX(tk_DHAND,MATCH(128,tk_ASEQ,0))),"")</f>
        <v/>
      </c>
      <c r="K134" s="162">
        <f>IFERROR(""&amp;INDEX(tk_FDESC,MATCH(128,tk_ASEQ,0)),"")</f>
        <v/>
      </c>
      <c r="L134" s="162">
        <f>IFERROR(INDEX(tk_STEEL,MATCH(128,tk_ASEQ,0))&amp;IF(INDEX(tk_FGA,MATCH(128,tk_ASEQ,0))="",""," "&amp;INDEX(tk_FGA,MATCH(128,tk_ASEQ,0))&amp;"GA"),"")</f>
        <v/>
      </c>
      <c r="M134" s="162">
        <f>IFERROR(IFERROR(VLOOKUP(INDEX(tk_JAMB,MATCH(128,tk_ASEQ,0)),CODES,2,FALSE),""&amp;INDEX(tk_JAMB,MATCH(128,tk_ASEQ,0))),"")</f>
        <v/>
      </c>
      <c r="N134" s="162">
        <f>IFERROR(""&amp;INDEX(tk_CONSTR,MATCH(128,tk_ASEQ,0)),"")</f>
        <v/>
      </c>
      <c r="O134" s="162">
        <f>IFERROR(""&amp;INDEX(tk_ANCHOR,MATCH(128,tk_ASEQ,0)),"")</f>
        <v/>
      </c>
      <c r="P134" s="162">
        <f>IFERROR(""&amp;INDEX(tk_RATING,MATCH(128,tk_ASEQ,0)),"")</f>
        <v/>
      </c>
      <c r="Q134" s="162">
        <f>IFERROR(""&amp;INDEX(tk_LABEL,MATCH(128,tk_ASEQ,0)),"")</f>
        <v/>
      </c>
      <c r="R134" s="162">
        <f>IFERROR(""&amp;INDEX(tk_HWSET,MATCH(128,tk_ASEQ,0)),"")</f>
        <v/>
      </c>
      <c r="S134" s="162">
        <f>IFERROR(IF(""&amp;INDEX(tk_HINGES,MATCH(128,tk_ASEQ,0))="","",INDEX(tk_HINGES,MATCH(128,tk_ASEQ,0))&amp;" · "&amp;INDEX(tk_LSRC,MATCH(128,tk_ASEQ,0))),"")</f>
        <v/>
      </c>
      <c r="T134" s="162">
        <f>IFERROR(""&amp;INDEX(tk_LOCK,MATCH(128,tk_ASEQ,0)),"")</f>
        <v/>
      </c>
      <c r="U134" s="162">
        <f>IFERROR(INDEX(tk_ETYPE,MATCH(128,tk_ASEQ,0)),"")</f>
        <v/>
      </c>
      <c r="V134" s="162">
        <f>IFERROR(""&amp;INDEX(tk_CHECK,MATCH(128,tk_ASEQ,0)),"")</f>
        <v/>
      </c>
      <c r="W134" s="162">
        <f>IFERROR(TRIM(INDEX(tk_DNOTES,MATCH(128,tk_ASEQ,0))&amp;" "&amp;INDEX(tk_FNOTES,MATCH(128,tk_ASEQ,0))),"")</f>
        <v/>
      </c>
    </row>
    <row r="135">
      <c r="A135" s="161">
        <f>IFERROR(""&amp;INDEX(tk_MARK,MATCH(129,tk_ASEQ,0)),"")</f>
        <v/>
      </c>
      <c r="B135" s="162">
        <f>IFERROR(""&amp;INDEX(tk_ROOMF,MATCH(129,tk_ASEQ,0)),"")</f>
        <v/>
      </c>
      <c r="C135" s="162">
        <f>IFERROR(""&amp;INDEX(tk_ROOMT,MATCH(129,tk_ASEQ,0)),"")</f>
        <v/>
      </c>
      <c r="D135" s="162">
        <f>IFERROR(INDEX(tk_QTY,MATCH(129,tk_ASEQ,0)),"")</f>
        <v/>
      </c>
      <c r="E135" s="162">
        <f>IFERROR(""&amp;INDEX(tk_SIZE,MATCH(129,tk_ASEQ,0)),"")</f>
        <v/>
      </c>
      <c r="F135" s="162">
        <f>IFERROR(""&amp;INDEX(tk_PAIR,MATCH(129,tk_ASEQ,0)),"")</f>
        <v/>
      </c>
      <c r="G135" s="162">
        <f>IFERROR(""&amp;INDEX(tk_DMAT,MATCH(129,tk_ASEQ,0)),"")</f>
        <v/>
      </c>
      <c r="H135" s="162">
        <f>IFERROR(""&amp;INDEX(tk_DGA,MATCH(129,tk_ASEQ,0)),"")</f>
        <v/>
      </c>
      <c r="I135" s="162">
        <f>IFERROR(""&amp;INDEX(tk_FACE,MATCH(129,tk_ASEQ,0)),"")</f>
        <v/>
      </c>
      <c r="J135" s="162">
        <f>IFERROR(IF(INDEX(tk_DHAND,MATCH(129,tk_ASEQ,0))="",""&amp;INDEX(tk_HAND,MATCH(129,tk_ASEQ,0)),""&amp;INDEX(tk_DHAND,MATCH(129,tk_ASEQ,0))),"")</f>
        <v/>
      </c>
      <c r="K135" s="162">
        <f>IFERROR(""&amp;INDEX(tk_FDESC,MATCH(129,tk_ASEQ,0)),"")</f>
        <v/>
      </c>
      <c r="L135" s="162">
        <f>IFERROR(INDEX(tk_STEEL,MATCH(129,tk_ASEQ,0))&amp;IF(INDEX(tk_FGA,MATCH(129,tk_ASEQ,0))="",""," "&amp;INDEX(tk_FGA,MATCH(129,tk_ASEQ,0))&amp;"GA"),"")</f>
        <v/>
      </c>
      <c r="M135" s="162">
        <f>IFERROR(IFERROR(VLOOKUP(INDEX(tk_JAMB,MATCH(129,tk_ASEQ,0)),CODES,2,FALSE),""&amp;INDEX(tk_JAMB,MATCH(129,tk_ASEQ,0))),"")</f>
        <v/>
      </c>
      <c r="N135" s="162">
        <f>IFERROR(""&amp;INDEX(tk_CONSTR,MATCH(129,tk_ASEQ,0)),"")</f>
        <v/>
      </c>
      <c r="O135" s="162">
        <f>IFERROR(""&amp;INDEX(tk_ANCHOR,MATCH(129,tk_ASEQ,0)),"")</f>
        <v/>
      </c>
      <c r="P135" s="162">
        <f>IFERROR(""&amp;INDEX(tk_RATING,MATCH(129,tk_ASEQ,0)),"")</f>
        <v/>
      </c>
      <c r="Q135" s="162">
        <f>IFERROR(""&amp;INDEX(tk_LABEL,MATCH(129,tk_ASEQ,0)),"")</f>
        <v/>
      </c>
      <c r="R135" s="162">
        <f>IFERROR(""&amp;INDEX(tk_HWSET,MATCH(129,tk_ASEQ,0)),"")</f>
        <v/>
      </c>
      <c r="S135" s="162">
        <f>IFERROR(IF(""&amp;INDEX(tk_HINGES,MATCH(129,tk_ASEQ,0))="","",INDEX(tk_HINGES,MATCH(129,tk_ASEQ,0))&amp;" · "&amp;INDEX(tk_LSRC,MATCH(129,tk_ASEQ,0))),"")</f>
        <v/>
      </c>
      <c r="T135" s="162">
        <f>IFERROR(""&amp;INDEX(tk_LOCK,MATCH(129,tk_ASEQ,0)),"")</f>
        <v/>
      </c>
      <c r="U135" s="162">
        <f>IFERROR(INDEX(tk_ETYPE,MATCH(129,tk_ASEQ,0)),"")</f>
        <v/>
      </c>
      <c r="V135" s="162">
        <f>IFERROR(""&amp;INDEX(tk_CHECK,MATCH(129,tk_ASEQ,0)),"")</f>
        <v/>
      </c>
      <c r="W135" s="162">
        <f>IFERROR(TRIM(INDEX(tk_DNOTES,MATCH(129,tk_ASEQ,0))&amp;" "&amp;INDEX(tk_FNOTES,MATCH(129,tk_ASEQ,0))),"")</f>
        <v/>
      </c>
    </row>
    <row r="136">
      <c r="A136" s="161">
        <f>IFERROR(""&amp;INDEX(tk_MARK,MATCH(130,tk_ASEQ,0)),"")</f>
        <v/>
      </c>
      <c r="B136" s="162">
        <f>IFERROR(""&amp;INDEX(tk_ROOMF,MATCH(130,tk_ASEQ,0)),"")</f>
        <v/>
      </c>
      <c r="C136" s="162">
        <f>IFERROR(""&amp;INDEX(tk_ROOMT,MATCH(130,tk_ASEQ,0)),"")</f>
        <v/>
      </c>
      <c r="D136" s="162">
        <f>IFERROR(INDEX(tk_QTY,MATCH(130,tk_ASEQ,0)),"")</f>
        <v/>
      </c>
      <c r="E136" s="162">
        <f>IFERROR(""&amp;INDEX(tk_SIZE,MATCH(130,tk_ASEQ,0)),"")</f>
        <v/>
      </c>
      <c r="F136" s="162">
        <f>IFERROR(""&amp;INDEX(tk_PAIR,MATCH(130,tk_ASEQ,0)),"")</f>
        <v/>
      </c>
      <c r="G136" s="162">
        <f>IFERROR(""&amp;INDEX(tk_DMAT,MATCH(130,tk_ASEQ,0)),"")</f>
        <v/>
      </c>
      <c r="H136" s="162">
        <f>IFERROR(""&amp;INDEX(tk_DGA,MATCH(130,tk_ASEQ,0)),"")</f>
        <v/>
      </c>
      <c r="I136" s="162">
        <f>IFERROR(""&amp;INDEX(tk_FACE,MATCH(130,tk_ASEQ,0)),"")</f>
        <v/>
      </c>
      <c r="J136" s="162">
        <f>IFERROR(IF(INDEX(tk_DHAND,MATCH(130,tk_ASEQ,0))="",""&amp;INDEX(tk_HAND,MATCH(130,tk_ASEQ,0)),""&amp;INDEX(tk_DHAND,MATCH(130,tk_ASEQ,0))),"")</f>
        <v/>
      </c>
      <c r="K136" s="162">
        <f>IFERROR(""&amp;INDEX(tk_FDESC,MATCH(130,tk_ASEQ,0)),"")</f>
        <v/>
      </c>
      <c r="L136" s="162">
        <f>IFERROR(INDEX(tk_STEEL,MATCH(130,tk_ASEQ,0))&amp;IF(INDEX(tk_FGA,MATCH(130,tk_ASEQ,0))="",""," "&amp;INDEX(tk_FGA,MATCH(130,tk_ASEQ,0))&amp;"GA"),"")</f>
        <v/>
      </c>
      <c r="M136" s="162">
        <f>IFERROR(IFERROR(VLOOKUP(INDEX(tk_JAMB,MATCH(130,tk_ASEQ,0)),CODES,2,FALSE),""&amp;INDEX(tk_JAMB,MATCH(130,tk_ASEQ,0))),"")</f>
        <v/>
      </c>
      <c r="N136" s="162">
        <f>IFERROR(""&amp;INDEX(tk_CONSTR,MATCH(130,tk_ASEQ,0)),"")</f>
        <v/>
      </c>
      <c r="O136" s="162">
        <f>IFERROR(""&amp;INDEX(tk_ANCHOR,MATCH(130,tk_ASEQ,0)),"")</f>
        <v/>
      </c>
      <c r="P136" s="162">
        <f>IFERROR(""&amp;INDEX(tk_RATING,MATCH(130,tk_ASEQ,0)),"")</f>
        <v/>
      </c>
      <c r="Q136" s="162">
        <f>IFERROR(""&amp;INDEX(tk_LABEL,MATCH(130,tk_ASEQ,0)),"")</f>
        <v/>
      </c>
      <c r="R136" s="162">
        <f>IFERROR(""&amp;INDEX(tk_HWSET,MATCH(130,tk_ASEQ,0)),"")</f>
        <v/>
      </c>
      <c r="S136" s="162">
        <f>IFERROR(IF(""&amp;INDEX(tk_HINGES,MATCH(130,tk_ASEQ,0))="","",INDEX(tk_HINGES,MATCH(130,tk_ASEQ,0))&amp;" · "&amp;INDEX(tk_LSRC,MATCH(130,tk_ASEQ,0))),"")</f>
        <v/>
      </c>
      <c r="T136" s="162">
        <f>IFERROR(""&amp;INDEX(tk_LOCK,MATCH(130,tk_ASEQ,0)),"")</f>
        <v/>
      </c>
      <c r="U136" s="162">
        <f>IFERROR(INDEX(tk_ETYPE,MATCH(130,tk_ASEQ,0)),"")</f>
        <v/>
      </c>
      <c r="V136" s="162">
        <f>IFERROR(""&amp;INDEX(tk_CHECK,MATCH(130,tk_ASEQ,0)),"")</f>
        <v/>
      </c>
      <c r="W136" s="162">
        <f>IFERROR(TRIM(INDEX(tk_DNOTES,MATCH(130,tk_ASEQ,0))&amp;" "&amp;INDEX(tk_FNOTES,MATCH(130,tk_ASEQ,0))),"")</f>
        <v/>
      </c>
    </row>
    <row r="137">
      <c r="A137" s="161">
        <f>IFERROR(""&amp;INDEX(tk_MARK,MATCH(131,tk_ASEQ,0)),"")</f>
        <v/>
      </c>
      <c r="B137" s="162">
        <f>IFERROR(""&amp;INDEX(tk_ROOMF,MATCH(131,tk_ASEQ,0)),"")</f>
        <v/>
      </c>
      <c r="C137" s="162">
        <f>IFERROR(""&amp;INDEX(tk_ROOMT,MATCH(131,tk_ASEQ,0)),"")</f>
        <v/>
      </c>
      <c r="D137" s="162">
        <f>IFERROR(INDEX(tk_QTY,MATCH(131,tk_ASEQ,0)),"")</f>
        <v/>
      </c>
      <c r="E137" s="162">
        <f>IFERROR(""&amp;INDEX(tk_SIZE,MATCH(131,tk_ASEQ,0)),"")</f>
        <v/>
      </c>
      <c r="F137" s="162">
        <f>IFERROR(""&amp;INDEX(tk_PAIR,MATCH(131,tk_ASEQ,0)),"")</f>
        <v/>
      </c>
      <c r="G137" s="162">
        <f>IFERROR(""&amp;INDEX(tk_DMAT,MATCH(131,tk_ASEQ,0)),"")</f>
        <v/>
      </c>
      <c r="H137" s="162">
        <f>IFERROR(""&amp;INDEX(tk_DGA,MATCH(131,tk_ASEQ,0)),"")</f>
        <v/>
      </c>
      <c r="I137" s="162">
        <f>IFERROR(""&amp;INDEX(tk_FACE,MATCH(131,tk_ASEQ,0)),"")</f>
        <v/>
      </c>
      <c r="J137" s="162">
        <f>IFERROR(IF(INDEX(tk_DHAND,MATCH(131,tk_ASEQ,0))="",""&amp;INDEX(tk_HAND,MATCH(131,tk_ASEQ,0)),""&amp;INDEX(tk_DHAND,MATCH(131,tk_ASEQ,0))),"")</f>
        <v/>
      </c>
      <c r="K137" s="162">
        <f>IFERROR(""&amp;INDEX(tk_FDESC,MATCH(131,tk_ASEQ,0)),"")</f>
        <v/>
      </c>
      <c r="L137" s="162">
        <f>IFERROR(INDEX(tk_STEEL,MATCH(131,tk_ASEQ,0))&amp;IF(INDEX(tk_FGA,MATCH(131,tk_ASEQ,0))="",""," "&amp;INDEX(tk_FGA,MATCH(131,tk_ASEQ,0))&amp;"GA"),"")</f>
        <v/>
      </c>
      <c r="M137" s="162">
        <f>IFERROR(IFERROR(VLOOKUP(INDEX(tk_JAMB,MATCH(131,tk_ASEQ,0)),CODES,2,FALSE),""&amp;INDEX(tk_JAMB,MATCH(131,tk_ASEQ,0))),"")</f>
        <v/>
      </c>
      <c r="N137" s="162">
        <f>IFERROR(""&amp;INDEX(tk_CONSTR,MATCH(131,tk_ASEQ,0)),"")</f>
        <v/>
      </c>
      <c r="O137" s="162">
        <f>IFERROR(""&amp;INDEX(tk_ANCHOR,MATCH(131,tk_ASEQ,0)),"")</f>
        <v/>
      </c>
      <c r="P137" s="162">
        <f>IFERROR(""&amp;INDEX(tk_RATING,MATCH(131,tk_ASEQ,0)),"")</f>
        <v/>
      </c>
      <c r="Q137" s="162">
        <f>IFERROR(""&amp;INDEX(tk_LABEL,MATCH(131,tk_ASEQ,0)),"")</f>
        <v/>
      </c>
      <c r="R137" s="162">
        <f>IFERROR(""&amp;INDEX(tk_HWSET,MATCH(131,tk_ASEQ,0)),"")</f>
        <v/>
      </c>
      <c r="S137" s="162">
        <f>IFERROR(IF(""&amp;INDEX(tk_HINGES,MATCH(131,tk_ASEQ,0))="","",INDEX(tk_HINGES,MATCH(131,tk_ASEQ,0))&amp;" · "&amp;INDEX(tk_LSRC,MATCH(131,tk_ASEQ,0))),"")</f>
        <v/>
      </c>
      <c r="T137" s="162">
        <f>IFERROR(""&amp;INDEX(tk_LOCK,MATCH(131,tk_ASEQ,0)),"")</f>
        <v/>
      </c>
      <c r="U137" s="162">
        <f>IFERROR(INDEX(tk_ETYPE,MATCH(131,tk_ASEQ,0)),"")</f>
        <v/>
      </c>
      <c r="V137" s="162">
        <f>IFERROR(""&amp;INDEX(tk_CHECK,MATCH(131,tk_ASEQ,0)),"")</f>
        <v/>
      </c>
      <c r="W137" s="162">
        <f>IFERROR(TRIM(INDEX(tk_DNOTES,MATCH(131,tk_ASEQ,0))&amp;" "&amp;INDEX(tk_FNOTES,MATCH(131,tk_ASEQ,0))),"")</f>
        <v/>
      </c>
    </row>
    <row r="138">
      <c r="A138" s="161">
        <f>IFERROR(""&amp;INDEX(tk_MARK,MATCH(132,tk_ASEQ,0)),"")</f>
        <v/>
      </c>
      <c r="B138" s="162">
        <f>IFERROR(""&amp;INDEX(tk_ROOMF,MATCH(132,tk_ASEQ,0)),"")</f>
        <v/>
      </c>
      <c r="C138" s="162">
        <f>IFERROR(""&amp;INDEX(tk_ROOMT,MATCH(132,tk_ASEQ,0)),"")</f>
        <v/>
      </c>
      <c r="D138" s="162">
        <f>IFERROR(INDEX(tk_QTY,MATCH(132,tk_ASEQ,0)),"")</f>
        <v/>
      </c>
      <c r="E138" s="162">
        <f>IFERROR(""&amp;INDEX(tk_SIZE,MATCH(132,tk_ASEQ,0)),"")</f>
        <v/>
      </c>
      <c r="F138" s="162">
        <f>IFERROR(""&amp;INDEX(tk_PAIR,MATCH(132,tk_ASEQ,0)),"")</f>
        <v/>
      </c>
      <c r="G138" s="162">
        <f>IFERROR(""&amp;INDEX(tk_DMAT,MATCH(132,tk_ASEQ,0)),"")</f>
        <v/>
      </c>
      <c r="H138" s="162">
        <f>IFERROR(""&amp;INDEX(tk_DGA,MATCH(132,tk_ASEQ,0)),"")</f>
        <v/>
      </c>
      <c r="I138" s="162">
        <f>IFERROR(""&amp;INDEX(tk_FACE,MATCH(132,tk_ASEQ,0)),"")</f>
        <v/>
      </c>
      <c r="J138" s="162">
        <f>IFERROR(IF(INDEX(tk_DHAND,MATCH(132,tk_ASEQ,0))="",""&amp;INDEX(tk_HAND,MATCH(132,tk_ASEQ,0)),""&amp;INDEX(tk_DHAND,MATCH(132,tk_ASEQ,0))),"")</f>
        <v/>
      </c>
      <c r="K138" s="162">
        <f>IFERROR(""&amp;INDEX(tk_FDESC,MATCH(132,tk_ASEQ,0)),"")</f>
        <v/>
      </c>
      <c r="L138" s="162">
        <f>IFERROR(INDEX(tk_STEEL,MATCH(132,tk_ASEQ,0))&amp;IF(INDEX(tk_FGA,MATCH(132,tk_ASEQ,0))="",""," "&amp;INDEX(tk_FGA,MATCH(132,tk_ASEQ,0))&amp;"GA"),"")</f>
        <v/>
      </c>
      <c r="M138" s="162">
        <f>IFERROR(IFERROR(VLOOKUP(INDEX(tk_JAMB,MATCH(132,tk_ASEQ,0)),CODES,2,FALSE),""&amp;INDEX(tk_JAMB,MATCH(132,tk_ASEQ,0))),"")</f>
        <v/>
      </c>
      <c r="N138" s="162">
        <f>IFERROR(""&amp;INDEX(tk_CONSTR,MATCH(132,tk_ASEQ,0)),"")</f>
        <v/>
      </c>
      <c r="O138" s="162">
        <f>IFERROR(""&amp;INDEX(tk_ANCHOR,MATCH(132,tk_ASEQ,0)),"")</f>
        <v/>
      </c>
      <c r="P138" s="162">
        <f>IFERROR(""&amp;INDEX(tk_RATING,MATCH(132,tk_ASEQ,0)),"")</f>
        <v/>
      </c>
      <c r="Q138" s="162">
        <f>IFERROR(""&amp;INDEX(tk_LABEL,MATCH(132,tk_ASEQ,0)),"")</f>
        <v/>
      </c>
      <c r="R138" s="162">
        <f>IFERROR(""&amp;INDEX(tk_HWSET,MATCH(132,tk_ASEQ,0)),"")</f>
        <v/>
      </c>
      <c r="S138" s="162">
        <f>IFERROR(IF(""&amp;INDEX(tk_HINGES,MATCH(132,tk_ASEQ,0))="","",INDEX(tk_HINGES,MATCH(132,tk_ASEQ,0))&amp;" · "&amp;INDEX(tk_LSRC,MATCH(132,tk_ASEQ,0))),"")</f>
        <v/>
      </c>
      <c r="T138" s="162">
        <f>IFERROR(""&amp;INDEX(tk_LOCK,MATCH(132,tk_ASEQ,0)),"")</f>
        <v/>
      </c>
      <c r="U138" s="162">
        <f>IFERROR(INDEX(tk_ETYPE,MATCH(132,tk_ASEQ,0)),"")</f>
        <v/>
      </c>
      <c r="V138" s="162">
        <f>IFERROR(""&amp;INDEX(tk_CHECK,MATCH(132,tk_ASEQ,0)),"")</f>
        <v/>
      </c>
      <c r="W138" s="162">
        <f>IFERROR(TRIM(INDEX(tk_DNOTES,MATCH(132,tk_ASEQ,0))&amp;" "&amp;INDEX(tk_FNOTES,MATCH(132,tk_ASEQ,0))),"")</f>
        <v/>
      </c>
    </row>
    <row r="139">
      <c r="A139" s="161">
        <f>IFERROR(""&amp;INDEX(tk_MARK,MATCH(133,tk_ASEQ,0)),"")</f>
        <v/>
      </c>
      <c r="B139" s="162">
        <f>IFERROR(""&amp;INDEX(tk_ROOMF,MATCH(133,tk_ASEQ,0)),"")</f>
        <v/>
      </c>
      <c r="C139" s="162">
        <f>IFERROR(""&amp;INDEX(tk_ROOMT,MATCH(133,tk_ASEQ,0)),"")</f>
        <v/>
      </c>
      <c r="D139" s="162">
        <f>IFERROR(INDEX(tk_QTY,MATCH(133,tk_ASEQ,0)),"")</f>
        <v/>
      </c>
      <c r="E139" s="162">
        <f>IFERROR(""&amp;INDEX(tk_SIZE,MATCH(133,tk_ASEQ,0)),"")</f>
        <v/>
      </c>
      <c r="F139" s="162">
        <f>IFERROR(""&amp;INDEX(tk_PAIR,MATCH(133,tk_ASEQ,0)),"")</f>
        <v/>
      </c>
      <c r="G139" s="162">
        <f>IFERROR(""&amp;INDEX(tk_DMAT,MATCH(133,tk_ASEQ,0)),"")</f>
        <v/>
      </c>
      <c r="H139" s="162">
        <f>IFERROR(""&amp;INDEX(tk_DGA,MATCH(133,tk_ASEQ,0)),"")</f>
        <v/>
      </c>
      <c r="I139" s="162">
        <f>IFERROR(""&amp;INDEX(tk_FACE,MATCH(133,tk_ASEQ,0)),"")</f>
        <v/>
      </c>
      <c r="J139" s="162">
        <f>IFERROR(IF(INDEX(tk_DHAND,MATCH(133,tk_ASEQ,0))="",""&amp;INDEX(tk_HAND,MATCH(133,tk_ASEQ,0)),""&amp;INDEX(tk_DHAND,MATCH(133,tk_ASEQ,0))),"")</f>
        <v/>
      </c>
      <c r="K139" s="162">
        <f>IFERROR(""&amp;INDEX(tk_FDESC,MATCH(133,tk_ASEQ,0)),"")</f>
        <v/>
      </c>
      <c r="L139" s="162">
        <f>IFERROR(INDEX(tk_STEEL,MATCH(133,tk_ASEQ,0))&amp;IF(INDEX(tk_FGA,MATCH(133,tk_ASEQ,0))="",""," "&amp;INDEX(tk_FGA,MATCH(133,tk_ASEQ,0))&amp;"GA"),"")</f>
        <v/>
      </c>
      <c r="M139" s="162">
        <f>IFERROR(IFERROR(VLOOKUP(INDEX(tk_JAMB,MATCH(133,tk_ASEQ,0)),CODES,2,FALSE),""&amp;INDEX(tk_JAMB,MATCH(133,tk_ASEQ,0))),"")</f>
        <v/>
      </c>
      <c r="N139" s="162">
        <f>IFERROR(""&amp;INDEX(tk_CONSTR,MATCH(133,tk_ASEQ,0)),"")</f>
        <v/>
      </c>
      <c r="O139" s="162">
        <f>IFERROR(""&amp;INDEX(tk_ANCHOR,MATCH(133,tk_ASEQ,0)),"")</f>
        <v/>
      </c>
      <c r="P139" s="162">
        <f>IFERROR(""&amp;INDEX(tk_RATING,MATCH(133,tk_ASEQ,0)),"")</f>
        <v/>
      </c>
      <c r="Q139" s="162">
        <f>IFERROR(""&amp;INDEX(tk_LABEL,MATCH(133,tk_ASEQ,0)),"")</f>
        <v/>
      </c>
      <c r="R139" s="162">
        <f>IFERROR(""&amp;INDEX(tk_HWSET,MATCH(133,tk_ASEQ,0)),"")</f>
        <v/>
      </c>
      <c r="S139" s="162">
        <f>IFERROR(IF(""&amp;INDEX(tk_HINGES,MATCH(133,tk_ASEQ,0))="","",INDEX(tk_HINGES,MATCH(133,tk_ASEQ,0))&amp;" · "&amp;INDEX(tk_LSRC,MATCH(133,tk_ASEQ,0))),"")</f>
        <v/>
      </c>
      <c r="T139" s="162">
        <f>IFERROR(""&amp;INDEX(tk_LOCK,MATCH(133,tk_ASEQ,0)),"")</f>
        <v/>
      </c>
      <c r="U139" s="162">
        <f>IFERROR(INDEX(tk_ETYPE,MATCH(133,tk_ASEQ,0)),"")</f>
        <v/>
      </c>
      <c r="V139" s="162">
        <f>IFERROR(""&amp;INDEX(tk_CHECK,MATCH(133,tk_ASEQ,0)),"")</f>
        <v/>
      </c>
      <c r="W139" s="162">
        <f>IFERROR(TRIM(INDEX(tk_DNOTES,MATCH(133,tk_ASEQ,0))&amp;" "&amp;INDEX(tk_FNOTES,MATCH(133,tk_ASEQ,0))),"")</f>
        <v/>
      </c>
    </row>
    <row r="140">
      <c r="A140" s="161">
        <f>IFERROR(""&amp;INDEX(tk_MARK,MATCH(134,tk_ASEQ,0)),"")</f>
        <v/>
      </c>
      <c r="B140" s="162">
        <f>IFERROR(""&amp;INDEX(tk_ROOMF,MATCH(134,tk_ASEQ,0)),"")</f>
        <v/>
      </c>
      <c r="C140" s="162">
        <f>IFERROR(""&amp;INDEX(tk_ROOMT,MATCH(134,tk_ASEQ,0)),"")</f>
        <v/>
      </c>
      <c r="D140" s="162">
        <f>IFERROR(INDEX(tk_QTY,MATCH(134,tk_ASEQ,0)),"")</f>
        <v/>
      </c>
      <c r="E140" s="162">
        <f>IFERROR(""&amp;INDEX(tk_SIZE,MATCH(134,tk_ASEQ,0)),"")</f>
        <v/>
      </c>
      <c r="F140" s="162">
        <f>IFERROR(""&amp;INDEX(tk_PAIR,MATCH(134,tk_ASEQ,0)),"")</f>
        <v/>
      </c>
      <c r="G140" s="162">
        <f>IFERROR(""&amp;INDEX(tk_DMAT,MATCH(134,tk_ASEQ,0)),"")</f>
        <v/>
      </c>
      <c r="H140" s="162">
        <f>IFERROR(""&amp;INDEX(tk_DGA,MATCH(134,tk_ASEQ,0)),"")</f>
        <v/>
      </c>
      <c r="I140" s="162">
        <f>IFERROR(""&amp;INDEX(tk_FACE,MATCH(134,tk_ASEQ,0)),"")</f>
        <v/>
      </c>
      <c r="J140" s="162">
        <f>IFERROR(IF(INDEX(tk_DHAND,MATCH(134,tk_ASEQ,0))="",""&amp;INDEX(tk_HAND,MATCH(134,tk_ASEQ,0)),""&amp;INDEX(tk_DHAND,MATCH(134,tk_ASEQ,0))),"")</f>
        <v/>
      </c>
      <c r="K140" s="162">
        <f>IFERROR(""&amp;INDEX(tk_FDESC,MATCH(134,tk_ASEQ,0)),"")</f>
        <v/>
      </c>
      <c r="L140" s="162">
        <f>IFERROR(INDEX(tk_STEEL,MATCH(134,tk_ASEQ,0))&amp;IF(INDEX(tk_FGA,MATCH(134,tk_ASEQ,0))="",""," "&amp;INDEX(tk_FGA,MATCH(134,tk_ASEQ,0))&amp;"GA"),"")</f>
        <v/>
      </c>
      <c r="M140" s="162">
        <f>IFERROR(IFERROR(VLOOKUP(INDEX(tk_JAMB,MATCH(134,tk_ASEQ,0)),CODES,2,FALSE),""&amp;INDEX(tk_JAMB,MATCH(134,tk_ASEQ,0))),"")</f>
        <v/>
      </c>
      <c r="N140" s="162">
        <f>IFERROR(""&amp;INDEX(tk_CONSTR,MATCH(134,tk_ASEQ,0)),"")</f>
        <v/>
      </c>
      <c r="O140" s="162">
        <f>IFERROR(""&amp;INDEX(tk_ANCHOR,MATCH(134,tk_ASEQ,0)),"")</f>
        <v/>
      </c>
      <c r="P140" s="162">
        <f>IFERROR(""&amp;INDEX(tk_RATING,MATCH(134,tk_ASEQ,0)),"")</f>
        <v/>
      </c>
      <c r="Q140" s="162">
        <f>IFERROR(""&amp;INDEX(tk_LABEL,MATCH(134,tk_ASEQ,0)),"")</f>
        <v/>
      </c>
      <c r="R140" s="162">
        <f>IFERROR(""&amp;INDEX(tk_HWSET,MATCH(134,tk_ASEQ,0)),"")</f>
        <v/>
      </c>
      <c r="S140" s="162">
        <f>IFERROR(IF(""&amp;INDEX(tk_HINGES,MATCH(134,tk_ASEQ,0))="","",INDEX(tk_HINGES,MATCH(134,tk_ASEQ,0))&amp;" · "&amp;INDEX(tk_LSRC,MATCH(134,tk_ASEQ,0))),"")</f>
        <v/>
      </c>
      <c r="T140" s="162">
        <f>IFERROR(""&amp;INDEX(tk_LOCK,MATCH(134,tk_ASEQ,0)),"")</f>
        <v/>
      </c>
      <c r="U140" s="162">
        <f>IFERROR(INDEX(tk_ETYPE,MATCH(134,tk_ASEQ,0)),"")</f>
        <v/>
      </c>
      <c r="V140" s="162">
        <f>IFERROR(""&amp;INDEX(tk_CHECK,MATCH(134,tk_ASEQ,0)),"")</f>
        <v/>
      </c>
      <c r="W140" s="162">
        <f>IFERROR(TRIM(INDEX(tk_DNOTES,MATCH(134,tk_ASEQ,0))&amp;" "&amp;INDEX(tk_FNOTES,MATCH(134,tk_ASEQ,0))),"")</f>
        <v/>
      </c>
    </row>
    <row r="141">
      <c r="A141" s="161">
        <f>IFERROR(""&amp;INDEX(tk_MARK,MATCH(135,tk_ASEQ,0)),"")</f>
        <v/>
      </c>
      <c r="B141" s="162">
        <f>IFERROR(""&amp;INDEX(tk_ROOMF,MATCH(135,tk_ASEQ,0)),"")</f>
        <v/>
      </c>
      <c r="C141" s="162">
        <f>IFERROR(""&amp;INDEX(tk_ROOMT,MATCH(135,tk_ASEQ,0)),"")</f>
        <v/>
      </c>
      <c r="D141" s="162">
        <f>IFERROR(INDEX(tk_QTY,MATCH(135,tk_ASEQ,0)),"")</f>
        <v/>
      </c>
      <c r="E141" s="162">
        <f>IFERROR(""&amp;INDEX(tk_SIZE,MATCH(135,tk_ASEQ,0)),"")</f>
        <v/>
      </c>
      <c r="F141" s="162">
        <f>IFERROR(""&amp;INDEX(tk_PAIR,MATCH(135,tk_ASEQ,0)),"")</f>
        <v/>
      </c>
      <c r="G141" s="162">
        <f>IFERROR(""&amp;INDEX(tk_DMAT,MATCH(135,tk_ASEQ,0)),"")</f>
        <v/>
      </c>
      <c r="H141" s="162">
        <f>IFERROR(""&amp;INDEX(tk_DGA,MATCH(135,tk_ASEQ,0)),"")</f>
        <v/>
      </c>
      <c r="I141" s="162">
        <f>IFERROR(""&amp;INDEX(tk_FACE,MATCH(135,tk_ASEQ,0)),"")</f>
        <v/>
      </c>
      <c r="J141" s="162">
        <f>IFERROR(IF(INDEX(tk_DHAND,MATCH(135,tk_ASEQ,0))="",""&amp;INDEX(tk_HAND,MATCH(135,tk_ASEQ,0)),""&amp;INDEX(tk_DHAND,MATCH(135,tk_ASEQ,0))),"")</f>
        <v/>
      </c>
      <c r="K141" s="162">
        <f>IFERROR(""&amp;INDEX(tk_FDESC,MATCH(135,tk_ASEQ,0)),"")</f>
        <v/>
      </c>
      <c r="L141" s="162">
        <f>IFERROR(INDEX(tk_STEEL,MATCH(135,tk_ASEQ,0))&amp;IF(INDEX(tk_FGA,MATCH(135,tk_ASEQ,0))="",""," "&amp;INDEX(tk_FGA,MATCH(135,tk_ASEQ,0))&amp;"GA"),"")</f>
        <v/>
      </c>
      <c r="M141" s="162">
        <f>IFERROR(IFERROR(VLOOKUP(INDEX(tk_JAMB,MATCH(135,tk_ASEQ,0)),CODES,2,FALSE),""&amp;INDEX(tk_JAMB,MATCH(135,tk_ASEQ,0))),"")</f>
        <v/>
      </c>
      <c r="N141" s="162">
        <f>IFERROR(""&amp;INDEX(tk_CONSTR,MATCH(135,tk_ASEQ,0)),"")</f>
        <v/>
      </c>
      <c r="O141" s="162">
        <f>IFERROR(""&amp;INDEX(tk_ANCHOR,MATCH(135,tk_ASEQ,0)),"")</f>
        <v/>
      </c>
      <c r="P141" s="162">
        <f>IFERROR(""&amp;INDEX(tk_RATING,MATCH(135,tk_ASEQ,0)),"")</f>
        <v/>
      </c>
      <c r="Q141" s="162">
        <f>IFERROR(""&amp;INDEX(tk_LABEL,MATCH(135,tk_ASEQ,0)),"")</f>
        <v/>
      </c>
      <c r="R141" s="162">
        <f>IFERROR(""&amp;INDEX(tk_HWSET,MATCH(135,tk_ASEQ,0)),"")</f>
        <v/>
      </c>
      <c r="S141" s="162">
        <f>IFERROR(IF(""&amp;INDEX(tk_HINGES,MATCH(135,tk_ASEQ,0))="","",INDEX(tk_HINGES,MATCH(135,tk_ASEQ,0))&amp;" · "&amp;INDEX(tk_LSRC,MATCH(135,tk_ASEQ,0))),"")</f>
        <v/>
      </c>
      <c r="T141" s="162">
        <f>IFERROR(""&amp;INDEX(tk_LOCK,MATCH(135,tk_ASEQ,0)),"")</f>
        <v/>
      </c>
      <c r="U141" s="162">
        <f>IFERROR(INDEX(tk_ETYPE,MATCH(135,tk_ASEQ,0)),"")</f>
        <v/>
      </c>
      <c r="V141" s="162">
        <f>IFERROR(""&amp;INDEX(tk_CHECK,MATCH(135,tk_ASEQ,0)),"")</f>
        <v/>
      </c>
      <c r="W141" s="162">
        <f>IFERROR(TRIM(INDEX(tk_DNOTES,MATCH(135,tk_ASEQ,0))&amp;" "&amp;INDEX(tk_FNOTES,MATCH(135,tk_ASEQ,0))),"")</f>
        <v/>
      </c>
    </row>
    <row r="142">
      <c r="A142" s="161">
        <f>IFERROR(""&amp;INDEX(tk_MARK,MATCH(136,tk_ASEQ,0)),"")</f>
        <v/>
      </c>
      <c r="B142" s="162">
        <f>IFERROR(""&amp;INDEX(tk_ROOMF,MATCH(136,tk_ASEQ,0)),"")</f>
        <v/>
      </c>
      <c r="C142" s="162">
        <f>IFERROR(""&amp;INDEX(tk_ROOMT,MATCH(136,tk_ASEQ,0)),"")</f>
        <v/>
      </c>
      <c r="D142" s="162">
        <f>IFERROR(INDEX(tk_QTY,MATCH(136,tk_ASEQ,0)),"")</f>
        <v/>
      </c>
      <c r="E142" s="162">
        <f>IFERROR(""&amp;INDEX(tk_SIZE,MATCH(136,tk_ASEQ,0)),"")</f>
        <v/>
      </c>
      <c r="F142" s="162">
        <f>IFERROR(""&amp;INDEX(tk_PAIR,MATCH(136,tk_ASEQ,0)),"")</f>
        <v/>
      </c>
      <c r="G142" s="162">
        <f>IFERROR(""&amp;INDEX(tk_DMAT,MATCH(136,tk_ASEQ,0)),"")</f>
        <v/>
      </c>
      <c r="H142" s="162">
        <f>IFERROR(""&amp;INDEX(tk_DGA,MATCH(136,tk_ASEQ,0)),"")</f>
        <v/>
      </c>
      <c r="I142" s="162">
        <f>IFERROR(""&amp;INDEX(tk_FACE,MATCH(136,tk_ASEQ,0)),"")</f>
        <v/>
      </c>
      <c r="J142" s="162">
        <f>IFERROR(IF(INDEX(tk_DHAND,MATCH(136,tk_ASEQ,0))="",""&amp;INDEX(tk_HAND,MATCH(136,tk_ASEQ,0)),""&amp;INDEX(tk_DHAND,MATCH(136,tk_ASEQ,0))),"")</f>
        <v/>
      </c>
      <c r="K142" s="162">
        <f>IFERROR(""&amp;INDEX(tk_FDESC,MATCH(136,tk_ASEQ,0)),"")</f>
        <v/>
      </c>
      <c r="L142" s="162">
        <f>IFERROR(INDEX(tk_STEEL,MATCH(136,tk_ASEQ,0))&amp;IF(INDEX(tk_FGA,MATCH(136,tk_ASEQ,0))="",""," "&amp;INDEX(tk_FGA,MATCH(136,tk_ASEQ,0))&amp;"GA"),"")</f>
        <v/>
      </c>
      <c r="M142" s="162">
        <f>IFERROR(IFERROR(VLOOKUP(INDEX(tk_JAMB,MATCH(136,tk_ASEQ,0)),CODES,2,FALSE),""&amp;INDEX(tk_JAMB,MATCH(136,tk_ASEQ,0))),"")</f>
        <v/>
      </c>
      <c r="N142" s="162">
        <f>IFERROR(""&amp;INDEX(tk_CONSTR,MATCH(136,tk_ASEQ,0)),"")</f>
        <v/>
      </c>
      <c r="O142" s="162">
        <f>IFERROR(""&amp;INDEX(tk_ANCHOR,MATCH(136,tk_ASEQ,0)),"")</f>
        <v/>
      </c>
      <c r="P142" s="162">
        <f>IFERROR(""&amp;INDEX(tk_RATING,MATCH(136,tk_ASEQ,0)),"")</f>
        <v/>
      </c>
      <c r="Q142" s="162">
        <f>IFERROR(""&amp;INDEX(tk_LABEL,MATCH(136,tk_ASEQ,0)),"")</f>
        <v/>
      </c>
      <c r="R142" s="162">
        <f>IFERROR(""&amp;INDEX(tk_HWSET,MATCH(136,tk_ASEQ,0)),"")</f>
        <v/>
      </c>
      <c r="S142" s="162">
        <f>IFERROR(IF(""&amp;INDEX(tk_HINGES,MATCH(136,tk_ASEQ,0))="","",INDEX(tk_HINGES,MATCH(136,tk_ASEQ,0))&amp;" · "&amp;INDEX(tk_LSRC,MATCH(136,tk_ASEQ,0))),"")</f>
        <v/>
      </c>
      <c r="T142" s="162">
        <f>IFERROR(""&amp;INDEX(tk_LOCK,MATCH(136,tk_ASEQ,0)),"")</f>
        <v/>
      </c>
      <c r="U142" s="162">
        <f>IFERROR(INDEX(tk_ETYPE,MATCH(136,tk_ASEQ,0)),"")</f>
        <v/>
      </c>
      <c r="V142" s="162">
        <f>IFERROR(""&amp;INDEX(tk_CHECK,MATCH(136,tk_ASEQ,0)),"")</f>
        <v/>
      </c>
      <c r="W142" s="162">
        <f>IFERROR(TRIM(INDEX(tk_DNOTES,MATCH(136,tk_ASEQ,0))&amp;" "&amp;INDEX(tk_FNOTES,MATCH(136,tk_ASEQ,0))),"")</f>
        <v/>
      </c>
    </row>
    <row r="143">
      <c r="A143" s="161">
        <f>IFERROR(""&amp;INDEX(tk_MARK,MATCH(137,tk_ASEQ,0)),"")</f>
        <v/>
      </c>
      <c r="B143" s="162">
        <f>IFERROR(""&amp;INDEX(tk_ROOMF,MATCH(137,tk_ASEQ,0)),"")</f>
        <v/>
      </c>
      <c r="C143" s="162">
        <f>IFERROR(""&amp;INDEX(tk_ROOMT,MATCH(137,tk_ASEQ,0)),"")</f>
        <v/>
      </c>
      <c r="D143" s="162">
        <f>IFERROR(INDEX(tk_QTY,MATCH(137,tk_ASEQ,0)),"")</f>
        <v/>
      </c>
      <c r="E143" s="162">
        <f>IFERROR(""&amp;INDEX(tk_SIZE,MATCH(137,tk_ASEQ,0)),"")</f>
        <v/>
      </c>
      <c r="F143" s="162">
        <f>IFERROR(""&amp;INDEX(tk_PAIR,MATCH(137,tk_ASEQ,0)),"")</f>
        <v/>
      </c>
      <c r="G143" s="162">
        <f>IFERROR(""&amp;INDEX(tk_DMAT,MATCH(137,tk_ASEQ,0)),"")</f>
        <v/>
      </c>
      <c r="H143" s="162">
        <f>IFERROR(""&amp;INDEX(tk_DGA,MATCH(137,tk_ASEQ,0)),"")</f>
        <v/>
      </c>
      <c r="I143" s="162">
        <f>IFERROR(""&amp;INDEX(tk_FACE,MATCH(137,tk_ASEQ,0)),"")</f>
        <v/>
      </c>
      <c r="J143" s="162">
        <f>IFERROR(IF(INDEX(tk_DHAND,MATCH(137,tk_ASEQ,0))="",""&amp;INDEX(tk_HAND,MATCH(137,tk_ASEQ,0)),""&amp;INDEX(tk_DHAND,MATCH(137,tk_ASEQ,0))),"")</f>
        <v/>
      </c>
      <c r="K143" s="162">
        <f>IFERROR(""&amp;INDEX(tk_FDESC,MATCH(137,tk_ASEQ,0)),"")</f>
        <v/>
      </c>
      <c r="L143" s="162">
        <f>IFERROR(INDEX(tk_STEEL,MATCH(137,tk_ASEQ,0))&amp;IF(INDEX(tk_FGA,MATCH(137,tk_ASEQ,0))="",""," "&amp;INDEX(tk_FGA,MATCH(137,tk_ASEQ,0))&amp;"GA"),"")</f>
        <v/>
      </c>
      <c r="M143" s="162">
        <f>IFERROR(IFERROR(VLOOKUP(INDEX(tk_JAMB,MATCH(137,tk_ASEQ,0)),CODES,2,FALSE),""&amp;INDEX(tk_JAMB,MATCH(137,tk_ASEQ,0))),"")</f>
        <v/>
      </c>
      <c r="N143" s="162">
        <f>IFERROR(""&amp;INDEX(tk_CONSTR,MATCH(137,tk_ASEQ,0)),"")</f>
        <v/>
      </c>
      <c r="O143" s="162">
        <f>IFERROR(""&amp;INDEX(tk_ANCHOR,MATCH(137,tk_ASEQ,0)),"")</f>
        <v/>
      </c>
      <c r="P143" s="162">
        <f>IFERROR(""&amp;INDEX(tk_RATING,MATCH(137,tk_ASEQ,0)),"")</f>
        <v/>
      </c>
      <c r="Q143" s="162">
        <f>IFERROR(""&amp;INDEX(tk_LABEL,MATCH(137,tk_ASEQ,0)),"")</f>
        <v/>
      </c>
      <c r="R143" s="162">
        <f>IFERROR(""&amp;INDEX(tk_HWSET,MATCH(137,tk_ASEQ,0)),"")</f>
        <v/>
      </c>
      <c r="S143" s="162">
        <f>IFERROR(IF(""&amp;INDEX(tk_HINGES,MATCH(137,tk_ASEQ,0))="","",INDEX(tk_HINGES,MATCH(137,tk_ASEQ,0))&amp;" · "&amp;INDEX(tk_LSRC,MATCH(137,tk_ASEQ,0))),"")</f>
        <v/>
      </c>
      <c r="T143" s="162">
        <f>IFERROR(""&amp;INDEX(tk_LOCK,MATCH(137,tk_ASEQ,0)),"")</f>
        <v/>
      </c>
      <c r="U143" s="162">
        <f>IFERROR(INDEX(tk_ETYPE,MATCH(137,tk_ASEQ,0)),"")</f>
        <v/>
      </c>
      <c r="V143" s="162">
        <f>IFERROR(""&amp;INDEX(tk_CHECK,MATCH(137,tk_ASEQ,0)),"")</f>
        <v/>
      </c>
      <c r="W143" s="162">
        <f>IFERROR(TRIM(INDEX(tk_DNOTES,MATCH(137,tk_ASEQ,0))&amp;" "&amp;INDEX(tk_FNOTES,MATCH(137,tk_ASEQ,0))),"")</f>
        <v/>
      </c>
    </row>
    <row r="144">
      <c r="A144" s="161">
        <f>IFERROR(""&amp;INDEX(tk_MARK,MATCH(138,tk_ASEQ,0)),"")</f>
        <v/>
      </c>
      <c r="B144" s="162">
        <f>IFERROR(""&amp;INDEX(tk_ROOMF,MATCH(138,tk_ASEQ,0)),"")</f>
        <v/>
      </c>
      <c r="C144" s="162">
        <f>IFERROR(""&amp;INDEX(tk_ROOMT,MATCH(138,tk_ASEQ,0)),"")</f>
        <v/>
      </c>
      <c r="D144" s="162">
        <f>IFERROR(INDEX(tk_QTY,MATCH(138,tk_ASEQ,0)),"")</f>
        <v/>
      </c>
      <c r="E144" s="162">
        <f>IFERROR(""&amp;INDEX(tk_SIZE,MATCH(138,tk_ASEQ,0)),"")</f>
        <v/>
      </c>
      <c r="F144" s="162">
        <f>IFERROR(""&amp;INDEX(tk_PAIR,MATCH(138,tk_ASEQ,0)),"")</f>
        <v/>
      </c>
      <c r="G144" s="162">
        <f>IFERROR(""&amp;INDEX(tk_DMAT,MATCH(138,tk_ASEQ,0)),"")</f>
        <v/>
      </c>
      <c r="H144" s="162">
        <f>IFERROR(""&amp;INDEX(tk_DGA,MATCH(138,tk_ASEQ,0)),"")</f>
        <v/>
      </c>
      <c r="I144" s="162">
        <f>IFERROR(""&amp;INDEX(tk_FACE,MATCH(138,tk_ASEQ,0)),"")</f>
        <v/>
      </c>
      <c r="J144" s="162">
        <f>IFERROR(IF(INDEX(tk_DHAND,MATCH(138,tk_ASEQ,0))="",""&amp;INDEX(tk_HAND,MATCH(138,tk_ASEQ,0)),""&amp;INDEX(tk_DHAND,MATCH(138,tk_ASEQ,0))),"")</f>
        <v/>
      </c>
      <c r="K144" s="162">
        <f>IFERROR(""&amp;INDEX(tk_FDESC,MATCH(138,tk_ASEQ,0)),"")</f>
        <v/>
      </c>
      <c r="L144" s="162">
        <f>IFERROR(INDEX(tk_STEEL,MATCH(138,tk_ASEQ,0))&amp;IF(INDEX(tk_FGA,MATCH(138,tk_ASEQ,0))="",""," "&amp;INDEX(tk_FGA,MATCH(138,tk_ASEQ,0))&amp;"GA"),"")</f>
        <v/>
      </c>
      <c r="M144" s="162">
        <f>IFERROR(IFERROR(VLOOKUP(INDEX(tk_JAMB,MATCH(138,tk_ASEQ,0)),CODES,2,FALSE),""&amp;INDEX(tk_JAMB,MATCH(138,tk_ASEQ,0))),"")</f>
        <v/>
      </c>
      <c r="N144" s="162">
        <f>IFERROR(""&amp;INDEX(tk_CONSTR,MATCH(138,tk_ASEQ,0)),"")</f>
        <v/>
      </c>
      <c r="O144" s="162">
        <f>IFERROR(""&amp;INDEX(tk_ANCHOR,MATCH(138,tk_ASEQ,0)),"")</f>
        <v/>
      </c>
      <c r="P144" s="162">
        <f>IFERROR(""&amp;INDEX(tk_RATING,MATCH(138,tk_ASEQ,0)),"")</f>
        <v/>
      </c>
      <c r="Q144" s="162">
        <f>IFERROR(""&amp;INDEX(tk_LABEL,MATCH(138,tk_ASEQ,0)),"")</f>
        <v/>
      </c>
      <c r="R144" s="162">
        <f>IFERROR(""&amp;INDEX(tk_HWSET,MATCH(138,tk_ASEQ,0)),"")</f>
        <v/>
      </c>
      <c r="S144" s="162">
        <f>IFERROR(IF(""&amp;INDEX(tk_HINGES,MATCH(138,tk_ASEQ,0))="","",INDEX(tk_HINGES,MATCH(138,tk_ASEQ,0))&amp;" · "&amp;INDEX(tk_LSRC,MATCH(138,tk_ASEQ,0))),"")</f>
        <v/>
      </c>
      <c r="T144" s="162">
        <f>IFERROR(""&amp;INDEX(tk_LOCK,MATCH(138,tk_ASEQ,0)),"")</f>
        <v/>
      </c>
      <c r="U144" s="162">
        <f>IFERROR(INDEX(tk_ETYPE,MATCH(138,tk_ASEQ,0)),"")</f>
        <v/>
      </c>
      <c r="V144" s="162">
        <f>IFERROR(""&amp;INDEX(tk_CHECK,MATCH(138,tk_ASEQ,0)),"")</f>
        <v/>
      </c>
      <c r="W144" s="162">
        <f>IFERROR(TRIM(INDEX(tk_DNOTES,MATCH(138,tk_ASEQ,0))&amp;" "&amp;INDEX(tk_FNOTES,MATCH(138,tk_ASEQ,0))),"")</f>
        <v/>
      </c>
    </row>
    <row r="145">
      <c r="A145" s="161">
        <f>IFERROR(""&amp;INDEX(tk_MARK,MATCH(139,tk_ASEQ,0)),"")</f>
        <v/>
      </c>
      <c r="B145" s="162">
        <f>IFERROR(""&amp;INDEX(tk_ROOMF,MATCH(139,tk_ASEQ,0)),"")</f>
        <v/>
      </c>
      <c r="C145" s="162">
        <f>IFERROR(""&amp;INDEX(tk_ROOMT,MATCH(139,tk_ASEQ,0)),"")</f>
        <v/>
      </c>
      <c r="D145" s="162">
        <f>IFERROR(INDEX(tk_QTY,MATCH(139,tk_ASEQ,0)),"")</f>
        <v/>
      </c>
      <c r="E145" s="162">
        <f>IFERROR(""&amp;INDEX(tk_SIZE,MATCH(139,tk_ASEQ,0)),"")</f>
        <v/>
      </c>
      <c r="F145" s="162">
        <f>IFERROR(""&amp;INDEX(tk_PAIR,MATCH(139,tk_ASEQ,0)),"")</f>
        <v/>
      </c>
      <c r="G145" s="162">
        <f>IFERROR(""&amp;INDEX(tk_DMAT,MATCH(139,tk_ASEQ,0)),"")</f>
        <v/>
      </c>
      <c r="H145" s="162">
        <f>IFERROR(""&amp;INDEX(tk_DGA,MATCH(139,tk_ASEQ,0)),"")</f>
        <v/>
      </c>
      <c r="I145" s="162">
        <f>IFERROR(""&amp;INDEX(tk_FACE,MATCH(139,tk_ASEQ,0)),"")</f>
        <v/>
      </c>
      <c r="J145" s="162">
        <f>IFERROR(IF(INDEX(tk_DHAND,MATCH(139,tk_ASEQ,0))="",""&amp;INDEX(tk_HAND,MATCH(139,tk_ASEQ,0)),""&amp;INDEX(tk_DHAND,MATCH(139,tk_ASEQ,0))),"")</f>
        <v/>
      </c>
      <c r="K145" s="162">
        <f>IFERROR(""&amp;INDEX(tk_FDESC,MATCH(139,tk_ASEQ,0)),"")</f>
        <v/>
      </c>
      <c r="L145" s="162">
        <f>IFERROR(INDEX(tk_STEEL,MATCH(139,tk_ASEQ,0))&amp;IF(INDEX(tk_FGA,MATCH(139,tk_ASEQ,0))="",""," "&amp;INDEX(tk_FGA,MATCH(139,tk_ASEQ,0))&amp;"GA"),"")</f>
        <v/>
      </c>
      <c r="M145" s="162">
        <f>IFERROR(IFERROR(VLOOKUP(INDEX(tk_JAMB,MATCH(139,tk_ASEQ,0)),CODES,2,FALSE),""&amp;INDEX(tk_JAMB,MATCH(139,tk_ASEQ,0))),"")</f>
        <v/>
      </c>
      <c r="N145" s="162">
        <f>IFERROR(""&amp;INDEX(tk_CONSTR,MATCH(139,tk_ASEQ,0)),"")</f>
        <v/>
      </c>
      <c r="O145" s="162">
        <f>IFERROR(""&amp;INDEX(tk_ANCHOR,MATCH(139,tk_ASEQ,0)),"")</f>
        <v/>
      </c>
      <c r="P145" s="162">
        <f>IFERROR(""&amp;INDEX(tk_RATING,MATCH(139,tk_ASEQ,0)),"")</f>
        <v/>
      </c>
      <c r="Q145" s="162">
        <f>IFERROR(""&amp;INDEX(tk_LABEL,MATCH(139,tk_ASEQ,0)),"")</f>
        <v/>
      </c>
      <c r="R145" s="162">
        <f>IFERROR(""&amp;INDEX(tk_HWSET,MATCH(139,tk_ASEQ,0)),"")</f>
        <v/>
      </c>
      <c r="S145" s="162">
        <f>IFERROR(IF(""&amp;INDEX(tk_HINGES,MATCH(139,tk_ASEQ,0))="","",INDEX(tk_HINGES,MATCH(139,tk_ASEQ,0))&amp;" · "&amp;INDEX(tk_LSRC,MATCH(139,tk_ASEQ,0))),"")</f>
        <v/>
      </c>
      <c r="T145" s="162">
        <f>IFERROR(""&amp;INDEX(tk_LOCK,MATCH(139,tk_ASEQ,0)),"")</f>
        <v/>
      </c>
      <c r="U145" s="162">
        <f>IFERROR(INDEX(tk_ETYPE,MATCH(139,tk_ASEQ,0)),"")</f>
        <v/>
      </c>
      <c r="V145" s="162">
        <f>IFERROR(""&amp;INDEX(tk_CHECK,MATCH(139,tk_ASEQ,0)),"")</f>
        <v/>
      </c>
      <c r="W145" s="162">
        <f>IFERROR(TRIM(INDEX(tk_DNOTES,MATCH(139,tk_ASEQ,0))&amp;" "&amp;INDEX(tk_FNOTES,MATCH(139,tk_ASEQ,0))),"")</f>
        <v/>
      </c>
    </row>
    <row r="146">
      <c r="A146" s="161">
        <f>IFERROR(""&amp;INDEX(tk_MARK,MATCH(140,tk_ASEQ,0)),"")</f>
        <v/>
      </c>
      <c r="B146" s="162">
        <f>IFERROR(""&amp;INDEX(tk_ROOMF,MATCH(140,tk_ASEQ,0)),"")</f>
        <v/>
      </c>
      <c r="C146" s="162">
        <f>IFERROR(""&amp;INDEX(tk_ROOMT,MATCH(140,tk_ASEQ,0)),"")</f>
        <v/>
      </c>
      <c r="D146" s="162">
        <f>IFERROR(INDEX(tk_QTY,MATCH(140,tk_ASEQ,0)),"")</f>
        <v/>
      </c>
      <c r="E146" s="162">
        <f>IFERROR(""&amp;INDEX(tk_SIZE,MATCH(140,tk_ASEQ,0)),"")</f>
        <v/>
      </c>
      <c r="F146" s="162">
        <f>IFERROR(""&amp;INDEX(tk_PAIR,MATCH(140,tk_ASEQ,0)),"")</f>
        <v/>
      </c>
      <c r="G146" s="162">
        <f>IFERROR(""&amp;INDEX(tk_DMAT,MATCH(140,tk_ASEQ,0)),"")</f>
        <v/>
      </c>
      <c r="H146" s="162">
        <f>IFERROR(""&amp;INDEX(tk_DGA,MATCH(140,tk_ASEQ,0)),"")</f>
        <v/>
      </c>
      <c r="I146" s="162">
        <f>IFERROR(""&amp;INDEX(tk_FACE,MATCH(140,tk_ASEQ,0)),"")</f>
        <v/>
      </c>
      <c r="J146" s="162">
        <f>IFERROR(IF(INDEX(tk_DHAND,MATCH(140,tk_ASEQ,0))="",""&amp;INDEX(tk_HAND,MATCH(140,tk_ASEQ,0)),""&amp;INDEX(tk_DHAND,MATCH(140,tk_ASEQ,0))),"")</f>
        <v/>
      </c>
      <c r="K146" s="162">
        <f>IFERROR(""&amp;INDEX(tk_FDESC,MATCH(140,tk_ASEQ,0)),"")</f>
        <v/>
      </c>
      <c r="L146" s="162">
        <f>IFERROR(INDEX(tk_STEEL,MATCH(140,tk_ASEQ,0))&amp;IF(INDEX(tk_FGA,MATCH(140,tk_ASEQ,0))="",""," "&amp;INDEX(tk_FGA,MATCH(140,tk_ASEQ,0))&amp;"GA"),"")</f>
        <v/>
      </c>
      <c r="M146" s="162">
        <f>IFERROR(IFERROR(VLOOKUP(INDEX(tk_JAMB,MATCH(140,tk_ASEQ,0)),CODES,2,FALSE),""&amp;INDEX(tk_JAMB,MATCH(140,tk_ASEQ,0))),"")</f>
        <v/>
      </c>
      <c r="N146" s="162">
        <f>IFERROR(""&amp;INDEX(tk_CONSTR,MATCH(140,tk_ASEQ,0)),"")</f>
        <v/>
      </c>
      <c r="O146" s="162">
        <f>IFERROR(""&amp;INDEX(tk_ANCHOR,MATCH(140,tk_ASEQ,0)),"")</f>
        <v/>
      </c>
      <c r="P146" s="162">
        <f>IFERROR(""&amp;INDEX(tk_RATING,MATCH(140,tk_ASEQ,0)),"")</f>
        <v/>
      </c>
      <c r="Q146" s="162">
        <f>IFERROR(""&amp;INDEX(tk_LABEL,MATCH(140,tk_ASEQ,0)),"")</f>
        <v/>
      </c>
      <c r="R146" s="162">
        <f>IFERROR(""&amp;INDEX(tk_HWSET,MATCH(140,tk_ASEQ,0)),"")</f>
        <v/>
      </c>
      <c r="S146" s="162">
        <f>IFERROR(IF(""&amp;INDEX(tk_HINGES,MATCH(140,tk_ASEQ,0))="","",INDEX(tk_HINGES,MATCH(140,tk_ASEQ,0))&amp;" · "&amp;INDEX(tk_LSRC,MATCH(140,tk_ASEQ,0))),"")</f>
        <v/>
      </c>
      <c r="T146" s="162">
        <f>IFERROR(""&amp;INDEX(tk_LOCK,MATCH(140,tk_ASEQ,0)),"")</f>
        <v/>
      </c>
      <c r="U146" s="162">
        <f>IFERROR(INDEX(tk_ETYPE,MATCH(140,tk_ASEQ,0)),"")</f>
        <v/>
      </c>
      <c r="V146" s="162">
        <f>IFERROR(""&amp;INDEX(tk_CHECK,MATCH(140,tk_ASEQ,0)),"")</f>
        <v/>
      </c>
      <c r="W146" s="162">
        <f>IFERROR(TRIM(INDEX(tk_DNOTES,MATCH(140,tk_ASEQ,0))&amp;" "&amp;INDEX(tk_FNOTES,MATCH(140,tk_ASEQ,0))),"")</f>
        <v/>
      </c>
    </row>
    <row r="147">
      <c r="A147" s="161">
        <f>IFERROR(""&amp;INDEX(tk_MARK,MATCH(141,tk_ASEQ,0)),"")</f>
        <v/>
      </c>
      <c r="B147" s="162">
        <f>IFERROR(""&amp;INDEX(tk_ROOMF,MATCH(141,tk_ASEQ,0)),"")</f>
        <v/>
      </c>
      <c r="C147" s="162">
        <f>IFERROR(""&amp;INDEX(tk_ROOMT,MATCH(141,tk_ASEQ,0)),"")</f>
        <v/>
      </c>
      <c r="D147" s="162">
        <f>IFERROR(INDEX(tk_QTY,MATCH(141,tk_ASEQ,0)),"")</f>
        <v/>
      </c>
      <c r="E147" s="162">
        <f>IFERROR(""&amp;INDEX(tk_SIZE,MATCH(141,tk_ASEQ,0)),"")</f>
        <v/>
      </c>
      <c r="F147" s="162">
        <f>IFERROR(""&amp;INDEX(tk_PAIR,MATCH(141,tk_ASEQ,0)),"")</f>
        <v/>
      </c>
      <c r="G147" s="162">
        <f>IFERROR(""&amp;INDEX(tk_DMAT,MATCH(141,tk_ASEQ,0)),"")</f>
        <v/>
      </c>
      <c r="H147" s="162">
        <f>IFERROR(""&amp;INDEX(tk_DGA,MATCH(141,tk_ASEQ,0)),"")</f>
        <v/>
      </c>
      <c r="I147" s="162">
        <f>IFERROR(""&amp;INDEX(tk_FACE,MATCH(141,tk_ASEQ,0)),"")</f>
        <v/>
      </c>
      <c r="J147" s="162">
        <f>IFERROR(IF(INDEX(tk_DHAND,MATCH(141,tk_ASEQ,0))="",""&amp;INDEX(tk_HAND,MATCH(141,tk_ASEQ,0)),""&amp;INDEX(tk_DHAND,MATCH(141,tk_ASEQ,0))),"")</f>
        <v/>
      </c>
      <c r="K147" s="162">
        <f>IFERROR(""&amp;INDEX(tk_FDESC,MATCH(141,tk_ASEQ,0)),"")</f>
        <v/>
      </c>
      <c r="L147" s="162">
        <f>IFERROR(INDEX(tk_STEEL,MATCH(141,tk_ASEQ,0))&amp;IF(INDEX(tk_FGA,MATCH(141,tk_ASEQ,0))="",""," "&amp;INDEX(tk_FGA,MATCH(141,tk_ASEQ,0))&amp;"GA"),"")</f>
        <v/>
      </c>
      <c r="M147" s="162">
        <f>IFERROR(IFERROR(VLOOKUP(INDEX(tk_JAMB,MATCH(141,tk_ASEQ,0)),CODES,2,FALSE),""&amp;INDEX(tk_JAMB,MATCH(141,tk_ASEQ,0))),"")</f>
        <v/>
      </c>
      <c r="N147" s="162">
        <f>IFERROR(""&amp;INDEX(tk_CONSTR,MATCH(141,tk_ASEQ,0)),"")</f>
        <v/>
      </c>
      <c r="O147" s="162">
        <f>IFERROR(""&amp;INDEX(tk_ANCHOR,MATCH(141,tk_ASEQ,0)),"")</f>
        <v/>
      </c>
      <c r="P147" s="162">
        <f>IFERROR(""&amp;INDEX(tk_RATING,MATCH(141,tk_ASEQ,0)),"")</f>
        <v/>
      </c>
      <c r="Q147" s="162">
        <f>IFERROR(""&amp;INDEX(tk_LABEL,MATCH(141,tk_ASEQ,0)),"")</f>
        <v/>
      </c>
      <c r="R147" s="162">
        <f>IFERROR(""&amp;INDEX(tk_HWSET,MATCH(141,tk_ASEQ,0)),"")</f>
        <v/>
      </c>
      <c r="S147" s="162">
        <f>IFERROR(IF(""&amp;INDEX(tk_HINGES,MATCH(141,tk_ASEQ,0))="","",INDEX(tk_HINGES,MATCH(141,tk_ASEQ,0))&amp;" · "&amp;INDEX(tk_LSRC,MATCH(141,tk_ASEQ,0))),"")</f>
        <v/>
      </c>
      <c r="T147" s="162">
        <f>IFERROR(""&amp;INDEX(tk_LOCK,MATCH(141,tk_ASEQ,0)),"")</f>
        <v/>
      </c>
      <c r="U147" s="162">
        <f>IFERROR(INDEX(tk_ETYPE,MATCH(141,tk_ASEQ,0)),"")</f>
        <v/>
      </c>
      <c r="V147" s="162">
        <f>IFERROR(""&amp;INDEX(tk_CHECK,MATCH(141,tk_ASEQ,0)),"")</f>
        <v/>
      </c>
      <c r="W147" s="162">
        <f>IFERROR(TRIM(INDEX(tk_DNOTES,MATCH(141,tk_ASEQ,0))&amp;" "&amp;INDEX(tk_FNOTES,MATCH(141,tk_ASEQ,0))),"")</f>
        <v/>
      </c>
    </row>
    <row r="148">
      <c r="A148" s="161">
        <f>IFERROR(""&amp;INDEX(tk_MARK,MATCH(142,tk_ASEQ,0)),"")</f>
        <v/>
      </c>
      <c r="B148" s="162">
        <f>IFERROR(""&amp;INDEX(tk_ROOMF,MATCH(142,tk_ASEQ,0)),"")</f>
        <v/>
      </c>
      <c r="C148" s="162">
        <f>IFERROR(""&amp;INDEX(tk_ROOMT,MATCH(142,tk_ASEQ,0)),"")</f>
        <v/>
      </c>
      <c r="D148" s="162">
        <f>IFERROR(INDEX(tk_QTY,MATCH(142,tk_ASEQ,0)),"")</f>
        <v/>
      </c>
      <c r="E148" s="162">
        <f>IFERROR(""&amp;INDEX(tk_SIZE,MATCH(142,tk_ASEQ,0)),"")</f>
        <v/>
      </c>
      <c r="F148" s="162">
        <f>IFERROR(""&amp;INDEX(tk_PAIR,MATCH(142,tk_ASEQ,0)),"")</f>
        <v/>
      </c>
      <c r="G148" s="162">
        <f>IFERROR(""&amp;INDEX(tk_DMAT,MATCH(142,tk_ASEQ,0)),"")</f>
        <v/>
      </c>
      <c r="H148" s="162">
        <f>IFERROR(""&amp;INDEX(tk_DGA,MATCH(142,tk_ASEQ,0)),"")</f>
        <v/>
      </c>
      <c r="I148" s="162">
        <f>IFERROR(""&amp;INDEX(tk_FACE,MATCH(142,tk_ASEQ,0)),"")</f>
        <v/>
      </c>
      <c r="J148" s="162">
        <f>IFERROR(IF(INDEX(tk_DHAND,MATCH(142,tk_ASEQ,0))="",""&amp;INDEX(tk_HAND,MATCH(142,tk_ASEQ,0)),""&amp;INDEX(tk_DHAND,MATCH(142,tk_ASEQ,0))),"")</f>
        <v/>
      </c>
      <c r="K148" s="162">
        <f>IFERROR(""&amp;INDEX(tk_FDESC,MATCH(142,tk_ASEQ,0)),"")</f>
        <v/>
      </c>
      <c r="L148" s="162">
        <f>IFERROR(INDEX(tk_STEEL,MATCH(142,tk_ASEQ,0))&amp;IF(INDEX(tk_FGA,MATCH(142,tk_ASEQ,0))="",""," "&amp;INDEX(tk_FGA,MATCH(142,tk_ASEQ,0))&amp;"GA"),"")</f>
        <v/>
      </c>
      <c r="M148" s="162">
        <f>IFERROR(IFERROR(VLOOKUP(INDEX(tk_JAMB,MATCH(142,tk_ASEQ,0)),CODES,2,FALSE),""&amp;INDEX(tk_JAMB,MATCH(142,tk_ASEQ,0))),"")</f>
        <v/>
      </c>
      <c r="N148" s="162">
        <f>IFERROR(""&amp;INDEX(tk_CONSTR,MATCH(142,tk_ASEQ,0)),"")</f>
        <v/>
      </c>
      <c r="O148" s="162">
        <f>IFERROR(""&amp;INDEX(tk_ANCHOR,MATCH(142,tk_ASEQ,0)),"")</f>
        <v/>
      </c>
      <c r="P148" s="162">
        <f>IFERROR(""&amp;INDEX(tk_RATING,MATCH(142,tk_ASEQ,0)),"")</f>
        <v/>
      </c>
      <c r="Q148" s="162">
        <f>IFERROR(""&amp;INDEX(tk_LABEL,MATCH(142,tk_ASEQ,0)),"")</f>
        <v/>
      </c>
      <c r="R148" s="162">
        <f>IFERROR(""&amp;INDEX(tk_HWSET,MATCH(142,tk_ASEQ,0)),"")</f>
        <v/>
      </c>
      <c r="S148" s="162">
        <f>IFERROR(IF(""&amp;INDEX(tk_HINGES,MATCH(142,tk_ASEQ,0))="","",INDEX(tk_HINGES,MATCH(142,tk_ASEQ,0))&amp;" · "&amp;INDEX(tk_LSRC,MATCH(142,tk_ASEQ,0))),"")</f>
        <v/>
      </c>
      <c r="T148" s="162">
        <f>IFERROR(""&amp;INDEX(tk_LOCK,MATCH(142,tk_ASEQ,0)),"")</f>
        <v/>
      </c>
      <c r="U148" s="162">
        <f>IFERROR(INDEX(tk_ETYPE,MATCH(142,tk_ASEQ,0)),"")</f>
        <v/>
      </c>
      <c r="V148" s="162">
        <f>IFERROR(""&amp;INDEX(tk_CHECK,MATCH(142,tk_ASEQ,0)),"")</f>
        <v/>
      </c>
      <c r="W148" s="162">
        <f>IFERROR(TRIM(INDEX(tk_DNOTES,MATCH(142,tk_ASEQ,0))&amp;" "&amp;INDEX(tk_FNOTES,MATCH(142,tk_ASEQ,0))),"")</f>
        <v/>
      </c>
    </row>
    <row r="149">
      <c r="A149" s="161">
        <f>IFERROR(""&amp;INDEX(tk_MARK,MATCH(143,tk_ASEQ,0)),"")</f>
        <v/>
      </c>
      <c r="B149" s="162">
        <f>IFERROR(""&amp;INDEX(tk_ROOMF,MATCH(143,tk_ASEQ,0)),"")</f>
        <v/>
      </c>
      <c r="C149" s="162">
        <f>IFERROR(""&amp;INDEX(tk_ROOMT,MATCH(143,tk_ASEQ,0)),"")</f>
        <v/>
      </c>
      <c r="D149" s="162">
        <f>IFERROR(INDEX(tk_QTY,MATCH(143,tk_ASEQ,0)),"")</f>
        <v/>
      </c>
      <c r="E149" s="162">
        <f>IFERROR(""&amp;INDEX(tk_SIZE,MATCH(143,tk_ASEQ,0)),"")</f>
        <v/>
      </c>
      <c r="F149" s="162">
        <f>IFERROR(""&amp;INDEX(tk_PAIR,MATCH(143,tk_ASEQ,0)),"")</f>
        <v/>
      </c>
      <c r="G149" s="162">
        <f>IFERROR(""&amp;INDEX(tk_DMAT,MATCH(143,tk_ASEQ,0)),"")</f>
        <v/>
      </c>
      <c r="H149" s="162">
        <f>IFERROR(""&amp;INDEX(tk_DGA,MATCH(143,tk_ASEQ,0)),"")</f>
        <v/>
      </c>
      <c r="I149" s="162">
        <f>IFERROR(""&amp;INDEX(tk_FACE,MATCH(143,tk_ASEQ,0)),"")</f>
        <v/>
      </c>
      <c r="J149" s="162">
        <f>IFERROR(IF(INDEX(tk_DHAND,MATCH(143,tk_ASEQ,0))="",""&amp;INDEX(tk_HAND,MATCH(143,tk_ASEQ,0)),""&amp;INDEX(tk_DHAND,MATCH(143,tk_ASEQ,0))),"")</f>
        <v/>
      </c>
      <c r="K149" s="162">
        <f>IFERROR(""&amp;INDEX(tk_FDESC,MATCH(143,tk_ASEQ,0)),"")</f>
        <v/>
      </c>
      <c r="L149" s="162">
        <f>IFERROR(INDEX(tk_STEEL,MATCH(143,tk_ASEQ,0))&amp;IF(INDEX(tk_FGA,MATCH(143,tk_ASEQ,0))="",""," "&amp;INDEX(tk_FGA,MATCH(143,tk_ASEQ,0))&amp;"GA"),"")</f>
        <v/>
      </c>
      <c r="M149" s="162">
        <f>IFERROR(IFERROR(VLOOKUP(INDEX(tk_JAMB,MATCH(143,tk_ASEQ,0)),CODES,2,FALSE),""&amp;INDEX(tk_JAMB,MATCH(143,tk_ASEQ,0))),"")</f>
        <v/>
      </c>
      <c r="N149" s="162">
        <f>IFERROR(""&amp;INDEX(tk_CONSTR,MATCH(143,tk_ASEQ,0)),"")</f>
        <v/>
      </c>
      <c r="O149" s="162">
        <f>IFERROR(""&amp;INDEX(tk_ANCHOR,MATCH(143,tk_ASEQ,0)),"")</f>
        <v/>
      </c>
      <c r="P149" s="162">
        <f>IFERROR(""&amp;INDEX(tk_RATING,MATCH(143,tk_ASEQ,0)),"")</f>
        <v/>
      </c>
      <c r="Q149" s="162">
        <f>IFERROR(""&amp;INDEX(tk_LABEL,MATCH(143,tk_ASEQ,0)),"")</f>
        <v/>
      </c>
      <c r="R149" s="162">
        <f>IFERROR(""&amp;INDEX(tk_HWSET,MATCH(143,tk_ASEQ,0)),"")</f>
        <v/>
      </c>
      <c r="S149" s="162">
        <f>IFERROR(IF(""&amp;INDEX(tk_HINGES,MATCH(143,tk_ASEQ,0))="","",INDEX(tk_HINGES,MATCH(143,tk_ASEQ,0))&amp;" · "&amp;INDEX(tk_LSRC,MATCH(143,tk_ASEQ,0))),"")</f>
        <v/>
      </c>
      <c r="T149" s="162">
        <f>IFERROR(""&amp;INDEX(tk_LOCK,MATCH(143,tk_ASEQ,0)),"")</f>
        <v/>
      </c>
      <c r="U149" s="162">
        <f>IFERROR(INDEX(tk_ETYPE,MATCH(143,tk_ASEQ,0)),"")</f>
        <v/>
      </c>
      <c r="V149" s="162">
        <f>IFERROR(""&amp;INDEX(tk_CHECK,MATCH(143,tk_ASEQ,0)),"")</f>
        <v/>
      </c>
      <c r="W149" s="162">
        <f>IFERROR(TRIM(INDEX(tk_DNOTES,MATCH(143,tk_ASEQ,0))&amp;" "&amp;INDEX(tk_FNOTES,MATCH(143,tk_ASEQ,0))),"")</f>
        <v/>
      </c>
    </row>
    <row r="150">
      <c r="A150" s="161">
        <f>IFERROR(""&amp;INDEX(tk_MARK,MATCH(144,tk_ASEQ,0)),"")</f>
        <v/>
      </c>
      <c r="B150" s="162">
        <f>IFERROR(""&amp;INDEX(tk_ROOMF,MATCH(144,tk_ASEQ,0)),"")</f>
        <v/>
      </c>
      <c r="C150" s="162">
        <f>IFERROR(""&amp;INDEX(tk_ROOMT,MATCH(144,tk_ASEQ,0)),"")</f>
        <v/>
      </c>
      <c r="D150" s="162">
        <f>IFERROR(INDEX(tk_QTY,MATCH(144,tk_ASEQ,0)),"")</f>
        <v/>
      </c>
      <c r="E150" s="162">
        <f>IFERROR(""&amp;INDEX(tk_SIZE,MATCH(144,tk_ASEQ,0)),"")</f>
        <v/>
      </c>
      <c r="F150" s="162">
        <f>IFERROR(""&amp;INDEX(tk_PAIR,MATCH(144,tk_ASEQ,0)),"")</f>
        <v/>
      </c>
      <c r="G150" s="162">
        <f>IFERROR(""&amp;INDEX(tk_DMAT,MATCH(144,tk_ASEQ,0)),"")</f>
        <v/>
      </c>
      <c r="H150" s="162">
        <f>IFERROR(""&amp;INDEX(tk_DGA,MATCH(144,tk_ASEQ,0)),"")</f>
        <v/>
      </c>
      <c r="I150" s="162">
        <f>IFERROR(""&amp;INDEX(tk_FACE,MATCH(144,tk_ASEQ,0)),"")</f>
        <v/>
      </c>
      <c r="J150" s="162">
        <f>IFERROR(IF(INDEX(tk_DHAND,MATCH(144,tk_ASEQ,0))="",""&amp;INDEX(tk_HAND,MATCH(144,tk_ASEQ,0)),""&amp;INDEX(tk_DHAND,MATCH(144,tk_ASEQ,0))),"")</f>
        <v/>
      </c>
      <c r="K150" s="162">
        <f>IFERROR(""&amp;INDEX(tk_FDESC,MATCH(144,tk_ASEQ,0)),"")</f>
        <v/>
      </c>
      <c r="L150" s="162">
        <f>IFERROR(INDEX(tk_STEEL,MATCH(144,tk_ASEQ,0))&amp;IF(INDEX(tk_FGA,MATCH(144,tk_ASEQ,0))="",""," "&amp;INDEX(tk_FGA,MATCH(144,tk_ASEQ,0))&amp;"GA"),"")</f>
        <v/>
      </c>
      <c r="M150" s="162">
        <f>IFERROR(IFERROR(VLOOKUP(INDEX(tk_JAMB,MATCH(144,tk_ASEQ,0)),CODES,2,FALSE),""&amp;INDEX(tk_JAMB,MATCH(144,tk_ASEQ,0))),"")</f>
        <v/>
      </c>
      <c r="N150" s="162">
        <f>IFERROR(""&amp;INDEX(tk_CONSTR,MATCH(144,tk_ASEQ,0)),"")</f>
        <v/>
      </c>
      <c r="O150" s="162">
        <f>IFERROR(""&amp;INDEX(tk_ANCHOR,MATCH(144,tk_ASEQ,0)),"")</f>
        <v/>
      </c>
      <c r="P150" s="162">
        <f>IFERROR(""&amp;INDEX(tk_RATING,MATCH(144,tk_ASEQ,0)),"")</f>
        <v/>
      </c>
      <c r="Q150" s="162">
        <f>IFERROR(""&amp;INDEX(tk_LABEL,MATCH(144,tk_ASEQ,0)),"")</f>
        <v/>
      </c>
      <c r="R150" s="162">
        <f>IFERROR(""&amp;INDEX(tk_HWSET,MATCH(144,tk_ASEQ,0)),"")</f>
        <v/>
      </c>
      <c r="S150" s="162">
        <f>IFERROR(IF(""&amp;INDEX(tk_HINGES,MATCH(144,tk_ASEQ,0))="","",INDEX(tk_HINGES,MATCH(144,tk_ASEQ,0))&amp;" · "&amp;INDEX(tk_LSRC,MATCH(144,tk_ASEQ,0))),"")</f>
        <v/>
      </c>
      <c r="T150" s="162">
        <f>IFERROR(""&amp;INDEX(tk_LOCK,MATCH(144,tk_ASEQ,0)),"")</f>
        <v/>
      </c>
      <c r="U150" s="162">
        <f>IFERROR(INDEX(tk_ETYPE,MATCH(144,tk_ASEQ,0)),"")</f>
        <v/>
      </c>
      <c r="V150" s="162">
        <f>IFERROR(""&amp;INDEX(tk_CHECK,MATCH(144,tk_ASEQ,0)),"")</f>
        <v/>
      </c>
      <c r="W150" s="162">
        <f>IFERROR(TRIM(INDEX(tk_DNOTES,MATCH(144,tk_ASEQ,0))&amp;" "&amp;INDEX(tk_FNOTES,MATCH(144,tk_ASEQ,0))),"")</f>
        <v/>
      </c>
    </row>
    <row r="151">
      <c r="A151" s="161">
        <f>IFERROR(""&amp;INDEX(tk_MARK,MATCH(145,tk_ASEQ,0)),"")</f>
        <v/>
      </c>
      <c r="B151" s="162">
        <f>IFERROR(""&amp;INDEX(tk_ROOMF,MATCH(145,tk_ASEQ,0)),"")</f>
        <v/>
      </c>
      <c r="C151" s="162">
        <f>IFERROR(""&amp;INDEX(tk_ROOMT,MATCH(145,tk_ASEQ,0)),"")</f>
        <v/>
      </c>
      <c r="D151" s="162">
        <f>IFERROR(INDEX(tk_QTY,MATCH(145,tk_ASEQ,0)),"")</f>
        <v/>
      </c>
      <c r="E151" s="162">
        <f>IFERROR(""&amp;INDEX(tk_SIZE,MATCH(145,tk_ASEQ,0)),"")</f>
        <v/>
      </c>
      <c r="F151" s="162">
        <f>IFERROR(""&amp;INDEX(tk_PAIR,MATCH(145,tk_ASEQ,0)),"")</f>
        <v/>
      </c>
      <c r="G151" s="162">
        <f>IFERROR(""&amp;INDEX(tk_DMAT,MATCH(145,tk_ASEQ,0)),"")</f>
        <v/>
      </c>
      <c r="H151" s="162">
        <f>IFERROR(""&amp;INDEX(tk_DGA,MATCH(145,tk_ASEQ,0)),"")</f>
        <v/>
      </c>
      <c r="I151" s="162">
        <f>IFERROR(""&amp;INDEX(tk_FACE,MATCH(145,tk_ASEQ,0)),"")</f>
        <v/>
      </c>
      <c r="J151" s="162">
        <f>IFERROR(IF(INDEX(tk_DHAND,MATCH(145,tk_ASEQ,0))="",""&amp;INDEX(tk_HAND,MATCH(145,tk_ASEQ,0)),""&amp;INDEX(tk_DHAND,MATCH(145,tk_ASEQ,0))),"")</f>
        <v/>
      </c>
      <c r="K151" s="162">
        <f>IFERROR(""&amp;INDEX(tk_FDESC,MATCH(145,tk_ASEQ,0)),"")</f>
        <v/>
      </c>
      <c r="L151" s="162">
        <f>IFERROR(INDEX(tk_STEEL,MATCH(145,tk_ASEQ,0))&amp;IF(INDEX(tk_FGA,MATCH(145,tk_ASEQ,0))="",""," "&amp;INDEX(tk_FGA,MATCH(145,tk_ASEQ,0))&amp;"GA"),"")</f>
        <v/>
      </c>
      <c r="M151" s="162">
        <f>IFERROR(IFERROR(VLOOKUP(INDEX(tk_JAMB,MATCH(145,tk_ASEQ,0)),CODES,2,FALSE),""&amp;INDEX(tk_JAMB,MATCH(145,tk_ASEQ,0))),"")</f>
        <v/>
      </c>
      <c r="N151" s="162">
        <f>IFERROR(""&amp;INDEX(tk_CONSTR,MATCH(145,tk_ASEQ,0)),"")</f>
        <v/>
      </c>
      <c r="O151" s="162">
        <f>IFERROR(""&amp;INDEX(tk_ANCHOR,MATCH(145,tk_ASEQ,0)),"")</f>
        <v/>
      </c>
      <c r="P151" s="162">
        <f>IFERROR(""&amp;INDEX(tk_RATING,MATCH(145,tk_ASEQ,0)),"")</f>
        <v/>
      </c>
      <c r="Q151" s="162">
        <f>IFERROR(""&amp;INDEX(tk_LABEL,MATCH(145,tk_ASEQ,0)),"")</f>
        <v/>
      </c>
      <c r="R151" s="162">
        <f>IFERROR(""&amp;INDEX(tk_HWSET,MATCH(145,tk_ASEQ,0)),"")</f>
        <v/>
      </c>
      <c r="S151" s="162">
        <f>IFERROR(IF(""&amp;INDEX(tk_HINGES,MATCH(145,tk_ASEQ,0))="","",INDEX(tk_HINGES,MATCH(145,tk_ASEQ,0))&amp;" · "&amp;INDEX(tk_LSRC,MATCH(145,tk_ASEQ,0))),"")</f>
        <v/>
      </c>
      <c r="T151" s="162">
        <f>IFERROR(""&amp;INDEX(tk_LOCK,MATCH(145,tk_ASEQ,0)),"")</f>
        <v/>
      </c>
      <c r="U151" s="162">
        <f>IFERROR(INDEX(tk_ETYPE,MATCH(145,tk_ASEQ,0)),"")</f>
        <v/>
      </c>
      <c r="V151" s="162">
        <f>IFERROR(""&amp;INDEX(tk_CHECK,MATCH(145,tk_ASEQ,0)),"")</f>
        <v/>
      </c>
      <c r="W151" s="162">
        <f>IFERROR(TRIM(INDEX(tk_DNOTES,MATCH(145,tk_ASEQ,0))&amp;" "&amp;INDEX(tk_FNOTES,MATCH(145,tk_ASEQ,0))),"")</f>
        <v/>
      </c>
    </row>
    <row r="152">
      <c r="A152" s="161">
        <f>IFERROR(""&amp;INDEX(tk_MARK,MATCH(146,tk_ASEQ,0)),"")</f>
        <v/>
      </c>
      <c r="B152" s="162">
        <f>IFERROR(""&amp;INDEX(tk_ROOMF,MATCH(146,tk_ASEQ,0)),"")</f>
        <v/>
      </c>
      <c r="C152" s="162">
        <f>IFERROR(""&amp;INDEX(tk_ROOMT,MATCH(146,tk_ASEQ,0)),"")</f>
        <v/>
      </c>
      <c r="D152" s="162">
        <f>IFERROR(INDEX(tk_QTY,MATCH(146,tk_ASEQ,0)),"")</f>
        <v/>
      </c>
      <c r="E152" s="162">
        <f>IFERROR(""&amp;INDEX(tk_SIZE,MATCH(146,tk_ASEQ,0)),"")</f>
        <v/>
      </c>
      <c r="F152" s="162">
        <f>IFERROR(""&amp;INDEX(tk_PAIR,MATCH(146,tk_ASEQ,0)),"")</f>
        <v/>
      </c>
      <c r="G152" s="162">
        <f>IFERROR(""&amp;INDEX(tk_DMAT,MATCH(146,tk_ASEQ,0)),"")</f>
        <v/>
      </c>
      <c r="H152" s="162">
        <f>IFERROR(""&amp;INDEX(tk_DGA,MATCH(146,tk_ASEQ,0)),"")</f>
        <v/>
      </c>
      <c r="I152" s="162">
        <f>IFERROR(""&amp;INDEX(tk_FACE,MATCH(146,tk_ASEQ,0)),"")</f>
        <v/>
      </c>
      <c r="J152" s="162">
        <f>IFERROR(IF(INDEX(tk_DHAND,MATCH(146,tk_ASEQ,0))="",""&amp;INDEX(tk_HAND,MATCH(146,tk_ASEQ,0)),""&amp;INDEX(tk_DHAND,MATCH(146,tk_ASEQ,0))),"")</f>
        <v/>
      </c>
      <c r="K152" s="162">
        <f>IFERROR(""&amp;INDEX(tk_FDESC,MATCH(146,tk_ASEQ,0)),"")</f>
        <v/>
      </c>
      <c r="L152" s="162">
        <f>IFERROR(INDEX(tk_STEEL,MATCH(146,tk_ASEQ,0))&amp;IF(INDEX(tk_FGA,MATCH(146,tk_ASEQ,0))="",""," "&amp;INDEX(tk_FGA,MATCH(146,tk_ASEQ,0))&amp;"GA"),"")</f>
        <v/>
      </c>
      <c r="M152" s="162">
        <f>IFERROR(IFERROR(VLOOKUP(INDEX(tk_JAMB,MATCH(146,tk_ASEQ,0)),CODES,2,FALSE),""&amp;INDEX(tk_JAMB,MATCH(146,tk_ASEQ,0))),"")</f>
        <v/>
      </c>
      <c r="N152" s="162">
        <f>IFERROR(""&amp;INDEX(tk_CONSTR,MATCH(146,tk_ASEQ,0)),"")</f>
        <v/>
      </c>
      <c r="O152" s="162">
        <f>IFERROR(""&amp;INDEX(tk_ANCHOR,MATCH(146,tk_ASEQ,0)),"")</f>
        <v/>
      </c>
      <c r="P152" s="162">
        <f>IFERROR(""&amp;INDEX(tk_RATING,MATCH(146,tk_ASEQ,0)),"")</f>
        <v/>
      </c>
      <c r="Q152" s="162">
        <f>IFERROR(""&amp;INDEX(tk_LABEL,MATCH(146,tk_ASEQ,0)),"")</f>
        <v/>
      </c>
      <c r="R152" s="162">
        <f>IFERROR(""&amp;INDEX(tk_HWSET,MATCH(146,tk_ASEQ,0)),"")</f>
        <v/>
      </c>
      <c r="S152" s="162">
        <f>IFERROR(IF(""&amp;INDEX(tk_HINGES,MATCH(146,tk_ASEQ,0))="","",INDEX(tk_HINGES,MATCH(146,tk_ASEQ,0))&amp;" · "&amp;INDEX(tk_LSRC,MATCH(146,tk_ASEQ,0))),"")</f>
        <v/>
      </c>
      <c r="T152" s="162">
        <f>IFERROR(""&amp;INDEX(tk_LOCK,MATCH(146,tk_ASEQ,0)),"")</f>
        <v/>
      </c>
      <c r="U152" s="162">
        <f>IFERROR(INDEX(tk_ETYPE,MATCH(146,tk_ASEQ,0)),"")</f>
        <v/>
      </c>
      <c r="V152" s="162">
        <f>IFERROR(""&amp;INDEX(tk_CHECK,MATCH(146,tk_ASEQ,0)),"")</f>
        <v/>
      </c>
      <c r="W152" s="162">
        <f>IFERROR(TRIM(INDEX(tk_DNOTES,MATCH(146,tk_ASEQ,0))&amp;" "&amp;INDEX(tk_FNOTES,MATCH(146,tk_ASEQ,0))),"")</f>
        <v/>
      </c>
    </row>
    <row r="153">
      <c r="A153" s="161">
        <f>IFERROR(""&amp;INDEX(tk_MARK,MATCH(147,tk_ASEQ,0)),"")</f>
        <v/>
      </c>
      <c r="B153" s="162">
        <f>IFERROR(""&amp;INDEX(tk_ROOMF,MATCH(147,tk_ASEQ,0)),"")</f>
        <v/>
      </c>
      <c r="C153" s="162">
        <f>IFERROR(""&amp;INDEX(tk_ROOMT,MATCH(147,tk_ASEQ,0)),"")</f>
        <v/>
      </c>
      <c r="D153" s="162">
        <f>IFERROR(INDEX(tk_QTY,MATCH(147,tk_ASEQ,0)),"")</f>
        <v/>
      </c>
      <c r="E153" s="162">
        <f>IFERROR(""&amp;INDEX(tk_SIZE,MATCH(147,tk_ASEQ,0)),"")</f>
        <v/>
      </c>
      <c r="F153" s="162">
        <f>IFERROR(""&amp;INDEX(tk_PAIR,MATCH(147,tk_ASEQ,0)),"")</f>
        <v/>
      </c>
      <c r="G153" s="162">
        <f>IFERROR(""&amp;INDEX(tk_DMAT,MATCH(147,tk_ASEQ,0)),"")</f>
        <v/>
      </c>
      <c r="H153" s="162">
        <f>IFERROR(""&amp;INDEX(tk_DGA,MATCH(147,tk_ASEQ,0)),"")</f>
        <v/>
      </c>
      <c r="I153" s="162">
        <f>IFERROR(""&amp;INDEX(tk_FACE,MATCH(147,tk_ASEQ,0)),"")</f>
        <v/>
      </c>
      <c r="J153" s="162">
        <f>IFERROR(IF(INDEX(tk_DHAND,MATCH(147,tk_ASEQ,0))="",""&amp;INDEX(tk_HAND,MATCH(147,tk_ASEQ,0)),""&amp;INDEX(tk_DHAND,MATCH(147,tk_ASEQ,0))),"")</f>
        <v/>
      </c>
      <c r="K153" s="162">
        <f>IFERROR(""&amp;INDEX(tk_FDESC,MATCH(147,tk_ASEQ,0)),"")</f>
        <v/>
      </c>
      <c r="L153" s="162">
        <f>IFERROR(INDEX(tk_STEEL,MATCH(147,tk_ASEQ,0))&amp;IF(INDEX(tk_FGA,MATCH(147,tk_ASEQ,0))="",""," "&amp;INDEX(tk_FGA,MATCH(147,tk_ASEQ,0))&amp;"GA"),"")</f>
        <v/>
      </c>
      <c r="M153" s="162">
        <f>IFERROR(IFERROR(VLOOKUP(INDEX(tk_JAMB,MATCH(147,tk_ASEQ,0)),CODES,2,FALSE),""&amp;INDEX(tk_JAMB,MATCH(147,tk_ASEQ,0))),"")</f>
        <v/>
      </c>
      <c r="N153" s="162">
        <f>IFERROR(""&amp;INDEX(tk_CONSTR,MATCH(147,tk_ASEQ,0)),"")</f>
        <v/>
      </c>
      <c r="O153" s="162">
        <f>IFERROR(""&amp;INDEX(tk_ANCHOR,MATCH(147,tk_ASEQ,0)),"")</f>
        <v/>
      </c>
      <c r="P153" s="162">
        <f>IFERROR(""&amp;INDEX(tk_RATING,MATCH(147,tk_ASEQ,0)),"")</f>
        <v/>
      </c>
      <c r="Q153" s="162">
        <f>IFERROR(""&amp;INDEX(tk_LABEL,MATCH(147,tk_ASEQ,0)),"")</f>
        <v/>
      </c>
      <c r="R153" s="162">
        <f>IFERROR(""&amp;INDEX(tk_HWSET,MATCH(147,tk_ASEQ,0)),"")</f>
        <v/>
      </c>
      <c r="S153" s="162">
        <f>IFERROR(IF(""&amp;INDEX(tk_HINGES,MATCH(147,tk_ASEQ,0))="","",INDEX(tk_HINGES,MATCH(147,tk_ASEQ,0))&amp;" · "&amp;INDEX(tk_LSRC,MATCH(147,tk_ASEQ,0))),"")</f>
        <v/>
      </c>
      <c r="T153" s="162">
        <f>IFERROR(""&amp;INDEX(tk_LOCK,MATCH(147,tk_ASEQ,0)),"")</f>
        <v/>
      </c>
      <c r="U153" s="162">
        <f>IFERROR(INDEX(tk_ETYPE,MATCH(147,tk_ASEQ,0)),"")</f>
        <v/>
      </c>
      <c r="V153" s="162">
        <f>IFERROR(""&amp;INDEX(tk_CHECK,MATCH(147,tk_ASEQ,0)),"")</f>
        <v/>
      </c>
      <c r="W153" s="162">
        <f>IFERROR(TRIM(INDEX(tk_DNOTES,MATCH(147,tk_ASEQ,0))&amp;" "&amp;INDEX(tk_FNOTES,MATCH(147,tk_ASEQ,0))),"")</f>
        <v/>
      </c>
    </row>
    <row r="154">
      <c r="A154" s="161">
        <f>IFERROR(""&amp;INDEX(tk_MARK,MATCH(148,tk_ASEQ,0)),"")</f>
        <v/>
      </c>
      <c r="B154" s="162">
        <f>IFERROR(""&amp;INDEX(tk_ROOMF,MATCH(148,tk_ASEQ,0)),"")</f>
        <v/>
      </c>
      <c r="C154" s="162">
        <f>IFERROR(""&amp;INDEX(tk_ROOMT,MATCH(148,tk_ASEQ,0)),"")</f>
        <v/>
      </c>
      <c r="D154" s="162">
        <f>IFERROR(INDEX(tk_QTY,MATCH(148,tk_ASEQ,0)),"")</f>
        <v/>
      </c>
      <c r="E154" s="162">
        <f>IFERROR(""&amp;INDEX(tk_SIZE,MATCH(148,tk_ASEQ,0)),"")</f>
        <v/>
      </c>
      <c r="F154" s="162">
        <f>IFERROR(""&amp;INDEX(tk_PAIR,MATCH(148,tk_ASEQ,0)),"")</f>
        <v/>
      </c>
      <c r="G154" s="162">
        <f>IFERROR(""&amp;INDEX(tk_DMAT,MATCH(148,tk_ASEQ,0)),"")</f>
        <v/>
      </c>
      <c r="H154" s="162">
        <f>IFERROR(""&amp;INDEX(tk_DGA,MATCH(148,tk_ASEQ,0)),"")</f>
        <v/>
      </c>
      <c r="I154" s="162">
        <f>IFERROR(""&amp;INDEX(tk_FACE,MATCH(148,tk_ASEQ,0)),"")</f>
        <v/>
      </c>
      <c r="J154" s="162">
        <f>IFERROR(IF(INDEX(tk_DHAND,MATCH(148,tk_ASEQ,0))="",""&amp;INDEX(tk_HAND,MATCH(148,tk_ASEQ,0)),""&amp;INDEX(tk_DHAND,MATCH(148,tk_ASEQ,0))),"")</f>
        <v/>
      </c>
      <c r="K154" s="162">
        <f>IFERROR(""&amp;INDEX(tk_FDESC,MATCH(148,tk_ASEQ,0)),"")</f>
        <v/>
      </c>
      <c r="L154" s="162">
        <f>IFERROR(INDEX(tk_STEEL,MATCH(148,tk_ASEQ,0))&amp;IF(INDEX(tk_FGA,MATCH(148,tk_ASEQ,0))="",""," "&amp;INDEX(tk_FGA,MATCH(148,tk_ASEQ,0))&amp;"GA"),"")</f>
        <v/>
      </c>
      <c r="M154" s="162">
        <f>IFERROR(IFERROR(VLOOKUP(INDEX(tk_JAMB,MATCH(148,tk_ASEQ,0)),CODES,2,FALSE),""&amp;INDEX(tk_JAMB,MATCH(148,tk_ASEQ,0))),"")</f>
        <v/>
      </c>
      <c r="N154" s="162">
        <f>IFERROR(""&amp;INDEX(tk_CONSTR,MATCH(148,tk_ASEQ,0)),"")</f>
        <v/>
      </c>
      <c r="O154" s="162">
        <f>IFERROR(""&amp;INDEX(tk_ANCHOR,MATCH(148,tk_ASEQ,0)),"")</f>
        <v/>
      </c>
      <c r="P154" s="162">
        <f>IFERROR(""&amp;INDEX(tk_RATING,MATCH(148,tk_ASEQ,0)),"")</f>
        <v/>
      </c>
      <c r="Q154" s="162">
        <f>IFERROR(""&amp;INDEX(tk_LABEL,MATCH(148,tk_ASEQ,0)),"")</f>
        <v/>
      </c>
      <c r="R154" s="162">
        <f>IFERROR(""&amp;INDEX(tk_HWSET,MATCH(148,tk_ASEQ,0)),"")</f>
        <v/>
      </c>
      <c r="S154" s="162">
        <f>IFERROR(IF(""&amp;INDEX(tk_HINGES,MATCH(148,tk_ASEQ,0))="","",INDEX(tk_HINGES,MATCH(148,tk_ASEQ,0))&amp;" · "&amp;INDEX(tk_LSRC,MATCH(148,tk_ASEQ,0))),"")</f>
        <v/>
      </c>
      <c r="T154" s="162">
        <f>IFERROR(""&amp;INDEX(tk_LOCK,MATCH(148,tk_ASEQ,0)),"")</f>
        <v/>
      </c>
      <c r="U154" s="162">
        <f>IFERROR(INDEX(tk_ETYPE,MATCH(148,tk_ASEQ,0)),"")</f>
        <v/>
      </c>
      <c r="V154" s="162">
        <f>IFERROR(""&amp;INDEX(tk_CHECK,MATCH(148,tk_ASEQ,0)),"")</f>
        <v/>
      </c>
      <c r="W154" s="162">
        <f>IFERROR(TRIM(INDEX(tk_DNOTES,MATCH(148,tk_ASEQ,0))&amp;" "&amp;INDEX(tk_FNOTES,MATCH(148,tk_ASEQ,0))),"")</f>
        <v/>
      </c>
    </row>
    <row r="155">
      <c r="A155" s="161">
        <f>IFERROR(""&amp;INDEX(tk_MARK,MATCH(149,tk_ASEQ,0)),"")</f>
        <v/>
      </c>
      <c r="B155" s="162">
        <f>IFERROR(""&amp;INDEX(tk_ROOMF,MATCH(149,tk_ASEQ,0)),"")</f>
        <v/>
      </c>
      <c r="C155" s="162">
        <f>IFERROR(""&amp;INDEX(tk_ROOMT,MATCH(149,tk_ASEQ,0)),"")</f>
        <v/>
      </c>
      <c r="D155" s="162">
        <f>IFERROR(INDEX(tk_QTY,MATCH(149,tk_ASEQ,0)),"")</f>
        <v/>
      </c>
      <c r="E155" s="162">
        <f>IFERROR(""&amp;INDEX(tk_SIZE,MATCH(149,tk_ASEQ,0)),"")</f>
        <v/>
      </c>
      <c r="F155" s="162">
        <f>IFERROR(""&amp;INDEX(tk_PAIR,MATCH(149,tk_ASEQ,0)),"")</f>
        <v/>
      </c>
      <c r="G155" s="162">
        <f>IFERROR(""&amp;INDEX(tk_DMAT,MATCH(149,tk_ASEQ,0)),"")</f>
        <v/>
      </c>
      <c r="H155" s="162">
        <f>IFERROR(""&amp;INDEX(tk_DGA,MATCH(149,tk_ASEQ,0)),"")</f>
        <v/>
      </c>
      <c r="I155" s="162">
        <f>IFERROR(""&amp;INDEX(tk_FACE,MATCH(149,tk_ASEQ,0)),"")</f>
        <v/>
      </c>
      <c r="J155" s="162">
        <f>IFERROR(IF(INDEX(tk_DHAND,MATCH(149,tk_ASEQ,0))="",""&amp;INDEX(tk_HAND,MATCH(149,tk_ASEQ,0)),""&amp;INDEX(tk_DHAND,MATCH(149,tk_ASEQ,0))),"")</f>
        <v/>
      </c>
      <c r="K155" s="162">
        <f>IFERROR(""&amp;INDEX(tk_FDESC,MATCH(149,tk_ASEQ,0)),"")</f>
        <v/>
      </c>
      <c r="L155" s="162">
        <f>IFERROR(INDEX(tk_STEEL,MATCH(149,tk_ASEQ,0))&amp;IF(INDEX(tk_FGA,MATCH(149,tk_ASEQ,0))="",""," "&amp;INDEX(tk_FGA,MATCH(149,tk_ASEQ,0))&amp;"GA"),"")</f>
        <v/>
      </c>
      <c r="M155" s="162">
        <f>IFERROR(IFERROR(VLOOKUP(INDEX(tk_JAMB,MATCH(149,tk_ASEQ,0)),CODES,2,FALSE),""&amp;INDEX(tk_JAMB,MATCH(149,tk_ASEQ,0))),"")</f>
        <v/>
      </c>
      <c r="N155" s="162">
        <f>IFERROR(""&amp;INDEX(tk_CONSTR,MATCH(149,tk_ASEQ,0)),"")</f>
        <v/>
      </c>
      <c r="O155" s="162">
        <f>IFERROR(""&amp;INDEX(tk_ANCHOR,MATCH(149,tk_ASEQ,0)),"")</f>
        <v/>
      </c>
      <c r="P155" s="162">
        <f>IFERROR(""&amp;INDEX(tk_RATING,MATCH(149,tk_ASEQ,0)),"")</f>
        <v/>
      </c>
      <c r="Q155" s="162">
        <f>IFERROR(""&amp;INDEX(tk_LABEL,MATCH(149,tk_ASEQ,0)),"")</f>
        <v/>
      </c>
      <c r="R155" s="162">
        <f>IFERROR(""&amp;INDEX(tk_HWSET,MATCH(149,tk_ASEQ,0)),"")</f>
        <v/>
      </c>
      <c r="S155" s="162">
        <f>IFERROR(IF(""&amp;INDEX(tk_HINGES,MATCH(149,tk_ASEQ,0))="","",INDEX(tk_HINGES,MATCH(149,tk_ASEQ,0))&amp;" · "&amp;INDEX(tk_LSRC,MATCH(149,tk_ASEQ,0))),"")</f>
        <v/>
      </c>
      <c r="T155" s="162">
        <f>IFERROR(""&amp;INDEX(tk_LOCK,MATCH(149,tk_ASEQ,0)),"")</f>
        <v/>
      </c>
      <c r="U155" s="162">
        <f>IFERROR(INDEX(tk_ETYPE,MATCH(149,tk_ASEQ,0)),"")</f>
        <v/>
      </c>
      <c r="V155" s="162">
        <f>IFERROR(""&amp;INDEX(tk_CHECK,MATCH(149,tk_ASEQ,0)),"")</f>
        <v/>
      </c>
      <c r="W155" s="162">
        <f>IFERROR(TRIM(INDEX(tk_DNOTES,MATCH(149,tk_ASEQ,0))&amp;" "&amp;INDEX(tk_FNOTES,MATCH(149,tk_ASEQ,0))),"")</f>
        <v/>
      </c>
    </row>
    <row r="156">
      <c r="A156" s="161">
        <f>IFERROR(""&amp;INDEX(tk_MARK,MATCH(150,tk_ASEQ,0)),"")</f>
        <v/>
      </c>
      <c r="B156" s="162">
        <f>IFERROR(""&amp;INDEX(tk_ROOMF,MATCH(150,tk_ASEQ,0)),"")</f>
        <v/>
      </c>
      <c r="C156" s="162">
        <f>IFERROR(""&amp;INDEX(tk_ROOMT,MATCH(150,tk_ASEQ,0)),"")</f>
        <v/>
      </c>
      <c r="D156" s="162">
        <f>IFERROR(INDEX(tk_QTY,MATCH(150,tk_ASEQ,0)),"")</f>
        <v/>
      </c>
      <c r="E156" s="162">
        <f>IFERROR(""&amp;INDEX(tk_SIZE,MATCH(150,tk_ASEQ,0)),"")</f>
        <v/>
      </c>
      <c r="F156" s="162">
        <f>IFERROR(""&amp;INDEX(tk_PAIR,MATCH(150,tk_ASEQ,0)),"")</f>
        <v/>
      </c>
      <c r="G156" s="162">
        <f>IFERROR(""&amp;INDEX(tk_DMAT,MATCH(150,tk_ASEQ,0)),"")</f>
        <v/>
      </c>
      <c r="H156" s="162">
        <f>IFERROR(""&amp;INDEX(tk_DGA,MATCH(150,tk_ASEQ,0)),"")</f>
        <v/>
      </c>
      <c r="I156" s="162">
        <f>IFERROR(""&amp;INDEX(tk_FACE,MATCH(150,tk_ASEQ,0)),"")</f>
        <v/>
      </c>
      <c r="J156" s="162">
        <f>IFERROR(IF(INDEX(tk_DHAND,MATCH(150,tk_ASEQ,0))="",""&amp;INDEX(tk_HAND,MATCH(150,tk_ASEQ,0)),""&amp;INDEX(tk_DHAND,MATCH(150,tk_ASEQ,0))),"")</f>
        <v/>
      </c>
      <c r="K156" s="162">
        <f>IFERROR(""&amp;INDEX(tk_FDESC,MATCH(150,tk_ASEQ,0)),"")</f>
        <v/>
      </c>
      <c r="L156" s="162">
        <f>IFERROR(INDEX(tk_STEEL,MATCH(150,tk_ASEQ,0))&amp;IF(INDEX(tk_FGA,MATCH(150,tk_ASEQ,0))="",""," "&amp;INDEX(tk_FGA,MATCH(150,tk_ASEQ,0))&amp;"GA"),"")</f>
        <v/>
      </c>
      <c r="M156" s="162">
        <f>IFERROR(IFERROR(VLOOKUP(INDEX(tk_JAMB,MATCH(150,tk_ASEQ,0)),CODES,2,FALSE),""&amp;INDEX(tk_JAMB,MATCH(150,tk_ASEQ,0))),"")</f>
        <v/>
      </c>
      <c r="N156" s="162">
        <f>IFERROR(""&amp;INDEX(tk_CONSTR,MATCH(150,tk_ASEQ,0)),"")</f>
        <v/>
      </c>
      <c r="O156" s="162">
        <f>IFERROR(""&amp;INDEX(tk_ANCHOR,MATCH(150,tk_ASEQ,0)),"")</f>
        <v/>
      </c>
      <c r="P156" s="162">
        <f>IFERROR(""&amp;INDEX(tk_RATING,MATCH(150,tk_ASEQ,0)),"")</f>
        <v/>
      </c>
      <c r="Q156" s="162">
        <f>IFERROR(""&amp;INDEX(tk_LABEL,MATCH(150,tk_ASEQ,0)),"")</f>
        <v/>
      </c>
      <c r="R156" s="162">
        <f>IFERROR(""&amp;INDEX(tk_HWSET,MATCH(150,tk_ASEQ,0)),"")</f>
        <v/>
      </c>
      <c r="S156" s="162">
        <f>IFERROR(IF(""&amp;INDEX(tk_HINGES,MATCH(150,tk_ASEQ,0))="","",INDEX(tk_HINGES,MATCH(150,tk_ASEQ,0))&amp;" · "&amp;INDEX(tk_LSRC,MATCH(150,tk_ASEQ,0))),"")</f>
        <v/>
      </c>
      <c r="T156" s="162">
        <f>IFERROR(""&amp;INDEX(tk_LOCK,MATCH(150,tk_ASEQ,0)),"")</f>
        <v/>
      </c>
      <c r="U156" s="162">
        <f>IFERROR(INDEX(tk_ETYPE,MATCH(150,tk_ASEQ,0)),"")</f>
        <v/>
      </c>
      <c r="V156" s="162">
        <f>IFERROR(""&amp;INDEX(tk_CHECK,MATCH(150,tk_ASEQ,0)),"")</f>
        <v/>
      </c>
      <c r="W156" s="162">
        <f>IFERROR(TRIM(INDEX(tk_DNOTES,MATCH(150,tk_ASEQ,0))&amp;" "&amp;INDEX(tk_FNOTES,MATCH(150,tk_ASEQ,0))),"")</f>
        <v/>
      </c>
    </row>
    <row r="157">
      <c r="A157" s="161">
        <f>IFERROR(""&amp;INDEX(tk_MARK,MATCH(151,tk_ASEQ,0)),"")</f>
        <v/>
      </c>
      <c r="B157" s="162">
        <f>IFERROR(""&amp;INDEX(tk_ROOMF,MATCH(151,tk_ASEQ,0)),"")</f>
        <v/>
      </c>
      <c r="C157" s="162">
        <f>IFERROR(""&amp;INDEX(tk_ROOMT,MATCH(151,tk_ASEQ,0)),"")</f>
        <v/>
      </c>
      <c r="D157" s="162">
        <f>IFERROR(INDEX(tk_QTY,MATCH(151,tk_ASEQ,0)),"")</f>
        <v/>
      </c>
      <c r="E157" s="162">
        <f>IFERROR(""&amp;INDEX(tk_SIZE,MATCH(151,tk_ASEQ,0)),"")</f>
        <v/>
      </c>
      <c r="F157" s="162">
        <f>IFERROR(""&amp;INDEX(tk_PAIR,MATCH(151,tk_ASEQ,0)),"")</f>
        <v/>
      </c>
      <c r="G157" s="162">
        <f>IFERROR(""&amp;INDEX(tk_DMAT,MATCH(151,tk_ASEQ,0)),"")</f>
        <v/>
      </c>
      <c r="H157" s="162">
        <f>IFERROR(""&amp;INDEX(tk_DGA,MATCH(151,tk_ASEQ,0)),"")</f>
        <v/>
      </c>
      <c r="I157" s="162">
        <f>IFERROR(""&amp;INDEX(tk_FACE,MATCH(151,tk_ASEQ,0)),"")</f>
        <v/>
      </c>
      <c r="J157" s="162">
        <f>IFERROR(IF(INDEX(tk_DHAND,MATCH(151,tk_ASEQ,0))="",""&amp;INDEX(tk_HAND,MATCH(151,tk_ASEQ,0)),""&amp;INDEX(tk_DHAND,MATCH(151,tk_ASEQ,0))),"")</f>
        <v/>
      </c>
      <c r="K157" s="162">
        <f>IFERROR(""&amp;INDEX(tk_FDESC,MATCH(151,tk_ASEQ,0)),"")</f>
        <v/>
      </c>
      <c r="L157" s="162">
        <f>IFERROR(INDEX(tk_STEEL,MATCH(151,tk_ASEQ,0))&amp;IF(INDEX(tk_FGA,MATCH(151,tk_ASEQ,0))="",""," "&amp;INDEX(tk_FGA,MATCH(151,tk_ASEQ,0))&amp;"GA"),"")</f>
        <v/>
      </c>
      <c r="M157" s="162">
        <f>IFERROR(IFERROR(VLOOKUP(INDEX(tk_JAMB,MATCH(151,tk_ASEQ,0)),CODES,2,FALSE),""&amp;INDEX(tk_JAMB,MATCH(151,tk_ASEQ,0))),"")</f>
        <v/>
      </c>
      <c r="N157" s="162">
        <f>IFERROR(""&amp;INDEX(tk_CONSTR,MATCH(151,tk_ASEQ,0)),"")</f>
        <v/>
      </c>
      <c r="O157" s="162">
        <f>IFERROR(""&amp;INDEX(tk_ANCHOR,MATCH(151,tk_ASEQ,0)),"")</f>
        <v/>
      </c>
      <c r="P157" s="162">
        <f>IFERROR(""&amp;INDEX(tk_RATING,MATCH(151,tk_ASEQ,0)),"")</f>
        <v/>
      </c>
      <c r="Q157" s="162">
        <f>IFERROR(""&amp;INDEX(tk_LABEL,MATCH(151,tk_ASEQ,0)),"")</f>
        <v/>
      </c>
      <c r="R157" s="162">
        <f>IFERROR(""&amp;INDEX(tk_HWSET,MATCH(151,tk_ASEQ,0)),"")</f>
        <v/>
      </c>
      <c r="S157" s="162">
        <f>IFERROR(IF(""&amp;INDEX(tk_HINGES,MATCH(151,tk_ASEQ,0))="","",INDEX(tk_HINGES,MATCH(151,tk_ASEQ,0))&amp;" · "&amp;INDEX(tk_LSRC,MATCH(151,tk_ASEQ,0))),"")</f>
        <v/>
      </c>
      <c r="T157" s="162">
        <f>IFERROR(""&amp;INDEX(tk_LOCK,MATCH(151,tk_ASEQ,0)),"")</f>
        <v/>
      </c>
      <c r="U157" s="162">
        <f>IFERROR(INDEX(tk_ETYPE,MATCH(151,tk_ASEQ,0)),"")</f>
        <v/>
      </c>
      <c r="V157" s="162">
        <f>IFERROR(""&amp;INDEX(tk_CHECK,MATCH(151,tk_ASEQ,0)),"")</f>
        <v/>
      </c>
      <c r="W157" s="162">
        <f>IFERROR(TRIM(INDEX(tk_DNOTES,MATCH(151,tk_ASEQ,0))&amp;" "&amp;INDEX(tk_FNOTES,MATCH(151,tk_ASEQ,0))),"")</f>
        <v/>
      </c>
    </row>
    <row r="158">
      <c r="A158" s="161">
        <f>IFERROR(""&amp;INDEX(tk_MARK,MATCH(152,tk_ASEQ,0)),"")</f>
        <v/>
      </c>
      <c r="B158" s="162">
        <f>IFERROR(""&amp;INDEX(tk_ROOMF,MATCH(152,tk_ASEQ,0)),"")</f>
        <v/>
      </c>
      <c r="C158" s="162">
        <f>IFERROR(""&amp;INDEX(tk_ROOMT,MATCH(152,tk_ASEQ,0)),"")</f>
        <v/>
      </c>
      <c r="D158" s="162">
        <f>IFERROR(INDEX(tk_QTY,MATCH(152,tk_ASEQ,0)),"")</f>
        <v/>
      </c>
      <c r="E158" s="162">
        <f>IFERROR(""&amp;INDEX(tk_SIZE,MATCH(152,tk_ASEQ,0)),"")</f>
        <v/>
      </c>
      <c r="F158" s="162">
        <f>IFERROR(""&amp;INDEX(tk_PAIR,MATCH(152,tk_ASEQ,0)),"")</f>
        <v/>
      </c>
      <c r="G158" s="162">
        <f>IFERROR(""&amp;INDEX(tk_DMAT,MATCH(152,tk_ASEQ,0)),"")</f>
        <v/>
      </c>
      <c r="H158" s="162">
        <f>IFERROR(""&amp;INDEX(tk_DGA,MATCH(152,tk_ASEQ,0)),"")</f>
        <v/>
      </c>
      <c r="I158" s="162">
        <f>IFERROR(""&amp;INDEX(tk_FACE,MATCH(152,tk_ASEQ,0)),"")</f>
        <v/>
      </c>
      <c r="J158" s="162">
        <f>IFERROR(IF(INDEX(tk_DHAND,MATCH(152,tk_ASEQ,0))="",""&amp;INDEX(tk_HAND,MATCH(152,tk_ASEQ,0)),""&amp;INDEX(tk_DHAND,MATCH(152,tk_ASEQ,0))),"")</f>
        <v/>
      </c>
      <c r="K158" s="162">
        <f>IFERROR(""&amp;INDEX(tk_FDESC,MATCH(152,tk_ASEQ,0)),"")</f>
        <v/>
      </c>
      <c r="L158" s="162">
        <f>IFERROR(INDEX(tk_STEEL,MATCH(152,tk_ASEQ,0))&amp;IF(INDEX(tk_FGA,MATCH(152,tk_ASEQ,0))="",""," "&amp;INDEX(tk_FGA,MATCH(152,tk_ASEQ,0))&amp;"GA"),"")</f>
        <v/>
      </c>
      <c r="M158" s="162">
        <f>IFERROR(IFERROR(VLOOKUP(INDEX(tk_JAMB,MATCH(152,tk_ASEQ,0)),CODES,2,FALSE),""&amp;INDEX(tk_JAMB,MATCH(152,tk_ASEQ,0))),"")</f>
        <v/>
      </c>
      <c r="N158" s="162">
        <f>IFERROR(""&amp;INDEX(tk_CONSTR,MATCH(152,tk_ASEQ,0)),"")</f>
        <v/>
      </c>
      <c r="O158" s="162">
        <f>IFERROR(""&amp;INDEX(tk_ANCHOR,MATCH(152,tk_ASEQ,0)),"")</f>
        <v/>
      </c>
      <c r="P158" s="162">
        <f>IFERROR(""&amp;INDEX(tk_RATING,MATCH(152,tk_ASEQ,0)),"")</f>
        <v/>
      </c>
      <c r="Q158" s="162">
        <f>IFERROR(""&amp;INDEX(tk_LABEL,MATCH(152,tk_ASEQ,0)),"")</f>
        <v/>
      </c>
      <c r="R158" s="162">
        <f>IFERROR(""&amp;INDEX(tk_HWSET,MATCH(152,tk_ASEQ,0)),"")</f>
        <v/>
      </c>
      <c r="S158" s="162">
        <f>IFERROR(IF(""&amp;INDEX(tk_HINGES,MATCH(152,tk_ASEQ,0))="","",INDEX(tk_HINGES,MATCH(152,tk_ASEQ,0))&amp;" · "&amp;INDEX(tk_LSRC,MATCH(152,tk_ASEQ,0))),"")</f>
        <v/>
      </c>
      <c r="T158" s="162">
        <f>IFERROR(""&amp;INDEX(tk_LOCK,MATCH(152,tk_ASEQ,0)),"")</f>
        <v/>
      </c>
      <c r="U158" s="162">
        <f>IFERROR(INDEX(tk_ETYPE,MATCH(152,tk_ASEQ,0)),"")</f>
        <v/>
      </c>
      <c r="V158" s="162">
        <f>IFERROR(""&amp;INDEX(tk_CHECK,MATCH(152,tk_ASEQ,0)),"")</f>
        <v/>
      </c>
      <c r="W158" s="162">
        <f>IFERROR(TRIM(INDEX(tk_DNOTES,MATCH(152,tk_ASEQ,0))&amp;" "&amp;INDEX(tk_FNOTES,MATCH(152,tk_ASEQ,0))),"")</f>
        <v/>
      </c>
    </row>
    <row r="159">
      <c r="A159" s="161">
        <f>IFERROR(""&amp;INDEX(tk_MARK,MATCH(153,tk_ASEQ,0)),"")</f>
        <v/>
      </c>
      <c r="B159" s="162">
        <f>IFERROR(""&amp;INDEX(tk_ROOMF,MATCH(153,tk_ASEQ,0)),"")</f>
        <v/>
      </c>
      <c r="C159" s="162">
        <f>IFERROR(""&amp;INDEX(tk_ROOMT,MATCH(153,tk_ASEQ,0)),"")</f>
        <v/>
      </c>
      <c r="D159" s="162">
        <f>IFERROR(INDEX(tk_QTY,MATCH(153,tk_ASEQ,0)),"")</f>
        <v/>
      </c>
      <c r="E159" s="162">
        <f>IFERROR(""&amp;INDEX(tk_SIZE,MATCH(153,tk_ASEQ,0)),"")</f>
        <v/>
      </c>
      <c r="F159" s="162">
        <f>IFERROR(""&amp;INDEX(tk_PAIR,MATCH(153,tk_ASEQ,0)),"")</f>
        <v/>
      </c>
      <c r="G159" s="162">
        <f>IFERROR(""&amp;INDEX(tk_DMAT,MATCH(153,tk_ASEQ,0)),"")</f>
        <v/>
      </c>
      <c r="H159" s="162">
        <f>IFERROR(""&amp;INDEX(tk_DGA,MATCH(153,tk_ASEQ,0)),"")</f>
        <v/>
      </c>
      <c r="I159" s="162">
        <f>IFERROR(""&amp;INDEX(tk_FACE,MATCH(153,tk_ASEQ,0)),"")</f>
        <v/>
      </c>
      <c r="J159" s="162">
        <f>IFERROR(IF(INDEX(tk_DHAND,MATCH(153,tk_ASEQ,0))="",""&amp;INDEX(tk_HAND,MATCH(153,tk_ASEQ,0)),""&amp;INDEX(tk_DHAND,MATCH(153,tk_ASEQ,0))),"")</f>
        <v/>
      </c>
      <c r="K159" s="162">
        <f>IFERROR(""&amp;INDEX(tk_FDESC,MATCH(153,tk_ASEQ,0)),"")</f>
        <v/>
      </c>
      <c r="L159" s="162">
        <f>IFERROR(INDEX(tk_STEEL,MATCH(153,tk_ASEQ,0))&amp;IF(INDEX(tk_FGA,MATCH(153,tk_ASEQ,0))="",""," "&amp;INDEX(tk_FGA,MATCH(153,tk_ASEQ,0))&amp;"GA"),"")</f>
        <v/>
      </c>
      <c r="M159" s="162">
        <f>IFERROR(IFERROR(VLOOKUP(INDEX(tk_JAMB,MATCH(153,tk_ASEQ,0)),CODES,2,FALSE),""&amp;INDEX(tk_JAMB,MATCH(153,tk_ASEQ,0))),"")</f>
        <v/>
      </c>
      <c r="N159" s="162">
        <f>IFERROR(""&amp;INDEX(tk_CONSTR,MATCH(153,tk_ASEQ,0)),"")</f>
        <v/>
      </c>
      <c r="O159" s="162">
        <f>IFERROR(""&amp;INDEX(tk_ANCHOR,MATCH(153,tk_ASEQ,0)),"")</f>
        <v/>
      </c>
      <c r="P159" s="162">
        <f>IFERROR(""&amp;INDEX(tk_RATING,MATCH(153,tk_ASEQ,0)),"")</f>
        <v/>
      </c>
      <c r="Q159" s="162">
        <f>IFERROR(""&amp;INDEX(tk_LABEL,MATCH(153,tk_ASEQ,0)),"")</f>
        <v/>
      </c>
      <c r="R159" s="162">
        <f>IFERROR(""&amp;INDEX(tk_HWSET,MATCH(153,tk_ASEQ,0)),"")</f>
        <v/>
      </c>
      <c r="S159" s="162">
        <f>IFERROR(IF(""&amp;INDEX(tk_HINGES,MATCH(153,tk_ASEQ,0))="","",INDEX(tk_HINGES,MATCH(153,tk_ASEQ,0))&amp;" · "&amp;INDEX(tk_LSRC,MATCH(153,tk_ASEQ,0))),"")</f>
        <v/>
      </c>
      <c r="T159" s="162">
        <f>IFERROR(""&amp;INDEX(tk_LOCK,MATCH(153,tk_ASEQ,0)),"")</f>
        <v/>
      </c>
      <c r="U159" s="162">
        <f>IFERROR(INDEX(tk_ETYPE,MATCH(153,tk_ASEQ,0)),"")</f>
        <v/>
      </c>
      <c r="V159" s="162">
        <f>IFERROR(""&amp;INDEX(tk_CHECK,MATCH(153,tk_ASEQ,0)),"")</f>
        <v/>
      </c>
      <c r="W159" s="162">
        <f>IFERROR(TRIM(INDEX(tk_DNOTES,MATCH(153,tk_ASEQ,0))&amp;" "&amp;INDEX(tk_FNOTES,MATCH(153,tk_ASEQ,0))),"")</f>
        <v/>
      </c>
    </row>
    <row r="160">
      <c r="A160" s="161">
        <f>IFERROR(""&amp;INDEX(tk_MARK,MATCH(154,tk_ASEQ,0)),"")</f>
        <v/>
      </c>
      <c r="B160" s="162">
        <f>IFERROR(""&amp;INDEX(tk_ROOMF,MATCH(154,tk_ASEQ,0)),"")</f>
        <v/>
      </c>
      <c r="C160" s="162">
        <f>IFERROR(""&amp;INDEX(tk_ROOMT,MATCH(154,tk_ASEQ,0)),"")</f>
        <v/>
      </c>
      <c r="D160" s="162">
        <f>IFERROR(INDEX(tk_QTY,MATCH(154,tk_ASEQ,0)),"")</f>
        <v/>
      </c>
      <c r="E160" s="162">
        <f>IFERROR(""&amp;INDEX(tk_SIZE,MATCH(154,tk_ASEQ,0)),"")</f>
        <v/>
      </c>
      <c r="F160" s="162">
        <f>IFERROR(""&amp;INDEX(tk_PAIR,MATCH(154,tk_ASEQ,0)),"")</f>
        <v/>
      </c>
      <c r="G160" s="162">
        <f>IFERROR(""&amp;INDEX(tk_DMAT,MATCH(154,tk_ASEQ,0)),"")</f>
        <v/>
      </c>
      <c r="H160" s="162">
        <f>IFERROR(""&amp;INDEX(tk_DGA,MATCH(154,tk_ASEQ,0)),"")</f>
        <v/>
      </c>
      <c r="I160" s="162">
        <f>IFERROR(""&amp;INDEX(tk_FACE,MATCH(154,tk_ASEQ,0)),"")</f>
        <v/>
      </c>
      <c r="J160" s="162">
        <f>IFERROR(IF(INDEX(tk_DHAND,MATCH(154,tk_ASEQ,0))="",""&amp;INDEX(tk_HAND,MATCH(154,tk_ASEQ,0)),""&amp;INDEX(tk_DHAND,MATCH(154,tk_ASEQ,0))),"")</f>
        <v/>
      </c>
      <c r="K160" s="162">
        <f>IFERROR(""&amp;INDEX(tk_FDESC,MATCH(154,tk_ASEQ,0)),"")</f>
        <v/>
      </c>
      <c r="L160" s="162">
        <f>IFERROR(INDEX(tk_STEEL,MATCH(154,tk_ASEQ,0))&amp;IF(INDEX(tk_FGA,MATCH(154,tk_ASEQ,0))="",""," "&amp;INDEX(tk_FGA,MATCH(154,tk_ASEQ,0))&amp;"GA"),"")</f>
        <v/>
      </c>
      <c r="M160" s="162">
        <f>IFERROR(IFERROR(VLOOKUP(INDEX(tk_JAMB,MATCH(154,tk_ASEQ,0)),CODES,2,FALSE),""&amp;INDEX(tk_JAMB,MATCH(154,tk_ASEQ,0))),"")</f>
        <v/>
      </c>
      <c r="N160" s="162">
        <f>IFERROR(""&amp;INDEX(tk_CONSTR,MATCH(154,tk_ASEQ,0)),"")</f>
        <v/>
      </c>
      <c r="O160" s="162">
        <f>IFERROR(""&amp;INDEX(tk_ANCHOR,MATCH(154,tk_ASEQ,0)),"")</f>
        <v/>
      </c>
      <c r="P160" s="162">
        <f>IFERROR(""&amp;INDEX(tk_RATING,MATCH(154,tk_ASEQ,0)),"")</f>
        <v/>
      </c>
      <c r="Q160" s="162">
        <f>IFERROR(""&amp;INDEX(tk_LABEL,MATCH(154,tk_ASEQ,0)),"")</f>
        <v/>
      </c>
      <c r="R160" s="162">
        <f>IFERROR(""&amp;INDEX(tk_HWSET,MATCH(154,tk_ASEQ,0)),"")</f>
        <v/>
      </c>
      <c r="S160" s="162">
        <f>IFERROR(IF(""&amp;INDEX(tk_HINGES,MATCH(154,tk_ASEQ,0))="","",INDEX(tk_HINGES,MATCH(154,tk_ASEQ,0))&amp;" · "&amp;INDEX(tk_LSRC,MATCH(154,tk_ASEQ,0))),"")</f>
        <v/>
      </c>
      <c r="T160" s="162">
        <f>IFERROR(""&amp;INDEX(tk_LOCK,MATCH(154,tk_ASEQ,0)),"")</f>
        <v/>
      </c>
      <c r="U160" s="162">
        <f>IFERROR(INDEX(tk_ETYPE,MATCH(154,tk_ASEQ,0)),"")</f>
        <v/>
      </c>
      <c r="V160" s="162">
        <f>IFERROR(""&amp;INDEX(tk_CHECK,MATCH(154,tk_ASEQ,0)),"")</f>
        <v/>
      </c>
      <c r="W160" s="162">
        <f>IFERROR(TRIM(INDEX(tk_DNOTES,MATCH(154,tk_ASEQ,0))&amp;" "&amp;INDEX(tk_FNOTES,MATCH(154,tk_ASEQ,0))),"")</f>
        <v/>
      </c>
    </row>
    <row r="161">
      <c r="A161" s="161">
        <f>IFERROR(""&amp;INDEX(tk_MARK,MATCH(155,tk_ASEQ,0)),"")</f>
        <v/>
      </c>
      <c r="B161" s="162">
        <f>IFERROR(""&amp;INDEX(tk_ROOMF,MATCH(155,tk_ASEQ,0)),"")</f>
        <v/>
      </c>
      <c r="C161" s="162">
        <f>IFERROR(""&amp;INDEX(tk_ROOMT,MATCH(155,tk_ASEQ,0)),"")</f>
        <v/>
      </c>
      <c r="D161" s="162">
        <f>IFERROR(INDEX(tk_QTY,MATCH(155,tk_ASEQ,0)),"")</f>
        <v/>
      </c>
      <c r="E161" s="162">
        <f>IFERROR(""&amp;INDEX(tk_SIZE,MATCH(155,tk_ASEQ,0)),"")</f>
        <v/>
      </c>
      <c r="F161" s="162">
        <f>IFERROR(""&amp;INDEX(tk_PAIR,MATCH(155,tk_ASEQ,0)),"")</f>
        <v/>
      </c>
      <c r="G161" s="162">
        <f>IFERROR(""&amp;INDEX(tk_DMAT,MATCH(155,tk_ASEQ,0)),"")</f>
        <v/>
      </c>
      <c r="H161" s="162">
        <f>IFERROR(""&amp;INDEX(tk_DGA,MATCH(155,tk_ASEQ,0)),"")</f>
        <v/>
      </c>
      <c r="I161" s="162">
        <f>IFERROR(""&amp;INDEX(tk_FACE,MATCH(155,tk_ASEQ,0)),"")</f>
        <v/>
      </c>
      <c r="J161" s="162">
        <f>IFERROR(IF(INDEX(tk_DHAND,MATCH(155,tk_ASEQ,0))="",""&amp;INDEX(tk_HAND,MATCH(155,tk_ASEQ,0)),""&amp;INDEX(tk_DHAND,MATCH(155,tk_ASEQ,0))),"")</f>
        <v/>
      </c>
      <c r="K161" s="162">
        <f>IFERROR(""&amp;INDEX(tk_FDESC,MATCH(155,tk_ASEQ,0)),"")</f>
        <v/>
      </c>
      <c r="L161" s="162">
        <f>IFERROR(INDEX(tk_STEEL,MATCH(155,tk_ASEQ,0))&amp;IF(INDEX(tk_FGA,MATCH(155,tk_ASEQ,0))="",""," "&amp;INDEX(tk_FGA,MATCH(155,tk_ASEQ,0))&amp;"GA"),"")</f>
        <v/>
      </c>
      <c r="M161" s="162">
        <f>IFERROR(IFERROR(VLOOKUP(INDEX(tk_JAMB,MATCH(155,tk_ASEQ,0)),CODES,2,FALSE),""&amp;INDEX(tk_JAMB,MATCH(155,tk_ASEQ,0))),"")</f>
        <v/>
      </c>
      <c r="N161" s="162">
        <f>IFERROR(""&amp;INDEX(tk_CONSTR,MATCH(155,tk_ASEQ,0)),"")</f>
        <v/>
      </c>
      <c r="O161" s="162">
        <f>IFERROR(""&amp;INDEX(tk_ANCHOR,MATCH(155,tk_ASEQ,0)),"")</f>
        <v/>
      </c>
      <c r="P161" s="162">
        <f>IFERROR(""&amp;INDEX(tk_RATING,MATCH(155,tk_ASEQ,0)),"")</f>
        <v/>
      </c>
      <c r="Q161" s="162">
        <f>IFERROR(""&amp;INDEX(tk_LABEL,MATCH(155,tk_ASEQ,0)),"")</f>
        <v/>
      </c>
      <c r="R161" s="162">
        <f>IFERROR(""&amp;INDEX(tk_HWSET,MATCH(155,tk_ASEQ,0)),"")</f>
        <v/>
      </c>
      <c r="S161" s="162">
        <f>IFERROR(IF(""&amp;INDEX(tk_HINGES,MATCH(155,tk_ASEQ,0))="","",INDEX(tk_HINGES,MATCH(155,tk_ASEQ,0))&amp;" · "&amp;INDEX(tk_LSRC,MATCH(155,tk_ASEQ,0))),"")</f>
        <v/>
      </c>
      <c r="T161" s="162">
        <f>IFERROR(""&amp;INDEX(tk_LOCK,MATCH(155,tk_ASEQ,0)),"")</f>
        <v/>
      </c>
      <c r="U161" s="162">
        <f>IFERROR(INDEX(tk_ETYPE,MATCH(155,tk_ASEQ,0)),"")</f>
        <v/>
      </c>
      <c r="V161" s="162">
        <f>IFERROR(""&amp;INDEX(tk_CHECK,MATCH(155,tk_ASEQ,0)),"")</f>
        <v/>
      </c>
      <c r="W161" s="162">
        <f>IFERROR(TRIM(INDEX(tk_DNOTES,MATCH(155,tk_ASEQ,0))&amp;" "&amp;INDEX(tk_FNOTES,MATCH(155,tk_ASEQ,0))),"")</f>
        <v/>
      </c>
    </row>
    <row r="162">
      <c r="A162" s="161">
        <f>IFERROR(""&amp;INDEX(tk_MARK,MATCH(156,tk_ASEQ,0)),"")</f>
        <v/>
      </c>
      <c r="B162" s="162">
        <f>IFERROR(""&amp;INDEX(tk_ROOMF,MATCH(156,tk_ASEQ,0)),"")</f>
        <v/>
      </c>
      <c r="C162" s="162">
        <f>IFERROR(""&amp;INDEX(tk_ROOMT,MATCH(156,tk_ASEQ,0)),"")</f>
        <v/>
      </c>
      <c r="D162" s="162">
        <f>IFERROR(INDEX(tk_QTY,MATCH(156,tk_ASEQ,0)),"")</f>
        <v/>
      </c>
      <c r="E162" s="162">
        <f>IFERROR(""&amp;INDEX(tk_SIZE,MATCH(156,tk_ASEQ,0)),"")</f>
        <v/>
      </c>
      <c r="F162" s="162">
        <f>IFERROR(""&amp;INDEX(tk_PAIR,MATCH(156,tk_ASEQ,0)),"")</f>
        <v/>
      </c>
      <c r="G162" s="162">
        <f>IFERROR(""&amp;INDEX(tk_DMAT,MATCH(156,tk_ASEQ,0)),"")</f>
        <v/>
      </c>
      <c r="H162" s="162">
        <f>IFERROR(""&amp;INDEX(tk_DGA,MATCH(156,tk_ASEQ,0)),"")</f>
        <v/>
      </c>
      <c r="I162" s="162">
        <f>IFERROR(""&amp;INDEX(tk_FACE,MATCH(156,tk_ASEQ,0)),"")</f>
        <v/>
      </c>
      <c r="J162" s="162">
        <f>IFERROR(IF(INDEX(tk_DHAND,MATCH(156,tk_ASEQ,0))="",""&amp;INDEX(tk_HAND,MATCH(156,tk_ASEQ,0)),""&amp;INDEX(tk_DHAND,MATCH(156,tk_ASEQ,0))),"")</f>
        <v/>
      </c>
      <c r="K162" s="162">
        <f>IFERROR(""&amp;INDEX(tk_FDESC,MATCH(156,tk_ASEQ,0)),"")</f>
        <v/>
      </c>
      <c r="L162" s="162">
        <f>IFERROR(INDEX(tk_STEEL,MATCH(156,tk_ASEQ,0))&amp;IF(INDEX(tk_FGA,MATCH(156,tk_ASEQ,0))="",""," "&amp;INDEX(tk_FGA,MATCH(156,tk_ASEQ,0))&amp;"GA"),"")</f>
        <v/>
      </c>
      <c r="M162" s="162">
        <f>IFERROR(IFERROR(VLOOKUP(INDEX(tk_JAMB,MATCH(156,tk_ASEQ,0)),CODES,2,FALSE),""&amp;INDEX(tk_JAMB,MATCH(156,tk_ASEQ,0))),"")</f>
        <v/>
      </c>
      <c r="N162" s="162">
        <f>IFERROR(""&amp;INDEX(tk_CONSTR,MATCH(156,tk_ASEQ,0)),"")</f>
        <v/>
      </c>
      <c r="O162" s="162">
        <f>IFERROR(""&amp;INDEX(tk_ANCHOR,MATCH(156,tk_ASEQ,0)),"")</f>
        <v/>
      </c>
      <c r="P162" s="162">
        <f>IFERROR(""&amp;INDEX(tk_RATING,MATCH(156,tk_ASEQ,0)),"")</f>
        <v/>
      </c>
      <c r="Q162" s="162">
        <f>IFERROR(""&amp;INDEX(tk_LABEL,MATCH(156,tk_ASEQ,0)),"")</f>
        <v/>
      </c>
      <c r="R162" s="162">
        <f>IFERROR(""&amp;INDEX(tk_HWSET,MATCH(156,tk_ASEQ,0)),"")</f>
        <v/>
      </c>
      <c r="S162" s="162">
        <f>IFERROR(IF(""&amp;INDEX(tk_HINGES,MATCH(156,tk_ASEQ,0))="","",INDEX(tk_HINGES,MATCH(156,tk_ASEQ,0))&amp;" · "&amp;INDEX(tk_LSRC,MATCH(156,tk_ASEQ,0))),"")</f>
        <v/>
      </c>
      <c r="T162" s="162">
        <f>IFERROR(""&amp;INDEX(tk_LOCK,MATCH(156,tk_ASEQ,0)),"")</f>
        <v/>
      </c>
      <c r="U162" s="162">
        <f>IFERROR(INDEX(tk_ETYPE,MATCH(156,tk_ASEQ,0)),"")</f>
        <v/>
      </c>
      <c r="V162" s="162">
        <f>IFERROR(""&amp;INDEX(tk_CHECK,MATCH(156,tk_ASEQ,0)),"")</f>
        <v/>
      </c>
      <c r="W162" s="162">
        <f>IFERROR(TRIM(INDEX(tk_DNOTES,MATCH(156,tk_ASEQ,0))&amp;" "&amp;INDEX(tk_FNOTES,MATCH(156,tk_ASEQ,0))),"")</f>
        <v/>
      </c>
    </row>
    <row r="163">
      <c r="A163" s="161">
        <f>IFERROR(""&amp;INDEX(tk_MARK,MATCH(157,tk_ASEQ,0)),"")</f>
        <v/>
      </c>
      <c r="B163" s="162">
        <f>IFERROR(""&amp;INDEX(tk_ROOMF,MATCH(157,tk_ASEQ,0)),"")</f>
        <v/>
      </c>
      <c r="C163" s="162">
        <f>IFERROR(""&amp;INDEX(tk_ROOMT,MATCH(157,tk_ASEQ,0)),"")</f>
        <v/>
      </c>
      <c r="D163" s="162">
        <f>IFERROR(INDEX(tk_QTY,MATCH(157,tk_ASEQ,0)),"")</f>
        <v/>
      </c>
      <c r="E163" s="162">
        <f>IFERROR(""&amp;INDEX(tk_SIZE,MATCH(157,tk_ASEQ,0)),"")</f>
        <v/>
      </c>
      <c r="F163" s="162">
        <f>IFERROR(""&amp;INDEX(tk_PAIR,MATCH(157,tk_ASEQ,0)),"")</f>
        <v/>
      </c>
      <c r="G163" s="162">
        <f>IFERROR(""&amp;INDEX(tk_DMAT,MATCH(157,tk_ASEQ,0)),"")</f>
        <v/>
      </c>
      <c r="H163" s="162">
        <f>IFERROR(""&amp;INDEX(tk_DGA,MATCH(157,tk_ASEQ,0)),"")</f>
        <v/>
      </c>
      <c r="I163" s="162">
        <f>IFERROR(""&amp;INDEX(tk_FACE,MATCH(157,tk_ASEQ,0)),"")</f>
        <v/>
      </c>
      <c r="J163" s="162">
        <f>IFERROR(IF(INDEX(tk_DHAND,MATCH(157,tk_ASEQ,0))="",""&amp;INDEX(tk_HAND,MATCH(157,tk_ASEQ,0)),""&amp;INDEX(tk_DHAND,MATCH(157,tk_ASEQ,0))),"")</f>
        <v/>
      </c>
      <c r="K163" s="162">
        <f>IFERROR(""&amp;INDEX(tk_FDESC,MATCH(157,tk_ASEQ,0)),"")</f>
        <v/>
      </c>
      <c r="L163" s="162">
        <f>IFERROR(INDEX(tk_STEEL,MATCH(157,tk_ASEQ,0))&amp;IF(INDEX(tk_FGA,MATCH(157,tk_ASEQ,0))="",""," "&amp;INDEX(tk_FGA,MATCH(157,tk_ASEQ,0))&amp;"GA"),"")</f>
        <v/>
      </c>
      <c r="M163" s="162">
        <f>IFERROR(IFERROR(VLOOKUP(INDEX(tk_JAMB,MATCH(157,tk_ASEQ,0)),CODES,2,FALSE),""&amp;INDEX(tk_JAMB,MATCH(157,tk_ASEQ,0))),"")</f>
        <v/>
      </c>
      <c r="N163" s="162">
        <f>IFERROR(""&amp;INDEX(tk_CONSTR,MATCH(157,tk_ASEQ,0)),"")</f>
        <v/>
      </c>
      <c r="O163" s="162">
        <f>IFERROR(""&amp;INDEX(tk_ANCHOR,MATCH(157,tk_ASEQ,0)),"")</f>
        <v/>
      </c>
      <c r="P163" s="162">
        <f>IFERROR(""&amp;INDEX(tk_RATING,MATCH(157,tk_ASEQ,0)),"")</f>
        <v/>
      </c>
      <c r="Q163" s="162">
        <f>IFERROR(""&amp;INDEX(tk_LABEL,MATCH(157,tk_ASEQ,0)),"")</f>
        <v/>
      </c>
      <c r="R163" s="162">
        <f>IFERROR(""&amp;INDEX(tk_HWSET,MATCH(157,tk_ASEQ,0)),"")</f>
        <v/>
      </c>
      <c r="S163" s="162">
        <f>IFERROR(IF(""&amp;INDEX(tk_HINGES,MATCH(157,tk_ASEQ,0))="","",INDEX(tk_HINGES,MATCH(157,tk_ASEQ,0))&amp;" · "&amp;INDEX(tk_LSRC,MATCH(157,tk_ASEQ,0))),"")</f>
        <v/>
      </c>
      <c r="T163" s="162">
        <f>IFERROR(""&amp;INDEX(tk_LOCK,MATCH(157,tk_ASEQ,0)),"")</f>
        <v/>
      </c>
      <c r="U163" s="162">
        <f>IFERROR(INDEX(tk_ETYPE,MATCH(157,tk_ASEQ,0)),"")</f>
        <v/>
      </c>
      <c r="V163" s="162">
        <f>IFERROR(""&amp;INDEX(tk_CHECK,MATCH(157,tk_ASEQ,0)),"")</f>
        <v/>
      </c>
      <c r="W163" s="162">
        <f>IFERROR(TRIM(INDEX(tk_DNOTES,MATCH(157,tk_ASEQ,0))&amp;" "&amp;INDEX(tk_FNOTES,MATCH(157,tk_ASEQ,0))),"")</f>
        <v/>
      </c>
    </row>
    <row r="164">
      <c r="A164" s="161">
        <f>IFERROR(""&amp;INDEX(tk_MARK,MATCH(158,tk_ASEQ,0)),"")</f>
        <v/>
      </c>
      <c r="B164" s="162">
        <f>IFERROR(""&amp;INDEX(tk_ROOMF,MATCH(158,tk_ASEQ,0)),"")</f>
        <v/>
      </c>
      <c r="C164" s="162">
        <f>IFERROR(""&amp;INDEX(tk_ROOMT,MATCH(158,tk_ASEQ,0)),"")</f>
        <v/>
      </c>
      <c r="D164" s="162">
        <f>IFERROR(INDEX(tk_QTY,MATCH(158,tk_ASEQ,0)),"")</f>
        <v/>
      </c>
      <c r="E164" s="162">
        <f>IFERROR(""&amp;INDEX(tk_SIZE,MATCH(158,tk_ASEQ,0)),"")</f>
        <v/>
      </c>
      <c r="F164" s="162">
        <f>IFERROR(""&amp;INDEX(tk_PAIR,MATCH(158,tk_ASEQ,0)),"")</f>
        <v/>
      </c>
      <c r="G164" s="162">
        <f>IFERROR(""&amp;INDEX(tk_DMAT,MATCH(158,tk_ASEQ,0)),"")</f>
        <v/>
      </c>
      <c r="H164" s="162">
        <f>IFERROR(""&amp;INDEX(tk_DGA,MATCH(158,tk_ASEQ,0)),"")</f>
        <v/>
      </c>
      <c r="I164" s="162">
        <f>IFERROR(""&amp;INDEX(tk_FACE,MATCH(158,tk_ASEQ,0)),"")</f>
        <v/>
      </c>
      <c r="J164" s="162">
        <f>IFERROR(IF(INDEX(tk_DHAND,MATCH(158,tk_ASEQ,0))="",""&amp;INDEX(tk_HAND,MATCH(158,tk_ASEQ,0)),""&amp;INDEX(tk_DHAND,MATCH(158,tk_ASEQ,0))),"")</f>
        <v/>
      </c>
      <c r="K164" s="162">
        <f>IFERROR(""&amp;INDEX(tk_FDESC,MATCH(158,tk_ASEQ,0)),"")</f>
        <v/>
      </c>
      <c r="L164" s="162">
        <f>IFERROR(INDEX(tk_STEEL,MATCH(158,tk_ASEQ,0))&amp;IF(INDEX(tk_FGA,MATCH(158,tk_ASEQ,0))="",""," "&amp;INDEX(tk_FGA,MATCH(158,tk_ASEQ,0))&amp;"GA"),"")</f>
        <v/>
      </c>
      <c r="M164" s="162">
        <f>IFERROR(IFERROR(VLOOKUP(INDEX(tk_JAMB,MATCH(158,tk_ASEQ,0)),CODES,2,FALSE),""&amp;INDEX(tk_JAMB,MATCH(158,tk_ASEQ,0))),"")</f>
        <v/>
      </c>
      <c r="N164" s="162">
        <f>IFERROR(""&amp;INDEX(tk_CONSTR,MATCH(158,tk_ASEQ,0)),"")</f>
        <v/>
      </c>
      <c r="O164" s="162">
        <f>IFERROR(""&amp;INDEX(tk_ANCHOR,MATCH(158,tk_ASEQ,0)),"")</f>
        <v/>
      </c>
      <c r="P164" s="162">
        <f>IFERROR(""&amp;INDEX(tk_RATING,MATCH(158,tk_ASEQ,0)),"")</f>
        <v/>
      </c>
      <c r="Q164" s="162">
        <f>IFERROR(""&amp;INDEX(tk_LABEL,MATCH(158,tk_ASEQ,0)),"")</f>
        <v/>
      </c>
      <c r="R164" s="162">
        <f>IFERROR(""&amp;INDEX(tk_HWSET,MATCH(158,tk_ASEQ,0)),"")</f>
        <v/>
      </c>
      <c r="S164" s="162">
        <f>IFERROR(IF(""&amp;INDEX(tk_HINGES,MATCH(158,tk_ASEQ,0))="","",INDEX(tk_HINGES,MATCH(158,tk_ASEQ,0))&amp;" · "&amp;INDEX(tk_LSRC,MATCH(158,tk_ASEQ,0))),"")</f>
        <v/>
      </c>
      <c r="T164" s="162">
        <f>IFERROR(""&amp;INDEX(tk_LOCK,MATCH(158,tk_ASEQ,0)),"")</f>
        <v/>
      </c>
      <c r="U164" s="162">
        <f>IFERROR(INDEX(tk_ETYPE,MATCH(158,tk_ASEQ,0)),"")</f>
        <v/>
      </c>
      <c r="V164" s="162">
        <f>IFERROR(""&amp;INDEX(tk_CHECK,MATCH(158,tk_ASEQ,0)),"")</f>
        <v/>
      </c>
      <c r="W164" s="162">
        <f>IFERROR(TRIM(INDEX(tk_DNOTES,MATCH(158,tk_ASEQ,0))&amp;" "&amp;INDEX(tk_FNOTES,MATCH(158,tk_ASEQ,0))),"")</f>
        <v/>
      </c>
    </row>
    <row r="165">
      <c r="A165" s="161">
        <f>IFERROR(""&amp;INDEX(tk_MARK,MATCH(159,tk_ASEQ,0)),"")</f>
        <v/>
      </c>
      <c r="B165" s="162">
        <f>IFERROR(""&amp;INDEX(tk_ROOMF,MATCH(159,tk_ASEQ,0)),"")</f>
        <v/>
      </c>
      <c r="C165" s="162">
        <f>IFERROR(""&amp;INDEX(tk_ROOMT,MATCH(159,tk_ASEQ,0)),"")</f>
        <v/>
      </c>
      <c r="D165" s="162">
        <f>IFERROR(INDEX(tk_QTY,MATCH(159,tk_ASEQ,0)),"")</f>
        <v/>
      </c>
      <c r="E165" s="162">
        <f>IFERROR(""&amp;INDEX(tk_SIZE,MATCH(159,tk_ASEQ,0)),"")</f>
        <v/>
      </c>
      <c r="F165" s="162">
        <f>IFERROR(""&amp;INDEX(tk_PAIR,MATCH(159,tk_ASEQ,0)),"")</f>
        <v/>
      </c>
      <c r="G165" s="162">
        <f>IFERROR(""&amp;INDEX(tk_DMAT,MATCH(159,tk_ASEQ,0)),"")</f>
        <v/>
      </c>
      <c r="H165" s="162">
        <f>IFERROR(""&amp;INDEX(tk_DGA,MATCH(159,tk_ASEQ,0)),"")</f>
        <v/>
      </c>
      <c r="I165" s="162">
        <f>IFERROR(""&amp;INDEX(tk_FACE,MATCH(159,tk_ASEQ,0)),"")</f>
        <v/>
      </c>
      <c r="J165" s="162">
        <f>IFERROR(IF(INDEX(tk_DHAND,MATCH(159,tk_ASEQ,0))="",""&amp;INDEX(tk_HAND,MATCH(159,tk_ASEQ,0)),""&amp;INDEX(tk_DHAND,MATCH(159,tk_ASEQ,0))),"")</f>
        <v/>
      </c>
      <c r="K165" s="162">
        <f>IFERROR(""&amp;INDEX(tk_FDESC,MATCH(159,tk_ASEQ,0)),"")</f>
        <v/>
      </c>
      <c r="L165" s="162">
        <f>IFERROR(INDEX(tk_STEEL,MATCH(159,tk_ASEQ,0))&amp;IF(INDEX(tk_FGA,MATCH(159,tk_ASEQ,0))="",""," "&amp;INDEX(tk_FGA,MATCH(159,tk_ASEQ,0))&amp;"GA"),"")</f>
        <v/>
      </c>
      <c r="M165" s="162">
        <f>IFERROR(IFERROR(VLOOKUP(INDEX(tk_JAMB,MATCH(159,tk_ASEQ,0)),CODES,2,FALSE),""&amp;INDEX(tk_JAMB,MATCH(159,tk_ASEQ,0))),"")</f>
        <v/>
      </c>
      <c r="N165" s="162">
        <f>IFERROR(""&amp;INDEX(tk_CONSTR,MATCH(159,tk_ASEQ,0)),"")</f>
        <v/>
      </c>
      <c r="O165" s="162">
        <f>IFERROR(""&amp;INDEX(tk_ANCHOR,MATCH(159,tk_ASEQ,0)),"")</f>
        <v/>
      </c>
      <c r="P165" s="162">
        <f>IFERROR(""&amp;INDEX(tk_RATING,MATCH(159,tk_ASEQ,0)),"")</f>
        <v/>
      </c>
      <c r="Q165" s="162">
        <f>IFERROR(""&amp;INDEX(tk_LABEL,MATCH(159,tk_ASEQ,0)),"")</f>
        <v/>
      </c>
      <c r="R165" s="162">
        <f>IFERROR(""&amp;INDEX(tk_HWSET,MATCH(159,tk_ASEQ,0)),"")</f>
        <v/>
      </c>
      <c r="S165" s="162">
        <f>IFERROR(IF(""&amp;INDEX(tk_HINGES,MATCH(159,tk_ASEQ,0))="","",INDEX(tk_HINGES,MATCH(159,tk_ASEQ,0))&amp;" · "&amp;INDEX(tk_LSRC,MATCH(159,tk_ASEQ,0))),"")</f>
        <v/>
      </c>
      <c r="T165" s="162">
        <f>IFERROR(""&amp;INDEX(tk_LOCK,MATCH(159,tk_ASEQ,0)),"")</f>
        <v/>
      </c>
      <c r="U165" s="162">
        <f>IFERROR(INDEX(tk_ETYPE,MATCH(159,tk_ASEQ,0)),"")</f>
        <v/>
      </c>
      <c r="V165" s="162">
        <f>IFERROR(""&amp;INDEX(tk_CHECK,MATCH(159,tk_ASEQ,0)),"")</f>
        <v/>
      </c>
      <c r="W165" s="162">
        <f>IFERROR(TRIM(INDEX(tk_DNOTES,MATCH(159,tk_ASEQ,0))&amp;" "&amp;INDEX(tk_FNOTES,MATCH(159,tk_ASEQ,0))),"")</f>
        <v/>
      </c>
    </row>
    <row r="166">
      <c r="A166" s="161">
        <f>IFERROR(""&amp;INDEX(tk_MARK,MATCH(160,tk_ASEQ,0)),"")</f>
        <v/>
      </c>
      <c r="B166" s="162">
        <f>IFERROR(""&amp;INDEX(tk_ROOMF,MATCH(160,tk_ASEQ,0)),"")</f>
        <v/>
      </c>
      <c r="C166" s="162">
        <f>IFERROR(""&amp;INDEX(tk_ROOMT,MATCH(160,tk_ASEQ,0)),"")</f>
        <v/>
      </c>
      <c r="D166" s="162">
        <f>IFERROR(INDEX(tk_QTY,MATCH(160,tk_ASEQ,0)),"")</f>
        <v/>
      </c>
      <c r="E166" s="162">
        <f>IFERROR(""&amp;INDEX(tk_SIZE,MATCH(160,tk_ASEQ,0)),"")</f>
        <v/>
      </c>
      <c r="F166" s="162">
        <f>IFERROR(""&amp;INDEX(tk_PAIR,MATCH(160,tk_ASEQ,0)),"")</f>
        <v/>
      </c>
      <c r="G166" s="162">
        <f>IFERROR(""&amp;INDEX(tk_DMAT,MATCH(160,tk_ASEQ,0)),"")</f>
        <v/>
      </c>
      <c r="H166" s="162">
        <f>IFERROR(""&amp;INDEX(tk_DGA,MATCH(160,tk_ASEQ,0)),"")</f>
        <v/>
      </c>
      <c r="I166" s="162">
        <f>IFERROR(""&amp;INDEX(tk_FACE,MATCH(160,tk_ASEQ,0)),"")</f>
        <v/>
      </c>
      <c r="J166" s="162">
        <f>IFERROR(IF(INDEX(tk_DHAND,MATCH(160,tk_ASEQ,0))="",""&amp;INDEX(tk_HAND,MATCH(160,tk_ASEQ,0)),""&amp;INDEX(tk_DHAND,MATCH(160,tk_ASEQ,0))),"")</f>
        <v/>
      </c>
      <c r="K166" s="162">
        <f>IFERROR(""&amp;INDEX(tk_FDESC,MATCH(160,tk_ASEQ,0)),"")</f>
        <v/>
      </c>
      <c r="L166" s="162">
        <f>IFERROR(INDEX(tk_STEEL,MATCH(160,tk_ASEQ,0))&amp;IF(INDEX(tk_FGA,MATCH(160,tk_ASEQ,0))="",""," "&amp;INDEX(tk_FGA,MATCH(160,tk_ASEQ,0))&amp;"GA"),"")</f>
        <v/>
      </c>
      <c r="M166" s="162">
        <f>IFERROR(IFERROR(VLOOKUP(INDEX(tk_JAMB,MATCH(160,tk_ASEQ,0)),CODES,2,FALSE),""&amp;INDEX(tk_JAMB,MATCH(160,tk_ASEQ,0))),"")</f>
        <v/>
      </c>
      <c r="N166" s="162">
        <f>IFERROR(""&amp;INDEX(tk_CONSTR,MATCH(160,tk_ASEQ,0)),"")</f>
        <v/>
      </c>
      <c r="O166" s="162">
        <f>IFERROR(""&amp;INDEX(tk_ANCHOR,MATCH(160,tk_ASEQ,0)),"")</f>
        <v/>
      </c>
      <c r="P166" s="162">
        <f>IFERROR(""&amp;INDEX(tk_RATING,MATCH(160,tk_ASEQ,0)),"")</f>
        <v/>
      </c>
      <c r="Q166" s="162">
        <f>IFERROR(""&amp;INDEX(tk_LABEL,MATCH(160,tk_ASEQ,0)),"")</f>
        <v/>
      </c>
      <c r="R166" s="162">
        <f>IFERROR(""&amp;INDEX(tk_HWSET,MATCH(160,tk_ASEQ,0)),"")</f>
        <v/>
      </c>
      <c r="S166" s="162">
        <f>IFERROR(IF(""&amp;INDEX(tk_HINGES,MATCH(160,tk_ASEQ,0))="","",INDEX(tk_HINGES,MATCH(160,tk_ASEQ,0))&amp;" · "&amp;INDEX(tk_LSRC,MATCH(160,tk_ASEQ,0))),"")</f>
        <v/>
      </c>
      <c r="T166" s="162">
        <f>IFERROR(""&amp;INDEX(tk_LOCK,MATCH(160,tk_ASEQ,0)),"")</f>
        <v/>
      </c>
      <c r="U166" s="162">
        <f>IFERROR(INDEX(tk_ETYPE,MATCH(160,tk_ASEQ,0)),"")</f>
        <v/>
      </c>
      <c r="V166" s="162">
        <f>IFERROR(""&amp;INDEX(tk_CHECK,MATCH(160,tk_ASEQ,0)),"")</f>
        <v/>
      </c>
      <c r="W166" s="162">
        <f>IFERROR(TRIM(INDEX(tk_DNOTES,MATCH(160,tk_ASEQ,0))&amp;" "&amp;INDEX(tk_FNOTES,MATCH(160,tk_ASEQ,0))),"")</f>
        <v/>
      </c>
    </row>
    <row r="167">
      <c r="A167" s="161">
        <f>IFERROR(""&amp;INDEX(tk_MARK,MATCH(161,tk_ASEQ,0)),"")</f>
        <v/>
      </c>
      <c r="B167" s="162">
        <f>IFERROR(""&amp;INDEX(tk_ROOMF,MATCH(161,tk_ASEQ,0)),"")</f>
        <v/>
      </c>
      <c r="C167" s="162">
        <f>IFERROR(""&amp;INDEX(tk_ROOMT,MATCH(161,tk_ASEQ,0)),"")</f>
        <v/>
      </c>
      <c r="D167" s="162">
        <f>IFERROR(INDEX(tk_QTY,MATCH(161,tk_ASEQ,0)),"")</f>
        <v/>
      </c>
      <c r="E167" s="162">
        <f>IFERROR(""&amp;INDEX(tk_SIZE,MATCH(161,tk_ASEQ,0)),"")</f>
        <v/>
      </c>
      <c r="F167" s="162">
        <f>IFERROR(""&amp;INDEX(tk_PAIR,MATCH(161,tk_ASEQ,0)),"")</f>
        <v/>
      </c>
      <c r="G167" s="162">
        <f>IFERROR(""&amp;INDEX(tk_DMAT,MATCH(161,tk_ASEQ,0)),"")</f>
        <v/>
      </c>
      <c r="H167" s="162">
        <f>IFERROR(""&amp;INDEX(tk_DGA,MATCH(161,tk_ASEQ,0)),"")</f>
        <v/>
      </c>
      <c r="I167" s="162">
        <f>IFERROR(""&amp;INDEX(tk_FACE,MATCH(161,tk_ASEQ,0)),"")</f>
        <v/>
      </c>
      <c r="J167" s="162">
        <f>IFERROR(IF(INDEX(tk_DHAND,MATCH(161,tk_ASEQ,0))="",""&amp;INDEX(tk_HAND,MATCH(161,tk_ASEQ,0)),""&amp;INDEX(tk_DHAND,MATCH(161,tk_ASEQ,0))),"")</f>
        <v/>
      </c>
      <c r="K167" s="162">
        <f>IFERROR(""&amp;INDEX(tk_FDESC,MATCH(161,tk_ASEQ,0)),"")</f>
        <v/>
      </c>
      <c r="L167" s="162">
        <f>IFERROR(INDEX(tk_STEEL,MATCH(161,tk_ASEQ,0))&amp;IF(INDEX(tk_FGA,MATCH(161,tk_ASEQ,0))="",""," "&amp;INDEX(tk_FGA,MATCH(161,tk_ASEQ,0))&amp;"GA"),"")</f>
        <v/>
      </c>
      <c r="M167" s="162">
        <f>IFERROR(IFERROR(VLOOKUP(INDEX(tk_JAMB,MATCH(161,tk_ASEQ,0)),CODES,2,FALSE),""&amp;INDEX(tk_JAMB,MATCH(161,tk_ASEQ,0))),"")</f>
        <v/>
      </c>
      <c r="N167" s="162">
        <f>IFERROR(""&amp;INDEX(tk_CONSTR,MATCH(161,tk_ASEQ,0)),"")</f>
        <v/>
      </c>
      <c r="O167" s="162">
        <f>IFERROR(""&amp;INDEX(tk_ANCHOR,MATCH(161,tk_ASEQ,0)),"")</f>
        <v/>
      </c>
      <c r="P167" s="162">
        <f>IFERROR(""&amp;INDEX(tk_RATING,MATCH(161,tk_ASEQ,0)),"")</f>
        <v/>
      </c>
      <c r="Q167" s="162">
        <f>IFERROR(""&amp;INDEX(tk_LABEL,MATCH(161,tk_ASEQ,0)),"")</f>
        <v/>
      </c>
      <c r="R167" s="162">
        <f>IFERROR(""&amp;INDEX(tk_HWSET,MATCH(161,tk_ASEQ,0)),"")</f>
        <v/>
      </c>
      <c r="S167" s="162">
        <f>IFERROR(IF(""&amp;INDEX(tk_HINGES,MATCH(161,tk_ASEQ,0))="","",INDEX(tk_HINGES,MATCH(161,tk_ASEQ,0))&amp;" · "&amp;INDEX(tk_LSRC,MATCH(161,tk_ASEQ,0))),"")</f>
        <v/>
      </c>
      <c r="T167" s="162">
        <f>IFERROR(""&amp;INDEX(tk_LOCK,MATCH(161,tk_ASEQ,0)),"")</f>
        <v/>
      </c>
      <c r="U167" s="162">
        <f>IFERROR(INDEX(tk_ETYPE,MATCH(161,tk_ASEQ,0)),"")</f>
        <v/>
      </c>
      <c r="V167" s="162">
        <f>IFERROR(""&amp;INDEX(tk_CHECK,MATCH(161,tk_ASEQ,0)),"")</f>
        <v/>
      </c>
      <c r="W167" s="162">
        <f>IFERROR(TRIM(INDEX(tk_DNOTES,MATCH(161,tk_ASEQ,0))&amp;" "&amp;INDEX(tk_FNOTES,MATCH(161,tk_ASEQ,0))),"")</f>
        <v/>
      </c>
    </row>
    <row r="168">
      <c r="A168" s="161">
        <f>IFERROR(""&amp;INDEX(tk_MARK,MATCH(162,tk_ASEQ,0)),"")</f>
        <v/>
      </c>
      <c r="B168" s="162">
        <f>IFERROR(""&amp;INDEX(tk_ROOMF,MATCH(162,tk_ASEQ,0)),"")</f>
        <v/>
      </c>
      <c r="C168" s="162">
        <f>IFERROR(""&amp;INDEX(tk_ROOMT,MATCH(162,tk_ASEQ,0)),"")</f>
        <v/>
      </c>
      <c r="D168" s="162">
        <f>IFERROR(INDEX(tk_QTY,MATCH(162,tk_ASEQ,0)),"")</f>
        <v/>
      </c>
      <c r="E168" s="162">
        <f>IFERROR(""&amp;INDEX(tk_SIZE,MATCH(162,tk_ASEQ,0)),"")</f>
        <v/>
      </c>
      <c r="F168" s="162">
        <f>IFERROR(""&amp;INDEX(tk_PAIR,MATCH(162,tk_ASEQ,0)),"")</f>
        <v/>
      </c>
      <c r="G168" s="162">
        <f>IFERROR(""&amp;INDEX(tk_DMAT,MATCH(162,tk_ASEQ,0)),"")</f>
        <v/>
      </c>
      <c r="H168" s="162">
        <f>IFERROR(""&amp;INDEX(tk_DGA,MATCH(162,tk_ASEQ,0)),"")</f>
        <v/>
      </c>
      <c r="I168" s="162">
        <f>IFERROR(""&amp;INDEX(tk_FACE,MATCH(162,tk_ASEQ,0)),"")</f>
        <v/>
      </c>
      <c r="J168" s="162">
        <f>IFERROR(IF(INDEX(tk_DHAND,MATCH(162,tk_ASEQ,0))="",""&amp;INDEX(tk_HAND,MATCH(162,tk_ASEQ,0)),""&amp;INDEX(tk_DHAND,MATCH(162,tk_ASEQ,0))),"")</f>
        <v/>
      </c>
      <c r="K168" s="162">
        <f>IFERROR(""&amp;INDEX(tk_FDESC,MATCH(162,tk_ASEQ,0)),"")</f>
        <v/>
      </c>
      <c r="L168" s="162">
        <f>IFERROR(INDEX(tk_STEEL,MATCH(162,tk_ASEQ,0))&amp;IF(INDEX(tk_FGA,MATCH(162,tk_ASEQ,0))="",""," "&amp;INDEX(tk_FGA,MATCH(162,tk_ASEQ,0))&amp;"GA"),"")</f>
        <v/>
      </c>
      <c r="M168" s="162">
        <f>IFERROR(IFERROR(VLOOKUP(INDEX(tk_JAMB,MATCH(162,tk_ASEQ,0)),CODES,2,FALSE),""&amp;INDEX(tk_JAMB,MATCH(162,tk_ASEQ,0))),"")</f>
        <v/>
      </c>
      <c r="N168" s="162">
        <f>IFERROR(""&amp;INDEX(tk_CONSTR,MATCH(162,tk_ASEQ,0)),"")</f>
        <v/>
      </c>
      <c r="O168" s="162">
        <f>IFERROR(""&amp;INDEX(tk_ANCHOR,MATCH(162,tk_ASEQ,0)),"")</f>
        <v/>
      </c>
      <c r="P168" s="162">
        <f>IFERROR(""&amp;INDEX(tk_RATING,MATCH(162,tk_ASEQ,0)),"")</f>
        <v/>
      </c>
      <c r="Q168" s="162">
        <f>IFERROR(""&amp;INDEX(tk_LABEL,MATCH(162,tk_ASEQ,0)),"")</f>
        <v/>
      </c>
      <c r="R168" s="162">
        <f>IFERROR(""&amp;INDEX(tk_HWSET,MATCH(162,tk_ASEQ,0)),"")</f>
        <v/>
      </c>
      <c r="S168" s="162">
        <f>IFERROR(IF(""&amp;INDEX(tk_HINGES,MATCH(162,tk_ASEQ,0))="","",INDEX(tk_HINGES,MATCH(162,tk_ASEQ,0))&amp;" · "&amp;INDEX(tk_LSRC,MATCH(162,tk_ASEQ,0))),"")</f>
        <v/>
      </c>
      <c r="T168" s="162">
        <f>IFERROR(""&amp;INDEX(tk_LOCK,MATCH(162,tk_ASEQ,0)),"")</f>
        <v/>
      </c>
      <c r="U168" s="162">
        <f>IFERROR(INDEX(tk_ETYPE,MATCH(162,tk_ASEQ,0)),"")</f>
        <v/>
      </c>
      <c r="V168" s="162">
        <f>IFERROR(""&amp;INDEX(tk_CHECK,MATCH(162,tk_ASEQ,0)),"")</f>
        <v/>
      </c>
      <c r="W168" s="162">
        <f>IFERROR(TRIM(INDEX(tk_DNOTES,MATCH(162,tk_ASEQ,0))&amp;" "&amp;INDEX(tk_FNOTES,MATCH(162,tk_ASEQ,0))),"")</f>
        <v/>
      </c>
    </row>
    <row r="169">
      <c r="A169" s="161">
        <f>IFERROR(""&amp;INDEX(tk_MARK,MATCH(163,tk_ASEQ,0)),"")</f>
        <v/>
      </c>
      <c r="B169" s="162">
        <f>IFERROR(""&amp;INDEX(tk_ROOMF,MATCH(163,tk_ASEQ,0)),"")</f>
        <v/>
      </c>
      <c r="C169" s="162">
        <f>IFERROR(""&amp;INDEX(tk_ROOMT,MATCH(163,tk_ASEQ,0)),"")</f>
        <v/>
      </c>
      <c r="D169" s="162">
        <f>IFERROR(INDEX(tk_QTY,MATCH(163,tk_ASEQ,0)),"")</f>
        <v/>
      </c>
      <c r="E169" s="162">
        <f>IFERROR(""&amp;INDEX(tk_SIZE,MATCH(163,tk_ASEQ,0)),"")</f>
        <v/>
      </c>
      <c r="F169" s="162">
        <f>IFERROR(""&amp;INDEX(tk_PAIR,MATCH(163,tk_ASEQ,0)),"")</f>
        <v/>
      </c>
      <c r="G169" s="162">
        <f>IFERROR(""&amp;INDEX(tk_DMAT,MATCH(163,tk_ASEQ,0)),"")</f>
        <v/>
      </c>
      <c r="H169" s="162">
        <f>IFERROR(""&amp;INDEX(tk_DGA,MATCH(163,tk_ASEQ,0)),"")</f>
        <v/>
      </c>
      <c r="I169" s="162">
        <f>IFERROR(""&amp;INDEX(tk_FACE,MATCH(163,tk_ASEQ,0)),"")</f>
        <v/>
      </c>
      <c r="J169" s="162">
        <f>IFERROR(IF(INDEX(tk_DHAND,MATCH(163,tk_ASEQ,0))="",""&amp;INDEX(tk_HAND,MATCH(163,tk_ASEQ,0)),""&amp;INDEX(tk_DHAND,MATCH(163,tk_ASEQ,0))),"")</f>
        <v/>
      </c>
      <c r="K169" s="162">
        <f>IFERROR(""&amp;INDEX(tk_FDESC,MATCH(163,tk_ASEQ,0)),"")</f>
        <v/>
      </c>
      <c r="L169" s="162">
        <f>IFERROR(INDEX(tk_STEEL,MATCH(163,tk_ASEQ,0))&amp;IF(INDEX(tk_FGA,MATCH(163,tk_ASEQ,0))="",""," "&amp;INDEX(tk_FGA,MATCH(163,tk_ASEQ,0))&amp;"GA"),"")</f>
        <v/>
      </c>
      <c r="M169" s="162">
        <f>IFERROR(IFERROR(VLOOKUP(INDEX(tk_JAMB,MATCH(163,tk_ASEQ,0)),CODES,2,FALSE),""&amp;INDEX(tk_JAMB,MATCH(163,tk_ASEQ,0))),"")</f>
        <v/>
      </c>
      <c r="N169" s="162">
        <f>IFERROR(""&amp;INDEX(tk_CONSTR,MATCH(163,tk_ASEQ,0)),"")</f>
        <v/>
      </c>
      <c r="O169" s="162">
        <f>IFERROR(""&amp;INDEX(tk_ANCHOR,MATCH(163,tk_ASEQ,0)),"")</f>
        <v/>
      </c>
      <c r="P169" s="162">
        <f>IFERROR(""&amp;INDEX(tk_RATING,MATCH(163,tk_ASEQ,0)),"")</f>
        <v/>
      </c>
      <c r="Q169" s="162">
        <f>IFERROR(""&amp;INDEX(tk_LABEL,MATCH(163,tk_ASEQ,0)),"")</f>
        <v/>
      </c>
      <c r="R169" s="162">
        <f>IFERROR(""&amp;INDEX(tk_HWSET,MATCH(163,tk_ASEQ,0)),"")</f>
        <v/>
      </c>
      <c r="S169" s="162">
        <f>IFERROR(IF(""&amp;INDEX(tk_HINGES,MATCH(163,tk_ASEQ,0))="","",INDEX(tk_HINGES,MATCH(163,tk_ASEQ,0))&amp;" · "&amp;INDEX(tk_LSRC,MATCH(163,tk_ASEQ,0))),"")</f>
        <v/>
      </c>
      <c r="T169" s="162">
        <f>IFERROR(""&amp;INDEX(tk_LOCK,MATCH(163,tk_ASEQ,0)),"")</f>
        <v/>
      </c>
      <c r="U169" s="162">
        <f>IFERROR(INDEX(tk_ETYPE,MATCH(163,tk_ASEQ,0)),"")</f>
        <v/>
      </c>
      <c r="V169" s="162">
        <f>IFERROR(""&amp;INDEX(tk_CHECK,MATCH(163,tk_ASEQ,0)),"")</f>
        <v/>
      </c>
      <c r="W169" s="162">
        <f>IFERROR(TRIM(INDEX(tk_DNOTES,MATCH(163,tk_ASEQ,0))&amp;" "&amp;INDEX(tk_FNOTES,MATCH(163,tk_ASEQ,0))),"")</f>
        <v/>
      </c>
    </row>
    <row r="170">
      <c r="A170" s="161">
        <f>IFERROR(""&amp;INDEX(tk_MARK,MATCH(164,tk_ASEQ,0)),"")</f>
        <v/>
      </c>
      <c r="B170" s="162">
        <f>IFERROR(""&amp;INDEX(tk_ROOMF,MATCH(164,tk_ASEQ,0)),"")</f>
        <v/>
      </c>
      <c r="C170" s="162">
        <f>IFERROR(""&amp;INDEX(tk_ROOMT,MATCH(164,tk_ASEQ,0)),"")</f>
        <v/>
      </c>
      <c r="D170" s="162">
        <f>IFERROR(INDEX(tk_QTY,MATCH(164,tk_ASEQ,0)),"")</f>
        <v/>
      </c>
      <c r="E170" s="162">
        <f>IFERROR(""&amp;INDEX(tk_SIZE,MATCH(164,tk_ASEQ,0)),"")</f>
        <v/>
      </c>
      <c r="F170" s="162">
        <f>IFERROR(""&amp;INDEX(tk_PAIR,MATCH(164,tk_ASEQ,0)),"")</f>
        <v/>
      </c>
      <c r="G170" s="162">
        <f>IFERROR(""&amp;INDEX(tk_DMAT,MATCH(164,tk_ASEQ,0)),"")</f>
        <v/>
      </c>
      <c r="H170" s="162">
        <f>IFERROR(""&amp;INDEX(tk_DGA,MATCH(164,tk_ASEQ,0)),"")</f>
        <v/>
      </c>
      <c r="I170" s="162">
        <f>IFERROR(""&amp;INDEX(tk_FACE,MATCH(164,tk_ASEQ,0)),"")</f>
        <v/>
      </c>
      <c r="J170" s="162">
        <f>IFERROR(IF(INDEX(tk_DHAND,MATCH(164,tk_ASEQ,0))="",""&amp;INDEX(tk_HAND,MATCH(164,tk_ASEQ,0)),""&amp;INDEX(tk_DHAND,MATCH(164,tk_ASEQ,0))),"")</f>
        <v/>
      </c>
      <c r="K170" s="162">
        <f>IFERROR(""&amp;INDEX(tk_FDESC,MATCH(164,tk_ASEQ,0)),"")</f>
        <v/>
      </c>
      <c r="L170" s="162">
        <f>IFERROR(INDEX(tk_STEEL,MATCH(164,tk_ASEQ,0))&amp;IF(INDEX(tk_FGA,MATCH(164,tk_ASEQ,0))="",""," "&amp;INDEX(tk_FGA,MATCH(164,tk_ASEQ,0))&amp;"GA"),"")</f>
        <v/>
      </c>
      <c r="M170" s="162">
        <f>IFERROR(IFERROR(VLOOKUP(INDEX(tk_JAMB,MATCH(164,tk_ASEQ,0)),CODES,2,FALSE),""&amp;INDEX(tk_JAMB,MATCH(164,tk_ASEQ,0))),"")</f>
        <v/>
      </c>
      <c r="N170" s="162">
        <f>IFERROR(""&amp;INDEX(tk_CONSTR,MATCH(164,tk_ASEQ,0)),"")</f>
        <v/>
      </c>
      <c r="O170" s="162">
        <f>IFERROR(""&amp;INDEX(tk_ANCHOR,MATCH(164,tk_ASEQ,0)),"")</f>
        <v/>
      </c>
      <c r="P170" s="162">
        <f>IFERROR(""&amp;INDEX(tk_RATING,MATCH(164,tk_ASEQ,0)),"")</f>
        <v/>
      </c>
      <c r="Q170" s="162">
        <f>IFERROR(""&amp;INDEX(tk_LABEL,MATCH(164,tk_ASEQ,0)),"")</f>
        <v/>
      </c>
      <c r="R170" s="162">
        <f>IFERROR(""&amp;INDEX(tk_HWSET,MATCH(164,tk_ASEQ,0)),"")</f>
        <v/>
      </c>
      <c r="S170" s="162">
        <f>IFERROR(IF(""&amp;INDEX(tk_HINGES,MATCH(164,tk_ASEQ,0))="","",INDEX(tk_HINGES,MATCH(164,tk_ASEQ,0))&amp;" · "&amp;INDEX(tk_LSRC,MATCH(164,tk_ASEQ,0))),"")</f>
        <v/>
      </c>
      <c r="T170" s="162">
        <f>IFERROR(""&amp;INDEX(tk_LOCK,MATCH(164,tk_ASEQ,0)),"")</f>
        <v/>
      </c>
      <c r="U170" s="162">
        <f>IFERROR(INDEX(tk_ETYPE,MATCH(164,tk_ASEQ,0)),"")</f>
        <v/>
      </c>
      <c r="V170" s="162">
        <f>IFERROR(""&amp;INDEX(tk_CHECK,MATCH(164,tk_ASEQ,0)),"")</f>
        <v/>
      </c>
      <c r="W170" s="162">
        <f>IFERROR(TRIM(INDEX(tk_DNOTES,MATCH(164,tk_ASEQ,0))&amp;" "&amp;INDEX(tk_FNOTES,MATCH(164,tk_ASEQ,0))),"")</f>
        <v/>
      </c>
    </row>
    <row r="171">
      <c r="A171" s="161">
        <f>IFERROR(""&amp;INDEX(tk_MARK,MATCH(165,tk_ASEQ,0)),"")</f>
        <v/>
      </c>
      <c r="B171" s="162">
        <f>IFERROR(""&amp;INDEX(tk_ROOMF,MATCH(165,tk_ASEQ,0)),"")</f>
        <v/>
      </c>
      <c r="C171" s="162">
        <f>IFERROR(""&amp;INDEX(tk_ROOMT,MATCH(165,tk_ASEQ,0)),"")</f>
        <v/>
      </c>
      <c r="D171" s="162">
        <f>IFERROR(INDEX(tk_QTY,MATCH(165,tk_ASEQ,0)),"")</f>
        <v/>
      </c>
      <c r="E171" s="162">
        <f>IFERROR(""&amp;INDEX(tk_SIZE,MATCH(165,tk_ASEQ,0)),"")</f>
        <v/>
      </c>
      <c r="F171" s="162">
        <f>IFERROR(""&amp;INDEX(tk_PAIR,MATCH(165,tk_ASEQ,0)),"")</f>
        <v/>
      </c>
      <c r="G171" s="162">
        <f>IFERROR(""&amp;INDEX(tk_DMAT,MATCH(165,tk_ASEQ,0)),"")</f>
        <v/>
      </c>
      <c r="H171" s="162">
        <f>IFERROR(""&amp;INDEX(tk_DGA,MATCH(165,tk_ASEQ,0)),"")</f>
        <v/>
      </c>
      <c r="I171" s="162">
        <f>IFERROR(""&amp;INDEX(tk_FACE,MATCH(165,tk_ASEQ,0)),"")</f>
        <v/>
      </c>
      <c r="J171" s="162">
        <f>IFERROR(IF(INDEX(tk_DHAND,MATCH(165,tk_ASEQ,0))="",""&amp;INDEX(tk_HAND,MATCH(165,tk_ASEQ,0)),""&amp;INDEX(tk_DHAND,MATCH(165,tk_ASEQ,0))),"")</f>
        <v/>
      </c>
      <c r="K171" s="162">
        <f>IFERROR(""&amp;INDEX(tk_FDESC,MATCH(165,tk_ASEQ,0)),"")</f>
        <v/>
      </c>
      <c r="L171" s="162">
        <f>IFERROR(INDEX(tk_STEEL,MATCH(165,tk_ASEQ,0))&amp;IF(INDEX(tk_FGA,MATCH(165,tk_ASEQ,0))="",""," "&amp;INDEX(tk_FGA,MATCH(165,tk_ASEQ,0))&amp;"GA"),"")</f>
        <v/>
      </c>
      <c r="M171" s="162">
        <f>IFERROR(IFERROR(VLOOKUP(INDEX(tk_JAMB,MATCH(165,tk_ASEQ,0)),CODES,2,FALSE),""&amp;INDEX(tk_JAMB,MATCH(165,tk_ASEQ,0))),"")</f>
        <v/>
      </c>
      <c r="N171" s="162">
        <f>IFERROR(""&amp;INDEX(tk_CONSTR,MATCH(165,tk_ASEQ,0)),"")</f>
        <v/>
      </c>
      <c r="O171" s="162">
        <f>IFERROR(""&amp;INDEX(tk_ANCHOR,MATCH(165,tk_ASEQ,0)),"")</f>
        <v/>
      </c>
      <c r="P171" s="162">
        <f>IFERROR(""&amp;INDEX(tk_RATING,MATCH(165,tk_ASEQ,0)),"")</f>
        <v/>
      </c>
      <c r="Q171" s="162">
        <f>IFERROR(""&amp;INDEX(tk_LABEL,MATCH(165,tk_ASEQ,0)),"")</f>
        <v/>
      </c>
      <c r="R171" s="162">
        <f>IFERROR(""&amp;INDEX(tk_HWSET,MATCH(165,tk_ASEQ,0)),"")</f>
        <v/>
      </c>
      <c r="S171" s="162">
        <f>IFERROR(IF(""&amp;INDEX(tk_HINGES,MATCH(165,tk_ASEQ,0))="","",INDEX(tk_HINGES,MATCH(165,tk_ASEQ,0))&amp;" · "&amp;INDEX(tk_LSRC,MATCH(165,tk_ASEQ,0))),"")</f>
        <v/>
      </c>
      <c r="T171" s="162">
        <f>IFERROR(""&amp;INDEX(tk_LOCK,MATCH(165,tk_ASEQ,0)),"")</f>
        <v/>
      </c>
      <c r="U171" s="162">
        <f>IFERROR(INDEX(tk_ETYPE,MATCH(165,tk_ASEQ,0)),"")</f>
        <v/>
      </c>
      <c r="V171" s="162">
        <f>IFERROR(""&amp;INDEX(tk_CHECK,MATCH(165,tk_ASEQ,0)),"")</f>
        <v/>
      </c>
      <c r="W171" s="162">
        <f>IFERROR(TRIM(INDEX(tk_DNOTES,MATCH(165,tk_ASEQ,0))&amp;" "&amp;INDEX(tk_FNOTES,MATCH(165,tk_ASEQ,0))),"")</f>
        <v/>
      </c>
    </row>
    <row r="172">
      <c r="A172" s="161">
        <f>IFERROR(""&amp;INDEX(tk_MARK,MATCH(166,tk_ASEQ,0)),"")</f>
        <v/>
      </c>
      <c r="B172" s="162">
        <f>IFERROR(""&amp;INDEX(tk_ROOMF,MATCH(166,tk_ASEQ,0)),"")</f>
        <v/>
      </c>
      <c r="C172" s="162">
        <f>IFERROR(""&amp;INDEX(tk_ROOMT,MATCH(166,tk_ASEQ,0)),"")</f>
        <v/>
      </c>
      <c r="D172" s="162">
        <f>IFERROR(INDEX(tk_QTY,MATCH(166,tk_ASEQ,0)),"")</f>
        <v/>
      </c>
      <c r="E172" s="162">
        <f>IFERROR(""&amp;INDEX(tk_SIZE,MATCH(166,tk_ASEQ,0)),"")</f>
        <v/>
      </c>
      <c r="F172" s="162">
        <f>IFERROR(""&amp;INDEX(tk_PAIR,MATCH(166,tk_ASEQ,0)),"")</f>
        <v/>
      </c>
      <c r="G172" s="162">
        <f>IFERROR(""&amp;INDEX(tk_DMAT,MATCH(166,tk_ASEQ,0)),"")</f>
        <v/>
      </c>
      <c r="H172" s="162">
        <f>IFERROR(""&amp;INDEX(tk_DGA,MATCH(166,tk_ASEQ,0)),"")</f>
        <v/>
      </c>
      <c r="I172" s="162">
        <f>IFERROR(""&amp;INDEX(tk_FACE,MATCH(166,tk_ASEQ,0)),"")</f>
        <v/>
      </c>
      <c r="J172" s="162">
        <f>IFERROR(IF(INDEX(tk_DHAND,MATCH(166,tk_ASEQ,0))="",""&amp;INDEX(tk_HAND,MATCH(166,tk_ASEQ,0)),""&amp;INDEX(tk_DHAND,MATCH(166,tk_ASEQ,0))),"")</f>
        <v/>
      </c>
      <c r="K172" s="162">
        <f>IFERROR(""&amp;INDEX(tk_FDESC,MATCH(166,tk_ASEQ,0)),"")</f>
        <v/>
      </c>
      <c r="L172" s="162">
        <f>IFERROR(INDEX(tk_STEEL,MATCH(166,tk_ASEQ,0))&amp;IF(INDEX(tk_FGA,MATCH(166,tk_ASEQ,0))="",""," "&amp;INDEX(tk_FGA,MATCH(166,tk_ASEQ,0))&amp;"GA"),"")</f>
        <v/>
      </c>
      <c r="M172" s="162">
        <f>IFERROR(IFERROR(VLOOKUP(INDEX(tk_JAMB,MATCH(166,tk_ASEQ,0)),CODES,2,FALSE),""&amp;INDEX(tk_JAMB,MATCH(166,tk_ASEQ,0))),"")</f>
        <v/>
      </c>
      <c r="N172" s="162">
        <f>IFERROR(""&amp;INDEX(tk_CONSTR,MATCH(166,tk_ASEQ,0)),"")</f>
        <v/>
      </c>
      <c r="O172" s="162">
        <f>IFERROR(""&amp;INDEX(tk_ANCHOR,MATCH(166,tk_ASEQ,0)),"")</f>
        <v/>
      </c>
      <c r="P172" s="162">
        <f>IFERROR(""&amp;INDEX(tk_RATING,MATCH(166,tk_ASEQ,0)),"")</f>
        <v/>
      </c>
      <c r="Q172" s="162">
        <f>IFERROR(""&amp;INDEX(tk_LABEL,MATCH(166,tk_ASEQ,0)),"")</f>
        <v/>
      </c>
      <c r="R172" s="162">
        <f>IFERROR(""&amp;INDEX(tk_HWSET,MATCH(166,tk_ASEQ,0)),"")</f>
        <v/>
      </c>
      <c r="S172" s="162">
        <f>IFERROR(IF(""&amp;INDEX(tk_HINGES,MATCH(166,tk_ASEQ,0))="","",INDEX(tk_HINGES,MATCH(166,tk_ASEQ,0))&amp;" · "&amp;INDEX(tk_LSRC,MATCH(166,tk_ASEQ,0))),"")</f>
        <v/>
      </c>
      <c r="T172" s="162">
        <f>IFERROR(""&amp;INDEX(tk_LOCK,MATCH(166,tk_ASEQ,0)),"")</f>
        <v/>
      </c>
      <c r="U172" s="162">
        <f>IFERROR(INDEX(tk_ETYPE,MATCH(166,tk_ASEQ,0)),"")</f>
        <v/>
      </c>
      <c r="V172" s="162">
        <f>IFERROR(""&amp;INDEX(tk_CHECK,MATCH(166,tk_ASEQ,0)),"")</f>
        <v/>
      </c>
      <c r="W172" s="162">
        <f>IFERROR(TRIM(INDEX(tk_DNOTES,MATCH(166,tk_ASEQ,0))&amp;" "&amp;INDEX(tk_FNOTES,MATCH(166,tk_ASEQ,0))),"")</f>
        <v/>
      </c>
    </row>
    <row r="173">
      <c r="A173" s="161">
        <f>IFERROR(""&amp;INDEX(tk_MARK,MATCH(167,tk_ASEQ,0)),"")</f>
        <v/>
      </c>
      <c r="B173" s="162">
        <f>IFERROR(""&amp;INDEX(tk_ROOMF,MATCH(167,tk_ASEQ,0)),"")</f>
        <v/>
      </c>
      <c r="C173" s="162">
        <f>IFERROR(""&amp;INDEX(tk_ROOMT,MATCH(167,tk_ASEQ,0)),"")</f>
        <v/>
      </c>
      <c r="D173" s="162">
        <f>IFERROR(INDEX(tk_QTY,MATCH(167,tk_ASEQ,0)),"")</f>
        <v/>
      </c>
      <c r="E173" s="162">
        <f>IFERROR(""&amp;INDEX(tk_SIZE,MATCH(167,tk_ASEQ,0)),"")</f>
        <v/>
      </c>
      <c r="F173" s="162">
        <f>IFERROR(""&amp;INDEX(tk_PAIR,MATCH(167,tk_ASEQ,0)),"")</f>
        <v/>
      </c>
      <c r="G173" s="162">
        <f>IFERROR(""&amp;INDEX(tk_DMAT,MATCH(167,tk_ASEQ,0)),"")</f>
        <v/>
      </c>
      <c r="H173" s="162">
        <f>IFERROR(""&amp;INDEX(tk_DGA,MATCH(167,tk_ASEQ,0)),"")</f>
        <v/>
      </c>
      <c r="I173" s="162">
        <f>IFERROR(""&amp;INDEX(tk_FACE,MATCH(167,tk_ASEQ,0)),"")</f>
        <v/>
      </c>
      <c r="J173" s="162">
        <f>IFERROR(IF(INDEX(tk_DHAND,MATCH(167,tk_ASEQ,0))="",""&amp;INDEX(tk_HAND,MATCH(167,tk_ASEQ,0)),""&amp;INDEX(tk_DHAND,MATCH(167,tk_ASEQ,0))),"")</f>
        <v/>
      </c>
      <c r="K173" s="162">
        <f>IFERROR(""&amp;INDEX(tk_FDESC,MATCH(167,tk_ASEQ,0)),"")</f>
        <v/>
      </c>
      <c r="L173" s="162">
        <f>IFERROR(INDEX(tk_STEEL,MATCH(167,tk_ASEQ,0))&amp;IF(INDEX(tk_FGA,MATCH(167,tk_ASEQ,0))="",""," "&amp;INDEX(tk_FGA,MATCH(167,tk_ASEQ,0))&amp;"GA"),"")</f>
        <v/>
      </c>
      <c r="M173" s="162">
        <f>IFERROR(IFERROR(VLOOKUP(INDEX(tk_JAMB,MATCH(167,tk_ASEQ,0)),CODES,2,FALSE),""&amp;INDEX(tk_JAMB,MATCH(167,tk_ASEQ,0))),"")</f>
        <v/>
      </c>
      <c r="N173" s="162">
        <f>IFERROR(""&amp;INDEX(tk_CONSTR,MATCH(167,tk_ASEQ,0)),"")</f>
        <v/>
      </c>
      <c r="O173" s="162">
        <f>IFERROR(""&amp;INDEX(tk_ANCHOR,MATCH(167,tk_ASEQ,0)),"")</f>
        <v/>
      </c>
      <c r="P173" s="162">
        <f>IFERROR(""&amp;INDEX(tk_RATING,MATCH(167,tk_ASEQ,0)),"")</f>
        <v/>
      </c>
      <c r="Q173" s="162">
        <f>IFERROR(""&amp;INDEX(tk_LABEL,MATCH(167,tk_ASEQ,0)),"")</f>
        <v/>
      </c>
      <c r="R173" s="162">
        <f>IFERROR(""&amp;INDEX(tk_HWSET,MATCH(167,tk_ASEQ,0)),"")</f>
        <v/>
      </c>
      <c r="S173" s="162">
        <f>IFERROR(IF(""&amp;INDEX(tk_HINGES,MATCH(167,tk_ASEQ,0))="","",INDEX(tk_HINGES,MATCH(167,tk_ASEQ,0))&amp;" · "&amp;INDEX(tk_LSRC,MATCH(167,tk_ASEQ,0))),"")</f>
        <v/>
      </c>
      <c r="T173" s="162">
        <f>IFERROR(""&amp;INDEX(tk_LOCK,MATCH(167,tk_ASEQ,0)),"")</f>
        <v/>
      </c>
      <c r="U173" s="162">
        <f>IFERROR(INDEX(tk_ETYPE,MATCH(167,tk_ASEQ,0)),"")</f>
        <v/>
      </c>
      <c r="V173" s="162">
        <f>IFERROR(""&amp;INDEX(tk_CHECK,MATCH(167,tk_ASEQ,0)),"")</f>
        <v/>
      </c>
      <c r="W173" s="162">
        <f>IFERROR(TRIM(INDEX(tk_DNOTES,MATCH(167,tk_ASEQ,0))&amp;" "&amp;INDEX(tk_FNOTES,MATCH(167,tk_ASEQ,0))),"")</f>
        <v/>
      </c>
    </row>
    <row r="174">
      <c r="A174" s="161">
        <f>IFERROR(""&amp;INDEX(tk_MARK,MATCH(168,tk_ASEQ,0)),"")</f>
        <v/>
      </c>
      <c r="B174" s="162">
        <f>IFERROR(""&amp;INDEX(tk_ROOMF,MATCH(168,tk_ASEQ,0)),"")</f>
        <v/>
      </c>
      <c r="C174" s="162">
        <f>IFERROR(""&amp;INDEX(tk_ROOMT,MATCH(168,tk_ASEQ,0)),"")</f>
        <v/>
      </c>
      <c r="D174" s="162">
        <f>IFERROR(INDEX(tk_QTY,MATCH(168,tk_ASEQ,0)),"")</f>
        <v/>
      </c>
      <c r="E174" s="162">
        <f>IFERROR(""&amp;INDEX(tk_SIZE,MATCH(168,tk_ASEQ,0)),"")</f>
        <v/>
      </c>
      <c r="F174" s="162">
        <f>IFERROR(""&amp;INDEX(tk_PAIR,MATCH(168,tk_ASEQ,0)),"")</f>
        <v/>
      </c>
      <c r="G174" s="162">
        <f>IFERROR(""&amp;INDEX(tk_DMAT,MATCH(168,tk_ASEQ,0)),"")</f>
        <v/>
      </c>
      <c r="H174" s="162">
        <f>IFERROR(""&amp;INDEX(tk_DGA,MATCH(168,tk_ASEQ,0)),"")</f>
        <v/>
      </c>
      <c r="I174" s="162">
        <f>IFERROR(""&amp;INDEX(tk_FACE,MATCH(168,tk_ASEQ,0)),"")</f>
        <v/>
      </c>
      <c r="J174" s="162">
        <f>IFERROR(IF(INDEX(tk_DHAND,MATCH(168,tk_ASEQ,0))="",""&amp;INDEX(tk_HAND,MATCH(168,tk_ASEQ,0)),""&amp;INDEX(tk_DHAND,MATCH(168,tk_ASEQ,0))),"")</f>
        <v/>
      </c>
      <c r="K174" s="162">
        <f>IFERROR(""&amp;INDEX(tk_FDESC,MATCH(168,tk_ASEQ,0)),"")</f>
        <v/>
      </c>
      <c r="L174" s="162">
        <f>IFERROR(INDEX(tk_STEEL,MATCH(168,tk_ASEQ,0))&amp;IF(INDEX(tk_FGA,MATCH(168,tk_ASEQ,0))="",""," "&amp;INDEX(tk_FGA,MATCH(168,tk_ASEQ,0))&amp;"GA"),"")</f>
        <v/>
      </c>
      <c r="M174" s="162">
        <f>IFERROR(IFERROR(VLOOKUP(INDEX(tk_JAMB,MATCH(168,tk_ASEQ,0)),CODES,2,FALSE),""&amp;INDEX(tk_JAMB,MATCH(168,tk_ASEQ,0))),"")</f>
        <v/>
      </c>
      <c r="N174" s="162">
        <f>IFERROR(""&amp;INDEX(tk_CONSTR,MATCH(168,tk_ASEQ,0)),"")</f>
        <v/>
      </c>
      <c r="O174" s="162">
        <f>IFERROR(""&amp;INDEX(tk_ANCHOR,MATCH(168,tk_ASEQ,0)),"")</f>
        <v/>
      </c>
      <c r="P174" s="162">
        <f>IFERROR(""&amp;INDEX(tk_RATING,MATCH(168,tk_ASEQ,0)),"")</f>
        <v/>
      </c>
      <c r="Q174" s="162">
        <f>IFERROR(""&amp;INDEX(tk_LABEL,MATCH(168,tk_ASEQ,0)),"")</f>
        <v/>
      </c>
      <c r="R174" s="162">
        <f>IFERROR(""&amp;INDEX(tk_HWSET,MATCH(168,tk_ASEQ,0)),"")</f>
        <v/>
      </c>
      <c r="S174" s="162">
        <f>IFERROR(IF(""&amp;INDEX(tk_HINGES,MATCH(168,tk_ASEQ,0))="","",INDEX(tk_HINGES,MATCH(168,tk_ASEQ,0))&amp;" · "&amp;INDEX(tk_LSRC,MATCH(168,tk_ASEQ,0))),"")</f>
        <v/>
      </c>
      <c r="T174" s="162">
        <f>IFERROR(""&amp;INDEX(tk_LOCK,MATCH(168,tk_ASEQ,0)),"")</f>
        <v/>
      </c>
      <c r="U174" s="162">
        <f>IFERROR(INDEX(tk_ETYPE,MATCH(168,tk_ASEQ,0)),"")</f>
        <v/>
      </c>
      <c r="V174" s="162">
        <f>IFERROR(""&amp;INDEX(tk_CHECK,MATCH(168,tk_ASEQ,0)),"")</f>
        <v/>
      </c>
      <c r="W174" s="162">
        <f>IFERROR(TRIM(INDEX(tk_DNOTES,MATCH(168,tk_ASEQ,0))&amp;" "&amp;INDEX(tk_FNOTES,MATCH(168,tk_ASEQ,0))),"")</f>
        <v/>
      </c>
    </row>
    <row r="175">
      <c r="A175" s="161">
        <f>IFERROR(""&amp;INDEX(tk_MARK,MATCH(169,tk_ASEQ,0)),"")</f>
        <v/>
      </c>
      <c r="B175" s="162">
        <f>IFERROR(""&amp;INDEX(tk_ROOMF,MATCH(169,tk_ASEQ,0)),"")</f>
        <v/>
      </c>
      <c r="C175" s="162">
        <f>IFERROR(""&amp;INDEX(tk_ROOMT,MATCH(169,tk_ASEQ,0)),"")</f>
        <v/>
      </c>
      <c r="D175" s="162">
        <f>IFERROR(INDEX(tk_QTY,MATCH(169,tk_ASEQ,0)),"")</f>
        <v/>
      </c>
      <c r="E175" s="162">
        <f>IFERROR(""&amp;INDEX(tk_SIZE,MATCH(169,tk_ASEQ,0)),"")</f>
        <v/>
      </c>
      <c r="F175" s="162">
        <f>IFERROR(""&amp;INDEX(tk_PAIR,MATCH(169,tk_ASEQ,0)),"")</f>
        <v/>
      </c>
      <c r="G175" s="162">
        <f>IFERROR(""&amp;INDEX(tk_DMAT,MATCH(169,tk_ASEQ,0)),"")</f>
        <v/>
      </c>
      <c r="H175" s="162">
        <f>IFERROR(""&amp;INDEX(tk_DGA,MATCH(169,tk_ASEQ,0)),"")</f>
        <v/>
      </c>
      <c r="I175" s="162">
        <f>IFERROR(""&amp;INDEX(tk_FACE,MATCH(169,tk_ASEQ,0)),"")</f>
        <v/>
      </c>
      <c r="J175" s="162">
        <f>IFERROR(IF(INDEX(tk_DHAND,MATCH(169,tk_ASEQ,0))="",""&amp;INDEX(tk_HAND,MATCH(169,tk_ASEQ,0)),""&amp;INDEX(tk_DHAND,MATCH(169,tk_ASEQ,0))),"")</f>
        <v/>
      </c>
      <c r="K175" s="162">
        <f>IFERROR(""&amp;INDEX(tk_FDESC,MATCH(169,tk_ASEQ,0)),"")</f>
        <v/>
      </c>
      <c r="L175" s="162">
        <f>IFERROR(INDEX(tk_STEEL,MATCH(169,tk_ASEQ,0))&amp;IF(INDEX(tk_FGA,MATCH(169,tk_ASEQ,0))="",""," "&amp;INDEX(tk_FGA,MATCH(169,tk_ASEQ,0))&amp;"GA"),"")</f>
        <v/>
      </c>
      <c r="M175" s="162">
        <f>IFERROR(IFERROR(VLOOKUP(INDEX(tk_JAMB,MATCH(169,tk_ASEQ,0)),CODES,2,FALSE),""&amp;INDEX(tk_JAMB,MATCH(169,tk_ASEQ,0))),"")</f>
        <v/>
      </c>
      <c r="N175" s="162">
        <f>IFERROR(""&amp;INDEX(tk_CONSTR,MATCH(169,tk_ASEQ,0)),"")</f>
        <v/>
      </c>
      <c r="O175" s="162">
        <f>IFERROR(""&amp;INDEX(tk_ANCHOR,MATCH(169,tk_ASEQ,0)),"")</f>
        <v/>
      </c>
      <c r="P175" s="162">
        <f>IFERROR(""&amp;INDEX(tk_RATING,MATCH(169,tk_ASEQ,0)),"")</f>
        <v/>
      </c>
      <c r="Q175" s="162">
        <f>IFERROR(""&amp;INDEX(tk_LABEL,MATCH(169,tk_ASEQ,0)),"")</f>
        <v/>
      </c>
      <c r="R175" s="162">
        <f>IFERROR(""&amp;INDEX(tk_HWSET,MATCH(169,tk_ASEQ,0)),"")</f>
        <v/>
      </c>
      <c r="S175" s="162">
        <f>IFERROR(IF(""&amp;INDEX(tk_HINGES,MATCH(169,tk_ASEQ,0))="","",INDEX(tk_HINGES,MATCH(169,tk_ASEQ,0))&amp;" · "&amp;INDEX(tk_LSRC,MATCH(169,tk_ASEQ,0))),"")</f>
        <v/>
      </c>
      <c r="T175" s="162">
        <f>IFERROR(""&amp;INDEX(tk_LOCK,MATCH(169,tk_ASEQ,0)),"")</f>
        <v/>
      </c>
      <c r="U175" s="162">
        <f>IFERROR(INDEX(tk_ETYPE,MATCH(169,tk_ASEQ,0)),"")</f>
        <v/>
      </c>
      <c r="V175" s="162">
        <f>IFERROR(""&amp;INDEX(tk_CHECK,MATCH(169,tk_ASEQ,0)),"")</f>
        <v/>
      </c>
      <c r="W175" s="162">
        <f>IFERROR(TRIM(INDEX(tk_DNOTES,MATCH(169,tk_ASEQ,0))&amp;" "&amp;INDEX(tk_FNOTES,MATCH(169,tk_ASEQ,0))),"")</f>
        <v/>
      </c>
    </row>
    <row r="176">
      <c r="A176" s="161">
        <f>IFERROR(""&amp;INDEX(tk_MARK,MATCH(170,tk_ASEQ,0)),"")</f>
        <v/>
      </c>
      <c r="B176" s="162">
        <f>IFERROR(""&amp;INDEX(tk_ROOMF,MATCH(170,tk_ASEQ,0)),"")</f>
        <v/>
      </c>
      <c r="C176" s="162">
        <f>IFERROR(""&amp;INDEX(tk_ROOMT,MATCH(170,tk_ASEQ,0)),"")</f>
        <v/>
      </c>
      <c r="D176" s="162">
        <f>IFERROR(INDEX(tk_QTY,MATCH(170,tk_ASEQ,0)),"")</f>
        <v/>
      </c>
      <c r="E176" s="162">
        <f>IFERROR(""&amp;INDEX(tk_SIZE,MATCH(170,tk_ASEQ,0)),"")</f>
        <v/>
      </c>
      <c r="F176" s="162">
        <f>IFERROR(""&amp;INDEX(tk_PAIR,MATCH(170,tk_ASEQ,0)),"")</f>
        <v/>
      </c>
      <c r="G176" s="162">
        <f>IFERROR(""&amp;INDEX(tk_DMAT,MATCH(170,tk_ASEQ,0)),"")</f>
        <v/>
      </c>
      <c r="H176" s="162">
        <f>IFERROR(""&amp;INDEX(tk_DGA,MATCH(170,tk_ASEQ,0)),"")</f>
        <v/>
      </c>
      <c r="I176" s="162">
        <f>IFERROR(""&amp;INDEX(tk_FACE,MATCH(170,tk_ASEQ,0)),"")</f>
        <v/>
      </c>
      <c r="J176" s="162">
        <f>IFERROR(IF(INDEX(tk_DHAND,MATCH(170,tk_ASEQ,0))="",""&amp;INDEX(tk_HAND,MATCH(170,tk_ASEQ,0)),""&amp;INDEX(tk_DHAND,MATCH(170,tk_ASEQ,0))),"")</f>
        <v/>
      </c>
      <c r="K176" s="162">
        <f>IFERROR(""&amp;INDEX(tk_FDESC,MATCH(170,tk_ASEQ,0)),"")</f>
        <v/>
      </c>
      <c r="L176" s="162">
        <f>IFERROR(INDEX(tk_STEEL,MATCH(170,tk_ASEQ,0))&amp;IF(INDEX(tk_FGA,MATCH(170,tk_ASEQ,0))="",""," "&amp;INDEX(tk_FGA,MATCH(170,tk_ASEQ,0))&amp;"GA"),"")</f>
        <v/>
      </c>
      <c r="M176" s="162">
        <f>IFERROR(IFERROR(VLOOKUP(INDEX(tk_JAMB,MATCH(170,tk_ASEQ,0)),CODES,2,FALSE),""&amp;INDEX(tk_JAMB,MATCH(170,tk_ASEQ,0))),"")</f>
        <v/>
      </c>
      <c r="N176" s="162">
        <f>IFERROR(""&amp;INDEX(tk_CONSTR,MATCH(170,tk_ASEQ,0)),"")</f>
        <v/>
      </c>
      <c r="O176" s="162">
        <f>IFERROR(""&amp;INDEX(tk_ANCHOR,MATCH(170,tk_ASEQ,0)),"")</f>
        <v/>
      </c>
      <c r="P176" s="162">
        <f>IFERROR(""&amp;INDEX(tk_RATING,MATCH(170,tk_ASEQ,0)),"")</f>
        <v/>
      </c>
      <c r="Q176" s="162">
        <f>IFERROR(""&amp;INDEX(tk_LABEL,MATCH(170,tk_ASEQ,0)),"")</f>
        <v/>
      </c>
      <c r="R176" s="162">
        <f>IFERROR(""&amp;INDEX(tk_HWSET,MATCH(170,tk_ASEQ,0)),"")</f>
        <v/>
      </c>
      <c r="S176" s="162">
        <f>IFERROR(IF(""&amp;INDEX(tk_HINGES,MATCH(170,tk_ASEQ,0))="","",INDEX(tk_HINGES,MATCH(170,tk_ASEQ,0))&amp;" · "&amp;INDEX(tk_LSRC,MATCH(170,tk_ASEQ,0))),"")</f>
        <v/>
      </c>
      <c r="T176" s="162">
        <f>IFERROR(""&amp;INDEX(tk_LOCK,MATCH(170,tk_ASEQ,0)),"")</f>
        <v/>
      </c>
      <c r="U176" s="162">
        <f>IFERROR(INDEX(tk_ETYPE,MATCH(170,tk_ASEQ,0)),"")</f>
        <v/>
      </c>
      <c r="V176" s="162">
        <f>IFERROR(""&amp;INDEX(tk_CHECK,MATCH(170,tk_ASEQ,0)),"")</f>
        <v/>
      </c>
      <c r="W176" s="162">
        <f>IFERROR(TRIM(INDEX(tk_DNOTES,MATCH(170,tk_ASEQ,0))&amp;" "&amp;INDEX(tk_FNOTES,MATCH(170,tk_ASEQ,0))),"")</f>
        <v/>
      </c>
    </row>
    <row r="177">
      <c r="A177" s="161">
        <f>IFERROR(""&amp;INDEX(tk_MARK,MATCH(171,tk_ASEQ,0)),"")</f>
        <v/>
      </c>
      <c r="B177" s="162">
        <f>IFERROR(""&amp;INDEX(tk_ROOMF,MATCH(171,tk_ASEQ,0)),"")</f>
        <v/>
      </c>
      <c r="C177" s="162">
        <f>IFERROR(""&amp;INDEX(tk_ROOMT,MATCH(171,tk_ASEQ,0)),"")</f>
        <v/>
      </c>
      <c r="D177" s="162">
        <f>IFERROR(INDEX(tk_QTY,MATCH(171,tk_ASEQ,0)),"")</f>
        <v/>
      </c>
      <c r="E177" s="162">
        <f>IFERROR(""&amp;INDEX(tk_SIZE,MATCH(171,tk_ASEQ,0)),"")</f>
        <v/>
      </c>
      <c r="F177" s="162">
        <f>IFERROR(""&amp;INDEX(tk_PAIR,MATCH(171,tk_ASEQ,0)),"")</f>
        <v/>
      </c>
      <c r="G177" s="162">
        <f>IFERROR(""&amp;INDEX(tk_DMAT,MATCH(171,tk_ASEQ,0)),"")</f>
        <v/>
      </c>
      <c r="H177" s="162">
        <f>IFERROR(""&amp;INDEX(tk_DGA,MATCH(171,tk_ASEQ,0)),"")</f>
        <v/>
      </c>
      <c r="I177" s="162">
        <f>IFERROR(""&amp;INDEX(tk_FACE,MATCH(171,tk_ASEQ,0)),"")</f>
        <v/>
      </c>
      <c r="J177" s="162">
        <f>IFERROR(IF(INDEX(tk_DHAND,MATCH(171,tk_ASEQ,0))="",""&amp;INDEX(tk_HAND,MATCH(171,tk_ASEQ,0)),""&amp;INDEX(tk_DHAND,MATCH(171,tk_ASEQ,0))),"")</f>
        <v/>
      </c>
      <c r="K177" s="162">
        <f>IFERROR(""&amp;INDEX(tk_FDESC,MATCH(171,tk_ASEQ,0)),"")</f>
        <v/>
      </c>
      <c r="L177" s="162">
        <f>IFERROR(INDEX(tk_STEEL,MATCH(171,tk_ASEQ,0))&amp;IF(INDEX(tk_FGA,MATCH(171,tk_ASEQ,0))="",""," "&amp;INDEX(tk_FGA,MATCH(171,tk_ASEQ,0))&amp;"GA"),"")</f>
        <v/>
      </c>
      <c r="M177" s="162">
        <f>IFERROR(IFERROR(VLOOKUP(INDEX(tk_JAMB,MATCH(171,tk_ASEQ,0)),CODES,2,FALSE),""&amp;INDEX(tk_JAMB,MATCH(171,tk_ASEQ,0))),"")</f>
        <v/>
      </c>
      <c r="N177" s="162">
        <f>IFERROR(""&amp;INDEX(tk_CONSTR,MATCH(171,tk_ASEQ,0)),"")</f>
        <v/>
      </c>
      <c r="O177" s="162">
        <f>IFERROR(""&amp;INDEX(tk_ANCHOR,MATCH(171,tk_ASEQ,0)),"")</f>
        <v/>
      </c>
      <c r="P177" s="162">
        <f>IFERROR(""&amp;INDEX(tk_RATING,MATCH(171,tk_ASEQ,0)),"")</f>
        <v/>
      </c>
      <c r="Q177" s="162">
        <f>IFERROR(""&amp;INDEX(tk_LABEL,MATCH(171,tk_ASEQ,0)),"")</f>
        <v/>
      </c>
      <c r="R177" s="162">
        <f>IFERROR(""&amp;INDEX(tk_HWSET,MATCH(171,tk_ASEQ,0)),"")</f>
        <v/>
      </c>
      <c r="S177" s="162">
        <f>IFERROR(IF(""&amp;INDEX(tk_HINGES,MATCH(171,tk_ASEQ,0))="","",INDEX(tk_HINGES,MATCH(171,tk_ASEQ,0))&amp;" · "&amp;INDEX(tk_LSRC,MATCH(171,tk_ASEQ,0))),"")</f>
        <v/>
      </c>
      <c r="T177" s="162">
        <f>IFERROR(""&amp;INDEX(tk_LOCK,MATCH(171,tk_ASEQ,0)),"")</f>
        <v/>
      </c>
      <c r="U177" s="162">
        <f>IFERROR(INDEX(tk_ETYPE,MATCH(171,tk_ASEQ,0)),"")</f>
        <v/>
      </c>
      <c r="V177" s="162">
        <f>IFERROR(""&amp;INDEX(tk_CHECK,MATCH(171,tk_ASEQ,0)),"")</f>
        <v/>
      </c>
      <c r="W177" s="162">
        <f>IFERROR(TRIM(INDEX(tk_DNOTES,MATCH(171,tk_ASEQ,0))&amp;" "&amp;INDEX(tk_FNOTES,MATCH(171,tk_ASEQ,0))),"")</f>
        <v/>
      </c>
    </row>
    <row r="178">
      <c r="A178" s="161">
        <f>IFERROR(""&amp;INDEX(tk_MARK,MATCH(172,tk_ASEQ,0)),"")</f>
        <v/>
      </c>
      <c r="B178" s="162">
        <f>IFERROR(""&amp;INDEX(tk_ROOMF,MATCH(172,tk_ASEQ,0)),"")</f>
        <v/>
      </c>
      <c r="C178" s="162">
        <f>IFERROR(""&amp;INDEX(tk_ROOMT,MATCH(172,tk_ASEQ,0)),"")</f>
        <v/>
      </c>
      <c r="D178" s="162">
        <f>IFERROR(INDEX(tk_QTY,MATCH(172,tk_ASEQ,0)),"")</f>
        <v/>
      </c>
      <c r="E178" s="162">
        <f>IFERROR(""&amp;INDEX(tk_SIZE,MATCH(172,tk_ASEQ,0)),"")</f>
        <v/>
      </c>
      <c r="F178" s="162">
        <f>IFERROR(""&amp;INDEX(tk_PAIR,MATCH(172,tk_ASEQ,0)),"")</f>
        <v/>
      </c>
      <c r="G178" s="162">
        <f>IFERROR(""&amp;INDEX(tk_DMAT,MATCH(172,tk_ASEQ,0)),"")</f>
        <v/>
      </c>
      <c r="H178" s="162">
        <f>IFERROR(""&amp;INDEX(tk_DGA,MATCH(172,tk_ASEQ,0)),"")</f>
        <v/>
      </c>
      <c r="I178" s="162">
        <f>IFERROR(""&amp;INDEX(tk_FACE,MATCH(172,tk_ASEQ,0)),"")</f>
        <v/>
      </c>
      <c r="J178" s="162">
        <f>IFERROR(IF(INDEX(tk_DHAND,MATCH(172,tk_ASEQ,0))="",""&amp;INDEX(tk_HAND,MATCH(172,tk_ASEQ,0)),""&amp;INDEX(tk_DHAND,MATCH(172,tk_ASEQ,0))),"")</f>
        <v/>
      </c>
      <c r="K178" s="162">
        <f>IFERROR(""&amp;INDEX(tk_FDESC,MATCH(172,tk_ASEQ,0)),"")</f>
        <v/>
      </c>
      <c r="L178" s="162">
        <f>IFERROR(INDEX(tk_STEEL,MATCH(172,tk_ASEQ,0))&amp;IF(INDEX(tk_FGA,MATCH(172,tk_ASEQ,0))="",""," "&amp;INDEX(tk_FGA,MATCH(172,tk_ASEQ,0))&amp;"GA"),"")</f>
        <v/>
      </c>
      <c r="M178" s="162">
        <f>IFERROR(IFERROR(VLOOKUP(INDEX(tk_JAMB,MATCH(172,tk_ASEQ,0)),CODES,2,FALSE),""&amp;INDEX(tk_JAMB,MATCH(172,tk_ASEQ,0))),"")</f>
        <v/>
      </c>
      <c r="N178" s="162">
        <f>IFERROR(""&amp;INDEX(tk_CONSTR,MATCH(172,tk_ASEQ,0)),"")</f>
        <v/>
      </c>
      <c r="O178" s="162">
        <f>IFERROR(""&amp;INDEX(tk_ANCHOR,MATCH(172,tk_ASEQ,0)),"")</f>
        <v/>
      </c>
      <c r="P178" s="162">
        <f>IFERROR(""&amp;INDEX(tk_RATING,MATCH(172,tk_ASEQ,0)),"")</f>
        <v/>
      </c>
      <c r="Q178" s="162">
        <f>IFERROR(""&amp;INDEX(tk_LABEL,MATCH(172,tk_ASEQ,0)),"")</f>
        <v/>
      </c>
      <c r="R178" s="162">
        <f>IFERROR(""&amp;INDEX(tk_HWSET,MATCH(172,tk_ASEQ,0)),"")</f>
        <v/>
      </c>
      <c r="S178" s="162">
        <f>IFERROR(IF(""&amp;INDEX(tk_HINGES,MATCH(172,tk_ASEQ,0))="","",INDEX(tk_HINGES,MATCH(172,tk_ASEQ,0))&amp;" · "&amp;INDEX(tk_LSRC,MATCH(172,tk_ASEQ,0))),"")</f>
        <v/>
      </c>
      <c r="T178" s="162">
        <f>IFERROR(""&amp;INDEX(tk_LOCK,MATCH(172,tk_ASEQ,0)),"")</f>
        <v/>
      </c>
      <c r="U178" s="162">
        <f>IFERROR(INDEX(tk_ETYPE,MATCH(172,tk_ASEQ,0)),"")</f>
        <v/>
      </c>
      <c r="V178" s="162">
        <f>IFERROR(""&amp;INDEX(tk_CHECK,MATCH(172,tk_ASEQ,0)),"")</f>
        <v/>
      </c>
      <c r="W178" s="162">
        <f>IFERROR(TRIM(INDEX(tk_DNOTES,MATCH(172,tk_ASEQ,0))&amp;" "&amp;INDEX(tk_FNOTES,MATCH(172,tk_ASEQ,0))),"")</f>
        <v/>
      </c>
    </row>
    <row r="179">
      <c r="A179" s="161">
        <f>IFERROR(""&amp;INDEX(tk_MARK,MATCH(173,tk_ASEQ,0)),"")</f>
        <v/>
      </c>
      <c r="B179" s="162">
        <f>IFERROR(""&amp;INDEX(tk_ROOMF,MATCH(173,tk_ASEQ,0)),"")</f>
        <v/>
      </c>
      <c r="C179" s="162">
        <f>IFERROR(""&amp;INDEX(tk_ROOMT,MATCH(173,tk_ASEQ,0)),"")</f>
        <v/>
      </c>
      <c r="D179" s="162">
        <f>IFERROR(INDEX(tk_QTY,MATCH(173,tk_ASEQ,0)),"")</f>
        <v/>
      </c>
      <c r="E179" s="162">
        <f>IFERROR(""&amp;INDEX(tk_SIZE,MATCH(173,tk_ASEQ,0)),"")</f>
        <v/>
      </c>
      <c r="F179" s="162">
        <f>IFERROR(""&amp;INDEX(tk_PAIR,MATCH(173,tk_ASEQ,0)),"")</f>
        <v/>
      </c>
      <c r="G179" s="162">
        <f>IFERROR(""&amp;INDEX(tk_DMAT,MATCH(173,tk_ASEQ,0)),"")</f>
        <v/>
      </c>
      <c r="H179" s="162">
        <f>IFERROR(""&amp;INDEX(tk_DGA,MATCH(173,tk_ASEQ,0)),"")</f>
        <v/>
      </c>
      <c r="I179" s="162">
        <f>IFERROR(""&amp;INDEX(tk_FACE,MATCH(173,tk_ASEQ,0)),"")</f>
        <v/>
      </c>
      <c r="J179" s="162">
        <f>IFERROR(IF(INDEX(tk_DHAND,MATCH(173,tk_ASEQ,0))="",""&amp;INDEX(tk_HAND,MATCH(173,tk_ASEQ,0)),""&amp;INDEX(tk_DHAND,MATCH(173,tk_ASEQ,0))),"")</f>
        <v/>
      </c>
      <c r="K179" s="162">
        <f>IFERROR(""&amp;INDEX(tk_FDESC,MATCH(173,tk_ASEQ,0)),"")</f>
        <v/>
      </c>
      <c r="L179" s="162">
        <f>IFERROR(INDEX(tk_STEEL,MATCH(173,tk_ASEQ,0))&amp;IF(INDEX(tk_FGA,MATCH(173,tk_ASEQ,0))="",""," "&amp;INDEX(tk_FGA,MATCH(173,tk_ASEQ,0))&amp;"GA"),"")</f>
        <v/>
      </c>
      <c r="M179" s="162">
        <f>IFERROR(IFERROR(VLOOKUP(INDEX(tk_JAMB,MATCH(173,tk_ASEQ,0)),CODES,2,FALSE),""&amp;INDEX(tk_JAMB,MATCH(173,tk_ASEQ,0))),"")</f>
        <v/>
      </c>
      <c r="N179" s="162">
        <f>IFERROR(""&amp;INDEX(tk_CONSTR,MATCH(173,tk_ASEQ,0)),"")</f>
        <v/>
      </c>
      <c r="O179" s="162">
        <f>IFERROR(""&amp;INDEX(tk_ANCHOR,MATCH(173,tk_ASEQ,0)),"")</f>
        <v/>
      </c>
      <c r="P179" s="162">
        <f>IFERROR(""&amp;INDEX(tk_RATING,MATCH(173,tk_ASEQ,0)),"")</f>
        <v/>
      </c>
      <c r="Q179" s="162">
        <f>IFERROR(""&amp;INDEX(tk_LABEL,MATCH(173,tk_ASEQ,0)),"")</f>
        <v/>
      </c>
      <c r="R179" s="162">
        <f>IFERROR(""&amp;INDEX(tk_HWSET,MATCH(173,tk_ASEQ,0)),"")</f>
        <v/>
      </c>
      <c r="S179" s="162">
        <f>IFERROR(IF(""&amp;INDEX(tk_HINGES,MATCH(173,tk_ASEQ,0))="","",INDEX(tk_HINGES,MATCH(173,tk_ASEQ,0))&amp;" · "&amp;INDEX(tk_LSRC,MATCH(173,tk_ASEQ,0))),"")</f>
        <v/>
      </c>
      <c r="T179" s="162">
        <f>IFERROR(""&amp;INDEX(tk_LOCK,MATCH(173,tk_ASEQ,0)),"")</f>
        <v/>
      </c>
      <c r="U179" s="162">
        <f>IFERROR(INDEX(tk_ETYPE,MATCH(173,tk_ASEQ,0)),"")</f>
        <v/>
      </c>
      <c r="V179" s="162">
        <f>IFERROR(""&amp;INDEX(tk_CHECK,MATCH(173,tk_ASEQ,0)),"")</f>
        <v/>
      </c>
      <c r="W179" s="162">
        <f>IFERROR(TRIM(INDEX(tk_DNOTES,MATCH(173,tk_ASEQ,0))&amp;" "&amp;INDEX(tk_FNOTES,MATCH(173,tk_ASEQ,0))),"")</f>
        <v/>
      </c>
    </row>
    <row r="180">
      <c r="A180" s="161">
        <f>IFERROR(""&amp;INDEX(tk_MARK,MATCH(174,tk_ASEQ,0)),"")</f>
        <v/>
      </c>
      <c r="B180" s="162">
        <f>IFERROR(""&amp;INDEX(tk_ROOMF,MATCH(174,tk_ASEQ,0)),"")</f>
        <v/>
      </c>
      <c r="C180" s="162">
        <f>IFERROR(""&amp;INDEX(tk_ROOMT,MATCH(174,tk_ASEQ,0)),"")</f>
        <v/>
      </c>
      <c r="D180" s="162">
        <f>IFERROR(INDEX(tk_QTY,MATCH(174,tk_ASEQ,0)),"")</f>
        <v/>
      </c>
      <c r="E180" s="162">
        <f>IFERROR(""&amp;INDEX(tk_SIZE,MATCH(174,tk_ASEQ,0)),"")</f>
        <v/>
      </c>
      <c r="F180" s="162">
        <f>IFERROR(""&amp;INDEX(tk_PAIR,MATCH(174,tk_ASEQ,0)),"")</f>
        <v/>
      </c>
      <c r="G180" s="162">
        <f>IFERROR(""&amp;INDEX(tk_DMAT,MATCH(174,tk_ASEQ,0)),"")</f>
        <v/>
      </c>
      <c r="H180" s="162">
        <f>IFERROR(""&amp;INDEX(tk_DGA,MATCH(174,tk_ASEQ,0)),"")</f>
        <v/>
      </c>
      <c r="I180" s="162">
        <f>IFERROR(""&amp;INDEX(tk_FACE,MATCH(174,tk_ASEQ,0)),"")</f>
        <v/>
      </c>
      <c r="J180" s="162">
        <f>IFERROR(IF(INDEX(tk_DHAND,MATCH(174,tk_ASEQ,0))="",""&amp;INDEX(tk_HAND,MATCH(174,tk_ASEQ,0)),""&amp;INDEX(tk_DHAND,MATCH(174,tk_ASEQ,0))),"")</f>
        <v/>
      </c>
      <c r="K180" s="162">
        <f>IFERROR(""&amp;INDEX(tk_FDESC,MATCH(174,tk_ASEQ,0)),"")</f>
        <v/>
      </c>
      <c r="L180" s="162">
        <f>IFERROR(INDEX(tk_STEEL,MATCH(174,tk_ASEQ,0))&amp;IF(INDEX(tk_FGA,MATCH(174,tk_ASEQ,0))="",""," "&amp;INDEX(tk_FGA,MATCH(174,tk_ASEQ,0))&amp;"GA"),"")</f>
        <v/>
      </c>
      <c r="M180" s="162">
        <f>IFERROR(IFERROR(VLOOKUP(INDEX(tk_JAMB,MATCH(174,tk_ASEQ,0)),CODES,2,FALSE),""&amp;INDEX(tk_JAMB,MATCH(174,tk_ASEQ,0))),"")</f>
        <v/>
      </c>
      <c r="N180" s="162">
        <f>IFERROR(""&amp;INDEX(tk_CONSTR,MATCH(174,tk_ASEQ,0)),"")</f>
        <v/>
      </c>
      <c r="O180" s="162">
        <f>IFERROR(""&amp;INDEX(tk_ANCHOR,MATCH(174,tk_ASEQ,0)),"")</f>
        <v/>
      </c>
      <c r="P180" s="162">
        <f>IFERROR(""&amp;INDEX(tk_RATING,MATCH(174,tk_ASEQ,0)),"")</f>
        <v/>
      </c>
      <c r="Q180" s="162">
        <f>IFERROR(""&amp;INDEX(tk_LABEL,MATCH(174,tk_ASEQ,0)),"")</f>
        <v/>
      </c>
      <c r="R180" s="162">
        <f>IFERROR(""&amp;INDEX(tk_HWSET,MATCH(174,tk_ASEQ,0)),"")</f>
        <v/>
      </c>
      <c r="S180" s="162">
        <f>IFERROR(IF(""&amp;INDEX(tk_HINGES,MATCH(174,tk_ASEQ,0))="","",INDEX(tk_HINGES,MATCH(174,tk_ASEQ,0))&amp;" · "&amp;INDEX(tk_LSRC,MATCH(174,tk_ASEQ,0))),"")</f>
        <v/>
      </c>
      <c r="T180" s="162">
        <f>IFERROR(""&amp;INDEX(tk_LOCK,MATCH(174,tk_ASEQ,0)),"")</f>
        <v/>
      </c>
      <c r="U180" s="162">
        <f>IFERROR(INDEX(tk_ETYPE,MATCH(174,tk_ASEQ,0)),"")</f>
        <v/>
      </c>
      <c r="V180" s="162">
        <f>IFERROR(""&amp;INDEX(tk_CHECK,MATCH(174,tk_ASEQ,0)),"")</f>
        <v/>
      </c>
      <c r="W180" s="162">
        <f>IFERROR(TRIM(INDEX(tk_DNOTES,MATCH(174,tk_ASEQ,0))&amp;" "&amp;INDEX(tk_FNOTES,MATCH(174,tk_ASEQ,0))),"")</f>
        <v/>
      </c>
    </row>
    <row r="181">
      <c r="A181" s="161">
        <f>IFERROR(""&amp;INDEX(tk_MARK,MATCH(175,tk_ASEQ,0)),"")</f>
        <v/>
      </c>
      <c r="B181" s="162">
        <f>IFERROR(""&amp;INDEX(tk_ROOMF,MATCH(175,tk_ASEQ,0)),"")</f>
        <v/>
      </c>
      <c r="C181" s="162">
        <f>IFERROR(""&amp;INDEX(tk_ROOMT,MATCH(175,tk_ASEQ,0)),"")</f>
        <v/>
      </c>
      <c r="D181" s="162">
        <f>IFERROR(INDEX(tk_QTY,MATCH(175,tk_ASEQ,0)),"")</f>
        <v/>
      </c>
      <c r="E181" s="162">
        <f>IFERROR(""&amp;INDEX(tk_SIZE,MATCH(175,tk_ASEQ,0)),"")</f>
        <v/>
      </c>
      <c r="F181" s="162">
        <f>IFERROR(""&amp;INDEX(tk_PAIR,MATCH(175,tk_ASEQ,0)),"")</f>
        <v/>
      </c>
      <c r="G181" s="162">
        <f>IFERROR(""&amp;INDEX(tk_DMAT,MATCH(175,tk_ASEQ,0)),"")</f>
        <v/>
      </c>
      <c r="H181" s="162">
        <f>IFERROR(""&amp;INDEX(tk_DGA,MATCH(175,tk_ASEQ,0)),"")</f>
        <v/>
      </c>
      <c r="I181" s="162">
        <f>IFERROR(""&amp;INDEX(tk_FACE,MATCH(175,tk_ASEQ,0)),"")</f>
        <v/>
      </c>
      <c r="J181" s="162">
        <f>IFERROR(IF(INDEX(tk_DHAND,MATCH(175,tk_ASEQ,0))="",""&amp;INDEX(tk_HAND,MATCH(175,tk_ASEQ,0)),""&amp;INDEX(tk_DHAND,MATCH(175,tk_ASEQ,0))),"")</f>
        <v/>
      </c>
      <c r="K181" s="162">
        <f>IFERROR(""&amp;INDEX(tk_FDESC,MATCH(175,tk_ASEQ,0)),"")</f>
        <v/>
      </c>
      <c r="L181" s="162">
        <f>IFERROR(INDEX(tk_STEEL,MATCH(175,tk_ASEQ,0))&amp;IF(INDEX(tk_FGA,MATCH(175,tk_ASEQ,0))="",""," "&amp;INDEX(tk_FGA,MATCH(175,tk_ASEQ,0))&amp;"GA"),"")</f>
        <v/>
      </c>
      <c r="M181" s="162">
        <f>IFERROR(IFERROR(VLOOKUP(INDEX(tk_JAMB,MATCH(175,tk_ASEQ,0)),CODES,2,FALSE),""&amp;INDEX(tk_JAMB,MATCH(175,tk_ASEQ,0))),"")</f>
        <v/>
      </c>
      <c r="N181" s="162">
        <f>IFERROR(""&amp;INDEX(tk_CONSTR,MATCH(175,tk_ASEQ,0)),"")</f>
        <v/>
      </c>
      <c r="O181" s="162">
        <f>IFERROR(""&amp;INDEX(tk_ANCHOR,MATCH(175,tk_ASEQ,0)),"")</f>
        <v/>
      </c>
      <c r="P181" s="162">
        <f>IFERROR(""&amp;INDEX(tk_RATING,MATCH(175,tk_ASEQ,0)),"")</f>
        <v/>
      </c>
      <c r="Q181" s="162">
        <f>IFERROR(""&amp;INDEX(tk_LABEL,MATCH(175,tk_ASEQ,0)),"")</f>
        <v/>
      </c>
      <c r="R181" s="162">
        <f>IFERROR(""&amp;INDEX(tk_HWSET,MATCH(175,tk_ASEQ,0)),"")</f>
        <v/>
      </c>
      <c r="S181" s="162">
        <f>IFERROR(IF(""&amp;INDEX(tk_HINGES,MATCH(175,tk_ASEQ,0))="","",INDEX(tk_HINGES,MATCH(175,tk_ASEQ,0))&amp;" · "&amp;INDEX(tk_LSRC,MATCH(175,tk_ASEQ,0))),"")</f>
        <v/>
      </c>
      <c r="T181" s="162">
        <f>IFERROR(""&amp;INDEX(tk_LOCK,MATCH(175,tk_ASEQ,0)),"")</f>
        <v/>
      </c>
      <c r="U181" s="162">
        <f>IFERROR(INDEX(tk_ETYPE,MATCH(175,tk_ASEQ,0)),"")</f>
        <v/>
      </c>
      <c r="V181" s="162">
        <f>IFERROR(""&amp;INDEX(tk_CHECK,MATCH(175,tk_ASEQ,0)),"")</f>
        <v/>
      </c>
      <c r="W181" s="162">
        <f>IFERROR(TRIM(INDEX(tk_DNOTES,MATCH(175,tk_ASEQ,0))&amp;" "&amp;INDEX(tk_FNOTES,MATCH(175,tk_ASEQ,0))),"")</f>
        <v/>
      </c>
    </row>
    <row r="182">
      <c r="A182" s="161">
        <f>IFERROR(""&amp;INDEX(tk_MARK,MATCH(176,tk_ASEQ,0)),"")</f>
        <v/>
      </c>
      <c r="B182" s="162">
        <f>IFERROR(""&amp;INDEX(tk_ROOMF,MATCH(176,tk_ASEQ,0)),"")</f>
        <v/>
      </c>
      <c r="C182" s="162">
        <f>IFERROR(""&amp;INDEX(tk_ROOMT,MATCH(176,tk_ASEQ,0)),"")</f>
        <v/>
      </c>
      <c r="D182" s="162">
        <f>IFERROR(INDEX(tk_QTY,MATCH(176,tk_ASEQ,0)),"")</f>
        <v/>
      </c>
      <c r="E182" s="162">
        <f>IFERROR(""&amp;INDEX(tk_SIZE,MATCH(176,tk_ASEQ,0)),"")</f>
        <v/>
      </c>
      <c r="F182" s="162">
        <f>IFERROR(""&amp;INDEX(tk_PAIR,MATCH(176,tk_ASEQ,0)),"")</f>
        <v/>
      </c>
      <c r="G182" s="162">
        <f>IFERROR(""&amp;INDEX(tk_DMAT,MATCH(176,tk_ASEQ,0)),"")</f>
        <v/>
      </c>
      <c r="H182" s="162">
        <f>IFERROR(""&amp;INDEX(tk_DGA,MATCH(176,tk_ASEQ,0)),"")</f>
        <v/>
      </c>
      <c r="I182" s="162">
        <f>IFERROR(""&amp;INDEX(tk_FACE,MATCH(176,tk_ASEQ,0)),"")</f>
        <v/>
      </c>
      <c r="J182" s="162">
        <f>IFERROR(IF(INDEX(tk_DHAND,MATCH(176,tk_ASEQ,0))="",""&amp;INDEX(tk_HAND,MATCH(176,tk_ASEQ,0)),""&amp;INDEX(tk_DHAND,MATCH(176,tk_ASEQ,0))),"")</f>
        <v/>
      </c>
      <c r="K182" s="162">
        <f>IFERROR(""&amp;INDEX(tk_FDESC,MATCH(176,tk_ASEQ,0)),"")</f>
        <v/>
      </c>
      <c r="L182" s="162">
        <f>IFERROR(INDEX(tk_STEEL,MATCH(176,tk_ASEQ,0))&amp;IF(INDEX(tk_FGA,MATCH(176,tk_ASEQ,0))="",""," "&amp;INDEX(tk_FGA,MATCH(176,tk_ASEQ,0))&amp;"GA"),"")</f>
        <v/>
      </c>
      <c r="M182" s="162">
        <f>IFERROR(IFERROR(VLOOKUP(INDEX(tk_JAMB,MATCH(176,tk_ASEQ,0)),CODES,2,FALSE),""&amp;INDEX(tk_JAMB,MATCH(176,tk_ASEQ,0))),"")</f>
        <v/>
      </c>
      <c r="N182" s="162">
        <f>IFERROR(""&amp;INDEX(tk_CONSTR,MATCH(176,tk_ASEQ,0)),"")</f>
        <v/>
      </c>
      <c r="O182" s="162">
        <f>IFERROR(""&amp;INDEX(tk_ANCHOR,MATCH(176,tk_ASEQ,0)),"")</f>
        <v/>
      </c>
      <c r="P182" s="162">
        <f>IFERROR(""&amp;INDEX(tk_RATING,MATCH(176,tk_ASEQ,0)),"")</f>
        <v/>
      </c>
      <c r="Q182" s="162">
        <f>IFERROR(""&amp;INDEX(tk_LABEL,MATCH(176,tk_ASEQ,0)),"")</f>
        <v/>
      </c>
      <c r="R182" s="162">
        <f>IFERROR(""&amp;INDEX(tk_HWSET,MATCH(176,tk_ASEQ,0)),"")</f>
        <v/>
      </c>
      <c r="S182" s="162">
        <f>IFERROR(IF(""&amp;INDEX(tk_HINGES,MATCH(176,tk_ASEQ,0))="","",INDEX(tk_HINGES,MATCH(176,tk_ASEQ,0))&amp;" · "&amp;INDEX(tk_LSRC,MATCH(176,tk_ASEQ,0))),"")</f>
        <v/>
      </c>
      <c r="T182" s="162">
        <f>IFERROR(""&amp;INDEX(tk_LOCK,MATCH(176,tk_ASEQ,0)),"")</f>
        <v/>
      </c>
      <c r="U182" s="162">
        <f>IFERROR(INDEX(tk_ETYPE,MATCH(176,tk_ASEQ,0)),"")</f>
        <v/>
      </c>
      <c r="V182" s="162">
        <f>IFERROR(""&amp;INDEX(tk_CHECK,MATCH(176,tk_ASEQ,0)),"")</f>
        <v/>
      </c>
      <c r="W182" s="162">
        <f>IFERROR(TRIM(INDEX(tk_DNOTES,MATCH(176,tk_ASEQ,0))&amp;" "&amp;INDEX(tk_FNOTES,MATCH(176,tk_ASEQ,0))),"")</f>
        <v/>
      </c>
    </row>
    <row r="183">
      <c r="A183" s="161">
        <f>IFERROR(""&amp;INDEX(tk_MARK,MATCH(177,tk_ASEQ,0)),"")</f>
        <v/>
      </c>
      <c r="B183" s="162">
        <f>IFERROR(""&amp;INDEX(tk_ROOMF,MATCH(177,tk_ASEQ,0)),"")</f>
        <v/>
      </c>
      <c r="C183" s="162">
        <f>IFERROR(""&amp;INDEX(tk_ROOMT,MATCH(177,tk_ASEQ,0)),"")</f>
        <v/>
      </c>
      <c r="D183" s="162">
        <f>IFERROR(INDEX(tk_QTY,MATCH(177,tk_ASEQ,0)),"")</f>
        <v/>
      </c>
      <c r="E183" s="162">
        <f>IFERROR(""&amp;INDEX(tk_SIZE,MATCH(177,tk_ASEQ,0)),"")</f>
        <v/>
      </c>
      <c r="F183" s="162">
        <f>IFERROR(""&amp;INDEX(tk_PAIR,MATCH(177,tk_ASEQ,0)),"")</f>
        <v/>
      </c>
      <c r="G183" s="162">
        <f>IFERROR(""&amp;INDEX(tk_DMAT,MATCH(177,tk_ASEQ,0)),"")</f>
        <v/>
      </c>
      <c r="H183" s="162">
        <f>IFERROR(""&amp;INDEX(tk_DGA,MATCH(177,tk_ASEQ,0)),"")</f>
        <v/>
      </c>
      <c r="I183" s="162">
        <f>IFERROR(""&amp;INDEX(tk_FACE,MATCH(177,tk_ASEQ,0)),"")</f>
        <v/>
      </c>
      <c r="J183" s="162">
        <f>IFERROR(IF(INDEX(tk_DHAND,MATCH(177,tk_ASEQ,0))="",""&amp;INDEX(tk_HAND,MATCH(177,tk_ASEQ,0)),""&amp;INDEX(tk_DHAND,MATCH(177,tk_ASEQ,0))),"")</f>
        <v/>
      </c>
      <c r="K183" s="162">
        <f>IFERROR(""&amp;INDEX(tk_FDESC,MATCH(177,tk_ASEQ,0)),"")</f>
        <v/>
      </c>
      <c r="L183" s="162">
        <f>IFERROR(INDEX(tk_STEEL,MATCH(177,tk_ASEQ,0))&amp;IF(INDEX(tk_FGA,MATCH(177,tk_ASEQ,0))="",""," "&amp;INDEX(tk_FGA,MATCH(177,tk_ASEQ,0))&amp;"GA"),"")</f>
        <v/>
      </c>
      <c r="M183" s="162">
        <f>IFERROR(IFERROR(VLOOKUP(INDEX(tk_JAMB,MATCH(177,tk_ASEQ,0)),CODES,2,FALSE),""&amp;INDEX(tk_JAMB,MATCH(177,tk_ASEQ,0))),"")</f>
        <v/>
      </c>
      <c r="N183" s="162">
        <f>IFERROR(""&amp;INDEX(tk_CONSTR,MATCH(177,tk_ASEQ,0)),"")</f>
        <v/>
      </c>
      <c r="O183" s="162">
        <f>IFERROR(""&amp;INDEX(tk_ANCHOR,MATCH(177,tk_ASEQ,0)),"")</f>
        <v/>
      </c>
      <c r="P183" s="162">
        <f>IFERROR(""&amp;INDEX(tk_RATING,MATCH(177,tk_ASEQ,0)),"")</f>
        <v/>
      </c>
      <c r="Q183" s="162">
        <f>IFERROR(""&amp;INDEX(tk_LABEL,MATCH(177,tk_ASEQ,0)),"")</f>
        <v/>
      </c>
      <c r="R183" s="162">
        <f>IFERROR(""&amp;INDEX(tk_HWSET,MATCH(177,tk_ASEQ,0)),"")</f>
        <v/>
      </c>
      <c r="S183" s="162">
        <f>IFERROR(IF(""&amp;INDEX(tk_HINGES,MATCH(177,tk_ASEQ,0))="","",INDEX(tk_HINGES,MATCH(177,tk_ASEQ,0))&amp;" · "&amp;INDEX(tk_LSRC,MATCH(177,tk_ASEQ,0))),"")</f>
        <v/>
      </c>
      <c r="T183" s="162">
        <f>IFERROR(""&amp;INDEX(tk_LOCK,MATCH(177,tk_ASEQ,0)),"")</f>
        <v/>
      </c>
      <c r="U183" s="162">
        <f>IFERROR(INDEX(tk_ETYPE,MATCH(177,tk_ASEQ,0)),"")</f>
        <v/>
      </c>
      <c r="V183" s="162">
        <f>IFERROR(""&amp;INDEX(tk_CHECK,MATCH(177,tk_ASEQ,0)),"")</f>
        <v/>
      </c>
      <c r="W183" s="162">
        <f>IFERROR(TRIM(INDEX(tk_DNOTES,MATCH(177,tk_ASEQ,0))&amp;" "&amp;INDEX(tk_FNOTES,MATCH(177,tk_ASEQ,0))),"")</f>
        <v/>
      </c>
    </row>
    <row r="184">
      <c r="A184" s="161">
        <f>IFERROR(""&amp;INDEX(tk_MARK,MATCH(178,tk_ASEQ,0)),"")</f>
        <v/>
      </c>
      <c r="B184" s="162">
        <f>IFERROR(""&amp;INDEX(tk_ROOMF,MATCH(178,tk_ASEQ,0)),"")</f>
        <v/>
      </c>
      <c r="C184" s="162">
        <f>IFERROR(""&amp;INDEX(tk_ROOMT,MATCH(178,tk_ASEQ,0)),"")</f>
        <v/>
      </c>
      <c r="D184" s="162">
        <f>IFERROR(INDEX(tk_QTY,MATCH(178,tk_ASEQ,0)),"")</f>
        <v/>
      </c>
      <c r="E184" s="162">
        <f>IFERROR(""&amp;INDEX(tk_SIZE,MATCH(178,tk_ASEQ,0)),"")</f>
        <v/>
      </c>
      <c r="F184" s="162">
        <f>IFERROR(""&amp;INDEX(tk_PAIR,MATCH(178,tk_ASEQ,0)),"")</f>
        <v/>
      </c>
      <c r="G184" s="162">
        <f>IFERROR(""&amp;INDEX(tk_DMAT,MATCH(178,tk_ASEQ,0)),"")</f>
        <v/>
      </c>
      <c r="H184" s="162">
        <f>IFERROR(""&amp;INDEX(tk_DGA,MATCH(178,tk_ASEQ,0)),"")</f>
        <v/>
      </c>
      <c r="I184" s="162">
        <f>IFERROR(""&amp;INDEX(tk_FACE,MATCH(178,tk_ASEQ,0)),"")</f>
        <v/>
      </c>
      <c r="J184" s="162">
        <f>IFERROR(IF(INDEX(tk_DHAND,MATCH(178,tk_ASEQ,0))="",""&amp;INDEX(tk_HAND,MATCH(178,tk_ASEQ,0)),""&amp;INDEX(tk_DHAND,MATCH(178,tk_ASEQ,0))),"")</f>
        <v/>
      </c>
      <c r="K184" s="162">
        <f>IFERROR(""&amp;INDEX(tk_FDESC,MATCH(178,tk_ASEQ,0)),"")</f>
        <v/>
      </c>
      <c r="L184" s="162">
        <f>IFERROR(INDEX(tk_STEEL,MATCH(178,tk_ASEQ,0))&amp;IF(INDEX(tk_FGA,MATCH(178,tk_ASEQ,0))="",""," "&amp;INDEX(tk_FGA,MATCH(178,tk_ASEQ,0))&amp;"GA"),"")</f>
        <v/>
      </c>
      <c r="M184" s="162">
        <f>IFERROR(IFERROR(VLOOKUP(INDEX(tk_JAMB,MATCH(178,tk_ASEQ,0)),CODES,2,FALSE),""&amp;INDEX(tk_JAMB,MATCH(178,tk_ASEQ,0))),"")</f>
        <v/>
      </c>
      <c r="N184" s="162">
        <f>IFERROR(""&amp;INDEX(tk_CONSTR,MATCH(178,tk_ASEQ,0)),"")</f>
        <v/>
      </c>
      <c r="O184" s="162">
        <f>IFERROR(""&amp;INDEX(tk_ANCHOR,MATCH(178,tk_ASEQ,0)),"")</f>
        <v/>
      </c>
      <c r="P184" s="162">
        <f>IFERROR(""&amp;INDEX(tk_RATING,MATCH(178,tk_ASEQ,0)),"")</f>
        <v/>
      </c>
      <c r="Q184" s="162">
        <f>IFERROR(""&amp;INDEX(tk_LABEL,MATCH(178,tk_ASEQ,0)),"")</f>
        <v/>
      </c>
      <c r="R184" s="162">
        <f>IFERROR(""&amp;INDEX(tk_HWSET,MATCH(178,tk_ASEQ,0)),"")</f>
        <v/>
      </c>
      <c r="S184" s="162">
        <f>IFERROR(IF(""&amp;INDEX(tk_HINGES,MATCH(178,tk_ASEQ,0))="","",INDEX(tk_HINGES,MATCH(178,tk_ASEQ,0))&amp;" · "&amp;INDEX(tk_LSRC,MATCH(178,tk_ASEQ,0))),"")</f>
        <v/>
      </c>
      <c r="T184" s="162">
        <f>IFERROR(""&amp;INDEX(tk_LOCK,MATCH(178,tk_ASEQ,0)),"")</f>
        <v/>
      </c>
      <c r="U184" s="162">
        <f>IFERROR(INDEX(tk_ETYPE,MATCH(178,tk_ASEQ,0)),"")</f>
        <v/>
      </c>
      <c r="V184" s="162">
        <f>IFERROR(""&amp;INDEX(tk_CHECK,MATCH(178,tk_ASEQ,0)),"")</f>
        <v/>
      </c>
      <c r="W184" s="162">
        <f>IFERROR(TRIM(INDEX(tk_DNOTES,MATCH(178,tk_ASEQ,0))&amp;" "&amp;INDEX(tk_FNOTES,MATCH(178,tk_ASEQ,0))),"")</f>
        <v/>
      </c>
    </row>
    <row r="185">
      <c r="A185" s="161">
        <f>IFERROR(""&amp;INDEX(tk_MARK,MATCH(179,tk_ASEQ,0)),"")</f>
        <v/>
      </c>
      <c r="B185" s="162">
        <f>IFERROR(""&amp;INDEX(tk_ROOMF,MATCH(179,tk_ASEQ,0)),"")</f>
        <v/>
      </c>
      <c r="C185" s="162">
        <f>IFERROR(""&amp;INDEX(tk_ROOMT,MATCH(179,tk_ASEQ,0)),"")</f>
        <v/>
      </c>
      <c r="D185" s="162">
        <f>IFERROR(INDEX(tk_QTY,MATCH(179,tk_ASEQ,0)),"")</f>
        <v/>
      </c>
      <c r="E185" s="162">
        <f>IFERROR(""&amp;INDEX(tk_SIZE,MATCH(179,tk_ASEQ,0)),"")</f>
        <v/>
      </c>
      <c r="F185" s="162">
        <f>IFERROR(""&amp;INDEX(tk_PAIR,MATCH(179,tk_ASEQ,0)),"")</f>
        <v/>
      </c>
      <c r="G185" s="162">
        <f>IFERROR(""&amp;INDEX(tk_DMAT,MATCH(179,tk_ASEQ,0)),"")</f>
        <v/>
      </c>
      <c r="H185" s="162">
        <f>IFERROR(""&amp;INDEX(tk_DGA,MATCH(179,tk_ASEQ,0)),"")</f>
        <v/>
      </c>
      <c r="I185" s="162">
        <f>IFERROR(""&amp;INDEX(tk_FACE,MATCH(179,tk_ASEQ,0)),"")</f>
        <v/>
      </c>
      <c r="J185" s="162">
        <f>IFERROR(IF(INDEX(tk_DHAND,MATCH(179,tk_ASEQ,0))="",""&amp;INDEX(tk_HAND,MATCH(179,tk_ASEQ,0)),""&amp;INDEX(tk_DHAND,MATCH(179,tk_ASEQ,0))),"")</f>
        <v/>
      </c>
      <c r="K185" s="162">
        <f>IFERROR(""&amp;INDEX(tk_FDESC,MATCH(179,tk_ASEQ,0)),"")</f>
        <v/>
      </c>
      <c r="L185" s="162">
        <f>IFERROR(INDEX(tk_STEEL,MATCH(179,tk_ASEQ,0))&amp;IF(INDEX(tk_FGA,MATCH(179,tk_ASEQ,0))="",""," "&amp;INDEX(tk_FGA,MATCH(179,tk_ASEQ,0))&amp;"GA"),"")</f>
        <v/>
      </c>
      <c r="M185" s="162">
        <f>IFERROR(IFERROR(VLOOKUP(INDEX(tk_JAMB,MATCH(179,tk_ASEQ,0)),CODES,2,FALSE),""&amp;INDEX(tk_JAMB,MATCH(179,tk_ASEQ,0))),"")</f>
        <v/>
      </c>
      <c r="N185" s="162">
        <f>IFERROR(""&amp;INDEX(tk_CONSTR,MATCH(179,tk_ASEQ,0)),"")</f>
        <v/>
      </c>
      <c r="O185" s="162">
        <f>IFERROR(""&amp;INDEX(tk_ANCHOR,MATCH(179,tk_ASEQ,0)),"")</f>
        <v/>
      </c>
      <c r="P185" s="162">
        <f>IFERROR(""&amp;INDEX(tk_RATING,MATCH(179,tk_ASEQ,0)),"")</f>
        <v/>
      </c>
      <c r="Q185" s="162">
        <f>IFERROR(""&amp;INDEX(tk_LABEL,MATCH(179,tk_ASEQ,0)),"")</f>
        <v/>
      </c>
      <c r="R185" s="162">
        <f>IFERROR(""&amp;INDEX(tk_HWSET,MATCH(179,tk_ASEQ,0)),"")</f>
        <v/>
      </c>
      <c r="S185" s="162">
        <f>IFERROR(IF(""&amp;INDEX(tk_HINGES,MATCH(179,tk_ASEQ,0))="","",INDEX(tk_HINGES,MATCH(179,tk_ASEQ,0))&amp;" · "&amp;INDEX(tk_LSRC,MATCH(179,tk_ASEQ,0))),"")</f>
        <v/>
      </c>
      <c r="T185" s="162">
        <f>IFERROR(""&amp;INDEX(tk_LOCK,MATCH(179,tk_ASEQ,0)),"")</f>
        <v/>
      </c>
      <c r="U185" s="162">
        <f>IFERROR(INDEX(tk_ETYPE,MATCH(179,tk_ASEQ,0)),"")</f>
        <v/>
      </c>
      <c r="V185" s="162">
        <f>IFERROR(""&amp;INDEX(tk_CHECK,MATCH(179,tk_ASEQ,0)),"")</f>
        <v/>
      </c>
      <c r="W185" s="162">
        <f>IFERROR(TRIM(INDEX(tk_DNOTES,MATCH(179,tk_ASEQ,0))&amp;" "&amp;INDEX(tk_FNOTES,MATCH(179,tk_ASEQ,0))),"")</f>
        <v/>
      </c>
    </row>
    <row r="186">
      <c r="A186" s="161">
        <f>IFERROR(""&amp;INDEX(tk_MARK,MATCH(180,tk_ASEQ,0)),"")</f>
        <v/>
      </c>
      <c r="B186" s="162">
        <f>IFERROR(""&amp;INDEX(tk_ROOMF,MATCH(180,tk_ASEQ,0)),"")</f>
        <v/>
      </c>
      <c r="C186" s="162">
        <f>IFERROR(""&amp;INDEX(tk_ROOMT,MATCH(180,tk_ASEQ,0)),"")</f>
        <v/>
      </c>
      <c r="D186" s="162">
        <f>IFERROR(INDEX(tk_QTY,MATCH(180,tk_ASEQ,0)),"")</f>
        <v/>
      </c>
      <c r="E186" s="162">
        <f>IFERROR(""&amp;INDEX(tk_SIZE,MATCH(180,tk_ASEQ,0)),"")</f>
        <v/>
      </c>
      <c r="F186" s="162">
        <f>IFERROR(""&amp;INDEX(tk_PAIR,MATCH(180,tk_ASEQ,0)),"")</f>
        <v/>
      </c>
      <c r="G186" s="162">
        <f>IFERROR(""&amp;INDEX(tk_DMAT,MATCH(180,tk_ASEQ,0)),"")</f>
        <v/>
      </c>
      <c r="H186" s="162">
        <f>IFERROR(""&amp;INDEX(tk_DGA,MATCH(180,tk_ASEQ,0)),"")</f>
        <v/>
      </c>
      <c r="I186" s="162">
        <f>IFERROR(""&amp;INDEX(tk_FACE,MATCH(180,tk_ASEQ,0)),"")</f>
        <v/>
      </c>
      <c r="J186" s="162">
        <f>IFERROR(IF(INDEX(tk_DHAND,MATCH(180,tk_ASEQ,0))="",""&amp;INDEX(tk_HAND,MATCH(180,tk_ASEQ,0)),""&amp;INDEX(tk_DHAND,MATCH(180,tk_ASEQ,0))),"")</f>
        <v/>
      </c>
      <c r="K186" s="162">
        <f>IFERROR(""&amp;INDEX(tk_FDESC,MATCH(180,tk_ASEQ,0)),"")</f>
        <v/>
      </c>
      <c r="L186" s="162">
        <f>IFERROR(INDEX(tk_STEEL,MATCH(180,tk_ASEQ,0))&amp;IF(INDEX(tk_FGA,MATCH(180,tk_ASEQ,0))="",""," "&amp;INDEX(tk_FGA,MATCH(180,tk_ASEQ,0))&amp;"GA"),"")</f>
        <v/>
      </c>
      <c r="M186" s="162">
        <f>IFERROR(IFERROR(VLOOKUP(INDEX(tk_JAMB,MATCH(180,tk_ASEQ,0)),CODES,2,FALSE),""&amp;INDEX(tk_JAMB,MATCH(180,tk_ASEQ,0))),"")</f>
        <v/>
      </c>
      <c r="N186" s="162">
        <f>IFERROR(""&amp;INDEX(tk_CONSTR,MATCH(180,tk_ASEQ,0)),"")</f>
        <v/>
      </c>
      <c r="O186" s="162">
        <f>IFERROR(""&amp;INDEX(tk_ANCHOR,MATCH(180,tk_ASEQ,0)),"")</f>
        <v/>
      </c>
      <c r="P186" s="162">
        <f>IFERROR(""&amp;INDEX(tk_RATING,MATCH(180,tk_ASEQ,0)),"")</f>
        <v/>
      </c>
      <c r="Q186" s="162">
        <f>IFERROR(""&amp;INDEX(tk_LABEL,MATCH(180,tk_ASEQ,0)),"")</f>
        <v/>
      </c>
      <c r="R186" s="162">
        <f>IFERROR(""&amp;INDEX(tk_HWSET,MATCH(180,tk_ASEQ,0)),"")</f>
        <v/>
      </c>
      <c r="S186" s="162">
        <f>IFERROR(IF(""&amp;INDEX(tk_HINGES,MATCH(180,tk_ASEQ,0))="","",INDEX(tk_HINGES,MATCH(180,tk_ASEQ,0))&amp;" · "&amp;INDEX(tk_LSRC,MATCH(180,tk_ASEQ,0))),"")</f>
        <v/>
      </c>
      <c r="T186" s="162">
        <f>IFERROR(""&amp;INDEX(tk_LOCK,MATCH(180,tk_ASEQ,0)),"")</f>
        <v/>
      </c>
      <c r="U186" s="162">
        <f>IFERROR(INDEX(tk_ETYPE,MATCH(180,tk_ASEQ,0)),"")</f>
        <v/>
      </c>
      <c r="V186" s="162">
        <f>IFERROR(""&amp;INDEX(tk_CHECK,MATCH(180,tk_ASEQ,0)),"")</f>
        <v/>
      </c>
      <c r="W186" s="162">
        <f>IFERROR(TRIM(INDEX(tk_DNOTES,MATCH(180,tk_ASEQ,0))&amp;" "&amp;INDEX(tk_FNOTES,MATCH(180,tk_ASEQ,0))),"")</f>
        <v/>
      </c>
    </row>
    <row r="187">
      <c r="A187" s="161">
        <f>IFERROR(""&amp;INDEX(tk_MARK,MATCH(181,tk_ASEQ,0)),"")</f>
        <v/>
      </c>
      <c r="B187" s="162">
        <f>IFERROR(""&amp;INDEX(tk_ROOMF,MATCH(181,tk_ASEQ,0)),"")</f>
        <v/>
      </c>
      <c r="C187" s="162">
        <f>IFERROR(""&amp;INDEX(tk_ROOMT,MATCH(181,tk_ASEQ,0)),"")</f>
        <v/>
      </c>
      <c r="D187" s="162">
        <f>IFERROR(INDEX(tk_QTY,MATCH(181,tk_ASEQ,0)),"")</f>
        <v/>
      </c>
      <c r="E187" s="162">
        <f>IFERROR(""&amp;INDEX(tk_SIZE,MATCH(181,tk_ASEQ,0)),"")</f>
        <v/>
      </c>
      <c r="F187" s="162">
        <f>IFERROR(""&amp;INDEX(tk_PAIR,MATCH(181,tk_ASEQ,0)),"")</f>
        <v/>
      </c>
      <c r="G187" s="162">
        <f>IFERROR(""&amp;INDEX(tk_DMAT,MATCH(181,tk_ASEQ,0)),"")</f>
        <v/>
      </c>
      <c r="H187" s="162">
        <f>IFERROR(""&amp;INDEX(tk_DGA,MATCH(181,tk_ASEQ,0)),"")</f>
        <v/>
      </c>
      <c r="I187" s="162">
        <f>IFERROR(""&amp;INDEX(tk_FACE,MATCH(181,tk_ASEQ,0)),"")</f>
        <v/>
      </c>
      <c r="J187" s="162">
        <f>IFERROR(IF(INDEX(tk_DHAND,MATCH(181,tk_ASEQ,0))="",""&amp;INDEX(tk_HAND,MATCH(181,tk_ASEQ,0)),""&amp;INDEX(tk_DHAND,MATCH(181,tk_ASEQ,0))),"")</f>
        <v/>
      </c>
      <c r="K187" s="162">
        <f>IFERROR(""&amp;INDEX(tk_FDESC,MATCH(181,tk_ASEQ,0)),"")</f>
        <v/>
      </c>
      <c r="L187" s="162">
        <f>IFERROR(INDEX(tk_STEEL,MATCH(181,tk_ASEQ,0))&amp;IF(INDEX(tk_FGA,MATCH(181,tk_ASEQ,0))="",""," "&amp;INDEX(tk_FGA,MATCH(181,tk_ASEQ,0))&amp;"GA"),"")</f>
        <v/>
      </c>
      <c r="M187" s="162">
        <f>IFERROR(IFERROR(VLOOKUP(INDEX(tk_JAMB,MATCH(181,tk_ASEQ,0)),CODES,2,FALSE),""&amp;INDEX(tk_JAMB,MATCH(181,tk_ASEQ,0))),"")</f>
        <v/>
      </c>
      <c r="N187" s="162">
        <f>IFERROR(""&amp;INDEX(tk_CONSTR,MATCH(181,tk_ASEQ,0)),"")</f>
        <v/>
      </c>
      <c r="O187" s="162">
        <f>IFERROR(""&amp;INDEX(tk_ANCHOR,MATCH(181,tk_ASEQ,0)),"")</f>
        <v/>
      </c>
      <c r="P187" s="162">
        <f>IFERROR(""&amp;INDEX(tk_RATING,MATCH(181,tk_ASEQ,0)),"")</f>
        <v/>
      </c>
      <c r="Q187" s="162">
        <f>IFERROR(""&amp;INDEX(tk_LABEL,MATCH(181,tk_ASEQ,0)),"")</f>
        <v/>
      </c>
      <c r="R187" s="162">
        <f>IFERROR(""&amp;INDEX(tk_HWSET,MATCH(181,tk_ASEQ,0)),"")</f>
        <v/>
      </c>
      <c r="S187" s="162">
        <f>IFERROR(IF(""&amp;INDEX(tk_HINGES,MATCH(181,tk_ASEQ,0))="","",INDEX(tk_HINGES,MATCH(181,tk_ASEQ,0))&amp;" · "&amp;INDEX(tk_LSRC,MATCH(181,tk_ASEQ,0))),"")</f>
        <v/>
      </c>
      <c r="T187" s="162">
        <f>IFERROR(""&amp;INDEX(tk_LOCK,MATCH(181,tk_ASEQ,0)),"")</f>
        <v/>
      </c>
      <c r="U187" s="162">
        <f>IFERROR(INDEX(tk_ETYPE,MATCH(181,tk_ASEQ,0)),"")</f>
        <v/>
      </c>
      <c r="V187" s="162">
        <f>IFERROR(""&amp;INDEX(tk_CHECK,MATCH(181,tk_ASEQ,0)),"")</f>
        <v/>
      </c>
      <c r="W187" s="162">
        <f>IFERROR(TRIM(INDEX(tk_DNOTES,MATCH(181,tk_ASEQ,0))&amp;" "&amp;INDEX(tk_FNOTES,MATCH(181,tk_ASEQ,0))),"")</f>
        <v/>
      </c>
    </row>
    <row r="188">
      <c r="A188" s="161">
        <f>IFERROR(""&amp;INDEX(tk_MARK,MATCH(182,tk_ASEQ,0)),"")</f>
        <v/>
      </c>
      <c r="B188" s="162">
        <f>IFERROR(""&amp;INDEX(tk_ROOMF,MATCH(182,tk_ASEQ,0)),"")</f>
        <v/>
      </c>
      <c r="C188" s="162">
        <f>IFERROR(""&amp;INDEX(tk_ROOMT,MATCH(182,tk_ASEQ,0)),"")</f>
        <v/>
      </c>
      <c r="D188" s="162">
        <f>IFERROR(INDEX(tk_QTY,MATCH(182,tk_ASEQ,0)),"")</f>
        <v/>
      </c>
      <c r="E188" s="162">
        <f>IFERROR(""&amp;INDEX(tk_SIZE,MATCH(182,tk_ASEQ,0)),"")</f>
        <v/>
      </c>
      <c r="F188" s="162">
        <f>IFERROR(""&amp;INDEX(tk_PAIR,MATCH(182,tk_ASEQ,0)),"")</f>
        <v/>
      </c>
      <c r="G188" s="162">
        <f>IFERROR(""&amp;INDEX(tk_DMAT,MATCH(182,tk_ASEQ,0)),"")</f>
        <v/>
      </c>
      <c r="H188" s="162">
        <f>IFERROR(""&amp;INDEX(tk_DGA,MATCH(182,tk_ASEQ,0)),"")</f>
        <v/>
      </c>
      <c r="I188" s="162">
        <f>IFERROR(""&amp;INDEX(tk_FACE,MATCH(182,tk_ASEQ,0)),"")</f>
        <v/>
      </c>
      <c r="J188" s="162">
        <f>IFERROR(IF(INDEX(tk_DHAND,MATCH(182,tk_ASEQ,0))="",""&amp;INDEX(tk_HAND,MATCH(182,tk_ASEQ,0)),""&amp;INDEX(tk_DHAND,MATCH(182,tk_ASEQ,0))),"")</f>
        <v/>
      </c>
      <c r="K188" s="162">
        <f>IFERROR(""&amp;INDEX(tk_FDESC,MATCH(182,tk_ASEQ,0)),"")</f>
        <v/>
      </c>
      <c r="L188" s="162">
        <f>IFERROR(INDEX(tk_STEEL,MATCH(182,tk_ASEQ,0))&amp;IF(INDEX(tk_FGA,MATCH(182,tk_ASEQ,0))="",""," "&amp;INDEX(tk_FGA,MATCH(182,tk_ASEQ,0))&amp;"GA"),"")</f>
        <v/>
      </c>
      <c r="M188" s="162">
        <f>IFERROR(IFERROR(VLOOKUP(INDEX(tk_JAMB,MATCH(182,tk_ASEQ,0)),CODES,2,FALSE),""&amp;INDEX(tk_JAMB,MATCH(182,tk_ASEQ,0))),"")</f>
        <v/>
      </c>
      <c r="N188" s="162">
        <f>IFERROR(""&amp;INDEX(tk_CONSTR,MATCH(182,tk_ASEQ,0)),"")</f>
        <v/>
      </c>
      <c r="O188" s="162">
        <f>IFERROR(""&amp;INDEX(tk_ANCHOR,MATCH(182,tk_ASEQ,0)),"")</f>
        <v/>
      </c>
      <c r="P188" s="162">
        <f>IFERROR(""&amp;INDEX(tk_RATING,MATCH(182,tk_ASEQ,0)),"")</f>
        <v/>
      </c>
      <c r="Q188" s="162">
        <f>IFERROR(""&amp;INDEX(tk_LABEL,MATCH(182,tk_ASEQ,0)),"")</f>
        <v/>
      </c>
      <c r="R188" s="162">
        <f>IFERROR(""&amp;INDEX(tk_HWSET,MATCH(182,tk_ASEQ,0)),"")</f>
        <v/>
      </c>
      <c r="S188" s="162">
        <f>IFERROR(IF(""&amp;INDEX(tk_HINGES,MATCH(182,tk_ASEQ,0))="","",INDEX(tk_HINGES,MATCH(182,tk_ASEQ,0))&amp;" · "&amp;INDEX(tk_LSRC,MATCH(182,tk_ASEQ,0))),"")</f>
        <v/>
      </c>
      <c r="T188" s="162">
        <f>IFERROR(""&amp;INDEX(tk_LOCK,MATCH(182,tk_ASEQ,0)),"")</f>
        <v/>
      </c>
      <c r="U188" s="162">
        <f>IFERROR(INDEX(tk_ETYPE,MATCH(182,tk_ASEQ,0)),"")</f>
        <v/>
      </c>
      <c r="V188" s="162">
        <f>IFERROR(""&amp;INDEX(tk_CHECK,MATCH(182,tk_ASEQ,0)),"")</f>
        <v/>
      </c>
      <c r="W188" s="162">
        <f>IFERROR(TRIM(INDEX(tk_DNOTES,MATCH(182,tk_ASEQ,0))&amp;" "&amp;INDEX(tk_FNOTES,MATCH(182,tk_ASEQ,0))),"")</f>
        <v/>
      </c>
    </row>
    <row r="189">
      <c r="A189" s="161">
        <f>IFERROR(""&amp;INDEX(tk_MARK,MATCH(183,tk_ASEQ,0)),"")</f>
        <v/>
      </c>
      <c r="B189" s="162">
        <f>IFERROR(""&amp;INDEX(tk_ROOMF,MATCH(183,tk_ASEQ,0)),"")</f>
        <v/>
      </c>
      <c r="C189" s="162">
        <f>IFERROR(""&amp;INDEX(tk_ROOMT,MATCH(183,tk_ASEQ,0)),"")</f>
        <v/>
      </c>
      <c r="D189" s="162">
        <f>IFERROR(INDEX(tk_QTY,MATCH(183,tk_ASEQ,0)),"")</f>
        <v/>
      </c>
      <c r="E189" s="162">
        <f>IFERROR(""&amp;INDEX(tk_SIZE,MATCH(183,tk_ASEQ,0)),"")</f>
        <v/>
      </c>
      <c r="F189" s="162">
        <f>IFERROR(""&amp;INDEX(tk_PAIR,MATCH(183,tk_ASEQ,0)),"")</f>
        <v/>
      </c>
      <c r="G189" s="162">
        <f>IFERROR(""&amp;INDEX(tk_DMAT,MATCH(183,tk_ASEQ,0)),"")</f>
        <v/>
      </c>
      <c r="H189" s="162">
        <f>IFERROR(""&amp;INDEX(tk_DGA,MATCH(183,tk_ASEQ,0)),"")</f>
        <v/>
      </c>
      <c r="I189" s="162">
        <f>IFERROR(""&amp;INDEX(tk_FACE,MATCH(183,tk_ASEQ,0)),"")</f>
        <v/>
      </c>
      <c r="J189" s="162">
        <f>IFERROR(IF(INDEX(tk_DHAND,MATCH(183,tk_ASEQ,0))="",""&amp;INDEX(tk_HAND,MATCH(183,tk_ASEQ,0)),""&amp;INDEX(tk_DHAND,MATCH(183,tk_ASEQ,0))),"")</f>
        <v/>
      </c>
      <c r="K189" s="162">
        <f>IFERROR(""&amp;INDEX(tk_FDESC,MATCH(183,tk_ASEQ,0)),"")</f>
        <v/>
      </c>
      <c r="L189" s="162">
        <f>IFERROR(INDEX(tk_STEEL,MATCH(183,tk_ASEQ,0))&amp;IF(INDEX(tk_FGA,MATCH(183,tk_ASEQ,0))="",""," "&amp;INDEX(tk_FGA,MATCH(183,tk_ASEQ,0))&amp;"GA"),"")</f>
        <v/>
      </c>
      <c r="M189" s="162">
        <f>IFERROR(IFERROR(VLOOKUP(INDEX(tk_JAMB,MATCH(183,tk_ASEQ,0)),CODES,2,FALSE),""&amp;INDEX(tk_JAMB,MATCH(183,tk_ASEQ,0))),"")</f>
        <v/>
      </c>
      <c r="N189" s="162">
        <f>IFERROR(""&amp;INDEX(tk_CONSTR,MATCH(183,tk_ASEQ,0)),"")</f>
        <v/>
      </c>
      <c r="O189" s="162">
        <f>IFERROR(""&amp;INDEX(tk_ANCHOR,MATCH(183,tk_ASEQ,0)),"")</f>
        <v/>
      </c>
      <c r="P189" s="162">
        <f>IFERROR(""&amp;INDEX(tk_RATING,MATCH(183,tk_ASEQ,0)),"")</f>
        <v/>
      </c>
      <c r="Q189" s="162">
        <f>IFERROR(""&amp;INDEX(tk_LABEL,MATCH(183,tk_ASEQ,0)),"")</f>
        <v/>
      </c>
      <c r="R189" s="162">
        <f>IFERROR(""&amp;INDEX(tk_HWSET,MATCH(183,tk_ASEQ,0)),"")</f>
        <v/>
      </c>
      <c r="S189" s="162">
        <f>IFERROR(IF(""&amp;INDEX(tk_HINGES,MATCH(183,tk_ASEQ,0))="","",INDEX(tk_HINGES,MATCH(183,tk_ASEQ,0))&amp;" · "&amp;INDEX(tk_LSRC,MATCH(183,tk_ASEQ,0))),"")</f>
        <v/>
      </c>
      <c r="T189" s="162">
        <f>IFERROR(""&amp;INDEX(tk_LOCK,MATCH(183,tk_ASEQ,0)),"")</f>
        <v/>
      </c>
      <c r="U189" s="162">
        <f>IFERROR(INDEX(tk_ETYPE,MATCH(183,tk_ASEQ,0)),"")</f>
        <v/>
      </c>
      <c r="V189" s="162">
        <f>IFERROR(""&amp;INDEX(tk_CHECK,MATCH(183,tk_ASEQ,0)),"")</f>
        <v/>
      </c>
      <c r="W189" s="162">
        <f>IFERROR(TRIM(INDEX(tk_DNOTES,MATCH(183,tk_ASEQ,0))&amp;" "&amp;INDEX(tk_FNOTES,MATCH(183,tk_ASEQ,0))),"")</f>
        <v/>
      </c>
    </row>
    <row r="190">
      <c r="A190" s="161">
        <f>IFERROR(""&amp;INDEX(tk_MARK,MATCH(184,tk_ASEQ,0)),"")</f>
        <v/>
      </c>
      <c r="B190" s="162">
        <f>IFERROR(""&amp;INDEX(tk_ROOMF,MATCH(184,tk_ASEQ,0)),"")</f>
        <v/>
      </c>
      <c r="C190" s="162">
        <f>IFERROR(""&amp;INDEX(tk_ROOMT,MATCH(184,tk_ASEQ,0)),"")</f>
        <v/>
      </c>
      <c r="D190" s="162">
        <f>IFERROR(INDEX(tk_QTY,MATCH(184,tk_ASEQ,0)),"")</f>
        <v/>
      </c>
      <c r="E190" s="162">
        <f>IFERROR(""&amp;INDEX(tk_SIZE,MATCH(184,tk_ASEQ,0)),"")</f>
        <v/>
      </c>
      <c r="F190" s="162">
        <f>IFERROR(""&amp;INDEX(tk_PAIR,MATCH(184,tk_ASEQ,0)),"")</f>
        <v/>
      </c>
      <c r="G190" s="162">
        <f>IFERROR(""&amp;INDEX(tk_DMAT,MATCH(184,tk_ASEQ,0)),"")</f>
        <v/>
      </c>
      <c r="H190" s="162">
        <f>IFERROR(""&amp;INDEX(tk_DGA,MATCH(184,tk_ASEQ,0)),"")</f>
        <v/>
      </c>
      <c r="I190" s="162">
        <f>IFERROR(""&amp;INDEX(tk_FACE,MATCH(184,tk_ASEQ,0)),"")</f>
        <v/>
      </c>
      <c r="J190" s="162">
        <f>IFERROR(IF(INDEX(tk_DHAND,MATCH(184,tk_ASEQ,0))="",""&amp;INDEX(tk_HAND,MATCH(184,tk_ASEQ,0)),""&amp;INDEX(tk_DHAND,MATCH(184,tk_ASEQ,0))),"")</f>
        <v/>
      </c>
      <c r="K190" s="162">
        <f>IFERROR(""&amp;INDEX(tk_FDESC,MATCH(184,tk_ASEQ,0)),"")</f>
        <v/>
      </c>
      <c r="L190" s="162">
        <f>IFERROR(INDEX(tk_STEEL,MATCH(184,tk_ASEQ,0))&amp;IF(INDEX(tk_FGA,MATCH(184,tk_ASEQ,0))="",""," "&amp;INDEX(tk_FGA,MATCH(184,tk_ASEQ,0))&amp;"GA"),"")</f>
        <v/>
      </c>
      <c r="M190" s="162">
        <f>IFERROR(IFERROR(VLOOKUP(INDEX(tk_JAMB,MATCH(184,tk_ASEQ,0)),CODES,2,FALSE),""&amp;INDEX(tk_JAMB,MATCH(184,tk_ASEQ,0))),"")</f>
        <v/>
      </c>
      <c r="N190" s="162">
        <f>IFERROR(""&amp;INDEX(tk_CONSTR,MATCH(184,tk_ASEQ,0)),"")</f>
        <v/>
      </c>
      <c r="O190" s="162">
        <f>IFERROR(""&amp;INDEX(tk_ANCHOR,MATCH(184,tk_ASEQ,0)),"")</f>
        <v/>
      </c>
      <c r="P190" s="162">
        <f>IFERROR(""&amp;INDEX(tk_RATING,MATCH(184,tk_ASEQ,0)),"")</f>
        <v/>
      </c>
      <c r="Q190" s="162">
        <f>IFERROR(""&amp;INDEX(tk_LABEL,MATCH(184,tk_ASEQ,0)),"")</f>
        <v/>
      </c>
      <c r="R190" s="162">
        <f>IFERROR(""&amp;INDEX(tk_HWSET,MATCH(184,tk_ASEQ,0)),"")</f>
        <v/>
      </c>
      <c r="S190" s="162">
        <f>IFERROR(IF(""&amp;INDEX(tk_HINGES,MATCH(184,tk_ASEQ,0))="","",INDEX(tk_HINGES,MATCH(184,tk_ASEQ,0))&amp;" · "&amp;INDEX(tk_LSRC,MATCH(184,tk_ASEQ,0))),"")</f>
        <v/>
      </c>
      <c r="T190" s="162">
        <f>IFERROR(""&amp;INDEX(tk_LOCK,MATCH(184,tk_ASEQ,0)),"")</f>
        <v/>
      </c>
      <c r="U190" s="162">
        <f>IFERROR(INDEX(tk_ETYPE,MATCH(184,tk_ASEQ,0)),"")</f>
        <v/>
      </c>
      <c r="V190" s="162">
        <f>IFERROR(""&amp;INDEX(tk_CHECK,MATCH(184,tk_ASEQ,0)),"")</f>
        <v/>
      </c>
      <c r="W190" s="162">
        <f>IFERROR(TRIM(INDEX(tk_DNOTES,MATCH(184,tk_ASEQ,0))&amp;" "&amp;INDEX(tk_FNOTES,MATCH(184,tk_ASEQ,0))),"")</f>
        <v/>
      </c>
    </row>
    <row r="191">
      <c r="A191" s="161">
        <f>IFERROR(""&amp;INDEX(tk_MARK,MATCH(185,tk_ASEQ,0)),"")</f>
        <v/>
      </c>
      <c r="B191" s="162">
        <f>IFERROR(""&amp;INDEX(tk_ROOMF,MATCH(185,tk_ASEQ,0)),"")</f>
        <v/>
      </c>
      <c r="C191" s="162">
        <f>IFERROR(""&amp;INDEX(tk_ROOMT,MATCH(185,tk_ASEQ,0)),"")</f>
        <v/>
      </c>
      <c r="D191" s="162">
        <f>IFERROR(INDEX(tk_QTY,MATCH(185,tk_ASEQ,0)),"")</f>
        <v/>
      </c>
      <c r="E191" s="162">
        <f>IFERROR(""&amp;INDEX(tk_SIZE,MATCH(185,tk_ASEQ,0)),"")</f>
        <v/>
      </c>
      <c r="F191" s="162">
        <f>IFERROR(""&amp;INDEX(tk_PAIR,MATCH(185,tk_ASEQ,0)),"")</f>
        <v/>
      </c>
      <c r="G191" s="162">
        <f>IFERROR(""&amp;INDEX(tk_DMAT,MATCH(185,tk_ASEQ,0)),"")</f>
        <v/>
      </c>
      <c r="H191" s="162">
        <f>IFERROR(""&amp;INDEX(tk_DGA,MATCH(185,tk_ASEQ,0)),"")</f>
        <v/>
      </c>
      <c r="I191" s="162">
        <f>IFERROR(""&amp;INDEX(tk_FACE,MATCH(185,tk_ASEQ,0)),"")</f>
        <v/>
      </c>
      <c r="J191" s="162">
        <f>IFERROR(IF(INDEX(tk_DHAND,MATCH(185,tk_ASEQ,0))="",""&amp;INDEX(tk_HAND,MATCH(185,tk_ASEQ,0)),""&amp;INDEX(tk_DHAND,MATCH(185,tk_ASEQ,0))),"")</f>
        <v/>
      </c>
      <c r="K191" s="162">
        <f>IFERROR(""&amp;INDEX(tk_FDESC,MATCH(185,tk_ASEQ,0)),"")</f>
        <v/>
      </c>
      <c r="L191" s="162">
        <f>IFERROR(INDEX(tk_STEEL,MATCH(185,tk_ASEQ,0))&amp;IF(INDEX(tk_FGA,MATCH(185,tk_ASEQ,0))="",""," "&amp;INDEX(tk_FGA,MATCH(185,tk_ASEQ,0))&amp;"GA"),"")</f>
        <v/>
      </c>
      <c r="M191" s="162">
        <f>IFERROR(IFERROR(VLOOKUP(INDEX(tk_JAMB,MATCH(185,tk_ASEQ,0)),CODES,2,FALSE),""&amp;INDEX(tk_JAMB,MATCH(185,tk_ASEQ,0))),"")</f>
        <v/>
      </c>
      <c r="N191" s="162">
        <f>IFERROR(""&amp;INDEX(tk_CONSTR,MATCH(185,tk_ASEQ,0)),"")</f>
        <v/>
      </c>
      <c r="O191" s="162">
        <f>IFERROR(""&amp;INDEX(tk_ANCHOR,MATCH(185,tk_ASEQ,0)),"")</f>
        <v/>
      </c>
      <c r="P191" s="162">
        <f>IFERROR(""&amp;INDEX(tk_RATING,MATCH(185,tk_ASEQ,0)),"")</f>
        <v/>
      </c>
      <c r="Q191" s="162">
        <f>IFERROR(""&amp;INDEX(tk_LABEL,MATCH(185,tk_ASEQ,0)),"")</f>
        <v/>
      </c>
      <c r="R191" s="162">
        <f>IFERROR(""&amp;INDEX(tk_HWSET,MATCH(185,tk_ASEQ,0)),"")</f>
        <v/>
      </c>
      <c r="S191" s="162">
        <f>IFERROR(IF(""&amp;INDEX(tk_HINGES,MATCH(185,tk_ASEQ,0))="","",INDEX(tk_HINGES,MATCH(185,tk_ASEQ,0))&amp;" · "&amp;INDEX(tk_LSRC,MATCH(185,tk_ASEQ,0))),"")</f>
        <v/>
      </c>
      <c r="T191" s="162">
        <f>IFERROR(""&amp;INDEX(tk_LOCK,MATCH(185,tk_ASEQ,0)),"")</f>
        <v/>
      </c>
      <c r="U191" s="162">
        <f>IFERROR(INDEX(tk_ETYPE,MATCH(185,tk_ASEQ,0)),"")</f>
        <v/>
      </c>
      <c r="V191" s="162">
        <f>IFERROR(""&amp;INDEX(tk_CHECK,MATCH(185,tk_ASEQ,0)),"")</f>
        <v/>
      </c>
      <c r="W191" s="162">
        <f>IFERROR(TRIM(INDEX(tk_DNOTES,MATCH(185,tk_ASEQ,0))&amp;" "&amp;INDEX(tk_FNOTES,MATCH(185,tk_ASEQ,0))),"")</f>
        <v/>
      </c>
    </row>
    <row r="192">
      <c r="A192" s="161">
        <f>IFERROR(""&amp;INDEX(tk_MARK,MATCH(186,tk_ASEQ,0)),"")</f>
        <v/>
      </c>
      <c r="B192" s="162">
        <f>IFERROR(""&amp;INDEX(tk_ROOMF,MATCH(186,tk_ASEQ,0)),"")</f>
        <v/>
      </c>
      <c r="C192" s="162">
        <f>IFERROR(""&amp;INDEX(tk_ROOMT,MATCH(186,tk_ASEQ,0)),"")</f>
        <v/>
      </c>
      <c r="D192" s="162">
        <f>IFERROR(INDEX(tk_QTY,MATCH(186,tk_ASEQ,0)),"")</f>
        <v/>
      </c>
      <c r="E192" s="162">
        <f>IFERROR(""&amp;INDEX(tk_SIZE,MATCH(186,tk_ASEQ,0)),"")</f>
        <v/>
      </c>
      <c r="F192" s="162">
        <f>IFERROR(""&amp;INDEX(tk_PAIR,MATCH(186,tk_ASEQ,0)),"")</f>
        <v/>
      </c>
      <c r="G192" s="162">
        <f>IFERROR(""&amp;INDEX(tk_DMAT,MATCH(186,tk_ASEQ,0)),"")</f>
        <v/>
      </c>
      <c r="H192" s="162">
        <f>IFERROR(""&amp;INDEX(tk_DGA,MATCH(186,tk_ASEQ,0)),"")</f>
        <v/>
      </c>
      <c r="I192" s="162">
        <f>IFERROR(""&amp;INDEX(tk_FACE,MATCH(186,tk_ASEQ,0)),"")</f>
        <v/>
      </c>
      <c r="J192" s="162">
        <f>IFERROR(IF(INDEX(tk_DHAND,MATCH(186,tk_ASEQ,0))="",""&amp;INDEX(tk_HAND,MATCH(186,tk_ASEQ,0)),""&amp;INDEX(tk_DHAND,MATCH(186,tk_ASEQ,0))),"")</f>
        <v/>
      </c>
      <c r="K192" s="162">
        <f>IFERROR(""&amp;INDEX(tk_FDESC,MATCH(186,tk_ASEQ,0)),"")</f>
        <v/>
      </c>
      <c r="L192" s="162">
        <f>IFERROR(INDEX(tk_STEEL,MATCH(186,tk_ASEQ,0))&amp;IF(INDEX(tk_FGA,MATCH(186,tk_ASEQ,0))="",""," "&amp;INDEX(tk_FGA,MATCH(186,tk_ASEQ,0))&amp;"GA"),"")</f>
        <v/>
      </c>
      <c r="M192" s="162">
        <f>IFERROR(IFERROR(VLOOKUP(INDEX(tk_JAMB,MATCH(186,tk_ASEQ,0)),CODES,2,FALSE),""&amp;INDEX(tk_JAMB,MATCH(186,tk_ASEQ,0))),"")</f>
        <v/>
      </c>
      <c r="N192" s="162">
        <f>IFERROR(""&amp;INDEX(tk_CONSTR,MATCH(186,tk_ASEQ,0)),"")</f>
        <v/>
      </c>
      <c r="O192" s="162">
        <f>IFERROR(""&amp;INDEX(tk_ANCHOR,MATCH(186,tk_ASEQ,0)),"")</f>
        <v/>
      </c>
      <c r="P192" s="162">
        <f>IFERROR(""&amp;INDEX(tk_RATING,MATCH(186,tk_ASEQ,0)),"")</f>
        <v/>
      </c>
      <c r="Q192" s="162">
        <f>IFERROR(""&amp;INDEX(tk_LABEL,MATCH(186,tk_ASEQ,0)),"")</f>
        <v/>
      </c>
      <c r="R192" s="162">
        <f>IFERROR(""&amp;INDEX(tk_HWSET,MATCH(186,tk_ASEQ,0)),"")</f>
        <v/>
      </c>
      <c r="S192" s="162">
        <f>IFERROR(IF(""&amp;INDEX(tk_HINGES,MATCH(186,tk_ASEQ,0))="","",INDEX(tk_HINGES,MATCH(186,tk_ASEQ,0))&amp;" · "&amp;INDEX(tk_LSRC,MATCH(186,tk_ASEQ,0))),"")</f>
        <v/>
      </c>
      <c r="T192" s="162">
        <f>IFERROR(""&amp;INDEX(tk_LOCK,MATCH(186,tk_ASEQ,0)),"")</f>
        <v/>
      </c>
      <c r="U192" s="162">
        <f>IFERROR(INDEX(tk_ETYPE,MATCH(186,tk_ASEQ,0)),"")</f>
        <v/>
      </c>
      <c r="V192" s="162">
        <f>IFERROR(""&amp;INDEX(tk_CHECK,MATCH(186,tk_ASEQ,0)),"")</f>
        <v/>
      </c>
      <c r="W192" s="162">
        <f>IFERROR(TRIM(INDEX(tk_DNOTES,MATCH(186,tk_ASEQ,0))&amp;" "&amp;INDEX(tk_FNOTES,MATCH(186,tk_ASEQ,0))),"")</f>
        <v/>
      </c>
    </row>
    <row r="193">
      <c r="A193" s="161">
        <f>IFERROR(""&amp;INDEX(tk_MARK,MATCH(187,tk_ASEQ,0)),"")</f>
        <v/>
      </c>
      <c r="B193" s="162">
        <f>IFERROR(""&amp;INDEX(tk_ROOMF,MATCH(187,tk_ASEQ,0)),"")</f>
        <v/>
      </c>
      <c r="C193" s="162">
        <f>IFERROR(""&amp;INDEX(tk_ROOMT,MATCH(187,tk_ASEQ,0)),"")</f>
        <v/>
      </c>
      <c r="D193" s="162">
        <f>IFERROR(INDEX(tk_QTY,MATCH(187,tk_ASEQ,0)),"")</f>
        <v/>
      </c>
      <c r="E193" s="162">
        <f>IFERROR(""&amp;INDEX(tk_SIZE,MATCH(187,tk_ASEQ,0)),"")</f>
        <v/>
      </c>
      <c r="F193" s="162">
        <f>IFERROR(""&amp;INDEX(tk_PAIR,MATCH(187,tk_ASEQ,0)),"")</f>
        <v/>
      </c>
      <c r="G193" s="162">
        <f>IFERROR(""&amp;INDEX(tk_DMAT,MATCH(187,tk_ASEQ,0)),"")</f>
        <v/>
      </c>
      <c r="H193" s="162">
        <f>IFERROR(""&amp;INDEX(tk_DGA,MATCH(187,tk_ASEQ,0)),"")</f>
        <v/>
      </c>
      <c r="I193" s="162">
        <f>IFERROR(""&amp;INDEX(tk_FACE,MATCH(187,tk_ASEQ,0)),"")</f>
        <v/>
      </c>
      <c r="J193" s="162">
        <f>IFERROR(IF(INDEX(tk_DHAND,MATCH(187,tk_ASEQ,0))="",""&amp;INDEX(tk_HAND,MATCH(187,tk_ASEQ,0)),""&amp;INDEX(tk_DHAND,MATCH(187,tk_ASEQ,0))),"")</f>
        <v/>
      </c>
      <c r="K193" s="162">
        <f>IFERROR(""&amp;INDEX(tk_FDESC,MATCH(187,tk_ASEQ,0)),"")</f>
        <v/>
      </c>
      <c r="L193" s="162">
        <f>IFERROR(INDEX(tk_STEEL,MATCH(187,tk_ASEQ,0))&amp;IF(INDEX(tk_FGA,MATCH(187,tk_ASEQ,0))="",""," "&amp;INDEX(tk_FGA,MATCH(187,tk_ASEQ,0))&amp;"GA"),"")</f>
        <v/>
      </c>
      <c r="M193" s="162">
        <f>IFERROR(IFERROR(VLOOKUP(INDEX(tk_JAMB,MATCH(187,tk_ASEQ,0)),CODES,2,FALSE),""&amp;INDEX(tk_JAMB,MATCH(187,tk_ASEQ,0))),"")</f>
        <v/>
      </c>
      <c r="N193" s="162">
        <f>IFERROR(""&amp;INDEX(tk_CONSTR,MATCH(187,tk_ASEQ,0)),"")</f>
        <v/>
      </c>
      <c r="O193" s="162">
        <f>IFERROR(""&amp;INDEX(tk_ANCHOR,MATCH(187,tk_ASEQ,0)),"")</f>
        <v/>
      </c>
      <c r="P193" s="162">
        <f>IFERROR(""&amp;INDEX(tk_RATING,MATCH(187,tk_ASEQ,0)),"")</f>
        <v/>
      </c>
      <c r="Q193" s="162">
        <f>IFERROR(""&amp;INDEX(tk_LABEL,MATCH(187,tk_ASEQ,0)),"")</f>
        <v/>
      </c>
      <c r="R193" s="162">
        <f>IFERROR(""&amp;INDEX(tk_HWSET,MATCH(187,tk_ASEQ,0)),"")</f>
        <v/>
      </c>
      <c r="S193" s="162">
        <f>IFERROR(IF(""&amp;INDEX(tk_HINGES,MATCH(187,tk_ASEQ,0))="","",INDEX(tk_HINGES,MATCH(187,tk_ASEQ,0))&amp;" · "&amp;INDEX(tk_LSRC,MATCH(187,tk_ASEQ,0))),"")</f>
        <v/>
      </c>
      <c r="T193" s="162">
        <f>IFERROR(""&amp;INDEX(tk_LOCK,MATCH(187,tk_ASEQ,0)),"")</f>
        <v/>
      </c>
      <c r="U193" s="162">
        <f>IFERROR(INDEX(tk_ETYPE,MATCH(187,tk_ASEQ,0)),"")</f>
        <v/>
      </c>
      <c r="V193" s="162">
        <f>IFERROR(""&amp;INDEX(tk_CHECK,MATCH(187,tk_ASEQ,0)),"")</f>
        <v/>
      </c>
      <c r="W193" s="162">
        <f>IFERROR(TRIM(INDEX(tk_DNOTES,MATCH(187,tk_ASEQ,0))&amp;" "&amp;INDEX(tk_FNOTES,MATCH(187,tk_ASEQ,0))),"")</f>
        <v/>
      </c>
    </row>
    <row r="194">
      <c r="A194" s="161">
        <f>IFERROR(""&amp;INDEX(tk_MARK,MATCH(188,tk_ASEQ,0)),"")</f>
        <v/>
      </c>
      <c r="B194" s="162">
        <f>IFERROR(""&amp;INDEX(tk_ROOMF,MATCH(188,tk_ASEQ,0)),"")</f>
        <v/>
      </c>
      <c r="C194" s="162">
        <f>IFERROR(""&amp;INDEX(tk_ROOMT,MATCH(188,tk_ASEQ,0)),"")</f>
        <v/>
      </c>
      <c r="D194" s="162">
        <f>IFERROR(INDEX(tk_QTY,MATCH(188,tk_ASEQ,0)),"")</f>
        <v/>
      </c>
      <c r="E194" s="162">
        <f>IFERROR(""&amp;INDEX(tk_SIZE,MATCH(188,tk_ASEQ,0)),"")</f>
        <v/>
      </c>
      <c r="F194" s="162">
        <f>IFERROR(""&amp;INDEX(tk_PAIR,MATCH(188,tk_ASEQ,0)),"")</f>
        <v/>
      </c>
      <c r="G194" s="162">
        <f>IFERROR(""&amp;INDEX(tk_DMAT,MATCH(188,tk_ASEQ,0)),"")</f>
        <v/>
      </c>
      <c r="H194" s="162">
        <f>IFERROR(""&amp;INDEX(tk_DGA,MATCH(188,tk_ASEQ,0)),"")</f>
        <v/>
      </c>
      <c r="I194" s="162">
        <f>IFERROR(""&amp;INDEX(tk_FACE,MATCH(188,tk_ASEQ,0)),"")</f>
        <v/>
      </c>
      <c r="J194" s="162">
        <f>IFERROR(IF(INDEX(tk_DHAND,MATCH(188,tk_ASEQ,0))="",""&amp;INDEX(tk_HAND,MATCH(188,tk_ASEQ,0)),""&amp;INDEX(tk_DHAND,MATCH(188,tk_ASEQ,0))),"")</f>
        <v/>
      </c>
      <c r="K194" s="162">
        <f>IFERROR(""&amp;INDEX(tk_FDESC,MATCH(188,tk_ASEQ,0)),"")</f>
        <v/>
      </c>
      <c r="L194" s="162">
        <f>IFERROR(INDEX(tk_STEEL,MATCH(188,tk_ASEQ,0))&amp;IF(INDEX(tk_FGA,MATCH(188,tk_ASEQ,0))="",""," "&amp;INDEX(tk_FGA,MATCH(188,tk_ASEQ,0))&amp;"GA"),"")</f>
        <v/>
      </c>
      <c r="M194" s="162">
        <f>IFERROR(IFERROR(VLOOKUP(INDEX(tk_JAMB,MATCH(188,tk_ASEQ,0)),CODES,2,FALSE),""&amp;INDEX(tk_JAMB,MATCH(188,tk_ASEQ,0))),"")</f>
        <v/>
      </c>
      <c r="N194" s="162">
        <f>IFERROR(""&amp;INDEX(tk_CONSTR,MATCH(188,tk_ASEQ,0)),"")</f>
        <v/>
      </c>
      <c r="O194" s="162">
        <f>IFERROR(""&amp;INDEX(tk_ANCHOR,MATCH(188,tk_ASEQ,0)),"")</f>
        <v/>
      </c>
      <c r="P194" s="162">
        <f>IFERROR(""&amp;INDEX(tk_RATING,MATCH(188,tk_ASEQ,0)),"")</f>
        <v/>
      </c>
      <c r="Q194" s="162">
        <f>IFERROR(""&amp;INDEX(tk_LABEL,MATCH(188,tk_ASEQ,0)),"")</f>
        <v/>
      </c>
      <c r="R194" s="162">
        <f>IFERROR(""&amp;INDEX(tk_HWSET,MATCH(188,tk_ASEQ,0)),"")</f>
        <v/>
      </c>
      <c r="S194" s="162">
        <f>IFERROR(IF(""&amp;INDEX(tk_HINGES,MATCH(188,tk_ASEQ,0))="","",INDEX(tk_HINGES,MATCH(188,tk_ASEQ,0))&amp;" · "&amp;INDEX(tk_LSRC,MATCH(188,tk_ASEQ,0))),"")</f>
        <v/>
      </c>
      <c r="T194" s="162">
        <f>IFERROR(""&amp;INDEX(tk_LOCK,MATCH(188,tk_ASEQ,0)),"")</f>
        <v/>
      </c>
      <c r="U194" s="162">
        <f>IFERROR(INDEX(tk_ETYPE,MATCH(188,tk_ASEQ,0)),"")</f>
        <v/>
      </c>
      <c r="V194" s="162">
        <f>IFERROR(""&amp;INDEX(tk_CHECK,MATCH(188,tk_ASEQ,0)),"")</f>
        <v/>
      </c>
      <c r="W194" s="162">
        <f>IFERROR(TRIM(INDEX(tk_DNOTES,MATCH(188,tk_ASEQ,0))&amp;" "&amp;INDEX(tk_FNOTES,MATCH(188,tk_ASEQ,0))),"")</f>
        <v/>
      </c>
    </row>
    <row r="195">
      <c r="A195" s="161">
        <f>IFERROR(""&amp;INDEX(tk_MARK,MATCH(189,tk_ASEQ,0)),"")</f>
        <v/>
      </c>
      <c r="B195" s="162">
        <f>IFERROR(""&amp;INDEX(tk_ROOMF,MATCH(189,tk_ASEQ,0)),"")</f>
        <v/>
      </c>
      <c r="C195" s="162">
        <f>IFERROR(""&amp;INDEX(tk_ROOMT,MATCH(189,tk_ASEQ,0)),"")</f>
        <v/>
      </c>
      <c r="D195" s="162">
        <f>IFERROR(INDEX(tk_QTY,MATCH(189,tk_ASEQ,0)),"")</f>
        <v/>
      </c>
      <c r="E195" s="162">
        <f>IFERROR(""&amp;INDEX(tk_SIZE,MATCH(189,tk_ASEQ,0)),"")</f>
        <v/>
      </c>
      <c r="F195" s="162">
        <f>IFERROR(""&amp;INDEX(tk_PAIR,MATCH(189,tk_ASEQ,0)),"")</f>
        <v/>
      </c>
      <c r="G195" s="162">
        <f>IFERROR(""&amp;INDEX(tk_DMAT,MATCH(189,tk_ASEQ,0)),"")</f>
        <v/>
      </c>
      <c r="H195" s="162">
        <f>IFERROR(""&amp;INDEX(tk_DGA,MATCH(189,tk_ASEQ,0)),"")</f>
        <v/>
      </c>
      <c r="I195" s="162">
        <f>IFERROR(""&amp;INDEX(tk_FACE,MATCH(189,tk_ASEQ,0)),"")</f>
        <v/>
      </c>
      <c r="J195" s="162">
        <f>IFERROR(IF(INDEX(tk_DHAND,MATCH(189,tk_ASEQ,0))="",""&amp;INDEX(tk_HAND,MATCH(189,tk_ASEQ,0)),""&amp;INDEX(tk_DHAND,MATCH(189,tk_ASEQ,0))),"")</f>
        <v/>
      </c>
      <c r="K195" s="162">
        <f>IFERROR(""&amp;INDEX(tk_FDESC,MATCH(189,tk_ASEQ,0)),"")</f>
        <v/>
      </c>
      <c r="L195" s="162">
        <f>IFERROR(INDEX(tk_STEEL,MATCH(189,tk_ASEQ,0))&amp;IF(INDEX(tk_FGA,MATCH(189,tk_ASEQ,0))="",""," "&amp;INDEX(tk_FGA,MATCH(189,tk_ASEQ,0))&amp;"GA"),"")</f>
        <v/>
      </c>
      <c r="M195" s="162">
        <f>IFERROR(IFERROR(VLOOKUP(INDEX(tk_JAMB,MATCH(189,tk_ASEQ,0)),CODES,2,FALSE),""&amp;INDEX(tk_JAMB,MATCH(189,tk_ASEQ,0))),"")</f>
        <v/>
      </c>
      <c r="N195" s="162">
        <f>IFERROR(""&amp;INDEX(tk_CONSTR,MATCH(189,tk_ASEQ,0)),"")</f>
        <v/>
      </c>
      <c r="O195" s="162">
        <f>IFERROR(""&amp;INDEX(tk_ANCHOR,MATCH(189,tk_ASEQ,0)),"")</f>
        <v/>
      </c>
      <c r="P195" s="162">
        <f>IFERROR(""&amp;INDEX(tk_RATING,MATCH(189,tk_ASEQ,0)),"")</f>
        <v/>
      </c>
      <c r="Q195" s="162">
        <f>IFERROR(""&amp;INDEX(tk_LABEL,MATCH(189,tk_ASEQ,0)),"")</f>
        <v/>
      </c>
      <c r="R195" s="162">
        <f>IFERROR(""&amp;INDEX(tk_HWSET,MATCH(189,tk_ASEQ,0)),"")</f>
        <v/>
      </c>
      <c r="S195" s="162">
        <f>IFERROR(IF(""&amp;INDEX(tk_HINGES,MATCH(189,tk_ASEQ,0))="","",INDEX(tk_HINGES,MATCH(189,tk_ASEQ,0))&amp;" · "&amp;INDEX(tk_LSRC,MATCH(189,tk_ASEQ,0))),"")</f>
        <v/>
      </c>
      <c r="T195" s="162">
        <f>IFERROR(""&amp;INDEX(tk_LOCK,MATCH(189,tk_ASEQ,0)),"")</f>
        <v/>
      </c>
      <c r="U195" s="162">
        <f>IFERROR(INDEX(tk_ETYPE,MATCH(189,tk_ASEQ,0)),"")</f>
        <v/>
      </c>
      <c r="V195" s="162">
        <f>IFERROR(""&amp;INDEX(tk_CHECK,MATCH(189,tk_ASEQ,0)),"")</f>
        <v/>
      </c>
      <c r="W195" s="162">
        <f>IFERROR(TRIM(INDEX(tk_DNOTES,MATCH(189,tk_ASEQ,0))&amp;" "&amp;INDEX(tk_FNOTES,MATCH(189,tk_ASEQ,0))),"")</f>
        <v/>
      </c>
    </row>
    <row r="196">
      <c r="A196" s="161">
        <f>IFERROR(""&amp;INDEX(tk_MARK,MATCH(190,tk_ASEQ,0)),"")</f>
        <v/>
      </c>
      <c r="B196" s="162">
        <f>IFERROR(""&amp;INDEX(tk_ROOMF,MATCH(190,tk_ASEQ,0)),"")</f>
        <v/>
      </c>
      <c r="C196" s="162">
        <f>IFERROR(""&amp;INDEX(tk_ROOMT,MATCH(190,tk_ASEQ,0)),"")</f>
        <v/>
      </c>
      <c r="D196" s="162">
        <f>IFERROR(INDEX(tk_QTY,MATCH(190,tk_ASEQ,0)),"")</f>
        <v/>
      </c>
      <c r="E196" s="162">
        <f>IFERROR(""&amp;INDEX(tk_SIZE,MATCH(190,tk_ASEQ,0)),"")</f>
        <v/>
      </c>
      <c r="F196" s="162">
        <f>IFERROR(""&amp;INDEX(tk_PAIR,MATCH(190,tk_ASEQ,0)),"")</f>
        <v/>
      </c>
      <c r="G196" s="162">
        <f>IFERROR(""&amp;INDEX(tk_DMAT,MATCH(190,tk_ASEQ,0)),"")</f>
        <v/>
      </c>
      <c r="H196" s="162">
        <f>IFERROR(""&amp;INDEX(tk_DGA,MATCH(190,tk_ASEQ,0)),"")</f>
        <v/>
      </c>
      <c r="I196" s="162">
        <f>IFERROR(""&amp;INDEX(tk_FACE,MATCH(190,tk_ASEQ,0)),"")</f>
        <v/>
      </c>
      <c r="J196" s="162">
        <f>IFERROR(IF(INDEX(tk_DHAND,MATCH(190,tk_ASEQ,0))="",""&amp;INDEX(tk_HAND,MATCH(190,tk_ASEQ,0)),""&amp;INDEX(tk_DHAND,MATCH(190,tk_ASEQ,0))),"")</f>
        <v/>
      </c>
      <c r="K196" s="162">
        <f>IFERROR(""&amp;INDEX(tk_FDESC,MATCH(190,tk_ASEQ,0)),"")</f>
        <v/>
      </c>
      <c r="L196" s="162">
        <f>IFERROR(INDEX(tk_STEEL,MATCH(190,tk_ASEQ,0))&amp;IF(INDEX(tk_FGA,MATCH(190,tk_ASEQ,0))="",""," "&amp;INDEX(tk_FGA,MATCH(190,tk_ASEQ,0))&amp;"GA"),"")</f>
        <v/>
      </c>
      <c r="M196" s="162">
        <f>IFERROR(IFERROR(VLOOKUP(INDEX(tk_JAMB,MATCH(190,tk_ASEQ,0)),CODES,2,FALSE),""&amp;INDEX(tk_JAMB,MATCH(190,tk_ASEQ,0))),"")</f>
        <v/>
      </c>
      <c r="N196" s="162">
        <f>IFERROR(""&amp;INDEX(tk_CONSTR,MATCH(190,tk_ASEQ,0)),"")</f>
        <v/>
      </c>
      <c r="O196" s="162">
        <f>IFERROR(""&amp;INDEX(tk_ANCHOR,MATCH(190,tk_ASEQ,0)),"")</f>
        <v/>
      </c>
      <c r="P196" s="162">
        <f>IFERROR(""&amp;INDEX(tk_RATING,MATCH(190,tk_ASEQ,0)),"")</f>
        <v/>
      </c>
      <c r="Q196" s="162">
        <f>IFERROR(""&amp;INDEX(tk_LABEL,MATCH(190,tk_ASEQ,0)),"")</f>
        <v/>
      </c>
      <c r="R196" s="162">
        <f>IFERROR(""&amp;INDEX(tk_HWSET,MATCH(190,tk_ASEQ,0)),"")</f>
        <v/>
      </c>
      <c r="S196" s="162">
        <f>IFERROR(IF(""&amp;INDEX(tk_HINGES,MATCH(190,tk_ASEQ,0))="","",INDEX(tk_HINGES,MATCH(190,tk_ASEQ,0))&amp;" · "&amp;INDEX(tk_LSRC,MATCH(190,tk_ASEQ,0))),"")</f>
        <v/>
      </c>
      <c r="T196" s="162">
        <f>IFERROR(""&amp;INDEX(tk_LOCK,MATCH(190,tk_ASEQ,0)),"")</f>
        <v/>
      </c>
      <c r="U196" s="162">
        <f>IFERROR(INDEX(tk_ETYPE,MATCH(190,tk_ASEQ,0)),"")</f>
        <v/>
      </c>
      <c r="V196" s="162">
        <f>IFERROR(""&amp;INDEX(tk_CHECK,MATCH(190,tk_ASEQ,0)),"")</f>
        <v/>
      </c>
      <c r="W196" s="162">
        <f>IFERROR(TRIM(INDEX(tk_DNOTES,MATCH(190,tk_ASEQ,0))&amp;" "&amp;INDEX(tk_FNOTES,MATCH(190,tk_ASEQ,0))),"")</f>
        <v/>
      </c>
    </row>
    <row r="197">
      <c r="A197" s="161">
        <f>IFERROR(""&amp;INDEX(tk_MARK,MATCH(191,tk_ASEQ,0)),"")</f>
        <v/>
      </c>
      <c r="B197" s="162">
        <f>IFERROR(""&amp;INDEX(tk_ROOMF,MATCH(191,tk_ASEQ,0)),"")</f>
        <v/>
      </c>
      <c r="C197" s="162">
        <f>IFERROR(""&amp;INDEX(tk_ROOMT,MATCH(191,tk_ASEQ,0)),"")</f>
        <v/>
      </c>
      <c r="D197" s="162">
        <f>IFERROR(INDEX(tk_QTY,MATCH(191,tk_ASEQ,0)),"")</f>
        <v/>
      </c>
      <c r="E197" s="162">
        <f>IFERROR(""&amp;INDEX(tk_SIZE,MATCH(191,tk_ASEQ,0)),"")</f>
        <v/>
      </c>
      <c r="F197" s="162">
        <f>IFERROR(""&amp;INDEX(tk_PAIR,MATCH(191,tk_ASEQ,0)),"")</f>
        <v/>
      </c>
      <c r="G197" s="162">
        <f>IFERROR(""&amp;INDEX(tk_DMAT,MATCH(191,tk_ASEQ,0)),"")</f>
        <v/>
      </c>
      <c r="H197" s="162">
        <f>IFERROR(""&amp;INDEX(tk_DGA,MATCH(191,tk_ASEQ,0)),"")</f>
        <v/>
      </c>
      <c r="I197" s="162">
        <f>IFERROR(""&amp;INDEX(tk_FACE,MATCH(191,tk_ASEQ,0)),"")</f>
        <v/>
      </c>
      <c r="J197" s="162">
        <f>IFERROR(IF(INDEX(tk_DHAND,MATCH(191,tk_ASEQ,0))="",""&amp;INDEX(tk_HAND,MATCH(191,tk_ASEQ,0)),""&amp;INDEX(tk_DHAND,MATCH(191,tk_ASEQ,0))),"")</f>
        <v/>
      </c>
      <c r="K197" s="162">
        <f>IFERROR(""&amp;INDEX(tk_FDESC,MATCH(191,tk_ASEQ,0)),"")</f>
        <v/>
      </c>
      <c r="L197" s="162">
        <f>IFERROR(INDEX(tk_STEEL,MATCH(191,tk_ASEQ,0))&amp;IF(INDEX(tk_FGA,MATCH(191,tk_ASEQ,0))="",""," "&amp;INDEX(tk_FGA,MATCH(191,tk_ASEQ,0))&amp;"GA"),"")</f>
        <v/>
      </c>
      <c r="M197" s="162">
        <f>IFERROR(IFERROR(VLOOKUP(INDEX(tk_JAMB,MATCH(191,tk_ASEQ,0)),CODES,2,FALSE),""&amp;INDEX(tk_JAMB,MATCH(191,tk_ASEQ,0))),"")</f>
        <v/>
      </c>
      <c r="N197" s="162">
        <f>IFERROR(""&amp;INDEX(tk_CONSTR,MATCH(191,tk_ASEQ,0)),"")</f>
        <v/>
      </c>
      <c r="O197" s="162">
        <f>IFERROR(""&amp;INDEX(tk_ANCHOR,MATCH(191,tk_ASEQ,0)),"")</f>
        <v/>
      </c>
      <c r="P197" s="162">
        <f>IFERROR(""&amp;INDEX(tk_RATING,MATCH(191,tk_ASEQ,0)),"")</f>
        <v/>
      </c>
      <c r="Q197" s="162">
        <f>IFERROR(""&amp;INDEX(tk_LABEL,MATCH(191,tk_ASEQ,0)),"")</f>
        <v/>
      </c>
      <c r="R197" s="162">
        <f>IFERROR(""&amp;INDEX(tk_HWSET,MATCH(191,tk_ASEQ,0)),"")</f>
        <v/>
      </c>
      <c r="S197" s="162">
        <f>IFERROR(IF(""&amp;INDEX(tk_HINGES,MATCH(191,tk_ASEQ,0))="","",INDEX(tk_HINGES,MATCH(191,tk_ASEQ,0))&amp;" · "&amp;INDEX(tk_LSRC,MATCH(191,tk_ASEQ,0))),"")</f>
        <v/>
      </c>
      <c r="T197" s="162">
        <f>IFERROR(""&amp;INDEX(tk_LOCK,MATCH(191,tk_ASEQ,0)),"")</f>
        <v/>
      </c>
      <c r="U197" s="162">
        <f>IFERROR(INDEX(tk_ETYPE,MATCH(191,tk_ASEQ,0)),"")</f>
        <v/>
      </c>
      <c r="V197" s="162">
        <f>IFERROR(""&amp;INDEX(tk_CHECK,MATCH(191,tk_ASEQ,0)),"")</f>
        <v/>
      </c>
      <c r="W197" s="162">
        <f>IFERROR(TRIM(INDEX(tk_DNOTES,MATCH(191,tk_ASEQ,0))&amp;" "&amp;INDEX(tk_FNOTES,MATCH(191,tk_ASEQ,0))),"")</f>
        <v/>
      </c>
    </row>
    <row r="198">
      <c r="A198" s="161">
        <f>IFERROR(""&amp;INDEX(tk_MARK,MATCH(192,tk_ASEQ,0)),"")</f>
        <v/>
      </c>
      <c r="B198" s="162">
        <f>IFERROR(""&amp;INDEX(tk_ROOMF,MATCH(192,tk_ASEQ,0)),"")</f>
        <v/>
      </c>
      <c r="C198" s="162">
        <f>IFERROR(""&amp;INDEX(tk_ROOMT,MATCH(192,tk_ASEQ,0)),"")</f>
        <v/>
      </c>
      <c r="D198" s="162">
        <f>IFERROR(INDEX(tk_QTY,MATCH(192,tk_ASEQ,0)),"")</f>
        <v/>
      </c>
      <c r="E198" s="162">
        <f>IFERROR(""&amp;INDEX(tk_SIZE,MATCH(192,tk_ASEQ,0)),"")</f>
        <v/>
      </c>
      <c r="F198" s="162">
        <f>IFERROR(""&amp;INDEX(tk_PAIR,MATCH(192,tk_ASEQ,0)),"")</f>
        <v/>
      </c>
      <c r="G198" s="162">
        <f>IFERROR(""&amp;INDEX(tk_DMAT,MATCH(192,tk_ASEQ,0)),"")</f>
        <v/>
      </c>
      <c r="H198" s="162">
        <f>IFERROR(""&amp;INDEX(tk_DGA,MATCH(192,tk_ASEQ,0)),"")</f>
        <v/>
      </c>
      <c r="I198" s="162">
        <f>IFERROR(""&amp;INDEX(tk_FACE,MATCH(192,tk_ASEQ,0)),"")</f>
        <v/>
      </c>
      <c r="J198" s="162">
        <f>IFERROR(IF(INDEX(tk_DHAND,MATCH(192,tk_ASEQ,0))="",""&amp;INDEX(tk_HAND,MATCH(192,tk_ASEQ,0)),""&amp;INDEX(tk_DHAND,MATCH(192,tk_ASEQ,0))),"")</f>
        <v/>
      </c>
      <c r="K198" s="162">
        <f>IFERROR(""&amp;INDEX(tk_FDESC,MATCH(192,tk_ASEQ,0)),"")</f>
        <v/>
      </c>
      <c r="L198" s="162">
        <f>IFERROR(INDEX(tk_STEEL,MATCH(192,tk_ASEQ,0))&amp;IF(INDEX(tk_FGA,MATCH(192,tk_ASEQ,0))="",""," "&amp;INDEX(tk_FGA,MATCH(192,tk_ASEQ,0))&amp;"GA"),"")</f>
        <v/>
      </c>
      <c r="M198" s="162">
        <f>IFERROR(IFERROR(VLOOKUP(INDEX(tk_JAMB,MATCH(192,tk_ASEQ,0)),CODES,2,FALSE),""&amp;INDEX(tk_JAMB,MATCH(192,tk_ASEQ,0))),"")</f>
        <v/>
      </c>
      <c r="N198" s="162">
        <f>IFERROR(""&amp;INDEX(tk_CONSTR,MATCH(192,tk_ASEQ,0)),"")</f>
        <v/>
      </c>
      <c r="O198" s="162">
        <f>IFERROR(""&amp;INDEX(tk_ANCHOR,MATCH(192,tk_ASEQ,0)),"")</f>
        <v/>
      </c>
      <c r="P198" s="162">
        <f>IFERROR(""&amp;INDEX(tk_RATING,MATCH(192,tk_ASEQ,0)),"")</f>
        <v/>
      </c>
      <c r="Q198" s="162">
        <f>IFERROR(""&amp;INDEX(tk_LABEL,MATCH(192,tk_ASEQ,0)),"")</f>
        <v/>
      </c>
      <c r="R198" s="162">
        <f>IFERROR(""&amp;INDEX(tk_HWSET,MATCH(192,tk_ASEQ,0)),"")</f>
        <v/>
      </c>
      <c r="S198" s="162">
        <f>IFERROR(IF(""&amp;INDEX(tk_HINGES,MATCH(192,tk_ASEQ,0))="","",INDEX(tk_HINGES,MATCH(192,tk_ASEQ,0))&amp;" · "&amp;INDEX(tk_LSRC,MATCH(192,tk_ASEQ,0))),"")</f>
        <v/>
      </c>
      <c r="T198" s="162">
        <f>IFERROR(""&amp;INDEX(tk_LOCK,MATCH(192,tk_ASEQ,0)),"")</f>
        <v/>
      </c>
      <c r="U198" s="162">
        <f>IFERROR(INDEX(tk_ETYPE,MATCH(192,tk_ASEQ,0)),"")</f>
        <v/>
      </c>
      <c r="V198" s="162">
        <f>IFERROR(""&amp;INDEX(tk_CHECK,MATCH(192,tk_ASEQ,0)),"")</f>
        <v/>
      </c>
      <c r="W198" s="162">
        <f>IFERROR(TRIM(INDEX(tk_DNOTES,MATCH(192,tk_ASEQ,0))&amp;" "&amp;INDEX(tk_FNOTES,MATCH(192,tk_ASEQ,0))),"")</f>
        <v/>
      </c>
    </row>
    <row r="199">
      <c r="A199" s="161">
        <f>IFERROR(""&amp;INDEX(tk_MARK,MATCH(193,tk_ASEQ,0)),"")</f>
        <v/>
      </c>
      <c r="B199" s="162">
        <f>IFERROR(""&amp;INDEX(tk_ROOMF,MATCH(193,tk_ASEQ,0)),"")</f>
        <v/>
      </c>
      <c r="C199" s="162">
        <f>IFERROR(""&amp;INDEX(tk_ROOMT,MATCH(193,tk_ASEQ,0)),"")</f>
        <v/>
      </c>
      <c r="D199" s="162">
        <f>IFERROR(INDEX(tk_QTY,MATCH(193,tk_ASEQ,0)),"")</f>
        <v/>
      </c>
      <c r="E199" s="162">
        <f>IFERROR(""&amp;INDEX(tk_SIZE,MATCH(193,tk_ASEQ,0)),"")</f>
        <v/>
      </c>
      <c r="F199" s="162">
        <f>IFERROR(""&amp;INDEX(tk_PAIR,MATCH(193,tk_ASEQ,0)),"")</f>
        <v/>
      </c>
      <c r="G199" s="162">
        <f>IFERROR(""&amp;INDEX(tk_DMAT,MATCH(193,tk_ASEQ,0)),"")</f>
        <v/>
      </c>
      <c r="H199" s="162">
        <f>IFERROR(""&amp;INDEX(tk_DGA,MATCH(193,tk_ASEQ,0)),"")</f>
        <v/>
      </c>
      <c r="I199" s="162">
        <f>IFERROR(""&amp;INDEX(tk_FACE,MATCH(193,tk_ASEQ,0)),"")</f>
        <v/>
      </c>
      <c r="J199" s="162">
        <f>IFERROR(IF(INDEX(tk_DHAND,MATCH(193,tk_ASEQ,0))="",""&amp;INDEX(tk_HAND,MATCH(193,tk_ASEQ,0)),""&amp;INDEX(tk_DHAND,MATCH(193,tk_ASEQ,0))),"")</f>
        <v/>
      </c>
      <c r="K199" s="162">
        <f>IFERROR(""&amp;INDEX(tk_FDESC,MATCH(193,tk_ASEQ,0)),"")</f>
        <v/>
      </c>
      <c r="L199" s="162">
        <f>IFERROR(INDEX(tk_STEEL,MATCH(193,tk_ASEQ,0))&amp;IF(INDEX(tk_FGA,MATCH(193,tk_ASEQ,0))="",""," "&amp;INDEX(tk_FGA,MATCH(193,tk_ASEQ,0))&amp;"GA"),"")</f>
        <v/>
      </c>
      <c r="M199" s="162">
        <f>IFERROR(IFERROR(VLOOKUP(INDEX(tk_JAMB,MATCH(193,tk_ASEQ,0)),CODES,2,FALSE),""&amp;INDEX(tk_JAMB,MATCH(193,tk_ASEQ,0))),"")</f>
        <v/>
      </c>
      <c r="N199" s="162">
        <f>IFERROR(""&amp;INDEX(tk_CONSTR,MATCH(193,tk_ASEQ,0)),"")</f>
        <v/>
      </c>
      <c r="O199" s="162">
        <f>IFERROR(""&amp;INDEX(tk_ANCHOR,MATCH(193,tk_ASEQ,0)),"")</f>
        <v/>
      </c>
      <c r="P199" s="162">
        <f>IFERROR(""&amp;INDEX(tk_RATING,MATCH(193,tk_ASEQ,0)),"")</f>
        <v/>
      </c>
      <c r="Q199" s="162">
        <f>IFERROR(""&amp;INDEX(tk_LABEL,MATCH(193,tk_ASEQ,0)),"")</f>
        <v/>
      </c>
      <c r="R199" s="162">
        <f>IFERROR(""&amp;INDEX(tk_HWSET,MATCH(193,tk_ASEQ,0)),"")</f>
        <v/>
      </c>
      <c r="S199" s="162">
        <f>IFERROR(IF(""&amp;INDEX(tk_HINGES,MATCH(193,tk_ASEQ,0))="","",INDEX(tk_HINGES,MATCH(193,tk_ASEQ,0))&amp;" · "&amp;INDEX(tk_LSRC,MATCH(193,tk_ASEQ,0))),"")</f>
        <v/>
      </c>
      <c r="T199" s="162">
        <f>IFERROR(""&amp;INDEX(tk_LOCK,MATCH(193,tk_ASEQ,0)),"")</f>
        <v/>
      </c>
      <c r="U199" s="162">
        <f>IFERROR(INDEX(tk_ETYPE,MATCH(193,tk_ASEQ,0)),"")</f>
        <v/>
      </c>
      <c r="V199" s="162">
        <f>IFERROR(""&amp;INDEX(tk_CHECK,MATCH(193,tk_ASEQ,0)),"")</f>
        <v/>
      </c>
      <c r="W199" s="162">
        <f>IFERROR(TRIM(INDEX(tk_DNOTES,MATCH(193,tk_ASEQ,0))&amp;" "&amp;INDEX(tk_FNOTES,MATCH(193,tk_ASEQ,0))),"")</f>
        <v/>
      </c>
    </row>
    <row r="200">
      <c r="A200" s="161">
        <f>IFERROR(""&amp;INDEX(tk_MARK,MATCH(194,tk_ASEQ,0)),"")</f>
        <v/>
      </c>
      <c r="B200" s="162">
        <f>IFERROR(""&amp;INDEX(tk_ROOMF,MATCH(194,tk_ASEQ,0)),"")</f>
        <v/>
      </c>
      <c r="C200" s="162">
        <f>IFERROR(""&amp;INDEX(tk_ROOMT,MATCH(194,tk_ASEQ,0)),"")</f>
        <v/>
      </c>
      <c r="D200" s="162">
        <f>IFERROR(INDEX(tk_QTY,MATCH(194,tk_ASEQ,0)),"")</f>
        <v/>
      </c>
      <c r="E200" s="162">
        <f>IFERROR(""&amp;INDEX(tk_SIZE,MATCH(194,tk_ASEQ,0)),"")</f>
        <v/>
      </c>
      <c r="F200" s="162">
        <f>IFERROR(""&amp;INDEX(tk_PAIR,MATCH(194,tk_ASEQ,0)),"")</f>
        <v/>
      </c>
      <c r="G200" s="162">
        <f>IFERROR(""&amp;INDEX(tk_DMAT,MATCH(194,tk_ASEQ,0)),"")</f>
        <v/>
      </c>
      <c r="H200" s="162">
        <f>IFERROR(""&amp;INDEX(tk_DGA,MATCH(194,tk_ASEQ,0)),"")</f>
        <v/>
      </c>
      <c r="I200" s="162">
        <f>IFERROR(""&amp;INDEX(tk_FACE,MATCH(194,tk_ASEQ,0)),"")</f>
        <v/>
      </c>
      <c r="J200" s="162">
        <f>IFERROR(IF(INDEX(tk_DHAND,MATCH(194,tk_ASEQ,0))="",""&amp;INDEX(tk_HAND,MATCH(194,tk_ASEQ,0)),""&amp;INDEX(tk_DHAND,MATCH(194,tk_ASEQ,0))),"")</f>
        <v/>
      </c>
      <c r="K200" s="162">
        <f>IFERROR(""&amp;INDEX(tk_FDESC,MATCH(194,tk_ASEQ,0)),"")</f>
        <v/>
      </c>
      <c r="L200" s="162">
        <f>IFERROR(INDEX(tk_STEEL,MATCH(194,tk_ASEQ,0))&amp;IF(INDEX(tk_FGA,MATCH(194,tk_ASEQ,0))="",""," "&amp;INDEX(tk_FGA,MATCH(194,tk_ASEQ,0))&amp;"GA"),"")</f>
        <v/>
      </c>
      <c r="M200" s="162">
        <f>IFERROR(IFERROR(VLOOKUP(INDEX(tk_JAMB,MATCH(194,tk_ASEQ,0)),CODES,2,FALSE),""&amp;INDEX(tk_JAMB,MATCH(194,tk_ASEQ,0))),"")</f>
        <v/>
      </c>
      <c r="N200" s="162">
        <f>IFERROR(""&amp;INDEX(tk_CONSTR,MATCH(194,tk_ASEQ,0)),"")</f>
        <v/>
      </c>
      <c r="O200" s="162">
        <f>IFERROR(""&amp;INDEX(tk_ANCHOR,MATCH(194,tk_ASEQ,0)),"")</f>
        <v/>
      </c>
      <c r="P200" s="162">
        <f>IFERROR(""&amp;INDEX(tk_RATING,MATCH(194,tk_ASEQ,0)),"")</f>
        <v/>
      </c>
      <c r="Q200" s="162">
        <f>IFERROR(""&amp;INDEX(tk_LABEL,MATCH(194,tk_ASEQ,0)),"")</f>
        <v/>
      </c>
      <c r="R200" s="162">
        <f>IFERROR(""&amp;INDEX(tk_HWSET,MATCH(194,tk_ASEQ,0)),"")</f>
        <v/>
      </c>
      <c r="S200" s="162">
        <f>IFERROR(IF(""&amp;INDEX(tk_HINGES,MATCH(194,tk_ASEQ,0))="","",INDEX(tk_HINGES,MATCH(194,tk_ASEQ,0))&amp;" · "&amp;INDEX(tk_LSRC,MATCH(194,tk_ASEQ,0))),"")</f>
        <v/>
      </c>
      <c r="T200" s="162">
        <f>IFERROR(""&amp;INDEX(tk_LOCK,MATCH(194,tk_ASEQ,0)),"")</f>
        <v/>
      </c>
      <c r="U200" s="162">
        <f>IFERROR(INDEX(tk_ETYPE,MATCH(194,tk_ASEQ,0)),"")</f>
        <v/>
      </c>
      <c r="V200" s="162">
        <f>IFERROR(""&amp;INDEX(tk_CHECK,MATCH(194,tk_ASEQ,0)),"")</f>
        <v/>
      </c>
      <c r="W200" s="162">
        <f>IFERROR(TRIM(INDEX(tk_DNOTES,MATCH(194,tk_ASEQ,0))&amp;" "&amp;INDEX(tk_FNOTES,MATCH(194,tk_ASEQ,0))),"")</f>
        <v/>
      </c>
    </row>
    <row r="201">
      <c r="A201" s="161">
        <f>IFERROR(""&amp;INDEX(tk_MARK,MATCH(195,tk_ASEQ,0)),"")</f>
        <v/>
      </c>
      <c r="B201" s="162">
        <f>IFERROR(""&amp;INDEX(tk_ROOMF,MATCH(195,tk_ASEQ,0)),"")</f>
        <v/>
      </c>
      <c r="C201" s="162">
        <f>IFERROR(""&amp;INDEX(tk_ROOMT,MATCH(195,tk_ASEQ,0)),"")</f>
        <v/>
      </c>
      <c r="D201" s="162">
        <f>IFERROR(INDEX(tk_QTY,MATCH(195,tk_ASEQ,0)),"")</f>
        <v/>
      </c>
      <c r="E201" s="162">
        <f>IFERROR(""&amp;INDEX(tk_SIZE,MATCH(195,tk_ASEQ,0)),"")</f>
        <v/>
      </c>
      <c r="F201" s="162">
        <f>IFERROR(""&amp;INDEX(tk_PAIR,MATCH(195,tk_ASEQ,0)),"")</f>
        <v/>
      </c>
      <c r="G201" s="162">
        <f>IFERROR(""&amp;INDEX(tk_DMAT,MATCH(195,tk_ASEQ,0)),"")</f>
        <v/>
      </c>
      <c r="H201" s="162">
        <f>IFERROR(""&amp;INDEX(tk_DGA,MATCH(195,tk_ASEQ,0)),"")</f>
        <v/>
      </c>
      <c r="I201" s="162">
        <f>IFERROR(""&amp;INDEX(tk_FACE,MATCH(195,tk_ASEQ,0)),"")</f>
        <v/>
      </c>
      <c r="J201" s="162">
        <f>IFERROR(IF(INDEX(tk_DHAND,MATCH(195,tk_ASEQ,0))="",""&amp;INDEX(tk_HAND,MATCH(195,tk_ASEQ,0)),""&amp;INDEX(tk_DHAND,MATCH(195,tk_ASEQ,0))),"")</f>
        <v/>
      </c>
      <c r="K201" s="162">
        <f>IFERROR(""&amp;INDEX(tk_FDESC,MATCH(195,tk_ASEQ,0)),"")</f>
        <v/>
      </c>
      <c r="L201" s="162">
        <f>IFERROR(INDEX(tk_STEEL,MATCH(195,tk_ASEQ,0))&amp;IF(INDEX(tk_FGA,MATCH(195,tk_ASEQ,0))="",""," "&amp;INDEX(tk_FGA,MATCH(195,tk_ASEQ,0))&amp;"GA"),"")</f>
        <v/>
      </c>
      <c r="M201" s="162">
        <f>IFERROR(IFERROR(VLOOKUP(INDEX(tk_JAMB,MATCH(195,tk_ASEQ,0)),CODES,2,FALSE),""&amp;INDEX(tk_JAMB,MATCH(195,tk_ASEQ,0))),"")</f>
        <v/>
      </c>
      <c r="N201" s="162">
        <f>IFERROR(""&amp;INDEX(tk_CONSTR,MATCH(195,tk_ASEQ,0)),"")</f>
        <v/>
      </c>
      <c r="O201" s="162">
        <f>IFERROR(""&amp;INDEX(tk_ANCHOR,MATCH(195,tk_ASEQ,0)),"")</f>
        <v/>
      </c>
      <c r="P201" s="162">
        <f>IFERROR(""&amp;INDEX(tk_RATING,MATCH(195,tk_ASEQ,0)),"")</f>
        <v/>
      </c>
      <c r="Q201" s="162">
        <f>IFERROR(""&amp;INDEX(tk_LABEL,MATCH(195,tk_ASEQ,0)),"")</f>
        <v/>
      </c>
      <c r="R201" s="162">
        <f>IFERROR(""&amp;INDEX(tk_HWSET,MATCH(195,tk_ASEQ,0)),"")</f>
        <v/>
      </c>
      <c r="S201" s="162">
        <f>IFERROR(IF(""&amp;INDEX(tk_HINGES,MATCH(195,tk_ASEQ,0))="","",INDEX(tk_HINGES,MATCH(195,tk_ASEQ,0))&amp;" · "&amp;INDEX(tk_LSRC,MATCH(195,tk_ASEQ,0))),"")</f>
        <v/>
      </c>
      <c r="T201" s="162">
        <f>IFERROR(""&amp;INDEX(tk_LOCK,MATCH(195,tk_ASEQ,0)),"")</f>
        <v/>
      </c>
      <c r="U201" s="162">
        <f>IFERROR(INDEX(tk_ETYPE,MATCH(195,tk_ASEQ,0)),"")</f>
        <v/>
      </c>
      <c r="V201" s="162">
        <f>IFERROR(""&amp;INDEX(tk_CHECK,MATCH(195,tk_ASEQ,0)),"")</f>
        <v/>
      </c>
      <c r="W201" s="162">
        <f>IFERROR(TRIM(INDEX(tk_DNOTES,MATCH(195,tk_ASEQ,0))&amp;" "&amp;INDEX(tk_FNOTES,MATCH(195,tk_ASEQ,0))),"")</f>
        <v/>
      </c>
    </row>
    <row r="202">
      <c r="A202" s="161">
        <f>IFERROR(""&amp;INDEX(tk_MARK,MATCH(196,tk_ASEQ,0)),"")</f>
        <v/>
      </c>
      <c r="B202" s="162">
        <f>IFERROR(""&amp;INDEX(tk_ROOMF,MATCH(196,tk_ASEQ,0)),"")</f>
        <v/>
      </c>
      <c r="C202" s="162">
        <f>IFERROR(""&amp;INDEX(tk_ROOMT,MATCH(196,tk_ASEQ,0)),"")</f>
        <v/>
      </c>
      <c r="D202" s="162">
        <f>IFERROR(INDEX(tk_QTY,MATCH(196,tk_ASEQ,0)),"")</f>
        <v/>
      </c>
      <c r="E202" s="162">
        <f>IFERROR(""&amp;INDEX(tk_SIZE,MATCH(196,tk_ASEQ,0)),"")</f>
        <v/>
      </c>
      <c r="F202" s="162">
        <f>IFERROR(""&amp;INDEX(tk_PAIR,MATCH(196,tk_ASEQ,0)),"")</f>
        <v/>
      </c>
      <c r="G202" s="162">
        <f>IFERROR(""&amp;INDEX(tk_DMAT,MATCH(196,tk_ASEQ,0)),"")</f>
        <v/>
      </c>
      <c r="H202" s="162">
        <f>IFERROR(""&amp;INDEX(tk_DGA,MATCH(196,tk_ASEQ,0)),"")</f>
        <v/>
      </c>
      <c r="I202" s="162">
        <f>IFERROR(""&amp;INDEX(tk_FACE,MATCH(196,tk_ASEQ,0)),"")</f>
        <v/>
      </c>
      <c r="J202" s="162">
        <f>IFERROR(IF(INDEX(tk_DHAND,MATCH(196,tk_ASEQ,0))="",""&amp;INDEX(tk_HAND,MATCH(196,tk_ASEQ,0)),""&amp;INDEX(tk_DHAND,MATCH(196,tk_ASEQ,0))),"")</f>
        <v/>
      </c>
      <c r="K202" s="162">
        <f>IFERROR(""&amp;INDEX(tk_FDESC,MATCH(196,tk_ASEQ,0)),"")</f>
        <v/>
      </c>
      <c r="L202" s="162">
        <f>IFERROR(INDEX(tk_STEEL,MATCH(196,tk_ASEQ,0))&amp;IF(INDEX(tk_FGA,MATCH(196,tk_ASEQ,0))="",""," "&amp;INDEX(tk_FGA,MATCH(196,tk_ASEQ,0))&amp;"GA"),"")</f>
        <v/>
      </c>
      <c r="M202" s="162">
        <f>IFERROR(IFERROR(VLOOKUP(INDEX(tk_JAMB,MATCH(196,tk_ASEQ,0)),CODES,2,FALSE),""&amp;INDEX(tk_JAMB,MATCH(196,tk_ASEQ,0))),"")</f>
        <v/>
      </c>
      <c r="N202" s="162">
        <f>IFERROR(""&amp;INDEX(tk_CONSTR,MATCH(196,tk_ASEQ,0)),"")</f>
        <v/>
      </c>
      <c r="O202" s="162">
        <f>IFERROR(""&amp;INDEX(tk_ANCHOR,MATCH(196,tk_ASEQ,0)),"")</f>
        <v/>
      </c>
      <c r="P202" s="162">
        <f>IFERROR(""&amp;INDEX(tk_RATING,MATCH(196,tk_ASEQ,0)),"")</f>
        <v/>
      </c>
      <c r="Q202" s="162">
        <f>IFERROR(""&amp;INDEX(tk_LABEL,MATCH(196,tk_ASEQ,0)),"")</f>
        <v/>
      </c>
      <c r="R202" s="162">
        <f>IFERROR(""&amp;INDEX(tk_HWSET,MATCH(196,tk_ASEQ,0)),"")</f>
        <v/>
      </c>
      <c r="S202" s="162">
        <f>IFERROR(IF(""&amp;INDEX(tk_HINGES,MATCH(196,tk_ASEQ,0))="","",INDEX(tk_HINGES,MATCH(196,tk_ASEQ,0))&amp;" · "&amp;INDEX(tk_LSRC,MATCH(196,tk_ASEQ,0))),"")</f>
        <v/>
      </c>
      <c r="T202" s="162">
        <f>IFERROR(""&amp;INDEX(tk_LOCK,MATCH(196,tk_ASEQ,0)),"")</f>
        <v/>
      </c>
      <c r="U202" s="162">
        <f>IFERROR(INDEX(tk_ETYPE,MATCH(196,tk_ASEQ,0)),"")</f>
        <v/>
      </c>
      <c r="V202" s="162">
        <f>IFERROR(""&amp;INDEX(tk_CHECK,MATCH(196,tk_ASEQ,0)),"")</f>
        <v/>
      </c>
      <c r="W202" s="162">
        <f>IFERROR(TRIM(INDEX(tk_DNOTES,MATCH(196,tk_ASEQ,0))&amp;" "&amp;INDEX(tk_FNOTES,MATCH(196,tk_ASEQ,0))),"")</f>
        <v/>
      </c>
    </row>
    <row r="203">
      <c r="A203" s="161">
        <f>IFERROR(""&amp;INDEX(tk_MARK,MATCH(197,tk_ASEQ,0)),"")</f>
        <v/>
      </c>
      <c r="B203" s="162">
        <f>IFERROR(""&amp;INDEX(tk_ROOMF,MATCH(197,tk_ASEQ,0)),"")</f>
        <v/>
      </c>
      <c r="C203" s="162">
        <f>IFERROR(""&amp;INDEX(tk_ROOMT,MATCH(197,tk_ASEQ,0)),"")</f>
        <v/>
      </c>
      <c r="D203" s="162">
        <f>IFERROR(INDEX(tk_QTY,MATCH(197,tk_ASEQ,0)),"")</f>
        <v/>
      </c>
      <c r="E203" s="162">
        <f>IFERROR(""&amp;INDEX(tk_SIZE,MATCH(197,tk_ASEQ,0)),"")</f>
        <v/>
      </c>
      <c r="F203" s="162">
        <f>IFERROR(""&amp;INDEX(tk_PAIR,MATCH(197,tk_ASEQ,0)),"")</f>
        <v/>
      </c>
      <c r="G203" s="162">
        <f>IFERROR(""&amp;INDEX(tk_DMAT,MATCH(197,tk_ASEQ,0)),"")</f>
        <v/>
      </c>
      <c r="H203" s="162">
        <f>IFERROR(""&amp;INDEX(tk_DGA,MATCH(197,tk_ASEQ,0)),"")</f>
        <v/>
      </c>
      <c r="I203" s="162">
        <f>IFERROR(""&amp;INDEX(tk_FACE,MATCH(197,tk_ASEQ,0)),"")</f>
        <v/>
      </c>
      <c r="J203" s="162">
        <f>IFERROR(IF(INDEX(tk_DHAND,MATCH(197,tk_ASEQ,0))="",""&amp;INDEX(tk_HAND,MATCH(197,tk_ASEQ,0)),""&amp;INDEX(tk_DHAND,MATCH(197,tk_ASEQ,0))),"")</f>
        <v/>
      </c>
      <c r="K203" s="162">
        <f>IFERROR(""&amp;INDEX(tk_FDESC,MATCH(197,tk_ASEQ,0)),"")</f>
        <v/>
      </c>
      <c r="L203" s="162">
        <f>IFERROR(INDEX(tk_STEEL,MATCH(197,tk_ASEQ,0))&amp;IF(INDEX(tk_FGA,MATCH(197,tk_ASEQ,0))="",""," "&amp;INDEX(tk_FGA,MATCH(197,tk_ASEQ,0))&amp;"GA"),"")</f>
        <v/>
      </c>
      <c r="M203" s="162">
        <f>IFERROR(IFERROR(VLOOKUP(INDEX(tk_JAMB,MATCH(197,tk_ASEQ,0)),CODES,2,FALSE),""&amp;INDEX(tk_JAMB,MATCH(197,tk_ASEQ,0))),"")</f>
        <v/>
      </c>
      <c r="N203" s="162">
        <f>IFERROR(""&amp;INDEX(tk_CONSTR,MATCH(197,tk_ASEQ,0)),"")</f>
        <v/>
      </c>
      <c r="O203" s="162">
        <f>IFERROR(""&amp;INDEX(tk_ANCHOR,MATCH(197,tk_ASEQ,0)),"")</f>
        <v/>
      </c>
      <c r="P203" s="162">
        <f>IFERROR(""&amp;INDEX(tk_RATING,MATCH(197,tk_ASEQ,0)),"")</f>
        <v/>
      </c>
      <c r="Q203" s="162">
        <f>IFERROR(""&amp;INDEX(tk_LABEL,MATCH(197,tk_ASEQ,0)),"")</f>
        <v/>
      </c>
      <c r="R203" s="162">
        <f>IFERROR(""&amp;INDEX(tk_HWSET,MATCH(197,tk_ASEQ,0)),"")</f>
        <v/>
      </c>
      <c r="S203" s="162">
        <f>IFERROR(IF(""&amp;INDEX(tk_HINGES,MATCH(197,tk_ASEQ,0))="","",INDEX(tk_HINGES,MATCH(197,tk_ASEQ,0))&amp;" · "&amp;INDEX(tk_LSRC,MATCH(197,tk_ASEQ,0))),"")</f>
        <v/>
      </c>
      <c r="T203" s="162">
        <f>IFERROR(""&amp;INDEX(tk_LOCK,MATCH(197,tk_ASEQ,0)),"")</f>
        <v/>
      </c>
      <c r="U203" s="162">
        <f>IFERROR(INDEX(tk_ETYPE,MATCH(197,tk_ASEQ,0)),"")</f>
        <v/>
      </c>
      <c r="V203" s="162">
        <f>IFERROR(""&amp;INDEX(tk_CHECK,MATCH(197,tk_ASEQ,0)),"")</f>
        <v/>
      </c>
      <c r="W203" s="162">
        <f>IFERROR(TRIM(INDEX(tk_DNOTES,MATCH(197,tk_ASEQ,0))&amp;" "&amp;INDEX(tk_FNOTES,MATCH(197,tk_ASEQ,0))),"")</f>
        <v/>
      </c>
    </row>
    <row r="204">
      <c r="A204" s="161">
        <f>IFERROR(""&amp;INDEX(tk_MARK,MATCH(198,tk_ASEQ,0)),"")</f>
        <v/>
      </c>
      <c r="B204" s="162">
        <f>IFERROR(""&amp;INDEX(tk_ROOMF,MATCH(198,tk_ASEQ,0)),"")</f>
        <v/>
      </c>
      <c r="C204" s="162">
        <f>IFERROR(""&amp;INDEX(tk_ROOMT,MATCH(198,tk_ASEQ,0)),"")</f>
        <v/>
      </c>
      <c r="D204" s="162">
        <f>IFERROR(INDEX(tk_QTY,MATCH(198,tk_ASEQ,0)),"")</f>
        <v/>
      </c>
      <c r="E204" s="162">
        <f>IFERROR(""&amp;INDEX(tk_SIZE,MATCH(198,tk_ASEQ,0)),"")</f>
        <v/>
      </c>
      <c r="F204" s="162">
        <f>IFERROR(""&amp;INDEX(tk_PAIR,MATCH(198,tk_ASEQ,0)),"")</f>
        <v/>
      </c>
      <c r="G204" s="162">
        <f>IFERROR(""&amp;INDEX(tk_DMAT,MATCH(198,tk_ASEQ,0)),"")</f>
        <v/>
      </c>
      <c r="H204" s="162">
        <f>IFERROR(""&amp;INDEX(tk_DGA,MATCH(198,tk_ASEQ,0)),"")</f>
        <v/>
      </c>
      <c r="I204" s="162">
        <f>IFERROR(""&amp;INDEX(tk_FACE,MATCH(198,tk_ASEQ,0)),"")</f>
        <v/>
      </c>
      <c r="J204" s="162">
        <f>IFERROR(IF(INDEX(tk_DHAND,MATCH(198,tk_ASEQ,0))="",""&amp;INDEX(tk_HAND,MATCH(198,tk_ASEQ,0)),""&amp;INDEX(tk_DHAND,MATCH(198,tk_ASEQ,0))),"")</f>
        <v/>
      </c>
      <c r="K204" s="162">
        <f>IFERROR(""&amp;INDEX(tk_FDESC,MATCH(198,tk_ASEQ,0)),"")</f>
        <v/>
      </c>
      <c r="L204" s="162">
        <f>IFERROR(INDEX(tk_STEEL,MATCH(198,tk_ASEQ,0))&amp;IF(INDEX(tk_FGA,MATCH(198,tk_ASEQ,0))="",""," "&amp;INDEX(tk_FGA,MATCH(198,tk_ASEQ,0))&amp;"GA"),"")</f>
        <v/>
      </c>
      <c r="M204" s="162">
        <f>IFERROR(IFERROR(VLOOKUP(INDEX(tk_JAMB,MATCH(198,tk_ASEQ,0)),CODES,2,FALSE),""&amp;INDEX(tk_JAMB,MATCH(198,tk_ASEQ,0))),"")</f>
        <v/>
      </c>
      <c r="N204" s="162">
        <f>IFERROR(""&amp;INDEX(tk_CONSTR,MATCH(198,tk_ASEQ,0)),"")</f>
        <v/>
      </c>
      <c r="O204" s="162">
        <f>IFERROR(""&amp;INDEX(tk_ANCHOR,MATCH(198,tk_ASEQ,0)),"")</f>
        <v/>
      </c>
      <c r="P204" s="162">
        <f>IFERROR(""&amp;INDEX(tk_RATING,MATCH(198,tk_ASEQ,0)),"")</f>
        <v/>
      </c>
      <c r="Q204" s="162">
        <f>IFERROR(""&amp;INDEX(tk_LABEL,MATCH(198,tk_ASEQ,0)),"")</f>
        <v/>
      </c>
      <c r="R204" s="162">
        <f>IFERROR(""&amp;INDEX(tk_HWSET,MATCH(198,tk_ASEQ,0)),"")</f>
        <v/>
      </c>
      <c r="S204" s="162">
        <f>IFERROR(IF(""&amp;INDEX(tk_HINGES,MATCH(198,tk_ASEQ,0))="","",INDEX(tk_HINGES,MATCH(198,tk_ASEQ,0))&amp;" · "&amp;INDEX(tk_LSRC,MATCH(198,tk_ASEQ,0))),"")</f>
        <v/>
      </c>
      <c r="T204" s="162">
        <f>IFERROR(""&amp;INDEX(tk_LOCK,MATCH(198,tk_ASEQ,0)),"")</f>
        <v/>
      </c>
      <c r="U204" s="162">
        <f>IFERROR(INDEX(tk_ETYPE,MATCH(198,tk_ASEQ,0)),"")</f>
        <v/>
      </c>
      <c r="V204" s="162">
        <f>IFERROR(""&amp;INDEX(tk_CHECK,MATCH(198,tk_ASEQ,0)),"")</f>
        <v/>
      </c>
      <c r="W204" s="162">
        <f>IFERROR(TRIM(INDEX(tk_DNOTES,MATCH(198,tk_ASEQ,0))&amp;" "&amp;INDEX(tk_FNOTES,MATCH(198,tk_ASEQ,0))),"")</f>
        <v/>
      </c>
    </row>
    <row r="205">
      <c r="A205" s="161">
        <f>IFERROR(""&amp;INDEX(tk_MARK,MATCH(199,tk_ASEQ,0)),"")</f>
        <v/>
      </c>
      <c r="B205" s="162">
        <f>IFERROR(""&amp;INDEX(tk_ROOMF,MATCH(199,tk_ASEQ,0)),"")</f>
        <v/>
      </c>
      <c r="C205" s="162">
        <f>IFERROR(""&amp;INDEX(tk_ROOMT,MATCH(199,tk_ASEQ,0)),"")</f>
        <v/>
      </c>
      <c r="D205" s="162">
        <f>IFERROR(INDEX(tk_QTY,MATCH(199,tk_ASEQ,0)),"")</f>
        <v/>
      </c>
      <c r="E205" s="162">
        <f>IFERROR(""&amp;INDEX(tk_SIZE,MATCH(199,tk_ASEQ,0)),"")</f>
        <v/>
      </c>
      <c r="F205" s="162">
        <f>IFERROR(""&amp;INDEX(tk_PAIR,MATCH(199,tk_ASEQ,0)),"")</f>
        <v/>
      </c>
      <c r="G205" s="162">
        <f>IFERROR(""&amp;INDEX(tk_DMAT,MATCH(199,tk_ASEQ,0)),"")</f>
        <v/>
      </c>
      <c r="H205" s="162">
        <f>IFERROR(""&amp;INDEX(tk_DGA,MATCH(199,tk_ASEQ,0)),"")</f>
        <v/>
      </c>
      <c r="I205" s="162">
        <f>IFERROR(""&amp;INDEX(tk_FACE,MATCH(199,tk_ASEQ,0)),"")</f>
        <v/>
      </c>
      <c r="J205" s="162">
        <f>IFERROR(IF(INDEX(tk_DHAND,MATCH(199,tk_ASEQ,0))="",""&amp;INDEX(tk_HAND,MATCH(199,tk_ASEQ,0)),""&amp;INDEX(tk_DHAND,MATCH(199,tk_ASEQ,0))),"")</f>
        <v/>
      </c>
      <c r="K205" s="162">
        <f>IFERROR(""&amp;INDEX(tk_FDESC,MATCH(199,tk_ASEQ,0)),"")</f>
        <v/>
      </c>
      <c r="L205" s="162">
        <f>IFERROR(INDEX(tk_STEEL,MATCH(199,tk_ASEQ,0))&amp;IF(INDEX(tk_FGA,MATCH(199,tk_ASEQ,0))="",""," "&amp;INDEX(tk_FGA,MATCH(199,tk_ASEQ,0))&amp;"GA"),"")</f>
        <v/>
      </c>
      <c r="M205" s="162">
        <f>IFERROR(IFERROR(VLOOKUP(INDEX(tk_JAMB,MATCH(199,tk_ASEQ,0)),CODES,2,FALSE),""&amp;INDEX(tk_JAMB,MATCH(199,tk_ASEQ,0))),"")</f>
        <v/>
      </c>
      <c r="N205" s="162">
        <f>IFERROR(""&amp;INDEX(tk_CONSTR,MATCH(199,tk_ASEQ,0)),"")</f>
        <v/>
      </c>
      <c r="O205" s="162">
        <f>IFERROR(""&amp;INDEX(tk_ANCHOR,MATCH(199,tk_ASEQ,0)),"")</f>
        <v/>
      </c>
      <c r="P205" s="162">
        <f>IFERROR(""&amp;INDEX(tk_RATING,MATCH(199,tk_ASEQ,0)),"")</f>
        <v/>
      </c>
      <c r="Q205" s="162">
        <f>IFERROR(""&amp;INDEX(tk_LABEL,MATCH(199,tk_ASEQ,0)),"")</f>
        <v/>
      </c>
      <c r="R205" s="162">
        <f>IFERROR(""&amp;INDEX(tk_HWSET,MATCH(199,tk_ASEQ,0)),"")</f>
        <v/>
      </c>
      <c r="S205" s="162">
        <f>IFERROR(IF(""&amp;INDEX(tk_HINGES,MATCH(199,tk_ASEQ,0))="","",INDEX(tk_HINGES,MATCH(199,tk_ASEQ,0))&amp;" · "&amp;INDEX(tk_LSRC,MATCH(199,tk_ASEQ,0))),"")</f>
        <v/>
      </c>
      <c r="T205" s="162">
        <f>IFERROR(""&amp;INDEX(tk_LOCK,MATCH(199,tk_ASEQ,0)),"")</f>
        <v/>
      </c>
      <c r="U205" s="162">
        <f>IFERROR(INDEX(tk_ETYPE,MATCH(199,tk_ASEQ,0)),"")</f>
        <v/>
      </c>
      <c r="V205" s="162">
        <f>IFERROR(""&amp;INDEX(tk_CHECK,MATCH(199,tk_ASEQ,0)),"")</f>
        <v/>
      </c>
      <c r="W205" s="162">
        <f>IFERROR(TRIM(INDEX(tk_DNOTES,MATCH(199,tk_ASEQ,0))&amp;" "&amp;INDEX(tk_FNOTES,MATCH(199,tk_ASEQ,0))),"")</f>
        <v/>
      </c>
    </row>
    <row r="206">
      <c r="A206" s="161">
        <f>IFERROR(""&amp;INDEX(tk_MARK,MATCH(200,tk_ASEQ,0)),"")</f>
        <v/>
      </c>
      <c r="B206" s="162">
        <f>IFERROR(""&amp;INDEX(tk_ROOMF,MATCH(200,tk_ASEQ,0)),"")</f>
        <v/>
      </c>
      <c r="C206" s="162">
        <f>IFERROR(""&amp;INDEX(tk_ROOMT,MATCH(200,tk_ASEQ,0)),"")</f>
        <v/>
      </c>
      <c r="D206" s="162">
        <f>IFERROR(INDEX(tk_QTY,MATCH(200,tk_ASEQ,0)),"")</f>
        <v/>
      </c>
      <c r="E206" s="162">
        <f>IFERROR(""&amp;INDEX(tk_SIZE,MATCH(200,tk_ASEQ,0)),"")</f>
        <v/>
      </c>
      <c r="F206" s="162">
        <f>IFERROR(""&amp;INDEX(tk_PAIR,MATCH(200,tk_ASEQ,0)),"")</f>
        <v/>
      </c>
      <c r="G206" s="162">
        <f>IFERROR(""&amp;INDEX(tk_DMAT,MATCH(200,tk_ASEQ,0)),"")</f>
        <v/>
      </c>
      <c r="H206" s="162">
        <f>IFERROR(""&amp;INDEX(tk_DGA,MATCH(200,tk_ASEQ,0)),"")</f>
        <v/>
      </c>
      <c r="I206" s="162">
        <f>IFERROR(""&amp;INDEX(tk_FACE,MATCH(200,tk_ASEQ,0)),"")</f>
        <v/>
      </c>
      <c r="J206" s="162">
        <f>IFERROR(IF(INDEX(tk_DHAND,MATCH(200,tk_ASEQ,0))="",""&amp;INDEX(tk_HAND,MATCH(200,tk_ASEQ,0)),""&amp;INDEX(tk_DHAND,MATCH(200,tk_ASEQ,0))),"")</f>
        <v/>
      </c>
      <c r="K206" s="162">
        <f>IFERROR(""&amp;INDEX(tk_FDESC,MATCH(200,tk_ASEQ,0)),"")</f>
        <v/>
      </c>
      <c r="L206" s="162">
        <f>IFERROR(INDEX(tk_STEEL,MATCH(200,tk_ASEQ,0))&amp;IF(INDEX(tk_FGA,MATCH(200,tk_ASEQ,0))="",""," "&amp;INDEX(tk_FGA,MATCH(200,tk_ASEQ,0))&amp;"GA"),"")</f>
        <v/>
      </c>
      <c r="M206" s="162">
        <f>IFERROR(IFERROR(VLOOKUP(INDEX(tk_JAMB,MATCH(200,tk_ASEQ,0)),CODES,2,FALSE),""&amp;INDEX(tk_JAMB,MATCH(200,tk_ASEQ,0))),"")</f>
        <v/>
      </c>
      <c r="N206" s="162">
        <f>IFERROR(""&amp;INDEX(tk_CONSTR,MATCH(200,tk_ASEQ,0)),"")</f>
        <v/>
      </c>
      <c r="O206" s="162">
        <f>IFERROR(""&amp;INDEX(tk_ANCHOR,MATCH(200,tk_ASEQ,0)),"")</f>
        <v/>
      </c>
      <c r="P206" s="162">
        <f>IFERROR(""&amp;INDEX(tk_RATING,MATCH(200,tk_ASEQ,0)),"")</f>
        <v/>
      </c>
      <c r="Q206" s="162">
        <f>IFERROR(""&amp;INDEX(tk_LABEL,MATCH(200,tk_ASEQ,0)),"")</f>
        <v/>
      </c>
      <c r="R206" s="162">
        <f>IFERROR(""&amp;INDEX(tk_HWSET,MATCH(200,tk_ASEQ,0)),"")</f>
        <v/>
      </c>
      <c r="S206" s="162">
        <f>IFERROR(IF(""&amp;INDEX(tk_HINGES,MATCH(200,tk_ASEQ,0))="","",INDEX(tk_HINGES,MATCH(200,tk_ASEQ,0))&amp;" · "&amp;INDEX(tk_LSRC,MATCH(200,tk_ASEQ,0))),"")</f>
        <v/>
      </c>
      <c r="T206" s="162">
        <f>IFERROR(""&amp;INDEX(tk_LOCK,MATCH(200,tk_ASEQ,0)),"")</f>
        <v/>
      </c>
      <c r="U206" s="162">
        <f>IFERROR(INDEX(tk_ETYPE,MATCH(200,tk_ASEQ,0)),"")</f>
        <v/>
      </c>
      <c r="V206" s="162">
        <f>IFERROR(""&amp;INDEX(tk_CHECK,MATCH(200,tk_ASEQ,0)),"")</f>
        <v/>
      </c>
      <c r="W206" s="162">
        <f>IFERROR(TRIM(INDEX(tk_DNOTES,MATCH(200,tk_ASEQ,0))&amp;" "&amp;INDEX(tk_FNOTES,MATCH(200,tk_ASEQ,0))),"")</f>
        <v/>
      </c>
    </row>
    <row r="207">
      <c r="A207" s="161">
        <f>IFERROR(""&amp;INDEX(tk_MARK,MATCH(201,tk_ASEQ,0)),"")</f>
        <v/>
      </c>
      <c r="B207" s="162">
        <f>IFERROR(""&amp;INDEX(tk_ROOMF,MATCH(201,tk_ASEQ,0)),"")</f>
        <v/>
      </c>
      <c r="C207" s="162">
        <f>IFERROR(""&amp;INDEX(tk_ROOMT,MATCH(201,tk_ASEQ,0)),"")</f>
        <v/>
      </c>
      <c r="D207" s="162">
        <f>IFERROR(INDEX(tk_QTY,MATCH(201,tk_ASEQ,0)),"")</f>
        <v/>
      </c>
      <c r="E207" s="162">
        <f>IFERROR(""&amp;INDEX(tk_SIZE,MATCH(201,tk_ASEQ,0)),"")</f>
        <v/>
      </c>
      <c r="F207" s="162">
        <f>IFERROR(""&amp;INDEX(tk_PAIR,MATCH(201,tk_ASEQ,0)),"")</f>
        <v/>
      </c>
      <c r="G207" s="162">
        <f>IFERROR(""&amp;INDEX(tk_DMAT,MATCH(201,tk_ASEQ,0)),"")</f>
        <v/>
      </c>
      <c r="H207" s="162">
        <f>IFERROR(""&amp;INDEX(tk_DGA,MATCH(201,tk_ASEQ,0)),"")</f>
        <v/>
      </c>
      <c r="I207" s="162">
        <f>IFERROR(""&amp;INDEX(tk_FACE,MATCH(201,tk_ASEQ,0)),"")</f>
        <v/>
      </c>
      <c r="J207" s="162">
        <f>IFERROR(IF(INDEX(tk_DHAND,MATCH(201,tk_ASEQ,0))="",""&amp;INDEX(tk_HAND,MATCH(201,tk_ASEQ,0)),""&amp;INDEX(tk_DHAND,MATCH(201,tk_ASEQ,0))),"")</f>
        <v/>
      </c>
      <c r="K207" s="162">
        <f>IFERROR(""&amp;INDEX(tk_FDESC,MATCH(201,tk_ASEQ,0)),"")</f>
        <v/>
      </c>
      <c r="L207" s="162">
        <f>IFERROR(INDEX(tk_STEEL,MATCH(201,tk_ASEQ,0))&amp;IF(INDEX(tk_FGA,MATCH(201,tk_ASEQ,0))="",""," "&amp;INDEX(tk_FGA,MATCH(201,tk_ASEQ,0))&amp;"GA"),"")</f>
        <v/>
      </c>
      <c r="M207" s="162">
        <f>IFERROR(IFERROR(VLOOKUP(INDEX(tk_JAMB,MATCH(201,tk_ASEQ,0)),CODES,2,FALSE),""&amp;INDEX(tk_JAMB,MATCH(201,tk_ASEQ,0))),"")</f>
        <v/>
      </c>
      <c r="N207" s="162">
        <f>IFERROR(""&amp;INDEX(tk_CONSTR,MATCH(201,tk_ASEQ,0)),"")</f>
        <v/>
      </c>
      <c r="O207" s="162">
        <f>IFERROR(""&amp;INDEX(tk_ANCHOR,MATCH(201,tk_ASEQ,0)),"")</f>
        <v/>
      </c>
      <c r="P207" s="162">
        <f>IFERROR(""&amp;INDEX(tk_RATING,MATCH(201,tk_ASEQ,0)),"")</f>
        <v/>
      </c>
      <c r="Q207" s="162">
        <f>IFERROR(""&amp;INDEX(tk_LABEL,MATCH(201,tk_ASEQ,0)),"")</f>
        <v/>
      </c>
      <c r="R207" s="162">
        <f>IFERROR(""&amp;INDEX(tk_HWSET,MATCH(201,tk_ASEQ,0)),"")</f>
        <v/>
      </c>
      <c r="S207" s="162">
        <f>IFERROR(IF(""&amp;INDEX(tk_HINGES,MATCH(201,tk_ASEQ,0))="","",INDEX(tk_HINGES,MATCH(201,tk_ASEQ,0))&amp;" · "&amp;INDEX(tk_LSRC,MATCH(201,tk_ASEQ,0))),"")</f>
        <v/>
      </c>
      <c r="T207" s="162">
        <f>IFERROR(""&amp;INDEX(tk_LOCK,MATCH(201,tk_ASEQ,0)),"")</f>
        <v/>
      </c>
      <c r="U207" s="162">
        <f>IFERROR(INDEX(tk_ETYPE,MATCH(201,tk_ASEQ,0)),"")</f>
        <v/>
      </c>
      <c r="V207" s="162">
        <f>IFERROR(""&amp;INDEX(tk_CHECK,MATCH(201,tk_ASEQ,0)),"")</f>
        <v/>
      </c>
      <c r="W207" s="162">
        <f>IFERROR(TRIM(INDEX(tk_DNOTES,MATCH(201,tk_ASEQ,0))&amp;" "&amp;INDEX(tk_FNOTES,MATCH(201,tk_ASEQ,0))),"")</f>
        <v/>
      </c>
    </row>
    <row r="208">
      <c r="A208" s="161">
        <f>IFERROR(""&amp;INDEX(tk_MARK,MATCH(202,tk_ASEQ,0)),"")</f>
        <v/>
      </c>
      <c r="B208" s="162">
        <f>IFERROR(""&amp;INDEX(tk_ROOMF,MATCH(202,tk_ASEQ,0)),"")</f>
        <v/>
      </c>
      <c r="C208" s="162">
        <f>IFERROR(""&amp;INDEX(tk_ROOMT,MATCH(202,tk_ASEQ,0)),"")</f>
        <v/>
      </c>
      <c r="D208" s="162">
        <f>IFERROR(INDEX(tk_QTY,MATCH(202,tk_ASEQ,0)),"")</f>
        <v/>
      </c>
      <c r="E208" s="162">
        <f>IFERROR(""&amp;INDEX(tk_SIZE,MATCH(202,tk_ASEQ,0)),"")</f>
        <v/>
      </c>
      <c r="F208" s="162">
        <f>IFERROR(""&amp;INDEX(tk_PAIR,MATCH(202,tk_ASEQ,0)),"")</f>
        <v/>
      </c>
      <c r="G208" s="162">
        <f>IFERROR(""&amp;INDEX(tk_DMAT,MATCH(202,tk_ASEQ,0)),"")</f>
        <v/>
      </c>
      <c r="H208" s="162">
        <f>IFERROR(""&amp;INDEX(tk_DGA,MATCH(202,tk_ASEQ,0)),"")</f>
        <v/>
      </c>
      <c r="I208" s="162">
        <f>IFERROR(""&amp;INDEX(tk_FACE,MATCH(202,tk_ASEQ,0)),"")</f>
        <v/>
      </c>
      <c r="J208" s="162">
        <f>IFERROR(IF(INDEX(tk_DHAND,MATCH(202,tk_ASEQ,0))="",""&amp;INDEX(tk_HAND,MATCH(202,tk_ASEQ,0)),""&amp;INDEX(tk_DHAND,MATCH(202,tk_ASEQ,0))),"")</f>
        <v/>
      </c>
      <c r="K208" s="162">
        <f>IFERROR(""&amp;INDEX(tk_FDESC,MATCH(202,tk_ASEQ,0)),"")</f>
        <v/>
      </c>
      <c r="L208" s="162">
        <f>IFERROR(INDEX(tk_STEEL,MATCH(202,tk_ASEQ,0))&amp;IF(INDEX(tk_FGA,MATCH(202,tk_ASEQ,0))="",""," "&amp;INDEX(tk_FGA,MATCH(202,tk_ASEQ,0))&amp;"GA"),"")</f>
        <v/>
      </c>
      <c r="M208" s="162">
        <f>IFERROR(IFERROR(VLOOKUP(INDEX(tk_JAMB,MATCH(202,tk_ASEQ,0)),CODES,2,FALSE),""&amp;INDEX(tk_JAMB,MATCH(202,tk_ASEQ,0))),"")</f>
        <v/>
      </c>
      <c r="N208" s="162">
        <f>IFERROR(""&amp;INDEX(tk_CONSTR,MATCH(202,tk_ASEQ,0)),"")</f>
        <v/>
      </c>
      <c r="O208" s="162">
        <f>IFERROR(""&amp;INDEX(tk_ANCHOR,MATCH(202,tk_ASEQ,0)),"")</f>
        <v/>
      </c>
      <c r="P208" s="162">
        <f>IFERROR(""&amp;INDEX(tk_RATING,MATCH(202,tk_ASEQ,0)),"")</f>
        <v/>
      </c>
      <c r="Q208" s="162">
        <f>IFERROR(""&amp;INDEX(tk_LABEL,MATCH(202,tk_ASEQ,0)),"")</f>
        <v/>
      </c>
      <c r="R208" s="162">
        <f>IFERROR(""&amp;INDEX(tk_HWSET,MATCH(202,tk_ASEQ,0)),"")</f>
        <v/>
      </c>
      <c r="S208" s="162">
        <f>IFERROR(IF(""&amp;INDEX(tk_HINGES,MATCH(202,tk_ASEQ,0))="","",INDEX(tk_HINGES,MATCH(202,tk_ASEQ,0))&amp;" · "&amp;INDEX(tk_LSRC,MATCH(202,tk_ASEQ,0))),"")</f>
        <v/>
      </c>
      <c r="T208" s="162">
        <f>IFERROR(""&amp;INDEX(tk_LOCK,MATCH(202,tk_ASEQ,0)),"")</f>
        <v/>
      </c>
      <c r="U208" s="162">
        <f>IFERROR(INDEX(tk_ETYPE,MATCH(202,tk_ASEQ,0)),"")</f>
        <v/>
      </c>
      <c r="V208" s="162">
        <f>IFERROR(""&amp;INDEX(tk_CHECK,MATCH(202,tk_ASEQ,0)),"")</f>
        <v/>
      </c>
      <c r="W208" s="162">
        <f>IFERROR(TRIM(INDEX(tk_DNOTES,MATCH(202,tk_ASEQ,0))&amp;" "&amp;INDEX(tk_FNOTES,MATCH(202,tk_ASEQ,0))),"")</f>
        <v/>
      </c>
    </row>
    <row r="209">
      <c r="A209" s="161">
        <f>IFERROR(""&amp;INDEX(tk_MARK,MATCH(203,tk_ASEQ,0)),"")</f>
        <v/>
      </c>
      <c r="B209" s="162">
        <f>IFERROR(""&amp;INDEX(tk_ROOMF,MATCH(203,tk_ASEQ,0)),"")</f>
        <v/>
      </c>
      <c r="C209" s="162">
        <f>IFERROR(""&amp;INDEX(tk_ROOMT,MATCH(203,tk_ASEQ,0)),"")</f>
        <v/>
      </c>
      <c r="D209" s="162">
        <f>IFERROR(INDEX(tk_QTY,MATCH(203,tk_ASEQ,0)),"")</f>
        <v/>
      </c>
      <c r="E209" s="162">
        <f>IFERROR(""&amp;INDEX(tk_SIZE,MATCH(203,tk_ASEQ,0)),"")</f>
        <v/>
      </c>
      <c r="F209" s="162">
        <f>IFERROR(""&amp;INDEX(tk_PAIR,MATCH(203,tk_ASEQ,0)),"")</f>
        <v/>
      </c>
      <c r="G209" s="162">
        <f>IFERROR(""&amp;INDEX(tk_DMAT,MATCH(203,tk_ASEQ,0)),"")</f>
        <v/>
      </c>
      <c r="H209" s="162">
        <f>IFERROR(""&amp;INDEX(tk_DGA,MATCH(203,tk_ASEQ,0)),"")</f>
        <v/>
      </c>
      <c r="I209" s="162">
        <f>IFERROR(""&amp;INDEX(tk_FACE,MATCH(203,tk_ASEQ,0)),"")</f>
        <v/>
      </c>
      <c r="J209" s="162">
        <f>IFERROR(IF(INDEX(tk_DHAND,MATCH(203,tk_ASEQ,0))="",""&amp;INDEX(tk_HAND,MATCH(203,tk_ASEQ,0)),""&amp;INDEX(tk_DHAND,MATCH(203,tk_ASEQ,0))),"")</f>
        <v/>
      </c>
      <c r="K209" s="162">
        <f>IFERROR(""&amp;INDEX(tk_FDESC,MATCH(203,tk_ASEQ,0)),"")</f>
        <v/>
      </c>
      <c r="L209" s="162">
        <f>IFERROR(INDEX(tk_STEEL,MATCH(203,tk_ASEQ,0))&amp;IF(INDEX(tk_FGA,MATCH(203,tk_ASEQ,0))="",""," "&amp;INDEX(tk_FGA,MATCH(203,tk_ASEQ,0))&amp;"GA"),"")</f>
        <v/>
      </c>
      <c r="M209" s="162">
        <f>IFERROR(IFERROR(VLOOKUP(INDEX(tk_JAMB,MATCH(203,tk_ASEQ,0)),CODES,2,FALSE),""&amp;INDEX(tk_JAMB,MATCH(203,tk_ASEQ,0))),"")</f>
        <v/>
      </c>
      <c r="N209" s="162">
        <f>IFERROR(""&amp;INDEX(tk_CONSTR,MATCH(203,tk_ASEQ,0)),"")</f>
        <v/>
      </c>
      <c r="O209" s="162">
        <f>IFERROR(""&amp;INDEX(tk_ANCHOR,MATCH(203,tk_ASEQ,0)),"")</f>
        <v/>
      </c>
      <c r="P209" s="162">
        <f>IFERROR(""&amp;INDEX(tk_RATING,MATCH(203,tk_ASEQ,0)),"")</f>
        <v/>
      </c>
      <c r="Q209" s="162">
        <f>IFERROR(""&amp;INDEX(tk_LABEL,MATCH(203,tk_ASEQ,0)),"")</f>
        <v/>
      </c>
      <c r="R209" s="162">
        <f>IFERROR(""&amp;INDEX(tk_HWSET,MATCH(203,tk_ASEQ,0)),"")</f>
        <v/>
      </c>
      <c r="S209" s="162">
        <f>IFERROR(IF(""&amp;INDEX(tk_HINGES,MATCH(203,tk_ASEQ,0))="","",INDEX(tk_HINGES,MATCH(203,tk_ASEQ,0))&amp;" · "&amp;INDEX(tk_LSRC,MATCH(203,tk_ASEQ,0))),"")</f>
        <v/>
      </c>
      <c r="T209" s="162">
        <f>IFERROR(""&amp;INDEX(tk_LOCK,MATCH(203,tk_ASEQ,0)),"")</f>
        <v/>
      </c>
      <c r="U209" s="162">
        <f>IFERROR(INDEX(tk_ETYPE,MATCH(203,tk_ASEQ,0)),"")</f>
        <v/>
      </c>
      <c r="V209" s="162">
        <f>IFERROR(""&amp;INDEX(tk_CHECK,MATCH(203,tk_ASEQ,0)),"")</f>
        <v/>
      </c>
      <c r="W209" s="162">
        <f>IFERROR(TRIM(INDEX(tk_DNOTES,MATCH(203,tk_ASEQ,0))&amp;" "&amp;INDEX(tk_FNOTES,MATCH(203,tk_ASEQ,0))),"")</f>
        <v/>
      </c>
    </row>
    <row r="210">
      <c r="A210" s="161">
        <f>IFERROR(""&amp;INDEX(tk_MARK,MATCH(204,tk_ASEQ,0)),"")</f>
        <v/>
      </c>
      <c r="B210" s="162">
        <f>IFERROR(""&amp;INDEX(tk_ROOMF,MATCH(204,tk_ASEQ,0)),"")</f>
        <v/>
      </c>
      <c r="C210" s="162">
        <f>IFERROR(""&amp;INDEX(tk_ROOMT,MATCH(204,tk_ASEQ,0)),"")</f>
        <v/>
      </c>
      <c r="D210" s="162">
        <f>IFERROR(INDEX(tk_QTY,MATCH(204,tk_ASEQ,0)),"")</f>
        <v/>
      </c>
      <c r="E210" s="162">
        <f>IFERROR(""&amp;INDEX(tk_SIZE,MATCH(204,tk_ASEQ,0)),"")</f>
        <v/>
      </c>
      <c r="F210" s="162">
        <f>IFERROR(""&amp;INDEX(tk_PAIR,MATCH(204,tk_ASEQ,0)),"")</f>
        <v/>
      </c>
      <c r="G210" s="162">
        <f>IFERROR(""&amp;INDEX(tk_DMAT,MATCH(204,tk_ASEQ,0)),"")</f>
        <v/>
      </c>
      <c r="H210" s="162">
        <f>IFERROR(""&amp;INDEX(tk_DGA,MATCH(204,tk_ASEQ,0)),"")</f>
        <v/>
      </c>
      <c r="I210" s="162">
        <f>IFERROR(""&amp;INDEX(tk_FACE,MATCH(204,tk_ASEQ,0)),"")</f>
        <v/>
      </c>
      <c r="J210" s="162">
        <f>IFERROR(IF(INDEX(tk_DHAND,MATCH(204,tk_ASEQ,0))="",""&amp;INDEX(tk_HAND,MATCH(204,tk_ASEQ,0)),""&amp;INDEX(tk_DHAND,MATCH(204,tk_ASEQ,0))),"")</f>
        <v/>
      </c>
      <c r="K210" s="162">
        <f>IFERROR(""&amp;INDEX(tk_FDESC,MATCH(204,tk_ASEQ,0)),"")</f>
        <v/>
      </c>
      <c r="L210" s="162">
        <f>IFERROR(INDEX(tk_STEEL,MATCH(204,tk_ASEQ,0))&amp;IF(INDEX(tk_FGA,MATCH(204,tk_ASEQ,0))="",""," "&amp;INDEX(tk_FGA,MATCH(204,tk_ASEQ,0))&amp;"GA"),"")</f>
        <v/>
      </c>
      <c r="M210" s="162">
        <f>IFERROR(IFERROR(VLOOKUP(INDEX(tk_JAMB,MATCH(204,tk_ASEQ,0)),CODES,2,FALSE),""&amp;INDEX(tk_JAMB,MATCH(204,tk_ASEQ,0))),"")</f>
        <v/>
      </c>
      <c r="N210" s="162">
        <f>IFERROR(""&amp;INDEX(tk_CONSTR,MATCH(204,tk_ASEQ,0)),"")</f>
        <v/>
      </c>
      <c r="O210" s="162">
        <f>IFERROR(""&amp;INDEX(tk_ANCHOR,MATCH(204,tk_ASEQ,0)),"")</f>
        <v/>
      </c>
      <c r="P210" s="162">
        <f>IFERROR(""&amp;INDEX(tk_RATING,MATCH(204,tk_ASEQ,0)),"")</f>
        <v/>
      </c>
      <c r="Q210" s="162">
        <f>IFERROR(""&amp;INDEX(tk_LABEL,MATCH(204,tk_ASEQ,0)),"")</f>
        <v/>
      </c>
      <c r="R210" s="162">
        <f>IFERROR(""&amp;INDEX(tk_HWSET,MATCH(204,tk_ASEQ,0)),"")</f>
        <v/>
      </c>
      <c r="S210" s="162">
        <f>IFERROR(IF(""&amp;INDEX(tk_HINGES,MATCH(204,tk_ASEQ,0))="","",INDEX(tk_HINGES,MATCH(204,tk_ASEQ,0))&amp;" · "&amp;INDEX(tk_LSRC,MATCH(204,tk_ASEQ,0))),"")</f>
        <v/>
      </c>
      <c r="T210" s="162">
        <f>IFERROR(""&amp;INDEX(tk_LOCK,MATCH(204,tk_ASEQ,0)),"")</f>
        <v/>
      </c>
      <c r="U210" s="162">
        <f>IFERROR(INDEX(tk_ETYPE,MATCH(204,tk_ASEQ,0)),"")</f>
        <v/>
      </c>
      <c r="V210" s="162">
        <f>IFERROR(""&amp;INDEX(tk_CHECK,MATCH(204,tk_ASEQ,0)),"")</f>
        <v/>
      </c>
      <c r="W210" s="162">
        <f>IFERROR(TRIM(INDEX(tk_DNOTES,MATCH(204,tk_ASEQ,0))&amp;" "&amp;INDEX(tk_FNOTES,MATCH(204,tk_ASEQ,0))),"")</f>
        <v/>
      </c>
    </row>
    <row r="211">
      <c r="A211" s="161">
        <f>IFERROR(""&amp;INDEX(tk_MARK,MATCH(205,tk_ASEQ,0)),"")</f>
        <v/>
      </c>
      <c r="B211" s="162">
        <f>IFERROR(""&amp;INDEX(tk_ROOMF,MATCH(205,tk_ASEQ,0)),"")</f>
        <v/>
      </c>
      <c r="C211" s="162">
        <f>IFERROR(""&amp;INDEX(tk_ROOMT,MATCH(205,tk_ASEQ,0)),"")</f>
        <v/>
      </c>
      <c r="D211" s="162">
        <f>IFERROR(INDEX(tk_QTY,MATCH(205,tk_ASEQ,0)),"")</f>
        <v/>
      </c>
      <c r="E211" s="162">
        <f>IFERROR(""&amp;INDEX(tk_SIZE,MATCH(205,tk_ASEQ,0)),"")</f>
        <v/>
      </c>
      <c r="F211" s="162">
        <f>IFERROR(""&amp;INDEX(tk_PAIR,MATCH(205,tk_ASEQ,0)),"")</f>
        <v/>
      </c>
      <c r="G211" s="162">
        <f>IFERROR(""&amp;INDEX(tk_DMAT,MATCH(205,tk_ASEQ,0)),"")</f>
        <v/>
      </c>
      <c r="H211" s="162">
        <f>IFERROR(""&amp;INDEX(tk_DGA,MATCH(205,tk_ASEQ,0)),"")</f>
        <v/>
      </c>
      <c r="I211" s="162">
        <f>IFERROR(""&amp;INDEX(tk_FACE,MATCH(205,tk_ASEQ,0)),"")</f>
        <v/>
      </c>
      <c r="J211" s="162">
        <f>IFERROR(IF(INDEX(tk_DHAND,MATCH(205,tk_ASEQ,0))="",""&amp;INDEX(tk_HAND,MATCH(205,tk_ASEQ,0)),""&amp;INDEX(tk_DHAND,MATCH(205,tk_ASEQ,0))),"")</f>
        <v/>
      </c>
      <c r="K211" s="162">
        <f>IFERROR(""&amp;INDEX(tk_FDESC,MATCH(205,tk_ASEQ,0)),"")</f>
        <v/>
      </c>
      <c r="L211" s="162">
        <f>IFERROR(INDEX(tk_STEEL,MATCH(205,tk_ASEQ,0))&amp;IF(INDEX(tk_FGA,MATCH(205,tk_ASEQ,0))="",""," "&amp;INDEX(tk_FGA,MATCH(205,tk_ASEQ,0))&amp;"GA"),"")</f>
        <v/>
      </c>
      <c r="M211" s="162">
        <f>IFERROR(IFERROR(VLOOKUP(INDEX(tk_JAMB,MATCH(205,tk_ASEQ,0)),CODES,2,FALSE),""&amp;INDEX(tk_JAMB,MATCH(205,tk_ASEQ,0))),"")</f>
        <v/>
      </c>
      <c r="N211" s="162">
        <f>IFERROR(""&amp;INDEX(tk_CONSTR,MATCH(205,tk_ASEQ,0)),"")</f>
        <v/>
      </c>
      <c r="O211" s="162">
        <f>IFERROR(""&amp;INDEX(tk_ANCHOR,MATCH(205,tk_ASEQ,0)),"")</f>
        <v/>
      </c>
      <c r="P211" s="162">
        <f>IFERROR(""&amp;INDEX(tk_RATING,MATCH(205,tk_ASEQ,0)),"")</f>
        <v/>
      </c>
      <c r="Q211" s="162">
        <f>IFERROR(""&amp;INDEX(tk_LABEL,MATCH(205,tk_ASEQ,0)),"")</f>
        <v/>
      </c>
      <c r="R211" s="162">
        <f>IFERROR(""&amp;INDEX(tk_HWSET,MATCH(205,tk_ASEQ,0)),"")</f>
        <v/>
      </c>
      <c r="S211" s="162">
        <f>IFERROR(IF(""&amp;INDEX(tk_HINGES,MATCH(205,tk_ASEQ,0))="","",INDEX(tk_HINGES,MATCH(205,tk_ASEQ,0))&amp;" · "&amp;INDEX(tk_LSRC,MATCH(205,tk_ASEQ,0))),"")</f>
        <v/>
      </c>
      <c r="T211" s="162">
        <f>IFERROR(""&amp;INDEX(tk_LOCK,MATCH(205,tk_ASEQ,0)),"")</f>
        <v/>
      </c>
      <c r="U211" s="162">
        <f>IFERROR(INDEX(tk_ETYPE,MATCH(205,tk_ASEQ,0)),"")</f>
        <v/>
      </c>
      <c r="V211" s="162">
        <f>IFERROR(""&amp;INDEX(tk_CHECK,MATCH(205,tk_ASEQ,0)),"")</f>
        <v/>
      </c>
      <c r="W211" s="162">
        <f>IFERROR(TRIM(INDEX(tk_DNOTES,MATCH(205,tk_ASEQ,0))&amp;" "&amp;INDEX(tk_FNOTES,MATCH(205,tk_ASEQ,0))),"")</f>
        <v/>
      </c>
    </row>
    <row r="212">
      <c r="A212" s="161">
        <f>IFERROR(""&amp;INDEX(tk_MARK,MATCH(206,tk_ASEQ,0)),"")</f>
        <v/>
      </c>
      <c r="B212" s="162">
        <f>IFERROR(""&amp;INDEX(tk_ROOMF,MATCH(206,tk_ASEQ,0)),"")</f>
        <v/>
      </c>
      <c r="C212" s="162">
        <f>IFERROR(""&amp;INDEX(tk_ROOMT,MATCH(206,tk_ASEQ,0)),"")</f>
        <v/>
      </c>
      <c r="D212" s="162">
        <f>IFERROR(INDEX(tk_QTY,MATCH(206,tk_ASEQ,0)),"")</f>
        <v/>
      </c>
      <c r="E212" s="162">
        <f>IFERROR(""&amp;INDEX(tk_SIZE,MATCH(206,tk_ASEQ,0)),"")</f>
        <v/>
      </c>
      <c r="F212" s="162">
        <f>IFERROR(""&amp;INDEX(tk_PAIR,MATCH(206,tk_ASEQ,0)),"")</f>
        <v/>
      </c>
      <c r="G212" s="162">
        <f>IFERROR(""&amp;INDEX(tk_DMAT,MATCH(206,tk_ASEQ,0)),"")</f>
        <v/>
      </c>
      <c r="H212" s="162">
        <f>IFERROR(""&amp;INDEX(tk_DGA,MATCH(206,tk_ASEQ,0)),"")</f>
        <v/>
      </c>
      <c r="I212" s="162">
        <f>IFERROR(""&amp;INDEX(tk_FACE,MATCH(206,tk_ASEQ,0)),"")</f>
        <v/>
      </c>
      <c r="J212" s="162">
        <f>IFERROR(IF(INDEX(tk_DHAND,MATCH(206,tk_ASEQ,0))="",""&amp;INDEX(tk_HAND,MATCH(206,tk_ASEQ,0)),""&amp;INDEX(tk_DHAND,MATCH(206,tk_ASEQ,0))),"")</f>
        <v/>
      </c>
      <c r="K212" s="162">
        <f>IFERROR(""&amp;INDEX(tk_FDESC,MATCH(206,tk_ASEQ,0)),"")</f>
        <v/>
      </c>
      <c r="L212" s="162">
        <f>IFERROR(INDEX(tk_STEEL,MATCH(206,tk_ASEQ,0))&amp;IF(INDEX(tk_FGA,MATCH(206,tk_ASEQ,0))="",""," "&amp;INDEX(tk_FGA,MATCH(206,tk_ASEQ,0))&amp;"GA"),"")</f>
        <v/>
      </c>
      <c r="M212" s="162">
        <f>IFERROR(IFERROR(VLOOKUP(INDEX(tk_JAMB,MATCH(206,tk_ASEQ,0)),CODES,2,FALSE),""&amp;INDEX(tk_JAMB,MATCH(206,tk_ASEQ,0))),"")</f>
        <v/>
      </c>
      <c r="N212" s="162">
        <f>IFERROR(""&amp;INDEX(tk_CONSTR,MATCH(206,tk_ASEQ,0)),"")</f>
        <v/>
      </c>
      <c r="O212" s="162">
        <f>IFERROR(""&amp;INDEX(tk_ANCHOR,MATCH(206,tk_ASEQ,0)),"")</f>
        <v/>
      </c>
      <c r="P212" s="162">
        <f>IFERROR(""&amp;INDEX(tk_RATING,MATCH(206,tk_ASEQ,0)),"")</f>
        <v/>
      </c>
      <c r="Q212" s="162">
        <f>IFERROR(""&amp;INDEX(tk_LABEL,MATCH(206,tk_ASEQ,0)),"")</f>
        <v/>
      </c>
      <c r="R212" s="162">
        <f>IFERROR(""&amp;INDEX(tk_HWSET,MATCH(206,tk_ASEQ,0)),"")</f>
        <v/>
      </c>
      <c r="S212" s="162">
        <f>IFERROR(IF(""&amp;INDEX(tk_HINGES,MATCH(206,tk_ASEQ,0))="","",INDEX(tk_HINGES,MATCH(206,tk_ASEQ,0))&amp;" · "&amp;INDEX(tk_LSRC,MATCH(206,tk_ASEQ,0))),"")</f>
        <v/>
      </c>
      <c r="T212" s="162">
        <f>IFERROR(""&amp;INDEX(tk_LOCK,MATCH(206,tk_ASEQ,0)),"")</f>
        <v/>
      </c>
      <c r="U212" s="162">
        <f>IFERROR(INDEX(tk_ETYPE,MATCH(206,tk_ASEQ,0)),"")</f>
        <v/>
      </c>
      <c r="V212" s="162">
        <f>IFERROR(""&amp;INDEX(tk_CHECK,MATCH(206,tk_ASEQ,0)),"")</f>
        <v/>
      </c>
      <c r="W212" s="162">
        <f>IFERROR(TRIM(INDEX(tk_DNOTES,MATCH(206,tk_ASEQ,0))&amp;" "&amp;INDEX(tk_FNOTES,MATCH(206,tk_ASEQ,0))),"")</f>
        <v/>
      </c>
    </row>
    <row r="213">
      <c r="A213" s="161">
        <f>IFERROR(""&amp;INDEX(tk_MARK,MATCH(207,tk_ASEQ,0)),"")</f>
        <v/>
      </c>
      <c r="B213" s="162">
        <f>IFERROR(""&amp;INDEX(tk_ROOMF,MATCH(207,tk_ASEQ,0)),"")</f>
        <v/>
      </c>
      <c r="C213" s="162">
        <f>IFERROR(""&amp;INDEX(tk_ROOMT,MATCH(207,tk_ASEQ,0)),"")</f>
        <v/>
      </c>
      <c r="D213" s="162">
        <f>IFERROR(INDEX(tk_QTY,MATCH(207,tk_ASEQ,0)),"")</f>
        <v/>
      </c>
      <c r="E213" s="162">
        <f>IFERROR(""&amp;INDEX(tk_SIZE,MATCH(207,tk_ASEQ,0)),"")</f>
        <v/>
      </c>
      <c r="F213" s="162">
        <f>IFERROR(""&amp;INDEX(tk_PAIR,MATCH(207,tk_ASEQ,0)),"")</f>
        <v/>
      </c>
      <c r="G213" s="162">
        <f>IFERROR(""&amp;INDEX(tk_DMAT,MATCH(207,tk_ASEQ,0)),"")</f>
        <v/>
      </c>
      <c r="H213" s="162">
        <f>IFERROR(""&amp;INDEX(tk_DGA,MATCH(207,tk_ASEQ,0)),"")</f>
        <v/>
      </c>
      <c r="I213" s="162">
        <f>IFERROR(""&amp;INDEX(tk_FACE,MATCH(207,tk_ASEQ,0)),"")</f>
        <v/>
      </c>
      <c r="J213" s="162">
        <f>IFERROR(IF(INDEX(tk_DHAND,MATCH(207,tk_ASEQ,0))="",""&amp;INDEX(tk_HAND,MATCH(207,tk_ASEQ,0)),""&amp;INDEX(tk_DHAND,MATCH(207,tk_ASEQ,0))),"")</f>
        <v/>
      </c>
      <c r="K213" s="162">
        <f>IFERROR(""&amp;INDEX(tk_FDESC,MATCH(207,tk_ASEQ,0)),"")</f>
        <v/>
      </c>
      <c r="L213" s="162">
        <f>IFERROR(INDEX(tk_STEEL,MATCH(207,tk_ASEQ,0))&amp;IF(INDEX(tk_FGA,MATCH(207,tk_ASEQ,0))="",""," "&amp;INDEX(tk_FGA,MATCH(207,tk_ASEQ,0))&amp;"GA"),"")</f>
        <v/>
      </c>
      <c r="M213" s="162">
        <f>IFERROR(IFERROR(VLOOKUP(INDEX(tk_JAMB,MATCH(207,tk_ASEQ,0)),CODES,2,FALSE),""&amp;INDEX(tk_JAMB,MATCH(207,tk_ASEQ,0))),"")</f>
        <v/>
      </c>
      <c r="N213" s="162">
        <f>IFERROR(""&amp;INDEX(tk_CONSTR,MATCH(207,tk_ASEQ,0)),"")</f>
        <v/>
      </c>
      <c r="O213" s="162">
        <f>IFERROR(""&amp;INDEX(tk_ANCHOR,MATCH(207,tk_ASEQ,0)),"")</f>
        <v/>
      </c>
      <c r="P213" s="162">
        <f>IFERROR(""&amp;INDEX(tk_RATING,MATCH(207,tk_ASEQ,0)),"")</f>
        <v/>
      </c>
      <c r="Q213" s="162">
        <f>IFERROR(""&amp;INDEX(tk_LABEL,MATCH(207,tk_ASEQ,0)),"")</f>
        <v/>
      </c>
      <c r="R213" s="162">
        <f>IFERROR(""&amp;INDEX(tk_HWSET,MATCH(207,tk_ASEQ,0)),"")</f>
        <v/>
      </c>
      <c r="S213" s="162">
        <f>IFERROR(IF(""&amp;INDEX(tk_HINGES,MATCH(207,tk_ASEQ,0))="","",INDEX(tk_HINGES,MATCH(207,tk_ASEQ,0))&amp;" · "&amp;INDEX(tk_LSRC,MATCH(207,tk_ASEQ,0))),"")</f>
        <v/>
      </c>
      <c r="T213" s="162">
        <f>IFERROR(""&amp;INDEX(tk_LOCK,MATCH(207,tk_ASEQ,0)),"")</f>
        <v/>
      </c>
      <c r="U213" s="162">
        <f>IFERROR(INDEX(tk_ETYPE,MATCH(207,tk_ASEQ,0)),"")</f>
        <v/>
      </c>
      <c r="V213" s="162">
        <f>IFERROR(""&amp;INDEX(tk_CHECK,MATCH(207,tk_ASEQ,0)),"")</f>
        <v/>
      </c>
      <c r="W213" s="162">
        <f>IFERROR(TRIM(INDEX(tk_DNOTES,MATCH(207,tk_ASEQ,0))&amp;" "&amp;INDEX(tk_FNOTES,MATCH(207,tk_ASEQ,0))),"")</f>
        <v/>
      </c>
    </row>
    <row r="214">
      <c r="A214" s="161">
        <f>IFERROR(""&amp;INDEX(tk_MARK,MATCH(208,tk_ASEQ,0)),"")</f>
        <v/>
      </c>
      <c r="B214" s="162">
        <f>IFERROR(""&amp;INDEX(tk_ROOMF,MATCH(208,tk_ASEQ,0)),"")</f>
        <v/>
      </c>
      <c r="C214" s="162">
        <f>IFERROR(""&amp;INDEX(tk_ROOMT,MATCH(208,tk_ASEQ,0)),"")</f>
        <v/>
      </c>
      <c r="D214" s="162">
        <f>IFERROR(INDEX(tk_QTY,MATCH(208,tk_ASEQ,0)),"")</f>
        <v/>
      </c>
      <c r="E214" s="162">
        <f>IFERROR(""&amp;INDEX(tk_SIZE,MATCH(208,tk_ASEQ,0)),"")</f>
        <v/>
      </c>
      <c r="F214" s="162">
        <f>IFERROR(""&amp;INDEX(tk_PAIR,MATCH(208,tk_ASEQ,0)),"")</f>
        <v/>
      </c>
      <c r="G214" s="162">
        <f>IFERROR(""&amp;INDEX(tk_DMAT,MATCH(208,tk_ASEQ,0)),"")</f>
        <v/>
      </c>
      <c r="H214" s="162">
        <f>IFERROR(""&amp;INDEX(tk_DGA,MATCH(208,tk_ASEQ,0)),"")</f>
        <v/>
      </c>
      <c r="I214" s="162">
        <f>IFERROR(""&amp;INDEX(tk_FACE,MATCH(208,tk_ASEQ,0)),"")</f>
        <v/>
      </c>
      <c r="J214" s="162">
        <f>IFERROR(IF(INDEX(tk_DHAND,MATCH(208,tk_ASEQ,0))="",""&amp;INDEX(tk_HAND,MATCH(208,tk_ASEQ,0)),""&amp;INDEX(tk_DHAND,MATCH(208,tk_ASEQ,0))),"")</f>
        <v/>
      </c>
      <c r="K214" s="162">
        <f>IFERROR(""&amp;INDEX(tk_FDESC,MATCH(208,tk_ASEQ,0)),"")</f>
        <v/>
      </c>
      <c r="L214" s="162">
        <f>IFERROR(INDEX(tk_STEEL,MATCH(208,tk_ASEQ,0))&amp;IF(INDEX(tk_FGA,MATCH(208,tk_ASEQ,0))="",""," "&amp;INDEX(tk_FGA,MATCH(208,tk_ASEQ,0))&amp;"GA"),"")</f>
        <v/>
      </c>
      <c r="M214" s="162">
        <f>IFERROR(IFERROR(VLOOKUP(INDEX(tk_JAMB,MATCH(208,tk_ASEQ,0)),CODES,2,FALSE),""&amp;INDEX(tk_JAMB,MATCH(208,tk_ASEQ,0))),"")</f>
        <v/>
      </c>
      <c r="N214" s="162">
        <f>IFERROR(""&amp;INDEX(tk_CONSTR,MATCH(208,tk_ASEQ,0)),"")</f>
        <v/>
      </c>
      <c r="O214" s="162">
        <f>IFERROR(""&amp;INDEX(tk_ANCHOR,MATCH(208,tk_ASEQ,0)),"")</f>
        <v/>
      </c>
      <c r="P214" s="162">
        <f>IFERROR(""&amp;INDEX(tk_RATING,MATCH(208,tk_ASEQ,0)),"")</f>
        <v/>
      </c>
      <c r="Q214" s="162">
        <f>IFERROR(""&amp;INDEX(tk_LABEL,MATCH(208,tk_ASEQ,0)),"")</f>
        <v/>
      </c>
      <c r="R214" s="162">
        <f>IFERROR(""&amp;INDEX(tk_HWSET,MATCH(208,tk_ASEQ,0)),"")</f>
        <v/>
      </c>
      <c r="S214" s="162">
        <f>IFERROR(IF(""&amp;INDEX(tk_HINGES,MATCH(208,tk_ASEQ,0))="","",INDEX(tk_HINGES,MATCH(208,tk_ASEQ,0))&amp;" · "&amp;INDEX(tk_LSRC,MATCH(208,tk_ASEQ,0))),"")</f>
        <v/>
      </c>
      <c r="T214" s="162">
        <f>IFERROR(""&amp;INDEX(tk_LOCK,MATCH(208,tk_ASEQ,0)),"")</f>
        <v/>
      </c>
      <c r="U214" s="162">
        <f>IFERROR(INDEX(tk_ETYPE,MATCH(208,tk_ASEQ,0)),"")</f>
        <v/>
      </c>
      <c r="V214" s="162">
        <f>IFERROR(""&amp;INDEX(tk_CHECK,MATCH(208,tk_ASEQ,0)),"")</f>
        <v/>
      </c>
      <c r="W214" s="162">
        <f>IFERROR(TRIM(INDEX(tk_DNOTES,MATCH(208,tk_ASEQ,0))&amp;" "&amp;INDEX(tk_FNOTES,MATCH(208,tk_ASEQ,0))),"")</f>
        <v/>
      </c>
    </row>
    <row r="215">
      <c r="A215" s="161">
        <f>IFERROR(""&amp;INDEX(tk_MARK,MATCH(209,tk_ASEQ,0)),"")</f>
        <v/>
      </c>
      <c r="B215" s="162">
        <f>IFERROR(""&amp;INDEX(tk_ROOMF,MATCH(209,tk_ASEQ,0)),"")</f>
        <v/>
      </c>
      <c r="C215" s="162">
        <f>IFERROR(""&amp;INDEX(tk_ROOMT,MATCH(209,tk_ASEQ,0)),"")</f>
        <v/>
      </c>
      <c r="D215" s="162">
        <f>IFERROR(INDEX(tk_QTY,MATCH(209,tk_ASEQ,0)),"")</f>
        <v/>
      </c>
      <c r="E215" s="162">
        <f>IFERROR(""&amp;INDEX(tk_SIZE,MATCH(209,tk_ASEQ,0)),"")</f>
        <v/>
      </c>
      <c r="F215" s="162">
        <f>IFERROR(""&amp;INDEX(tk_PAIR,MATCH(209,tk_ASEQ,0)),"")</f>
        <v/>
      </c>
      <c r="G215" s="162">
        <f>IFERROR(""&amp;INDEX(tk_DMAT,MATCH(209,tk_ASEQ,0)),"")</f>
        <v/>
      </c>
      <c r="H215" s="162">
        <f>IFERROR(""&amp;INDEX(tk_DGA,MATCH(209,tk_ASEQ,0)),"")</f>
        <v/>
      </c>
      <c r="I215" s="162">
        <f>IFERROR(""&amp;INDEX(tk_FACE,MATCH(209,tk_ASEQ,0)),"")</f>
        <v/>
      </c>
      <c r="J215" s="162">
        <f>IFERROR(IF(INDEX(tk_DHAND,MATCH(209,tk_ASEQ,0))="",""&amp;INDEX(tk_HAND,MATCH(209,tk_ASEQ,0)),""&amp;INDEX(tk_DHAND,MATCH(209,tk_ASEQ,0))),"")</f>
        <v/>
      </c>
      <c r="K215" s="162">
        <f>IFERROR(""&amp;INDEX(tk_FDESC,MATCH(209,tk_ASEQ,0)),"")</f>
        <v/>
      </c>
      <c r="L215" s="162">
        <f>IFERROR(INDEX(tk_STEEL,MATCH(209,tk_ASEQ,0))&amp;IF(INDEX(tk_FGA,MATCH(209,tk_ASEQ,0))="",""," "&amp;INDEX(tk_FGA,MATCH(209,tk_ASEQ,0))&amp;"GA"),"")</f>
        <v/>
      </c>
      <c r="M215" s="162">
        <f>IFERROR(IFERROR(VLOOKUP(INDEX(tk_JAMB,MATCH(209,tk_ASEQ,0)),CODES,2,FALSE),""&amp;INDEX(tk_JAMB,MATCH(209,tk_ASEQ,0))),"")</f>
        <v/>
      </c>
      <c r="N215" s="162">
        <f>IFERROR(""&amp;INDEX(tk_CONSTR,MATCH(209,tk_ASEQ,0)),"")</f>
        <v/>
      </c>
      <c r="O215" s="162">
        <f>IFERROR(""&amp;INDEX(tk_ANCHOR,MATCH(209,tk_ASEQ,0)),"")</f>
        <v/>
      </c>
      <c r="P215" s="162">
        <f>IFERROR(""&amp;INDEX(tk_RATING,MATCH(209,tk_ASEQ,0)),"")</f>
        <v/>
      </c>
      <c r="Q215" s="162">
        <f>IFERROR(""&amp;INDEX(tk_LABEL,MATCH(209,tk_ASEQ,0)),"")</f>
        <v/>
      </c>
      <c r="R215" s="162">
        <f>IFERROR(""&amp;INDEX(tk_HWSET,MATCH(209,tk_ASEQ,0)),"")</f>
        <v/>
      </c>
      <c r="S215" s="162">
        <f>IFERROR(IF(""&amp;INDEX(tk_HINGES,MATCH(209,tk_ASEQ,0))="","",INDEX(tk_HINGES,MATCH(209,tk_ASEQ,0))&amp;" · "&amp;INDEX(tk_LSRC,MATCH(209,tk_ASEQ,0))),"")</f>
        <v/>
      </c>
      <c r="T215" s="162">
        <f>IFERROR(""&amp;INDEX(tk_LOCK,MATCH(209,tk_ASEQ,0)),"")</f>
        <v/>
      </c>
      <c r="U215" s="162">
        <f>IFERROR(INDEX(tk_ETYPE,MATCH(209,tk_ASEQ,0)),"")</f>
        <v/>
      </c>
      <c r="V215" s="162">
        <f>IFERROR(""&amp;INDEX(tk_CHECK,MATCH(209,tk_ASEQ,0)),"")</f>
        <v/>
      </c>
      <c r="W215" s="162">
        <f>IFERROR(TRIM(INDEX(tk_DNOTES,MATCH(209,tk_ASEQ,0))&amp;" "&amp;INDEX(tk_FNOTES,MATCH(209,tk_ASEQ,0))),"")</f>
        <v/>
      </c>
    </row>
    <row r="216">
      <c r="A216" s="161">
        <f>IFERROR(""&amp;INDEX(tk_MARK,MATCH(210,tk_ASEQ,0)),"")</f>
        <v/>
      </c>
      <c r="B216" s="162">
        <f>IFERROR(""&amp;INDEX(tk_ROOMF,MATCH(210,tk_ASEQ,0)),"")</f>
        <v/>
      </c>
      <c r="C216" s="162">
        <f>IFERROR(""&amp;INDEX(tk_ROOMT,MATCH(210,tk_ASEQ,0)),"")</f>
        <v/>
      </c>
      <c r="D216" s="162">
        <f>IFERROR(INDEX(tk_QTY,MATCH(210,tk_ASEQ,0)),"")</f>
        <v/>
      </c>
      <c r="E216" s="162">
        <f>IFERROR(""&amp;INDEX(tk_SIZE,MATCH(210,tk_ASEQ,0)),"")</f>
        <v/>
      </c>
      <c r="F216" s="162">
        <f>IFERROR(""&amp;INDEX(tk_PAIR,MATCH(210,tk_ASEQ,0)),"")</f>
        <v/>
      </c>
      <c r="G216" s="162">
        <f>IFERROR(""&amp;INDEX(tk_DMAT,MATCH(210,tk_ASEQ,0)),"")</f>
        <v/>
      </c>
      <c r="H216" s="162">
        <f>IFERROR(""&amp;INDEX(tk_DGA,MATCH(210,tk_ASEQ,0)),"")</f>
        <v/>
      </c>
      <c r="I216" s="162">
        <f>IFERROR(""&amp;INDEX(tk_FACE,MATCH(210,tk_ASEQ,0)),"")</f>
        <v/>
      </c>
      <c r="J216" s="162">
        <f>IFERROR(IF(INDEX(tk_DHAND,MATCH(210,tk_ASEQ,0))="",""&amp;INDEX(tk_HAND,MATCH(210,tk_ASEQ,0)),""&amp;INDEX(tk_DHAND,MATCH(210,tk_ASEQ,0))),"")</f>
        <v/>
      </c>
      <c r="K216" s="162">
        <f>IFERROR(""&amp;INDEX(tk_FDESC,MATCH(210,tk_ASEQ,0)),"")</f>
        <v/>
      </c>
      <c r="L216" s="162">
        <f>IFERROR(INDEX(tk_STEEL,MATCH(210,tk_ASEQ,0))&amp;IF(INDEX(tk_FGA,MATCH(210,tk_ASEQ,0))="",""," "&amp;INDEX(tk_FGA,MATCH(210,tk_ASEQ,0))&amp;"GA"),"")</f>
        <v/>
      </c>
      <c r="M216" s="162">
        <f>IFERROR(IFERROR(VLOOKUP(INDEX(tk_JAMB,MATCH(210,tk_ASEQ,0)),CODES,2,FALSE),""&amp;INDEX(tk_JAMB,MATCH(210,tk_ASEQ,0))),"")</f>
        <v/>
      </c>
      <c r="N216" s="162">
        <f>IFERROR(""&amp;INDEX(tk_CONSTR,MATCH(210,tk_ASEQ,0)),"")</f>
        <v/>
      </c>
      <c r="O216" s="162">
        <f>IFERROR(""&amp;INDEX(tk_ANCHOR,MATCH(210,tk_ASEQ,0)),"")</f>
        <v/>
      </c>
      <c r="P216" s="162">
        <f>IFERROR(""&amp;INDEX(tk_RATING,MATCH(210,tk_ASEQ,0)),"")</f>
        <v/>
      </c>
      <c r="Q216" s="162">
        <f>IFERROR(""&amp;INDEX(tk_LABEL,MATCH(210,tk_ASEQ,0)),"")</f>
        <v/>
      </c>
      <c r="R216" s="162">
        <f>IFERROR(""&amp;INDEX(tk_HWSET,MATCH(210,tk_ASEQ,0)),"")</f>
        <v/>
      </c>
      <c r="S216" s="162">
        <f>IFERROR(IF(""&amp;INDEX(tk_HINGES,MATCH(210,tk_ASEQ,0))="","",INDEX(tk_HINGES,MATCH(210,tk_ASEQ,0))&amp;" · "&amp;INDEX(tk_LSRC,MATCH(210,tk_ASEQ,0))),"")</f>
        <v/>
      </c>
      <c r="T216" s="162">
        <f>IFERROR(""&amp;INDEX(tk_LOCK,MATCH(210,tk_ASEQ,0)),"")</f>
        <v/>
      </c>
      <c r="U216" s="162">
        <f>IFERROR(INDEX(tk_ETYPE,MATCH(210,tk_ASEQ,0)),"")</f>
        <v/>
      </c>
      <c r="V216" s="162">
        <f>IFERROR(""&amp;INDEX(tk_CHECK,MATCH(210,tk_ASEQ,0)),"")</f>
        <v/>
      </c>
      <c r="W216" s="162">
        <f>IFERROR(TRIM(INDEX(tk_DNOTES,MATCH(210,tk_ASEQ,0))&amp;" "&amp;INDEX(tk_FNOTES,MATCH(210,tk_ASEQ,0))),"")</f>
        <v/>
      </c>
    </row>
    <row r="217">
      <c r="A217" s="161">
        <f>IFERROR(""&amp;INDEX(tk_MARK,MATCH(211,tk_ASEQ,0)),"")</f>
        <v/>
      </c>
      <c r="B217" s="162">
        <f>IFERROR(""&amp;INDEX(tk_ROOMF,MATCH(211,tk_ASEQ,0)),"")</f>
        <v/>
      </c>
      <c r="C217" s="162">
        <f>IFERROR(""&amp;INDEX(tk_ROOMT,MATCH(211,tk_ASEQ,0)),"")</f>
        <v/>
      </c>
      <c r="D217" s="162">
        <f>IFERROR(INDEX(tk_QTY,MATCH(211,tk_ASEQ,0)),"")</f>
        <v/>
      </c>
      <c r="E217" s="162">
        <f>IFERROR(""&amp;INDEX(tk_SIZE,MATCH(211,tk_ASEQ,0)),"")</f>
        <v/>
      </c>
      <c r="F217" s="162">
        <f>IFERROR(""&amp;INDEX(tk_PAIR,MATCH(211,tk_ASEQ,0)),"")</f>
        <v/>
      </c>
      <c r="G217" s="162">
        <f>IFERROR(""&amp;INDEX(tk_DMAT,MATCH(211,tk_ASEQ,0)),"")</f>
        <v/>
      </c>
      <c r="H217" s="162">
        <f>IFERROR(""&amp;INDEX(tk_DGA,MATCH(211,tk_ASEQ,0)),"")</f>
        <v/>
      </c>
      <c r="I217" s="162">
        <f>IFERROR(""&amp;INDEX(tk_FACE,MATCH(211,tk_ASEQ,0)),"")</f>
        <v/>
      </c>
      <c r="J217" s="162">
        <f>IFERROR(IF(INDEX(tk_DHAND,MATCH(211,tk_ASEQ,0))="",""&amp;INDEX(tk_HAND,MATCH(211,tk_ASEQ,0)),""&amp;INDEX(tk_DHAND,MATCH(211,tk_ASEQ,0))),"")</f>
        <v/>
      </c>
      <c r="K217" s="162">
        <f>IFERROR(""&amp;INDEX(tk_FDESC,MATCH(211,tk_ASEQ,0)),"")</f>
        <v/>
      </c>
      <c r="L217" s="162">
        <f>IFERROR(INDEX(tk_STEEL,MATCH(211,tk_ASEQ,0))&amp;IF(INDEX(tk_FGA,MATCH(211,tk_ASEQ,0))="",""," "&amp;INDEX(tk_FGA,MATCH(211,tk_ASEQ,0))&amp;"GA"),"")</f>
        <v/>
      </c>
      <c r="M217" s="162">
        <f>IFERROR(IFERROR(VLOOKUP(INDEX(tk_JAMB,MATCH(211,tk_ASEQ,0)),CODES,2,FALSE),""&amp;INDEX(tk_JAMB,MATCH(211,tk_ASEQ,0))),"")</f>
        <v/>
      </c>
      <c r="N217" s="162">
        <f>IFERROR(""&amp;INDEX(tk_CONSTR,MATCH(211,tk_ASEQ,0)),"")</f>
        <v/>
      </c>
      <c r="O217" s="162">
        <f>IFERROR(""&amp;INDEX(tk_ANCHOR,MATCH(211,tk_ASEQ,0)),"")</f>
        <v/>
      </c>
      <c r="P217" s="162">
        <f>IFERROR(""&amp;INDEX(tk_RATING,MATCH(211,tk_ASEQ,0)),"")</f>
        <v/>
      </c>
      <c r="Q217" s="162">
        <f>IFERROR(""&amp;INDEX(tk_LABEL,MATCH(211,tk_ASEQ,0)),"")</f>
        <v/>
      </c>
      <c r="R217" s="162">
        <f>IFERROR(""&amp;INDEX(tk_HWSET,MATCH(211,tk_ASEQ,0)),"")</f>
        <v/>
      </c>
      <c r="S217" s="162">
        <f>IFERROR(IF(""&amp;INDEX(tk_HINGES,MATCH(211,tk_ASEQ,0))="","",INDEX(tk_HINGES,MATCH(211,tk_ASEQ,0))&amp;" · "&amp;INDEX(tk_LSRC,MATCH(211,tk_ASEQ,0))),"")</f>
        <v/>
      </c>
      <c r="T217" s="162">
        <f>IFERROR(""&amp;INDEX(tk_LOCK,MATCH(211,tk_ASEQ,0)),"")</f>
        <v/>
      </c>
      <c r="U217" s="162">
        <f>IFERROR(INDEX(tk_ETYPE,MATCH(211,tk_ASEQ,0)),"")</f>
        <v/>
      </c>
      <c r="V217" s="162">
        <f>IFERROR(""&amp;INDEX(tk_CHECK,MATCH(211,tk_ASEQ,0)),"")</f>
        <v/>
      </c>
      <c r="W217" s="162">
        <f>IFERROR(TRIM(INDEX(tk_DNOTES,MATCH(211,tk_ASEQ,0))&amp;" "&amp;INDEX(tk_FNOTES,MATCH(211,tk_ASEQ,0))),"")</f>
        <v/>
      </c>
    </row>
    <row r="218">
      <c r="A218" s="161">
        <f>IFERROR(""&amp;INDEX(tk_MARK,MATCH(212,tk_ASEQ,0)),"")</f>
        <v/>
      </c>
      <c r="B218" s="162">
        <f>IFERROR(""&amp;INDEX(tk_ROOMF,MATCH(212,tk_ASEQ,0)),"")</f>
        <v/>
      </c>
      <c r="C218" s="162">
        <f>IFERROR(""&amp;INDEX(tk_ROOMT,MATCH(212,tk_ASEQ,0)),"")</f>
        <v/>
      </c>
      <c r="D218" s="162">
        <f>IFERROR(INDEX(tk_QTY,MATCH(212,tk_ASEQ,0)),"")</f>
        <v/>
      </c>
      <c r="E218" s="162">
        <f>IFERROR(""&amp;INDEX(tk_SIZE,MATCH(212,tk_ASEQ,0)),"")</f>
        <v/>
      </c>
      <c r="F218" s="162">
        <f>IFERROR(""&amp;INDEX(tk_PAIR,MATCH(212,tk_ASEQ,0)),"")</f>
        <v/>
      </c>
      <c r="G218" s="162">
        <f>IFERROR(""&amp;INDEX(tk_DMAT,MATCH(212,tk_ASEQ,0)),"")</f>
        <v/>
      </c>
      <c r="H218" s="162">
        <f>IFERROR(""&amp;INDEX(tk_DGA,MATCH(212,tk_ASEQ,0)),"")</f>
        <v/>
      </c>
      <c r="I218" s="162">
        <f>IFERROR(""&amp;INDEX(tk_FACE,MATCH(212,tk_ASEQ,0)),"")</f>
        <v/>
      </c>
      <c r="J218" s="162">
        <f>IFERROR(IF(INDEX(tk_DHAND,MATCH(212,tk_ASEQ,0))="",""&amp;INDEX(tk_HAND,MATCH(212,tk_ASEQ,0)),""&amp;INDEX(tk_DHAND,MATCH(212,tk_ASEQ,0))),"")</f>
        <v/>
      </c>
      <c r="K218" s="162">
        <f>IFERROR(""&amp;INDEX(tk_FDESC,MATCH(212,tk_ASEQ,0)),"")</f>
        <v/>
      </c>
      <c r="L218" s="162">
        <f>IFERROR(INDEX(tk_STEEL,MATCH(212,tk_ASEQ,0))&amp;IF(INDEX(tk_FGA,MATCH(212,tk_ASEQ,0))="",""," "&amp;INDEX(tk_FGA,MATCH(212,tk_ASEQ,0))&amp;"GA"),"")</f>
        <v/>
      </c>
      <c r="M218" s="162">
        <f>IFERROR(IFERROR(VLOOKUP(INDEX(tk_JAMB,MATCH(212,tk_ASEQ,0)),CODES,2,FALSE),""&amp;INDEX(tk_JAMB,MATCH(212,tk_ASEQ,0))),"")</f>
        <v/>
      </c>
      <c r="N218" s="162">
        <f>IFERROR(""&amp;INDEX(tk_CONSTR,MATCH(212,tk_ASEQ,0)),"")</f>
        <v/>
      </c>
      <c r="O218" s="162">
        <f>IFERROR(""&amp;INDEX(tk_ANCHOR,MATCH(212,tk_ASEQ,0)),"")</f>
        <v/>
      </c>
      <c r="P218" s="162">
        <f>IFERROR(""&amp;INDEX(tk_RATING,MATCH(212,tk_ASEQ,0)),"")</f>
        <v/>
      </c>
      <c r="Q218" s="162">
        <f>IFERROR(""&amp;INDEX(tk_LABEL,MATCH(212,tk_ASEQ,0)),"")</f>
        <v/>
      </c>
      <c r="R218" s="162">
        <f>IFERROR(""&amp;INDEX(tk_HWSET,MATCH(212,tk_ASEQ,0)),"")</f>
        <v/>
      </c>
      <c r="S218" s="162">
        <f>IFERROR(IF(""&amp;INDEX(tk_HINGES,MATCH(212,tk_ASEQ,0))="","",INDEX(tk_HINGES,MATCH(212,tk_ASEQ,0))&amp;" · "&amp;INDEX(tk_LSRC,MATCH(212,tk_ASEQ,0))),"")</f>
        <v/>
      </c>
      <c r="T218" s="162">
        <f>IFERROR(""&amp;INDEX(tk_LOCK,MATCH(212,tk_ASEQ,0)),"")</f>
        <v/>
      </c>
      <c r="U218" s="162">
        <f>IFERROR(INDEX(tk_ETYPE,MATCH(212,tk_ASEQ,0)),"")</f>
        <v/>
      </c>
      <c r="V218" s="162">
        <f>IFERROR(""&amp;INDEX(tk_CHECK,MATCH(212,tk_ASEQ,0)),"")</f>
        <v/>
      </c>
      <c r="W218" s="162">
        <f>IFERROR(TRIM(INDEX(tk_DNOTES,MATCH(212,tk_ASEQ,0))&amp;" "&amp;INDEX(tk_FNOTES,MATCH(212,tk_ASEQ,0))),"")</f>
        <v/>
      </c>
    </row>
    <row r="219">
      <c r="A219" s="161">
        <f>IFERROR(""&amp;INDEX(tk_MARK,MATCH(213,tk_ASEQ,0)),"")</f>
        <v/>
      </c>
      <c r="B219" s="162">
        <f>IFERROR(""&amp;INDEX(tk_ROOMF,MATCH(213,tk_ASEQ,0)),"")</f>
        <v/>
      </c>
      <c r="C219" s="162">
        <f>IFERROR(""&amp;INDEX(tk_ROOMT,MATCH(213,tk_ASEQ,0)),"")</f>
        <v/>
      </c>
      <c r="D219" s="162">
        <f>IFERROR(INDEX(tk_QTY,MATCH(213,tk_ASEQ,0)),"")</f>
        <v/>
      </c>
      <c r="E219" s="162">
        <f>IFERROR(""&amp;INDEX(tk_SIZE,MATCH(213,tk_ASEQ,0)),"")</f>
        <v/>
      </c>
      <c r="F219" s="162">
        <f>IFERROR(""&amp;INDEX(tk_PAIR,MATCH(213,tk_ASEQ,0)),"")</f>
        <v/>
      </c>
      <c r="G219" s="162">
        <f>IFERROR(""&amp;INDEX(tk_DMAT,MATCH(213,tk_ASEQ,0)),"")</f>
        <v/>
      </c>
      <c r="H219" s="162">
        <f>IFERROR(""&amp;INDEX(tk_DGA,MATCH(213,tk_ASEQ,0)),"")</f>
        <v/>
      </c>
      <c r="I219" s="162">
        <f>IFERROR(""&amp;INDEX(tk_FACE,MATCH(213,tk_ASEQ,0)),"")</f>
        <v/>
      </c>
      <c r="J219" s="162">
        <f>IFERROR(IF(INDEX(tk_DHAND,MATCH(213,tk_ASEQ,0))="",""&amp;INDEX(tk_HAND,MATCH(213,tk_ASEQ,0)),""&amp;INDEX(tk_DHAND,MATCH(213,tk_ASEQ,0))),"")</f>
        <v/>
      </c>
      <c r="K219" s="162">
        <f>IFERROR(""&amp;INDEX(tk_FDESC,MATCH(213,tk_ASEQ,0)),"")</f>
        <v/>
      </c>
      <c r="L219" s="162">
        <f>IFERROR(INDEX(tk_STEEL,MATCH(213,tk_ASEQ,0))&amp;IF(INDEX(tk_FGA,MATCH(213,tk_ASEQ,0))="",""," "&amp;INDEX(tk_FGA,MATCH(213,tk_ASEQ,0))&amp;"GA"),"")</f>
        <v/>
      </c>
      <c r="M219" s="162">
        <f>IFERROR(IFERROR(VLOOKUP(INDEX(tk_JAMB,MATCH(213,tk_ASEQ,0)),CODES,2,FALSE),""&amp;INDEX(tk_JAMB,MATCH(213,tk_ASEQ,0))),"")</f>
        <v/>
      </c>
      <c r="N219" s="162">
        <f>IFERROR(""&amp;INDEX(tk_CONSTR,MATCH(213,tk_ASEQ,0)),"")</f>
        <v/>
      </c>
      <c r="O219" s="162">
        <f>IFERROR(""&amp;INDEX(tk_ANCHOR,MATCH(213,tk_ASEQ,0)),"")</f>
        <v/>
      </c>
      <c r="P219" s="162">
        <f>IFERROR(""&amp;INDEX(tk_RATING,MATCH(213,tk_ASEQ,0)),"")</f>
        <v/>
      </c>
      <c r="Q219" s="162">
        <f>IFERROR(""&amp;INDEX(tk_LABEL,MATCH(213,tk_ASEQ,0)),"")</f>
        <v/>
      </c>
      <c r="R219" s="162">
        <f>IFERROR(""&amp;INDEX(tk_HWSET,MATCH(213,tk_ASEQ,0)),"")</f>
        <v/>
      </c>
      <c r="S219" s="162">
        <f>IFERROR(IF(""&amp;INDEX(tk_HINGES,MATCH(213,tk_ASEQ,0))="","",INDEX(tk_HINGES,MATCH(213,tk_ASEQ,0))&amp;" · "&amp;INDEX(tk_LSRC,MATCH(213,tk_ASEQ,0))),"")</f>
        <v/>
      </c>
      <c r="T219" s="162">
        <f>IFERROR(""&amp;INDEX(tk_LOCK,MATCH(213,tk_ASEQ,0)),"")</f>
        <v/>
      </c>
      <c r="U219" s="162">
        <f>IFERROR(INDEX(tk_ETYPE,MATCH(213,tk_ASEQ,0)),"")</f>
        <v/>
      </c>
      <c r="V219" s="162">
        <f>IFERROR(""&amp;INDEX(tk_CHECK,MATCH(213,tk_ASEQ,0)),"")</f>
        <v/>
      </c>
      <c r="W219" s="162">
        <f>IFERROR(TRIM(INDEX(tk_DNOTES,MATCH(213,tk_ASEQ,0))&amp;" "&amp;INDEX(tk_FNOTES,MATCH(213,tk_ASEQ,0))),"")</f>
        <v/>
      </c>
    </row>
    <row r="220">
      <c r="A220" s="161">
        <f>IFERROR(""&amp;INDEX(tk_MARK,MATCH(214,tk_ASEQ,0)),"")</f>
        <v/>
      </c>
      <c r="B220" s="162">
        <f>IFERROR(""&amp;INDEX(tk_ROOMF,MATCH(214,tk_ASEQ,0)),"")</f>
        <v/>
      </c>
      <c r="C220" s="162">
        <f>IFERROR(""&amp;INDEX(tk_ROOMT,MATCH(214,tk_ASEQ,0)),"")</f>
        <v/>
      </c>
      <c r="D220" s="162">
        <f>IFERROR(INDEX(tk_QTY,MATCH(214,tk_ASEQ,0)),"")</f>
        <v/>
      </c>
      <c r="E220" s="162">
        <f>IFERROR(""&amp;INDEX(tk_SIZE,MATCH(214,tk_ASEQ,0)),"")</f>
        <v/>
      </c>
      <c r="F220" s="162">
        <f>IFERROR(""&amp;INDEX(tk_PAIR,MATCH(214,tk_ASEQ,0)),"")</f>
        <v/>
      </c>
      <c r="G220" s="162">
        <f>IFERROR(""&amp;INDEX(tk_DMAT,MATCH(214,tk_ASEQ,0)),"")</f>
        <v/>
      </c>
      <c r="H220" s="162">
        <f>IFERROR(""&amp;INDEX(tk_DGA,MATCH(214,tk_ASEQ,0)),"")</f>
        <v/>
      </c>
      <c r="I220" s="162">
        <f>IFERROR(""&amp;INDEX(tk_FACE,MATCH(214,tk_ASEQ,0)),"")</f>
        <v/>
      </c>
      <c r="J220" s="162">
        <f>IFERROR(IF(INDEX(tk_DHAND,MATCH(214,tk_ASEQ,0))="",""&amp;INDEX(tk_HAND,MATCH(214,tk_ASEQ,0)),""&amp;INDEX(tk_DHAND,MATCH(214,tk_ASEQ,0))),"")</f>
        <v/>
      </c>
      <c r="K220" s="162">
        <f>IFERROR(""&amp;INDEX(tk_FDESC,MATCH(214,tk_ASEQ,0)),"")</f>
        <v/>
      </c>
      <c r="L220" s="162">
        <f>IFERROR(INDEX(tk_STEEL,MATCH(214,tk_ASEQ,0))&amp;IF(INDEX(tk_FGA,MATCH(214,tk_ASEQ,0))="",""," "&amp;INDEX(tk_FGA,MATCH(214,tk_ASEQ,0))&amp;"GA"),"")</f>
        <v/>
      </c>
      <c r="M220" s="162">
        <f>IFERROR(IFERROR(VLOOKUP(INDEX(tk_JAMB,MATCH(214,tk_ASEQ,0)),CODES,2,FALSE),""&amp;INDEX(tk_JAMB,MATCH(214,tk_ASEQ,0))),"")</f>
        <v/>
      </c>
      <c r="N220" s="162">
        <f>IFERROR(""&amp;INDEX(tk_CONSTR,MATCH(214,tk_ASEQ,0)),"")</f>
        <v/>
      </c>
      <c r="O220" s="162">
        <f>IFERROR(""&amp;INDEX(tk_ANCHOR,MATCH(214,tk_ASEQ,0)),"")</f>
        <v/>
      </c>
      <c r="P220" s="162">
        <f>IFERROR(""&amp;INDEX(tk_RATING,MATCH(214,tk_ASEQ,0)),"")</f>
        <v/>
      </c>
      <c r="Q220" s="162">
        <f>IFERROR(""&amp;INDEX(tk_LABEL,MATCH(214,tk_ASEQ,0)),"")</f>
        <v/>
      </c>
      <c r="R220" s="162">
        <f>IFERROR(""&amp;INDEX(tk_HWSET,MATCH(214,tk_ASEQ,0)),"")</f>
        <v/>
      </c>
      <c r="S220" s="162">
        <f>IFERROR(IF(""&amp;INDEX(tk_HINGES,MATCH(214,tk_ASEQ,0))="","",INDEX(tk_HINGES,MATCH(214,tk_ASEQ,0))&amp;" · "&amp;INDEX(tk_LSRC,MATCH(214,tk_ASEQ,0))),"")</f>
        <v/>
      </c>
      <c r="T220" s="162">
        <f>IFERROR(""&amp;INDEX(tk_LOCK,MATCH(214,tk_ASEQ,0)),"")</f>
        <v/>
      </c>
      <c r="U220" s="162">
        <f>IFERROR(INDEX(tk_ETYPE,MATCH(214,tk_ASEQ,0)),"")</f>
        <v/>
      </c>
      <c r="V220" s="162">
        <f>IFERROR(""&amp;INDEX(tk_CHECK,MATCH(214,tk_ASEQ,0)),"")</f>
        <v/>
      </c>
      <c r="W220" s="162">
        <f>IFERROR(TRIM(INDEX(tk_DNOTES,MATCH(214,tk_ASEQ,0))&amp;" "&amp;INDEX(tk_FNOTES,MATCH(214,tk_ASEQ,0))),"")</f>
        <v/>
      </c>
    </row>
    <row r="221">
      <c r="A221" s="161">
        <f>IFERROR(""&amp;INDEX(tk_MARK,MATCH(215,tk_ASEQ,0)),"")</f>
        <v/>
      </c>
      <c r="B221" s="162">
        <f>IFERROR(""&amp;INDEX(tk_ROOMF,MATCH(215,tk_ASEQ,0)),"")</f>
        <v/>
      </c>
      <c r="C221" s="162">
        <f>IFERROR(""&amp;INDEX(tk_ROOMT,MATCH(215,tk_ASEQ,0)),"")</f>
        <v/>
      </c>
      <c r="D221" s="162">
        <f>IFERROR(INDEX(tk_QTY,MATCH(215,tk_ASEQ,0)),"")</f>
        <v/>
      </c>
      <c r="E221" s="162">
        <f>IFERROR(""&amp;INDEX(tk_SIZE,MATCH(215,tk_ASEQ,0)),"")</f>
        <v/>
      </c>
      <c r="F221" s="162">
        <f>IFERROR(""&amp;INDEX(tk_PAIR,MATCH(215,tk_ASEQ,0)),"")</f>
        <v/>
      </c>
      <c r="G221" s="162">
        <f>IFERROR(""&amp;INDEX(tk_DMAT,MATCH(215,tk_ASEQ,0)),"")</f>
        <v/>
      </c>
      <c r="H221" s="162">
        <f>IFERROR(""&amp;INDEX(tk_DGA,MATCH(215,tk_ASEQ,0)),"")</f>
        <v/>
      </c>
      <c r="I221" s="162">
        <f>IFERROR(""&amp;INDEX(tk_FACE,MATCH(215,tk_ASEQ,0)),"")</f>
        <v/>
      </c>
      <c r="J221" s="162">
        <f>IFERROR(IF(INDEX(tk_DHAND,MATCH(215,tk_ASEQ,0))="",""&amp;INDEX(tk_HAND,MATCH(215,tk_ASEQ,0)),""&amp;INDEX(tk_DHAND,MATCH(215,tk_ASEQ,0))),"")</f>
        <v/>
      </c>
      <c r="K221" s="162">
        <f>IFERROR(""&amp;INDEX(tk_FDESC,MATCH(215,tk_ASEQ,0)),"")</f>
        <v/>
      </c>
      <c r="L221" s="162">
        <f>IFERROR(INDEX(tk_STEEL,MATCH(215,tk_ASEQ,0))&amp;IF(INDEX(tk_FGA,MATCH(215,tk_ASEQ,0))="",""," "&amp;INDEX(tk_FGA,MATCH(215,tk_ASEQ,0))&amp;"GA"),"")</f>
        <v/>
      </c>
      <c r="M221" s="162">
        <f>IFERROR(IFERROR(VLOOKUP(INDEX(tk_JAMB,MATCH(215,tk_ASEQ,0)),CODES,2,FALSE),""&amp;INDEX(tk_JAMB,MATCH(215,tk_ASEQ,0))),"")</f>
        <v/>
      </c>
      <c r="N221" s="162">
        <f>IFERROR(""&amp;INDEX(tk_CONSTR,MATCH(215,tk_ASEQ,0)),"")</f>
        <v/>
      </c>
      <c r="O221" s="162">
        <f>IFERROR(""&amp;INDEX(tk_ANCHOR,MATCH(215,tk_ASEQ,0)),"")</f>
        <v/>
      </c>
      <c r="P221" s="162">
        <f>IFERROR(""&amp;INDEX(tk_RATING,MATCH(215,tk_ASEQ,0)),"")</f>
        <v/>
      </c>
      <c r="Q221" s="162">
        <f>IFERROR(""&amp;INDEX(tk_LABEL,MATCH(215,tk_ASEQ,0)),"")</f>
        <v/>
      </c>
      <c r="R221" s="162">
        <f>IFERROR(""&amp;INDEX(tk_HWSET,MATCH(215,tk_ASEQ,0)),"")</f>
        <v/>
      </c>
      <c r="S221" s="162">
        <f>IFERROR(IF(""&amp;INDEX(tk_HINGES,MATCH(215,tk_ASEQ,0))="","",INDEX(tk_HINGES,MATCH(215,tk_ASEQ,0))&amp;" · "&amp;INDEX(tk_LSRC,MATCH(215,tk_ASEQ,0))),"")</f>
        <v/>
      </c>
      <c r="T221" s="162">
        <f>IFERROR(""&amp;INDEX(tk_LOCK,MATCH(215,tk_ASEQ,0)),"")</f>
        <v/>
      </c>
      <c r="U221" s="162">
        <f>IFERROR(INDEX(tk_ETYPE,MATCH(215,tk_ASEQ,0)),"")</f>
        <v/>
      </c>
      <c r="V221" s="162">
        <f>IFERROR(""&amp;INDEX(tk_CHECK,MATCH(215,tk_ASEQ,0)),"")</f>
        <v/>
      </c>
      <c r="W221" s="162">
        <f>IFERROR(TRIM(INDEX(tk_DNOTES,MATCH(215,tk_ASEQ,0))&amp;" "&amp;INDEX(tk_FNOTES,MATCH(215,tk_ASEQ,0))),"")</f>
        <v/>
      </c>
    </row>
    <row r="222">
      <c r="A222" s="161">
        <f>IFERROR(""&amp;INDEX(tk_MARK,MATCH(216,tk_ASEQ,0)),"")</f>
        <v/>
      </c>
      <c r="B222" s="162">
        <f>IFERROR(""&amp;INDEX(tk_ROOMF,MATCH(216,tk_ASEQ,0)),"")</f>
        <v/>
      </c>
      <c r="C222" s="162">
        <f>IFERROR(""&amp;INDEX(tk_ROOMT,MATCH(216,tk_ASEQ,0)),"")</f>
        <v/>
      </c>
      <c r="D222" s="162">
        <f>IFERROR(INDEX(tk_QTY,MATCH(216,tk_ASEQ,0)),"")</f>
        <v/>
      </c>
      <c r="E222" s="162">
        <f>IFERROR(""&amp;INDEX(tk_SIZE,MATCH(216,tk_ASEQ,0)),"")</f>
        <v/>
      </c>
      <c r="F222" s="162">
        <f>IFERROR(""&amp;INDEX(tk_PAIR,MATCH(216,tk_ASEQ,0)),"")</f>
        <v/>
      </c>
      <c r="G222" s="162">
        <f>IFERROR(""&amp;INDEX(tk_DMAT,MATCH(216,tk_ASEQ,0)),"")</f>
        <v/>
      </c>
      <c r="H222" s="162">
        <f>IFERROR(""&amp;INDEX(tk_DGA,MATCH(216,tk_ASEQ,0)),"")</f>
        <v/>
      </c>
      <c r="I222" s="162">
        <f>IFERROR(""&amp;INDEX(tk_FACE,MATCH(216,tk_ASEQ,0)),"")</f>
        <v/>
      </c>
      <c r="J222" s="162">
        <f>IFERROR(IF(INDEX(tk_DHAND,MATCH(216,tk_ASEQ,0))="",""&amp;INDEX(tk_HAND,MATCH(216,tk_ASEQ,0)),""&amp;INDEX(tk_DHAND,MATCH(216,tk_ASEQ,0))),"")</f>
        <v/>
      </c>
      <c r="K222" s="162">
        <f>IFERROR(""&amp;INDEX(tk_FDESC,MATCH(216,tk_ASEQ,0)),"")</f>
        <v/>
      </c>
      <c r="L222" s="162">
        <f>IFERROR(INDEX(tk_STEEL,MATCH(216,tk_ASEQ,0))&amp;IF(INDEX(tk_FGA,MATCH(216,tk_ASEQ,0))="",""," "&amp;INDEX(tk_FGA,MATCH(216,tk_ASEQ,0))&amp;"GA"),"")</f>
        <v/>
      </c>
      <c r="M222" s="162">
        <f>IFERROR(IFERROR(VLOOKUP(INDEX(tk_JAMB,MATCH(216,tk_ASEQ,0)),CODES,2,FALSE),""&amp;INDEX(tk_JAMB,MATCH(216,tk_ASEQ,0))),"")</f>
        <v/>
      </c>
      <c r="N222" s="162">
        <f>IFERROR(""&amp;INDEX(tk_CONSTR,MATCH(216,tk_ASEQ,0)),"")</f>
        <v/>
      </c>
      <c r="O222" s="162">
        <f>IFERROR(""&amp;INDEX(tk_ANCHOR,MATCH(216,tk_ASEQ,0)),"")</f>
        <v/>
      </c>
      <c r="P222" s="162">
        <f>IFERROR(""&amp;INDEX(tk_RATING,MATCH(216,tk_ASEQ,0)),"")</f>
        <v/>
      </c>
      <c r="Q222" s="162">
        <f>IFERROR(""&amp;INDEX(tk_LABEL,MATCH(216,tk_ASEQ,0)),"")</f>
        <v/>
      </c>
      <c r="R222" s="162">
        <f>IFERROR(""&amp;INDEX(tk_HWSET,MATCH(216,tk_ASEQ,0)),"")</f>
        <v/>
      </c>
      <c r="S222" s="162">
        <f>IFERROR(IF(""&amp;INDEX(tk_HINGES,MATCH(216,tk_ASEQ,0))="","",INDEX(tk_HINGES,MATCH(216,tk_ASEQ,0))&amp;" · "&amp;INDEX(tk_LSRC,MATCH(216,tk_ASEQ,0))),"")</f>
        <v/>
      </c>
      <c r="T222" s="162">
        <f>IFERROR(""&amp;INDEX(tk_LOCK,MATCH(216,tk_ASEQ,0)),"")</f>
        <v/>
      </c>
      <c r="U222" s="162">
        <f>IFERROR(INDEX(tk_ETYPE,MATCH(216,tk_ASEQ,0)),"")</f>
        <v/>
      </c>
      <c r="V222" s="162">
        <f>IFERROR(""&amp;INDEX(tk_CHECK,MATCH(216,tk_ASEQ,0)),"")</f>
        <v/>
      </c>
      <c r="W222" s="162">
        <f>IFERROR(TRIM(INDEX(tk_DNOTES,MATCH(216,tk_ASEQ,0))&amp;" "&amp;INDEX(tk_FNOTES,MATCH(216,tk_ASEQ,0))),"")</f>
        <v/>
      </c>
    </row>
    <row r="223">
      <c r="A223" s="161">
        <f>IFERROR(""&amp;INDEX(tk_MARK,MATCH(217,tk_ASEQ,0)),"")</f>
        <v/>
      </c>
      <c r="B223" s="162">
        <f>IFERROR(""&amp;INDEX(tk_ROOMF,MATCH(217,tk_ASEQ,0)),"")</f>
        <v/>
      </c>
      <c r="C223" s="162">
        <f>IFERROR(""&amp;INDEX(tk_ROOMT,MATCH(217,tk_ASEQ,0)),"")</f>
        <v/>
      </c>
      <c r="D223" s="162">
        <f>IFERROR(INDEX(tk_QTY,MATCH(217,tk_ASEQ,0)),"")</f>
        <v/>
      </c>
      <c r="E223" s="162">
        <f>IFERROR(""&amp;INDEX(tk_SIZE,MATCH(217,tk_ASEQ,0)),"")</f>
        <v/>
      </c>
      <c r="F223" s="162">
        <f>IFERROR(""&amp;INDEX(tk_PAIR,MATCH(217,tk_ASEQ,0)),"")</f>
        <v/>
      </c>
      <c r="G223" s="162">
        <f>IFERROR(""&amp;INDEX(tk_DMAT,MATCH(217,tk_ASEQ,0)),"")</f>
        <v/>
      </c>
      <c r="H223" s="162">
        <f>IFERROR(""&amp;INDEX(tk_DGA,MATCH(217,tk_ASEQ,0)),"")</f>
        <v/>
      </c>
      <c r="I223" s="162">
        <f>IFERROR(""&amp;INDEX(tk_FACE,MATCH(217,tk_ASEQ,0)),"")</f>
        <v/>
      </c>
      <c r="J223" s="162">
        <f>IFERROR(IF(INDEX(tk_DHAND,MATCH(217,tk_ASEQ,0))="",""&amp;INDEX(tk_HAND,MATCH(217,tk_ASEQ,0)),""&amp;INDEX(tk_DHAND,MATCH(217,tk_ASEQ,0))),"")</f>
        <v/>
      </c>
      <c r="K223" s="162">
        <f>IFERROR(""&amp;INDEX(tk_FDESC,MATCH(217,tk_ASEQ,0)),"")</f>
        <v/>
      </c>
      <c r="L223" s="162">
        <f>IFERROR(INDEX(tk_STEEL,MATCH(217,tk_ASEQ,0))&amp;IF(INDEX(tk_FGA,MATCH(217,tk_ASEQ,0))="",""," "&amp;INDEX(tk_FGA,MATCH(217,tk_ASEQ,0))&amp;"GA"),"")</f>
        <v/>
      </c>
      <c r="M223" s="162">
        <f>IFERROR(IFERROR(VLOOKUP(INDEX(tk_JAMB,MATCH(217,tk_ASEQ,0)),CODES,2,FALSE),""&amp;INDEX(tk_JAMB,MATCH(217,tk_ASEQ,0))),"")</f>
        <v/>
      </c>
      <c r="N223" s="162">
        <f>IFERROR(""&amp;INDEX(tk_CONSTR,MATCH(217,tk_ASEQ,0)),"")</f>
        <v/>
      </c>
      <c r="O223" s="162">
        <f>IFERROR(""&amp;INDEX(tk_ANCHOR,MATCH(217,tk_ASEQ,0)),"")</f>
        <v/>
      </c>
      <c r="P223" s="162">
        <f>IFERROR(""&amp;INDEX(tk_RATING,MATCH(217,tk_ASEQ,0)),"")</f>
        <v/>
      </c>
      <c r="Q223" s="162">
        <f>IFERROR(""&amp;INDEX(tk_LABEL,MATCH(217,tk_ASEQ,0)),"")</f>
        <v/>
      </c>
      <c r="R223" s="162">
        <f>IFERROR(""&amp;INDEX(tk_HWSET,MATCH(217,tk_ASEQ,0)),"")</f>
        <v/>
      </c>
      <c r="S223" s="162">
        <f>IFERROR(IF(""&amp;INDEX(tk_HINGES,MATCH(217,tk_ASEQ,0))="","",INDEX(tk_HINGES,MATCH(217,tk_ASEQ,0))&amp;" · "&amp;INDEX(tk_LSRC,MATCH(217,tk_ASEQ,0))),"")</f>
        <v/>
      </c>
      <c r="T223" s="162">
        <f>IFERROR(""&amp;INDEX(tk_LOCK,MATCH(217,tk_ASEQ,0)),"")</f>
        <v/>
      </c>
      <c r="U223" s="162">
        <f>IFERROR(INDEX(tk_ETYPE,MATCH(217,tk_ASEQ,0)),"")</f>
        <v/>
      </c>
      <c r="V223" s="162">
        <f>IFERROR(""&amp;INDEX(tk_CHECK,MATCH(217,tk_ASEQ,0)),"")</f>
        <v/>
      </c>
      <c r="W223" s="162">
        <f>IFERROR(TRIM(INDEX(tk_DNOTES,MATCH(217,tk_ASEQ,0))&amp;" "&amp;INDEX(tk_FNOTES,MATCH(217,tk_ASEQ,0))),"")</f>
        <v/>
      </c>
    </row>
    <row r="224">
      <c r="A224" s="161">
        <f>IFERROR(""&amp;INDEX(tk_MARK,MATCH(218,tk_ASEQ,0)),"")</f>
        <v/>
      </c>
      <c r="B224" s="162">
        <f>IFERROR(""&amp;INDEX(tk_ROOMF,MATCH(218,tk_ASEQ,0)),"")</f>
        <v/>
      </c>
      <c r="C224" s="162">
        <f>IFERROR(""&amp;INDEX(tk_ROOMT,MATCH(218,tk_ASEQ,0)),"")</f>
        <v/>
      </c>
      <c r="D224" s="162">
        <f>IFERROR(INDEX(tk_QTY,MATCH(218,tk_ASEQ,0)),"")</f>
        <v/>
      </c>
      <c r="E224" s="162">
        <f>IFERROR(""&amp;INDEX(tk_SIZE,MATCH(218,tk_ASEQ,0)),"")</f>
        <v/>
      </c>
      <c r="F224" s="162">
        <f>IFERROR(""&amp;INDEX(tk_PAIR,MATCH(218,tk_ASEQ,0)),"")</f>
        <v/>
      </c>
      <c r="G224" s="162">
        <f>IFERROR(""&amp;INDEX(tk_DMAT,MATCH(218,tk_ASEQ,0)),"")</f>
        <v/>
      </c>
      <c r="H224" s="162">
        <f>IFERROR(""&amp;INDEX(tk_DGA,MATCH(218,tk_ASEQ,0)),"")</f>
        <v/>
      </c>
      <c r="I224" s="162">
        <f>IFERROR(""&amp;INDEX(tk_FACE,MATCH(218,tk_ASEQ,0)),"")</f>
        <v/>
      </c>
      <c r="J224" s="162">
        <f>IFERROR(IF(INDEX(tk_DHAND,MATCH(218,tk_ASEQ,0))="",""&amp;INDEX(tk_HAND,MATCH(218,tk_ASEQ,0)),""&amp;INDEX(tk_DHAND,MATCH(218,tk_ASEQ,0))),"")</f>
        <v/>
      </c>
      <c r="K224" s="162">
        <f>IFERROR(""&amp;INDEX(tk_FDESC,MATCH(218,tk_ASEQ,0)),"")</f>
        <v/>
      </c>
      <c r="L224" s="162">
        <f>IFERROR(INDEX(tk_STEEL,MATCH(218,tk_ASEQ,0))&amp;IF(INDEX(tk_FGA,MATCH(218,tk_ASEQ,0))="",""," "&amp;INDEX(tk_FGA,MATCH(218,tk_ASEQ,0))&amp;"GA"),"")</f>
        <v/>
      </c>
      <c r="M224" s="162">
        <f>IFERROR(IFERROR(VLOOKUP(INDEX(tk_JAMB,MATCH(218,tk_ASEQ,0)),CODES,2,FALSE),""&amp;INDEX(tk_JAMB,MATCH(218,tk_ASEQ,0))),"")</f>
        <v/>
      </c>
      <c r="N224" s="162">
        <f>IFERROR(""&amp;INDEX(tk_CONSTR,MATCH(218,tk_ASEQ,0)),"")</f>
        <v/>
      </c>
      <c r="O224" s="162">
        <f>IFERROR(""&amp;INDEX(tk_ANCHOR,MATCH(218,tk_ASEQ,0)),"")</f>
        <v/>
      </c>
      <c r="P224" s="162">
        <f>IFERROR(""&amp;INDEX(tk_RATING,MATCH(218,tk_ASEQ,0)),"")</f>
        <v/>
      </c>
      <c r="Q224" s="162">
        <f>IFERROR(""&amp;INDEX(tk_LABEL,MATCH(218,tk_ASEQ,0)),"")</f>
        <v/>
      </c>
      <c r="R224" s="162">
        <f>IFERROR(""&amp;INDEX(tk_HWSET,MATCH(218,tk_ASEQ,0)),"")</f>
        <v/>
      </c>
      <c r="S224" s="162">
        <f>IFERROR(IF(""&amp;INDEX(tk_HINGES,MATCH(218,tk_ASEQ,0))="","",INDEX(tk_HINGES,MATCH(218,tk_ASEQ,0))&amp;" · "&amp;INDEX(tk_LSRC,MATCH(218,tk_ASEQ,0))),"")</f>
        <v/>
      </c>
      <c r="T224" s="162">
        <f>IFERROR(""&amp;INDEX(tk_LOCK,MATCH(218,tk_ASEQ,0)),"")</f>
        <v/>
      </c>
      <c r="U224" s="162">
        <f>IFERROR(INDEX(tk_ETYPE,MATCH(218,tk_ASEQ,0)),"")</f>
        <v/>
      </c>
      <c r="V224" s="162">
        <f>IFERROR(""&amp;INDEX(tk_CHECK,MATCH(218,tk_ASEQ,0)),"")</f>
        <v/>
      </c>
      <c r="W224" s="162">
        <f>IFERROR(TRIM(INDEX(tk_DNOTES,MATCH(218,tk_ASEQ,0))&amp;" "&amp;INDEX(tk_FNOTES,MATCH(218,tk_ASEQ,0))),"")</f>
        <v/>
      </c>
    </row>
    <row r="225">
      <c r="A225" s="161">
        <f>IFERROR(""&amp;INDEX(tk_MARK,MATCH(219,tk_ASEQ,0)),"")</f>
        <v/>
      </c>
      <c r="B225" s="162">
        <f>IFERROR(""&amp;INDEX(tk_ROOMF,MATCH(219,tk_ASEQ,0)),"")</f>
        <v/>
      </c>
      <c r="C225" s="162">
        <f>IFERROR(""&amp;INDEX(tk_ROOMT,MATCH(219,tk_ASEQ,0)),"")</f>
        <v/>
      </c>
      <c r="D225" s="162">
        <f>IFERROR(INDEX(tk_QTY,MATCH(219,tk_ASEQ,0)),"")</f>
        <v/>
      </c>
      <c r="E225" s="162">
        <f>IFERROR(""&amp;INDEX(tk_SIZE,MATCH(219,tk_ASEQ,0)),"")</f>
        <v/>
      </c>
      <c r="F225" s="162">
        <f>IFERROR(""&amp;INDEX(tk_PAIR,MATCH(219,tk_ASEQ,0)),"")</f>
        <v/>
      </c>
      <c r="G225" s="162">
        <f>IFERROR(""&amp;INDEX(tk_DMAT,MATCH(219,tk_ASEQ,0)),"")</f>
        <v/>
      </c>
      <c r="H225" s="162">
        <f>IFERROR(""&amp;INDEX(tk_DGA,MATCH(219,tk_ASEQ,0)),"")</f>
        <v/>
      </c>
      <c r="I225" s="162">
        <f>IFERROR(""&amp;INDEX(tk_FACE,MATCH(219,tk_ASEQ,0)),"")</f>
        <v/>
      </c>
      <c r="J225" s="162">
        <f>IFERROR(IF(INDEX(tk_DHAND,MATCH(219,tk_ASEQ,0))="",""&amp;INDEX(tk_HAND,MATCH(219,tk_ASEQ,0)),""&amp;INDEX(tk_DHAND,MATCH(219,tk_ASEQ,0))),"")</f>
        <v/>
      </c>
      <c r="K225" s="162">
        <f>IFERROR(""&amp;INDEX(tk_FDESC,MATCH(219,tk_ASEQ,0)),"")</f>
        <v/>
      </c>
      <c r="L225" s="162">
        <f>IFERROR(INDEX(tk_STEEL,MATCH(219,tk_ASEQ,0))&amp;IF(INDEX(tk_FGA,MATCH(219,tk_ASEQ,0))="",""," "&amp;INDEX(tk_FGA,MATCH(219,tk_ASEQ,0))&amp;"GA"),"")</f>
        <v/>
      </c>
      <c r="M225" s="162">
        <f>IFERROR(IFERROR(VLOOKUP(INDEX(tk_JAMB,MATCH(219,tk_ASEQ,0)),CODES,2,FALSE),""&amp;INDEX(tk_JAMB,MATCH(219,tk_ASEQ,0))),"")</f>
        <v/>
      </c>
      <c r="N225" s="162">
        <f>IFERROR(""&amp;INDEX(tk_CONSTR,MATCH(219,tk_ASEQ,0)),"")</f>
        <v/>
      </c>
      <c r="O225" s="162">
        <f>IFERROR(""&amp;INDEX(tk_ANCHOR,MATCH(219,tk_ASEQ,0)),"")</f>
        <v/>
      </c>
      <c r="P225" s="162">
        <f>IFERROR(""&amp;INDEX(tk_RATING,MATCH(219,tk_ASEQ,0)),"")</f>
        <v/>
      </c>
      <c r="Q225" s="162">
        <f>IFERROR(""&amp;INDEX(tk_LABEL,MATCH(219,tk_ASEQ,0)),"")</f>
        <v/>
      </c>
      <c r="R225" s="162">
        <f>IFERROR(""&amp;INDEX(tk_HWSET,MATCH(219,tk_ASEQ,0)),"")</f>
        <v/>
      </c>
      <c r="S225" s="162">
        <f>IFERROR(IF(""&amp;INDEX(tk_HINGES,MATCH(219,tk_ASEQ,0))="","",INDEX(tk_HINGES,MATCH(219,tk_ASEQ,0))&amp;" · "&amp;INDEX(tk_LSRC,MATCH(219,tk_ASEQ,0))),"")</f>
        <v/>
      </c>
      <c r="T225" s="162">
        <f>IFERROR(""&amp;INDEX(tk_LOCK,MATCH(219,tk_ASEQ,0)),"")</f>
        <v/>
      </c>
      <c r="U225" s="162">
        <f>IFERROR(INDEX(tk_ETYPE,MATCH(219,tk_ASEQ,0)),"")</f>
        <v/>
      </c>
      <c r="V225" s="162">
        <f>IFERROR(""&amp;INDEX(tk_CHECK,MATCH(219,tk_ASEQ,0)),"")</f>
        <v/>
      </c>
      <c r="W225" s="162">
        <f>IFERROR(TRIM(INDEX(tk_DNOTES,MATCH(219,tk_ASEQ,0))&amp;" "&amp;INDEX(tk_FNOTES,MATCH(219,tk_ASEQ,0))),"")</f>
        <v/>
      </c>
    </row>
    <row r="226">
      <c r="A226" s="161">
        <f>IFERROR(""&amp;INDEX(tk_MARK,MATCH(220,tk_ASEQ,0)),"")</f>
        <v/>
      </c>
      <c r="B226" s="162">
        <f>IFERROR(""&amp;INDEX(tk_ROOMF,MATCH(220,tk_ASEQ,0)),"")</f>
        <v/>
      </c>
      <c r="C226" s="162">
        <f>IFERROR(""&amp;INDEX(tk_ROOMT,MATCH(220,tk_ASEQ,0)),"")</f>
        <v/>
      </c>
      <c r="D226" s="162">
        <f>IFERROR(INDEX(tk_QTY,MATCH(220,tk_ASEQ,0)),"")</f>
        <v/>
      </c>
      <c r="E226" s="162">
        <f>IFERROR(""&amp;INDEX(tk_SIZE,MATCH(220,tk_ASEQ,0)),"")</f>
        <v/>
      </c>
      <c r="F226" s="162">
        <f>IFERROR(""&amp;INDEX(tk_PAIR,MATCH(220,tk_ASEQ,0)),"")</f>
        <v/>
      </c>
      <c r="G226" s="162">
        <f>IFERROR(""&amp;INDEX(tk_DMAT,MATCH(220,tk_ASEQ,0)),"")</f>
        <v/>
      </c>
      <c r="H226" s="162">
        <f>IFERROR(""&amp;INDEX(tk_DGA,MATCH(220,tk_ASEQ,0)),"")</f>
        <v/>
      </c>
      <c r="I226" s="162">
        <f>IFERROR(""&amp;INDEX(tk_FACE,MATCH(220,tk_ASEQ,0)),"")</f>
        <v/>
      </c>
      <c r="J226" s="162">
        <f>IFERROR(IF(INDEX(tk_DHAND,MATCH(220,tk_ASEQ,0))="",""&amp;INDEX(tk_HAND,MATCH(220,tk_ASEQ,0)),""&amp;INDEX(tk_DHAND,MATCH(220,tk_ASEQ,0))),"")</f>
        <v/>
      </c>
      <c r="K226" s="162">
        <f>IFERROR(""&amp;INDEX(tk_FDESC,MATCH(220,tk_ASEQ,0)),"")</f>
        <v/>
      </c>
      <c r="L226" s="162">
        <f>IFERROR(INDEX(tk_STEEL,MATCH(220,tk_ASEQ,0))&amp;IF(INDEX(tk_FGA,MATCH(220,tk_ASEQ,0))="",""," "&amp;INDEX(tk_FGA,MATCH(220,tk_ASEQ,0))&amp;"GA"),"")</f>
        <v/>
      </c>
      <c r="M226" s="162">
        <f>IFERROR(IFERROR(VLOOKUP(INDEX(tk_JAMB,MATCH(220,tk_ASEQ,0)),CODES,2,FALSE),""&amp;INDEX(tk_JAMB,MATCH(220,tk_ASEQ,0))),"")</f>
        <v/>
      </c>
      <c r="N226" s="162">
        <f>IFERROR(""&amp;INDEX(tk_CONSTR,MATCH(220,tk_ASEQ,0)),"")</f>
        <v/>
      </c>
      <c r="O226" s="162">
        <f>IFERROR(""&amp;INDEX(tk_ANCHOR,MATCH(220,tk_ASEQ,0)),"")</f>
        <v/>
      </c>
      <c r="P226" s="162">
        <f>IFERROR(""&amp;INDEX(tk_RATING,MATCH(220,tk_ASEQ,0)),"")</f>
        <v/>
      </c>
      <c r="Q226" s="162">
        <f>IFERROR(""&amp;INDEX(tk_LABEL,MATCH(220,tk_ASEQ,0)),"")</f>
        <v/>
      </c>
      <c r="R226" s="162">
        <f>IFERROR(""&amp;INDEX(tk_HWSET,MATCH(220,tk_ASEQ,0)),"")</f>
        <v/>
      </c>
      <c r="S226" s="162">
        <f>IFERROR(IF(""&amp;INDEX(tk_HINGES,MATCH(220,tk_ASEQ,0))="","",INDEX(tk_HINGES,MATCH(220,tk_ASEQ,0))&amp;" · "&amp;INDEX(tk_LSRC,MATCH(220,tk_ASEQ,0))),"")</f>
        <v/>
      </c>
      <c r="T226" s="162">
        <f>IFERROR(""&amp;INDEX(tk_LOCK,MATCH(220,tk_ASEQ,0)),"")</f>
        <v/>
      </c>
      <c r="U226" s="162">
        <f>IFERROR(INDEX(tk_ETYPE,MATCH(220,tk_ASEQ,0)),"")</f>
        <v/>
      </c>
      <c r="V226" s="162">
        <f>IFERROR(""&amp;INDEX(tk_CHECK,MATCH(220,tk_ASEQ,0)),"")</f>
        <v/>
      </c>
      <c r="W226" s="162">
        <f>IFERROR(TRIM(INDEX(tk_DNOTES,MATCH(220,tk_ASEQ,0))&amp;" "&amp;INDEX(tk_FNOTES,MATCH(220,tk_ASEQ,0))),"")</f>
        <v/>
      </c>
    </row>
    <row r="227">
      <c r="A227" s="161">
        <f>IFERROR(""&amp;INDEX(tk_MARK,MATCH(221,tk_ASEQ,0)),"")</f>
        <v/>
      </c>
      <c r="B227" s="162">
        <f>IFERROR(""&amp;INDEX(tk_ROOMF,MATCH(221,tk_ASEQ,0)),"")</f>
        <v/>
      </c>
      <c r="C227" s="162">
        <f>IFERROR(""&amp;INDEX(tk_ROOMT,MATCH(221,tk_ASEQ,0)),"")</f>
        <v/>
      </c>
      <c r="D227" s="162">
        <f>IFERROR(INDEX(tk_QTY,MATCH(221,tk_ASEQ,0)),"")</f>
        <v/>
      </c>
      <c r="E227" s="162">
        <f>IFERROR(""&amp;INDEX(tk_SIZE,MATCH(221,tk_ASEQ,0)),"")</f>
        <v/>
      </c>
      <c r="F227" s="162">
        <f>IFERROR(""&amp;INDEX(tk_PAIR,MATCH(221,tk_ASEQ,0)),"")</f>
        <v/>
      </c>
      <c r="G227" s="162">
        <f>IFERROR(""&amp;INDEX(tk_DMAT,MATCH(221,tk_ASEQ,0)),"")</f>
        <v/>
      </c>
      <c r="H227" s="162">
        <f>IFERROR(""&amp;INDEX(tk_DGA,MATCH(221,tk_ASEQ,0)),"")</f>
        <v/>
      </c>
      <c r="I227" s="162">
        <f>IFERROR(""&amp;INDEX(tk_FACE,MATCH(221,tk_ASEQ,0)),"")</f>
        <v/>
      </c>
      <c r="J227" s="162">
        <f>IFERROR(IF(INDEX(tk_DHAND,MATCH(221,tk_ASEQ,0))="",""&amp;INDEX(tk_HAND,MATCH(221,tk_ASEQ,0)),""&amp;INDEX(tk_DHAND,MATCH(221,tk_ASEQ,0))),"")</f>
        <v/>
      </c>
      <c r="K227" s="162">
        <f>IFERROR(""&amp;INDEX(tk_FDESC,MATCH(221,tk_ASEQ,0)),"")</f>
        <v/>
      </c>
      <c r="L227" s="162">
        <f>IFERROR(INDEX(tk_STEEL,MATCH(221,tk_ASEQ,0))&amp;IF(INDEX(tk_FGA,MATCH(221,tk_ASEQ,0))="",""," "&amp;INDEX(tk_FGA,MATCH(221,tk_ASEQ,0))&amp;"GA"),"")</f>
        <v/>
      </c>
      <c r="M227" s="162">
        <f>IFERROR(IFERROR(VLOOKUP(INDEX(tk_JAMB,MATCH(221,tk_ASEQ,0)),CODES,2,FALSE),""&amp;INDEX(tk_JAMB,MATCH(221,tk_ASEQ,0))),"")</f>
        <v/>
      </c>
      <c r="N227" s="162">
        <f>IFERROR(""&amp;INDEX(tk_CONSTR,MATCH(221,tk_ASEQ,0)),"")</f>
        <v/>
      </c>
      <c r="O227" s="162">
        <f>IFERROR(""&amp;INDEX(tk_ANCHOR,MATCH(221,tk_ASEQ,0)),"")</f>
        <v/>
      </c>
      <c r="P227" s="162">
        <f>IFERROR(""&amp;INDEX(tk_RATING,MATCH(221,tk_ASEQ,0)),"")</f>
        <v/>
      </c>
      <c r="Q227" s="162">
        <f>IFERROR(""&amp;INDEX(tk_LABEL,MATCH(221,tk_ASEQ,0)),"")</f>
        <v/>
      </c>
      <c r="R227" s="162">
        <f>IFERROR(""&amp;INDEX(tk_HWSET,MATCH(221,tk_ASEQ,0)),"")</f>
        <v/>
      </c>
      <c r="S227" s="162">
        <f>IFERROR(IF(""&amp;INDEX(tk_HINGES,MATCH(221,tk_ASEQ,0))="","",INDEX(tk_HINGES,MATCH(221,tk_ASEQ,0))&amp;" · "&amp;INDEX(tk_LSRC,MATCH(221,tk_ASEQ,0))),"")</f>
        <v/>
      </c>
      <c r="T227" s="162">
        <f>IFERROR(""&amp;INDEX(tk_LOCK,MATCH(221,tk_ASEQ,0)),"")</f>
        <v/>
      </c>
      <c r="U227" s="162">
        <f>IFERROR(INDEX(tk_ETYPE,MATCH(221,tk_ASEQ,0)),"")</f>
        <v/>
      </c>
      <c r="V227" s="162">
        <f>IFERROR(""&amp;INDEX(tk_CHECK,MATCH(221,tk_ASEQ,0)),"")</f>
        <v/>
      </c>
      <c r="W227" s="162">
        <f>IFERROR(TRIM(INDEX(tk_DNOTES,MATCH(221,tk_ASEQ,0))&amp;" "&amp;INDEX(tk_FNOTES,MATCH(221,tk_ASEQ,0))),"")</f>
        <v/>
      </c>
    </row>
    <row r="228">
      <c r="A228" s="161">
        <f>IFERROR(""&amp;INDEX(tk_MARK,MATCH(222,tk_ASEQ,0)),"")</f>
        <v/>
      </c>
      <c r="B228" s="162">
        <f>IFERROR(""&amp;INDEX(tk_ROOMF,MATCH(222,tk_ASEQ,0)),"")</f>
        <v/>
      </c>
      <c r="C228" s="162">
        <f>IFERROR(""&amp;INDEX(tk_ROOMT,MATCH(222,tk_ASEQ,0)),"")</f>
        <v/>
      </c>
      <c r="D228" s="162">
        <f>IFERROR(INDEX(tk_QTY,MATCH(222,tk_ASEQ,0)),"")</f>
        <v/>
      </c>
      <c r="E228" s="162">
        <f>IFERROR(""&amp;INDEX(tk_SIZE,MATCH(222,tk_ASEQ,0)),"")</f>
        <v/>
      </c>
      <c r="F228" s="162">
        <f>IFERROR(""&amp;INDEX(tk_PAIR,MATCH(222,tk_ASEQ,0)),"")</f>
        <v/>
      </c>
      <c r="G228" s="162">
        <f>IFERROR(""&amp;INDEX(tk_DMAT,MATCH(222,tk_ASEQ,0)),"")</f>
        <v/>
      </c>
      <c r="H228" s="162">
        <f>IFERROR(""&amp;INDEX(tk_DGA,MATCH(222,tk_ASEQ,0)),"")</f>
        <v/>
      </c>
      <c r="I228" s="162">
        <f>IFERROR(""&amp;INDEX(tk_FACE,MATCH(222,tk_ASEQ,0)),"")</f>
        <v/>
      </c>
      <c r="J228" s="162">
        <f>IFERROR(IF(INDEX(tk_DHAND,MATCH(222,tk_ASEQ,0))="",""&amp;INDEX(tk_HAND,MATCH(222,tk_ASEQ,0)),""&amp;INDEX(tk_DHAND,MATCH(222,tk_ASEQ,0))),"")</f>
        <v/>
      </c>
      <c r="K228" s="162">
        <f>IFERROR(""&amp;INDEX(tk_FDESC,MATCH(222,tk_ASEQ,0)),"")</f>
        <v/>
      </c>
      <c r="L228" s="162">
        <f>IFERROR(INDEX(tk_STEEL,MATCH(222,tk_ASEQ,0))&amp;IF(INDEX(tk_FGA,MATCH(222,tk_ASEQ,0))="",""," "&amp;INDEX(tk_FGA,MATCH(222,tk_ASEQ,0))&amp;"GA"),"")</f>
        <v/>
      </c>
      <c r="M228" s="162">
        <f>IFERROR(IFERROR(VLOOKUP(INDEX(tk_JAMB,MATCH(222,tk_ASEQ,0)),CODES,2,FALSE),""&amp;INDEX(tk_JAMB,MATCH(222,tk_ASEQ,0))),"")</f>
        <v/>
      </c>
      <c r="N228" s="162">
        <f>IFERROR(""&amp;INDEX(tk_CONSTR,MATCH(222,tk_ASEQ,0)),"")</f>
        <v/>
      </c>
      <c r="O228" s="162">
        <f>IFERROR(""&amp;INDEX(tk_ANCHOR,MATCH(222,tk_ASEQ,0)),"")</f>
        <v/>
      </c>
      <c r="P228" s="162">
        <f>IFERROR(""&amp;INDEX(tk_RATING,MATCH(222,tk_ASEQ,0)),"")</f>
        <v/>
      </c>
      <c r="Q228" s="162">
        <f>IFERROR(""&amp;INDEX(tk_LABEL,MATCH(222,tk_ASEQ,0)),"")</f>
        <v/>
      </c>
      <c r="R228" s="162">
        <f>IFERROR(""&amp;INDEX(tk_HWSET,MATCH(222,tk_ASEQ,0)),"")</f>
        <v/>
      </c>
      <c r="S228" s="162">
        <f>IFERROR(IF(""&amp;INDEX(tk_HINGES,MATCH(222,tk_ASEQ,0))="","",INDEX(tk_HINGES,MATCH(222,tk_ASEQ,0))&amp;" · "&amp;INDEX(tk_LSRC,MATCH(222,tk_ASEQ,0))),"")</f>
        <v/>
      </c>
      <c r="T228" s="162">
        <f>IFERROR(""&amp;INDEX(tk_LOCK,MATCH(222,tk_ASEQ,0)),"")</f>
        <v/>
      </c>
      <c r="U228" s="162">
        <f>IFERROR(INDEX(tk_ETYPE,MATCH(222,tk_ASEQ,0)),"")</f>
        <v/>
      </c>
      <c r="V228" s="162">
        <f>IFERROR(""&amp;INDEX(tk_CHECK,MATCH(222,tk_ASEQ,0)),"")</f>
        <v/>
      </c>
      <c r="W228" s="162">
        <f>IFERROR(TRIM(INDEX(tk_DNOTES,MATCH(222,tk_ASEQ,0))&amp;" "&amp;INDEX(tk_FNOTES,MATCH(222,tk_ASEQ,0))),"")</f>
        <v/>
      </c>
    </row>
    <row r="229">
      <c r="A229" s="161">
        <f>IFERROR(""&amp;INDEX(tk_MARK,MATCH(223,tk_ASEQ,0)),"")</f>
        <v/>
      </c>
      <c r="B229" s="162">
        <f>IFERROR(""&amp;INDEX(tk_ROOMF,MATCH(223,tk_ASEQ,0)),"")</f>
        <v/>
      </c>
      <c r="C229" s="162">
        <f>IFERROR(""&amp;INDEX(tk_ROOMT,MATCH(223,tk_ASEQ,0)),"")</f>
        <v/>
      </c>
      <c r="D229" s="162">
        <f>IFERROR(INDEX(tk_QTY,MATCH(223,tk_ASEQ,0)),"")</f>
        <v/>
      </c>
      <c r="E229" s="162">
        <f>IFERROR(""&amp;INDEX(tk_SIZE,MATCH(223,tk_ASEQ,0)),"")</f>
        <v/>
      </c>
      <c r="F229" s="162">
        <f>IFERROR(""&amp;INDEX(tk_PAIR,MATCH(223,tk_ASEQ,0)),"")</f>
        <v/>
      </c>
      <c r="G229" s="162">
        <f>IFERROR(""&amp;INDEX(tk_DMAT,MATCH(223,tk_ASEQ,0)),"")</f>
        <v/>
      </c>
      <c r="H229" s="162">
        <f>IFERROR(""&amp;INDEX(tk_DGA,MATCH(223,tk_ASEQ,0)),"")</f>
        <v/>
      </c>
      <c r="I229" s="162">
        <f>IFERROR(""&amp;INDEX(tk_FACE,MATCH(223,tk_ASEQ,0)),"")</f>
        <v/>
      </c>
      <c r="J229" s="162">
        <f>IFERROR(IF(INDEX(tk_DHAND,MATCH(223,tk_ASEQ,0))="",""&amp;INDEX(tk_HAND,MATCH(223,tk_ASEQ,0)),""&amp;INDEX(tk_DHAND,MATCH(223,tk_ASEQ,0))),"")</f>
        <v/>
      </c>
      <c r="K229" s="162">
        <f>IFERROR(""&amp;INDEX(tk_FDESC,MATCH(223,tk_ASEQ,0)),"")</f>
        <v/>
      </c>
      <c r="L229" s="162">
        <f>IFERROR(INDEX(tk_STEEL,MATCH(223,tk_ASEQ,0))&amp;IF(INDEX(tk_FGA,MATCH(223,tk_ASEQ,0))="",""," "&amp;INDEX(tk_FGA,MATCH(223,tk_ASEQ,0))&amp;"GA"),"")</f>
        <v/>
      </c>
      <c r="M229" s="162">
        <f>IFERROR(IFERROR(VLOOKUP(INDEX(tk_JAMB,MATCH(223,tk_ASEQ,0)),CODES,2,FALSE),""&amp;INDEX(tk_JAMB,MATCH(223,tk_ASEQ,0))),"")</f>
        <v/>
      </c>
      <c r="N229" s="162">
        <f>IFERROR(""&amp;INDEX(tk_CONSTR,MATCH(223,tk_ASEQ,0)),"")</f>
        <v/>
      </c>
      <c r="O229" s="162">
        <f>IFERROR(""&amp;INDEX(tk_ANCHOR,MATCH(223,tk_ASEQ,0)),"")</f>
        <v/>
      </c>
      <c r="P229" s="162">
        <f>IFERROR(""&amp;INDEX(tk_RATING,MATCH(223,tk_ASEQ,0)),"")</f>
        <v/>
      </c>
      <c r="Q229" s="162">
        <f>IFERROR(""&amp;INDEX(tk_LABEL,MATCH(223,tk_ASEQ,0)),"")</f>
        <v/>
      </c>
      <c r="R229" s="162">
        <f>IFERROR(""&amp;INDEX(tk_HWSET,MATCH(223,tk_ASEQ,0)),"")</f>
        <v/>
      </c>
      <c r="S229" s="162">
        <f>IFERROR(IF(""&amp;INDEX(tk_HINGES,MATCH(223,tk_ASEQ,0))="","",INDEX(tk_HINGES,MATCH(223,tk_ASEQ,0))&amp;" · "&amp;INDEX(tk_LSRC,MATCH(223,tk_ASEQ,0))),"")</f>
        <v/>
      </c>
      <c r="T229" s="162">
        <f>IFERROR(""&amp;INDEX(tk_LOCK,MATCH(223,tk_ASEQ,0)),"")</f>
        <v/>
      </c>
      <c r="U229" s="162">
        <f>IFERROR(INDEX(tk_ETYPE,MATCH(223,tk_ASEQ,0)),"")</f>
        <v/>
      </c>
      <c r="V229" s="162">
        <f>IFERROR(""&amp;INDEX(tk_CHECK,MATCH(223,tk_ASEQ,0)),"")</f>
        <v/>
      </c>
      <c r="W229" s="162">
        <f>IFERROR(TRIM(INDEX(tk_DNOTES,MATCH(223,tk_ASEQ,0))&amp;" "&amp;INDEX(tk_FNOTES,MATCH(223,tk_ASEQ,0))),"")</f>
        <v/>
      </c>
    </row>
    <row r="230">
      <c r="A230" s="161">
        <f>IFERROR(""&amp;INDEX(tk_MARK,MATCH(224,tk_ASEQ,0)),"")</f>
        <v/>
      </c>
      <c r="B230" s="162">
        <f>IFERROR(""&amp;INDEX(tk_ROOMF,MATCH(224,tk_ASEQ,0)),"")</f>
        <v/>
      </c>
      <c r="C230" s="162">
        <f>IFERROR(""&amp;INDEX(tk_ROOMT,MATCH(224,tk_ASEQ,0)),"")</f>
        <v/>
      </c>
      <c r="D230" s="162">
        <f>IFERROR(INDEX(tk_QTY,MATCH(224,tk_ASEQ,0)),"")</f>
        <v/>
      </c>
      <c r="E230" s="162">
        <f>IFERROR(""&amp;INDEX(tk_SIZE,MATCH(224,tk_ASEQ,0)),"")</f>
        <v/>
      </c>
      <c r="F230" s="162">
        <f>IFERROR(""&amp;INDEX(tk_PAIR,MATCH(224,tk_ASEQ,0)),"")</f>
        <v/>
      </c>
      <c r="G230" s="162">
        <f>IFERROR(""&amp;INDEX(tk_DMAT,MATCH(224,tk_ASEQ,0)),"")</f>
        <v/>
      </c>
      <c r="H230" s="162">
        <f>IFERROR(""&amp;INDEX(tk_DGA,MATCH(224,tk_ASEQ,0)),"")</f>
        <v/>
      </c>
      <c r="I230" s="162">
        <f>IFERROR(""&amp;INDEX(tk_FACE,MATCH(224,tk_ASEQ,0)),"")</f>
        <v/>
      </c>
      <c r="J230" s="162">
        <f>IFERROR(IF(INDEX(tk_DHAND,MATCH(224,tk_ASEQ,0))="",""&amp;INDEX(tk_HAND,MATCH(224,tk_ASEQ,0)),""&amp;INDEX(tk_DHAND,MATCH(224,tk_ASEQ,0))),"")</f>
        <v/>
      </c>
      <c r="K230" s="162">
        <f>IFERROR(""&amp;INDEX(tk_FDESC,MATCH(224,tk_ASEQ,0)),"")</f>
        <v/>
      </c>
      <c r="L230" s="162">
        <f>IFERROR(INDEX(tk_STEEL,MATCH(224,tk_ASEQ,0))&amp;IF(INDEX(tk_FGA,MATCH(224,tk_ASEQ,0))="",""," "&amp;INDEX(tk_FGA,MATCH(224,tk_ASEQ,0))&amp;"GA"),"")</f>
        <v/>
      </c>
      <c r="M230" s="162">
        <f>IFERROR(IFERROR(VLOOKUP(INDEX(tk_JAMB,MATCH(224,tk_ASEQ,0)),CODES,2,FALSE),""&amp;INDEX(tk_JAMB,MATCH(224,tk_ASEQ,0))),"")</f>
        <v/>
      </c>
      <c r="N230" s="162">
        <f>IFERROR(""&amp;INDEX(tk_CONSTR,MATCH(224,tk_ASEQ,0)),"")</f>
        <v/>
      </c>
      <c r="O230" s="162">
        <f>IFERROR(""&amp;INDEX(tk_ANCHOR,MATCH(224,tk_ASEQ,0)),"")</f>
        <v/>
      </c>
      <c r="P230" s="162">
        <f>IFERROR(""&amp;INDEX(tk_RATING,MATCH(224,tk_ASEQ,0)),"")</f>
        <v/>
      </c>
      <c r="Q230" s="162">
        <f>IFERROR(""&amp;INDEX(tk_LABEL,MATCH(224,tk_ASEQ,0)),"")</f>
        <v/>
      </c>
      <c r="R230" s="162">
        <f>IFERROR(""&amp;INDEX(tk_HWSET,MATCH(224,tk_ASEQ,0)),"")</f>
        <v/>
      </c>
      <c r="S230" s="162">
        <f>IFERROR(IF(""&amp;INDEX(tk_HINGES,MATCH(224,tk_ASEQ,0))="","",INDEX(tk_HINGES,MATCH(224,tk_ASEQ,0))&amp;" · "&amp;INDEX(tk_LSRC,MATCH(224,tk_ASEQ,0))),"")</f>
        <v/>
      </c>
      <c r="T230" s="162">
        <f>IFERROR(""&amp;INDEX(tk_LOCK,MATCH(224,tk_ASEQ,0)),"")</f>
        <v/>
      </c>
      <c r="U230" s="162">
        <f>IFERROR(INDEX(tk_ETYPE,MATCH(224,tk_ASEQ,0)),"")</f>
        <v/>
      </c>
      <c r="V230" s="162">
        <f>IFERROR(""&amp;INDEX(tk_CHECK,MATCH(224,tk_ASEQ,0)),"")</f>
        <v/>
      </c>
      <c r="W230" s="162">
        <f>IFERROR(TRIM(INDEX(tk_DNOTES,MATCH(224,tk_ASEQ,0))&amp;" "&amp;INDEX(tk_FNOTES,MATCH(224,tk_ASEQ,0))),"")</f>
        <v/>
      </c>
    </row>
    <row r="231">
      <c r="A231" s="161">
        <f>IFERROR(""&amp;INDEX(tk_MARK,MATCH(225,tk_ASEQ,0)),"")</f>
        <v/>
      </c>
      <c r="B231" s="162">
        <f>IFERROR(""&amp;INDEX(tk_ROOMF,MATCH(225,tk_ASEQ,0)),"")</f>
        <v/>
      </c>
      <c r="C231" s="162">
        <f>IFERROR(""&amp;INDEX(tk_ROOMT,MATCH(225,tk_ASEQ,0)),"")</f>
        <v/>
      </c>
      <c r="D231" s="162">
        <f>IFERROR(INDEX(tk_QTY,MATCH(225,tk_ASEQ,0)),"")</f>
        <v/>
      </c>
      <c r="E231" s="162">
        <f>IFERROR(""&amp;INDEX(tk_SIZE,MATCH(225,tk_ASEQ,0)),"")</f>
        <v/>
      </c>
      <c r="F231" s="162">
        <f>IFERROR(""&amp;INDEX(tk_PAIR,MATCH(225,tk_ASEQ,0)),"")</f>
        <v/>
      </c>
      <c r="G231" s="162">
        <f>IFERROR(""&amp;INDEX(tk_DMAT,MATCH(225,tk_ASEQ,0)),"")</f>
        <v/>
      </c>
      <c r="H231" s="162">
        <f>IFERROR(""&amp;INDEX(tk_DGA,MATCH(225,tk_ASEQ,0)),"")</f>
        <v/>
      </c>
      <c r="I231" s="162">
        <f>IFERROR(""&amp;INDEX(tk_FACE,MATCH(225,tk_ASEQ,0)),"")</f>
        <v/>
      </c>
      <c r="J231" s="162">
        <f>IFERROR(IF(INDEX(tk_DHAND,MATCH(225,tk_ASEQ,0))="",""&amp;INDEX(tk_HAND,MATCH(225,tk_ASEQ,0)),""&amp;INDEX(tk_DHAND,MATCH(225,tk_ASEQ,0))),"")</f>
        <v/>
      </c>
      <c r="K231" s="162">
        <f>IFERROR(""&amp;INDEX(tk_FDESC,MATCH(225,tk_ASEQ,0)),"")</f>
        <v/>
      </c>
      <c r="L231" s="162">
        <f>IFERROR(INDEX(tk_STEEL,MATCH(225,tk_ASEQ,0))&amp;IF(INDEX(tk_FGA,MATCH(225,tk_ASEQ,0))="",""," "&amp;INDEX(tk_FGA,MATCH(225,tk_ASEQ,0))&amp;"GA"),"")</f>
        <v/>
      </c>
      <c r="M231" s="162">
        <f>IFERROR(IFERROR(VLOOKUP(INDEX(tk_JAMB,MATCH(225,tk_ASEQ,0)),CODES,2,FALSE),""&amp;INDEX(tk_JAMB,MATCH(225,tk_ASEQ,0))),"")</f>
        <v/>
      </c>
      <c r="N231" s="162">
        <f>IFERROR(""&amp;INDEX(tk_CONSTR,MATCH(225,tk_ASEQ,0)),"")</f>
        <v/>
      </c>
      <c r="O231" s="162">
        <f>IFERROR(""&amp;INDEX(tk_ANCHOR,MATCH(225,tk_ASEQ,0)),"")</f>
        <v/>
      </c>
      <c r="P231" s="162">
        <f>IFERROR(""&amp;INDEX(tk_RATING,MATCH(225,tk_ASEQ,0)),"")</f>
        <v/>
      </c>
      <c r="Q231" s="162">
        <f>IFERROR(""&amp;INDEX(tk_LABEL,MATCH(225,tk_ASEQ,0)),"")</f>
        <v/>
      </c>
      <c r="R231" s="162">
        <f>IFERROR(""&amp;INDEX(tk_HWSET,MATCH(225,tk_ASEQ,0)),"")</f>
        <v/>
      </c>
      <c r="S231" s="162">
        <f>IFERROR(IF(""&amp;INDEX(tk_HINGES,MATCH(225,tk_ASEQ,0))="","",INDEX(tk_HINGES,MATCH(225,tk_ASEQ,0))&amp;" · "&amp;INDEX(tk_LSRC,MATCH(225,tk_ASEQ,0))),"")</f>
        <v/>
      </c>
      <c r="T231" s="162">
        <f>IFERROR(""&amp;INDEX(tk_LOCK,MATCH(225,tk_ASEQ,0)),"")</f>
        <v/>
      </c>
      <c r="U231" s="162">
        <f>IFERROR(INDEX(tk_ETYPE,MATCH(225,tk_ASEQ,0)),"")</f>
        <v/>
      </c>
      <c r="V231" s="162">
        <f>IFERROR(""&amp;INDEX(tk_CHECK,MATCH(225,tk_ASEQ,0)),"")</f>
        <v/>
      </c>
      <c r="W231" s="162">
        <f>IFERROR(TRIM(INDEX(tk_DNOTES,MATCH(225,tk_ASEQ,0))&amp;" "&amp;INDEX(tk_FNOTES,MATCH(225,tk_ASEQ,0))),"")</f>
        <v/>
      </c>
    </row>
    <row r="232">
      <c r="A232" s="161">
        <f>IFERROR(""&amp;INDEX(tk_MARK,MATCH(226,tk_ASEQ,0)),"")</f>
        <v/>
      </c>
      <c r="B232" s="162">
        <f>IFERROR(""&amp;INDEX(tk_ROOMF,MATCH(226,tk_ASEQ,0)),"")</f>
        <v/>
      </c>
      <c r="C232" s="162">
        <f>IFERROR(""&amp;INDEX(tk_ROOMT,MATCH(226,tk_ASEQ,0)),"")</f>
        <v/>
      </c>
      <c r="D232" s="162">
        <f>IFERROR(INDEX(tk_QTY,MATCH(226,tk_ASEQ,0)),"")</f>
        <v/>
      </c>
      <c r="E232" s="162">
        <f>IFERROR(""&amp;INDEX(tk_SIZE,MATCH(226,tk_ASEQ,0)),"")</f>
        <v/>
      </c>
      <c r="F232" s="162">
        <f>IFERROR(""&amp;INDEX(tk_PAIR,MATCH(226,tk_ASEQ,0)),"")</f>
        <v/>
      </c>
      <c r="G232" s="162">
        <f>IFERROR(""&amp;INDEX(tk_DMAT,MATCH(226,tk_ASEQ,0)),"")</f>
        <v/>
      </c>
      <c r="H232" s="162">
        <f>IFERROR(""&amp;INDEX(tk_DGA,MATCH(226,tk_ASEQ,0)),"")</f>
        <v/>
      </c>
      <c r="I232" s="162">
        <f>IFERROR(""&amp;INDEX(tk_FACE,MATCH(226,tk_ASEQ,0)),"")</f>
        <v/>
      </c>
      <c r="J232" s="162">
        <f>IFERROR(IF(INDEX(tk_DHAND,MATCH(226,tk_ASEQ,0))="",""&amp;INDEX(tk_HAND,MATCH(226,tk_ASEQ,0)),""&amp;INDEX(tk_DHAND,MATCH(226,tk_ASEQ,0))),"")</f>
        <v/>
      </c>
      <c r="K232" s="162">
        <f>IFERROR(""&amp;INDEX(tk_FDESC,MATCH(226,tk_ASEQ,0)),"")</f>
        <v/>
      </c>
      <c r="L232" s="162">
        <f>IFERROR(INDEX(tk_STEEL,MATCH(226,tk_ASEQ,0))&amp;IF(INDEX(tk_FGA,MATCH(226,tk_ASEQ,0))="",""," "&amp;INDEX(tk_FGA,MATCH(226,tk_ASEQ,0))&amp;"GA"),"")</f>
        <v/>
      </c>
      <c r="M232" s="162">
        <f>IFERROR(IFERROR(VLOOKUP(INDEX(tk_JAMB,MATCH(226,tk_ASEQ,0)),CODES,2,FALSE),""&amp;INDEX(tk_JAMB,MATCH(226,tk_ASEQ,0))),"")</f>
        <v/>
      </c>
      <c r="N232" s="162">
        <f>IFERROR(""&amp;INDEX(tk_CONSTR,MATCH(226,tk_ASEQ,0)),"")</f>
        <v/>
      </c>
      <c r="O232" s="162">
        <f>IFERROR(""&amp;INDEX(tk_ANCHOR,MATCH(226,tk_ASEQ,0)),"")</f>
        <v/>
      </c>
      <c r="P232" s="162">
        <f>IFERROR(""&amp;INDEX(tk_RATING,MATCH(226,tk_ASEQ,0)),"")</f>
        <v/>
      </c>
      <c r="Q232" s="162">
        <f>IFERROR(""&amp;INDEX(tk_LABEL,MATCH(226,tk_ASEQ,0)),"")</f>
        <v/>
      </c>
      <c r="R232" s="162">
        <f>IFERROR(""&amp;INDEX(tk_HWSET,MATCH(226,tk_ASEQ,0)),"")</f>
        <v/>
      </c>
      <c r="S232" s="162">
        <f>IFERROR(IF(""&amp;INDEX(tk_HINGES,MATCH(226,tk_ASEQ,0))="","",INDEX(tk_HINGES,MATCH(226,tk_ASEQ,0))&amp;" · "&amp;INDEX(tk_LSRC,MATCH(226,tk_ASEQ,0))),"")</f>
        <v/>
      </c>
      <c r="T232" s="162">
        <f>IFERROR(""&amp;INDEX(tk_LOCK,MATCH(226,tk_ASEQ,0)),"")</f>
        <v/>
      </c>
      <c r="U232" s="162">
        <f>IFERROR(INDEX(tk_ETYPE,MATCH(226,tk_ASEQ,0)),"")</f>
        <v/>
      </c>
      <c r="V232" s="162">
        <f>IFERROR(""&amp;INDEX(tk_CHECK,MATCH(226,tk_ASEQ,0)),"")</f>
        <v/>
      </c>
      <c r="W232" s="162">
        <f>IFERROR(TRIM(INDEX(tk_DNOTES,MATCH(226,tk_ASEQ,0))&amp;" "&amp;INDEX(tk_FNOTES,MATCH(226,tk_ASEQ,0))),"")</f>
        <v/>
      </c>
    </row>
    <row r="233">
      <c r="A233" s="161">
        <f>IFERROR(""&amp;INDEX(tk_MARK,MATCH(227,tk_ASEQ,0)),"")</f>
        <v/>
      </c>
      <c r="B233" s="162">
        <f>IFERROR(""&amp;INDEX(tk_ROOMF,MATCH(227,tk_ASEQ,0)),"")</f>
        <v/>
      </c>
      <c r="C233" s="162">
        <f>IFERROR(""&amp;INDEX(tk_ROOMT,MATCH(227,tk_ASEQ,0)),"")</f>
        <v/>
      </c>
      <c r="D233" s="162">
        <f>IFERROR(INDEX(tk_QTY,MATCH(227,tk_ASEQ,0)),"")</f>
        <v/>
      </c>
      <c r="E233" s="162">
        <f>IFERROR(""&amp;INDEX(tk_SIZE,MATCH(227,tk_ASEQ,0)),"")</f>
        <v/>
      </c>
      <c r="F233" s="162">
        <f>IFERROR(""&amp;INDEX(tk_PAIR,MATCH(227,tk_ASEQ,0)),"")</f>
        <v/>
      </c>
      <c r="G233" s="162">
        <f>IFERROR(""&amp;INDEX(tk_DMAT,MATCH(227,tk_ASEQ,0)),"")</f>
        <v/>
      </c>
      <c r="H233" s="162">
        <f>IFERROR(""&amp;INDEX(tk_DGA,MATCH(227,tk_ASEQ,0)),"")</f>
        <v/>
      </c>
      <c r="I233" s="162">
        <f>IFERROR(""&amp;INDEX(tk_FACE,MATCH(227,tk_ASEQ,0)),"")</f>
        <v/>
      </c>
      <c r="J233" s="162">
        <f>IFERROR(IF(INDEX(tk_DHAND,MATCH(227,tk_ASEQ,0))="",""&amp;INDEX(tk_HAND,MATCH(227,tk_ASEQ,0)),""&amp;INDEX(tk_DHAND,MATCH(227,tk_ASEQ,0))),"")</f>
        <v/>
      </c>
      <c r="K233" s="162">
        <f>IFERROR(""&amp;INDEX(tk_FDESC,MATCH(227,tk_ASEQ,0)),"")</f>
        <v/>
      </c>
      <c r="L233" s="162">
        <f>IFERROR(INDEX(tk_STEEL,MATCH(227,tk_ASEQ,0))&amp;IF(INDEX(tk_FGA,MATCH(227,tk_ASEQ,0))="",""," "&amp;INDEX(tk_FGA,MATCH(227,tk_ASEQ,0))&amp;"GA"),"")</f>
        <v/>
      </c>
      <c r="M233" s="162">
        <f>IFERROR(IFERROR(VLOOKUP(INDEX(tk_JAMB,MATCH(227,tk_ASEQ,0)),CODES,2,FALSE),""&amp;INDEX(tk_JAMB,MATCH(227,tk_ASEQ,0))),"")</f>
        <v/>
      </c>
      <c r="N233" s="162">
        <f>IFERROR(""&amp;INDEX(tk_CONSTR,MATCH(227,tk_ASEQ,0)),"")</f>
        <v/>
      </c>
      <c r="O233" s="162">
        <f>IFERROR(""&amp;INDEX(tk_ANCHOR,MATCH(227,tk_ASEQ,0)),"")</f>
        <v/>
      </c>
      <c r="P233" s="162">
        <f>IFERROR(""&amp;INDEX(tk_RATING,MATCH(227,tk_ASEQ,0)),"")</f>
        <v/>
      </c>
      <c r="Q233" s="162">
        <f>IFERROR(""&amp;INDEX(tk_LABEL,MATCH(227,tk_ASEQ,0)),"")</f>
        <v/>
      </c>
      <c r="R233" s="162">
        <f>IFERROR(""&amp;INDEX(tk_HWSET,MATCH(227,tk_ASEQ,0)),"")</f>
        <v/>
      </c>
      <c r="S233" s="162">
        <f>IFERROR(IF(""&amp;INDEX(tk_HINGES,MATCH(227,tk_ASEQ,0))="","",INDEX(tk_HINGES,MATCH(227,tk_ASEQ,0))&amp;" · "&amp;INDEX(tk_LSRC,MATCH(227,tk_ASEQ,0))),"")</f>
        <v/>
      </c>
      <c r="T233" s="162">
        <f>IFERROR(""&amp;INDEX(tk_LOCK,MATCH(227,tk_ASEQ,0)),"")</f>
        <v/>
      </c>
      <c r="U233" s="162">
        <f>IFERROR(INDEX(tk_ETYPE,MATCH(227,tk_ASEQ,0)),"")</f>
        <v/>
      </c>
      <c r="V233" s="162">
        <f>IFERROR(""&amp;INDEX(tk_CHECK,MATCH(227,tk_ASEQ,0)),"")</f>
        <v/>
      </c>
      <c r="W233" s="162">
        <f>IFERROR(TRIM(INDEX(tk_DNOTES,MATCH(227,tk_ASEQ,0))&amp;" "&amp;INDEX(tk_FNOTES,MATCH(227,tk_ASEQ,0))),"")</f>
        <v/>
      </c>
    </row>
    <row r="234">
      <c r="A234" s="161">
        <f>IFERROR(""&amp;INDEX(tk_MARK,MATCH(228,tk_ASEQ,0)),"")</f>
        <v/>
      </c>
      <c r="B234" s="162">
        <f>IFERROR(""&amp;INDEX(tk_ROOMF,MATCH(228,tk_ASEQ,0)),"")</f>
        <v/>
      </c>
      <c r="C234" s="162">
        <f>IFERROR(""&amp;INDEX(tk_ROOMT,MATCH(228,tk_ASEQ,0)),"")</f>
        <v/>
      </c>
      <c r="D234" s="162">
        <f>IFERROR(INDEX(tk_QTY,MATCH(228,tk_ASEQ,0)),"")</f>
        <v/>
      </c>
      <c r="E234" s="162">
        <f>IFERROR(""&amp;INDEX(tk_SIZE,MATCH(228,tk_ASEQ,0)),"")</f>
        <v/>
      </c>
      <c r="F234" s="162">
        <f>IFERROR(""&amp;INDEX(tk_PAIR,MATCH(228,tk_ASEQ,0)),"")</f>
        <v/>
      </c>
      <c r="G234" s="162">
        <f>IFERROR(""&amp;INDEX(tk_DMAT,MATCH(228,tk_ASEQ,0)),"")</f>
        <v/>
      </c>
      <c r="H234" s="162">
        <f>IFERROR(""&amp;INDEX(tk_DGA,MATCH(228,tk_ASEQ,0)),"")</f>
        <v/>
      </c>
      <c r="I234" s="162">
        <f>IFERROR(""&amp;INDEX(tk_FACE,MATCH(228,tk_ASEQ,0)),"")</f>
        <v/>
      </c>
      <c r="J234" s="162">
        <f>IFERROR(IF(INDEX(tk_DHAND,MATCH(228,tk_ASEQ,0))="",""&amp;INDEX(tk_HAND,MATCH(228,tk_ASEQ,0)),""&amp;INDEX(tk_DHAND,MATCH(228,tk_ASEQ,0))),"")</f>
        <v/>
      </c>
      <c r="K234" s="162">
        <f>IFERROR(""&amp;INDEX(tk_FDESC,MATCH(228,tk_ASEQ,0)),"")</f>
        <v/>
      </c>
      <c r="L234" s="162">
        <f>IFERROR(INDEX(tk_STEEL,MATCH(228,tk_ASEQ,0))&amp;IF(INDEX(tk_FGA,MATCH(228,tk_ASEQ,0))="",""," "&amp;INDEX(tk_FGA,MATCH(228,tk_ASEQ,0))&amp;"GA"),"")</f>
        <v/>
      </c>
      <c r="M234" s="162">
        <f>IFERROR(IFERROR(VLOOKUP(INDEX(tk_JAMB,MATCH(228,tk_ASEQ,0)),CODES,2,FALSE),""&amp;INDEX(tk_JAMB,MATCH(228,tk_ASEQ,0))),"")</f>
        <v/>
      </c>
      <c r="N234" s="162">
        <f>IFERROR(""&amp;INDEX(tk_CONSTR,MATCH(228,tk_ASEQ,0)),"")</f>
        <v/>
      </c>
      <c r="O234" s="162">
        <f>IFERROR(""&amp;INDEX(tk_ANCHOR,MATCH(228,tk_ASEQ,0)),"")</f>
        <v/>
      </c>
      <c r="P234" s="162">
        <f>IFERROR(""&amp;INDEX(tk_RATING,MATCH(228,tk_ASEQ,0)),"")</f>
        <v/>
      </c>
      <c r="Q234" s="162">
        <f>IFERROR(""&amp;INDEX(tk_LABEL,MATCH(228,tk_ASEQ,0)),"")</f>
        <v/>
      </c>
      <c r="R234" s="162">
        <f>IFERROR(""&amp;INDEX(tk_HWSET,MATCH(228,tk_ASEQ,0)),"")</f>
        <v/>
      </c>
      <c r="S234" s="162">
        <f>IFERROR(IF(""&amp;INDEX(tk_HINGES,MATCH(228,tk_ASEQ,0))="","",INDEX(tk_HINGES,MATCH(228,tk_ASEQ,0))&amp;" · "&amp;INDEX(tk_LSRC,MATCH(228,tk_ASEQ,0))),"")</f>
        <v/>
      </c>
      <c r="T234" s="162">
        <f>IFERROR(""&amp;INDEX(tk_LOCK,MATCH(228,tk_ASEQ,0)),"")</f>
        <v/>
      </c>
      <c r="U234" s="162">
        <f>IFERROR(INDEX(tk_ETYPE,MATCH(228,tk_ASEQ,0)),"")</f>
        <v/>
      </c>
      <c r="V234" s="162">
        <f>IFERROR(""&amp;INDEX(tk_CHECK,MATCH(228,tk_ASEQ,0)),"")</f>
        <v/>
      </c>
      <c r="W234" s="162">
        <f>IFERROR(TRIM(INDEX(tk_DNOTES,MATCH(228,tk_ASEQ,0))&amp;" "&amp;INDEX(tk_FNOTES,MATCH(228,tk_ASEQ,0))),"")</f>
        <v/>
      </c>
    </row>
    <row r="235">
      <c r="A235" s="161">
        <f>IFERROR(""&amp;INDEX(tk_MARK,MATCH(229,tk_ASEQ,0)),"")</f>
        <v/>
      </c>
      <c r="B235" s="162">
        <f>IFERROR(""&amp;INDEX(tk_ROOMF,MATCH(229,tk_ASEQ,0)),"")</f>
        <v/>
      </c>
      <c r="C235" s="162">
        <f>IFERROR(""&amp;INDEX(tk_ROOMT,MATCH(229,tk_ASEQ,0)),"")</f>
        <v/>
      </c>
      <c r="D235" s="162">
        <f>IFERROR(INDEX(tk_QTY,MATCH(229,tk_ASEQ,0)),"")</f>
        <v/>
      </c>
      <c r="E235" s="162">
        <f>IFERROR(""&amp;INDEX(tk_SIZE,MATCH(229,tk_ASEQ,0)),"")</f>
        <v/>
      </c>
      <c r="F235" s="162">
        <f>IFERROR(""&amp;INDEX(tk_PAIR,MATCH(229,tk_ASEQ,0)),"")</f>
        <v/>
      </c>
      <c r="G235" s="162">
        <f>IFERROR(""&amp;INDEX(tk_DMAT,MATCH(229,tk_ASEQ,0)),"")</f>
        <v/>
      </c>
      <c r="H235" s="162">
        <f>IFERROR(""&amp;INDEX(tk_DGA,MATCH(229,tk_ASEQ,0)),"")</f>
        <v/>
      </c>
      <c r="I235" s="162">
        <f>IFERROR(""&amp;INDEX(tk_FACE,MATCH(229,tk_ASEQ,0)),"")</f>
        <v/>
      </c>
      <c r="J235" s="162">
        <f>IFERROR(IF(INDEX(tk_DHAND,MATCH(229,tk_ASEQ,0))="",""&amp;INDEX(tk_HAND,MATCH(229,tk_ASEQ,0)),""&amp;INDEX(tk_DHAND,MATCH(229,tk_ASEQ,0))),"")</f>
        <v/>
      </c>
      <c r="K235" s="162">
        <f>IFERROR(""&amp;INDEX(tk_FDESC,MATCH(229,tk_ASEQ,0)),"")</f>
        <v/>
      </c>
      <c r="L235" s="162">
        <f>IFERROR(INDEX(tk_STEEL,MATCH(229,tk_ASEQ,0))&amp;IF(INDEX(tk_FGA,MATCH(229,tk_ASEQ,0))="",""," "&amp;INDEX(tk_FGA,MATCH(229,tk_ASEQ,0))&amp;"GA"),"")</f>
        <v/>
      </c>
      <c r="M235" s="162">
        <f>IFERROR(IFERROR(VLOOKUP(INDEX(tk_JAMB,MATCH(229,tk_ASEQ,0)),CODES,2,FALSE),""&amp;INDEX(tk_JAMB,MATCH(229,tk_ASEQ,0))),"")</f>
        <v/>
      </c>
      <c r="N235" s="162">
        <f>IFERROR(""&amp;INDEX(tk_CONSTR,MATCH(229,tk_ASEQ,0)),"")</f>
        <v/>
      </c>
      <c r="O235" s="162">
        <f>IFERROR(""&amp;INDEX(tk_ANCHOR,MATCH(229,tk_ASEQ,0)),"")</f>
        <v/>
      </c>
      <c r="P235" s="162">
        <f>IFERROR(""&amp;INDEX(tk_RATING,MATCH(229,tk_ASEQ,0)),"")</f>
        <v/>
      </c>
      <c r="Q235" s="162">
        <f>IFERROR(""&amp;INDEX(tk_LABEL,MATCH(229,tk_ASEQ,0)),"")</f>
        <v/>
      </c>
      <c r="R235" s="162">
        <f>IFERROR(""&amp;INDEX(tk_HWSET,MATCH(229,tk_ASEQ,0)),"")</f>
        <v/>
      </c>
      <c r="S235" s="162">
        <f>IFERROR(IF(""&amp;INDEX(tk_HINGES,MATCH(229,tk_ASEQ,0))="","",INDEX(tk_HINGES,MATCH(229,tk_ASEQ,0))&amp;" · "&amp;INDEX(tk_LSRC,MATCH(229,tk_ASEQ,0))),"")</f>
        <v/>
      </c>
      <c r="T235" s="162">
        <f>IFERROR(""&amp;INDEX(tk_LOCK,MATCH(229,tk_ASEQ,0)),"")</f>
        <v/>
      </c>
      <c r="U235" s="162">
        <f>IFERROR(INDEX(tk_ETYPE,MATCH(229,tk_ASEQ,0)),"")</f>
        <v/>
      </c>
      <c r="V235" s="162">
        <f>IFERROR(""&amp;INDEX(tk_CHECK,MATCH(229,tk_ASEQ,0)),"")</f>
        <v/>
      </c>
      <c r="W235" s="162">
        <f>IFERROR(TRIM(INDEX(tk_DNOTES,MATCH(229,tk_ASEQ,0))&amp;" "&amp;INDEX(tk_FNOTES,MATCH(229,tk_ASEQ,0))),"")</f>
        <v/>
      </c>
    </row>
    <row r="236">
      <c r="A236" s="161">
        <f>IFERROR(""&amp;INDEX(tk_MARK,MATCH(230,tk_ASEQ,0)),"")</f>
        <v/>
      </c>
      <c r="B236" s="162">
        <f>IFERROR(""&amp;INDEX(tk_ROOMF,MATCH(230,tk_ASEQ,0)),"")</f>
        <v/>
      </c>
      <c r="C236" s="162">
        <f>IFERROR(""&amp;INDEX(tk_ROOMT,MATCH(230,tk_ASEQ,0)),"")</f>
        <v/>
      </c>
      <c r="D236" s="162">
        <f>IFERROR(INDEX(tk_QTY,MATCH(230,tk_ASEQ,0)),"")</f>
        <v/>
      </c>
      <c r="E236" s="162">
        <f>IFERROR(""&amp;INDEX(tk_SIZE,MATCH(230,tk_ASEQ,0)),"")</f>
        <v/>
      </c>
      <c r="F236" s="162">
        <f>IFERROR(""&amp;INDEX(tk_PAIR,MATCH(230,tk_ASEQ,0)),"")</f>
        <v/>
      </c>
      <c r="G236" s="162">
        <f>IFERROR(""&amp;INDEX(tk_DMAT,MATCH(230,tk_ASEQ,0)),"")</f>
        <v/>
      </c>
      <c r="H236" s="162">
        <f>IFERROR(""&amp;INDEX(tk_DGA,MATCH(230,tk_ASEQ,0)),"")</f>
        <v/>
      </c>
      <c r="I236" s="162">
        <f>IFERROR(""&amp;INDEX(tk_FACE,MATCH(230,tk_ASEQ,0)),"")</f>
        <v/>
      </c>
      <c r="J236" s="162">
        <f>IFERROR(IF(INDEX(tk_DHAND,MATCH(230,tk_ASEQ,0))="",""&amp;INDEX(tk_HAND,MATCH(230,tk_ASEQ,0)),""&amp;INDEX(tk_DHAND,MATCH(230,tk_ASEQ,0))),"")</f>
        <v/>
      </c>
      <c r="K236" s="162">
        <f>IFERROR(""&amp;INDEX(tk_FDESC,MATCH(230,tk_ASEQ,0)),"")</f>
        <v/>
      </c>
      <c r="L236" s="162">
        <f>IFERROR(INDEX(tk_STEEL,MATCH(230,tk_ASEQ,0))&amp;IF(INDEX(tk_FGA,MATCH(230,tk_ASEQ,0))="",""," "&amp;INDEX(tk_FGA,MATCH(230,tk_ASEQ,0))&amp;"GA"),"")</f>
        <v/>
      </c>
      <c r="M236" s="162">
        <f>IFERROR(IFERROR(VLOOKUP(INDEX(tk_JAMB,MATCH(230,tk_ASEQ,0)),CODES,2,FALSE),""&amp;INDEX(tk_JAMB,MATCH(230,tk_ASEQ,0))),"")</f>
        <v/>
      </c>
      <c r="N236" s="162">
        <f>IFERROR(""&amp;INDEX(tk_CONSTR,MATCH(230,tk_ASEQ,0)),"")</f>
        <v/>
      </c>
      <c r="O236" s="162">
        <f>IFERROR(""&amp;INDEX(tk_ANCHOR,MATCH(230,tk_ASEQ,0)),"")</f>
        <v/>
      </c>
      <c r="P236" s="162">
        <f>IFERROR(""&amp;INDEX(tk_RATING,MATCH(230,tk_ASEQ,0)),"")</f>
        <v/>
      </c>
      <c r="Q236" s="162">
        <f>IFERROR(""&amp;INDEX(tk_LABEL,MATCH(230,tk_ASEQ,0)),"")</f>
        <v/>
      </c>
      <c r="R236" s="162">
        <f>IFERROR(""&amp;INDEX(tk_HWSET,MATCH(230,tk_ASEQ,0)),"")</f>
        <v/>
      </c>
      <c r="S236" s="162">
        <f>IFERROR(IF(""&amp;INDEX(tk_HINGES,MATCH(230,tk_ASEQ,0))="","",INDEX(tk_HINGES,MATCH(230,tk_ASEQ,0))&amp;" · "&amp;INDEX(tk_LSRC,MATCH(230,tk_ASEQ,0))),"")</f>
        <v/>
      </c>
      <c r="T236" s="162">
        <f>IFERROR(""&amp;INDEX(tk_LOCK,MATCH(230,tk_ASEQ,0)),"")</f>
        <v/>
      </c>
      <c r="U236" s="162">
        <f>IFERROR(INDEX(tk_ETYPE,MATCH(230,tk_ASEQ,0)),"")</f>
        <v/>
      </c>
      <c r="V236" s="162">
        <f>IFERROR(""&amp;INDEX(tk_CHECK,MATCH(230,tk_ASEQ,0)),"")</f>
        <v/>
      </c>
      <c r="W236" s="162">
        <f>IFERROR(TRIM(INDEX(tk_DNOTES,MATCH(230,tk_ASEQ,0))&amp;" "&amp;INDEX(tk_FNOTES,MATCH(230,tk_ASEQ,0))),"")</f>
        <v/>
      </c>
    </row>
    <row r="237">
      <c r="A237" s="161">
        <f>IFERROR(""&amp;INDEX(tk_MARK,MATCH(231,tk_ASEQ,0)),"")</f>
        <v/>
      </c>
      <c r="B237" s="162">
        <f>IFERROR(""&amp;INDEX(tk_ROOMF,MATCH(231,tk_ASEQ,0)),"")</f>
        <v/>
      </c>
      <c r="C237" s="162">
        <f>IFERROR(""&amp;INDEX(tk_ROOMT,MATCH(231,tk_ASEQ,0)),"")</f>
        <v/>
      </c>
      <c r="D237" s="162">
        <f>IFERROR(INDEX(tk_QTY,MATCH(231,tk_ASEQ,0)),"")</f>
        <v/>
      </c>
      <c r="E237" s="162">
        <f>IFERROR(""&amp;INDEX(tk_SIZE,MATCH(231,tk_ASEQ,0)),"")</f>
        <v/>
      </c>
      <c r="F237" s="162">
        <f>IFERROR(""&amp;INDEX(tk_PAIR,MATCH(231,tk_ASEQ,0)),"")</f>
        <v/>
      </c>
      <c r="G237" s="162">
        <f>IFERROR(""&amp;INDEX(tk_DMAT,MATCH(231,tk_ASEQ,0)),"")</f>
        <v/>
      </c>
      <c r="H237" s="162">
        <f>IFERROR(""&amp;INDEX(tk_DGA,MATCH(231,tk_ASEQ,0)),"")</f>
        <v/>
      </c>
      <c r="I237" s="162">
        <f>IFERROR(""&amp;INDEX(tk_FACE,MATCH(231,tk_ASEQ,0)),"")</f>
        <v/>
      </c>
      <c r="J237" s="162">
        <f>IFERROR(IF(INDEX(tk_DHAND,MATCH(231,tk_ASEQ,0))="",""&amp;INDEX(tk_HAND,MATCH(231,tk_ASEQ,0)),""&amp;INDEX(tk_DHAND,MATCH(231,tk_ASEQ,0))),"")</f>
        <v/>
      </c>
      <c r="K237" s="162">
        <f>IFERROR(""&amp;INDEX(tk_FDESC,MATCH(231,tk_ASEQ,0)),"")</f>
        <v/>
      </c>
      <c r="L237" s="162">
        <f>IFERROR(INDEX(tk_STEEL,MATCH(231,tk_ASEQ,0))&amp;IF(INDEX(tk_FGA,MATCH(231,tk_ASEQ,0))="",""," "&amp;INDEX(tk_FGA,MATCH(231,tk_ASEQ,0))&amp;"GA"),"")</f>
        <v/>
      </c>
      <c r="M237" s="162">
        <f>IFERROR(IFERROR(VLOOKUP(INDEX(tk_JAMB,MATCH(231,tk_ASEQ,0)),CODES,2,FALSE),""&amp;INDEX(tk_JAMB,MATCH(231,tk_ASEQ,0))),"")</f>
        <v/>
      </c>
      <c r="N237" s="162">
        <f>IFERROR(""&amp;INDEX(tk_CONSTR,MATCH(231,tk_ASEQ,0)),"")</f>
        <v/>
      </c>
      <c r="O237" s="162">
        <f>IFERROR(""&amp;INDEX(tk_ANCHOR,MATCH(231,tk_ASEQ,0)),"")</f>
        <v/>
      </c>
      <c r="P237" s="162">
        <f>IFERROR(""&amp;INDEX(tk_RATING,MATCH(231,tk_ASEQ,0)),"")</f>
        <v/>
      </c>
      <c r="Q237" s="162">
        <f>IFERROR(""&amp;INDEX(tk_LABEL,MATCH(231,tk_ASEQ,0)),"")</f>
        <v/>
      </c>
      <c r="R237" s="162">
        <f>IFERROR(""&amp;INDEX(tk_HWSET,MATCH(231,tk_ASEQ,0)),"")</f>
        <v/>
      </c>
      <c r="S237" s="162">
        <f>IFERROR(IF(""&amp;INDEX(tk_HINGES,MATCH(231,tk_ASEQ,0))="","",INDEX(tk_HINGES,MATCH(231,tk_ASEQ,0))&amp;" · "&amp;INDEX(tk_LSRC,MATCH(231,tk_ASEQ,0))),"")</f>
        <v/>
      </c>
      <c r="T237" s="162">
        <f>IFERROR(""&amp;INDEX(tk_LOCK,MATCH(231,tk_ASEQ,0)),"")</f>
        <v/>
      </c>
      <c r="U237" s="162">
        <f>IFERROR(INDEX(tk_ETYPE,MATCH(231,tk_ASEQ,0)),"")</f>
        <v/>
      </c>
      <c r="V237" s="162">
        <f>IFERROR(""&amp;INDEX(tk_CHECK,MATCH(231,tk_ASEQ,0)),"")</f>
        <v/>
      </c>
      <c r="W237" s="162">
        <f>IFERROR(TRIM(INDEX(tk_DNOTES,MATCH(231,tk_ASEQ,0))&amp;" "&amp;INDEX(tk_FNOTES,MATCH(231,tk_ASEQ,0))),"")</f>
        <v/>
      </c>
    </row>
    <row r="238">
      <c r="A238" s="161">
        <f>IFERROR(""&amp;INDEX(tk_MARK,MATCH(232,tk_ASEQ,0)),"")</f>
        <v/>
      </c>
      <c r="B238" s="162">
        <f>IFERROR(""&amp;INDEX(tk_ROOMF,MATCH(232,tk_ASEQ,0)),"")</f>
        <v/>
      </c>
      <c r="C238" s="162">
        <f>IFERROR(""&amp;INDEX(tk_ROOMT,MATCH(232,tk_ASEQ,0)),"")</f>
        <v/>
      </c>
      <c r="D238" s="162">
        <f>IFERROR(INDEX(tk_QTY,MATCH(232,tk_ASEQ,0)),"")</f>
        <v/>
      </c>
      <c r="E238" s="162">
        <f>IFERROR(""&amp;INDEX(tk_SIZE,MATCH(232,tk_ASEQ,0)),"")</f>
        <v/>
      </c>
      <c r="F238" s="162">
        <f>IFERROR(""&amp;INDEX(tk_PAIR,MATCH(232,tk_ASEQ,0)),"")</f>
        <v/>
      </c>
      <c r="G238" s="162">
        <f>IFERROR(""&amp;INDEX(tk_DMAT,MATCH(232,tk_ASEQ,0)),"")</f>
        <v/>
      </c>
      <c r="H238" s="162">
        <f>IFERROR(""&amp;INDEX(tk_DGA,MATCH(232,tk_ASEQ,0)),"")</f>
        <v/>
      </c>
      <c r="I238" s="162">
        <f>IFERROR(""&amp;INDEX(tk_FACE,MATCH(232,tk_ASEQ,0)),"")</f>
        <v/>
      </c>
      <c r="J238" s="162">
        <f>IFERROR(IF(INDEX(tk_DHAND,MATCH(232,tk_ASEQ,0))="",""&amp;INDEX(tk_HAND,MATCH(232,tk_ASEQ,0)),""&amp;INDEX(tk_DHAND,MATCH(232,tk_ASEQ,0))),"")</f>
        <v/>
      </c>
      <c r="K238" s="162">
        <f>IFERROR(""&amp;INDEX(tk_FDESC,MATCH(232,tk_ASEQ,0)),"")</f>
        <v/>
      </c>
      <c r="L238" s="162">
        <f>IFERROR(INDEX(tk_STEEL,MATCH(232,tk_ASEQ,0))&amp;IF(INDEX(tk_FGA,MATCH(232,tk_ASEQ,0))="",""," "&amp;INDEX(tk_FGA,MATCH(232,tk_ASEQ,0))&amp;"GA"),"")</f>
        <v/>
      </c>
      <c r="M238" s="162">
        <f>IFERROR(IFERROR(VLOOKUP(INDEX(tk_JAMB,MATCH(232,tk_ASEQ,0)),CODES,2,FALSE),""&amp;INDEX(tk_JAMB,MATCH(232,tk_ASEQ,0))),"")</f>
        <v/>
      </c>
      <c r="N238" s="162">
        <f>IFERROR(""&amp;INDEX(tk_CONSTR,MATCH(232,tk_ASEQ,0)),"")</f>
        <v/>
      </c>
      <c r="O238" s="162">
        <f>IFERROR(""&amp;INDEX(tk_ANCHOR,MATCH(232,tk_ASEQ,0)),"")</f>
        <v/>
      </c>
      <c r="P238" s="162">
        <f>IFERROR(""&amp;INDEX(tk_RATING,MATCH(232,tk_ASEQ,0)),"")</f>
        <v/>
      </c>
      <c r="Q238" s="162">
        <f>IFERROR(""&amp;INDEX(tk_LABEL,MATCH(232,tk_ASEQ,0)),"")</f>
        <v/>
      </c>
      <c r="R238" s="162">
        <f>IFERROR(""&amp;INDEX(tk_HWSET,MATCH(232,tk_ASEQ,0)),"")</f>
        <v/>
      </c>
      <c r="S238" s="162">
        <f>IFERROR(IF(""&amp;INDEX(tk_HINGES,MATCH(232,tk_ASEQ,0))="","",INDEX(tk_HINGES,MATCH(232,tk_ASEQ,0))&amp;" · "&amp;INDEX(tk_LSRC,MATCH(232,tk_ASEQ,0))),"")</f>
        <v/>
      </c>
      <c r="T238" s="162">
        <f>IFERROR(""&amp;INDEX(tk_LOCK,MATCH(232,tk_ASEQ,0)),"")</f>
        <v/>
      </c>
      <c r="U238" s="162">
        <f>IFERROR(INDEX(tk_ETYPE,MATCH(232,tk_ASEQ,0)),"")</f>
        <v/>
      </c>
      <c r="V238" s="162">
        <f>IFERROR(""&amp;INDEX(tk_CHECK,MATCH(232,tk_ASEQ,0)),"")</f>
        <v/>
      </c>
      <c r="W238" s="162">
        <f>IFERROR(TRIM(INDEX(tk_DNOTES,MATCH(232,tk_ASEQ,0))&amp;" "&amp;INDEX(tk_FNOTES,MATCH(232,tk_ASEQ,0))),"")</f>
        <v/>
      </c>
    </row>
    <row r="239">
      <c r="A239" s="161">
        <f>IFERROR(""&amp;INDEX(tk_MARK,MATCH(233,tk_ASEQ,0)),"")</f>
        <v/>
      </c>
      <c r="B239" s="162">
        <f>IFERROR(""&amp;INDEX(tk_ROOMF,MATCH(233,tk_ASEQ,0)),"")</f>
        <v/>
      </c>
      <c r="C239" s="162">
        <f>IFERROR(""&amp;INDEX(tk_ROOMT,MATCH(233,tk_ASEQ,0)),"")</f>
        <v/>
      </c>
      <c r="D239" s="162">
        <f>IFERROR(INDEX(tk_QTY,MATCH(233,tk_ASEQ,0)),"")</f>
        <v/>
      </c>
      <c r="E239" s="162">
        <f>IFERROR(""&amp;INDEX(tk_SIZE,MATCH(233,tk_ASEQ,0)),"")</f>
        <v/>
      </c>
      <c r="F239" s="162">
        <f>IFERROR(""&amp;INDEX(tk_PAIR,MATCH(233,tk_ASEQ,0)),"")</f>
        <v/>
      </c>
      <c r="G239" s="162">
        <f>IFERROR(""&amp;INDEX(tk_DMAT,MATCH(233,tk_ASEQ,0)),"")</f>
        <v/>
      </c>
      <c r="H239" s="162">
        <f>IFERROR(""&amp;INDEX(tk_DGA,MATCH(233,tk_ASEQ,0)),"")</f>
        <v/>
      </c>
      <c r="I239" s="162">
        <f>IFERROR(""&amp;INDEX(tk_FACE,MATCH(233,tk_ASEQ,0)),"")</f>
        <v/>
      </c>
      <c r="J239" s="162">
        <f>IFERROR(IF(INDEX(tk_DHAND,MATCH(233,tk_ASEQ,0))="",""&amp;INDEX(tk_HAND,MATCH(233,tk_ASEQ,0)),""&amp;INDEX(tk_DHAND,MATCH(233,tk_ASEQ,0))),"")</f>
        <v/>
      </c>
      <c r="K239" s="162">
        <f>IFERROR(""&amp;INDEX(tk_FDESC,MATCH(233,tk_ASEQ,0)),"")</f>
        <v/>
      </c>
      <c r="L239" s="162">
        <f>IFERROR(INDEX(tk_STEEL,MATCH(233,tk_ASEQ,0))&amp;IF(INDEX(tk_FGA,MATCH(233,tk_ASEQ,0))="",""," "&amp;INDEX(tk_FGA,MATCH(233,tk_ASEQ,0))&amp;"GA"),"")</f>
        <v/>
      </c>
      <c r="M239" s="162">
        <f>IFERROR(IFERROR(VLOOKUP(INDEX(tk_JAMB,MATCH(233,tk_ASEQ,0)),CODES,2,FALSE),""&amp;INDEX(tk_JAMB,MATCH(233,tk_ASEQ,0))),"")</f>
        <v/>
      </c>
      <c r="N239" s="162">
        <f>IFERROR(""&amp;INDEX(tk_CONSTR,MATCH(233,tk_ASEQ,0)),"")</f>
        <v/>
      </c>
      <c r="O239" s="162">
        <f>IFERROR(""&amp;INDEX(tk_ANCHOR,MATCH(233,tk_ASEQ,0)),"")</f>
        <v/>
      </c>
      <c r="P239" s="162">
        <f>IFERROR(""&amp;INDEX(tk_RATING,MATCH(233,tk_ASEQ,0)),"")</f>
        <v/>
      </c>
      <c r="Q239" s="162">
        <f>IFERROR(""&amp;INDEX(tk_LABEL,MATCH(233,tk_ASEQ,0)),"")</f>
        <v/>
      </c>
      <c r="R239" s="162">
        <f>IFERROR(""&amp;INDEX(tk_HWSET,MATCH(233,tk_ASEQ,0)),"")</f>
        <v/>
      </c>
      <c r="S239" s="162">
        <f>IFERROR(IF(""&amp;INDEX(tk_HINGES,MATCH(233,tk_ASEQ,0))="","",INDEX(tk_HINGES,MATCH(233,tk_ASEQ,0))&amp;" · "&amp;INDEX(tk_LSRC,MATCH(233,tk_ASEQ,0))),"")</f>
        <v/>
      </c>
      <c r="T239" s="162">
        <f>IFERROR(""&amp;INDEX(tk_LOCK,MATCH(233,tk_ASEQ,0)),"")</f>
        <v/>
      </c>
      <c r="U239" s="162">
        <f>IFERROR(INDEX(tk_ETYPE,MATCH(233,tk_ASEQ,0)),"")</f>
        <v/>
      </c>
      <c r="V239" s="162">
        <f>IFERROR(""&amp;INDEX(tk_CHECK,MATCH(233,tk_ASEQ,0)),"")</f>
        <v/>
      </c>
      <c r="W239" s="162">
        <f>IFERROR(TRIM(INDEX(tk_DNOTES,MATCH(233,tk_ASEQ,0))&amp;" "&amp;INDEX(tk_FNOTES,MATCH(233,tk_ASEQ,0))),"")</f>
        <v/>
      </c>
    </row>
    <row r="240">
      <c r="A240" s="161">
        <f>IFERROR(""&amp;INDEX(tk_MARK,MATCH(234,tk_ASEQ,0)),"")</f>
        <v/>
      </c>
      <c r="B240" s="162">
        <f>IFERROR(""&amp;INDEX(tk_ROOMF,MATCH(234,tk_ASEQ,0)),"")</f>
        <v/>
      </c>
      <c r="C240" s="162">
        <f>IFERROR(""&amp;INDEX(tk_ROOMT,MATCH(234,tk_ASEQ,0)),"")</f>
        <v/>
      </c>
      <c r="D240" s="162">
        <f>IFERROR(INDEX(tk_QTY,MATCH(234,tk_ASEQ,0)),"")</f>
        <v/>
      </c>
      <c r="E240" s="162">
        <f>IFERROR(""&amp;INDEX(tk_SIZE,MATCH(234,tk_ASEQ,0)),"")</f>
        <v/>
      </c>
      <c r="F240" s="162">
        <f>IFERROR(""&amp;INDEX(tk_PAIR,MATCH(234,tk_ASEQ,0)),"")</f>
        <v/>
      </c>
      <c r="G240" s="162">
        <f>IFERROR(""&amp;INDEX(tk_DMAT,MATCH(234,tk_ASEQ,0)),"")</f>
        <v/>
      </c>
      <c r="H240" s="162">
        <f>IFERROR(""&amp;INDEX(tk_DGA,MATCH(234,tk_ASEQ,0)),"")</f>
        <v/>
      </c>
      <c r="I240" s="162">
        <f>IFERROR(""&amp;INDEX(tk_FACE,MATCH(234,tk_ASEQ,0)),"")</f>
        <v/>
      </c>
      <c r="J240" s="162">
        <f>IFERROR(IF(INDEX(tk_DHAND,MATCH(234,tk_ASEQ,0))="",""&amp;INDEX(tk_HAND,MATCH(234,tk_ASEQ,0)),""&amp;INDEX(tk_DHAND,MATCH(234,tk_ASEQ,0))),"")</f>
        <v/>
      </c>
      <c r="K240" s="162">
        <f>IFERROR(""&amp;INDEX(tk_FDESC,MATCH(234,tk_ASEQ,0)),"")</f>
        <v/>
      </c>
      <c r="L240" s="162">
        <f>IFERROR(INDEX(tk_STEEL,MATCH(234,tk_ASEQ,0))&amp;IF(INDEX(tk_FGA,MATCH(234,tk_ASEQ,0))="",""," "&amp;INDEX(tk_FGA,MATCH(234,tk_ASEQ,0))&amp;"GA"),"")</f>
        <v/>
      </c>
      <c r="M240" s="162">
        <f>IFERROR(IFERROR(VLOOKUP(INDEX(tk_JAMB,MATCH(234,tk_ASEQ,0)),CODES,2,FALSE),""&amp;INDEX(tk_JAMB,MATCH(234,tk_ASEQ,0))),"")</f>
        <v/>
      </c>
      <c r="N240" s="162">
        <f>IFERROR(""&amp;INDEX(tk_CONSTR,MATCH(234,tk_ASEQ,0)),"")</f>
        <v/>
      </c>
      <c r="O240" s="162">
        <f>IFERROR(""&amp;INDEX(tk_ANCHOR,MATCH(234,tk_ASEQ,0)),"")</f>
        <v/>
      </c>
      <c r="P240" s="162">
        <f>IFERROR(""&amp;INDEX(tk_RATING,MATCH(234,tk_ASEQ,0)),"")</f>
        <v/>
      </c>
      <c r="Q240" s="162">
        <f>IFERROR(""&amp;INDEX(tk_LABEL,MATCH(234,tk_ASEQ,0)),"")</f>
        <v/>
      </c>
      <c r="R240" s="162">
        <f>IFERROR(""&amp;INDEX(tk_HWSET,MATCH(234,tk_ASEQ,0)),"")</f>
        <v/>
      </c>
      <c r="S240" s="162">
        <f>IFERROR(IF(""&amp;INDEX(tk_HINGES,MATCH(234,tk_ASEQ,0))="","",INDEX(tk_HINGES,MATCH(234,tk_ASEQ,0))&amp;" · "&amp;INDEX(tk_LSRC,MATCH(234,tk_ASEQ,0))),"")</f>
        <v/>
      </c>
      <c r="T240" s="162">
        <f>IFERROR(""&amp;INDEX(tk_LOCK,MATCH(234,tk_ASEQ,0)),"")</f>
        <v/>
      </c>
      <c r="U240" s="162">
        <f>IFERROR(INDEX(tk_ETYPE,MATCH(234,tk_ASEQ,0)),"")</f>
        <v/>
      </c>
      <c r="V240" s="162">
        <f>IFERROR(""&amp;INDEX(tk_CHECK,MATCH(234,tk_ASEQ,0)),"")</f>
        <v/>
      </c>
      <c r="W240" s="162">
        <f>IFERROR(TRIM(INDEX(tk_DNOTES,MATCH(234,tk_ASEQ,0))&amp;" "&amp;INDEX(tk_FNOTES,MATCH(234,tk_ASEQ,0))),"")</f>
        <v/>
      </c>
    </row>
    <row r="241">
      <c r="A241" s="161">
        <f>IFERROR(""&amp;INDEX(tk_MARK,MATCH(235,tk_ASEQ,0)),"")</f>
        <v/>
      </c>
      <c r="B241" s="162">
        <f>IFERROR(""&amp;INDEX(tk_ROOMF,MATCH(235,tk_ASEQ,0)),"")</f>
        <v/>
      </c>
      <c r="C241" s="162">
        <f>IFERROR(""&amp;INDEX(tk_ROOMT,MATCH(235,tk_ASEQ,0)),"")</f>
        <v/>
      </c>
      <c r="D241" s="162">
        <f>IFERROR(INDEX(tk_QTY,MATCH(235,tk_ASEQ,0)),"")</f>
        <v/>
      </c>
      <c r="E241" s="162">
        <f>IFERROR(""&amp;INDEX(tk_SIZE,MATCH(235,tk_ASEQ,0)),"")</f>
        <v/>
      </c>
      <c r="F241" s="162">
        <f>IFERROR(""&amp;INDEX(tk_PAIR,MATCH(235,tk_ASEQ,0)),"")</f>
        <v/>
      </c>
      <c r="G241" s="162">
        <f>IFERROR(""&amp;INDEX(tk_DMAT,MATCH(235,tk_ASEQ,0)),"")</f>
        <v/>
      </c>
      <c r="H241" s="162">
        <f>IFERROR(""&amp;INDEX(tk_DGA,MATCH(235,tk_ASEQ,0)),"")</f>
        <v/>
      </c>
      <c r="I241" s="162">
        <f>IFERROR(""&amp;INDEX(tk_FACE,MATCH(235,tk_ASEQ,0)),"")</f>
        <v/>
      </c>
      <c r="J241" s="162">
        <f>IFERROR(IF(INDEX(tk_DHAND,MATCH(235,tk_ASEQ,0))="",""&amp;INDEX(tk_HAND,MATCH(235,tk_ASEQ,0)),""&amp;INDEX(tk_DHAND,MATCH(235,tk_ASEQ,0))),"")</f>
        <v/>
      </c>
      <c r="K241" s="162">
        <f>IFERROR(""&amp;INDEX(tk_FDESC,MATCH(235,tk_ASEQ,0)),"")</f>
        <v/>
      </c>
      <c r="L241" s="162">
        <f>IFERROR(INDEX(tk_STEEL,MATCH(235,tk_ASEQ,0))&amp;IF(INDEX(tk_FGA,MATCH(235,tk_ASEQ,0))="",""," "&amp;INDEX(tk_FGA,MATCH(235,tk_ASEQ,0))&amp;"GA"),"")</f>
        <v/>
      </c>
      <c r="M241" s="162">
        <f>IFERROR(IFERROR(VLOOKUP(INDEX(tk_JAMB,MATCH(235,tk_ASEQ,0)),CODES,2,FALSE),""&amp;INDEX(tk_JAMB,MATCH(235,tk_ASEQ,0))),"")</f>
        <v/>
      </c>
      <c r="N241" s="162">
        <f>IFERROR(""&amp;INDEX(tk_CONSTR,MATCH(235,tk_ASEQ,0)),"")</f>
        <v/>
      </c>
      <c r="O241" s="162">
        <f>IFERROR(""&amp;INDEX(tk_ANCHOR,MATCH(235,tk_ASEQ,0)),"")</f>
        <v/>
      </c>
      <c r="P241" s="162">
        <f>IFERROR(""&amp;INDEX(tk_RATING,MATCH(235,tk_ASEQ,0)),"")</f>
        <v/>
      </c>
      <c r="Q241" s="162">
        <f>IFERROR(""&amp;INDEX(tk_LABEL,MATCH(235,tk_ASEQ,0)),"")</f>
        <v/>
      </c>
      <c r="R241" s="162">
        <f>IFERROR(""&amp;INDEX(tk_HWSET,MATCH(235,tk_ASEQ,0)),"")</f>
        <v/>
      </c>
      <c r="S241" s="162">
        <f>IFERROR(IF(""&amp;INDEX(tk_HINGES,MATCH(235,tk_ASEQ,0))="","",INDEX(tk_HINGES,MATCH(235,tk_ASEQ,0))&amp;" · "&amp;INDEX(tk_LSRC,MATCH(235,tk_ASEQ,0))),"")</f>
        <v/>
      </c>
      <c r="T241" s="162">
        <f>IFERROR(""&amp;INDEX(tk_LOCK,MATCH(235,tk_ASEQ,0)),"")</f>
        <v/>
      </c>
      <c r="U241" s="162">
        <f>IFERROR(INDEX(tk_ETYPE,MATCH(235,tk_ASEQ,0)),"")</f>
        <v/>
      </c>
      <c r="V241" s="162">
        <f>IFERROR(""&amp;INDEX(tk_CHECK,MATCH(235,tk_ASEQ,0)),"")</f>
        <v/>
      </c>
      <c r="W241" s="162">
        <f>IFERROR(TRIM(INDEX(tk_DNOTES,MATCH(235,tk_ASEQ,0))&amp;" "&amp;INDEX(tk_FNOTES,MATCH(235,tk_ASEQ,0))),"")</f>
        <v/>
      </c>
    </row>
    <row r="242">
      <c r="A242" s="161">
        <f>IFERROR(""&amp;INDEX(tk_MARK,MATCH(236,tk_ASEQ,0)),"")</f>
        <v/>
      </c>
      <c r="B242" s="162">
        <f>IFERROR(""&amp;INDEX(tk_ROOMF,MATCH(236,tk_ASEQ,0)),"")</f>
        <v/>
      </c>
      <c r="C242" s="162">
        <f>IFERROR(""&amp;INDEX(tk_ROOMT,MATCH(236,tk_ASEQ,0)),"")</f>
        <v/>
      </c>
      <c r="D242" s="162">
        <f>IFERROR(INDEX(tk_QTY,MATCH(236,tk_ASEQ,0)),"")</f>
        <v/>
      </c>
      <c r="E242" s="162">
        <f>IFERROR(""&amp;INDEX(tk_SIZE,MATCH(236,tk_ASEQ,0)),"")</f>
        <v/>
      </c>
      <c r="F242" s="162">
        <f>IFERROR(""&amp;INDEX(tk_PAIR,MATCH(236,tk_ASEQ,0)),"")</f>
        <v/>
      </c>
      <c r="G242" s="162">
        <f>IFERROR(""&amp;INDEX(tk_DMAT,MATCH(236,tk_ASEQ,0)),"")</f>
        <v/>
      </c>
      <c r="H242" s="162">
        <f>IFERROR(""&amp;INDEX(tk_DGA,MATCH(236,tk_ASEQ,0)),"")</f>
        <v/>
      </c>
      <c r="I242" s="162">
        <f>IFERROR(""&amp;INDEX(tk_FACE,MATCH(236,tk_ASEQ,0)),"")</f>
        <v/>
      </c>
      <c r="J242" s="162">
        <f>IFERROR(IF(INDEX(tk_DHAND,MATCH(236,tk_ASEQ,0))="",""&amp;INDEX(tk_HAND,MATCH(236,tk_ASEQ,0)),""&amp;INDEX(tk_DHAND,MATCH(236,tk_ASEQ,0))),"")</f>
        <v/>
      </c>
      <c r="K242" s="162">
        <f>IFERROR(""&amp;INDEX(tk_FDESC,MATCH(236,tk_ASEQ,0)),"")</f>
        <v/>
      </c>
      <c r="L242" s="162">
        <f>IFERROR(INDEX(tk_STEEL,MATCH(236,tk_ASEQ,0))&amp;IF(INDEX(tk_FGA,MATCH(236,tk_ASEQ,0))="",""," "&amp;INDEX(tk_FGA,MATCH(236,tk_ASEQ,0))&amp;"GA"),"")</f>
        <v/>
      </c>
      <c r="M242" s="162">
        <f>IFERROR(IFERROR(VLOOKUP(INDEX(tk_JAMB,MATCH(236,tk_ASEQ,0)),CODES,2,FALSE),""&amp;INDEX(tk_JAMB,MATCH(236,tk_ASEQ,0))),"")</f>
        <v/>
      </c>
      <c r="N242" s="162">
        <f>IFERROR(""&amp;INDEX(tk_CONSTR,MATCH(236,tk_ASEQ,0)),"")</f>
        <v/>
      </c>
      <c r="O242" s="162">
        <f>IFERROR(""&amp;INDEX(tk_ANCHOR,MATCH(236,tk_ASEQ,0)),"")</f>
        <v/>
      </c>
      <c r="P242" s="162">
        <f>IFERROR(""&amp;INDEX(tk_RATING,MATCH(236,tk_ASEQ,0)),"")</f>
        <v/>
      </c>
      <c r="Q242" s="162">
        <f>IFERROR(""&amp;INDEX(tk_LABEL,MATCH(236,tk_ASEQ,0)),"")</f>
        <v/>
      </c>
      <c r="R242" s="162">
        <f>IFERROR(""&amp;INDEX(tk_HWSET,MATCH(236,tk_ASEQ,0)),"")</f>
        <v/>
      </c>
      <c r="S242" s="162">
        <f>IFERROR(IF(""&amp;INDEX(tk_HINGES,MATCH(236,tk_ASEQ,0))="","",INDEX(tk_HINGES,MATCH(236,tk_ASEQ,0))&amp;" · "&amp;INDEX(tk_LSRC,MATCH(236,tk_ASEQ,0))),"")</f>
        <v/>
      </c>
      <c r="T242" s="162">
        <f>IFERROR(""&amp;INDEX(tk_LOCK,MATCH(236,tk_ASEQ,0)),"")</f>
        <v/>
      </c>
      <c r="U242" s="162">
        <f>IFERROR(INDEX(tk_ETYPE,MATCH(236,tk_ASEQ,0)),"")</f>
        <v/>
      </c>
      <c r="V242" s="162">
        <f>IFERROR(""&amp;INDEX(tk_CHECK,MATCH(236,tk_ASEQ,0)),"")</f>
        <v/>
      </c>
      <c r="W242" s="162">
        <f>IFERROR(TRIM(INDEX(tk_DNOTES,MATCH(236,tk_ASEQ,0))&amp;" "&amp;INDEX(tk_FNOTES,MATCH(236,tk_ASEQ,0))),"")</f>
        <v/>
      </c>
    </row>
    <row r="243">
      <c r="A243" s="161">
        <f>IFERROR(""&amp;INDEX(tk_MARK,MATCH(237,tk_ASEQ,0)),"")</f>
        <v/>
      </c>
      <c r="B243" s="162">
        <f>IFERROR(""&amp;INDEX(tk_ROOMF,MATCH(237,tk_ASEQ,0)),"")</f>
        <v/>
      </c>
      <c r="C243" s="162">
        <f>IFERROR(""&amp;INDEX(tk_ROOMT,MATCH(237,tk_ASEQ,0)),"")</f>
        <v/>
      </c>
      <c r="D243" s="162">
        <f>IFERROR(INDEX(tk_QTY,MATCH(237,tk_ASEQ,0)),"")</f>
        <v/>
      </c>
      <c r="E243" s="162">
        <f>IFERROR(""&amp;INDEX(tk_SIZE,MATCH(237,tk_ASEQ,0)),"")</f>
        <v/>
      </c>
      <c r="F243" s="162">
        <f>IFERROR(""&amp;INDEX(tk_PAIR,MATCH(237,tk_ASEQ,0)),"")</f>
        <v/>
      </c>
      <c r="G243" s="162">
        <f>IFERROR(""&amp;INDEX(tk_DMAT,MATCH(237,tk_ASEQ,0)),"")</f>
        <v/>
      </c>
      <c r="H243" s="162">
        <f>IFERROR(""&amp;INDEX(tk_DGA,MATCH(237,tk_ASEQ,0)),"")</f>
        <v/>
      </c>
      <c r="I243" s="162">
        <f>IFERROR(""&amp;INDEX(tk_FACE,MATCH(237,tk_ASEQ,0)),"")</f>
        <v/>
      </c>
      <c r="J243" s="162">
        <f>IFERROR(IF(INDEX(tk_DHAND,MATCH(237,tk_ASEQ,0))="",""&amp;INDEX(tk_HAND,MATCH(237,tk_ASEQ,0)),""&amp;INDEX(tk_DHAND,MATCH(237,tk_ASEQ,0))),"")</f>
        <v/>
      </c>
      <c r="K243" s="162">
        <f>IFERROR(""&amp;INDEX(tk_FDESC,MATCH(237,tk_ASEQ,0)),"")</f>
        <v/>
      </c>
      <c r="L243" s="162">
        <f>IFERROR(INDEX(tk_STEEL,MATCH(237,tk_ASEQ,0))&amp;IF(INDEX(tk_FGA,MATCH(237,tk_ASEQ,0))="",""," "&amp;INDEX(tk_FGA,MATCH(237,tk_ASEQ,0))&amp;"GA"),"")</f>
        <v/>
      </c>
      <c r="M243" s="162">
        <f>IFERROR(IFERROR(VLOOKUP(INDEX(tk_JAMB,MATCH(237,tk_ASEQ,0)),CODES,2,FALSE),""&amp;INDEX(tk_JAMB,MATCH(237,tk_ASEQ,0))),"")</f>
        <v/>
      </c>
      <c r="N243" s="162">
        <f>IFERROR(""&amp;INDEX(tk_CONSTR,MATCH(237,tk_ASEQ,0)),"")</f>
        <v/>
      </c>
      <c r="O243" s="162">
        <f>IFERROR(""&amp;INDEX(tk_ANCHOR,MATCH(237,tk_ASEQ,0)),"")</f>
        <v/>
      </c>
      <c r="P243" s="162">
        <f>IFERROR(""&amp;INDEX(tk_RATING,MATCH(237,tk_ASEQ,0)),"")</f>
        <v/>
      </c>
      <c r="Q243" s="162">
        <f>IFERROR(""&amp;INDEX(tk_LABEL,MATCH(237,tk_ASEQ,0)),"")</f>
        <v/>
      </c>
      <c r="R243" s="162">
        <f>IFERROR(""&amp;INDEX(tk_HWSET,MATCH(237,tk_ASEQ,0)),"")</f>
        <v/>
      </c>
      <c r="S243" s="162">
        <f>IFERROR(IF(""&amp;INDEX(tk_HINGES,MATCH(237,tk_ASEQ,0))="","",INDEX(tk_HINGES,MATCH(237,tk_ASEQ,0))&amp;" · "&amp;INDEX(tk_LSRC,MATCH(237,tk_ASEQ,0))),"")</f>
        <v/>
      </c>
      <c r="T243" s="162">
        <f>IFERROR(""&amp;INDEX(tk_LOCK,MATCH(237,tk_ASEQ,0)),"")</f>
        <v/>
      </c>
      <c r="U243" s="162">
        <f>IFERROR(INDEX(tk_ETYPE,MATCH(237,tk_ASEQ,0)),"")</f>
        <v/>
      </c>
      <c r="V243" s="162">
        <f>IFERROR(""&amp;INDEX(tk_CHECK,MATCH(237,tk_ASEQ,0)),"")</f>
        <v/>
      </c>
      <c r="W243" s="162">
        <f>IFERROR(TRIM(INDEX(tk_DNOTES,MATCH(237,tk_ASEQ,0))&amp;" "&amp;INDEX(tk_FNOTES,MATCH(237,tk_ASEQ,0))),"")</f>
        <v/>
      </c>
    </row>
    <row r="244">
      <c r="A244" s="161">
        <f>IFERROR(""&amp;INDEX(tk_MARK,MATCH(238,tk_ASEQ,0)),"")</f>
        <v/>
      </c>
      <c r="B244" s="162">
        <f>IFERROR(""&amp;INDEX(tk_ROOMF,MATCH(238,tk_ASEQ,0)),"")</f>
        <v/>
      </c>
      <c r="C244" s="162">
        <f>IFERROR(""&amp;INDEX(tk_ROOMT,MATCH(238,tk_ASEQ,0)),"")</f>
        <v/>
      </c>
      <c r="D244" s="162">
        <f>IFERROR(INDEX(tk_QTY,MATCH(238,tk_ASEQ,0)),"")</f>
        <v/>
      </c>
      <c r="E244" s="162">
        <f>IFERROR(""&amp;INDEX(tk_SIZE,MATCH(238,tk_ASEQ,0)),"")</f>
        <v/>
      </c>
      <c r="F244" s="162">
        <f>IFERROR(""&amp;INDEX(tk_PAIR,MATCH(238,tk_ASEQ,0)),"")</f>
        <v/>
      </c>
      <c r="G244" s="162">
        <f>IFERROR(""&amp;INDEX(tk_DMAT,MATCH(238,tk_ASEQ,0)),"")</f>
        <v/>
      </c>
      <c r="H244" s="162">
        <f>IFERROR(""&amp;INDEX(tk_DGA,MATCH(238,tk_ASEQ,0)),"")</f>
        <v/>
      </c>
      <c r="I244" s="162">
        <f>IFERROR(""&amp;INDEX(tk_FACE,MATCH(238,tk_ASEQ,0)),"")</f>
        <v/>
      </c>
      <c r="J244" s="162">
        <f>IFERROR(IF(INDEX(tk_DHAND,MATCH(238,tk_ASEQ,0))="",""&amp;INDEX(tk_HAND,MATCH(238,tk_ASEQ,0)),""&amp;INDEX(tk_DHAND,MATCH(238,tk_ASEQ,0))),"")</f>
        <v/>
      </c>
      <c r="K244" s="162">
        <f>IFERROR(""&amp;INDEX(tk_FDESC,MATCH(238,tk_ASEQ,0)),"")</f>
        <v/>
      </c>
      <c r="L244" s="162">
        <f>IFERROR(INDEX(tk_STEEL,MATCH(238,tk_ASEQ,0))&amp;IF(INDEX(tk_FGA,MATCH(238,tk_ASEQ,0))="",""," "&amp;INDEX(tk_FGA,MATCH(238,tk_ASEQ,0))&amp;"GA"),"")</f>
        <v/>
      </c>
      <c r="M244" s="162">
        <f>IFERROR(IFERROR(VLOOKUP(INDEX(tk_JAMB,MATCH(238,tk_ASEQ,0)),CODES,2,FALSE),""&amp;INDEX(tk_JAMB,MATCH(238,tk_ASEQ,0))),"")</f>
        <v/>
      </c>
      <c r="N244" s="162">
        <f>IFERROR(""&amp;INDEX(tk_CONSTR,MATCH(238,tk_ASEQ,0)),"")</f>
        <v/>
      </c>
      <c r="O244" s="162">
        <f>IFERROR(""&amp;INDEX(tk_ANCHOR,MATCH(238,tk_ASEQ,0)),"")</f>
        <v/>
      </c>
      <c r="P244" s="162">
        <f>IFERROR(""&amp;INDEX(tk_RATING,MATCH(238,tk_ASEQ,0)),"")</f>
        <v/>
      </c>
      <c r="Q244" s="162">
        <f>IFERROR(""&amp;INDEX(tk_LABEL,MATCH(238,tk_ASEQ,0)),"")</f>
        <v/>
      </c>
      <c r="R244" s="162">
        <f>IFERROR(""&amp;INDEX(tk_HWSET,MATCH(238,tk_ASEQ,0)),"")</f>
        <v/>
      </c>
      <c r="S244" s="162">
        <f>IFERROR(IF(""&amp;INDEX(tk_HINGES,MATCH(238,tk_ASEQ,0))="","",INDEX(tk_HINGES,MATCH(238,tk_ASEQ,0))&amp;" · "&amp;INDEX(tk_LSRC,MATCH(238,tk_ASEQ,0))),"")</f>
        <v/>
      </c>
      <c r="T244" s="162">
        <f>IFERROR(""&amp;INDEX(tk_LOCK,MATCH(238,tk_ASEQ,0)),"")</f>
        <v/>
      </c>
      <c r="U244" s="162">
        <f>IFERROR(INDEX(tk_ETYPE,MATCH(238,tk_ASEQ,0)),"")</f>
        <v/>
      </c>
      <c r="V244" s="162">
        <f>IFERROR(""&amp;INDEX(tk_CHECK,MATCH(238,tk_ASEQ,0)),"")</f>
        <v/>
      </c>
      <c r="W244" s="162">
        <f>IFERROR(TRIM(INDEX(tk_DNOTES,MATCH(238,tk_ASEQ,0))&amp;" "&amp;INDEX(tk_FNOTES,MATCH(238,tk_ASEQ,0))),"")</f>
        <v/>
      </c>
    </row>
    <row r="245">
      <c r="A245" s="161">
        <f>IFERROR(""&amp;INDEX(tk_MARK,MATCH(239,tk_ASEQ,0)),"")</f>
        <v/>
      </c>
      <c r="B245" s="162">
        <f>IFERROR(""&amp;INDEX(tk_ROOMF,MATCH(239,tk_ASEQ,0)),"")</f>
        <v/>
      </c>
      <c r="C245" s="162">
        <f>IFERROR(""&amp;INDEX(tk_ROOMT,MATCH(239,tk_ASEQ,0)),"")</f>
        <v/>
      </c>
      <c r="D245" s="162">
        <f>IFERROR(INDEX(tk_QTY,MATCH(239,tk_ASEQ,0)),"")</f>
        <v/>
      </c>
      <c r="E245" s="162">
        <f>IFERROR(""&amp;INDEX(tk_SIZE,MATCH(239,tk_ASEQ,0)),"")</f>
        <v/>
      </c>
      <c r="F245" s="162">
        <f>IFERROR(""&amp;INDEX(tk_PAIR,MATCH(239,tk_ASEQ,0)),"")</f>
        <v/>
      </c>
      <c r="G245" s="162">
        <f>IFERROR(""&amp;INDEX(tk_DMAT,MATCH(239,tk_ASEQ,0)),"")</f>
        <v/>
      </c>
      <c r="H245" s="162">
        <f>IFERROR(""&amp;INDEX(tk_DGA,MATCH(239,tk_ASEQ,0)),"")</f>
        <v/>
      </c>
      <c r="I245" s="162">
        <f>IFERROR(""&amp;INDEX(tk_FACE,MATCH(239,tk_ASEQ,0)),"")</f>
        <v/>
      </c>
      <c r="J245" s="162">
        <f>IFERROR(IF(INDEX(tk_DHAND,MATCH(239,tk_ASEQ,0))="",""&amp;INDEX(tk_HAND,MATCH(239,tk_ASEQ,0)),""&amp;INDEX(tk_DHAND,MATCH(239,tk_ASEQ,0))),"")</f>
        <v/>
      </c>
      <c r="K245" s="162">
        <f>IFERROR(""&amp;INDEX(tk_FDESC,MATCH(239,tk_ASEQ,0)),"")</f>
        <v/>
      </c>
      <c r="L245" s="162">
        <f>IFERROR(INDEX(tk_STEEL,MATCH(239,tk_ASEQ,0))&amp;IF(INDEX(tk_FGA,MATCH(239,tk_ASEQ,0))="",""," "&amp;INDEX(tk_FGA,MATCH(239,tk_ASEQ,0))&amp;"GA"),"")</f>
        <v/>
      </c>
      <c r="M245" s="162">
        <f>IFERROR(IFERROR(VLOOKUP(INDEX(tk_JAMB,MATCH(239,tk_ASEQ,0)),CODES,2,FALSE),""&amp;INDEX(tk_JAMB,MATCH(239,tk_ASEQ,0))),"")</f>
        <v/>
      </c>
      <c r="N245" s="162">
        <f>IFERROR(""&amp;INDEX(tk_CONSTR,MATCH(239,tk_ASEQ,0)),"")</f>
        <v/>
      </c>
      <c r="O245" s="162">
        <f>IFERROR(""&amp;INDEX(tk_ANCHOR,MATCH(239,tk_ASEQ,0)),"")</f>
        <v/>
      </c>
      <c r="P245" s="162">
        <f>IFERROR(""&amp;INDEX(tk_RATING,MATCH(239,tk_ASEQ,0)),"")</f>
        <v/>
      </c>
      <c r="Q245" s="162">
        <f>IFERROR(""&amp;INDEX(tk_LABEL,MATCH(239,tk_ASEQ,0)),"")</f>
        <v/>
      </c>
      <c r="R245" s="162">
        <f>IFERROR(""&amp;INDEX(tk_HWSET,MATCH(239,tk_ASEQ,0)),"")</f>
        <v/>
      </c>
      <c r="S245" s="162">
        <f>IFERROR(IF(""&amp;INDEX(tk_HINGES,MATCH(239,tk_ASEQ,0))="","",INDEX(tk_HINGES,MATCH(239,tk_ASEQ,0))&amp;" · "&amp;INDEX(tk_LSRC,MATCH(239,tk_ASEQ,0))),"")</f>
        <v/>
      </c>
      <c r="T245" s="162">
        <f>IFERROR(""&amp;INDEX(tk_LOCK,MATCH(239,tk_ASEQ,0)),"")</f>
        <v/>
      </c>
      <c r="U245" s="162">
        <f>IFERROR(INDEX(tk_ETYPE,MATCH(239,tk_ASEQ,0)),"")</f>
        <v/>
      </c>
      <c r="V245" s="162">
        <f>IFERROR(""&amp;INDEX(tk_CHECK,MATCH(239,tk_ASEQ,0)),"")</f>
        <v/>
      </c>
      <c r="W245" s="162">
        <f>IFERROR(TRIM(INDEX(tk_DNOTES,MATCH(239,tk_ASEQ,0))&amp;" "&amp;INDEX(tk_FNOTES,MATCH(239,tk_ASEQ,0))),"")</f>
        <v/>
      </c>
    </row>
    <row r="246">
      <c r="A246" s="161">
        <f>IFERROR(""&amp;INDEX(tk_MARK,MATCH(240,tk_ASEQ,0)),"")</f>
        <v/>
      </c>
      <c r="B246" s="162">
        <f>IFERROR(""&amp;INDEX(tk_ROOMF,MATCH(240,tk_ASEQ,0)),"")</f>
        <v/>
      </c>
      <c r="C246" s="162">
        <f>IFERROR(""&amp;INDEX(tk_ROOMT,MATCH(240,tk_ASEQ,0)),"")</f>
        <v/>
      </c>
      <c r="D246" s="162">
        <f>IFERROR(INDEX(tk_QTY,MATCH(240,tk_ASEQ,0)),"")</f>
        <v/>
      </c>
      <c r="E246" s="162">
        <f>IFERROR(""&amp;INDEX(tk_SIZE,MATCH(240,tk_ASEQ,0)),"")</f>
        <v/>
      </c>
      <c r="F246" s="162">
        <f>IFERROR(""&amp;INDEX(tk_PAIR,MATCH(240,tk_ASEQ,0)),"")</f>
        <v/>
      </c>
      <c r="G246" s="162">
        <f>IFERROR(""&amp;INDEX(tk_DMAT,MATCH(240,tk_ASEQ,0)),"")</f>
        <v/>
      </c>
      <c r="H246" s="162">
        <f>IFERROR(""&amp;INDEX(tk_DGA,MATCH(240,tk_ASEQ,0)),"")</f>
        <v/>
      </c>
      <c r="I246" s="162">
        <f>IFERROR(""&amp;INDEX(tk_FACE,MATCH(240,tk_ASEQ,0)),"")</f>
        <v/>
      </c>
      <c r="J246" s="162">
        <f>IFERROR(IF(INDEX(tk_DHAND,MATCH(240,tk_ASEQ,0))="",""&amp;INDEX(tk_HAND,MATCH(240,tk_ASEQ,0)),""&amp;INDEX(tk_DHAND,MATCH(240,tk_ASEQ,0))),"")</f>
        <v/>
      </c>
      <c r="K246" s="162">
        <f>IFERROR(""&amp;INDEX(tk_FDESC,MATCH(240,tk_ASEQ,0)),"")</f>
        <v/>
      </c>
      <c r="L246" s="162">
        <f>IFERROR(INDEX(tk_STEEL,MATCH(240,tk_ASEQ,0))&amp;IF(INDEX(tk_FGA,MATCH(240,tk_ASEQ,0))="",""," "&amp;INDEX(tk_FGA,MATCH(240,tk_ASEQ,0))&amp;"GA"),"")</f>
        <v/>
      </c>
      <c r="M246" s="162">
        <f>IFERROR(IFERROR(VLOOKUP(INDEX(tk_JAMB,MATCH(240,tk_ASEQ,0)),CODES,2,FALSE),""&amp;INDEX(tk_JAMB,MATCH(240,tk_ASEQ,0))),"")</f>
        <v/>
      </c>
      <c r="N246" s="162">
        <f>IFERROR(""&amp;INDEX(tk_CONSTR,MATCH(240,tk_ASEQ,0)),"")</f>
        <v/>
      </c>
      <c r="O246" s="162">
        <f>IFERROR(""&amp;INDEX(tk_ANCHOR,MATCH(240,tk_ASEQ,0)),"")</f>
        <v/>
      </c>
      <c r="P246" s="162">
        <f>IFERROR(""&amp;INDEX(tk_RATING,MATCH(240,tk_ASEQ,0)),"")</f>
        <v/>
      </c>
      <c r="Q246" s="162">
        <f>IFERROR(""&amp;INDEX(tk_LABEL,MATCH(240,tk_ASEQ,0)),"")</f>
        <v/>
      </c>
      <c r="R246" s="162">
        <f>IFERROR(""&amp;INDEX(tk_HWSET,MATCH(240,tk_ASEQ,0)),"")</f>
        <v/>
      </c>
      <c r="S246" s="162">
        <f>IFERROR(IF(""&amp;INDEX(tk_HINGES,MATCH(240,tk_ASEQ,0))="","",INDEX(tk_HINGES,MATCH(240,tk_ASEQ,0))&amp;" · "&amp;INDEX(tk_LSRC,MATCH(240,tk_ASEQ,0))),"")</f>
        <v/>
      </c>
      <c r="T246" s="162">
        <f>IFERROR(""&amp;INDEX(tk_LOCK,MATCH(240,tk_ASEQ,0)),"")</f>
        <v/>
      </c>
      <c r="U246" s="162">
        <f>IFERROR(INDEX(tk_ETYPE,MATCH(240,tk_ASEQ,0)),"")</f>
        <v/>
      </c>
      <c r="V246" s="162">
        <f>IFERROR(""&amp;INDEX(tk_CHECK,MATCH(240,tk_ASEQ,0)),"")</f>
        <v/>
      </c>
      <c r="W246" s="162">
        <f>IFERROR(TRIM(INDEX(tk_DNOTES,MATCH(240,tk_ASEQ,0))&amp;" "&amp;INDEX(tk_FNOTES,MATCH(240,tk_ASEQ,0))),"")</f>
        <v/>
      </c>
    </row>
    <row r="247">
      <c r="A247" s="161">
        <f>IFERROR(""&amp;INDEX(tk_MARK,MATCH(241,tk_ASEQ,0)),"")</f>
        <v/>
      </c>
      <c r="B247" s="162">
        <f>IFERROR(""&amp;INDEX(tk_ROOMF,MATCH(241,tk_ASEQ,0)),"")</f>
        <v/>
      </c>
      <c r="C247" s="162">
        <f>IFERROR(""&amp;INDEX(tk_ROOMT,MATCH(241,tk_ASEQ,0)),"")</f>
        <v/>
      </c>
      <c r="D247" s="162">
        <f>IFERROR(INDEX(tk_QTY,MATCH(241,tk_ASEQ,0)),"")</f>
        <v/>
      </c>
      <c r="E247" s="162">
        <f>IFERROR(""&amp;INDEX(tk_SIZE,MATCH(241,tk_ASEQ,0)),"")</f>
        <v/>
      </c>
      <c r="F247" s="162">
        <f>IFERROR(""&amp;INDEX(tk_PAIR,MATCH(241,tk_ASEQ,0)),"")</f>
        <v/>
      </c>
      <c r="G247" s="162">
        <f>IFERROR(""&amp;INDEX(tk_DMAT,MATCH(241,tk_ASEQ,0)),"")</f>
        <v/>
      </c>
      <c r="H247" s="162">
        <f>IFERROR(""&amp;INDEX(tk_DGA,MATCH(241,tk_ASEQ,0)),"")</f>
        <v/>
      </c>
      <c r="I247" s="162">
        <f>IFERROR(""&amp;INDEX(tk_FACE,MATCH(241,tk_ASEQ,0)),"")</f>
        <v/>
      </c>
      <c r="J247" s="162">
        <f>IFERROR(IF(INDEX(tk_DHAND,MATCH(241,tk_ASEQ,0))="",""&amp;INDEX(tk_HAND,MATCH(241,tk_ASEQ,0)),""&amp;INDEX(tk_DHAND,MATCH(241,tk_ASEQ,0))),"")</f>
        <v/>
      </c>
      <c r="K247" s="162">
        <f>IFERROR(""&amp;INDEX(tk_FDESC,MATCH(241,tk_ASEQ,0)),"")</f>
        <v/>
      </c>
      <c r="L247" s="162">
        <f>IFERROR(INDEX(tk_STEEL,MATCH(241,tk_ASEQ,0))&amp;IF(INDEX(tk_FGA,MATCH(241,tk_ASEQ,0))="",""," "&amp;INDEX(tk_FGA,MATCH(241,tk_ASEQ,0))&amp;"GA"),"")</f>
        <v/>
      </c>
      <c r="M247" s="162">
        <f>IFERROR(IFERROR(VLOOKUP(INDEX(tk_JAMB,MATCH(241,tk_ASEQ,0)),CODES,2,FALSE),""&amp;INDEX(tk_JAMB,MATCH(241,tk_ASEQ,0))),"")</f>
        <v/>
      </c>
      <c r="N247" s="162">
        <f>IFERROR(""&amp;INDEX(tk_CONSTR,MATCH(241,tk_ASEQ,0)),"")</f>
        <v/>
      </c>
      <c r="O247" s="162">
        <f>IFERROR(""&amp;INDEX(tk_ANCHOR,MATCH(241,tk_ASEQ,0)),"")</f>
        <v/>
      </c>
      <c r="P247" s="162">
        <f>IFERROR(""&amp;INDEX(tk_RATING,MATCH(241,tk_ASEQ,0)),"")</f>
        <v/>
      </c>
      <c r="Q247" s="162">
        <f>IFERROR(""&amp;INDEX(tk_LABEL,MATCH(241,tk_ASEQ,0)),"")</f>
        <v/>
      </c>
      <c r="R247" s="162">
        <f>IFERROR(""&amp;INDEX(tk_HWSET,MATCH(241,tk_ASEQ,0)),"")</f>
        <v/>
      </c>
      <c r="S247" s="162">
        <f>IFERROR(IF(""&amp;INDEX(tk_HINGES,MATCH(241,tk_ASEQ,0))="","",INDEX(tk_HINGES,MATCH(241,tk_ASEQ,0))&amp;" · "&amp;INDEX(tk_LSRC,MATCH(241,tk_ASEQ,0))),"")</f>
        <v/>
      </c>
      <c r="T247" s="162">
        <f>IFERROR(""&amp;INDEX(tk_LOCK,MATCH(241,tk_ASEQ,0)),"")</f>
        <v/>
      </c>
      <c r="U247" s="162">
        <f>IFERROR(INDEX(tk_ETYPE,MATCH(241,tk_ASEQ,0)),"")</f>
        <v/>
      </c>
      <c r="V247" s="162">
        <f>IFERROR(""&amp;INDEX(tk_CHECK,MATCH(241,tk_ASEQ,0)),"")</f>
        <v/>
      </c>
      <c r="W247" s="162">
        <f>IFERROR(TRIM(INDEX(tk_DNOTES,MATCH(241,tk_ASEQ,0))&amp;" "&amp;INDEX(tk_FNOTES,MATCH(241,tk_ASEQ,0))),"")</f>
        <v/>
      </c>
    </row>
    <row r="248">
      <c r="A248" s="161">
        <f>IFERROR(""&amp;INDEX(tk_MARK,MATCH(242,tk_ASEQ,0)),"")</f>
        <v/>
      </c>
      <c r="B248" s="162">
        <f>IFERROR(""&amp;INDEX(tk_ROOMF,MATCH(242,tk_ASEQ,0)),"")</f>
        <v/>
      </c>
      <c r="C248" s="162">
        <f>IFERROR(""&amp;INDEX(tk_ROOMT,MATCH(242,tk_ASEQ,0)),"")</f>
        <v/>
      </c>
      <c r="D248" s="162">
        <f>IFERROR(INDEX(tk_QTY,MATCH(242,tk_ASEQ,0)),"")</f>
        <v/>
      </c>
      <c r="E248" s="162">
        <f>IFERROR(""&amp;INDEX(tk_SIZE,MATCH(242,tk_ASEQ,0)),"")</f>
        <v/>
      </c>
      <c r="F248" s="162">
        <f>IFERROR(""&amp;INDEX(tk_PAIR,MATCH(242,tk_ASEQ,0)),"")</f>
        <v/>
      </c>
      <c r="G248" s="162">
        <f>IFERROR(""&amp;INDEX(tk_DMAT,MATCH(242,tk_ASEQ,0)),"")</f>
        <v/>
      </c>
      <c r="H248" s="162">
        <f>IFERROR(""&amp;INDEX(tk_DGA,MATCH(242,tk_ASEQ,0)),"")</f>
        <v/>
      </c>
      <c r="I248" s="162">
        <f>IFERROR(""&amp;INDEX(tk_FACE,MATCH(242,tk_ASEQ,0)),"")</f>
        <v/>
      </c>
      <c r="J248" s="162">
        <f>IFERROR(IF(INDEX(tk_DHAND,MATCH(242,tk_ASEQ,0))="",""&amp;INDEX(tk_HAND,MATCH(242,tk_ASEQ,0)),""&amp;INDEX(tk_DHAND,MATCH(242,tk_ASEQ,0))),"")</f>
        <v/>
      </c>
      <c r="K248" s="162">
        <f>IFERROR(""&amp;INDEX(tk_FDESC,MATCH(242,tk_ASEQ,0)),"")</f>
        <v/>
      </c>
      <c r="L248" s="162">
        <f>IFERROR(INDEX(tk_STEEL,MATCH(242,tk_ASEQ,0))&amp;IF(INDEX(tk_FGA,MATCH(242,tk_ASEQ,0))="",""," "&amp;INDEX(tk_FGA,MATCH(242,tk_ASEQ,0))&amp;"GA"),"")</f>
        <v/>
      </c>
      <c r="M248" s="162">
        <f>IFERROR(IFERROR(VLOOKUP(INDEX(tk_JAMB,MATCH(242,tk_ASEQ,0)),CODES,2,FALSE),""&amp;INDEX(tk_JAMB,MATCH(242,tk_ASEQ,0))),"")</f>
        <v/>
      </c>
      <c r="N248" s="162">
        <f>IFERROR(""&amp;INDEX(tk_CONSTR,MATCH(242,tk_ASEQ,0)),"")</f>
        <v/>
      </c>
      <c r="O248" s="162">
        <f>IFERROR(""&amp;INDEX(tk_ANCHOR,MATCH(242,tk_ASEQ,0)),"")</f>
        <v/>
      </c>
      <c r="P248" s="162">
        <f>IFERROR(""&amp;INDEX(tk_RATING,MATCH(242,tk_ASEQ,0)),"")</f>
        <v/>
      </c>
      <c r="Q248" s="162">
        <f>IFERROR(""&amp;INDEX(tk_LABEL,MATCH(242,tk_ASEQ,0)),"")</f>
        <v/>
      </c>
      <c r="R248" s="162">
        <f>IFERROR(""&amp;INDEX(tk_HWSET,MATCH(242,tk_ASEQ,0)),"")</f>
        <v/>
      </c>
      <c r="S248" s="162">
        <f>IFERROR(IF(""&amp;INDEX(tk_HINGES,MATCH(242,tk_ASEQ,0))="","",INDEX(tk_HINGES,MATCH(242,tk_ASEQ,0))&amp;" · "&amp;INDEX(tk_LSRC,MATCH(242,tk_ASEQ,0))),"")</f>
        <v/>
      </c>
      <c r="T248" s="162">
        <f>IFERROR(""&amp;INDEX(tk_LOCK,MATCH(242,tk_ASEQ,0)),"")</f>
        <v/>
      </c>
      <c r="U248" s="162">
        <f>IFERROR(INDEX(tk_ETYPE,MATCH(242,tk_ASEQ,0)),"")</f>
        <v/>
      </c>
      <c r="V248" s="162">
        <f>IFERROR(""&amp;INDEX(tk_CHECK,MATCH(242,tk_ASEQ,0)),"")</f>
        <v/>
      </c>
      <c r="W248" s="162">
        <f>IFERROR(TRIM(INDEX(tk_DNOTES,MATCH(242,tk_ASEQ,0))&amp;" "&amp;INDEX(tk_FNOTES,MATCH(242,tk_ASEQ,0))),"")</f>
        <v/>
      </c>
    </row>
    <row r="249">
      <c r="A249" s="161">
        <f>IFERROR(""&amp;INDEX(tk_MARK,MATCH(243,tk_ASEQ,0)),"")</f>
        <v/>
      </c>
      <c r="B249" s="162">
        <f>IFERROR(""&amp;INDEX(tk_ROOMF,MATCH(243,tk_ASEQ,0)),"")</f>
        <v/>
      </c>
      <c r="C249" s="162">
        <f>IFERROR(""&amp;INDEX(tk_ROOMT,MATCH(243,tk_ASEQ,0)),"")</f>
        <v/>
      </c>
      <c r="D249" s="162">
        <f>IFERROR(INDEX(tk_QTY,MATCH(243,tk_ASEQ,0)),"")</f>
        <v/>
      </c>
      <c r="E249" s="162">
        <f>IFERROR(""&amp;INDEX(tk_SIZE,MATCH(243,tk_ASEQ,0)),"")</f>
        <v/>
      </c>
      <c r="F249" s="162">
        <f>IFERROR(""&amp;INDEX(tk_PAIR,MATCH(243,tk_ASEQ,0)),"")</f>
        <v/>
      </c>
      <c r="G249" s="162">
        <f>IFERROR(""&amp;INDEX(tk_DMAT,MATCH(243,tk_ASEQ,0)),"")</f>
        <v/>
      </c>
      <c r="H249" s="162">
        <f>IFERROR(""&amp;INDEX(tk_DGA,MATCH(243,tk_ASEQ,0)),"")</f>
        <v/>
      </c>
      <c r="I249" s="162">
        <f>IFERROR(""&amp;INDEX(tk_FACE,MATCH(243,tk_ASEQ,0)),"")</f>
        <v/>
      </c>
      <c r="J249" s="162">
        <f>IFERROR(IF(INDEX(tk_DHAND,MATCH(243,tk_ASEQ,0))="",""&amp;INDEX(tk_HAND,MATCH(243,tk_ASEQ,0)),""&amp;INDEX(tk_DHAND,MATCH(243,tk_ASEQ,0))),"")</f>
        <v/>
      </c>
      <c r="K249" s="162">
        <f>IFERROR(""&amp;INDEX(tk_FDESC,MATCH(243,tk_ASEQ,0)),"")</f>
        <v/>
      </c>
      <c r="L249" s="162">
        <f>IFERROR(INDEX(tk_STEEL,MATCH(243,tk_ASEQ,0))&amp;IF(INDEX(tk_FGA,MATCH(243,tk_ASEQ,0))="",""," "&amp;INDEX(tk_FGA,MATCH(243,tk_ASEQ,0))&amp;"GA"),"")</f>
        <v/>
      </c>
      <c r="M249" s="162">
        <f>IFERROR(IFERROR(VLOOKUP(INDEX(tk_JAMB,MATCH(243,tk_ASEQ,0)),CODES,2,FALSE),""&amp;INDEX(tk_JAMB,MATCH(243,tk_ASEQ,0))),"")</f>
        <v/>
      </c>
      <c r="N249" s="162">
        <f>IFERROR(""&amp;INDEX(tk_CONSTR,MATCH(243,tk_ASEQ,0)),"")</f>
        <v/>
      </c>
      <c r="O249" s="162">
        <f>IFERROR(""&amp;INDEX(tk_ANCHOR,MATCH(243,tk_ASEQ,0)),"")</f>
        <v/>
      </c>
      <c r="P249" s="162">
        <f>IFERROR(""&amp;INDEX(tk_RATING,MATCH(243,tk_ASEQ,0)),"")</f>
        <v/>
      </c>
      <c r="Q249" s="162">
        <f>IFERROR(""&amp;INDEX(tk_LABEL,MATCH(243,tk_ASEQ,0)),"")</f>
        <v/>
      </c>
      <c r="R249" s="162">
        <f>IFERROR(""&amp;INDEX(tk_HWSET,MATCH(243,tk_ASEQ,0)),"")</f>
        <v/>
      </c>
      <c r="S249" s="162">
        <f>IFERROR(IF(""&amp;INDEX(tk_HINGES,MATCH(243,tk_ASEQ,0))="","",INDEX(tk_HINGES,MATCH(243,tk_ASEQ,0))&amp;" · "&amp;INDEX(tk_LSRC,MATCH(243,tk_ASEQ,0))),"")</f>
        <v/>
      </c>
      <c r="T249" s="162">
        <f>IFERROR(""&amp;INDEX(tk_LOCK,MATCH(243,tk_ASEQ,0)),"")</f>
        <v/>
      </c>
      <c r="U249" s="162">
        <f>IFERROR(INDEX(tk_ETYPE,MATCH(243,tk_ASEQ,0)),"")</f>
        <v/>
      </c>
      <c r="V249" s="162">
        <f>IFERROR(""&amp;INDEX(tk_CHECK,MATCH(243,tk_ASEQ,0)),"")</f>
        <v/>
      </c>
      <c r="W249" s="162">
        <f>IFERROR(TRIM(INDEX(tk_DNOTES,MATCH(243,tk_ASEQ,0))&amp;" "&amp;INDEX(tk_FNOTES,MATCH(243,tk_ASEQ,0))),"")</f>
        <v/>
      </c>
    </row>
    <row r="250">
      <c r="A250" s="161">
        <f>IFERROR(""&amp;INDEX(tk_MARK,MATCH(244,tk_ASEQ,0)),"")</f>
        <v/>
      </c>
      <c r="B250" s="162">
        <f>IFERROR(""&amp;INDEX(tk_ROOMF,MATCH(244,tk_ASEQ,0)),"")</f>
        <v/>
      </c>
      <c r="C250" s="162">
        <f>IFERROR(""&amp;INDEX(tk_ROOMT,MATCH(244,tk_ASEQ,0)),"")</f>
        <v/>
      </c>
      <c r="D250" s="162">
        <f>IFERROR(INDEX(tk_QTY,MATCH(244,tk_ASEQ,0)),"")</f>
        <v/>
      </c>
      <c r="E250" s="162">
        <f>IFERROR(""&amp;INDEX(tk_SIZE,MATCH(244,tk_ASEQ,0)),"")</f>
        <v/>
      </c>
      <c r="F250" s="162">
        <f>IFERROR(""&amp;INDEX(tk_PAIR,MATCH(244,tk_ASEQ,0)),"")</f>
        <v/>
      </c>
      <c r="G250" s="162">
        <f>IFERROR(""&amp;INDEX(tk_DMAT,MATCH(244,tk_ASEQ,0)),"")</f>
        <v/>
      </c>
      <c r="H250" s="162">
        <f>IFERROR(""&amp;INDEX(tk_DGA,MATCH(244,tk_ASEQ,0)),"")</f>
        <v/>
      </c>
      <c r="I250" s="162">
        <f>IFERROR(""&amp;INDEX(tk_FACE,MATCH(244,tk_ASEQ,0)),"")</f>
        <v/>
      </c>
      <c r="J250" s="162">
        <f>IFERROR(IF(INDEX(tk_DHAND,MATCH(244,tk_ASEQ,0))="",""&amp;INDEX(tk_HAND,MATCH(244,tk_ASEQ,0)),""&amp;INDEX(tk_DHAND,MATCH(244,tk_ASEQ,0))),"")</f>
        <v/>
      </c>
      <c r="K250" s="162">
        <f>IFERROR(""&amp;INDEX(tk_FDESC,MATCH(244,tk_ASEQ,0)),"")</f>
        <v/>
      </c>
      <c r="L250" s="162">
        <f>IFERROR(INDEX(tk_STEEL,MATCH(244,tk_ASEQ,0))&amp;IF(INDEX(tk_FGA,MATCH(244,tk_ASEQ,0))="",""," "&amp;INDEX(tk_FGA,MATCH(244,tk_ASEQ,0))&amp;"GA"),"")</f>
        <v/>
      </c>
      <c r="M250" s="162">
        <f>IFERROR(IFERROR(VLOOKUP(INDEX(tk_JAMB,MATCH(244,tk_ASEQ,0)),CODES,2,FALSE),""&amp;INDEX(tk_JAMB,MATCH(244,tk_ASEQ,0))),"")</f>
        <v/>
      </c>
      <c r="N250" s="162">
        <f>IFERROR(""&amp;INDEX(tk_CONSTR,MATCH(244,tk_ASEQ,0)),"")</f>
        <v/>
      </c>
      <c r="O250" s="162">
        <f>IFERROR(""&amp;INDEX(tk_ANCHOR,MATCH(244,tk_ASEQ,0)),"")</f>
        <v/>
      </c>
      <c r="P250" s="162">
        <f>IFERROR(""&amp;INDEX(tk_RATING,MATCH(244,tk_ASEQ,0)),"")</f>
        <v/>
      </c>
      <c r="Q250" s="162">
        <f>IFERROR(""&amp;INDEX(tk_LABEL,MATCH(244,tk_ASEQ,0)),"")</f>
        <v/>
      </c>
      <c r="R250" s="162">
        <f>IFERROR(""&amp;INDEX(tk_HWSET,MATCH(244,tk_ASEQ,0)),"")</f>
        <v/>
      </c>
      <c r="S250" s="162">
        <f>IFERROR(IF(""&amp;INDEX(tk_HINGES,MATCH(244,tk_ASEQ,0))="","",INDEX(tk_HINGES,MATCH(244,tk_ASEQ,0))&amp;" · "&amp;INDEX(tk_LSRC,MATCH(244,tk_ASEQ,0))),"")</f>
        <v/>
      </c>
      <c r="T250" s="162">
        <f>IFERROR(""&amp;INDEX(tk_LOCK,MATCH(244,tk_ASEQ,0)),"")</f>
        <v/>
      </c>
      <c r="U250" s="162">
        <f>IFERROR(INDEX(tk_ETYPE,MATCH(244,tk_ASEQ,0)),"")</f>
        <v/>
      </c>
      <c r="V250" s="162">
        <f>IFERROR(""&amp;INDEX(tk_CHECK,MATCH(244,tk_ASEQ,0)),"")</f>
        <v/>
      </c>
      <c r="W250" s="162">
        <f>IFERROR(TRIM(INDEX(tk_DNOTES,MATCH(244,tk_ASEQ,0))&amp;" "&amp;INDEX(tk_FNOTES,MATCH(244,tk_ASEQ,0))),"")</f>
        <v/>
      </c>
    </row>
    <row r="251">
      <c r="A251" s="161">
        <f>IFERROR(""&amp;INDEX(tk_MARK,MATCH(245,tk_ASEQ,0)),"")</f>
        <v/>
      </c>
      <c r="B251" s="162">
        <f>IFERROR(""&amp;INDEX(tk_ROOMF,MATCH(245,tk_ASEQ,0)),"")</f>
        <v/>
      </c>
      <c r="C251" s="162">
        <f>IFERROR(""&amp;INDEX(tk_ROOMT,MATCH(245,tk_ASEQ,0)),"")</f>
        <v/>
      </c>
      <c r="D251" s="162">
        <f>IFERROR(INDEX(tk_QTY,MATCH(245,tk_ASEQ,0)),"")</f>
        <v/>
      </c>
      <c r="E251" s="162">
        <f>IFERROR(""&amp;INDEX(tk_SIZE,MATCH(245,tk_ASEQ,0)),"")</f>
        <v/>
      </c>
      <c r="F251" s="162">
        <f>IFERROR(""&amp;INDEX(tk_PAIR,MATCH(245,tk_ASEQ,0)),"")</f>
        <v/>
      </c>
      <c r="G251" s="162">
        <f>IFERROR(""&amp;INDEX(tk_DMAT,MATCH(245,tk_ASEQ,0)),"")</f>
        <v/>
      </c>
      <c r="H251" s="162">
        <f>IFERROR(""&amp;INDEX(tk_DGA,MATCH(245,tk_ASEQ,0)),"")</f>
        <v/>
      </c>
      <c r="I251" s="162">
        <f>IFERROR(""&amp;INDEX(tk_FACE,MATCH(245,tk_ASEQ,0)),"")</f>
        <v/>
      </c>
      <c r="J251" s="162">
        <f>IFERROR(IF(INDEX(tk_DHAND,MATCH(245,tk_ASEQ,0))="",""&amp;INDEX(tk_HAND,MATCH(245,tk_ASEQ,0)),""&amp;INDEX(tk_DHAND,MATCH(245,tk_ASEQ,0))),"")</f>
        <v/>
      </c>
      <c r="K251" s="162">
        <f>IFERROR(""&amp;INDEX(tk_FDESC,MATCH(245,tk_ASEQ,0)),"")</f>
        <v/>
      </c>
      <c r="L251" s="162">
        <f>IFERROR(INDEX(tk_STEEL,MATCH(245,tk_ASEQ,0))&amp;IF(INDEX(tk_FGA,MATCH(245,tk_ASEQ,0))="",""," "&amp;INDEX(tk_FGA,MATCH(245,tk_ASEQ,0))&amp;"GA"),"")</f>
        <v/>
      </c>
      <c r="M251" s="162">
        <f>IFERROR(IFERROR(VLOOKUP(INDEX(tk_JAMB,MATCH(245,tk_ASEQ,0)),CODES,2,FALSE),""&amp;INDEX(tk_JAMB,MATCH(245,tk_ASEQ,0))),"")</f>
        <v/>
      </c>
      <c r="N251" s="162">
        <f>IFERROR(""&amp;INDEX(tk_CONSTR,MATCH(245,tk_ASEQ,0)),"")</f>
        <v/>
      </c>
      <c r="O251" s="162">
        <f>IFERROR(""&amp;INDEX(tk_ANCHOR,MATCH(245,tk_ASEQ,0)),"")</f>
        <v/>
      </c>
      <c r="P251" s="162">
        <f>IFERROR(""&amp;INDEX(tk_RATING,MATCH(245,tk_ASEQ,0)),"")</f>
        <v/>
      </c>
      <c r="Q251" s="162">
        <f>IFERROR(""&amp;INDEX(tk_LABEL,MATCH(245,tk_ASEQ,0)),"")</f>
        <v/>
      </c>
      <c r="R251" s="162">
        <f>IFERROR(""&amp;INDEX(tk_HWSET,MATCH(245,tk_ASEQ,0)),"")</f>
        <v/>
      </c>
      <c r="S251" s="162">
        <f>IFERROR(IF(""&amp;INDEX(tk_HINGES,MATCH(245,tk_ASEQ,0))="","",INDEX(tk_HINGES,MATCH(245,tk_ASEQ,0))&amp;" · "&amp;INDEX(tk_LSRC,MATCH(245,tk_ASEQ,0))),"")</f>
        <v/>
      </c>
      <c r="T251" s="162">
        <f>IFERROR(""&amp;INDEX(tk_LOCK,MATCH(245,tk_ASEQ,0)),"")</f>
        <v/>
      </c>
      <c r="U251" s="162">
        <f>IFERROR(INDEX(tk_ETYPE,MATCH(245,tk_ASEQ,0)),"")</f>
        <v/>
      </c>
      <c r="V251" s="162">
        <f>IFERROR(""&amp;INDEX(tk_CHECK,MATCH(245,tk_ASEQ,0)),"")</f>
        <v/>
      </c>
      <c r="W251" s="162">
        <f>IFERROR(TRIM(INDEX(tk_DNOTES,MATCH(245,tk_ASEQ,0))&amp;" "&amp;INDEX(tk_FNOTES,MATCH(245,tk_ASEQ,0))),"")</f>
        <v/>
      </c>
    </row>
    <row r="252">
      <c r="A252" s="161">
        <f>IFERROR(""&amp;INDEX(tk_MARK,MATCH(246,tk_ASEQ,0)),"")</f>
        <v/>
      </c>
      <c r="B252" s="162">
        <f>IFERROR(""&amp;INDEX(tk_ROOMF,MATCH(246,tk_ASEQ,0)),"")</f>
        <v/>
      </c>
      <c r="C252" s="162">
        <f>IFERROR(""&amp;INDEX(tk_ROOMT,MATCH(246,tk_ASEQ,0)),"")</f>
        <v/>
      </c>
      <c r="D252" s="162">
        <f>IFERROR(INDEX(tk_QTY,MATCH(246,tk_ASEQ,0)),"")</f>
        <v/>
      </c>
      <c r="E252" s="162">
        <f>IFERROR(""&amp;INDEX(tk_SIZE,MATCH(246,tk_ASEQ,0)),"")</f>
        <v/>
      </c>
      <c r="F252" s="162">
        <f>IFERROR(""&amp;INDEX(tk_PAIR,MATCH(246,tk_ASEQ,0)),"")</f>
        <v/>
      </c>
      <c r="G252" s="162">
        <f>IFERROR(""&amp;INDEX(tk_DMAT,MATCH(246,tk_ASEQ,0)),"")</f>
        <v/>
      </c>
      <c r="H252" s="162">
        <f>IFERROR(""&amp;INDEX(tk_DGA,MATCH(246,tk_ASEQ,0)),"")</f>
        <v/>
      </c>
      <c r="I252" s="162">
        <f>IFERROR(""&amp;INDEX(tk_FACE,MATCH(246,tk_ASEQ,0)),"")</f>
        <v/>
      </c>
      <c r="J252" s="162">
        <f>IFERROR(IF(INDEX(tk_DHAND,MATCH(246,tk_ASEQ,0))="",""&amp;INDEX(tk_HAND,MATCH(246,tk_ASEQ,0)),""&amp;INDEX(tk_DHAND,MATCH(246,tk_ASEQ,0))),"")</f>
        <v/>
      </c>
      <c r="K252" s="162">
        <f>IFERROR(""&amp;INDEX(tk_FDESC,MATCH(246,tk_ASEQ,0)),"")</f>
        <v/>
      </c>
      <c r="L252" s="162">
        <f>IFERROR(INDEX(tk_STEEL,MATCH(246,tk_ASEQ,0))&amp;IF(INDEX(tk_FGA,MATCH(246,tk_ASEQ,0))="",""," "&amp;INDEX(tk_FGA,MATCH(246,tk_ASEQ,0))&amp;"GA"),"")</f>
        <v/>
      </c>
      <c r="M252" s="162">
        <f>IFERROR(IFERROR(VLOOKUP(INDEX(tk_JAMB,MATCH(246,tk_ASEQ,0)),CODES,2,FALSE),""&amp;INDEX(tk_JAMB,MATCH(246,tk_ASEQ,0))),"")</f>
        <v/>
      </c>
      <c r="N252" s="162">
        <f>IFERROR(""&amp;INDEX(tk_CONSTR,MATCH(246,tk_ASEQ,0)),"")</f>
        <v/>
      </c>
      <c r="O252" s="162">
        <f>IFERROR(""&amp;INDEX(tk_ANCHOR,MATCH(246,tk_ASEQ,0)),"")</f>
        <v/>
      </c>
      <c r="P252" s="162">
        <f>IFERROR(""&amp;INDEX(tk_RATING,MATCH(246,tk_ASEQ,0)),"")</f>
        <v/>
      </c>
      <c r="Q252" s="162">
        <f>IFERROR(""&amp;INDEX(tk_LABEL,MATCH(246,tk_ASEQ,0)),"")</f>
        <v/>
      </c>
      <c r="R252" s="162">
        <f>IFERROR(""&amp;INDEX(tk_HWSET,MATCH(246,tk_ASEQ,0)),"")</f>
        <v/>
      </c>
      <c r="S252" s="162">
        <f>IFERROR(IF(""&amp;INDEX(tk_HINGES,MATCH(246,tk_ASEQ,0))="","",INDEX(tk_HINGES,MATCH(246,tk_ASEQ,0))&amp;" · "&amp;INDEX(tk_LSRC,MATCH(246,tk_ASEQ,0))),"")</f>
        <v/>
      </c>
      <c r="T252" s="162">
        <f>IFERROR(""&amp;INDEX(tk_LOCK,MATCH(246,tk_ASEQ,0)),"")</f>
        <v/>
      </c>
      <c r="U252" s="162">
        <f>IFERROR(INDEX(tk_ETYPE,MATCH(246,tk_ASEQ,0)),"")</f>
        <v/>
      </c>
      <c r="V252" s="162">
        <f>IFERROR(""&amp;INDEX(tk_CHECK,MATCH(246,tk_ASEQ,0)),"")</f>
        <v/>
      </c>
      <c r="W252" s="162">
        <f>IFERROR(TRIM(INDEX(tk_DNOTES,MATCH(246,tk_ASEQ,0))&amp;" "&amp;INDEX(tk_FNOTES,MATCH(246,tk_ASEQ,0))),"")</f>
        <v/>
      </c>
    </row>
    <row r="253">
      <c r="A253" s="161">
        <f>IFERROR(""&amp;INDEX(tk_MARK,MATCH(247,tk_ASEQ,0)),"")</f>
        <v/>
      </c>
      <c r="B253" s="162">
        <f>IFERROR(""&amp;INDEX(tk_ROOMF,MATCH(247,tk_ASEQ,0)),"")</f>
        <v/>
      </c>
      <c r="C253" s="162">
        <f>IFERROR(""&amp;INDEX(tk_ROOMT,MATCH(247,tk_ASEQ,0)),"")</f>
        <v/>
      </c>
      <c r="D253" s="162">
        <f>IFERROR(INDEX(tk_QTY,MATCH(247,tk_ASEQ,0)),"")</f>
        <v/>
      </c>
      <c r="E253" s="162">
        <f>IFERROR(""&amp;INDEX(tk_SIZE,MATCH(247,tk_ASEQ,0)),"")</f>
        <v/>
      </c>
      <c r="F253" s="162">
        <f>IFERROR(""&amp;INDEX(tk_PAIR,MATCH(247,tk_ASEQ,0)),"")</f>
        <v/>
      </c>
      <c r="G253" s="162">
        <f>IFERROR(""&amp;INDEX(tk_DMAT,MATCH(247,tk_ASEQ,0)),"")</f>
        <v/>
      </c>
      <c r="H253" s="162">
        <f>IFERROR(""&amp;INDEX(tk_DGA,MATCH(247,tk_ASEQ,0)),"")</f>
        <v/>
      </c>
      <c r="I253" s="162">
        <f>IFERROR(""&amp;INDEX(tk_FACE,MATCH(247,tk_ASEQ,0)),"")</f>
        <v/>
      </c>
      <c r="J253" s="162">
        <f>IFERROR(IF(INDEX(tk_DHAND,MATCH(247,tk_ASEQ,0))="",""&amp;INDEX(tk_HAND,MATCH(247,tk_ASEQ,0)),""&amp;INDEX(tk_DHAND,MATCH(247,tk_ASEQ,0))),"")</f>
        <v/>
      </c>
      <c r="K253" s="162">
        <f>IFERROR(""&amp;INDEX(tk_FDESC,MATCH(247,tk_ASEQ,0)),"")</f>
        <v/>
      </c>
      <c r="L253" s="162">
        <f>IFERROR(INDEX(tk_STEEL,MATCH(247,tk_ASEQ,0))&amp;IF(INDEX(tk_FGA,MATCH(247,tk_ASEQ,0))="",""," "&amp;INDEX(tk_FGA,MATCH(247,tk_ASEQ,0))&amp;"GA"),"")</f>
        <v/>
      </c>
      <c r="M253" s="162">
        <f>IFERROR(IFERROR(VLOOKUP(INDEX(tk_JAMB,MATCH(247,tk_ASEQ,0)),CODES,2,FALSE),""&amp;INDEX(tk_JAMB,MATCH(247,tk_ASEQ,0))),"")</f>
        <v/>
      </c>
      <c r="N253" s="162">
        <f>IFERROR(""&amp;INDEX(tk_CONSTR,MATCH(247,tk_ASEQ,0)),"")</f>
        <v/>
      </c>
      <c r="O253" s="162">
        <f>IFERROR(""&amp;INDEX(tk_ANCHOR,MATCH(247,tk_ASEQ,0)),"")</f>
        <v/>
      </c>
      <c r="P253" s="162">
        <f>IFERROR(""&amp;INDEX(tk_RATING,MATCH(247,tk_ASEQ,0)),"")</f>
        <v/>
      </c>
      <c r="Q253" s="162">
        <f>IFERROR(""&amp;INDEX(tk_LABEL,MATCH(247,tk_ASEQ,0)),"")</f>
        <v/>
      </c>
      <c r="R253" s="162">
        <f>IFERROR(""&amp;INDEX(tk_HWSET,MATCH(247,tk_ASEQ,0)),"")</f>
        <v/>
      </c>
      <c r="S253" s="162">
        <f>IFERROR(IF(""&amp;INDEX(tk_HINGES,MATCH(247,tk_ASEQ,0))="","",INDEX(tk_HINGES,MATCH(247,tk_ASEQ,0))&amp;" · "&amp;INDEX(tk_LSRC,MATCH(247,tk_ASEQ,0))),"")</f>
        <v/>
      </c>
      <c r="T253" s="162">
        <f>IFERROR(""&amp;INDEX(tk_LOCK,MATCH(247,tk_ASEQ,0)),"")</f>
        <v/>
      </c>
      <c r="U253" s="162">
        <f>IFERROR(INDEX(tk_ETYPE,MATCH(247,tk_ASEQ,0)),"")</f>
        <v/>
      </c>
      <c r="V253" s="162">
        <f>IFERROR(""&amp;INDEX(tk_CHECK,MATCH(247,tk_ASEQ,0)),"")</f>
        <v/>
      </c>
      <c r="W253" s="162">
        <f>IFERROR(TRIM(INDEX(tk_DNOTES,MATCH(247,tk_ASEQ,0))&amp;" "&amp;INDEX(tk_FNOTES,MATCH(247,tk_ASEQ,0))),"")</f>
        <v/>
      </c>
    </row>
    <row r="254">
      <c r="A254" s="161">
        <f>IFERROR(""&amp;INDEX(tk_MARK,MATCH(248,tk_ASEQ,0)),"")</f>
        <v/>
      </c>
      <c r="B254" s="162">
        <f>IFERROR(""&amp;INDEX(tk_ROOMF,MATCH(248,tk_ASEQ,0)),"")</f>
        <v/>
      </c>
      <c r="C254" s="162">
        <f>IFERROR(""&amp;INDEX(tk_ROOMT,MATCH(248,tk_ASEQ,0)),"")</f>
        <v/>
      </c>
      <c r="D254" s="162">
        <f>IFERROR(INDEX(tk_QTY,MATCH(248,tk_ASEQ,0)),"")</f>
        <v/>
      </c>
      <c r="E254" s="162">
        <f>IFERROR(""&amp;INDEX(tk_SIZE,MATCH(248,tk_ASEQ,0)),"")</f>
        <v/>
      </c>
      <c r="F254" s="162">
        <f>IFERROR(""&amp;INDEX(tk_PAIR,MATCH(248,tk_ASEQ,0)),"")</f>
        <v/>
      </c>
      <c r="G254" s="162">
        <f>IFERROR(""&amp;INDEX(tk_DMAT,MATCH(248,tk_ASEQ,0)),"")</f>
        <v/>
      </c>
      <c r="H254" s="162">
        <f>IFERROR(""&amp;INDEX(tk_DGA,MATCH(248,tk_ASEQ,0)),"")</f>
        <v/>
      </c>
      <c r="I254" s="162">
        <f>IFERROR(""&amp;INDEX(tk_FACE,MATCH(248,tk_ASEQ,0)),"")</f>
        <v/>
      </c>
      <c r="J254" s="162">
        <f>IFERROR(IF(INDEX(tk_DHAND,MATCH(248,tk_ASEQ,0))="",""&amp;INDEX(tk_HAND,MATCH(248,tk_ASEQ,0)),""&amp;INDEX(tk_DHAND,MATCH(248,tk_ASEQ,0))),"")</f>
        <v/>
      </c>
      <c r="K254" s="162">
        <f>IFERROR(""&amp;INDEX(tk_FDESC,MATCH(248,tk_ASEQ,0)),"")</f>
        <v/>
      </c>
      <c r="L254" s="162">
        <f>IFERROR(INDEX(tk_STEEL,MATCH(248,tk_ASEQ,0))&amp;IF(INDEX(tk_FGA,MATCH(248,tk_ASEQ,0))="",""," "&amp;INDEX(tk_FGA,MATCH(248,tk_ASEQ,0))&amp;"GA"),"")</f>
        <v/>
      </c>
      <c r="M254" s="162">
        <f>IFERROR(IFERROR(VLOOKUP(INDEX(tk_JAMB,MATCH(248,tk_ASEQ,0)),CODES,2,FALSE),""&amp;INDEX(tk_JAMB,MATCH(248,tk_ASEQ,0))),"")</f>
        <v/>
      </c>
      <c r="N254" s="162">
        <f>IFERROR(""&amp;INDEX(tk_CONSTR,MATCH(248,tk_ASEQ,0)),"")</f>
        <v/>
      </c>
      <c r="O254" s="162">
        <f>IFERROR(""&amp;INDEX(tk_ANCHOR,MATCH(248,tk_ASEQ,0)),"")</f>
        <v/>
      </c>
      <c r="P254" s="162">
        <f>IFERROR(""&amp;INDEX(tk_RATING,MATCH(248,tk_ASEQ,0)),"")</f>
        <v/>
      </c>
      <c r="Q254" s="162">
        <f>IFERROR(""&amp;INDEX(tk_LABEL,MATCH(248,tk_ASEQ,0)),"")</f>
        <v/>
      </c>
      <c r="R254" s="162">
        <f>IFERROR(""&amp;INDEX(tk_HWSET,MATCH(248,tk_ASEQ,0)),"")</f>
        <v/>
      </c>
      <c r="S254" s="162">
        <f>IFERROR(IF(""&amp;INDEX(tk_HINGES,MATCH(248,tk_ASEQ,0))="","",INDEX(tk_HINGES,MATCH(248,tk_ASEQ,0))&amp;" · "&amp;INDEX(tk_LSRC,MATCH(248,tk_ASEQ,0))),"")</f>
        <v/>
      </c>
      <c r="T254" s="162">
        <f>IFERROR(""&amp;INDEX(tk_LOCK,MATCH(248,tk_ASEQ,0)),"")</f>
        <v/>
      </c>
      <c r="U254" s="162">
        <f>IFERROR(INDEX(tk_ETYPE,MATCH(248,tk_ASEQ,0)),"")</f>
        <v/>
      </c>
      <c r="V254" s="162">
        <f>IFERROR(""&amp;INDEX(tk_CHECK,MATCH(248,tk_ASEQ,0)),"")</f>
        <v/>
      </c>
      <c r="W254" s="162">
        <f>IFERROR(TRIM(INDEX(tk_DNOTES,MATCH(248,tk_ASEQ,0))&amp;" "&amp;INDEX(tk_FNOTES,MATCH(248,tk_ASEQ,0))),"")</f>
        <v/>
      </c>
    </row>
    <row r="255">
      <c r="A255" s="161">
        <f>IFERROR(""&amp;INDEX(tk_MARK,MATCH(249,tk_ASEQ,0)),"")</f>
        <v/>
      </c>
      <c r="B255" s="162">
        <f>IFERROR(""&amp;INDEX(tk_ROOMF,MATCH(249,tk_ASEQ,0)),"")</f>
        <v/>
      </c>
      <c r="C255" s="162">
        <f>IFERROR(""&amp;INDEX(tk_ROOMT,MATCH(249,tk_ASEQ,0)),"")</f>
        <v/>
      </c>
      <c r="D255" s="162">
        <f>IFERROR(INDEX(tk_QTY,MATCH(249,tk_ASEQ,0)),"")</f>
        <v/>
      </c>
      <c r="E255" s="162">
        <f>IFERROR(""&amp;INDEX(tk_SIZE,MATCH(249,tk_ASEQ,0)),"")</f>
        <v/>
      </c>
      <c r="F255" s="162">
        <f>IFERROR(""&amp;INDEX(tk_PAIR,MATCH(249,tk_ASEQ,0)),"")</f>
        <v/>
      </c>
      <c r="G255" s="162">
        <f>IFERROR(""&amp;INDEX(tk_DMAT,MATCH(249,tk_ASEQ,0)),"")</f>
        <v/>
      </c>
      <c r="H255" s="162">
        <f>IFERROR(""&amp;INDEX(tk_DGA,MATCH(249,tk_ASEQ,0)),"")</f>
        <v/>
      </c>
      <c r="I255" s="162">
        <f>IFERROR(""&amp;INDEX(tk_FACE,MATCH(249,tk_ASEQ,0)),"")</f>
        <v/>
      </c>
      <c r="J255" s="162">
        <f>IFERROR(IF(INDEX(tk_DHAND,MATCH(249,tk_ASEQ,0))="",""&amp;INDEX(tk_HAND,MATCH(249,tk_ASEQ,0)),""&amp;INDEX(tk_DHAND,MATCH(249,tk_ASEQ,0))),"")</f>
        <v/>
      </c>
      <c r="K255" s="162">
        <f>IFERROR(""&amp;INDEX(tk_FDESC,MATCH(249,tk_ASEQ,0)),"")</f>
        <v/>
      </c>
      <c r="L255" s="162">
        <f>IFERROR(INDEX(tk_STEEL,MATCH(249,tk_ASEQ,0))&amp;IF(INDEX(tk_FGA,MATCH(249,tk_ASEQ,0))="",""," "&amp;INDEX(tk_FGA,MATCH(249,tk_ASEQ,0))&amp;"GA"),"")</f>
        <v/>
      </c>
      <c r="M255" s="162">
        <f>IFERROR(IFERROR(VLOOKUP(INDEX(tk_JAMB,MATCH(249,tk_ASEQ,0)),CODES,2,FALSE),""&amp;INDEX(tk_JAMB,MATCH(249,tk_ASEQ,0))),"")</f>
        <v/>
      </c>
      <c r="N255" s="162">
        <f>IFERROR(""&amp;INDEX(tk_CONSTR,MATCH(249,tk_ASEQ,0)),"")</f>
        <v/>
      </c>
      <c r="O255" s="162">
        <f>IFERROR(""&amp;INDEX(tk_ANCHOR,MATCH(249,tk_ASEQ,0)),"")</f>
        <v/>
      </c>
      <c r="P255" s="162">
        <f>IFERROR(""&amp;INDEX(tk_RATING,MATCH(249,tk_ASEQ,0)),"")</f>
        <v/>
      </c>
      <c r="Q255" s="162">
        <f>IFERROR(""&amp;INDEX(tk_LABEL,MATCH(249,tk_ASEQ,0)),"")</f>
        <v/>
      </c>
      <c r="R255" s="162">
        <f>IFERROR(""&amp;INDEX(tk_HWSET,MATCH(249,tk_ASEQ,0)),"")</f>
        <v/>
      </c>
      <c r="S255" s="162">
        <f>IFERROR(IF(""&amp;INDEX(tk_HINGES,MATCH(249,tk_ASEQ,0))="","",INDEX(tk_HINGES,MATCH(249,tk_ASEQ,0))&amp;" · "&amp;INDEX(tk_LSRC,MATCH(249,tk_ASEQ,0))),"")</f>
        <v/>
      </c>
      <c r="T255" s="162">
        <f>IFERROR(""&amp;INDEX(tk_LOCK,MATCH(249,tk_ASEQ,0)),"")</f>
        <v/>
      </c>
      <c r="U255" s="162">
        <f>IFERROR(INDEX(tk_ETYPE,MATCH(249,tk_ASEQ,0)),"")</f>
        <v/>
      </c>
      <c r="V255" s="162">
        <f>IFERROR(""&amp;INDEX(tk_CHECK,MATCH(249,tk_ASEQ,0)),"")</f>
        <v/>
      </c>
      <c r="W255" s="162">
        <f>IFERROR(TRIM(INDEX(tk_DNOTES,MATCH(249,tk_ASEQ,0))&amp;" "&amp;INDEX(tk_FNOTES,MATCH(249,tk_ASEQ,0))),"")</f>
        <v/>
      </c>
    </row>
    <row r="256">
      <c r="A256" s="161">
        <f>IFERROR(""&amp;INDEX(tk_MARK,MATCH(250,tk_ASEQ,0)),"")</f>
        <v/>
      </c>
      <c r="B256" s="162">
        <f>IFERROR(""&amp;INDEX(tk_ROOMF,MATCH(250,tk_ASEQ,0)),"")</f>
        <v/>
      </c>
      <c r="C256" s="162">
        <f>IFERROR(""&amp;INDEX(tk_ROOMT,MATCH(250,tk_ASEQ,0)),"")</f>
        <v/>
      </c>
      <c r="D256" s="162">
        <f>IFERROR(INDEX(tk_QTY,MATCH(250,tk_ASEQ,0)),"")</f>
        <v/>
      </c>
      <c r="E256" s="162">
        <f>IFERROR(""&amp;INDEX(tk_SIZE,MATCH(250,tk_ASEQ,0)),"")</f>
        <v/>
      </c>
      <c r="F256" s="162">
        <f>IFERROR(""&amp;INDEX(tk_PAIR,MATCH(250,tk_ASEQ,0)),"")</f>
        <v/>
      </c>
      <c r="G256" s="162">
        <f>IFERROR(""&amp;INDEX(tk_DMAT,MATCH(250,tk_ASEQ,0)),"")</f>
        <v/>
      </c>
      <c r="H256" s="162">
        <f>IFERROR(""&amp;INDEX(tk_DGA,MATCH(250,tk_ASEQ,0)),"")</f>
        <v/>
      </c>
      <c r="I256" s="162">
        <f>IFERROR(""&amp;INDEX(tk_FACE,MATCH(250,tk_ASEQ,0)),"")</f>
        <v/>
      </c>
      <c r="J256" s="162">
        <f>IFERROR(IF(INDEX(tk_DHAND,MATCH(250,tk_ASEQ,0))="",""&amp;INDEX(tk_HAND,MATCH(250,tk_ASEQ,0)),""&amp;INDEX(tk_DHAND,MATCH(250,tk_ASEQ,0))),"")</f>
        <v/>
      </c>
      <c r="K256" s="162">
        <f>IFERROR(""&amp;INDEX(tk_FDESC,MATCH(250,tk_ASEQ,0)),"")</f>
        <v/>
      </c>
      <c r="L256" s="162">
        <f>IFERROR(INDEX(tk_STEEL,MATCH(250,tk_ASEQ,0))&amp;IF(INDEX(tk_FGA,MATCH(250,tk_ASEQ,0))="",""," "&amp;INDEX(tk_FGA,MATCH(250,tk_ASEQ,0))&amp;"GA"),"")</f>
        <v/>
      </c>
      <c r="M256" s="162">
        <f>IFERROR(IFERROR(VLOOKUP(INDEX(tk_JAMB,MATCH(250,tk_ASEQ,0)),CODES,2,FALSE),""&amp;INDEX(tk_JAMB,MATCH(250,tk_ASEQ,0))),"")</f>
        <v/>
      </c>
      <c r="N256" s="162">
        <f>IFERROR(""&amp;INDEX(tk_CONSTR,MATCH(250,tk_ASEQ,0)),"")</f>
        <v/>
      </c>
      <c r="O256" s="162">
        <f>IFERROR(""&amp;INDEX(tk_ANCHOR,MATCH(250,tk_ASEQ,0)),"")</f>
        <v/>
      </c>
      <c r="P256" s="162">
        <f>IFERROR(""&amp;INDEX(tk_RATING,MATCH(250,tk_ASEQ,0)),"")</f>
        <v/>
      </c>
      <c r="Q256" s="162">
        <f>IFERROR(""&amp;INDEX(tk_LABEL,MATCH(250,tk_ASEQ,0)),"")</f>
        <v/>
      </c>
      <c r="R256" s="162">
        <f>IFERROR(""&amp;INDEX(tk_HWSET,MATCH(250,tk_ASEQ,0)),"")</f>
        <v/>
      </c>
      <c r="S256" s="162">
        <f>IFERROR(IF(""&amp;INDEX(tk_HINGES,MATCH(250,tk_ASEQ,0))="","",INDEX(tk_HINGES,MATCH(250,tk_ASEQ,0))&amp;" · "&amp;INDEX(tk_LSRC,MATCH(250,tk_ASEQ,0))),"")</f>
        <v/>
      </c>
      <c r="T256" s="162">
        <f>IFERROR(""&amp;INDEX(tk_LOCK,MATCH(250,tk_ASEQ,0)),"")</f>
        <v/>
      </c>
      <c r="U256" s="162">
        <f>IFERROR(INDEX(tk_ETYPE,MATCH(250,tk_ASEQ,0)),"")</f>
        <v/>
      </c>
      <c r="V256" s="162">
        <f>IFERROR(""&amp;INDEX(tk_CHECK,MATCH(250,tk_ASEQ,0)),"")</f>
        <v/>
      </c>
      <c r="W256" s="162">
        <f>IFERROR(TRIM(INDEX(tk_DNOTES,MATCH(250,tk_ASEQ,0))&amp;" "&amp;INDEX(tk_FNOTES,MATCH(250,tk_ASEQ,0))),"")</f>
        <v/>
      </c>
    </row>
    <row r="257">
      <c r="A257" s="161">
        <f>IFERROR(""&amp;INDEX(tk_MARK,MATCH(251,tk_ASEQ,0)),"")</f>
        <v/>
      </c>
      <c r="B257" s="162">
        <f>IFERROR(""&amp;INDEX(tk_ROOMF,MATCH(251,tk_ASEQ,0)),"")</f>
        <v/>
      </c>
      <c r="C257" s="162">
        <f>IFERROR(""&amp;INDEX(tk_ROOMT,MATCH(251,tk_ASEQ,0)),"")</f>
        <v/>
      </c>
      <c r="D257" s="162">
        <f>IFERROR(INDEX(tk_QTY,MATCH(251,tk_ASEQ,0)),"")</f>
        <v/>
      </c>
      <c r="E257" s="162">
        <f>IFERROR(""&amp;INDEX(tk_SIZE,MATCH(251,tk_ASEQ,0)),"")</f>
        <v/>
      </c>
      <c r="F257" s="162">
        <f>IFERROR(""&amp;INDEX(tk_PAIR,MATCH(251,tk_ASEQ,0)),"")</f>
        <v/>
      </c>
      <c r="G257" s="162">
        <f>IFERROR(""&amp;INDEX(tk_DMAT,MATCH(251,tk_ASEQ,0)),"")</f>
        <v/>
      </c>
      <c r="H257" s="162">
        <f>IFERROR(""&amp;INDEX(tk_DGA,MATCH(251,tk_ASEQ,0)),"")</f>
        <v/>
      </c>
      <c r="I257" s="162">
        <f>IFERROR(""&amp;INDEX(tk_FACE,MATCH(251,tk_ASEQ,0)),"")</f>
        <v/>
      </c>
      <c r="J257" s="162">
        <f>IFERROR(IF(INDEX(tk_DHAND,MATCH(251,tk_ASEQ,0))="",""&amp;INDEX(tk_HAND,MATCH(251,tk_ASEQ,0)),""&amp;INDEX(tk_DHAND,MATCH(251,tk_ASEQ,0))),"")</f>
        <v/>
      </c>
      <c r="K257" s="162">
        <f>IFERROR(""&amp;INDEX(tk_FDESC,MATCH(251,tk_ASEQ,0)),"")</f>
        <v/>
      </c>
      <c r="L257" s="162">
        <f>IFERROR(INDEX(tk_STEEL,MATCH(251,tk_ASEQ,0))&amp;IF(INDEX(tk_FGA,MATCH(251,tk_ASEQ,0))="",""," "&amp;INDEX(tk_FGA,MATCH(251,tk_ASEQ,0))&amp;"GA"),"")</f>
        <v/>
      </c>
      <c r="M257" s="162">
        <f>IFERROR(IFERROR(VLOOKUP(INDEX(tk_JAMB,MATCH(251,tk_ASEQ,0)),CODES,2,FALSE),""&amp;INDEX(tk_JAMB,MATCH(251,tk_ASEQ,0))),"")</f>
        <v/>
      </c>
      <c r="N257" s="162">
        <f>IFERROR(""&amp;INDEX(tk_CONSTR,MATCH(251,tk_ASEQ,0)),"")</f>
        <v/>
      </c>
      <c r="O257" s="162">
        <f>IFERROR(""&amp;INDEX(tk_ANCHOR,MATCH(251,tk_ASEQ,0)),"")</f>
        <v/>
      </c>
      <c r="P257" s="162">
        <f>IFERROR(""&amp;INDEX(tk_RATING,MATCH(251,tk_ASEQ,0)),"")</f>
        <v/>
      </c>
      <c r="Q257" s="162">
        <f>IFERROR(""&amp;INDEX(tk_LABEL,MATCH(251,tk_ASEQ,0)),"")</f>
        <v/>
      </c>
      <c r="R257" s="162">
        <f>IFERROR(""&amp;INDEX(tk_HWSET,MATCH(251,tk_ASEQ,0)),"")</f>
        <v/>
      </c>
      <c r="S257" s="162">
        <f>IFERROR(IF(""&amp;INDEX(tk_HINGES,MATCH(251,tk_ASEQ,0))="","",INDEX(tk_HINGES,MATCH(251,tk_ASEQ,0))&amp;" · "&amp;INDEX(tk_LSRC,MATCH(251,tk_ASEQ,0))),"")</f>
        <v/>
      </c>
      <c r="T257" s="162">
        <f>IFERROR(""&amp;INDEX(tk_LOCK,MATCH(251,tk_ASEQ,0)),"")</f>
        <v/>
      </c>
      <c r="U257" s="162">
        <f>IFERROR(INDEX(tk_ETYPE,MATCH(251,tk_ASEQ,0)),"")</f>
        <v/>
      </c>
      <c r="V257" s="162">
        <f>IFERROR(""&amp;INDEX(tk_CHECK,MATCH(251,tk_ASEQ,0)),"")</f>
        <v/>
      </c>
      <c r="W257" s="162">
        <f>IFERROR(TRIM(INDEX(tk_DNOTES,MATCH(251,tk_ASEQ,0))&amp;" "&amp;INDEX(tk_FNOTES,MATCH(251,tk_ASEQ,0))),"")</f>
        <v/>
      </c>
    </row>
    <row r="258">
      <c r="A258" s="161">
        <f>IFERROR(""&amp;INDEX(tk_MARK,MATCH(252,tk_ASEQ,0)),"")</f>
        <v/>
      </c>
      <c r="B258" s="162">
        <f>IFERROR(""&amp;INDEX(tk_ROOMF,MATCH(252,tk_ASEQ,0)),"")</f>
        <v/>
      </c>
      <c r="C258" s="162">
        <f>IFERROR(""&amp;INDEX(tk_ROOMT,MATCH(252,tk_ASEQ,0)),"")</f>
        <v/>
      </c>
      <c r="D258" s="162">
        <f>IFERROR(INDEX(tk_QTY,MATCH(252,tk_ASEQ,0)),"")</f>
        <v/>
      </c>
      <c r="E258" s="162">
        <f>IFERROR(""&amp;INDEX(tk_SIZE,MATCH(252,tk_ASEQ,0)),"")</f>
        <v/>
      </c>
      <c r="F258" s="162">
        <f>IFERROR(""&amp;INDEX(tk_PAIR,MATCH(252,tk_ASEQ,0)),"")</f>
        <v/>
      </c>
      <c r="G258" s="162">
        <f>IFERROR(""&amp;INDEX(tk_DMAT,MATCH(252,tk_ASEQ,0)),"")</f>
        <v/>
      </c>
      <c r="H258" s="162">
        <f>IFERROR(""&amp;INDEX(tk_DGA,MATCH(252,tk_ASEQ,0)),"")</f>
        <v/>
      </c>
      <c r="I258" s="162">
        <f>IFERROR(""&amp;INDEX(tk_FACE,MATCH(252,tk_ASEQ,0)),"")</f>
        <v/>
      </c>
      <c r="J258" s="162">
        <f>IFERROR(IF(INDEX(tk_DHAND,MATCH(252,tk_ASEQ,0))="",""&amp;INDEX(tk_HAND,MATCH(252,tk_ASEQ,0)),""&amp;INDEX(tk_DHAND,MATCH(252,tk_ASEQ,0))),"")</f>
        <v/>
      </c>
      <c r="K258" s="162">
        <f>IFERROR(""&amp;INDEX(tk_FDESC,MATCH(252,tk_ASEQ,0)),"")</f>
        <v/>
      </c>
      <c r="L258" s="162">
        <f>IFERROR(INDEX(tk_STEEL,MATCH(252,tk_ASEQ,0))&amp;IF(INDEX(tk_FGA,MATCH(252,tk_ASEQ,0))="",""," "&amp;INDEX(tk_FGA,MATCH(252,tk_ASEQ,0))&amp;"GA"),"")</f>
        <v/>
      </c>
      <c r="M258" s="162">
        <f>IFERROR(IFERROR(VLOOKUP(INDEX(tk_JAMB,MATCH(252,tk_ASEQ,0)),CODES,2,FALSE),""&amp;INDEX(tk_JAMB,MATCH(252,tk_ASEQ,0))),"")</f>
        <v/>
      </c>
      <c r="N258" s="162">
        <f>IFERROR(""&amp;INDEX(tk_CONSTR,MATCH(252,tk_ASEQ,0)),"")</f>
        <v/>
      </c>
      <c r="O258" s="162">
        <f>IFERROR(""&amp;INDEX(tk_ANCHOR,MATCH(252,tk_ASEQ,0)),"")</f>
        <v/>
      </c>
      <c r="P258" s="162">
        <f>IFERROR(""&amp;INDEX(tk_RATING,MATCH(252,tk_ASEQ,0)),"")</f>
        <v/>
      </c>
      <c r="Q258" s="162">
        <f>IFERROR(""&amp;INDEX(tk_LABEL,MATCH(252,tk_ASEQ,0)),"")</f>
        <v/>
      </c>
      <c r="R258" s="162">
        <f>IFERROR(""&amp;INDEX(tk_HWSET,MATCH(252,tk_ASEQ,0)),"")</f>
        <v/>
      </c>
      <c r="S258" s="162">
        <f>IFERROR(IF(""&amp;INDEX(tk_HINGES,MATCH(252,tk_ASEQ,0))="","",INDEX(tk_HINGES,MATCH(252,tk_ASEQ,0))&amp;" · "&amp;INDEX(tk_LSRC,MATCH(252,tk_ASEQ,0))),"")</f>
        <v/>
      </c>
      <c r="T258" s="162">
        <f>IFERROR(""&amp;INDEX(tk_LOCK,MATCH(252,tk_ASEQ,0)),"")</f>
        <v/>
      </c>
      <c r="U258" s="162">
        <f>IFERROR(INDEX(tk_ETYPE,MATCH(252,tk_ASEQ,0)),"")</f>
        <v/>
      </c>
      <c r="V258" s="162">
        <f>IFERROR(""&amp;INDEX(tk_CHECK,MATCH(252,tk_ASEQ,0)),"")</f>
        <v/>
      </c>
      <c r="W258" s="162">
        <f>IFERROR(TRIM(INDEX(tk_DNOTES,MATCH(252,tk_ASEQ,0))&amp;" "&amp;INDEX(tk_FNOTES,MATCH(252,tk_ASEQ,0))),"")</f>
        <v/>
      </c>
    </row>
    <row r="259">
      <c r="A259" s="161">
        <f>IFERROR(""&amp;INDEX(tk_MARK,MATCH(253,tk_ASEQ,0)),"")</f>
        <v/>
      </c>
      <c r="B259" s="162">
        <f>IFERROR(""&amp;INDEX(tk_ROOMF,MATCH(253,tk_ASEQ,0)),"")</f>
        <v/>
      </c>
      <c r="C259" s="162">
        <f>IFERROR(""&amp;INDEX(tk_ROOMT,MATCH(253,tk_ASEQ,0)),"")</f>
        <v/>
      </c>
      <c r="D259" s="162">
        <f>IFERROR(INDEX(tk_QTY,MATCH(253,tk_ASEQ,0)),"")</f>
        <v/>
      </c>
      <c r="E259" s="162">
        <f>IFERROR(""&amp;INDEX(tk_SIZE,MATCH(253,tk_ASEQ,0)),"")</f>
        <v/>
      </c>
      <c r="F259" s="162">
        <f>IFERROR(""&amp;INDEX(tk_PAIR,MATCH(253,tk_ASEQ,0)),"")</f>
        <v/>
      </c>
      <c r="G259" s="162">
        <f>IFERROR(""&amp;INDEX(tk_DMAT,MATCH(253,tk_ASEQ,0)),"")</f>
        <v/>
      </c>
      <c r="H259" s="162">
        <f>IFERROR(""&amp;INDEX(tk_DGA,MATCH(253,tk_ASEQ,0)),"")</f>
        <v/>
      </c>
      <c r="I259" s="162">
        <f>IFERROR(""&amp;INDEX(tk_FACE,MATCH(253,tk_ASEQ,0)),"")</f>
        <v/>
      </c>
      <c r="J259" s="162">
        <f>IFERROR(IF(INDEX(tk_DHAND,MATCH(253,tk_ASEQ,0))="",""&amp;INDEX(tk_HAND,MATCH(253,tk_ASEQ,0)),""&amp;INDEX(tk_DHAND,MATCH(253,tk_ASEQ,0))),"")</f>
        <v/>
      </c>
      <c r="K259" s="162">
        <f>IFERROR(""&amp;INDEX(tk_FDESC,MATCH(253,tk_ASEQ,0)),"")</f>
        <v/>
      </c>
      <c r="L259" s="162">
        <f>IFERROR(INDEX(tk_STEEL,MATCH(253,tk_ASEQ,0))&amp;IF(INDEX(tk_FGA,MATCH(253,tk_ASEQ,0))="",""," "&amp;INDEX(tk_FGA,MATCH(253,tk_ASEQ,0))&amp;"GA"),"")</f>
        <v/>
      </c>
      <c r="M259" s="162">
        <f>IFERROR(IFERROR(VLOOKUP(INDEX(tk_JAMB,MATCH(253,tk_ASEQ,0)),CODES,2,FALSE),""&amp;INDEX(tk_JAMB,MATCH(253,tk_ASEQ,0))),"")</f>
        <v/>
      </c>
      <c r="N259" s="162">
        <f>IFERROR(""&amp;INDEX(tk_CONSTR,MATCH(253,tk_ASEQ,0)),"")</f>
        <v/>
      </c>
      <c r="O259" s="162">
        <f>IFERROR(""&amp;INDEX(tk_ANCHOR,MATCH(253,tk_ASEQ,0)),"")</f>
        <v/>
      </c>
      <c r="P259" s="162">
        <f>IFERROR(""&amp;INDEX(tk_RATING,MATCH(253,tk_ASEQ,0)),"")</f>
        <v/>
      </c>
      <c r="Q259" s="162">
        <f>IFERROR(""&amp;INDEX(tk_LABEL,MATCH(253,tk_ASEQ,0)),"")</f>
        <v/>
      </c>
      <c r="R259" s="162">
        <f>IFERROR(""&amp;INDEX(tk_HWSET,MATCH(253,tk_ASEQ,0)),"")</f>
        <v/>
      </c>
      <c r="S259" s="162">
        <f>IFERROR(IF(""&amp;INDEX(tk_HINGES,MATCH(253,tk_ASEQ,0))="","",INDEX(tk_HINGES,MATCH(253,tk_ASEQ,0))&amp;" · "&amp;INDEX(tk_LSRC,MATCH(253,tk_ASEQ,0))),"")</f>
        <v/>
      </c>
      <c r="T259" s="162">
        <f>IFERROR(""&amp;INDEX(tk_LOCK,MATCH(253,tk_ASEQ,0)),"")</f>
        <v/>
      </c>
      <c r="U259" s="162">
        <f>IFERROR(INDEX(tk_ETYPE,MATCH(253,tk_ASEQ,0)),"")</f>
        <v/>
      </c>
      <c r="V259" s="162">
        <f>IFERROR(""&amp;INDEX(tk_CHECK,MATCH(253,tk_ASEQ,0)),"")</f>
        <v/>
      </c>
      <c r="W259" s="162">
        <f>IFERROR(TRIM(INDEX(tk_DNOTES,MATCH(253,tk_ASEQ,0))&amp;" "&amp;INDEX(tk_FNOTES,MATCH(253,tk_ASEQ,0))),"")</f>
        <v/>
      </c>
    </row>
    <row r="260">
      <c r="A260" s="161">
        <f>IFERROR(""&amp;INDEX(tk_MARK,MATCH(254,tk_ASEQ,0)),"")</f>
        <v/>
      </c>
      <c r="B260" s="162">
        <f>IFERROR(""&amp;INDEX(tk_ROOMF,MATCH(254,tk_ASEQ,0)),"")</f>
        <v/>
      </c>
      <c r="C260" s="162">
        <f>IFERROR(""&amp;INDEX(tk_ROOMT,MATCH(254,tk_ASEQ,0)),"")</f>
        <v/>
      </c>
      <c r="D260" s="162">
        <f>IFERROR(INDEX(tk_QTY,MATCH(254,tk_ASEQ,0)),"")</f>
        <v/>
      </c>
      <c r="E260" s="162">
        <f>IFERROR(""&amp;INDEX(tk_SIZE,MATCH(254,tk_ASEQ,0)),"")</f>
        <v/>
      </c>
      <c r="F260" s="162">
        <f>IFERROR(""&amp;INDEX(tk_PAIR,MATCH(254,tk_ASEQ,0)),"")</f>
        <v/>
      </c>
      <c r="G260" s="162">
        <f>IFERROR(""&amp;INDEX(tk_DMAT,MATCH(254,tk_ASEQ,0)),"")</f>
        <v/>
      </c>
      <c r="H260" s="162">
        <f>IFERROR(""&amp;INDEX(tk_DGA,MATCH(254,tk_ASEQ,0)),"")</f>
        <v/>
      </c>
      <c r="I260" s="162">
        <f>IFERROR(""&amp;INDEX(tk_FACE,MATCH(254,tk_ASEQ,0)),"")</f>
        <v/>
      </c>
      <c r="J260" s="162">
        <f>IFERROR(IF(INDEX(tk_DHAND,MATCH(254,tk_ASEQ,0))="",""&amp;INDEX(tk_HAND,MATCH(254,tk_ASEQ,0)),""&amp;INDEX(tk_DHAND,MATCH(254,tk_ASEQ,0))),"")</f>
        <v/>
      </c>
      <c r="K260" s="162">
        <f>IFERROR(""&amp;INDEX(tk_FDESC,MATCH(254,tk_ASEQ,0)),"")</f>
        <v/>
      </c>
      <c r="L260" s="162">
        <f>IFERROR(INDEX(tk_STEEL,MATCH(254,tk_ASEQ,0))&amp;IF(INDEX(tk_FGA,MATCH(254,tk_ASEQ,0))="",""," "&amp;INDEX(tk_FGA,MATCH(254,tk_ASEQ,0))&amp;"GA"),"")</f>
        <v/>
      </c>
      <c r="M260" s="162">
        <f>IFERROR(IFERROR(VLOOKUP(INDEX(tk_JAMB,MATCH(254,tk_ASEQ,0)),CODES,2,FALSE),""&amp;INDEX(tk_JAMB,MATCH(254,tk_ASEQ,0))),"")</f>
        <v/>
      </c>
      <c r="N260" s="162">
        <f>IFERROR(""&amp;INDEX(tk_CONSTR,MATCH(254,tk_ASEQ,0)),"")</f>
        <v/>
      </c>
      <c r="O260" s="162">
        <f>IFERROR(""&amp;INDEX(tk_ANCHOR,MATCH(254,tk_ASEQ,0)),"")</f>
        <v/>
      </c>
      <c r="P260" s="162">
        <f>IFERROR(""&amp;INDEX(tk_RATING,MATCH(254,tk_ASEQ,0)),"")</f>
        <v/>
      </c>
      <c r="Q260" s="162">
        <f>IFERROR(""&amp;INDEX(tk_LABEL,MATCH(254,tk_ASEQ,0)),"")</f>
        <v/>
      </c>
      <c r="R260" s="162">
        <f>IFERROR(""&amp;INDEX(tk_HWSET,MATCH(254,tk_ASEQ,0)),"")</f>
        <v/>
      </c>
      <c r="S260" s="162">
        <f>IFERROR(IF(""&amp;INDEX(tk_HINGES,MATCH(254,tk_ASEQ,0))="","",INDEX(tk_HINGES,MATCH(254,tk_ASEQ,0))&amp;" · "&amp;INDEX(tk_LSRC,MATCH(254,tk_ASEQ,0))),"")</f>
        <v/>
      </c>
      <c r="T260" s="162">
        <f>IFERROR(""&amp;INDEX(tk_LOCK,MATCH(254,tk_ASEQ,0)),"")</f>
        <v/>
      </c>
      <c r="U260" s="162">
        <f>IFERROR(INDEX(tk_ETYPE,MATCH(254,tk_ASEQ,0)),"")</f>
        <v/>
      </c>
      <c r="V260" s="162">
        <f>IFERROR(""&amp;INDEX(tk_CHECK,MATCH(254,tk_ASEQ,0)),"")</f>
        <v/>
      </c>
      <c r="W260" s="162">
        <f>IFERROR(TRIM(INDEX(tk_DNOTES,MATCH(254,tk_ASEQ,0))&amp;" "&amp;INDEX(tk_FNOTES,MATCH(254,tk_ASEQ,0))),"")</f>
        <v/>
      </c>
    </row>
    <row r="261">
      <c r="A261" s="161">
        <f>IFERROR(""&amp;INDEX(tk_MARK,MATCH(255,tk_ASEQ,0)),"")</f>
        <v/>
      </c>
      <c r="B261" s="162">
        <f>IFERROR(""&amp;INDEX(tk_ROOMF,MATCH(255,tk_ASEQ,0)),"")</f>
        <v/>
      </c>
      <c r="C261" s="162">
        <f>IFERROR(""&amp;INDEX(tk_ROOMT,MATCH(255,tk_ASEQ,0)),"")</f>
        <v/>
      </c>
      <c r="D261" s="162">
        <f>IFERROR(INDEX(tk_QTY,MATCH(255,tk_ASEQ,0)),"")</f>
        <v/>
      </c>
      <c r="E261" s="162">
        <f>IFERROR(""&amp;INDEX(tk_SIZE,MATCH(255,tk_ASEQ,0)),"")</f>
        <v/>
      </c>
      <c r="F261" s="162">
        <f>IFERROR(""&amp;INDEX(tk_PAIR,MATCH(255,tk_ASEQ,0)),"")</f>
        <v/>
      </c>
      <c r="G261" s="162">
        <f>IFERROR(""&amp;INDEX(tk_DMAT,MATCH(255,tk_ASEQ,0)),"")</f>
        <v/>
      </c>
      <c r="H261" s="162">
        <f>IFERROR(""&amp;INDEX(tk_DGA,MATCH(255,tk_ASEQ,0)),"")</f>
        <v/>
      </c>
      <c r="I261" s="162">
        <f>IFERROR(""&amp;INDEX(tk_FACE,MATCH(255,tk_ASEQ,0)),"")</f>
        <v/>
      </c>
      <c r="J261" s="162">
        <f>IFERROR(IF(INDEX(tk_DHAND,MATCH(255,tk_ASEQ,0))="",""&amp;INDEX(tk_HAND,MATCH(255,tk_ASEQ,0)),""&amp;INDEX(tk_DHAND,MATCH(255,tk_ASEQ,0))),"")</f>
        <v/>
      </c>
      <c r="K261" s="162">
        <f>IFERROR(""&amp;INDEX(tk_FDESC,MATCH(255,tk_ASEQ,0)),"")</f>
        <v/>
      </c>
      <c r="L261" s="162">
        <f>IFERROR(INDEX(tk_STEEL,MATCH(255,tk_ASEQ,0))&amp;IF(INDEX(tk_FGA,MATCH(255,tk_ASEQ,0))="",""," "&amp;INDEX(tk_FGA,MATCH(255,tk_ASEQ,0))&amp;"GA"),"")</f>
        <v/>
      </c>
      <c r="M261" s="162">
        <f>IFERROR(IFERROR(VLOOKUP(INDEX(tk_JAMB,MATCH(255,tk_ASEQ,0)),CODES,2,FALSE),""&amp;INDEX(tk_JAMB,MATCH(255,tk_ASEQ,0))),"")</f>
        <v/>
      </c>
      <c r="N261" s="162">
        <f>IFERROR(""&amp;INDEX(tk_CONSTR,MATCH(255,tk_ASEQ,0)),"")</f>
        <v/>
      </c>
      <c r="O261" s="162">
        <f>IFERROR(""&amp;INDEX(tk_ANCHOR,MATCH(255,tk_ASEQ,0)),"")</f>
        <v/>
      </c>
      <c r="P261" s="162">
        <f>IFERROR(""&amp;INDEX(tk_RATING,MATCH(255,tk_ASEQ,0)),"")</f>
        <v/>
      </c>
      <c r="Q261" s="162">
        <f>IFERROR(""&amp;INDEX(tk_LABEL,MATCH(255,tk_ASEQ,0)),"")</f>
        <v/>
      </c>
      <c r="R261" s="162">
        <f>IFERROR(""&amp;INDEX(tk_HWSET,MATCH(255,tk_ASEQ,0)),"")</f>
        <v/>
      </c>
      <c r="S261" s="162">
        <f>IFERROR(IF(""&amp;INDEX(tk_HINGES,MATCH(255,tk_ASEQ,0))="","",INDEX(tk_HINGES,MATCH(255,tk_ASEQ,0))&amp;" · "&amp;INDEX(tk_LSRC,MATCH(255,tk_ASEQ,0))),"")</f>
        <v/>
      </c>
      <c r="T261" s="162">
        <f>IFERROR(""&amp;INDEX(tk_LOCK,MATCH(255,tk_ASEQ,0)),"")</f>
        <v/>
      </c>
      <c r="U261" s="162">
        <f>IFERROR(INDEX(tk_ETYPE,MATCH(255,tk_ASEQ,0)),"")</f>
        <v/>
      </c>
      <c r="V261" s="162">
        <f>IFERROR(""&amp;INDEX(tk_CHECK,MATCH(255,tk_ASEQ,0)),"")</f>
        <v/>
      </c>
      <c r="W261" s="162">
        <f>IFERROR(TRIM(INDEX(tk_DNOTES,MATCH(255,tk_ASEQ,0))&amp;" "&amp;INDEX(tk_FNOTES,MATCH(255,tk_ASEQ,0))),"")</f>
        <v/>
      </c>
    </row>
    <row r="262">
      <c r="A262" s="161">
        <f>IFERROR(""&amp;INDEX(tk_MARK,MATCH(256,tk_ASEQ,0)),"")</f>
        <v/>
      </c>
      <c r="B262" s="162">
        <f>IFERROR(""&amp;INDEX(tk_ROOMF,MATCH(256,tk_ASEQ,0)),"")</f>
        <v/>
      </c>
      <c r="C262" s="162">
        <f>IFERROR(""&amp;INDEX(tk_ROOMT,MATCH(256,tk_ASEQ,0)),"")</f>
        <v/>
      </c>
      <c r="D262" s="162">
        <f>IFERROR(INDEX(tk_QTY,MATCH(256,tk_ASEQ,0)),"")</f>
        <v/>
      </c>
      <c r="E262" s="162">
        <f>IFERROR(""&amp;INDEX(tk_SIZE,MATCH(256,tk_ASEQ,0)),"")</f>
        <v/>
      </c>
      <c r="F262" s="162">
        <f>IFERROR(""&amp;INDEX(tk_PAIR,MATCH(256,tk_ASEQ,0)),"")</f>
        <v/>
      </c>
      <c r="G262" s="162">
        <f>IFERROR(""&amp;INDEX(tk_DMAT,MATCH(256,tk_ASEQ,0)),"")</f>
        <v/>
      </c>
      <c r="H262" s="162">
        <f>IFERROR(""&amp;INDEX(tk_DGA,MATCH(256,tk_ASEQ,0)),"")</f>
        <v/>
      </c>
      <c r="I262" s="162">
        <f>IFERROR(""&amp;INDEX(tk_FACE,MATCH(256,tk_ASEQ,0)),"")</f>
        <v/>
      </c>
      <c r="J262" s="162">
        <f>IFERROR(IF(INDEX(tk_DHAND,MATCH(256,tk_ASEQ,0))="",""&amp;INDEX(tk_HAND,MATCH(256,tk_ASEQ,0)),""&amp;INDEX(tk_DHAND,MATCH(256,tk_ASEQ,0))),"")</f>
        <v/>
      </c>
      <c r="K262" s="162">
        <f>IFERROR(""&amp;INDEX(tk_FDESC,MATCH(256,tk_ASEQ,0)),"")</f>
        <v/>
      </c>
      <c r="L262" s="162">
        <f>IFERROR(INDEX(tk_STEEL,MATCH(256,tk_ASEQ,0))&amp;IF(INDEX(tk_FGA,MATCH(256,tk_ASEQ,0))="",""," "&amp;INDEX(tk_FGA,MATCH(256,tk_ASEQ,0))&amp;"GA"),"")</f>
        <v/>
      </c>
      <c r="M262" s="162">
        <f>IFERROR(IFERROR(VLOOKUP(INDEX(tk_JAMB,MATCH(256,tk_ASEQ,0)),CODES,2,FALSE),""&amp;INDEX(tk_JAMB,MATCH(256,tk_ASEQ,0))),"")</f>
        <v/>
      </c>
      <c r="N262" s="162">
        <f>IFERROR(""&amp;INDEX(tk_CONSTR,MATCH(256,tk_ASEQ,0)),"")</f>
        <v/>
      </c>
      <c r="O262" s="162">
        <f>IFERROR(""&amp;INDEX(tk_ANCHOR,MATCH(256,tk_ASEQ,0)),"")</f>
        <v/>
      </c>
      <c r="P262" s="162">
        <f>IFERROR(""&amp;INDEX(tk_RATING,MATCH(256,tk_ASEQ,0)),"")</f>
        <v/>
      </c>
      <c r="Q262" s="162">
        <f>IFERROR(""&amp;INDEX(tk_LABEL,MATCH(256,tk_ASEQ,0)),"")</f>
        <v/>
      </c>
      <c r="R262" s="162">
        <f>IFERROR(""&amp;INDEX(tk_HWSET,MATCH(256,tk_ASEQ,0)),"")</f>
        <v/>
      </c>
      <c r="S262" s="162">
        <f>IFERROR(IF(""&amp;INDEX(tk_HINGES,MATCH(256,tk_ASEQ,0))="","",INDEX(tk_HINGES,MATCH(256,tk_ASEQ,0))&amp;" · "&amp;INDEX(tk_LSRC,MATCH(256,tk_ASEQ,0))),"")</f>
        <v/>
      </c>
      <c r="T262" s="162">
        <f>IFERROR(""&amp;INDEX(tk_LOCK,MATCH(256,tk_ASEQ,0)),"")</f>
        <v/>
      </c>
      <c r="U262" s="162">
        <f>IFERROR(INDEX(tk_ETYPE,MATCH(256,tk_ASEQ,0)),"")</f>
        <v/>
      </c>
      <c r="V262" s="162">
        <f>IFERROR(""&amp;INDEX(tk_CHECK,MATCH(256,tk_ASEQ,0)),"")</f>
        <v/>
      </c>
      <c r="W262" s="162">
        <f>IFERROR(TRIM(INDEX(tk_DNOTES,MATCH(256,tk_ASEQ,0))&amp;" "&amp;INDEX(tk_FNOTES,MATCH(256,tk_ASEQ,0))),"")</f>
        <v/>
      </c>
    </row>
    <row r="263">
      <c r="A263" s="161">
        <f>IFERROR(""&amp;INDEX(tk_MARK,MATCH(257,tk_ASEQ,0)),"")</f>
        <v/>
      </c>
      <c r="B263" s="162">
        <f>IFERROR(""&amp;INDEX(tk_ROOMF,MATCH(257,tk_ASEQ,0)),"")</f>
        <v/>
      </c>
      <c r="C263" s="162">
        <f>IFERROR(""&amp;INDEX(tk_ROOMT,MATCH(257,tk_ASEQ,0)),"")</f>
        <v/>
      </c>
      <c r="D263" s="162">
        <f>IFERROR(INDEX(tk_QTY,MATCH(257,tk_ASEQ,0)),"")</f>
        <v/>
      </c>
      <c r="E263" s="162">
        <f>IFERROR(""&amp;INDEX(tk_SIZE,MATCH(257,tk_ASEQ,0)),"")</f>
        <v/>
      </c>
      <c r="F263" s="162">
        <f>IFERROR(""&amp;INDEX(tk_PAIR,MATCH(257,tk_ASEQ,0)),"")</f>
        <v/>
      </c>
      <c r="G263" s="162">
        <f>IFERROR(""&amp;INDEX(tk_DMAT,MATCH(257,tk_ASEQ,0)),"")</f>
        <v/>
      </c>
      <c r="H263" s="162">
        <f>IFERROR(""&amp;INDEX(tk_DGA,MATCH(257,tk_ASEQ,0)),"")</f>
        <v/>
      </c>
      <c r="I263" s="162">
        <f>IFERROR(""&amp;INDEX(tk_FACE,MATCH(257,tk_ASEQ,0)),"")</f>
        <v/>
      </c>
      <c r="J263" s="162">
        <f>IFERROR(IF(INDEX(tk_DHAND,MATCH(257,tk_ASEQ,0))="",""&amp;INDEX(tk_HAND,MATCH(257,tk_ASEQ,0)),""&amp;INDEX(tk_DHAND,MATCH(257,tk_ASEQ,0))),"")</f>
        <v/>
      </c>
      <c r="K263" s="162">
        <f>IFERROR(""&amp;INDEX(tk_FDESC,MATCH(257,tk_ASEQ,0)),"")</f>
        <v/>
      </c>
      <c r="L263" s="162">
        <f>IFERROR(INDEX(tk_STEEL,MATCH(257,tk_ASEQ,0))&amp;IF(INDEX(tk_FGA,MATCH(257,tk_ASEQ,0))="",""," "&amp;INDEX(tk_FGA,MATCH(257,tk_ASEQ,0))&amp;"GA"),"")</f>
        <v/>
      </c>
      <c r="M263" s="162">
        <f>IFERROR(IFERROR(VLOOKUP(INDEX(tk_JAMB,MATCH(257,tk_ASEQ,0)),CODES,2,FALSE),""&amp;INDEX(tk_JAMB,MATCH(257,tk_ASEQ,0))),"")</f>
        <v/>
      </c>
      <c r="N263" s="162">
        <f>IFERROR(""&amp;INDEX(tk_CONSTR,MATCH(257,tk_ASEQ,0)),"")</f>
        <v/>
      </c>
      <c r="O263" s="162">
        <f>IFERROR(""&amp;INDEX(tk_ANCHOR,MATCH(257,tk_ASEQ,0)),"")</f>
        <v/>
      </c>
      <c r="P263" s="162">
        <f>IFERROR(""&amp;INDEX(tk_RATING,MATCH(257,tk_ASEQ,0)),"")</f>
        <v/>
      </c>
      <c r="Q263" s="162">
        <f>IFERROR(""&amp;INDEX(tk_LABEL,MATCH(257,tk_ASEQ,0)),"")</f>
        <v/>
      </c>
      <c r="R263" s="162">
        <f>IFERROR(""&amp;INDEX(tk_HWSET,MATCH(257,tk_ASEQ,0)),"")</f>
        <v/>
      </c>
      <c r="S263" s="162">
        <f>IFERROR(IF(""&amp;INDEX(tk_HINGES,MATCH(257,tk_ASEQ,0))="","",INDEX(tk_HINGES,MATCH(257,tk_ASEQ,0))&amp;" · "&amp;INDEX(tk_LSRC,MATCH(257,tk_ASEQ,0))),"")</f>
        <v/>
      </c>
      <c r="T263" s="162">
        <f>IFERROR(""&amp;INDEX(tk_LOCK,MATCH(257,tk_ASEQ,0)),"")</f>
        <v/>
      </c>
      <c r="U263" s="162">
        <f>IFERROR(INDEX(tk_ETYPE,MATCH(257,tk_ASEQ,0)),"")</f>
        <v/>
      </c>
      <c r="V263" s="162">
        <f>IFERROR(""&amp;INDEX(tk_CHECK,MATCH(257,tk_ASEQ,0)),"")</f>
        <v/>
      </c>
      <c r="W263" s="162">
        <f>IFERROR(TRIM(INDEX(tk_DNOTES,MATCH(257,tk_ASEQ,0))&amp;" "&amp;INDEX(tk_FNOTES,MATCH(257,tk_ASEQ,0))),"")</f>
        <v/>
      </c>
    </row>
    <row r="264">
      <c r="A264" s="161">
        <f>IFERROR(""&amp;INDEX(tk_MARK,MATCH(258,tk_ASEQ,0)),"")</f>
        <v/>
      </c>
      <c r="B264" s="162">
        <f>IFERROR(""&amp;INDEX(tk_ROOMF,MATCH(258,tk_ASEQ,0)),"")</f>
        <v/>
      </c>
      <c r="C264" s="162">
        <f>IFERROR(""&amp;INDEX(tk_ROOMT,MATCH(258,tk_ASEQ,0)),"")</f>
        <v/>
      </c>
      <c r="D264" s="162">
        <f>IFERROR(INDEX(tk_QTY,MATCH(258,tk_ASEQ,0)),"")</f>
        <v/>
      </c>
      <c r="E264" s="162">
        <f>IFERROR(""&amp;INDEX(tk_SIZE,MATCH(258,tk_ASEQ,0)),"")</f>
        <v/>
      </c>
      <c r="F264" s="162">
        <f>IFERROR(""&amp;INDEX(tk_PAIR,MATCH(258,tk_ASEQ,0)),"")</f>
        <v/>
      </c>
      <c r="G264" s="162">
        <f>IFERROR(""&amp;INDEX(tk_DMAT,MATCH(258,tk_ASEQ,0)),"")</f>
        <v/>
      </c>
      <c r="H264" s="162">
        <f>IFERROR(""&amp;INDEX(tk_DGA,MATCH(258,tk_ASEQ,0)),"")</f>
        <v/>
      </c>
      <c r="I264" s="162">
        <f>IFERROR(""&amp;INDEX(tk_FACE,MATCH(258,tk_ASEQ,0)),"")</f>
        <v/>
      </c>
      <c r="J264" s="162">
        <f>IFERROR(IF(INDEX(tk_DHAND,MATCH(258,tk_ASEQ,0))="",""&amp;INDEX(tk_HAND,MATCH(258,tk_ASEQ,0)),""&amp;INDEX(tk_DHAND,MATCH(258,tk_ASEQ,0))),"")</f>
        <v/>
      </c>
      <c r="K264" s="162">
        <f>IFERROR(""&amp;INDEX(tk_FDESC,MATCH(258,tk_ASEQ,0)),"")</f>
        <v/>
      </c>
      <c r="L264" s="162">
        <f>IFERROR(INDEX(tk_STEEL,MATCH(258,tk_ASEQ,0))&amp;IF(INDEX(tk_FGA,MATCH(258,tk_ASEQ,0))="",""," "&amp;INDEX(tk_FGA,MATCH(258,tk_ASEQ,0))&amp;"GA"),"")</f>
        <v/>
      </c>
      <c r="M264" s="162">
        <f>IFERROR(IFERROR(VLOOKUP(INDEX(tk_JAMB,MATCH(258,tk_ASEQ,0)),CODES,2,FALSE),""&amp;INDEX(tk_JAMB,MATCH(258,tk_ASEQ,0))),"")</f>
        <v/>
      </c>
      <c r="N264" s="162">
        <f>IFERROR(""&amp;INDEX(tk_CONSTR,MATCH(258,tk_ASEQ,0)),"")</f>
        <v/>
      </c>
      <c r="O264" s="162">
        <f>IFERROR(""&amp;INDEX(tk_ANCHOR,MATCH(258,tk_ASEQ,0)),"")</f>
        <v/>
      </c>
      <c r="P264" s="162">
        <f>IFERROR(""&amp;INDEX(tk_RATING,MATCH(258,tk_ASEQ,0)),"")</f>
        <v/>
      </c>
      <c r="Q264" s="162">
        <f>IFERROR(""&amp;INDEX(tk_LABEL,MATCH(258,tk_ASEQ,0)),"")</f>
        <v/>
      </c>
      <c r="R264" s="162">
        <f>IFERROR(""&amp;INDEX(tk_HWSET,MATCH(258,tk_ASEQ,0)),"")</f>
        <v/>
      </c>
      <c r="S264" s="162">
        <f>IFERROR(IF(""&amp;INDEX(tk_HINGES,MATCH(258,tk_ASEQ,0))="","",INDEX(tk_HINGES,MATCH(258,tk_ASEQ,0))&amp;" · "&amp;INDEX(tk_LSRC,MATCH(258,tk_ASEQ,0))),"")</f>
        <v/>
      </c>
      <c r="T264" s="162">
        <f>IFERROR(""&amp;INDEX(tk_LOCK,MATCH(258,tk_ASEQ,0)),"")</f>
        <v/>
      </c>
      <c r="U264" s="162">
        <f>IFERROR(INDEX(tk_ETYPE,MATCH(258,tk_ASEQ,0)),"")</f>
        <v/>
      </c>
      <c r="V264" s="162">
        <f>IFERROR(""&amp;INDEX(tk_CHECK,MATCH(258,tk_ASEQ,0)),"")</f>
        <v/>
      </c>
      <c r="W264" s="162">
        <f>IFERROR(TRIM(INDEX(tk_DNOTES,MATCH(258,tk_ASEQ,0))&amp;" "&amp;INDEX(tk_FNOTES,MATCH(258,tk_ASEQ,0))),"")</f>
        <v/>
      </c>
    </row>
    <row r="265">
      <c r="A265" s="161">
        <f>IFERROR(""&amp;INDEX(tk_MARK,MATCH(259,tk_ASEQ,0)),"")</f>
        <v/>
      </c>
      <c r="B265" s="162">
        <f>IFERROR(""&amp;INDEX(tk_ROOMF,MATCH(259,tk_ASEQ,0)),"")</f>
        <v/>
      </c>
      <c r="C265" s="162">
        <f>IFERROR(""&amp;INDEX(tk_ROOMT,MATCH(259,tk_ASEQ,0)),"")</f>
        <v/>
      </c>
      <c r="D265" s="162">
        <f>IFERROR(INDEX(tk_QTY,MATCH(259,tk_ASEQ,0)),"")</f>
        <v/>
      </c>
      <c r="E265" s="162">
        <f>IFERROR(""&amp;INDEX(tk_SIZE,MATCH(259,tk_ASEQ,0)),"")</f>
        <v/>
      </c>
      <c r="F265" s="162">
        <f>IFERROR(""&amp;INDEX(tk_PAIR,MATCH(259,tk_ASEQ,0)),"")</f>
        <v/>
      </c>
      <c r="G265" s="162">
        <f>IFERROR(""&amp;INDEX(tk_DMAT,MATCH(259,tk_ASEQ,0)),"")</f>
        <v/>
      </c>
      <c r="H265" s="162">
        <f>IFERROR(""&amp;INDEX(tk_DGA,MATCH(259,tk_ASEQ,0)),"")</f>
        <v/>
      </c>
      <c r="I265" s="162">
        <f>IFERROR(""&amp;INDEX(tk_FACE,MATCH(259,tk_ASEQ,0)),"")</f>
        <v/>
      </c>
      <c r="J265" s="162">
        <f>IFERROR(IF(INDEX(tk_DHAND,MATCH(259,tk_ASEQ,0))="",""&amp;INDEX(tk_HAND,MATCH(259,tk_ASEQ,0)),""&amp;INDEX(tk_DHAND,MATCH(259,tk_ASEQ,0))),"")</f>
        <v/>
      </c>
      <c r="K265" s="162">
        <f>IFERROR(""&amp;INDEX(tk_FDESC,MATCH(259,tk_ASEQ,0)),"")</f>
        <v/>
      </c>
      <c r="L265" s="162">
        <f>IFERROR(INDEX(tk_STEEL,MATCH(259,tk_ASEQ,0))&amp;IF(INDEX(tk_FGA,MATCH(259,tk_ASEQ,0))="",""," "&amp;INDEX(tk_FGA,MATCH(259,tk_ASEQ,0))&amp;"GA"),"")</f>
        <v/>
      </c>
      <c r="M265" s="162">
        <f>IFERROR(IFERROR(VLOOKUP(INDEX(tk_JAMB,MATCH(259,tk_ASEQ,0)),CODES,2,FALSE),""&amp;INDEX(tk_JAMB,MATCH(259,tk_ASEQ,0))),"")</f>
        <v/>
      </c>
      <c r="N265" s="162">
        <f>IFERROR(""&amp;INDEX(tk_CONSTR,MATCH(259,tk_ASEQ,0)),"")</f>
        <v/>
      </c>
      <c r="O265" s="162">
        <f>IFERROR(""&amp;INDEX(tk_ANCHOR,MATCH(259,tk_ASEQ,0)),"")</f>
        <v/>
      </c>
      <c r="P265" s="162">
        <f>IFERROR(""&amp;INDEX(tk_RATING,MATCH(259,tk_ASEQ,0)),"")</f>
        <v/>
      </c>
      <c r="Q265" s="162">
        <f>IFERROR(""&amp;INDEX(tk_LABEL,MATCH(259,tk_ASEQ,0)),"")</f>
        <v/>
      </c>
      <c r="R265" s="162">
        <f>IFERROR(""&amp;INDEX(tk_HWSET,MATCH(259,tk_ASEQ,0)),"")</f>
        <v/>
      </c>
      <c r="S265" s="162">
        <f>IFERROR(IF(""&amp;INDEX(tk_HINGES,MATCH(259,tk_ASEQ,0))="","",INDEX(tk_HINGES,MATCH(259,tk_ASEQ,0))&amp;" · "&amp;INDEX(tk_LSRC,MATCH(259,tk_ASEQ,0))),"")</f>
        <v/>
      </c>
      <c r="T265" s="162">
        <f>IFERROR(""&amp;INDEX(tk_LOCK,MATCH(259,tk_ASEQ,0)),"")</f>
        <v/>
      </c>
      <c r="U265" s="162">
        <f>IFERROR(INDEX(tk_ETYPE,MATCH(259,tk_ASEQ,0)),"")</f>
        <v/>
      </c>
      <c r="V265" s="162">
        <f>IFERROR(""&amp;INDEX(tk_CHECK,MATCH(259,tk_ASEQ,0)),"")</f>
        <v/>
      </c>
      <c r="W265" s="162">
        <f>IFERROR(TRIM(INDEX(tk_DNOTES,MATCH(259,tk_ASEQ,0))&amp;" "&amp;INDEX(tk_FNOTES,MATCH(259,tk_ASEQ,0))),"")</f>
        <v/>
      </c>
    </row>
    <row r="266">
      <c r="A266" s="161">
        <f>IFERROR(""&amp;INDEX(tk_MARK,MATCH(260,tk_ASEQ,0)),"")</f>
        <v/>
      </c>
      <c r="B266" s="162">
        <f>IFERROR(""&amp;INDEX(tk_ROOMF,MATCH(260,tk_ASEQ,0)),"")</f>
        <v/>
      </c>
      <c r="C266" s="162">
        <f>IFERROR(""&amp;INDEX(tk_ROOMT,MATCH(260,tk_ASEQ,0)),"")</f>
        <v/>
      </c>
      <c r="D266" s="162">
        <f>IFERROR(INDEX(tk_QTY,MATCH(260,tk_ASEQ,0)),"")</f>
        <v/>
      </c>
      <c r="E266" s="162">
        <f>IFERROR(""&amp;INDEX(tk_SIZE,MATCH(260,tk_ASEQ,0)),"")</f>
        <v/>
      </c>
      <c r="F266" s="162">
        <f>IFERROR(""&amp;INDEX(tk_PAIR,MATCH(260,tk_ASEQ,0)),"")</f>
        <v/>
      </c>
      <c r="G266" s="162">
        <f>IFERROR(""&amp;INDEX(tk_DMAT,MATCH(260,tk_ASEQ,0)),"")</f>
        <v/>
      </c>
      <c r="H266" s="162">
        <f>IFERROR(""&amp;INDEX(tk_DGA,MATCH(260,tk_ASEQ,0)),"")</f>
        <v/>
      </c>
      <c r="I266" s="162">
        <f>IFERROR(""&amp;INDEX(tk_FACE,MATCH(260,tk_ASEQ,0)),"")</f>
        <v/>
      </c>
      <c r="J266" s="162">
        <f>IFERROR(IF(INDEX(tk_DHAND,MATCH(260,tk_ASEQ,0))="",""&amp;INDEX(tk_HAND,MATCH(260,tk_ASEQ,0)),""&amp;INDEX(tk_DHAND,MATCH(260,tk_ASEQ,0))),"")</f>
        <v/>
      </c>
      <c r="K266" s="162">
        <f>IFERROR(""&amp;INDEX(tk_FDESC,MATCH(260,tk_ASEQ,0)),"")</f>
        <v/>
      </c>
      <c r="L266" s="162">
        <f>IFERROR(INDEX(tk_STEEL,MATCH(260,tk_ASEQ,0))&amp;IF(INDEX(tk_FGA,MATCH(260,tk_ASEQ,0))="",""," "&amp;INDEX(tk_FGA,MATCH(260,tk_ASEQ,0))&amp;"GA"),"")</f>
        <v/>
      </c>
      <c r="M266" s="162">
        <f>IFERROR(IFERROR(VLOOKUP(INDEX(tk_JAMB,MATCH(260,tk_ASEQ,0)),CODES,2,FALSE),""&amp;INDEX(tk_JAMB,MATCH(260,tk_ASEQ,0))),"")</f>
        <v/>
      </c>
      <c r="N266" s="162">
        <f>IFERROR(""&amp;INDEX(tk_CONSTR,MATCH(260,tk_ASEQ,0)),"")</f>
        <v/>
      </c>
      <c r="O266" s="162">
        <f>IFERROR(""&amp;INDEX(tk_ANCHOR,MATCH(260,tk_ASEQ,0)),"")</f>
        <v/>
      </c>
      <c r="P266" s="162">
        <f>IFERROR(""&amp;INDEX(tk_RATING,MATCH(260,tk_ASEQ,0)),"")</f>
        <v/>
      </c>
      <c r="Q266" s="162">
        <f>IFERROR(""&amp;INDEX(tk_LABEL,MATCH(260,tk_ASEQ,0)),"")</f>
        <v/>
      </c>
      <c r="R266" s="162">
        <f>IFERROR(""&amp;INDEX(tk_HWSET,MATCH(260,tk_ASEQ,0)),"")</f>
        <v/>
      </c>
      <c r="S266" s="162">
        <f>IFERROR(IF(""&amp;INDEX(tk_HINGES,MATCH(260,tk_ASEQ,0))="","",INDEX(tk_HINGES,MATCH(260,tk_ASEQ,0))&amp;" · "&amp;INDEX(tk_LSRC,MATCH(260,tk_ASEQ,0))),"")</f>
        <v/>
      </c>
      <c r="T266" s="162">
        <f>IFERROR(""&amp;INDEX(tk_LOCK,MATCH(260,tk_ASEQ,0)),"")</f>
        <v/>
      </c>
      <c r="U266" s="162">
        <f>IFERROR(INDEX(tk_ETYPE,MATCH(260,tk_ASEQ,0)),"")</f>
        <v/>
      </c>
      <c r="V266" s="162">
        <f>IFERROR(""&amp;INDEX(tk_CHECK,MATCH(260,tk_ASEQ,0)),"")</f>
        <v/>
      </c>
      <c r="W266" s="162">
        <f>IFERROR(TRIM(INDEX(tk_DNOTES,MATCH(260,tk_ASEQ,0))&amp;" "&amp;INDEX(tk_FNOTES,MATCH(260,tk_ASEQ,0))),"")</f>
        <v/>
      </c>
    </row>
    <row r="267">
      <c r="A267" s="161">
        <f>IFERROR(""&amp;INDEX(tk_MARK,MATCH(261,tk_ASEQ,0)),"")</f>
        <v/>
      </c>
      <c r="B267" s="162">
        <f>IFERROR(""&amp;INDEX(tk_ROOMF,MATCH(261,tk_ASEQ,0)),"")</f>
        <v/>
      </c>
      <c r="C267" s="162">
        <f>IFERROR(""&amp;INDEX(tk_ROOMT,MATCH(261,tk_ASEQ,0)),"")</f>
        <v/>
      </c>
      <c r="D267" s="162">
        <f>IFERROR(INDEX(tk_QTY,MATCH(261,tk_ASEQ,0)),"")</f>
        <v/>
      </c>
      <c r="E267" s="162">
        <f>IFERROR(""&amp;INDEX(tk_SIZE,MATCH(261,tk_ASEQ,0)),"")</f>
        <v/>
      </c>
      <c r="F267" s="162">
        <f>IFERROR(""&amp;INDEX(tk_PAIR,MATCH(261,tk_ASEQ,0)),"")</f>
        <v/>
      </c>
      <c r="G267" s="162">
        <f>IFERROR(""&amp;INDEX(tk_DMAT,MATCH(261,tk_ASEQ,0)),"")</f>
        <v/>
      </c>
      <c r="H267" s="162">
        <f>IFERROR(""&amp;INDEX(tk_DGA,MATCH(261,tk_ASEQ,0)),"")</f>
        <v/>
      </c>
      <c r="I267" s="162">
        <f>IFERROR(""&amp;INDEX(tk_FACE,MATCH(261,tk_ASEQ,0)),"")</f>
        <v/>
      </c>
      <c r="J267" s="162">
        <f>IFERROR(IF(INDEX(tk_DHAND,MATCH(261,tk_ASEQ,0))="",""&amp;INDEX(tk_HAND,MATCH(261,tk_ASEQ,0)),""&amp;INDEX(tk_DHAND,MATCH(261,tk_ASEQ,0))),"")</f>
        <v/>
      </c>
      <c r="K267" s="162">
        <f>IFERROR(""&amp;INDEX(tk_FDESC,MATCH(261,tk_ASEQ,0)),"")</f>
        <v/>
      </c>
      <c r="L267" s="162">
        <f>IFERROR(INDEX(tk_STEEL,MATCH(261,tk_ASEQ,0))&amp;IF(INDEX(tk_FGA,MATCH(261,tk_ASEQ,0))="",""," "&amp;INDEX(tk_FGA,MATCH(261,tk_ASEQ,0))&amp;"GA"),"")</f>
        <v/>
      </c>
      <c r="M267" s="162">
        <f>IFERROR(IFERROR(VLOOKUP(INDEX(tk_JAMB,MATCH(261,tk_ASEQ,0)),CODES,2,FALSE),""&amp;INDEX(tk_JAMB,MATCH(261,tk_ASEQ,0))),"")</f>
        <v/>
      </c>
      <c r="N267" s="162">
        <f>IFERROR(""&amp;INDEX(tk_CONSTR,MATCH(261,tk_ASEQ,0)),"")</f>
        <v/>
      </c>
      <c r="O267" s="162">
        <f>IFERROR(""&amp;INDEX(tk_ANCHOR,MATCH(261,tk_ASEQ,0)),"")</f>
        <v/>
      </c>
      <c r="P267" s="162">
        <f>IFERROR(""&amp;INDEX(tk_RATING,MATCH(261,tk_ASEQ,0)),"")</f>
        <v/>
      </c>
      <c r="Q267" s="162">
        <f>IFERROR(""&amp;INDEX(tk_LABEL,MATCH(261,tk_ASEQ,0)),"")</f>
        <v/>
      </c>
      <c r="R267" s="162">
        <f>IFERROR(""&amp;INDEX(tk_HWSET,MATCH(261,tk_ASEQ,0)),"")</f>
        <v/>
      </c>
      <c r="S267" s="162">
        <f>IFERROR(IF(""&amp;INDEX(tk_HINGES,MATCH(261,tk_ASEQ,0))="","",INDEX(tk_HINGES,MATCH(261,tk_ASEQ,0))&amp;" · "&amp;INDEX(tk_LSRC,MATCH(261,tk_ASEQ,0))),"")</f>
        <v/>
      </c>
      <c r="T267" s="162">
        <f>IFERROR(""&amp;INDEX(tk_LOCK,MATCH(261,tk_ASEQ,0)),"")</f>
        <v/>
      </c>
      <c r="U267" s="162">
        <f>IFERROR(INDEX(tk_ETYPE,MATCH(261,tk_ASEQ,0)),"")</f>
        <v/>
      </c>
      <c r="V267" s="162">
        <f>IFERROR(""&amp;INDEX(tk_CHECK,MATCH(261,tk_ASEQ,0)),"")</f>
        <v/>
      </c>
      <c r="W267" s="162">
        <f>IFERROR(TRIM(INDEX(tk_DNOTES,MATCH(261,tk_ASEQ,0))&amp;" "&amp;INDEX(tk_FNOTES,MATCH(261,tk_ASEQ,0))),"")</f>
        <v/>
      </c>
    </row>
    <row r="268">
      <c r="A268" s="161">
        <f>IFERROR(""&amp;INDEX(tk_MARK,MATCH(262,tk_ASEQ,0)),"")</f>
        <v/>
      </c>
      <c r="B268" s="162">
        <f>IFERROR(""&amp;INDEX(tk_ROOMF,MATCH(262,tk_ASEQ,0)),"")</f>
        <v/>
      </c>
      <c r="C268" s="162">
        <f>IFERROR(""&amp;INDEX(tk_ROOMT,MATCH(262,tk_ASEQ,0)),"")</f>
        <v/>
      </c>
      <c r="D268" s="162">
        <f>IFERROR(INDEX(tk_QTY,MATCH(262,tk_ASEQ,0)),"")</f>
        <v/>
      </c>
      <c r="E268" s="162">
        <f>IFERROR(""&amp;INDEX(tk_SIZE,MATCH(262,tk_ASEQ,0)),"")</f>
        <v/>
      </c>
      <c r="F268" s="162">
        <f>IFERROR(""&amp;INDEX(tk_PAIR,MATCH(262,tk_ASEQ,0)),"")</f>
        <v/>
      </c>
      <c r="G268" s="162">
        <f>IFERROR(""&amp;INDEX(tk_DMAT,MATCH(262,tk_ASEQ,0)),"")</f>
        <v/>
      </c>
      <c r="H268" s="162">
        <f>IFERROR(""&amp;INDEX(tk_DGA,MATCH(262,tk_ASEQ,0)),"")</f>
        <v/>
      </c>
      <c r="I268" s="162">
        <f>IFERROR(""&amp;INDEX(tk_FACE,MATCH(262,tk_ASEQ,0)),"")</f>
        <v/>
      </c>
      <c r="J268" s="162">
        <f>IFERROR(IF(INDEX(tk_DHAND,MATCH(262,tk_ASEQ,0))="",""&amp;INDEX(tk_HAND,MATCH(262,tk_ASEQ,0)),""&amp;INDEX(tk_DHAND,MATCH(262,tk_ASEQ,0))),"")</f>
        <v/>
      </c>
      <c r="K268" s="162">
        <f>IFERROR(""&amp;INDEX(tk_FDESC,MATCH(262,tk_ASEQ,0)),"")</f>
        <v/>
      </c>
      <c r="L268" s="162">
        <f>IFERROR(INDEX(tk_STEEL,MATCH(262,tk_ASEQ,0))&amp;IF(INDEX(tk_FGA,MATCH(262,tk_ASEQ,0))="",""," "&amp;INDEX(tk_FGA,MATCH(262,tk_ASEQ,0))&amp;"GA"),"")</f>
        <v/>
      </c>
      <c r="M268" s="162">
        <f>IFERROR(IFERROR(VLOOKUP(INDEX(tk_JAMB,MATCH(262,tk_ASEQ,0)),CODES,2,FALSE),""&amp;INDEX(tk_JAMB,MATCH(262,tk_ASEQ,0))),"")</f>
        <v/>
      </c>
      <c r="N268" s="162">
        <f>IFERROR(""&amp;INDEX(tk_CONSTR,MATCH(262,tk_ASEQ,0)),"")</f>
        <v/>
      </c>
      <c r="O268" s="162">
        <f>IFERROR(""&amp;INDEX(tk_ANCHOR,MATCH(262,tk_ASEQ,0)),"")</f>
        <v/>
      </c>
      <c r="P268" s="162">
        <f>IFERROR(""&amp;INDEX(tk_RATING,MATCH(262,tk_ASEQ,0)),"")</f>
        <v/>
      </c>
      <c r="Q268" s="162">
        <f>IFERROR(""&amp;INDEX(tk_LABEL,MATCH(262,tk_ASEQ,0)),"")</f>
        <v/>
      </c>
      <c r="R268" s="162">
        <f>IFERROR(""&amp;INDEX(tk_HWSET,MATCH(262,tk_ASEQ,0)),"")</f>
        <v/>
      </c>
      <c r="S268" s="162">
        <f>IFERROR(IF(""&amp;INDEX(tk_HINGES,MATCH(262,tk_ASEQ,0))="","",INDEX(tk_HINGES,MATCH(262,tk_ASEQ,0))&amp;" · "&amp;INDEX(tk_LSRC,MATCH(262,tk_ASEQ,0))),"")</f>
        <v/>
      </c>
      <c r="T268" s="162">
        <f>IFERROR(""&amp;INDEX(tk_LOCK,MATCH(262,tk_ASEQ,0)),"")</f>
        <v/>
      </c>
      <c r="U268" s="162">
        <f>IFERROR(INDEX(tk_ETYPE,MATCH(262,tk_ASEQ,0)),"")</f>
        <v/>
      </c>
      <c r="V268" s="162">
        <f>IFERROR(""&amp;INDEX(tk_CHECK,MATCH(262,tk_ASEQ,0)),"")</f>
        <v/>
      </c>
      <c r="W268" s="162">
        <f>IFERROR(TRIM(INDEX(tk_DNOTES,MATCH(262,tk_ASEQ,0))&amp;" "&amp;INDEX(tk_FNOTES,MATCH(262,tk_ASEQ,0))),"")</f>
        <v/>
      </c>
    </row>
    <row r="269">
      <c r="A269" s="161">
        <f>IFERROR(""&amp;INDEX(tk_MARK,MATCH(263,tk_ASEQ,0)),"")</f>
        <v/>
      </c>
      <c r="B269" s="162">
        <f>IFERROR(""&amp;INDEX(tk_ROOMF,MATCH(263,tk_ASEQ,0)),"")</f>
        <v/>
      </c>
      <c r="C269" s="162">
        <f>IFERROR(""&amp;INDEX(tk_ROOMT,MATCH(263,tk_ASEQ,0)),"")</f>
        <v/>
      </c>
      <c r="D269" s="162">
        <f>IFERROR(INDEX(tk_QTY,MATCH(263,tk_ASEQ,0)),"")</f>
        <v/>
      </c>
      <c r="E269" s="162">
        <f>IFERROR(""&amp;INDEX(tk_SIZE,MATCH(263,tk_ASEQ,0)),"")</f>
        <v/>
      </c>
      <c r="F269" s="162">
        <f>IFERROR(""&amp;INDEX(tk_PAIR,MATCH(263,tk_ASEQ,0)),"")</f>
        <v/>
      </c>
      <c r="G269" s="162">
        <f>IFERROR(""&amp;INDEX(tk_DMAT,MATCH(263,tk_ASEQ,0)),"")</f>
        <v/>
      </c>
      <c r="H269" s="162">
        <f>IFERROR(""&amp;INDEX(tk_DGA,MATCH(263,tk_ASEQ,0)),"")</f>
        <v/>
      </c>
      <c r="I269" s="162">
        <f>IFERROR(""&amp;INDEX(tk_FACE,MATCH(263,tk_ASEQ,0)),"")</f>
        <v/>
      </c>
      <c r="J269" s="162">
        <f>IFERROR(IF(INDEX(tk_DHAND,MATCH(263,tk_ASEQ,0))="",""&amp;INDEX(tk_HAND,MATCH(263,tk_ASEQ,0)),""&amp;INDEX(tk_DHAND,MATCH(263,tk_ASEQ,0))),"")</f>
        <v/>
      </c>
      <c r="K269" s="162">
        <f>IFERROR(""&amp;INDEX(tk_FDESC,MATCH(263,tk_ASEQ,0)),"")</f>
        <v/>
      </c>
      <c r="L269" s="162">
        <f>IFERROR(INDEX(tk_STEEL,MATCH(263,tk_ASEQ,0))&amp;IF(INDEX(tk_FGA,MATCH(263,tk_ASEQ,0))="",""," "&amp;INDEX(tk_FGA,MATCH(263,tk_ASEQ,0))&amp;"GA"),"")</f>
        <v/>
      </c>
      <c r="M269" s="162">
        <f>IFERROR(IFERROR(VLOOKUP(INDEX(tk_JAMB,MATCH(263,tk_ASEQ,0)),CODES,2,FALSE),""&amp;INDEX(tk_JAMB,MATCH(263,tk_ASEQ,0))),"")</f>
        <v/>
      </c>
      <c r="N269" s="162">
        <f>IFERROR(""&amp;INDEX(tk_CONSTR,MATCH(263,tk_ASEQ,0)),"")</f>
        <v/>
      </c>
      <c r="O269" s="162">
        <f>IFERROR(""&amp;INDEX(tk_ANCHOR,MATCH(263,tk_ASEQ,0)),"")</f>
        <v/>
      </c>
      <c r="P269" s="162">
        <f>IFERROR(""&amp;INDEX(tk_RATING,MATCH(263,tk_ASEQ,0)),"")</f>
        <v/>
      </c>
      <c r="Q269" s="162">
        <f>IFERROR(""&amp;INDEX(tk_LABEL,MATCH(263,tk_ASEQ,0)),"")</f>
        <v/>
      </c>
      <c r="R269" s="162">
        <f>IFERROR(""&amp;INDEX(tk_HWSET,MATCH(263,tk_ASEQ,0)),"")</f>
        <v/>
      </c>
      <c r="S269" s="162">
        <f>IFERROR(IF(""&amp;INDEX(tk_HINGES,MATCH(263,tk_ASEQ,0))="","",INDEX(tk_HINGES,MATCH(263,tk_ASEQ,0))&amp;" · "&amp;INDEX(tk_LSRC,MATCH(263,tk_ASEQ,0))),"")</f>
        <v/>
      </c>
      <c r="T269" s="162">
        <f>IFERROR(""&amp;INDEX(tk_LOCK,MATCH(263,tk_ASEQ,0)),"")</f>
        <v/>
      </c>
      <c r="U269" s="162">
        <f>IFERROR(INDEX(tk_ETYPE,MATCH(263,tk_ASEQ,0)),"")</f>
        <v/>
      </c>
      <c r="V269" s="162">
        <f>IFERROR(""&amp;INDEX(tk_CHECK,MATCH(263,tk_ASEQ,0)),"")</f>
        <v/>
      </c>
      <c r="W269" s="162">
        <f>IFERROR(TRIM(INDEX(tk_DNOTES,MATCH(263,tk_ASEQ,0))&amp;" "&amp;INDEX(tk_FNOTES,MATCH(263,tk_ASEQ,0))),"")</f>
        <v/>
      </c>
    </row>
    <row r="270">
      <c r="A270" s="161">
        <f>IFERROR(""&amp;INDEX(tk_MARK,MATCH(264,tk_ASEQ,0)),"")</f>
        <v/>
      </c>
      <c r="B270" s="162">
        <f>IFERROR(""&amp;INDEX(tk_ROOMF,MATCH(264,tk_ASEQ,0)),"")</f>
        <v/>
      </c>
      <c r="C270" s="162">
        <f>IFERROR(""&amp;INDEX(tk_ROOMT,MATCH(264,tk_ASEQ,0)),"")</f>
        <v/>
      </c>
      <c r="D270" s="162">
        <f>IFERROR(INDEX(tk_QTY,MATCH(264,tk_ASEQ,0)),"")</f>
        <v/>
      </c>
      <c r="E270" s="162">
        <f>IFERROR(""&amp;INDEX(tk_SIZE,MATCH(264,tk_ASEQ,0)),"")</f>
        <v/>
      </c>
      <c r="F270" s="162">
        <f>IFERROR(""&amp;INDEX(tk_PAIR,MATCH(264,tk_ASEQ,0)),"")</f>
        <v/>
      </c>
      <c r="G270" s="162">
        <f>IFERROR(""&amp;INDEX(tk_DMAT,MATCH(264,tk_ASEQ,0)),"")</f>
        <v/>
      </c>
      <c r="H270" s="162">
        <f>IFERROR(""&amp;INDEX(tk_DGA,MATCH(264,tk_ASEQ,0)),"")</f>
        <v/>
      </c>
      <c r="I270" s="162">
        <f>IFERROR(""&amp;INDEX(tk_FACE,MATCH(264,tk_ASEQ,0)),"")</f>
        <v/>
      </c>
      <c r="J270" s="162">
        <f>IFERROR(IF(INDEX(tk_DHAND,MATCH(264,tk_ASEQ,0))="",""&amp;INDEX(tk_HAND,MATCH(264,tk_ASEQ,0)),""&amp;INDEX(tk_DHAND,MATCH(264,tk_ASEQ,0))),"")</f>
        <v/>
      </c>
      <c r="K270" s="162">
        <f>IFERROR(""&amp;INDEX(tk_FDESC,MATCH(264,tk_ASEQ,0)),"")</f>
        <v/>
      </c>
      <c r="L270" s="162">
        <f>IFERROR(INDEX(tk_STEEL,MATCH(264,tk_ASEQ,0))&amp;IF(INDEX(tk_FGA,MATCH(264,tk_ASEQ,0))="",""," "&amp;INDEX(tk_FGA,MATCH(264,tk_ASEQ,0))&amp;"GA"),"")</f>
        <v/>
      </c>
      <c r="M270" s="162">
        <f>IFERROR(IFERROR(VLOOKUP(INDEX(tk_JAMB,MATCH(264,tk_ASEQ,0)),CODES,2,FALSE),""&amp;INDEX(tk_JAMB,MATCH(264,tk_ASEQ,0))),"")</f>
        <v/>
      </c>
      <c r="N270" s="162">
        <f>IFERROR(""&amp;INDEX(tk_CONSTR,MATCH(264,tk_ASEQ,0)),"")</f>
        <v/>
      </c>
      <c r="O270" s="162">
        <f>IFERROR(""&amp;INDEX(tk_ANCHOR,MATCH(264,tk_ASEQ,0)),"")</f>
        <v/>
      </c>
      <c r="P270" s="162">
        <f>IFERROR(""&amp;INDEX(tk_RATING,MATCH(264,tk_ASEQ,0)),"")</f>
        <v/>
      </c>
      <c r="Q270" s="162">
        <f>IFERROR(""&amp;INDEX(tk_LABEL,MATCH(264,tk_ASEQ,0)),"")</f>
        <v/>
      </c>
      <c r="R270" s="162">
        <f>IFERROR(""&amp;INDEX(tk_HWSET,MATCH(264,tk_ASEQ,0)),"")</f>
        <v/>
      </c>
      <c r="S270" s="162">
        <f>IFERROR(IF(""&amp;INDEX(tk_HINGES,MATCH(264,tk_ASEQ,0))="","",INDEX(tk_HINGES,MATCH(264,tk_ASEQ,0))&amp;" · "&amp;INDEX(tk_LSRC,MATCH(264,tk_ASEQ,0))),"")</f>
        <v/>
      </c>
      <c r="T270" s="162">
        <f>IFERROR(""&amp;INDEX(tk_LOCK,MATCH(264,tk_ASEQ,0)),"")</f>
        <v/>
      </c>
      <c r="U270" s="162">
        <f>IFERROR(INDEX(tk_ETYPE,MATCH(264,tk_ASEQ,0)),"")</f>
        <v/>
      </c>
      <c r="V270" s="162">
        <f>IFERROR(""&amp;INDEX(tk_CHECK,MATCH(264,tk_ASEQ,0)),"")</f>
        <v/>
      </c>
      <c r="W270" s="162">
        <f>IFERROR(TRIM(INDEX(tk_DNOTES,MATCH(264,tk_ASEQ,0))&amp;" "&amp;INDEX(tk_FNOTES,MATCH(264,tk_ASEQ,0))),"")</f>
        <v/>
      </c>
    </row>
    <row r="271">
      <c r="A271" s="161">
        <f>IFERROR(""&amp;INDEX(tk_MARK,MATCH(265,tk_ASEQ,0)),"")</f>
        <v/>
      </c>
      <c r="B271" s="162">
        <f>IFERROR(""&amp;INDEX(tk_ROOMF,MATCH(265,tk_ASEQ,0)),"")</f>
        <v/>
      </c>
      <c r="C271" s="162">
        <f>IFERROR(""&amp;INDEX(tk_ROOMT,MATCH(265,tk_ASEQ,0)),"")</f>
        <v/>
      </c>
      <c r="D271" s="162">
        <f>IFERROR(INDEX(tk_QTY,MATCH(265,tk_ASEQ,0)),"")</f>
        <v/>
      </c>
      <c r="E271" s="162">
        <f>IFERROR(""&amp;INDEX(tk_SIZE,MATCH(265,tk_ASEQ,0)),"")</f>
        <v/>
      </c>
      <c r="F271" s="162">
        <f>IFERROR(""&amp;INDEX(tk_PAIR,MATCH(265,tk_ASEQ,0)),"")</f>
        <v/>
      </c>
      <c r="G271" s="162">
        <f>IFERROR(""&amp;INDEX(tk_DMAT,MATCH(265,tk_ASEQ,0)),"")</f>
        <v/>
      </c>
      <c r="H271" s="162">
        <f>IFERROR(""&amp;INDEX(tk_DGA,MATCH(265,tk_ASEQ,0)),"")</f>
        <v/>
      </c>
      <c r="I271" s="162">
        <f>IFERROR(""&amp;INDEX(tk_FACE,MATCH(265,tk_ASEQ,0)),"")</f>
        <v/>
      </c>
      <c r="J271" s="162">
        <f>IFERROR(IF(INDEX(tk_DHAND,MATCH(265,tk_ASEQ,0))="",""&amp;INDEX(tk_HAND,MATCH(265,tk_ASEQ,0)),""&amp;INDEX(tk_DHAND,MATCH(265,tk_ASEQ,0))),"")</f>
        <v/>
      </c>
      <c r="K271" s="162">
        <f>IFERROR(""&amp;INDEX(tk_FDESC,MATCH(265,tk_ASEQ,0)),"")</f>
        <v/>
      </c>
      <c r="L271" s="162">
        <f>IFERROR(INDEX(tk_STEEL,MATCH(265,tk_ASEQ,0))&amp;IF(INDEX(tk_FGA,MATCH(265,tk_ASEQ,0))="",""," "&amp;INDEX(tk_FGA,MATCH(265,tk_ASEQ,0))&amp;"GA"),"")</f>
        <v/>
      </c>
      <c r="M271" s="162">
        <f>IFERROR(IFERROR(VLOOKUP(INDEX(tk_JAMB,MATCH(265,tk_ASEQ,0)),CODES,2,FALSE),""&amp;INDEX(tk_JAMB,MATCH(265,tk_ASEQ,0))),"")</f>
        <v/>
      </c>
      <c r="N271" s="162">
        <f>IFERROR(""&amp;INDEX(tk_CONSTR,MATCH(265,tk_ASEQ,0)),"")</f>
        <v/>
      </c>
      <c r="O271" s="162">
        <f>IFERROR(""&amp;INDEX(tk_ANCHOR,MATCH(265,tk_ASEQ,0)),"")</f>
        <v/>
      </c>
      <c r="P271" s="162">
        <f>IFERROR(""&amp;INDEX(tk_RATING,MATCH(265,tk_ASEQ,0)),"")</f>
        <v/>
      </c>
      <c r="Q271" s="162">
        <f>IFERROR(""&amp;INDEX(tk_LABEL,MATCH(265,tk_ASEQ,0)),"")</f>
        <v/>
      </c>
      <c r="R271" s="162">
        <f>IFERROR(""&amp;INDEX(tk_HWSET,MATCH(265,tk_ASEQ,0)),"")</f>
        <v/>
      </c>
      <c r="S271" s="162">
        <f>IFERROR(IF(""&amp;INDEX(tk_HINGES,MATCH(265,tk_ASEQ,0))="","",INDEX(tk_HINGES,MATCH(265,tk_ASEQ,0))&amp;" · "&amp;INDEX(tk_LSRC,MATCH(265,tk_ASEQ,0))),"")</f>
        <v/>
      </c>
      <c r="T271" s="162">
        <f>IFERROR(""&amp;INDEX(tk_LOCK,MATCH(265,tk_ASEQ,0)),"")</f>
        <v/>
      </c>
      <c r="U271" s="162">
        <f>IFERROR(INDEX(tk_ETYPE,MATCH(265,tk_ASEQ,0)),"")</f>
        <v/>
      </c>
      <c r="V271" s="162">
        <f>IFERROR(""&amp;INDEX(tk_CHECK,MATCH(265,tk_ASEQ,0)),"")</f>
        <v/>
      </c>
      <c r="W271" s="162">
        <f>IFERROR(TRIM(INDEX(tk_DNOTES,MATCH(265,tk_ASEQ,0))&amp;" "&amp;INDEX(tk_FNOTES,MATCH(265,tk_ASEQ,0))),"")</f>
        <v/>
      </c>
    </row>
    <row r="272">
      <c r="A272" s="161">
        <f>IFERROR(""&amp;INDEX(tk_MARK,MATCH(266,tk_ASEQ,0)),"")</f>
        <v/>
      </c>
      <c r="B272" s="162">
        <f>IFERROR(""&amp;INDEX(tk_ROOMF,MATCH(266,tk_ASEQ,0)),"")</f>
        <v/>
      </c>
      <c r="C272" s="162">
        <f>IFERROR(""&amp;INDEX(tk_ROOMT,MATCH(266,tk_ASEQ,0)),"")</f>
        <v/>
      </c>
      <c r="D272" s="162">
        <f>IFERROR(INDEX(tk_QTY,MATCH(266,tk_ASEQ,0)),"")</f>
        <v/>
      </c>
      <c r="E272" s="162">
        <f>IFERROR(""&amp;INDEX(tk_SIZE,MATCH(266,tk_ASEQ,0)),"")</f>
        <v/>
      </c>
      <c r="F272" s="162">
        <f>IFERROR(""&amp;INDEX(tk_PAIR,MATCH(266,tk_ASEQ,0)),"")</f>
        <v/>
      </c>
      <c r="G272" s="162">
        <f>IFERROR(""&amp;INDEX(tk_DMAT,MATCH(266,tk_ASEQ,0)),"")</f>
        <v/>
      </c>
      <c r="H272" s="162">
        <f>IFERROR(""&amp;INDEX(tk_DGA,MATCH(266,tk_ASEQ,0)),"")</f>
        <v/>
      </c>
      <c r="I272" s="162">
        <f>IFERROR(""&amp;INDEX(tk_FACE,MATCH(266,tk_ASEQ,0)),"")</f>
        <v/>
      </c>
      <c r="J272" s="162">
        <f>IFERROR(IF(INDEX(tk_DHAND,MATCH(266,tk_ASEQ,0))="",""&amp;INDEX(tk_HAND,MATCH(266,tk_ASEQ,0)),""&amp;INDEX(tk_DHAND,MATCH(266,tk_ASEQ,0))),"")</f>
        <v/>
      </c>
      <c r="K272" s="162">
        <f>IFERROR(""&amp;INDEX(tk_FDESC,MATCH(266,tk_ASEQ,0)),"")</f>
        <v/>
      </c>
      <c r="L272" s="162">
        <f>IFERROR(INDEX(tk_STEEL,MATCH(266,tk_ASEQ,0))&amp;IF(INDEX(tk_FGA,MATCH(266,tk_ASEQ,0))="",""," "&amp;INDEX(tk_FGA,MATCH(266,tk_ASEQ,0))&amp;"GA"),"")</f>
        <v/>
      </c>
      <c r="M272" s="162">
        <f>IFERROR(IFERROR(VLOOKUP(INDEX(tk_JAMB,MATCH(266,tk_ASEQ,0)),CODES,2,FALSE),""&amp;INDEX(tk_JAMB,MATCH(266,tk_ASEQ,0))),"")</f>
        <v/>
      </c>
      <c r="N272" s="162">
        <f>IFERROR(""&amp;INDEX(tk_CONSTR,MATCH(266,tk_ASEQ,0)),"")</f>
        <v/>
      </c>
      <c r="O272" s="162">
        <f>IFERROR(""&amp;INDEX(tk_ANCHOR,MATCH(266,tk_ASEQ,0)),"")</f>
        <v/>
      </c>
      <c r="P272" s="162">
        <f>IFERROR(""&amp;INDEX(tk_RATING,MATCH(266,tk_ASEQ,0)),"")</f>
        <v/>
      </c>
      <c r="Q272" s="162">
        <f>IFERROR(""&amp;INDEX(tk_LABEL,MATCH(266,tk_ASEQ,0)),"")</f>
        <v/>
      </c>
      <c r="R272" s="162">
        <f>IFERROR(""&amp;INDEX(tk_HWSET,MATCH(266,tk_ASEQ,0)),"")</f>
        <v/>
      </c>
      <c r="S272" s="162">
        <f>IFERROR(IF(""&amp;INDEX(tk_HINGES,MATCH(266,tk_ASEQ,0))="","",INDEX(tk_HINGES,MATCH(266,tk_ASEQ,0))&amp;" · "&amp;INDEX(tk_LSRC,MATCH(266,tk_ASEQ,0))),"")</f>
        <v/>
      </c>
      <c r="T272" s="162">
        <f>IFERROR(""&amp;INDEX(tk_LOCK,MATCH(266,tk_ASEQ,0)),"")</f>
        <v/>
      </c>
      <c r="U272" s="162">
        <f>IFERROR(INDEX(tk_ETYPE,MATCH(266,tk_ASEQ,0)),"")</f>
        <v/>
      </c>
      <c r="V272" s="162">
        <f>IFERROR(""&amp;INDEX(tk_CHECK,MATCH(266,tk_ASEQ,0)),"")</f>
        <v/>
      </c>
      <c r="W272" s="162">
        <f>IFERROR(TRIM(INDEX(tk_DNOTES,MATCH(266,tk_ASEQ,0))&amp;" "&amp;INDEX(tk_FNOTES,MATCH(266,tk_ASEQ,0))),"")</f>
        <v/>
      </c>
    </row>
    <row r="273">
      <c r="A273" s="161">
        <f>IFERROR(""&amp;INDEX(tk_MARK,MATCH(267,tk_ASEQ,0)),"")</f>
        <v/>
      </c>
      <c r="B273" s="162">
        <f>IFERROR(""&amp;INDEX(tk_ROOMF,MATCH(267,tk_ASEQ,0)),"")</f>
        <v/>
      </c>
      <c r="C273" s="162">
        <f>IFERROR(""&amp;INDEX(tk_ROOMT,MATCH(267,tk_ASEQ,0)),"")</f>
        <v/>
      </c>
      <c r="D273" s="162">
        <f>IFERROR(INDEX(tk_QTY,MATCH(267,tk_ASEQ,0)),"")</f>
        <v/>
      </c>
      <c r="E273" s="162">
        <f>IFERROR(""&amp;INDEX(tk_SIZE,MATCH(267,tk_ASEQ,0)),"")</f>
        <v/>
      </c>
      <c r="F273" s="162">
        <f>IFERROR(""&amp;INDEX(tk_PAIR,MATCH(267,tk_ASEQ,0)),"")</f>
        <v/>
      </c>
      <c r="G273" s="162">
        <f>IFERROR(""&amp;INDEX(tk_DMAT,MATCH(267,tk_ASEQ,0)),"")</f>
        <v/>
      </c>
      <c r="H273" s="162">
        <f>IFERROR(""&amp;INDEX(tk_DGA,MATCH(267,tk_ASEQ,0)),"")</f>
        <v/>
      </c>
      <c r="I273" s="162">
        <f>IFERROR(""&amp;INDEX(tk_FACE,MATCH(267,tk_ASEQ,0)),"")</f>
        <v/>
      </c>
      <c r="J273" s="162">
        <f>IFERROR(IF(INDEX(tk_DHAND,MATCH(267,tk_ASEQ,0))="",""&amp;INDEX(tk_HAND,MATCH(267,tk_ASEQ,0)),""&amp;INDEX(tk_DHAND,MATCH(267,tk_ASEQ,0))),"")</f>
        <v/>
      </c>
      <c r="K273" s="162">
        <f>IFERROR(""&amp;INDEX(tk_FDESC,MATCH(267,tk_ASEQ,0)),"")</f>
        <v/>
      </c>
      <c r="L273" s="162">
        <f>IFERROR(INDEX(tk_STEEL,MATCH(267,tk_ASEQ,0))&amp;IF(INDEX(tk_FGA,MATCH(267,tk_ASEQ,0))="",""," "&amp;INDEX(tk_FGA,MATCH(267,tk_ASEQ,0))&amp;"GA"),"")</f>
        <v/>
      </c>
      <c r="M273" s="162">
        <f>IFERROR(IFERROR(VLOOKUP(INDEX(tk_JAMB,MATCH(267,tk_ASEQ,0)),CODES,2,FALSE),""&amp;INDEX(tk_JAMB,MATCH(267,tk_ASEQ,0))),"")</f>
        <v/>
      </c>
      <c r="N273" s="162">
        <f>IFERROR(""&amp;INDEX(tk_CONSTR,MATCH(267,tk_ASEQ,0)),"")</f>
        <v/>
      </c>
      <c r="O273" s="162">
        <f>IFERROR(""&amp;INDEX(tk_ANCHOR,MATCH(267,tk_ASEQ,0)),"")</f>
        <v/>
      </c>
      <c r="P273" s="162">
        <f>IFERROR(""&amp;INDEX(tk_RATING,MATCH(267,tk_ASEQ,0)),"")</f>
        <v/>
      </c>
      <c r="Q273" s="162">
        <f>IFERROR(""&amp;INDEX(tk_LABEL,MATCH(267,tk_ASEQ,0)),"")</f>
        <v/>
      </c>
      <c r="R273" s="162">
        <f>IFERROR(""&amp;INDEX(tk_HWSET,MATCH(267,tk_ASEQ,0)),"")</f>
        <v/>
      </c>
      <c r="S273" s="162">
        <f>IFERROR(IF(""&amp;INDEX(tk_HINGES,MATCH(267,tk_ASEQ,0))="","",INDEX(tk_HINGES,MATCH(267,tk_ASEQ,0))&amp;" · "&amp;INDEX(tk_LSRC,MATCH(267,tk_ASEQ,0))),"")</f>
        <v/>
      </c>
      <c r="T273" s="162">
        <f>IFERROR(""&amp;INDEX(tk_LOCK,MATCH(267,tk_ASEQ,0)),"")</f>
        <v/>
      </c>
      <c r="U273" s="162">
        <f>IFERROR(INDEX(tk_ETYPE,MATCH(267,tk_ASEQ,0)),"")</f>
        <v/>
      </c>
      <c r="V273" s="162">
        <f>IFERROR(""&amp;INDEX(tk_CHECK,MATCH(267,tk_ASEQ,0)),"")</f>
        <v/>
      </c>
      <c r="W273" s="162">
        <f>IFERROR(TRIM(INDEX(tk_DNOTES,MATCH(267,tk_ASEQ,0))&amp;" "&amp;INDEX(tk_FNOTES,MATCH(267,tk_ASEQ,0))),"")</f>
        <v/>
      </c>
    </row>
    <row r="274">
      <c r="A274" s="161">
        <f>IFERROR(""&amp;INDEX(tk_MARK,MATCH(268,tk_ASEQ,0)),"")</f>
        <v/>
      </c>
      <c r="B274" s="162">
        <f>IFERROR(""&amp;INDEX(tk_ROOMF,MATCH(268,tk_ASEQ,0)),"")</f>
        <v/>
      </c>
      <c r="C274" s="162">
        <f>IFERROR(""&amp;INDEX(tk_ROOMT,MATCH(268,tk_ASEQ,0)),"")</f>
        <v/>
      </c>
      <c r="D274" s="162">
        <f>IFERROR(INDEX(tk_QTY,MATCH(268,tk_ASEQ,0)),"")</f>
        <v/>
      </c>
      <c r="E274" s="162">
        <f>IFERROR(""&amp;INDEX(tk_SIZE,MATCH(268,tk_ASEQ,0)),"")</f>
        <v/>
      </c>
      <c r="F274" s="162">
        <f>IFERROR(""&amp;INDEX(tk_PAIR,MATCH(268,tk_ASEQ,0)),"")</f>
        <v/>
      </c>
      <c r="G274" s="162">
        <f>IFERROR(""&amp;INDEX(tk_DMAT,MATCH(268,tk_ASEQ,0)),"")</f>
        <v/>
      </c>
      <c r="H274" s="162">
        <f>IFERROR(""&amp;INDEX(tk_DGA,MATCH(268,tk_ASEQ,0)),"")</f>
        <v/>
      </c>
      <c r="I274" s="162">
        <f>IFERROR(""&amp;INDEX(tk_FACE,MATCH(268,tk_ASEQ,0)),"")</f>
        <v/>
      </c>
      <c r="J274" s="162">
        <f>IFERROR(IF(INDEX(tk_DHAND,MATCH(268,tk_ASEQ,0))="",""&amp;INDEX(tk_HAND,MATCH(268,tk_ASEQ,0)),""&amp;INDEX(tk_DHAND,MATCH(268,tk_ASEQ,0))),"")</f>
        <v/>
      </c>
      <c r="K274" s="162">
        <f>IFERROR(""&amp;INDEX(tk_FDESC,MATCH(268,tk_ASEQ,0)),"")</f>
        <v/>
      </c>
      <c r="L274" s="162">
        <f>IFERROR(INDEX(tk_STEEL,MATCH(268,tk_ASEQ,0))&amp;IF(INDEX(tk_FGA,MATCH(268,tk_ASEQ,0))="",""," "&amp;INDEX(tk_FGA,MATCH(268,tk_ASEQ,0))&amp;"GA"),"")</f>
        <v/>
      </c>
      <c r="M274" s="162">
        <f>IFERROR(IFERROR(VLOOKUP(INDEX(tk_JAMB,MATCH(268,tk_ASEQ,0)),CODES,2,FALSE),""&amp;INDEX(tk_JAMB,MATCH(268,tk_ASEQ,0))),"")</f>
        <v/>
      </c>
      <c r="N274" s="162">
        <f>IFERROR(""&amp;INDEX(tk_CONSTR,MATCH(268,tk_ASEQ,0)),"")</f>
        <v/>
      </c>
      <c r="O274" s="162">
        <f>IFERROR(""&amp;INDEX(tk_ANCHOR,MATCH(268,tk_ASEQ,0)),"")</f>
        <v/>
      </c>
      <c r="P274" s="162">
        <f>IFERROR(""&amp;INDEX(tk_RATING,MATCH(268,tk_ASEQ,0)),"")</f>
        <v/>
      </c>
      <c r="Q274" s="162">
        <f>IFERROR(""&amp;INDEX(tk_LABEL,MATCH(268,tk_ASEQ,0)),"")</f>
        <v/>
      </c>
      <c r="R274" s="162">
        <f>IFERROR(""&amp;INDEX(tk_HWSET,MATCH(268,tk_ASEQ,0)),"")</f>
        <v/>
      </c>
      <c r="S274" s="162">
        <f>IFERROR(IF(""&amp;INDEX(tk_HINGES,MATCH(268,tk_ASEQ,0))="","",INDEX(tk_HINGES,MATCH(268,tk_ASEQ,0))&amp;" · "&amp;INDEX(tk_LSRC,MATCH(268,tk_ASEQ,0))),"")</f>
        <v/>
      </c>
      <c r="T274" s="162">
        <f>IFERROR(""&amp;INDEX(tk_LOCK,MATCH(268,tk_ASEQ,0)),"")</f>
        <v/>
      </c>
      <c r="U274" s="162">
        <f>IFERROR(INDEX(tk_ETYPE,MATCH(268,tk_ASEQ,0)),"")</f>
        <v/>
      </c>
      <c r="V274" s="162">
        <f>IFERROR(""&amp;INDEX(tk_CHECK,MATCH(268,tk_ASEQ,0)),"")</f>
        <v/>
      </c>
      <c r="W274" s="162">
        <f>IFERROR(TRIM(INDEX(tk_DNOTES,MATCH(268,tk_ASEQ,0))&amp;" "&amp;INDEX(tk_FNOTES,MATCH(268,tk_ASEQ,0))),"")</f>
        <v/>
      </c>
    </row>
    <row r="275">
      <c r="A275" s="161">
        <f>IFERROR(""&amp;INDEX(tk_MARK,MATCH(269,tk_ASEQ,0)),"")</f>
        <v/>
      </c>
      <c r="B275" s="162">
        <f>IFERROR(""&amp;INDEX(tk_ROOMF,MATCH(269,tk_ASEQ,0)),"")</f>
        <v/>
      </c>
      <c r="C275" s="162">
        <f>IFERROR(""&amp;INDEX(tk_ROOMT,MATCH(269,tk_ASEQ,0)),"")</f>
        <v/>
      </c>
      <c r="D275" s="162">
        <f>IFERROR(INDEX(tk_QTY,MATCH(269,tk_ASEQ,0)),"")</f>
        <v/>
      </c>
      <c r="E275" s="162">
        <f>IFERROR(""&amp;INDEX(tk_SIZE,MATCH(269,tk_ASEQ,0)),"")</f>
        <v/>
      </c>
      <c r="F275" s="162">
        <f>IFERROR(""&amp;INDEX(tk_PAIR,MATCH(269,tk_ASEQ,0)),"")</f>
        <v/>
      </c>
      <c r="G275" s="162">
        <f>IFERROR(""&amp;INDEX(tk_DMAT,MATCH(269,tk_ASEQ,0)),"")</f>
        <v/>
      </c>
      <c r="H275" s="162">
        <f>IFERROR(""&amp;INDEX(tk_DGA,MATCH(269,tk_ASEQ,0)),"")</f>
        <v/>
      </c>
      <c r="I275" s="162">
        <f>IFERROR(""&amp;INDEX(tk_FACE,MATCH(269,tk_ASEQ,0)),"")</f>
        <v/>
      </c>
      <c r="J275" s="162">
        <f>IFERROR(IF(INDEX(tk_DHAND,MATCH(269,tk_ASEQ,0))="",""&amp;INDEX(tk_HAND,MATCH(269,tk_ASEQ,0)),""&amp;INDEX(tk_DHAND,MATCH(269,tk_ASEQ,0))),"")</f>
        <v/>
      </c>
      <c r="K275" s="162">
        <f>IFERROR(""&amp;INDEX(tk_FDESC,MATCH(269,tk_ASEQ,0)),"")</f>
        <v/>
      </c>
      <c r="L275" s="162">
        <f>IFERROR(INDEX(tk_STEEL,MATCH(269,tk_ASEQ,0))&amp;IF(INDEX(tk_FGA,MATCH(269,tk_ASEQ,0))="",""," "&amp;INDEX(tk_FGA,MATCH(269,tk_ASEQ,0))&amp;"GA"),"")</f>
        <v/>
      </c>
      <c r="M275" s="162">
        <f>IFERROR(IFERROR(VLOOKUP(INDEX(tk_JAMB,MATCH(269,tk_ASEQ,0)),CODES,2,FALSE),""&amp;INDEX(tk_JAMB,MATCH(269,tk_ASEQ,0))),"")</f>
        <v/>
      </c>
      <c r="N275" s="162">
        <f>IFERROR(""&amp;INDEX(tk_CONSTR,MATCH(269,tk_ASEQ,0)),"")</f>
        <v/>
      </c>
      <c r="O275" s="162">
        <f>IFERROR(""&amp;INDEX(tk_ANCHOR,MATCH(269,tk_ASEQ,0)),"")</f>
        <v/>
      </c>
      <c r="P275" s="162">
        <f>IFERROR(""&amp;INDEX(tk_RATING,MATCH(269,tk_ASEQ,0)),"")</f>
        <v/>
      </c>
      <c r="Q275" s="162">
        <f>IFERROR(""&amp;INDEX(tk_LABEL,MATCH(269,tk_ASEQ,0)),"")</f>
        <v/>
      </c>
      <c r="R275" s="162">
        <f>IFERROR(""&amp;INDEX(tk_HWSET,MATCH(269,tk_ASEQ,0)),"")</f>
        <v/>
      </c>
      <c r="S275" s="162">
        <f>IFERROR(IF(""&amp;INDEX(tk_HINGES,MATCH(269,tk_ASEQ,0))="","",INDEX(tk_HINGES,MATCH(269,tk_ASEQ,0))&amp;" · "&amp;INDEX(tk_LSRC,MATCH(269,tk_ASEQ,0))),"")</f>
        <v/>
      </c>
      <c r="T275" s="162">
        <f>IFERROR(""&amp;INDEX(tk_LOCK,MATCH(269,tk_ASEQ,0)),"")</f>
        <v/>
      </c>
      <c r="U275" s="162">
        <f>IFERROR(INDEX(tk_ETYPE,MATCH(269,tk_ASEQ,0)),"")</f>
        <v/>
      </c>
      <c r="V275" s="162">
        <f>IFERROR(""&amp;INDEX(tk_CHECK,MATCH(269,tk_ASEQ,0)),"")</f>
        <v/>
      </c>
      <c r="W275" s="162">
        <f>IFERROR(TRIM(INDEX(tk_DNOTES,MATCH(269,tk_ASEQ,0))&amp;" "&amp;INDEX(tk_FNOTES,MATCH(269,tk_ASEQ,0))),"")</f>
        <v/>
      </c>
    </row>
    <row r="276">
      <c r="A276" s="161">
        <f>IFERROR(""&amp;INDEX(tk_MARK,MATCH(270,tk_ASEQ,0)),"")</f>
        <v/>
      </c>
      <c r="B276" s="162">
        <f>IFERROR(""&amp;INDEX(tk_ROOMF,MATCH(270,tk_ASEQ,0)),"")</f>
        <v/>
      </c>
      <c r="C276" s="162">
        <f>IFERROR(""&amp;INDEX(tk_ROOMT,MATCH(270,tk_ASEQ,0)),"")</f>
        <v/>
      </c>
      <c r="D276" s="162">
        <f>IFERROR(INDEX(tk_QTY,MATCH(270,tk_ASEQ,0)),"")</f>
        <v/>
      </c>
      <c r="E276" s="162">
        <f>IFERROR(""&amp;INDEX(tk_SIZE,MATCH(270,tk_ASEQ,0)),"")</f>
        <v/>
      </c>
      <c r="F276" s="162">
        <f>IFERROR(""&amp;INDEX(tk_PAIR,MATCH(270,tk_ASEQ,0)),"")</f>
        <v/>
      </c>
      <c r="G276" s="162">
        <f>IFERROR(""&amp;INDEX(tk_DMAT,MATCH(270,tk_ASEQ,0)),"")</f>
        <v/>
      </c>
      <c r="H276" s="162">
        <f>IFERROR(""&amp;INDEX(tk_DGA,MATCH(270,tk_ASEQ,0)),"")</f>
        <v/>
      </c>
      <c r="I276" s="162">
        <f>IFERROR(""&amp;INDEX(tk_FACE,MATCH(270,tk_ASEQ,0)),"")</f>
        <v/>
      </c>
      <c r="J276" s="162">
        <f>IFERROR(IF(INDEX(tk_DHAND,MATCH(270,tk_ASEQ,0))="",""&amp;INDEX(tk_HAND,MATCH(270,tk_ASEQ,0)),""&amp;INDEX(tk_DHAND,MATCH(270,tk_ASEQ,0))),"")</f>
        <v/>
      </c>
      <c r="K276" s="162">
        <f>IFERROR(""&amp;INDEX(tk_FDESC,MATCH(270,tk_ASEQ,0)),"")</f>
        <v/>
      </c>
      <c r="L276" s="162">
        <f>IFERROR(INDEX(tk_STEEL,MATCH(270,tk_ASEQ,0))&amp;IF(INDEX(tk_FGA,MATCH(270,tk_ASEQ,0))="",""," "&amp;INDEX(tk_FGA,MATCH(270,tk_ASEQ,0))&amp;"GA"),"")</f>
        <v/>
      </c>
      <c r="M276" s="162">
        <f>IFERROR(IFERROR(VLOOKUP(INDEX(tk_JAMB,MATCH(270,tk_ASEQ,0)),CODES,2,FALSE),""&amp;INDEX(tk_JAMB,MATCH(270,tk_ASEQ,0))),"")</f>
        <v/>
      </c>
      <c r="N276" s="162">
        <f>IFERROR(""&amp;INDEX(tk_CONSTR,MATCH(270,tk_ASEQ,0)),"")</f>
        <v/>
      </c>
      <c r="O276" s="162">
        <f>IFERROR(""&amp;INDEX(tk_ANCHOR,MATCH(270,tk_ASEQ,0)),"")</f>
        <v/>
      </c>
      <c r="P276" s="162">
        <f>IFERROR(""&amp;INDEX(tk_RATING,MATCH(270,tk_ASEQ,0)),"")</f>
        <v/>
      </c>
      <c r="Q276" s="162">
        <f>IFERROR(""&amp;INDEX(tk_LABEL,MATCH(270,tk_ASEQ,0)),"")</f>
        <v/>
      </c>
      <c r="R276" s="162">
        <f>IFERROR(""&amp;INDEX(tk_HWSET,MATCH(270,tk_ASEQ,0)),"")</f>
        <v/>
      </c>
      <c r="S276" s="162">
        <f>IFERROR(IF(""&amp;INDEX(tk_HINGES,MATCH(270,tk_ASEQ,0))="","",INDEX(tk_HINGES,MATCH(270,tk_ASEQ,0))&amp;" · "&amp;INDEX(tk_LSRC,MATCH(270,tk_ASEQ,0))),"")</f>
        <v/>
      </c>
      <c r="T276" s="162">
        <f>IFERROR(""&amp;INDEX(tk_LOCK,MATCH(270,tk_ASEQ,0)),"")</f>
        <v/>
      </c>
      <c r="U276" s="162">
        <f>IFERROR(INDEX(tk_ETYPE,MATCH(270,tk_ASEQ,0)),"")</f>
        <v/>
      </c>
      <c r="V276" s="162">
        <f>IFERROR(""&amp;INDEX(tk_CHECK,MATCH(270,tk_ASEQ,0)),"")</f>
        <v/>
      </c>
      <c r="W276" s="162">
        <f>IFERROR(TRIM(INDEX(tk_DNOTES,MATCH(270,tk_ASEQ,0))&amp;" "&amp;INDEX(tk_FNOTES,MATCH(270,tk_ASEQ,0))),"")</f>
        <v/>
      </c>
    </row>
    <row r="277">
      <c r="A277" s="161">
        <f>IFERROR(""&amp;INDEX(tk_MARK,MATCH(271,tk_ASEQ,0)),"")</f>
        <v/>
      </c>
      <c r="B277" s="162">
        <f>IFERROR(""&amp;INDEX(tk_ROOMF,MATCH(271,tk_ASEQ,0)),"")</f>
        <v/>
      </c>
      <c r="C277" s="162">
        <f>IFERROR(""&amp;INDEX(tk_ROOMT,MATCH(271,tk_ASEQ,0)),"")</f>
        <v/>
      </c>
      <c r="D277" s="162">
        <f>IFERROR(INDEX(tk_QTY,MATCH(271,tk_ASEQ,0)),"")</f>
        <v/>
      </c>
      <c r="E277" s="162">
        <f>IFERROR(""&amp;INDEX(tk_SIZE,MATCH(271,tk_ASEQ,0)),"")</f>
        <v/>
      </c>
      <c r="F277" s="162">
        <f>IFERROR(""&amp;INDEX(tk_PAIR,MATCH(271,tk_ASEQ,0)),"")</f>
        <v/>
      </c>
      <c r="G277" s="162">
        <f>IFERROR(""&amp;INDEX(tk_DMAT,MATCH(271,tk_ASEQ,0)),"")</f>
        <v/>
      </c>
      <c r="H277" s="162">
        <f>IFERROR(""&amp;INDEX(tk_DGA,MATCH(271,tk_ASEQ,0)),"")</f>
        <v/>
      </c>
      <c r="I277" s="162">
        <f>IFERROR(""&amp;INDEX(tk_FACE,MATCH(271,tk_ASEQ,0)),"")</f>
        <v/>
      </c>
      <c r="J277" s="162">
        <f>IFERROR(IF(INDEX(tk_DHAND,MATCH(271,tk_ASEQ,0))="",""&amp;INDEX(tk_HAND,MATCH(271,tk_ASEQ,0)),""&amp;INDEX(tk_DHAND,MATCH(271,tk_ASEQ,0))),"")</f>
        <v/>
      </c>
      <c r="K277" s="162">
        <f>IFERROR(""&amp;INDEX(tk_FDESC,MATCH(271,tk_ASEQ,0)),"")</f>
        <v/>
      </c>
      <c r="L277" s="162">
        <f>IFERROR(INDEX(tk_STEEL,MATCH(271,tk_ASEQ,0))&amp;IF(INDEX(tk_FGA,MATCH(271,tk_ASEQ,0))="",""," "&amp;INDEX(tk_FGA,MATCH(271,tk_ASEQ,0))&amp;"GA"),"")</f>
        <v/>
      </c>
      <c r="M277" s="162">
        <f>IFERROR(IFERROR(VLOOKUP(INDEX(tk_JAMB,MATCH(271,tk_ASEQ,0)),CODES,2,FALSE),""&amp;INDEX(tk_JAMB,MATCH(271,tk_ASEQ,0))),"")</f>
        <v/>
      </c>
      <c r="N277" s="162">
        <f>IFERROR(""&amp;INDEX(tk_CONSTR,MATCH(271,tk_ASEQ,0)),"")</f>
        <v/>
      </c>
      <c r="O277" s="162">
        <f>IFERROR(""&amp;INDEX(tk_ANCHOR,MATCH(271,tk_ASEQ,0)),"")</f>
        <v/>
      </c>
      <c r="P277" s="162">
        <f>IFERROR(""&amp;INDEX(tk_RATING,MATCH(271,tk_ASEQ,0)),"")</f>
        <v/>
      </c>
      <c r="Q277" s="162">
        <f>IFERROR(""&amp;INDEX(tk_LABEL,MATCH(271,tk_ASEQ,0)),"")</f>
        <v/>
      </c>
      <c r="R277" s="162">
        <f>IFERROR(""&amp;INDEX(tk_HWSET,MATCH(271,tk_ASEQ,0)),"")</f>
        <v/>
      </c>
      <c r="S277" s="162">
        <f>IFERROR(IF(""&amp;INDEX(tk_HINGES,MATCH(271,tk_ASEQ,0))="","",INDEX(tk_HINGES,MATCH(271,tk_ASEQ,0))&amp;" · "&amp;INDEX(tk_LSRC,MATCH(271,tk_ASEQ,0))),"")</f>
        <v/>
      </c>
      <c r="T277" s="162">
        <f>IFERROR(""&amp;INDEX(tk_LOCK,MATCH(271,tk_ASEQ,0)),"")</f>
        <v/>
      </c>
      <c r="U277" s="162">
        <f>IFERROR(INDEX(tk_ETYPE,MATCH(271,tk_ASEQ,0)),"")</f>
        <v/>
      </c>
      <c r="V277" s="162">
        <f>IFERROR(""&amp;INDEX(tk_CHECK,MATCH(271,tk_ASEQ,0)),"")</f>
        <v/>
      </c>
      <c r="W277" s="162">
        <f>IFERROR(TRIM(INDEX(tk_DNOTES,MATCH(271,tk_ASEQ,0))&amp;" "&amp;INDEX(tk_FNOTES,MATCH(271,tk_ASEQ,0))),"")</f>
        <v/>
      </c>
    </row>
    <row r="278">
      <c r="A278" s="161">
        <f>IFERROR(""&amp;INDEX(tk_MARK,MATCH(272,tk_ASEQ,0)),"")</f>
        <v/>
      </c>
      <c r="B278" s="162">
        <f>IFERROR(""&amp;INDEX(tk_ROOMF,MATCH(272,tk_ASEQ,0)),"")</f>
        <v/>
      </c>
      <c r="C278" s="162">
        <f>IFERROR(""&amp;INDEX(tk_ROOMT,MATCH(272,tk_ASEQ,0)),"")</f>
        <v/>
      </c>
      <c r="D278" s="162">
        <f>IFERROR(INDEX(tk_QTY,MATCH(272,tk_ASEQ,0)),"")</f>
        <v/>
      </c>
      <c r="E278" s="162">
        <f>IFERROR(""&amp;INDEX(tk_SIZE,MATCH(272,tk_ASEQ,0)),"")</f>
        <v/>
      </c>
      <c r="F278" s="162">
        <f>IFERROR(""&amp;INDEX(tk_PAIR,MATCH(272,tk_ASEQ,0)),"")</f>
        <v/>
      </c>
      <c r="G278" s="162">
        <f>IFERROR(""&amp;INDEX(tk_DMAT,MATCH(272,tk_ASEQ,0)),"")</f>
        <v/>
      </c>
      <c r="H278" s="162">
        <f>IFERROR(""&amp;INDEX(tk_DGA,MATCH(272,tk_ASEQ,0)),"")</f>
        <v/>
      </c>
      <c r="I278" s="162">
        <f>IFERROR(""&amp;INDEX(tk_FACE,MATCH(272,tk_ASEQ,0)),"")</f>
        <v/>
      </c>
      <c r="J278" s="162">
        <f>IFERROR(IF(INDEX(tk_DHAND,MATCH(272,tk_ASEQ,0))="",""&amp;INDEX(tk_HAND,MATCH(272,tk_ASEQ,0)),""&amp;INDEX(tk_DHAND,MATCH(272,tk_ASEQ,0))),"")</f>
        <v/>
      </c>
      <c r="K278" s="162">
        <f>IFERROR(""&amp;INDEX(tk_FDESC,MATCH(272,tk_ASEQ,0)),"")</f>
        <v/>
      </c>
      <c r="L278" s="162">
        <f>IFERROR(INDEX(tk_STEEL,MATCH(272,tk_ASEQ,0))&amp;IF(INDEX(tk_FGA,MATCH(272,tk_ASEQ,0))="",""," "&amp;INDEX(tk_FGA,MATCH(272,tk_ASEQ,0))&amp;"GA"),"")</f>
        <v/>
      </c>
      <c r="M278" s="162">
        <f>IFERROR(IFERROR(VLOOKUP(INDEX(tk_JAMB,MATCH(272,tk_ASEQ,0)),CODES,2,FALSE),""&amp;INDEX(tk_JAMB,MATCH(272,tk_ASEQ,0))),"")</f>
        <v/>
      </c>
      <c r="N278" s="162">
        <f>IFERROR(""&amp;INDEX(tk_CONSTR,MATCH(272,tk_ASEQ,0)),"")</f>
        <v/>
      </c>
      <c r="O278" s="162">
        <f>IFERROR(""&amp;INDEX(tk_ANCHOR,MATCH(272,tk_ASEQ,0)),"")</f>
        <v/>
      </c>
      <c r="P278" s="162">
        <f>IFERROR(""&amp;INDEX(tk_RATING,MATCH(272,tk_ASEQ,0)),"")</f>
        <v/>
      </c>
      <c r="Q278" s="162">
        <f>IFERROR(""&amp;INDEX(tk_LABEL,MATCH(272,tk_ASEQ,0)),"")</f>
        <v/>
      </c>
      <c r="R278" s="162">
        <f>IFERROR(""&amp;INDEX(tk_HWSET,MATCH(272,tk_ASEQ,0)),"")</f>
        <v/>
      </c>
      <c r="S278" s="162">
        <f>IFERROR(IF(""&amp;INDEX(tk_HINGES,MATCH(272,tk_ASEQ,0))="","",INDEX(tk_HINGES,MATCH(272,tk_ASEQ,0))&amp;" · "&amp;INDEX(tk_LSRC,MATCH(272,tk_ASEQ,0))),"")</f>
        <v/>
      </c>
      <c r="T278" s="162">
        <f>IFERROR(""&amp;INDEX(tk_LOCK,MATCH(272,tk_ASEQ,0)),"")</f>
        <v/>
      </c>
      <c r="U278" s="162">
        <f>IFERROR(INDEX(tk_ETYPE,MATCH(272,tk_ASEQ,0)),"")</f>
        <v/>
      </c>
      <c r="V278" s="162">
        <f>IFERROR(""&amp;INDEX(tk_CHECK,MATCH(272,tk_ASEQ,0)),"")</f>
        <v/>
      </c>
      <c r="W278" s="162">
        <f>IFERROR(TRIM(INDEX(tk_DNOTES,MATCH(272,tk_ASEQ,0))&amp;" "&amp;INDEX(tk_FNOTES,MATCH(272,tk_ASEQ,0))),"")</f>
        <v/>
      </c>
    </row>
    <row r="279">
      <c r="A279" s="161">
        <f>IFERROR(""&amp;INDEX(tk_MARK,MATCH(273,tk_ASEQ,0)),"")</f>
        <v/>
      </c>
      <c r="B279" s="162">
        <f>IFERROR(""&amp;INDEX(tk_ROOMF,MATCH(273,tk_ASEQ,0)),"")</f>
        <v/>
      </c>
      <c r="C279" s="162">
        <f>IFERROR(""&amp;INDEX(tk_ROOMT,MATCH(273,tk_ASEQ,0)),"")</f>
        <v/>
      </c>
      <c r="D279" s="162">
        <f>IFERROR(INDEX(tk_QTY,MATCH(273,tk_ASEQ,0)),"")</f>
        <v/>
      </c>
      <c r="E279" s="162">
        <f>IFERROR(""&amp;INDEX(tk_SIZE,MATCH(273,tk_ASEQ,0)),"")</f>
        <v/>
      </c>
      <c r="F279" s="162">
        <f>IFERROR(""&amp;INDEX(tk_PAIR,MATCH(273,tk_ASEQ,0)),"")</f>
        <v/>
      </c>
      <c r="G279" s="162">
        <f>IFERROR(""&amp;INDEX(tk_DMAT,MATCH(273,tk_ASEQ,0)),"")</f>
        <v/>
      </c>
      <c r="H279" s="162">
        <f>IFERROR(""&amp;INDEX(tk_DGA,MATCH(273,tk_ASEQ,0)),"")</f>
        <v/>
      </c>
      <c r="I279" s="162">
        <f>IFERROR(""&amp;INDEX(tk_FACE,MATCH(273,tk_ASEQ,0)),"")</f>
        <v/>
      </c>
      <c r="J279" s="162">
        <f>IFERROR(IF(INDEX(tk_DHAND,MATCH(273,tk_ASEQ,0))="",""&amp;INDEX(tk_HAND,MATCH(273,tk_ASEQ,0)),""&amp;INDEX(tk_DHAND,MATCH(273,tk_ASEQ,0))),"")</f>
        <v/>
      </c>
      <c r="K279" s="162">
        <f>IFERROR(""&amp;INDEX(tk_FDESC,MATCH(273,tk_ASEQ,0)),"")</f>
        <v/>
      </c>
      <c r="L279" s="162">
        <f>IFERROR(INDEX(tk_STEEL,MATCH(273,tk_ASEQ,0))&amp;IF(INDEX(tk_FGA,MATCH(273,tk_ASEQ,0))="",""," "&amp;INDEX(tk_FGA,MATCH(273,tk_ASEQ,0))&amp;"GA"),"")</f>
        <v/>
      </c>
      <c r="M279" s="162">
        <f>IFERROR(IFERROR(VLOOKUP(INDEX(tk_JAMB,MATCH(273,tk_ASEQ,0)),CODES,2,FALSE),""&amp;INDEX(tk_JAMB,MATCH(273,tk_ASEQ,0))),"")</f>
        <v/>
      </c>
      <c r="N279" s="162">
        <f>IFERROR(""&amp;INDEX(tk_CONSTR,MATCH(273,tk_ASEQ,0)),"")</f>
        <v/>
      </c>
      <c r="O279" s="162">
        <f>IFERROR(""&amp;INDEX(tk_ANCHOR,MATCH(273,tk_ASEQ,0)),"")</f>
        <v/>
      </c>
      <c r="P279" s="162">
        <f>IFERROR(""&amp;INDEX(tk_RATING,MATCH(273,tk_ASEQ,0)),"")</f>
        <v/>
      </c>
      <c r="Q279" s="162">
        <f>IFERROR(""&amp;INDEX(tk_LABEL,MATCH(273,tk_ASEQ,0)),"")</f>
        <v/>
      </c>
      <c r="R279" s="162">
        <f>IFERROR(""&amp;INDEX(tk_HWSET,MATCH(273,tk_ASEQ,0)),"")</f>
        <v/>
      </c>
      <c r="S279" s="162">
        <f>IFERROR(IF(""&amp;INDEX(tk_HINGES,MATCH(273,tk_ASEQ,0))="","",INDEX(tk_HINGES,MATCH(273,tk_ASEQ,0))&amp;" · "&amp;INDEX(tk_LSRC,MATCH(273,tk_ASEQ,0))),"")</f>
        <v/>
      </c>
      <c r="T279" s="162">
        <f>IFERROR(""&amp;INDEX(tk_LOCK,MATCH(273,tk_ASEQ,0)),"")</f>
        <v/>
      </c>
      <c r="U279" s="162">
        <f>IFERROR(INDEX(tk_ETYPE,MATCH(273,tk_ASEQ,0)),"")</f>
        <v/>
      </c>
      <c r="V279" s="162">
        <f>IFERROR(""&amp;INDEX(tk_CHECK,MATCH(273,tk_ASEQ,0)),"")</f>
        <v/>
      </c>
      <c r="W279" s="162">
        <f>IFERROR(TRIM(INDEX(tk_DNOTES,MATCH(273,tk_ASEQ,0))&amp;" "&amp;INDEX(tk_FNOTES,MATCH(273,tk_ASEQ,0))),"")</f>
        <v/>
      </c>
    </row>
    <row r="280">
      <c r="A280" s="161">
        <f>IFERROR(""&amp;INDEX(tk_MARK,MATCH(274,tk_ASEQ,0)),"")</f>
        <v/>
      </c>
      <c r="B280" s="162">
        <f>IFERROR(""&amp;INDEX(tk_ROOMF,MATCH(274,tk_ASEQ,0)),"")</f>
        <v/>
      </c>
      <c r="C280" s="162">
        <f>IFERROR(""&amp;INDEX(tk_ROOMT,MATCH(274,tk_ASEQ,0)),"")</f>
        <v/>
      </c>
      <c r="D280" s="162">
        <f>IFERROR(INDEX(tk_QTY,MATCH(274,tk_ASEQ,0)),"")</f>
        <v/>
      </c>
      <c r="E280" s="162">
        <f>IFERROR(""&amp;INDEX(tk_SIZE,MATCH(274,tk_ASEQ,0)),"")</f>
        <v/>
      </c>
      <c r="F280" s="162">
        <f>IFERROR(""&amp;INDEX(tk_PAIR,MATCH(274,tk_ASEQ,0)),"")</f>
        <v/>
      </c>
      <c r="G280" s="162">
        <f>IFERROR(""&amp;INDEX(tk_DMAT,MATCH(274,tk_ASEQ,0)),"")</f>
        <v/>
      </c>
      <c r="H280" s="162">
        <f>IFERROR(""&amp;INDEX(tk_DGA,MATCH(274,tk_ASEQ,0)),"")</f>
        <v/>
      </c>
      <c r="I280" s="162">
        <f>IFERROR(""&amp;INDEX(tk_FACE,MATCH(274,tk_ASEQ,0)),"")</f>
        <v/>
      </c>
      <c r="J280" s="162">
        <f>IFERROR(IF(INDEX(tk_DHAND,MATCH(274,tk_ASEQ,0))="",""&amp;INDEX(tk_HAND,MATCH(274,tk_ASEQ,0)),""&amp;INDEX(tk_DHAND,MATCH(274,tk_ASEQ,0))),"")</f>
        <v/>
      </c>
      <c r="K280" s="162">
        <f>IFERROR(""&amp;INDEX(tk_FDESC,MATCH(274,tk_ASEQ,0)),"")</f>
        <v/>
      </c>
      <c r="L280" s="162">
        <f>IFERROR(INDEX(tk_STEEL,MATCH(274,tk_ASEQ,0))&amp;IF(INDEX(tk_FGA,MATCH(274,tk_ASEQ,0))="",""," "&amp;INDEX(tk_FGA,MATCH(274,tk_ASEQ,0))&amp;"GA"),"")</f>
        <v/>
      </c>
      <c r="M280" s="162">
        <f>IFERROR(IFERROR(VLOOKUP(INDEX(tk_JAMB,MATCH(274,tk_ASEQ,0)),CODES,2,FALSE),""&amp;INDEX(tk_JAMB,MATCH(274,tk_ASEQ,0))),"")</f>
        <v/>
      </c>
      <c r="N280" s="162">
        <f>IFERROR(""&amp;INDEX(tk_CONSTR,MATCH(274,tk_ASEQ,0)),"")</f>
        <v/>
      </c>
      <c r="O280" s="162">
        <f>IFERROR(""&amp;INDEX(tk_ANCHOR,MATCH(274,tk_ASEQ,0)),"")</f>
        <v/>
      </c>
      <c r="P280" s="162">
        <f>IFERROR(""&amp;INDEX(tk_RATING,MATCH(274,tk_ASEQ,0)),"")</f>
        <v/>
      </c>
      <c r="Q280" s="162">
        <f>IFERROR(""&amp;INDEX(tk_LABEL,MATCH(274,tk_ASEQ,0)),"")</f>
        <v/>
      </c>
      <c r="R280" s="162">
        <f>IFERROR(""&amp;INDEX(tk_HWSET,MATCH(274,tk_ASEQ,0)),"")</f>
        <v/>
      </c>
      <c r="S280" s="162">
        <f>IFERROR(IF(""&amp;INDEX(tk_HINGES,MATCH(274,tk_ASEQ,0))="","",INDEX(tk_HINGES,MATCH(274,tk_ASEQ,0))&amp;" · "&amp;INDEX(tk_LSRC,MATCH(274,tk_ASEQ,0))),"")</f>
        <v/>
      </c>
      <c r="T280" s="162">
        <f>IFERROR(""&amp;INDEX(tk_LOCK,MATCH(274,tk_ASEQ,0)),"")</f>
        <v/>
      </c>
      <c r="U280" s="162">
        <f>IFERROR(INDEX(tk_ETYPE,MATCH(274,tk_ASEQ,0)),"")</f>
        <v/>
      </c>
      <c r="V280" s="162">
        <f>IFERROR(""&amp;INDEX(tk_CHECK,MATCH(274,tk_ASEQ,0)),"")</f>
        <v/>
      </c>
      <c r="W280" s="162">
        <f>IFERROR(TRIM(INDEX(tk_DNOTES,MATCH(274,tk_ASEQ,0))&amp;" "&amp;INDEX(tk_FNOTES,MATCH(274,tk_ASEQ,0))),"")</f>
        <v/>
      </c>
    </row>
    <row r="281">
      <c r="A281" s="161">
        <f>IFERROR(""&amp;INDEX(tk_MARK,MATCH(275,tk_ASEQ,0)),"")</f>
        <v/>
      </c>
      <c r="B281" s="162">
        <f>IFERROR(""&amp;INDEX(tk_ROOMF,MATCH(275,tk_ASEQ,0)),"")</f>
        <v/>
      </c>
      <c r="C281" s="162">
        <f>IFERROR(""&amp;INDEX(tk_ROOMT,MATCH(275,tk_ASEQ,0)),"")</f>
        <v/>
      </c>
      <c r="D281" s="162">
        <f>IFERROR(INDEX(tk_QTY,MATCH(275,tk_ASEQ,0)),"")</f>
        <v/>
      </c>
      <c r="E281" s="162">
        <f>IFERROR(""&amp;INDEX(tk_SIZE,MATCH(275,tk_ASEQ,0)),"")</f>
        <v/>
      </c>
      <c r="F281" s="162">
        <f>IFERROR(""&amp;INDEX(tk_PAIR,MATCH(275,tk_ASEQ,0)),"")</f>
        <v/>
      </c>
      <c r="G281" s="162">
        <f>IFERROR(""&amp;INDEX(tk_DMAT,MATCH(275,tk_ASEQ,0)),"")</f>
        <v/>
      </c>
      <c r="H281" s="162">
        <f>IFERROR(""&amp;INDEX(tk_DGA,MATCH(275,tk_ASEQ,0)),"")</f>
        <v/>
      </c>
      <c r="I281" s="162">
        <f>IFERROR(""&amp;INDEX(tk_FACE,MATCH(275,tk_ASEQ,0)),"")</f>
        <v/>
      </c>
      <c r="J281" s="162">
        <f>IFERROR(IF(INDEX(tk_DHAND,MATCH(275,tk_ASEQ,0))="",""&amp;INDEX(tk_HAND,MATCH(275,tk_ASEQ,0)),""&amp;INDEX(tk_DHAND,MATCH(275,tk_ASEQ,0))),"")</f>
        <v/>
      </c>
      <c r="K281" s="162">
        <f>IFERROR(""&amp;INDEX(tk_FDESC,MATCH(275,tk_ASEQ,0)),"")</f>
        <v/>
      </c>
      <c r="L281" s="162">
        <f>IFERROR(INDEX(tk_STEEL,MATCH(275,tk_ASEQ,0))&amp;IF(INDEX(tk_FGA,MATCH(275,tk_ASEQ,0))="",""," "&amp;INDEX(tk_FGA,MATCH(275,tk_ASEQ,0))&amp;"GA"),"")</f>
        <v/>
      </c>
      <c r="M281" s="162">
        <f>IFERROR(IFERROR(VLOOKUP(INDEX(tk_JAMB,MATCH(275,tk_ASEQ,0)),CODES,2,FALSE),""&amp;INDEX(tk_JAMB,MATCH(275,tk_ASEQ,0))),"")</f>
        <v/>
      </c>
      <c r="N281" s="162">
        <f>IFERROR(""&amp;INDEX(tk_CONSTR,MATCH(275,tk_ASEQ,0)),"")</f>
        <v/>
      </c>
      <c r="O281" s="162">
        <f>IFERROR(""&amp;INDEX(tk_ANCHOR,MATCH(275,tk_ASEQ,0)),"")</f>
        <v/>
      </c>
      <c r="P281" s="162">
        <f>IFERROR(""&amp;INDEX(tk_RATING,MATCH(275,tk_ASEQ,0)),"")</f>
        <v/>
      </c>
      <c r="Q281" s="162">
        <f>IFERROR(""&amp;INDEX(tk_LABEL,MATCH(275,tk_ASEQ,0)),"")</f>
        <v/>
      </c>
      <c r="R281" s="162">
        <f>IFERROR(""&amp;INDEX(tk_HWSET,MATCH(275,tk_ASEQ,0)),"")</f>
        <v/>
      </c>
      <c r="S281" s="162">
        <f>IFERROR(IF(""&amp;INDEX(tk_HINGES,MATCH(275,tk_ASEQ,0))="","",INDEX(tk_HINGES,MATCH(275,tk_ASEQ,0))&amp;" · "&amp;INDEX(tk_LSRC,MATCH(275,tk_ASEQ,0))),"")</f>
        <v/>
      </c>
      <c r="T281" s="162">
        <f>IFERROR(""&amp;INDEX(tk_LOCK,MATCH(275,tk_ASEQ,0)),"")</f>
        <v/>
      </c>
      <c r="U281" s="162">
        <f>IFERROR(INDEX(tk_ETYPE,MATCH(275,tk_ASEQ,0)),"")</f>
        <v/>
      </c>
      <c r="V281" s="162">
        <f>IFERROR(""&amp;INDEX(tk_CHECK,MATCH(275,tk_ASEQ,0)),"")</f>
        <v/>
      </c>
      <c r="W281" s="162">
        <f>IFERROR(TRIM(INDEX(tk_DNOTES,MATCH(275,tk_ASEQ,0))&amp;" "&amp;INDEX(tk_FNOTES,MATCH(275,tk_ASEQ,0))),"")</f>
        <v/>
      </c>
    </row>
    <row r="282">
      <c r="A282" s="161">
        <f>IFERROR(""&amp;INDEX(tk_MARK,MATCH(276,tk_ASEQ,0)),"")</f>
        <v/>
      </c>
      <c r="B282" s="162">
        <f>IFERROR(""&amp;INDEX(tk_ROOMF,MATCH(276,tk_ASEQ,0)),"")</f>
        <v/>
      </c>
      <c r="C282" s="162">
        <f>IFERROR(""&amp;INDEX(tk_ROOMT,MATCH(276,tk_ASEQ,0)),"")</f>
        <v/>
      </c>
      <c r="D282" s="162">
        <f>IFERROR(INDEX(tk_QTY,MATCH(276,tk_ASEQ,0)),"")</f>
        <v/>
      </c>
      <c r="E282" s="162">
        <f>IFERROR(""&amp;INDEX(tk_SIZE,MATCH(276,tk_ASEQ,0)),"")</f>
        <v/>
      </c>
      <c r="F282" s="162">
        <f>IFERROR(""&amp;INDEX(tk_PAIR,MATCH(276,tk_ASEQ,0)),"")</f>
        <v/>
      </c>
      <c r="G282" s="162">
        <f>IFERROR(""&amp;INDEX(tk_DMAT,MATCH(276,tk_ASEQ,0)),"")</f>
        <v/>
      </c>
      <c r="H282" s="162">
        <f>IFERROR(""&amp;INDEX(tk_DGA,MATCH(276,tk_ASEQ,0)),"")</f>
        <v/>
      </c>
      <c r="I282" s="162">
        <f>IFERROR(""&amp;INDEX(tk_FACE,MATCH(276,tk_ASEQ,0)),"")</f>
        <v/>
      </c>
      <c r="J282" s="162">
        <f>IFERROR(IF(INDEX(tk_DHAND,MATCH(276,tk_ASEQ,0))="",""&amp;INDEX(tk_HAND,MATCH(276,tk_ASEQ,0)),""&amp;INDEX(tk_DHAND,MATCH(276,tk_ASEQ,0))),"")</f>
        <v/>
      </c>
      <c r="K282" s="162">
        <f>IFERROR(""&amp;INDEX(tk_FDESC,MATCH(276,tk_ASEQ,0)),"")</f>
        <v/>
      </c>
      <c r="L282" s="162">
        <f>IFERROR(INDEX(tk_STEEL,MATCH(276,tk_ASEQ,0))&amp;IF(INDEX(tk_FGA,MATCH(276,tk_ASEQ,0))="",""," "&amp;INDEX(tk_FGA,MATCH(276,tk_ASEQ,0))&amp;"GA"),"")</f>
        <v/>
      </c>
      <c r="M282" s="162">
        <f>IFERROR(IFERROR(VLOOKUP(INDEX(tk_JAMB,MATCH(276,tk_ASEQ,0)),CODES,2,FALSE),""&amp;INDEX(tk_JAMB,MATCH(276,tk_ASEQ,0))),"")</f>
        <v/>
      </c>
      <c r="N282" s="162">
        <f>IFERROR(""&amp;INDEX(tk_CONSTR,MATCH(276,tk_ASEQ,0)),"")</f>
        <v/>
      </c>
      <c r="O282" s="162">
        <f>IFERROR(""&amp;INDEX(tk_ANCHOR,MATCH(276,tk_ASEQ,0)),"")</f>
        <v/>
      </c>
      <c r="P282" s="162">
        <f>IFERROR(""&amp;INDEX(tk_RATING,MATCH(276,tk_ASEQ,0)),"")</f>
        <v/>
      </c>
      <c r="Q282" s="162">
        <f>IFERROR(""&amp;INDEX(tk_LABEL,MATCH(276,tk_ASEQ,0)),"")</f>
        <v/>
      </c>
      <c r="R282" s="162">
        <f>IFERROR(""&amp;INDEX(tk_HWSET,MATCH(276,tk_ASEQ,0)),"")</f>
        <v/>
      </c>
      <c r="S282" s="162">
        <f>IFERROR(IF(""&amp;INDEX(tk_HINGES,MATCH(276,tk_ASEQ,0))="","",INDEX(tk_HINGES,MATCH(276,tk_ASEQ,0))&amp;" · "&amp;INDEX(tk_LSRC,MATCH(276,tk_ASEQ,0))),"")</f>
        <v/>
      </c>
      <c r="T282" s="162">
        <f>IFERROR(""&amp;INDEX(tk_LOCK,MATCH(276,tk_ASEQ,0)),"")</f>
        <v/>
      </c>
      <c r="U282" s="162">
        <f>IFERROR(INDEX(tk_ETYPE,MATCH(276,tk_ASEQ,0)),"")</f>
        <v/>
      </c>
      <c r="V282" s="162">
        <f>IFERROR(""&amp;INDEX(tk_CHECK,MATCH(276,tk_ASEQ,0)),"")</f>
        <v/>
      </c>
      <c r="W282" s="162">
        <f>IFERROR(TRIM(INDEX(tk_DNOTES,MATCH(276,tk_ASEQ,0))&amp;" "&amp;INDEX(tk_FNOTES,MATCH(276,tk_ASEQ,0))),"")</f>
        <v/>
      </c>
    </row>
    <row r="283">
      <c r="A283" s="161">
        <f>IFERROR(""&amp;INDEX(tk_MARK,MATCH(277,tk_ASEQ,0)),"")</f>
        <v/>
      </c>
      <c r="B283" s="162">
        <f>IFERROR(""&amp;INDEX(tk_ROOMF,MATCH(277,tk_ASEQ,0)),"")</f>
        <v/>
      </c>
      <c r="C283" s="162">
        <f>IFERROR(""&amp;INDEX(tk_ROOMT,MATCH(277,tk_ASEQ,0)),"")</f>
        <v/>
      </c>
      <c r="D283" s="162">
        <f>IFERROR(INDEX(tk_QTY,MATCH(277,tk_ASEQ,0)),"")</f>
        <v/>
      </c>
      <c r="E283" s="162">
        <f>IFERROR(""&amp;INDEX(tk_SIZE,MATCH(277,tk_ASEQ,0)),"")</f>
        <v/>
      </c>
      <c r="F283" s="162">
        <f>IFERROR(""&amp;INDEX(tk_PAIR,MATCH(277,tk_ASEQ,0)),"")</f>
        <v/>
      </c>
      <c r="G283" s="162">
        <f>IFERROR(""&amp;INDEX(tk_DMAT,MATCH(277,tk_ASEQ,0)),"")</f>
        <v/>
      </c>
      <c r="H283" s="162">
        <f>IFERROR(""&amp;INDEX(tk_DGA,MATCH(277,tk_ASEQ,0)),"")</f>
        <v/>
      </c>
      <c r="I283" s="162">
        <f>IFERROR(""&amp;INDEX(tk_FACE,MATCH(277,tk_ASEQ,0)),"")</f>
        <v/>
      </c>
      <c r="J283" s="162">
        <f>IFERROR(IF(INDEX(tk_DHAND,MATCH(277,tk_ASEQ,0))="",""&amp;INDEX(tk_HAND,MATCH(277,tk_ASEQ,0)),""&amp;INDEX(tk_DHAND,MATCH(277,tk_ASEQ,0))),"")</f>
        <v/>
      </c>
      <c r="K283" s="162">
        <f>IFERROR(""&amp;INDEX(tk_FDESC,MATCH(277,tk_ASEQ,0)),"")</f>
        <v/>
      </c>
      <c r="L283" s="162">
        <f>IFERROR(INDEX(tk_STEEL,MATCH(277,tk_ASEQ,0))&amp;IF(INDEX(tk_FGA,MATCH(277,tk_ASEQ,0))="",""," "&amp;INDEX(tk_FGA,MATCH(277,tk_ASEQ,0))&amp;"GA"),"")</f>
        <v/>
      </c>
      <c r="M283" s="162">
        <f>IFERROR(IFERROR(VLOOKUP(INDEX(tk_JAMB,MATCH(277,tk_ASEQ,0)),CODES,2,FALSE),""&amp;INDEX(tk_JAMB,MATCH(277,tk_ASEQ,0))),"")</f>
        <v/>
      </c>
      <c r="N283" s="162">
        <f>IFERROR(""&amp;INDEX(tk_CONSTR,MATCH(277,tk_ASEQ,0)),"")</f>
        <v/>
      </c>
      <c r="O283" s="162">
        <f>IFERROR(""&amp;INDEX(tk_ANCHOR,MATCH(277,tk_ASEQ,0)),"")</f>
        <v/>
      </c>
      <c r="P283" s="162">
        <f>IFERROR(""&amp;INDEX(tk_RATING,MATCH(277,tk_ASEQ,0)),"")</f>
        <v/>
      </c>
      <c r="Q283" s="162">
        <f>IFERROR(""&amp;INDEX(tk_LABEL,MATCH(277,tk_ASEQ,0)),"")</f>
        <v/>
      </c>
      <c r="R283" s="162">
        <f>IFERROR(""&amp;INDEX(tk_HWSET,MATCH(277,tk_ASEQ,0)),"")</f>
        <v/>
      </c>
      <c r="S283" s="162">
        <f>IFERROR(IF(""&amp;INDEX(tk_HINGES,MATCH(277,tk_ASEQ,0))="","",INDEX(tk_HINGES,MATCH(277,tk_ASEQ,0))&amp;" · "&amp;INDEX(tk_LSRC,MATCH(277,tk_ASEQ,0))),"")</f>
        <v/>
      </c>
      <c r="T283" s="162">
        <f>IFERROR(""&amp;INDEX(tk_LOCK,MATCH(277,tk_ASEQ,0)),"")</f>
        <v/>
      </c>
      <c r="U283" s="162">
        <f>IFERROR(INDEX(tk_ETYPE,MATCH(277,tk_ASEQ,0)),"")</f>
        <v/>
      </c>
      <c r="V283" s="162">
        <f>IFERROR(""&amp;INDEX(tk_CHECK,MATCH(277,tk_ASEQ,0)),"")</f>
        <v/>
      </c>
      <c r="W283" s="162">
        <f>IFERROR(TRIM(INDEX(tk_DNOTES,MATCH(277,tk_ASEQ,0))&amp;" "&amp;INDEX(tk_FNOTES,MATCH(277,tk_ASEQ,0))),"")</f>
        <v/>
      </c>
    </row>
    <row r="284">
      <c r="A284" s="161">
        <f>IFERROR(""&amp;INDEX(tk_MARK,MATCH(278,tk_ASEQ,0)),"")</f>
        <v/>
      </c>
      <c r="B284" s="162">
        <f>IFERROR(""&amp;INDEX(tk_ROOMF,MATCH(278,tk_ASEQ,0)),"")</f>
        <v/>
      </c>
      <c r="C284" s="162">
        <f>IFERROR(""&amp;INDEX(tk_ROOMT,MATCH(278,tk_ASEQ,0)),"")</f>
        <v/>
      </c>
      <c r="D284" s="162">
        <f>IFERROR(INDEX(tk_QTY,MATCH(278,tk_ASEQ,0)),"")</f>
        <v/>
      </c>
      <c r="E284" s="162">
        <f>IFERROR(""&amp;INDEX(tk_SIZE,MATCH(278,tk_ASEQ,0)),"")</f>
        <v/>
      </c>
      <c r="F284" s="162">
        <f>IFERROR(""&amp;INDEX(tk_PAIR,MATCH(278,tk_ASEQ,0)),"")</f>
        <v/>
      </c>
      <c r="G284" s="162">
        <f>IFERROR(""&amp;INDEX(tk_DMAT,MATCH(278,tk_ASEQ,0)),"")</f>
        <v/>
      </c>
      <c r="H284" s="162">
        <f>IFERROR(""&amp;INDEX(tk_DGA,MATCH(278,tk_ASEQ,0)),"")</f>
        <v/>
      </c>
      <c r="I284" s="162">
        <f>IFERROR(""&amp;INDEX(tk_FACE,MATCH(278,tk_ASEQ,0)),"")</f>
        <v/>
      </c>
      <c r="J284" s="162">
        <f>IFERROR(IF(INDEX(tk_DHAND,MATCH(278,tk_ASEQ,0))="",""&amp;INDEX(tk_HAND,MATCH(278,tk_ASEQ,0)),""&amp;INDEX(tk_DHAND,MATCH(278,tk_ASEQ,0))),"")</f>
        <v/>
      </c>
      <c r="K284" s="162">
        <f>IFERROR(""&amp;INDEX(tk_FDESC,MATCH(278,tk_ASEQ,0)),"")</f>
        <v/>
      </c>
      <c r="L284" s="162">
        <f>IFERROR(INDEX(tk_STEEL,MATCH(278,tk_ASEQ,0))&amp;IF(INDEX(tk_FGA,MATCH(278,tk_ASEQ,0))="",""," "&amp;INDEX(tk_FGA,MATCH(278,tk_ASEQ,0))&amp;"GA"),"")</f>
        <v/>
      </c>
      <c r="M284" s="162">
        <f>IFERROR(IFERROR(VLOOKUP(INDEX(tk_JAMB,MATCH(278,tk_ASEQ,0)),CODES,2,FALSE),""&amp;INDEX(tk_JAMB,MATCH(278,tk_ASEQ,0))),"")</f>
        <v/>
      </c>
      <c r="N284" s="162">
        <f>IFERROR(""&amp;INDEX(tk_CONSTR,MATCH(278,tk_ASEQ,0)),"")</f>
        <v/>
      </c>
      <c r="O284" s="162">
        <f>IFERROR(""&amp;INDEX(tk_ANCHOR,MATCH(278,tk_ASEQ,0)),"")</f>
        <v/>
      </c>
      <c r="P284" s="162">
        <f>IFERROR(""&amp;INDEX(tk_RATING,MATCH(278,tk_ASEQ,0)),"")</f>
        <v/>
      </c>
      <c r="Q284" s="162">
        <f>IFERROR(""&amp;INDEX(tk_LABEL,MATCH(278,tk_ASEQ,0)),"")</f>
        <v/>
      </c>
      <c r="R284" s="162">
        <f>IFERROR(""&amp;INDEX(tk_HWSET,MATCH(278,tk_ASEQ,0)),"")</f>
        <v/>
      </c>
      <c r="S284" s="162">
        <f>IFERROR(IF(""&amp;INDEX(tk_HINGES,MATCH(278,tk_ASEQ,0))="","",INDEX(tk_HINGES,MATCH(278,tk_ASEQ,0))&amp;" · "&amp;INDEX(tk_LSRC,MATCH(278,tk_ASEQ,0))),"")</f>
        <v/>
      </c>
      <c r="T284" s="162">
        <f>IFERROR(""&amp;INDEX(tk_LOCK,MATCH(278,tk_ASEQ,0)),"")</f>
        <v/>
      </c>
      <c r="U284" s="162">
        <f>IFERROR(INDEX(tk_ETYPE,MATCH(278,tk_ASEQ,0)),"")</f>
        <v/>
      </c>
      <c r="V284" s="162">
        <f>IFERROR(""&amp;INDEX(tk_CHECK,MATCH(278,tk_ASEQ,0)),"")</f>
        <v/>
      </c>
      <c r="W284" s="162">
        <f>IFERROR(TRIM(INDEX(tk_DNOTES,MATCH(278,tk_ASEQ,0))&amp;" "&amp;INDEX(tk_FNOTES,MATCH(278,tk_ASEQ,0))),"")</f>
        <v/>
      </c>
    </row>
    <row r="285">
      <c r="A285" s="161">
        <f>IFERROR(""&amp;INDEX(tk_MARK,MATCH(279,tk_ASEQ,0)),"")</f>
        <v/>
      </c>
      <c r="B285" s="162">
        <f>IFERROR(""&amp;INDEX(tk_ROOMF,MATCH(279,tk_ASEQ,0)),"")</f>
        <v/>
      </c>
      <c r="C285" s="162">
        <f>IFERROR(""&amp;INDEX(tk_ROOMT,MATCH(279,tk_ASEQ,0)),"")</f>
        <v/>
      </c>
      <c r="D285" s="162">
        <f>IFERROR(INDEX(tk_QTY,MATCH(279,tk_ASEQ,0)),"")</f>
        <v/>
      </c>
      <c r="E285" s="162">
        <f>IFERROR(""&amp;INDEX(tk_SIZE,MATCH(279,tk_ASEQ,0)),"")</f>
        <v/>
      </c>
      <c r="F285" s="162">
        <f>IFERROR(""&amp;INDEX(tk_PAIR,MATCH(279,tk_ASEQ,0)),"")</f>
        <v/>
      </c>
      <c r="G285" s="162">
        <f>IFERROR(""&amp;INDEX(tk_DMAT,MATCH(279,tk_ASEQ,0)),"")</f>
        <v/>
      </c>
      <c r="H285" s="162">
        <f>IFERROR(""&amp;INDEX(tk_DGA,MATCH(279,tk_ASEQ,0)),"")</f>
        <v/>
      </c>
      <c r="I285" s="162">
        <f>IFERROR(""&amp;INDEX(tk_FACE,MATCH(279,tk_ASEQ,0)),"")</f>
        <v/>
      </c>
      <c r="J285" s="162">
        <f>IFERROR(IF(INDEX(tk_DHAND,MATCH(279,tk_ASEQ,0))="",""&amp;INDEX(tk_HAND,MATCH(279,tk_ASEQ,0)),""&amp;INDEX(tk_DHAND,MATCH(279,tk_ASEQ,0))),"")</f>
        <v/>
      </c>
      <c r="K285" s="162">
        <f>IFERROR(""&amp;INDEX(tk_FDESC,MATCH(279,tk_ASEQ,0)),"")</f>
        <v/>
      </c>
      <c r="L285" s="162">
        <f>IFERROR(INDEX(tk_STEEL,MATCH(279,tk_ASEQ,0))&amp;IF(INDEX(tk_FGA,MATCH(279,tk_ASEQ,0))="",""," "&amp;INDEX(tk_FGA,MATCH(279,tk_ASEQ,0))&amp;"GA"),"")</f>
        <v/>
      </c>
      <c r="M285" s="162">
        <f>IFERROR(IFERROR(VLOOKUP(INDEX(tk_JAMB,MATCH(279,tk_ASEQ,0)),CODES,2,FALSE),""&amp;INDEX(tk_JAMB,MATCH(279,tk_ASEQ,0))),"")</f>
        <v/>
      </c>
      <c r="N285" s="162">
        <f>IFERROR(""&amp;INDEX(tk_CONSTR,MATCH(279,tk_ASEQ,0)),"")</f>
        <v/>
      </c>
      <c r="O285" s="162">
        <f>IFERROR(""&amp;INDEX(tk_ANCHOR,MATCH(279,tk_ASEQ,0)),"")</f>
        <v/>
      </c>
      <c r="P285" s="162">
        <f>IFERROR(""&amp;INDEX(tk_RATING,MATCH(279,tk_ASEQ,0)),"")</f>
        <v/>
      </c>
      <c r="Q285" s="162">
        <f>IFERROR(""&amp;INDEX(tk_LABEL,MATCH(279,tk_ASEQ,0)),"")</f>
        <v/>
      </c>
      <c r="R285" s="162">
        <f>IFERROR(""&amp;INDEX(tk_HWSET,MATCH(279,tk_ASEQ,0)),"")</f>
        <v/>
      </c>
      <c r="S285" s="162">
        <f>IFERROR(IF(""&amp;INDEX(tk_HINGES,MATCH(279,tk_ASEQ,0))="","",INDEX(tk_HINGES,MATCH(279,tk_ASEQ,0))&amp;" · "&amp;INDEX(tk_LSRC,MATCH(279,tk_ASEQ,0))),"")</f>
        <v/>
      </c>
      <c r="T285" s="162">
        <f>IFERROR(""&amp;INDEX(tk_LOCK,MATCH(279,tk_ASEQ,0)),"")</f>
        <v/>
      </c>
      <c r="U285" s="162">
        <f>IFERROR(INDEX(tk_ETYPE,MATCH(279,tk_ASEQ,0)),"")</f>
        <v/>
      </c>
      <c r="V285" s="162">
        <f>IFERROR(""&amp;INDEX(tk_CHECK,MATCH(279,tk_ASEQ,0)),"")</f>
        <v/>
      </c>
      <c r="W285" s="162">
        <f>IFERROR(TRIM(INDEX(tk_DNOTES,MATCH(279,tk_ASEQ,0))&amp;" "&amp;INDEX(tk_FNOTES,MATCH(279,tk_ASEQ,0))),"")</f>
        <v/>
      </c>
    </row>
    <row r="286">
      <c r="A286" s="161">
        <f>IFERROR(""&amp;INDEX(tk_MARK,MATCH(280,tk_ASEQ,0)),"")</f>
        <v/>
      </c>
      <c r="B286" s="162">
        <f>IFERROR(""&amp;INDEX(tk_ROOMF,MATCH(280,tk_ASEQ,0)),"")</f>
        <v/>
      </c>
      <c r="C286" s="162">
        <f>IFERROR(""&amp;INDEX(tk_ROOMT,MATCH(280,tk_ASEQ,0)),"")</f>
        <v/>
      </c>
      <c r="D286" s="162">
        <f>IFERROR(INDEX(tk_QTY,MATCH(280,tk_ASEQ,0)),"")</f>
        <v/>
      </c>
      <c r="E286" s="162">
        <f>IFERROR(""&amp;INDEX(tk_SIZE,MATCH(280,tk_ASEQ,0)),"")</f>
        <v/>
      </c>
      <c r="F286" s="162">
        <f>IFERROR(""&amp;INDEX(tk_PAIR,MATCH(280,tk_ASEQ,0)),"")</f>
        <v/>
      </c>
      <c r="G286" s="162">
        <f>IFERROR(""&amp;INDEX(tk_DMAT,MATCH(280,tk_ASEQ,0)),"")</f>
        <v/>
      </c>
      <c r="H286" s="162">
        <f>IFERROR(""&amp;INDEX(tk_DGA,MATCH(280,tk_ASEQ,0)),"")</f>
        <v/>
      </c>
      <c r="I286" s="162">
        <f>IFERROR(""&amp;INDEX(tk_FACE,MATCH(280,tk_ASEQ,0)),"")</f>
        <v/>
      </c>
      <c r="J286" s="162">
        <f>IFERROR(IF(INDEX(tk_DHAND,MATCH(280,tk_ASEQ,0))="",""&amp;INDEX(tk_HAND,MATCH(280,tk_ASEQ,0)),""&amp;INDEX(tk_DHAND,MATCH(280,tk_ASEQ,0))),"")</f>
        <v/>
      </c>
      <c r="K286" s="162">
        <f>IFERROR(""&amp;INDEX(tk_FDESC,MATCH(280,tk_ASEQ,0)),"")</f>
        <v/>
      </c>
      <c r="L286" s="162">
        <f>IFERROR(INDEX(tk_STEEL,MATCH(280,tk_ASEQ,0))&amp;IF(INDEX(tk_FGA,MATCH(280,tk_ASEQ,0))="",""," "&amp;INDEX(tk_FGA,MATCH(280,tk_ASEQ,0))&amp;"GA"),"")</f>
        <v/>
      </c>
      <c r="M286" s="162">
        <f>IFERROR(IFERROR(VLOOKUP(INDEX(tk_JAMB,MATCH(280,tk_ASEQ,0)),CODES,2,FALSE),""&amp;INDEX(tk_JAMB,MATCH(280,tk_ASEQ,0))),"")</f>
        <v/>
      </c>
      <c r="N286" s="162">
        <f>IFERROR(""&amp;INDEX(tk_CONSTR,MATCH(280,tk_ASEQ,0)),"")</f>
        <v/>
      </c>
      <c r="O286" s="162">
        <f>IFERROR(""&amp;INDEX(tk_ANCHOR,MATCH(280,tk_ASEQ,0)),"")</f>
        <v/>
      </c>
      <c r="P286" s="162">
        <f>IFERROR(""&amp;INDEX(tk_RATING,MATCH(280,tk_ASEQ,0)),"")</f>
        <v/>
      </c>
      <c r="Q286" s="162">
        <f>IFERROR(""&amp;INDEX(tk_LABEL,MATCH(280,tk_ASEQ,0)),"")</f>
        <v/>
      </c>
      <c r="R286" s="162">
        <f>IFERROR(""&amp;INDEX(tk_HWSET,MATCH(280,tk_ASEQ,0)),"")</f>
        <v/>
      </c>
      <c r="S286" s="162">
        <f>IFERROR(IF(""&amp;INDEX(tk_HINGES,MATCH(280,tk_ASEQ,0))="","",INDEX(tk_HINGES,MATCH(280,tk_ASEQ,0))&amp;" · "&amp;INDEX(tk_LSRC,MATCH(280,tk_ASEQ,0))),"")</f>
        <v/>
      </c>
      <c r="T286" s="162">
        <f>IFERROR(""&amp;INDEX(tk_LOCK,MATCH(280,tk_ASEQ,0)),"")</f>
        <v/>
      </c>
      <c r="U286" s="162">
        <f>IFERROR(INDEX(tk_ETYPE,MATCH(280,tk_ASEQ,0)),"")</f>
        <v/>
      </c>
      <c r="V286" s="162">
        <f>IFERROR(""&amp;INDEX(tk_CHECK,MATCH(280,tk_ASEQ,0)),"")</f>
        <v/>
      </c>
      <c r="W286" s="162">
        <f>IFERROR(TRIM(INDEX(tk_DNOTES,MATCH(280,tk_ASEQ,0))&amp;" "&amp;INDEX(tk_FNOTES,MATCH(280,tk_ASEQ,0))),"")</f>
        <v/>
      </c>
    </row>
    <row r="287">
      <c r="A287" s="161">
        <f>IFERROR(""&amp;INDEX(tk_MARK,MATCH(281,tk_ASEQ,0)),"")</f>
        <v/>
      </c>
      <c r="B287" s="162">
        <f>IFERROR(""&amp;INDEX(tk_ROOMF,MATCH(281,tk_ASEQ,0)),"")</f>
        <v/>
      </c>
      <c r="C287" s="162">
        <f>IFERROR(""&amp;INDEX(tk_ROOMT,MATCH(281,tk_ASEQ,0)),"")</f>
        <v/>
      </c>
      <c r="D287" s="162">
        <f>IFERROR(INDEX(tk_QTY,MATCH(281,tk_ASEQ,0)),"")</f>
        <v/>
      </c>
      <c r="E287" s="162">
        <f>IFERROR(""&amp;INDEX(tk_SIZE,MATCH(281,tk_ASEQ,0)),"")</f>
        <v/>
      </c>
      <c r="F287" s="162">
        <f>IFERROR(""&amp;INDEX(tk_PAIR,MATCH(281,tk_ASEQ,0)),"")</f>
        <v/>
      </c>
      <c r="G287" s="162">
        <f>IFERROR(""&amp;INDEX(tk_DMAT,MATCH(281,tk_ASEQ,0)),"")</f>
        <v/>
      </c>
      <c r="H287" s="162">
        <f>IFERROR(""&amp;INDEX(tk_DGA,MATCH(281,tk_ASEQ,0)),"")</f>
        <v/>
      </c>
      <c r="I287" s="162">
        <f>IFERROR(""&amp;INDEX(tk_FACE,MATCH(281,tk_ASEQ,0)),"")</f>
        <v/>
      </c>
      <c r="J287" s="162">
        <f>IFERROR(IF(INDEX(tk_DHAND,MATCH(281,tk_ASEQ,0))="",""&amp;INDEX(tk_HAND,MATCH(281,tk_ASEQ,0)),""&amp;INDEX(tk_DHAND,MATCH(281,tk_ASEQ,0))),"")</f>
        <v/>
      </c>
      <c r="K287" s="162">
        <f>IFERROR(""&amp;INDEX(tk_FDESC,MATCH(281,tk_ASEQ,0)),"")</f>
        <v/>
      </c>
      <c r="L287" s="162">
        <f>IFERROR(INDEX(tk_STEEL,MATCH(281,tk_ASEQ,0))&amp;IF(INDEX(tk_FGA,MATCH(281,tk_ASEQ,0))="",""," "&amp;INDEX(tk_FGA,MATCH(281,tk_ASEQ,0))&amp;"GA"),"")</f>
        <v/>
      </c>
      <c r="M287" s="162">
        <f>IFERROR(IFERROR(VLOOKUP(INDEX(tk_JAMB,MATCH(281,tk_ASEQ,0)),CODES,2,FALSE),""&amp;INDEX(tk_JAMB,MATCH(281,tk_ASEQ,0))),"")</f>
        <v/>
      </c>
      <c r="N287" s="162">
        <f>IFERROR(""&amp;INDEX(tk_CONSTR,MATCH(281,tk_ASEQ,0)),"")</f>
        <v/>
      </c>
      <c r="O287" s="162">
        <f>IFERROR(""&amp;INDEX(tk_ANCHOR,MATCH(281,tk_ASEQ,0)),"")</f>
        <v/>
      </c>
      <c r="P287" s="162">
        <f>IFERROR(""&amp;INDEX(tk_RATING,MATCH(281,tk_ASEQ,0)),"")</f>
        <v/>
      </c>
      <c r="Q287" s="162">
        <f>IFERROR(""&amp;INDEX(tk_LABEL,MATCH(281,tk_ASEQ,0)),"")</f>
        <v/>
      </c>
      <c r="R287" s="162">
        <f>IFERROR(""&amp;INDEX(tk_HWSET,MATCH(281,tk_ASEQ,0)),"")</f>
        <v/>
      </c>
      <c r="S287" s="162">
        <f>IFERROR(IF(""&amp;INDEX(tk_HINGES,MATCH(281,tk_ASEQ,0))="","",INDEX(tk_HINGES,MATCH(281,tk_ASEQ,0))&amp;" · "&amp;INDEX(tk_LSRC,MATCH(281,tk_ASEQ,0))),"")</f>
        <v/>
      </c>
      <c r="T287" s="162">
        <f>IFERROR(""&amp;INDEX(tk_LOCK,MATCH(281,tk_ASEQ,0)),"")</f>
        <v/>
      </c>
      <c r="U287" s="162">
        <f>IFERROR(INDEX(tk_ETYPE,MATCH(281,tk_ASEQ,0)),"")</f>
        <v/>
      </c>
      <c r="V287" s="162">
        <f>IFERROR(""&amp;INDEX(tk_CHECK,MATCH(281,tk_ASEQ,0)),"")</f>
        <v/>
      </c>
      <c r="W287" s="162">
        <f>IFERROR(TRIM(INDEX(tk_DNOTES,MATCH(281,tk_ASEQ,0))&amp;" "&amp;INDEX(tk_FNOTES,MATCH(281,tk_ASEQ,0))),"")</f>
        <v/>
      </c>
    </row>
    <row r="288">
      <c r="A288" s="161">
        <f>IFERROR(""&amp;INDEX(tk_MARK,MATCH(282,tk_ASEQ,0)),"")</f>
        <v/>
      </c>
      <c r="B288" s="162">
        <f>IFERROR(""&amp;INDEX(tk_ROOMF,MATCH(282,tk_ASEQ,0)),"")</f>
        <v/>
      </c>
      <c r="C288" s="162">
        <f>IFERROR(""&amp;INDEX(tk_ROOMT,MATCH(282,tk_ASEQ,0)),"")</f>
        <v/>
      </c>
      <c r="D288" s="162">
        <f>IFERROR(INDEX(tk_QTY,MATCH(282,tk_ASEQ,0)),"")</f>
        <v/>
      </c>
      <c r="E288" s="162">
        <f>IFERROR(""&amp;INDEX(tk_SIZE,MATCH(282,tk_ASEQ,0)),"")</f>
        <v/>
      </c>
      <c r="F288" s="162">
        <f>IFERROR(""&amp;INDEX(tk_PAIR,MATCH(282,tk_ASEQ,0)),"")</f>
        <v/>
      </c>
      <c r="G288" s="162">
        <f>IFERROR(""&amp;INDEX(tk_DMAT,MATCH(282,tk_ASEQ,0)),"")</f>
        <v/>
      </c>
      <c r="H288" s="162">
        <f>IFERROR(""&amp;INDEX(tk_DGA,MATCH(282,tk_ASEQ,0)),"")</f>
        <v/>
      </c>
      <c r="I288" s="162">
        <f>IFERROR(""&amp;INDEX(tk_FACE,MATCH(282,tk_ASEQ,0)),"")</f>
        <v/>
      </c>
      <c r="J288" s="162">
        <f>IFERROR(IF(INDEX(tk_DHAND,MATCH(282,tk_ASEQ,0))="",""&amp;INDEX(tk_HAND,MATCH(282,tk_ASEQ,0)),""&amp;INDEX(tk_DHAND,MATCH(282,tk_ASEQ,0))),"")</f>
        <v/>
      </c>
      <c r="K288" s="162">
        <f>IFERROR(""&amp;INDEX(tk_FDESC,MATCH(282,tk_ASEQ,0)),"")</f>
        <v/>
      </c>
      <c r="L288" s="162">
        <f>IFERROR(INDEX(tk_STEEL,MATCH(282,tk_ASEQ,0))&amp;IF(INDEX(tk_FGA,MATCH(282,tk_ASEQ,0))="",""," "&amp;INDEX(tk_FGA,MATCH(282,tk_ASEQ,0))&amp;"GA"),"")</f>
        <v/>
      </c>
      <c r="M288" s="162">
        <f>IFERROR(IFERROR(VLOOKUP(INDEX(tk_JAMB,MATCH(282,tk_ASEQ,0)),CODES,2,FALSE),""&amp;INDEX(tk_JAMB,MATCH(282,tk_ASEQ,0))),"")</f>
        <v/>
      </c>
      <c r="N288" s="162">
        <f>IFERROR(""&amp;INDEX(tk_CONSTR,MATCH(282,tk_ASEQ,0)),"")</f>
        <v/>
      </c>
      <c r="O288" s="162">
        <f>IFERROR(""&amp;INDEX(tk_ANCHOR,MATCH(282,tk_ASEQ,0)),"")</f>
        <v/>
      </c>
      <c r="P288" s="162">
        <f>IFERROR(""&amp;INDEX(tk_RATING,MATCH(282,tk_ASEQ,0)),"")</f>
        <v/>
      </c>
      <c r="Q288" s="162">
        <f>IFERROR(""&amp;INDEX(tk_LABEL,MATCH(282,tk_ASEQ,0)),"")</f>
        <v/>
      </c>
      <c r="R288" s="162">
        <f>IFERROR(""&amp;INDEX(tk_HWSET,MATCH(282,tk_ASEQ,0)),"")</f>
        <v/>
      </c>
      <c r="S288" s="162">
        <f>IFERROR(IF(""&amp;INDEX(tk_HINGES,MATCH(282,tk_ASEQ,0))="","",INDEX(tk_HINGES,MATCH(282,tk_ASEQ,0))&amp;" · "&amp;INDEX(tk_LSRC,MATCH(282,tk_ASEQ,0))),"")</f>
        <v/>
      </c>
      <c r="T288" s="162">
        <f>IFERROR(""&amp;INDEX(tk_LOCK,MATCH(282,tk_ASEQ,0)),"")</f>
        <v/>
      </c>
      <c r="U288" s="162">
        <f>IFERROR(INDEX(tk_ETYPE,MATCH(282,tk_ASEQ,0)),"")</f>
        <v/>
      </c>
      <c r="V288" s="162">
        <f>IFERROR(""&amp;INDEX(tk_CHECK,MATCH(282,tk_ASEQ,0)),"")</f>
        <v/>
      </c>
      <c r="W288" s="162">
        <f>IFERROR(TRIM(INDEX(tk_DNOTES,MATCH(282,tk_ASEQ,0))&amp;" "&amp;INDEX(tk_FNOTES,MATCH(282,tk_ASEQ,0))),"")</f>
        <v/>
      </c>
    </row>
    <row r="289">
      <c r="A289" s="161">
        <f>IFERROR(""&amp;INDEX(tk_MARK,MATCH(283,tk_ASEQ,0)),"")</f>
        <v/>
      </c>
      <c r="B289" s="162">
        <f>IFERROR(""&amp;INDEX(tk_ROOMF,MATCH(283,tk_ASEQ,0)),"")</f>
        <v/>
      </c>
      <c r="C289" s="162">
        <f>IFERROR(""&amp;INDEX(tk_ROOMT,MATCH(283,tk_ASEQ,0)),"")</f>
        <v/>
      </c>
      <c r="D289" s="162">
        <f>IFERROR(INDEX(tk_QTY,MATCH(283,tk_ASEQ,0)),"")</f>
        <v/>
      </c>
      <c r="E289" s="162">
        <f>IFERROR(""&amp;INDEX(tk_SIZE,MATCH(283,tk_ASEQ,0)),"")</f>
        <v/>
      </c>
      <c r="F289" s="162">
        <f>IFERROR(""&amp;INDEX(tk_PAIR,MATCH(283,tk_ASEQ,0)),"")</f>
        <v/>
      </c>
      <c r="G289" s="162">
        <f>IFERROR(""&amp;INDEX(tk_DMAT,MATCH(283,tk_ASEQ,0)),"")</f>
        <v/>
      </c>
      <c r="H289" s="162">
        <f>IFERROR(""&amp;INDEX(tk_DGA,MATCH(283,tk_ASEQ,0)),"")</f>
        <v/>
      </c>
      <c r="I289" s="162">
        <f>IFERROR(""&amp;INDEX(tk_FACE,MATCH(283,tk_ASEQ,0)),"")</f>
        <v/>
      </c>
      <c r="J289" s="162">
        <f>IFERROR(IF(INDEX(tk_DHAND,MATCH(283,tk_ASEQ,0))="",""&amp;INDEX(tk_HAND,MATCH(283,tk_ASEQ,0)),""&amp;INDEX(tk_DHAND,MATCH(283,tk_ASEQ,0))),"")</f>
        <v/>
      </c>
      <c r="K289" s="162">
        <f>IFERROR(""&amp;INDEX(tk_FDESC,MATCH(283,tk_ASEQ,0)),"")</f>
        <v/>
      </c>
      <c r="L289" s="162">
        <f>IFERROR(INDEX(tk_STEEL,MATCH(283,tk_ASEQ,0))&amp;IF(INDEX(tk_FGA,MATCH(283,tk_ASEQ,0))="",""," "&amp;INDEX(tk_FGA,MATCH(283,tk_ASEQ,0))&amp;"GA"),"")</f>
        <v/>
      </c>
      <c r="M289" s="162">
        <f>IFERROR(IFERROR(VLOOKUP(INDEX(tk_JAMB,MATCH(283,tk_ASEQ,0)),CODES,2,FALSE),""&amp;INDEX(tk_JAMB,MATCH(283,tk_ASEQ,0))),"")</f>
        <v/>
      </c>
      <c r="N289" s="162">
        <f>IFERROR(""&amp;INDEX(tk_CONSTR,MATCH(283,tk_ASEQ,0)),"")</f>
        <v/>
      </c>
      <c r="O289" s="162">
        <f>IFERROR(""&amp;INDEX(tk_ANCHOR,MATCH(283,tk_ASEQ,0)),"")</f>
        <v/>
      </c>
      <c r="P289" s="162">
        <f>IFERROR(""&amp;INDEX(tk_RATING,MATCH(283,tk_ASEQ,0)),"")</f>
        <v/>
      </c>
      <c r="Q289" s="162">
        <f>IFERROR(""&amp;INDEX(tk_LABEL,MATCH(283,tk_ASEQ,0)),"")</f>
        <v/>
      </c>
      <c r="R289" s="162">
        <f>IFERROR(""&amp;INDEX(tk_HWSET,MATCH(283,tk_ASEQ,0)),"")</f>
        <v/>
      </c>
      <c r="S289" s="162">
        <f>IFERROR(IF(""&amp;INDEX(tk_HINGES,MATCH(283,tk_ASEQ,0))="","",INDEX(tk_HINGES,MATCH(283,tk_ASEQ,0))&amp;" · "&amp;INDEX(tk_LSRC,MATCH(283,tk_ASEQ,0))),"")</f>
        <v/>
      </c>
      <c r="T289" s="162">
        <f>IFERROR(""&amp;INDEX(tk_LOCK,MATCH(283,tk_ASEQ,0)),"")</f>
        <v/>
      </c>
      <c r="U289" s="162">
        <f>IFERROR(INDEX(tk_ETYPE,MATCH(283,tk_ASEQ,0)),"")</f>
        <v/>
      </c>
      <c r="V289" s="162">
        <f>IFERROR(""&amp;INDEX(tk_CHECK,MATCH(283,tk_ASEQ,0)),"")</f>
        <v/>
      </c>
      <c r="W289" s="162">
        <f>IFERROR(TRIM(INDEX(tk_DNOTES,MATCH(283,tk_ASEQ,0))&amp;" "&amp;INDEX(tk_FNOTES,MATCH(283,tk_ASEQ,0))),"")</f>
        <v/>
      </c>
    </row>
    <row r="290">
      <c r="A290" s="161">
        <f>IFERROR(""&amp;INDEX(tk_MARK,MATCH(284,tk_ASEQ,0)),"")</f>
        <v/>
      </c>
      <c r="B290" s="162">
        <f>IFERROR(""&amp;INDEX(tk_ROOMF,MATCH(284,tk_ASEQ,0)),"")</f>
        <v/>
      </c>
      <c r="C290" s="162">
        <f>IFERROR(""&amp;INDEX(tk_ROOMT,MATCH(284,tk_ASEQ,0)),"")</f>
        <v/>
      </c>
      <c r="D290" s="162">
        <f>IFERROR(INDEX(tk_QTY,MATCH(284,tk_ASEQ,0)),"")</f>
        <v/>
      </c>
      <c r="E290" s="162">
        <f>IFERROR(""&amp;INDEX(tk_SIZE,MATCH(284,tk_ASEQ,0)),"")</f>
        <v/>
      </c>
      <c r="F290" s="162">
        <f>IFERROR(""&amp;INDEX(tk_PAIR,MATCH(284,tk_ASEQ,0)),"")</f>
        <v/>
      </c>
      <c r="G290" s="162">
        <f>IFERROR(""&amp;INDEX(tk_DMAT,MATCH(284,tk_ASEQ,0)),"")</f>
        <v/>
      </c>
      <c r="H290" s="162">
        <f>IFERROR(""&amp;INDEX(tk_DGA,MATCH(284,tk_ASEQ,0)),"")</f>
        <v/>
      </c>
      <c r="I290" s="162">
        <f>IFERROR(""&amp;INDEX(tk_FACE,MATCH(284,tk_ASEQ,0)),"")</f>
        <v/>
      </c>
      <c r="J290" s="162">
        <f>IFERROR(IF(INDEX(tk_DHAND,MATCH(284,tk_ASEQ,0))="",""&amp;INDEX(tk_HAND,MATCH(284,tk_ASEQ,0)),""&amp;INDEX(tk_DHAND,MATCH(284,tk_ASEQ,0))),"")</f>
        <v/>
      </c>
      <c r="K290" s="162">
        <f>IFERROR(""&amp;INDEX(tk_FDESC,MATCH(284,tk_ASEQ,0)),"")</f>
        <v/>
      </c>
      <c r="L290" s="162">
        <f>IFERROR(INDEX(tk_STEEL,MATCH(284,tk_ASEQ,0))&amp;IF(INDEX(tk_FGA,MATCH(284,tk_ASEQ,0))="",""," "&amp;INDEX(tk_FGA,MATCH(284,tk_ASEQ,0))&amp;"GA"),"")</f>
        <v/>
      </c>
      <c r="M290" s="162">
        <f>IFERROR(IFERROR(VLOOKUP(INDEX(tk_JAMB,MATCH(284,tk_ASEQ,0)),CODES,2,FALSE),""&amp;INDEX(tk_JAMB,MATCH(284,tk_ASEQ,0))),"")</f>
        <v/>
      </c>
      <c r="N290" s="162">
        <f>IFERROR(""&amp;INDEX(tk_CONSTR,MATCH(284,tk_ASEQ,0)),"")</f>
        <v/>
      </c>
      <c r="O290" s="162">
        <f>IFERROR(""&amp;INDEX(tk_ANCHOR,MATCH(284,tk_ASEQ,0)),"")</f>
        <v/>
      </c>
      <c r="P290" s="162">
        <f>IFERROR(""&amp;INDEX(tk_RATING,MATCH(284,tk_ASEQ,0)),"")</f>
        <v/>
      </c>
      <c r="Q290" s="162">
        <f>IFERROR(""&amp;INDEX(tk_LABEL,MATCH(284,tk_ASEQ,0)),"")</f>
        <v/>
      </c>
      <c r="R290" s="162">
        <f>IFERROR(""&amp;INDEX(tk_HWSET,MATCH(284,tk_ASEQ,0)),"")</f>
        <v/>
      </c>
      <c r="S290" s="162">
        <f>IFERROR(IF(""&amp;INDEX(tk_HINGES,MATCH(284,tk_ASEQ,0))="","",INDEX(tk_HINGES,MATCH(284,tk_ASEQ,0))&amp;" · "&amp;INDEX(tk_LSRC,MATCH(284,tk_ASEQ,0))),"")</f>
        <v/>
      </c>
      <c r="T290" s="162">
        <f>IFERROR(""&amp;INDEX(tk_LOCK,MATCH(284,tk_ASEQ,0)),"")</f>
        <v/>
      </c>
      <c r="U290" s="162">
        <f>IFERROR(INDEX(tk_ETYPE,MATCH(284,tk_ASEQ,0)),"")</f>
        <v/>
      </c>
      <c r="V290" s="162">
        <f>IFERROR(""&amp;INDEX(tk_CHECK,MATCH(284,tk_ASEQ,0)),"")</f>
        <v/>
      </c>
      <c r="W290" s="162">
        <f>IFERROR(TRIM(INDEX(tk_DNOTES,MATCH(284,tk_ASEQ,0))&amp;" "&amp;INDEX(tk_FNOTES,MATCH(284,tk_ASEQ,0))),"")</f>
        <v/>
      </c>
    </row>
    <row r="291">
      <c r="A291" s="161">
        <f>IFERROR(""&amp;INDEX(tk_MARK,MATCH(285,tk_ASEQ,0)),"")</f>
        <v/>
      </c>
      <c r="B291" s="162">
        <f>IFERROR(""&amp;INDEX(tk_ROOMF,MATCH(285,tk_ASEQ,0)),"")</f>
        <v/>
      </c>
      <c r="C291" s="162">
        <f>IFERROR(""&amp;INDEX(tk_ROOMT,MATCH(285,tk_ASEQ,0)),"")</f>
        <v/>
      </c>
      <c r="D291" s="162">
        <f>IFERROR(INDEX(tk_QTY,MATCH(285,tk_ASEQ,0)),"")</f>
        <v/>
      </c>
      <c r="E291" s="162">
        <f>IFERROR(""&amp;INDEX(tk_SIZE,MATCH(285,tk_ASEQ,0)),"")</f>
        <v/>
      </c>
      <c r="F291" s="162">
        <f>IFERROR(""&amp;INDEX(tk_PAIR,MATCH(285,tk_ASEQ,0)),"")</f>
        <v/>
      </c>
      <c r="G291" s="162">
        <f>IFERROR(""&amp;INDEX(tk_DMAT,MATCH(285,tk_ASEQ,0)),"")</f>
        <v/>
      </c>
      <c r="H291" s="162">
        <f>IFERROR(""&amp;INDEX(tk_DGA,MATCH(285,tk_ASEQ,0)),"")</f>
        <v/>
      </c>
      <c r="I291" s="162">
        <f>IFERROR(""&amp;INDEX(tk_FACE,MATCH(285,tk_ASEQ,0)),"")</f>
        <v/>
      </c>
      <c r="J291" s="162">
        <f>IFERROR(IF(INDEX(tk_DHAND,MATCH(285,tk_ASEQ,0))="",""&amp;INDEX(tk_HAND,MATCH(285,tk_ASEQ,0)),""&amp;INDEX(tk_DHAND,MATCH(285,tk_ASEQ,0))),"")</f>
        <v/>
      </c>
      <c r="K291" s="162">
        <f>IFERROR(""&amp;INDEX(tk_FDESC,MATCH(285,tk_ASEQ,0)),"")</f>
        <v/>
      </c>
      <c r="L291" s="162">
        <f>IFERROR(INDEX(tk_STEEL,MATCH(285,tk_ASEQ,0))&amp;IF(INDEX(tk_FGA,MATCH(285,tk_ASEQ,0))="",""," "&amp;INDEX(tk_FGA,MATCH(285,tk_ASEQ,0))&amp;"GA"),"")</f>
        <v/>
      </c>
      <c r="M291" s="162">
        <f>IFERROR(IFERROR(VLOOKUP(INDEX(tk_JAMB,MATCH(285,tk_ASEQ,0)),CODES,2,FALSE),""&amp;INDEX(tk_JAMB,MATCH(285,tk_ASEQ,0))),"")</f>
        <v/>
      </c>
      <c r="N291" s="162">
        <f>IFERROR(""&amp;INDEX(tk_CONSTR,MATCH(285,tk_ASEQ,0)),"")</f>
        <v/>
      </c>
      <c r="O291" s="162">
        <f>IFERROR(""&amp;INDEX(tk_ANCHOR,MATCH(285,tk_ASEQ,0)),"")</f>
        <v/>
      </c>
      <c r="P291" s="162">
        <f>IFERROR(""&amp;INDEX(tk_RATING,MATCH(285,tk_ASEQ,0)),"")</f>
        <v/>
      </c>
      <c r="Q291" s="162">
        <f>IFERROR(""&amp;INDEX(tk_LABEL,MATCH(285,tk_ASEQ,0)),"")</f>
        <v/>
      </c>
      <c r="R291" s="162">
        <f>IFERROR(""&amp;INDEX(tk_HWSET,MATCH(285,tk_ASEQ,0)),"")</f>
        <v/>
      </c>
      <c r="S291" s="162">
        <f>IFERROR(IF(""&amp;INDEX(tk_HINGES,MATCH(285,tk_ASEQ,0))="","",INDEX(tk_HINGES,MATCH(285,tk_ASEQ,0))&amp;" · "&amp;INDEX(tk_LSRC,MATCH(285,tk_ASEQ,0))),"")</f>
        <v/>
      </c>
      <c r="T291" s="162">
        <f>IFERROR(""&amp;INDEX(tk_LOCK,MATCH(285,tk_ASEQ,0)),"")</f>
        <v/>
      </c>
      <c r="U291" s="162">
        <f>IFERROR(INDEX(tk_ETYPE,MATCH(285,tk_ASEQ,0)),"")</f>
        <v/>
      </c>
      <c r="V291" s="162">
        <f>IFERROR(""&amp;INDEX(tk_CHECK,MATCH(285,tk_ASEQ,0)),"")</f>
        <v/>
      </c>
      <c r="W291" s="162">
        <f>IFERROR(TRIM(INDEX(tk_DNOTES,MATCH(285,tk_ASEQ,0))&amp;" "&amp;INDEX(tk_FNOTES,MATCH(285,tk_ASEQ,0))),"")</f>
        <v/>
      </c>
    </row>
    <row r="292">
      <c r="A292" s="161">
        <f>IFERROR(""&amp;INDEX(tk_MARK,MATCH(286,tk_ASEQ,0)),"")</f>
        <v/>
      </c>
      <c r="B292" s="162">
        <f>IFERROR(""&amp;INDEX(tk_ROOMF,MATCH(286,tk_ASEQ,0)),"")</f>
        <v/>
      </c>
      <c r="C292" s="162">
        <f>IFERROR(""&amp;INDEX(tk_ROOMT,MATCH(286,tk_ASEQ,0)),"")</f>
        <v/>
      </c>
      <c r="D292" s="162">
        <f>IFERROR(INDEX(tk_QTY,MATCH(286,tk_ASEQ,0)),"")</f>
        <v/>
      </c>
      <c r="E292" s="162">
        <f>IFERROR(""&amp;INDEX(tk_SIZE,MATCH(286,tk_ASEQ,0)),"")</f>
        <v/>
      </c>
      <c r="F292" s="162">
        <f>IFERROR(""&amp;INDEX(tk_PAIR,MATCH(286,tk_ASEQ,0)),"")</f>
        <v/>
      </c>
      <c r="G292" s="162">
        <f>IFERROR(""&amp;INDEX(tk_DMAT,MATCH(286,tk_ASEQ,0)),"")</f>
        <v/>
      </c>
      <c r="H292" s="162">
        <f>IFERROR(""&amp;INDEX(tk_DGA,MATCH(286,tk_ASEQ,0)),"")</f>
        <v/>
      </c>
      <c r="I292" s="162">
        <f>IFERROR(""&amp;INDEX(tk_FACE,MATCH(286,tk_ASEQ,0)),"")</f>
        <v/>
      </c>
      <c r="J292" s="162">
        <f>IFERROR(IF(INDEX(tk_DHAND,MATCH(286,tk_ASEQ,0))="",""&amp;INDEX(tk_HAND,MATCH(286,tk_ASEQ,0)),""&amp;INDEX(tk_DHAND,MATCH(286,tk_ASEQ,0))),"")</f>
        <v/>
      </c>
      <c r="K292" s="162">
        <f>IFERROR(""&amp;INDEX(tk_FDESC,MATCH(286,tk_ASEQ,0)),"")</f>
        <v/>
      </c>
      <c r="L292" s="162">
        <f>IFERROR(INDEX(tk_STEEL,MATCH(286,tk_ASEQ,0))&amp;IF(INDEX(tk_FGA,MATCH(286,tk_ASEQ,0))="",""," "&amp;INDEX(tk_FGA,MATCH(286,tk_ASEQ,0))&amp;"GA"),"")</f>
        <v/>
      </c>
      <c r="M292" s="162">
        <f>IFERROR(IFERROR(VLOOKUP(INDEX(tk_JAMB,MATCH(286,tk_ASEQ,0)),CODES,2,FALSE),""&amp;INDEX(tk_JAMB,MATCH(286,tk_ASEQ,0))),"")</f>
        <v/>
      </c>
      <c r="N292" s="162">
        <f>IFERROR(""&amp;INDEX(tk_CONSTR,MATCH(286,tk_ASEQ,0)),"")</f>
        <v/>
      </c>
      <c r="O292" s="162">
        <f>IFERROR(""&amp;INDEX(tk_ANCHOR,MATCH(286,tk_ASEQ,0)),"")</f>
        <v/>
      </c>
      <c r="P292" s="162">
        <f>IFERROR(""&amp;INDEX(tk_RATING,MATCH(286,tk_ASEQ,0)),"")</f>
        <v/>
      </c>
      <c r="Q292" s="162">
        <f>IFERROR(""&amp;INDEX(tk_LABEL,MATCH(286,tk_ASEQ,0)),"")</f>
        <v/>
      </c>
      <c r="R292" s="162">
        <f>IFERROR(""&amp;INDEX(tk_HWSET,MATCH(286,tk_ASEQ,0)),"")</f>
        <v/>
      </c>
      <c r="S292" s="162">
        <f>IFERROR(IF(""&amp;INDEX(tk_HINGES,MATCH(286,tk_ASEQ,0))="","",INDEX(tk_HINGES,MATCH(286,tk_ASEQ,0))&amp;" · "&amp;INDEX(tk_LSRC,MATCH(286,tk_ASEQ,0))),"")</f>
        <v/>
      </c>
      <c r="T292" s="162">
        <f>IFERROR(""&amp;INDEX(tk_LOCK,MATCH(286,tk_ASEQ,0)),"")</f>
        <v/>
      </c>
      <c r="U292" s="162">
        <f>IFERROR(INDEX(tk_ETYPE,MATCH(286,tk_ASEQ,0)),"")</f>
        <v/>
      </c>
      <c r="V292" s="162">
        <f>IFERROR(""&amp;INDEX(tk_CHECK,MATCH(286,tk_ASEQ,0)),"")</f>
        <v/>
      </c>
      <c r="W292" s="162">
        <f>IFERROR(TRIM(INDEX(tk_DNOTES,MATCH(286,tk_ASEQ,0))&amp;" "&amp;INDEX(tk_FNOTES,MATCH(286,tk_ASEQ,0))),"")</f>
        <v/>
      </c>
    </row>
    <row r="293">
      <c r="A293" s="161">
        <f>IFERROR(""&amp;INDEX(tk_MARK,MATCH(287,tk_ASEQ,0)),"")</f>
        <v/>
      </c>
      <c r="B293" s="162">
        <f>IFERROR(""&amp;INDEX(tk_ROOMF,MATCH(287,tk_ASEQ,0)),"")</f>
        <v/>
      </c>
      <c r="C293" s="162">
        <f>IFERROR(""&amp;INDEX(tk_ROOMT,MATCH(287,tk_ASEQ,0)),"")</f>
        <v/>
      </c>
      <c r="D293" s="162">
        <f>IFERROR(INDEX(tk_QTY,MATCH(287,tk_ASEQ,0)),"")</f>
        <v/>
      </c>
      <c r="E293" s="162">
        <f>IFERROR(""&amp;INDEX(tk_SIZE,MATCH(287,tk_ASEQ,0)),"")</f>
        <v/>
      </c>
      <c r="F293" s="162">
        <f>IFERROR(""&amp;INDEX(tk_PAIR,MATCH(287,tk_ASEQ,0)),"")</f>
        <v/>
      </c>
      <c r="G293" s="162">
        <f>IFERROR(""&amp;INDEX(tk_DMAT,MATCH(287,tk_ASEQ,0)),"")</f>
        <v/>
      </c>
      <c r="H293" s="162">
        <f>IFERROR(""&amp;INDEX(tk_DGA,MATCH(287,tk_ASEQ,0)),"")</f>
        <v/>
      </c>
      <c r="I293" s="162">
        <f>IFERROR(""&amp;INDEX(tk_FACE,MATCH(287,tk_ASEQ,0)),"")</f>
        <v/>
      </c>
      <c r="J293" s="162">
        <f>IFERROR(IF(INDEX(tk_DHAND,MATCH(287,tk_ASEQ,0))="",""&amp;INDEX(tk_HAND,MATCH(287,tk_ASEQ,0)),""&amp;INDEX(tk_DHAND,MATCH(287,tk_ASEQ,0))),"")</f>
        <v/>
      </c>
      <c r="K293" s="162">
        <f>IFERROR(""&amp;INDEX(tk_FDESC,MATCH(287,tk_ASEQ,0)),"")</f>
        <v/>
      </c>
      <c r="L293" s="162">
        <f>IFERROR(INDEX(tk_STEEL,MATCH(287,tk_ASEQ,0))&amp;IF(INDEX(tk_FGA,MATCH(287,tk_ASEQ,0))="",""," "&amp;INDEX(tk_FGA,MATCH(287,tk_ASEQ,0))&amp;"GA"),"")</f>
        <v/>
      </c>
      <c r="M293" s="162">
        <f>IFERROR(IFERROR(VLOOKUP(INDEX(tk_JAMB,MATCH(287,tk_ASEQ,0)),CODES,2,FALSE),""&amp;INDEX(tk_JAMB,MATCH(287,tk_ASEQ,0))),"")</f>
        <v/>
      </c>
      <c r="N293" s="162">
        <f>IFERROR(""&amp;INDEX(tk_CONSTR,MATCH(287,tk_ASEQ,0)),"")</f>
        <v/>
      </c>
      <c r="O293" s="162">
        <f>IFERROR(""&amp;INDEX(tk_ANCHOR,MATCH(287,tk_ASEQ,0)),"")</f>
        <v/>
      </c>
      <c r="P293" s="162">
        <f>IFERROR(""&amp;INDEX(tk_RATING,MATCH(287,tk_ASEQ,0)),"")</f>
        <v/>
      </c>
      <c r="Q293" s="162">
        <f>IFERROR(""&amp;INDEX(tk_LABEL,MATCH(287,tk_ASEQ,0)),"")</f>
        <v/>
      </c>
      <c r="R293" s="162">
        <f>IFERROR(""&amp;INDEX(tk_HWSET,MATCH(287,tk_ASEQ,0)),"")</f>
        <v/>
      </c>
      <c r="S293" s="162">
        <f>IFERROR(IF(""&amp;INDEX(tk_HINGES,MATCH(287,tk_ASEQ,0))="","",INDEX(tk_HINGES,MATCH(287,tk_ASEQ,0))&amp;" · "&amp;INDEX(tk_LSRC,MATCH(287,tk_ASEQ,0))),"")</f>
        <v/>
      </c>
      <c r="T293" s="162">
        <f>IFERROR(""&amp;INDEX(tk_LOCK,MATCH(287,tk_ASEQ,0)),"")</f>
        <v/>
      </c>
      <c r="U293" s="162">
        <f>IFERROR(INDEX(tk_ETYPE,MATCH(287,tk_ASEQ,0)),"")</f>
        <v/>
      </c>
      <c r="V293" s="162">
        <f>IFERROR(""&amp;INDEX(tk_CHECK,MATCH(287,tk_ASEQ,0)),"")</f>
        <v/>
      </c>
      <c r="W293" s="162">
        <f>IFERROR(TRIM(INDEX(tk_DNOTES,MATCH(287,tk_ASEQ,0))&amp;" "&amp;INDEX(tk_FNOTES,MATCH(287,tk_ASEQ,0))),"")</f>
        <v/>
      </c>
    </row>
    <row r="294">
      <c r="A294" s="161">
        <f>IFERROR(""&amp;INDEX(tk_MARK,MATCH(288,tk_ASEQ,0)),"")</f>
        <v/>
      </c>
      <c r="B294" s="162">
        <f>IFERROR(""&amp;INDEX(tk_ROOMF,MATCH(288,tk_ASEQ,0)),"")</f>
        <v/>
      </c>
      <c r="C294" s="162">
        <f>IFERROR(""&amp;INDEX(tk_ROOMT,MATCH(288,tk_ASEQ,0)),"")</f>
        <v/>
      </c>
      <c r="D294" s="162">
        <f>IFERROR(INDEX(tk_QTY,MATCH(288,tk_ASEQ,0)),"")</f>
        <v/>
      </c>
      <c r="E294" s="162">
        <f>IFERROR(""&amp;INDEX(tk_SIZE,MATCH(288,tk_ASEQ,0)),"")</f>
        <v/>
      </c>
      <c r="F294" s="162">
        <f>IFERROR(""&amp;INDEX(tk_PAIR,MATCH(288,tk_ASEQ,0)),"")</f>
        <v/>
      </c>
      <c r="G294" s="162">
        <f>IFERROR(""&amp;INDEX(tk_DMAT,MATCH(288,tk_ASEQ,0)),"")</f>
        <v/>
      </c>
      <c r="H294" s="162">
        <f>IFERROR(""&amp;INDEX(tk_DGA,MATCH(288,tk_ASEQ,0)),"")</f>
        <v/>
      </c>
      <c r="I294" s="162">
        <f>IFERROR(""&amp;INDEX(tk_FACE,MATCH(288,tk_ASEQ,0)),"")</f>
        <v/>
      </c>
      <c r="J294" s="162">
        <f>IFERROR(IF(INDEX(tk_DHAND,MATCH(288,tk_ASEQ,0))="",""&amp;INDEX(tk_HAND,MATCH(288,tk_ASEQ,0)),""&amp;INDEX(tk_DHAND,MATCH(288,tk_ASEQ,0))),"")</f>
        <v/>
      </c>
      <c r="K294" s="162">
        <f>IFERROR(""&amp;INDEX(tk_FDESC,MATCH(288,tk_ASEQ,0)),"")</f>
        <v/>
      </c>
      <c r="L294" s="162">
        <f>IFERROR(INDEX(tk_STEEL,MATCH(288,tk_ASEQ,0))&amp;IF(INDEX(tk_FGA,MATCH(288,tk_ASEQ,0))="",""," "&amp;INDEX(tk_FGA,MATCH(288,tk_ASEQ,0))&amp;"GA"),"")</f>
        <v/>
      </c>
      <c r="M294" s="162">
        <f>IFERROR(IFERROR(VLOOKUP(INDEX(tk_JAMB,MATCH(288,tk_ASEQ,0)),CODES,2,FALSE),""&amp;INDEX(tk_JAMB,MATCH(288,tk_ASEQ,0))),"")</f>
        <v/>
      </c>
      <c r="N294" s="162">
        <f>IFERROR(""&amp;INDEX(tk_CONSTR,MATCH(288,tk_ASEQ,0)),"")</f>
        <v/>
      </c>
      <c r="O294" s="162">
        <f>IFERROR(""&amp;INDEX(tk_ANCHOR,MATCH(288,tk_ASEQ,0)),"")</f>
        <v/>
      </c>
      <c r="P294" s="162">
        <f>IFERROR(""&amp;INDEX(tk_RATING,MATCH(288,tk_ASEQ,0)),"")</f>
        <v/>
      </c>
      <c r="Q294" s="162">
        <f>IFERROR(""&amp;INDEX(tk_LABEL,MATCH(288,tk_ASEQ,0)),"")</f>
        <v/>
      </c>
      <c r="R294" s="162">
        <f>IFERROR(""&amp;INDEX(tk_HWSET,MATCH(288,tk_ASEQ,0)),"")</f>
        <v/>
      </c>
      <c r="S294" s="162">
        <f>IFERROR(IF(""&amp;INDEX(tk_HINGES,MATCH(288,tk_ASEQ,0))="","",INDEX(tk_HINGES,MATCH(288,tk_ASEQ,0))&amp;" · "&amp;INDEX(tk_LSRC,MATCH(288,tk_ASEQ,0))),"")</f>
        <v/>
      </c>
      <c r="T294" s="162">
        <f>IFERROR(""&amp;INDEX(tk_LOCK,MATCH(288,tk_ASEQ,0)),"")</f>
        <v/>
      </c>
      <c r="U294" s="162">
        <f>IFERROR(INDEX(tk_ETYPE,MATCH(288,tk_ASEQ,0)),"")</f>
        <v/>
      </c>
      <c r="V294" s="162">
        <f>IFERROR(""&amp;INDEX(tk_CHECK,MATCH(288,tk_ASEQ,0)),"")</f>
        <v/>
      </c>
      <c r="W294" s="162">
        <f>IFERROR(TRIM(INDEX(tk_DNOTES,MATCH(288,tk_ASEQ,0))&amp;" "&amp;INDEX(tk_FNOTES,MATCH(288,tk_ASEQ,0))),"")</f>
        <v/>
      </c>
    </row>
    <row r="295">
      <c r="A295" s="161">
        <f>IFERROR(""&amp;INDEX(tk_MARK,MATCH(289,tk_ASEQ,0)),"")</f>
        <v/>
      </c>
      <c r="B295" s="162">
        <f>IFERROR(""&amp;INDEX(tk_ROOMF,MATCH(289,tk_ASEQ,0)),"")</f>
        <v/>
      </c>
      <c r="C295" s="162">
        <f>IFERROR(""&amp;INDEX(tk_ROOMT,MATCH(289,tk_ASEQ,0)),"")</f>
        <v/>
      </c>
      <c r="D295" s="162">
        <f>IFERROR(INDEX(tk_QTY,MATCH(289,tk_ASEQ,0)),"")</f>
        <v/>
      </c>
      <c r="E295" s="162">
        <f>IFERROR(""&amp;INDEX(tk_SIZE,MATCH(289,tk_ASEQ,0)),"")</f>
        <v/>
      </c>
      <c r="F295" s="162">
        <f>IFERROR(""&amp;INDEX(tk_PAIR,MATCH(289,tk_ASEQ,0)),"")</f>
        <v/>
      </c>
      <c r="G295" s="162">
        <f>IFERROR(""&amp;INDEX(tk_DMAT,MATCH(289,tk_ASEQ,0)),"")</f>
        <v/>
      </c>
      <c r="H295" s="162">
        <f>IFERROR(""&amp;INDEX(tk_DGA,MATCH(289,tk_ASEQ,0)),"")</f>
        <v/>
      </c>
      <c r="I295" s="162">
        <f>IFERROR(""&amp;INDEX(tk_FACE,MATCH(289,tk_ASEQ,0)),"")</f>
        <v/>
      </c>
      <c r="J295" s="162">
        <f>IFERROR(IF(INDEX(tk_DHAND,MATCH(289,tk_ASEQ,0))="",""&amp;INDEX(tk_HAND,MATCH(289,tk_ASEQ,0)),""&amp;INDEX(tk_DHAND,MATCH(289,tk_ASEQ,0))),"")</f>
        <v/>
      </c>
      <c r="K295" s="162">
        <f>IFERROR(""&amp;INDEX(tk_FDESC,MATCH(289,tk_ASEQ,0)),"")</f>
        <v/>
      </c>
      <c r="L295" s="162">
        <f>IFERROR(INDEX(tk_STEEL,MATCH(289,tk_ASEQ,0))&amp;IF(INDEX(tk_FGA,MATCH(289,tk_ASEQ,0))="",""," "&amp;INDEX(tk_FGA,MATCH(289,tk_ASEQ,0))&amp;"GA"),"")</f>
        <v/>
      </c>
      <c r="M295" s="162">
        <f>IFERROR(IFERROR(VLOOKUP(INDEX(tk_JAMB,MATCH(289,tk_ASEQ,0)),CODES,2,FALSE),""&amp;INDEX(tk_JAMB,MATCH(289,tk_ASEQ,0))),"")</f>
        <v/>
      </c>
      <c r="N295" s="162">
        <f>IFERROR(""&amp;INDEX(tk_CONSTR,MATCH(289,tk_ASEQ,0)),"")</f>
        <v/>
      </c>
      <c r="O295" s="162">
        <f>IFERROR(""&amp;INDEX(tk_ANCHOR,MATCH(289,tk_ASEQ,0)),"")</f>
        <v/>
      </c>
      <c r="P295" s="162">
        <f>IFERROR(""&amp;INDEX(tk_RATING,MATCH(289,tk_ASEQ,0)),"")</f>
        <v/>
      </c>
      <c r="Q295" s="162">
        <f>IFERROR(""&amp;INDEX(tk_LABEL,MATCH(289,tk_ASEQ,0)),"")</f>
        <v/>
      </c>
      <c r="R295" s="162">
        <f>IFERROR(""&amp;INDEX(tk_HWSET,MATCH(289,tk_ASEQ,0)),"")</f>
        <v/>
      </c>
      <c r="S295" s="162">
        <f>IFERROR(IF(""&amp;INDEX(tk_HINGES,MATCH(289,tk_ASEQ,0))="","",INDEX(tk_HINGES,MATCH(289,tk_ASEQ,0))&amp;" · "&amp;INDEX(tk_LSRC,MATCH(289,tk_ASEQ,0))),"")</f>
        <v/>
      </c>
      <c r="T295" s="162">
        <f>IFERROR(""&amp;INDEX(tk_LOCK,MATCH(289,tk_ASEQ,0)),"")</f>
        <v/>
      </c>
      <c r="U295" s="162">
        <f>IFERROR(INDEX(tk_ETYPE,MATCH(289,tk_ASEQ,0)),"")</f>
        <v/>
      </c>
      <c r="V295" s="162">
        <f>IFERROR(""&amp;INDEX(tk_CHECK,MATCH(289,tk_ASEQ,0)),"")</f>
        <v/>
      </c>
      <c r="W295" s="162">
        <f>IFERROR(TRIM(INDEX(tk_DNOTES,MATCH(289,tk_ASEQ,0))&amp;" "&amp;INDEX(tk_FNOTES,MATCH(289,tk_ASEQ,0))),"")</f>
        <v/>
      </c>
    </row>
    <row r="296">
      <c r="A296" s="161">
        <f>IFERROR(""&amp;INDEX(tk_MARK,MATCH(290,tk_ASEQ,0)),"")</f>
        <v/>
      </c>
      <c r="B296" s="162">
        <f>IFERROR(""&amp;INDEX(tk_ROOMF,MATCH(290,tk_ASEQ,0)),"")</f>
        <v/>
      </c>
      <c r="C296" s="162">
        <f>IFERROR(""&amp;INDEX(tk_ROOMT,MATCH(290,tk_ASEQ,0)),"")</f>
        <v/>
      </c>
      <c r="D296" s="162">
        <f>IFERROR(INDEX(tk_QTY,MATCH(290,tk_ASEQ,0)),"")</f>
        <v/>
      </c>
      <c r="E296" s="162">
        <f>IFERROR(""&amp;INDEX(tk_SIZE,MATCH(290,tk_ASEQ,0)),"")</f>
        <v/>
      </c>
      <c r="F296" s="162">
        <f>IFERROR(""&amp;INDEX(tk_PAIR,MATCH(290,tk_ASEQ,0)),"")</f>
        <v/>
      </c>
      <c r="G296" s="162">
        <f>IFERROR(""&amp;INDEX(tk_DMAT,MATCH(290,tk_ASEQ,0)),"")</f>
        <v/>
      </c>
      <c r="H296" s="162">
        <f>IFERROR(""&amp;INDEX(tk_DGA,MATCH(290,tk_ASEQ,0)),"")</f>
        <v/>
      </c>
      <c r="I296" s="162">
        <f>IFERROR(""&amp;INDEX(tk_FACE,MATCH(290,tk_ASEQ,0)),"")</f>
        <v/>
      </c>
      <c r="J296" s="162">
        <f>IFERROR(IF(INDEX(tk_DHAND,MATCH(290,tk_ASEQ,0))="",""&amp;INDEX(tk_HAND,MATCH(290,tk_ASEQ,0)),""&amp;INDEX(tk_DHAND,MATCH(290,tk_ASEQ,0))),"")</f>
        <v/>
      </c>
      <c r="K296" s="162">
        <f>IFERROR(""&amp;INDEX(tk_FDESC,MATCH(290,tk_ASEQ,0)),"")</f>
        <v/>
      </c>
      <c r="L296" s="162">
        <f>IFERROR(INDEX(tk_STEEL,MATCH(290,tk_ASEQ,0))&amp;IF(INDEX(tk_FGA,MATCH(290,tk_ASEQ,0))="",""," "&amp;INDEX(tk_FGA,MATCH(290,tk_ASEQ,0))&amp;"GA"),"")</f>
        <v/>
      </c>
      <c r="M296" s="162">
        <f>IFERROR(IFERROR(VLOOKUP(INDEX(tk_JAMB,MATCH(290,tk_ASEQ,0)),CODES,2,FALSE),""&amp;INDEX(tk_JAMB,MATCH(290,tk_ASEQ,0))),"")</f>
        <v/>
      </c>
      <c r="N296" s="162">
        <f>IFERROR(""&amp;INDEX(tk_CONSTR,MATCH(290,tk_ASEQ,0)),"")</f>
        <v/>
      </c>
      <c r="O296" s="162">
        <f>IFERROR(""&amp;INDEX(tk_ANCHOR,MATCH(290,tk_ASEQ,0)),"")</f>
        <v/>
      </c>
      <c r="P296" s="162">
        <f>IFERROR(""&amp;INDEX(tk_RATING,MATCH(290,tk_ASEQ,0)),"")</f>
        <v/>
      </c>
      <c r="Q296" s="162">
        <f>IFERROR(""&amp;INDEX(tk_LABEL,MATCH(290,tk_ASEQ,0)),"")</f>
        <v/>
      </c>
      <c r="R296" s="162">
        <f>IFERROR(""&amp;INDEX(tk_HWSET,MATCH(290,tk_ASEQ,0)),"")</f>
        <v/>
      </c>
      <c r="S296" s="162">
        <f>IFERROR(IF(""&amp;INDEX(tk_HINGES,MATCH(290,tk_ASEQ,0))="","",INDEX(tk_HINGES,MATCH(290,tk_ASEQ,0))&amp;" · "&amp;INDEX(tk_LSRC,MATCH(290,tk_ASEQ,0))),"")</f>
        <v/>
      </c>
      <c r="T296" s="162">
        <f>IFERROR(""&amp;INDEX(tk_LOCK,MATCH(290,tk_ASEQ,0)),"")</f>
        <v/>
      </c>
      <c r="U296" s="162">
        <f>IFERROR(INDEX(tk_ETYPE,MATCH(290,tk_ASEQ,0)),"")</f>
        <v/>
      </c>
      <c r="V296" s="162">
        <f>IFERROR(""&amp;INDEX(tk_CHECK,MATCH(290,tk_ASEQ,0)),"")</f>
        <v/>
      </c>
      <c r="W296" s="162">
        <f>IFERROR(TRIM(INDEX(tk_DNOTES,MATCH(290,tk_ASEQ,0))&amp;" "&amp;INDEX(tk_FNOTES,MATCH(290,tk_ASEQ,0))),"")</f>
        <v/>
      </c>
    </row>
    <row r="297">
      <c r="A297" s="161">
        <f>IFERROR(""&amp;INDEX(tk_MARK,MATCH(291,tk_ASEQ,0)),"")</f>
        <v/>
      </c>
      <c r="B297" s="162">
        <f>IFERROR(""&amp;INDEX(tk_ROOMF,MATCH(291,tk_ASEQ,0)),"")</f>
        <v/>
      </c>
      <c r="C297" s="162">
        <f>IFERROR(""&amp;INDEX(tk_ROOMT,MATCH(291,tk_ASEQ,0)),"")</f>
        <v/>
      </c>
      <c r="D297" s="162">
        <f>IFERROR(INDEX(tk_QTY,MATCH(291,tk_ASEQ,0)),"")</f>
        <v/>
      </c>
      <c r="E297" s="162">
        <f>IFERROR(""&amp;INDEX(tk_SIZE,MATCH(291,tk_ASEQ,0)),"")</f>
        <v/>
      </c>
      <c r="F297" s="162">
        <f>IFERROR(""&amp;INDEX(tk_PAIR,MATCH(291,tk_ASEQ,0)),"")</f>
        <v/>
      </c>
      <c r="G297" s="162">
        <f>IFERROR(""&amp;INDEX(tk_DMAT,MATCH(291,tk_ASEQ,0)),"")</f>
        <v/>
      </c>
      <c r="H297" s="162">
        <f>IFERROR(""&amp;INDEX(tk_DGA,MATCH(291,tk_ASEQ,0)),"")</f>
        <v/>
      </c>
      <c r="I297" s="162">
        <f>IFERROR(""&amp;INDEX(tk_FACE,MATCH(291,tk_ASEQ,0)),"")</f>
        <v/>
      </c>
      <c r="J297" s="162">
        <f>IFERROR(IF(INDEX(tk_DHAND,MATCH(291,tk_ASEQ,0))="",""&amp;INDEX(tk_HAND,MATCH(291,tk_ASEQ,0)),""&amp;INDEX(tk_DHAND,MATCH(291,tk_ASEQ,0))),"")</f>
        <v/>
      </c>
      <c r="K297" s="162">
        <f>IFERROR(""&amp;INDEX(tk_FDESC,MATCH(291,tk_ASEQ,0)),"")</f>
        <v/>
      </c>
      <c r="L297" s="162">
        <f>IFERROR(INDEX(tk_STEEL,MATCH(291,tk_ASEQ,0))&amp;IF(INDEX(tk_FGA,MATCH(291,tk_ASEQ,0))="",""," "&amp;INDEX(tk_FGA,MATCH(291,tk_ASEQ,0))&amp;"GA"),"")</f>
        <v/>
      </c>
      <c r="M297" s="162">
        <f>IFERROR(IFERROR(VLOOKUP(INDEX(tk_JAMB,MATCH(291,tk_ASEQ,0)),CODES,2,FALSE),""&amp;INDEX(tk_JAMB,MATCH(291,tk_ASEQ,0))),"")</f>
        <v/>
      </c>
      <c r="N297" s="162">
        <f>IFERROR(""&amp;INDEX(tk_CONSTR,MATCH(291,tk_ASEQ,0)),"")</f>
        <v/>
      </c>
      <c r="O297" s="162">
        <f>IFERROR(""&amp;INDEX(tk_ANCHOR,MATCH(291,tk_ASEQ,0)),"")</f>
        <v/>
      </c>
      <c r="P297" s="162">
        <f>IFERROR(""&amp;INDEX(tk_RATING,MATCH(291,tk_ASEQ,0)),"")</f>
        <v/>
      </c>
      <c r="Q297" s="162">
        <f>IFERROR(""&amp;INDEX(tk_LABEL,MATCH(291,tk_ASEQ,0)),"")</f>
        <v/>
      </c>
      <c r="R297" s="162">
        <f>IFERROR(""&amp;INDEX(tk_HWSET,MATCH(291,tk_ASEQ,0)),"")</f>
        <v/>
      </c>
      <c r="S297" s="162">
        <f>IFERROR(IF(""&amp;INDEX(tk_HINGES,MATCH(291,tk_ASEQ,0))="","",INDEX(tk_HINGES,MATCH(291,tk_ASEQ,0))&amp;" · "&amp;INDEX(tk_LSRC,MATCH(291,tk_ASEQ,0))),"")</f>
        <v/>
      </c>
      <c r="T297" s="162">
        <f>IFERROR(""&amp;INDEX(tk_LOCK,MATCH(291,tk_ASEQ,0)),"")</f>
        <v/>
      </c>
      <c r="U297" s="162">
        <f>IFERROR(INDEX(tk_ETYPE,MATCH(291,tk_ASEQ,0)),"")</f>
        <v/>
      </c>
      <c r="V297" s="162">
        <f>IFERROR(""&amp;INDEX(tk_CHECK,MATCH(291,tk_ASEQ,0)),"")</f>
        <v/>
      </c>
      <c r="W297" s="162">
        <f>IFERROR(TRIM(INDEX(tk_DNOTES,MATCH(291,tk_ASEQ,0))&amp;" "&amp;INDEX(tk_FNOTES,MATCH(291,tk_ASEQ,0))),"")</f>
        <v/>
      </c>
    </row>
    <row r="298">
      <c r="A298" s="161">
        <f>IFERROR(""&amp;INDEX(tk_MARK,MATCH(292,tk_ASEQ,0)),"")</f>
        <v/>
      </c>
      <c r="B298" s="162">
        <f>IFERROR(""&amp;INDEX(tk_ROOMF,MATCH(292,tk_ASEQ,0)),"")</f>
        <v/>
      </c>
      <c r="C298" s="162">
        <f>IFERROR(""&amp;INDEX(tk_ROOMT,MATCH(292,tk_ASEQ,0)),"")</f>
        <v/>
      </c>
      <c r="D298" s="162">
        <f>IFERROR(INDEX(tk_QTY,MATCH(292,tk_ASEQ,0)),"")</f>
        <v/>
      </c>
      <c r="E298" s="162">
        <f>IFERROR(""&amp;INDEX(tk_SIZE,MATCH(292,tk_ASEQ,0)),"")</f>
        <v/>
      </c>
      <c r="F298" s="162">
        <f>IFERROR(""&amp;INDEX(tk_PAIR,MATCH(292,tk_ASEQ,0)),"")</f>
        <v/>
      </c>
      <c r="G298" s="162">
        <f>IFERROR(""&amp;INDEX(tk_DMAT,MATCH(292,tk_ASEQ,0)),"")</f>
        <v/>
      </c>
      <c r="H298" s="162">
        <f>IFERROR(""&amp;INDEX(tk_DGA,MATCH(292,tk_ASEQ,0)),"")</f>
        <v/>
      </c>
      <c r="I298" s="162">
        <f>IFERROR(""&amp;INDEX(tk_FACE,MATCH(292,tk_ASEQ,0)),"")</f>
        <v/>
      </c>
      <c r="J298" s="162">
        <f>IFERROR(IF(INDEX(tk_DHAND,MATCH(292,tk_ASEQ,0))="",""&amp;INDEX(tk_HAND,MATCH(292,tk_ASEQ,0)),""&amp;INDEX(tk_DHAND,MATCH(292,tk_ASEQ,0))),"")</f>
        <v/>
      </c>
      <c r="K298" s="162">
        <f>IFERROR(""&amp;INDEX(tk_FDESC,MATCH(292,tk_ASEQ,0)),"")</f>
        <v/>
      </c>
      <c r="L298" s="162">
        <f>IFERROR(INDEX(tk_STEEL,MATCH(292,tk_ASEQ,0))&amp;IF(INDEX(tk_FGA,MATCH(292,tk_ASEQ,0))="",""," "&amp;INDEX(tk_FGA,MATCH(292,tk_ASEQ,0))&amp;"GA"),"")</f>
        <v/>
      </c>
      <c r="M298" s="162">
        <f>IFERROR(IFERROR(VLOOKUP(INDEX(tk_JAMB,MATCH(292,tk_ASEQ,0)),CODES,2,FALSE),""&amp;INDEX(tk_JAMB,MATCH(292,tk_ASEQ,0))),"")</f>
        <v/>
      </c>
      <c r="N298" s="162">
        <f>IFERROR(""&amp;INDEX(tk_CONSTR,MATCH(292,tk_ASEQ,0)),"")</f>
        <v/>
      </c>
      <c r="O298" s="162">
        <f>IFERROR(""&amp;INDEX(tk_ANCHOR,MATCH(292,tk_ASEQ,0)),"")</f>
        <v/>
      </c>
      <c r="P298" s="162">
        <f>IFERROR(""&amp;INDEX(tk_RATING,MATCH(292,tk_ASEQ,0)),"")</f>
        <v/>
      </c>
      <c r="Q298" s="162">
        <f>IFERROR(""&amp;INDEX(tk_LABEL,MATCH(292,tk_ASEQ,0)),"")</f>
        <v/>
      </c>
      <c r="R298" s="162">
        <f>IFERROR(""&amp;INDEX(tk_HWSET,MATCH(292,tk_ASEQ,0)),"")</f>
        <v/>
      </c>
      <c r="S298" s="162">
        <f>IFERROR(IF(""&amp;INDEX(tk_HINGES,MATCH(292,tk_ASEQ,0))="","",INDEX(tk_HINGES,MATCH(292,tk_ASEQ,0))&amp;" · "&amp;INDEX(tk_LSRC,MATCH(292,tk_ASEQ,0))),"")</f>
        <v/>
      </c>
      <c r="T298" s="162">
        <f>IFERROR(""&amp;INDEX(tk_LOCK,MATCH(292,tk_ASEQ,0)),"")</f>
        <v/>
      </c>
      <c r="U298" s="162">
        <f>IFERROR(INDEX(tk_ETYPE,MATCH(292,tk_ASEQ,0)),"")</f>
        <v/>
      </c>
      <c r="V298" s="162">
        <f>IFERROR(""&amp;INDEX(tk_CHECK,MATCH(292,tk_ASEQ,0)),"")</f>
        <v/>
      </c>
      <c r="W298" s="162">
        <f>IFERROR(TRIM(INDEX(tk_DNOTES,MATCH(292,tk_ASEQ,0))&amp;" "&amp;INDEX(tk_FNOTES,MATCH(292,tk_ASEQ,0))),"")</f>
        <v/>
      </c>
    </row>
    <row r="299">
      <c r="A299" s="161">
        <f>IFERROR(""&amp;INDEX(tk_MARK,MATCH(293,tk_ASEQ,0)),"")</f>
        <v/>
      </c>
      <c r="B299" s="162">
        <f>IFERROR(""&amp;INDEX(tk_ROOMF,MATCH(293,tk_ASEQ,0)),"")</f>
        <v/>
      </c>
      <c r="C299" s="162">
        <f>IFERROR(""&amp;INDEX(tk_ROOMT,MATCH(293,tk_ASEQ,0)),"")</f>
        <v/>
      </c>
      <c r="D299" s="162">
        <f>IFERROR(INDEX(tk_QTY,MATCH(293,tk_ASEQ,0)),"")</f>
        <v/>
      </c>
      <c r="E299" s="162">
        <f>IFERROR(""&amp;INDEX(tk_SIZE,MATCH(293,tk_ASEQ,0)),"")</f>
        <v/>
      </c>
      <c r="F299" s="162">
        <f>IFERROR(""&amp;INDEX(tk_PAIR,MATCH(293,tk_ASEQ,0)),"")</f>
        <v/>
      </c>
      <c r="G299" s="162">
        <f>IFERROR(""&amp;INDEX(tk_DMAT,MATCH(293,tk_ASEQ,0)),"")</f>
        <v/>
      </c>
      <c r="H299" s="162">
        <f>IFERROR(""&amp;INDEX(tk_DGA,MATCH(293,tk_ASEQ,0)),"")</f>
        <v/>
      </c>
      <c r="I299" s="162">
        <f>IFERROR(""&amp;INDEX(tk_FACE,MATCH(293,tk_ASEQ,0)),"")</f>
        <v/>
      </c>
      <c r="J299" s="162">
        <f>IFERROR(IF(INDEX(tk_DHAND,MATCH(293,tk_ASEQ,0))="",""&amp;INDEX(tk_HAND,MATCH(293,tk_ASEQ,0)),""&amp;INDEX(tk_DHAND,MATCH(293,tk_ASEQ,0))),"")</f>
        <v/>
      </c>
      <c r="K299" s="162">
        <f>IFERROR(""&amp;INDEX(tk_FDESC,MATCH(293,tk_ASEQ,0)),"")</f>
        <v/>
      </c>
      <c r="L299" s="162">
        <f>IFERROR(INDEX(tk_STEEL,MATCH(293,tk_ASEQ,0))&amp;IF(INDEX(tk_FGA,MATCH(293,tk_ASEQ,0))="",""," "&amp;INDEX(tk_FGA,MATCH(293,tk_ASEQ,0))&amp;"GA"),"")</f>
        <v/>
      </c>
      <c r="M299" s="162">
        <f>IFERROR(IFERROR(VLOOKUP(INDEX(tk_JAMB,MATCH(293,tk_ASEQ,0)),CODES,2,FALSE),""&amp;INDEX(tk_JAMB,MATCH(293,tk_ASEQ,0))),"")</f>
        <v/>
      </c>
      <c r="N299" s="162">
        <f>IFERROR(""&amp;INDEX(tk_CONSTR,MATCH(293,tk_ASEQ,0)),"")</f>
        <v/>
      </c>
      <c r="O299" s="162">
        <f>IFERROR(""&amp;INDEX(tk_ANCHOR,MATCH(293,tk_ASEQ,0)),"")</f>
        <v/>
      </c>
      <c r="P299" s="162">
        <f>IFERROR(""&amp;INDEX(tk_RATING,MATCH(293,tk_ASEQ,0)),"")</f>
        <v/>
      </c>
      <c r="Q299" s="162">
        <f>IFERROR(""&amp;INDEX(tk_LABEL,MATCH(293,tk_ASEQ,0)),"")</f>
        <v/>
      </c>
      <c r="R299" s="162">
        <f>IFERROR(""&amp;INDEX(tk_HWSET,MATCH(293,tk_ASEQ,0)),"")</f>
        <v/>
      </c>
      <c r="S299" s="162">
        <f>IFERROR(IF(""&amp;INDEX(tk_HINGES,MATCH(293,tk_ASEQ,0))="","",INDEX(tk_HINGES,MATCH(293,tk_ASEQ,0))&amp;" · "&amp;INDEX(tk_LSRC,MATCH(293,tk_ASEQ,0))),"")</f>
        <v/>
      </c>
      <c r="T299" s="162">
        <f>IFERROR(""&amp;INDEX(tk_LOCK,MATCH(293,tk_ASEQ,0)),"")</f>
        <v/>
      </c>
      <c r="U299" s="162">
        <f>IFERROR(INDEX(tk_ETYPE,MATCH(293,tk_ASEQ,0)),"")</f>
        <v/>
      </c>
      <c r="V299" s="162">
        <f>IFERROR(""&amp;INDEX(tk_CHECK,MATCH(293,tk_ASEQ,0)),"")</f>
        <v/>
      </c>
      <c r="W299" s="162">
        <f>IFERROR(TRIM(INDEX(tk_DNOTES,MATCH(293,tk_ASEQ,0))&amp;" "&amp;INDEX(tk_FNOTES,MATCH(293,tk_ASEQ,0))),"")</f>
        <v/>
      </c>
    </row>
    <row r="300">
      <c r="A300" s="161">
        <f>IFERROR(""&amp;INDEX(tk_MARK,MATCH(294,tk_ASEQ,0)),"")</f>
        <v/>
      </c>
      <c r="B300" s="162">
        <f>IFERROR(""&amp;INDEX(tk_ROOMF,MATCH(294,tk_ASEQ,0)),"")</f>
        <v/>
      </c>
      <c r="C300" s="162">
        <f>IFERROR(""&amp;INDEX(tk_ROOMT,MATCH(294,tk_ASEQ,0)),"")</f>
        <v/>
      </c>
      <c r="D300" s="162">
        <f>IFERROR(INDEX(tk_QTY,MATCH(294,tk_ASEQ,0)),"")</f>
        <v/>
      </c>
      <c r="E300" s="162">
        <f>IFERROR(""&amp;INDEX(tk_SIZE,MATCH(294,tk_ASEQ,0)),"")</f>
        <v/>
      </c>
      <c r="F300" s="162">
        <f>IFERROR(""&amp;INDEX(tk_PAIR,MATCH(294,tk_ASEQ,0)),"")</f>
        <v/>
      </c>
      <c r="G300" s="162">
        <f>IFERROR(""&amp;INDEX(tk_DMAT,MATCH(294,tk_ASEQ,0)),"")</f>
        <v/>
      </c>
      <c r="H300" s="162">
        <f>IFERROR(""&amp;INDEX(tk_DGA,MATCH(294,tk_ASEQ,0)),"")</f>
        <v/>
      </c>
      <c r="I300" s="162">
        <f>IFERROR(""&amp;INDEX(tk_FACE,MATCH(294,tk_ASEQ,0)),"")</f>
        <v/>
      </c>
      <c r="J300" s="162">
        <f>IFERROR(IF(INDEX(tk_DHAND,MATCH(294,tk_ASEQ,0))="",""&amp;INDEX(tk_HAND,MATCH(294,tk_ASEQ,0)),""&amp;INDEX(tk_DHAND,MATCH(294,tk_ASEQ,0))),"")</f>
        <v/>
      </c>
      <c r="K300" s="162">
        <f>IFERROR(""&amp;INDEX(tk_FDESC,MATCH(294,tk_ASEQ,0)),"")</f>
        <v/>
      </c>
      <c r="L300" s="162">
        <f>IFERROR(INDEX(tk_STEEL,MATCH(294,tk_ASEQ,0))&amp;IF(INDEX(tk_FGA,MATCH(294,tk_ASEQ,0))="",""," "&amp;INDEX(tk_FGA,MATCH(294,tk_ASEQ,0))&amp;"GA"),"")</f>
        <v/>
      </c>
      <c r="M300" s="162">
        <f>IFERROR(IFERROR(VLOOKUP(INDEX(tk_JAMB,MATCH(294,tk_ASEQ,0)),CODES,2,FALSE),""&amp;INDEX(tk_JAMB,MATCH(294,tk_ASEQ,0))),"")</f>
        <v/>
      </c>
      <c r="N300" s="162">
        <f>IFERROR(""&amp;INDEX(tk_CONSTR,MATCH(294,tk_ASEQ,0)),"")</f>
        <v/>
      </c>
      <c r="O300" s="162">
        <f>IFERROR(""&amp;INDEX(tk_ANCHOR,MATCH(294,tk_ASEQ,0)),"")</f>
        <v/>
      </c>
      <c r="P300" s="162">
        <f>IFERROR(""&amp;INDEX(tk_RATING,MATCH(294,tk_ASEQ,0)),"")</f>
        <v/>
      </c>
      <c r="Q300" s="162">
        <f>IFERROR(""&amp;INDEX(tk_LABEL,MATCH(294,tk_ASEQ,0)),"")</f>
        <v/>
      </c>
      <c r="R300" s="162">
        <f>IFERROR(""&amp;INDEX(tk_HWSET,MATCH(294,tk_ASEQ,0)),"")</f>
        <v/>
      </c>
      <c r="S300" s="162">
        <f>IFERROR(IF(""&amp;INDEX(tk_HINGES,MATCH(294,tk_ASEQ,0))="","",INDEX(tk_HINGES,MATCH(294,tk_ASEQ,0))&amp;" · "&amp;INDEX(tk_LSRC,MATCH(294,tk_ASEQ,0))),"")</f>
        <v/>
      </c>
      <c r="T300" s="162">
        <f>IFERROR(""&amp;INDEX(tk_LOCK,MATCH(294,tk_ASEQ,0)),"")</f>
        <v/>
      </c>
      <c r="U300" s="162">
        <f>IFERROR(INDEX(tk_ETYPE,MATCH(294,tk_ASEQ,0)),"")</f>
        <v/>
      </c>
      <c r="V300" s="162">
        <f>IFERROR(""&amp;INDEX(tk_CHECK,MATCH(294,tk_ASEQ,0)),"")</f>
        <v/>
      </c>
      <c r="W300" s="162">
        <f>IFERROR(TRIM(INDEX(tk_DNOTES,MATCH(294,tk_ASEQ,0))&amp;" "&amp;INDEX(tk_FNOTES,MATCH(294,tk_ASEQ,0))),"")</f>
        <v/>
      </c>
    </row>
    <row r="301">
      <c r="A301" s="161">
        <f>IFERROR(""&amp;INDEX(tk_MARK,MATCH(295,tk_ASEQ,0)),"")</f>
        <v/>
      </c>
      <c r="B301" s="162">
        <f>IFERROR(""&amp;INDEX(tk_ROOMF,MATCH(295,tk_ASEQ,0)),"")</f>
        <v/>
      </c>
      <c r="C301" s="162">
        <f>IFERROR(""&amp;INDEX(tk_ROOMT,MATCH(295,tk_ASEQ,0)),"")</f>
        <v/>
      </c>
      <c r="D301" s="162">
        <f>IFERROR(INDEX(tk_QTY,MATCH(295,tk_ASEQ,0)),"")</f>
        <v/>
      </c>
      <c r="E301" s="162">
        <f>IFERROR(""&amp;INDEX(tk_SIZE,MATCH(295,tk_ASEQ,0)),"")</f>
        <v/>
      </c>
      <c r="F301" s="162">
        <f>IFERROR(""&amp;INDEX(tk_PAIR,MATCH(295,tk_ASEQ,0)),"")</f>
        <v/>
      </c>
      <c r="G301" s="162">
        <f>IFERROR(""&amp;INDEX(tk_DMAT,MATCH(295,tk_ASEQ,0)),"")</f>
        <v/>
      </c>
      <c r="H301" s="162">
        <f>IFERROR(""&amp;INDEX(tk_DGA,MATCH(295,tk_ASEQ,0)),"")</f>
        <v/>
      </c>
      <c r="I301" s="162">
        <f>IFERROR(""&amp;INDEX(tk_FACE,MATCH(295,tk_ASEQ,0)),"")</f>
        <v/>
      </c>
      <c r="J301" s="162">
        <f>IFERROR(IF(INDEX(tk_DHAND,MATCH(295,tk_ASEQ,0))="",""&amp;INDEX(tk_HAND,MATCH(295,tk_ASEQ,0)),""&amp;INDEX(tk_DHAND,MATCH(295,tk_ASEQ,0))),"")</f>
        <v/>
      </c>
      <c r="K301" s="162">
        <f>IFERROR(""&amp;INDEX(tk_FDESC,MATCH(295,tk_ASEQ,0)),"")</f>
        <v/>
      </c>
      <c r="L301" s="162">
        <f>IFERROR(INDEX(tk_STEEL,MATCH(295,tk_ASEQ,0))&amp;IF(INDEX(tk_FGA,MATCH(295,tk_ASEQ,0))="",""," "&amp;INDEX(tk_FGA,MATCH(295,tk_ASEQ,0))&amp;"GA"),"")</f>
        <v/>
      </c>
      <c r="M301" s="162">
        <f>IFERROR(IFERROR(VLOOKUP(INDEX(tk_JAMB,MATCH(295,tk_ASEQ,0)),CODES,2,FALSE),""&amp;INDEX(tk_JAMB,MATCH(295,tk_ASEQ,0))),"")</f>
        <v/>
      </c>
      <c r="N301" s="162">
        <f>IFERROR(""&amp;INDEX(tk_CONSTR,MATCH(295,tk_ASEQ,0)),"")</f>
        <v/>
      </c>
      <c r="O301" s="162">
        <f>IFERROR(""&amp;INDEX(tk_ANCHOR,MATCH(295,tk_ASEQ,0)),"")</f>
        <v/>
      </c>
      <c r="P301" s="162">
        <f>IFERROR(""&amp;INDEX(tk_RATING,MATCH(295,tk_ASEQ,0)),"")</f>
        <v/>
      </c>
      <c r="Q301" s="162">
        <f>IFERROR(""&amp;INDEX(tk_LABEL,MATCH(295,tk_ASEQ,0)),"")</f>
        <v/>
      </c>
      <c r="R301" s="162">
        <f>IFERROR(""&amp;INDEX(tk_HWSET,MATCH(295,tk_ASEQ,0)),"")</f>
        <v/>
      </c>
      <c r="S301" s="162">
        <f>IFERROR(IF(""&amp;INDEX(tk_HINGES,MATCH(295,tk_ASEQ,0))="","",INDEX(tk_HINGES,MATCH(295,tk_ASEQ,0))&amp;" · "&amp;INDEX(tk_LSRC,MATCH(295,tk_ASEQ,0))),"")</f>
        <v/>
      </c>
      <c r="T301" s="162">
        <f>IFERROR(""&amp;INDEX(tk_LOCK,MATCH(295,tk_ASEQ,0)),"")</f>
        <v/>
      </c>
      <c r="U301" s="162">
        <f>IFERROR(INDEX(tk_ETYPE,MATCH(295,tk_ASEQ,0)),"")</f>
        <v/>
      </c>
      <c r="V301" s="162">
        <f>IFERROR(""&amp;INDEX(tk_CHECK,MATCH(295,tk_ASEQ,0)),"")</f>
        <v/>
      </c>
      <c r="W301" s="162">
        <f>IFERROR(TRIM(INDEX(tk_DNOTES,MATCH(295,tk_ASEQ,0))&amp;" "&amp;INDEX(tk_FNOTES,MATCH(295,tk_ASEQ,0))),"")</f>
        <v/>
      </c>
    </row>
    <row r="302">
      <c r="A302" s="161">
        <f>IFERROR(""&amp;INDEX(tk_MARK,MATCH(296,tk_ASEQ,0)),"")</f>
        <v/>
      </c>
      <c r="B302" s="162">
        <f>IFERROR(""&amp;INDEX(tk_ROOMF,MATCH(296,tk_ASEQ,0)),"")</f>
        <v/>
      </c>
      <c r="C302" s="162">
        <f>IFERROR(""&amp;INDEX(tk_ROOMT,MATCH(296,tk_ASEQ,0)),"")</f>
        <v/>
      </c>
      <c r="D302" s="162">
        <f>IFERROR(INDEX(tk_QTY,MATCH(296,tk_ASEQ,0)),"")</f>
        <v/>
      </c>
      <c r="E302" s="162">
        <f>IFERROR(""&amp;INDEX(tk_SIZE,MATCH(296,tk_ASEQ,0)),"")</f>
        <v/>
      </c>
      <c r="F302" s="162">
        <f>IFERROR(""&amp;INDEX(tk_PAIR,MATCH(296,tk_ASEQ,0)),"")</f>
        <v/>
      </c>
      <c r="G302" s="162">
        <f>IFERROR(""&amp;INDEX(tk_DMAT,MATCH(296,tk_ASEQ,0)),"")</f>
        <v/>
      </c>
      <c r="H302" s="162">
        <f>IFERROR(""&amp;INDEX(tk_DGA,MATCH(296,tk_ASEQ,0)),"")</f>
        <v/>
      </c>
      <c r="I302" s="162">
        <f>IFERROR(""&amp;INDEX(tk_FACE,MATCH(296,tk_ASEQ,0)),"")</f>
        <v/>
      </c>
      <c r="J302" s="162">
        <f>IFERROR(IF(INDEX(tk_DHAND,MATCH(296,tk_ASEQ,0))="",""&amp;INDEX(tk_HAND,MATCH(296,tk_ASEQ,0)),""&amp;INDEX(tk_DHAND,MATCH(296,tk_ASEQ,0))),"")</f>
        <v/>
      </c>
      <c r="K302" s="162">
        <f>IFERROR(""&amp;INDEX(tk_FDESC,MATCH(296,tk_ASEQ,0)),"")</f>
        <v/>
      </c>
      <c r="L302" s="162">
        <f>IFERROR(INDEX(tk_STEEL,MATCH(296,tk_ASEQ,0))&amp;IF(INDEX(tk_FGA,MATCH(296,tk_ASEQ,0))="",""," "&amp;INDEX(tk_FGA,MATCH(296,tk_ASEQ,0))&amp;"GA"),"")</f>
        <v/>
      </c>
      <c r="M302" s="162">
        <f>IFERROR(IFERROR(VLOOKUP(INDEX(tk_JAMB,MATCH(296,tk_ASEQ,0)),CODES,2,FALSE),""&amp;INDEX(tk_JAMB,MATCH(296,tk_ASEQ,0))),"")</f>
        <v/>
      </c>
      <c r="N302" s="162">
        <f>IFERROR(""&amp;INDEX(tk_CONSTR,MATCH(296,tk_ASEQ,0)),"")</f>
        <v/>
      </c>
      <c r="O302" s="162">
        <f>IFERROR(""&amp;INDEX(tk_ANCHOR,MATCH(296,tk_ASEQ,0)),"")</f>
        <v/>
      </c>
      <c r="P302" s="162">
        <f>IFERROR(""&amp;INDEX(tk_RATING,MATCH(296,tk_ASEQ,0)),"")</f>
        <v/>
      </c>
      <c r="Q302" s="162">
        <f>IFERROR(""&amp;INDEX(tk_LABEL,MATCH(296,tk_ASEQ,0)),"")</f>
        <v/>
      </c>
      <c r="R302" s="162">
        <f>IFERROR(""&amp;INDEX(tk_HWSET,MATCH(296,tk_ASEQ,0)),"")</f>
        <v/>
      </c>
      <c r="S302" s="162">
        <f>IFERROR(IF(""&amp;INDEX(tk_HINGES,MATCH(296,tk_ASEQ,0))="","",INDEX(tk_HINGES,MATCH(296,tk_ASEQ,0))&amp;" · "&amp;INDEX(tk_LSRC,MATCH(296,tk_ASEQ,0))),"")</f>
        <v/>
      </c>
      <c r="T302" s="162">
        <f>IFERROR(""&amp;INDEX(tk_LOCK,MATCH(296,tk_ASEQ,0)),"")</f>
        <v/>
      </c>
      <c r="U302" s="162">
        <f>IFERROR(INDEX(tk_ETYPE,MATCH(296,tk_ASEQ,0)),"")</f>
        <v/>
      </c>
      <c r="V302" s="162">
        <f>IFERROR(""&amp;INDEX(tk_CHECK,MATCH(296,tk_ASEQ,0)),"")</f>
        <v/>
      </c>
      <c r="W302" s="162">
        <f>IFERROR(TRIM(INDEX(tk_DNOTES,MATCH(296,tk_ASEQ,0))&amp;" "&amp;INDEX(tk_FNOTES,MATCH(296,tk_ASEQ,0))),"")</f>
        <v/>
      </c>
    </row>
    <row r="303">
      <c r="A303" s="161">
        <f>IFERROR(""&amp;INDEX(tk_MARK,MATCH(297,tk_ASEQ,0)),"")</f>
        <v/>
      </c>
      <c r="B303" s="162">
        <f>IFERROR(""&amp;INDEX(tk_ROOMF,MATCH(297,tk_ASEQ,0)),"")</f>
        <v/>
      </c>
      <c r="C303" s="162">
        <f>IFERROR(""&amp;INDEX(tk_ROOMT,MATCH(297,tk_ASEQ,0)),"")</f>
        <v/>
      </c>
      <c r="D303" s="162">
        <f>IFERROR(INDEX(tk_QTY,MATCH(297,tk_ASEQ,0)),"")</f>
        <v/>
      </c>
      <c r="E303" s="162">
        <f>IFERROR(""&amp;INDEX(tk_SIZE,MATCH(297,tk_ASEQ,0)),"")</f>
        <v/>
      </c>
      <c r="F303" s="162">
        <f>IFERROR(""&amp;INDEX(tk_PAIR,MATCH(297,tk_ASEQ,0)),"")</f>
        <v/>
      </c>
      <c r="G303" s="162">
        <f>IFERROR(""&amp;INDEX(tk_DMAT,MATCH(297,tk_ASEQ,0)),"")</f>
        <v/>
      </c>
      <c r="H303" s="162">
        <f>IFERROR(""&amp;INDEX(tk_DGA,MATCH(297,tk_ASEQ,0)),"")</f>
        <v/>
      </c>
      <c r="I303" s="162">
        <f>IFERROR(""&amp;INDEX(tk_FACE,MATCH(297,tk_ASEQ,0)),"")</f>
        <v/>
      </c>
      <c r="J303" s="162">
        <f>IFERROR(IF(INDEX(tk_DHAND,MATCH(297,tk_ASEQ,0))="",""&amp;INDEX(tk_HAND,MATCH(297,tk_ASEQ,0)),""&amp;INDEX(tk_DHAND,MATCH(297,tk_ASEQ,0))),"")</f>
        <v/>
      </c>
      <c r="K303" s="162">
        <f>IFERROR(""&amp;INDEX(tk_FDESC,MATCH(297,tk_ASEQ,0)),"")</f>
        <v/>
      </c>
      <c r="L303" s="162">
        <f>IFERROR(INDEX(tk_STEEL,MATCH(297,tk_ASEQ,0))&amp;IF(INDEX(tk_FGA,MATCH(297,tk_ASEQ,0))="",""," "&amp;INDEX(tk_FGA,MATCH(297,tk_ASEQ,0))&amp;"GA"),"")</f>
        <v/>
      </c>
      <c r="M303" s="162">
        <f>IFERROR(IFERROR(VLOOKUP(INDEX(tk_JAMB,MATCH(297,tk_ASEQ,0)),CODES,2,FALSE),""&amp;INDEX(tk_JAMB,MATCH(297,tk_ASEQ,0))),"")</f>
        <v/>
      </c>
      <c r="N303" s="162">
        <f>IFERROR(""&amp;INDEX(tk_CONSTR,MATCH(297,tk_ASEQ,0)),"")</f>
        <v/>
      </c>
      <c r="O303" s="162">
        <f>IFERROR(""&amp;INDEX(tk_ANCHOR,MATCH(297,tk_ASEQ,0)),"")</f>
        <v/>
      </c>
      <c r="P303" s="162">
        <f>IFERROR(""&amp;INDEX(tk_RATING,MATCH(297,tk_ASEQ,0)),"")</f>
        <v/>
      </c>
      <c r="Q303" s="162">
        <f>IFERROR(""&amp;INDEX(tk_LABEL,MATCH(297,tk_ASEQ,0)),"")</f>
        <v/>
      </c>
      <c r="R303" s="162">
        <f>IFERROR(""&amp;INDEX(tk_HWSET,MATCH(297,tk_ASEQ,0)),"")</f>
        <v/>
      </c>
      <c r="S303" s="162">
        <f>IFERROR(IF(""&amp;INDEX(tk_HINGES,MATCH(297,tk_ASEQ,0))="","",INDEX(tk_HINGES,MATCH(297,tk_ASEQ,0))&amp;" · "&amp;INDEX(tk_LSRC,MATCH(297,tk_ASEQ,0))),"")</f>
        <v/>
      </c>
      <c r="T303" s="162">
        <f>IFERROR(""&amp;INDEX(tk_LOCK,MATCH(297,tk_ASEQ,0)),"")</f>
        <v/>
      </c>
      <c r="U303" s="162">
        <f>IFERROR(INDEX(tk_ETYPE,MATCH(297,tk_ASEQ,0)),"")</f>
        <v/>
      </c>
      <c r="V303" s="162">
        <f>IFERROR(""&amp;INDEX(tk_CHECK,MATCH(297,tk_ASEQ,0)),"")</f>
        <v/>
      </c>
      <c r="W303" s="162">
        <f>IFERROR(TRIM(INDEX(tk_DNOTES,MATCH(297,tk_ASEQ,0))&amp;" "&amp;INDEX(tk_FNOTES,MATCH(297,tk_ASEQ,0))),"")</f>
        <v/>
      </c>
    </row>
    <row r="304">
      <c r="A304" s="161">
        <f>IFERROR(""&amp;INDEX(tk_MARK,MATCH(298,tk_ASEQ,0)),"")</f>
        <v/>
      </c>
      <c r="B304" s="162">
        <f>IFERROR(""&amp;INDEX(tk_ROOMF,MATCH(298,tk_ASEQ,0)),"")</f>
        <v/>
      </c>
      <c r="C304" s="162">
        <f>IFERROR(""&amp;INDEX(tk_ROOMT,MATCH(298,tk_ASEQ,0)),"")</f>
        <v/>
      </c>
      <c r="D304" s="162">
        <f>IFERROR(INDEX(tk_QTY,MATCH(298,tk_ASEQ,0)),"")</f>
        <v/>
      </c>
      <c r="E304" s="162">
        <f>IFERROR(""&amp;INDEX(tk_SIZE,MATCH(298,tk_ASEQ,0)),"")</f>
        <v/>
      </c>
      <c r="F304" s="162">
        <f>IFERROR(""&amp;INDEX(tk_PAIR,MATCH(298,tk_ASEQ,0)),"")</f>
        <v/>
      </c>
      <c r="G304" s="162">
        <f>IFERROR(""&amp;INDEX(tk_DMAT,MATCH(298,tk_ASEQ,0)),"")</f>
        <v/>
      </c>
      <c r="H304" s="162">
        <f>IFERROR(""&amp;INDEX(tk_DGA,MATCH(298,tk_ASEQ,0)),"")</f>
        <v/>
      </c>
      <c r="I304" s="162">
        <f>IFERROR(""&amp;INDEX(tk_FACE,MATCH(298,tk_ASEQ,0)),"")</f>
        <v/>
      </c>
      <c r="J304" s="162">
        <f>IFERROR(IF(INDEX(tk_DHAND,MATCH(298,tk_ASEQ,0))="",""&amp;INDEX(tk_HAND,MATCH(298,tk_ASEQ,0)),""&amp;INDEX(tk_DHAND,MATCH(298,tk_ASEQ,0))),"")</f>
        <v/>
      </c>
      <c r="K304" s="162">
        <f>IFERROR(""&amp;INDEX(tk_FDESC,MATCH(298,tk_ASEQ,0)),"")</f>
        <v/>
      </c>
      <c r="L304" s="162">
        <f>IFERROR(INDEX(tk_STEEL,MATCH(298,tk_ASEQ,0))&amp;IF(INDEX(tk_FGA,MATCH(298,tk_ASEQ,0))="",""," "&amp;INDEX(tk_FGA,MATCH(298,tk_ASEQ,0))&amp;"GA"),"")</f>
        <v/>
      </c>
      <c r="M304" s="162">
        <f>IFERROR(IFERROR(VLOOKUP(INDEX(tk_JAMB,MATCH(298,tk_ASEQ,0)),CODES,2,FALSE),""&amp;INDEX(tk_JAMB,MATCH(298,tk_ASEQ,0))),"")</f>
        <v/>
      </c>
      <c r="N304" s="162">
        <f>IFERROR(""&amp;INDEX(tk_CONSTR,MATCH(298,tk_ASEQ,0)),"")</f>
        <v/>
      </c>
      <c r="O304" s="162">
        <f>IFERROR(""&amp;INDEX(tk_ANCHOR,MATCH(298,tk_ASEQ,0)),"")</f>
        <v/>
      </c>
      <c r="P304" s="162">
        <f>IFERROR(""&amp;INDEX(tk_RATING,MATCH(298,tk_ASEQ,0)),"")</f>
        <v/>
      </c>
      <c r="Q304" s="162">
        <f>IFERROR(""&amp;INDEX(tk_LABEL,MATCH(298,tk_ASEQ,0)),"")</f>
        <v/>
      </c>
      <c r="R304" s="162">
        <f>IFERROR(""&amp;INDEX(tk_HWSET,MATCH(298,tk_ASEQ,0)),"")</f>
        <v/>
      </c>
      <c r="S304" s="162">
        <f>IFERROR(IF(""&amp;INDEX(tk_HINGES,MATCH(298,tk_ASEQ,0))="","",INDEX(tk_HINGES,MATCH(298,tk_ASEQ,0))&amp;" · "&amp;INDEX(tk_LSRC,MATCH(298,tk_ASEQ,0))),"")</f>
        <v/>
      </c>
      <c r="T304" s="162">
        <f>IFERROR(""&amp;INDEX(tk_LOCK,MATCH(298,tk_ASEQ,0)),"")</f>
        <v/>
      </c>
      <c r="U304" s="162">
        <f>IFERROR(INDEX(tk_ETYPE,MATCH(298,tk_ASEQ,0)),"")</f>
        <v/>
      </c>
      <c r="V304" s="162">
        <f>IFERROR(""&amp;INDEX(tk_CHECK,MATCH(298,tk_ASEQ,0)),"")</f>
        <v/>
      </c>
      <c r="W304" s="162">
        <f>IFERROR(TRIM(INDEX(tk_DNOTES,MATCH(298,tk_ASEQ,0))&amp;" "&amp;INDEX(tk_FNOTES,MATCH(298,tk_ASEQ,0))),"")</f>
        <v/>
      </c>
    </row>
    <row r="305">
      <c r="A305" s="161">
        <f>IFERROR(""&amp;INDEX(tk_MARK,MATCH(299,tk_ASEQ,0)),"")</f>
        <v/>
      </c>
      <c r="B305" s="162">
        <f>IFERROR(""&amp;INDEX(tk_ROOMF,MATCH(299,tk_ASEQ,0)),"")</f>
        <v/>
      </c>
      <c r="C305" s="162">
        <f>IFERROR(""&amp;INDEX(tk_ROOMT,MATCH(299,tk_ASEQ,0)),"")</f>
        <v/>
      </c>
      <c r="D305" s="162">
        <f>IFERROR(INDEX(tk_QTY,MATCH(299,tk_ASEQ,0)),"")</f>
        <v/>
      </c>
      <c r="E305" s="162">
        <f>IFERROR(""&amp;INDEX(tk_SIZE,MATCH(299,tk_ASEQ,0)),"")</f>
        <v/>
      </c>
      <c r="F305" s="162">
        <f>IFERROR(""&amp;INDEX(tk_PAIR,MATCH(299,tk_ASEQ,0)),"")</f>
        <v/>
      </c>
      <c r="G305" s="162">
        <f>IFERROR(""&amp;INDEX(tk_DMAT,MATCH(299,tk_ASEQ,0)),"")</f>
        <v/>
      </c>
      <c r="H305" s="162">
        <f>IFERROR(""&amp;INDEX(tk_DGA,MATCH(299,tk_ASEQ,0)),"")</f>
        <v/>
      </c>
      <c r="I305" s="162">
        <f>IFERROR(""&amp;INDEX(tk_FACE,MATCH(299,tk_ASEQ,0)),"")</f>
        <v/>
      </c>
      <c r="J305" s="162">
        <f>IFERROR(IF(INDEX(tk_DHAND,MATCH(299,tk_ASEQ,0))="",""&amp;INDEX(tk_HAND,MATCH(299,tk_ASEQ,0)),""&amp;INDEX(tk_DHAND,MATCH(299,tk_ASEQ,0))),"")</f>
        <v/>
      </c>
      <c r="K305" s="162">
        <f>IFERROR(""&amp;INDEX(tk_FDESC,MATCH(299,tk_ASEQ,0)),"")</f>
        <v/>
      </c>
      <c r="L305" s="162">
        <f>IFERROR(INDEX(tk_STEEL,MATCH(299,tk_ASEQ,0))&amp;IF(INDEX(tk_FGA,MATCH(299,tk_ASEQ,0))="",""," "&amp;INDEX(tk_FGA,MATCH(299,tk_ASEQ,0))&amp;"GA"),"")</f>
        <v/>
      </c>
      <c r="M305" s="162">
        <f>IFERROR(IFERROR(VLOOKUP(INDEX(tk_JAMB,MATCH(299,tk_ASEQ,0)),CODES,2,FALSE),""&amp;INDEX(tk_JAMB,MATCH(299,tk_ASEQ,0))),"")</f>
        <v/>
      </c>
      <c r="N305" s="162">
        <f>IFERROR(""&amp;INDEX(tk_CONSTR,MATCH(299,tk_ASEQ,0)),"")</f>
        <v/>
      </c>
      <c r="O305" s="162">
        <f>IFERROR(""&amp;INDEX(tk_ANCHOR,MATCH(299,tk_ASEQ,0)),"")</f>
        <v/>
      </c>
      <c r="P305" s="162">
        <f>IFERROR(""&amp;INDEX(tk_RATING,MATCH(299,tk_ASEQ,0)),"")</f>
        <v/>
      </c>
      <c r="Q305" s="162">
        <f>IFERROR(""&amp;INDEX(tk_LABEL,MATCH(299,tk_ASEQ,0)),"")</f>
        <v/>
      </c>
      <c r="R305" s="162">
        <f>IFERROR(""&amp;INDEX(tk_HWSET,MATCH(299,tk_ASEQ,0)),"")</f>
        <v/>
      </c>
      <c r="S305" s="162">
        <f>IFERROR(IF(""&amp;INDEX(tk_HINGES,MATCH(299,tk_ASEQ,0))="","",INDEX(tk_HINGES,MATCH(299,tk_ASEQ,0))&amp;" · "&amp;INDEX(tk_LSRC,MATCH(299,tk_ASEQ,0))),"")</f>
        <v/>
      </c>
      <c r="T305" s="162">
        <f>IFERROR(""&amp;INDEX(tk_LOCK,MATCH(299,tk_ASEQ,0)),"")</f>
        <v/>
      </c>
      <c r="U305" s="162">
        <f>IFERROR(INDEX(tk_ETYPE,MATCH(299,tk_ASEQ,0)),"")</f>
        <v/>
      </c>
      <c r="V305" s="162">
        <f>IFERROR(""&amp;INDEX(tk_CHECK,MATCH(299,tk_ASEQ,0)),"")</f>
        <v/>
      </c>
      <c r="W305" s="162">
        <f>IFERROR(TRIM(INDEX(tk_DNOTES,MATCH(299,tk_ASEQ,0))&amp;" "&amp;INDEX(tk_FNOTES,MATCH(299,tk_ASEQ,0))),"")</f>
        <v/>
      </c>
    </row>
    <row r="306">
      <c r="A306" s="161">
        <f>IFERROR(""&amp;INDEX(tk_MARK,MATCH(300,tk_ASEQ,0)),"")</f>
        <v/>
      </c>
      <c r="B306" s="162">
        <f>IFERROR(""&amp;INDEX(tk_ROOMF,MATCH(300,tk_ASEQ,0)),"")</f>
        <v/>
      </c>
      <c r="C306" s="162">
        <f>IFERROR(""&amp;INDEX(tk_ROOMT,MATCH(300,tk_ASEQ,0)),"")</f>
        <v/>
      </c>
      <c r="D306" s="162">
        <f>IFERROR(INDEX(tk_QTY,MATCH(300,tk_ASEQ,0)),"")</f>
        <v/>
      </c>
      <c r="E306" s="162">
        <f>IFERROR(""&amp;INDEX(tk_SIZE,MATCH(300,tk_ASEQ,0)),"")</f>
        <v/>
      </c>
      <c r="F306" s="162">
        <f>IFERROR(""&amp;INDEX(tk_PAIR,MATCH(300,tk_ASEQ,0)),"")</f>
        <v/>
      </c>
      <c r="G306" s="162">
        <f>IFERROR(""&amp;INDEX(tk_DMAT,MATCH(300,tk_ASEQ,0)),"")</f>
        <v/>
      </c>
      <c r="H306" s="162">
        <f>IFERROR(""&amp;INDEX(tk_DGA,MATCH(300,tk_ASEQ,0)),"")</f>
        <v/>
      </c>
      <c r="I306" s="162">
        <f>IFERROR(""&amp;INDEX(tk_FACE,MATCH(300,tk_ASEQ,0)),"")</f>
        <v/>
      </c>
      <c r="J306" s="162">
        <f>IFERROR(IF(INDEX(tk_DHAND,MATCH(300,tk_ASEQ,0))="",""&amp;INDEX(tk_HAND,MATCH(300,tk_ASEQ,0)),""&amp;INDEX(tk_DHAND,MATCH(300,tk_ASEQ,0))),"")</f>
        <v/>
      </c>
      <c r="K306" s="162">
        <f>IFERROR(""&amp;INDEX(tk_FDESC,MATCH(300,tk_ASEQ,0)),"")</f>
        <v/>
      </c>
      <c r="L306" s="162">
        <f>IFERROR(INDEX(tk_STEEL,MATCH(300,tk_ASEQ,0))&amp;IF(INDEX(tk_FGA,MATCH(300,tk_ASEQ,0))="",""," "&amp;INDEX(tk_FGA,MATCH(300,tk_ASEQ,0))&amp;"GA"),"")</f>
        <v/>
      </c>
      <c r="M306" s="162">
        <f>IFERROR(IFERROR(VLOOKUP(INDEX(tk_JAMB,MATCH(300,tk_ASEQ,0)),CODES,2,FALSE),""&amp;INDEX(tk_JAMB,MATCH(300,tk_ASEQ,0))),"")</f>
        <v/>
      </c>
      <c r="N306" s="162">
        <f>IFERROR(""&amp;INDEX(tk_CONSTR,MATCH(300,tk_ASEQ,0)),"")</f>
        <v/>
      </c>
      <c r="O306" s="162">
        <f>IFERROR(""&amp;INDEX(tk_ANCHOR,MATCH(300,tk_ASEQ,0)),"")</f>
        <v/>
      </c>
      <c r="P306" s="162">
        <f>IFERROR(""&amp;INDEX(tk_RATING,MATCH(300,tk_ASEQ,0)),"")</f>
        <v/>
      </c>
      <c r="Q306" s="162">
        <f>IFERROR(""&amp;INDEX(tk_LABEL,MATCH(300,tk_ASEQ,0)),"")</f>
        <v/>
      </c>
      <c r="R306" s="162">
        <f>IFERROR(""&amp;INDEX(tk_HWSET,MATCH(300,tk_ASEQ,0)),"")</f>
        <v/>
      </c>
      <c r="S306" s="162">
        <f>IFERROR(IF(""&amp;INDEX(tk_HINGES,MATCH(300,tk_ASEQ,0))="","",INDEX(tk_HINGES,MATCH(300,tk_ASEQ,0))&amp;" · "&amp;INDEX(tk_LSRC,MATCH(300,tk_ASEQ,0))),"")</f>
        <v/>
      </c>
      <c r="T306" s="162">
        <f>IFERROR(""&amp;INDEX(tk_LOCK,MATCH(300,tk_ASEQ,0)),"")</f>
        <v/>
      </c>
      <c r="U306" s="162">
        <f>IFERROR(INDEX(tk_ETYPE,MATCH(300,tk_ASEQ,0)),"")</f>
        <v/>
      </c>
      <c r="V306" s="162">
        <f>IFERROR(""&amp;INDEX(tk_CHECK,MATCH(300,tk_ASEQ,0)),"")</f>
        <v/>
      </c>
      <c r="W306" s="162">
        <f>IFERROR(TRIM(INDEX(tk_DNOTES,MATCH(300,tk_ASEQ,0))&amp;" "&amp;INDEX(tk_FNOTES,MATCH(300,tk_ASEQ,0))),"")</f>
        <v/>
      </c>
    </row>
    <row r="307">
      <c r="A307" s="161">
        <f>IFERROR(""&amp;INDEX(tk_MARK,MATCH(301,tk_ASEQ,0)),"")</f>
        <v/>
      </c>
      <c r="B307" s="162">
        <f>IFERROR(""&amp;INDEX(tk_ROOMF,MATCH(301,tk_ASEQ,0)),"")</f>
        <v/>
      </c>
      <c r="C307" s="162">
        <f>IFERROR(""&amp;INDEX(tk_ROOMT,MATCH(301,tk_ASEQ,0)),"")</f>
        <v/>
      </c>
      <c r="D307" s="162">
        <f>IFERROR(INDEX(tk_QTY,MATCH(301,tk_ASEQ,0)),"")</f>
        <v/>
      </c>
      <c r="E307" s="162">
        <f>IFERROR(""&amp;INDEX(tk_SIZE,MATCH(301,tk_ASEQ,0)),"")</f>
        <v/>
      </c>
      <c r="F307" s="162">
        <f>IFERROR(""&amp;INDEX(tk_PAIR,MATCH(301,tk_ASEQ,0)),"")</f>
        <v/>
      </c>
      <c r="G307" s="162">
        <f>IFERROR(""&amp;INDEX(tk_DMAT,MATCH(301,tk_ASEQ,0)),"")</f>
        <v/>
      </c>
      <c r="H307" s="162">
        <f>IFERROR(""&amp;INDEX(tk_DGA,MATCH(301,tk_ASEQ,0)),"")</f>
        <v/>
      </c>
      <c r="I307" s="162">
        <f>IFERROR(""&amp;INDEX(tk_FACE,MATCH(301,tk_ASEQ,0)),"")</f>
        <v/>
      </c>
      <c r="J307" s="162">
        <f>IFERROR(IF(INDEX(tk_DHAND,MATCH(301,tk_ASEQ,0))="",""&amp;INDEX(tk_HAND,MATCH(301,tk_ASEQ,0)),""&amp;INDEX(tk_DHAND,MATCH(301,tk_ASEQ,0))),"")</f>
        <v/>
      </c>
      <c r="K307" s="162">
        <f>IFERROR(""&amp;INDEX(tk_FDESC,MATCH(301,tk_ASEQ,0)),"")</f>
        <v/>
      </c>
      <c r="L307" s="162">
        <f>IFERROR(INDEX(tk_STEEL,MATCH(301,tk_ASEQ,0))&amp;IF(INDEX(tk_FGA,MATCH(301,tk_ASEQ,0))="",""," "&amp;INDEX(tk_FGA,MATCH(301,tk_ASEQ,0))&amp;"GA"),"")</f>
        <v/>
      </c>
      <c r="M307" s="162">
        <f>IFERROR(IFERROR(VLOOKUP(INDEX(tk_JAMB,MATCH(301,tk_ASEQ,0)),CODES,2,FALSE),""&amp;INDEX(tk_JAMB,MATCH(301,tk_ASEQ,0))),"")</f>
        <v/>
      </c>
      <c r="N307" s="162">
        <f>IFERROR(""&amp;INDEX(tk_CONSTR,MATCH(301,tk_ASEQ,0)),"")</f>
        <v/>
      </c>
      <c r="O307" s="162">
        <f>IFERROR(""&amp;INDEX(tk_ANCHOR,MATCH(301,tk_ASEQ,0)),"")</f>
        <v/>
      </c>
      <c r="P307" s="162">
        <f>IFERROR(""&amp;INDEX(tk_RATING,MATCH(301,tk_ASEQ,0)),"")</f>
        <v/>
      </c>
      <c r="Q307" s="162">
        <f>IFERROR(""&amp;INDEX(tk_LABEL,MATCH(301,tk_ASEQ,0)),"")</f>
        <v/>
      </c>
      <c r="R307" s="162">
        <f>IFERROR(""&amp;INDEX(tk_HWSET,MATCH(301,tk_ASEQ,0)),"")</f>
        <v/>
      </c>
      <c r="S307" s="162">
        <f>IFERROR(IF(""&amp;INDEX(tk_HINGES,MATCH(301,tk_ASEQ,0))="","",INDEX(tk_HINGES,MATCH(301,tk_ASEQ,0))&amp;" · "&amp;INDEX(tk_LSRC,MATCH(301,tk_ASEQ,0))),"")</f>
        <v/>
      </c>
      <c r="T307" s="162">
        <f>IFERROR(""&amp;INDEX(tk_LOCK,MATCH(301,tk_ASEQ,0)),"")</f>
        <v/>
      </c>
      <c r="U307" s="162">
        <f>IFERROR(INDEX(tk_ETYPE,MATCH(301,tk_ASEQ,0)),"")</f>
        <v/>
      </c>
      <c r="V307" s="162">
        <f>IFERROR(""&amp;INDEX(tk_CHECK,MATCH(301,tk_ASEQ,0)),"")</f>
        <v/>
      </c>
      <c r="W307" s="162">
        <f>IFERROR(TRIM(INDEX(tk_DNOTES,MATCH(301,tk_ASEQ,0))&amp;" "&amp;INDEX(tk_FNOTES,MATCH(301,tk_ASEQ,0))),"")</f>
        <v/>
      </c>
    </row>
    <row r="308">
      <c r="A308" s="161">
        <f>IFERROR(""&amp;INDEX(tk_MARK,MATCH(302,tk_ASEQ,0)),"")</f>
        <v/>
      </c>
      <c r="B308" s="162">
        <f>IFERROR(""&amp;INDEX(tk_ROOMF,MATCH(302,tk_ASEQ,0)),"")</f>
        <v/>
      </c>
      <c r="C308" s="162">
        <f>IFERROR(""&amp;INDEX(tk_ROOMT,MATCH(302,tk_ASEQ,0)),"")</f>
        <v/>
      </c>
      <c r="D308" s="162">
        <f>IFERROR(INDEX(tk_QTY,MATCH(302,tk_ASEQ,0)),"")</f>
        <v/>
      </c>
      <c r="E308" s="162">
        <f>IFERROR(""&amp;INDEX(tk_SIZE,MATCH(302,tk_ASEQ,0)),"")</f>
        <v/>
      </c>
      <c r="F308" s="162">
        <f>IFERROR(""&amp;INDEX(tk_PAIR,MATCH(302,tk_ASEQ,0)),"")</f>
        <v/>
      </c>
      <c r="G308" s="162">
        <f>IFERROR(""&amp;INDEX(tk_DMAT,MATCH(302,tk_ASEQ,0)),"")</f>
        <v/>
      </c>
      <c r="H308" s="162">
        <f>IFERROR(""&amp;INDEX(tk_DGA,MATCH(302,tk_ASEQ,0)),"")</f>
        <v/>
      </c>
      <c r="I308" s="162">
        <f>IFERROR(""&amp;INDEX(tk_FACE,MATCH(302,tk_ASEQ,0)),"")</f>
        <v/>
      </c>
      <c r="J308" s="162">
        <f>IFERROR(IF(INDEX(tk_DHAND,MATCH(302,tk_ASEQ,0))="",""&amp;INDEX(tk_HAND,MATCH(302,tk_ASEQ,0)),""&amp;INDEX(tk_DHAND,MATCH(302,tk_ASEQ,0))),"")</f>
        <v/>
      </c>
      <c r="K308" s="162">
        <f>IFERROR(""&amp;INDEX(tk_FDESC,MATCH(302,tk_ASEQ,0)),"")</f>
        <v/>
      </c>
      <c r="L308" s="162">
        <f>IFERROR(INDEX(tk_STEEL,MATCH(302,tk_ASEQ,0))&amp;IF(INDEX(tk_FGA,MATCH(302,tk_ASEQ,0))="",""," "&amp;INDEX(tk_FGA,MATCH(302,tk_ASEQ,0))&amp;"GA"),"")</f>
        <v/>
      </c>
      <c r="M308" s="162">
        <f>IFERROR(IFERROR(VLOOKUP(INDEX(tk_JAMB,MATCH(302,tk_ASEQ,0)),CODES,2,FALSE),""&amp;INDEX(tk_JAMB,MATCH(302,tk_ASEQ,0))),"")</f>
        <v/>
      </c>
      <c r="N308" s="162">
        <f>IFERROR(""&amp;INDEX(tk_CONSTR,MATCH(302,tk_ASEQ,0)),"")</f>
        <v/>
      </c>
      <c r="O308" s="162">
        <f>IFERROR(""&amp;INDEX(tk_ANCHOR,MATCH(302,tk_ASEQ,0)),"")</f>
        <v/>
      </c>
      <c r="P308" s="162">
        <f>IFERROR(""&amp;INDEX(tk_RATING,MATCH(302,tk_ASEQ,0)),"")</f>
        <v/>
      </c>
      <c r="Q308" s="162">
        <f>IFERROR(""&amp;INDEX(tk_LABEL,MATCH(302,tk_ASEQ,0)),"")</f>
        <v/>
      </c>
      <c r="R308" s="162">
        <f>IFERROR(""&amp;INDEX(tk_HWSET,MATCH(302,tk_ASEQ,0)),"")</f>
        <v/>
      </c>
      <c r="S308" s="162">
        <f>IFERROR(IF(""&amp;INDEX(tk_HINGES,MATCH(302,tk_ASEQ,0))="","",INDEX(tk_HINGES,MATCH(302,tk_ASEQ,0))&amp;" · "&amp;INDEX(tk_LSRC,MATCH(302,tk_ASEQ,0))),"")</f>
        <v/>
      </c>
      <c r="T308" s="162">
        <f>IFERROR(""&amp;INDEX(tk_LOCK,MATCH(302,tk_ASEQ,0)),"")</f>
        <v/>
      </c>
      <c r="U308" s="162">
        <f>IFERROR(INDEX(tk_ETYPE,MATCH(302,tk_ASEQ,0)),"")</f>
        <v/>
      </c>
      <c r="V308" s="162">
        <f>IFERROR(""&amp;INDEX(tk_CHECK,MATCH(302,tk_ASEQ,0)),"")</f>
        <v/>
      </c>
      <c r="W308" s="162">
        <f>IFERROR(TRIM(INDEX(tk_DNOTES,MATCH(302,tk_ASEQ,0))&amp;" "&amp;INDEX(tk_FNOTES,MATCH(302,tk_ASEQ,0))),"")</f>
        <v/>
      </c>
    </row>
    <row r="309">
      <c r="A309" s="161">
        <f>IFERROR(""&amp;INDEX(tk_MARK,MATCH(303,tk_ASEQ,0)),"")</f>
        <v/>
      </c>
      <c r="B309" s="162">
        <f>IFERROR(""&amp;INDEX(tk_ROOMF,MATCH(303,tk_ASEQ,0)),"")</f>
        <v/>
      </c>
      <c r="C309" s="162">
        <f>IFERROR(""&amp;INDEX(tk_ROOMT,MATCH(303,tk_ASEQ,0)),"")</f>
        <v/>
      </c>
      <c r="D309" s="162">
        <f>IFERROR(INDEX(tk_QTY,MATCH(303,tk_ASEQ,0)),"")</f>
        <v/>
      </c>
      <c r="E309" s="162">
        <f>IFERROR(""&amp;INDEX(tk_SIZE,MATCH(303,tk_ASEQ,0)),"")</f>
        <v/>
      </c>
      <c r="F309" s="162">
        <f>IFERROR(""&amp;INDEX(tk_PAIR,MATCH(303,tk_ASEQ,0)),"")</f>
        <v/>
      </c>
      <c r="G309" s="162">
        <f>IFERROR(""&amp;INDEX(tk_DMAT,MATCH(303,tk_ASEQ,0)),"")</f>
        <v/>
      </c>
      <c r="H309" s="162">
        <f>IFERROR(""&amp;INDEX(tk_DGA,MATCH(303,tk_ASEQ,0)),"")</f>
        <v/>
      </c>
      <c r="I309" s="162">
        <f>IFERROR(""&amp;INDEX(tk_FACE,MATCH(303,tk_ASEQ,0)),"")</f>
        <v/>
      </c>
      <c r="J309" s="162">
        <f>IFERROR(IF(INDEX(tk_DHAND,MATCH(303,tk_ASEQ,0))="",""&amp;INDEX(tk_HAND,MATCH(303,tk_ASEQ,0)),""&amp;INDEX(tk_DHAND,MATCH(303,tk_ASEQ,0))),"")</f>
        <v/>
      </c>
      <c r="K309" s="162">
        <f>IFERROR(""&amp;INDEX(tk_FDESC,MATCH(303,tk_ASEQ,0)),"")</f>
        <v/>
      </c>
      <c r="L309" s="162">
        <f>IFERROR(INDEX(tk_STEEL,MATCH(303,tk_ASEQ,0))&amp;IF(INDEX(tk_FGA,MATCH(303,tk_ASEQ,0))="",""," "&amp;INDEX(tk_FGA,MATCH(303,tk_ASEQ,0))&amp;"GA"),"")</f>
        <v/>
      </c>
      <c r="M309" s="162">
        <f>IFERROR(IFERROR(VLOOKUP(INDEX(tk_JAMB,MATCH(303,tk_ASEQ,0)),CODES,2,FALSE),""&amp;INDEX(tk_JAMB,MATCH(303,tk_ASEQ,0))),"")</f>
        <v/>
      </c>
      <c r="N309" s="162">
        <f>IFERROR(""&amp;INDEX(tk_CONSTR,MATCH(303,tk_ASEQ,0)),"")</f>
        <v/>
      </c>
      <c r="O309" s="162">
        <f>IFERROR(""&amp;INDEX(tk_ANCHOR,MATCH(303,tk_ASEQ,0)),"")</f>
        <v/>
      </c>
      <c r="P309" s="162">
        <f>IFERROR(""&amp;INDEX(tk_RATING,MATCH(303,tk_ASEQ,0)),"")</f>
        <v/>
      </c>
      <c r="Q309" s="162">
        <f>IFERROR(""&amp;INDEX(tk_LABEL,MATCH(303,tk_ASEQ,0)),"")</f>
        <v/>
      </c>
      <c r="R309" s="162">
        <f>IFERROR(""&amp;INDEX(tk_HWSET,MATCH(303,tk_ASEQ,0)),"")</f>
        <v/>
      </c>
      <c r="S309" s="162">
        <f>IFERROR(IF(""&amp;INDEX(tk_HINGES,MATCH(303,tk_ASEQ,0))="","",INDEX(tk_HINGES,MATCH(303,tk_ASEQ,0))&amp;" · "&amp;INDEX(tk_LSRC,MATCH(303,tk_ASEQ,0))),"")</f>
        <v/>
      </c>
      <c r="T309" s="162">
        <f>IFERROR(""&amp;INDEX(tk_LOCK,MATCH(303,tk_ASEQ,0)),"")</f>
        <v/>
      </c>
      <c r="U309" s="162">
        <f>IFERROR(INDEX(tk_ETYPE,MATCH(303,tk_ASEQ,0)),"")</f>
        <v/>
      </c>
      <c r="V309" s="162">
        <f>IFERROR(""&amp;INDEX(tk_CHECK,MATCH(303,tk_ASEQ,0)),"")</f>
        <v/>
      </c>
      <c r="W309" s="162">
        <f>IFERROR(TRIM(INDEX(tk_DNOTES,MATCH(303,tk_ASEQ,0))&amp;" "&amp;INDEX(tk_FNOTES,MATCH(303,tk_ASEQ,0))),"")</f>
        <v/>
      </c>
    </row>
    <row r="310">
      <c r="A310" s="161">
        <f>IFERROR(""&amp;INDEX(tk_MARK,MATCH(304,tk_ASEQ,0)),"")</f>
        <v/>
      </c>
      <c r="B310" s="162">
        <f>IFERROR(""&amp;INDEX(tk_ROOMF,MATCH(304,tk_ASEQ,0)),"")</f>
        <v/>
      </c>
      <c r="C310" s="162">
        <f>IFERROR(""&amp;INDEX(tk_ROOMT,MATCH(304,tk_ASEQ,0)),"")</f>
        <v/>
      </c>
      <c r="D310" s="162">
        <f>IFERROR(INDEX(tk_QTY,MATCH(304,tk_ASEQ,0)),"")</f>
        <v/>
      </c>
      <c r="E310" s="162">
        <f>IFERROR(""&amp;INDEX(tk_SIZE,MATCH(304,tk_ASEQ,0)),"")</f>
        <v/>
      </c>
      <c r="F310" s="162">
        <f>IFERROR(""&amp;INDEX(tk_PAIR,MATCH(304,tk_ASEQ,0)),"")</f>
        <v/>
      </c>
      <c r="G310" s="162">
        <f>IFERROR(""&amp;INDEX(tk_DMAT,MATCH(304,tk_ASEQ,0)),"")</f>
        <v/>
      </c>
      <c r="H310" s="162">
        <f>IFERROR(""&amp;INDEX(tk_DGA,MATCH(304,tk_ASEQ,0)),"")</f>
        <v/>
      </c>
      <c r="I310" s="162">
        <f>IFERROR(""&amp;INDEX(tk_FACE,MATCH(304,tk_ASEQ,0)),"")</f>
        <v/>
      </c>
      <c r="J310" s="162">
        <f>IFERROR(IF(INDEX(tk_DHAND,MATCH(304,tk_ASEQ,0))="",""&amp;INDEX(tk_HAND,MATCH(304,tk_ASEQ,0)),""&amp;INDEX(tk_DHAND,MATCH(304,tk_ASEQ,0))),"")</f>
        <v/>
      </c>
      <c r="K310" s="162">
        <f>IFERROR(""&amp;INDEX(tk_FDESC,MATCH(304,tk_ASEQ,0)),"")</f>
        <v/>
      </c>
      <c r="L310" s="162">
        <f>IFERROR(INDEX(tk_STEEL,MATCH(304,tk_ASEQ,0))&amp;IF(INDEX(tk_FGA,MATCH(304,tk_ASEQ,0))="",""," "&amp;INDEX(tk_FGA,MATCH(304,tk_ASEQ,0))&amp;"GA"),"")</f>
        <v/>
      </c>
      <c r="M310" s="162">
        <f>IFERROR(IFERROR(VLOOKUP(INDEX(tk_JAMB,MATCH(304,tk_ASEQ,0)),CODES,2,FALSE),""&amp;INDEX(tk_JAMB,MATCH(304,tk_ASEQ,0))),"")</f>
        <v/>
      </c>
      <c r="N310" s="162">
        <f>IFERROR(""&amp;INDEX(tk_CONSTR,MATCH(304,tk_ASEQ,0)),"")</f>
        <v/>
      </c>
      <c r="O310" s="162">
        <f>IFERROR(""&amp;INDEX(tk_ANCHOR,MATCH(304,tk_ASEQ,0)),"")</f>
        <v/>
      </c>
      <c r="P310" s="162">
        <f>IFERROR(""&amp;INDEX(tk_RATING,MATCH(304,tk_ASEQ,0)),"")</f>
        <v/>
      </c>
      <c r="Q310" s="162">
        <f>IFERROR(""&amp;INDEX(tk_LABEL,MATCH(304,tk_ASEQ,0)),"")</f>
        <v/>
      </c>
      <c r="R310" s="162">
        <f>IFERROR(""&amp;INDEX(tk_HWSET,MATCH(304,tk_ASEQ,0)),"")</f>
        <v/>
      </c>
      <c r="S310" s="162">
        <f>IFERROR(IF(""&amp;INDEX(tk_HINGES,MATCH(304,tk_ASEQ,0))="","",INDEX(tk_HINGES,MATCH(304,tk_ASEQ,0))&amp;" · "&amp;INDEX(tk_LSRC,MATCH(304,tk_ASEQ,0))),"")</f>
        <v/>
      </c>
      <c r="T310" s="162">
        <f>IFERROR(""&amp;INDEX(tk_LOCK,MATCH(304,tk_ASEQ,0)),"")</f>
        <v/>
      </c>
      <c r="U310" s="162">
        <f>IFERROR(INDEX(tk_ETYPE,MATCH(304,tk_ASEQ,0)),"")</f>
        <v/>
      </c>
      <c r="V310" s="162">
        <f>IFERROR(""&amp;INDEX(tk_CHECK,MATCH(304,tk_ASEQ,0)),"")</f>
        <v/>
      </c>
      <c r="W310" s="162">
        <f>IFERROR(TRIM(INDEX(tk_DNOTES,MATCH(304,tk_ASEQ,0))&amp;" "&amp;INDEX(tk_FNOTES,MATCH(304,tk_ASEQ,0))),"")</f>
        <v/>
      </c>
    </row>
    <row r="311">
      <c r="A311" s="161">
        <f>IFERROR(""&amp;INDEX(tk_MARK,MATCH(305,tk_ASEQ,0)),"")</f>
        <v/>
      </c>
      <c r="B311" s="162">
        <f>IFERROR(""&amp;INDEX(tk_ROOMF,MATCH(305,tk_ASEQ,0)),"")</f>
        <v/>
      </c>
      <c r="C311" s="162">
        <f>IFERROR(""&amp;INDEX(tk_ROOMT,MATCH(305,tk_ASEQ,0)),"")</f>
        <v/>
      </c>
      <c r="D311" s="162">
        <f>IFERROR(INDEX(tk_QTY,MATCH(305,tk_ASEQ,0)),"")</f>
        <v/>
      </c>
      <c r="E311" s="162">
        <f>IFERROR(""&amp;INDEX(tk_SIZE,MATCH(305,tk_ASEQ,0)),"")</f>
        <v/>
      </c>
      <c r="F311" s="162">
        <f>IFERROR(""&amp;INDEX(tk_PAIR,MATCH(305,tk_ASEQ,0)),"")</f>
        <v/>
      </c>
      <c r="G311" s="162">
        <f>IFERROR(""&amp;INDEX(tk_DMAT,MATCH(305,tk_ASEQ,0)),"")</f>
        <v/>
      </c>
      <c r="H311" s="162">
        <f>IFERROR(""&amp;INDEX(tk_DGA,MATCH(305,tk_ASEQ,0)),"")</f>
        <v/>
      </c>
      <c r="I311" s="162">
        <f>IFERROR(""&amp;INDEX(tk_FACE,MATCH(305,tk_ASEQ,0)),"")</f>
        <v/>
      </c>
      <c r="J311" s="162">
        <f>IFERROR(IF(INDEX(tk_DHAND,MATCH(305,tk_ASEQ,0))="",""&amp;INDEX(tk_HAND,MATCH(305,tk_ASEQ,0)),""&amp;INDEX(tk_DHAND,MATCH(305,tk_ASEQ,0))),"")</f>
        <v/>
      </c>
      <c r="K311" s="162">
        <f>IFERROR(""&amp;INDEX(tk_FDESC,MATCH(305,tk_ASEQ,0)),"")</f>
        <v/>
      </c>
      <c r="L311" s="162">
        <f>IFERROR(INDEX(tk_STEEL,MATCH(305,tk_ASEQ,0))&amp;IF(INDEX(tk_FGA,MATCH(305,tk_ASEQ,0))="",""," "&amp;INDEX(tk_FGA,MATCH(305,tk_ASEQ,0))&amp;"GA"),"")</f>
        <v/>
      </c>
      <c r="M311" s="162">
        <f>IFERROR(IFERROR(VLOOKUP(INDEX(tk_JAMB,MATCH(305,tk_ASEQ,0)),CODES,2,FALSE),""&amp;INDEX(tk_JAMB,MATCH(305,tk_ASEQ,0))),"")</f>
        <v/>
      </c>
      <c r="N311" s="162">
        <f>IFERROR(""&amp;INDEX(tk_CONSTR,MATCH(305,tk_ASEQ,0)),"")</f>
        <v/>
      </c>
      <c r="O311" s="162">
        <f>IFERROR(""&amp;INDEX(tk_ANCHOR,MATCH(305,tk_ASEQ,0)),"")</f>
        <v/>
      </c>
      <c r="P311" s="162">
        <f>IFERROR(""&amp;INDEX(tk_RATING,MATCH(305,tk_ASEQ,0)),"")</f>
        <v/>
      </c>
      <c r="Q311" s="162">
        <f>IFERROR(""&amp;INDEX(tk_LABEL,MATCH(305,tk_ASEQ,0)),"")</f>
        <v/>
      </c>
      <c r="R311" s="162">
        <f>IFERROR(""&amp;INDEX(tk_HWSET,MATCH(305,tk_ASEQ,0)),"")</f>
        <v/>
      </c>
      <c r="S311" s="162">
        <f>IFERROR(IF(""&amp;INDEX(tk_HINGES,MATCH(305,tk_ASEQ,0))="","",INDEX(tk_HINGES,MATCH(305,tk_ASEQ,0))&amp;" · "&amp;INDEX(tk_LSRC,MATCH(305,tk_ASEQ,0))),"")</f>
        <v/>
      </c>
      <c r="T311" s="162">
        <f>IFERROR(""&amp;INDEX(tk_LOCK,MATCH(305,tk_ASEQ,0)),"")</f>
        <v/>
      </c>
      <c r="U311" s="162">
        <f>IFERROR(INDEX(tk_ETYPE,MATCH(305,tk_ASEQ,0)),"")</f>
        <v/>
      </c>
      <c r="V311" s="162">
        <f>IFERROR(""&amp;INDEX(tk_CHECK,MATCH(305,tk_ASEQ,0)),"")</f>
        <v/>
      </c>
      <c r="W311" s="162">
        <f>IFERROR(TRIM(INDEX(tk_DNOTES,MATCH(305,tk_ASEQ,0))&amp;" "&amp;INDEX(tk_FNOTES,MATCH(305,tk_ASEQ,0))),"")</f>
        <v/>
      </c>
    </row>
    <row r="312">
      <c r="A312" s="161">
        <f>IFERROR(""&amp;INDEX(tk_MARK,MATCH(306,tk_ASEQ,0)),"")</f>
        <v/>
      </c>
      <c r="B312" s="162">
        <f>IFERROR(""&amp;INDEX(tk_ROOMF,MATCH(306,tk_ASEQ,0)),"")</f>
        <v/>
      </c>
      <c r="C312" s="162">
        <f>IFERROR(""&amp;INDEX(tk_ROOMT,MATCH(306,tk_ASEQ,0)),"")</f>
        <v/>
      </c>
      <c r="D312" s="162">
        <f>IFERROR(INDEX(tk_QTY,MATCH(306,tk_ASEQ,0)),"")</f>
        <v/>
      </c>
      <c r="E312" s="162">
        <f>IFERROR(""&amp;INDEX(tk_SIZE,MATCH(306,tk_ASEQ,0)),"")</f>
        <v/>
      </c>
      <c r="F312" s="162">
        <f>IFERROR(""&amp;INDEX(tk_PAIR,MATCH(306,tk_ASEQ,0)),"")</f>
        <v/>
      </c>
      <c r="G312" s="162">
        <f>IFERROR(""&amp;INDEX(tk_DMAT,MATCH(306,tk_ASEQ,0)),"")</f>
        <v/>
      </c>
      <c r="H312" s="162">
        <f>IFERROR(""&amp;INDEX(tk_DGA,MATCH(306,tk_ASEQ,0)),"")</f>
        <v/>
      </c>
      <c r="I312" s="162">
        <f>IFERROR(""&amp;INDEX(tk_FACE,MATCH(306,tk_ASEQ,0)),"")</f>
        <v/>
      </c>
      <c r="J312" s="162">
        <f>IFERROR(IF(INDEX(tk_DHAND,MATCH(306,tk_ASEQ,0))="",""&amp;INDEX(tk_HAND,MATCH(306,tk_ASEQ,0)),""&amp;INDEX(tk_DHAND,MATCH(306,tk_ASEQ,0))),"")</f>
        <v/>
      </c>
      <c r="K312" s="162">
        <f>IFERROR(""&amp;INDEX(tk_FDESC,MATCH(306,tk_ASEQ,0)),"")</f>
        <v/>
      </c>
      <c r="L312" s="162">
        <f>IFERROR(INDEX(tk_STEEL,MATCH(306,tk_ASEQ,0))&amp;IF(INDEX(tk_FGA,MATCH(306,tk_ASEQ,0))="",""," "&amp;INDEX(tk_FGA,MATCH(306,tk_ASEQ,0))&amp;"GA"),"")</f>
        <v/>
      </c>
      <c r="M312" s="162">
        <f>IFERROR(IFERROR(VLOOKUP(INDEX(tk_JAMB,MATCH(306,tk_ASEQ,0)),CODES,2,FALSE),""&amp;INDEX(tk_JAMB,MATCH(306,tk_ASEQ,0))),"")</f>
        <v/>
      </c>
      <c r="N312" s="162">
        <f>IFERROR(""&amp;INDEX(tk_CONSTR,MATCH(306,tk_ASEQ,0)),"")</f>
        <v/>
      </c>
      <c r="O312" s="162">
        <f>IFERROR(""&amp;INDEX(tk_ANCHOR,MATCH(306,tk_ASEQ,0)),"")</f>
        <v/>
      </c>
      <c r="P312" s="162">
        <f>IFERROR(""&amp;INDEX(tk_RATING,MATCH(306,tk_ASEQ,0)),"")</f>
        <v/>
      </c>
      <c r="Q312" s="162">
        <f>IFERROR(""&amp;INDEX(tk_LABEL,MATCH(306,tk_ASEQ,0)),"")</f>
        <v/>
      </c>
      <c r="R312" s="162">
        <f>IFERROR(""&amp;INDEX(tk_HWSET,MATCH(306,tk_ASEQ,0)),"")</f>
        <v/>
      </c>
      <c r="S312" s="162">
        <f>IFERROR(IF(""&amp;INDEX(tk_HINGES,MATCH(306,tk_ASEQ,0))="","",INDEX(tk_HINGES,MATCH(306,tk_ASEQ,0))&amp;" · "&amp;INDEX(tk_LSRC,MATCH(306,tk_ASEQ,0))),"")</f>
        <v/>
      </c>
      <c r="T312" s="162">
        <f>IFERROR(""&amp;INDEX(tk_LOCK,MATCH(306,tk_ASEQ,0)),"")</f>
        <v/>
      </c>
      <c r="U312" s="162">
        <f>IFERROR(INDEX(tk_ETYPE,MATCH(306,tk_ASEQ,0)),"")</f>
        <v/>
      </c>
      <c r="V312" s="162">
        <f>IFERROR(""&amp;INDEX(tk_CHECK,MATCH(306,tk_ASEQ,0)),"")</f>
        <v/>
      </c>
      <c r="W312" s="162">
        <f>IFERROR(TRIM(INDEX(tk_DNOTES,MATCH(306,tk_ASEQ,0))&amp;" "&amp;INDEX(tk_FNOTES,MATCH(306,tk_ASEQ,0))),"")</f>
        <v/>
      </c>
    </row>
    <row r="313">
      <c r="A313" s="161">
        <f>IFERROR(""&amp;INDEX(tk_MARK,MATCH(307,tk_ASEQ,0)),"")</f>
        <v/>
      </c>
      <c r="B313" s="162">
        <f>IFERROR(""&amp;INDEX(tk_ROOMF,MATCH(307,tk_ASEQ,0)),"")</f>
        <v/>
      </c>
      <c r="C313" s="162">
        <f>IFERROR(""&amp;INDEX(tk_ROOMT,MATCH(307,tk_ASEQ,0)),"")</f>
        <v/>
      </c>
      <c r="D313" s="162">
        <f>IFERROR(INDEX(tk_QTY,MATCH(307,tk_ASEQ,0)),"")</f>
        <v/>
      </c>
      <c r="E313" s="162">
        <f>IFERROR(""&amp;INDEX(tk_SIZE,MATCH(307,tk_ASEQ,0)),"")</f>
        <v/>
      </c>
      <c r="F313" s="162">
        <f>IFERROR(""&amp;INDEX(tk_PAIR,MATCH(307,tk_ASEQ,0)),"")</f>
        <v/>
      </c>
      <c r="G313" s="162">
        <f>IFERROR(""&amp;INDEX(tk_DMAT,MATCH(307,tk_ASEQ,0)),"")</f>
        <v/>
      </c>
      <c r="H313" s="162">
        <f>IFERROR(""&amp;INDEX(tk_DGA,MATCH(307,tk_ASEQ,0)),"")</f>
        <v/>
      </c>
      <c r="I313" s="162">
        <f>IFERROR(""&amp;INDEX(tk_FACE,MATCH(307,tk_ASEQ,0)),"")</f>
        <v/>
      </c>
      <c r="J313" s="162">
        <f>IFERROR(IF(INDEX(tk_DHAND,MATCH(307,tk_ASEQ,0))="",""&amp;INDEX(tk_HAND,MATCH(307,tk_ASEQ,0)),""&amp;INDEX(tk_DHAND,MATCH(307,tk_ASEQ,0))),"")</f>
        <v/>
      </c>
      <c r="K313" s="162">
        <f>IFERROR(""&amp;INDEX(tk_FDESC,MATCH(307,tk_ASEQ,0)),"")</f>
        <v/>
      </c>
      <c r="L313" s="162">
        <f>IFERROR(INDEX(tk_STEEL,MATCH(307,tk_ASEQ,0))&amp;IF(INDEX(tk_FGA,MATCH(307,tk_ASEQ,0))="",""," "&amp;INDEX(tk_FGA,MATCH(307,tk_ASEQ,0))&amp;"GA"),"")</f>
        <v/>
      </c>
      <c r="M313" s="162">
        <f>IFERROR(IFERROR(VLOOKUP(INDEX(tk_JAMB,MATCH(307,tk_ASEQ,0)),CODES,2,FALSE),""&amp;INDEX(tk_JAMB,MATCH(307,tk_ASEQ,0))),"")</f>
        <v/>
      </c>
      <c r="N313" s="162">
        <f>IFERROR(""&amp;INDEX(tk_CONSTR,MATCH(307,tk_ASEQ,0)),"")</f>
        <v/>
      </c>
      <c r="O313" s="162">
        <f>IFERROR(""&amp;INDEX(tk_ANCHOR,MATCH(307,tk_ASEQ,0)),"")</f>
        <v/>
      </c>
      <c r="P313" s="162">
        <f>IFERROR(""&amp;INDEX(tk_RATING,MATCH(307,tk_ASEQ,0)),"")</f>
        <v/>
      </c>
      <c r="Q313" s="162">
        <f>IFERROR(""&amp;INDEX(tk_LABEL,MATCH(307,tk_ASEQ,0)),"")</f>
        <v/>
      </c>
      <c r="R313" s="162">
        <f>IFERROR(""&amp;INDEX(tk_HWSET,MATCH(307,tk_ASEQ,0)),"")</f>
        <v/>
      </c>
      <c r="S313" s="162">
        <f>IFERROR(IF(""&amp;INDEX(tk_HINGES,MATCH(307,tk_ASEQ,0))="","",INDEX(tk_HINGES,MATCH(307,tk_ASEQ,0))&amp;" · "&amp;INDEX(tk_LSRC,MATCH(307,tk_ASEQ,0))),"")</f>
        <v/>
      </c>
      <c r="T313" s="162">
        <f>IFERROR(""&amp;INDEX(tk_LOCK,MATCH(307,tk_ASEQ,0)),"")</f>
        <v/>
      </c>
      <c r="U313" s="162">
        <f>IFERROR(INDEX(tk_ETYPE,MATCH(307,tk_ASEQ,0)),"")</f>
        <v/>
      </c>
      <c r="V313" s="162">
        <f>IFERROR(""&amp;INDEX(tk_CHECK,MATCH(307,tk_ASEQ,0)),"")</f>
        <v/>
      </c>
      <c r="W313" s="162">
        <f>IFERROR(TRIM(INDEX(tk_DNOTES,MATCH(307,tk_ASEQ,0))&amp;" "&amp;INDEX(tk_FNOTES,MATCH(307,tk_ASEQ,0))),"")</f>
        <v/>
      </c>
    </row>
    <row r="314">
      <c r="A314" s="161">
        <f>IFERROR(""&amp;INDEX(tk_MARK,MATCH(308,tk_ASEQ,0)),"")</f>
        <v/>
      </c>
      <c r="B314" s="162">
        <f>IFERROR(""&amp;INDEX(tk_ROOMF,MATCH(308,tk_ASEQ,0)),"")</f>
        <v/>
      </c>
      <c r="C314" s="162">
        <f>IFERROR(""&amp;INDEX(tk_ROOMT,MATCH(308,tk_ASEQ,0)),"")</f>
        <v/>
      </c>
      <c r="D314" s="162">
        <f>IFERROR(INDEX(tk_QTY,MATCH(308,tk_ASEQ,0)),"")</f>
        <v/>
      </c>
      <c r="E314" s="162">
        <f>IFERROR(""&amp;INDEX(tk_SIZE,MATCH(308,tk_ASEQ,0)),"")</f>
        <v/>
      </c>
      <c r="F314" s="162">
        <f>IFERROR(""&amp;INDEX(tk_PAIR,MATCH(308,tk_ASEQ,0)),"")</f>
        <v/>
      </c>
      <c r="G314" s="162">
        <f>IFERROR(""&amp;INDEX(tk_DMAT,MATCH(308,tk_ASEQ,0)),"")</f>
        <v/>
      </c>
      <c r="H314" s="162">
        <f>IFERROR(""&amp;INDEX(tk_DGA,MATCH(308,tk_ASEQ,0)),"")</f>
        <v/>
      </c>
      <c r="I314" s="162">
        <f>IFERROR(""&amp;INDEX(tk_FACE,MATCH(308,tk_ASEQ,0)),"")</f>
        <v/>
      </c>
      <c r="J314" s="162">
        <f>IFERROR(IF(INDEX(tk_DHAND,MATCH(308,tk_ASEQ,0))="",""&amp;INDEX(tk_HAND,MATCH(308,tk_ASEQ,0)),""&amp;INDEX(tk_DHAND,MATCH(308,tk_ASEQ,0))),"")</f>
        <v/>
      </c>
      <c r="K314" s="162">
        <f>IFERROR(""&amp;INDEX(tk_FDESC,MATCH(308,tk_ASEQ,0)),"")</f>
        <v/>
      </c>
      <c r="L314" s="162">
        <f>IFERROR(INDEX(tk_STEEL,MATCH(308,tk_ASEQ,0))&amp;IF(INDEX(tk_FGA,MATCH(308,tk_ASEQ,0))="",""," "&amp;INDEX(tk_FGA,MATCH(308,tk_ASEQ,0))&amp;"GA"),"")</f>
        <v/>
      </c>
      <c r="M314" s="162">
        <f>IFERROR(IFERROR(VLOOKUP(INDEX(tk_JAMB,MATCH(308,tk_ASEQ,0)),CODES,2,FALSE),""&amp;INDEX(tk_JAMB,MATCH(308,tk_ASEQ,0))),"")</f>
        <v/>
      </c>
      <c r="N314" s="162">
        <f>IFERROR(""&amp;INDEX(tk_CONSTR,MATCH(308,tk_ASEQ,0)),"")</f>
        <v/>
      </c>
      <c r="O314" s="162">
        <f>IFERROR(""&amp;INDEX(tk_ANCHOR,MATCH(308,tk_ASEQ,0)),"")</f>
        <v/>
      </c>
      <c r="P314" s="162">
        <f>IFERROR(""&amp;INDEX(tk_RATING,MATCH(308,tk_ASEQ,0)),"")</f>
        <v/>
      </c>
      <c r="Q314" s="162">
        <f>IFERROR(""&amp;INDEX(tk_LABEL,MATCH(308,tk_ASEQ,0)),"")</f>
        <v/>
      </c>
      <c r="R314" s="162">
        <f>IFERROR(""&amp;INDEX(tk_HWSET,MATCH(308,tk_ASEQ,0)),"")</f>
        <v/>
      </c>
      <c r="S314" s="162">
        <f>IFERROR(IF(""&amp;INDEX(tk_HINGES,MATCH(308,tk_ASEQ,0))="","",INDEX(tk_HINGES,MATCH(308,tk_ASEQ,0))&amp;" · "&amp;INDEX(tk_LSRC,MATCH(308,tk_ASEQ,0))),"")</f>
        <v/>
      </c>
      <c r="T314" s="162">
        <f>IFERROR(""&amp;INDEX(tk_LOCK,MATCH(308,tk_ASEQ,0)),"")</f>
        <v/>
      </c>
      <c r="U314" s="162">
        <f>IFERROR(INDEX(tk_ETYPE,MATCH(308,tk_ASEQ,0)),"")</f>
        <v/>
      </c>
      <c r="V314" s="162">
        <f>IFERROR(""&amp;INDEX(tk_CHECK,MATCH(308,tk_ASEQ,0)),"")</f>
        <v/>
      </c>
      <c r="W314" s="162">
        <f>IFERROR(TRIM(INDEX(tk_DNOTES,MATCH(308,tk_ASEQ,0))&amp;" "&amp;INDEX(tk_FNOTES,MATCH(308,tk_ASEQ,0))),"")</f>
        <v/>
      </c>
    </row>
    <row r="315">
      <c r="A315" s="161">
        <f>IFERROR(""&amp;INDEX(tk_MARK,MATCH(309,tk_ASEQ,0)),"")</f>
        <v/>
      </c>
      <c r="B315" s="162">
        <f>IFERROR(""&amp;INDEX(tk_ROOMF,MATCH(309,tk_ASEQ,0)),"")</f>
        <v/>
      </c>
      <c r="C315" s="162">
        <f>IFERROR(""&amp;INDEX(tk_ROOMT,MATCH(309,tk_ASEQ,0)),"")</f>
        <v/>
      </c>
      <c r="D315" s="162">
        <f>IFERROR(INDEX(tk_QTY,MATCH(309,tk_ASEQ,0)),"")</f>
        <v/>
      </c>
      <c r="E315" s="162">
        <f>IFERROR(""&amp;INDEX(tk_SIZE,MATCH(309,tk_ASEQ,0)),"")</f>
        <v/>
      </c>
      <c r="F315" s="162">
        <f>IFERROR(""&amp;INDEX(tk_PAIR,MATCH(309,tk_ASEQ,0)),"")</f>
        <v/>
      </c>
      <c r="G315" s="162">
        <f>IFERROR(""&amp;INDEX(tk_DMAT,MATCH(309,tk_ASEQ,0)),"")</f>
        <v/>
      </c>
      <c r="H315" s="162">
        <f>IFERROR(""&amp;INDEX(tk_DGA,MATCH(309,tk_ASEQ,0)),"")</f>
        <v/>
      </c>
      <c r="I315" s="162">
        <f>IFERROR(""&amp;INDEX(tk_FACE,MATCH(309,tk_ASEQ,0)),"")</f>
        <v/>
      </c>
      <c r="J315" s="162">
        <f>IFERROR(IF(INDEX(tk_DHAND,MATCH(309,tk_ASEQ,0))="",""&amp;INDEX(tk_HAND,MATCH(309,tk_ASEQ,0)),""&amp;INDEX(tk_DHAND,MATCH(309,tk_ASEQ,0))),"")</f>
        <v/>
      </c>
      <c r="K315" s="162">
        <f>IFERROR(""&amp;INDEX(tk_FDESC,MATCH(309,tk_ASEQ,0)),"")</f>
        <v/>
      </c>
      <c r="L315" s="162">
        <f>IFERROR(INDEX(tk_STEEL,MATCH(309,tk_ASEQ,0))&amp;IF(INDEX(tk_FGA,MATCH(309,tk_ASEQ,0))="",""," "&amp;INDEX(tk_FGA,MATCH(309,tk_ASEQ,0))&amp;"GA"),"")</f>
        <v/>
      </c>
      <c r="M315" s="162">
        <f>IFERROR(IFERROR(VLOOKUP(INDEX(tk_JAMB,MATCH(309,tk_ASEQ,0)),CODES,2,FALSE),""&amp;INDEX(tk_JAMB,MATCH(309,tk_ASEQ,0))),"")</f>
        <v/>
      </c>
      <c r="N315" s="162">
        <f>IFERROR(""&amp;INDEX(tk_CONSTR,MATCH(309,tk_ASEQ,0)),"")</f>
        <v/>
      </c>
      <c r="O315" s="162">
        <f>IFERROR(""&amp;INDEX(tk_ANCHOR,MATCH(309,tk_ASEQ,0)),"")</f>
        <v/>
      </c>
      <c r="P315" s="162">
        <f>IFERROR(""&amp;INDEX(tk_RATING,MATCH(309,tk_ASEQ,0)),"")</f>
        <v/>
      </c>
      <c r="Q315" s="162">
        <f>IFERROR(""&amp;INDEX(tk_LABEL,MATCH(309,tk_ASEQ,0)),"")</f>
        <v/>
      </c>
      <c r="R315" s="162">
        <f>IFERROR(""&amp;INDEX(tk_HWSET,MATCH(309,tk_ASEQ,0)),"")</f>
        <v/>
      </c>
      <c r="S315" s="162">
        <f>IFERROR(IF(""&amp;INDEX(tk_HINGES,MATCH(309,tk_ASEQ,0))="","",INDEX(tk_HINGES,MATCH(309,tk_ASEQ,0))&amp;" · "&amp;INDEX(tk_LSRC,MATCH(309,tk_ASEQ,0))),"")</f>
        <v/>
      </c>
      <c r="T315" s="162">
        <f>IFERROR(""&amp;INDEX(tk_LOCK,MATCH(309,tk_ASEQ,0)),"")</f>
        <v/>
      </c>
      <c r="U315" s="162">
        <f>IFERROR(INDEX(tk_ETYPE,MATCH(309,tk_ASEQ,0)),"")</f>
        <v/>
      </c>
      <c r="V315" s="162">
        <f>IFERROR(""&amp;INDEX(tk_CHECK,MATCH(309,tk_ASEQ,0)),"")</f>
        <v/>
      </c>
      <c r="W315" s="162">
        <f>IFERROR(TRIM(INDEX(tk_DNOTES,MATCH(309,tk_ASEQ,0))&amp;" "&amp;INDEX(tk_FNOTES,MATCH(309,tk_ASEQ,0))),"")</f>
        <v/>
      </c>
    </row>
    <row r="316">
      <c r="A316" s="161">
        <f>IFERROR(""&amp;INDEX(tk_MARK,MATCH(310,tk_ASEQ,0)),"")</f>
        <v/>
      </c>
      <c r="B316" s="162">
        <f>IFERROR(""&amp;INDEX(tk_ROOMF,MATCH(310,tk_ASEQ,0)),"")</f>
        <v/>
      </c>
      <c r="C316" s="162">
        <f>IFERROR(""&amp;INDEX(tk_ROOMT,MATCH(310,tk_ASEQ,0)),"")</f>
        <v/>
      </c>
      <c r="D316" s="162">
        <f>IFERROR(INDEX(tk_QTY,MATCH(310,tk_ASEQ,0)),"")</f>
        <v/>
      </c>
      <c r="E316" s="162">
        <f>IFERROR(""&amp;INDEX(tk_SIZE,MATCH(310,tk_ASEQ,0)),"")</f>
        <v/>
      </c>
      <c r="F316" s="162">
        <f>IFERROR(""&amp;INDEX(tk_PAIR,MATCH(310,tk_ASEQ,0)),"")</f>
        <v/>
      </c>
      <c r="G316" s="162">
        <f>IFERROR(""&amp;INDEX(tk_DMAT,MATCH(310,tk_ASEQ,0)),"")</f>
        <v/>
      </c>
      <c r="H316" s="162">
        <f>IFERROR(""&amp;INDEX(tk_DGA,MATCH(310,tk_ASEQ,0)),"")</f>
        <v/>
      </c>
      <c r="I316" s="162">
        <f>IFERROR(""&amp;INDEX(tk_FACE,MATCH(310,tk_ASEQ,0)),"")</f>
        <v/>
      </c>
      <c r="J316" s="162">
        <f>IFERROR(IF(INDEX(tk_DHAND,MATCH(310,tk_ASEQ,0))="",""&amp;INDEX(tk_HAND,MATCH(310,tk_ASEQ,0)),""&amp;INDEX(tk_DHAND,MATCH(310,tk_ASEQ,0))),"")</f>
        <v/>
      </c>
      <c r="K316" s="162">
        <f>IFERROR(""&amp;INDEX(tk_FDESC,MATCH(310,tk_ASEQ,0)),"")</f>
        <v/>
      </c>
      <c r="L316" s="162">
        <f>IFERROR(INDEX(tk_STEEL,MATCH(310,tk_ASEQ,0))&amp;IF(INDEX(tk_FGA,MATCH(310,tk_ASEQ,0))="",""," "&amp;INDEX(tk_FGA,MATCH(310,tk_ASEQ,0))&amp;"GA"),"")</f>
        <v/>
      </c>
      <c r="M316" s="162">
        <f>IFERROR(IFERROR(VLOOKUP(INDEX(tk_JAMB,MATCH(310,tk_ASEQ,0)),CODES,2,FALSE),""&amp;INDEX(tk_JAMB,MATCH(310,tk_ASEQ,0))),"")</f>
        <v/>
      </c>
      <c r="N316" s="162">
        <f>IFERROR(""&amp;INDEX(tk_CONSTR,MATCH(310,tk_ASEQ,0)),"")</f>
        <v/>
      </c>
      <c r="O316" s="162">
        <f>IFERROR(""&amp;INDEX(tk_ANCHOR,MATCH(310,tk_ASEQ,0)),"")</f>
        <v/>
      </c>
      <c r="P316" s="162">
        <f>IFERROR(""&amp;INDEX(tk_RATING,MATCH(310,tk_ASEQ,0)),"")</f>
        <v/>
      </c>
      <c r="Q316" s="162">
        <f>IFERROR(""&amp;INDEX(tk_LABEL,MATCH(310,tk_ASEQ,0)),"")</f>
        <v/>
      </c>
      <c r="R316" s="162">
        <f>IFERROR(""&amp;INDEX(tk_HWSET,MATCH(310,tk_ASEQ,0)),"")</f>
        <v/>
      </c>
      <c r="S316" s="162">
        <f>IFERROR(IF(""&amp;INDEX(tk_HINGES,MATCH(310,tk_ASEQ,0))="","",INDEX(tk_HINGES,MATCH(310,tk_ASEQ,0))&amp;" · "&amp;INDEX(tk_LSRC,MATCH(310,tk_ASEQ,0))),"")</f>
        <v/>
      </c>
      <c r="T316" s="162">
        <f>IFERROR(""&amp;INDEX(tk_LOCK,MATCH(310,tk_ASEQ,0)),"")</f>
        <v/>
      </c>
      <c r="U316" s="162">
        <f>IFERROR(INDEX(tk_ETYPE,MATCH(310,tk_ASEQ,0)),"")</f>
        <v/>
      </c>
      <c r="V316" s="162">
        <f>IFERROR(""&amp;INDEX(tk_CHECK,MATCH(310,tk_ASEQ,0)),"")</f>
        <v/>
      </c>
      <c r="W316" s="162">
        <f>IFERROR(TRIM(INDEX(tk_DNOTES,MATCH(310,tk_ASEQ,0))&amp;" "&amp;INDEX(tk_FNOTES,MATCH(310,tk_ASEQ,0))),"")</f>
        <v/>
      </c>
    </row>
    <row r="317">
      <c r="A317" s="161">
        <f>IFERROR(""&amp;INDEX(tk_MARK,MATCH(311,tk_ASEQ,0)),"")</f>
        <v/>
      </c>
      <c r="B317" s="162">
        <f>IFERROR(""&amp;INDEX(tk_ROOMF,MATCH(311,tk_ASEQ,0)),"")</f>
        <v/>
      </c>
      <c r="C317" s="162">
        <f>IFERROR(""&amp;INDEX(tk_ROOMT,MATCH(311,tk_ASEQ,0)),"")</f>
        <v/>
      </c>
      <c r="D317" s="162">
        <f>IFERROR(INDEX(tk_QTY,MATCH(311,tk_ASEQ,0)),"")</f>
        <v/>
      </c>
      <c r="E317" s="162">
        <f>IFERROR(""&amp;INDEX(tk_SIZE,MATCH(311,tk_ASEQ,0)),"")</f>
        <v/>
      </c>
      <c r="F317" s="162">
        <f>IFERROR(""&amp;INDEX(tk_PAIR,MATCH(311,tk_ASEQ,0)),"")</f>
        <v/>
      </c>
      <c r="G317" s="162">
        <f>IFERROR(""&amp;INDEX(tk_DMAT,MATCH(311,tk_ASEQ,0)),"")</f>
        <v/>
      </c>
      <c r="H317" s="162">
        <f>IFERROR(""&amp;INDEX(tk_DGA,MATCH(311,tk_ASEQ,0)),"")</f>
        <v/>
      </c>
      <c r="I317" s="162">
        <f>IFERROR(""&amp;INDEX(tk_FACE,MATCH(311,tk_ASEQ,0)),"")</f>
        <v/>
      </c>
      <c r="J317" s="162">
        <f>IFERROR(IF(INDEX(tk_DHAND,MATCH(311,tk_ASEQ,0))="",""&amp;INDEX(tk_HAND,MATCH(311,tk_ASEQ,0)),""&amp;INDEX(tk_DHAND,MATCH(311,tk_ASEQ,0))),"")</f>
        <v/>
      </c>
      <c r="K317" s="162">
        <f>IFERROR(""&amp;INDEX(tk_FDESC,MATCH(311,tk_ASEQ,0)),"")</f>
        <v/>
      </c>
      <c r="L317" s="162">
        <f>IFERROR(INDEX(tk_STEEL,MATCH(311,tk_ASEQ,0))&amp;IF(INDEX(tk_FGA,MATCH(311,tk_ASEQ,0))="",""," "&amp;INDEX(tk_FGA,MATCH(311,tk_ASEQ,0))&amp;"GA"),"")</f>
        <v/>
      </c>
      <c r="M317" s="162">
        <f>IFERROR(IFERROR(VLOOKUP(INDEX(tk_JAMB,MATCH(311,tk_ASEQ,0)),CODES,2,FALSE),""&amp;INDEX(tk_JAMB,MATCH(311,tk_ASEQ,0))),"")</f>
        <v/>
      </c>
      <c r="N317" s="162">
        <f>IFERROR(""&amp;INDEX(tk_CONSTR,MATCH(311,tk_ASEQ,0)),"")</f>
        <v/>
      </c>
      <c r="O317" s="162">
        <f>IFERROR(""&amp;INDEX(tk_ANCHOR,MATCH(311,tk_ASEQ,0)),"")</f>
        <v/>
      </c>
      <c r="P317" s="162">
        <f>IFERROR(""&amp;INDEX(tk_RATING,MATCH(311,tk_ASEQ,0)),"")</f>
        <v/>
      </c>
      <c r="Q317" s="162">
        <f>IFERROR(""&amp;INDEX(tk_LABEL,MATCH(311,tk_ASEQ,0)),"")</f>
        <v/>
      </c>
      <c r="R317" s="162">
        <f>IFERROR(""&amp;INDEX(tk_HWSET,MATCH(311,tk_ASEQ,0)),"")</f>
        <v/>
      </c>
      <c r="S317" s="162">
        <f>IFERROR(IF(""&amp;INDEX(tk_HINGES,MATCH(311,tk_ASEQ,0))="","",INDEX(tk_HINGES,MATCH(311,tk_ASEQ,0))&amp;" · "&amp;INDEX(tk_LSRC,MATCH(311,tk_ASEQ,0))),"")</f>
        <v/>
      </c>
      <c r="T317" s="162">
        <f>IFERROR(""&amp;INDEX(tk_LOCK,MATCH(311,tk_ASEQ,0)),"")</f>
        <v/>
      </c>
      <c r="U317" s="162">
        <f>IFERROR(INDEX(tk_ETYPE,MATCH(311,tk_ASEQ,0)),"")</f>
        <v/>
      </c>
      <c r="V317" s="162">
        <f>IFERROR(""&amp;INDEX(tk_CHECK,MATCH(311,tk_ASEQ,0)),"")</f>
        <v/>
      </c>
      <c r="W317" s="162">
        <f>IFERROR(TRIM(INDEX(tk_DNOTES,MATCH(311,tk_ASEQ,0))&amp;" "&amp;INDEX(tk_FNOTES,MATCH(311,tk_ASEQ,0))),"")</f>
        <v/>
      </c>
    </row>
    <row r="318">
      <c r="A318" s="161">
        <f>IFERROR(""&amp;INDEX(tk_MARK,MATCH(312,tk_ASEQ,0)),"")</f>
        <v/>
      </c>
      <c r="B318" s="162">
        <f>IFERROR(""&amp;INDEX(tk_ROOMF,MATCH(312,tk_ASEQ,0)),"")</f>
        <v/>
      </c>
      <c r="C318" s="162">
        <f>IFERROR(""&amp;INDEX(tk_ROOMT,MATCH(312,tk_ASEQ,0)),"")</f>
        <v/>
      </c>
      <c r="D318" s="162">
        <f>IFERROR(INDEX(tk_QTY,MATCH(312,tk_ASEQ,0)),"")</f>
        <v/>
      </c>
      <c r="E318" s="162">
        <f>IFERROR(""&amp;INDEX(tk_SIZE,MATCH(312,tk_ASEQ,0)),"")</f>
        <v/>
      </c>
      <c r="F318" s="162">
        <f>IFERROR(""&amp;INDEX(tk_PAIR,MATCH(312,tk_ASEQ,0)),"")</f>
        <v/>
      </c>
      <c r="G318" s="162">
        <f>IFERROR(""&amp;INDEX(tk_DMAT,MATCH(312,tk_ASEQ,0)),"")</f>
        <v/>
      </c>
      <c r="H318" s="162">
        <f>IFERROR(""&amp;INDEX(tk_DGA,MATCH(312,tk_ASEQ,0)),"")</f>
        <v/>
      </c>
      <c r="I318" s="162">
        <f>IFERROR(""&amp;INDEX(tk_FACE,MATCH(312,tk_ASEQ,0)),"")</f>
        <v/>
      </c>
      <c r="J318" s="162">
        <f>IFERROR(IF(INDEX(tk_DHAND,MATCH(312,tk_ASEQ,0))="",""&amp;INDEX(tk_HAND,MATCH(312,tk_ASEQ,0)),""&amp;INDEX(tk_DHAND,MATCH(312,tk_ASEQ,0))),"")</f>
        <v/>
      </c>
      <c r="K318" s="162">
        <f>IFERROR(""&amp;INDEX(tk_FDESC,MATCH(312,tk_ASEQ,0)),"")</f>
        <v/>
      </c>
      <c r="L318" s="162">
        <f>IFERROR(INDEX(tk_STEEL,MATCH(312,tk_ASEQ,0))&amp;IF(INDEX(tk_FGA,MATCH(312,tk_ASEQ,0))="",""," "&amp;INDEX(tk_FGA,MATCH(312,tk_ASEQ,0))&amp;"GA"),"")</f>
        <v/>
      </c>
      <c r="M318" s="162">
        <f>IFERROR(IFERROR(VLOOKUP(INDEX(tk_JAMB,MATCH(312,tk_ASEQ,0)),CODES,2,FALSE),""&amp;INDEX(tk_JAMB,MATCH(312,tk_ASEQ,0))),"")</f>
        <v/>
      </c>
      <c r="N318" s="162">
        <f>IFERROR(""&amp;INDEX(tk_CONSTR,MATCH(312,tk_ASEQ,0)),"")</f>
        <v/>
      </c>
      <c r="O318" s="162">
        <f>IFERROR(""&amp;INDEX(tk_ANCHOR,MATCH(312,tk_ASEQ,0)),"")</f>
        <v/>
      </c>
      <c r="P318" s="162">
        <f>IFERROR(""&amp;INDEX(tk_RATING,MATCH(312,tk_ASEQ,0)),"")</f>
        <v/>
      </c>
      <c r="Q318" s="162">
        <f>IFERROR(""&amp;INDEX(tk_LABEL,MATCH(312,tk_ASEQ,0)),"")</f>
        <v/>
      </c>
      <c r="R318" s="162">
        <f>IFERROR(""&amp;INDEX(tk_HWSET,MATCH(312,tk_ASEQ,0)),"")</f>
        <v/>
      </c>
      <c r="S318" s="162">
        <f>IFERROR(IF(""&amp;INDEX(tk_HINGES,MATCH(312,tk_ASEQ,0))="","",INDEX(tk_HINGES,MATCH(312,tk_ASEQ,0))&amp;" · "&amp;INDEX(tk_LSRC,MATCH(312,tk_ASEQ,0))),"")</f>
        <v/>
      </c>
      <c r="T318" s="162">
        <f>IFERROR(""&amp;INDEX(tk_LOCK,MATCH(312,tk_ASEQ,0)),"")</f>
        <v/>
      </c>
      <c r="U318" s="162">
        <f>IFERROR(INDEX(tk_ETYPE,MATCH(312,tk_ASEQ,0)),"")</f>
        <v/>
      </c>
      <c r="V318" s="162">
        <f>IFERROR(""&amp;INDEX(tk_CHECK,MATCH(312,tk_ASEQ,0)),"")</f>
        <v/>
      </c>
      <c r="W318" s="162">
        <f>IFERROR(TRIM(INDEX(tk_DNOTES,MATCH(312,tk_ASEQ,0))&amp;" "&amp;INDEX(tk_FNOTES,MATCH(312,tk_ASEQ,0))),"")</f>
        <v/>
      </c>
    </row>
    <row r="319">
      <c r="A319" s="161">
        <f>IFERROR(""&amp;INDEX(tk_MARK,MATCH(313,tk_ASEQ,0)),"")</f>
        <v/>
      </c>
      <c r="B319" s="162">
        <f>IFERROR(""&amp;INDEX(tk_ROOMF,MATCH(313,tk_ASEQ,0)),"")</f>
        <v/>
      </c>
      <c r="C319" s="162">
        <f>IFERROR(""&amp;INDEX(tk_ROOMT,MATCH(313,tk_ASEQ,0)),"")</f>
        <v/>
      </c>
      <c r="D319" s="162">
        <f>IFERROR(INDEX(tk_QTY,MATCH(313,tk_ASEQ,0)),"")</f>
        <v/>
      </c>
      <c r="E319" s="162">
        <f>IFERROR(""&amp;INDEX(tk_SIZE,MATCH(313,tk_ASEQ,0)),"")</f>
        <v/>
      </c>
      <c r="F319" s="162">
        <f>IFERROR(""&amp;INDEX(tk_PAIR,MATCH(313,tk_ASEQ,0)),"")</f>
        <v/>
      </c>
      <c r="G319" s="162">
        <f>IFERROR(""&amp;INDEX(tk_DMAT,MATCH(313,tk_ASEQ,0)),"")</f>
        <v/>
      </c>
      <c r="H319" s="162">
        <f>IFERROR(""&amp;INDEX(tk_DGA,MATCH(313,tk_ASEQ,0)),"")</f>
        <v/>
      </c>
      <c r="I319" s="162">
        <f>IFERROR(""&amp;INDEX(tk_FACE,MATCH(313,tk_ASEQ,0)),"")</f>
        <v/>
      </c>
      <c r="J319" s="162">
        <f>IFERROR(IF(INDEX(tk_DHAND,MATCH(313,tk_ASEQ,0))="",""&amp;INDEX(tk_HAND,MATCH(313,tk_ASEQ,0)),""&amp;INDEX(tk_DHAND,MATCH(313,tk_ASEQ,0))),"")</f>
        <v/>
      </c>
      <c r="K319" s="162">
        <f>IFERROR(""&amp;INDEX(tk_FDESC,MATCH(313,tk_ASEQ,0)),"")</f>
        <v/>
      </c>
      <c r="L319" s="162">
        <f>IFERROR(INDEX(tk_STEEL,MATCH(313,tk_ASEQ,0))&amp;IF(INDEX(tk_FGA,MATCH(313,tk_ASEQ,0))="",""," "&amp;INDEX(tk_FGA,MATCH(313,tk_ASEQ,0))&amp;"GA"),"")</f>
        <v/>
      </c>
      <c r="M319" s="162">
        <f>IFERROR(IFERROR(VLOOKUP(INDEX(tk_JAMB,MATCH(313,tk_ASEQ,0)),CODES,2,FALSE),""&amp;INDEX(tk_JAMB,MATCH(313,tk_ASEQ,0))),"")</f>
        <v/>
      </c>
      <c r="N319" s="162">
        <f>IFERROR(""&amp;INDEX(tk_CONSTR,MATCH(313,tk_ASEQ,0)),"")</f>
        <v/>
      </c>
      <c r="O319" s="162">
        <f>IFERROR(""&amp;INDEX(tk_ANCHOR,MATCH(313,tk_ASEQ,0)),"")</f>
        <v/>
      </c>
      <c r="P319" s="162">
        <f>IFERROR(""&amp;INDEX(tk_RATING,MATCH(313,tk_ASEQ,0)),"")</f>
        <v/>
      </c>
      <c r="Q319" s="162">
        <f>IFERROR(""&amp;INDEX(tk_LABEL,MATCH(313,tk_ASEQ,0)),"")</f>
        <v/>
      </c>
      <c r="R319" s="162">
        <f>IFERROR(""&amp;INDEX(tk_HWSET,MATCH(313,tk_ASEQ,0)),"")</f>
        <v/>
      </c>
      <c r="S319" s="162">
        <f>IFERROR(IF(""&amp;INDEX(tk_HINGES,MATCH(313,tk_ASEQ,0))="","",INDEX(tk_HINGES,MATCH(313,tk_ASEQ,0))&amp;" · "&amp;INDEX(tk_LSRC,MATCH(313,tk_ASEQ,0))),"")</f>
        <v/>
      </c>
      <c r="T319" s="162">
        <f>IFERROR(""&amp;INDEX(tk_LOCK,MATCH(313,tk_ASEQ,0)),"")</f>
        <v/>
      </c>
      <c r="U319" s="162">
        <f>IFERROR(INDEX(tk_ETYPE,MATCH(313,tk_ASEQ,0)),"")</f>
        <v/>
      </c>
      <c r="V319" s="162">
        <f>IFERROR(""&amp;INDEX(tk_CHECK,MATCH(313,tk_ASEQ,0)),"")</f>
        <v/>
      </c>
      <c r="W319" s="162">
        <f>IFERROR(TRIM(INDEX(tk_DNOTES,MATCH(313,tk_ASEQ,0))&amp;" "&amp;INDEX(tk_FNOTES,MATCH(313,tk_ASEQ,0))),"")</f>
        <v/>
      </c>
    </row>
    <row r="320">
      <c r="A320" s="161">
        <f>IFERROR(""&amp;INDEX(tk_MARK,MATCH(314,tk_ASEQ,0)),"")</f>
        <v/>
      </c>
      <c r="B320" s="162">
        <f>IFERROR(""&amp;INDEX(tk_ROOMF,MATCH(314,tk_ASEQ,0)),"")</f>
        <v/>
      </c>
      <c r="C320" s="162">
        <f>IFERROR(""&amp;INDEX(tk_ROOMT,MATCH(314,tk_ASEQ,0)),"")</f>
        <v/>
      </c>
      <c r="D320" s="162">
        <f>IFERROR(INDEX(tk_QTY,MATCH(314,tk_ASEQ,0)),"")</f>
        <v/>
      </c>
      <c r="E320" s="162">
        <f>IFERROR(""&amp;INDEX(tk_SIZE,MATCH(314,tk_ASEQ,0)),"")</f>
        <v/>
      </c>
      <c r="F320" s="162">
        <f>IFERROR(""&amp;INDEX(tk_PAIR,MATCH(314,tk_ASEQ,0)),"")</f>
        <v/>
      </c>
      <c r="G320" s="162">
        <f>IFERROR(""&amp;INDEX(tk_DMAT,MATCH(314,tk_ASEQ,0)),"")</f>
        <v/>
      </c>
      <c r="H320" s="162">
        <f>IFERROR(""&amp;INDEX(tk_DGA,MATCH(314,tk_ASEQ,0)),"")</f>
        <v/>
      </c>
      <c r="I320" s="162">
        <f>IFERROR(""&amp;INDEX(tk_FACE,MATCH(314,tk_ASEQ,0)),"")</f>
        <v/>
      </c>
      <c r="J320" s="162">
        <f>IFERROR(IF(INDEX(tk_DHAND,MATCH(314,tk_ASEQ,0))="",""&amp;INDEX(tk_HAND,MATCH(314,tk_ASEQ,0)),""&amp;INDEX(tk_DHAND,MATCH(314,tk_ASEQ,0))),"")</f>
        <v/>
      </c>
      <c r="K320" s="162">
        <f>IFERROR(""&amp;INDEX(tk_FDESC,MATCH(314,tk_ASEQ,0)),"")</f>
        <v/>
      </c>
      <c r="L320" s="162">
        <f>IFERROR(INDEX(tk_STEEL,MATCH(314,tk_ASEQ,0))&amp;IF(INDEX(tk_FGA,MATCH(314,tk_ASEQ,0))="",""," "&amp;INDEX(tk_FGA,MATCH(314,tk_ASEQ,0))&amp;"GA"),"")</f>
        <v/>
      </c>
      <c r="M320" s="162">
        <f>IFERROR(IFERROR(VLOOKUP(INDEX(tk_JAMB,MATCH(314,tk_ASEQ,0)),CODES,2,FALSE),""&amp;INDEX(tk_JAMB,MATCH(314,tk_ASEQ,0))),"")</f>
        <v/>
      </c>
      <c r="N320" s="162">
        <f>IFERROR(""&amp;INDEX(tk_CONSTR,MATCH(314,tk_ASEQ,0)),"")</f>
        <v/>
      </c>
      <c r="O320" s="162">
        <f>IFERROR(""&amp;INDEX(tk_ANCHOR,MATCH(314,tk_ASEQ,0)),"")</f>
        <v/>
      </c>
      <c r="P320" s="162">
        <f>IFERROR(""&amp;INDEX(tk_RATING,MATCH(314,tk_ASEQ,0)),"")</f>
        <v/>
      </c>
      <c r="Q320" s="162">
        <f>IFERROR(""&amp;INDEX(tk_LABEL,MATCH(314,tk_ASEQ,0)),"")</f>
        <v/>
      </c>
      <c r="R320" s="162">
        <f>IFERROR(""&amp;INDEX(tk_HWSET,MATCH(314,tk_ASEQ,0)),"")</f>
        <v/>
      </c>
      <c r="S320" s="162">
        <f>IFERROR(IF(""&amp;INDEX(tk_HINGES,MATCH(314,tk_ASEQ,0))="","",INDEX(tk_HINGES,MATCH(314,tk_ASEQ,0))&amp;" · "&amp;INDEX(tk_LSRC,MATCH(314,tk_ASEQ,0))),"")</f>
        <v/>
      </c>
      <c r="T320" s="162">
        <f>IFERROR(""&amp;INDEX(tk_LOCK,MATCH(314,tk_ASEQ,0)),"")</f>
        <v/>
      </c>
      <c r="U320" s="162">
        <f>IFERROR(INDEX(tk_ETYPE,MATCH(314,tk_ASEQ,0)),"")</f>
        <v/>
      </c>
      <c r="V320" s="162">
        <f>IFERROR(""&amp;INDEX(tk_CHECK,MATCH(314,tk_ASEQ,0)),"")</f>
        <v/>
      </c>
      <c r="W320" s="162">
        <f>IFERROR(TRIM(INDEX(tk_DNOTES,MATCH(314,tk_ASEQ,0))&amp;" "&amp;INDEX(tk_FNOTES,MATCH(314,tk_ASEQ,0))),"")</f>
        <v/>
      </c>
    </row>
    <row r="321">
      <c r="A321" s="161">
        <f>IFERROR(""&amp;INDEX(tk_MARK,MATCH(315,tk_ASEQ,0)),"")</f>
        <v/>
      </c>
      <c r="B321" s="162">
        <f>IFERROR(""&amp;INDEX(tk_ROOMF,MATCH(315,tk_ASEQ,0)),"")</f>
        <v/>
      </c>
      <c r="C321" s="162">
        <f>IFERROR(""&amp;INDEX(tk_ROOMT,MATCH(315,tk_ASEQ,0)),"")</f>
        <v/>
      </c>
      <c r="D321" s="162">
        <f>IFERROR(INDEX(tk_QTY,MATCH(315,tk_ASEQ,0)),"")</f>
        <v/>
      </c>
      <c r="E321" s="162">
        <f>IFERROR(""&amp;INDEX(tk_SIZE,MATCH(315,tk_ASEQ,0)),"")</f>
        <v/>
      </c>
      <c r="F321" s="162">
        <f>IFERROR(""&amp;INDEX(tk_PAIR,MATCH(315,tk_ASEQ,0)),"")</f>
        <v/>
      </c>
      <c r="G321" s="162">
        <f>IFERROR(""&amp;INDEX(tk_DMAT,MATCH(315,tk_ASEQ,0)),"")</f>
        <v/>
      </c>
      <c r="H321" s="162">
        <f>IFERROR(""&amp;INDEX(tk_DGA,MATCH(315,tk_ASEQ,0)),"")</f>
        <v/>
      </c>
      <c r="I321" s="162">
        <f>IFERROR(""&amp;INDEX(tk_FACE,MATCH(315,tk_ASEQ,0)),"")</f>
        <v/>
      </c>
      <c r="J321" s="162">
        <f>IFERROR(IF(INDEX(tk_DHAND,MATCH(315,tk_ASEQ,0))="",""&amp;INDEX(tk_HAND,MATCH(315,tk_ASEQ,0)),""&amp;INDEX(tk_DHAND,MATCH(315,tk_ASEQ,0))),"")</f>
        <v/>
      </c>
      <c r="K321" s="162">
        <f>IFERROR(""&amp;INDEX(tk_FDESC,MATCH(315,tk_ASEQ,0)),"")</f>
        <v/>
      </c>
      <c r="L321" s="162">
        <f>IFERROR(INDEX(tk_STEEL,MATCH(315,tk_ASEQ,0))&amp;IF(INDEX(tk_FGA,MATCH(315,tk_ASEQ,0))="",""," "&amp;INDEX(tk_FGA,MATCH(315,tk_ASEQ,0))&amp;"GA"),"")</f>
        <v/>
      </c>
      <c r="M321" s="162">
        <f>IFERROR(IFERROR(VLOOKUP(INDEX(tk_JAMB,MATCH(315,tk_ASEQ,0)),CODES,2,FALSE),""&amp;INDEX(tk_JAMB,MATCH(315,tk_ASEQ,0))),"")</f>
        <v/>
      </c>
      <c r="N321" s="162">
        <f>IFERROR(""&amp;INDEX(tk_CONSTR,MATCH(315,tk_ASEQ,0)),"")</f>
        <v/>
      </c>
      <c r="O321" s="162">
        <f>IFERROR(""&amp;INDEX(tk_ANCHOR,MATCH(315,tk_ASEQ,0)),"")</f>
        <v/>
      </c>
      <c r="P321" s="162">
        <f>IFERROR(""&amp;INDEX(tk_RATING,MATCH(315,tk_ASEQ,0)),"")</f>
        <v/>
      </c>
      <c r="Q321" s="162">
        <f>IFERROR(""&amp;INDEX(tk_LABEL,MATCH(315,tk_ASEQ,0)),"")</f>
        <v/>
      </c>
      <c r="R321" s="162">
        <f>IFERROR(""&amp;INDEX(tk_HWSET,MATCH(315,tk_ASEQ,0)),"")</f>
        <v/>
      </c>
      <c r="S321" s="162">
        <f>IFERROR(IF(""&amp;INDEX(tk_HINGES,MATCH(315,tk_ASEQ,0))="","",INDEX(tk_HINGES,MATCH(315,tk_ASEQ,0))&amp;" · "&amp;INDEX(tk_LSRC,MATCH(315,tk_ASEQ,0))),"")</f>
        <v/>
      </c>
      <c r="T321" s="162">
        <f>IFERROR(""&amp;INDEX(tk_LOCK,MATCH(315,tk_ASEQ,0)),"")</f>
        <v/>
      </c>
      <c r="U321" s="162">
        <f>IFERROR(INDEX(tk_ETYPE,MATCH(315,tk_ASEQ,0)),"")</f>
        <v/>
      </c>
      <c r="V321" s="162">
        <f>IFERROR(""&amp;INDEX(tk_CHECK,MATCH(315,tk_ASEQ,0)),"")</f>
        <v/>
      </c>
      <c r="W321" s="162">
        <f>IFERROR(TRIM(INDEX(tk_DNOTES,MATCH(315,tk_ASEQ,0))&amp;" "&amp;INDEX(tk_FNOTES,MATCH(315,tk_ASEQ,0))),"")</f>
        <v/>
      </c>
    </row>
    <row r="322">
      <c r="A322" s="161">
        <f>IFERROR(""&amp;INDEX(tk_MARK,MATCH(316,tk_ASEQ,0)),"")</f>
        <v/>
      </c>
      <c r="B322" s="162">
        <f>IFERROR(""&amp;INDEX(tk_ROOMF,MATCH(316,tk_ASEQ,0)),"")</f>
        <v/>
      </c>
      <c r="C322" s="162">
        <f>IFERROR(""&amp;INDEX(tk_ROOMT,MATCH(316,tk_ASEQ,0)),"")</f>
        <v/>
      </c>
      <c r="D322" s="162">
        <f>IFERROR(INDEX(tk_QTY,MATCH(316,tk_ASEQ,0)),"")</f>
        <v/>
      </c>
      <c r="E322" s="162">
        <f>IFERROR(""&amp;INDEX(tk_SIZE,MATCH(316,tk_ASEQ,0)),"")</f>
        <v/>
      </c>
      <c r="F322" s="162">
        <f>IFERROR(""&amp;INDEX(tk_PAIR,MATCH(316,tk_ASEQ,0)),"")</f>
        <v/>
      </c>
      <c r="G322" s="162">
        <f>IFERROR(""&amp;INDEX(tk_DMAT,MATCH(316,tk_ASEQ,0)),"")</f>
        <v/>
      </c>
      <c r="H322" s="162">
        <f>IFERROR(""&amp;INDEX(tk_DGA,MATCH(316,tk_ASEQ,0)),"")</f>
        <v/>
      </c>
      <c r="I322" s="162">
        <f>IFERROR(""&amp;INDEX(tk_FACE,MATCH(316,tk_ASEQ,0)),"")</f>
        <v/>
      </c>
      <c r="J322" s="162">
        <f>IFERROR(IF(INDEX(tk_DHAND,MATCH(316,tk_ASEQ,0))="",""&amp;INDEX(tk_HAND,MATCH(316,tk_ASEQ,0)),""&amp;INDEX(tk_DHAND,MATCH(316,tk_ASEQ,0))),"")</f>
        <v/>
      </c>
      <c r="K322" s="162">
        <f>IFERROR(""&amp;INDEX(tk_FDESC,MATCH(316,tk_ASEQ,0)),"")</f>
        <v/>
      </c>
      <c r="L322" s="162">
        <f>IFERROR(INDEX(tk_STEEL,MATCH(316,tk_ASEQ,0))&amp;IF(INDEX(tk_FGA,MATCH(316,tk_ASEQ,0))="",""," "&amp;INDEX(tk_FGA,MATCH(316,tk_ASEQ,0))&amp;"GA"),"")</f>
        <v/>
      </c>
      <c r="M322" s="162">
        <f>IFERROR(IFERROR(VLOOKUP(INDEX(tk_JAMB,MATCH(316,tk_ASEQ,0)),CODES,2,FALSE),""&amp;INDEX(tk_JAMB,MATCH(316,tk_ASEQ,0))),"")</f>
        <v/>
      </c>
      <c r="N322" s="162">
        <f>IFERROR(""&amp;INDEX(tk_CONSTR,MATCH(316,tk_ASEQ,0)),"")</f>
        <v/>
      </c>
      <c r="O322" s="162">
        <f>IFERROR(""&amp;INDEX(tk_ANCHOR,MATCH(316,tk_ASEQ,0)),"")</f>
        <v/>
      </c>
      <c r="P322" s="162">
        <f>IFERROR(""&amp;INDEX(tk_RATING,MATCH(316,tk_ASEQ,0)),"")</f>
        <v/>
      </c>
      <c r="Q322" s="162">
        <f>IFERROR(""&amp;INDEX(tk_LABEL,MATCH(316,tk_ASEQ,0)),"")</f>
        <v/>
      </c>
      <c r="R322" s="162">
        <f>IFERROR(""&amp;INDEX(tk_HWSET,MATCH(316,tk_ASEQ,0)),"")</f>
        <v/>
      </c>
      <c r="S322" s="162">
        <f>IFERROR(IF(""&amp;INDEX(tk_HINGES,MATCH(316,tk_ASEQ,0))="","",INDEX(tk_HINGES,MATCH(316,tk_ASEQ,0))&amp;" · "&amp;INDEX(tk_LSRC,MATCH(316,tk_ASEQ,0))),"")</f>
        <v/>
      </c>
      <c r="T322" s="162">
        <f>IFERROR(""&amp;INDEX(tk_LOCK,MATCH(316,tk_ASEQ,0)),"")</f>
        <v/>
      </c>
      <c r="U322" s="162">
        <f>IFERROR(INDEX(tk_ETYPE,MATCH(316,tk_ASEQ,0)),"")</f>
        <v/>
      </c>
      <c r="V322" s="162">
        <f>IFERROR(""&amp;INDEX(tk_CHECK,MATCH(316,tk_ASEQ,0)),"")</f>
        <v/>
      </c>
      <c r="W322" s="162">
        <f>IFERROR(TRIM(INDEX(tk_DNOTES,MATCH(316,tk_ASEQ,0))&amp;" "&amp;INDEX(tk_FNOTES,MATCH(316,tk_ASEQ,0))),"")</f>
        <v/>
      </c>
    </row>
    <row r="323">
      <c r="A323" s="161">
        <f>IFERROR(""&amp;INDEX(tk_MARK,MATCH(317,tk_ASEQ,0)),"")</f>
        <v/>
      </c>
      <c r="B323" s="162">
        <f>IFERROR(""&amp;INDEX(tk_ROOMF,MATCH(317,tk_ASEQ,0)),"")</f>
        <v/>
      </c>
      <c r="C323" s="162">
        <f>IFERROR(""&amp;INDEX(tk_ROOMT,MATCH(317,tk_ASEQ,0)),"")</f>
        <v/>
      </c>
      <c r="D323" s="162">
        <f>IFERROR(INDEX(tk_QTY,MATCH(317,tk_ASEQ,0)),"")</f>
        <v/>
      </c>
      <c r="E323" s="162">
        <f>IFERROR(""&amp;INDEX(tk_SIZE,MATCH(317,tk_ASEQ,0)),"")</f>
        <v/>
      </c>
      <c r="F323" s="162">
        <f>IFERROR(""&amp;INDEX(tk_PAIR,MATCH(317,tk_ASEQ,0)),"")</f>
        <v/>
      </c>
      <c r="G323" s="162">
        <f>IFERROR(""&amp;INDEX(tk_DMAT,MATCH(317,tk_ASEQ,0)),"")</f>
        <v/>
      </c>
      <c r="H323" s="162">
        <f>IFERROR(""&amp;INDEX(tk_DGA,MATCH(317,tk_ASEQ,0)),"")</f>
        <v/>
      </c>
      <c r="I323" s="162">
        <f>IFERROR(""&amp;INDEX(tk_FACE,MATCH(317,tk_ASEQ,0)),"")</f>
        <v/>
      </c>
      <c r="J323" s="162">
        <f>IFERROR(IF(INDEX(tk_DHAND,MATCH(317,tk_ASEQ,0))="",""&amp;INDEX(tk_HAND,MATCH(317,tk_ASEQ,0)),""&amp;INDEX(tk_DHAND,MATCH(317,tk_ASEQ,0))),"")</f>
        <v/>
      </c>
      <c r="K323" s="162">
        <f>IFERROR(""&amp;INDEX(tk_FDESC,MATCH(317,tk_ASEQ,0)),"")</f>
        <v/>
      </c>
      <c r="L323" s="162">
        <f>IFERROR(INDEX(tk_STEEL,MATCH(317,tk_ASEQ,0))&amp;IF(INDEX(tk_FGA,MATCH(317,tk_ASEQ,0))="",""," "&amp;INDEX(tk_FGA,MATCH(317,tk_ASEQ,0))&amp;"GA"),"")</f>
        <v/>
      </c>
      <c r="M323" s="162">
        <f>IFERROR(IFERROR(VLOOKUP(INDEX(tk_JAMB,MATCH(317,tk_ASEQ,0)),CODES,2,FALSE),""&amp;INDEX(tk_JAMB,MATCH(317,tk_ASEQ,0))),"")</f>
        <v/>
      </c>
      <c r="N323" s="162">
        <f>IFERROR(""&amp;INDEX(tk_CONSTR,MATCH(317,tk_ASEQ,0)),"")</f>
        <v/>
      </c>
      <c r="O323" s="162">
        <f>IFERROR(""&amp;INDEX(tk_ANCHOR,MATCH(317,tk_ASEQ,0)),"")</f>
        <v/>
      </c>
      <c r="P323" s="162">
        <f>IFERROR(""&amp;INDEX(tk_RATING,MATCH(317,tk_ASEQ,0)),"")</f>
        <v/>
      </c>
      <c r="Q323" s="162">
        <f>IFERROR(""&amp;INDEX(tk_LABEL,MATCH(317,tk_ASEQ,0)),"")</f>
        <v/>
      </c>
      <c r="R323" s="162">
        <f>IFERROR(""&amp;INDEX(tk_HWSET,MATCH(317,tk_ASEQ,0)),"")</f>
        <v/>
      </c>
      <c r="S323" s="162">
        <f>IFERROR(IF(""&amp;INDEX(tk_HINGES,MATCH(317,tk_ASEQ,0))="","",INDEX(tk_HINGES,MATCH(317,tk_ASEQ,0))&amp;" · "&amp;INDEX(tk_LSRC,MATCH(317,tk_ASEQ,0))),"")</f>
        <v/>
      </c>
      <c r="T323" s="162">
        <f>IFERROR(""&amp;INDEX(tk_LOCK,MATCH(317,tk_ASEQ,0)),"")</f>
        <v/>
      </c>
      <c r="U323" s="162">
        <f>IFERROR(INDEX(tk_ETYPE,MATCH(317,tk_ASEQ,0)),"")</f>
        <v/>
      </c>
      <c r="V323" s="162">
        <f>IFERROR(""&amp;INDEX(tk_CHECK,MATCH(317,tk_ASEQ,0)),"")</f>
        <v/>
      </c>
      <c r="W323" s="162">
        <f>IFERROR(TRIM(INDEX(tk_DNOTES,MATCH(317,tk_ASEQ,0))&amp;" "&amp;INDEX(tk_FNOTES,MATCH(317,tk_ASEQ,0))),"")</f>
        <v/>
      </c>
    </row>
    <row r="324">
      <c r="A324" s="161">
        <f>IFERROR(""&amp;INDEX(tk_MARK,MATCH(318,tk_ASEQ,0)),"")</f>
        <v/>
      </c>
      <c r="B324" s="162">
        <f>IFERROR(""&amp;INDEX(tk_ROOMF,MATCH(318,tk_ASEQ,0)),"")</f>
        <v/>
      </c>
      <c r="C324" s="162">
        <f>IFERROR(""&amp;INDEX(tk_ROOMT,MATCH(318,tk_ASEQ,0)),"")</f>
        <v/>
      </c>
      <c r="D324" s="162">
        <f>IFERROR(INDEX(tk_QTY,MATCH(318,tk_ASEQ,0)),"")</f>
        <v/>
      </c>
      <c r="E324" s="162">
        <f>IFERROR(""&amp;INDEX(tk_SIZE,MATCH(318,tk_ASEQ,0)),"")</f>
        <v/>
      </c>
      <c r="F324" s="162">
        <f>IFERROR(""&amp;INDEX(tk_PAIR,MATCH(318,tk_ASEQ,0)),"")</f>
        <v/>
      </c>
      <c r="G324" s="162">
        <f>IFERROR(""&amp;INDEX(tk_DMAT,MATCH(318,tk_ASEQ,0)),"")</f>
        <v/>
      </c>
      <c r="H324" s="162">
        <f>IFERROR(""&amp;INDEX(tk_DGA,MATCH(318,tk_ASEQ,0)),"")</f>
        <v/>
      </c>
      <c r="I324" s="162">
        <f>IFERROR(""&amp;INDEX(tk_FACE,MATCH(318,tk_ASEQ,0)),"")</f>
        <v/>
      </c>
      <c r="J324" s="162">
        <f>IFERROR(IF(INDEX(tk_DHAND,MATCH(318,tk_ASEQ,0))="",""&amp;INDEX(tk_HAND,MATCH(318,tk_ASEQ,0)),""&amp;INDEX(tk_DHAND,MATCH(318,tk_ASEQ,0))),"")</f>
        <v/>
      </c>
      <c r="K324" s="162">
        <f>IFERROR(""&amp;INDEX(tk_FDESC,MATCH(318,tk_ASEQ,0)),"")</f>
        <v/>
      </c>
      <c r="L324" s="162">
        <f>IFERROR(INDEX(tk_STEEL,MATCH(318,tk_ASEQ,0))&amp;IF(INDEX(tk_FGA,MATCH(318,tk_ASEQ,0))="",""," "&amp;INDEX(tk_FGA,MATCH(318,tk_ASEQ,0))&amp;"GA"),"")</f>
        <v/>
      </c>
      <c r="M324" s="162">
        <f>IFERROR(IFERROR(VLOOKUP(INDEX(tk_JAMB,MATCH(318,tk_ASEQ,0)),CODES,2,FALSE),""&amp;INDEX(tk_JAMB,MATCH(318,tk_ASEQ,0))),"")</f>
        <v/>
      </c>
      <c r="N324" s="162">
        <f>IFERROR(""&amp;INDEX(tk_CONSTR,MATCH(318,tk_ASEQ,0)),"")</f>
        <v/>
      </c>
      <c r="O324" s="162">
        <f>IFERROR(""&amp;INDEX(tk_ANCHOR,MATCH(318,tk_ASEQ,0)),"")</f>
        <v/>
      </c>
      <c r="P324" s="162">
        <f>IFERROR(""&amp;INDEX(tk_RATING,MATCH(318,tk_ASEQ,0)),"")</f>
        <v/>
      </c>
      <c r="Q324" s="162">
        <f>IFERROR(""&amp;INDEX(tk_LABEL,MATCH(318,tk_ASEQ,0)),"")</f>
        <v/>
      </c>
      <c r="R324" s="162">
        <f>IFERROR(""&amp;INDEX(tk_HWSET,MATCH(318,tk_ASEQ,0)),"")</f>
        <v/>
      </c>
      <c r="S324" s="162">
        <f>IFERROR(IF(""&amp;INDEX(tk_HINGES,MATCH(318,tk_ASEQ,0))="","",INDEX(tk_HINGES,MATCH(318,tk_ASEQ,0))&amp;" · "&amp;INDEX(tk_LSRC,MATCH(318,tk_ASEQ,0))),"")</f>
        <v/>
      </c>
      <c r="T324" s="162">
        <f>IFERROR(""&amp;INDEX(tk_LOCK,MATCH(318,tk_ASEQ,0)),"")</f>
        <v/>
      </c>
      <c r="U324" s="162">
        <f>IFERROR(INDEX(tk_ETYPE,MATCH(318,tk_ASEQ,0)),"")</f>
        <v/>
      </c>
      <c r="V324" s="162">
        <f>IFERROR(""&amp;INDEX(tk_CHECK,MATCH(318,tk_ASEQ,0)),"")</f>
        <v/>
      </c>
      <c r="W324" s="162">
        <f>IFERROR(TRIM(INDEX(tk_DNOTES,MATCH(318,tk_ASEQ,0))&amp;" "&amp;INDEX(tk_FNOTES,MATCH(318,tk_ASEQ,0))),"")</f>
        <v/>
      </c>
    </row>
    <row r="325">
      <c r="A325" s="161">
        <f>IFERROR(""&amp;INDEX(tk_MARK,MATCH(319,tk_ASEQ,0)),"")</f>
        <v/>
      </c>
      <c r="B325" s="162">
        <f>IFERROR(""&amp;INDEX(tk_ROOMF,MATCH(319,tk_ASEQ,0)),"")</f>
        <v/>
      </c>
      <c r="C325" s="162">
        <f>IFERROR(""&amp;INDEX(tk_ROOMT,MATCH(319,tk_ASEQ,0)),"")</f>
        <v/>
      </c>
      <c r="D325" s="162">
        <f>IFERROR(INDEX(tk_QTY,MATCH(319,tk_ASEQ,0)),"")</f>
        <v/>
      </c>
      <c r="E325" s="162">
        <f>IFERROR(""&amp;INDEX(tk_SIZE,MATCH(319,tk_ASEQ,0)),"")</f>
        <v/>
      </c>
      <c r="F325" s="162">
        <f>IFERROR(""&amp;INDEX(tk_PAIR,MATCH(319,tk_ASEQ,0)),"")</f>
        <v/>
      </c>
      <c r="G325" s="162">
        <f>IFERROR(""&amp;INDEX(tk_DMAT,MATCH(319,tk_ASEQ,0)),"")</f>
        <v/>
      </c>
      <c r="H325" s="162">
        <f>IFERROR(""&amp;INDEX(tk_DGA,MATCH(319,tk_ASEQ,0)),"")</f>
        <v/>
      </c>
      <c r="I325" s="162">
        <f>IFERROR(""&amp;INDEX(tk_FACE,MATCH(319,tk_ASEQ,0)),"")</f>
        <v/>
      </c>
      <c r="J325" s="162">
        <f>IFERROR(IF(INDEX(tk_DHAND,MATCH(319,tk_ASEQ,0))="",""&amp;INDEX(tk_HAND,MATCH(319,tk_ASEQ,0)),""&amp;INDEX(tk_DHAND,MATCH(319,tk_ASEQ,0))),"")</f>
        <v/>
      </c>
      <c r="K325" s="162">
        <f>IFERROR(""&amp;INDEX(tk_FDESC,MATCH(319,tk_ASEQ,0)),"")</f>
        <v/>
      </c>
      <c r="L325" s="162">
        <f>IFERROR(INDEX(tk_STEEL,MATCH(319,tk_ASEQ,0))&amp;IF(INDEX(tk_FGA,MATCH(319,tk_ASEQ,0))="",""," "&amp;INDEX(tk_FGA,MATCH(319,tk_ASEQ,0))&amp;"GA"),"")</f>
        <v/>
      </c>
      <c r="M325" s="162">
        <f>IFERROR(IFERROR(VLOOKUP(INDEX(tk_JAMB,MATCH(319,tk_ASEQ,0)),CODES,2,FALSE),""&amp;INDEX(tk_JAMB,MATCH(319,tk_ASEQ,0))),"")</f>
        <v/>
      </c>
      <c r="N325" s="162">
        <f>IFERROR(""&amp;INDEX(tk_CONSTR,MATCH(319,tk_ASEQ,0)),"")</f>
        <v/>
      </c>
      <c r="O325" s="162">
        <f>IFERROR(""&amp;INDEX(tk_ANCHOR,MATCH(319,tk_ASEQ,0)),"")</f>
        <v/>
      </c>
      <c r="P325" s="162">
        <f>IFERROR(""&amp;INDEX(tk_RATING,MATCH(319,tk_ASEQ,0)),"")</f>
        <v/>
      </c>
      <c r="Q325" s="162">
        <f>IFERROR(""&amp;INDEX(tk_LABEL,MATCH(319,tk_ASEQ,0)),"")</f>
        <v/>
      </c>
      <c r="R325" s="162">
        <f>IFERROR(""&amp;INDEX(tk_HWSET,MATCH(319,tk_ASEQ,0)),"")</f>
        <v/>
      </c>
      <c r="S325" s="162">
        <f>IFERROR(IF(""&amp;INDEX(tk_HINGES,MATCH(319,tk_ASEQ,0))="","",INDEX(tk_HINGES,MATCH(319,tk_ASEQ,0))&amp;" · "&amp;INDEX(tk_LSRC,MATCH(319,tk_ASEQ,0))),"")</f>
        <v/>
      </c>
      <c r="T325" s="162">
        <f>IFERROR(""&amp;INDEX(tk_LOCK,MATCH(319,tk_ASEQ,0)),"")</f>
        <v/>
      </c>
      <c r="U325" s="162">
        <f>IFERROR(INDEX(tk_ETYPE,MATCH(319,tk_ASEQ,0)),"")</f>
        <v/>
      </c>
      <c r="V325" s="162">
        <f>IFERROR(""&amp;INDEX(tk_CHECK,MATCH(319,tk_ASEQ,0)),"")</f>
        <v/>
      </c>
      <c r="W325" s="162">
        <f>IFERROR(TRIM(INDEX(tk_DNOTES,MATCH(319,tk_ASEQ,0))&amp;" "&amp;INDEX(tk_FNOTES,MATCH(319,tk_ASEQ,0))),"")</f>
        <v/>
      </c>
    </row>
    <row r="326">
      <c r="A326" s="161">
        <f>IFERROR(""&amp;INDEX(tk_MARK,MATCH(320,tk_ASEQ,0)),"")</f>
        <v/>
      </c>
      <c r="B326" s="162">
        <f>IFERROR(""&amp;INDEX(tk_ROOMF,MATCH(320,tk_ASEQ,0)),"")</f>
        <v/>
      </c>
      <c r="C326" s="162">
        <f>IFERROR(""&amp;INDEX(tk_ROOMT,MATCH(320,tk_ASEQ,0)),"")</f>
        <v/>
      </c>
      <c r="D326" s="162">
        <f>IFERROR(INDEX(tk_QTY,MATCH(320,tk_ASEQ,0)),"")</f>
        <v/>
      </c>
      <c r="E326" s="162">
        <f>IFERROR(""&amp;INDEX(tk_SIZE,MATCH(320,tk_ASEQ,0)),"")</f>
        <v/>
      </c>
      <c r="F326" s="162">
        <f>IFERROR(""&amp;INDEX(tk_PAIR,MATCH(320,tk_ASEQ,0)),"")</f>
        <v/>
      </c>
      <c r="G326" s="162">
        <f>IFERROR(""&amp;INDEX(tk_DMAT,MATCH(320,tk_ASEQ,0)),"")</f>
        <v/>
      </c>
      <c r="H326" s="162">
        <f>IFERROR(""&amp;INDEX(tk_DGA,MATCH(320,tk_ASEQ,0)),"")</f>
        <v/>
      </c>
      <c r="I326" s="162">
        <f>IFERROR(""&amp;INDEX(tk_FACE,MATCH(320,tk_ASEQ,0)),"")</f>
        <v/>
      </c>
      <c r="J326" s="162">
        <f>IFERROR(IF(INDEX(tk_DHAND,MATCH(320,tk_ASEQ,0))="",""&amp;INDEX(tk_HAND,MATCH(320,tk_ASEQ,0)),""&amp;INDEX(tk_DHAND,MATCH(320,tk_ASEQ,0))),"")</f>
        <v/>
      </c>
      <c r="K326" s="162">
        <f>IFERROR(""&amp;INDEX(tk_FDESC,MATCH(320,tk_ASEQ,0)),"")</f>
        <v/>
      </c>
      <c r="L326" s="162">
        <f>IFERROR(INDEX(tk_STEEL,MATCH(320,tk_ASEQ,0))&amp;IF(INDEX(tk_FGA,MATCH(320,tk_ASEQ,0))="",""," "&amp;INDEX(tk_FGA,MATCH(320,tk_ASEQ,0))&amp;"GA"),"")</f>
        <v/>
      </c>
      <c r="M326" s="162">
        <f>IFERROR(IFERROR(VLOOKUP(INDEX(tk_JAMB,MATCH(320,tk_ASEQ,0)),CODES,2,FALSE),""&amp;INDEX(tk_JAMB,MATCH(320,tk_ASEQ,0))),"")</f>
        <v/>
      </c>
      <c r="N326" s="162">
        <f>IFERROR(""&amp;INDEX(tk_CONSTR,MATCH(320,tk_ASEQ,0)),"")</f>
        <v/>
      </c>
      <c r="O326" s="162">
        <f>IFERROR(""&amp;INDEX(tk_ANCHOR,MATCH(320,tk_ASEQ,0)),"")</f>
        <v/>
      </c>
      <c r="P326" s="162">
        <f>IFERROR(""&amp;INDEX(tk_RATING,MATCH(320,tk_ASEQ,0)),"")</f>
        <v/>
      </c>
      <c r="Q326" s="162">
        <f>IFERROR(""&amp;INDEX(tk_LABEL,MATCH(320,tk_ASEQ,0)),"")</f>
        <v/>
      </c>
      <c r="R326" s="162">
        <f>IFERROR(""&amp;INDEX(tk_HWSET,MATCH(320,tk_ASEQ,0)),"")</f>
        <v/>
      </c>
      <c r="S326" s="162">
        <f>IFERROR(IF(""&amp;INDEX(tk_HINGES,MATCH(320,tk_ASEQ,0))="","",INDEX(tk_HINGES,MATCH(320,tk_ASEQ,0))&amp;" · "&amp;INDEX(tk_LSRC,MATCH(320,tk_ASEQ,0))),"")</f>
        <v/>
      </c>
      <c r="T326" s="162">
        <f>IFERROR(""&amp;INDEX(tk_LOCK,MATCH(320,tk_ASEQ,0)),"")</f>
        <v/>
      </c>
      <c r="U326" s="162">
        <f>IFERROR(INDEX(tk_ETYPE,MATCH(320,tk_ASEQ,0)),"")</f>
        <v/>
      </c>
      <c r="V326" s="162">
        <f>IFERROR(""&amp;INDEX(tk_CHECK,MATCH(320,tk_ASEQ,0)),"")</f>
        <v/>
      </c>
      <c r="W326" s="162">
        <f>IFERROR(TRIM(INDEX(tk_DNOTES,MATCH(320,tk_ASEQ,0))&amp;" "&amp;INDEX(tk_FNOTES,MATCH(320,tk_ASEQ,0))),"")</f>
        <v/>
      </c>
    </row>
    <row r="327">
      <c r="A327" s="161">
        <f>IFERROR(""&amp;INDEX(tk_MARK,MATCH(321,tk_ASEQ,0)),"")</f>
        <v/>
      </c>
      <c r="B327" s="162">
        <f>IFERROR(""&amp;INDEX(tk_ROOMF,MATCH(321,tk_ASEQ,0)),"")</f>
        <v/>
      </c>
      <c r="C327" s="162">
        <f>IFERROR(""&amp;INDEX(tk_ROOMT,MATCH(321,tk_ASEQ,0)),"")</f>
        <v/>
      </c>
      <c r="D327" s="162">
        <f>IFERROR(INDEX(tk_QTY,MATCH(321,tk_ASEQ,0)),"")</f>
        <v/>
      </c>
      <c r="E327" s="162">
        <f>IFERROR(""&amp;INDEX(tk_SIZE,MATCH(321,tk_ASEQ,0)),"")</f>
        <v/>
      </c>
      <c r="F327" s="162">
        <f>IFERROR(""&amp;INDEX(tk_PAIR,MATCH(321,tk_ASEQ,0)),"")</f>
        <v/>
      </c>
      <c r="G327" s="162">
        <f>IFERROR(""&amp;INDEX(tk_DMAT,MATCH(321,tk_ASEQ,0)),"")</f>
        <v/>
      </c>
      <c r="H327" s="162">
        <f>IFERROR(""&amp;INDEX(tk_DGA,MATCH(321,tk_ASEQ,0)),"")</f>
        <v/>
      </c>
      <c r="I327" s="162">
        <f>IFERROR(""&amp;INDEX(tk_FACE,MATCH(321,tk_ASEQ,0)),"")</f>
        <v/>
      </c>
      <c r="J327" s="162">
        <f>IFERROR(IF(INDEX(tk_DHAND,MATCH(321,tk_ASEQ,0))="",""&amp;INDEX(tk_HAND,MATCH(321,tk_ASEQ,0)),""&amp;INDEX(tk_DHAND,MATCH(321,tk_ASEQ,0))),"")</f>
        <v/>
      </c>
      <c r="K327" s="162">
        <f>IFERROR(""&amp;INDEX(tk_FDESC,MATCH(321,tk_ASEQ,0)),"")</f>
        <v/>
      </c>
      <c r="L327" s="162">
        <f>IFERROR(INDEX(tk_STEEL,MATCH(321,tk_ASEQ,0))&amp;IF(INDEX(tk_FGA,MATCH(321,tk_ASEQ,0))="",""," "&amp;INDEX(tk_FGA,MATCH(321,tk_ASEQ,0))&amp;"GA"),"")</f>
        <v/>
      </c>
      <c r="M327" s="162">
        <f>IFERROR(IFERROR(VLOOKUP(INDEX(tk_JAMB,MATCH(321,tk_ASEQ,0)),CODES,2,FALSE),""&amp;INDEX(tk_JAMB,MATCH(321,tk_ASEQ,0))),"")</f>
        <v/>
      </c>
      <c r="N327" s="162">
        <f>IFERROR(""&amp;INDEX(tk_CONSTR,MATCH(321,tk_ASEQ,0)),"")</f>
        <v/>
      </c>
      <c r="O327" s="162">
        <f>IFERROR(""&amp;INDEX(tk_ANCHOR,MATCH(321,tk_ASEQ,0)),"")</f>
        <v/>
      </c>
      <c r="P327" s="162">
        <f>IFERROR(""&amp;INDEX(tk_RATING,MATCH(321,tk_ASEQ,0)),"")</f>
        <v/>
      </c>
      <c r="Q327" s="162">
        <f>IFERROR(""&amp;INDEX(tk_LABEL,MATCH(321,tk_ASEQ,0)),"")</f>
        <v/>
      </c>
      <c r="R327" s="162">
        <f>IFERROR(""&amp;INDEX(tk_HWSET,MATCH(321,tk_ASEQ,0)),"")</f>
        <v/>
      </c>
      <c r="S327" s="162">
        <f>IFERROR(IF(""&amp;INDEX(tk_HINGES,MATCH(321,tk_ASEQ,0))="","",INDEX(tk_HINGES,MATCH(321,tk_ASEQ,0))&amp;" · "&amp;INDEX(tk_LSRC,MATCH(321,tk_ASEQ,0))),"")</f>
        <v/>
      </c>
      <c r="T327" s="162">
        <f>IFERROR(""&amp;INDEX(tk_LOCK,MATCH(321,tk_ASEQ,0)),"")</f>
        <v/>
      </c>
      <c r="U327" s="162">
        <f>IFERROR(INDEX(tk_ETYPE,MATCH(321,tk_ASEQ,0)),"")</f>
        <v/>
      </c>
      <c r="V327" s="162">
        <f>IFERROR(""&amp;INDEX(tk_CHECK,MATCH(321,tk_ASEQ,0)),"")</f>
        <v/>
      </c>
      <c r="W327" s="162">
        <f>IFERROR(TRIM(INDEX(tk_DNOTES,MATCH(321,tk_ASEQ,0))&amp;" "&amp;INDEX(tk_FNOTES,MATCH(321,tk_ASEQ,0))),"")</f>
        <v/>
      </c>
    </row>
    <row r="328">
      <c r="A328" s="161">
        <f>IFERROR(""&amp;INDEX(tk_MARK,MATCH(322,tk_ASEQ,0)),"")</f>
        <v/>
      </c>
      <c r="B328" s="162">
        <f>IFERROR(""&amp;INDEX(tk_ROOMF,MATCH(322,tk_ASEQ,0)),"")</f>
        <v/>
      </c>
      <c r="C328" s="162">
        <f>IFERROR(""&amp;INDEX(tk_ROOMT,MATCH(322,tk_ASEQ,0)),"")</f>
        <v/>
      </c>
      <c r="D328" s="162">
        <f>IFERROR(INDEX(tk_QTY,MATCH(322,tk_ASEQ,0)),"")</f>
        <v/>
      </c>
      <c r="E328" s="162">
        <f>IFERROR(""&amp;INDEX(tk_SIZE,MATCH(322,tk_ASEQ,0)),"")</f>
        <v/>
      </c>
      <c r="F328" s="162">
        <f>IFERROR(""&amp;INDEX(tk_PAIR,MATCH(322,tk_ASEQ,0)),"")</f>
        <v/>
      </c>
      <c r="G328" s="162">
        <f>IFERROR(""&amp;INDEX(tk_DMAT,MATCH(322,tk_ASEQ,0)),"")</f>
        <v/>
      </c>
      <c r="H328" s="162">
        <f>IFERROR(""&amp;INDEX(tk_DGA,MATCH(322,tk_ASEQ,0)),"")</f>
        <v/>
      </c>
      <c r="I328" s="162">
        <f>IFERROR(""&amp;INDEX(tk_FACE,MATCH(322,tk_ASEQ,0)),"")</f>
        <v/>
      </c>
      <c r="J328" s="162">
        <f>IFERROR(IF(INDEX(tk_DHAND,MATCH(322,tk_ASEQ,0))="",""&amp;INDEX(tk_HAND,MATCH(322,tk_ASEQ,0)),""&amp;INDEX(tk_DHAND,MATCH(322,tk_ASEQ,0))),"")</f>
        <v/>
      </c>
      <c r="K328" s="162">
        <f>IFERROR(""&amp;INDEX(tk_FDESC,MATCH(322,tk_ASEQ,0)),"")</f>
        <v/>
      </c>
      <c r="L328" s="162">
        <f>IFERROR(INDEX(tk_STEEL,MATCH(322,tk_ASEQ,0))&amp;IF(INDEX(tk_FGA,MATCH(322,tk_ASEQ,0))="",""," "&amp;INDEX(tk_FGA,MATCH(322,tk_ASEQ,0))&amp;"GA"),"")</f>
        <v/>
      </c>
      <c r="M328" s="162">
        <f>IFERROR(IFERROR(VLOOKUP(INDEX(tk_JAMB,MATCH(322,tk_ASEQ,0)),CODES,2,FALSE),""&amp;INDEX(tk_JAMB,MATCH(322,tk_ASEQ,0))),"")</f>
        <v/>
      </c>
      <c r="N328" s="162">
        <f>IFERROR(""&amp;INDEX(tk_CONSTR,MATCH(322,tk_ASEQ,0)),"")</f>
        <v/>
      </c>
      <c r="O328" s="162">
        <f>IFERROR(""&amp;INDEX(tk_ANCHOR,MATCH(322,tk_ASEQ,0)),"")</f>
        <v/>
      </c>
      <c r="P328" s="162">
        <f>IFERROR(""&amp;INDEX(tk_RATING,MATCH(322,tk_ASEQ,0)),"")</f>
        <v/>
      </c>
      <c r="Q328" s="162">
        <f>IFERROR(""&amp;INDEX(tk_LABEL,MATCH(322,tk_ASEQ,0)),"")</f>
        <v/>
      </c>
      <c r="R328" s="162">
        <f>IFERROR(""&amp;INDEX(tk_HWSET,MATCH(322,tk_ASEQ,0)),"")</f>
        <v/>
      </c>
      <c r="S328" s="162">
        <f>IFERROR(IF(""&amp;INDEX(tk_HINGES,MATCH(322,tk_ASEQ,0))="","",INDEX(tk_HINGES,MATCH(322,tk_ASEQ,0))&amp;" · "&amp;INDEX(tk_LSRC,MATCH(322,tk_ASEQ,0))),"")</f>
        <v/>
      </c>
      <c r="T328" s="162">
        <f>IFERROR(""&amp;INDEX(tk_LOCK,MATCH(322,tk_ASEQ,0)),"")</f>
        <v/>
      </c>
      <c r="U328" s="162">
        <f>IFERROR(INDEX(tk_ETYPE,MATCH(322,tk_ASEQ,0)),"")</f>
        <v/>
      </c>
      <c r="V328" s="162">
        <f>IFERROR(""&amp;INDEX(tk_CHECK,MATCH(322,tk_ASEQ,0)),"")</f>
        <v/>
      </c>
      <c r="W328" s="162">
        <f>IFERROR(TRIM(INDEX(tk_DNOTES,MATCH(322,tk_ASEQ,0))&amp;" "&amp;INDEX(tk_FNOTES,MATCH(322,tk_ASEQ,0))),"")</f>
        <v/>
      </c>
    </row>
    <row r="329">
      <c r="A329" s="161">
        <f>IFERROR(""&amp;INDEX(tk_MARK,MATCH(323,tk_ASEQ,0)),"")</f>
        <v/>
      </c>
      <c r="B329" s="162">
        <f>IFERROR(""&amp;INDEX(tk_ROOMF,MATCH(323,tk_ASEQ,0)),"")</f>
        <v/>
      </c>
      <c r="C329" s="162">
        <f>IFERROR(""&amp;INDEX(tk_ROOMT,MATCH(323,tk_ASEQ,0)),"")</f>
        <v/>
      </c>
      <c r="D329" s="162">
        <f>IFERROR(INDEX(tk_QTY,MATCH(323,tk_ASEQ,0)),"")</f>
        <v/>
      </c>
      <c r="E329" s="162">
        <f>IFERROR(""&amp;INDEX(tk_SIZE,MATCH(323,tk_ASEQ,0)),"")</f>
        <v/>
      </c>
      <c r="F329" s="162">
        <f>IFERROR(""&amp;INDEX(tk_PAIR,MATCH(323,tk_ASEQ,0)),"")</f>
        <v/>
      </c>
      <c r="G329" s="162">
        <f>IFERROR(""&amp;INDEX(tk_DMAT,MATCH(323,tk_ASEQ,0)),"")</f>
        <v/>
      </c>
      <c r="H329" s="162">
        <f>IFERROR(""&amp;INDEX(tk_DGA,MATCH(323,tk_ASEQ,0)),"")</f>
        <v/>
      </c>
      <c r="I329" s="162">
        <f>IFERROR(""&amp;INDEX(tk_FACE,MATCH(323,tk_ASEQ,0)),"")</f>
        <v/>
      </c>
      <c r="J329" s="162">
        <f>IFERROR(IF(INDEX(tk_DHAND,MATCH(323,tk_ASEQ,0))="",""&amp;INDEX(tk_HAND,MATCH(323,tk_ASEQ,0)),""&amp;INDEX(tk_DHAND,MATCH(323,tk_ASEQ,0))),"")</f>
        <v/>
      </c>
      <c r="K329" s="162">
        <f>IFERROR(""&amp;INDEX(tk_FDESC,MATCH(323,tk_ASEQ,0)),"")</f>
        <v/>
      </c>
      <c r="L329" s="162">
        <f>IFERROR(INDEX(tk_STEEL,MATCH(323,tk_ASEQ,0))&amp;IF(INDEX(tk_FGA,MATCH(323,tk_ASEQ,0))="",""," "&amp;INDEX(tk_FGA,MATCH(323,tk_ASEQ,0))&amp;"GA"),"")</f>
        <v/>
      </c>
      <c r="M329" s="162">
        <f>IFERROR(IFERROR(VLOOKUP(INDEX(tk_JAMB,MATCH(323,tk_ASEQ,0)),CODES,2,FALSE),""&amp;INDEX(tk_JAMB,MATCH(323,tk_ASEQ,0))),"")</f>
        <v/>
      </c>
      <c r="N329" s="162">
        <f>IFERROR(""&amp;INDEX(tk_CONSTR,MATCH(323,tk_ASEQ,0)),"")</f>
        <v/>
      </c>
      <c r="O329" s="162">
        <f>IFERROR(""&amp;INDEX(tk_ANCHOR,MATCH(323,tk_ASEQ,0)),"")</f>
        <v/>
      </c>
      <c r="P329" s="162">
        <f>IFERROR(""&amp;INDEX(tk_RATING,MATCH(323,tk_ASEQ,0)),"")</f>
        <v/>
      </c>
      <c r="Q329" s="162">
        <f>IFERROR(""&amp;INDEX(tk_LABEL,MATCH(323,tk_ASEQ,0)),"")</f>
        <v/>
      </c>
      <c r="R329" s="162">
        <f>IFERROR(""&amp;INDEX(tk_HWSET,MATCH(323,tk_ASEQ,0)),"")</f>
        <v/>
      </c>
      <c r="S329" s="162">
        <f>IFERROR(IF(""&amp;INDEX(tk_HINGES,MATCH(323,tk_ASEQ,0))="","",INDEX(tk_HINGES,MATCH(323,tk_ASEQ,0))&amp;" · "&amp;INDEX(tk_LSRC,MATCH(323,tk_ASEQ,0))),"")</f>
        <v/>
      </c>
      <c r="T329" s="162">
        <f>IFERROR(""&amp;INDEX(tk_LOCK,MATCH(323,tk_ASEQ,0)),"")</f>
        <v/>
      </c>
      <c r="U329" s="162">
        <f>IFERROR(INDEX(tk_ETYPE,MATCH(323,tk_ASEQ,0)),"")</f>
        <v/>
      </c>
      <c r="V329" s="162">
        <f>IFERROR(""&amp;INDEX(tk_CHECK,MATCH(323,tk_ASEQ,0)),"")</f>
        <v/>
      </c>
      <c r="W329" s="162">
        <f>IFERROR(TRIM(INDEX(tk_DNOTES,MATCH(323,tk_ASEQ,0))&amp;" "&amp;INDEX(tk_FNOTES,MATCH(323,tk_ASEQ,0))),"")</f>
        <v/>
      </c>
    </row>
    <row r="330">
      <c r="A330" s="161">
        <f>IFERROR(""&amp;INDEX(tk_MARK,MATCH(324,tk_ASEQ,0)),"")</f>
        <v/>
      </c>
      <c r="B330" s="162">
        <f>IFERROR(""&amp;INDEX(tk_ROOMF,MATCH(324,tk_ASEQ,0)),"")</f>
        <v/>
      </c>
      <c r="C330" s="162">
        <f>IFERROR(""&amp;INDEX(tk_ROOMT,MATCH(324,tk_ASEQ,0)),"")</f>
        <v/>
      </c>
      <c r="D330" s="162">
        <f>IFERROR(INDEX(tk_QTY,MATCH(324,tk_ASEQ,0)),"")</f>
        <v/>
      </c>
      <c r="E330" s="162">
        <f>IFERROR(""&amp;INDEX(tk_SIZE,MATCH(324,tk_ASEQ,0)),"")</f>
        <v/>
      </c>
      <c r="F330" s="162">
        <f>IFERROR(""&amp;INDEX(tk_PAIR,MATCH(324,tk_ASEQ,0)),"")</f>
        <v/>
      </c>
      <c r="G330" s="162">
        <f>IFERROR(""&amp;INDEX(tk_DMAT,MATCH(324,tk_ASEQ,0)),"")</f>
        <v/>
      </c>
      <c r="H330" s="162">
        <f>IFERROR(""&amp;INDEX(tk_DGA,MATCH(324,tk_ASEQ,0)),"")</f>
        <v/>
      </c>
      <c r="I330" s="162">
        <f>IFERROR(""&amp;INDEX(tk_FACE,MATCH(324,tk_ASEQ,0)),"")</f>
        <v/>
      </c>
      <c r="J330" s="162">
        <f>IFERROR(IF(INDEX(tk_DHAND,MATCH(324,tk_ASEQ,0))="",""&amp;INDEX(tk_HAND,MATCH(324,tk_ASEQ,0)),""&amp;INDEX(tk_DHAND,MATCH(324,tk_ASEQ,0))),"")</f>
        <v/>
      </c>
      <c r="K330" s="162">
        <f>IFERROR(""&amp;INDEX(tk_FDESC,MATCH(324,tk_ASEQ,0)),"")</f>
        <v/>
      </c>
      <c r="L330" s="162">
        <f>IFERROR(INDEX(tk_STEEL,MATCH(324,tk_ASEQ,0))&amp;IF(INDEX(tk_FGA,MATCH(324,tk_ASEQ,0))="",""," "&amp;INDEX(tk_FGA,MATCH(324,tk_ASEQ,0))&amp;"GA"),"")</f>
        <v/>
      </c>
      <c r="M330" s="162">
        <f>IFERROR(IFERROR(VLOOKUP(INDEX(tk_JAMB,MATCH(324,tk_ASEQ,0)),CODES,2,FALSE),""&amp;INDEX(tk_JAMB,MATCH(324,tk_ASEQ,0))),"")</f>
        <v/>
      </c>
      <c r="N330" s="162">
        <f>IFERROR(""&amp;INDEX(tk_CONSTR,MATCH(324,tk_ASEQ,0)),"")</f>
        <v/>
      </c>
      <c r="O330" s="162">
        <f>IFERROR(""&amp;INDEX(tk_ANCHOR,MATCH(324,tk_ASEQ,0)),"")</f>
        <v/>
      </c>
      <c r="P330" s="162">
        <f>IFERROR(""&amp;INDEX(tk_RATING,MATCH(324,tk_ASEQ,0)),"")</f>
        <v/>
      </c>
      <c r="Q330" s="162">
        <f>IFERROR(""&amp;INDEX(tk_LABEL,MATCH(324,tk_ASEQ,0)),"")</f>
        <v/>
      </c>
      <c r="R330" s="162">
        <f>IFERROR(""&amp;INDEX(tk_HWSET,MATCH(324,tk_ASEQ,0)),"")</f>
        <v/>
      </c>
      <c r="S330" s="162">
        <f>IFERROR(IF(""&amp;INDEX(tk_HINGES,MATCH(324,tk_ASEQ,0))="","",INDEX(tk_HINGES,MATCH(324,tk_ASEQ,0))&amp;" · "&amp;INDEX(tk_LSRC,MATCH(324,tk_ASEQ,0))),"")</f>
        <v/>
      </c>
      <c r="T330" s="162">
        <f>IFERROR(""&amp;INDEX(tk_LOCK,MATCH(324,tk_ASEQ,0)),"")</f>
        <v/>
      </c>
      <c r="U330" s="162">
        <f>IFERROR(INDEX(tk_ETYPE,MATCH(324,tk_ASEQ,0)),"")</f>
        <v/>
      </c>
      <c r="V330" s="162">
        <f>IFERROR(""&amp;INDEX(tk_CHECK,MATCH(324,tk_ASEQ,0)),"")</f>
        <v/>
      </c>
      <c r="W330" s="162">
        <f>IFERROR(TRIM(INDEX(tk_DNOTES,MATCH(324,tk_ASEQ,0))&amp;" "&amp;INDEX(tk_FNOTES,MATCH(324,tk_ASEQ,0))),"")</f>
        <v/>
      </c>
    </row>
    <row r="331">
      <c r="A331" s="161">
        <f>IFERROR(""&amp;INDEX(tk_MARK,MATCH(325,tk_ASEQ,0)),"")</f>
        <v/>
      </c>
      <c r="B331" s="162">
        <f>IFERROR(""&amp;INDEX(tk_ROOMF,MATCH(325,tk_ASEQ,0)),"")</f>
        <v/>
      </c>
      <c r="C331" s="162">
        <f>IFERROR(""&amp;INDEX(tk_ROOMT,MATCH(325,tk_ASEQ,0)),"")</f>
        <v/>
      </c>
      <c r="D331" s="162">
        <f>IFERROR(INDEX(tk_QTY,MATCH(325,tk_ASEQ,0)),"")</f>
        <v/>
      </c>
      <c r="E331" s="162">
        <f>IFERROR(""&amp;INDEX(tk_SIZE,MATCH(325,tk_ASEQ,0)),"")</f>
        <v/>
      </c>
      <c r="F331" s="162">
        <f>IFERROR(""&amp;INDEX(tk_PAIR,MATCH(325,tk_ASEQ,0)),"")</f>
        <v/>
      </c>
      <c r="G331" s="162">
        <f>IFERROR(""&amp;INDEX(tk_DMAT,MATCH(325,tk_ASEQ,0)),"")</f>
        <v/>
      </c>
      <c r="H331" s="162">
        <f>IFERROR(""&amp;INDEX(tk_DGA,MATCH(325,tk_ASEQ,0)),"")</f>
        <v/>
      </c>
      <c r="I331" s="162">
        <f>IFERROR(""&amp;INDEX(tk_FACE,MATCH(325,tk_ASEQ,0)),"")</f>
        <v/>
      </c>
      <c r="J331" s="162">
        <f>IFERROR(IF(INDEX(tk_DHAND,MATCH(325,tk_ASEQ,0))="",""&amp;INDEX(tk_HAND,MATCH(325,tk_ASEQ,0)),""&amp;INDEX(tk_DHAND,MATCH(325,tk_ASEQ,0))),"")</f>
        <v/>
      </c>
      <c r="K331" s="162">
        <f>IFERROR(""&amp;INDEX(tk_FDESC,MATCH(325,tk_ASEQ,0)),"")</f>
        <v/>
      </c>
      <c r="L331" s="162">
        <f>IFERROR(INDEX(tk_STEEL,MATCH(325,tk_ASEQ,0))&amp;IF(INDEX(tk_FGA,MATCH(325,tk_ASEQ,0))="",""," "&amp;INDEX(tk_FGA,MATCH(325,tk_ASEQ,0))&amp;"GA"),"")</f>
        <v/>
      </c>
      <c r="M331" s="162">
        <f>IFERROR(IFERROR(VLOOKUP(INDEX(tk_JAMB,MATCH(325,tk_ASEQ,0)),CODES,2,FALSE),""&amp;INDEX(tk_JAMB,MATCH(325,tk_ASEQ,0))),"")</f>
        <v/>
      </c>
      <c r="N331" s="162">
        <f>IFERROR(""&amp;INDEX(tk_CONSTR,MATCH(325,tk_ASEQ,0)),"")</f>
        <v/>
      </c>
      <c r="O331" s="162">
        <f>IFERROR(""&amp;INDEX(tk_ANCHOR,MATCH(325,tk_ASEQ,0)),"")</f>
        <v/>
      </c>
      <c r="P331" s="162">
        <f>IFERROR(""&amp;INDEX(tk_RATING,MATCH(325,tk_ASEQ,0)),"")</f>
        <v/>
      </c>
      <c r="Q331" s="162">
        <f>IFERROR(""&amp;INDEX(tk_LABEL,MATCH(325,tk_ASEQ,0)),"")</f>
        <v/>
      </c>
      <c r="R331" s="162">
        <f>IFERROR(""&amp;INDEX(tk_HWSET,MATCH(325,tk_ASEQ,0)),"")</f>
        <v/>
      </c>
      <c r="S331" s="162">
        <f>IFERROR(IF(""&amp;INDEX(tk_HINGES,MATCH(325,tk_ASEQ,0))="","",INDEX(tk_HINGES,MATCH(325,tk_ASEQ,0))&amp;" · "&amp;INDEX(tk_LSRC,MATCH(325,tk_ASEQ,0))),"")</f>
        <v/>
      </c>
      <c r="T331" s="162">
        <f>IFERROR(""&amp;INDEX(tk_LOCK,MATCH(325,tk_ASEQ,0)),"")</f>
        <v/>
      </c>
      <c r="U331" s="162">
        <f>IFERROR(INDEX(tk_ETYPE,MATCH(325,tk_ASEQ,0)),"")</f>
        <v/>
      </c>
      <c r="V331" s="162">
        <f>IFERROR(""&amp;INDEX(tk_CHECK,MATCH(325,tk_ASEQ,0)),"")</f>
        <v/>
      </c>
      <c r="W331" s="162">
        <f>IFERROR(TRIM(INDEX(tk_DNOTES,MATCH(325,tk_ASEQ,0))&amp;" "&amp;INDEX(tk_FNOTES,MATCH(325,tk_ASEQ,0))),"")</f>
        <v/>
      </c>
    </row>
    <row r="332">
      <c r="A332" s="161">
        <f>IFERROR(""&amp;INDEX(tk_MARK,MATCH(326,tk_ASEQ,0)),"")</f>
        <v/>
      </c>
      <c r="B332" s="162">
        <f>IFERROR(""&amp;INDEX(tk_ROOMF,MATCH(326,tk_ASEQ,0)),"")</f>
        <v/>
      </c>
      <c r="C332" s="162">
        <f>IFERROR(""&amp;INDEX(tk_ROOMT,MATCH(326,tk_ASEQ,0)),"")</f>
        <v/>
      </c>
      <c r="D332" s="162">
        <f>IFERROR(INDEX(tk_QTY,MATCH(326,tk_ASEQ,0)),"")</f>
        <v/>
      </c>
      <c r="E332" s="162">
        <f>IFERROR(""&amp;INDEX(tk_SIZE,MATCH(326,tk_ASEQ,0)),"")</f>
        <v/>
      </c>
      <c r="F332" s="162">
        <f>IFERROR(""&amp;INDEX(tk_PAIR,MATCH(326,tk_ASEQ,0)),"")</f>
        <v/>
      </c>
      <c r="G332" s="162">
        <f>IFERROR(""&amp;INDEX(tk_DMAT,MATCH(326,tk_ASEQ,0)),"")</f>
        <v/>
      </c>
      <c r="H332" s="162">
        <f>IFERROR(""&amp;INDEX(tk_DGA,MATCH(326,tk_ASEQ,0)),"")</f>
        <v/>
      </c>
      <c r="I332" s="162">
        <f>IFERROR(""&amp;INDEX(tk_FACE,MATCH(326,tk_ASEQ,0)),"")</f>
        <v/>
      </c>
      <c r="J332" s="162">
        <f>IFERROR(IF(INDEX(tk_DHAND,MATCH(326,tk_ASEQ,0))="",""&amp;INDEX(tk_HAND,MATCH(326,tk_ASEQ,0)),""&amp;INDEX(tk_DHAND,MATCH(326,tk_ASEQ,0))),"")</f>
        <v/>
      </c>
      <c r="K332" s="162">
        <f>IFERROR(""&amp;INDEX(tk_FDESC,MATCH(326,tk_ASEQ,0)),"")</f>
        <v/>
      </c>
      <c r="L332" s="162">
        <f>IFERROR(INDEX(tk_STEEL,MATCH(326,tk_ASEQ,0))&amp;IF(INDEX(tk_FGA,MATCH(326,tk_ASEQ,0))="",""," "&amp;INDEX(tk_FGA,MATCH(326,tk_ASEQ,0))&amp;"GA"),"")</f>
        <v/>
      </c>
      <c r="M332" s="162">
        <f>IFERROR(IFERROR(VLOOKUP(INDEX(tk_JAMB,MATCH(326,tk_ASEQ,0)),CODES,2,FALSE),""&amp;INDEX(tk_JAMB,MATCH(326,tk_ASEQ,0))),"")</f>
        <v/>
      </c>
      <c r="N332" s="162">
        <f>IFERROR(""&amp;INDEX(tk_CONSTR,MATCH(326,tk_ASEQ,0)),"")</f>
        <v/>
      </c>
      <c r="O332" s="162">
        <f>IFERROR(""&amp;INDEX(tk_ANCHOR,MATCH(326,tk_ASEQ,0)),"")</f>
        <v/>
      </c>
      <c r="P332" s="162">
        <f>IFERROR(""&amp;INDEX(tk_RATING,MATCH(326,tk_ASEQ,0)),"")</f>
        <v/>
      </c>
      <c r="Q332" s="162">
        <f>IFERROR(""&amp;INDEX(tk_LABEL,MATCH(326,tk_ASEQ,0)),"")</f>
        <v/>
      </c>
      <c r="R332" s="162">
        <f>IFERROR(""&amp;INDEX(tk_HWSET,MATCH(326,tk_ASEQ,0)),"")</f>
        <v/>
      </c>
      <c r="S332" s="162">
        <f>IFERROR(IF(""&amp;INDEX(tk_HINGES,MATCH(326,tk_ASEQ,0))="","",INDEX(tk_HINGES,MATCH(326,tk_ASEQ,0))&amp;" · "&amp;INDEX(tk_LSRC,MATCH(326,tk_ASEQ,0))),"")</f>
        <v/>
      </c>
      <c r="T332" s="162">
        <f>IFERROR(""&amp;INDEX(tk_LOCK,MATCH(326,tk_ASEQ,0)),"")</f>
        <v/>
      </c>
      <c r="U332" s="162">
        <f>IFERROR(INDEX(tk_ETYPE,MATCH(326,tk_ASEQ,0)),"")</f>
        <v/>
      </c>
      <c r="V332" s="162">
        <f>IFERROR(""&amp;INDEX(tk_CHECK,MATCH(326,tk_ASEQ,0)),"")</f>
        <v/>
      </c>
      <c r="W332" s="162">
        <f>IFERROR(TRIM(INDEX(tk_DNOTES,MATCH(326,tk_ASEQ,0))&amp;" "&amp;INDEX(tk_FNOTES,MATCH(326,tk_ASEQ,0))),"")</f>
        <v/>
      </c>
    </row>
    <row r="333">
      <c r="A333" s="161">
        <f>IFERROR(""&amp;INDEX(tk_MARK,MATCH(327,tk_ASEQ,0)),"")</f>
        <v/>
      </c>
      <c r="B333" s="162">
        <f>IFERROR(""&amp;INDEX(tk_ROOMF,MATCH(327,tk_ASEQ,0)),"")</f>
        <v/>
      </c>
      <c r="C333" s="162">
        <f>IFERROR(""&amp;INDEX(tk_ROOMT,MATCH(327,tk_ASEQ,0)),"")</f>
        <v/>
      </c>
      <c r="D333" s="162">
        <f>IFERROR(INDEX(tk_QTY,MATCH(327,tk_ASEQ,0)),"")</f>
        <v/>
      </c>
      <c r="E333" s="162">
        <f>IFERROR(""&amp;INDEX(tk_SIZE,MATCH(327,tk_ASEQ,0)),"")</f>
        <v/>
      </c>
      <c r="F333" s="162">
        <f>IFERROR(""&amp;INDEX(tk_PAIR,MATCH(327,tk_ASEQ,0)),"")</f>
        <v/>
      </c>
      <c r="G333" s="162">
        <f>IFERROR(""&amp;INDEX(tk_DMAT,MATCH(327,tk_ASEQ,0)),"")</f>
        <v/>
      </c>
      <c r="H333" s="162">
        <f>IFERROR(""&amp;INDEX(tk_DGA,MATCH(327,tk_ASEQ,0)),"")</f>
        <v/>
      </c>
      <c r="I333" s="162">
        <f>IFERROR(""&amp;INDEX(tk_FACE,MATCH(327,tk_ASEQ,0)),"")</f>
        <v/>
      </c>
      <c r="J333" s="162">
        <f>IFERROR(IF(INDEX(tk_DHAND,MATCH(327,tk_ASEQ,0))="",""&amp;INDEX(tk_HAND,MATCH(327,tk_ASEQ,0)),""&amp;INDEX(tk_DHAND,MATCH(327,tk_ASEQ,0))),"")</f>
        <v/>
      </c>
      <c r="K333" s="162">
        <f>IFERROR(""&amp;INDEX(tk_FDESC,MATCH(327,tk_ASEQ,0)),"")</f>
        <v/>
      </c>
      <c r="L333" s="162">
        <f>IFERROR(INDEX(tk_STEEL,MATCH(327,tk_ASEQ,0))&amp;IF(INDEX(tk_FGA,MATCH(327,tk_ASEQ,0))="",""," "&amp;INDEX(tk_FGA,MATCH(327,tk_ASEQ,0))&amp;"GA"),"")</f>
        <v/>
      </c>
      <c r="M333" s="162">
        <f>IFERROR(IFERROR(VLOOKUP(INDEX(tk_JAMB,MATCH(327,tk_ASEQ,0)),CODES,2,FALSE),""&amp;INDEX(tk_JAMB,MATCH(327,tk_ASEQ,0))),"")</f>
        <v/>
      </c>
      <c r="N333" s="162">
        <f>IFERROR(""&amp;INDEX(tk_CONSTR,MATCH(327,tk_ASEQ,0)),"")</f>
        <v/>
      </c>
      <c r="O333" s="162">
        <f>IFERROR(""&amp;INDEX(tk_ANCHOR,MATCH(327,tk_ASEQ,0)),"")</f>
        <v/>
      </c>
      <c r="P333" s="162">
        <f>IFERROR(""&amp;INDEX(tk_RATING,MATCH(327,tk_ASEQ,0)),"")</f>
        <v/>
      </c>
      <c r="Q333" s="162">
        <f>IFERROR(""&amp;INDEX(tk_LABEL,MATCH(327,tk_ASEQ,0)),"")</f>
        <v/>
      </c>
      <c r="R333" s="162">
        <f>IFERROR(""&amp;INDEX(tk_HWSET,MATCH(327,tk_ASEQ,0)),"")</f>
        <v/>
      </c>
      <c r="S333" s="162">
        <f>IFERROR(IF(""&amp;INDEX(tk_HINGES,MATCH(327,tk_ASEQ,0))="","",INDEX(tk_HINGES,MATCH(327,tk_ASEQ,0))&amp;" · "&amp;INDEX(tk_LSRC,MATCH(327,tk_ASEQ,0))),"")</f>
        <v/>
      </c>
      <c r="T333" s="162">
        <f>IFERROR(""&amp;INDEX(tk_LOCK,MATCH(327,tk_ASEQ,0)),"")</f>
        <v/>
      </c>
      <c r="U333" s="162">
        <f>IFERROR(INDEX(tk_ETYPE,MATCH(327,tk_ASEQ,0)),"")</f>
        <v/>
      </c>
      <c r="V333" s="162">
        <f>IFERROR(""&amp;INDEX(tk_CHECK,MATCH(327,tk_ASEQ,0)),"")</f>
        <v/>
      </c>
      <c r="W333" s="162">
        <f>IFERROR(TRIM(INDEX(tk_DNOTES,MATCH(327,tk_ASEQ,0))&amp;" "&amp;INDEX(tk_FNOTES,MATCH(327,tk_ASEQ,0))),"")</f>
        <v/>
      </c>
    </row>
    <row r="334">
      <c r="A334" s="161">
        <f>IFERROR(""&amp;INDEX(tk_MARK,MATCH(328,tk_ASEQ,0)),"")</f>
        <v/>
      </c>
      <c r="B334" s="162">
        <f>IFERROR(""&amp;INDEX(tk_ROOMF,MATCH(328,tk_ASEQ,0)),"")</f>
        <v/>
      </c>
      <c r="C334" s="162">
        <f>IFERROR(""&amp;INDEX(tk_ROOMT,MATCH(328,tk_ASEQ,0)),"")</f>
        <v/>
      </c>
      <c r="D334" s="162">
        <f>IFERROR(INDEX(tk_QTY,MATCH(328,tk_ASEQ,0)),"")</f>
        <v/>
      </c>
      <c r="E334" s="162">
        <f>IFERROR(""&amp;INDEX(tk_SIZE,MATCH(328,tk_ASEQ,0)),"")</f>
        <v/>
      </c>
      <c r="F334" s="162">
        <f>IFERROR(""&amp;INDEX(tk_PAIR,MATCH(328,tk_ASEQ,0)),"")</f>
        <v/>
      </c>
      <c r="G334" s="162">
        <f>IFERROR(""&amp;INDEX(tk_DMAT,MATCH(328,tk_ASEQ,0)),"")</f>
        <v/>
      </c>
      <c r="H334" s="162">
        <f>IFERROR(""&amp;INDEX(tk_DGA,MATCH(328,tk_ASEQ,0)),"")</f>
        <v/>
      </c>
      <c r="I334" s="162">
        <f>IFERROR(""&amp;INDEX(tk_FACE,MATCH(328,tk_ASEQ,0)),"")</f>
        <v/>
      </c>
      <c r="J334" s="162">
        <f>IFERROR(IF(INDEX(tk_DHAND,MATCH(328,tk_ASEQ,0))="",""&amp;INDEX(tk_HAND,MATCH(328,tk_ASEQ,0)),""&amp;INDEX(tk_DHAND,MATCH(328,tk_ASEQ,0))),"")</f>
        <v/>
      </c>
      <c r="K334" s="162">
        <f>IFERROR(""&amp;INDEX(tk_FDESC,MATCH(328,tk_ASEQ,0)),"")</f>
        <v/>
      </c>
      <c r="L334" s="162">
        <f>IFERROR(INDEX(tk_STEEL,MATCH(328,tk_ASEQ,0))&amp;IF(INDEX(tk_FGA,MATCH(328,tk_ASEQ,0))="",""," "&amp;INDEX(tk_FGA,MATCH(328,tk_ASEQ,0))&amp;"GA"),"")</f>
        <v/>
      </c>
      <c r="M334" s="162">
        <f>IFERROR(IFERROR(VLOOKUP(INDEX(tk_JAMB,MATCH(328,tk_ASEQ,0)),CODES,2,FALSE),""&amp;INDEX(tk_JAMB,MATCH(328,tk_ASEQ,0))),"")</f>
        <v/>
      </c>
      <c r="N334" s="162">
        <f>IFERROR(""&amp;INDEX(tk_CONSTR,MATCH(328,tk_ASEQ,0)),"")</f>
        <v/>
      </c>
      <c r="O334" s="162">
        <f>IFERROR(""&amp;INDEX(tk_ANCHOR,MATCH(328,tk_ASEQ,0)),"")</f>
        <v/>
      </c>
      <c r="P334" s="162">
        <f>IFERROR(""&amp;INDEX(tk_RATING,MATCH(328,tk_ASEQ,0)),"")</f>
        <v/>
      </c>
      <c r="Q334" s="162">
        <f>IFERROR(""&amp;INDEX(tk_LABEL,MATCH(328,tk_ASEQ,0)),"")</f>
        <v/>
      </c>
      <c r="R334" s="162">
        <f>IFERROR(""&amp;INDEX(tk_HWSET,MATCH(328,tk_ASEQ,0)),"")</f>
        <v/>
      </c>
      <c r="S334" s="162">
        <f>IFERROR(IF(""&amp;INDEX(tk_HINGES,MATCH(328,tk_ASEQ,0))="","",INDEX(tk_HINGES,MATCH(328,tk_ASEQ,0))&amp;" · "&amp;INDEX(tk_LSRC,MATCH(328,tk_ASEQ,0))),"")</f>
        <v/>
      </c>
      <c r="T334" s="162">
        <f>IFERROR(""&amp;INDEX(tk_LOCK,MATCH(328,tk_ASEQ,0)),"")</f>
        <v/>
      </c>
      <c r="U334" s="162">
        <f>IFERROR(INDEX(tk_ETYPE,MATCH(328,tk_ASEQ,0)),"")</f>
        <v/>
      </c>
      <c r="V334" s="162">
        <f>IFERROR(""&amp;INDEX(tk_CHECK,MATCH(328,tk_ASEQ,0)),"")</f>
        <v/>
      </c>
      <c r="W334" s="162">
        <f>IFERROR(TRIM(INDEX(tk_DNOTES,MATCH(328,tk_ASEQ,0))&amp;" "&amp;INDEX(tk_FNOTES,MATCH(328,tk_ASEQ,0))),"")</f>
        <v/>
      </c>
    </row>
    <row r="335">
      <c r="A335" s="161">
        <f>IFERROR(""&amp;INDEX(tk_MARK,MATCH(329,tk_ASEQ,0)),"")</f>
        <v/>
      </c>
      <c r="B335" s="162">
        <f>IFERROR(""&amp;INDEX(tk_ROOMF,MATCH(329,tk_ASEQ,0)),"")</f>
        <v/>
      </c>
      <c r="C335" s="162">
        <f>IFERROR(""&amp;INDEX(tk_ROOMT,MATCH(329,tk_ASEQ,0)),"")</f>
        <v/>
      </c>
      <c r="D335" s="162">
        <f>IFERROR(INDEX(tk_QTY,MATCH(329,tk_ASEQ,0)),"")</f>
        <v/>
      </c>
      <c r="E335" s="162">
        <f>IFERROR(""&amp;INDEX(tk_SIZE,MATCH(329,tk_ASEQ,0)),"")</f>
        <v/>
      </c>
      <c r="F335" s="162">
        <f>IFERROR(""&amp;INDEX(tk_PAIR,MATCH(329,tk_ASEQ,0)),"")</f>
        <v/>
      </c>
      <c r="G335" s="162">
        <f>IFERROR(""&amp;INDEX(tk_DMAT,MATCH(329,tk_ASEQ,0)),"")</f>
        <v/>
      </c>
      <c r="H335" s="162">
        <f>IFERROR(""&amp;INDEX(tk_DGA,MATCH(329,tk_ASEQ,0)),"")</f>
        <v/>
      </c>
      <c r="I335" s="162">
        <f>IFERROR(""&amp;INDEX(tk_FACE,MATCH(329,tk_ASEQ,0)),"")</f>
        <v/>
      </c>
      <c r="J335" s="162">
        <f>IFERROR(IF(INDEX(tk_DHAND,MATCH(329,tk_ASEQ,0))="",""&amp;INDEX(tk_HAND,MATCH(329,tk_ASEQ,0)),""&amp;INDEX(tk_DHAND,MATCH(329,tk_ASEQ,0))),"")</f>
        <v/>
      </c>
      <c r="K335" s="162">
        <f>IFERROR(""&amp;INDEX(tk_FDESC,MATCH(329,tk_ASEQ,0)),"")</f>
        <v/>
      </c>
      <c r="L335" s="162">
        <f>IFERROR(INDEX(tk_STEEL,MATCH(329,tk_ASEQ,0))&amp;IF(INDEX(tk_FGA,MATCH(329,tk_ASEQ,0))="",""," "&amp;INDEX(tk_FGA,MATCH(329,tk_ASEQ,0))&amp;"GA"),"")</f>
        <v/>
      </c>
      <c r="M335" s="162">
        <f>IFERROR(IFERROR(VLOOKUP(INDEX(tk_JAMB,MATCH(329,tk_ASEQ,0)),CODES,2,FALSE),""&amp;INDEX(tk_JAMB,MATCH(329,tk_ASEQ,0))),"")</f>
        <v/>
      </c>
      <c r="N335" s="162">
        <f>IFERROR(""&amp;INDEX(tk_CONSTR,MATCH(329,tk_ASEQ,0)),"")</f>
        <v/>
      </c>
      <c r="O335" s="162">
        <f>IFERROR(""&amp;INDEX(tk_ANCHOR,MATCH(329,tk_ASEQ,0)),"")</f>
        <v/>
      </c>
      <c r="P335" s="162">
        <f>IFERROR(""&amp;INDEX(tk_RATING,MATCH(329,tk_ASEQ,0)),"")</f>
        <v/>
      </c>
      <c r="Q335" s="162">
        <f>IFERROR(""&amp;INDEX(tk_LABEL,MATCH(329,tk_ASEQ,0)),"")</f>
        <v/>
      </c>
      <c r="R335" s="162">
        <f>IFERROR(""&amp;INDEX(tk_HWSET,MATCH(329,tk_ASEQ,0)),"")</f>
        <v/>
      </c>
      <c r="S335" s="162">
        <f>IFERROR(IF(""&amp;INDEX(tk_HINGES,MATCH(329,tk_ASEQ,0))="","",INDEX(tk_HINGES,MATCH(329,tk_ASEQ,0))&amp;" · "&amp;INDEX(tk_LSRC,MATCH(329,tk_ASEQ,0))),"")</f>
        <v/>
      </c>
      <c r="T335" s="162">
        <f>IFERROR(""&amp;INDEX(tk_LOCK,MATCH(329,tk_ASEQ,0)),"")</f>
        <v/>
      </c>
      <c r="U335" s="162">
        <f>IFERROR(INDEX(tk_ETYPE,MATCH(329,tk_ASEQ,0)),"")</f>
        <v/>
      </c>
      <c r="V335" s="162">
        <f>IFERROR(""&amp;INDEX(tk_CHECK,MATCH(329,tk_ASEQ,0)),"")</f>
        <v/>
      </c>
      <c r="W335" s="162">
        <f>IFERROR(TRIM(INDEX(tk_DNOTES,MATCH(329,tk_ASEQ,0))&amp;" "&amp;INDEX(tk_FNOTES,MATCH(329,tk_ASEQ,0))),"")</f>
        <v/>
      </c>
    </row>
    <row r="336">
      <c r="A336" s="161">
        <f>IFERROR(""&amp;INDEX(tk_MARK,MATCH(330,tk_ASEQ,0)),"")</f>
        <v/>
      </c>
      <c r="B336" s="162">
        <f>IFERROR(""&amp;INDEX(tk_ROOMF,MATCH(330,tk_ASEQ,0)),"")</f>
        <v/>
      </c>
      <c r="C336" s="162">
        <f>IFERROR(""&amp;INDEX(tk_ROOMT,MATCH(330,tk_ASEQ,0)),"")</f>
        <v/>
      </c>
      <c r="D336" s="162">
        <f>IFERROR(INDEX(tk_QTY,MATCH(330,tk_ASEQ,0)),"")</f>
        <v/>
      </c>
      <c r="E336" s="162">
        <f>IFERROR(""&amp;INDEX(tk_SIZE,MATCH(330,tk_ASEQ,0)),"")</f>
        <v/>
      </c>
      <c r="F336" s="162">
        <f>IFERROR(""&amp;INDEX(tk_PAIR,MATCH(330,tk_ASEQ,0)),"")</f>
        <v/>
      </c>
      <c r="G336" s="162">
        <f>IFERROR(""&amp;INDEX(tk_DMAT,MATCH(330,tk_ASEQ,0)),"")</f>
        <v/>
      </c>
      <c r="H336" s="162">
        <f>IFERROR(""&amp;INDEX(tk_DGA,MATCH(330,tk_ASEQ,0)),"")</f>
        <v/>
      </c>
      <c r="I336" s="162">
        <f>IFERROR(""&amp;INDEX(tk_FACE,MATCH(330,tk_ASEQ,0)),"")</f>
        <v/>
      </c>
      <c r="J336" s="162">
        <f>IFERROR(IF(INDEX(tk_DHAND,MATCH(330,tk_ASEQ,0))="",""&amp;INDEX(tk_HAND,MATCH(330,tk_ASEQ,0)),""&amp;INDEX(tk_DHAND,MATCH(330,tk_ASEQ,0))),"")</f>
        <v/>
      </c>
      <c r="K336" s="162">
        <f>IFERROR(""&amp;INDEX(tk_FDESC,MATCH(330,tk_ASEQ,0)),"")</f>
        <v/>
      </c>
      <c r="L336" s="162">
        <f>IFERROR(INDEX(tk_STEEL,MATCH(330,tk_ASEQ,0))&amp;IF(INDEX(tk_FGA,MATCH(330,tk_ASEQ,0))="",""," "&amp;INDEX(tk_FGA,MATCH(330,tk_ASEQ,0))&amp;"GA"),"")</f>
        <v/>
      </c>
      <c r="M336" s="162">
        <f>IFERROR(IFERROR(VLOOKUP(INDEX(tk_JAMB,MATCH(330,tk_ASEQ,0)),CODES,2,FALSE),""&amp;INDEX(tk_JAMB,MATCH(330,tk_ASEQ,0))),"")</f>
        <v/>
      </c>
      <c r="N336" s="162">
        <f>IFERROR(""&amp;INDEX(tk_CONSTR,MATCH(330,tk_ASEQ,0)),"")</f>
        <v/>
      </c>
      <c r="O336" s="162">
        <f>IFERROR(""&amp;INDEX(tk_ANCHOR,MATCH(330,tk_ASEQ,0)),"")</f>
        <v/>
      </c>
      <c r="P336" s="162">
        <f>IFERROR(""&amp;INDEX(tk_RATING,MATCH(330,tk_ASEQ,0)),"")</f>
        <v/>
      </c>
      <c r="Q336" s="162">
        <f>IFERROR(""&amp;INDEX(tk_LABEL,MATCH(330,tk_ASEQ,0)),"")</f>
        <v/>
      </c>
      <c r="R336" s="162">
        <f>IFERROR(""&amp;INDEX(tk_HWSET,MATCH(330,tk_ASEQ,0)),"")</f>
        <v/>
      </c>
      <c r="S336" s="162">
        <f>IFERROR(IF(""&amp;INDEX(tk_HINGES,MATCH(330,tk_ASEQ,0))="","",INDEX(tk_HINGES,MATCH(330,tk_ASEQ,0))&amp;" · "&amp;INDEX(tk_LSRC,MATCH(330,tk_ASEQ,0))),"")</f>
        <v/>
      </c>
      <c r="T336" s="162">
        <f>IFERROR(""&amp;INDEX(tk_LOCK,MATCH(330,tk_ASEQ,0)),"")</f>
        <v/>
      </c>
      <c r="U336" s="162">
        <f>IFERROR(INDEX(tk_ETYPE,MATCH(330,tk_ASEQ,0)),"")</f>
        <v/>
      </c>
      <c r="V336" s="162">
        <f>IFERROR(""&amp;INDEX(tk_CHECK,MATCH(330,tk_ASEQ,0)),"")</f>
        <v/>
      </c>
      <c r="W336" s="162">
        <f>IFERROR(TRIM(INDEX(tk_DNOTES,MATCH(330,tk_ASEQ,0))&amp;" "&amp;INDEX(tk_FNOTES,MATCH(330,tk_ASEQ,0))),"")</f>
        <v/>
      </c>
    </row>
    <row r="337">
      <c r="A337" s="161">
        <f>IFERROR(""&amp;INDEX(tk_MARK,MATCH(331,tk_ASEQ,0)),"")</f>
        <v/>
      </c>
      <c r="B337" s="162">
        <f>IFERROR(""&amp;INDEX(tk_ROOMF,MATCH(331,tk_ASEQ,0)),"")</f>
        <v/>
      </c>
      <c r="C337" s="162">
        <f>IFERROR(""&amp;INDEX(tk_ROOMT,MATCH(331,tk_ASEQ,0)),"")</f>
        <v/>
      </c>
      <c r="D337" s="162">
        <f>IFERROR(INDEX(tk_QTY,MATCH(331,tk_ASEQ,0)),"")</f>
        <v/>
      </c>
      <c r="E337" s="162">
        <f>IFERROR(""&amp;INDEX(tk_SIZE,MATCH(331,tk_ASEQ,0)),"")</f>
        <v/>
      </c>
      <c r="F337" s="162">
        <f>IFERROR(""&amp;INDEX(tk_PAIR,MATCH(331,tk_ASEQ,0)),"")</f>
        <v/>
      </c>
      <c r="G337" s="162">
        <f>IFERROR(""&amp;INDEX(tk_DMAT,MATCH(331,tk_ASEQ,0)),"")</f>
        <v/>
      </c>
      <c r="H337" s="162">
        <f>IFERROR(""&amp;INDEX(tk_DGA,MATCH(331,tk_ASEQ,0)),"")</f>
        <v/>
      </c>
      <c r="I337" s="162">
        <f>IFERROR(""&amp;INDEX(tk_FACE,MATCH(331,tk_ASEQ,0)),"")</f>
        <v/>
      </c>
      <c r="J337" s="162">
        <f>IFERROR(IF(INDEX(tk_DHAND,MATCH(331,tk_ASEQ,0))="",""&amp;INDEX(tk_HAND,MATCH(331,tk_ASEQ,0)),""&amp;INDEX(tk_DHAND,MATCH(331,tk_ASEQ,0))),"")</f>
        <v/>
      </c>
      <c r="K337" s="162">
        <f>IFERROR(""&amp;INDEX(tk_FDESC,MATCH(331,tk_ASEQ,0)),"")</f>
        <v/>
      </c>
      <c r="L337" s="162">
        <f>IFERROR(INDEX(tk_STEEL,MATCH(331,tk_ASEQ,0))&amp;IF(INDEX(tk_FGA,MATCH(331,tk_ASEQ,0))="",""," "&amp;INDEX(tk_FGA,MATCH(331,tk_ASEQ,0))&amp;"GA"),"")</f>
        <v/>
      </c>
      <c r="M337" s="162">
        <f>IFERROR(IFERROR(VLOOKUP(INDEX(tk_JAMB,MATCH(331,tk_ASEQ,0)),CODES,2,FALSE),""&amp;INDEX(tk_JAMB,MATCH(331,tk_ASEQ,0))),"")</f>
        <v/>
      </c>
      <c r="N337" s="162">
        <f>IFERROR(""&amp;INDEX(tk_CONSTR,MATCH(331,tk_ASEQ,0)),"")</f>
        <v/>
      </c>
      <c r="O337" s="162">
        <f>IFERROR(""&amp;INDEX(tk_ANCHOR,MATCH(331,tk_ASEQ,0)),"")</f>
        <v/>
      </c>
      <c r="P337" s="162">
        <f>IFERROR(""&amp;INDEX(tk_RATING,MATCH(331,tk_ASEQ,0)),"")</f>
        <v/>
      </c>
      <c r="Q337" s="162">
        <f>IFERROR(""&amp;INDEX(tk_LABEL,MATCH(331,tk_ASEQ,0)),"")</f>
        <v/>
      </c>
      <c r="R337" s="162">
        <f>IFERROR(""&amp;INDEX(tk_HWSET,MATCH(331,tk_ASEQ,0)),"")</f>
        <v/>
      </c>
      <c r="S337" s="162">
        <f>IFERROR(IF(""&amp;INDEX(tk_HINGES,MATCH(331,tk_ASEQ,0))="","",INDEX(tk_HINGES,MATCH(331,tk_ASEQ,0))&amp;" · "&amp;INDEX(tk_LSRC,MATCH(331,tk_ASEQ,0))),"")</f>
        <v/>
      </c>
      <c r="T337" s="162">
        <f>IFERROR(""&amp;INDEX(tk_LOCK,MATCH(331,tk_ASEQ,0)),"")</f>
        <v/>
      </c>
      <c r="U337" s="162">
        <f>IFERROR(INDEX(tk_ETYPE,MATCH(331,tk_ASEQ,0)),"")</f>
        <v/>
      </c>
      <c r="V337" s="162">
        <f>IFERROR(""&amp;INDEX(tk_CHECK,MATCH(331,tk_ASEQ,0)),"")</f>
        <v/>
      </c>
      <c r="W337" s="162">
        <f>IFERROR(TRIM(INDEX(tk_DNOTES,MATCH(331,tk_ASEQ,0))&amp;" "&amp;INDEX(tk_FNOTES,MATCH(331,tk_ASEQ,0))),"")</f>
        <v/>
      </c>
    </row>
    <row r="338">
      <c r="A338" s="161">
        <f>IFERROR(""&amp;INDEX(tk_MARK,MATCH(332,tk_ASEQ,0)),"")</f>
        <v/>
      </c>
      <c r="B338" s="162">
        <f>IFERROR(""&amp;INDEX(tk_ROOMF,MATCH(332,tk_ASEQ,0)),"")</f>
        <v/>
      </c>
      <c r="C338" s="162">
        <f>IFERROR(""&amp;INDEX(tk_ROOMT,MATCH(332,tk_ASEQ,0)),"")</f>
        <v/>
      </c>
      <c r="D338" s="162">
        <f>IFERROR(INDEX(tk_QTY,MATCH(332,tk_ASEQ,0)),"")</f>
        <v/>
      </c>
      <c r="E338" s="162">
        <f>IFERROR(""&amp;INDEX(tk_SIZE,MATCH(332,tk_ASEQ,0)),"")</f>
        <v/>
      </c>
      <c r="F338" s="162">
        <f>IFERROR(""&amp;INDEX(tk_PAIR,MATCH(332,tk_ASEQ,0)),"")</f>
        <v/>
      </c>
      <c r="G338" s="162">
        <f>IFERROR(""&amp;INDEX(tk_DMAT,MATCH(332,tk_ASEQ,0)),"")</f>
        <v/>
      </c>
      <c r="H338" s="162">
        <f>IFERROR(""&amp;INDEX(tk_DGA,MATCH(332,tk_ASEQ,0)),"")</f>
        <v/>
      </c>
      <c r="I338" s="162">
        <f>IFERROR(""&amp;INDEX(tk_FACE,MATCH(332,tk_ASEQ,0)),"")</f>
        <v/>
      </c>
      <c r="J338" s="162">
        <f>IFERROR(IF(INDEX(tk_DHAND,MATCH(332,tk_ASEQ,0))="",""&amp;INDEX(tk_HAND,MATCH(332,tk_ASEQ,0)),""&amp;INDEX(tk_DHAND,MATCH(332,tk_ASEQ,0))),"")</f>
        <v/>
      </c>
      <c r="K338" s="162">
        <f>IFERROR(""&amp;INDEX(tk_FDESC,MATCH(332,tk_ASEQ,0)),"")</f>
        <v/>
      </c>
      <c r="L338" s="162">
        <f>IFERROR(INDEX(tk_STEEL,MATCH(332,tk_ASEQ,0))&amp;IF(INDEX(tk_FGA,MATCH(332,tk_ASEQ,0))="",""," "&amp;INDEX(tk_FGA,MATCH(332,tk_ASEQ,0))&amp;"GA"),"")</f>
        <v/>
      </c>
      <c r="M338" s="162">
        <f>IFERROR(IFERROR(VLOOKUP(INDEX(tk_JAMB,MATCH(332,tk_ASEQ,0)),CODES,2,FALSE),""&amp;INDEX(tk_JAMB,MATCH(332,tk_ASEQ,0))),"")</f>
        <v/>
      </c>
      <c r="N338" s="162">
        <f>IFERROR(""&amp;INDEX(tk_CONSTR,MATCH(332,tk_ASEQ,0)),"")</f>
        <v/>
      </c>
      <c r="O338" s="162">
        <f>IFERROR(""&amp;INDEX(tk_ANCHOR,MATCH(332,tk_ASEQ,0)),"")</f>
        <v/>
      </c>
      <c r="P338" s="162">
        <f>IFERROR(""&amp;INDEX(tk_RATING,MATCH(332,tk_ASEQ,0)),"")</f>
        <v/>
      </c>
      <c r="Q338" s="162">
        <f>IFERROR(""&amp;INDEX(tk_LABEL,MATCH(332,tk_ASEQ,0)),"")</f>
        <v/>
      </c>
      <c r="R338" s="162">
        <f>IFERROR(""&amp;INDEX(tk_HWSET,MATCH(332,tk_ASEQ,0)),"")</f>
        <v/>
      </c>
      <c r="S338" s="162">
        <f>IFERROR(IF(""&amp;INDEX(tk_HINGES,MATCH(332,tk_ASEQ,0))="","",INDEX(tk_HINGES,MATCH(332,tk_ASEQ,0))&amp;" · "&amp;INDEX(tk_LSRC,MATCH(332,tk_ASEQ,0))),"")</f>
        <v/>
      </c>
      <c r="T338" s="162">
        <f>IFERROR(""&amp;INDEX(tk_LOCK,MATCH(332,tk_ASEQ,0)),"")</f>
        <v/>
      </c>
      <c r="U338" s="162">
        <f>IFERROR(INDEX(tk_ETYPE,MATCH(332,tk_ASEQ,0)),"")</f>
        <v/>
      </c>
      <c r="V338" s="162">
        <f>IFERROR(""&amp;INDEX(tk_CHECK,MATCH(332,tk_ASEQ,0)),"")</f>
        <v/>
      </c>
      <c r="W338" s="162">
        <f>IFERROR(TRIM(INDEX(tk_DNOTES,MATCH(332,tk_ASEQ,0))&amp;" "&amp;INDEX(tk_FNOTES,MATCH(332,tk_ASEQ,0))),"")</f>
        <v/>
      </c>
    </row>
    <row r="339">
      <c r="A339" s="161">
        <f>IFERROR(""&amp;INDEX(tk_MARK,MATCH(333,tk_ASEQ,0)),"")</f>
        <v/>
      </c>
      <c r="B339" s="162">
        <f>IFERROR(""&amp;INDEX(tk_ROOMF,MATCH(333,tk_ASEQ,0)),"")</f>
        <v/>
      </c>
      <c r="C339" s="162">
        <f>IFERROR(""&amp;INDEX(tk_ROOMT,MATCH(333,tk_ASEQ,0)),"")</f>
        <v/>
      </c>
      <c r="D339" s="162">
        <f>IFERROR(INDEX(tk_QTY,MATCH(333,tk_ASEQ,0)),"")</f>
        <v/>
      </c>
      <c r="E339" s="162">
        <f>IFERROR(""&amp;INDEX(tk_SIZE,MATCH(333,tk_ASEQ,0)),"")</f>
        <v/>
      </c>
      <c r="F339" s="162">
        <f>IFERROR(""&amp;INDEX(tk_PAIR,MATCH(333,tk_ASEQ,0)),"")</f>
        <v/>
      </c>
      <c r="G339" s="162">
        <f>IFERROR(""&amp;INDEX(tk_DMAT,MATCH(333,tk_ASEQ,0)),"")</f>
        <v/>
      </c>
      <c r="H339" s="162">
        <f>IFERROR(""&amp;INDEX(tk_DGA,MATCH(333,tk_ASEQ,0)),"")</f>
        <v/>
      </c>
      <c r="I339" s="162">
        <f>IFERROR(""&amp;INDEX(tk_FACE,MATCH(333,tk_ASEQ,0)),"")</f>
        <v/>
      </c>
      <c r="J339" s="162">
        <f>IFERROR(IF(INDEX(tk_DHAND,MATCH(333,tk_ASEQ,0))="",""&amp;INDEX(tk_HAND,MATCH(333,tk_ASEQ,0)),""&amp;INDEX(tk_DHAND,MATCH(333,tk_ASEQ,0))),"")</f>
        <v/>
      </c>
      <c r="K339" s="162">
        <f>IFERROR(""&amp;INDEX(tk_FDESC,MATCH(333,tk_ASEQ,0)),"")</f>
        <v/>
      </c>
      <c r="L339" s="162">
        <f>IFERROR(INDEX(tk_STEEL,MATCH(333,tk_ASEQ,0))&amp;IF(INDEX(tk_FGA,MATCH(333,tk_ASEQ,0))="",""," "&amp;INDEX(tk_FGA,MATCH(333,tk_ASEQ,0))&amp;"GA"),"")</f>
        <v/>
      </c>
      <c r="M339" s="162">
        <f>IFERROR(IFERROR(VLOOKUP(INDEX(tk_JAMB,MATCH(333,tk_ASEQ,0)),CODES,2,FALSE),""&amp;INDEX(tk_JAMB,MATCH(333,tk_ASEQ,0))),"")</f>
        <v/>
      </c>
      <c r="N339" s="162">
        <f>IFERROR(""&amp;INDEX(tk_CONSTR,MATCH(333,tk_ASEQ,0)),"")</f>
        <v/>
      </c>
      <c r="O339" s="162">
        <f>IFERROR(""&amp;INDEX(tk_ANCHOR,MATCH(333,tk_ASEQ,0)),"")</f>
        <v/>
      </c>
      <c r="P339" s="162">
        <f>IFERROR(""&amp;INDEX(tk_RATING,MATCH(333,tk_ASEQ,0)),"")</f>
        <v/>
      </c>
      <c r="Q339" s="162">
        <f>IFERROR(""&amp;INDEX(tk_LABEL,MATCH(333,tk_ASEQ,0)),"")</f>
        <v/>
      </c>
      <c r="R339" s="162">
        <f>IFERROR(""&amp;INDEX(tk_HWSET,MATCH(333,tk_ASEQ,0)),"")</f>
        <v/>
      </c>
      <c r="S339" s="162">
        <f>IFERROR(IF(""&amp;INDEX(tk_HINGES,MATCH(333,tk_ASEQ,0))="","",INDEX(tk_HINGES,MATCH(333,tk_ASEQ,0))&amp;" · "&amp;INDEX(tk_LSRC,MATCH(333,tk_ASEQ,0))),"")</f>
        <v/>
      </c>
      <c r="T339" s="162">
        <f>IFERROR(""&amp;INDEX(tk_LOCK,MATCH(333,tk_ASEQ,0)),"")</f>
        <v/>
      </c>
      <c r="U339" s="162">
        <f>IFERROR(INDEX(tk_ETYPE,MATCH(333,tk_ASEQ,0)),"")</f>
        <v/>
      </c>
      <c r="V339" s="162">
        <f>IFERROR(""&amp;INDEX(tk_CHECK,MATCH(333,tk_ASEQ,0)),"")</f>
        <v/>
      </c>
      <c r="W339" s="162">
        <f>IFERROR(TRIM(INDEX(tk_DNOTES,MATCH(333,tk_ASEQ,0))&amp;" "&amp;INDEX(tk_FNOTES,MATCH(333,tk_ASEQ,0))),"")</f>
        <v/>
      </c>
    </row>
    <row r="340">
      <c r="A340" s="161">
        <f>IFERROR(""&amp;INDEX(tk_MARK,MATCH(334,tk_ASEQ,0)),"")</f>
        <v/>
      </c>
      <c r="B340" s="162">
        <f>IFERROR(""&amp;INDEX(tk_ROOMF,MATCH(334,tk_ASEQ,0)),"")</f>
        <v/>
      </c>
      <c r="C340" s="162">
        <f>IFERROR(""&amp;INDEX(tk_ROOMT,MATCH(334,tk_ASEQ,0)),"")</f>
        <v/>
      </c>
      <c r="D340" s="162">
        <f>IFERROR(INDEX(tk_QTY,MATCH(334,tk_ASEQ,0)),"")</f>
        <v/>
      </c>
      <c r="E340" s="162">
        <f>IFERROR(""&amp;INDEX(tk_SIZE,MATCH(334,tk_ASEQ,0)),"")</f>
        <v/>
      </c>
      <c r="F340" s="162">
        <f>IFERROR(""&amp;INDEX(tk_PAIR,MATCH(334,tk_ASEQ,0)),"")</f>
        <v/>
      </c>
      <c r="G340" s="162">
        <f>IFERROR(""&amp;INDEX(tk_DMAT,MATCH(334,tk_ASEQ,0)),"")</f>
        <v/>
      </c>
      <c r="H340" s="162">
        <f>IFERROR(""&amp;INDEX(tk_DGA,MATCH(334,tk_ASEQ,0)),"")</f>
        <v/>
      </c>
      <c r="I340" s="162">
        <f>IFERROR(""&amp;INDEX(tk_FACE,MATCH(334,tk_ASEQ,0)),"")</f>
        <v/>
      </c>
      <c r="J340" s="162">
        <f>IFERROR(IF(INDEX(tk_DHAND,MATCH(334,tk_ASEQ,0))="",""&amp;INDEX(tk_HAND,MATCH(334,tk_ASEQ,0)),""&amp;INDEX(tk_DHAND,MATCH(334,tk_ASEQ,0))),"")</f>
        <v/>
      </c>
      <c r="K340" s="162">
        <f>IFERROR(""&amp;INDEX(tk_FDESC,MATCH(334,tk_ASEQ,0)),"")</f>
        <v/>
      </c>
      <c r="L340" s="162">
        <f>IFERROR(INDEX(tk_STEEL,MATCH(334,tk_ASEQ,0))&amp;IF(INDEX(tk_FGA,MATCH(334,tk_ASEQ,0))="",""," "&amp;INDEX(tk_FGA,MATCH(334,tk_ASEQ,0))&amp;"GA"),"")</f>
        <v/>
      </c>
      <c r="M340" s="162">
        <f>IFERROR(IFERROR(VLOOKUP(INDEX(tk_JAMB,MATCH(334,tk_ASEQ,0)),CODES,2,FALSE),""&amp;INDEX(tk_JAMB,MATCH(334,tk_ASEQ,0))),"")</f>
        <v/>
      </c>
      <c r="N340" s="162">
        <f>IFERROR(""&amp;INDEX(tk_CONSTR,MATCH(334,tk_ASEQ,0)),"")</f>
        <v/>
      </c>
      <c r="O340" s="162">
        <f>IFERROR(""&amp;INDEX(tk_ANCHOR,MATCH(334,tk_ASEQ,0)),"")</f>
        <v/>
      </c>
      <c r="P340" s="162">
        <f>IFERROR(""&amp;INDEX(tk_RATING,MATCH(334,tk_ASEQ,0)),"")</f>
        <v/>
      </c>
      <c r="Q340" s="162">
        <f>IFERROR(""&amp;INDEX(tk_LABEL,MATCH(334,tk_ASEQ,0)),"")</f>
        <v/>
      </c>
      <c r="R340" s="162">
        <f>IFERROR(""&amp;INDEX(tk_HWSET,MATCH(334,tk_ASEQ,0)),"")</f>
        <v/>
      </c>
      <c r="S340" s="162">
        <f>IFERROR(IF(""&amp;INDEX(tk_HINGES,MATCH(334,tk_ASEQ,0))="","",INDEX(tk_HINGES,MATCH(334,tk_ASEQ,0))&amp;" · "&amp;INDEX(tk_LSRC,MATCH(334,tk_ASEQ,0))),"")</f>
        <v/>
      </c>
      <c r="T340" s="162">
        <f>IFERROR(""&amp;INDEX(tk_LOCK,MATCH(334,tk_ASEQ,0)),"")</f>
        <v/>
      </c>
      <c r="U340" s="162">
        <f>IFERROR(INDEX(tk_ETYPE,MATCH(334,tk_ASEQ,0)),"")</f>
        <v/>
      </c>
      <c r="V340" s="162">
        <f>IFERROR(""&amp;INDEX(tk_CHECK,MATCH(334,tk_ASEQ,0)),"")</f>
        <v/>
      </c>
      <c r="W340" s="162">
        <f>IFERROR(TRIM(INDEX(tk_DNOTES,MATCH(334,tk_ASEQ,0))&amp;" "&amp;INDEX(tk_FNOTES,MATCH(334,tk_ASEQ,0))),"")</f>
        <v/>
      </c>
    </row>
    <row r="341">
      <c r="A341" s="161">
        <f>IFERROR(""&amp;INDEX(tk_MARK,MATCH(335,tk_ASEQ,0)),"")</f>
        <v/>
      </c>
      <c r="B341" s="162">
        <f>IFERROR(""&amp;INDEX(tk_ROOMF,MATCH(335,tk_ASEQ,0)),"")</f>
        <v/>
      </c>
      <c r="C341" s="162">
        <f>IFERROR(""&amp;INDEX(tk_ROOMT,MATCH(335,tk_ASEQ,0)),"")</f>
        <v/>
      </c>
      <c r="D341" s="162">
        <f>IFERROR(INDEX(tk_QTY,MATCH(335,tk_ASEQ,0)),"")</f>
        <v/>
      </c>
      <c r="E341" s="162">
        <f>IFERROR(""&amp;INDEX(tk_SIZE,MATCH(335,tk_ASEQ,0)),"")</f>
        <v/>
      </c>
      <c r="F341" s="162">
        <f>IFERROR(""&amp;INDEX(tk_PAIR,MATCH(335,tk_ASEQ,0)),"")</f>
        <v/>
      </c>
      <c r="G341" s="162">
        <f>IFERROR(""&amp;INDEX(tk_DMAT,MATCH(335,tk_ASEQ,0)),"")</f>
        <v/>
      </c>
      <c r="H341" s="162">
        <f>IFERROR(""&amp;INDEX(tk_DGA,MATCH(335,tk_ASEQ,0)),"")</f>
        <v/>
      </c>
      <c r="I341" s="162">
        <f>IFERROR(""&amp;INDEX(tk_FACE,MATCH(335,tk_ASEQ,0)),"")</f>
        <v/>
      </c>
      <c r="J341" s="162">
        <f>IFERROR(IF(INDEX(tk_DHAND,MATCH(335,tk_ASEQ,0))="",""&amp;INDEX(tk_HAND,MATCH(335,tk_ASEQ,0)),""&amp;INDEX(tk_DHAND,MATCH(335,tk_ASEQ,0))),"")</f>
        <v/>
      </c>
      <c r="K341" s="162">
        <f>IFERROR(""&amp;INDEX(tk_FDESC,MATCH(335,tk_ASEQ,0)),"")</f>
        <v/>
      </c>
      <c r="L341" s="162">
        <f>IFERROR(INDEX(tk_STEEL,MATCH(335,tk_ASEQ,0))&amp;IF(INDEX(tk_FGA,MATCH(335,tk_ASEQ,0))="",""," "&amp;INDEX(tk_FGA,MATCH(335,tk_ASEQ,0))&amp;"GA"),"")</f>
        <v/>
      </c>
      <c r="M341" s="162">
        <f>IFERROR(IFERROR(VLOOKUP(INDEX(tk_JAMB,MATCH(335,tk_ASEQ,0)),CODES,2,FALSE),""&amp;INDEX(tk_JAMB,MATCH(335,tk_ASEQ,0))),"")</f>
        <v/>
      </c>
      <c r="N341" s="162">
        <f>IFERROR(""&amp;INDEX(tk_CONSTR,MATCH(335,tk_ASEQ,0)),"")</f>
        <v/>
      </c>
      <c r="O341" s="162">
        <f>IFERROR(""&amp;INDEX(tk_ANCHOR,MATCH(335,tk_ASEQ,0)),"")</f>
        <v/>
      </c>
      <c r="P341" s="162">
        <f>IFERROR(""&amp;INDEX(tk_RATING,MATCH(335,tk_ASEQ,0)),"")</f>
        <v/>
      </c>
      <c r="Q341" s="162">
        <f>IFERROR(""&amp;INDEX(tk_LABEL,MATCH(335,tk_ASEQ,0)),"")</f>
        <v/>
      </c>
      <c r="R341" s="162">
        <f>IFERROR(""&amp;INDEX(tk_HWSET,MATCH(335,tk_ASEQ,0)),"")</f>
        <v/>
      </c>
      <c r="S341" s="162">
        <f>IFERROR(IF(""&amp;INDEX(tk_HINGES,MATCH(335,tk_ASEQ,0))="","",INDEX(tk_HINGES,MATCH(335,tk_ASEQ,0))&amp;" · "&amp;INDEX(tk_LSRC,MATCH(335,tk_ASEQ,0))),"")</f>
        <v/>
      </c>
      <c r="T341" s="162">
        <f>IFERROR(""&amp;INDEX(tk_LOCK,MATCH(335,tk_ASEQ,0)),"")</f>
        <v/>
      </c>
      <c r="U341" s="162">
        <f>IFERROR(INDEX(tk_ETYPE,MATCH(335,tk_ASEQ,0)),"")</f>
        <v/>
      </c>
      <c r="V341" s="162">
        <f>IFERROR(""&amp;INDEX(tk_CHECK,MATCH(335,tk_ASEQ,0)),"")</f>
        <v/>
      </c>
      <c r="W341" s="162">
        <f>IFERROR(TRIM(INDEX(tk_DNOTES,MATCH(335,tk_ASEQ,0))&amp;" "&amp;INDEX(tk_FNOTES,MATCH(335,tk_ASEQ,0))),"")</f>
        <v/>
      </c>
    </row>
    <row r="342">
      <c r="A342" s="161">
        <f>IFERROR(""&amp;INDEX(tk_MARK,MATCH(336,tk_ASEQ,0)),"")</f>
        <v/>
      </c>
      <c r="B342" s="162">
        <f>IFERROR(""&amp;INDEX(tk_ROOMF,MATCH(336,tk_ASEQ,0)),"")</f>
        <v/>
      </c>
      <c r="C342" s="162">
        <f>IFERROR(""&amp;INDEX(tk_ROOMT,MATCH(336,tk_ASEQ,0)),"")</f>
        <v/>
      </c>
      <c r="D342" s="162">
        <f>IFERROR(INDEX(tk_QTY,MATCH(336,tk_ASEQ,0)),"")</f>
        <v/>
      </c>
      <c r="E342" s="162">
        <f>IFERROR(""&amp;INDEX(tk_SIZE,MATCH(336,tk_ASEQ,0)),"")</f>
        <v/>
      </c>
      <c r="F342" s="162">
        <f>IFERROR(""&amp;INDEX(tk_PAIR,MATCH(336,tk_ASEQ,0)),"")</f>
        <v/>
      </c>
      <c r="G342" s="162">
        <f>IFERROR(""&amp;INDEX(tk_DMAT,MATCH(336,tk_ASEQ,0)),"")</f>
        <v/>
      </c>
      <c r="H342" s="162">
        <f>IFERROR(""&amp;INDEX(tk_DGA,MATCH(336,tk_ASEQ,0)),"")</f>
        <v/>
      </c>
      <c r="I342" s="162">
        <f>IFERROR(""&amp;INDEX(tk_FACE,MATCH(336,tk_ASEQ,0)),"")</f>
        <v/>
      </c>
      <c r="J342" s="162">
        <f>IFERROR(IF(INDEX(tk_DHAND,MATCH(336,tk_ASEQ,0))="",""&amp;INDEX(tk_HAND,MATCH(336,tk_ASEQ,0)),""&amp;INDEX(tk_DHAND,MATCH(336,tk_ASEQ,0))),"")</f>
        <v/>
      </c>
      <c r="K342" s="162">
        <f>IFERROR(""&amp;INDEX(tk_FDESC,MATCH(336,tk_ASEQ,0)),"")</f>
        <v/>
      </c>
      <c r="L342" s="162">
        <f>IFERROR(INDEX(tk_STEEL,MATCH(336,tk_ASEQ,0))&amp;IF(INDEX(tk_FGA,MATCH(336,tk_ASEQ,0))="",""," "&amp;INDEX(tk_FGA,MATCH(336,tk_ASEQ,0))&amp;"GA"),"")</f>
        <v/>
      </c>
      <c r="M342" s="162">
        <f>IFERROR(IFERROR(VLOOKUP(INDEX(tk_JAMB,MATCH(336,tk_ASEQ,0)),CODES,2,FALSE),""&amp;INDEX(tk_JAMB,MATCH(336,tk_ASEQ,0))),"")</f>
        <v/>
      </c>
      <c r="N342" s="162">
        <f>IFERROR(""&amp;INDEX(tk_CONSTR,MATCH(336,tk_ASEQ,0)),"")</f>
        <v/>
      </c>
      <c r="O342" s="162">
        <f>IFERROR(""&amp;INDEX(tk_ANCHOR,MATCH(336,tk_ASEQ,0)),"")</f>
        <v/>
      </c>
      <c r="P342" s="162">
        <f>IFERROR(""&amp;INDEX(tk_RATING,MATCH(336,tk_ASEQ,0)),"")</f>
        <v/>
      </c>
      <c r="Q342" s="162">
        <f>IFERROR(""&amp;INDEX(tk_LABEL,MATCH(336,tk_ASEQ,0)),"")</f>
        <v/>
      </c>
      <c r="R342" s="162">
        <f>IFERROR(""&amp;INDEX(tk_HWSET,MATCH(336,tk_ASEQ,0)),"")</f>
        <v/>
      </c>
      <c r="S342" s="162">
        <f>IFERROR(IF(""&amp;INDEX(tk_HINGES,MATCH(336,tk_ASEQ,0))="","",INDEX(tk_HINGES,MATCH(336,tk_ASEQ,0))&amp;" · "&amp;INDEX(tk_LSRC,MATCH(336,tk_ASEQ,0))),"")</f>
        <v/>
      </c>
      <c r="T342" s="162">
        <f>IFERROR(""&amp;INDEX(tk_LOCK,MATCH(336,tk_ASEQ,0)),"")</f>
        <v/>
      </c>
      <c r="U342" s="162">
        <f>IFERROR(INDEX(tk_ETYPE,MATCH(336,tk_ASEQ,0)),"")</f>
        <v/>
      </c>
      <c r="V342" s="162">
        <f>IFERROR(""&amp;INDEX(tk_CHECK,MATCH(336,tk_ASEQ,0)),"")</f>
        <v/>
      </c>
      <c r="W342" s="162">
        <f>IFERROR(TRIM(INDEX(tk_DNOTES,MATCH(336,tk_ASEQ,0))&amp;" "&amp;INDEX(tk_FNOTES,MATCH(336,tk_ASEQ,0))),"")</f>
        <v/>
      </c>
    </row>
    <row r="343">
      <c r="A343" s="161">
        <f>IFERROR(""&amp;INDEX(tk_MARK,MATCH(337,tk_ASEQ,0)),"")</f>
        <v/>
      </c>
      <c r="B343" s="162">
        <f>IFERROR(""&amp;INDEX(tk_ROOMF,MATCH(337,tk_ASEQ,0)),"")</f>
        <v/>
      </c>
      <c r="C343" s="162">
        <f>IFERROR(""&amp;INDEX(tk_ROOMT,MATCH(337,tk_ASEQ,0)),"")</f>
        <v/>
      </c>
      <c r="D343" s="162">
        <f>IFERROR(INDEX(tk_QTY,MATCH(337,tk_ASEQ,0)),"")</f>
        <v/>
      </c>
      <c r="E343" s="162">
        <f>IFERROR(""&amp;INDEX(tk_SIZE,MATCH(337,tk_ASEQ,0)),"")</f>
        <v/>
      </c>
      <c r="F343" s="162">
        <f>IFERROR(""&amp;INDEX(tk_PAIR,MATCH(337,tk_ASEQ,0)),"")</f>
        <v/>
      </c>
      <c r="G343" s="162">
        <f>IFERROR(""&amp;INDEX(tk_DMAT,MATCH(337,tk_ASEQ,0)),"")</f>
        <v/>
      </c>
      <c r="H343" s="162">
        <f>IFERROR(""&amp;INDEX(tk_DGA,MATCH(337,tk_ASEQ,0)),"")</f>
        <v/>
      </c>
      <c r="I343" s="162">
        <f>IFERROR(""&amp;INDEX(tk_FACE,MATCH(337,tk_ASEQ,0)),"")</f>
        <v/>
      </c>
      <c r="J343" s="162">
        <f>IFERROR(IF(INDEX(tk_DHAND,MATCH(337,tk_ASEQ,0))="",""&amp;INDEX(tk_HAND,MATCH(337,tk_ASEQ,0)),""&amp;INDEX(tk_DHAND,MATCH(337,tk_ASEQ,0))),"")</f>
        <v/>
      </c>
      <c r="K343" s="162">
        <f>IFERROR(""&amp;INDEX(tk_FDESC,MATCH(337,tk_ASEQ,0)),"")</f>
        <v/>
      </c>
      <c r="L343" s="162">
        <f>IFERROR(INDEX(tk_STEEL,MATCH(337,tk_ASEQ,0))&amp;IF(INDEX(tk_FGA,MATCH(337,tk_ASEQ,0))="",""," "&amp;INDEX(tk_FGA,MATCH(337,tk_ASEQ,0))&amp;"GA"),"")</f>
        <v/>
      </c>
      <c r="M343" s="162">
        <f>IFERROR(IFERROR(VLOOKUP(INDEX(tk_JAMB,MATCH(337,tk_ASEQ,0)),CODES,2,FALSE),""&amp;INDEX(tk_JAMB,MATCH(337,tk_ASEQ,0))),"")</f>
        <v/>
      </c>
      <c r="N343" s="162">
        <f>IFERROR(""&amp;INDEX(tk_CONSTR,MATCH(337,tk_ASEQ,0)),"")</f>
        <v/>
      </c>
      <c r="O343" s="162">
        <f>IFERROR(""&amp;INDEX(tk_ANCHOR,MATCH(337,tk_ASEQ,0)),"")</f>
        <v/>
      </c>
      <c r="P343" s="162">
        <f>IFERROR(""&amp;INDEX(tk_RATING,MATCH(337,tk_ASEQ,0)),"")</f>
        <v/>
      </c>
      <c r="Q343" s="162">
        <f>IFERROR(""&amp;INDEX(tk_LABEL,MATCH(337,tk_ASEQ,0)),"")</f>
        <v/>
      </c>
      <c r="R343" s="162">
        <f>IFERROR(""&amp;INDEX(tk_HWSET,MATCH(337,tk_ASEQ,0)),"")</f>
        <v/>
      </c>
      <c r="S343" s="162">
        <f>IFERROR(IF(""&amp;INDEX(tk_HINGES,MATCH(337,tk_ASEQ,0))="","",INDEX(tk_HINGES,MATCH(337,tk_ASEQ,0))&amp;" · "&amp;INDEX(tk_LSRC,MATCH(337,tk_ASEQ,0))),"")</f>
        <v/>
      </c>
      <c r="T343" s="162">
        <f>IFERROR(""&amp;INDEX(tk_LOCK,MATCH(337,tk_ASEQ,0)),"")</f>
        <v/>
      </c>
      <c r="U343" s="162">
        <f>IFERROR(INDEX(tk_ETYPE,MATCH(337,tk_ASEQ,0)),"")</f>
        <v/>
      </c>
      <c r="V343" s="162">
        <f>IFERROR(""&amp;INDEX(tk_CHECK,MATCH(337,tk_ASEQ,0)),"")</f>
        <v/>
      </c>
      <c r="W343" s="162">
        <f>IFERROR(TRIM(INDEX(tk_DNOTES,MATCH(337,tk_ASEQ,0))&amp;" "&amp;INDEX(tk_FNOTES,MATCH(337,tk_ASEQ,0))),"")</f>
        <v/>
      </c>
    </row>
    <row r="344">
      <c r="A344" s="161">
        <f>IFERROR(""&amp;INDEX(tk_MARK,MATCH(338,tk_ASEQ,0)),"")</f>
        <v/>
      </c>
      <c r="B344" s="162">
        <f>IFERROR(""&amp;INDEX(tk_ROOMF,MATCH(338,tk_ASEQ,0)),"")</f>
        <v/>
      </c>
      <c r="C344" s="162">
        <f>IFERROR(""&amp;INDEX(tk_ROOMT,MATCH(338,tk_ASEQ,0)),"")</f>
        <v/>
      </c>
      <c r="D344" s="162">
        <f>IFERROR(INDEX(tk_QTY,MATCH(338,tk_ASEQ,0)),"")</f>
        <v/>
      </c>
      <c r="E344" s="162">
        <f>IFERROR(""&amp;INDEX(tk_SIZE,MATCH(338,tk_ASEQ,0)),"")</f>
        <v/>
      </c>
      <c r="F344" s="162">
        <f>IFERROR(""&amp;INDEX(tk_PAIR,MATCH(338,tk_ASEQ,0)),"")</f>
        <v/>
      </c>
      <c r="G344" s="162">
        <f>IFERROR(""&amp;INDEX(tk_DMAT,MATCH(338,tk_ASEQ,0)),"")</f>
        <v/>
      </c>
      <c r="H344" s="162">
        <f>IFERROR(""&amp;INDEX(tk_DGA,MATCH(338,tk_ASEQ,0)),"")</f>
        <v/>
      </c>
      <c r="I344" s="162">
        <f>IFERROR(""&amp;INDEX(tk_FACE,MATCH(338,tk_ASEQ,0)),"")</f>
        <v/>
      </c>
      <c r="J344" s="162">
        <f>IFERROR(IF(INDEX(tk_DHAND,MATCH(338,tk_ASEQ,0))="",""&amp;INDEX(tk_HAND,MATCH(338,tk_ASEQ,0)),""&amp;INDEX(tk_DHAND,MATCH(338,tk_ASEQ,0))),"")</f>
        <v/>
      </c>
      <c r="K344" s="162">
        <f>IFERROR(""&amp;INDEX(tk_FDESC,MATCH(338,tk_ASEQ,0)),"")</f>
        <v/>
      </c>
      <c r="L344" s="162">
        <f>IFERROR(INDEX(tk_STEEL,MATCH(338,tk_ASEQ,0))&amp;IF(INDEX(tk_FGA,MATCH(338,tk_ASEQ,0))="",""," "&amp;INDEX(tk_FGA,MATCH(338,tk_ASEQ,0))&amp;"GA"),"")</f>
        <v/>
      </c>
      <c r="M344" s="162">
        <f>IFERROR(IFERROR(VLOOKUP(INDEX(tk_JAMB,MATCH(338,tk_ASEQ,0)),CODES,2,FALSE),""&amp;INDEX(tk_JAMB,MATCH(338,tk_ASEQ,0))),"")</f>
        <v/>
      </c>
      <c r="N344" s="162">
        <f>IFERROR(""&amp;INDEX(tk_CONSTR,MATCH(338,tk_ASEQ,0)),"")</f>
        <v/>
      </c>
      <c r="O344" s="162">
        <f>IFERROR(""&amp;INDEX(tk_ANCHOR,MATCH(338,tk_ASEQ,0)),"")</f>
        <v/>
      </c>
      <c r="P344" s="162">
        <f>IFERROR(""&amp;INDEX(tk_RATING,MATCH(338,tk_ASEQ,0)),"")</f>
        <v/>
      </c>
      <c r="Q344" s="162">
        <f>IFERROR(""&amp;INDEX(tk_LABEL,MATCH(338,tk_ASEQ,0)),"")</f>
        <v/>
      </c>
      <c r="R344" s="162">
        <f>IFERROR(""&amp;INDEX(tk_HWSET,MATCH(338,tk_ASEQ,0)),"")</f>
        <v/>
      </c>
      <c r="S344" s="162">
        <f>IFERROR(IF(""&amp;INDEX(tk_HINGES,MATCH(338,tk_ASEQ,0))="","",INDEX(tk_HINGES,MATCH(338,tk_ASEQ,0))&amp;" · "&amp;INDEX(tk_LSRC,MATCH(338,tk_ASEQ,0))),"")</f>
        <v/>
      </c>
      <c r="T344" s="162">
        <f>IFERROR(""&amp;INDEX(tk_LOCK,MATCH(338,tk_ASEQ,0)),"")</f>
        <v/>
      </c>
      <c r="U344" s="162">
        <f>IFERROR(INDEX(tk_ETYPE,MATCH(338,tk_ASEQ,0)),"")</f>
        <v/>
      </c>
      <c r="V344" s="162">
        <f>IFERROR(""&amp;INDEX(tk_CHECK,MATCH(338,tk_ASEQ,0)),"")</f>
        <v/>
      </c>
      <c r="W344" s="162">
        <f>IFERROR(TRIM(INDEX(tk_DNOTES,MATCH(338,tk_ASEQ,0))&amp;" "&amp;INDEX(tk_FNOTES,MATCH(338,tk_ASEQ,0))),"")</f>
        <v/>
      </c>
    </row>
    <row r="345">
      <c r="A345" s="161">
        <f>IFERROR(""&amp;INDEX(tk_MARK,MATCH(339,tk_ASEQ,0)),"")</f>
        <v/>
      </c>
      <c r="B345" s="162">
        <f>IFERROR(""&amp;INDEX(tk_ROOMF,MATCH(339,tk_ASEQ,0)),"")</f>
        <v/>
      </c>
      <c r="C345" s="162">
        <f>IFERROR(""&amp;INDEX(tk_ROOMT,MATCH(339,tk_ASEQ,0)),"")</f>
        <v/>
      </c>
      <c r="D345" s="162">
        <f>IFERROR(INDEX(tk_QTY,MATCH(339,tk_ASEQ,0)),"")</f>
        <v/>
      </c>
      <c r="E345" s="162">
        <f>IFERROR(""&amp;INDEX(tk_SIZE,MATCH(339,tk_ASEQ,0)),"")</f>
        <v/>
      </c>
      <c r="F345" s="162">
        <f>IFERROR(""&amp;INDEX(tk_PAIR,MATCH(339,tk_ASEQ,0)),"")</f>
        <v/>
      </c>
      <c r="G345" s="162">
        <f>IFERROR(""&amp;INDEX(tk_DMAT,MATCH(339,tk_ASEQ,0)),"")</f>
        <v/>
      </c>
      <c r="H345" s="162">
        <f>IFERROR(""&amp;INDEX(tk_DGA,MATCH(339,tk_ASEQ,0)),"")</f>
        <v/>
      </c>
      <c r="I345" s="162">
        <f>IFERROR(""&amp;INDEX(tk_FACE,MATCH(339,tk_ASEQ,0)),"")</f>
        <v/>
      </c>
      <c r="J345" s="162">
        <f>IFERROR(IF(INDEX(tk_DHAND,MATCH(339,tk_ASEQ,0))="",""&amp;INDEX(tk_HAND,MATCH(339,tk_ASEQ,0)),""&amp;INDEX(tk_DHAND,MATCH(339,tk_ASEQ,0))),"")</f>
        <v/>
      </c>
      <c r="K345" s="162">
        <f>IFERROR(""&amp;INDEX(tk_FDESC,MATCH(339,tk_ASEQ,0)),"")</f>
        <v/>
      </c>
      <c r="L345" s="162">
        <f>IFERROR(INDEX(tk_STEEL,MATCH(339,tk_ASEQ,0))&amp;IF(INDEX(tk_FGA,MATCH(339,tk_ASEQ,0))="",""," "&amp;INDEX(tk_FGA,MATCH(339,tk_ASEQ,0))&amp;"GA"),"")</f>
        <v/>
      </c>
      <c r="M345" s="162">
        <f>IFERROR(IFERROR(VLOOKUP(INDEX(tk_JAMB,MATCH(339,tk_ASEQ,0)),CODES,2,FALSE),""&amp;INDEX(tk_JAMB,MATCH(339,tk_ASEQ,0))),"")</f>
        <v/>
      </c>
      <c r="N345" s="162">
        <f>IFERROR(""&amp;INDEX(tk_CONSTR,MATCH(339,tk_ASEQ,0)),"")</f>
        <v/>
      </c>
      <c r="O345" s="162">
        <f>IFERROR(""&amp;INDEX(tk_ANCHOR,MATCH(339,tk_ASEQ,0)),"")</f>
        <v/>
      </c>
      <c r="P345" s="162">
        <f>IFERROR(""&amp;INDEX(tk_RATING,MATCH(339,tk_ASEQ,0)),"")</f>
        <v/>
      </c>
      <c r="Q345" s="162">
        <f>IFERROR(""&amp;INDEX(tk_LABEL,MATCH(339,tk_ASEQ,0)),"")</f>
        <v/>
      </c>
      <c r="R345" s="162">
        <f>IFERROR(""&amp;INDEX(tk_HWSET,MATCH(339,tk_ASEQ,0)),"")</f>
        <v/>
      </c>
      <c r="S345" s="162">
        <f>IFERROR(IF(""&amp;INDEX(tk_HINGES,MATCH(339,tk_ASEQ,0))="","",INDEX(tk_HINGES,MATCH(339,tk_ASEQ,0))&amp;" · "&amp;INDEX(tk_LSRC,MATCH(339,tk_ASEQ,0))),"")</f>
        <v/>
      </c>
      <c r="T345" s="162">
        <f>IFERROR(""&amp;INDEX(tk_LOCK,MATCH(339,tk_ASEQ,0)),"")</f>
        <v/>
      </c>
      <c r="U345" s="162">
        <f>IFERROR(INDEX(tk_ETYPE,MATCH(339,tk_ASEQ,0)),"")</f>
        <v/>
      </c>
      <c r="V345" s="162">
        <f>IFERROR(""&amp;INDEX(tk_CHECK,MATCH(339,tk_ASEQ,0)),"")</f>
        <v/>
      </c>
      <c r="W345" s="162">
        <f>IFERROR(TRIM(INDEX(tk_DNOTES,MATCH(339,tk_ASEQ,0))&amp;" "&amp;INDEX(tk_FNOTES,MATCH(339,tk_ASEQ,0))),"")</f>
        <v/>
      </c>
    </row>
    <row r="346">
      <c r="A346" s="161">
        <f>IFERROR(""&amp;INDEX(tk_MARK,MATCH(340,tk_ASEQ,0)),"")</f>
        <v/>
      </c>
      <c r="B346" s="162">
        <f>IFERROR(""&amp;INDEX(tk_ROOMF,MATCH(340,tk_ASEQ,0)),"")</f>
        <v/>
      </c>
      <c r="C346" s="162">
        <f>IFERROR(""&amp;INDEX(tk_ROOMT,MATCH(340,tk_ASEQ,0)),"")</f>
        <v/>
      </c>
      <c r="D346" s="162">
        <f>IFERROR(INDEX(tk_QTY,MATCH(340,tk_ASEQ,0)),"")</f>
        <v/>
      </c>
      <c r="E346" s="162">
        <f>IFERROR(""&amp;INDEX(tk_SIZE,MATCH(340,tk_ASEQ,0)),"")</f>
        <v/>
      </c>
      <c r="F346" s="162">
        <f>IFERROR(""&amp;INDEX(tk_PAIR,MATCH(340,tk_ASEQ,0)),"")</f>
        <v/>
      </c>
      <c r="G346" s="162">
        <f>IFERROR(""&amp;INDEX(tk_DMAT,MATCH(340,tk_ASEQ,0)),"")</f>
        <v/>
      </c>
      <c r="H346" s="162">
        <f>IFERROR(""&amp;INDEX(tk_DGA,MATCH(340,tk_ASEQ,0)),"")</f>
        <v/>
      </c>
      <c r="I346" s="162">
        <f>IFERROR(""&amp;INDEX(tk_FACE,MATCH(340,tk_ASEQ,0)),"")</f>
        <v/>
      </c>
      <c r="J346" s="162">
        <f>IFERROR(IF(INDEX(tk_DHAND,MATCH(340,tk_ASEQ,0))="",""&amp;INDEX(tk_HAND,MATCH(340,tk_ASEQ,0)),""&amp;INDEX(tk_DHAND,MATCH(340,tk_ASEQ,0))),"")</f>
        <v/>
      </c>
      <c r="K346" s="162">
        <f>IFERROR(""&amp;INDEX(tk_FDESC,MATCH(340,tk_ASEQ,0)),"")</f>
        <v/>
      </c>
      <c r="L346" s="162">
        <f>IFERROR(INDEX(tk_STEEL,MATCH(340,tk_ASEQ,0))&amp;IF(INDEX(tk_FGA,MATCH(340,tk_ASEQ,0))="",""," "&amp;INDEX(tk_FGA,MATCH(340,tk_ASEQ,0))&amp;"GA"),"")</f>
        <v/>
      </c>
      <c r="M346" s="162">
        <f>IFERROR(IFERROR(VLOOKUP(INDEX(tk_JAMB,MATCH(340,tk_ASEQ,0)),CODES,2,FALSE),""&amp;INDEX(tk_JAMB,MATCH(340,tk_ASEQ,0))),"")</f>
        <v/>
      </c>
      <c r="N346" s="162">
        <f>IFERROR(""&amp;INDEX(tk_CONSTR,MATCH(340,tk_ASEQ,0)),"")</f>
        <v/>
      </c>
      <c r="O346" s="162">
        <f>IFERROR(""&amp;INDEX(tk_ANCHOR,MATCH(340,tk_ASEQ,0)),"")</f>
        <v/>
      </c>
      <c r="P346" s="162">
        <f>IFERROR(""&amp;INDEX(tk_RATING,MATCH(340,tk_ASEQ,0)),"")</f>
        <v/>
      </c>
      <c r="Q346" s="162">
        <f>IFERROR(""&amp;INDEX(tk_LABEL,MATCH(340,tk_ASEQ,0)),"")</f>
        <v/>
      </c>
      <c r="R346" s="162">
        <f>IFERROR(""&amp;INDEX(tk_HWSET,MATCH(340,tk_ASEQ,0)),"")</f>
        <v/>
      </c>
      <c r="S346" s="162">
        <f>IFERROR(IF(""&amp;INDEX(tk_HINGES,MATCH(340,tk_ASEQ,0))="","",INDEX(tk_HINGES,MATCH(340,tk_ASEQ,0))&amp;" · "&amp;INDEX(tk_LSRC,MATCH(340,tk_ASEQ,0))),"")</f>
        <v/>
      </c>
      <c r="T346" s="162">
        <f>IFERROR(""&amp;INDEX(tk_LOCK,MATCH(340,tk_ASEQ,0)),"")</f>
        <v/>
      </c>
      <c r="U346" s="162">
        <f>IFERROR(INDEX(tk_ETYPE,MATCH(340,tk_ASEQ,0)),"")</f>
        <v/>
      </c>
      <c r="V346" s="162">
        <f>IFERROR(""&amp;INDEX(tk_CHECK,MATCH(340,tk_ASEQ,0)),"")</f>
        <v/>
      </c>
      <c r="W346" s="162">
        <f>IFERROR(TRIM(INDEX(tk_DNOTES,MATCH(340,tk_ASEQ,0))&amp;" "&amp;INDEX(tk_FNOTES,MATCH(340,tk_ASEQ,0))),"")</f>
        <v/>
      </c>
    </row>
    <row r="347">
      <c r="A347" s="161">
        <f>IFERROR(""&amp;INDEX(tk_MARK,MATCH(341,tk_ASEQ,0)),"")</f>
        <v/>
      </c>
      <c r="B347" s="162">
        <f>IFERROR(""&amp;INDEX(tk_ROOMF,MATCH(341,tk_ASEQ,0)),"")</f>
        <v/>
      </c>
      <c r="C347" s="162">
        <f>IFERROR(""&amp;INDEX(tk_ROOMT,MATCH(341,tk_ASEQ,0)),"")</f>
        <v/>
      </c>
      <c r="D347" s="162">
        <f>IFERROR(INDEX(tk_QTY,MATCH(341,tk_ASEQ,0)),"")</f>
        <v/>
      </c>
      <c r="E347" s="162">
        <f>IFERROR(""&amp;INDEX(tk_SIZE,MATCH(341,tk_ASEQ,0)),"")</f>
        <v/>
      </c>
      <c r="F347" s="162">
        <f>IFERROR(""&amp;INDEX(tk_PAIR,MATCH(341,tk_ASEQ,0)),"")</f>
        <v/>
      </c>
      <c r="G347" s="162">
        <f>IFERROR(""&amp;INDEX(tk_DMAT,MATCH(341,tk_ASEQ,0)),"")</f>
        <v/>
      </c>
      <c r="H347" s="162">
        <f>IFERROR(""&amp;INDEX(tk_DGA,MATCH(341,tk_ASEQ,0)),"")</f>
        <v/>
      </c>
      <c r="I347" s="162">
        <f>IFERROR(""&amp;INDEX(tk_FACE,MATCH(341,tk_ASEQ,0)),"")</f>
        <v/>
      </c>
      <c r="J347" s="162">
        <f>IFERROR(IF(INDEX(tk_DHAND,MATCH(341,tk_ASEQ,0))="",""&amp;INDEX(tk_HAND,MATCH(341,tk_ASEQ,0)),""&amp;INDEX(tk_DHAND,MATCH(341,tk_ASEQ,0))),"")</f>
        <v/>
      </c>
      <c r="K347" s="162">
        <f>IFERROR(""&amp;INDEX(tk_FDESC,MATCH(341,tk_ASEQ,0)),"")</f>
        <v/>
      </c>
      <c r="L347" s="162">
        <f>IFERROR(INDEX(tk_STEEL,MATCH(341,tk_ASEQ,0))&amp;IF(INDEX(tk_FGA,MATCH(341,tk_ASEQ,0))="",""," "&amp;INDEX(tk_FGA,MATCH(341,tk_ASEQ,0))&amp;"GA"),"")</f>
        <v/>
      </c>
      <c r="M347" s="162">
        <f>IFERROR(IFERROR(VLOOKUP(INDEX(tk_JAMB,MATCH(341,tk_ASEQ,0)),CODES,2,FALSE),""&amp;INDEX(tk_JAMB,MATCH(341,tk_ASEQ,0))),"")</f>
        <v/>
      </c>
      <c r="N347" s="162">
        <f>IFERROR(""&amp;INDEX(tk_CONSTR,MATCH(341,tk_ASEQ,0)),"")</f>
        <v/>
      </c>
      <c r="O347" s="162">
        <f>IFERROR(""&amp;INDEX(tk_ANCHOR,MATCH(341,tk_ASEQ,0)),"")</f>
        <v/>
      </c>
      <c r="P347" s="162">
        <f>IFERROR(""&amp;INDEX(tk_RATING,MATCH(341,tk_ASEQ,0)),"")</f>
        <v/>
      </c>
      <c r="Q347" s="162">
        <f>IFERROR(""&amp;INDEX(tk_LABEL,MATCH(341,tk_ASEQ,0)),"")</f>
        <v/>
      </c>
      <c r="R347" s="162">
        <f>IFERROR(""&amp;INDEX(tk_HWSET,MATCH(341,tk_ASEQ,0)),"")</f>
        <v/>
      </c>
      <c r="S347" s="162">
        <f>IFERROR(IF(""&amp;INDEX(tk_HINGES,MATCH(341,tk_ASEQ,0))="","",INDEX(tk_HINGES,MATCH(341,tk_ASEQ,0))&amp;" · "&amp;INDEX(tk_LSRC,MATCH(341,tk_ASEQ,0))),"")</f>
        <v/>
      </c>
      <c r="T347" s="162">
        <f>IFERROR(""&amp;INDEX(tk_LOCK,MATCH(341,tk_ASEQ,0)),"")</f>
        <v/>
      </c>
      <c r="U347" s="162">
        <f>IFERROR(INDEX(tk_ETYPE,MATCH(341,tk_ASEQ,0)),"")</f>
        <v/>
      </c>
      <c r="V347" s="162">
        <f>IFERROR(""&amp;INDEX(tk_CHECK,MATCH(341,tk_ASEQ,0)),"")</f>
        <v/>
      </c>
      <c r="W347" s="162">
        <f>IFERROR(TRIM(INDEX(tk_DNOTES,MATCH(341,tk_ASEQ,0))&amp;" "&amp;INDEX(tk_FNOTES,MATCH(341,tk_ASEQ,0))),"")</f>
        <v/>
      </c>
    </row>
    <row r="348">
      <c r="A348" s="161">
        <f>IFERROR(""&amp;INDEX(tk_MARK,MATCH(342,tk_ASEQ,0)),"")</f>
        <v/>
      </c>
      <c r="B348" s="162">
        <f>IFERROR(""&amp;INDEX(tk_ROOMF,MATCH(342,tk_ASEQ,0)),"")</f>
        <v/>
      </c>
      <c r="C348" s="162">
        <f>IFERROR(""&amp;INDEX(tk_ROOMT,MATCH(342,tk_ASEQ,0)),"")</f>
        <v/>
      </c>
      <c r="D348" s="162">
        <f>IFERROR(INDEX(tk_QTY,MATCH(342,tk_ASEQ,0)),"")</f>
        <v/>
      </c>
      <c r="E348" s="162">
        <f>IFERROR(""&amp;INDEX(tk_SIZE,MATCH(342,tk_ASEQ,0)),"")</f>
        <v/>
      </c>
      <c r="F348" s="162">
        <f>IFERROR(""&amp;INDEX(tk_PAIR,MATCH(342,tk_ASEQ,0)),"")</f>
        <v/>
      </c>
      <c r="G348" s="162">
        <f>IFERROR(""&amp;INDEX(tk_DMAT,MATCH(342,tk_ASEQ,0)),"")</f>
        <v/>
      </c>
      <c r="H348" s="162">
        <f>IFERROR(""&amp;INDEX(tk_DGA,MATCH(342,tk_ASEQ,0)),"")</f>
        <v/>
      </c>
      <c r="I348" s="162">
        <f>IFERROR(""&amp;INDEX(tk_FACE,MATCH(342,tk_ASEQ,0)),"")</f>
        <v/>
      </c>
      <c r="J348" s="162">
        <f>IFERROR(IF(INDEX(tk_DHAND,MATCH(342,tk_ASEQ,0))="",""&amp;INDEX(tk_HAND,MATCH(342,tk_ASEQ,0)),""&amp;INDEX(tk_DHAND,MATCH(342,tk_ASEQ,0))),"")</f>
        <v/>
      </c>
      <c r="K348" s="162">
        <f>IFERROR(""&amp;INDEX(tk_FDESC,MATCH(342,tk_ASEQ,0)),"")</f>
        <v/>
      </c>
      <c r="L348" s="162">
        <f>IFERROR(INDEX(tk_STEEL,MATCH(342,tk_ASEQ,0))&amp;IF(INDEX(tk_FGA,MATCH(342,tk_ASEQ,0))="",""," "&amp;INDEX(tk_FGA,MATCH(342,tk_ASEQ,0))&amp;"GA"),"")</f>
        <v/>
      </c>
      <c r="M348" s="162">
        <f>IFERROR(IFERROR(VLOOKUP(INDEX(tk_JAMB,MATCH(342,tk_ASEQ,0)),CODES,2,FALSE),""&amp;INDEX(tk_JAMB,MATCH(342,tk_ASEQ,0))),"")</f>
        <v/>
      </c>
      <c r="N348" s="162">
        <f>IFERROR(""&amp;INDEX(tk_CONSTR,MATCH(342,tk_ASEQ,0)),"")</f>
        <v/>
      </c>
      <c r="O348" s="162">
        <f>IFERROR(""&amp;INDEX(tk_ANCHOR,MATCH(342,tk_ASEQ,0)),"")</f>
        <v/>
      </c>
      <c r="P348" s="162">
        <f>IFERROR(""&amp;INDEX(tk_RATING,MATCH(342,tk_ASEQ,0)),"")</f>
        <v/>
      </c>
      <c r="Q348" s="162">
        <f>IFERROR(""&amp;INDEX(tk_LABEL,MATCH(342,tk_ASEQ,0)),"")</f>
        <v/>
      </c>
      <c r="R348" s="162">
        <f>IFERROR(""&amp;INDEX(tk_HWSET,MATCH(342,tk_ASEQ,0)),"")</f>
        <v/>
      </c>
      <c r="S348" s="162">
        <f>IFERROR(IF(""&amp;INDEX(tk_HINGES,MATCH(342,tk_ASEQ,0))="","",INDEX(tk_HINGES,MATCH(342,tk_ASEQ,0))&amp;" · "&amp;INDEX(tk_LSRC,MATCH(342,tk_ASEQ,0))),"")</f>
        <v/>
      </c>
      <c r="T348" s="162">
        <f>IFERROR(""&amp;INDEX(tk_LOCK,MATCH(342,tk_ASEQ,0)),"")</f>
        <v/>
      </c>
      <c r="U348" s="162">
        <f>IFERROR(INDEX(tk_ETYPE,MATCH(342,tk_ASEQ,0)),"")</f>
        <v/>
      </c>
      <c r="V348" s="162">
        <f>IFERROR(""&amp;INDEX(tk_CHECK,MATCH(342,tk_ASEQ,0)),"")</f>
        <v/>
      </c>
      <c r="W348" s="162">
        <f>IFERROR(TRIM(INDEX(tk_DNOTES,MATCH(342,tk_ASEQ,0))&amp;" "&amp;INDEX(tk_FNOTES,MATCH(342,tk_ASEQ,0))),"")</f>
        <v/>
      </c>
    </row>
    <row r="349">
      <c r="A349" s="161">
        <f>IFERROR(""&amp;INDEX(tk_MARK,MATCH(343,tk_ASEQ,0)),"")</f>
        <v/>
      </c>
      <c r="B349" s="162">
        <f>IFERROR(""&amp;INDEX(tk_ROOMF,MATCH(343,tk_ASEQ,0)),"")</f>
        <v/>
      </c>
      <c r="C349" s="162">
        <f>IFERROR(""&amp;INDEX(tk_ROOMT,MATCH(343,tk_ASEQ,0)),"")</f>
        <v/>
      </c>
      <c r="D349" s="162">
        <f>IFERROR(INDEX(tk_QTY,MATCH(343,tk_ASEQ,0)),"")</f>
        <v/>
      </c>
      <c r="E349" s="162">
        <f>IFERROR(""&amp;INDEX(tk_SIZE,MATCH(343,tk_ASEQ,0)),"")</f>
        <v/>
      </c>
      <c r="F349" s="162">
        <f>IFERROR(""&amp;INDEX(tk_PAIR,MATCH(343,tk_ASEQ,0)),"")</f>
        <v/>
      </c>
      <c r="G349" s="162">
        <f>IFERROR(""&amp;INDEX(tk_DMAT,MATCH(343,tk_ASEQ,0)),"")</f>
        <v/>
      </c>
      <c r="H349" s="162">
        <f>IFERROR(""&amp;INDEX(tk_DGA,MATCH(343,tk_ASEQ,0)),"")</f>
        <v/>
      </c>
      <c r="I349" s="162">
        <f>IFERROR(""&amp;INDEX(tk_FACE,MATCH(343,tk_ASEQ,0)),"")</f>
        <v/>
      </c>
      <c r="J349" s="162">
        <f>IFERROR(IF(INDEX(tk_DHAND,MATCH(343,tk_ASEQ,0))="",""&amp;INDEX(tk_HAND,MATCH(343,tk_ASEQ,0)),""&amp;INDEX(tk_DHAND,MATCH(343,tk_ASEQ,0))),"")</f>
        <v/>
      </c>
      <c r="K349" s="162">
        <f>IFERROR(""&amp;INDEX(tk_FDESC,MATCH(343,tk_ASEQ,0)),"")</f>
        <v/>
      </c>
      <c r="L349" s="162">
        <f>IFERROR(INDEX(tk_STEEL,MATCH(343,tk_ASEQ,0))&amp;IF(INDEX(tk_FGA,MATCH(343,tk_ASEQ,0))="",""," "&amp;INDEX(tk_FGA,MATCH(343,tk_ASEQ,0))&amp;"GA"),"")</f>
        <v/>
      </c>
      <c r="M349" s="162">
        <f>IFERROR(IFERROR(VLOOKUP(INDEX(tk_JAMB,MATCH(343,tk_ASEQ,0)),CODES,2,FALSE),""&amp;INDEX(tk_JAMB,MATCH(343,tk_ASEQ,0))),"")</f>
        <v/>
      </c>
      <c r="N349" s="162">
        <f>IFERROR(""&amp;INDEX(tk_CONSTR,MATCH(343,tk_ASEQ,0)),"")</f>
        <v/>
      </c>
      <c r="O349" s="162">
        <f>IFERROR(""&amp;INDEX(tk_ANCHOR,MATCH(343,tk_ASEQ,0)),"")</f>
        <v/>
      </c>
      <c r="P349" s="162">
        <f>IFERROR(""&amp;INDEX(tk_RATING,MATCH(343,tk_ASEQ,0)),"")</f>
        <v/>
      </c>
      <c r="Q349" s="162">
        <f>IFERROR(""&amp;INDEX(tk_LABEL,MATCH(343,tk_ASEQ,0)),"")</f>
        <v/>
      </c>
      <c r="R349" s="162">
        <f>IFERROR(""&amp;INDEX(tk_HWSET,MATCH(343,tk_ASEQ,0)),"")</f>
        <v/>
      </c>
      <c r="S349" s="162">
        <f>IFERROR(IF(""&amp;INDEX(tk_HINGES,MATCH(343,tk_ASEQ,0))="","",INDEX(tk_HINGES,MATCH(343,tk_ASEQ,0))&amp;" · "&amp;INDEX(tk_LSRC,MATCH(343,tk_ASEQ,0))),"")</f>
        <v/>
      </c>
      <c r="T349" s="162">
        <f>IFERROR(""&amp;INDEX(tk_LOCK,MATCH(343,tk_ASEQ,0)),"")</f>
        <v/>
      </c>
      <c r="U349" s="162">
        <f>IFERROR(INDEX(tk_ETYPE,MATCH(343,tk_ASEQ,0)),"")</f>
        <v/>
      </c>
      <c r="V349" s="162">
        <f>IFERROR(""&amp;INDEX(tk_CHECK,MATCH(343,tk_ASEQ,0)),"")</f>
        <v/>
      </c>
      <c r="W349" s="162">
        <f>IFERROR(TRIM(INDEX(tk_DNOTES,MATCH(343,tk_ASEQ,0))&amp;" "&amp;INDEX(tk_FNOTES,MATCH(343,tk_ASEQ,0))),"")</f>
        <v/>
      </c>
    </row>
    <row r="350">
      <c r="A350" s="161">
        <f>IFERROR(""&amp;INDEX(tk_MARK,MATCH(344,tk_ASEQ,0)),"")</f>
        <v/>
      </c>
      <c r="B350" s="162">
        <f>IFERROR(""&amp;INDEX(tk_ROOMF,MATCH(344,tk_ASEQ,0)),"")</f>
        <v/>
      </c>
      <c r="C350" s="162">
        <f>IFERROR(""&amp;INDEX(tk_ROOMT,MATCH(344,tk_ASEQ,0)),"")</f>
        <v/>
      </c>
      <c r="D350" s="162">
        <f>IFERROR(INDEX(tk_QTY,MATCH(344,tk_ASEQ,0)),"")</f>
        <v/>
      </c>
      <c r="E350" s="162">
        <f>IFERROR(""&amp;INDEX(tk_SIZE,MATCH(344,tk_ASEQ,0)),"")</f>
        <v/>
      </c>
      <c r="F350" s="162">
        <f>IFERROR(""&amp;INDEX(tk_PAIR,MATCH(344,tk_ASEQ,0)),"")</f>
        <v/>
      </c>
      <c r="G350" s="162">
        <f>IFERROR(""&amp;INDEX(tk_DMAT,MATCH(344,tk_ASEQ,0)),"")</f>
        <v/>
      </c>
      <c r="H350" s="162">
        <f>IFERROR(""&amp;INDEX(tk_DGA,MATCH(344,tk_ASEQ,0)),"")</f>
        <v/>
      </c>
      <c r="I350" s="162">
        <f>IFERROR(""&amp;INDEX(tk_FACE,MATCH(344,tk_ASEQ,0)),"")</f>
        <v/>
      </c>
      <c r="J350" s="162">
        <f>IFERROR(IF(INDEX(tk_DHAND,MATCH(344,tk_ASEQ,0))="",""&amp;INDEX(tk_HAND,MATCH(344,tk_ASEQ,0)),""&amp;INDEX(tk_DHAND,MATCH(344,tk_ASEQ,0))),"")</f>
        <v/>
      </c>
      <c r="K350" s="162">
        <f>IFERROR(""&amp;INDEX(tk_FDESC,MATCH(344,tk_ASEQ,0)),"")</f>
        <v/>
      </c>
      <c r="L350" s="162">
        <f>IFERROR(INDEX(tk_STEEL,MATCH(344,tk_ASEQ,0))&amp;IF(INDEX(tk_FGA,MATCH(344,tk_ASEQ,0))="",""," "&amp;INDEX(tk_FGA,MATCH(344,tk_ASEQ,0))&amp;"GA"),"")</f>
        <v/>
      </c>
      <c r="M350" s="162">
        <f>IFERROR(IFERROR(VLOOKUP(INDEX(tk_JAMB,MATCH(344,tk_ASEQ,0)),CODES,2,FALSE),""&amp;INDEX(tk_JAMB,MATCH(344,tk_ASEQ,0))),"")</f>
        <v/>
      </c>
      <c r="N350" s="162">
        <f>IFERROR(""&amp;INDEX(tk_CONSTR,MATCH(344,tk_ASEQ,0)),"")</f>
        <v/>
      </c>
      <c r="O350" s="162">
        <f>IFERROR(""&amp;INDEX(tk_ANCHOR,MATCH(344,tk_ASEQ,0)),"")</f>
        <v/>
      </c>
      <c r="P350" s="162">
        <f>IFERROR(""&amp;INDEX(tk_RATING,MATCH(344,tk_ASEQ,0)),"")</f>
        <v/>
      </c>
      <c r="Q350" s="162">
        <f>IFERROR(""&amp;INDEX(tk_LABEL,MATCH(344,tk_ASEQ,0)),"")</f>
        <v/>
      </c>
      <c r="R350" s="162">
        <f>IFERROR(""&amp;INDEX(tk_HWSET,MATCH(344,tk_ASEQ,0)),"")</f>
        <v/>
      </c>
      <c r="S350" s="162">
        <f>IFERROR(IF(""&amp;INDEX(tk_HINGES,MATCH(344,tk_ASEQ,0))="","",INDEX(tk_HINGES,MATCH(344,tk_ASEQ,0))&amp;" · "&amp;INDEX(tk_LSRC,MATCH(344,tk_ASEQ,0))),"")</f>
        <v/>
      </c>
      <c r="T350" s="162">
        <f>IFERROR(""&amp;INDEX(tk_LOCK,MATCH(344,tk_ASEQ,0)),"")</f>
        <v/>
      </c>
      <c r="U350" s="162">
        <f>IFERROR(INDEX(tk_ETYPE,MATCH(344,tk_ASEQ,0)),"")</f>
        <v/>
      </c>
      <c r="V350" s="162">
        <f>IFERROR(""&amp;INDEX(tk_CHECK,MATCH(344,tk_ASEQ,0)),"")</f>
        <v/>
      </c>
      <c r="W350" s="162">
        <f>IFERROR(TRIM(INDEX(tk_DNOTES,MATCH(344,tk_ASEQ,0))&amp;" "&amp;INDEX(tk_FNOTES,MATCH(344,tk_ASEQ,0))),"")</f>
        <v/>
      </c>
    </row>
    <row r="351">
      <c r="A351" s="161">
        <f>IFERROR(""&amp;INDEX(tk_MARK,MATCH(345,tk_ASEQ,0)),"")</f>
        <v/>
      </c>
      <c r="B351" s="162">
        <f>IFERROR(""&amp;INDEX(tk_ROOMF,MATCH(345,tk_ASEQ,0)),"")</f>
        <v/>
      </c>
      <c r="C351" s="162">
        <f>IFERROR(""&amp;INDEX(tk_ROOMT,MATCH(345,tk_ASEQ,0)),"")</f>
        <v/>
      </c>
      <c r="D351" s="162">
        <f>IFERROR(INDEX(tk_QTY,MATCH(345,tk_ASEQ,0)),"")</f>
        <v/>
      </c>
      <c r="E351" s="162">
        <f>IFERROR(""&amp;INDEX(tk_SIZE,MATCH(345,tk_ASEQ,0)),"")</f>
        <v/>
      </c>
      <c r="F351" s="162">
        <f>IFERROR(""&amp;INDEX(tk_PAIR,MATCH(345,tk_ASEQ,0)),"")</f>
        <v/>
      </c>
      <c r="G351" s="162">
        <f>IFERROR(""&amp;INDEX(tk_DMAT,MATCH(345,tk_ASEQ,0)),"")</f>
        <v/>
      </c>
      <c r="H351" s="162">
        <f>IFERROR(""&amp;INDEX(tk_DGA,MATCH(345,tk_ASEQ,0)),"")</f>
        <v/>
      </c>
      <c r="I351" s="162">
        <f>IFERROR(""&amp;INDEX(tk_FACE,MATCH(345,tk_ASEQ,0)),"")</f>
        <v/>
      </c>
      <c r="J351" s="162">
        <f>IFERROR(IF(INDEX(tk_DHAND,MATCH(345,tk_ASEQ,0))="",""&amp;INDEX(tk_HAND,MATCH(345,tk_ASEQ,0)),""&amp;INDEX(tk_DHAND,MATCH(345,tk_ASEQ,0))),"")</f>
        <v/>
      </c>
      <c r="K351" s="162">
        <f>IFERROR(""&amp;INDEX(tk_FDESC,MATCH(345,tk_ASEQ,0)),"")</f>
        <v/>
      </c>
      <c r="L351" s="162">
        <f>IFERROR(INDEX(tk_STEEL,MATCH(345,tk_ASEQ,0))&amp;IF(INDEX(tk_FGA,MATCH(345,tk_ASEQ,0))="",""," "&amp;INDEX(tk_FGA,MATCH(345,tk_ASEQ,0))&amp;"GA"),"")</f>
        <v/>
      </c>
      <c r="M351" s="162">
        <f>IFERROR(IFERROR(VLOOKUP(INDEX(tk_JAMB,MATCH(345,tk_ASEQ,0)),CODES,2,FALSE),""&amp;INDEX(tk_JAMB,MATCH(345,tk_ASEQ,0))),"")</f>
        <v/>
      </c>
      <c r="N351" s="162">
        <f>IFERROR(""&amp;INDEX(tk_CONSTR,MATCH(345,tk_ASEQ,0)),"")</f>
        <v/>
      </c>
      <c r="O351" s="162">
        <f>IFERROR(""&amp;INDEX(tk_ANCHOR,MATCH(345,tk_ASEQ,0)),"")</f>
        <v/>
      </c>
      <c r="P351" s="162">
        <f>IFERROR(""&amp;INDEX(tk_RATING,MATCH(345,tk_ASEQ,0)),"")</f>
        <v/>
      </c>
      <c r="Q351" s="162">
        <f>IFERROR(""&amp;INDEX(tk_LABEL,MATCH(345,tk_ASEQ,0)),"")</f>
        <v/>
      </c>
      <c r="R351" s="162">
        <f>IFERROR(""&amp;INDEX(tk_HWSET,MATCH(345,tk_ASEQ,0)),"")</f>
        <v/>
      </c>
      <c r="S351" s="162">
        <f>IFERROR(IF(""&amp;INDEX(tk_HINGES,MATCH(345,tk_ASEQ,0))="","",INDEX(tk_HINGES,MATCH(345,tk_ASEQ,0))&amp;" · "&amp;INDEX(tk_LSRC,MATCH(345,tk_ASEQ,0))),"")</f>
        <v/>
      </c>
      <c r="T351" s="162">
        <f>IFERROR(""&amp;INDEX(tk_LOCK,MATCH(345,tk_ASEQ,0)),"")</f>
        <v/>
      </c>
      <c r="U351" s="162">
        <f>IFERROR(INDEX(tk_ETYPE,MATCH(345,tk_ASEQ,0)),"")</f>
        <v/>
      </c>
      <c r="V351" s="162">
        <f>IFERROR(""&amp;INDEX(tk_CHECK,MATCH(345,tk_ASEQ,0)),"")</f>
        <v/>
      </c>
      <c r="W351" s="162">
        <f>IFERROR(TRIM(INDEX(tk_DNOTES,MATCH(345,tk_ASEQ,0))&amp;" "&amp;INDEX(tk_FNOTES,MATCH(345,tk_ASEQ,0))),"")</f>
        <v/>
      </c>
    </row>
    <row r="352">
      <c r="A352" s="161">
        <f>IFERROR(""&amp;INDEX(tk_MARK,MATCH(346,tk_ASEQ,0)),"")</f>
        <v/>
      </c>
      <c r="B352" s="162">
        <f>IFERROR(""&amp;INDEX(tk_ROOMF,MATCH(346,tk_ASEQ,0)),"")</f>
        <v/>
      </c>
      <c r="C352" s="162">
        <f>IFERROR(""&amp;INDEX(tk_ROOMT,MATCH(346,tk_ASEQ,0)),"")</f>
        <v/>
      </c>
      <c r="D352" s="162">
        <f>IFERROR(INDEX(tk_QTY,MATCH(346,tk_ASEQ,0)),"")</f>
        <v/>
      </c>
      <c r="E352" s="162">
        <f>IFERROR(""&amp;INDEX(tk_SIZE,MATCH(346,tk_ASEQ,0)),"")</f>
        <v/>
      </c>
      <c r="F352" s="162">
        <f>IFERROR(""&amp;INDEX(tk_PAIR,MATCH(346,tk_ASEQ,0)),"")</f>
        <v/>
      </c>
      <c r="G352" s="162">
        <f>IFERROR(""&amp;INDEX(tk_DMAT,MATCH(346,tk_ASEQ,0)),"")</f>
        <v/>
      </c>
      <c r="H352" s="162">
        <f>IFERROR(""&amp;INDEX(tk_DGA,MATCH(346,tk_ASEQ,0)),"")</f>
        <v/>
      </c>
      <c r="I352" s="162">
        <f>IFERROR(""&amp;INDEX(tk_FACE,MATCH(346,tk_ASEQ,0)),"")</f>
        <v/>
      </c>
      <c r="J352" s="162">
        <f>IFERROR(IF(INDEX(tk_DHAND,MATCH(346,tk_ASEQ,0))="",""&amp;INDEX(tk_HAND,MATCH(346,tk_ASEQ,0)),""&amp;INDEX(tk_DHAND,MATCH(346,tk_ASEQ,0))),"")</f>
        <v/>
      </c>
      <c r="K352" s="162">
        <f>IFERROR(""&amp;INDEX(tk_FDESC,MATCH(346,tk_ASEQ,0)),"")</f>
        <v/>
      </c>
      <c r="L352" s="162">
        <f>IFERROR(INDEX(tk_STEEL,MATCH(346,tk_ASEQ,0))&amp;IF(INDEX(tk_FGA,MATCH(346,tk_ASEQ,0))="",""," "&amp;INDEX(tk_FGA,MATCH(346,tk_ASEQ,0))&amp;"GA"),"")</f>
        <v/>
      </c>
      <c r="M352" s="162">
        <f>IFERROR(IFERROR(VLOOKUP(INDEX(tk_JAMB,MATCH(346,tk_ASEQ,0)),CODES,2,FALSE),""&amp;INDEX(tk_JAMB,MATCH(346,tk_ASEQ,0))),"")</f>
        <v/>
      </c>
      <c r="N352" s="162">
        <f>IFERROR(""&amp;INDEX(tk_CONSTR,MATCH(346,tk_ASEQ,0)),"")</f>
        <v/>
      </c>
      <c r="O352" s="162">
        <f>IFERROR(""&amp;INDEX(tk_ANCHOR,MATCH(346,tk_ASEQ,0)),"")</f>
        <v/>
      </c>
      <c r="P352" s="162">
        <f>IFERROR(""&amp;INDEX(tk_RATING,MATCH(346,tk_ASEQ,0)),"")</f>
        <v/>
      </c>
      <c r="Q352" s="162">
        <f>IFERROR(""&amp;INDEX(tk_LABEL,MATCH(346,tk_ASEQ,0)),"")</f>
        <v/>
      </c>
      <c r="R352" s="162">
        <f>IFERROR(""&amp;INDEX(tk_HWSET,MATCH(346,tk_ASEQ,0)),"")</f>
        <v/>
      </c>
      <c r="S352" s="162">
        <f>IFERROR(IF(""&amp;INDEX(tk_HINGES,MATCH(346,tk_ASEQ,0))="","",INDEX(tk_HINGES,MATCH(346,tk_ASEQ,0))&amp;" · "&amp;INDEX(tk_LSRC,MATCH(346,tk_ASEQ,0))),"")</f>
        <v/>
      </c>
      <c r="T352" s="162">
        <f>IFERROR(""&amp;INDEX(tk_LOCK,MATCH(346,tk_ASEQ,0)),"")</f>
        <v/>
      </c>
      <c r="U352" s="162">
        <f>IFERROR(INDEX(tk_ETYPE,MATCH(346,tk_ASEQ,0)),"")</f>
        <v/>
      </c>
      <c r="V352" s="162">
        <f>IFERROR(""&amp;INDEX(tk_CHECK,MATCH(346,tk_ASEQ,0)),"")</f>
        <v/>
      </c>
      <c r="W352" s="162">
        <f>IFERROR(TRIM(INDEX(tk_DNOTES,MATCH(346,tk_ASEQ,0))&amp;" "&amp;INDEX(tk_FNOTES,MATCH(346,tk_ASEQ,0))),"")</f>
        <v/>
      </c>
    </row>
    <row r="353">
      <c r="A353" s="161">
        <f>IFERROR(""&amp;INDEX(tk_MARK,MATCH(347,tk_ASEQ,0)),"")</f>
        <v/>
      </c>
      <c r="B353" s="162">
        <f>IFERROR(""&amp;INDEX(tk_ROOMF,MATCH(347,tk_ASEQ,0)),"")</f>
        <v/>
      </c>
      <c r="C353" s="162">
        <f>IFERROR(""&amp;INDEX(tk_ROOMT,MATCH(347,tk_ASEQ,0)),"")</f>
        <v/>
      </c>
      <c r="D353" s="162">
        <f>IFERROR(INDEX(tk_QTY,MATCH(347,tk_ASEQ,0)),"")</f>
        <v/>
      </c>
      <c r="E353" s="162">
        <f>IFERROR(""&amp;INDEX(tk_SIZE,MATCH(347,tk_ASEQ,0)),"")</f>
        <v/>
      </c>
      <c r="F353" s="162">
        <f>IFERROR(""&amp;INDEX(tk_PAIR,MATCH(347,tk_ASEQ,0)),"")</f>
        <v/>
      </c>
      <c r="G353" s="162">
        <f>IFERROR(""&amp;INDEX(tk_DMAT,MATCH(347,tk_ASEQ,0)),"")</f>
        <v/>
      </c>
      <c r="H353" s="162">
        <f>IFERROR(""&amp;INDEX(tk_DGA,MATCH(347,tk_ASEQ,0)),"")</f>
        <v/>
      </c>
      <c r="I353" s="162">
        <f>IFERROR(""&amp;INDEX(tk_FACE,MATCH(347,tk_ASEQ,0)),"")</f>
        <v/>
      </c>
      <c r="J353" s="162">
        <f>IFERROR(IF(INDEX(tk_DHAND,MATCH(347,tk_ASEQ,0))="",""&amp;INDEX(tk_HAND,MATCH(347,tk_ASEQ,0)),""&amp;INDEX(tk_DHAND,MATCH(347,tk_ASEQ,0))),"")</f>
        <v/>
      </c>
      <c r="K353" s="162">
        <f>IFERROR(""&amp;INDEX(tk_FDESC,MATCH(347,tk_ASEQ,0)),"")</f>
        <v/>
      </c>
      <c r="L353" s="162">
        <f>IFERROR(INDEX(tk_STEEL,MATCH(347,tk_ASEQ,0))&amp;IF(INDEX(tk_FGA,MATCH(347,tk_ASEQ,0))="",""," "&amp;INDEX(tk_FGA,MATCH(347,tk_ASEQ,0))&amp;"GA"),"")</f>
        <v/>
      </c>
      <c r="M353" s="162">
        <f>IFERROR(IFERROR(VLOOKUP(INDEX(tk_JAMB,MATCH(347,tk_ASEQ,0)),CODES,2,FALSE),""&amp;INDEX(tk_JAMB,MATCH(347,tk_ASEQ,0))),"")</f>
        <v/>
      </c>
      <c r="N353" s="162">
        <f>IFERROR(""&amp;INDEX(tk_CONSTR,MATCH(347,tk_ASEQ,0)),"")</f>
        <v/>
      </c>
      <c r="O353" s="162">
        <f>IFERROR(""&amp;INDEX(tk_ANCHOR,MATCH(347,tk_ASEQ,0)),"")</f>
        <v/>
      </c>
      <c r="P353" s="162">
        <f>IFERROR(""&amp;INDEX(tk_RATING,MATCH(347,tk_ASEQ,0)),"")</f>
        <v/>
      </c>
      <c r="Q353" s="162">
        <f>IFERROR(""&amp;INDEX(tk_LABEL,MATCH(347,tk_ASEQ,0)),"")</f>
        <v/>
      </c>
      <c r="R353" s="162">
        <f>IFERROR(""&amp;INDEX(tk_HWSET,MATCH(347,tk_ASEQ,0)),"")</f>
        <v/>
      </c>
      <c r="S353" s="162">
        <f>IFERROR(IF(""&amp;INDEX(tk_HINGES,MATCH(347,tk_ASEQ,0))="","",INDEX(tk_HINGES,MATCH(347,tk_ASEQ,0))&amp;" · "&amp;INDEX(tk_LSRC,MATCH(347,tk_ASEQ,0))),"")</f>
        <v/>
      </c>
      <c r="T353" s="162">
        <f>IFERROR(""&amp;INDEX(tk_LOCK,MATCH(347,tk_ASEQ,0)),"")</f>
        <v/>
      </c>
      <c r="U353" s="162">
        <f>IFERROR(INDEX(tk_ETYPE,MATCH(347,tk_ASEQ,0)),"")</f>
        <v/>
      </c>
      <c r="V353" s="162">
        <f>IFERROR(""&amp;INDEX(tk_CHECK,MATCH(347,tk_ASEQ,0)),"")</f>
        <v/>
      </c>
      <c r="W353" s="162">
        <f>IFERROR(TRIM(INDEX(tk_DNOTES,MATCH(347,tk_ASEQ,0))&amp;" "&amp;INDEX(tk_FNOTES,MATCH(347,tk_ASEQ,0))),"")</f>
        <v/>
      </c>
    </row>
    <row r="354">
      <c r="A354" s="161">
        <f>IFERROR(""&amp;INDEX(tk_MARK,MATCH(348,tk_ASEQ,0)),"")</f>
        <v/>
      </c>
      <c r="B354" s="162">
        <f>IFERROR(""&amp;INDEX(tk_ROOMF,MATCH(348,tk_ASEQ,0)),"")</f>
        <v/>
      </c>
      <c r="C354" s="162">
        <f>IFERROR(""&amp;INDEX(tk_ROOMT,MATCH(348,tk_ASEQ,0)),"")</f>
        <v/>
      </c>
      <c r="D354" s="162">
        <f>IFERROR(INDEX(tk_QTY,MATCH(348,tk_ASEQ,0)),"")</f>
        <v/>
      </c>
      <c r="E354" s="162">
        <f>IFERROR(""&amp;INDEX(tk_SIZE,MATCH(348,tk_ASEQ,0)),"")</f>
        <v/>
      </c>
      <c r="F354" s="162">
        <f>IFERROR(""&amp;INDEX(tk_PAIR,MATCH(348,tk_ASEQ,0)),"")</f>
        <v/>
      </c>
      <c r="G354" s="162">
        <f>IFERROR(""&amp;INDEX(tk_DMAT,MATCH(348,tk_ASEQ,0)),"")</f>
        <v/>
      </c>
      <c r="H354" s="162">
        <f>IFERROR(""&amp;INDEX(tk_DGA,MATCH(348,tk_ASEQ,0)),"")</f>
        <v/>
      </c>
      <c r="I354" s="162">
        <f>IFERROR(""&amp;INDEX(tk_FACE,MATCH(348,tk_ASEQ,0)),"")</f>
        <v/>
      </c>
      <c r="J354" s="162">
        <f>IFERROR(IF(INDEX(tk_DHAND,MATCH(348,tk_ASEQ,0))="",""&amp;INDEX(tk_HAND,MATCH(348,tk_ASEQ,0)),""&amp;INDEX(tk_DHAND,MATCH(348,tk_ASEQ,0))),"")</f>
        <v/>
      </c>
      <c r="K354" s="162">
        <f>IFERROR(""&amp;INDEX(tk_FDESC,MATCH(348,tk_ASEQ,0)),"")</f>
        <v/>
      </c>
      <c r="L354" s="162">
        <f>IFERROR(INDEX(tk_STEEL,MATCH(348,tk_ASEQ,0))&amp;IF(INDEX(tk_FGA,MATCH(348,tk_ASEQ,0))="",""," "&amp;INDEX(tk_FGA,MATCH(348,tk_ASEQ,0))&amp;"GA"),"")</f>
        <v/>
      </c>
      <c r="M354" s="162">
        <f>IFERROR(IFERROR(VLOOKUP(INDEX(tk_JAMB,MATCH(348,tk_ASEQ,0)),CODES,2,FALSE),""&amp;INDEX(tk_JAMB,MATCH(348,tk_ASEQ,0))),"")</f>
        <v/>
      </c>
      <c r="N354" s="162">
        <f>IFERROR(""&amp;INDEX(tk_CONSTR,MATCH(348,tk_ASEQ,0)),"")</f>
        <v/>
      </c>
      <c r="O354" s="162">
        <f>IFERROR(""&amp;INDEX(tk_ANCHOR,MATCH(348,tk_ASEQ,0)),"")</f>
        <v/>
      </c>
      <c r="P354" s="162">
        <f>IFERROR(""&amp;INDEX(tk_RATING,MATCH(348,tk_ASEQ,0)),"")</f>
        <v/>
      </c>
      <c r="Q354" s="162">
        <f>IFERROR(""&amp;INDEX(tk_LABEL,MATCH(348,tk_ASEQ,0)),"")</f>
        <v/>
      </c>
      <c r="R354" s="162">
        <f>IFERROR(""&amp;INDEX(tk_HWSET,MATCH(348,tk_ASEQ,0)),"")</f>
        <v/>
      </c>
      <c r="S354" s="162">
        <f>IFERROR(IF(""&amp;INDEX(tk_HINGES,MATCH(348,tk_ASEQ,0))="","",INDEX(tk_HINGES,MATCH(348,tk_ASEQ,0))&amp;" · "&amp;INDEX(tk_LSRC,MATCH(348,tk_ASEQ,0))),"")</f>
        <v/>
      </c>
      <c r="T354" s="162">
        <f>IFERROR(""&amp;INDEX(tk_LOCK,MATCH(348,tk_ASEQ,0)),"")</f>
        <v/>
      </c>
      <c r="U354" s="162">
        <f>IFERROR(INDEX(tk_ETYPE,MATCH(348,tk_ASEQ,0)),"")</f>
        <v/>
      </c>
      <c r="V354" s="162">
        <f>IFERROR(""&amp;INDEX(tk_CHECK,MATCH(348,tk_ASEQ,0)),"")</f>
        <v/>
      </c>
      <c r="W354" s="162">
        <f>IFERROR(TRIM(INDEX(tk_DNOTES,MATCH(348,tk_ASEQ,0))&amp;" "&amp;INDEX(tk_FNOTES,MATCH(348,tk_ASEQ,0))),"")</f>
        <v/>
      </c>
    </row>
    <row r="355">
      <c r="A355" s="161">
        <f>IFERROR(""&amp;INDEX(tk_MARK,MATCH(349,tk_ASEQ,0)),"")</f>
        <v/>
      </c>
      <c r="B355" s="162">
        <f>IFERROR(""&amp;INDEX(tk_ROOMF,MATCH(349,tk_ASEQ,0)),"")</f>
        <v/>
      </c>
      <c r="C355" s="162">
        <f>IFERROR(""&amp;INDEX(tk_ROOMT,MATCH(349,tk_ASEQ,0)),"")</f>
        <v/>
      </c>
      <c r="D355" s="162">
        <f>IFERROR(INDEX(tk_QTY,MATCH(349,tk_ASEQ,0)),"")</f>
        <v/>
      </c>
      <c r="E355" s="162">
        <f>IFERROR(""&amp;INDEX(tk_SIZE,MATCH(349,tk_ASEQ,0)),"")</f>
        <v/>
      </c>
      <c r="F355" s="162">
        <f>IFERROR(""&amp;INDEX(tk_PAIR,MATCH(349,tk_ASEQ,0)),"")</f>
        <v/>
      </c>
      <c r="G355" s="162">
        <f>IFERROR(""&amp;INDEX(tk_DMAT,MATCH(349,tk_ASEQ,0)),"")</f>
        <v/>
      </c>
      <c r="H355" s="162">
        <f>IFERROR(""&amp;INDEX(tk_DGA,MATCH(349,tk_ASEQ,0)),"")</f>
        <v/>
      </c>
      <c r="I355" s="162">
        <f>IFERROR(""&amp;INDEX(tk_FACE,MATCH(349,tk_ASEQ,0)),"")</f>
        <v/>
      </c>
      <c r="J355" s="162">
        <f>IFERROR(IF(INDEX(tk_DHAND,MATCH(349,tk_ASEQ,0))="",""&amp;INDEX(tk_HAND,MATCH(349,tk_ASEQ,0)),""&amp;INDEX(tk_DHAND,MATCH(349,tk_ASEQ,0))),"")</f>
        <v/>
      </c>
      <c r="K355" s="162">
        <f>IFERROR(""&amp;INDEX(tk_FDESC,MATCH(349,tk_ASEQ,0)),"")</f>
        <v/>
      </c>
      <c r="L355" s="162">
        <f>IFERROR(INDEX(tk_STEEL,MATCH(349,tk_ASEQ,0))&amp;IF(INDEX(tk_FGA,MATCH(349,tk_ASEQ,0))="",""," "&amp;INDEX(tk_FGA,MATCH(349,tk_ASEQ,0))&amp;"GA"),"")</f>
        <v/>
      </c>
      <c r="M355" s="162">
        <f>IFERROR(IFERROR(VLOOKUP(INDEX(tk_JAMB,MATCH(349,tk_ASEQ,0)),CODES,2,FALSE),""&amp;INDEX(tk_JAMB,MATCH(349,tk_ASEQ,0))),"")</f>
        <v/>
      </c>
      <c r="N355" s="162">
        <f>IFERROR(""&amp;INDEX(tk_CONSTR,MATCH(349,tk_ASEQ,0)),"")</f>
        <v/>
      </c>
      <c r="O355" s="162">
        <f>IFERROR(""&amp;INDEX(tk_ANCHOR,MATCH(349,tk_ASEQ,0)),"")</f>
        <v/>
      </c>
      <c r="P355" s="162">
        <f>IFERROR(""&amp;INDEX(tk_RATING,MATCH(349,tk_ASEQ,0)),"")</f>
        <v/>
      </c>
      <c r="Q355" s="162">
        <f>IFERROR(""&amp;INDEX(tk_LABEL,MATCH(349,tk_ASEQ,0)),"")</f>
        <v/>
      </c>
      <c r="R355" s="162">
        <f>IFERROR(""&amp;INDEX(tk_HWSET,MATCH(349,tk_ASEQ,0)),"")</f>
        <v/>
      </c>
      <c r="S355" s="162">
        <f>IFERROR(IF(""&amp;INDEX(tk_HINGES,MATCH(349,tk_ASEQ,0))="","",INDEX(tk_HINGES,MATCH(349,tk_ASEQ,0))&amp;" · "&amp;INDEX(tk_LSRC,MATCH(349,tk_ASEQ,0))),"")</f>
        <v/>
      </c>
      <c r="T355" s="162">
        <f>IFERROR(""&amp;INDEX(tk_LOCK,MATCH(349,tk_ASEQ,0)),"")</f>
        <v/>
      </c>
      <c r="U355" s="162">
        <f>IFERROR(INDEX(tk_ETYPE,MATCH(349,tk_ASEQ,0)),"")</f>
        <v/>
      </c>
      <c r="V355" s="162">
        <f>IFERROR(""&amp;INDEX(tk_CHECK,MATCH(349,tk_ASEQ,0)),"")</f>
        <v/>
      </c>
      <c r="W355" s="162">
        <f>IFERROR(TRIM(INDEX(tk_DNOTES,MATCH(349,tk_ASEQ,0))&amp;" "&amp;INDEX(tk_FNOTES,MATCH(349,tk_ASEQ,0))),"")</f>
        <v/>
      </c>
    </row>
    <row r="356">
      <c r="A356" s="161">
        <f>IFERROR(""&amp;INDEX(tk_MARK,MATCH(350,tk_ASEQ,0)),"")</f>
        <v/>
      </c>
      <c r="B356" s="162">
        <f>IFERROR(""&amp;INDEX(tk_ROOMF,MATCH(350,tk_ASEQ,0)),"")</f>
        <v/>
      </c>
      <c r="C356" s="162">
        <f>IFERROR(""&amp;INDEX(tk_ROOMT,MATCH(350,tk_ASEQ,0)),"")</f>
        <v/>
      </c>
      <c r="D356" s="162">
        <f>IFERROR(INDEX(tk_QTY,MATCH(350,tk_ASEQ,0)),"")</f>
        <v/>
      </c>
      <c r="E356" s="162">
        <f>IFERROR(""&amp;INDEX(tk_SIZE,MATCH(350,tk_ASEQ,0)),"")</f>
        <v/>
      </c>
      <c r="F356" s="162">
        <f>IFERROR(""&amp;INDEX(tk_PAIR,MATCH(350,tk_ASEQ,0)),"")</f>
        <v/>
      </c>
      <c r="G356" s="162">
        <f>IFERROR(""&amp;INDEX(tk_DMAT,MATCH(350,tk_ASEQ,0)),"")</f>
        <v/>
      </c>
      <c r="H356" s="162">
        <f>IFERROR(""&amp;INDEX(tk_DGA,MATCH(350,tk_ASEQ,0)),"")</f>
        <v/>
      </c>
      <c r="I356" s="162">
        <f>IFERROR(""&amp;INDEX(tk_FACE,MATCH(350,tk_ASEQ,0)),"")</f>
        <v/>
      </c>
      <c r="J356" s="162">
        <f>IFERROR(IF(INDEX(tk_DHAND,MATCH(350,tk_ASEQ,0))="",""&amp;INDEX(tk_HAND,MATCH(350,tk_ASEQ,0)),""&amp;INDEX(tk_DHAND,MATCH(350,tk_ASEQ,0))),"")</f>
        <v/>
      </c>
      <c r="K356" s="162">
        <f>IFERROR(""&amp;INDEX(tk_FDESC,MATCH(350,tk_ASEQ,0)),"")</f>
        <v/>
      </c>
      <c r="L356" s="162">
        <f>IFERROR(INDEX(tk_STEEL,MATCH(350,tk_ASEQ,0))&amp;IF(INDEX(tk_FGA,MATCH(350,tk_ASEQ,0))="",""," "&amp;INDEX(tk_FGA,MATCH(350,tk_ASEQ,0))&amp;"GA"),"")</f>
        <v/>
      </c>
      <c r="M356" s="162">
        <f>IFERROR(IFERROR(VLOOKUP(INDEX(tk_JAMB,MATCH(350,tk_ASEQ,0)),CODES,2,FALSE),""&amp;INDEX(tk_JAMB,MATCH(350,tk_ASEQ,0))),"")</f>
        <v/>
      </c>
      <c r="N356" s="162">
        <f>IFERROR(""&amp;INDEX(tk_CONSTR,MATCH(350,tk_ASEQ,0)),"")</f>
        <v/>
      </c>
      <c r="O356" s="162">
        <f>IFERROR(""&amp;INDEX(tk_ANCHOR,MATCH(350,tk_ASEQ,0)),"")</f>
        <v/>
      </c>
      <c r="P356" s="162">
        <f>IFERROR(""&amp;INDEX(tk_RATING,MATCH(350,tk_ASEQ,0)),"")</f>
        <v/>
      </c>
      <c r="Q356" s="162">
        <f>IFERROR(""&amp;INDEX(tk_LABEL,MATCH(350,tk_ASEQ,0)),"")</f>
        <v/>
      </c>
      <c r="R356" s="162">
        <f>IFERROR(""&amp;INDEX(tk_HWSET,MATCH(350,tk_ASEQ,0)),"")</f>
        <v/>
      </c>
      <c r="S356" s="162">
        <f>IFERROR(IF(""&amp;INDEX(tk_HINGES,MATCH(350,tk_ASEQ,0))="","",INDEX(tk_HINGES,MATCH(350,tk_ASEQ,0))&amp;" · "&amp;INDEX(tk_LSRC,MATCH(350,tk_ASEQ,0))),"")</f>
        <v/>
      </c>
      <c r="T356" s="162">
        <f>IFERROR(""&amp;INDEX(tk_LOCK,MATCH(350,tk_ASEQ,0)),"")</f>
        <v/>
      </c>
      <c r="U356" s="162">
        <f>IFERROR(INDEX(tk_ETYPE,MATCH(350,tk_ASEQ,0)),"")</f>
        <v/>
      </c>
      <c r="V356" s="162">
        <f>IFERROR(""&amp;INDEX(tk_CHECK,MATCH(350,tk_ASEQ,0)),"")</f>
        <v/>
      </c>
      <c r="W356" s="162">
        <f>IFERROR(TRIM(INDEX(tk_DNOTES,MATCH(350,tk_ASEQ,0))&amp;" "&amp;INDEX(tk_FNOTES,MATCH(350,tk_ASEQ,0))),"")</f>
        <v/>
      </c>
    </row>
    <row r="357">
      <c r="A357" s="161">
        <f>IFERROR(""&amp;INDEX(tk_MARK,MATCH(351,tk_ASEQ,0)),"")</f>
        <v/>
      </c>
      <c r="B357" s="162">
        <f>IFERROR(""&amp;INDEX(tk_ROOMF,MATCH(351,tk_ASEQ,0)),"")</f>
        <v/>
      </c>
      <c r="C357" s="162">
        <f>IFERROR(""&amp;INDEX(tk_ROOMT,MATCH(351,tk_ASEQ,0)),"")</f>
        <v/>
      </c>
      <c r="D357" s="162">
        <f>IFERROR(INDEX(tk_QTY,MATCH(351,tk_ASEQ,0)),"")</f>
        <v/>
      </c>
      <c r="E357" s="162">
        <f>IFERROR(""&amp;INDEX(tk_SIZE,MATCH(351,tk_ASEQ,0)),"")</f>
        <v/>
      </c>
      <c r="F357" s="162">
        <f>IFERROR(""&amp;INDEX(tk_PAIR,MATCH(351,tk_ASEQ,0)),"")</f>
        <v/>
      </c>
      <c r="G357" s="162">
        <f>IFERROR(""&amp;INDEX(tk_DMAT,MATCH(351,tk_ASEQ,0)),"")</f>
        <v/>
      </c>
      <c r="H357" s="162">
        <f>IFERROR(""&amp;INDEX(tk_DGA,MATCH(351,tk_ASEQ,0)),"")</f>
        <v/>
      </c>
      <c r="I357" s="162">
        <f>IFERROR(""&amp;INDEX(tk_FACE,MATCH(351,tk_ASEQ,0)),"")</f>
        <v/>
      </c>
      <c r="J357" s="162">
        <f>IFERROR(IF(INDEX(tk_DHAND,MATCH(351,tk_ASEQ,0))="",""&amp;INDEX(tk_HAND,MATCH(351,tk_ASEQ,0)),""&amp;INDEX(tk_DHAND,MATCH(351,tk_ASEQ,0))),"")</f>
        <v/>
      </c>
      <c r="K357" s="162">
        <f>IFERROR(""&amp;INDEX(tk_FDESC,MATCH(351,tk_ASEQ,0)),"")</f>
        <v/>
      </c>
      <c r="L357" s="162">
        <f>IFERROR(INDEX(tk_STEEL,MATCH(351,tk_ASEQ,0))&amp;IF(INDEX(tk_FGA,MATCH(351,tk_ASEQ,0))="",""," "&amp;INDEX(tk_FGA,MATCH(351,tk_ASEQ,0))&amp;"GA"),"")</f>
        <v/>
      </c>
      <c r="M357" s="162">
        <f>IFERROR(IFERROR(VLOOKUP(INDEX(tk_JAMB,MATCH(351,tk_ASEQ,0)),CODES,2,FALSE),""&amp;INDEX(tk_JAMB,MATCH(351,tk_ASEQ,0))),"")</f>
        <v/>
      </c>
      <c r="N357" s="162">
        <f>IFERROR(""&amp;INDEX(tk_CONSTR,MATCH(351,tk_ASEQ,0)),"")</f>
        <v/>
      </c>
      <c r="O357" s="162">
        <f>IFERROR(""&amp;INDEX(tk_ANCHOR,MATCH(351,tk_ASEQ,0)),"")</f>
        <v/>
      </c>
      <c r="P357" s="162">
        <f>IFERROR(""&amp;INDEX(tk_RATING,MATCH(351,tk_ASEQ,0)),"")</f>
        <v/>
      </c>
      <c r="Q357" s="162">
        <f>IFERROR(""&amp;INDEX(tk_LABEL,MATCH(351,tk_ASEQ,0)),"")</f>
        <v/>
      </c>
      <c r="R357" s="162">
        <f>IFERROR(""&amp;INDEX(tk_HWSET,MATCH(351,tk_ASEQ,0)),"")</f>
        <v/>
      </c>
      <c r="S357" s="162">
        <f>IFERROR(IF(""&amp;INDEX(tk_HINGES,MATCH(351,tk_ASEQ,0))="","",INDEX(tk_HINGES,MATCH(351,tk_ASEQ,0))&amp;" · "&amp;INDEX(tk_LSRC,MATCH(351,tk_ASEQ,0))),"")</f>
        <v/>
      </c>
      <c r="T357" s="162">
        <f>IFERROR(""&amp;INDEX(tk_LOCK,MATCH(351,tk_ASEQ,0)),"")</f>
        <v/>
      </c>
      <c r="U357" s="162">
        <f>IFERROR(INDEX(tk_ETYPE,MATCH(351,tk_ASEQ,0)),"")</f>
        <v/>
      </c>
      <c r="V357" s="162">
        <f>IFERROR(""&amp;INDEX(tk_CHECK,MATCH(351,tk_ASEQ,0)),"")</f>
        <v/>
      </c>
      <c r="W357" s="162">
        <f>IFERROR(TRIM(INDEX(tk_DNOTES,MATCH(351,tk_ASEQ,0))&amp;" "&amp;INDEX(tk_FNOTES,MATCH(351,tk_ASEQ,0))),"")</f>
        <v/>
      </c>
    </row>
    <row r="358">
      <c r="A358" s="161">
        <f>IFERROR(""&amp;INDEX(tk_MARK,MATCH(352,tk_ASEQ,0)),"")</f>
        <v/>
      </c>
      <c r="B358" s="162">
        <f>IFERROR(""&amp;INDEX(tk_ROOMF,MATCH(352,tk_ASEQ,0)),"")</f>
        <v/>
      </c>
      <c r="C358" s="162">
        <f>IFERROR(""&amp;INDEX(tk_ROOMT,MATCH(352,tk_ASEQ,0)),"")</f>
        <v/>
      </c>
      <c r="D358" s="162">
        <f>IFERROR(INDEX(tk_QTY,MATCH(352,tk_ASEQ,0)),"")</f>
        <v/>
      </c>
      <c r="E358" s="162">
        <f>IFERROR(""&amp;INDEX(tk_SIZE,MATCH(352,tk_ASEQ,0)),"")</f>
        <v/>
      </c>
      <c r="F358" s="162">
        <f>IFERROR(""&amp;INDEX(tk_PAIR,MATCH(352,tk_ASEQ,0)),"")</f>
        <v/>
      </c>
      <c r="G358" s="162">
        <f>IFERROR(""&amp;INDEX(tk_DMAT,MATCH(352,tk_ASEQ,0)),"")</f>
        <v/>
      </c>
      <c r="H358" s="162">
        <f>IFERROR(""&amp;INDEX(tk_DGA,MATCH(352,tk_ASEQ,0)),"")</f>
        <v/>
      </c>
      <c r="I358" s="162">
        <f>IFERROR(""&amp;INDEX(tk_FACE,MATCH(352,tk_ASEQ,0)),"")</f>
        <v/>
      </c>
      <c r="J358" s="162">
        <f>IFERROR(IF(INDEX(tk_DHAND,MATCH(352,tk_ASEQ,0))="",""&amp;INDEX(tk_HAND,MATCH(352,tk_ASEQ,0)),""&amp;INDEX(tk_DHAND,MATCH(352,tk_ASEQ,0))),"")</f>
        <v/>
      </c>
      <c r="K358" s="162">
        <f>IFERROR(""&amp;INDEX(tk_FDESC,MATCH(352,tk_ASEQ,0)),"")</f>
        <v/>
      </c>
      <c r="L358" s="162">
        <f>IFERROR(INDEX(tk_STEEL,MATCH(352,tk_ASEQ,0))&amp;IF(INDEX(tk_FGA,MATCH(352,tk_ASEQ,0))="",""," "&amp;INDEX(tk_FGA,MATCH(352,tk_ASEQ,0))&amp;"GA"),"")</f>
        <v/>
      </c>
      <c r="M358" s="162">
        <f>IFERROR(IFERROR(VLOOKUP(INDEX(tk_JAMB,MATCH(352,tk_ASEQ,0)),CODES,2,FALSE),""&amp;INDEX(tk_JAMB,MATCH(352,tk_ASEQ,0))),"")</f>
        <v/>
      </c>
      <c r="N358" s="162">
        <f>IFERROR(""&amp;INDEX(tk_CONSTR,MATCH(352,tk_ASEQ,0)),"")</f>
        <v/>
      </c>
      <c r="O358" s="162">
        <f>IFERROR(""&amp;INDEX(tk_ANCHOR,MATCH(352,tk_ASEQ,0)),"")</f>
        <v/>
      </c>
      <c r="P358" s="162">
        <f>IFERROR(""&amp;INDEX(tk_RATING,MATCH(352,tk_ASEQ,0)),"")</f>
        <v/>
      </c>
      <c r="Q358" s="162">
        <f>IFERROR(""&amp;INDEX(tk_LABEL,MATCH(352,tk_ASEQ,0)),"")</f>
        <v/>
      </c>
      <c r="R358" s="162">
        <f>IFERROR(""&amp;INDEX(tk_HWSET,MATCH(352,tk_ASEQ,0)),"")</f>
        <v/>
      </c>
      <c r="S358" s="162">
        <f>IFERROR(IF(""&amp;INDEX(tk_HINGES,MATCH(352,tk_ASEQ,0))="","",INDEX(tk_HINGES,MATCH(352,tk_ASEQ,0))&amp;" · "&amp;INDEX(tk_LSRC,MATCH(352,tk_ASEQ,0))),"")</f>
        <v/>
      </c>
      <c r="T358" s="162">
        <f>IFERROR(""&amp;INDEX(tk_LOCK,MATCH(352,tk_ASEQ,0)),"")</f>
        <v/>
      </c>
      <c r="U358" s="162">
        <f>IFERROR(INDEX(tk_ETYPE,MATCH(352,tk_ASEQ,0)),"")</f>
        <v/>
      </c>
      <c r="V358" s="162">
        <f>IFERROR(""&amp;INDEX(tk_CHECK,MATCH(352,tk_ASEQ,0)),"")</f>
        <v/>
      </c>
      <c r="W358" s="162">
        <f>IFERROR(TRIM(INDEX(tk_DNOTES,MATCH(352,tk_ASEQ,0))&amp;" "&amp;INDEX(tk_FNOTES,MATCH(352,tk_ASEQ,0))),"")</f>
        <v/>
      </c>
    </row>
    <row r="359">
      <c r="A359" s="161">
        <f>IFERROR(""&amp;INDEX(tk_MARK,MATCH(353,tk_ASEQ,0)),"")</f>
        <v/>
      </c>
      <c r="B359" s="162">
        <f>IFERROR(""&amp;INDEX(tk_ROOMF,MATCH(353,tk_ASEQ,0)),"")</f>
        <v/>
      </c>
      <c r="C359" s="162">
        <f>IFERROR(""&amp;INDEX(tk_ROOMT,MATCH(353,tk_ASEQ,0)),"")</f>
        <v/>
      </c>
      <c r="D359" s="162">
        <f>IFERROR(INDEX(tk_QTY,MATCH(353,tk_ASEQ,0)),"")</f>
        <v/>
      </c>
      <c r="E359" s="162">
        <f>IFERROR(""&amp;INDEX(tk_SIZE,MATCH(353,tk_ASEQ,0)),"")</f>
        <v/>
      </c>
      <c r="F359" s="162">
        <f>IFERROR(""&amp;INDEX(tk_PAIR,MATCH(353,tk_ASEQ,0)),"")</f>
        <v/>
      </c>
      <c r="G359" s="162">
        <f>IFERROR(""&amp;INDEX(tk_DMAT,MATCH(353,tk_ASEQ,0)),"")</f>
        <v/>
      </c>
      <c r="H359" s="162">
        <f>IFERROR(""&amp;INDEX(tk_DGA,MATCH(353,tk_ASEQ,0)),"")</f>
        <v/>
      </c>
      <c r="I359" s="162">
        <f>IFERROR(""&amp;INDEX(tk_FACE,MATCH(353,tk_ASEQ,0)),"")</f>
        <v/>
      </c>
      <c r="J359" s="162">
        <f>IFERROR(IF(INDEX(tk_DHAND,MATCH(353,tk_ASEQ,0))="",""&amp;INDEX(tk_HAND,MATCH(353,tk_ASEQ,0)),""&amp;INDEX(tk_DHAND,MATCH(353,tk_ASEQ,0))),"")</f>
        <v/>
      </c>
      <c r="K359" s="162">
        <f>IFERROR(""&amp;INDEX(tk_FDESC,MATCH(353,tk_ASEQ,0)),"")</f>
        <v/>
      </c>
      <c r="L359" s="162">
        <f>IFERROR(INDEX(tk_STEEL,MATCH(353,tk_ASEQ,0))&amp;IF(INDEX(tk_FGA,MATCH(353,tk_ASEQ,0))="",""," "&amp;INDEX(tk_FGA,MATCH(353,tk_ASEQ,0))&amp;"GA"),"")</f>
        <v/>
      </c>
      <c r="M359" s="162">
        <f>IFERROR(IFERROR(VLOOKUP(INDEX(tk_JAMB,MATCH(353,tk_ASEQ,0)),CODES,2,FALSE),""&amp;INDEX(tk_JAMB,MATCH(353,tk_ASEQ,0))),"")</f>
        <v/>
      </c>
      <c r="N359" s="162">
        <f>IFERROR(""&amp;INDEX(tk_CONSTR,MATCH(353,tk_ASEQ,0)),"")</f>
        <v/>
      </c>
      <c r="O359" s="162">
        <f>IFERROR(""&amp;INDEX(tk_ANCHOR,MATCH(353,tk_ASEQ,0)),"")</f>
        <v/>
      </c>
      <c r="P359" s="162">
        <f>IFERROR(""&amp;INDEX(tk_RATING,MATCH(353,tk_ASEQ,0)),"")</f>
        <v/>
      </c>
      <c r="Q359" s="162">
        <f>IFERROR(""&amp;INDEX(tk_LABEL,MATCH(353,tk_ASEQ,0)),"")</f>
        <v/>
      </c>
      <c r="R359" s="162">
        <f>IFERROR(""&amp;INDEX(tk_HWSET,MATCH(353,tk_ASEQ,0)),"")</f>
        <v/>
      </c>
      <c r="S359" s="162">
        <f>IFERROR(IF(""&amp;INDEX(tk_HINGES,MATCH(353,tk_ASEQ,0))="","",INDEX(tk_HINGES,MATCH(353,tk_ASEQ,0))&amp;" · "&amp;INDEX(tk_LSRC,MATCH(353,tk_ASEQ,0))),"")</f>
        <v/>
      </c>
      <c r="T359" s="162">
        <f>IFERROR(""&amp;INDEX(tk_LOCK,MATCH(353,tk_ASEQ,0)),"")</f>
        <v/>
      </c>
      <c r="U359" s="162">
        <f>IFERROR(INDEX(tk_ETYPE,MATCH(353,tk_ASEQ,0)),"")</f>
        <v/>
      </c>
      <c r="V359" s="162">
        <f>IFERROR(""&amp;INDEX(tk_CHECK,MATCH(353,tk_ASEQ,0)),"")</f>
        <v/>
      </c>
      <c r="W359" s="162">
        <f>IFERROR(TRIM(INDEX(tk_DNOTES,MATCH(353,tk_ASEQ,0))&amp;" "&amp;INDEX(tk_FNOTES,MATCH(353,tk_ASEQ,0))),"")</f>
        <v/>
      </c>
    </row>
    <row r="360">
      <c r="A360" s="161">
        <f>IFERROR(""&amp;INDEX(tk_MARK,MATCH(354,tk_ASEQ,0)),"")</f>
        <v/>
      </c>
      <c r="B360" s="162">
        <f>IFERROR(""&amp;INDEX(tk_ROOMF,MATCH(354,tk_ASEQ,0)),"")</f>
        <v/>
      </c>
      <c r="C360" s="162">
        <f>IFERROR(""&amp;INDEX(tk_ROOMT,MATCH(354,tk_ASEQ,0)),"")</f>
        <v/>
      </c>
      <c r="D360" s="162">
        <f>IFERROR(INDEX(tk_QTY,MATCH(354,tk_ASEQ,0)),"")</f>
        <v/>
      </c>
      <c r="E360" s="162">
        <f>IFERROR(""&amp;INDEX(tk_SIZE,MATCH(354,tk_ASEQ,0)),"")</f>
        <v/>
      </c>
      <c r="F360" s="162">
        <f>IFERROR(""&amp;INDEX(tk_PAIR,MATCH(354,tk_ASEQ,0)),"")</f>
        <v/>
      </c>
      <c r="G360" s="162">
        <f>IFERROR(""&amp;INDEX(tk_DMAT,MATCH(354,tk_ASEQ,0)),"")</f>
        <v/>
      </c>
      <c r="H360" s="162">
        <f>IFERROR(""&amp;INDEX(tk_DGA,MATCH(354,tk_ASEQ,0)),"")</f>
        <v/>
      </c>
      <c r="I360" s="162">
        <f>IFERROR(""&amp;INDEX(tk_FACE,MATCH(354,tk_ASEQ,0)),"")</f>
        <v/>
      </c>
      <c r="J360" s="162">
        <f>IFERROR(IF(INDEX(tk_DHAND,MATCH(354,tk_ASEQ,0))="",""&amp;INDEX(tk_HAND,MATCH(354,tk_ASEQ,0)),""&amp;INDEX(tk_DHAND,MATCH(354,tk_ASEQ,0))),"")</f>
        <v/>
      </c>
      <c r="K360" s="162">
        <f>IFERROR(""&amp;INDEX(tk_FDESC,MATCH(354,tk_ASEQ,0)),"")</f>
        <v/>
      </c>
      <c r="L360" s="162">
        <f>IFERROR(INDEX(tk_STEEL,MATCH(354,tk_ASEQ,0))&amp;IF(INDEX(tk_FGA,MATCH(354,tk_ASEQ,0))="",""," "&amp;INDEX(tk_FGA,MATCH(354,tk_ASEQ,0))&amp;"GA"),"")</f>
        <v/>
      </c>
      <c r="M360" s="162">
        <f>IFERROR(IFERROR(VLOOKUP(INDEX(tk_JAMB,MATCH(354,tk_ASEQ,0)),CODES,2,FALSE),""&amp;INDEX(tk_JAMB,MATCH(354,tk_ASEQ,0))),"")</f>
        <v/>
      </c>
      <c r="N360" s="162">
        <f>IFERROR(""&amp;INDEX(tk_CONSTR,MATCH(354,tk_ASEQ,0)),"")</f>
        <v/>
      </c>
      <c r="O360" s="162">
        <f>IFERROR(""&amp;INDEX(tk_ANCHOR,MATCH(354,tk_ASEQ,0)),"")</f>
        <v/>
      </c>
      <c r="P360" s="162">
        <f>IFERROR(""&amp;INDEX(tk_RATING,MATCH(354,tk_ASEQ,0)),"")</f>
        <v/>
      </c>
      <c r="Q360" s="162">
        <f>IFERROR(""&amp;INDEX(tk_LABEL,MATCH(354,tk_ASEQ,0)),"")</f>
        <v/>
      </c>
      <c r="R360" s="162">
        <f>IFERROR(""&amp;INDEX(tk_HWSET,MATCH(354,tk_ASEQ,0)),"")</f>
        <v/>
      </c>
      <c r="S360" s="162">
        <f>IFERROR(IF(""&amp;INDEX(tk_HINGES,MATCH(354,tk_ASEQ,0))="","",INDEX(tk_HINGES,MATCH(354,tk_ASEQ,0))&amp;" · "&amp;INDEX(tk_LSRC,MATCH(354,tk_ASEQ,0))),"")</f>
        <v/>
      </c>
      <c r="T360" s="162">
        <f>IFERROR(""&amp;INDEX(tk_LOCK,MATCH(354,tk_ASEQ,0)),"")</f>
        <v/>
      </c>
      <c r="U360" s="162">
        <f>IFERROR(INDEX(tk_ETYPE,MATCH(354,tk_ASEQ,0)),"")</f>
        <v/>
      </c>
      <c r="V360" s="162">
        <f>IFERROR(""&amp;INDEX(tk_CHECK,MATCH(354,tk_ASEQ,0)),"")</f>
        <v/>
      </c>
      <c r="W360" s="162">
        <f>IFERROR(TRIM(INDEX(tk_DNOTES,MATCH(354,tk_ASEQ,0))&amp;" "&amp;INDEX(tk_FNOTES,MATCH(354,tk_ASEQ,0))),"")</f>
        <v/>
      </c>
    </row>
    <row r="361">
      <c r="A361" s="161">
        <f>IFERROR(""&amp;INDEX(tk_MARK,MATCH(355,tk_ASEQ,0)),"")</f>
        <v/>
      </c>
      <c r="B361" s="162">
        <f>IFERROR(""&amp;INDEX(tk_ROOMF,MATCH(355,tk_ASEQ,0)),"")</f>
        <v/>
      </c>
      <c r="C361" s="162">
        <f>IFERROR(""&amp;INDEX(tk_ROOMT,MATCH(355,tk_ASEQ,0)),"")</f>
        <v/>
      </c>
      <c r="D361" s="162">
        <f>IFERROR(INDEX(tk_QTY,MATCH(355,tk_ASEQ,0)),"")</f>
        <v/>
      </c>
      <c r="E361" s="162">
        <f>IFERROR(""&amp;INDEX(tk_SIZE,MATCH(355,tk_ASEQ,0)),"")</f>
        <v/>
      </c>
      <c r="F361" s="162">
        <f>IFERROR(""&amp;INDEX(tk_PAIR,MATCH(355,tk_ASEQ,0)),"")</f>
        <v/>
      </c>
      <c r="G361" s="162">
        <f>IFERROR(""&amp;INDEX(tk_DMAT,MATCH(355,tk_ASEQ,0)),"")</f>
        <v/>
      </c>
      <c r="H361" s="162">
        <f>IFERROR(""&amp;INDEX(tk_DGA,MATCH(355,tk_ASEQ,0)),"")</f>
        <v/>
      </c>
      <c r="I361" s="162">
        <f>IFERROR(""&amp;INDEX(tk_FACE,MATCH(355,tk_ASEQ,0)),"")</f>
        <v/>
      </c>
      <c r="J361" s="162">
        <f>IFERROR(IF(INDEX(tk_DHAND,MATCH(355,tk_ASEQ,0))="",""&amp;INDEX(tk_HAND,MATCH(355,tk_ASEQ,0)),""&amp;INDEX(tk_DHAND,MATCH(355,tk_ASEQ,0))),"")</f>
        <v/>
      </c>
      <c r="K361" s="162">
        <f>IFERROR(""&amp;INDEX(tk_FDESC,MATCH(355,tk_ASEQ,0)),"")</f>
        <v/>
      </c>
      <c r="L361" s="162">
        <f>IFERROR(INDEX(tk_STEEL,MATCH(355,tk_ASEQ,0))&amp;IF(INDEX(tk_FGA,MATCH(355,tk_ASEQ,0))="",""," "&amp;INDEX(tk_FGA,MATCH(355,tk_ASEQ,0))&amp;"GA"),"")</f>
        <v/>
      </c>
      <c r="M361" s="162">
        <f>IFERROR(IFERROR(VLOOKUP(INDEX(tk_JAMB,MATCH(355,tk_ASEQ,0)),CODES,2,FALSE),""&amp;INDEX(tk_JAMB,MATCH(355,tk_ASEQ,0))),"")</f>
        <v/>
      </c>
      <c r="N361" s="162">
        <f>IFERROR(""&amp;INDEX(tk_CONSTR,MATCH(355,tk_ASEQ,0)),"")</f>
        <v/>
      </c>
      <c r="O361" s="162">
        <f>IFERROR(""&amp;INDEX(tk_ANCHOR,MATCH(355,tk_ASEQ,0)),"")</f>
        <v/>
      </c>
      <c r="P361" s="162">
        <f>IFERROR(""&amp;INDEX(tk_RATING,MATCH(355,tk_ASEQ,0)),"")</f>
        <v/>
      </c>
      <c r="Q361" s="162">
        <f>IFERROR(""&amp;INDEX(tk_LABEL,MATCH(355,tk_ASEQ,0)),"")</f>
        <v/>
      </c>
      <c r="R361" s="162">
        <f>IFERROR(""&amp;INDEX(tk_HWSET,MATCH(355,tk_ASEQ,0)),"")</f>
        <v/>
      </c>
      <c r="S361" s="162">
        <f>IFERROR(IF(""&amp;INDEX(tk_HINGES,MATCH(355,tk_ASEQ,0))="","",INDEX(tk_HINGES,MATCH(355,tk_ASEQ,0))&amp;" · "&amp;INDEX(tk_LSRC,MATCH(355,tk_ASEQ,0))),"")</f>
        <v/>
      </c>
      <c r="T361" s="162">
        <f>IFERROR(""&amp;INDEX(tk_LOCK,MATCH(355,tk_ASEQ,0)),"")</f>
        <v/>
      </c>
      <c r="U361" s="162">
        <f>IFERROR(INDEX(tk_ETYPE,MATCH(355,tk_ASEQ,0)),"")</f>
        <v/>
      </c>
      <c r="V361" s="162">
        <f>IFERROR(""&amp;INDEX(tk_CHECK,MATCH(355,tk_ASEQ,0)),"")</f>
        <v/>
      </c>
      <c r="W361" s="162">
        <f>IFERROR(TRIM(INDEX(tk_DNOTES,MATCH(355,tk_ASEQ,0))&amp;" "&amp;INDEX(tk_FNOTES,MATCH(355,tk_ASEQ,0))),"")</f>
        <v/>
      </c>
    </row>
    <row r="362">
      <c r="A362" s="161">
        <f>IFERROR(""&amp;INDEX(tk_MARK,MATCH(356,tk_ASEQ,0)),"")</f>
        <v/>
      </c>
      <c r="B362" s="162">
        <f>IFERROR(""&amp;INDEX(tk_ROOMF,MATCH(356,tk_ASEQ,0)),"")</f>
        <v/>
      </c>
      <c r="C362" s="162">
        <f>IFERROR(""&amp;INDEX(tk_ROOMT,MATCH(356,tk_ASEQ,0)),"")</f>
        <v/>
      </c>
      <c r="D362" s="162">
        <f>IFERROR(INDEX(tk_QTY,MATCH(356,tk_ASEQ,0)),"")</f>
        <v/>
      </c>
      <c r="E362" s="162">
        <f>IFERROR(""&amp;INDEX(tk_SIZE,MATCH(356,tk_ASEQ,0)),"")</f>
        <v/>
      </c>
      <c r="F362" s="162">
        <f>IFERROR(""&amp;INDEX(tk_PAIR,MATCH(356,tk_ASEQ,0)),"")</f>
        <v/>
      </c>
      <c r="G362" s="162">
        <f>IFERROR(""&amp;INDEX(tk_DMAT,MATCH(356,tk_ASEQ,0)),"")</f>
        <v/>
      </c>
      <c r="H362" s="162">
        <f>IFERROR(""&amp;INDEX(tk_DGA,MATCH(356,tk_ASEQ,0)),"")</f>
        <v/>
      </c>
      <c r="I362" s="162">
        <f>IFERROR(""&amp;INDEX(tk_FACE,MATCH(356,tk_ASEQ,0)),"")</f>
        <v/>
      </c>
      <c r="J362" s="162">
        <f>IFERROR(IF(INDEX(tk_DHAND,MATCH(356,tk_ASEQ,0))="",""&amp;INDEX(tk_HAND,MATCH(356,tk_ASEQ,0)),""&amp;INDEX(tk_DHAND,MATCH(356,tk_ASEQ,0))),"")</f>
        <v/>
      </c>
      <c r="K362" s="162">
        <f>IFERROR(""&amp;INDEX(tk_FDESC,MATCH(356,tk_ASEQ,0)),"")</f>
        <v/>
      </c>
      <c r="L362" s="162">
        <f>IFERROR(INDEX(tk_STEEL,MATCH(356,tk_ASEQ,0))&amp;IF(INDEX(tk_FGA,MATCH(356,tk_ASEQ,0))="",""," "&amp;INDEX(tk_FGA,MATCH(356,tk_ASEQ,0))&amp;"GA"),"")</f>
        <v/>
      </c>
      <c r="M362" s="162">
        <f>IFERROR(IFERROR(VLOOKUP(INDEX(tk_JAMB,MATCH(356,tk_ASEQ,0)),CODES,2,FALSE),""&amp;INDEX(tk_JAMB,MATCH(356,tk_ASEQ,0))),"")</f>
        <v/>
      </c>
      <c r="N362" s="162">
        <f>IFERROR(""&amp;INDEX(tk_CONSTR,MATCH(356,tk_ASEQ,0)),"")</f>
        <v/>
      </c>
      <c r="O362" s="162">
        <f>IFERROR(""&amp;INDEX(tk_ANCHOR,MATCH(356,tk_ASEQ,0)),"")</f>
        <v/>
      </c>
      <c r="P362" s="162">
        <f>IFERROR(""&amp;INDEX(tk_RATING,MATCH(356,tk_ASEQ,0)),"")</f>
        <v/>
      </c>
      <c r="Q362" s="162">
        <f>IFERROR(""&amp;INDEX(tk_LABEL,MATCH(356,tk_ASEQ,0)),"")</f>
        <v/>
      </c>
      <c r="R362" s="162">
        <f>IFERROR(""&amp;INDEX(tk_HWSET,MATCH(356,tk_ASEQ,0)),"")</f>
        <v/>
      </c>
      <c r="S362" s="162">
        <f>IFERROR(IF(""&amp;INDEX(tk_HINGES,MATCH(356,tk_ASEQ,0))="","",INDEX(tk_HINGES,MATCH(356,tk_ASEQ,0))&amp;" · "&amp;INDEX(tk_LSRC,MATCH(356,tk_ASEQ,0))),"")</f>
        <v/>
      </c>
      <c r="T362" s="162">
        <f>IFERROR(""&amp;INDEX(tk_LOCK,MATCH(356,tk_ASEQ,0)),"")</f>
        <v/>
      </c>
      <c r="U362" s="162">
        <f>IFERROR(INDEX(tk_ETYPE,MATCH(356,tk_ASEQ,0)),"")</f>
        <v/>
      </c>
      <c r="V362" s="162">
        <f>IFERROR(""&amp;INDEX(tk_CHECK,MATCH(356,tk_ASEQ,0)),"")</f>
        <v/>
      </c>
      <c r="W362" s="162">
        <f>IFERROR(TRIM(INDEX(tk_DNOTES,MATCH(356,tk_ASEQ,0))&amp;" "&amp;INDEX(tk_FNOTES,MATCH(356,tk_ASEQ,0))),"")</f>
        <v/>
      </c>
    </row>
    <row r="363">
      <c r="A363" s="161">
        <f>IFERROR(""&amp;INDEX(tk_MARK,MATCH(357,tk_ASEQ,0)),"")</f>
        <v/>
      </c>
      <c r="B363" s="162">
        <f>IFERROR(""&amp;INDEX(tk_ROOMF,MATCH(357,tk_ASEQ,0)),"")</f>
        <v/>
      </c>
      <c r="C363" s="162">
        <f>IFERROR(""&amp;INDEX(tk_ROOMT,MATCH(357,tk_ASEQ,0)),"")</f>
        <v/>
      </c>
      <c r="D363" s="162">
        <f>IFERROR(INDEX(tk_QTY,MATCH(357,tk_ASEQ,0)),"")</f>
        <v/>
      </c>
      <c r="E363" s="162">
        <f>IFERROR(""&amp;INDEX(tk_SIZE,MATCH(357,tk_ASEQ,0)),"")</f>
        <v/>
      </c>
      <c r="F363" s="162">
        <f>IFERROR(""&amp;INDEX(tk_PAIR,MATCH(357,tk_ASEQ,0)),"")</f>
        <v/>
      </c>
      <c r="G363" s="162">
        <f>IFERROR(""&amp;INDEX(tk_DMAT,MATCH(357,tk_ASEQ,0)),"")</f>
        <v/>
      </c>
      <c r="H363" s="162">
        <f>IFERROR(""&amp;INDEX(tk_DGA,MATCH(357,tk_ASEQ,0)),"")</f>
        <v/>
      </c>
      <c r="I363" s="162">
        <f>IFERROR(""&amp;INDEX(tk_FACE,MATCH(357,tk_ASEQ,0)),"")</f>
        <v/>
      </c>
      <c r="J363" s="162">
        <f>IFERROR(IF(INDEX(tk_DHAND,MATCH(357,tk_ASEQ,0))="",""&amp;INDEX(tk_HAND,MATCH(357,tk_ASEQ,0)),""&amp;INDEX(tk_DHAND,MATCH(357,tk_ASEQ,0))),"")</f>
        <v/>
      </c>
      <c r="K363" s="162">
        <f>IFERROR(""&amp;INDEX(tk_FDESC,MATCH(357,tk_ASEQ,0)),"")</f>
        <v/>
      </c>
      <c r="L363" s="162">
        <f>IFERROR(INDEX(tk_STEEL,MATCH(357,tk_ASEQ,0))&amp;IF(INDEX(tk_FGA,MATCH(357,tk_ASEQ,0))="",""," "&amp;INDEX(tk_FGA,MATCH(357,tk_ASEQ,0))&amp;"GA"),"")</f>
        <v/>
      </c>
      <c r="M363" s="162">
        <f>IFERROR(IFERROR(VLOOKUP(INDEX(tk_JAMB,MATCH(357,tk_ASEQ,0)),CODES,2,FALSE),""&amp;INDEX(tk_JAMB,MATCH(357,tk_ASEQ,0))),"")</f>
        <v/>
      </c>
      <c r="N363" s="162">
        <f>IFERROR(""&amp;INDEX(tk_CONSTR,MATCH(357,tk_ASEQ,0)),"")</f>
        <v/>
      </c>
      <c r="O363" s="162">
        <f>IFERROR(""&amp;INDEX(tk_ANCHOR,MATCH(357,tk_ASEQ,0)),"")</f>
        <v/>
      </c>
      <c r="P363" s="162">
        <f>IFERROR(""&amp;INDEX(tk_RATING,MATCH(357,tk_ASEQ,0)),"")</f>
        <v/>
      </c>
      <c r="Q363" s="162">
        <f>IFERROR(""&amp;INDEX(tk_LABEL,MATCH(357,tk_ASEQ,0)),"")</f>
        <v/>
      </c>
      <c r="R363" s="162">
        <f>IFERROR(""&amp;INDEX(tk_HWSET,MATCH(357,tk_ASEQ,0)),"")</f>
        <v/>
      </c>
      <c r="S363" s="162">
        <f>IFERROR(IF(""&amp;INDEX(tk_HINGES,MATCH(357,tk_ASEQ,0))="","",INDEX(tk_HINGES,MATCH(357,tk_ASEQ,0))&amp;" · "&amp;INDEX(tk_LSRC,MATCH(357,tk_ASEQ,0))),"")</f>
        <v/>
      </c>
      <c r="T363" s="162">
        <f>IFERROR(""&amp;INDEX(tk_LOCK,MATCH(357,tk_ASEQ,0)),"")</f>
        <v/>
      </c>
      <c r="U363" s="162">
        <f>IFERROR(INDEX(tk_ETYPE,MATCH(357,tk_ASEQ,0)),"")</f>
        <v/>
      </c>
      <c r="V363" s="162">
        <f>IFERROR(""&amp;INDEX(tk_CHECK,MATCH(357,tk_ASEQ,0)),"")</f>
        <v/>
      </c>
      <c r="W363" s="162">
        <f>IFERROR(TRIM(INDEX(tk_DNOTES,MATCH(357,tk_ASEQ,0))&amp;" "&amp;INDEX(tk_FNOTES,MATCH(357,tk_ASEQ,0))),"")</f>
        <v/>
      </c>
    </row>
    <row r="364">
      <c r="A364" s="161">
        <f>IFERROR(""&amp;INDEX(tk_MARK,MATCH(358,tk_ASEQ,0)),"")</f>
        <v/>
      </c>
      <c r="B364" s="162">
        <f>IFERROR(""&amp;INDEX(tk_ROOMF,MATCH(358,tk_ASEQ,0)),"")</f>
        <v/>
      </c>
      <c r="C364" s="162">
        <f>IFERROR(""&amp;INDEX(tk_ROOMT,MATCH(358,tk_ASEQ,0)),"")</f>
        <v/>
      </c>
      <c r="D364" s="162">
        <f>IFERROR(INDEX(tk_QTY,MATCH(358,tk_ASEQ,0)),"")</f>
        <v/>
      </c>
      <c r="E364" s="162">
        <f>IFERROR(""&amp;INDEX(tk_SIZE,MATCH(358,tk_ASEQ,0)),"")</f>
        <v/>
      </c>
      <c r="F364" s="162">
        <f>IFERROR(""&amp;INDEX(tk_PAIR,MATCH(358,tk_ASEQ,0)),"")</f>
        <v/>
      </c>
      <c r="G364" s="162">
        <f>IFERROR(""&amp;INDEX(tk_DMAT,MATCH(358,tk_ASEQ,0)),"")</f>
        <v/>
      </c>
      <c r="H364" s="162">
        <f>IFERROR(""&amp;INDEX(tk_DGA,MATCH(358,tk_ASEQ,0)),"")</f>
        <v/>
      </c>
      <c r="I364" s="162">
        <f>IFERROR(""&amp;INDEX(tk_FACE,MATCH(358,tk_ASEQ,0)),"")</f>
        <v/>
      </c>
      <c r="J364" s="162">
        <f>IFERROR(IF(INDEX(tk_DHAND,MATCH(358,tk_ASEQ,0))="",""&amp;INDEX(tk_HAND,MATCH(358,tk_ASEQ,0)),""&amp;INDEX(tk_DHAND,MATCH(358,tk_ASEQ,0))),"")</f>
        <v/>
      </c>
      <c r="K364" s="162">
        <f>IFERROR(""&amp;INDEX(tk_FDESC,MATCH(358,tk_ASEQ,0)),"")</f>
        <v/>
      </c>
      <c r="L364" s="162">
        <f>IFERROR(INDEX(tk_STEEL,MATCH(358,tk_ASEQ,0))&amp;IF(INDEX(tk_FGA,MATCH(358,tk_ASEQ,0))="",""," "&amp;INDEX(tk_FGA,MATCH(358,tk_ASEQ,0))&amp;"GA"),"")</f>
        <v/>
      </c>
      <c r="M364" s="162">
        <f>IFERROR(IFERROR(VLOOKUP(INDEX(tk_JAMB,MATCH(358,tk_ASEQ,0)),CODES,2,FALSE),""&amp;INDEX(tk_JAMB,MATCH(358,tk_ASEQ,0))),"")</f>
        <v/>
      </c>
      <c r="N364" s="162">
        <f>IFERROR(""&amp;INDEX(tk_CONSTR,MATCH(358,tk_ASEQ,0)),"")</f>
        <v/>
      </c>
      <c r="O364" s="162">
        <f>IFERROR(""&amp;INDEX(tk_ANCHOR,MATCH(358,tk_ASEQ,0)),"")</f>
        <v/>
      </c>
      <c r="P364" s="162">
        <f>IFERROR(""&amp;INDEX(tk_RATING,MATCH(358,tk_ASEQ,0)),"")</f>
        <v/>
      </c>
      <c r="Q364" s="162">
        <f>IFERROR(""&amp;INDEX(tk_LABEL,MATCH(358,tk_ASEQ,0)),"")</f>
        <v/>
      </c>
      <c r="R364" s="162">
        <f>IFERROR(""&amp;INDEX(tk_HWSET,MATCH(358,tk_ASEQ,0)),"")</f>
        <v/>
      </c>
      <c r="S364" s="162">
        <f>IFERROR(IF(""&amp;INDEX(tk_HINGES,MATCH(358,tk_ASEQ,0))="","",INDEX(tk_HINGES,MATCH(358,tk_ASEQ,0))&amp;" · "&amp;INDEX(tk_LSRC,MATCH(358,tk_ASEQ,0))),"")</f>
        <v/>
      </c>
      <c r="T364" s="162">
        <f>IFERROR(""&amp;INDEX(tk_LOCK,MATCH(358,tk_ASEQ,0)),"")</f>
        <v/>
      </c>
      <c r="U364" s="162">
        <f>IFERROR(INDEX(tk_ETYPE,MATCH(358,tk_ASEQ,0)),"")</f>
        <v/>
      </c>
      <c r="V364" s="162">
        <f>IFERROR(""&amp;INDEX(tk_CHECK,MATCH(358,tk_ASEQ,0)),"")</f>
        <v/>
      </c>
      <c r="W364" s="162">
        <f>IFERROR(TRIM(INDEX(tk_DNOTES,MATCH(358,tk_ASEQ,0))&amp;" "&amp;INDEX(tk_FNOTES,MATCH(358,tk_ASEQ,0))),"")</f>
        <v/>
      </c>
    </row>
    <row r="365">
      <c r="A365" s="161">
        <f>IFERROR(""&amp;INDEX(tk_MARK,MATCH(359,tk_ASEQ,0)),"")</f>
        <v/>
      </c>
      <c r="B365" s="162">
        <f>IFERROR(""&amp;INDEX(tk_ROOMF,MATCH(359,tk_ASEQ,0)),"")</f>
        <v/>
      </c>
      <c r="C365" s="162">
        <f>IFERROR(""&amp;INDEX(tk_ROOMT,MATCH(359,tk_ASEQ,0)),"")</f>
        <v/>
      </c>
      <c r="D365" s="162">
        <f>IFERROR(INDEX(tk_QTY,MATCH(359,tk_ASEQ,0)),"")</f>
        <v/>
      </c>
      <c r="E365" s="162">
        <f>IFERROR(""&amp;INDEX(tk_SIZE,MATCH(359,tk_ASEQ,0)),"")</f>
        <v/>
      </c>
      <c r="F365" s="162">
        <f>IFERROR(""&amp;INDEX(tk_PAIR,MATCH(359,tk_ASEQ,0)),"")</f>
        <v/>
      </c>
      <c r="G365" s="162">
        <f>IFERROR(""&amp;INDEX(tk_DMAT,MATCH(359,tk_ASEQ,0)),"")</f>
        <v/>
      </c>
      <c r="H365" s="162">
        <f>IFERROR(""&amp;INDEX(tk_DGA,MATCH(359,tk_ASEQ,0)),"")</f>
        <v/>
      </c>
      <c r="I365" s="162">
        <f>IFERROR(""&amp;INDEX(tk_FACE,MATCH(359,tk_ASEQ,0)),"")</f>
        <v/>
      </c>
      <c r="J365" s="162">
        <f>IFERROR(IF(INDEX(tk_DHAND,MATCH(359,tk_ASEQ,0))="",""&amp;INDEX(tk_HAND,MATCH(359,tk_ASEQ,0)),""&amp;INDEX(tk_DHAND,MATCH(359,tk_ASEQ,0))),"")</f>
        <v/>
      </c>
      <c r="K365" s="162">
        <f>IFERROR(""&amp;INDEX(tk_FDESC,MATCH(359,tk_ASEQ,0)),"")</f>
        <v/>
      </c>
      <c r="L365" s="162">
        <f>IFERROR(INDEX(tk_STEEL,MATCH(359,tk_ASEQ,0))&amp;IF(INDEX(tk_FGA,MATCH(359,tk_ASEQ,0))="",""," "&amp;INDEX(tk_FGA,MATCH(359,tk_ASEQ,0))&amp;"GA"),"")</f>
        <v/>
      </c>
      <c r="M365" s="162">
        <f>IFERROR(IFERROR(VLOOKUP(INDEX(tk_JAMB,MATCH(359,tk_ASEQ,0)),CODES,2,FALSE),""&amp;INDEX(tk_JAMB,MATCH(359,tk_ASEQ,0))),"")</f>
        <v/>
      </c>
      <c r="N365" s="162">
        <f>IFERROR(""&amp;INDEX(tk_CONSTR,MATCH(359,tk_ASEQ,0)),"")</f>
        <v/>
      </c>
      <c r="O365" s="162">
        <f>IFERROR(""&amp;INDEX(tk_ANCHOR,MATCH(359,tk_ASEQ,0)),"")</f>
        <v/>
      </c>
      <c r="P365" s="162">
        <f>IFERROR(""&amp;INDEX(tk_RATING,MATCH(359,tk_ASEQ,0)),"")</f>
        <v/>
      </c>
      <c r="Q365" s="162">
        <f>IFERROR(""&amp;INDEX(tk_LABEL,MATCH(359,tk_ASEQ,0)),"")</f>
        <v/>
      </c>
      <c r="R365" s="162">
        <f>IFERROR(""&amp;INDEX(tk_HWSET,MATCH(359,tk_ASEQ,0)),"")</f>
        <v/>
      </c>
      <c r="S365" s="162">
        <f>IFERROR(IF(""&amp;INDEX(tk_HINGES,MATCH(359,tk_ASEQ,0))="","",INDEX(tk_HINGES,MATCH(359,tk_ASEQ,0))&amp;" · "&amp;INDEX(tk_LSRC,MATCH(359,tk_ASEQ,0))),"")</f>
        <v/>
      </c>
      <c r="T365" s="162">
        <f>IFERROR(""&amp;INDEX(tk_LOCK,MATCH(359,tk_ASEQ,0)),"")</f>
        <v/>
      </c>
      <c r="U365" s="162">
        <f>IFERROR(INDEX(tk_ETYPE,MATCH(359,tk_ASEQ,0)),"")</f>
        <v/>
      </c>
      <c r="V365" s="162">
        <f>IFERROR(""&amp;INDEX(tk_CHECK,MATCH(359,tk_ASEQ,0)),"")</f>
        <v/>
      </c>
      <c r="W365" s="162">
        <f>IFERROR(TRIM(INDEX(tk_DNOTES,MATCH(359,tk_ASEQ,0))&amp;" "&amp;INDEX(tk_FNOTES,MATCH(359,tk_ASEQ,0))),"")</f>
        <v/>
      </c>
    </row>
    <row r="366">
      <c r="A366" s="161">
        <f>IFERROR(""&amp;INDEX(tk_MARK,MATCH(360,tk_ASEQ,0)),"")</f>
        <v/>
      </c>
      <c r="B366" s="162">
        <f>IFERROR(""&amp;INDEX(tk_ROOMF,MATCH(360,tk_ASEQ,0)),"")</f>
        <v/>
      </c>
      <c r="C366" s="162">
        <f>IFERROR(""&amp;INDEX(tk_ROOMT,MATCH(360,tk_ASEQ,0)),"")</f>
        <v/>
      </c>
      <c r="D366" s="162">
        <f>IFERROR(INDEX(tk_QTY,MATCH(360,tk_ASEQ,0)),"")</f>
        <v/>
      </c>
      <c r="E366" s="162">
        <f>IFERROR(""&amp;INDEX(tk_SIZE,MATCH(360,tk_ASEQ,0)),"")</f>
        <v/>
      </c>
      <c r="F366" s="162">
        <f>IFERROR(""&amp;INDEX(tk_PAIR,MATCH(360,tk_ASEQ,0)),"")</f>
        <v/>
      </c>
      <c r="G366" s="162">
        <f>IFERROR(""&amp;INDEX(tk_DMAT,MATCH(360,tk_ASEQ,0)),"")</f>
        <v/>
      </c>
      <c r="H366" s="162">
        <f>IFERROR(""&amp;INDEX(tk_DGA,MATCH(360,tk_ASEQ,0)),"")</f>
        <v/>
      </c>
      <c r="I366" s="162">
        <f>IFERROR(""&amp;INDEX(tk_FACE,MATCH(360,tk_ASEQ,0)),"")</f>
        <v/>
      </c>
      <c r="J366" s="162">
        <f>IFERROR(IF(INDEX(tk_DHAND,MATCH(360,tk_ASEQ,0))="",""&amp;INDEX(tk_HAND,MATCH(360,tk_ASEQ,0)),""&amp;INDEX(tk_DHAND,MATCH(360,tk_ASEQ,0))),"")</f>
        <v/>
      </c>
      <c r="K366" s="162">
        <f>IFERROR(""&amp;INDEX(tk_FDESC,MATCH(360,tk_ASEQ,0)),"")</f>
        <v/>
      </c>
      <c r="L366" s="162">
        <f>IFERROR(INDEX(tk_STEEL,MATCH(360,tk_ASEQ,0))&amp;IF(INDEX(tk_FGA,MATCH(360,tk_ASEQ,0))="",""," "&amp;INDEX(tk_FGA,MATCH(360,tk_ASEQ,0))&amp;"GA"),"")</f>
        <v/>
      </c>
      <c r="M366" s="162">
        <f>IFERROR(IFERROR(VLOOKUP(INDEX(tk_JAMB,MATCH(360,tk_ASEQ,0)),CODES,2,FALSE),""&amp;INDEX(tk_JAMB,MATCH(360,tk_ASEQ,0))),"")</f>
        <v/>
      </c>
      <c r="N366" s="162">
        <f>IFERROR(""&amp;INDEX(tk_CONSTR,MATCH(360,tk_ASEQ,0)),"")</f>
        <v/>
      </c>
      <c r="O366" s="162">
        <f>IFERROR(""&amp;INDEX(tk_ANCHOR,MATCH(360,tk_ASEQ,0)),"")</f>
        <v/>
      </c>
      <c r="P366" s="162">
        <f>IFERROR(""&amp;INDEX(tk_RATING,MATCH(360,tk_ASEQ,0)),"")</f>
        <v/>
      </c>
      <c r="Q366" s="162">
        <f>IFERROR(""&amp;INDEX(tk_LABEL,MATCH(360,tk_ASEQ,0)),"")</f>
        <v/>
      </c>
      <c r="R366" s="162">
        <f>IFERROR(""&amp;INDEX(tk_HWSET,MATCH(360,tk_ASEQ,0)),"")</f>
        <v/>
      </c>
      <c r="S366" s="162">
        <f>IFERROR(IF(""&amp;INDEX(tk_HINGES,MATCH(360,tk_ASEQ,0))="","",INDEX(tk_HINGES,MATCH(360,tk_ASEQ,0))&amp;" · "&amp;INDEX(tk_LSRC,MATCH(360,tk_ASEQ,0))),"")</f>
        <v/>
      </c>
      <c r="T366" s="162">
        <f>IFERROR(""&amp;INDEX(tk_LOCK,MATCH(360,tk_ASEQ,0)),"")</f>
        <v/>
      </c>
      <c r="U366" s="162">
        <f>IFERROR(INDEX(tk_ETYPE,MATCH(360,tk_ASEQ,0)),"")</f>
        <v/>
      </c>
      <c r="V366" s="162">
        <f>IFERROR(""&amp;INDEX(tk_CHECK,MATCH(360,tk_ASEQ,0)),"")</f>
        <v/>
      </c>
      <c r="W366" s="162">
        <f>IFERROR(TRIM(INDEX(tk_DNOTES,MATCH(360,tk_ASEQ,0))&amp;" "&amp;INDEX(tk_FNOTES,MATCH(360,tk_ASEQ,0))),"")</f>
        <v/>
      </c>
    </row>
    <row r="367">
      <c r="A367" s="161">
        <f>IFERROR(""&amp;INDEX(tk_MARK,MATCH(361,tk_ASEQ,0)),"")</f>
        <v/>
      </c>
      <c r="B367" s="162">
        <f>IFERROR(""&amp;INDEX(tk_ROOMF,MATCH(361,tk_ASEQ,0)),"")</f>
        <v/>
      </c>
      <c r="C367" s="162">
        <f>IFERROR(""&amp;INDEX(tk_ROOMT,MATCH(361,tk_ASEQ,0)),"")</f>
        <v/>
      </c>
      <c r="D367" s="162">
        <f>IFERROR(INDEX(tk_QTY,MATCH(361,tk_ASEQ,0)),"")</f>
        <v/>
      </c>
      <c r="E367" s="162">
        <f>IFERROR(""&amp;INDEX(tk_SIZE,MATCH(361,tk_ASEQ,0)),"")</f>
        <v/>
      </c>
      <c r="F367" s="162">
        <f>IFERROR(""&amp;INDEX(tk_PAIR,MATCH(361,tk_ASEQ,0)),"")</f>
        <v/>
      </c>
      <c r="G367" s="162">
        <f>IFERROR(""&amp;INDEX(tk_DMAT,MATCH(361,tk_ASEQ,0)),"")</f>
        <v/>
      </c>
      <c r="H367" s="162">
        <f>IFERROR(""&amp;INDEX(tk_DGA,MATCH(361,tk_ASEQ,0)),"")</f>
        <v/>
      </c>
      <c r="I367" s="162">
        <f>IFERROR(""&amp;INDEX(tk_FACE,MATCH(361,tk_ASEQ,0)),"")</f>
        <v/>
      </c>
      <c r="J367" s="162">
        <f>IFERROR(IF(INDEX(tk_DHAND,MATCH(361,tk_ASEQ,0))="",""&amp;INDEX(tk_HAND,MATCH(361,tk_ASEQ,0)),""&amp;INDEX(tk_DHAND,MATCH(361,tk_ASEQ,0))),"")</f>
        <v/>
      </c>
      <c r="K367" s="162">
        <f>IFERROR(""&amp;INDEX(tk_FDESC,MATCH(361,tk_ASEQ,0)),"")</f>
        <v/>
      </c>
      <c r="L367" s="162">
        <f>IFERROR(INDEX(tk_STEEL,MATCH(361,tk_ASEQ,0))&amp;IF(INDEX(tk_FGA,MATCH(361,tk_ASEQ,0))="",""," "&amp;INDEX(tk_FGA,MATCH(361,tk_ASEQ,0))&amp;"GA"),"")</f>
        <v/>
      </c>
      <c r="M367" s="162">
        <f>IFERROR(IFERROR(VLOOKUP(INDEX(tk_JAMB,MATCH(361,tk_ASEQ,0)),CODES,2,FALSE),""&amp;INDEX(tk_JAMB,MATCH(361,tk_ASEQ,0))),"")</f>
        <v/>
      </c>
      <c r="N367" s="162">
        <f>IFERROR(""&amp;INDEX(tk_CONSTR,MATCH(361,tk_ASEQ,0)),"")</f>
        <v/>
      </c>
      <c r="O367" s="162">
        <f>IFERROR(""&amp;INDEX(tk_ANCHOR,MATCH(361,tk_ASEQ,0)),"")</f>
        <v/>
      </c>
      <c r="P367" s="162">
        <f>IFERROR(""&amp;INDEX(tk_RATING,MATCH(361,tk_ASEQ,0)),"")</f>
        <v/>
      </c>
      <c r="Q367" s="162">
        <f>IFERROR(""&amp;INDEX(tk_LABEL,MATCH(361,tk_ASEQ,0)),"")</f>
        <v/>
      </c>
      <c r="R367" s="162">
        <f>IFERROR(""&amp;INDEX(tk_HWSET,MATCH(361,tk_ASEQ,0)),"")</f>
        <v/>
      </c>
      <c r="S367" s="162">
        <f>IFERROR(IF(""&amp;INDEX(tk_HINGES,MATCH(361,tk_ASEQ,0))="","",INDEX(tk_HINGES,MATCH(361,tk_ASEQ,0))&amp;" · "&amp;INDEX(tk_LSRC,MATCH(361,tk_ASEQ,0))),"")</f>
        <v/>
      </c>
      <c r="T367" s="162">
        <f>IFERROR(""&amp;INDEX(tk_LOCK,MATCH(361,tk_ASEQ,0)),"")</f>
        <v/>
      </c>
      <c r="U367" s="162">
        <f>IFERROR(INDEX(tk_ETYPE,MATCH(361,tk_ASEQ,0)),"")</f>
        <v/>
      </c>
      <c r="V367" s="162">
        <f>IFERROR(""&amp;INDEX(tk_CHECK,MATCH(361,tk_ASEQ,0)),"")</f>
        <v/>
      </c>
      <c r="W367" s="162">
        <f>IFERROR(TRIM(INDEX(tk_DNOTES,MATCH(361,tk_ASEQ,0))&amp;" "&amp;INDEX(tk_FNOTES,MATCH(361,tk_ASEQ,0))),"")</f>
        <v/>
      </c>
    </row>
    <row r="368">
      <c r="A368" s="161">
        <f>IFERROR(""&amp;INDEX(tk_MARK,MATCH(362,tk_ASEQ,0)),"")</f>
        <v/>
      </c>
      <c r="B368" s="162">
        <f>IFERROR(""&amp;INDEX(tk_ROOMF,MATCH(362,tk_ASEQ,0)),"")</f>
        <v/>
      </c>
      <c r="C368" s="162">
        <f>IFERROR(""&amp;INDEX(tk_ROOMT,MATCH(362,tk_ASEQ,0)),"")</f>
        <v/>
      </c>
      <c r="D368" s="162">
        <f>IFERROR(INDEX(tk_QTY,MATCH(362,tk_ASEQ,0)),"")</f>
        <v/>
      </c>
      <c r="E368" s="162">
        <f>IFERROR(""&amp;INDEX(tk_SIZE,MATCH(362,tk_ASEQ,0)),"")</f>
        <v/>
      </c>
      <c r="F368" s="162">
        <f>IFERROR(""&amp;INDEX(tk_PAIR,MATCH(362,tk_ASEQ,0)),"")</f>
        <v/>
      </c>
      <c r="G368" s="162">
        <f>IFERROR(""&amp;INDEX(tk_DMAT,MATCH(362,tk_ASEQ,0)),"")</f>
        <v/>
      </c>
      <c r="H368" s="162">
        <f>IFERROR(""&amp;INDEX(tk_DGA,MATCH(362,tk_ASEQ,0)),"")</f>
        <v/>
      </c>
      <c r="I368" s="162">
        <f>IFERROR(""&amp;INDEX(tk_FACE,MATCH(362,tk_ASEQ,0)),"")</f>
        <v/>
      </c>
      <c r="J368" s="162">
        <f>IFERROR(IF(INDEX(tk_DHAND,MATCH(362,tk_ASEQ,0))="",""&amp;INDEX(tk_HAND,MATCH(362,tk_ASEQ,0)),""&amp;INDEX(tk_DHAND,MATCH(362,tk_ASEQ,0))),"")</f>
        <v/>
      </c>
      <c r="K368" s="162">
        <f>IFERROR(""&amp;INDEX(tk_FDESC,MATCH(362,tk_ASEQ,0)),"")</f>
        <v/>
      </c>
      <c r="L368" s="162">
        <f>IFERROR(INDEX(tk_STEEL,MATCH(362,tk_ASEQ,0))&amp;IF(INDEX(tk_FGA,MATCH(362,tk_ASEQ,0))="",""," "&amp;INDEX(tk_FGA,MATCH(362,tk_ASEQ,0))&amp;"GA"),"")</f>
        <v/>
      </c>
      <c r="M368" s="162">
        <f>IFERROR(IFERROR(VLOOKUP(INDEX(tk_JAMB,MATCH(362,tk_ASEQ,0)),CODES,2,FALSE),""&amp;INDEX(tk_JAMB,MATCH(362,tk_ASEQ,0))),"")</f>
        <v/>
      </c>
      <c r="N368" s="162">
        <f>IFERROR(""&amp;INDEX(tk_CONSTR,MATCH(362,tk_ASEQ,0)),"")</f>
        <v/>
      </c>
      <c r="O368" s="162">
        <f>IFERROR(""&amp;INDEX(tk_ANCHOR,MATCH(362,tk_ASEQ,0)),"")</f>
        <v/>
      </c>
      <c r="P368" s="162">
        <f>IFERROR(""&amp;INDEX(tk_RATING,MATCH(362,tk_ASEQ,0)),"")</f>
        <v/>
      </c>
      <c r="Q368" s="162">
        <f>IFERROR(""&amp;INDEX(tk_LABEL,MATCH(362,tk_ASEQ,0)),"")</f>
        <v/>
      </c>
      <c r="R368" s="162">
        <f>IFERROR(""&amp;INDEX(tk_HWSET,MATCH(362,tk_ASEQ,0)),"")</f>
        <v/>
      </c>
      <c r="S368" s="162">
        <f>IFERROR(IF(""&amp;INDEX(tk_HINGES,MATCH(362,tk_ASEQ,0))="","",INDEX(tk_HINGES,MATCH(362,tk_ASEQ,0))&amp;" · "&amp;INDEX(tk_LSRC,MATCH(362,tk_ASEQ,0))),"")</f>
        <v/>
      </c>
      <c r="T368" s="162">
        <f>IFERROR(""&amp;INDEX(tk_LOCK,MATCH(362,tk_ASEQ,0)),"")</f>
        <v/>
      </c>
      <c r="U368" s="162">
        <f>IFERROR(INDEX(tk_ETYPE,MATCH(362,tk_ASEQ,0)),"")</f>
        <v/>
      </c>
      <c r="V368" s="162">
        <f>IFERROR(""&amp;INDEX(tk_CHECK,MATCH(362,tk_ASEQ,0)),"")</f>
        <v/>
      </c>
      <c r="W368" s="162">
        <f>IFERROR(TRIM(INDEX(tk_DNOTES,MATCH(362,tk_ASEQ,0))&amp;" "&amp;INDEX(tk_FNOTES,MATCH(362,tk_ASEQ,0))),"")</f>
        <v/>
      </c>
    </row>
    <row r="369">
      <c r="A369" s="161">
        <f>IFERROR(""&amp;INDEX(tk_MARK,MATCH(363,tk_ASEQ,0)),"")</f>
        <v/>
      </c>
      <c r="B369" s="162">
        <f>IFERROR(""&amp;INDEX(tk_ROOMF,MATCH(363,tk_ASEQ,0)),"")</f>
        <v/>
      </c>
      <c r="C369" s="162">
        <f>IFERROR(""&amp;INDEX(tk_ROOMT,MATCH(363,tk_ASEQ,0)),"")</f>
        <v/>
      </c>
      <c r="D369" s="162">
        <f>IFERROR(INDEX(tk_QTY,MATCH(363,tk_ASEQ,0)),"")</f>
        <v/>
      </c>
      <c r="E369" s="162">
        <f>IFERROR(""&amp;INDEX(tk_SIZE,MATCH(363,tk_ASEQ,0)),"")</f>
        <v/>
      </c>
      <c r="F369" s="162">
        <f>IFERROR(""&amp;INDEX(tk_PAIR,MATCH(363,tk_ASEQ,0)),"")</f>
        <v/>
      </c>
      <c r="G369" s="162">
        <f>IFERROR(""&amp;INDEX(tk_DMAT,MATCH(363,tk_ASEQ,0)),"")</f>
        <v/>
      </c>
      <c r="H369" s="162">
        <f>IFERROR(""&amp;INDEX(tk_DGA,MATCH(363,tk_ASEQ,0)),"")</f>
        <v/>
      </c>
      <c r="I369" s="162">
        <f>IFERROR(""&amp;INDEX(tk_FACE,MATCH(363,tk_ASEQ,0)),"")</f>
        <v/>
      </c>
      <c r="J369" s="162">
        <f>IFERROR(IF(INDEX(tk_DHAND,MATCH(363,tk_ASEQ,0))="",""&amp;INDEX(tk_HAND,MATCH(363,tk_ASEQ,0)),""&amp;INDEX(tk_DHAND,MATCH(363,tk_ASEQ,0))),"")</f>
        <v/>
      </c>
      <c r="K369" s="162">
        <f>IFERROR(""&amp;INDEX(tk_FDESC,MATCH(363,tk_ASEQ,0)),"")</f>
        <v/>
      </c>
      <c r="L369" s="162">
        <f>IFERROR(INDEX(tk_STEEL,MATCH(363,tk_ASEQ,0))&amp;IF(INDEX(tk_FGA,MATCH(363,tk_ASEQ,0))="",""," "&amp;INDEX(tk_FGA,MATCH(363,tk_ASEQ,0))&amp;"GA"),"")</f>
        <v/>
      </c>
      <c r="M369" s="162">
        <f>IFERROR(IFERROR(VLOOKUP(INDEX(tk_JAMB,MATCH(363,tk_ASEQ,0)),CODES,2,FALSE),""&amp;INDEX(tk_JAMB,MATCH(363,tk_ASEQ,0))),"")</f>
        <v/>
      </c>
      <c r="N369" s="162">
        <f>IFERROR(""&amp;INDEX(tk_CONSTR,MATCH(363,tk_ASEQ,0)),"")</f>
        <v/>
      </c>
      <c r="O369" s="162">
        <f>IFERROR(""&amp;INDEX(tk_ANCHOR,MATCH(363,tk_ASEQ,0)),"")</f>
        <v/>
      </c>
      <c r="P369" s="162">
        <f>IFERROR(""&amp;INDEX(tk_RATING,MATCH(363,tk_ASEQ,0)),"")</f>
        <v/>
      </c>
      <c r="Q369" s="162">
        <f>IFERROR(""&amp;INDEX(tk_LABEL,MATCH(363,tk_ASEQ,0)),"")</f>
        <v/>
      </c>
      <c r="R369" s="162">
        <f>IFERROR(""&amp;INDEX(tk_HWSET,MATCH(363,tk_ASEQ,0)),"")</f>
        <v/>
      </c>
      <c r="S369" s="162">
        <f>IFERROR(IF(""&amp;INDEX(tk_HINGES,MATCH(363,tk_ASEQ,0))="","",INDEX(tk_HINGES,MATCH(363,tk_ASEQ,0))&amp;" · "&amp;INDEX(tk_LSRC,MATCH(363,tk_ASEQ,0))),"")</f>
        <v/>
      </c>
      <c r="T369" s="162">
        <f>IFERROR(""&amp;INDEX(tk_LOCK,MATCH(363,tk_ASEQ,0)),"")</f>
        <v/>
      </c>
      <c r="U369" s="162">
        <f>IFERROR(INDEX(tk_ETYPE,MATCH(363,tk_ASEQ,0)),"")</f>
        <v/>
      </c>
      <c r="V369" s="162">
        <f>IFERROR(""&amp;INDEX(tk_CHECK,MATCH(363,tk_ASEQ,0)),"")</f>
        <v/>
      </c>
      <c r="W369" s="162">
        <f>IFERROR(TRIM(INDEX(tk_DNOTES,MATCH(363,tk_ASEQ,0))&amp;" "&amp;INDEX(tk_FNOTES,MATCH(363,tk_ASEQ,0))),"")</f>
        <v/>
      </c>
    </row>
    <row r="370">
      <c r="A370" s="161">
        <f>IFERROR(""&amp;INDEX(tk_MARK,MATCH(364,tk_ASEQ,0)),"")</f>
        <v/>
      </c>
      <c r="B370" s="162">
        <f>IFERROR(""&amp;INDEX(tk_ROOMF,MATCH(364,tk_ASEQ,0)),"")</f>
        <v/>
      </c>
      <c r="C370" s="162">
        <f>IFERROR(""&amp;INDEX(tk_ROOMT,MATCH(364,tk_ASEQ,0)),"")</f>
        <v/>
      </c>
      <c r="D370" s="162">
        <f>IFERROR(INDEX(tk_QTY,MATCH(364,tk_ASEQ,0)),"")</f>
        <v/>
      </c>
      <c r="E370" s="162">
        <f>IFERROR(""&amp;INDEX(tk_SIZE,MATCH(364,tk_ASEQ,0)),"")</f>
        <v/>
      </c>
      <c r="F370" s="162">
        <f>IFERROR(""&amp;INDEX(tk_PAIR,MATCH(364,tk_ASEQ,0)),"")</f>
        <v/>
      </c>
      <c r="G370" s="162">
        <f>IFERROR(""&amp;INDEX(tk_DMAT,MATCH(364,tk_ASEQ,0)),"")</f>
        <v/>
      </c>
      <c r="H370" s="162">
        <f>IFERROR(""&amp;INDEX(tk_DGA,MATCH(364,tk_ASEQ,0)),"")</f>
        <v/>
      </c>
      <c r="I370" s="162">
        <f>IFERROR(""&amp;INDEX(tk_FACE,MATCH(364,tk_ASEQ,0)),"")</f>
        <v/>
      </c>
      <c r="J370" s="162">
        <f>IFERROR(IF(INDEX(tk_DHAND,MATCH(364,tk_ASEQ,0))="",""&amp;INDEX(tk_HAND,MATCH(364,tk_ASEQ,0)),""&amp;INDEX(tk_DHAND,MATCH(364,tk_ASEQ,0))),"")</f>
        <v/>
      </c>
      <c r="K370" s="162">
        <f>IFERROR(""&amp;INDEX(tk_FDESC,MATCH(364,tk_ASEQ,0)),"")</f>
        <v/>
      </c>
      <c r="L370" s="162">
        <f>IFERROR(INDEX(tk_STEEL,MATCH(364,tk_ASEQ,0))&amp;IF(INDEX(tk_FGA,MATCH(364,tk_ASEQ,0))="",""," "&amp;INDEX(tk_FGA,MATCH(364,tk_ASEQ,0))&amp;"GA"),"")</f>
        <v/>
      </c>
      <c r="M370" s="162">
        <f>IFERROR(IFERROR(VLOOKUP(INDEX(tk_JAMB,MATCH(364,tk_ASEQ,0)),CODES,2,FALSE),""&amp;INDEX(tk_JAMB,MATCH(364,tk_ASEQ,0))),"")</f>
        <v/>
      </c>
      <c r="N370" s="162">
        <f>IFERROR(""&amp;INDEX(tk_CONSTR,MATCH(364,tk_ASEQ,0)),"")</f>
        <v/>
      </c>
      <c r="O370" s="162">
        <f>IFERROR(""&amp;INDEX(tk_ANCHOR,MATCH(364,tk_ASEQ,0)),"")</f>
        <v/>
      </c>
      <c r="P370" s="162">
        <f>IFERROR(""&amp;INDEX(tk_RATING,MATCH(364,tk_ASEQ,0)),"")</f>
        <v/>
      </c>
      <c r="Q370" s="162">
        <f>IFERROR(""&amp;INDEX(tk_LABEL,MATCH(364,tk_ASEQ,0)),"")</f>
        <v/>
      </c>
      <c r="R370" s="162">
        <f>IFERROR(""&amp;INDEX(tk_HWSET,MATCH(364,tk_ASEQ,0)),"")</f>
        <v/>
      </c>
      <c r="S370" s="162">
        <f>IFERROR(IF(""&amp;INDEX(tk_HINGES,MATCH(364,tk_ASEQ,0))="","",INDEX(tk_HINGES,MATCH(364,tk_ASEQ,0))&amp;" · "&amp;INDEX(tk_LSRC,MATCH(364,tk_ASEQ,0))),"")</f>
        <v/>
      </c>
      <c r="T370" s="162">
        <f>IFERROR(""&amp;INDEX(tk_LOCK,MATCH(364,tk_ASEQ,0)),"")</f>
        <v/>
      </c>
      <c r="U370" s="162">
        <f>IFERROR(INDEX(tk_ETYPE,MATCH(364,tk_ASEQ,0)),"")</f>
        <v/>
      </c>
      <c r="V370" s="162">
        <f>IFERROR(""&amp;INDEX(tk_CHECK,MATCH(364,tk_ASEQ,0)),"")</f>
        <v/>
      </c>
      <c r="W370" s="162">
        <f>IFERROR(TRIM(INDEX(tk_DNOTES,MATCH(364,tk_ASEQ,0))&amp;" "&amp;INDEX(tk_FNOTES,MATCH(364,tk_ASEQ,0))),"")</f>
        <v/>
      </c>
    </row>
    <row r="371">
      <c r="A371" s="161">
        <f>IFERROR(""&amp;INDEX(tk_MARK,MATCH(365,tk_ASEQ,0)),"")</f>
        <v/>
      </c>
      <c r="B371" s="162">
        <f>IFERROR(""&amp;INDEX(tk_ROOMF,MATCH(365,tk_ASEQ,0)),"")</f>
        <v/>
      </c>
      <c r="C371" s="162">
        <f>IFERROR(""&amp;INDEX(tk_ROOMT,MATCH(365,tk_ASEQ,0)),"")</f>
        <v/>
      </c>
      <c r="D371" s="162">
        <f>IFERROR(INDEX(tk_QTY,MATCH(365,tk_ASEQ,0)),"")</f>
        <v/>
      </c>
      <c r="E371" s="162">
        <f>IFERROR(""&amp;INDEX(tk_SIZE,MATCH(365,tk_ASEQ,0)),"")</f>
        <v/>
      </c>
      <c r="F371" s="162">
        <f>IFERROR(""&amp;INDEX(tk_PAIR,MATCH(365,tk_ASEQ,0)),"")</f>
        <v/>
      </c>
      <c r="G371" s="162">
        <f>IFERROR(""&amp;INDEX(tk_DMAT,MATCH(365,tk_ASEQ,0)),"")</f>
        <v/>
      </c>
      <c r="H371" s="162">
        <f>IFERROR(""&amp;INDEX(tk_DGA,MATCH(365,tk_ASEQ,0)),"")</f>
        <v/>
      </c>
      <c r="I371" s="162">
        <f>IFERROR(""&amp;INDEX(tk_FACE,MATCH(365,tk_ASEQ,0)),"")</f>
        <v/>
      </c>
      <c r="J371" s="162">
        <f>IFERROR(IF(INDEX(tk_DHAND,MATCH(365,tk_ASEQ,0))="",""&amp;INDEX(tk_HAND,MATCH(365,tk_ASEQ,0)),""&amp;INDEX(tk_DHAND,MATCH(365,tk_ASEQ,0))),"")</f>
        <v/>
      </c>
      <c r="K371" s="162">
        <f>IFERROR(""&amp;INDEX(tk_FDESC,MATCH(365,tk_ASEQ,0)),"")</f>
        <v/>
      </c>
      <c r="L371" s="162">
        <f>IFERROR(INDEX(tk_STEEL,MATCH(365,tk_ASEQ,0))&amp;IF(INDEX(tk_FGA,MATCH(365,tk_ASEQ,0))="",""," "&amp;INDEX(tk_FGA,MATCH(365,tk_ASEQ,0))&amp;"GA"),"")</f>
        <v/>
      </c>
      <c r="M371" s="162">
        <f>IFERROR(IFERROR(VLOOKUP(INDEX(tk_JAMB,MATCH(365,tk_ASEQ,0)),CODES,2,FALSE),""&amp;INDEX(tk_JAMB,MATCH(365,tk_ASEQ,0))),"")</f>
        <v/>
      </c>
      <c r="N371" s="162">
        <f>IFERROR(""&amp;INDEX(tk_CONSTR,MATCH(365,tk_ASEQ,0)),"")</f>
        <v/>
      </c>
      <c r="O371" s="162">
        <f>IFERROR(""&amp;INDEX(tk_ANCHOR,MATCH(365,tk_ASEQ,0)),"")</f>
        <v/>
      </c>
      <c r="P371" s="162">
        <f>IFERROR(""&amp;INDEX(tk_RATING,MATCH(365,tk_ASEQ,0)),"")</f>
        <v/>
      </c>
      <c r="Q371" s="162">
        <f>IFERROR(""&amp;INDEX(tk_LABEL,MATCH(365,tk_ASEQ,0)),"")</f>
        <v/>
      </c>
      <c r="R371" s="162">
        <f>IFERROR(""&amp;INDEX(tk_HWSET,MATCH(365,tk_ASEQ,0)),"")</f>
        <v/>
      </c>
      <c r="S371" s="162">
        <f>IFERROR(IF(""&amp;INDEX(tk_HINGES,MATCH(365,tk_ASEQ,0))="","",INDEX(tk_HINGES,MATCH(365,tk_ASEQ,0))&amp;" · "&amp;INDEX(tk_LSRC,MATCH(365,tk_ASEQ,0))),"")</f>
        <v/>
      </c>
      <c r="T371" s="162">
        <f>IFERROR(""&amp;INDEX(tk_LOCK,MATCH(365,tk_ASEQ,0)),"")</f>
        <v/>
      </c>
      <c r="U371" s="162">
        <f>IFERROR(INDEX(tk_ETYPE,MATCH(365,tk_ASEQ,0)),"")</f>
        <v/>
      </c>
      <c r="V371" s="162">
        <f>IFERROR(""&amp;INDEX(tk_CHECK,MATCH(365,tk_ASEQ,0)),"")</f>
        <v/>
      </c>
      <c r="W371" s="162">
        <f>IFERROR(TRIM(INDEX(tk_DNOTES,MATCH(365,tk_ASEQ,0))&amp;" "&amp;INDEX(tk_FNOTES,MATCH(365,tk_ASEQ,0))),"")</f>
        <v/>
      </c>
    </row>
    <row r="372">
      <c r="A372" s="161">
        <f>IFERROR(""&amp;INDEX(tk_MARK,MATCH(366,tk_ASEQ,0)),"")</f>
        <v/>
      </c>
      <c r="B372" s="162">
        <f>IFERROR(""&amp;INDEX(tk_ROOMF,MATCH(366,tk_ASEQ,0)),"")</f>
        <v/>
      </c>
      <c r="C372" s="162">
        <f>IFERROR(""&amp;INDEX(tk_ROOMT,MATCH(366,tk_ASEQ,0)),"")</f>
        <v/>
      </c>
      <c r="D372" s="162">
        <f>IFERROR(INDEX(tk_QTY,MATCH(366,tk_ASEQ,0)),"")</f>
        <v/>
      </c>
      <c r="E372" s="162">
        <f>IFERROR(""&amp;INDEX(tk_SIZE,MATCH(366,tk_ASEQ,0)),"")</f>
        <v/>
      </c>
      <c r="F372" s="162">
        <f>IFERROR(""&amp;INDEX(tk_PAIR,MATCH(366,tk_ASEQ,0)),"")</f>
        <v/>
      </c>
      <c r="G372" s="162">
        <f>IFERROR(""&amp;INDEX(tk_DMAT,MATCH(366,tk_ASEQ,0)),"")</f>
        <v/>
      </c>
      <c r="H372" s="162">
        <f>IFERROR(""&amp;INDEX(tk_DGA,MATCH(366,tk_ASEQ,0)),"")</f>
        <v/>
      </c>
      <c r="I372" s="162">
        <f>IFERROR(""&amp;INDEX(tk_FACE,MATCH(366,tk_ASEQ,0)),"")</f>
        <v/>
      </c>
      <c r="J372" s="162">
        <f>IFERROR(IF(INDEX(tk_DHAND,MATCH(366,tk_ASEQ,0))="",""&amp;INDEX(tk_HAND,MATCH(366,tk_ASEQ,0)),""&amp;INDEX(tk_DHAND,MATCH(366,tk_ASEQ,0))),"")</f>
        <v/>
      </c>
      <c r="K372" s="162">
        <f>IFERROR(""&amp;INDEX(tk_FDESC,MATCH(366,tk_ASEQ,0)),"")</f>
        <v/>
      </c>
      <c r="L372" s="162">
        <f>IFERROR(INDEX(tk_STEEL,MATCH(366,tk_ASEQ,0))&amp;IF(INDEX(tk_FGA,MATCH(366,tk_ASEQ,0))="",""," "&amp;INDEX(tk_FGA,MATCH(366,tk_ASEQ,0))&amp;"GA"),"")</f>
        <v/>
      </c>
      <c r="M372" s="162">
        <f>IFERROR(IFERROR(VLOOKUP(INDEX(tk_JAMB,MATCH(366,tk_ASEQ,0)),CODES,2,FALSE),""&amp;INDEX(tk_JAMB,MATCH(366,tk_ASEQ,0))),"")</f>
        <v/>
      </c>
      <c r="N372" s="162">
        <f>IFERROR(""&amp;INDEX(tk_CONSTR,MATCH(366,tk_ASEQ,0)),"")</f>
        <v/>
      </c>
      <c r="O372" s="162">
        <f>IFERROR(""&amp;INDEX(tk_ANCHOR,MATCH(366,tk_ASEQ,0)),"")</f>
        <v/>
      </c>
      <c r="P372" s="162">
        <f>IFERROR(""&amp;INDEX(tk_RATING,MATCH(366,tk_ASEQ,0)),"")</f>
        <v/>
      </c>
      <c r="Q372" s="162">
        <f>IFERROR(""&amp;INDEX(tk_LABEL,MATCH(366,tk_ASEQ,0)),"")</f>
        <v/>
      </c>
      <c r="R372" s="162">
        <f>IFERROR(""&amp;INDEX(tk_HWSET,MATCH(366,tk_ASEQ,0)),"")</f>
        <v/>
      </c>
      <c r="S372" s="162">
        <f>IFERROR(IF(""&amp;INDEX(tk_HINGES,MATCH(366,tk_ASEQ,0))="","",INDEX(tk_HINGES,MATCH(366,tk_ASEQ,0))&amp;" · "&amp;INDEX(tk_LSRC,MATCH(366,tk_ASEQ,0))),"")</f>
        <v/>
      </c>
      <c r="T372" s="162">
        <f>IFERROR(""&amp;INDEX(tk_LOCK,MATCH(366,tk_ASEQ,0)),"")</f>
        <v/>
      </c>
      <c r="U372" s="162">
        <f>IFERROR(INDEX(tk_ETYPE,MATCH(366,tk_ASEQ,0)),"")</f>
        <v/>
      </c>
      <c r="V372" s="162">
        <f>IFERROR(""&amp;INDEX(tk_CHECK,MATCH(366,tk_ASEQ,0)),"")</f>
        <v/>
      </c>
      <c r="W372" s="162">
        <f>IFERROR(TRIM(INDEX(tk_DNOTES,MATCH(366,tk_ASEQ,0))&amp;" "&amp;INDEX(tk_FNOTES,MATCH(366,tk_ASEQ,0))),"")</f>
        <v/>
      </c>
    </row>
    <row r="373">
      <c r="A373" s="161">
        <f>IFERROR(""&amp;INDEX(tk_MARK,MATCH(367,tk_ASEQ,0)),"")</f>
        <v/>
      </c>
      <c r="B373" s="162">
        <f>IFERROR(""&amp;INDEX(tk_ROOMF,MATCH(367,tk_ASEQ,0)),"")</f>
        <v/>
      </c>
      <c r="C373" s="162">
        <f>IFERROR(""&amp;INDEX(tk_ROOMT,MATCH(367,tk_ASEQ,0)),"")</f>
        <v/>
      </c>
      <c r="D373" s="162">
        <f>IFERROR(INDEX(tk_QTY,MATCH(367,tk_ASEQ,0)),"")</f>
        <v/>
      </c>
      <c r="E373" s="162">
        <f>IFERROR(""&amp;INDEX(tk_SIZE,MATCH(367,tk_ASEQ,0)),"")</f>
        <v/>
      </c>
      <c r="F373" s="162">
        <f>IFERROR(""&amp;INDEX(tk_PAIR,MATCH(367,tk_ASEQ,0)),"")</f>
        <v/>
      </c>
      <c r="G373" s="162">
        <f>IFERROR(""&amp;INDEX(tk_DMAT,MATCH(367,tk_ASEQ,0)),"")</f>
        <v/>
      </c>
      <c r="H373" s="162">
        <f>IFERROR(""&amp;INDEX(tk_DGA,MATCH(367,tk_ASEQ,0)),"")</f>
        <v/>
      </c>
      <c r="I373" s="162">
        <f>IFERROR(""&amp;INDEX(tk_FACE,MATCH(367,tk_ASEQ,0)),"")</f>
        <v/>
      </c>
      <c r="J373" s="162">
        <f>IFERROR(IF(INDEX(tk_DHAND,MATCH(367,tk_ASEQ,0))="",""&amp;INDEX(tk_HAND,MATCH(367,tk_ASEQ,0)),""&amp;INDEX(tk_DHAND,MATCH(367,tk_ASEQ,0))),"")</f>
        <v/>
      </c>
      <c r="K373" s="162">
        <f>IFERROR(""&amp;INDEX(tk_FDESC,MATCH(367,tk_ASEQ,0)),"")</f>
        <v/>
      </c>
      <c r="L373" s="162">
        <f>IFERROR(INDEX(tk_STEEL,MATCH(367,tk_ASEQ,0))&amp;IF(INDEX(tk_FGA,MATCH(367,tk_ASEQ,0))="",""," "&amp;INDEX(tk_FGA,MATCH(367,tk_ASEQ,0))&amp;"GA"),"")</f>
        <v/>
      </c>
      <c r="M373" s="162">
        <f>IFERROR(IFERROR(VLOOKUP(INDEX(tk_JAMB,MATCH(367,tk_ASEQ,0)),CODES,2,FALSE),""&amp;INDEX(tk_JAMB,MATCH(367,tk_ASEQ,0))),"")</f>
        <v/>
      </c>
      <c r="N373" s="162">
        <f>IFERROR(""&amp;INDEX(tk_CONSTR,MATCH(367,tk_ASEQ,0)),"")</f>
        <v/>
      </c>
      <c r="O373" s="162">
        <f>IFERROR(""&amp;INDEX(tk_ANCHOR,MATCH(367,tk_ASEQ,0)),"")</f>
        <v/>
      </c>
      <c r="P373" s="162">
        <f>IFERROR(""&amp;INDEX(tk_RATING,MATCH(367,tk_ASEQ,0)),"")</f>
        <v/>
      </c>
      <c r="Q373" s="162">
        <f>IFERROR(""&amp;INDEX(tk_LABEL,MATCH(367,tk_ASEQ,0)),"")</f>
        <v/>
      </c>
      <c r="R373" s="162">
        <f>IFERROR(""&amp;INDEX(tk_HWSET,MATCH(367,tk_ASEQ,0)),"")</f>
        <v/>
      </c>
      <c r="S373" s="162">
        <f>IFERROR(IF(""&amp;INDEX(tk_HINGES,MATCH(367,tk_ASEQ,0))="","",INDEX(tk_HINGES,MATCH(367,tk_ASEQ,0))&amp;" · "&amp;INDEX(tk_LSRC,MATCH(367,tk_ASEQ,0))),"")</f>
        <v/>
      </c>
      <c r="T373" s="162">
        <f>IFERROR(""&amp;INDEX(tk_LOCK,MATCH(367,tk_ASEQ,0)),"")</f>
        <v/>
      </c>
      <c r="U373" s="162">
        <f>IFERROR(INDEX(tk_ETYPE,MATCH(367,tk_ASEQ,0)),"")</f>
        <v/>
      </c>
      <c r="V373" s="162">
        <f>IFERROR(""&amp;INDEX(tk_CHECK,MATCH(367,tk_ASEQ,0)),"")</f>
        <v/>
      </c>
      <c r="W373" s="162">
        <f>IFERROR(TRIM(INDEX(tk_DNOTES,MATCH(367,tk_ASEQ,0))&amp;" "&amp;INDEX(tk_FNOTES,MATCH(367,tk_ASEQ,0))),"")</f>
        <v/>
      </c>
    </row>
    <row r="374">
      <c r="A374" s="161">
        <f>IFERROR(""&amp;INDEX(tk_MARK,MATCH(368,tk_ASEQ,0)),"")</f>
        <v/>
      </c>
      <c r="B374" s="162">
        <f>IFERROR(""&amp;INDEX(tk_ROOMF,MATCH(368,tk_ASEQ,0)),"")</f>
        <v/>
      </c>
      <c r="C374" s="162">
        <f>IFERROR(""&amp;INDEX(tk_ROOMT,MATCH(368,tk_ASEQ,0)),"")</f>
        <v/>
      </c>
      <c r="D374" s="162">
        <f>IFERROR(INDEX(tk_QTY,MATCH(368,tk_ASEQ,0)),"")</f>
        <v/>
      </c>
      <c r="E374" s="162">
        <f>IFERROR(""&amp;INDEX(tk_SIZE,MATCH(368,tk_ASEQ,0)),"")</f>
        <v/>
      </c>
      <c r="F374" s="162">
        <f>IFERROR(""&amp;INDEX(tk_PAIR,MATCH(368,tk_ASEQ,0)),"")</f>
        <v/>
      </c>
      <c r="G374" s="162">
        <f>IFERROR(""&amp;INDEX(tk_DMAT,MATCH(368,tk_ASEQ,0)),"")</f>
        <v/>
      </c>
      <c r="H374" s="162">
        <f>IFERROR(""&amp;INDEX(tk_DGA,MATCH(368,tk_ASEQ,0)),"")</f>
        <v/>
      </c>
      <c r="I374" s="162">
        <f>IFERROR(""&amp;INDEX(tk_FACE,MATCH(368,tk_ASEQ,0)),"")</f>
        <v/>
      </c>
      <c r="J374" s="162">
        <f>IFERROR(IF(INDEX(tk_DHAND,MATCH(368,tk_ASEQ,0))="",""&amp;INDEX(tk_HAND,MATCH(368,tk_ASEQ,0)),""&amp;INDEX(tk_DHAND,MATCH(368,tk_ASEQ,0))),"")</f>
        <v/>
      </c>
      <c r="K374" s="162">
        <f>IFERROR(""&amp;INDEX(tk_FDESC,MATCH(368,tk_ASEQ,0)),"")</f>
        <v/>
      </c>
      <c r="L374" s="162">
        <f>IFERROR(INDEX(tk_STEEL,MATCH(368,tk_ASEQ,0))&amp;IF(INDEX(tk_FGA,MATCH(368,tk_ASEQ,0))="",""," "&amp;INDEX(tk_FGA,MATCH(368,tk_ASEQ,0))&amp;"GA"),"")</f>
        <v/>
      </c>
      <c r="M374" s="162">
        <f>IFERROR(IFERROR(VLOOKUP(INDEX(tk_JAMB,MATCH(368,tk_ASEQ,0)),CODES,2,FALSE),""&amp;INDEX(tk_JAMB,MATCH(368,tk_ASEQ,0))),"")</f>
        <v/>
      </c>
      <c r="N374" s="162">
        <f>IFERROR(""&amp;INDEX(tk_CONSTR,MATCH(368,tk_ASEQ,0)),"")</f>
        <v/>
      </c>
      <c r="O374" s="162">
        <f>IFERROR(""&amp;INDEX(tk_ANCHOR,MATCH(368,tk_ASEQ,0)),"")</f>
        <v/>
      </c>
      <c r="P374" s="162">
        <f>IFERROR(""&amp;INDEX(tk_RATING,MATCH(368,tk_ASEQ,0)),"")</f>
        <v/>
      </c>
      <c r="Q374" s="162">
        <f>IFERROR(""&amp;INDEX(tk_LABEL,MATCH(368,tk_ASEQ,0)),"")</f>
        <v/>
      </c>
      <c r="R374" s="162">
        <f>IFERROR(""&amp;INDEX(tk_HWSET,MATCH(368,tk_ASEQ,0)),"")</f>
        <v/>
      </c>
      <c r="S374" s="162">
        <f>IFERROR(IF(""&amp;INDEX(tk_HINGES,MATCH(368,tk_ASEQ,0))="","",INDEX(tk_HINGES,MATCH(368,tk_ASEQ,0))&amp;" · "&amp;INDEX(tk_LSRC,MATCH(368,tk_ASEQ,0))),"")</f>
        <v/>
      </c>
      <c r="T374" s="162">
        <f>IFERROR(""&amp;INDEX(tk_LOCK,MATCH(368,tk_ASEQ,0)),"")</f>
        <v/>
      </c>
      <c r="U374" s="162">
        <f>IFERROR(INDEX(tk_ETYPE,MATCH(368,tk_ASEQ,0)),"")</f>
        <v/>
      </c>
      <c r="V374" s="162">
        <f>IFERROR(""&amp;INDEX(tk_CHECK,MATCH(368,tk_ASEQ,0)),"")</f>
        <v/>
      </c>
      <c r="W374" s="162">
        <f>IFERROR(TRIM(INDEX(tk_DNOTES,MATCH(368,tk_ASEQ,0))&amp;" "&amp;INDEX(tk_FNOTES,MATCH(368,tk_ASEQ,0))),"")</f>
        <v/>
      </c>
    </row>
    <row r="375">
      <c r="A375" s="161">
        <f>IFERROR(""&amp;INDEX(tk_MARK,MATCH(369,tk_ASEQ,0)),"")</f>
        <v/>
      </c>
      <c r="B375" s="162">
        <f>IFERROR(""&amp;INDEX(tk_ROOMF,MATCH(369,tk_ASEQ,0)),"")</f>
        <v/>
      </c>
      <c r="C375" s="162">
        <f>IFERROR(""&amp;INDEX(tk_ROOMT,MATCH(369,tk_ASEQ,0)),"")</f>
        <v/>
      </c>
      <c r="D375" s="162">
        <f>IFERROR(INDEX(tk_QTY,MATCH(369,tk_ASEQ,0)),"")</f>
        <v/>
      </c>
      <c r="E375" s="162">
        <f>IFERROR(""&amp;INDEX(tk_SIZE,MATCH(369,tk_ASEQ,0)),"")</f>
        <v/>
      </c>
      <c r="F375" s="162">
        <f>IFERROR(""&amp;INDEX(tk_PAIR,MATCH(369,tk_ASEQ,0)),"")</f>
        <v/>
      </c>
      <c r="G375" s="162">
        <f>IFERROR(""&amp;INDEX(tk_DMAT,MATCH(369,tk_ASEQ,0)),"")</f>
        <v/>
      </c>
      <c r="H375" s="162">
        <f>IFERROR(""&amp;INDEX(tk_DGA,MATCH(369,tk_ASEQ,0)),"")</f>
        <v/>
      </c>
      <c r="I375" s="162">
        <f>IFERROR(""&amp;INDEX(tk_FACE,MATCH(369,tk_ASEQ,0)),"")</f>
        <v/>
      </c>
      <c r="J375" s="162">
        <f>IFERROR(IF(INDEX(tk_DHAND,MATCH(369,tk_ASEQ,0))="",""&amp;INDEX(tk_HAND,MATCH(369,tk_ASEQ,0)),""&amp;INDEX(tk_DHAND,MATCH(369,tk_ASEQ,0))),"")</f>
        <v/>
      </c>
      <c r="K375" s="162">
        <f>IFERROR(""&amp;INDEX(tk_FDESC,MATCH(369,tk_ASEQ,0)),"")</f>
        <v/>
      </c>
      <c r="L375" s="162">
        <f>IFERROR(INDEX(tk_STEEL,MATCH(369,tk_ASEQ,0))&amp;IF(INDEX(tk_FGA,MATCH(369,tk_ASEQ,0))="",""," "&amp;INDEX(tk_FGA,MATCH(369,tk_ASEQ,0))&amp;"GA"),"")</f>
        <v/>
      </c>
      <c r="M375" s="162">
        <f>IFERROR(IFERROR(VLOOKUP(INDEX(tk_JAMB,MATCH(369,tk_ASEQ,0)),CODES,2,FALSE),""&amp;INDEX(tk_JAMB,MATCH(369,tk_ASEQ,0))),"")</f>
        <v/>
      </c>
      <c r="N375" s="162">
        <f>IFERROR(""&amp;INDEX(tk_CONSTR,MATCH(369,tk_ASEQ,0)),"")</f>
        <v/>
      </c>
      <c r="O375" s="162">
        <f>IFERROR(""&amp;INDEX(tk_ANCHOR,MATCH(369,tk_ASEQ,0)),"")</f>
        <v/>
      </c>
      <c r="P375" s="162">
        <f>IFERROR(""&amp;INDEX(tk_RATING,MATCH(369,tk_ASEQ,0)),"")</f>
        <v/>
      </c>
      <c r="Q375" s="162">
        <f>IFERROR(""&amp;INDEX(tk_LABEL,MATCH(369,tk_ASEQ,0)),"")</f>
        <v/>
      </c>
      <c r="R375" s="162">
        <f>IFERROR(""&amp;INDEX(tk_HWSET,MATCH(369,tk_ASEQ,0)),"")</f>
        <v/>
      </c>
      <c r="S375" s="162">
        <f>IFERROR(IF(""&amp;INDEX(tk_HINGES,MATCH(369,tk_ASEQ,0))="","",INDEX(tk_HINGES,MATCH(369,tk_ASEQ,0))&amp;" · "&amp;INDEX(tk_LSRC,MATCH(369,tk_ASEQ,0))),"")</f>
        <v/>
      </c>
      <c r="T375" s="162">
        <f>IFERROR(""&amp;INDEX(tk_LOCK,MATCH(369,tk_ASEQ,0)),"")</f>
        <v/>
      </c>
      <c r="U375" s="162">
        <f>IFERROR(INDEX(tk_ETYPE,MATCH(369,tk_ASEQ,0)),"")</f>
        <v/>
      </c>
      <c r="V375" s="162">
        <f>IFERROR(""&amp;INDEX(tk_CHECK,MATCH(369,tk_ASEQ,0)),"")</f>
        <v/>
      </c>
      <c r="W375" s="162">
        <f>IFERROR(TRIM(INDEX(tk_DNOTES,MATCH(369,tk_ASEQ,0))&amp;" "&amp;INDEX(tk_FNOTES,MATCH(369,tk_ASEQ,0))),"")</f>
        <v/>
      </c>
    </row>
    <row r="376">
      <c r="A376" s="161">
        <f>IFERROR(""&amp;INDEX(tk_MARK,MATCH(370,tk_ASEQ,0)),"")</f>
        <v/>
      </c>
      <c r="B376" s="162">
        <f>IFERROR(""&amp;INDEX(tk_ROOMF,MATCH(370,tk_ASEQ,0)),"")</f>
        <v/>
      </c>
      <c r="C376" s="162">
        <f>IFERROR(""&amp;INDEX(tk_ROOMT,MATCH(370,tk_ASEQ,0)),"")</f>
        <v/>
      </c>
      <c r="D376" s="162">
        <f>IFERROR(INDEX(tk_QTY,MATCH(370,tk_ASEQ,0)),"")</f>
        <v/>
      </c>
      <c r="E376" s="162">
        <f>IFERROR(""&amp;INDEX(tk_SIZE,MATCH(370,tk_ASEQ,0)),"")</f>
        <v/>
      </c>
      <c r="F376" s="162">
        <f>IFERROR(""&amp;INDEX(tk_PAIR,MATCH(370,tk_ASEQ,0)),"")</f>
        <v/>
      </c>
      <c r="G376" s="162">
        <f>IFERROR(""&amp;INDEX(tk_DMAT,MATCH(370,tk_ASEQ,0)),"")</f>
        <v/>
      </c>
      <c r="H376" s="162">
        <f>IFERROR(""&amp;INDEX(tk_DGA,MATCH(370,tk_ASEQ,0)),"")</f>
        <v/>
      </c>
      <c r="I376" s="162">
        <f>IFERROR(""&amp;INDEX(tk_FACE,MATCH(370,tk_ASEQ,0)),"")</f>
        <v/>
      </c>
      <c r="J376" s="162">
        <f>IFERROR(IF(INDEX(tk_DHAND,MATCH(370,tk_ASEQ,0))="",""&amp;INDEX(tk_HAND,MATCH(370,tk_ASEQ,0)),""&amp;INDEX(tk_DHAND,MATCH(370,tk_ASEQ,0))),"")</f>
        <v/>
      </c>
      <c r="K376" s="162">
        <f>IFERROR(""&amp;INDEX(tk_FDESC,MATCH(370,tk_ASEQ,0)),"")</f>
        <v/>
      </c>
      <c r="L376" s="162">
        <f>IFERROR(INDEX(tk_STEEL,MATCH(370,tk_ASEQ,0))&amp;IF(INDEX(tk_FGA,MATCH(370,tk_ASEQ,0))="",""," "&amp;INDEX(tk_FGA,MATCH(370,tk_ASEQ,0))&amp;"GA"),"")</f>
        <v/>
      </c>
      <c r="M376" s="162">
        <f>IFERROR(IFERROR(VLOOKUP(INDEX(tk_JAMB,MATCH(370,tk_ASEQ,0)),CODES,2,FALSE),""&amp;INDEX(tk_JAMB,MATCH(370,tk_ASEQ,0))),"")</f>
        <v/>
      </c>
      <c r="N376" s="162">
        <f>IFERROR(""&amp;INDEX(tk_CONSTR,MATCH(370,tk_ASEQ,0)),"")</f>
        <v/>
      </c>
      <c r="O376" s="162">
        <f>IFERROR(""&amp;INDEX(tk_ANCHOR,MATCH(370,tk_ASEQ,0)),"")</f>
        <v/>
      </c>
      <c r="P376" s="162">
        <f>IFERROR(""&amp;INDEX(tk_RATING,MATCH(370,tk_ASEQ,0)),"")</f>
        <v/>
      </c>
      <c r="Q376" s="162">
        <f>IFERROR(""&amp;INDEX(tk_LABEL,MATCH(370,tk_ASEQ,0)),"")</f>
        <v/>
      </c>
      <c r="R376" s="162">
        <f>IFERROR(""&amp;INDEX(tk_HWSET,MATCH(370,tk_ASEQ,0)),"")</f>
        <v/>
      </c>
      <c r="S376" s="162">
        <f>IFERROR(IF(""&amp;INDEX(tk_HINGES,MATCH(370,tk_ASEQ,0))="","",INDEX(tk_HINGES,MATCH(370,tk_ASEQ,0))&amp;" · "&amp;INDEX(tk_LSRC,MATCH(370,tk_ASEQ,0))),"")</f>
        <v/>
      </c>
      <c r="T376" s="162">
        <f>IFERROR(""&amp;INDEX(tk_LOCK,MATCH(370,tk_ASEQ,0)),"")</f>
        <v/>
      </c>
      <c r="U376" s="162">
        <f>IFERROR(INDEX(tk_ETYPE,MATCH(370,tk_ASEQ,0)),"")</f>
        <v/>
      </c>
      <c r="V376" s="162">
        <f>IFERROR(""&amp;INDEX(tk_CHECK,MATCH(370,tk_ASEQ,0)),"")</f>
        <v/>
      </c>
      <c r="W376" s="162">
        <f>IFERROR(TRIM(INDEX(tk_DNOTES,MATCH(370,tk_ASEQ,0))&amp;" "&amp;INDEX(tk_FNOTES,MATCH(370,tk_ASEQ,0))),"")</f>
        <v/>
      </c>
    </row>
    <row r="377">
      <c r="A377" s="161">
        <f>IFERROR(""&amp;INDEX(tk_MARK,MATCH(371,tk_ASEQ,0)),"")</f>
        <v/>
      </c>
      <c r="B377" s="162">
        <f>IFERROR(""&amp;INDEX(tk_ROOMF,MATCH(371,tk_ASEQ,0)),"")</f>
        <v/>
      </c>
      <c r="C377" s="162">
        <f>IFERROR(""&amp;INDEX(tk_ROOMT,MATCH(371,tk_ASEQ,0)),"")</f>
        <v/>
      </c>
      <c r="D377" s="162">
        <f>IFERROR(INDEX(tk_QTY,MATCH(371,tk_ASEQ,0)),"")</f>
        <v/>
      </c>
      <c r="E377" s="162">
        <f>IFERROR(""&amp;INDEX(tk_SIZE,MATCH(371,tk_ASEQ,0)),"")</f>
        <v/>
      </c>
      <c r="F377" s="162">
        <f>IFERROR(""&amp;INDEX(tk_PAIR,MATCH(371,tk_ASEQ,0)),"")</f>
        <v/>
      </c>
      <c r="G377" s="162">
        <f>IFERROR(""&amp;INDEX(tk_DMAT,MATCH(371,tk_ASEQ,0)),"")</f>
        <v/>
      </c>
      <c r="H377" s="162">
        <f>IFERROR(""&amp;INDEX(tk_DGA,MATCH(371,tk_ASEQ,0)),"")</f>
        <v/>
      </c>
      <c r="I377" s="162">
        <f>IFERROR(""&amp;INDEX(tk_FACE,MATCH(371,tk_ASEQ,0)),"")</f>
        <v/>
      </c>
      <c r="J377" s="162">
        <f>IFERROR(IF(INDEX(tk_DHAND,MATCH(371,tk_ASEQ,0))="",""&amp;INDEX(tk_HAND,MATCH(371,tk_ASEQ,0)),""&amp;INDEX(tk_DHAND,MATCH(371,tk_ASEQ,0))),"")</f>
        <v/>
      </c>
      <c r="K377" s="162">
        <f>IFERROR(""&amp;INDEX(tk_FDESC,MATCH(371,tk_ASEQ,0)),"")</f>
        <v/>
      </c>
      <c r="L377" s="162">
        <f>IFERROR(INDEX(tk_STEEL,MATCH(371,tk_ASEQ,0))&amp;IF(INDEX(tk_FGA,MATCH(371,tk_ASEQ,0))="",""," "&amp;INDEX(tk_FGA,MATCH(371,tk_ASEQ,0))&amp;"GA"),"")</f>
        <v/>
      </c>
      <c r="M377" s="162">
        <f>IFERROR(IFERROR(VLOOKUP(INDEX(tk_JAMB,MATCH(371,tk_ASEQ,0)),CODES,2,FALSE),""&amp;INDEX(tk_JAMB,MATCH(371,tk_ASEQ,0))),"")</f>
        <v/>
      </c>
      <c r="N377" s="162">
        <f>IFERROR(""&amp;INDEX(tk_CONSTR,MATCH(371,tk_ASEQ,0)),"")</f>
        <v/>
      </c>
      <c r="O377" s="162">
        <f>IFERROR(""&amp;INDEX(tk_ANCHOR,MATCH(371,tk_ASEQ,0)),"")</f>
        <v/>
      </c>
      <c r="P377" s="162">
        <f>IFERROR(""&amp;INDEX(tk_RATING,MATCH(371,tk_ASEQ,0)),"")</f>
        <v/>
      </c>
      <c r="Q377" s="162">
        <f>IFERROR(""&amp;INDEX(tk_LABEL,MATCH(371,tk_ASEQ,0)),"")</f>
        <v/>
      </c>
      <c r="R377" s="162">
        <f>IFERROR(""&amp;INDEX(tk_HWSET,MATCH(371,tk_ASEQ,0)),"")</f>
        <v/>
      </c>
      <c r="S377" s="162">
        <f>IFERROR(IF(""&amp;INDEX(tk_HINGES,MATCH(371,tk_ASEQ,0))="","",INDEX(tk_HINGES,MATCH(371,tk_ASEQ,0))&amp;" · "&amp;INDEX(tk_LSRC,MATCH(371,tk_ASEQ,0))),"")</f>
        <v/>
      </c>
      <c r="T377" s="162">
        <f>IFERROR(""&amp;INDEX(tk_LOCK,MATCH(371,tk_ASEQ,0)),"")</f>
        <v/>
      </c>
      <c r="U377" s="162">
        <f>IFERROR(INDEX(tk_ETYPE,MATCH(371,tk_ASEQ,0)),"")</f>
        <v/>
      </c>
      <c r="V377" s="162">
        <f>IFERROR(""&amp;INDEX(tk_CHECK,MATCH(371,tk_ASEQ,0)),"")</f>
        <v/>
      </c>
      <c r="W377" s="162">
        <f>IFERROR(TRIM(INDEX(tk_DNOTES,MATCH(371,tk_ASEQ,0))&amp;" "&amp;INDEX(tk_FNOTES,MATCH(371,tk_ASEQ,0))),"")</f>
        <v/>
      </c>
    </row>
    <row r="378">
      <c r="A378" s="161">
        <f>IFERROR(""&amp;INDEX(tk_MARK,MATCH(372,tk_ASEQ,0)),"")</f>
        <v/>
      </c>
      <c r="B378" s="162">
        <f>IFERROR(""&amp;INDEX(tk_ROOMF,MATCH(372,tk_ASEQ,0)),"")</f>
        <v/>
      </c>
      <c r="C378" s="162">
        <f>IFERROR(""&amp;INDEX(tk_ROOMT,MATCH(372,tk_ASEQ,0)),"")</f>
        <v/>
      </c>
      <c r="D378" s="162">
        <f>IFERROR(INDEX(tk_QTY,MATCH(372,tk_ASEQ,0)),"")</f>
        <v/>
      </c>
      <c r="E378" s="162">
        <f>IFERROR(""&amp;INDEX(tk_SIZE,MATCH(372,tk_ASEQ,0)),"")</f>
        <v/>
      </c>
      <c r="F378" s="162">
        <f>IFERROR(""&amp;INDEX(tk_PAIR,MATCH(372,tk_ASEQ,0)),"")</f>
        <v/>
      </c>
      <c r="G378" s="162">
        <f>IFERROR(""&amp;INDEX(tk_DMAT,MATCH(372,tk_ASEQ,0)),"")</f>
        <v/>
      </c>
      <c r="H378" s="162">
        <f>IFERROR(""&amp;INDEX(tk_DGA,MATCH(372,tk_ASEQ,0)),"")</f>
        <v/>
      </c>
      <c r="I378" s="162">
        <f>IFERROR(""&amp;INDEX(tk_FACE,MATCH(372,tk_ASEQ,0)),"")</f>
        <v/>
      </c>
      <c r="J378" s="162">
        <f>IFERROR(IF(INDEX(tk_DHAND,MATCH(372,tk_ASEQ,0))="",""&amp;INDEX(tk_HAND,MATCH(372,tk_ASEQ,0)),""&amp;INDEX(tk_DHAND,MATCH(372,tk_ASEQ,0))),"")</f>
        <v/>
      </c>
      <c r="K378" s="162">
        <f>IFERROR(""&amp;INDEX(tk_FDESC,MATCH(372,tk_ASEQ,0)),"")</f>
        <v/>
      </c>
      <c r="L378" s="162">
        <f>IFERROR(INDEX(tk_STEEL,MATCH(372,tk_ASEQ,0))&amp;IF(INDEX(tk_FGA,MATCH(372,tk_ASEQ,0))="",""," "&amp;INDEX(tk_FGA,MATCH(372,tk_ASEQ,0))&amp;"GA"),"")</f>
        <v/>
      </c>
      <c r="M378" s="162">
        <f>IFERROR(IFERROR(VLOOKUP(INDEX(tk_JAMB,MATCH(372,tk_ASEQ,0)),CODES,2,FALSE),""&amp;INDEX(tk_JAMB,MATCH(372,tk_ASEQ,0))),"")</f>
        <v/>
      </c>
      <c r="N378" s="162">
        <f>IFERROR(""&amp;INDEX(tk_CONSTR,MATCH(372,tk_ASEQ,0)),"")</f>
        <v/>
      </c>
      <c r="O378" s="162">
        <f>IFERROR(""&amp;INDEX(tk_ANCHOR,MATCH(372,tk_ASEQ,0)),"")</f>
        <v/>
      </c>
      <c r="P378" s="162">
        <f>IFERROR(""&amp;INDEX(tk_RATING,MATCH(372,tk_ASEQ,0)),"")</f>
        <v/>
      </c>
      <c r="Q378" s="162">
        <f>IFERROR(""&amp;INDEX(tk_LABEL,MATCH(372,tk_ASEQ,0)),"")</f>
        <v/>
      </c>
      <c r="R378" s="162">
        <f>IFERROR(""&amp;INDEX(tk_HWSET,MATCH(372,tk_ASEQ,0)),"")</f>
        <v/>
      </c>
      <c r="S378" s="162">
        <f>IFERROR(IF(""&amp;INDEX(tk_HINGES,MATCH(372,tk_ASEQ,0))="","",INDEX(tk_HINGES,MATCH(372,tk_ASEQ,0))&amp;" · "&amp;INDEX(tk_LSRC,MATCH(372,tk_ASEQ,0))),"")</f>
        <v/>
      </c>
      <c r="T378" s="162">
        <f>IFERROR(""&amp;INDEX(tk_LOCK,MATCH(372,tk_ASEQ,0)),"")</f>
        <v/>
      </c>
      <c r="U378" s="162">
        <f>IFERROR(INDEX(tk_ETYPE,MATCH(372,tk_ASEQ,0)),"")</f>
        <v/>
      </c>
      <c r="V378" s="162">
        <f>IFERROR(""&amp;INDEX(tk_CHECK,MATCH(372,tk_ASEQ,0)),"")</f>
        <v/>
      </c>
      <c r="W378" s="162">
        <f>IFERROR(TRIM(INDEX(tk_DNOTES,MATCH(372,tk_ASEQ,0))&amp;" "&amp;INDEX(tk_FNOTES,MATCH(372,tk_ASEQ,0))),"")</f>
        <v/>
      </c>
    </row>
    <row r="379">
      <c r="A379" s="161">
        <f>IFERROR(""&amp;INDEX(tk_MARK,MATCH(373,tk_ASEQ,0)),"")</f>
        <v/>
      </c>
      <c r="B379" s="162">
        <f>IFERROR(""&amp;INDEX(tk_ROOMF,MATCH(373,tk_ASEQ,0)),"")</f>
        <v/>
      </c>
      <c r="C379" s="162">
        <f>IFERROR(""&amp;INDEX(tk_ROOMT,MATCH(373,tk_ASEQ,0)),"")</f>
        <v/>
      </c>
      <c r="D379" s="162">
        <f>IFERROR(INDEX(tk_QTY,MATCH(373,tk_ASEQ,0)),"")</f>
        <v/>
      </c>
      <c r="E379" s="162">
        <f>IFERROR(""&amp;INDEX(tk_SIZE,MATCH(373,tk_ASEQ,0)),"")</f>
        <v/>
      </c>
      <c r="F379" s="162">
        <f>IFERROR(""&amp;INDEX(tk_PAIR,MATCH(373,tk_ASEQ,0)),"")</f>
        <v/>
      </c>
      <c r="G379" s="162">
        <f>IFERROR(""&amp;INDEX(tk_DMAT,MATCH(373,tk_ASEQ,0)),"")</f>
        <v/>
      </c>
      <c r="H379" s="162">
        <f>IFERROR(""&amp;INDEX(tk_DGA,MATCH(373,tk_ASEQ,0)),"")</f>
        <v/>
      </c>
      <c r="I379" s="162">
        <f>IFERROR(""&amp;INDEX(tk_FACE,MATCH(373,tk_ASEQ,0)),"")</f>
        <v/>
      </c>
      <c r="J379" s="162">
        <f>IFERROR(IF(INDEX(tk_DHAND,MATCH(373,tk_ASEQ,0))="",""&amp;INDEX(tk_HAND,MATCH(373,tk_ASEQ,0)),""&amp;INDEX(tk_DHAND,MATCH(373,tk_ASEQ,0))),"")</f>
        <v/>
      </c>
      <c r="K379" s="162">
        <f>IFERROR(""&amp;INDEX(tk_FDESC,MATCH(373,tk_ASEQ,0)),"")</f>
        <v/>
      </c>
      <c r="L379" s="162">
        <f>IFERROR(INDEX(tk_STEEL,MATCH(373,tk_ASEQ,0))&amp;IF(INDEX(tk_FGA,MATCH(373,tk_ASEQ,0))="",""," "&amp;INDEX(tk_FGA,MATCH(373,tk_ASEQ,0))&amp;"GA"),"")</f>
        <v/>
      </c>
      <c r="M379" s="162">
        <f>IFERROR(IFERROR(VLOOKUP(INDEX(tk_JAMB,MATCH(373,tk_ASEQ,0)),CODES,2,FALSE),""&amp;INDEX(tk_JAMB,MATCH(373,tk_ASEQ,0))),"")</f>
        <v/>
      </c>
      <c r="N379" s="162">
        <f>IFERROR(""&amp;INDEX(tk_CONSTR,MATCH(373,tk_ASEQ,0)),"")</f>
        <v/>
      </c>
      <c r="O379" s="162">
        <f>IFERROR(""&amp;INDEX(tk_ANCHOR,MATCH(373,tk_ASEQ,0)),"")</f>
        <v/>
      </c>
      <c r="P379" s="162">
        <f>IFERROR(""&amp;INDEX(tk_RATING,MATCH(373,tk_ASEQ,0)),"")</f>
        <v/>
      </c>
      <c r="Q379" s="162">
        <f>IFERROR(""&amp;INDEX(tk_LABEL,MATCH(373,tk_ASEQ,0)),"")</f>
        <v/>
      </c>
      <c r="R379" s="162">
        <f>IFERROR(""&amp;INDEX(tk_HWSET,MATCH(373,tk_ASEQ,0)),"")</f>
        <v/>
      </c>
      <c r="S379" s="162">
        <f>IFERROR(IF(""&amp;INDEX(tk_HINGES,MATCH(373,tk_ASEQ,0))="","",INDEX(tk_HINGES,MATCH(373,tk_ASEQ,0))&amp;" · "&amp;INDEX(tk_LSRC,MATCH(373,tk_ASEQ,0))),"")</f>
        <v/>
      </c>
      <c r="T379" s="162">
        <f>IFERROR(""&amp;INDEX(tk_LOCK,MATCH(373,tk_ASEQ,0)),"")</f>
        <v/>
      </c>
      <c r="U379" s="162">
        <f>IFERROR(INDEX(tk_ETYPE,MATCH(373,tk_ASEQ,0)),"")</f>
        <v/>
      </c>
      <c r="V379" s="162">
        <f>IFERROR(""&amp;INDEX(tk_CHECK,MATCH(373,tk_ASEQ,0)),"")</f>
        <v/>
      </c>
      <c r="W379" s="162">
        <f>IFERROR(TRIM(INDEX(tk_DNOTES,MATCH(373,tk_ASEQ,0))&amp;" "&amp;INDEX(tk_FNOTES,MATCH(373,tk_ASEQ,0))),"")</f>
        <v/>
      </c>
    </row>
    <row r="380">
      <c r="A380" s="161">
        <f>IFERROR(""&amp;INDEX(tk_MARK,MATCH(374,tk_ASEQ,0)),"")</f>
        <v/>
      </c>
      <c r="B380" s="162">
        <f>IFERROR(""&amp;INDEX(tk_ROOMF,MATCH(374,tk_ASEQ,0)),"")</f>
        <v/>
      </c>
      <c r="C380" s="162">
        <f>IFERROR(""&amp;INDEX(tk_ROOMT,MATCH(374,tk_ASEQ,0)),"")</f>
        <v/>
      </c>
      <c r="D380" s="162">
        <f>IFERROR(INDEX(tk_QTY,MATCH(374,tk_ASEQ,0)),"")</f>
        <v/>
      </c>
      <c r="E380" s="162">
        <f>IFERROR(""&amp;INDEX(tk_SIZE,MATCH(374,tk_ASEQ,0)),"")</f>
        <v/>
      </c>
      <c r="F380" s="162">
        <f>IFERROR(""&amp;INDEX(tk_PAIR,MATCH(374,tk_ASEQ,0)),"")</f>
        <v/>
      </c>
      <c r="G380" s="162">
        <f>IFERROR(""&amp;INDEX(tk_DMAT,MATCH(374,tk_ASEQ,0)),"")</f>
        <v/>
      </c>
      <c r="H380" s="162">
        <f>IFERROR(""&amp;INDEX(tk_DGA,MATCH(374,tk_ASEQ,0)),"")</f>
        <v/>
      </c>
      <c r="I380" s="162">
        <f>IFERROR(""&amp;INDEX(tk_FACE,MATCH(374,tk_ASEQ,0)),"")</f>
        <v/>
      </c>
      <c r="J380" s="162">
        <f>IFERROR(IF(INDEX(tk_DHAND,MATCH(374,tk_ASEQ,0))="",""&amp;INDEX(tk_HAND,MATCH(374,tk_ASEQ,0)),""&amp;INDEX(tk_DHAND,MATCH(374,tk_ASEQ,0))),"")</f>
        <v/>
      </c>
      <c r="K380" s="162">
        <f>IFERROR(""&amp;INDEX(tk_FDESC,MATCH(374,tk_ASEQ,0)),"")</f>
        <v/>
      </c>
      <c r="L380" s="162">
        <f>IFERROR(INDEX(tk_STEEL,MATCH(374,tk_ASEQ,0))&amp;IF(INDEX(tk_FGA,MATCH(374,tk_ASEQ,0))="",""," "&amp;INDEX(tk_FGA,MATCH(374,tk_ASEQ,0))&amp;"GA"),"")</f>
        <v/>
      </c>
      <c r="M380" s="162">
        <f>IFERROR(IFERROR(VLOOKUP(INDEX(tk_JAMB,MATCH(374,tk_ASEQ,0)),CODES,2,FALSE),""&amp;INDEX(tk_JAMB,MATCH(374,tk_ASEQ,0))),"")</f>
        <v/>
      </c>
      <c r="N380" s="162">
        <f>IFERROR(""&amp;INDEX(tk_CONSTR,MATCH(374,tk_ASEQ,0)),"")</f>
        <v/>
      </c>
      <c r="O380" s="162">
        <f>IFERROR(""&amp;INDEX(tk_ANCHOR,MATCH(374,tk_ASEQ,0)),"")</f>
        <v/>
      </c>
      <c r="P380" s="162">
        <f>IFERROR(""&amp;INDEX(tk_RATING,MATCH(374,tk_ASEQ,0)),"")</f>
        <v/>
      </c>
      <c r="Q380" s="162">
        <f>IFERROR(""&amp;INDEX(tk_LABEL,MATCH(374,tk_ASEQ,0)),"")</f>
        <v/>
      </c>
      <c r="R380" s="162">
        <f>IFERROR(""&amp;INDEX(tk_HWSET,MATCH(374,tk_ASEQ,0)),"")</f>
        <v/>
      </c>
      <c r="S380" s="162">
        <f>IFERROR(IF(""&amp;INDEX(tk_HINGES,MATCH(374,tk_ASEQ,0))="","",INDEX(tk_HINGES,MATCH(374,tk_ASEQ,0))&amp;" · "&amp;INDEX(tk_LSRC,MATCH(374,tk_ASEQ,0))),"")</f>
        <v/>
      </c>
      <c r="T380" s="162">
        <f>IFERROR(""&amp;INDEX(tk_LOCK,MATCH(374,tk_ASEQ,0)),"")</f>
        <v/>
      </c>
      <c r="U380" s="162">
        <f>IFERROR(INDEX(tk_ETYPE,MATCH(374,tk_ASEQ,0)),"")</f>
        <v/>
      </c>
      <c r="V380" s="162">
        <f>IFERROR(""&amp;INDEX(tk_CHECK,MATCH(374,tk_ASEQ,0)),"")</f>
        <v/>
      </c>
      <c r="W380" s="162">
        <f>IFERROR(TRIM(INDEX(tk_DNOTES,MATCH(374,tk_ASEQ,0))&amp;" "&amp;INDEX(tk_FNOTES,MATCH(374,tk_ASEQ,0))),"")</f>
        <v/>
      </c>
    </row>
    <row r="381">
      <c r="A381" s="161">
        <f>IFERROR(""&amp;INDEX(tk_MARK,MATCH(375,tk_ASEQ,0)),"")</f>
        <v/>
      </c>
      <c r="B381" s="162">
        <f>IFERROR(""&amp;INDEX(tk_ROOMF,MATCH(375,tk_ASEQ,0)),"")</f>
        <v/>
      </c>
      <c r="C381" s="162">
        <f>IFERROR(""&amp;INDEX(tk_ROOMT,MATCH(375,tk_ASEQ,0)),"")</f>
        <v/>
      </c>
      <c r="D381" s="162">
        <f>IFERROR(INDEX(tk_QTY,MATCH(375,tk_ASEQ,0)),"")</f>
        <v/>
      </c>
      <c r="E381" s="162">
        <f>IFERROR(""&amp;INDEX(tk_SIZE,MATCH(375,tk_ASEQ,0)),"")</f>
        <v/>
      </c>
      <c r="F381" s="162">
        <f>IFERROR(""&amp;INDEX(tk_PAIR,MATCH(375,tk_ASEQ,0)),"")</f>
        <v/>
      </c>
      <c r="G381" s="162">
        <f>IFERROR(""&amp;INDEX(tk_DMAT,MATCH(375,tk_ASEQ,0)),"")</f>
        <v/>
      </c>
      <c r="H381" s="162">
        <f>IFERROR(""&amp;INDEX(tk_DGA,MATCH(375,tk_ASEQ,0)),"")</f>
        <v/>
      </c>
      <c r="I381" s="162">
        <f>IFERROR(""&amp;INDEX(tk_FACE,MATCH(375,tk_ASEQ,0)),"")</f>
        <v/>
      </c>
      <c r="J381" s="162">
        <f>IFERROR(IF(INDEX(tk_DHAND,MATCH(375,tk_ASEQ,0))="",""&amp;INDEX(tk_HAND,MATCH(375,tk_ASEQ,0)),""&amp;INDEX(tk_DHAND,MATCH(375,tk_ASEQ,0))),"")</f>
        <v/>
      </c>
      <c r="K381" s="162">
        <f>IFERROR(""&amp;INDEX(tk_FDESC,MATCH(375,tk_ASEQ,0)),"")</f>
        <v/>
      </c>
      <c r="L381" s="162">
        <f>IFERROR(INDEX(tk_STEEL,MATCH(375,tk_ASEQ,0))&amp;IF(INDEX(tk_FGA,MATCH(375,tk_ASEQ,0))="",""," "&amp;INDEX(tk_FGA,MATCH(375,tk_ASEQ,0))&amp;"GA"),"")</f>
        <v/>
      </c>
      <c r="M381" s="162">
        <f>IFERROR(IFERROR(VLOOKUP(INDEX(tk_JAMB,MATCH(375,tk_ASEQ,0)),CODES,2,FALSE),""&amp;INDEX(tk_JAMB,MATCH(375,tk_ASEQ,0))),"")</f>
        <v/>
      </c>
      <c r="N381" s="162">
        <f>IFERROR(""&amp;INDEX(tk_CONSTR,MATCH(375,tk_ASEQ,0)),"")</f>
        <v/>
      </c>
      <c r="O381" s="162">
        <f>IFERROR(""&amp;INDEX(tk_ANCHOR,MATCH(375,tk_ASEQ,0)),"")</f>
        <v/>
      </c>
      <c r="P381" s="162">
        <f>IFERROR(""&amp;INDEX(tk_RATING,MATCH(375,tk_ASEQ,0)),"")</f>
        <v/>
      </c>
      <c r="Q381" s="162">
        <f>IFERROR(""&amp;INDEX(tk_LABEL,MATCH(375,tk_ASEQ,0)),"")</f>
        <v/>
      </c>
      <c r="R381" s="162">
        <f>IFERROR(""&amp;INDEX(tk_HWSET,MATCH(375,tk_ASEQ,0)),"")</f>
        <v/>
      </c>
      <c r="S381" s="162">
        <f>IFERROR(IF(""&amp;INDEX(tk_HINGES,MATCH(375,tk_ASEQ,0))="","",INDEX(tk_HINGES,MATCH(375,tk_ASEQ,0))&amp;" · "&amp;INDEX(tk_LSRC,MATCH(375,tk_ASEQ,0))),"")</f>
        <v/>
      </c>
      <c r="T381" s="162">
        <f>IFERROR(""&amp;INDEX(tk_LOCK,MATCH(375,tk_ASEQ,0)),"")</f>
        <v/>
      </c>
      <c r="U381" s="162">
        <f>IFERROR(INDEX(tk_ETYPE,MATCH(375,tk_ASEQ,0)),"")</f>
        <v/>
      </c>
      <c r="V381" s="162">
        <f>IFERROR(""&amp;INDEX(tk_CHECK,MATCH(375,tk_ASEQ,0)),"")</f>
        <v/>
      </c>
      <c r="W381" s="162">
        <f>IFERROR(TRIM(INDEX(tk_DNOTES,MATCH(375,tk_ASEQ,0))&amp;" "&amp;INDEX(tk_FNOTES,MATCH(375,tk_ASEQ,0))),"")</f>
        <v/>
      </c>
    </row>
    <row r="382">
      <c r="A382" s="161">
        <f>IFERROR(""&amp;INDEX(tk_MARK,MATCH(376,tk_ASEQ,0)),"")</f>
        <v/>
      </c>
      <c r="B382" s="162">
        <f>IFERROR(""&amp;INDEX(tk_ROOMF,MATCH(376,tk_ASEQ,0)),"")</f>
        <v/>
      </c>
      <c r="C382" s="162">
        <f>IFERROR(""&amp;INDEX(tk_ROOMT,MATCH(376,tk_ASEQ,0)),"")</f>
        <v/>
      </c>
      <c r="D382" s="162">
        <f>IFERROR(INDEX(tk_QTY,MATCH(376,tk_ASEQ,0)),"")</f>
        <v/>
      </c>
      <c r="E382" s="162">
        <f>IFERROR(""&amp;INDEX(tk_SIZE,MATCH(376,tk_ASEQ,0)),"")</f>
        <v/>
      </c>
      <c r="F382" s="162">
        <f>IFERROR(""&amp;INDEX(tk_PAIR,MATCH(376,tk_ASEQ,0)),"")</f>
        <v/>
      </c>
      <c r="G382" s="162">
        <f>IFERROR(""&amp;INDEX(tk_DMAT,MATCH(376,tk_ASEQ,0)),"")</f>
        <v/>
      </c>
      <c r="H382" s="162">
        <f>IFERROR(""&amp;INDEX(tk_DGA,MATCH(376,tk_ASEQ,0)),"")</f>
        <v/>
      </c>
      <c r="I382" s="162">
        <f>IFERROR(""&amp;INDEX(tk_FACE,MATCH(376,tk_ASEQ,0)),"")</f>
        <v/>
      </c>
      <c r="J382" s="162">
        <f>IFERROR(IF(INDEX(tk_DHAND,MATCH(376,tk_ASEQ,0))="",""&amp;INDEX(tk_HAND,MATCH(376,tk_ASEQ,0)),""&amp;INDEX(tk_DHAND,MATCH(376,tk_ASEQ,0))),"")</f>
        <v/>
      </c>
      <c r="K382" s="162">
        <f>IFERROR(""&amp;INDEX(tk_FDESC,MATCH(376,tk_ASEQ,0)),"")</f>
        <v/>
      </c>
      <c r="L382" s="162">
        <f>IFERROR(INDEX(tk_STEEL,MATCH(376,tk_ASEQ,0))&amp;IF(INDEX(tk_FGA,MATCH(376,tk_ASEQ,0))="",""," "&amp;INDEX(tk_FGA,MATCH(376,tk_ASEQ,0))&amp;"GA"),"")</f>
        <v/>
      </c>
      <c r="M382" s="162">
        <f>IFERROR(IFERROR(VLOOKUP(INDEX(tk_JAMB,MATCH(376,tk_ASEQ,0)),CODES,2,FALSE),""&amp;INDEX(tk_JAMB,MATCH(376,tk_ASEQ,0))),"")</f>
        <v/>
      </c>
      <c r="N382" s="162">
        <f>IFERROR(""&amp;INDEX(tk_CONSTR,MATCH(376,tk_ASEQ,0)),"")</f>
        <v/>
      </c>
      <c r="O382" s="162">
        <f>IFERROR(""&amp;INDEX(tk_ANCHOR,MATCH(376,tk_ASEQ,0)),"")</f>
        <v/>
      </c>
      <c r="P382" s="162">
        <f>IFERROR(""&amp;INDEX(tk_RATING,MATCH(376,tk_ASEQ,0)),"")</f>
        <v/>
      </c>
      <c r="Q382" s="162">
        <f>IFERROR(""&amp;INDEX(tk_LABEL,MATCH(376,tk_ASEQ,0)),"")</f>
        <v/>
      </c>
      <c r="R382" s="162">
        <f>IFERROR(""&amp;INDEX(tk_HWSET,MATCH(376,tk_ASEQ,0)),"")</f>
        <v/>
      </c>
      <c r="S382" s="162">
        <f>IFERROR(IF(""&amp;INDEX(tk_HINGES,MATCH(376,tk_ASEQ,0))="","",INDEX(tk_HINGES,MATCH(376,tk_ASEQ,0))&amp;" · "&amp;INDEX(tk_LSRC,MATCH(376,tk_ASEQ,0))),"")</f>
        <v/>
      </c>
      <c r="T382" s="162">
        <f>IFERROR(""&amp;INDEX(tk_LOCK,MATCH(376,tk_ASEQ,0)),"")</f>
        <v/>
      </c>
      <c r="U382" s="162">
        <f>IFERROR(INDEX(tk_ETYPE,MATCH(376,tk_ASEQ,0)),"")</f>
        <v/>
      </c>
      <c r="V382" s="162">
        <f>IFERROR(""&amp;INDEX(tk_CHECK,MATCH(376,tk_ASEQ,0)),"")</f>
        <v/>
      </c>
      <c r="W382" s="162">
        <f>IFERROR(TRIM(INDEX(tk_DNOTES,MATCH(376,tk_ASEQ,0))&amp;" "&amp;INDEX(tk_FNOTES,MATCH(376,tk_ASEQ,0))),"")</f>
        <v/>
      </c>
    </row>
    <row r="383">
      <c r="A383" s="161">
        <f>IFERROR(""&amp;INDEX(tk_MARK,MATCH(377,tk_ASEQ,0)),"")</f>
        <v/>
      </c>
      <c r="B383" s="162">
        <f>IFERROR(""&amp;INDEX(tk_ROOMF,MATCH(377,tk_ASEQ,0)),"")</f>
        <v/>
      </c>
      <c r="C383" s="162">
        <f>IFERROR(""&amp;INDEX(tk_ROOMT,MATCH(377,tk_ASEQ,0)),"")</f>
        <v/>
      </c>
      <c r="D383" s="162">
        <f>IFERROR(INDEX(tk_QTY,MATCH(377,tk_ASEQ,0)),"")</f>
        <v/>
      </c>
      <c r="E383" s="162">
        <f>IFERROR(""&amp;INDEX(tk_SIZE,MATCH(377,tk_ASEQ,0)),"")</f>
        <v/>
      </c>
      <c r="F383" s="162">
        <f>IFERROR(""&amp;INDEX(tk_PAIR,MATCH(377,tk_ASEQ,0)),"")</f>
        <v/>
      </c>
      <c r="G383" s="162">
        <f>IFERROR(""&amp;INDEX(tk_DMAT,MATCH(377,tk_ASEQ,0)),"")</f>
        <v/>
      </c>
      <c r="H383" s="162">
        <f>IFERROR(""&amp;INDEX(tk_DGA,MATCH(377,tk_ASEQ,0)),"")</f>
        <v/>
      </c>
      <c r="I383" s="162">
        <f>IFERROR(""&amp;INDEX(tk_FACE,MATCH(377,tk_ASEQ,0)),"")</f>
        <v/>
      </c>
      <c r="J383" s="162">
        <f>IFERROR(IF(INDEX(tk_DHAND,MATCH(377,tk_ASEQ,0))="",""&amp;INDEX(tk_HAND,MATCH(377,tk_ASEQ,0)),""&amp;INDEX(tk_DHAND,MATCH(377,tk_ASEQ,0))),"")</f>
        <v/>
      </c>
      <c r="K383" s="162">
        <f>IFERROR(""&amp;INDEX(tk_FDESC,MATCH(377,tk_ASEQ,0)),"")</f>
        <v/>
      </c>
      <c r="L383" s="162">
        <f>IFERROR(INDEX(tk_STEEL,MATCH(377,tk_ASEQ,0))&amp;IF(INDEX(tk_FGA,MATCH(377,tk_ASEQ,0))="",""," "&amp;INDEX(tk_FGA,MATCH(377,tk_ASEQ,0))&amp;"GA"),"")</f>
        <v/>
      </c>
      <c r="M383" s="162">
        <f>IFERROR(IFERROR(VLOOKUP(INDEX(tk_JAMB,MATCH(377,tk_ASEQ,0)),CODES,2,FALSE),""&amp;INDEX(tk_JAMB,MATCH(377,tk_ASEQ,0))),"")</f>
        <v/>
      </c>
      <c r="N383" s="162">
        <f>IFERROR(""&amp;INDEX(tk_CONSTR,MATCH(377,tk_ASEQ,0)),"")</f>
        <v/>
      </c>
      <c r="O383" s="162">
        <f>IFERROR(""&amp;INDEX(tk_ANCHOR,MATCH(377,tk_ASEQ,0)),"")</f>
        <v/>
      </c>
      <c r="P383" s="162">
        <f>IFERROR(""&amp;INDEX(tk_RATING,MATCH(377,tk_ASEQ,0)),"")</f>
        <v/>
      </c>
      <c r="Q383" s="162">
        <f>IFERROR(""&amp;INDEX(tk_LABEL,MATCH(377,tk_ASEQ,0)),"")</f>
        <v/>
      </c>
      <c r="R383" s="162">
        <f>IFERROR(""&amp;INDEX(tk_HWSET,MATCH(377,tk_ASEQ,0)),"")</f>
        <v/>
      </c>
      <c r="S383" s="162">
        <f>IFERROR(IF(""&amp;INDEX(tk_HINGES,MATCH(377,tk_ASEQ,0))="","",INDEX(tk_HINGES,MATCH(377,tk_ASEQ,0))&amp;" · "&amp;INDEX(tk_LSRC,MATCH(377,tk_ASEQ,0))),"")</f>
        <v/>
      </c>
      <c r="T383" s="162">
        <f>IFERROR(""&amp;INDEX(tk_LOCK,MATCH(377,tk_ASEQ,0)),"")</f>
        <v/>
      </c>
      <c r="U383" s="162">
        <f>IFERROR(INDEX(tk_ETYPE,MATCH(377,tk_ASEQ,0)),"")</f>
        <v/>
      </c>
      <c r="V383" s="162">
        <f>IFERROR(""&amp;INDEX(tk_CHECK,MATCH(377,tk_ASEQ,0)),"")</f>
        <v/>
      </c>
      <c r="W383" s="162">
        <f>IFERROR(TRIM(INDEX(tk_DNOTES,MATCH(377,tk_ASEQ,0))&amp;" "&amp;INDEX(tk_FNOTES,MATCH(377,tk_ASEQ,0))),"")</f>
        <v/>
      </c>
    </row>
    <row r="384">
      <c r="A384" s="161">
        <f>IFERROR(""&amp;INDEX(tk_MARK,MATCH(378,tk_ASEQ,0)),"")</f>
        <v/>
      </c>
      <c r="B384" s="162">
        <f>IFERROR(""&amp;INDEX(tk_ROOMF,MATCH(378,tk_ASEQ,0)),"")</f>
        <v/>
      </c>
      <c r="C384" s="162">
        <f>IFERROR(""&amp;INDEX(tk_ROOMT,MATCH(378,tk_ASEQ,0)),"")</f>
        <v/>
      </c>
      <c r="D384" s="162">
        <f>IFERROR(INDEX(tk_QTY,MATCH(378,tk_ASEQ,0)),"")</f>
        <v/>
      </c>
      <c r="E384" s="162">
        <f>IFERROR(""&amp;INDEX(tk_SIZE,MATCH(378,tk_ASEQ,0)),"")</f>
        <v/>
      </c>
      <c r="F384" s="162">
        <f>IFERROR(""&amp;INDEX(tk_PAIR,MATCH(378,tk_ASEQ,0)),"")</f>
        <v/>
      </c>
      <c r="G384" s="162">
        <f>IFERROR(""&amp;INDEX(tk_DMAT,MATCH(378,tk_ASEQ,0)),"")</f>
        <v/>
      </c>
      <c r="H384" s="162">
        <f>IFERROR(""&amp;INDEX(tk_DGA,MATCH(378,tk_ASEQ,0)),"")</f>
        <v/>
      </c>
      <c r="I384" s="162">
        <f>IFERROR(""&amp;INDEX(tk_FACE,MATCH(378,tk_ASEQ,0)),"")</f>
        <v/>
      </c>
      <c r="J384" s="162">
        <f>IFERROR(IF(INDEX(tk_DHAND,MATCH(378,tk_ASEQ,0))="",""&amp;INDEX(tk_HAND,MATCH(378,tk_ASEQ,0)),""&amp;INDEX(tk_DHAND,MATCH(378,tk_ASEQ,0))),"")</f>
        <v/>
      </c>
      <c r="K384" s="162">
        <f>IFERROR(""&amp;INDEX(tk_FDESC,MATCH(378,tk_ASEQ,0)),"")</f>
        <v/>
      </c>
      <c r="L384" s="162">
        <f>IFERROR(INDEX(tk_STEEL,MATCH(378,tk_ASEQ,0))&amp;IF(INDEX(tk_FGA,MATCH(378,tk_ASEQ,0))="",""," "&amp;INDEX(tk_FGA,MATCH(378,tk_ASEQ,0))&amp;"GA"),"")</f>
        <v/>
      </c>
      <c r="M384" s="162">
        <f>IFERROR(IFERROR(VLOOKUP(INDEX(tk_JAMB,MATCH(378,tk_ASEQ,0)),CODES,2,FALSE),""&amp;INDEX(tk_JAMB,MATCH(378,tk_ASEQ,0))),"")</f>
        <v/>
      </c>
      <c r="N384" s="162">
        <f>IFERROR(""&amp;INDEX(tk_CONSTR,MATCH(378,tk_ASEQ,0)),"")</f>
        <v/>
      </c>
      <c r="O384" s="162">
        <f>IFERROR(""&amp;INDEX(tk_ANCHOR,MATCH(378,tk_ASEQ,0)),"")</f>
        <v/>
      </c>
      <c r="P384" s="162">
        <f>IFERROR(""&amp;INDEX(tk_RATING,MATCH(378,tk_ASEQ,0)),"")</f>
        <v/>
      </c>
      <c r="Q384" s="162">
        <f>IFERROR(""&amp;INDEX(tk_LABEL,MATCH(378,tk_ASEQ,0)),"")</f>
        <v/>
      </c>
      <c r="R384" s="162">
        <f>IFERROR(""&amp;INDEX(tk_HWSET,MATCH(378,tk_ASEQ,0)),"")</f>
        <v/>
      </c>
      <c r="S384" s="162">
        <f>IFERROR(IF(""&amp;INDEX(tk_HINGES,MATCH(378,tk_ASEQ,0))="","",INDEX(tk_HINGES,MATCH(378,tk_ASEQ,0))&amp;" · "&amp;INDEX(tk_LSRC,MATCH(378,tk_ASEQ,0))),"")</f>
        <v/>
      </c>
      <c r="T384" s="162">
        <f>IFERROR(""&amp;INDEX(tk_LOCK,MATCH(378,tk_ASEQ,0)),"")</f>
        <v/>
      </c>
      <c r="U384" s="162">
        <f>IFERROR(INDEX(tk_ETYPE,MATCH(378,tk_ASEQ,0)),"")</f>
        <v/>
      </c>
      <c r="V384" s="162">
        <f>IFERROR(""&amp;INDEX(tk_CHECK,MATCH(378,tk_ASEQ,0)),"")</f>
        <v/>
      </c>
      <c r="W384" s="162">
        <f>IFERROR(TRIM(INDEX(tk_DNOTES,MATCH(378,tk_ASEQ,0))&amp;" "&amp;INDEX(tk_FNOTES,MATCH(378,tk_ASEQ,0))),"")</f>
        <v/>
      </c>
    </row>
    <row r="385">
      <c r="A385" s="161">
        <f>IFERROR(""&amp;INDEX(tk_MARK,MATCH(379,tk_ASEQ,0)),"")</f>
        <v/>
      </c>
      <c r="B385" s="162">
        <f>IFERROR(""&amp;INDEX(tk_ROOMF,MATCH(379,tk_ASEQ,0)),"")</f>
        <v/>
      </c>
      <c r="C385" s="162">
        <f>IFERROR(""&amp;INDEX(tk_ROOMT,MATCH(379,tk_ASEQ,0)),"")</f>
        <v/>
      </c>
      <c r="D385" s="162">
        <f>IFERROR(INDEX(tk_QTY,MATCH(379,tk_ASEQ,0)),"")</f>
        <v/>
      </c>
      <c r="E385" s="162">
        <f>IFERROR(""&amp;INDEX(tk_SIZE,MATCH(379,tk_ASEQ,0)),"")</f>
        <v/>
      </c>
      <c r="F385" s="162">
        <f>IFERROR(""&amp;INDEX(tk_PAIR,MATCH(379,tk_ASEQ,0)),"")</f>
        <v/>
      </c>
      <c r="G385" s="162">
        <f>IFERROR(""&amp;INDEX(tk_DMAT,MATCH(379,tk_ASEQ,0)),"")</f>
        <v/>
      </c>
      <c r="H385" s="162">
        <f>IFERROR(""&amp;INDEX(tk_DGA,MATCH(379,tk_ASEQ,0)),"")</f>
        <v/>
      </c>
      <c r="I385" s="162">
        <f>IFERROR(""&amp;INDEX(tk_FACE,MATCH(379,tk_ASEQ,0)),"")</f>
        <v/>
      </c>
      <c r="J385" s="162">
        <f>IFERROR(IF(INDEX(tk_DHAND,MATCH(379,tk_ASEQ,0))="",""&amp;INDEX(tk_HAND,MATCH(379,tk_ASEQ,0)),""&amp;INDEX(tk_DHAND,MATCH(379,tk_ASEQ,0))),"")</f>
        <v/>
      </c>
      <c r="K385" s="162">
        <f>IFERROR(""&amp;INDEX(tk_FDESC,MATCH(379,tk_ASEQ,0)),"")</f>
        <v/>
      </c>
      <c r="L385" s="162">
        <f>IFERROR(INDEX(tk_STEEL,MATCH(379,tk_ASEQ,0))&amp;IF(INDEX(tk_FGA,MATCH(379,tk_ASEQ,0))="",""," "&amp;INDEX(tk_FGA,MATCH(379,tk_ASEQ,0))&amp;"GA"),"")</f>
        <v/>
      </c>
      <c r="M385" s="162">
        <f>IFERROR(IFERROR(VLOOKUP(INDEX(tk_JAMB,MATCH(379,tk_ASEQ,0)),CODES,2,FALSE),""&amp;INDEX(tk_JAMB,MATCH(379,tk_ASEQ,0))),"")</f>
        <v/>
      </c>
      <c r="N385" s="162">
        <f>IFERROR(""&amp;INDEX(tk_CONSTR,MATCH(379,tk_ASEQ,0)),"")</f>
        <v/>
      </c>
      <c r="O385" s="162">
        <f>IFERROR(""&amp;INDEX(tk_ANCHOR,MATCH(379,tk_ASEQ,0)),"")</f>
        <v/>
      </c>
      <c r="P385" s="162">
        <f>IFERROR(""&amp;INDEX(tk_RATING,MATCH(379,tk_ASEQ,0)),"")</f>
        <v/>
      </c>
      <c r="Q385" s="162">
        <f>IFERROR(""&amp;INDEX(tk_LABEL,MATCH(379,tk_ASEQ,0)),"")</f>
        <v/>
      </c>
      <c r="R385" s="162">
        <f>IFERROR(""&amp;INDEX(tk_HWSET,MATCH(379,tk_ASEQ,0)),"")</f>
        <v/>
      </c>
      <c r="S385" s="162">
        <f>IFERROR(IF(""&amp;INDEX(tk_HINGES,MATCH(379,tk_ASEQ,0))="","",INDEX(tk_HINGES,MATCH(379,tk_ASEQ,0))&amp;" · "&amp;INDEX(tk_LSRC,MATCH(379,tk_ASEQ,0))),"")</f>
        <v/>
      </c>
      <c r="T385" s="162">
        <f>IFERROR(""&amp;INDEX(tk_LOCK,MATCH(379,tk_ASEQ,0)),"")</f>
        <v/>
      </c>
      <c r="U385" s="162">
        <f>IFERROR(INDEX(tk_ETYPE,MATCH(379,tk_ASEQ,0)),"")</f>
        <v/>
      </c>
      <c r="V385" s="162">
        <f>IFERROR(""&amp;INDEX(tk_CHECK,MATCH(379,tk_ASEQ,0)),"")</f>
        <v/>
      </c>
      <c r="W385" s="162">
        <f>IFERROR(TRIM(INDEX(tk_DNOTES,MATCH(379,tk_ASEQ,0))&amp;" "&amp;INDEX(tk_FNOTES,MATCH(379,tk_ASEQ,0))),"")</f>
        <v/>
      </c>
    </row>
    <row r="386">
      <c r="A386" s="161">
        <f>IFERROR(""&amp;INDEX(tk_MARK,MATCH(380,tk_ASEQ,0)),"")</f>
        <v/>
      </c>
      <c r="B386" s="162">
        <f>IFERROR(""&amp;INDEX(tk_ROOMF,MATCH(380,tk_ASEQ,0)),"")</f>
        <v/>
      </c>
      <c r="C386" s="162">
        <f>IFERROR(""&amp;INDEX(tk_ROOMT,MATCH(380,tk_ASEQ,0)),"")</f>
        <v/>
      </c>
      <c r="D386" s="162">
        <f>IFERROR(INDEX(tk_QTY,MATCH(380,tk_ASEQ,0)),"")</f>
        <v/>
      </c>
      <c r="E386" s="162">
        <f>IFERROR(""&amp;INDEX(tk_SIZE,MATCH(380,tk_ASEQ,0)),"")</f>
        <v/>
      </c>
      <c r="F386" s="162">
        <f>IFERROR(""&amp;INDEX(tk_PAIR,MATCH(380,tk_ASEQ,0)),"")</f>
        <v/>
      </c>
      <c r="G386" s="162">
        <f>IFERROR(""&amp;INDEX(tk_DMAT,MATCH(380,tk_ASEQ,0)),"")</f>
        <v/>
      </c>
      <c r="H386" s="162">
        <f>IFERROR(""&amp;INDEX(tk_DGA,MATCH(380,tk_ASEQ,0)),"")</f>
        <v/>
      </c>
      <c r="I386" s="162">
        <f>IFERROR(""&amp;INDEX(tk_FACE,MATCH(380,tk_ASEQ,0)),"")</f>
        <v/>
      </c>
      <c r="J386" s="162">
        <f>IFERROR(IF(INDEX(tk_DHAND,MATCH(380,tk_ASEQ,0))="",""&amp;INDEX(tk_HAND,MATCH(380,tk_ASEQ,0)),""&amp;INDEX(tk_DHAND,MATCH(380,tk_ASEQ,0))),"")</f>
        <v/>
      </c>
      <c r="K386" s="162">
        <f>IFERROR(""&amp;INDEX(tk_FDESC,MATCH(380,tk_ASEQ,0)),"")</f>
        <v/>
      </c>
      <c r="L386" s="162">
        <f>IFERROR(INDEX(tk_STEEL,MATCH(380,tk_ASEQ,0))&amp;IF(INDEX(tk_FGA,MATCH(380,tk_ASEQ,0))="",""," "&amp;INDEX(tk_FGA,MATCH(380,tk_ASEQ,0))&amp;"GA"),"")</f>
        <v/>
      </c>
      <c r="M386" s="162">
        <f>IFERROR(IFERROR(VLOOKUP(INDEX(tk_JAMB,MATCH(380,tk_ASEQ,0)),CODES,2,FALSE),""&amp;INDEX(tk_JAMB,MATCH(380,tk_ASEQ,0))),"")</f>
        <v/>
      </c>
      <c r="N386" s="162">
        <f>IFERROR(""&amp;INDEX(tk_CONSTR,MATCH(380,tk_ASEQ,0)),"")</f>
        <v/>
      </c>
      <c r="O386" s="162">
        <f>IFERROR(""&amp;INDEX(tk_ANCHOR,MATCH(380,tk_ASEQ,0)),"")</f>
        <v/>
      </c>
      <c r="P386" s="162">
        <f>IFERROR(""&amp;INDEX(tk_RATING,MATCH(380,tk_ASEQ,0)),"")</f>
        <v/>
      </c>
      <c r="Q386" s="162">
        <f>IFERROR(""&amp;INDEX(tk_LABEL,MATCH(380,tk_ASEQ,0)),"")</f>
        <v/>
      </c>
      <c r="R386" s="162">
        <f>IFERROR(""&amp;INDEX(tk_HWSET,MATCH(380,tk_ASEQ,0)),"")</f>
        <v/>
      </c>
      <c r="S386" s="162">
        <f>IFERROR(IF(""&amp;INDEX(tk_HINGES,MATCH(380,tk_ASEQ,0))="","",INDEX(tk_HINGES,MATCH(380,tk_ASEQ,0))&amp;" · "&amp;INDEX(tk_LSRC,MATCH(380,tk_ASEQ,0))),"")</f>
        <v/>
      </c>
      <c r="T386" s="162">
        <f>IFERROR(""&amp;INDEX(tk_LOCK,MATCH(380,tk_ASEQ,0)),"")</f>
        <v/>
      </c>
      <c r="U386" s="162">
        <f>IFERROR(INDEX(tk_ETYPE,MATCH(380,tk_ASEQ,0)),"")</f>
        <v/>
      </c>
      <c r="V386" s="162">
        <f>IFERROR(""&amp;INDEX(tk_CHECK,MATCH(380,tk_ASEQ,0)),"")</f>
        <v/>
      </c>
      <c r="W386" s="162">
        <f>IFERROR(TRIM(INDEX(tk_DNOTES,MATCH(380,tk_ASEQ,0))&amp;" "&amp;INDEX(tk_FNOTES,MATCH(380,tk_ASEQ,0))),"")</f>
        <v/>
      </c>
    </row>
    <row r="387">
      <c r="A387" s="161">
        <f>IFERROR(""&amp;INDEX(tk_MARK,MATCH(381,tk_ASEQ,0)),"")</f>
        <v/>
      </c>
      <c r="B387" s="162">
        <f>IFERROR(""&amp;INDEX(tk_ROOMF,MATCH(381,tk_ASEQ,0)),"")</f>
        <v/>
      </c>
      <c r="C387" s="162">
        <f>IFERROR(""&amp;INDEX(tk_ROOMT,MATCH(381,tk_ASEQ,0)),"")</f>
        <v/>
      </c>
      <c r="D387" s="162">
        <f>IFERROR(INDEX(tk_QTY,MATCH(381,tk_ASEQ,0)),"")</f>
        <v/>
      </c>
      <c r="E387" s="162">
        <f>IFERROR(""&amp;INDEX(tk_SIZE,MATCH(381,tk_ASEQ,0)),"")</f>
        <v/>
      </c>
      <c r="F387" s="162">
        <f>IFERROR(""&amp;INDEX(tk_PAIR,MATCH(381,tk_ASEQ,0)),"")</f>
        <v/>
      </c>
      <c r="G387" s="162">
        <f>IFERROR(""&amp;INDEX(tk_DMAT,MATCH(381,tk_ASEQ,0)),"")</f>
        <v/>
      </c>
      <c r="H387" s="162">
        <f>IFERROR(""&amp;INDEX(tk_DGA,MATCH(381,tk_ASEQ,0)),"")</f>
        <v/>
      </c>
      <c r="I387" s="162">
        <f>IFERROR(""&amp;INDEX(tk_FACE,MATCH(381,tk_ASEQ,0)),"")</f>
        <v/>
      </c>
      <c r="J387" s="162">
        <f>IFERROR(IF(INDEX(tk_DHAND,MATCH(381,tk_ASEQ,0))="",""&amp;INDEX(tk_HAND,MATCH(381,tk_ASEQ,0)),""&amp;INDEX(tk_DHAND,MATCH(381,tk_ASEQ,0))),"")</f>
        <v/>
      </c>
      <c r="K387" s="162">
        <f>IFERROR(""&amp;INDEX(tk_FDESC,MATCH(381,tk_ASEQ,0)),"")</f>
        <v/>
      </c>
      <c r="L387" s="162">
        <f>IFERROR(INDEX(tk_STEEL,MATCH(381,tk_ASEQ,0))&amp;IF(INDEX(tk_FGA,MATCH(381,tk_ASEQ,0))="",""," "&amp;INDEX(tk_FGA,MATCH(381,tk_ASEQ,0))&amp;"GA"),"")</f>
        <v/>
      </c>
      <c r="M387" s="162">
        <f>IFERROR(IFERROR(VLOOKUP(INDEX(tk_JAMB,MATCH(381,tk_ASEQ,0)),CODES,2,FALSE),""&amp;INDEX(tk_JAMB,MATCH(381,tk_ASEQ,0))),"")</f>
        <v/>
      </c>
      <c r="N387" s="162">
        <f>IFERROR(""&amp;INDEX(tk_CONSTR,MATCH(381,tk_ASEQ,0)),"")</f>
        <v/>
      </c>
      <c r="O387" s="162">
        <f>IFERROR(""&amp;INDEX(tk_ANCHOR,MATCH(381,tk_ASEQ,0)),"")</f>
        <v/>
      </c>
      <c r="P387" s="162">
        <f>IFERROR(""&amp;INDEX(tk_RATING,MATCH(381,tk_ASEQ,0)),"")</f>
        <v/>
      </c>
      <c r="Q387" s="162">
        <f>IFERROR(""&amp;INDEX(tk_LABEL,MATCH(381,tk_ASEQ,0)),"")</f>
        <v/>
      </c>
      <c r="R387" s="162">
        <f>IFERROR(""&amp;INDEX(tk_HWSET,MATCH(381,tk_ASEQ,0)),"")</f>
        <v/>
      </c>
      <c r="S387" s="162">
        <f>IFERROR(IF(""&amp;INDEX(tk_HINGES,MATCH(381,tk_ASEQ,0))="","",INDEX(tk_HINGES,MATCH(381,tk_ASEQ,0))&amp;" · "&amp;INDEX(tk_LSRC,MATCH(381,tk_ASEQ,0))),"")</f>
        <v/>
      </c>
      <c r="T387" s="162">
        <f>IFERROR(""&amp;INDEX(tk_LOCK,MATCH(381,tk_ASEQ,0)),"")</f>
        <v/>
      </c>
      <c r="U387" s="162">
        <f>IFERROR(INDEX(tk_ETYPE,MATCH(381,tk_ASEQ,0)),"")</f>
        <v/>
      </c>
      <c r="V387" s="162">
        <f>IFERROR(""&amp;INDEX(tk_CHECK,MATCH(381,tk_ASEQ,0)),"")</f>
        <v/>
      </c>
      <c r="W387" s="162">
        <f>IFERROR(TRIM(INDEX(tk_DNOTES,MATCH(381,tk_ASEQ,0))&amp;" "&amp;INDEX(tk_FNOTES,MATCH(381,tk_ASEQ,0))),"")</f>
        <v/>
      </c>
    </row>
    <row r="388">
      <c r="A388" s="161">
        <f>IFERROR(""&amp;INDEX(tk_MARK,MATCH(382,tk_ASEQ,0)),"")</f>
        <v/>
      </c>
      <c r="B388" s="162">
        <f>IFERROR(""&amp;INDEX(tk_ROOMF,MATCH(382,tk_ASEQ,0)),"")</f>
        <v/>
      </c>
      <c r="C388" s="162">
        <f>IFERROR(""&amp;INDEX(tk_ROOMT,MATCH(382,tk_ASEQ,0)),"")</f>
        <v/>
      </c>
      <c r="D388" s="162">
        <f>IFERROR(INDEX(tk_QTY,MATCH(382,tk_ASEQ,0)),"")</f>
        <v/>
      </c>
      <c r="E388" s="162">
        <f>IFERROR(""&amp;INDEX(tk_SIZE,MATCH(382,tk_ASEQ,0)),"")</f>
        <v/>
      </c>
      <c r="F388" s="162">
        <f>IFERROR(""&amp;INDEX(tk_PAIR,MATCH(382,tk_ASEQ,0)),"")</f>
        <v/>
      </c>
      <c r="G388" s="162">
        <f>IFERROR(""&amp;INDEX(tk_DMAT,MATCH(382,tk_ASEQ,0)),"")</f>
        <v/>
      </c>
      <c r="H388" s="162">
        <f>IFERROR(""&amp;INDEX(tk_DGA,MATCH(382,tk_ASEQ,0)),"")</f>
        <v/>
      </c>
      <c r="I388" s="162">
        <f>IFERROR(""&amp;INDEX(tk_FACE,MATCH(382,tk_ASEQ,0)),"")</f>
        <v/>
      </c>
      <c r="J388" s="162">
        <f>IFERROR(IF(INDEX(tk_DHAND,MATCH(382,tk_ASEQ,0))="",""&amp;INDEX(tk_HAND,MATCH(382,tk_ASEQ,0)),""&amp;INDEX(tk_DHAND,MATCH(382,tk_ASEQ,0))),"")</f>
        <v/>
      </c>
      <c r="K388" s="162">
        <f>IFERROR(""&amp;INDEX(tk_FDESC,MATCH(382,tk_ASEQ,0)),"")</f>
        <v/>
      </c>
      <c r="L388" s="162">
        <f>IFERROR(INDEX(tk_STEEL,MATCH(382,tk_ASEQ,0))&amp;IF(INDEX(tk_FGA,MATCH(382,tk_ASEQ,0))="",""," "&amp;INDEX(tk_FGA,MATCH(382,tk_ASEQ,0))&amp;"GA"),"")</f>
        <v/>
      </c>
      <c r="M388" s="162">
        <f>IFERROR(IFERROR(VLOOKUP(INDEX(tk_JAMB,MATCH(382,tk_ASEQ,0)),CODES,2,FALSE),""&amp;INDEX(tk_JAMB,MATCH(382,tk_ASEQ,0))),"")</f>
        <v/>
      </c>
      <c r="N388" s="162">
        <f>IFERROR(""&amp;INDEX(tk_CONSTR,MATCH(382,tk_ASEQ,0)),"")</f>
        <v/>
      </c>
      <c r="O388" s="162">
        <f>IFERROR(""&amp;INDEX(tk_ANCHOR,MATCH(382,tk_ASEQ,0)),"")</f>
        <v/>
      </c>
      <c r="P388" s="162">
        <f>IFERROR(""&amp;INDEX(tk_RATING,MATCH(382,tk_ASEQ,0)),"")</f>
        <v/>
      </c>
      <c r="Q388" s="162">
        <f>IFERROR(""&amp;INDEX(tk_LABEL,MATCH(382,tk_ASEQ,0)),"")</f>
        <v/>
      </c>
      <c r="R388" s="162">
        <f>IFERROR(""&amp;INDEX(tk_HWSET,MATCH(382,tk_ASEQ,0)),"")</f>
        <v/>
      </c>
      <c r="S388" s="162">
        <f>IFERROR(IF(""&amp;INDEX(tk_HINGES,MATCH(382,tk_ASEQ,0))="","",INDEX(tk_HINGES,MATCH(382,tk_ASEQ,0))&amp;" · "&amp;INDEX(tk_LSRC,MATCH(382,tk_ASEQ,0))),"")</f>
        <v/>
      </c>
      <c r="T388" s="162">
        <f>IFERROR(""&amp;INDEX(tk_LOCK,MATCH(382,tk_ASEQ,0)),"")</f>
        <v/>
      </c>
      <c r="U388" s="162">
        <f>IFERROR(INDEX(tk_ETYPE,MATCH(382,tk_ASEQ,0)),"")</f>
        <v/>
      </c>
      <c r="V388" s="162">
        <f>IFERROR(""&amp;INDEX(tk_CHECK,MATCH(382,tk_ASEQ,0)),"")</f>
        <v/>
      </c>
      <c r="W388" s="162">
        <f>IFERROR(TRIM(INDEX(tk_DNOTES,MATCH(382,tk_ASEQ,0))&amp;" "&amp;INDEX(tk_FNOTES,MATCH(382,tk_ASEQ,0))),"")</f>
        <v/>
      </c>
    </row>
    <row r="389">
      <c r="A389" s="161">
        <f>IFERROR(""&amp;INDEX(tk_MARK,MATCH(383,tk_ASEQ,0)),"")</f>
        <v/>
      </c>
      <c r="B389" s="162">
        <f>IFERROR(""&amp;INDEX(tk_ROOMF,MATCH(383,tk_ASEQ,0)),"")</f>
        <v/>
      </c>
      <c r="C389" s="162">
        <f>IFERROR(""&amp;INDEX(tk_ROOMT,MATCH(383,tk_ASEQ,0)),"")</f>
        <v/>
      </c>
      <c r="D389" s="162">
        <f>IFERROR(INDEX(tk_QTY,MATCH(383,tk_ASEQ,0)),"")</f>
        <v/>
      </c>
      <c r="E389" s="162">
        <f>IFERROR(""&amp;INDEX(tk_SIZE,MATCH(383,tk_ASEQ,0)),"")</f>
        <v/>
      </c>
      <c r="F389" s="162">
        <f>IFERROR(""&amp;INDEX(tk_PAIR,MATCH(383,tk_ASEQ,0)),"")</f>
        <v/>
      </c>
      <c r="G389" s="162">
        <f>IFERROR(""&amp;INDEX(tk_DMAT,MATCH(383,tk_ASEQ,0)),"")</f>
        <v/>
      </c>
      <c r="H389" s="162">
        <f>IFERROR(""&amp;INDEX(tk_DGA,MATCH(383,tk_ASEQ,0)),"")</f>
        <v/>
      </c>
      <c r="I389" s="162">
        <f>IFERROR(""&amp;INDEX(tk_FACE,MATCH(383,tk_ASEQ,0)),"")</f>
        <v/>
      </c>
      <c r="J389" s="162">
        <f>IFERROR(IF(INDEX(tk_DHAND,MATCH(383,tk_ASEQ,0))="",""&amp;INDEX(tk_HAND,MATCH(383,tk_ASEQ,0)),""&amp;INDEX(tk_DHAND,MATCH(383,tk_ASEQ,0))),"")</f>
        <v/>
      </c>
      <c r="K389" s="162">
        <f>IFERROR(""&amp;INDEX(tk_FDESC,MATCH(383,tk_ASEQ,0)),"")</f>
        <v/>
      </c>
      <c r="L389" s="162">
        <f>IFERROR(INDEX(tk_STEEL,MATCH(383,tk_ASEQ,0))&amp;IF(INDEX(tk_FGA,MATCH(383,tk_ASEQ,0))="",""," "&amp;INDEX(tk_FGA,MATCH(383,tk_ASEQ,0))&amp;"GA"),"")</f>
        <v/>
      </c>
      <c r="M389" s="162">
        <f>IFERROR(IFERROR(VLOOKUP(INDEX(tk_JAMB,MATCH(383,tk_ASEQ,0)),CODES,2,FALSE),""&amp;INDEX(tk_JAMB,MATCH(383,tk_ASEQ,0))),"")</f>
        <v/>
      </c>
      <c r="N389" s="162">
        <f>IFERROR(""&amp;INDEX(tk_CONSTR,MATCH(383,tk_ASEQ,0)),"")</f>
        <v/>
      </c>
      <c r="O389" s="162">
        <f>IFERROR(""&amp;INDEX(tk_ANCHOR,MATCH(383,tk_ASEQ,0)),"")</f>
        <v/>
      </c>
      <c r="P389" s="162">
        <f>IFERROR(""&amp;INDEX(tk_RATING,MATCH(383,tk_ASEQ,0)),"")</f>
        <v/>
      </c>
      <c r="Q389" s="162">
        <f>IFERROR(""&amp;INDEX(tk_LABEL,MATCH(383,tk_ASEQ,0)),"")</f>
        <v/>
      </c>
      <c r="R389" s="162">
        <f>IFERROR(""&amp;INDEX(tk_HWSET,MATCH(383,tk_ASEQ,0)),"")</f>
        <v/>
      </c>
      <c r="S389" s="162">
        <f>IFERROR(IF(""&amp;INDEX(tk_HINGES,MATCH(383,tk_ASEQ,0))="","",INDEX(tk_HINGES,MATCH(383,tk_ASEQ,0))&amp;" · "&amp;INDEX(tk_LSRC,MATCH(383,tk_ASEQ,0))),"")</f>
        <v/>
      </c>
      <c r="T389" s="162">
        <f>IFERROR(""&amp;INDEX(tk_LOCK,MATCH(383,tk_ASEQ,0)),"")</f>
        <v/>
      </c>
      <c r="U389" s="162">
        <f>IFERROR(INDEX(tk_ETYPE,MATCH(383,tk_ASEQ,0)),"")</f>
        <v/>
      </c>
      <c r="V389" s="162">
        <f>IFERROR(""&amp;INDEX(tk_CHECK,MATCH(383,tk_ASEQ,0)),"")</f>
        <v/>
      </c>
      <c r="W389" s="162">
        <f>IFERROR(TRIM(INDEX(tk_DNOTES,MATCH(383,tk_ASEQ,0))&amp;" "&amp;INDEX(tk_FNOTES,MATCH(383,tk_ASEQ,0))),"")</f>
        <v/>
      </c>
    </row>
    <row r="390">
      <c r="A390" s="161">
        <f>IFERROR(""&amp;INDEX(tk_MARK,MATCH(384,tk_ASEQ,0)),"")</f>
        <v/>
      </c>
      <c r="B390" s="162">
        <f>IFERROR(""&amp;INDEX(tk_ROOMF,MATCH(384,tk_ASEQ,0)),"")</f>
        <v/>
      </c>
      <c r="C390" s="162">
        <f>IFERROR(""&amp;INDEX(tk_ROOMT,MATCH(384,tk_ASEQ,0)),"")</f>
        <v/>
      </c>
      <c r="D390" s="162">
        <f>IFERROR(INDEX(tk_QTY,MATCH(384,tk_ASEQ,0)),"")</f>
        <v/>
      </c>
      <c r="E390" s="162">
        <f>IFERROR(""&amp;INDEX(tk_SIZE,MATCH(384,tk_ASEQ,0)),"")</f>
        <v/>
      </c>
      <c r="F390" s="162">
        <f>IFERROR(""&amp;INDEX(tk_PAIR,MATCH(384,tk_ASEQ,0)),"")</f>
        <v/>
      </c>
      <c r="G390" s="162">
        <f>IFERROR(""&amp;INDEX(tk_DMAT,MATCH(384,tk_ASEQ,0)),"")</f>
        <v/>
      </c>
      <c r="H390" s="162">
        <f>IFERROR(""&amp;INDEX(tk_DGA,MATCH(384,tk_ASEQ,0)),"")</f>
        <v/>
      </c>
      <c r="I390" s="162">
        <f>IFERROR(""&amp;INDEX(tk_FACE,MATCH(384,tk_ASEQ,0)),"")</f>
        <v/>
      </c>
      <c r="J390" s="162">
        <f>IFERROR(IF(INDEX(tk_DHAND,MATCH(384,tk_ASEQ,0))="",""&amp;INDEX(tk_HAND,MATCH(384,tk_ASEQ,0)),""&amp;INDEX(tk_DHAND,MATCH(384,tk_ASEQ,0))),"")</f>
        <v/>
      </c>
      <c r="K390" s="162">
        <f>IFERROR(""&amp;INDEX(tk_FDESC,MATCH(384,tk_ASEQ,0)),"")</f>
        <v/>
      </c>
      <c r="L390" s="162">
        <f>IFERROR(INDEX(tk_STEEL,MATCH(384,tk_ASEQ,0))&amp;IF(INDEX(tk_FGA,MATCH(384,tk_ASEQ,0))="",""," "&amp;INDEX(tk_FGA,MATCH(384,tk_ASEQ,0))&amp;"GA"),"")</f>
        <v/>
      </c>
      <c r="M390" s="162">
        <f>IFERROR(IFERROR(VLOOKUP(INDEX(tk_JAMB,MATCH(384,tk_ASEQ,0)),CODES,2,FALSE),""&amp;INDEX(tk_JAMB,MATCH(384,tk_ASEQ,0))),"")</f>
        <v/>
      </c>
      <c r="N390" s="162">
        <f>IFERROR(""&amp;INDEX(tk_CONSTR,MATCH(384,tk_ASEQ,0)),"")</f>
        <v/>
      </c>
      <c r="O390" s="162">
        <f>IFERROR(""&amp;INDEX(tk_ANCHOR,MATCH(384,tk_ASEQ,0)),"")</f>
        <v/>
      </c>
      <c r="P390" s="162">
        <f>IFERROR(""&amp;INDEX(tk_RATING,MATCH(384,tk_ASEQ,0)),"")</f>
        <v/>
      </c>
      <c r="Q390" s="162">
        <f>IFERROR(""&amp;INDEX(tk_LABEL,MATCH(384,tk_ASEQ,0)),"")</f>
        <v/>
      </c>
      <c r="R390" s="162">
        <f>IFERROR(""&amp;INDEX(tk_HWSET,MATCH(384,tk_ASEQ,0)),"")</f>
        <v/>
      </c>
      <c r="S390" s="162">
        <f>IFERROR(IF(""&amp;INDEX(tk_HINGES,MATCH(384,tk_ASEQ,0))="","",INDEX(tk_HINGES,MATCH(384,tk_ASEQ,0))&amp;" · "&amp;INDEX(tk_LSRC,MATCH(384,tk_ASEQ,0))),"")</f>
        <v/>
      </c>
      <c r="T390" s="162">
        <f>IFERROR(""&amp;INDEX(tk_LOCK,MATCH(384,tk_ASEQ,0)),"")</f>
        <v/>
      </c>
      <c r="U390" s="162">
        <f>IFERROR(INDEX(tk_ETYPE,MATCH(384,tk_ASEQ,0)),"")</f>
        <v/>
      </c>
      <c r="V390" s="162">
        <f>IFERROR(""&amp;INDEX(tk_CHECK,MATCH(384,tk_ASEQ,0)),"")</f>
        <v/>
      </c>
      <c r="W390" s="162">
        <f>IFERROR(TRIM(INDEX(tk_DNOTES,MATCH(384,tk_ASEQ,0))&amp;" "&amp;INDEX(tk_FNOTES,MATCH(384,tk_ASEQ,0))),"")</f>
        <v/>
      </c>
    </row>
    <row r="391">
      <c r="A391" s="161">
        <f>IFERROR(""&amp;INDEX(tk_MARK,MATCH(385,tk_ASEQ,0)),"")</f>
        <v/>
      </c>
      <c r="B391" s="162">
        <f>IFERROR(""&amp;INDEX(tk_ROOMF,MATCH(385,tk_ASEQ,0)),"")</f>
        <v/>
      </c>
      <c r="C391" s="162">
        <f>IFERROR(""&amp;INDEX(tk_ROOMT,MATCH(385,tk_ASEQ,0)),"")</f>
        <v/>
      </c>
      <c r="D391" s="162">
        <f>IFERROR(INDEX(tk_QTY,MATCH(385,tk_ASEQ,0)),"")</f>
        <v/>
      </c>
      <c r="E391" s="162">
        <f>IFERROR(""&amp;INDEX(tk_SIZE,MATCH(385,tk_ASEQ,0)),"")</f>
        <v/>
      </c>
      <c r="F391" s="162">
        <f>IFERROR(""&amp;INDEX(tk_PAIR,MATCH(385,tk_ASEQ,0)),"")</f>
        <v/>
      </c>
      <c r="G391" s="162">
        <f>IFERROR(""&amp;INDEX(tk_DMAT,MATCH(385,tk_ASEQ,0)),"")</f>
        <v/>
      </c>
      <c r="H391" s="162">
        <f>IFERROR(""&amp;INDEX(tk_DGA,MATCH(385,tk_ASEQ,0)),"")</f>
        <v/>
      </c>
      <c r="I391" s="162">
        <f>IFERROR(""&amp;INDEX(tk_FACE,MATCH(385,tk_ASEQ,0)),"")</f>
        <v/>
      </c>
      <c r="J391" s="162">
        <f>IFERROR(IF(INDEX(tk_DHAND,MATCH(385,tk_ASEQ,0))="",""&amp;INDEX(tk_HAND,MATCH(385,tk_ASEQ,0)),""&amp;INDEX(tk_DHAND,MATCH(385,tk_ASEQ,0))),"")</f>
        <v/>
      </c>
      <c r="K391" s="162">
        <f>IFERROR(""&amp;INDEX(tk_FDESC,MATCH(385,tk_ASEQ,0)),"")</f>
        <v/>
      </c>
      <c r="L391" s="162">
        <f>IFERROR(INDEX(tk_STEEL,MATCH(385,tk_ASEQ,0))&amp;IF(INDEX(tk_FGA,MATCH(385,tk_ASEQ,0))="",""," "&amp;INDEX(tk_FGA,MATCH(385,tk_ASEQ,0))&amp;"GA"),"")</f>
        <v/>
      </c>
      <c r="M391" s="162">
        <f>IFERROR(IFERROR(VLOOKUP(INDEX(tk_JAMB,MATCH(385,tk_ASEQ,0)),CODES,2,FALSE),""&amp;INDEX(tk_JAMB,MATCH(385,tk_ASEQ,0))),"")</f>
        <v/>
      </c>
      <c r="N391" s="162">
        <f>IFERROR(""&amp;INDEX(tk_CONSTR,MATCH(385,tk_ASEQ,0)),"")</f>
        <v/>
      </c>
      <c r="O391" s="162">
        <f>IFERROR(""&amp;INDEX(tk_ANCHOR,MATCH(385,tk_ASEQ,0)),"")</f>
        <v/>
      </c>
      <c r="P391" s="162">
        <f>IFERROR(""&amp;INDEX(tk_RATING,MATCH(385,tk_ASEQ,0)),"")</f>
        <v/>
      </c>
      <c r="Q391" s="162">
        <f>IFERROR(""&amp;INDEX(tk_LABEL,MATCH(385,tk_ASEQ,0)),"")</f>
        <v/>
      </c>
      <c r="R391" s="162">
        <f>IFERROR(""&amp;INDEX(tk_HWSET,MATCH(385,tk_ASEQ,0)),"")</f>
        <v/>
      </c>
      <c r="S391" s="162">
        <f>IFERROR(IF(""&amp;INDEX(tk_HINGES,MATCH(385,tk_ASEQ,0))="","",INDEX(tk_HINGES,MATCH(385,tk_ASEQ,0))&amp;" · "&amp;INDEX(tk_LSRC,MATCH(385,tk_ASEQ,0))),"")</f>
        <v/>
      </c>
      <c r="T391" s="162">
        <f>IFERROR(""&amp;INDEX(tk_LOCK,MATCH(385,tk_ASEQ,0)),"")</f>
        <v/>
      </c>
      <c r="U391" s="162">
        <f>IFERROR(INDEX(tk_ETYPE,MATCH(385,tk_ASEQ,0)),"")</f>
        <v/>
      </c>
      <c r="V391" s="162">
        <f>IFERROR(""&amp;INDEX(tk_CHECK,MATCH(385,tk_ASEQ,0)),"")</f>
        <v/>
      </c>
      <c r="W391" s="162">
        <f>IFERROR(TRIM(INDEX(tk_DNOTES,MATCH(385,tk_ASEQ,0))&amp;" "&amp;INDEX(tk_FNOTES,MATCH(385,tk_ASEQ,0))),"")</f>
        <v/>
      </c>
    </row>
    <row r="392">
      <c r="A392" s="161">
        <f>IFERROR(""&amp;INDEX(tk_MARK,MATCH(386,tk_ASEQ,0)),"")</f>
        <v/>
      </c>
      <c r="B392" s="162">
        <f>IFERROR(""&amp;INDEX(tk_ROOMF,MATCH(386,tk_ASEQ,0)),"")</f>
        <v/>
      </c>
      <c r="C392" s="162">
        <f>IFERROR(""&amp;INDEX(tk_ROOMT,MATCH(386,tk_ASEQ,0)),"")</f>
        <v/>
      </c>
      <c r="D392" s="162">
        <f>IFERROR(INDEX(tk_QTY,MATCH(386,tk_ASEQ,0)),"")</f>
        <v/>
      </c>
      <c r="E392" s="162">
        <f>IFERROR(""&amp;INDEX(tk_SIZE,MATCH(386,tk_ASEQ,0)),"")</f>
        <v/>
      </c>
      <c r="F392" s="162">
        <f>IFERROR(""&amp;INDEX(tk_PAIR,MATCH(386,tk_ASEQ,0)),"")</f>
        <v/>
      </c>
      <c r="G392" s="162">
        <f>IFERROR(""&amp;INDEX(tk_DMAT,MATCH(386,tk_ASEQ,0)),"")</f>
        <v/>
      </c>
      <c r="H392" s="162">
        <f>IFERROR(""&amp;INDEX(tk_DGA,MATCH(386,tk_ASEQ,0)),"")</f>
        <v/>
      </c>
      <c r="I392" s="162">
        <f>IFERROR(""&amp;INDEX(tk_FACE,MATCH(386,tk_ASEQ,0)),"")</f>
        <v/>
      </c>
      <c r="J392" s="162">
        <f>IFERROR(IF(INDEX(tk_DHAND,MATCH(386,tk_ASEQ,0))="",""&amp;INDEX(tk_HAND,MATCH(386,tk_ASEQ,0)),""&amp;INDEX(tk_DHAND,MATCH(386,tk_ASEQ,0))),"")</f>
        <v/>
      </c>
      <c r="K392" s="162">
        <f>IFERROR(""&amp;INDEX(tk_FDESC,MATCH(386,tk_ASEQ,0)),"")</f>
        <v/>
      </c>
      <c r="L392" s="162">
        <f>IFERROR(INDEX(tk_STEEL,MATCH(386,tk_ASEQ,0))&amp;IF(INDEX(tk_FGA,MATCH(386,tk_ASEQ,0))="",""," "&amp;INDEX(tk_FGA,MATCH(386,tk_ASEQ,0))&amp;"GA"),"")</f>
        <v/>
      </c>
      <c r="M392" s="162">
        <f>IFERROR(IFERROR(VLOOKUP(INDEX(tk_JAMB,MATCH(386,tk_ASEQ,0)),CODES,2,FALSE),""&amp;INDEX(tk_JAMB,MATCH(386,tk_ASEQ,0))),"")</f>
        <v/>
      </c>
      <c r="N392" s="162">
        <f>IFERROR(""&amp;INDEX(tk_CONSTR,MATCH(386,tk_ASEQ,0)),"")</f>
        <v/>
      </c>
      <c r="O392" s="162">
        <f>IFERROR(""&amp;INDEX(tk_ANCHOR,MATCH(386,tk_ASEQ,0)),"")</f>
        <v/>
      </c>
      <c r="P392" s="162">
        <f>IFERROR(""&amp;INDEX(tk_RATING,MATCH(386,tk_ASEQ,0)),"")</f>
        <v/>
      </c>
      <c r="Q392" s="162">
        <f>IFERROR(""&amp;INDEX(tk_LABEL,MATCH(386,tk_ASEQ,0)),"")</f>
        <v/>
      </c>
      <c r="R392" s="162">
        <f>IFERROR(""&amp;INDEX(tk_HWSET,MATCH(386,tk_ASEQ,0)),"")</f>
        <v/>
      </c>
      <c r="S392" s="162">
        <f>IFERROR(IF(""&amp;INDEX(tk_HINGES,MATCH(386,tk_ASEQ,0))="","",INDEX(tk_HINGES,MATCH(386,tk_ASEQ,0))&amp;" · "&amp;INDEX(tk_LSRC,MATCH(386,tk_ASEQ,0))),"")</f>
        <v/>
      </c>
      <c r="T392" s="162">
        <f>IFERROR(""&amp;INDEX(tk_LOCK,MATCH(386,tk_ASEQ,0)),"")</f>
        <v/>
      </c>
      <c r="U392" s="162">
        <f>IFERROR(INDEX(tk_ETYPE,MATCH(386,tk_ASEQ,0)),"")</f>
        <v/>
      </c>
      <c r="V392" s="162">
        <f>IFERROR(""&amp;INDEX(tk_CHECK,MATCH(386,tk_ASEQ,0)),"")</f>
        <v/>
      </c>
      <c r="W392" s="162">
        <f>IFERROR(TRIM(INDEX(tk_DNOTES,MATCH(386,tk_ASEQ,0))&amp;" "&amp;INDEX(tk_FNOTES,MATCH(386,tk_ASEQ,0))),"")</f>
        <v/>
      </c>
    </row>
    <row r="393">
      <c r="A393" s="161">
        <f>IFERROR(""&amp;INDEX(tk_MARK,MATCH(387,tk_ASEQ,0)),"")</f>
        <v/>
      </c>
      <c r="B393" s="162">
        <f>IFERROR(""&amp;INDEX(tk_ROOMF,MATCH(387,tk_ASEQ,0)),"")</f>
        <v/>
      </c>
      <c r="C393" s="162">
        <f>IFERROR(""&amp;INDEX(tk_ROOMT,MATCH(387,tk_ASEQ,0)),"")</f>
        <v/>
      </c>
      <c r="D393" s="162">
        <f>IFERROR(INDEX(tk_QTY,MATCH(387,tk_ASEQ,0)),"")</f>
        <v/>
      </c>
      <c r="E393" s="162">
        <f>IFERROR(""&amp;INDEX(tk_SIZE,MATCH(387,tk_ASEQ,0)),"")</f>
        <v/>
      </c>
      <c r="F393" s="162">
        <f>IFERROR(""&amp;INDEX(tk_PAIR,MATCH(387,tk_ASEQ,0)),"")</f>
        <v/>
      </c>
      <c r="G393" s="162">
        <f>IFERROR(""&amp;INDEX(tk_DMAT,MATCH(387,tk_ASEQ,0)),"")</f>
        <v/>
      </c>
      <c r="H393" s="162">
        <f>IFERROR(""&amp;INDEX(tk_DGA,MATCH(387,tk_ASEQ,0)),"")</f>
        <v/>
      </c>
      <c r="I393" s="162">
        <f>IFERROR(""&amp;INDEX(tk_FACE,MATCH(387,tk_ASEQ,0)),"")</f>
        <v/>
      </c>
      <c r="J393" s="162">
        <f>IFERROR(IF(INDEX(tk_DHAND,MATCH(387,tk_ASEQ,0))="",""&amp;INDEX(tk_HAND,MATCH(387,tk_ASEQ,0)),""&amp;INDEX(tk_DHAND,MATCH(387,tk_ASEQ,0))),"")</f>
        <v/>
      </c>
      <c r="K393" s="162">
        <f>IFERROR(""&amp;INDEX(tk_FDESC,MATCH(387,tk_ASEQ,0)),"")</f>
        <v/>
      </c>
      <c r="L393" s="162">
        <f>IFERROR(INDEX(tk_STEEL,MATCH(387,tk_ASEQ,0))&amp;IF(INDEX(tk_FGA,MATCH(387,tk_ASEQ,0))="",""," "&amp;INDEX(tk_FGA,MATCH(387,tk_ASEQ,0))&amp;"GA"),"")</f>
        <v/>
      </c>
      <c r="M393" s="162">
        <f>IFERROR(IFERROR(VLOOKUP(INDEX(tk_JAMB,MATCH(387,tk_ASEQ,0)),CODES,2,FALSE),""&amp;INDEX(tk_JAMB,MATCH(387,tk_ASEQ,0))),"")</f>
        <v/>
      </c>
      <c r="N393" s="162">
        <f>IFERROR(""&amp;INDEX(tk_CONSTR,MATCH(387,tk_ASEQ,0)),"")</f>
        <v/>
      </c>
      <c r="O393" s="162">
        <f>IFERROR(""&amp;INDEX(tk_ANCHOR,MATCH(387,tk_ASEQ,0)),"")</f>
        <v/>
      </c>
      <c r="P393" s="162">
        <f>IFERROR(""&amp;INDEX(tk_RATING,MATCH(387,tk_ASEQ,0)),"")</f>
        <v/>
      </c>
      <c r="Q393" s="162">
        <f>IFERROR(""&amp;INDEX(tk_LABEL,MATCH(387,tk_ASEQ,0)),"")</f>
        <v/>
      </c>
      <c r="R393" s="162">
        <f>IFERROR(""&amp;INDEX(tk_HWSET,MATCH(387,tk_ASEQ,0)),"")</f>
        <v/>
      </c>
      <c r="S393" s="162">
        <f>IFERROR(IF(""&amp;INDEX(tk_HINGES,MATCH(387,tk_ASEQ,0))="","",INDEX(tk_HINGES,MATCH(387,tk_ASEQ,0))&amp;" · "&amp;INDEX(tk_LSRC,MATCH(387,tk_ASEQ,0))),"")</f>
        <v/>
      </c>
      <c r="T393" s="162">
        <f>IFERROR(""&amp;INDEX(tk_LOCK,MATCH(387,tk_ASEQ,0)),"")</f>
        <v/>
      </c>
      <c r="U393" s="162">
        <f>IFERROR(INDEX(tk_ETYPE,MATCH(387,tk_ASEQ,0)),"")</f>
        <v/>
      </c>
      <c r="V393" s="162">
        <f>IFERROR(""&amp;INDEX(tk_CHECK,MATCH(387,tk_ASEQ,0)),"")</f>
        <v/>
      </c>
      <c r="W393" s="162">
        <f>IFERROR(TRIM(INDEX(tk_DNOTES,MATCH(387,tk_ASEQ,0))&amp;" "&amp;INDEX(tk_FNOTES,MATCH(387,tk_ASEQ,0))),"")</f>
        <v/>
      </c>
    </row>
    <row r="394">
      <c r="A394" s="161">
        <f>IFERROR(""&amp;INDEX(tk_MARK,MATCH(388,tk_ASEQ,0)),"")</f>
        <v/>
      </c>
      <c r="B394" s="162">
        <f>IFERROR(""&amp;INDEX(tk_ROOMF,MATCH(388,tk_ASEQ,0)),"")</f>
        <v/>
      </c>
      <c r="C394" s="162">
        <f>IFERROR(""&amp;INDEX(tk_ROOMT,MATCH(388,tk_ASEQ,0)),"")</f>
        <v/>
      </c>
      <c r="D394" s="162">
        <f>IFERROR(INDEX(tk_QTY,MATCH(388,tk_ASEQ,0)),"")</f>
        <v/>
      </c>
      <c r="E394" s="162">
        <f>IFERROR(""&amp;INDEX(tk_SIZE,MATCH(388,tk_ASEQ,0)),"")</f>
        <v/>
      </c>
      <c r="F394" s="162">
        <f>IFERROR(""&amp;INDEX(tk_PAIR,MATCH(388,tk_ASEQ,0)),"")</f>
        <v/>
      </c>
      <c r="G394" s="162">
        <f>IFERROR(""&amp;INDEX(tk_DMAT,MATCH(388,tk_ASEQ,0)),"")</f>
        <v/>
      </c>
      <c r="H394" s="162">
        <f>IFERROR(""&amp;INDEX(tk_DGA,MATCH(388,tk_ASEQ,0)),"")</f>
        <v/>
      </c>
      <c r="I394" s="162">
        <f>IFERROR(""&amp;INDEX(tk_FACE,MATCH(388,tk_ASEQ,0)),"")</f>
        <v/>
      </c>
      <c r="J394" s="162">
        <f>IFERROR(IF(INDEX(tk_DHAND,MATCH(388,tk_ASEQ,0))="",""&amp;INDEX(tk_HAND,MATCH(388,tk_ASEQ,0)),""&amp;INDEX(tk_DHAND,MATCH(388,tk_ASEQ,0))),"")</f>
        <v/>
      </c>
      <c r="K394" s="162">
        <f>IFERROR(""&amp;INDEX(tk_FDESC,MATCH(388,tk_ASEQ,0)),"")</f>
        <v/>
      </c>
      <c r="L394" s="162">
        <f>IFERROR(INDEX(tk_STEEL,MATCH(388,tk_ASEQ,0))&amp;IF(INDEX(tk_FGA,MATCH(388,tk_ASEQ,0))="",""," "&amp;INDEX(tk_FGA,MATCH(388,tk_ASEQ,0))&amp;"GA"),"")</f>
        <v/>
      </c>
      <c r="M394" s="162">
        <f>IFERROR(IFERROR(VLOOKUP(INDEX(tk_JAMB,MATCH(388,tk_ASEQ,0)),CODES,2,FALSE),""&amp;INDEX(tk_JAMB,MATCH(388,tk_ASEQ,0))),"")</f>
        <v/>
      </c>
      <c r="N394" s="162">
        <f>IFERROR(""&amp;INDEX(tk_CONSTR,MATCH(388,tk_ASEQ,0)),"")</f>
        <v/>
      </c>
      <c r="O394" s="162">
        <f>IFERROR(""&amp;INDEX(tk_ANCHOR,MATCH(388,tk_ASEQ,0)),"")</f>
        <v/>
      </c>
      <c r="P394" s="162">
        <f>IFERROR(""&amp;INDEX(tk_RATING,MATCH(388,tk_ASEQ,0)),"")</f>
        <v/>
      </c>
      <c r="Q394" s="162">
        <f>IFERROR(""&amp;INDEX(tk_LABEL,MATCH(388,tk_ASEQ,0)),"")</f>
        <v/>
      </c>
      <c r="R394" s="162">
        <f>IFERROR(""&amp;INDEX(tk_HWSET,MATCH(388,tk_ASEQ,0)),"")</f>
        <v/>
      </c>
      <c r="S394" s="162">
        <f>IFERROR(IF(""&amp;INDEX(tk_HINGES,MATCH(388,tk_ASEQ,0))="","",INDEX(tk_HINGES,MATCH(388,tk_ASEQ,0))&amp;" · "&amp;INDEX(tk_LSRC,MATCH(388,tk_ASEQ,0))),"")</f>
        <v/>
      </c>
      <c r="T394" s="162">
        <f>IFERROR(""&amp;INDEX(tk_LOCK,MATCH(388,tk_ASEQ,0)),"")</f>
        <v/>
      </c>
      <c r="U394" s="162">
        <f>IFERROR(INDEX(tk_ETYPE,MATCH(388,tk_ASEQ,0)),"")</f>
        <v/>
      </c>
      <c r="V394" s="162">
        <f>IFERROR(""&amp;INDEX(tk_CHECK,MATCH(388,tk_ASEQ,0)),"")</f>
        <v/>
      </c>
      <c r="W394" s="162">
        <f>IFERROR(TRIM(INDEX(tk_DNOTES,MATCH(388,tk_ASEQ,0))&amp;" "&amp;INDEX(tk_FNOTES,MATCH(388,tk_ASEQ,0))),"")</f>
        <v/>
      </c>
    </row>
    <row r="395">
      <c r="A395" s="161">
        <f>IFERROR(""&amp;INDEX(tk_MARK,MATCH(389,tk_ASEQ,0)),"")</f>
        <v/>
      </c>
      <c r="B395" s="162">
        <f>IFERROR(""&amp;INDEX(tk_ROOMF,MATCH(389,tk_ASEQ,0)),"")</f>
        <v/>
      </c>
      <c r="C395" s="162">
        <f>IFERROR(""&amp;INDEX(tk_ROOMT,MATCH(389,tk_ASEQ,0)),"")</f>
        <v/>
      </c>
      <c r="D395" s="162">
        <f>IFERROR(INDEX(tk_QTY,MATCH(389,tk_ASEQ,0)),"")</f>
        <v/>
      </c>
      <c r="E395" s="162">
        <f>IFERROR(""&amp;INDEX(tk_SIZE,MATCH(389,tk_ASEQ,0)),"")</f>
        <v/>
      </c>
      <c r="F395" s="162">
        <f>IFERROR(""&amp;INDEX(tk_PAIR,MATCH(389,tk_ASEQ,0)),"")</f>
        <v/>
      </c>
      <c r="G395" s="162">
        <f>IFERROR(""&amp;INDEX(tk_DMAT,MATCH(389,tk_ASEQ,0)),"")</f>
        <v/>
      </c>
      <c r="H395" s="162">
        <f>IFERROR(""&amp;INDEX(tk_DGA,MATCH(389,tk_ASEQ,0)),"")</f>
        <v/>
      </c>
      <c r="I395" s="162">
        <f>IFERROR(""&amp;INDEX(tk_FACE,MATCH(389,tk_ASEQ,0)),"")</f>
        <v/>
      </c>
      <c r="J395" s="162">
        <f>IFERROR(IF(INDEX(tk_DHAND,MATCH(389,tk_ASEQ,0))="",""&amp;INDEX(tk_HAND,MATCH(389,tk_ASEQ,0)),""&amp;INDEX(tk_DHAND,MATCH(389,tk_ASEQ,0))),"")</f>
        <v/>
      </c>
      <c r="K395" s="162">
        <f>IFERROR(""&amp;INDEX(tk_FDESC,MATCH(389,tk_ASEQ,0)),"")</f>
        <v/>
      </c>
      <c r="L395" s="162">
        <f>IFERROR(INDEX(tk_STEEL,MATCH(389,tk_ASEQ,0))&amp;IF(INDEX(tk_FGA,MATCH(389,tk_ASEQ,0))="",""," "&amp;INDEX(tk_FGA,MATCH(389,tk_ASEQ,0))&amp;"GA"),"")</f>
        <v/>
      </c>
      <c r="M395" s="162">
        <f>IFERROR(IFERROR(VLOOKUP(INDEX(tk_JAMB,MATCH(389,tk_ASEQ,0)),CODES,2,FALSE),""&amp;INDEX(tk_JAMB,MATCH(389,tk_ASEQ,0))),"")</f>
        <v/>
      </c>
      <c r="N395" s="162">
        <f>IFERROR(""&amp;INDEX(tk_CONSTR,MATCH(389,tk_ASEQ,0)),"")</f>
        <v/>
      </c>
      <c r="O395" s="162">
        <f>IFERROR(""&amp;INDEX(tk_ANCHOR,MATCH(389,tk_ASEQ,0)),"")</f>
        <v/>
      </c>
      <c r="P395" s="162">
        <f>IFERROR(""&amp;INDEX(tk_RATING,MATCH(389,tk_ASEQ,0)),"")</f>
        <v/>
      </c>
      <c r="Q395" s="162">
        <f>IFERROR(""&amp;INDEX(tk_LABEL,MATCH(389,tk_ASEQ,0)),"")</f>
        <v/>
      </c>
      <c r="R395" s="162">
        <f>IFERROR(""&amp;INDEX(tk_HWSET,MATCH(389,tk_ASEQ,0)),"")</f>
        <v/>
      </c>
      <c r="S395" s="162">
        <f>IFERROR(IF(""&amp;INDEX(tk_HINGES,MATCH(389,tk_ASEQ,0))="","",INDEX(tk_HINGES,MATCH(389,tk_ASEQ,0))&amp;" · "&amp;INDEX(tk_LSRC,MATCH(389,tk_ASEQ,0))),"")</f>
        <v/>
      </c>
      <c r="T395" s="162">
        <f>IFERROR(""&amp;INDEX(tk_LOCK,MATCH(389,tk_ASEQ,0)),"")</f>
        <v/>
      </c>
      <c r="U395" s="162">
        <f>IFERROR(INDEX(tk_ETYPE,MATCH(389,tk_ASEQ,0)),"")</f>
        <v/>
      </c>
      <c r="V395" s="162">
        <f>IFERROR(""&amp;INDEX(tk_CHECK,MATCH(389,tk_ASEQ,0)),"")</f>
        <v/>
      </c>
      <c r="W395" s="162">
        <f>IFERROR(TRIM(INDEX(tk_DNOTES,MATCH(389,tk_ASEQ,0))&amp;" "&amp;INDEX(tk_FNOTES,MATCH(389,tk_ASEQ,0))),"")</f>
        <v/>
      </c>
    </row>
    <row r="396">
      <c r="A396" s="161">
        <f>IFERROR(""&amp;INDEX(tk_MARK,MATCH(390,tk_ASEQ,0)),"")</f>
        <v/>
      </c>
      <c r="B396" s="162">
        <f>IFERROR(""&amp;INDEX(tk_ROOMF,MATCH(390,tk_ASEQ,0)),"")</f>
        <v/>
      </c>
      <c r="C396" s="162">
        <f>IFERROR(""&amp;INDEX(tk_ROOMT,MATCH(390,tk_ASEQ,0)),"")</f>
        <v/>
      </c>
      <c r="D396" s="162">
        <f>IFERROR(INDEX(tk_QTY,MATCH(390,tk_ASEQ,0)),"")</f>
        <v/>
      </c>
      <c r="E396" s="162">
        <f>IFERROR(""&amp;INDEX(tk_SIZE,MATCH(390,tk_ASEQ,0)),"")</f>
        <v/>
      </c>
      <c r="F396" s="162">
        <f>IFERROR(""&amp;INDEX(tk_PAIR,MATCH(390,tk_ASEQ,0)),"")</f>
        <v/>
      </c>
      <c r="G396" s="162">
        <f>IFERROR(""&amp;INDEX(tk_DMAT,MATCH(390,tk_ASEQ,0)),"")</f>
        <v/>
      </c>
      <c r="H396" s="162">
        <f>IFERROR(""&amp;INDEX(tk_DGA,MATCH(390,tk_ASEQ,0)),"")</f>
        <v/>
      </c>
      <c r="I396" s="162">
        <f>IFERROR(""&amp;INDEX(tk_FACE,MATCH(390,tk_ASEQ,0)),"")</f>
        <v/>
      </c>
      <c r="J396" s="162">
        <f>IFERROR(IF(INDEX(tk_DHAND,MATCH(390,tk_ASEQ,0))="",""&amp;INDEX(tk_HAND,MATCH(390,tk_ASEQ,0)),""&amp;INDEX(tk_DHAND,MATCH(390,tk_ASEQ,0))),"")</f>
        <v/>
      </c>
      <c r="K396" s="162">
        <f>IFERROR(""&amp;INDEX(tk_FDESC,MATCH(390,tk_ASEQ,0)),"")</f>
        <v/>
      </c>
      <c r="L396" s="162">
        <f>IFERROR(INDEX(tk_STEEL,MATCH(390,tk_ASEQ,0))&amp;IF(INDEX(tk_FGA,MATCH(390,tk_ASEQ,0))="",""," "&amp;INDEX(tk_FGA,MATCH(390,tk_ASEQ,0))&amp;"GA"),"")</f>
        <v/>
      </c>
      <c r="M396" s="162">
        <f>IFERROR(IFERROR(VLOOKUP(INDEX(tk_JAMB,MATCH(390,tk_ASEQ,0)),CODES,2,FALSE),""&amp;INDEX(tk_JAMB,MATCH(390,tk_ASEQ,0))),"")</f>
        <v/>
      </c>
      <c r="N396" s="162">
        <f>IFERROR(""&amp;INDEX(tk_CONSTR,MATCH(390,tk_ASEQ,0)),"")</f>
        <v/>
      </c>
      <c r="O396" s="162">
        <f>IFERROR(""&amp;INDEX(tk_ANCHOR,MATCH(390,tk_ASEQ,0)),"")</f>
        <v/>
      </c>
      <c r="P396" s="162">
        <f>IFERROR(""&amp;INDEX(tk_RATING,MATCH(390,tk_ASEQ,0)),"")</f>
        <v/>
      </c>
      <c r="Q396" s="162">
        <f>IFERROR(""&amp;INDEX(tk_LABEL,MATCH(390,tk_ASEQ,0)),"")</f>
        <v/>
      </c>
      <c r="R396" s="162">
        <f>IFERROR(""&amp;INDEX(tk_HWSET,MATCH(390,tk_ASEQ,0)),"")</f>
        <v/>
      </c>
      <c r="S396" s="162">
        <f>IFERROR(IF(""&amp;INDEX(tk_HINGES,MATCH(390,tk_ASEQ,0))="","",INDEX(tk_HINGES,MATCH(390,tk_ASEQ,0))&amp;" · "&amp;INDEX(tk_LSRC,MATCH(390,tk_ASEQ,0))),"")</f>
        <v/>
      </c>
      <c r="T396" s="162">
        <f>IFERROR(""&amp;INDEX(tk_LOCK,MATCH(390,tk_ASEQ,0)),"")</f>
        <v/>
      </c>
      <c r="U396" s="162">
        <f>IFERROR(INDEX(tk_ETYPE,MATCH(390,tk_ASEQ,0)),"")</f>
        <v/>
      </c>
      <c r="V396" s="162">
        <f>IFERROR(""&amp;INDEX(tk_CHECK,MATCH(390,tk_ASEQ,0)),"")</f>
        <v/>
      </c>
      <c r="W396" s="162">
        <f>IFERROR(TRIM(INDEX(tk_DNOTES,MATCH(390,tk_ASEQ,0))&amp;" "&amp;INDEX(tk_FNOTES,MATCH(390,tk_ASEQ,0))),"")</f>
        <v/>
      </c>
    </row>
    <row r="397">
      <c r="A397" s="161">
        <f>IFERROR(""&amp;INDEX(tk_MARK,MATCH(391,tk_ASEQ,0)),"")</f>
        <v/>
      </c>
      <c r="B397" s="162">
        <f>IFERROR(""&amp;INDEX(tk_ROOMF,MATCH(391,tk_ASEQ,0)),"")</f>
        <v/>
      </c>
      <c r="C397" s="162">
        <f>IFERROR(""&amp;INDEX(tk_ROOMT,MATCH(391,tk_ASEQ,0)),"")</f>
        <v/>
      </c>
      <c r="D397" s="162">
        <f>IFERROR(INDEX(tk_QTY,MATCH(391,tk_ASEQ,0)),"")</f>
        <v/>
      </c>
      <c r="E397" s="162">
        <f>IFERROR(""&amp;INDEX(tk_SIZE,MATCH(391,tk_ASEQ,0)),"")</f>
        <v/>
      </c>
      <c r="F397" s="162">
        <f>IFERROR(""&amp;INDEX(tk_PAIR,MATCH(391,tk_ASEQ,0)),"")</f>
        <v/>
      </c>
      <c r="G397" s="162">
        <f>IFERROR(""&amp;INDEX(tk_DMAT,MATCH(391,tk_ASEQ,0)),"")</f>
        <v/>
      </c>
      <c r="H397" s="162">
        <f>IFERROR(""&amp;INDEX(tk_DGA,MATCH(391,tk_ASEQ,0)),"")</f>
        <v/>
      </c>
      <c r="I397" s="162">
        <f>IFERROR(""&amp;INDEX(tk_FACE,MATCH(391,tk_ASEQ,0)),"")</f>
        <v/>
      </c>
      <c r="J397" s="162">
        <f>IFERROR(IF(INDEX(tk_DHAND,MATCH(391,tk_ASEQ,0))="",""&amp;INDEX(tk_HAND,MATCH(391,tk_ASEQ,0)),""&amp;INDEX(tk_DHAND,MATCH(391,tk_ASEQ,0))),"")</f>
        <v/>
      </c>
      <c r="K397" s="162">
        <f>IFERROR(""&amp;INDEX(tk_FDESC,MATCH(391,tk_ASEQ,0)),"")</f>
        <v/>
      </c>
      <c r="L397" s="162">
        <f>IFERROR(INDEX(tk_STEEL,MATCH(391,tk_ASEQ,0))&amp;IF(INDEX(tk_FGA,MATCH(391,tk_ASEQ,0))="",""," "&amp;INDEX(tk_FGA,MATCH(391,tk_ASEQ,0))&amp;"GA"),"")</f>
        <v/>
      </c>
      <c r="M397" s="162">
        <f>IFERROR(IFERROR(VLOOKUP(INDEX(tk_JAMB,MATCH(391,tk_ASEQ,0)),CODES,2,FALSE),""&amp;INDEX(tk_JAMB,MATCH(391,tk_ASEQ,0))),"")</f>
        <v/>
      </c>
      <c r="N397" s="162">
        <f>IFERROR(""&amp;INDEX(tk_CONSTR,MATCH(391,tk_ASEQ,0)),"")</f>
        <v/>
      </c>
      <c r="O397" s="162">
        <f>IFERROR(""&amp;INDEX(tk_ANCHOR,MATCH(391,tk_ASEQ,0)),"")</f>
        <v/>
      </c>
      <c r="P397" s="162">
        <f>IFERROR(""&amp;INDEX(tk_RATING,MATCH(391,tk_ASEQ,0)),"")</f>
        <v/>
      </c>
      <c r="Q397" s="162">
        <f>IFERROR(""&amp;INDEX(tk_LABEL,MATCH(391,tk_ASEQ,0)),"")</f>
        <v/>
      </c>
      <c r="R397" s="162">
        <f>IFERROR(""&amp;INDEX(tk_HWSET,MATCH(391,tk_ASEQ,0)),"")</f>
        <v/>
      </c>
      <c r="S397" s="162">
        <f>IFERROR(IF(""&amp;INDEX(tk_HINGES,MATCH(391,tk_ASEQ,0))="","",INDEX(tk_HINGES,MATCH(391,tk_ASEQ,0))&amp;" · "&amp;INDEX(tk_LSRC,MATCH(391,tk_ASEQ,0))),"")</f>
        <v/>
      </c>
      <c r="T397" s="162">
        <f>IFERROR(""&amp;INDEX(tk_LOCK,MATCH(391,tk_ASEQ,0)),"")</f>
        <v/>
      </c>
      <c r="U397" s="162">
        <f>IFERROR(INDEX(tk_ETYPE,MATCH(391,tk_ASEQ,0)),"")</f>
        <v/>
      </c>
      <c r="V397" s="162">
        <f>IFERROR(""&amp;INDEX(tk_CHECK,MATCH(391,tk_ASEQ,0)),"")</f>
        <v/>
      </c>
      <c r="W397" s="162">
        <f>IFERROR(TRIM(INDEX(tk_DNOTES,MATCH(391,tk_ASEQ,0))&amp;" "&amp;INDEX(tk_FNOTES,MATCH(391,tk_ASEQ,0))),"")</f>
        <v/>
      </c>
    </row>
    <row r="398">
      <c r="A398" s="161">
        <f>IFERROR(""&amp;INDEX(tk_MARK,MATCH(392,tk_ASEQ,0)),"")</f>
        <v/>
      </c>
      <c r="B398" s="162">
        <f>IFERROR(""&amp;INDEX(tk_ROOMF,MATCH(392,tk_ASEQ,0)),"")</f>
        <v/>
      </c>
      <c r="C398" s="162">
        <f>IFERROR(""&amp;INDEX(tk_ROOMT,MATCH(392,tk_ASEQ,0)),"")</f>
        <v/>
      </c>
      <c r="D398" s="162">
        <f>IFERROR(INDEX(tk_QTY,MATCH(392,tk_ASEQ,0)),"")</f>
        <v/>
      </c>
      <c r="E398" s="162">
        <f>IFERROR(""&amp;INDEX(tk_SIZE,MATCH(392,tk_ASEQ,0)),"")</f>
        <v/>
      </c>
      <c r="F398" s="162">
        <f>IFERROR(""&amp;INDEX(tk_PAIR,MATCH(392,tk_ASEQ,0)),"")</f>
        <v/>
      </c>
      <c r="G398" s="162">
        <f>IFERROR(""&amp;INDEX(tk_DMAT,MATCH(392,tk_ASEQ,0)),"")</f>
        <v/>
      </c>
      <c r="H398" s="162">
        <f>IFERROR(""&amp;INDEX(tk_DGA,MATCH(392,tk_ASEQ,0)),"")</f>
        <v/>
      </c>
      <c r="I398" s="162">
        <f>IFERROR(""&amp;INDEX(tk_FACE,MATCH(392,tk_ASEQ,0)),"")</f>
        <v/>
      </c>
      <c r="J398" s="162">
        <f>IFERROR(IF(INDEX(tk_DHAND,MATCH(392,tk_ASEQ,0))="",""&amp;INDEX(tk_HAND,MATCH(392,tk_ASEQ,0)),""&amp;INDEX(tk_DHAND,MATCH(392,tk_ASEQ,0))),"")</f>
        <v/>
      </c>
      <c r="K398" s="162">
        <f>IFERROR(""&amp;INDEX(tk_FDESC,MATCH(392,tk_ASEQ,0)),"")</f>
        <v/>
      </c>
      <c r="L398" s="162">
        <f>IFERROR(INDEX(tk_STEEL,MATCH(392,tk_ASEQ,0))&amp;IF(INDEX(tk_FGA,MATCH(392,tk_ASEQ,0))="",""," "&amp;INDEX(tk_FGA,MATCH(392,tk_ASEQ,0))&amp;"GA"),"")</f>
        <v/>
      </c>
      <c r="M398" s="162">
        <f>IFERROR(IFERROR(VLOOKUP(INDEX(tk_JAMB,MATCH(392,tk_ASEQ,0)),CODES,2,FALSE),""&amp;INDEX(tk_JAMB,MATCH(392,tk_ASEQ,0))),"")</f>
        <v/>
      </c>
      <c r="N398" s="162">
        <f>IFERROR(""&amp;INDEX(tk_CONSTR,MATCH(392,tk_ASEQ,0)),"")</f>
        <v/>
      </c>
      <c r="O398" s="162">
        <f>IFERROR(""&amp;INDEX(tk_ANCHOR,MATCH(392,tk_ASEQ,0)),"")</f>
        <v/>
      </c>
      <c r="P398" s="162">
        <f>IFERROR(""&amp;INDEX(tk_RATING,MATCH(392,tk_ASEQ,0)),"")</f>
        <v/>
      </c>
      <c r="Q398" s="162">
        <f>IFERROR(""&amp;INDEX(tk_LABEL,MATCH(392,tk_ASEQ,0)),"")</f>
        <v/>
      </c>
      <c r="R398" s="162">
        <f>IFERROR(""&amp;INDEX(tk_HWSET,MATCH(392,tk_ASEQ,0)),"")</f>
        <v/>
      </c>
      <c r="S398" s="162">
        <f>IFERROR(IF(""&amp;INDEX(tk_HINGES,MATCH(392,tk_ASEQ,0))="","",INDEX(tk_HINGES,MATCH(392,tk_ASEQ,0))&amp;" · "&amp;INDEX(tk_LSRC,MATCH(392,tk_ASEQ,0))),"")</f>
        <v/>
      </c>
      <c r="T398" s="162">
        <f>IFERROR(""&amp;INDEX(tk_LOCK,MATCH(392,tk_ASEQ,0)),"")</f>
        <v/>
      </c>
      <c r="U398" s="162">
        <f>IFERROR(INDEX(tk_ETYPE,MATCH(392,tk_ASEQ,0)),"")</f>
        <v/>
      </c>
      <c r="V398" s="162">
        <f>IFERROR(""&amp;INDEX(tk_CHECK,MATCH(392,tk_ASEQ,0)),"")</f>
        <v/>
      </c>
      <c r="W398" s="162">
        <f>IFERROR(TRIM(INDEX(tk_DNOTES,MATCH(392,tk_ASEQ,0))&amp;" "&amp;INDEX(tk_FNOTES,MATCH(392,tk_ASEQ,0))),"")</f>
        <v/>
      </c>
    </row>
    <row r="399">
      <c r="A399" s="161">
        <f>IFERROR(""&amp;INDEX(tk_MARK,MATCH(393,tk_ASEQ,0)),"")</f>
        <v/>
      </c>
      <c r="B399" s="162">
        <f>IFERROR(""&amp;INDEX(tk_ROOMF,MATCH(393,tk_ASEQ,0)),"")</f>
        <v/>
      </c>
      <c r="C399" s="162">
        <f>IFERROR(""&amp;INDEX(tk_ROOMT,MATCH(393,tk_ASEQ,0)),"")</f>
        <v/>
      </c>
      <c r="D399" s="162">
        <f>IFERROR(INDEX(tk_QTY,MATCH(393,tk_ASEQ,0)),"")</f>
        <v/>
      </c>
      <c r="E399" s="162">
        <f>IFERROR(""&amp;INDEX(tk_SIZE,MATCH(393,tk_ASEQ,0)),"")</f>
        <v/>
      </c>
      <c r="F399" s="162">
        <f>IFERROR(""&amp;INDEX(tk_PAIR,MATCH(393,tk_ASEQ,0)),"")</f>
        <v/>
      </c>
      <c r="G399" s="162">
        <f>IFERROR(""&amp;INDEX(tk_DMAT,MATCH(393,tk_ASEQ,0)),"")</f>
        <v/>
      </c>
      <c r="H399" s="162">
        <f>IFERROR(""&amp;INDEX(tk_DGA,MATCH(393,tk_ASEQ,0)),"")</f>
        <v/>
      </c>
      <c r="I399" s="162">
        <f>IFERROR(""&amp;INDEX(tk_FACE,MATCH(393,tk_ASEQ,0)),"")</f>
        <v/>
      </c>
      <c r="J399" s="162">
        <f>IFERROR(IF(INDEX(tk_DHAND,MATCH(393,tk_ASEQ,0))="",""&amp;INDEX(tk_HAND,MATCH(393,tk_ASEQ,0)),""&amp;INDEX(tk_DHAND,MATCH(393,tk_ASEQ,0))),"")</f>
        <v/>
      </c>
      <c r="K399" s="162">
        <f>IFERROR(""&amp;INDEX(tk_FDESC,MATCH(393,tk_ASEQ,0)),"")</f>
        <v/>
      </c>
      <c r="L399" s="162">
        <f>IFERROR(INDEX(tk_STEEL,MATCH(393,tk_ASEQ,0))&amp;IF(INDEX(tk_FGA,MATCH(393,tk_ASEQ,0))="",""," "&amp;INDEX(tk_FGA,MATCH(393,tk_ASEQ,0))&amp;"GA"),"")</f>
        <v/>
      </c>
      <c r="M399" s="162">
        <f>IFERROR(IFERROR(VLOOKUP(INDEX(tk_JAMB,MATCH(393,tk_ASEQ,0)),CODES,2,FALSE),""&amp;INDEX(tk_JAMB,MATCH(393,tk_ASEQ,0))),"")</f>
        <v/>
      </c>
      <c r="N399" s="162">
        <f>IFERROR(""&amp;INDEX(tk_CONSTR,MATCH(393,tk_ASEQ,0)),"")</f>
        <v/>
      </c>
      <c r="O399" s="162">
        <f>IFERROR(""&amp;INDEX(tk_ANCHOR,MATCH(393,tk_ASEQ,0)),"")</f>
        <v/>
      </c>
      <c r="P399" s="162">
        <f>IFERROR(""&amp;INDEX(tk_RATING,MATCH(393,tk_ASEQ,0)),"")</f>
        <v/>
      </c>
      <c r="Q399" s="162">
        <f>IFERROR(""&amp;INDEX(tk_LABEL,MATCH(393,tk_ASEQ,0)),"")</f>
        <v/>
      </c>
      <c r="R399" s="162">
        <f>IFERROR(""&amp;INDEX(tk_HWSET,MATCH(393,tk_ASEQ,0)),"")</f>
        <v/>
      </c>
      <c r="S399" s="162">
        <f>IFERROR(IF(""&amp;INDEX(tk_HINGES,MATCH(393,tk_ASEQ,0))="","",INDEX(tk_HINGES,MATCH(393,tk_ASEQ,0))&amp;" · "&amp;INDEX(tk_LSRC,MATCH(393,tk_ASEQ,0))),"")</f>
        <v/>
      </c>
      <c r="T399" s="162">
        <f>IFERROR(""&amp;INDEX(tk_LOCK,MATCH(393,tk_ASEQ,0)),"")</f>
        <v/>
      </c>
      <c r="U399" s="162">
        <f>IFERROR(INDEX(tk_ETYPE,MATCH(393,tk_ASEQ,0)),"")</f>
        <v/>
      </c>
      <c r="V399" s="162">
        <f>IFERROR(""&amp;INDEX(tk_CHECK,MATCH(393,tk_ASEQ,0)),"")</f>
        <v/>
      </c>
      <c r="W399" s="162">
        <f>IFERROR(TRIM(INDEX(tk_DNOTES,MATCH(393,tk_ASEQ,0))&amp;" "&amp;INDEX(tk_FNOTES,MATCH(393,tk_ASEQ,0))),"")</f>
        <v/>
      </c>
    </row>
    <row r="400">
      <c r="A400" s="161">
        <f>IFERROR(""&amp;INDEX(tk_MARK,MATCH(394,tk_ASEQ,0)),"")</f>
        <v/>
      </c>
      <c r="B400" s="162">
        <f>IFERROR(""&amp;INDEX(tk_ROOMF,MATCH(394,tk_ASEQ,0)),"")</f>
        <v/>
      </c>
      <c r="C400" s="162">
        <f>IFERROR(""&amp;INDEX(tk_ROOMT,MATCH(394,tk_ASEQ,0)),"")</f>
        <v/>
      </c>
      <c r="D400" s="162">
        <f>IFERROR(INDEX(tk_QTY,MATCH(394,tk_ASEQ,0)),"")</f>
        <v/>
      </c>
      <c r="E400" s="162">
        <f>IFERROR(""&amp;INDEX(tk_SIZE,MATCH(394,tk_ASEQ,0)),"")</f>
        <v/>
      </c>
      <c r="F400" s="162">
        <f>IFERROR(""&amp;INDEX(tk_PAIR,MATCH(394,tk_ASEQ,0)),"")</f>
        <v/>
      </c>
      <c r="G400" s="162">
        <f>IFERROR(""&amp;INDEX(tk_DMAT,MATCH(394,tk_ASEQ,0)),"")</f>
        <v/>
      </c>
      <c r="H400" s="162">
        <f>IFERROR(""&amp;INDEX(tk_DGA,MATCH(394,tk_ASEQ,0)),"")</f>
        <v/>
      </c>
      <c r="I400" s="162">
        <f>IFERROR(""&amp;INDEX(tk_FACE,MATCH(394,tk_ASEQ,0)),"")</f>
        <v/>
      </c>
      <c r="J400" s="162">
        <f>IFERROR(IF(INDEX(tk_DHAND,MATCH(394,tk_ASEQ,0))="",""&amp;INDEX(tk_HAND,MATCH(394,tk_ASEQ,0)),""&amp;INDEX(tk_DHAND,MATCH(394,tk_ASEQ,0))),"")</f>
        <v/>
      </c>
      <c r="K400" s="162">
        <f>IFERROR(""&amp;INDEX(tk_FDESC,MATCH(394,tk_ASEQ,0)),"")</f>
        <v/>
      </c>
      <c r="L400" s="162">
        <f>IFERROR(INDEX(tk_STEEL,MATCH(394,tk_ASEQ,0))&amp;IF(INDEX(tk_FGA,MATCH(394,tk_ASEQ,0))="",""," "&amp;INDEX(tk_FGA,MATCH(394,tk_ASEQ,0))&amp;"GA"),"")</f>
        <v/>
      </c>
      <c r="M400" s="162">
        <f>IFERROR(IFERROR(VLOOKUP(INDEX(tk_JAMB,MATCH(394,tk_ASEQ,0)),CODES,2,FALSE),""&amp;INDEX(tk_JAMB,MATCH(394,tk_ASEQ,0))),"")</f>
        <v/>
      </c>
      <c r="N400" s="162">
        <f>IFERROR(""&amp;INDEX(tk_CONSTR,MATCH(394,tk_ASEQ,0)),"")</f>
        <v/>
      </c>
      <c r="O400" s="162">
        <f>IFERROR(""&amp;INDEX(tk_ANCHOR,MATCH(394,tk_ASEQ,0)),"")</f>
        <v/>
      </c>
      <c r="P400" s="162">
        <f>IFERROR(""&amp;INDEX(tk_RATING,MATCH(394,tk_ASEQ,0)),"")</f>
        <v/>
      </c>
      <c r="Q400" s="162">
        <f>IFERROR(""&amp;INDEX(tk_LABEL,MATCH(394,tk_ASEQ,0)),"")</f>
        <v/>
      </c>
      <c r="R400" s="162">
        <f>IFERROR(""&amp;INDEX(tk_HWSET,MATCH(394,tk_ASEQ,0)),"")</f>
        <v/>
      </c>
      <c r="S400" s="162">
        <f>IFERROR(IF(""&amp;INDEX(tk_HINGES,MATCH(394,tk_ASEQ,0))="","",INDEX(tk_HINGES,MATCH(394,tk_ASEQ,0))&amp;" · "&amp;INDEX(tk_LSRC,MATCH(394,tk_ASEQ,0))),"")</f>
        <v/>
      </c>
      <c r="T400" s="162">
        <f>IFERROR(""&amp;INDEX(tk_LOCK,MATCH(394,tk_ASEQ,0)),"")</f>
        <v/>
      </c>
      <c r="U400" s="162">
        <f>IFERROR(INDEX(tk_ETYPE,MATCH(394,tk_ASEQ,0)),"")</f>
        <v/>
      </c>
      <c r="V400" s="162">
        <f>IFERROR(""&amp;INDEX(tk_CHECK,MATCH(394,tk_ASEQ,0)),"")</f>
        <v/>
      </c>
      <c r="W400" s="162">
        <f>IFERROR(TRIM(INDEX(tk_DNOTES,MATCH(394,tk_ASEQ,0))&amp;" "&amp;INDEX(tk_FNOTES,MATCH(394,tk_ASEQ,0))),"")</f>
        <v/>
      </c>
    </row>
    <row r="401">
      <c r="A401" s="161">
        <f>IFERROR(""&amp;INDEX(tk_MARK,MATCH(395,tk_ASEQ,0)),"")</f>
        <v/>
      </c>
      <c r="B401" s="162">
        <f>IFERROR(""&amp;INDEX(tk_ROOMF,MATCH(395,tk_ASEQ,0)),"")</f>
        <v/>
      </c>
      <c r="C401" s="162">
        <f>IFERROR(""&amp;INDEX(tk_ROOMT,MATCH(395,tk_ASEQ,0)),"")</f>
        <v/>
      </c>
      <c r="D401" s="162">
        <f>IFERROR(INDEX(tk_QTY,MATCH(395,tk_ASEQ,0)),"")</f>
        <v/>
      </c>
      <c r="E401" s="162">
        <f>IFERROR(""&amp;INDEX(tk_SIZE,MATCH(395,tk_ASEQ,0)),"")</f>
        <v/>
      </c>
      <c r="F401" s="162">
        <f>IFERROR(""&amp;INDEX(tk_PAIR,MATCH(395,tk_ASEQ,0)),"")</f>
        <v/>
      </c>
      <c r="G401" s="162">
        <f>IFERROR(""&amp;INDEX(tk_DMAT,MATCH(395,tk_ASEQ,0)),"")</f>
        <v/>
      </c>
      <c r="H401" s="162">
        <f>IFERROR(""&amp;INDEX(tk_DGA,MATCH(395,tk_ASEQ,0)),"")</f>
        <v/>
      </c>
      <c r="I401" s="162">
        <f>IFERROR(""&amp;INDEX(tk_FACE,MATCH(395,tk_ASEQ,0)),"")</f>
        <v/>
      </c>
      <c r="J401" s="162">
        <f>IFERROR(IF(INDEX(tk_DHAND,MATCH(395,tk_ASEQ,0))="",""&amp;INDEX(tk_HAND,MATCH(395,tk_ASEQ,0)),""&amp;INDEX(tk_DHAND,MATCH(395,tk_ASEQ,0))),"")</f>
        <v/>
      </c>
      <c r="K401" s="162">
        <f>IFERROR(""&amp;INDEX(tk_FDESC,MATCH(395,tk_ASEQ,0)),"")</f>
        <v/>
      </c>
      <c r="L401" s="162">
        <f>IFERROR(INDEX(tk_STEEL,MATCH(395,tk_ASEQ,0))&amp;IF(INDEX(tk_FGA,MATCH(395,tk_ASEQ,0))="",""," "&amp;INDEX(tk_FGA,MATCH(395,tk_ASEQ,0))&amp;"GA"),"")</f>
        <v/>
      </c>
      <c r="M401" s="162">
        <f>IFERROR(IFERROR(VLOOKUP(INDEX(tk_JAMB,MATCH(395,tk_ASEQ,0)),CODES,2,FALSE),""&amp;INDEX(tk_JAMB,MATCH(395,tk_ASEQ,0))),"")</f>
        <v/>
      </c>
      <c r="N401" s="162">
        <f>IFERROR(""&amp;INDEX(tk_CONSTR,MATCH(395,tk_ASEQ,0)),"")</f>
        <v/>
      </c>
      <c r="O401" s="162">
        <f>IFERROR(""&amp;INDEX(tk_ANCHOR,MATCH(395,tk_ASEQ,0)),"")</f>
        <v/>
      </c>
      <c r="P401" s="162">
        <f>IFERROR(""&amp;INDEX(tk_RATING,MATCH(395,tk_ASEQ,0)),"")</f>
        <v/>
      </c>
      <c r="Q401" s="162">
        <f>IFERROR(""&amp;INDEX(tk_LABEL,MATCH(395,tk_ASEQ,0)),"")</f>
        <v/>
      </c>
      <c r="R401" s="162">
        <f>IFERROR(""&amp;INDEX(tk_HWSET,MATCH(395,tk_ASEQ,0)),"")</f>
        <v/>
      </c>
      <c r="S401" s="162">
        <f>IFERROR(IF(""&amp;INDEX(tk_HINGES,MATCH(395,tk_ASEQ,0))="","",INDEX(tk_HINGES,MATCH(395,tk_ASEQ,0))&amp;" · "&amp;INDEX(tk_LSRC,MATCH(395,tk_ASEQ,0))),"")</f>
        <v/>
      </c>
      <c r="T401" s="162">
        <f>IFERROR(""&amp;INDEX(tk_LOCK,MATCH(395,tk_ASEQ,0)),"")</f>
        <v/>
      </c>
      <c r="U401" s="162">
        <f>IFERROR(INDEX(tk_ETYPE,MATCH(395,tk_ASEQ,0)),"")</f>
        <v/>
      </c>
      <c r="V401" s="162">
        <f>IFERROR(""&amp;INDEX(tk_CHECK,MATCH(395,tk_ASEQ,0)),"")</f>
        <v/>
      </c>
      <c r="W401" s="162">
        <f>IFERROR(TRIM(INDEX(tk_DNOTES,MATCH(395,tk_ASEQ,0))&amp;" "&amp;INDEX(tk_FNOTES,MATCH(395,tk_ASEQ,0))),"")</f>
        <v/>
      </c>
    </row>
    <row r="402">
      <c r="A402" s="161">
        <f>IFERROR(""&amp;INDEX(tk_MARK,MATCH(396,tk_ASEQ,0)),"")</f>
        <v/>
      </c>
      <c r="B402" s="162">
        <f>IFERROR(""&amp;INDEX(tk_ROOMF,MATCH(396,tk_ASEQ,0)),"")</f>
        <v/>
      </c>
      <c r="C402" s="162">
        <f>IFERROR(""&amp;INDEX(tk_ROOMT,MATCH(396,tk_ASEQ,0)),"")</f>
        <v/>
      </c>
      <c r="D402" s="162">
        <f>IFERROR(INDEX(tk_QTY,MATCH(396,tk_ASEQ,0)),"")</f>
        <v/>
      </c>
      <c r="E402" s="162">
        <f>IFERROR(""&amp;INDEX(tk_SIZE,MATCH(396,tk_ASEQ,0)),"")</f>
        <v/>
      </c>
      <c r="F402" s="162">
        <f>IFERROR(""&amp;INDEX(tk_PAIR,MATCH(396,tk_ASEQ,0)),"")</f>
        <v/>
      </c>
      <c r="G402" s="162">
        <f>IFERROR(""&amp;INDEX(tk_DMAT,MATCH(396,tk_ASEQ,0)),"")</f>
        <v/>
      </c>
      <c r="H402" s="162">
        <f>IFERROR(""&amp;INDEX(tk_DGA,MATCH(396,tk_ASEQ,0)),"")</f>
        <v/>
      </c>
      <c r="I402" s="162">
        <f>IFERROR(""&amp;INDEX(tk_FACE,MATCH(396,tk_ASEQ,0)),"")</f>
        <v/>
      </c>
      <c r="J402" s="162">
        <f>IFERROR(IF(INDEX(tk_DHAND,MATCH(396,tk_ASEQ,0))="",""&amp;INDEX(tk_HAND,MATCH(396,tk_ASEQ,0)),""&amp;INDEX(tk_DHAND,MATCH(396,tk_ASEQ,0))),"")</f>
        <v/>
      </c>
      <c r="K402" s="162">
        <f>IFERROR(""&amp;INDEX(tk_FDESC,MATCH(396,tk_ASEQ,0)),"")</f>
        <v/>
      </c>
      <c r="L402" s="162">
        <f>IFERROR(INDEX(tk_STEEL,MATCH(396,tk_ASEQ,0))&amp;IF(INDEX(tk_FGA,MATCH(396,tk_ASEQ,0))="",""," "&amp;INDEX(tk_FGA,MATCH(396,tk_ASEQ,0))&amp;"GA"),"")</f>
        <v/>
      </c>
      <c r="M402" s="162">
        <f>IFERROR(IFERROR(VLOOKUP(INDEX(tk_JAMB,MATCH(396,tk_ASEQ,0)),CODES,2,FALSE),""&amp;INDEX(tk_JAMB,MATCH(396,tk_ASEQ,0))),"")</f>
        <v/>
      </c>
      <c r="N402" s="162">
        <f>IFERROR(""&amp;INDEX(tk_CONSTR,MATCH(396,tk_ASEQ,0)),"")</f>
        <v/>
      </c>
      <c r="O402" s="162">
        <f>IFERROR(""&amp;INDEX(tk_ANCHOR,MATCH(396,tk_ASEQ,0)),"")</f>
        <v/>
      </c>
      <c r="P402" s="162">
        <f>IFERROR(""&amp;INDEX(tk_RATING,MATCH(396,tk_ASEQ,0)),"")</f>
        <v/>
      </c>
      <c r="Q402" s="162">
        <f>IFERROR(""&amp;INDEX(tk_LABEL,MATCH(396,tk_ASEQ,0)),"")</f>
        <v/>
      </c>
      <c r="R402" s="162">
        <f>IFERROR(""&amp;INDEX(tk_HWSET,MATCH(396,tk_ASEQ,0)),"")</f>
        <v/>
      </c>
      <c r="S402" s="162">
        <f>IFERROR(IF(""&amp;INDEX(tk_HINGES,MATCH(396,tk_ASEQ,0))="","",INDEX(tk_HINGES,MATCH(396,tk_ASEQ,0))&amp;" · "&amp;INDEX(tk_LSRC,MATCH(396,tk_ASEQ,0))),"")</f>
        <v/>
      </c>
      <c r="T402" s="162">
        <f>IFERROR(""&amp;INDEX(tk_LOCK,MATCH(396,tk_ASEQ,0)),"")</f>
        <v/>
      </c>
      <c r="U402" s="162">
        <f>IFERROR(INDEX(tk_ETYPE,MATCH(396,tk_ASEQ,0)),"")</f>
        <v/>
      </c>
      <c r="V402" s="162">
        <f>IFERROR(""&amp;INDEX(tk_CHECK,MATCH(396,tk_ASEQ,0)),"")</f>
        <v/>
      </c>
      <c r="W402" s="162">
        <f>IFERROR(TRIM(INDEX(tk_DNOTES,MATCH(396,tk_ASEQ,0))&amp;" "&amp;INDEX(tk_FNOTES,MATCH(396,tk_ASEQ,0))),"")</f>
        <v/>
      </c>
    </row>
    <row r="403">
      <c r="A403" s="161">
        <f>IFERROR(""&amp;INDEX(tk_MARK,MATCH(397,tk_ASEQ,0)),"")</f>
        <v/>
      </c>
      <c r="B403" s="162">
        <f>IFERROR(""&amp;INDEX(tk_ROOMF,MATCH(397,tk_ASEQ,0)),"")</f>
        <v/>
      </c>
      <c r="C403" s="162">
        <f>IFERROR(""&amp;INDEX(tk_ROOMT,MATCH(397,tk_ASEQ,0)),"")</f>
        <v/>
      </c>
      <c r="D403" s="162">
        <f>IFERROR(INDEX(tk_QTY,MATCH(397,tk_ASEQ,0)),"")</f>
        <v/>
      </c>
      <c r="E403" s="162">
        <f>IFERROR(""&amp;INDEX(tk_SIZE,MATCH(397,tk_ASEQ,0)),"")</f>
        <v/>
      </c>
      <c r="F403" s="162">
        <f>IFERROR(""&amp;INDEX(tk_PAIR,MATCH(397,tk_ASEQ,0)),"")</f>
        <v/>
      </c>
      <c r="G403" s="162">
        <f>IFERROR(""&amp;INDEX(tk_DMAT,MATCH(397,tk_ASEQ,0)),"")</f>
        <v/>
      </c>
      <c r="H403" s="162">
        <f>IFERROR(""&amp;INDEX(tk_DGA,MATCH(397,tk_ASEQ,0)),"")</f>
        <v/>
      </c>
      <c r="I403" s="162">
        <f>IFERROR(""&amp;INDEX(tk_FACE,MATCH(397,tk_ASEQ,0)),"")</f>
        <v/>
      </c>
      <c r="J403" s="162">
        <f>IFERROR(IF(INDEX(tk_DHAND,MATCH(397,tk_ASEQ,0))="",""&amp;INDEX(tk_HAND,MATCH(397,tk_ASEQ,0)),""&amp;INDEX(tk_DHAND,MATCH(397,tk_ASEQ,0))),"")</f>
        <v/>
      </c>
      <c r="K403" s="162">
        <f>IFERROR(""&amp;INDEX(tk_FDESC,MATCH(397,tk_ASEQ,0)),"")</f>
        <v/>
      </c>
      <c r="L403" s="162">
        <f>IFERROR(INDEX(tk_STEEL,MATCH(397,tk_ASEQ,0))&amp;IF(INDEX(tk_FGA,MATCH(397,tk_ASEQ,0))="",""," "&amp;INDEX(tk_FGA,MATCH(397,tk_ASEQ,0))&amp;"GA"),"")</f>
        <v/>
      </c>
      <c r="M403" s="162">
        <f>IFERROR(IFERROR(VLOOKUP(INDEX(tk_JAMB,MATCH(397,tk_ASEQ,0)),CODES,2,FALSE),""&amp;INDEX(tk_JAMB,MATCH(397,tk_ASEQ,0))),"")</f>
        <v/>
      </c>
      <c r="N403" s="162">
        <f>IFERROR(""&amp;INDEX(tk_CONSTR,MATCH(397,tk_ASEQ,0)),"")</f>
        <v/>
      </c>
      <c r="O403" s="162">
        <f>IFERROR(""&amp;INDEX(tk_ANCHOR,MATCH(397,tk_ASEQ,0)),"")</f>
        <v/>
      </c>
      <c r="P403" s="162">
        <f>IFERROR(""&amp;INDEX(tk_RATING,MATCH(397,tk_ASEQ,0)),"")</f>
        <v/>
      </c>
      <c r="Q403" s="162">
        <f>IFERROR(""&amp;INDEX(tk_LABEL,MATCH(397,tk_ASEQ,0)),"")</f>
        <v/>
      </c>
      <c r="R403" s="162">
        <f>IFERROR(""&amp;INDEX(tk_HWSET,MATCH(397,tk_ASEQ,0)),"")</f>
        <v/>
      </c>
      <c r="S403" s="162">
        <f>IFERROR(IF(""&amp;INDEX(tk_HINGES,MATCH(397,tk_ASEQ,0))="","",INDEX(tk_HINGES,MATCH(397,tk_ASEQ,0))&amp;" · "&amp;INDEX(tk_LSRC,MATCH(397,tk_ASEQ,0))),"")</f>
        <v/>
      </c>
      <c r="T403" s="162">
        <f>IFERROR(""&amp;INDEX(tk_LOCK,MATCH(397,tk_ASEQ,0)),"")</f>
        <v/>
      </c>
      <c r="U403" s="162">
        <f>IFERROR(INDEX(tk_ETYPE,MATCH(397,tk_ASEQ,0)),"")</f>
        <v/>
      </c>
      <c r="V403" s="162">
        <f>IFERROR(""&amp;INDEX(tk_CHECK,MATCH(397,tk_ASEQ,0)),"")</f>
        <v/>
      </c>
      <c r="W403" s="162">
        <f>IFERROR(TRIM(INDEX(tk_DNOTES,MATCH(397,tk_ASEQ,0))&amp;" "&amp;INDEX(tk_FNOTES,MATCH(397,tk_ASEQ,0))),"")</f>
        <v/>
      </c>
    </row>
    <row r="404">
      <c r="A404" s="161">
        <f>IFERROR(""&amp;INDEX(tk_MARK,MATCH(398,tk_ASEQ,0)),"")</f>
        <v/>
      </c>
      <c r="B404" s="162">
        <f>IFERROR(""&amp;INDEX(tk_ROOMF,MATCH(398,tk_ASEQ,0)),"")</f>
        <v/>
      </c>
      <c r="C404" s="162">
        <f>IFERROR(""&amp;INDEX(tk_ROOMT,MATCH(398,tk_ASEQ,0)),"")</f>
        <v/>
      </c>
      <c r="D404" s="162">
        <f>IFERROR(INDEX(tk_QTY,MATCH(398,tk_ASEQ,0)),"")</f>
        <v/>
      </c>
      <c r="E404" s="162">
        <f>IFERROR(""&amp;INDEX(tk_SIZE,MATCH(398,tk_ASEQ,0)),"")</f>
        <v/>
      </c>
      <c r="F404" s="162">
        <f>IFERROR(""&amp;INDEX(tk_PAIR,MATCH(398,tk_ASEQ,0)),"")</f>
        <v/>
      </c>
      <c r="G404" s="162">
        <f>IFERROR(""&amp;INDEX(tk_DMAT,MATCH(398,tk_ASEQ,0)),"")</f>
        <v/>
      </c>
      <c r="H404" s="162">
        <f>IFERROR(""&amp;INDEX(tk_DGA,MATCH(398,tk_ASEQ,0)),"")</f>
        <v/>
      </c>
      <c r="I404" s="162">
        <f>IFERROR(""&amp;INDEX(tk_FACE,MATCH(398,tk_ASEQ,0)),"")</f>
        <v/>
      </c>
      <c r="J404" s="162">
        <f>IFERROR(IF(INDEX(tk_DHAND,MATCH(398,tk_ASEQ,0))="",""&amp;INDEX(tk_HAND,MATCH(398,tk_ASEQ,0)),""&amp;INDEX(tk_DHAND,MATCH(398,tk_ASEQ,0))),"")</f>
        <v/>
      </c>
      <c r="K404" s="162">
        <f>IFERROR(""&amp;INDEX(tk_FDESC,MATCH(398,tk_ASEQ,0)),"")</f>
        <v/>
      </c>
      <c r="L404" s="162">
        <f>IFERROR(INDEX(tk_STEEL,MATCH(398,tk_ASEQ,0))&amp;IF(INDEX(tk_FGA,MATCH(398,tk_ASEQ,0))="",""," "&amp;INDEX(tk_FGA,MATCH(398,tk_ASEQ,0))&amp;"GA"),"")</f>
        <v/>
      </c>
      <c r="M404" s="162">
        <f>IFERROR(IFERROR(VLOOKUP(INDEX(tk_JAMB,MATCH(398,tk_ASEQ,0)),CODES,2,FALSE),""&amp;INDEX(tk_JAMB,MATCH(398,tk_ASEQ,0))),"")</f>
        <v/>
      </c>
      <c r="N404" s="162">
        <f>IFERROR(""&amp;INDEX(tk_CONSTR,MATCH(398,tk_ASEQ,0)),"")</f>
        <v/>
      </c>
      <c r="O404" s="162">
        <f>IFERROR(""&amp;INDEX(tk_ANCHOR,MATCH(398,tk_ASEQ,0)),"")</f>
        <v/>
      </c>
      <c r="P404" s="162">
        <f>IFERROR(""&amp;INDEX(tk_RATING,MATCH(398,tk_ASEQ,0)),"")</f>
        <v/>
      </c>
      <c r="Q404" s="162">
        <f>IFERROR(""&amp;INDEX(tk_LABEL,MATCH(398,tk_ASEQ,0)),"")</f>
        <v/>
      </c>
      <c r="R404" s="162">
        <f>IFERROR(""&amp;INDEX(tk_HWSET,MATCH(398,tk_ASEQ,0)),"")</f>
        <v/>
      </c>
      <c r="S404" s="162">
        <f>IFERROR(IF(""&amp;INDEX(tk_HINGES,MATCH(398,tk_ASEQ,0))="","",INDEX(tk_HINGES,MATCH(398,tk_ASEQ,0))&amp;" · "&amp;INDEX(tk_LSRC,MATCH(398,tk_ASEQ,0))),"")</f>
        <v/>
      </c>
      <c r="T404" s="162">
        <f>IFERROR(""&amp;INDEX(tk_LOCK,MATCH(398,tk_ASEQ,0)),"")</f>
        <v/>
      </c>
      <c r="U404" s="162">
        <f>IFERROR(INDEX(tk_ETYPE,MATCH(398,tk_ASEQ,0)),"")</f>
        <v/>
      </c>
      <c r="V404" s="162">
        <f>IFERROR(""&amp;INDEX(tk_CHECK,MATCH(398,tk_ASEQ,0)),"")</f>
        <v/>
      </c>
      <c r="W404" s="162">
        <f>IFERROR(TRIM(INDEX(tk_DNOTES,MATCH(398,tk_ASEQ,0))&amp;" "&amp;INDEX(tk_FNOTES,MATCH(398,tk_ASEQ,0))),"")</f>
        <v/>
      </c>
    </row>
    <row r="405">
      <c r="A405" s="161">
        <f>IFERROR(""&amp;INDEX(tk_MARK,MATCH(399,tk_ASEQ,0)),"")</f>
        <v/>
      </c>
      <c r="B405" s="162">
        <f>IFERROR(""&amp;INDEX(tk_ROOMF,MATCH(399,tk_ASEQ,0)),"")</f>
        <v/>
      </c>
      <c r="C405" s="162">
        <f>IFERROR(""&amp;INDEX(tk_ROOMT,MATCH(399,tk_ASEQ,0)),"")</f>
        <v/>
      </c>
      <c r="D405" s="162">
        <f>IFERROR(INDEX(tk_QTY,MATCH(399,tk_ASEQ,0)),"")</f>
        <v/>
      </c>
      <c r="E405" s="162">
        <f>IFERROR(""&amp;INDEX(tk_SIZE,MATCH(399,tk_ASEQ,0)),"")</f>
        <v/>
      </c>
      <c r="F405" s="162">
        <f>IFERROR(""&amp;INDEX(tk_PAIR,MATCH(399,tk_ASEQ,0)),"")</f>
        <v/>
      </c>
      <c r="G405" s="162">
        <f>IFERROR(""&amp;INDEX(tk_DMAT,MATCH(399,tk_ASEQ,0)),"")</f>
        <v/>
      </c>
      <c r="H405" s="162">
        <f>IFERROR(""&amp;INDEX(tk_DGA,MATCH(399,tk_ASEQ,0)),"")</f>
        <v/>
      </c>
      <c r="I405" s="162">
        <f>IFERROR(""&amp;INDEX(tk_FACE,MATCH(399,tk_ASEQ,0)),"")</f>
        <v/>
      </c>
      <c r="J405" s="162">
        <f>IFERROR(IF(INDEX(tk_DHAND,MATCH(399,tk_ASEQ,0))="",""&amp;INDEX(tk_HAND,MATCH(399,tk_ASEQ,0)),""&amp;INDEX(tk_DHAND,MATCH(399,tk_ASEQ,0))),"")</f>
        <v/>
      </c>
      <c r="K405" s="162">
        <f>IFERROR(""&amp;INDEX(tk_FDESC,MATCH(399,tk_ASEQ,0)),"")</f>
        <v/>
      </c>
      <c r="L405" s="162">
        <f>IFERROR(INDEX(tk_STEEL,MATCH(399,tk_ASEQ,0))&amp;IF(INDEX(tk_FGA,MATCH(399,tk_ASEQ,0))="",""," "&amp;INDEX(tk_FGA,MATCH(399,tk_ASEQ,0))&amp;"GA"),"")</f>
        <v/>
      </c>
      <c r="M405" s="162">
        <f>IFERROR(IFERROR(VLOOKUP(INDEX(tk_JAMB,MATCH(399,tk_ASEQ,0)),CODES,2,FALSE),""&amp;INDEX(tk_JAMB,MATCH(399,tk_ASEQ,0))),"")</f>
        <v/>
      </c>
      <c r="N405" s="162">
        <f>IFERROR(""&amp;INDEX(tk_CONSTR,MATCH(399,tk_ASEQ,0)),"")</f>
        <v/>
      </c>
      <c r="O405" s="162">
        <f>IFERROR(""&amp;INDEX(tk_ANCHOR,MATCH(399,tk_ASEQ,0)),"")</f>
        <v/>
      </c>
      <c r="P405" s="162">
        <f>IFERROR(""&amp;INDEX(tk_RATING,MATCH(399,tk_ASEQ,0)),"")</f>
        <v/>
      </c>
      <c r="Q405" s="162">
        <f>IFERROR(""&amp;INDEX(tk_LABEL,MATCH(399,tk_ASEQ,0)),"")</f>
        <v/>
      </c>
      <c r="R405" s="162">
        <f>IFERROR(""&amp;INDEX(tk_HWSET,MATCH(399,tk_ASEQ,0)),"")</f>
        <v/>
      </c>
      <c r="S405" s="162">
        <f>IFERROR(IF(""&amp;INDEX(tk_HINGES,MATCH(399,tk_ASEQ,0))="","",INDEX(tk_HINGES,MATCH(399,tk_ASEQ,0))&amp;" · "&amp;INDEX(tk_LSRC,MATCH(399,tk_ASEQ,0))),"")</f>
        <v/>
      </c>
      <c r="T405" s="162">
        <f>IFERROR(""&amp;INDEX(tk_LOCK,MATCH(399,tk_ASEQ,0)),"")</f>
        <v/>
      </c>
      <c r="U405" s="162">
        <f>IFERROR(INDEX(tk_ETYPE,MATCH(399,tk_ASEQ,0)),"")</f>
        <v/>
      </c>
      <c r="V405" s="162">
        <f>IFERROR(""&amp;INDEX(tk_CHECK,MATCH(399,tk_ASEQ,0)),"")</f>
        <v/>
      </c>
      <c r="W405" s="162">
        <f>IFERROR(TRIM(INDEX(tk_DNOTES,MATCH(399,tk_ASEQ,0))&amp;" "&amp;INDEX(tk_FNOTES,MATCH(399,tk_ASEQ,0))),"")</f>
        <v/>
      </c>
    </row>
    <row r="406">
      <c r="A406" s="161">
        <f>IFERROR(""&amp;INDEX(tk_MARK,MATCH(400,tk_ASEQ,0)),"")</f>
        <v/>
      </c>
      <c r="B406" s="162">
        <f>IFERROR(""&amp;INDEX(tk_ROOMF,MATCH(400,tk_ASEQ,0)),"")</f>
        <v/>
      </c>
      <c r="C406" s="162">
        <f>IFERROR(""&amp;INDEX(tk_ROOMT,MATCH(400,tk_ASEQ,0)),"")</f>
        <v/>
      </c>
      <c r="D406" s="162">
        <f>IFERROR(INDEX(tk_QTY,MATCH(400,tk_ASEQ,0)),"")</f>
        <v/>
      </c>
      <c r="E406" s="162">
        <f>IFERROR(""&amp;INDEX(tk_SIZE,MATCH(400,tk_ASEQ,0)),"")</f>
        <v/>
      </c>
      <c r="F406" s="162">
        <f>IFERROR(""&amp;INDEX(tk_PAIR,MATCH(400,tk_ASEQ,0)),"")</f>
        <v/>
      </c>
      <c r="G406" s="162">
        <f>IFERROR(""&amp;INDEX(tk_DMAT,MATCH(400,tk_ASEQ,0)),"")</f>
        <v/>
      </c>
      <c r="H406" s="162">
        <f>IFERROR(""&amp;INDEX(tk_DGA,MATCH(400,tk_ASEQ,0)),"")</f>
        <v/>
      </c>
      <c r="I406" s="162">
        <f>IFERROR(""&amp;INDEX(tk_FACE,MATCH(400,tk_ASEQ,0)),"")</f>
        <v/>
      </c>
      <c r="J406" s="162">
        <f>IFERROR(IF(INDEX(tk_DHAND,MATCH(400,tk_ASEQ,0))="",""&amp;INDEX(tk_HAND,MATCH(400,tk_ASEQ,0)),""&amp;INDEX(tk_DHAND,MATCH(400,tk_ASEQ,0))),"")</f>
        <v/>
      </c>
      <c r="K406" s="162">
        <f>IFERROR(""&amp;INDEX(tk_FDESC,MATCH(400,tk_ASEQ,0)),"")</f>
        <v/>
      </c>
      <c r="L406" s="162">
        <f>IFERROR(INDEX(tk_STEEL,MATCH(400,tk_ASEQ,0))&amp;IF(INDEX(tk_FGA,MATCH(400,tk_ASEQ,0))="",""," "&amp;INDEX(tk_FGA,MATCH(400,tk_ASEQ,0))&amp;"GA"),"")</f>
        <v/>
      </c>
      <c r="M406" s="162">
        <f>IFERROR(IFERROR(VLOOKUP(INDEX(tk_JAMB,MATCH(400,tk_ASEQ,0)),CODES,2,FALSE),""&amp;INDEX(tk_JAMB,MATCH(400,tk_ASEQ,0))),"")</f>
        <v/>
      </c>
      <c r="N406" s="162">
        <f>IFERROR(""&amp;INDEX(tk_CONSTR,MATCH(400,tk_ASEQ,0)),"")</f>
        <v/>
      </c>
      <c r="O406" s="162">
        <f>IFERROR(""&amp;INDEX(tk_ANCHOR,MATCH(400,tk_ASEQ,0)),"")</f>
        <v/>
      </c>
      <c r="P406" s="162">
        <f>IFERROR(""&amp;INDEX(tk_RATING,MATCH(400,tk_ASEQ,0)),"")</f>
        <v/>
      </c>
      <c r="Q406" s="162">
        <f>IFERROR(""&amp;INDEX(tk_LABEL,MATCH(400,tk_ASEQ,0)),"")</f>
        <v/>
      </c>
      <c r="R406" s="162">
        <f>IFERROR(""&amp;INDEX(tk_HWSET,MATCH(400,tk_ASEQ,0)),"")</f>
        <v/>
      </c>
      <c r="S406" s="162">
        <f>IFERROR(IF(""&amp;INDEX(tk_HINGES,MATCH(400,tk_ASEQ,0))="","",INDEX(tk_HINGES,MATCH(400,tk_ASEQ,0))&amp;" · "&amp;INDEX(tk_LSRC,MATCH(400,tk_ASEQ,0))),"")</f>
        <v/>
      </c>
      <c r="T406" s="162">
        <f>IFERROR(""&amp;INDEX(tk_LOCK,MATCH(400,tk_ASEQ,0)),"")</f>
        <v/>
      </c>
      <c r="U406" s="162">
        <f>IFERROR(INDEX(tk_ETYPE,MATCH(400,tk_ASEQ,0)),"")</f>
        <v/>
      </c>
      <c r="V406" s="162">
        <f>IFERROR(""&amp;INDEX(tk_CHECK,MATCH(400,tk_ASEQ,0)),"")</f>
        <v/>
      </c>
      <c r="W406" s="162">
        <f>IFERROR(TRIM(INDEX(tk_DNOTES,MATCH(400,tk_ASEQ,0))&amp;" "&amp;INDEX(tk_FNOTES,MATCH(400,tk_ASEQ,0))),"")</f>
        <v/>
      </c>
    </row>
    <row r="407">
      <c r="A407" s="161">
        <f>IFERROR(""&amp;INDEX(tk_MARK,MATCH(401,tk_ASEQ,0)),"")</f>
        <v/>
      </c>
      <c r="B407" s="162">
        <f>IFERROR(""&amp;INDEX(tk_ROOMF,MATCH(401,tk_ASEQ,0)),"")</f>
        <v/>
      </c>
      <c r="C407" s="162">
        <f>IFERROR(""&amp;INDEX(tk_ROOMT,MATCH(401,tk_ASEQ,0)),"")</f>
        <v/>
      </c>
      <c r="D407" s="162">
        <f>IFERROR(INDEX(tk_QTY,MATCH(401,tk_ASEQ,0)),"")</f>
        <v/>
      </c>
      <c r="E407" s="162">
        <f>IFERROR(""&amp;INDEX(tk_SIZE,MATCH(401,tk_ASEQ,0)),"")</f>
        <v/>
      </c>
      <c r="F407" s="162">
        <f>IFERROR(""&amp;INDEX(tk_PAIR,MATCH(401,tk_ASEQ,0)),"")</f>
        <v/>
      </c>
      <c r="G407" s="162">
        <f>IFERROR(""&amp;INDEX(tk_DMAT,MATCH(401,tk_ASEQ,0)),"")</f>
        <v/>
      </c>
      <c r="H407" s="162">
        <f>IFERROR(""&amp;INDEX(tk_DGA,MATCH(401,tk_ASEQ,0)),"")</f>
        <v/>
      </c>
      <c r="I407" s="162">
        <f>IFERROR(""&amp;INDEX(tk_FACE,MATCH(401,tk_ASEQ,0)),"")</f>
        <v/>
      </c>
      <c r="J407" s="162">
        <f>IFERROR(IF(INDEX(tk_DHAND,MATCH(401,tk_ASEQ,0))="",""&amp;INDEX(tk_HAND,MATCH(401,tk_ASEQ,0)),""&amp;INDEX(tk_DHAND,MATCH(401,tk_ASEQ,0))),"")</f>
        <v/>
      </c>
      <c r="K407" s="162">
        <f>IFERROR(""&amp;INDEX(tk_FDESC,MATCH(401,tk_ASEQ,0)),"")</f>
        <v/>
      </c>
      <c r="L407" s="162">
        <f>IFERROR(INDEX(tk_STEEL,MATCH(401,tk_ASEQ,0))&amp;IF(INDEX(tk_FGA,MATCH(401,tk_ASEQ,0))="",""," "&amp;INDEX(tk_FGA,MATCH(401,tk_ASEQ,0))&amp;"GA"),"")</f>
        <v/>
      </c>
      <c r="M407" s="162">
        <f>IFERROR(IFERROR(VLOOKUP(INDEX(tk_JAMB,MATCH(401,tk_ASEQ,0)),CODES,2,FALSE),""&amp;INDEX(tk_JAMB,MATCH(401,tk_ASEQ,0))),"")</f>
        <v/>
      </c>
      <c r="N407" s="162">
        <f>IFERROR(""&amp;INDEX(tk_CONSTR,MATCH(401,tk_ASEQ,0)),"")</f>
        <v/>
      </c>
      <c r="O407" s="162">
        <f>IFERROR(""&amp;INDEX(tk_ANCHOR,MATCH(401,tk_ASEQ,0)),"")</f>
        <v/>
      </c>
      <c r="P407" s="162">
        <f>IFERROR(""&amp;INDEX(tk_RATING,MATCH(401,tk_ASEQ,0)),"")</f>
        <v/>
      </c>
      <c r="Q407" s="162">
        <f>IFERROR(""&amp;INDEX(tk_LABEL,MATCH(401,tk_ASEQ,0)),"")</f>
        <v/>
      </c>
      <c r="R407" s="162">
        <f>IFERROR(""&amp;INDEX(tk_HWSET,MATCH(401,tk_ASEQ,0)),"")</f>
        <v/>
      </c>
      <c r="S407" s="162">
        <f>IFERROR(IF(""&amp;INDEX(tk_HINGES,MATCH(401,tk_ASEQ,0))="","",INDEX(tk_HINGES,MATCH(401,tk_ASEQ,0))&amp;" · "&amp;INDEX(tk_LSRC,MATCH(401,tk_ASEQ,0))),"")</f>
        <v/>
      </c>
      <c r="T407" s="162">
        <f>IFERROR(""&amp;INDEX(tk_LOCK,MATCH(401,tk_ASEQ,0)),"")</f>
        <v/>
      </c>
      <c r="U407" s="162">
        <f>IFERROR(INDEX(tk_ETYPE,MATCH(401,tk_ASEQ,0)),"")</f>
        <v/>
      </c>
      <c r="V407" s="162">
        <f>IFERROR(""&amp;INDEX(tk_CHECK,MATCH(401,tk_ASEQ,0)),"")</f>
        <v/>
      </c>
      <c r="W407" s="162">
        <f>IFERROR(TRIM(INDEX(tk_DNOTES,MATCH(401,tk_ASEQ,0))&amp;" "&amp;INDEX(tk_FNOTES,MATCH(401,tk_ASEQ,0))),"")</f>
        <v/>
      </c>
    </row>
    <row r="408">
      <c r="A408" s="161">
        <f>IFERROR(""&amp;INDEX(tk_MARK,MATCH(402,tk_ASEQ,0)),"")</f>
        <v/>
      </c>
      <c r="B408" s="162">
        <f>IFERROR(""&amp;INDEX(tk_ROOMF,MATCH(402,tk_ASEQ,0)),"")</f>
        <v/>
      </c>
      <c r="C408" s="162">
        <f>IFERROR(""&amp;INDEX(tk_ROOMT,MATCH(402,tk_ASEQ,0)),"")</f>
        <v/>
      </c>
      <c r="D408" s="162">
        <f>IFERROR(INDEX(tk_QTY,MATCH(402,tk_ASEQ,0)),"")</f>
        <v/>
      </c>
      <c r="E408" s="162">
        <f>IFERROR(""&amp;INDEX(tk_SIZE,MATCH(402,tk_ASEQ,0)),"")</f>
        <v/>
      </c>
      <c r="F408" s="162">
        <f>IFERROR(""&amp;INDEX(tk_PAIR,MATCH(402,tk_ASEQ,0)),"")</f>
        <v/>
      </c>
      <c r="G408" s="162">
        <f>IFERROR(""&amp;INDEX(tk_DMAT,MATCH(402,tk_ASEQ,0)),"")</f>
        <v/>
      </c>
      <c r="H408" s="162">
        <f>IFERROR(""&amp;INDEX(tk_DGA,MATCH(402,tk_ASEQ,0)),"")</f>
        <v/>
      </c>
      <c r="I408" s="162">
        <f>IFERROR(""&amp;INDEX(tk_FACE,MATCH(402,tk_ASEQ,0)),"")</f>
        <v/>
      </c>
      <c r="J408" s="162">
        <f>IFERROR(IF(INDEX(tk_DHAND,MATCH(402,tk_ASEQ,0))="",""&amp;INDEX(tk_HAND,MATCH(402,tk_ASEQ,0)),""&amp;INDEX(tk_DHAND,MATCH(402,tk_ASEQ,0))),"")</f>
        <v/>
      </c>
      <c r="K408" s="162">
        <f>IFERROR(""&amp;INDEX(tk_FDESC,MATCH(402,tk_ASEQ,0)),"")</f>
        <v/>
      </c>
      <c r="L408" s="162">
        <f>IFERROR(INDEX(tk_STEEL,MATCH(402,tk_ASEQ,0))&amp;IF(INDEX(tk_FGA,MATCH(402,tk_ASEQ,0))="",""," "&amp;INDEX(tk_FGA,MATCH(402,tk_ASEQ,0))&amp;"GA"),"")</f>
        <v/>
      </c>
      <c r="M408" s="162">
        <f>IFERROR(IFERROR(VLOOKUP(INDEX(tk_JAMB,MATCH(402,tk_ASEQ,0)),CODES,2,FALSE),""&amp;INDEX(tk_JAMB,MATCH(402,tk_ASEQ,0))),"")</f>
        <v/>
      </c>
      <c r="N408" s="162">
        <f>IFERROR(""&amp;INDEX(tk_CONSTR,MATCH(402,tk_ASEQ,0)),"")</f>
        <v/>
      </c>
      <c r="O408" s="162">
        <f>IFERROR(""&amp;INDEX(tk_ANCHOR,MATCH(402,tk_ASEQ,0)),"")</f>
        <v/>
      </c>
      <c r="P408" s="162">
        <f>IFERROR(""&amp;INDEX(tk_RATING,MATCH(402,tk_ASEQ,0)),"")</f>
        <v/>
      </c>
      <c r="Q408" s="162">
        <f>IFERROR(""&amp;INDEX(tk_LABEL,MATCH(402,tk_ASEQ,0)),"")</f>
        <v/>
      </c>
      <c r="R408" s="162">
        <f>IFERROR(""&amp;INDEX(tk_HWSET,MATCH(402,tk_ASEQ,0)),"")</f>
        <v/>
      </c>
      <c r="S408" s="162">
        <f>IFERROR(IF(""&amp;INDEX(tk_HINGES,MATCH(402,tk_ASEQ,0))="","",INDEX(tk_HINGES,MATCH(402,tk_ASEQ,0))&amp;" · "&amp;INDEX(tk_LSRC,MATCH(402,tk_ASEQ,0))),"")</f>
        <v/>
      </c>
      <c r="T408" s="162">
        <f>IFERROR(""&amp;INDEX(tk_LOCK,MATCH(402,tk_ASEQ,0)),"")</f>
        <v/>
      </c>
      <c r="U408" s="162">
        <f>IFERROR(INDEX(tk_ETYPE,MATCH(402,tk_ASEQ,0)),"")</f>
        <v/>
      </c>
      <c r="V408" s="162">
        <f>IFERROR(""&amp;INDEX(tk_CHECK,MATCH(402,tk_ASEQ,0)),"")</f>
        <v/>
      </c>
      <c r="W408" s="162">
        <f>IFERROR(TRIM(INDEX(tk_DNOTES,MATCH(402,tk_ASEQ,0))&amp;" "&amp;INDEX(tk_FNOTES,MATCH(402,tk_ASEQ,0))),"")</f>
        <v/>
      </c>
    </row>
    <row r="409">
      <c r="A409" s="161">
        <f>IFERROR(""&amp;INDEX(tk_MARK,MATCH(403,tk_ASEQ,0)),"")</f>
        <v/>
      </c>
      <c r="B409" s="162">
        <f>IFERROR(""&amp;INDEX(tk_ROOMF,MATCH(403,tk_ASEQ,0)),"")</f>
        <v/>
      </c>
      <c r="C409" s="162">
        <f>IFERROR(""&amp;INDEX(tk_ROOMT,MATCH(403,tk_ASEQ,0)),"")</f>
        <v/>
      </c>
      <c r="D409" s="162">
        <f>IFERROR(INDEX(tk_QTY,MATCH(403,tk_ASEQ,0)),"")</f>
        <v/>
      </c>
      <c r="E409" s="162">
        <f>IFERROR(""&amp;INDEX(tk_SIZE,MATCH(403,tk_ASEQ,0)),"")</f>
        <v/>
      </c>
      <c r="F409" s="162">
        <f>IFERROR(""&amp;INDEX(tk_PAIR,MATCH(403,tk_ASEQ,0)),"")</f>
        <v/>
      </c>
      <c r="G409" s="162">
        <f>IFERROR(""&amp;INDEX(tk_DMAT,MATCH(403,tk_ASEQ,0)),"")</f>
        <v/>
      </c>
      <c r="H409" s="162">
        <f>IFERROR(""&amp;INDEX(tk_DGA,MATCH(403,tk_ASEQ,0)),"")</f>
        <v/>
      </c>
      <c r="I409" s="162">
        <f>IFERROR(""&amp;INDEX(tk_FACE,MATCH(403,tk_ASEQ,0)),"")</f>
        <v/>
      </c>
      <c r="J409" s="162">
        <f>IFERROR(IF(INDEX(tk_DHAND,MATCH(403,tk_ASEQ,0))="",""&amp;INDEX(tk_HAND,MATCH(403,tk_ASEQ,0)),""&amp;INDEX(tk_DHAND,MATCH(403,tk_ASEQ,0))),"")</f>
        <v/>
      </c>
      <c r="K409" s="162">
        <f>IFERROR(""&amp;INDEX(tk_FDESC,MATCH(403,tk_ASEQ,0)),"")</f>
        <v/>
      </c>
      <c r="L409" s="162">
        <f>IFERROR(INDEX(tk_STEEL,MATCH(403,tk_ASEQ,0))&amp;IF(INDEX(tk_FGA,MATCH(403,tk_ASEQ,0))="",""," "&amp;INDEX(tk_FGA,MATCH(403,tk_ASEQ,0))&amp;"GA"),"")</f>
        <v/>
      </c>
      <c r="M409" s="162">
        <f>IFERROR(IFERROR(VLOOKUP(INDEX(tk_JAMB,MATCH(403,tk_ASEQ,0)),CODES,2,FALSE),""&amp;INDEX(tk_JAMB,MATCH(403,tk_ASEQ,0))),"")</f>
        <v/>
      </c>
      <c r="N409" s="162">
        <f>IFERROR(""&amp;INDEX(tk_CONSTR,MATCH(403,tk_ASEQ,0)),"")</f>
        <v/>
      </c>
      <c r="O409" s="162">
        <f>IFERROR(""&amp;INDEX(tk_ANCHOR,MATCH(403,tk_ASEQ,0)),"")</f>
        <v/>
      </c>
      <c r="P409" s="162">
        <f>IFERROR(""&amp;INDEX(tk_RATING,MATCH(403,tk_ASEQ,0)),"")</f>
        <v/>
      </c>
      <c r="Q409" s="162">
        <f>IFERROR(""&amp;INDEX(tk_LABEL,MATCH(403,tk_ASEQ,0)),"")</f>
        <v/>
      </c>
      <c r="R409" s="162">
        <f>IFERROR(""&amp;INDEX(tk_HWSET,MATCH(403,tk_ASEQ,0)),"")</f>
        <v/>
      </c>
      <c r="S409" s="162">
        <f>IFERROR(IF(""&amp;INDEX(tk_HINGES,MATCH(403,tk_ASEQ,0))="","",INDEX(tk_HINGES,MATCH(403,tk_ASEQ,0))&amp;" · "&amp;INDEX(tk_LSRC,MATCH(403,tk_ASEQ,0))),"")</f>
        <v/>
      </c>
      <c r="T409" s="162">
        <f>IFERROR(""&amp;INDEX(tk_LOCK,MATCH(403,tk_ASEQ,0)),"")</f>
        <v/>
      </c>
      <c r="U409" s="162">
        <f>IFERROR(INDEX(tk_ETYPE,MATCH(403,tk_ASEQ,0)),"")</f>
        <v/>
      </c>
      <c r="V409" s="162">
        <f>IFERROR(""&amp;INDEX(tk_CHECK,MATCH(403,tk_ASEQ,0)),"")</f>
        <v/>
      </c>
      <c r="W409" s="162">
        <f>IFERROR(TRIM(INDEX(tk_DNOTES,MATCH(403,tk_ASEQ,0))&amp;" "&amp;INDEX(tk_FNOTES,MATCH(403,tk_ASEQ,0))),"")</f>
        <v/>
      </c>
    </row>
    <row r="410">
      <c r="A410" s="161">
        <f>IFERROR(""&amp;INDEX(tk_MARK,MATCH(404,tk_ASEQ,0)),"")</f>
        <v/>
      </c>
      <c r="B410" s="162">
        <f>IFERROR(""&amp;INDEX(tk_ROOMF,MATCH(404,tk_ASEQ,0)),"")</f>
        <v/>
      </c>
      <c r="C410" s="162">
        <f>IFERROR(""&amp;INDEX(tk_ROOMT,MATCH(404,tk_ASEQ,0)),"")</f>
        <v/>
      </c>
      <c r="D410" s="162">
        <f>IFERROR(INDEX(tk_QTY,MATCH(404,tk_ASEQ,0)),"")</f>
        <v/>
      </c>
      <c r="E410" s="162">
        <f>IFERROR(""&amp;INDEX(tk_SIZE,MATCH(404,tk_ASEQ,0)),"")</f>
        <v/>
      </c>
      <c r="F410" s="162">
        <f>IFERROR(""&amp;INDEX(tk_PAIR,MATCH(404,tk_ASEQ,0)),"")</f>
        <v/>
      </c>
      <c r="G410" s="162">
        <f>IFERROR(""&amp;INDEX(tk_DMAT,MATCH(404,tk_ASEQ,0)),"")</f>
        <v/>
      </c>
      <c r="H410" s="162">
        <f>IFERROR(""&amp;INDEX(tk_DGA,MATCH(404,tk_ASEQ,0)),"")</f>
        <v/>
      </c>
      <c r="I410" s="162">
        <f>IFERROR(""&amp;INDEX(tk_FACE,MATCH(404,tk_ASEQ,0)),"")</f>
        <v/>
      </c>
      <c r="J410" s="162">
        <f>IFERROR(IF(INDEX(tk_DHAND,MATCH(404,tk_ASEQ,0))="",""&amp;INDEX(tk_HAND,MATCH(404,tk_ASEQ,0)),""&amp;INDEX(tk_DHAND,MATCH(404,tk_ASEQ,0))),"")</f>
        <v/>
      </c>
      <c r="K410" s="162">
        <f>IFERROR(""&amp;INDEX(tk_FDESC,MATCH(404,tk_ASEQ,0)),"")</f>
        <v/>
      </c>
      <c r="L410" s="162">
        <f>IFERROR(INDEX(tk_STEEL,MATCH(404,tk_ASEQ,0))&amp;IF(INDEX(tk_FGA,MATCH(404,tk_ASEQ,0))="",""," "&amp;INDEX(tk_FGA,MATCH(404,tk_ASEQ,0))&amp;"GA"),"")</f>
        <v/>
      </c>
      <c r="M410" s="162">
        <f>IFERROR(IFERROR(VLOOKUP(INDEX(tk_JAMB,MATCH(404,tk_ASEQ,0)),CODES,2,FALSE),""&amp;INDEX(tk_JAMB,MATCH(404,tk_ASEQ,0))),"")</f>
        <v/>
      </c>
      <c r="N410" s="162">
        <f>IFERROR(""&amp;INDEX(tk_CONSTR,MATCH(404,tk_ASEQ,0)),"")</f>
        <v/>
      </c>
      <c r="O410" s="162">
        <f>IFERROR(""&amp;INDEX(tk_ANCHOR,MATCH(404,tk_ASEQ,0)),"")</f>
        <v/>
      </c>
      <c r="P410" s="162">
        <f>IFERROR(""&amp;INDEX(tk_RATING,MATCH(404,tk_ASEQ,0)),"")</f>
        <v/>
      </c>
      <c r="Q410" s="162">
        <f>IFERROR(""&amp;INDEX(tk_LABEL,MATCH(404,tk_ASEQ,0)),"")</f>
        <v/>
      </c>
      <c r="R410" s="162">
        <f>IFERROR(""&amp;INDEX(tk_HWSET,MATCH(404,tk_ASEQ,0)),"")</f>
        <v/>
      </c>
      <c r="S410" s="162">
        <f>IFERROR(IF(""&amp;INDEX(tk_HINGES,MATCH(404,tk_ASEQ,0))="","",INDEX(tk_HINGES,MATCH(404,tk_ASEQ,0))&amp;" · "&amp;INDEX(tk_LSRC,MATCH(404,tk_ASEQ,0))),"")</f>
        <v/>
      </c>
      <c r="T410" s="162">
        <f>IFERROR(""&amp;INDEX(tk_LOCK,MATCH(404,tk_ASEQ,0)),"")</f>
        <v/>
      </c>
      <c r="U410" s="162">
        <f>IFERROR(INDEX(tk_ETYPE,MATCH(404,tk_ASEQ,0)),"")</f>
        <v/>
      </c>
      <c r="V410" s="162">
        <f>IFERROR(""&amp;INDEX(tk_CHECK,MATCH(404,tk_ASEQ,0)),"")</f>
        <v/>
      </c>
      <c r="W410" s="162">
        <f>IFERROR(TRIM(INDEX(tk_DNOTES,MATCH(404,tk_ASEQ,0))&amp;" "&amp;INDEX(tk_FNOTES,MATCH(404,tk_ASEQ,0))),"")</f>
        <v/>
      </c>
    </row>
    <row r="411">
      <c r="A411" s="161">
        <f>IFERROR(""&amp;INDEX(tk_MARK,MATCH(405,tk_ASEQ,0)),"")</f>
        <v/>
      </c>
      <c r="B411" s="162">
        <f>IFERROR(""&amp;INDEX(tk_ROOMF,MATCH(405,tk_ASEQ,0)),"")</f>
        <v/>
      </c>
      <c r="C411" s="162">
        <f>IFERROR(""&amp;INDEX(tk_ROOMT,MATCH(405,tk_ASEQ,0)),"")</f>
        <v/>
      </c>
      <c r="D411" s="162">
        <f>IFERROR(INDEX(tk_QTY,MATCH(405,tk_ASEQ,0)),"")</f>
        <v/>
      </c>
      <c r="E411" s="162">
        <f>IFERROR(""&amp;INDEX(tk_SIZE,MATCH(405,tk_ASEQ,0)),"")</f>
        <v/>
      </c>
      <c r="F411" s="162">
        <f>IFERROR(""&amp;INDEX(tk_PAIR,MATCH(405,tk_ASEQ,0)),"")</f>
        <v/>
      </c>
      <c r="G411" s="162">
        <f>IFERROR(""&amp;INDEX(tk_DMAT,MATCH(405,tk_ASEQ,0)),"")</f>
        <v/>
      </c>
      <c r="H411" s="162">
        <f>IFERROR(""&amp;INDEX(tk_DGA,MATCH(405,tk_ASEQ,0)),"")</f>
        <v/>
      </c>
      <c r="I411" s="162">
        <f>IFERROR(""&amp;INDEX(tk_FACE,MATCH(405,tk_ASEQ,0)),"")</f>
        <v/>
      </c>
      <c r="J411" s="162">
        <f>IFERROR(IF(INDEX(tk_DHAND,MATCH(405,tk_ASEQ,0))="",""&amp;INDEX(tk_HAND,MATCH(405,tk_ASEQ,0)),""&amp;INDEX(tk_DHAND,MATCH(405,tk_ASEQ,0))),"")</f>
        <v/>
      </c>
      <c r="K411" s="162">
        <f>IFERROR(""&amp;INDEX(tk_FDESC,MATCH(405,tk_ASEQ,0)),"")</f>
        <v/>
      </c>
      <c r="L411" s="162">
        <f>IFERROR(INDEX(tk_STEEL,MATCH(405,tk_ASEQ,0))&amp;IF(INDEX(tk_FGA,MATCH(405,tk_ASEQ,0))="",""," "&amp;INDEX(tk_FGA,MATCH(405,tk_ASEQ,0))&amp;"GA"),"")</f>
        <v/>
      </c>
      <c r="M411" s="162">
        <f>IFERROR(IFERROR(VLOOKUP(INDEX(tk_JAMB,MATCH(405,tk_ASEQ,0)),CODES,2,FALSE),""&amp;INDEX(tk_JAMB,MATCH(405,tk_ASEQ,0))),"")</f>
        <v/>
      </c>
      <c r="N411" s="162">
        <f>IFERROR(""&amp;INDEX(tk_CONSTR,MATCH(405,tk_ASEQ,0)),"")</f>
        <v/>
      </c>
      <c r="O411" s="162">
        <f>IFERROR(""&amp;INDEX(tk_ANCHOR,MATCH(405,tk_ASEQ,0)),"")</f>
        <v/>
      </c>
      <c r="P411" s="162">
        <f>IFERROR(""&amp;INDEX(tk_RATING,MATCH(405,tk_ASEQ,0)),"")</f>
        <v/>
      </c>
      <c r="Q411" s="162">
        <f>IFERROR(""&amp;INDEX(tk_LABEL,MATCH(405,tk_ASEQ,0)),"")</f>
        <v/>
      </c>
      <c r="R411" s="162">
        <f>IFERROR(""&amp;INDEX(tk_HWSET,MATCH(405,tk_ASEQ,0)),"")</f>
        <v/>
      </c>
      <c r="S411" s="162">
        <f>IFERROR(IF(""&amp;INDEX(tk_HINGES,MATCH(405,tk_ASEQ,0))="","",INDEX(tk_HINGES,MATCH(405,tk_ASEQ,0))&amp;" · "&amp;INDEX(tk_LSRC,MATCH(405,tk_ASEQ,0))),"")</f>
        <v/>
      </c>
      <c r="T411" s="162">
        <f>IFERROR(""&amp;INDEX(tk_LOCK,MATCH(405,tk_ASEQ,0)),"")</f>
        <v/>
      </c>
      <c r="U411" s="162">
        <f>IFERROR(INDEX(tk_ETYPE,MATCH(405,tk_ASEQ,0)),"")</f>
        <v/>
      </c>
      <c r="V411" s="162">
        <f>IFERROR(""&amp;INDEX(tk_CHECK,MATCH(405,tk_ASEQ,0)),"")</f>
        <v/>
      </c>
      <c r="W411" s="162">
        <f>IFERROR(TRIM(INDEX(tk_DNOTES,MATCH(405,tk_ASEQ,0))&amp;" "&amp;INDEX(tk_FNOTES,MATCH(405,tk_ASEQ,0))),"")</f>
        <v/>
      </c>
    </row>
    <row r="412">
      <c r="A412" s="161">
        <f>IFERROR(""&amp;INDEX(tk_MARK,MATCH(406,tk_ASEQ,0)),"")</f>
        <v/>
      </c>
      <c r="B412" s="162">
        <f>IFERROR(""&amp;INDEX(tk_ROOMF,MATCH(406,tk_ASEQ,0)),"")</f>
        <v/>
      </c>
      <c r="C412" s="162">
        <f>IFERROR(""&amp;INDEX(tk_ROOMT,MATCH(406,tk_ASEQ,0)),"")</f>
        <v/>
      </c>
      <c r="D412" s="162">
        <f>IFERROR(INDEX(tk_QTY,MATCH(406,tk_ASEQ,0)),"")</f>
        <v/>
      </c>
      <c r="E412" s="162">
        <f>IFERROR(""&amp;INDEX(tk_SIZE,MATCH(406,tk_ASEQ,0)),"")</f>
        <v/>
      </c>
      <c r="F412" s="162">
        <f>IFERROR(""&amp;INDEX(tk_PAIR,MATCH(406,tk_ASEQ,0)),"")</f>
        <v/>
      </c>
      <c r="G412" s="162">
        <f>IFERROR(""&amp;INDEX(tk_DMAT,MATCH(406,tk_ASEQ,0)),"")</f>
        <v/>
      </c>
      <c r="H412" s="162">
        <f>IFERROR(""&amp;INDEX(tk_DGA,MATCH(406,tk_ASEQ,0)),"")</f>
        <v/>
      </c>
      <c r="I412" s="162">
        <f>IFERROR(""&amp;INDEX(tk_FACE,MATCH(406,tk_ASEQ,0)),"")</f>
        <v/>
      </c>
      <c r="J412" s="162">
        <f>IFERROR(IF(INDEX(tk_DHAND,MATCH(406,tk_ASEQ,0))="",""&amp;INDEX(tk_HAND,MATCH(406,tk_ASEQ,0)),""&amp;INDEX(tk_DHAND,MATCH(406,tk_ASEQ,0))),"")</f>
        <v/>
      </c>
      <c r="K412" s="162">
        <f>IFERROR(""&amp;INDEX(tk_FDESC,MATCH(406,tk_ASEQ,0)),"")</f>
        <v/>
      </c>
      <c r="L412" s="162">
        <f>IFERROR(INDEX(tk_STEEL,MATCH(406,tk_ASEQ,0))&amp;IF(INDEX(tk_FGA,MATCH(406,tk_ASEQ,0))="",""," "&amp;INDEX(tk_FGA,MATCH(406,tk_ASEQ,0))&amp;"GA"),"")</f>
        <v/>
      </c>
      <c r="M412" s="162">
        <f>IFERROR(IFERROR(VLOOKUP(INDEX(tk_JAMB,MATCH(406,tk_ASEQ,0)),CODES,2,FALSE),""&amp;INDEX(tk_JAMB,MATCH(406,tk_ASEQ,0))),"")</f>
        <v/>
      </c>
      <c r="N412" s="162">
        <f>IFERROR(""&amp;INDEX(tk_CONSTR,MATCH(406,tk_ASEQ,0)),"")</f>
        <v/>
      </c>
      <c r="O412" s="162">
        <f>IFERROR(""&amp;INDEX(tk_ANCHOR,MATCH(406,tk_ASEQ,0)),"")</f>
        <v/>
      </c>
      <c r="P412" s="162">
        <f>IFERROR(""&amp;INDEX(tk_RATING,MATCH(406,tk_ASEQ,0)),"")</f>
        <v/>
      </c>
      <c r="Q412" s="162">
        <f>IFERROR(""&amp;INDEX(tk_LABEL,MATCH(406,tk_ASEQ,0)),"")</f>
        <v/>
      </c>
      <c r="R412" s="162">
        <f>IFERROR(""&amp;INDEX(tk_HWSET,MATCH(406,tk_ASEQ,0)),"")</f>
        <v/>
      </c>
      <c r="S412" s="162">
        <f>IFERROR(IF(""&amp;INDEX(tk_HINGES,MATCH(406,tk_ASEQ,0))="","",INDEX(tk_HINGES,MATCH(406,tk_ASEQ,0))&amp;" · "&amp;INDEX(tk_LSRC,MATCH(406,tk_ASEQ,0))),"")</f>
        <v/>
      </c>
      <c r="T412" s="162">
        <f>IFERROR(""&amp;INDEX(tk_LOCK,MATCH(406,tk_ASEQ,0)),"")</f>
        <v/>
      </c>
      <c r="U412" s="162">
        <f>IFERROR(INDEX(tk_ETYPE,MATCH(406,tk_ASEQ,0)),"")</f>
        <v/>
      </c>
      <c r="V412" s="162">
        <f>IFERROR(""&amp;INDEX(tk_CHECK,MATCH(406,tk_ASEQ,0)),"")</f>
        <v/>
      </c>
      <c r="W412" s="162">
        <f>IFERROR(TRIM(INDEX(tk_DNOTES,MATCH(406,tk_ASEQ,0))&amp;" "&amp;INDEX(tk_FNOTES,MATCH(406,tk_ASEQ,0))),"")</f>
        <v/>
      </c>
    </row>
    <row r="413">
      <c r="A413" s="161">
        <f>IFERROR(""&amp;INDEX(tk_MARK,MATCH(407,tk_ASEQ,0)),"")</f>
        <v/>
      </c>
      <c r="B413" s="162">
        <f>IFERROR(""&amp;INDEX(tk_ROOMF,MATCH(407,tk_ASEQ,0)),"")</f>
        <v/>
      </c>
      <c r="C413" s="162">
        <f>IFERROR(""&amp;INDEX(tk_ROOMT,MATCH(407,tk_ASEQ,0)),"")</f>
        <v/>
      </c>
      <c r="D413" s="162">
        <f>IFERROR(INDEX(tk_QTY,MATCH(407,tk_ASEQ,0)),"")</f>
        <v/>
      </c>
      <c r="E413" s="162">
        <f>IFERROR(""&amp;INDEX(tk_SIZE,MATCH(407,tk_ASEQ,0)),"")</f>
        <v/>
      </c>
      <c r="F413" s="162">
        <f>IFERROR(""&amp;INDEX(tk_PAIR,MATCH(407,tk_ASEQ,0)),"")</f>
        <v/>
      </c>
      <c r="G413" s="162">
        <f>IFERROR(""&amp;INDEX(tk_DMAT,MATCH(407,tk_ASEQ,0)),"")</f>
        <v/>
      </c>
      <c r="H413" s="162">
        <f>IFERROR(""&amp;INDEX(tk_DGA,MATCH(407,tk_ASEQ,0)),"")</f>
        <v/>
      </c>
      <c r="I413" s="162">
        <f>IFERROR(""&amp;INDEX(tk_FACE,MATCH(407,tk_ASEQ,0)),"")</f>
        <v/>
      </c>
      <c r="J413" s="162">
        <f>IFERROR(IF(INDEX(tk_DHAND,MATCH(407,tk_ASEQ,0))="",""&amp;INDEX(tk_HAND,MATCH(407,tk_ASEQ,0)),""&amp;INDEX(tk_DHAND,MATCH(407,tk_ASEQ,0))),"")</f>
        <v/>
      </c>
      <c r="K413" s="162">
        <f>IFERROR(""&amp;INDEX(tk_FDESC,MATCH(407,tk_ASEQ,0)),"")</f>
        <v/>
      </c>
      <c r="L413" s="162">
        <f>IFERROR(INDEX(tk_STEEL,MATCH(407,tk_ASEQ,0))&amp;IF(INDEX(tk_FGA,MATCH(407,tk_ASEQ,0))="",""," "&amp;INDEX(tk_FGA,MATCH(407,tk_ASEQ,0))&amp;"GA"),"")</f>
        <v/>
      </c>
      <c r="M413" s="162">
        <f>IFERROR(IFERROR(VLOOKUP(INDEX(tk_JAMB,MATCH(407,tk_ASEQ,0)),CODES,2,FALSE),""&amp;INDEX(tk_JAMB,MATCH(407,tk_ASEQ,0))),"")</f>
        <v/>
      </c>
      <c r="N413" s="162">
        <f>IFERROR(""&amp;INDEX(tk_CONSTR,MATCH(407,tk_ASEQ,0)),"")</f>
        <v/>
      </c>
      <c r="O413" s="162">
        <f>IFERROR(""&amp;INDEX(tk_ANCHOR,MATCH(407,tk_ASEQ,0)),"")</f>
        <v/>
      </c>
      <c r="P413" s="162">
        <f>IFERROR(""&amp;INDEX(tk_RATING,MATCH(407,tk_ASEQ,0)),"")</f>
        <v/>
      </c>
      <c r="Q413" s="162">
        <f>IFERROR(""&amp;INDEX(tk_LABEL,MATCH(407,tk_ASEQ,0)),"")</f>
        <v/>
      </c>
      <c r="R413" s="162">
        <f>IFERROR(""&amp;INDEX(tk_HWSET,MATCH(407,tk_ASEQ,0)),"")</f>
        <v/>
      </c>
      <c r="S413" s="162">
        <f>IFERROR(IF(""&amp;INDEX(tk_HINGES,MATCH(407,tk_ASEQ,0))="","",INDEX(tk_HINGES,MATCH(407,tk_ASEQ,0))&amp;" · "&amp;INDEX(tk_LSRC,MATCH(407,tk_ASEQ,0))),"")</f>
        <v/>
      </c>
      <c r="T413" s="162">
        <f>IFERROR(""&amp;INDEX(tk_LOCK,MATCH(407,tk_ASEQ,0)),"")</f>
        <v/>
      </c>
      <c r="U413" s="162">
        <f>IFERROR(INDEX(tk_ETYPE,MATCH(407,tk_ASEQ,0)),"")</f>
        <v/>
      </c>
      <c r="V413" s="162">
        <f>IFERROR(""&amp;INDEX(tk_CHECK,MATCH(407,tk_ASEQ,0)),"")</f>
        <v/>
      </c>
      <c r="W413" s="162">
        <f>IFERROR(TRIM(INDEX(tk_DNOTES,MATCH(407,tk_ASEQ,0))&amp;" "&amp;INDEX(tk_FNOTES,MATCH(407,tk_ASEQ,0))),"")</f>
        <v/>
      </c>
    </row>
    <row r="414">
      <c r="A414" s="161">
        <f>IFERROR(""&amp;INDEX(tk_MARK,MATCH(408,tk_ASEQ,0)),"")</f>
        <v/>
      </c>
      <c r="B414" s="162">
        <f>IFERROR(""&amp;INDEX(tk_ROOMF,MATCH(408,tk_ASEQ,0)),"")</f>
        <v/>
      </c>
      <c r="C414" s="162">
        <f>IFERROR(""&amp;INDEX(tk_ROOMT,MATCH(408,tk_ASEQ,0)),"")</f>
        <v/>
      </c>
      <c r="D414" s="162">
        <f>IFERROR(INDEX(tk_QTY,MATCH(408,tk_ASEQ,0)),"")</f>
        <v/>
      </c>
      <c r="E414" s="162">
        <f>IFERROR(""&amp;INDEX(tk_SIZE,MATCH(408,tk_ASEQ,0)),"")</f>
        <v/>
      </c>
      <c r="F414" s="162">
        <f>IFERROR(""&amp;INDEX(tk_PAIR,MATCH(408,tk_ASEQ,0)),"")</f>
        <v/>
      </c>
      <c r="G414" s="162">
        <f>IFERROR(""&amp;INDEX(tk_DMAT,MATCH(408,tk_ASEQ,0)),"")</f>
        <v/>
      </c>
      <c r="H414" s="162">
        <f>IFERROR(""&amp;INDEX(tk_DGA,MATCH(408,tk_ASEQ,0)),"")</f>
        <v/>
      </c>
      <c r="I414" s="162">
        <f>IFERROR(""&amp;INDEX(tk_FACE,MATCH(408,tk_ASEQ,0)),"")</f>
        <v/>
      </c>
      <c r="J414" s="162">
        <f>IFERROR(IF(INDEX(tk_DHAND,MATCH(408,tk_ASEQ,0))="",""&amp;INDEX(tk_HAND,MATCH(408,tk_ASEQ,0)),""&amp;INDEX(tk_DHAND,MATCH(408,tk_ASEQ,0))),"")</f>
        <v/>
      </c>
      <c r="K414" s="162">
        <f>IFERROR(""&amp;INDEX(tk_FDESC,MATCH(408,tk_ASEQ,0)),"")</f>
        <v/>
      </c>
      <c r="L414" s="162">
        <f>IFERROR(INDEX(tk_STEEL,MATCH(408,tk_ASEQ,0))&amp;IF(INDEX(tk_FGA,MATCH(408,tk_ASEQ,0))="",""," "&amp;INDEX(tk_FGA,MATCH(408,tk_ASEQ,0))&amp;"GA"),"")</f>
        <v/>
      </c>
      <c r="M414" s="162">
        <f>IFERROR(IFERROR(VLOOKUP(INDEX(tk_JAMB,MATCH(408,tk_ASEQ,0)),CODES,2,FALSE),""&amp;INDEX(tk_JAMB,MATCH(408,tk_ASEQ,0))),"")</f>
        <v/>
      </c>
      <c r="N414" s="162">
        <f>IFERROR(""&amp;INDEX(tk_CONSTR,MATCH(408,tk_ASEQ,0)),"")</f>
        <v/>
      </c>
      <c r="O414" s="162">
        <f>IFERROR(""&amp;INDEX(tk_ANCHOR,MATCH(408,tk_ASEQ,0)),"")</f>
        <v/>
      </c>
      <c r="P414" s="162">
        <f>IFERROR(""&amp;INDEX(tk_RATING,MATCH(408,tk_ASEQ,0)),"")</f>
        <v/>
      </c>
      <c r="Q414" s="162">
        <f>IFERROR(""&amp;INDEX(tk_LABEL,MATCH(408,tk_ASEQ,0)),"")</f>
        <v/>
      </c>
      <c r="R414" s="162">
        <f>IFERROR(""&amp;INDEX(tk_HWSET,MATCH(408,tk_ASEQ,0)),"")</f>
        <v/>
      </c>
      <c r="S414" s="162">
        <f>IFERROR(IF(""&amp;INDEX(tk_HINGES,MATCH(408,tk_ASEQ,0))="","",INDEX(tk_HINGES,MATCH(408,tk_ASEQ,0))&amp;" · "&amp;INDEX(tk_LSRC,MATCH(408,tk_ASEQ,0))),"")</f>
        <v/>
      </c>
      <c r="T414" s="162">
        <f>IFERROR(""&amp;INDEX(tk_LOCK,MATCH(408,tk_ASEQ,0)),"")</f>
        <v/>
      </c>
      <c r="U414" s="162">
        <f>IFERROR(INDEX(tk_ETYPE,MATCH(408,tk_ASEQ,0)),"")</f>
        <v/>
      </c>
      <c r="V414" s="162">
        <f>IFERROR(""&amp;INDEX(tk_CHECK,MATCH(408,tk_ASEQ,0)),"")</f>
        <v/>
      </c>
      <c r="W414" s="162">
        <f>IFERROR(TRIM(INDEX(tk_DNOTES,MATCH(408,tk_ASEQ,0))&amp;" "&amp;INDEX(tk_FNOTES,MATCH(408,tk_ASEQ,0))),"")</f>
        <v/>
      </c>
    </row>
    <row r="415">
      <c r="A415" s="161">
        <f>IFERROR(""&amp;INDEX(tk_MARK,MATCH(409,tk_ASEQ,0)),"")</f>
        <v/>
      </c>
      <c r="B415" s="162">
        <f>IFERROR(""&amp;INDEX(tk_ROOMF,MATCH(409,tk_ASEQ,0)),"")</f>
        <v/>
      </c>
      <c r="C415" s="162">
        <f>IFERROR(""&amp;INDEX(tk_ROOMT,MATCH(409,tk_ASEQ,0)),"")</f>
        <v/>
      </c>
      <c r="D415" s="162">
        <f>IFERROR(INDEX(tk_QTY,MATCH(409,tk_ASEQ,0)),"")</f>
        <v/>
      </c>
      <c r="E415" s="162">
        <f>IFERROR(""&amp;INDEX(tk_SIZE,MATCH(409,tk_ASEQ,0)),"")</f>
        <v/>
      </c>
      <c r="F415" s="162">
        <f>IFERROR(""&amp;INDEX(tk_PAIR,MATCH(409,tk_ASEQ,0)),"")</f>
        <v/>
      </c>
      <c r="G415" s="162">
        <f>IFERROR(""&amp;INDEX(tk_DMAT,MATCH(409,tk_ASEQ,0)),"")</f>
        <v/>
      </c>
      <c r="H415" s="162">
        <f>IFERROR(""&amp;INDEX(tk_DGA,MATCH(409,tk_ASEQ,0)),"")</f>
        <v/>
      </c>
      <c r="I415" s="162">
        <f>IFERROR(""&amp;INDEX(tk_FACE,MATCH(409,tk_ASEQ,0)),"")</f>
        <v/>
      </c>
      <c r="J415" s="162">
        <f>IFERROR(IF(INDEX(tk_DHAND,MATCH(409,tk_ASEQ,0))="",""&amp;INDEX(tk_HAND,MATCH(409,tk_ASEQ,0)),""&amp;INDEX(tk_DHAND,MATCH(409,tk_ASEQ,0))),"")</f>
        <v/>
      </c>
      <c r="K415" s="162">
        <f>IFERROR(""&amp;INDEX(tk_FDESC,MATCH(409,tk_ASEQ,0)),"")</f>
        <v/>
      </c>
      <c r="L415" s="162">
        <f>IFERROR(INDEX(tk_STEEL,MATCH(409,tk_ASEQ,0))&amp;IF(INDEX(tk_FGA,MATCH(409,tk_ASEQ,0))="",""," "&amp;INDEX(tk_FGA,MATCH(409,tk_ASEQ,0))&amp;"GA"),"")</f>
        <v/>
      </c>
      <c r="M415" s="162">
        <f>IFERROR(IFERROR(VLOOKUP(INDEX(tk_JAMB,MATCH(409,tk_ASEQ,0)),CODES,2,FALSE),""&amp;INDEX(tk_JAMB,MATCH(409,tk_ASEQ,0))),"")</f>
        <v/>
      </c>
      <c r="N415" s="162">
        <f>IFERROR(""&amp;INDEX(tk_CONSTR,MATCH(409,tk_ASEQ,0)),"")</f>
        <v/>
      </c>
      <c r="O415" s="162">
        <f>IFERROR(""&amp;INDEX(tk_ANCHOR,MATCH(409,tk_ASEQ,0)),"")</f>
        <v/>
      </c>
      <c r="P415" s="162">
        <f>IFERROR(""&amp;INDEX(tk_RATING,MATCH(409,tk_ASEQ,0)),"")</f>
        <v/>
      </c>
      <c r="Q415" s="162">
        <f>IFERROR(""&amp;INDEX(tk_LABEL,MATCH(409,tk_ASEQ,0)),"")</f>
        <v/>
      </c>
      <c r="R415" s="162">
        <f>IFERROR(""&amp;INDEX(tk_HWSET,MATCH(409,tk_ASEQ,0)),"")</f>
        <v/>
      </c>
      <c r="S415" s="162">
        <f>IFERROR(IF(""&amp;INDEX(tk_HINGES,MATCH(409,tk_ASEQ,0))="","",INDEX(tk_HINGES,MATCH(409,tk_ASEQ,0))&amp;" · "&amp;INDEX(tk_LSRC,MATCH(409,tk_ASEQ,0))),"")</f>
        <v/>
      </c>
      <c r="T415" s="162">
        <f>IFERROR(""&amp;INDEX(tk_LOCK,MATCH(409,tk_ASEQ,0)),"")</f>
        <v/>
      </c>
      <c r="U415" s="162">
        <f>IFERROR(INDEX(tk_ETYPE,MATCH(409,tk_ASEQ,0)),"")</f>
        <v/>
      </c>
      <c r="V415" s="162">
        <f>IFERROR(""&amp;INDEX(tk_CHECK,MATCH(409,tk_ASEQ,0)),"")</f>
        <v/>
      </c>
      <c r="W415" s="162">
        <f>IFERROR(TRIM(INDEX(tk_DNOTES,MATCH(409,tk_ASEQ,0))&amp;" "&amp;INDEX(tk_FNOTES,MATCH(409,tk_ASEQ,0))),"")</f>
        <v/>
      </c>
    </row>
    <row r="416">
      <c r="A416" s="161">
        <f>IFERROR(""&amp;INDEX(tk_MARK,MATCH(410,tk_ASEQ,0)),"")</f>
        <v/>
      </c>
      <c r="B416" s="162">
        <f>IFERROR(""&amp;INDEX(tk_ROOMF,MATCH(410,tk_ASEQ,0)),"")</f>
        <v/>
      </c>
      <c r="C416" s="162">
        <f>IFERROR(""&amp;INDEX(tk_ROOMT,MATCH(410,tk_ASEQ,0)),"")</f>
        <v/>
      </c>
      <c r="D416" s="162">
        <f>IFERROR(INDEX(tk_QTY,MATCH(410,tk_ASEQ,0)),"")</f>
        <v/>
      </c>
      <c r="E416" s="162">
        <f>IFERROR(""&amp;INDEX(tk_SIZE,MATCH(410,tk_ASEQ,0)),"")</f>
        <v/>
      </c>
      <c r="F416" s="162">
        <f>IFERROR(""&amp;INDEX(tk_PAIR,MATCH(410,tk_ASEQ,0)),"")</f>
        <v/>
      </c>
      <c r="G416" s="162">
        <f>IFERROR(""&amp;INDEX(tk_DMAT,MATCH(410,tk_ASEQ,0)),"")</f>
        <v/>
      </c>
      <c r="H416" s="162">
        <f>IFERROR(""&amp;INDEX(tk_DGA,MATCH(410,tk_ASEQ,0)),"")</f>
        <v/>
      </c>
      <c r="I416" s="162">
        <f>IFERROR(""&amp;INDEX(tk_FACE,MATCH(410,tk_ASEQ,0)),"")</f>
        <v/>
      </c>
      <c r="J416" s="162">
        <f>IFERROR(IF(INDEX(tk_DHAND,MATCH(410,tk_ASEQ,0))="",""&amp;INDEX(tk_HAND,MATCH(410,tk_ASEQ,0)),""&amp;INDEX(tk_DHAND,MATCH(410,tk_ASEQ,0))),"")</f>
        <v/>
      </c>
      <c r="K416" s="162">
        <f>IFERROR(""&amp;INDEX(tk_FDESC,MATCH(410,tk_ASEQ,0)),"")</f>
        <v/>
      </c>
      <c r="L416" s="162">
        <f>IFERROR(INDEX(tk_STEEL,MATCH(410,tk_ASEQ,0))&amp;IF(INDEX(tk_FGA,MATCH(410,tk_ASEQ,0))="",""," "&amp;INDEX(tk_FGA,MATCH(410,tk_ASEQ,0))&amp;"GA"),"")</f>
        <v/>
      </c>
      <c r="M416" s="162">
        <f>IFERROR(IFERROR(VLOOKUP(INDEX(tk_JAMB,MATCH(410,tk_ASEQ,0)),CODES,2,FALSE),""&amp;INDEX(tk_JAMB,MATCH(410,tk_ASEQ,0))),"")</f>
        <v/>
      </c>
      <c r="N416" s="162">
        <f>IFERROR(""&amp;INDEX(tk_CONSTR,MATCH(410,tk_ASEQ,0)),"")</f>
        <v/>
      </c>
      <c r="O416" s="162">
        <f>IFERROR(""&amp;INDEX(tk_ANCHOR,MATCH(410,tk_ASEQ,0)),"")</f>
        <v/>
      </c>
      <c r="P416" s="162">
        <f>IFERROR(""&amp;INDEX(tk_RATING,MATCH(410,tk_ASEQ,0)),"")</f>
        <v/>
      </c>
      <c r="Q416" s="162">
        <f>IFERROR(""&amp;INDEX(tk_LABEL,MATCH(410,tk_ASEQ,0)),"")</f>
        <v/>
      </c>
      <c r="R416" s="162">
        <f>IFERROR(""&amp;INDEX(tk_HWSET,MATCH(410,tk_ASEQ,0)),"")</f>
        <v/>
      </c>
      <c r="S416" s="162">
        <f>IFERROR(IF(""&amp;INDEX(tk_HINGES,MATCH(410,tk_ASEQ,0))="","",INDEX(tk_HINGES,MATCH(410,tk_ASEQ,0))&amp;" · "&amp;INDEX(tk_LSRC,MATCH(410,tk_ASEQ,0))),"")</f>
        <v/>
      </c>
      <c r="T416" s="162">
        <f>IFERROR(""&amp;INDEX(tk_LOCK,MATCH(410,tk_ASEQ,0)),"")</f>
        <v/>
      </c>
      <c r="U416" s="162">
        <f>IFERROR(INDEX(tk_ETYPE,MATCH(410,tk_ASEQ,0)),"")</f>
        <v/>
      </c>
      <c r="V416" s="162">
        <f>IFERROR(""&amp;INDEX(tk_CHECK,MATCH(410,tk_ASEQ,0)),"")</f>
        <v/>
      </c>
      <c r="W416" s="162">
        <f>IFERROR(TRIM(INDEX(tk_DNOTES,MATCH(410,tk_ASEQ,0))&amp;" "&amp;INDEX(tk_FNOTES,MATCH(410,tk_ASEQ,0))),"")</f>
        <v/>
      </c>
    </row>
    <row r="417">
      <c r="A417" s="161">
        <f>IFERROR(""&amp;INDEX(tk_MARK,MATCH(411,tk_ASEQ,0)),"")</f>
        <v/>
      </c>
      <c r="B417" s="162">
        <f>IFERROR(""&amp;INDEX(tk_ROOMF,MATCH(411,tk_ASEQ,0)),"")</f>
        <v/>
      </c>
      <c r="C417" s="162">
        <f>IFERROR(""&amp;INDEX(tk_ROOMT,MATCH(411,tk_ASEQ,0)),"")</f>
        <v/>
      </c>
      <c r="D417" s="162">
        <f>IFERROR(INDEX(tk_QTY,MATCH(411,tk_ASEQ,0)),"")</f>
        <v/>
      </c>
      <c r="E417" s="162">
        <f>IFERROR(""&amp;INDEX(tk_SIZE,MATCH(411,tk_ASEQ,0)),"")</f>
        <v/>
      </c>
      <c r="F417" s="162">
        <f>IFERROR(""&amp;INDEX(tk_PAIR,MATCH(411,tk_ASEQ,0)),"")</f>
        <v/>
      </c>
      <c r="G417" s="162">
        <f>IFERROR(""&amp;INDEX(tk_DMAT,MATCH(411,tk_ASEQ,0)),"")</f>
        <v/>
      </c>
      <c r="H417" s="162">
        <f>IFERROR(""&amp;INDEX(tk_DGA,MATCH(411,tk_ASEQ,0)),"")</f>
        <v/>
      </c>
      <c r="I417" s="162">
        <f>IFERROR(""&amp;INDEX(tk_FACE,MATCH(411,tk_ASEQ,0)),"")</f>
        <v/>
      </c>
      <c r="J417" s="162">
        <f>IFERROR(IF(INDEX(tk_DHAND,MATCH(411,tk_ASEQ,0))="",""&amp;INDEX(tk_HAND,MATCH(411,tk_ASEQ,0)),""&amp;INDEX(tk_DHAND,MATCH(411,tk_ASEQ,0))),"")</f>
        <v/>
      </c>
      <c r="K417" s="162">
        <f>IFERROR(""&amp;INDEX(tk_FDESC,MATCH(411,tk_ASEQ,0)),"")</f>
        <v/>
      </c>
      <c r="L417" s="162">
        <f>IFERROR(INDEX(tk_STEEL,MATCH(411,tk_ASEQ,0))&amp;IF(INDEX(tk_FGA,MATCH(411,tk_ASEQ,0))="",""," "&amp;INDEX(tk_FGA,MATCH(411,tk_ASEQ,0))&amp;"GA"),"")</f>
        <v/>
      </c>
      <c r="M417" s="162">
        <f>IFERROR(IFERROR(VLOOKUP(INDEX(tk_JAMB,MATCH(411,tk_ASEQ,0)),CODES,2,FALSE),""&amp;INDEX(tk_JAMB,MATCH(411,tk_ASEQ,0))),"")</f>
        <v/>
      </c>
      <c r="N417" s="162">
        <f>IFERROR(""&amp;INDEX(tk_CONSTR,MATCH(411,tk_ASEQ,0)),"")</f>
        <v/>
      </c>
      <c r="O417" s="162">
        <f>IFERROR(""&amp;INDEX(tk_ANCHOR,MATCH(411,tk_ASEQ,0)),"")</f>
        <v/>
      </c>
      <c r="P417" s="162">
        <f>IFERROR(""&amp;INDEX(tk_RATING,MATCH(411,tk_ASEQ,0)),"")</f>
        <v/>
      </c>
      <c r="Q417" s="162">
        <f>IFERROR(""&amp;INDEX(tk_LABEL,MATCH(411,tk_ASEQ,0)),"")</f>
        <v/>
      </c>
      <c r="R417" s="162">
        <f>IFERROR(""&amp;INDEX(tk_HWSET,MATCH(411,tk_ASEQ,0)),"")</f>
        <v/>
      </c>
      <c r="S417" s="162">
        <f>IFERROR(IF(""&amp;INDEX(tk_HINGES,MATCH(411,tk_ASEQ,0))="","",INDEX(tk_HINGES,MATCH(411,tk_ASEQ,0))&amp;" · "&amp;INDEX(tk_LSRC,MATCH(411,tk_ASEQ,0))),"")</f>
        <v/>
      </c>
      <c r="T417" s="162">
        <f>IFERROR(""&amp;INDEX(tk_LOCK,MATCH(411,tk_ASEQ,0)),"")</f>
        <v/>
      </c>
      <c r="U417" s="162">
        <f>IFERROR(INDEX(tk_ETYPE,MATCH(411,tk_ASEQ,0)),"")</f>
        <v/>
      </c>
      <c r="V417" s="162">
        <f>IFERROR(""&amp;INDEX(tk_CHECK,MATCH(411,tk_ASEQ,0)),"")</f>
        <v/>
      </c>
      <c r="W417" s="162">
        <f>IFERROR(TRIM(INDEX(tk_DNOTES,MATCH(411,tk_ASEQ,0))&amp;" "&amp;INDEX(tk_FNOTES,MATCH(411,tk_ASEQ,0))),"")</f>
        <v/>
      </c>
    </row>
    <row r="418">
      <c r="A418" s="161">
        <f>IFERROR(""&amp;INDEX(tk_MARK,MATCH(412,tk_ASEQ,0)),"")</f>
        <v/>
      </c>
      <c r="B418" s="162">
        <f>IFERROR(""&amp;INDEX(tk_ROOMF,MATCH(412,tk_ASEQ,0)),"")</f>
        <v/>
      </c>
      <c r="C418" s="162">
        <f>IFERROR(""&amp;INDEX(tk_ROOMT,MATCH(412,tk_ASEQ,0)),"")</f>
        <v/>
      </c>
      <c r="D418" s="162">
        <f>IFERROR(INDEX(tk_QTY,MATCH(412,tk_ASEQ,0)),"")</f>
        <v/>
      </c>
      <c r="E418" s="162">
        <f>IFERROR(""&amp;INDEX(tk_SIZE,MATCH(412,tk_ASEQ,0)),"")</f>
        <v/>
      </c>
      <c r="F418" s="162">
        <f>IFERROR(""&amp;INDEX(tk_PAIR,MATCH(412,tk_ASEQ,0)),"")</f>
        <v/>
      </c>
      <c r="G418" s="162">
        <f>IFERROR(""&amp;INDEX(tk_DMAT,MATCH(412,tk_ASEQ,0)),"")</f>
        <v/>
      </c>
      <c r="H418" s="162">
        <f>IFERROR(""&amp;INDEX(tk_DGA,MATCH(412,tk_ASEQ,0)),"")</f>
        <v/>
      </c>
      <c r="I418" s="162">
        <f>IFERROR(""&amp;INDEX(tk_FACE,MATCH(412,tk_ASEQ,0)),"")</f>
        <v/>
      </c>
      <c r="J418" s="162">
        <f>IFERROR(IF(INDEX(tk_DHAND,MATCH(412,tk_ASEQ,0))="",""&amp;INDEX(tk_HAND,MATCH(412,tk_ASEQ,0)),""&amp;INDEX(tk_DHAND,MATCH(412,tk_ASEQ,0))),"")</f>
        <v/>
      </c>
      <c r="K418" s="162">
        <f>IFERROR(""&amp;INDEX(tk_FDESC,MATCH(412,tk_ASEQ,0)),"")</f>
        <v/>
      </c>
      <c r="L418" s="162">
        <f>IFERROR(INDEX(tk_STEEL,MATCH(412,tk_ASEQ,0))&amp;IF(INDEX(tk_FGA,MATCH(412,tk_ASEQ,0))="",""," "&amp;INDEX(tk_FGA,MATCH(412,tk_ASEQ,0))&amp;"GA"),"")</f>
        <v/>
      </c>
      <c r="M418" s="162">
        <f>IFERROR(IFERROR(VLOOKUP(INDEX(tk_JAMB,MATCH(412,tk_ASEQ,0)),CODES,2,FALSE),""&amp;INDEX(tk_JAMB,MATCH(412,tk_ASEQ,0))),"")</f>
        <v/>
      </c>
      <c r="N418" s="162">
        <f>IFERROR(""&amp;INDEX(tk_CONSTR,MATCH(412,tk_ASEQ,0)),"")</f>
        <v/>
      </c>
      <c r="O418" s="162">
        <f>IFERROR(""&amp;INDEX(tk_ANCHOR,MATCH(412,tk_ASEQ,0)),"")</f>
        <v/>
      </c>
      <c r="P418" s="162">
        <f>IFERROR(""&amp;INDEX(tk_RATING,MATCH(412,tk_ASEQ,0)),"")</f>
        <v/>
      </c>
      <c r="Q418" s="162">
        <f>IFERROR(""&amp;INDEX(tk_LABEL,MATCH(412,tk_ASEQ,0)),"")</f>
        <v/>
      </c>
      <c r="R418" s="162">
        <f>IFERROR(""&amp;INDEX(tk_HWSET,MATCH(412,tk_ASEQ,0)),"")</f>
        <v/>
      </c>
      <c r="S418" s="162">
        <f>IFERROR(IF(""&amp;INDEX(tk_HINGES,MATCH(412,tk_ASEQ,0))="","",INDEX(tk_HINGES,MATCH(412,tk_ASEQ,0))&amp;" · "&amp;INDEX(tk_LSRC,MATCH(412,tk_ASEQ,0))),"")</f>
        <v/>
      </c>
      <c r="T418" s="162">
        <f>IFERROR(""&amp;INDEX(tk_LOCK,MATCH(412,tk_ASEQ,0)),"")</f>
        <v/>
      </c>
      <c r="U418" s="162">
        <f>IFERROR(INDEX(tk_ETYPE,MATCH(412,tk_ASEQ,0)),"")</f>
        <v/>
      </c>
      <c r="V418" s="162">
        <f>IFERROR(""&amp;INDEX(tk_CHECK,MATCH(412,tk_ASEQ,0)),"")</f>
        <v/>
      </c>
      <c r="W418" s="162">
        <f>IFERROR(TRIM(INDEX(tk_DNOTES,MATCH(412,tk_ASEQ,0))&amp;" "&amp;INDEX(tk_FNOTES,MATCH(412,tk_ASEQ,0))),"")</f>
        <v/>
      </c>
    </row>
    <row r="419">
      <c r="A419" s="161">
        <f>IFERROR(""&amp;INDEX(tk_MARK,MATCH(413,tk_ASEQ,0)),"")</f>
        <v/>
      </c>
      <c r="B419" s="162">
        <f>IFERROR(""&amp;INDEX(tk_ROOMF,MATCH(413,tk_ASEQ,0)),"")</f>
        <v/>
      </c>
      <c r="C419" s="162">
        <f>IFERROR(""&amp;INDEX(tk_ROOMT,MATCH(413,tk_ASEQ,0)),"")</f>
        <v/>
      </c>
      <c r="D419" s="162">
        <f>IFERROR(INDEX(tk_QTY,MATCH(413,tk_ASEQ,0)),"")</f>
        <v/>
      </c>
      <c r="E419" s="162">
        <f>IFERROR(""&amp;INDEX(tk_SIZE,MATCH(413,tk_ASEQ,0)),"")</f>
        <v/>
      </c>
      <c r="F419" s="162">
        <f>IFERROR(""&amp;INDEX(tk_PAIR,MATCH(413,tk_ASEQ,0)),"")</f>
        <v/>
      </c>
      <c r="G419" s="162">
        <f>IFERROR(""&amp;INDEX(tk_DMAT,MATCH(413,tk_ASEQ,0)),"")</f>
        <v/>
      </c>
      <c r="H419" s="162">
        <f>IFERROR(""&amp;INDEX(tk_DGA,MATCH(413,tk_ASEQ,0)),"")</f>
        <v/>
      </c>
      <c r="I419" s="162">
        <f>IFERROR(""&amp;INDEX(tk_FACE,MATCH(413,tk_ASEQ,0)),"")</f>
        <v/>
      </c>
      <c r="J419" s="162">
        <f>IFERROR(IF(INDEX(tk_DHAND,MATCH(413,tk_ASEQ,0))="",""&amp;INDEX(tk_HAND,MATCH(413,tk_ASEQ,0)),""&amp;INDEX(tk_DHAND,MATCH(413,tk_ASEQ,0))),"")</f>
        <v/>
      </c>
      <c r="K419" s="162">
        <f>IFERROR(""&amp;INDEX(tk_FDESC,MATCH(413,tk_ASEQ,0)),"")</f>
        <v/>
      </c>
      <c r="L419" s="162">
        <f>IFERROR(INDEX(tk_STEEL,MATCH(413,tk_ASEQ,0))&amp;IF(INDEX(tk_FGA,MATCH(413,tk_ASEQ,0))="",""," "&amp;INDEX(tk_FGA,MATCH(413,tk_ASEQ,0))&amp;"GA"),"")</f>
        <v/>
      </c>
      <c r="M419" s="162">
        <f>IFERROR(IFERROR(VLOOKUP(INDEX(tk_JAMB,MATCH(413,tk_ASEQ,0)),CODES,2,FALSE),""&amp;INDEX(tk_JAMB,MATCH(413,tk_ASEQ,0))),"")</f>
        <v/>
      </c>
      <c r="N419" s="162">
        <f>IFERROR(""&amp;INDEX(tk_CONSTR,MATCH(413,tk_ASEQ,0)),"")</f>
        <v/>
      </c>
      <c r="O419" s="162">
        <f>IFERROR(""&amp;INDEX(tk_ANCHOR,MATCH(413,tk_ASEQ,0)),"")</f>
        <v/>
      </c>
      <c r="P419" s="162">
        <f>IFERROR(""&amp;INDEX(tk_RATING,MATCH(413,tk_ASEQ,0)),"")</f>
        <v/>
      </c>
      <c r="Q419" s="162">
        <f>IFERROR(""&amp;INDEX(tk_LABEL,MATCH(413,tk_ASEQ,0)),"")</f>
        <v/>
      </c>
      <c r="R419" s="162">
        <f>IFERROR(""&amp;INDEX(tk_HWSET,MATCH(413,tk_ASEQ,0)),"")</f>
        <v/>
      </c>
      <c r="S419" s="162">
        <f>IFERROR(IF(""&amp;INDEX(tk_HINGES,MATCH(413,tk_ASEQ,0))="","",INDEX(tk_HINGES,MATCH(413,tk_ASEQ,0))&amp;" · "&amp;INDEX(tk_LSRC,MATCH(413,tk_ASEQ,0))),"")</f>
        <v/>
      </c>
      <c r="T419" s="162">
        <f>IFERROR(""&amp;INDEX(tk_LOCK,MATCH(413,tk_ASEQ,0)),"")</f>
        <v/>
      </c>
      <c r="U419" s="162">
        <f>IFERROR(INDEX(tk_ETYPE,MATCH(413,tk_ASEQ,0)),"")</f>
        <v/>
      </c>
      <c r="V419" s="162">
        <f>IFERROR(""&amp;INDEX(tk_CHECK,MATCH(413,tk_ASEQ,0)),"")</f>
        <v/>
      </c>
      <c r="W419" s="162">
        <f>IFERROR(TRIM(INDEX(tk_DNOTES,MATCH(413,tk_ASEQ,0))&amp;" "&amp;INDEX(tk_FNOTES,MATCH(413,tk_ASEQ,0))),"")</f>
        <v/>
      </c>
    </row>
    <row r="420">
      <c r="A420" s="161">
        <f>IFERROR(""&amp;INDEX(tk_MARK,MATCH(414,tk_ASEQ,0)),"")</f>
        <v/>
      </c>
      <c r="B420" s="162">
        <f>IFERROR(""&amp;INDEX(tk_ROOMF,MATCH(414,tk_ASEQ,0)),"")</f>
        <v/>
      </c>
      <c r="C420" s="162">
        <f>IFERROR(""&amp;INDEX(tk_ROOMT,MATCH(414,tk_ASEQ,0)),"")</f>
        <v/>
      </c>
      <c r="D420" s="162">
        <f>IFERROR(INDEX(tk_QTY,MATCH(414,tk_ASEQ,0)),"")</f>
        <v/>
      </c>
      <c r="E420" s="162">
        <f>IFERROR(""&amp;INDEX(tk_SIZE,MATCH(414,tk_ASEQ,0)),"")</f>
        <v/>
      </c>
      <c r="F420" s="162">
        <f>IFERROR(""&amp;INDEX(tk_PAIR,MATCH(414,tk_ASEQ,0)),"")</f>
        <v/>
      </c>
      <c r="G420" s="162">
        <f>IFERROR(""&amp;INDEX(tk_DMAT,MATCH(414,tk_ASEQ,0)),"")</f>
        <v/>
      </c>
      <c r="H420" s="162">
        <f>IFERROR(""&amp;INDEX(tk_DGA,MATCH(414,tk_ASEQ,0)),"")</f>
        <v/>
      </c>
      <c r="I420" s="162">
        <f>IFERROR(""&amp;INDEX(tk_FACE,MATCH(414,tk_ASEQ,0)),"")</f>
        <v/>
      </c>
      <c r="J420" s="162">
        <f>IFERROR(IF(INDEX(tk_DHAND,MATCH(414,tk_ASEQ,0))="",""&amp;INDEX(tk_HAND,MATCH(414,tk_ASEQ,0)),""&amp;INDEX(tk_DHAND,MATCH(414,tk_ASEQ,0))),"")</f>
        <v/>
      </c>
      <c r="K420" s="162">
        <f>IFERROR(""&amp;INDEX(tk_FDESC,MATCH(414,tk_ASEQ,0)),"")</f>
        <v/>
      </c>
      <c r="L420" s="162">
        <f>IFERROR(INDEX(tk_STEEL,MATCH(414,tk_ASEQ,0))&amp;IF(INDEX(tk_FGA,MATCH(414,tk_ASEQ,0))="",""," "&amp;INDEX(tk_FGA,MATCH(414,tk_ASEQ,0))&amp;"GA"),"")</f>
        <v/>
      </c>
      <c r="M420" s="162">
        <f>IFERROR(IFERROR(VLOOKUP(INDEX(tk_JAMB,MATCH(414,tk_ASEQ,0)),CODES,2,FALSE),""&amp;INDEX(tk_JAMB,MATCH(414,tk_ASEQ,0))),"")</f>
        <v/>
      </c>
      <c r="N420" s="162">
        <f>IFERROR(""&amp;INDEX(tk_CONSTR,MATCH(414,tk_ASEQ,0)),"")</f>
        <v/>
      </c>
      <c r="O420" s="162">
        <f>IFERROR(""&amp;INDEX(tk_ANCHOR,MATCH(414,tk_ASEQ,0)),"")</f>
        <v/>
      </c>
      <c r="P420" s="162">
        <f>IFERROR(""&amp;INDEX(tk_RATING,MATCH(414,tk_ASEQ,0)),"")</f>
        <v/>
      </c>
      <c r="Q420" s="162">
        <f>IFERROR(""&amp;INDEX(tk_LABEL,MATCH(414,tk_ASEQ,0)),"")</f>
        <v/>
      </c>
      <c r="R420" s="162">
        <f>IFERROR(""&amp;INDEX(tk_HWSET,MATCH(414,tk_ASEQ,0)),"")</f>
        <v/>
      </c>
      <c r="S420" s="162">
        <f>IFERROR(IF(""&amp;INDEX(tk_HINGES,MATCH(414,tk_ASEQ,0))="","",INDEX(tk_HINGES,MATCH(414,tk_ASEQ,0))&amp;" · "&amp;INDEX(tk_LSRC,MATCH(414,tk_ASEQ,0))),"")</f>
        <v/>
      </c>
      <c r="T420" s="162">
        <f>IFERROR(""&amp;INDEX(tk_LOCK,MATCH(414,tk_ASEQ,0)),"")</f>
        <v/>
      </c>
      <c r="U420" s="162">
        <f>IFERROR(INDEX(tk_ETYPE,MATCH(414,tk_ASEQ,0)),"")</f>
        <v/>
      </c>
      <c r="V420" s="162">
        <f>IFERROR(""&amp;INDEX(tk_CHECK,MATCH(414,tk_ASEQ,0)),"")</f>
        <v/>
      </c>
      <c r="W420" s="162">
        <f>IFERROR(TRIM(INDEX(tk_DNOTES,MATCH(414,tk_ASEQ,0))&amp;" "&amp;INDEX(tk_FNOTES,MATCH(414,tk_ASEQ,0))),"")</f>
        <v/>
      </c>
    </row>
    <row r="421">
      <c r="A421" s="161">
        <f>IFERROR(""&amp;INDEX(tk_MARK,MATCH(415,tk_ASEQ,0)),"")</f>
        <v/>
      </c>
      <c r="B421" s="162">
        <f>IFERROR(""&amp;INDEX(tk_ROOMF,MATCH(415,tk_ASEQ,0)),"")</f>
        <v/>
      </c>
      <c r="C421" s="162">
        <f>IFERROR(""&amp;INDEX(tk_ROOMT,MATCH(415,tk_ASEQ,0)),"")</f>
        <v/>
      </c>
      <c r="D421" s="162">
        <f>IFERROR(INDEX(tk_QTY,MATCH(415,tk_ASEQ,0)),"")</f>
        <v/>
      </c>
      <c r="E421" s="162">
        <f>IFERROR(""&amp;INDEX(tk_SIZE,MATCH(415,tk_ASEQ,0)),"")</f>
        <v/>
      </c>
      <c r="F421" s="162">
        <f>IFERROR(""&amp;INDEX(tk_PAIR,MATCH(415,tk_ASEQ,0)),"")</f>
        <v/>
      </c>
      <c r="G421" s="162">
        <f>IFERROR(""&amp;INDEX(tk_DMAT,MATCH(415,tk_ASEQ,0)),"")</f>
        <v/>
      </c>
      <c r="H421" s="162">
        <f>IFERROR(""&amp;INDEX(tk_DGA,MATCH(415,tk_ASEQ,0)),"")</f>
        <v/>
      </c>
      <c r="I421" s="162">
        <f>IFERROR(""&amp;INDEX(tk_FACE,MATCH(415,tk_ASEQ,0)),"")</f>
        <v/>
      </c>
      <c r="J421" s="162">
        <f>IFERROR(IF(INDEX(tk_DHAND,MATCH(415,tk_ASEQ,0))="",""&amp;INDEX(tk_HAND,MATCH(415,tk_ASEQ,0)),""&amp;INDEX(tk_DHAND,MATCH(415,tk_ASEQ,0))),"")</f>
        <v/>
      </c>
      <c r="K421" s="162">
        <f>IFERROR(""&amp;INDEX(tk_FDESC,MATCH(415,tk_ASEQ,0)),"")</f>
        <v/>
      </c>
      <c r="L421" s="162">
        <f>IFERROR(INDEX(tk_STEEL,MATCH(415,tk_ASEQ,0))&amp;IF(INDEX(tk_FGA,MATCH(415,tk_ASEQ,0))="",""," "&amp;INDEX(tk_FGA,MATCH(415,tk_ASEQ,0))&amp;"GA"),"")</f>
        <v/>
      </c>
      <c r="M421" s="162">
        <f>IFERROR(IFERROR(VLOOKUP(INDEX(tk_JAMB,MATCH(415,tk_ASEQ,0)),CODES,2,FALSE),""&amp;INDEX(tk_JAMB,MATCH(415,tk_ASEQ,0))),"")</f>
        <v/>
      </c>
      <c r="N421" s="162">
        <f>IFERROR(""&amp;INDEX(tk_CONSTR,MATCH(415,tk_ASEQ,0)),"")</f>
        <v/>
      </c>
      <c r="O421" s="162">
        <f>IFERROR(""&amp;INDEX(tk_ANCHOR,MATCH(415,tk_ASEQ,0)),"")</f>
        <v/>
      </c>
      <c r="P421" s="162">
        <f>IFERROR(""&amp;INDEX(tk_RATING,MATCH(415,tk_ASEQ,0)),"")</f>
        <v/>
      </c>
      <c r="Q421" s="162">
        <f>IFERROR(""&amp;INDEX(tk_LABEL,MATCH(415,tk_ASEQ,0)),"")</f>
        <v/>
      </c>
      <c r="R421" s="162">
        <f>IFERROR(""&amp;INDEX(tk_HWSET,MATCH(415,tk_ASEQ,0)),"")</f>
        <v/>
      </c>
      <c r="S421" s="162">
        <f>IFERROR(IF(""&amp;INDEX(tk_HINGES,MATCH(415,tk_ASEQ,0))="","",INDEX(tk_HINGES,MATCH(415,tk_ASEQ,0))&amp;" · "&amp;INDEX(tk_LSRC,MATCH(415,tk_ASEQ,0))),"")</f>
        <v/>
      </c>
      <c r="T421" s="162">
        <f>IFERROR(""&amp;INDEX(tk_LOCK,MATCH(415,tk_ASEQ,0)),"")</f>
        <v/>
      </c>
      <c r="U421" s="162">
        <f>IFERROR(INDEX(tk_ETYPE,MATCH(415,tk_ASEQ,0)),"")</f>
        <v/>
      </c>
      <c r="V421" s="162">
        <f>IFERROR(""&amp;INDEX(tk_CHECK,MATCH(415,tk_ASEQ,0)),"")</f>
        <v/>
      </c>
      <c r="W421" s="162">
        <f>IFERROR(TRIM(INDEX(tk_DNOTES,MATCH(415,tk_ASEQ,0))&amp;" "&amp;INDEX(tk_FNOTES,MATCH(415,tk_ASEQ,0))),"")</f>
        <v/>
      </c>
    </row>
    <row r="422">
      <c r="A422" s="161">
        <f>IFERROR(""&amp;INDEX(tk_MARK,MATCH(416,tk_ASEQ,0)),"")</f>
        <v/>
      </c>
      <c r="B422" s="162">
        <f>IFERROR(""&amp;INDEX(tk_ROOMF,MATCH(416,tk_ASEQ,0)),"")</f>
        <v/>
      </c>
      <c r="C422" s="162">
        <f>IFERROR(""&amp;INDEX(tk_ROOMT,MATCH(416,tk_ASEQ,0)),"")</f>
        <v/>
      </c>
      <c r="D422" s="162">
        <f>IFERROR(INDEX(tk_QTY,MATCH(416,tk_ASEQ,0)),"")</f>
        <v/>
      </c>
      <c r="E422" s="162">
        <f>IFERROR(""&amp;INDEX(tk_SIZE,MATCH(416,tk_ASEQ,0)),"")</f>
        <v/>
      </c>
      <c r="F422" s="162">
        <f>IFERROR(""&amp;INDEX(tk_PAIR,MATCH(416,tk_ASEQ,0)),"")</f>
        <v/>
      </c>
      <c r="G422" s="162">
        <f>IFERROR(""&amp;INDEX(tk_DMAT,MATCH(416,tk_ASEQ,0)),"")</f>
        <v/>
      </c>
      <c r="H422" s="162">
        <f>IFERROR(""&amp;INDEX(tk_DGA,MATCH(416,tk_ASEQ,0)),"")</f>
        <v/>
      </c>
      <c r="I422" s="162">
        <f>IFERROR(""&amp;INDEX(tk_FACE,MATCH(416,tk_ASEQ,0)),"")</f>
        <v/>
      </c>
      <c r="J422" s="162">
        <f>IFERROR(IF(INDEX(tk_DHAND,MATCH(416,tk_ASEQ,0))="",""&amp;INDEX(tk_HAND,MATCH(416,tk_ASEQ,0)),""&amp;INDEX(tk_DHAND,MATCH(416,tk_ASEQ,0))),"")</f>
        <v/>
      </c>
      <c r="K422" s="162">
        <f>IFERROR(""&amp;INDEX(tk_FDESC,MATCH(416,tk_ASEQ,0)),"")</f>
        <v/>
      </c>
      <c r="L422" s="162">
        <f>IFERROR(INDEX(tk_STEEL,MATCH(416,tk_ASEQ,0))&amp;IF(INDEX(tk_FGA,MATCH(416,tk_ASEQ,0))="",""," "&amp;INDEX(tk_FGA,MATCH(416,tk_ASEQ,0))&amp;"GA"),"")</f>
        <v/>
      </c>
      <c r="M422" s="162">
        <f>IFERROR(IFERROR(VLOOKUP(INDEX(tk_JAMB,MATCH(416,tk_ASEQ,0)),CODES,2,FALSE),""&amp;INDEX(tk_JAMB,MATCH(416,tk_ASEQ,0))),"")</f>
        <v/>
      </c>
      <c r="N422" s="162">
        <f>IFERROR(""&amp;INDEX(tk_CONSTR,MATCH(416,tk_ASEQ,0)),"")</f>
        <v/>
      </c>
      <c r="O422" s="162">
        <f>IFERROR(""&amp;INDEX(tk_ANCHOR,MATCH(416,tk_ASEQ,0)),"")</f>
        <v/>
      </c>
      <c r="P422" s="162">
        <f>IFERROR(""&amp;INDEX(tk_RATING,MATCH(416,tk_ASEQ,0)),"")</f>
        <v/>
      </c>
      <c r="Q422" s="162">
        <f>IFERROR(""&amp;INDEX(tk_LABEL,MATCH(416,tk_ASEQ,0)),"")</f>
        <v/>
      </c>
      <c r="R422" s="162">
        <f>IFERROR(""&amp;INDEX(tk_HWSET,MATCH(416,tk_ASEQ,0)),"")</f>
        <v/>
      </c>
      <c r="S422" s="162">
        <f>IFERROR(IF(""&amp;INDEX(tk_HINGES,MATCH(416,tk_ASEQ,0))="","",INDEX(tk_HINGES,MATCH(416,tk_ASEQ,0))&amp;" · "&amp;INDEX(tk_LSRC,MATCH(416,tk_ASEQ,0))),"")</f>
        <v/>
      </c>
      <c r="T422" s="162">
        <f>IFERROR(""&amp;INDEX(tk_LOCK,MATCH(416,tk_ASEQ,0)),"")</f>
        <v/>
      </c>
      <c r="U422" s="162">
        <f>IFERROR(INDEX(tk_ETYPE,MATCH(416,tk_ASEQ,0)),"")</f>
        <v/>
      </c>
      <c r="V422" s="162">
        <f>IFERROR(""&amp;INDEX(tk_CHECK,MATCH(416,tk_ASEQ,0)),"")</f>
        <v/>
      </c>
      <c r="W422" s="162">
        <f>IFERROR(TRIM(INDEX(tk_DNOTES,MATCH(416,tk_ASEQ,0))&amp;" "&amp;INDEX(tk_FNOTES,MATCH(416,tk_ASEQ,0))),"")</f>
        <v/>
      </c>
    </row>
    <row r="423">
      <c r="A423" s="161">
        <f>IFERROR(""&amp;INDEX(tk_MARK,MATCH(417,tk_ASEQ,0)),"")</f>
        <v/>
      </c>
      <c r="B423" s="162">
        <f>IFERROR(""&amp;INDEX(tk_ROOMF,MATCH(417,tk_ASEQ,0)),"")</f>
        <v/>
      </c>
      <c r="C423" s="162">
        <f>IFERROR(""&amp;INDEX(tk_ROOMT,MATCH(417,tk_ASEQ,0)),"")</f>
        <v/>
      </c>
      <c r="D423" s="162">
        <f>IFERROR(INDEX(tk_QTY,MATCH(417,tk_ASEQ,0)),"")</f>
        <v/>
      </c>
      <c r="E423" s="162">
        <f>IFERROR(""&amp;INDEX(tk_SIZE,MATCH(417,tk_ASEQ,0)),"")</f>
        <v/>
      </c>
      <c r="F423" s="162">
        <f>IFERROR(""&amp;INDEX(tk_PAIR,MATCH(417,tk_ASEQ,0)),"")</f>
        <v/>
      </c>
      <c r="G423" s="162">
        <f>IFERROR(""&amp;INDEX(tk_DMAT,MATCH(417,tk_ASEQ,0)),"")</f>
        <v/>
      </c>
      <c r="H423" s="162">
        <f>IFERROR(""&amp;INDEX(tk_DGA,MATCH(417,tk_ASEQ,0)),"")</f>
        <v/>
      </c>
      <c r="I423" s="162">
        <f>IFERROR(""&amp;INDEX(tk_FACE,MATCH(417,tk_ASEQ,0)),"")</f>
        <v/>
      </c>
      <c r="J423" s="162">
        <f>IFERROR(IF(INDEX(tk_DHAND,MATCH(417,tk_ASEQ,0))="",""&amp;INDEX(tk_HAND,MATCH(417,tk_ASEQ,0)),""&amp;INDEX(tk_DHAND,MATCH(417,tk_ASEQ,0))),"")</f>
        <v/>
      </c>
      <c r="K423" s="162">
        <f>IFERROR(""&amp;INDEX(tk_FDESC,MATCH(417,tk_ASEQ,0)),"")</f>
        <v/>
      </c>
      <c r="L423" s="162">
        <f>IFERROR(INDEX(tk_STEEL,MATCH(417,tk_ASEQ,0))&amp;IF(INDEX(tk_FGA,MATCH(417,tk_ASEQ,0))="",""," "&amp;INDEX(tk_FGA,MATCH(417,tk_ASEQ,0))&amp;"GA"),"")</f>
        <v/>
      </c>
      <c r="M423" s="162">
        <f>IFERROR(IFERROR(VLOOKUP(INDEX(tk_JAMB,MATCH(417,tk_ASEQ,0)),CODES,2,FALSE),""&amp;INDEX(tk_JAMB,MATCH(417,tk_ASEQ,0))),"")</f>
        <v/>
      </c>
      <c r="N423" s="162">
        <f>IFERROR(""&amp;INDEX(tk_CONSTR,MATCH(417,tk_ASEQ,0)),"")</f>
        <v/>
      </c>
      <c r="O423" s="162">
        <f>IFERROR(""&amp;INDEX(tk_ANCHOR,MATCH(417,tk_ASEQ,0)),"")</f>
        <v/>
      </c>
      <c r="P423" s="162">
        <f>IFERROR(""&amp;INDEX(tk_RATING,MATCH(417,tk_ASEQ,0)),"")</f>
        <v/>
      </c>
      <c r="Q423" s="162">
        <f>IFERROR(""&amp;INDEX(tk_LABEL,MATCH(417,tk_ASEQ,0)),"")</f>
        <v/>
      </c>
      <c r="R423" s="162">
        <f>IFERROR(""&amp;INDEX(tk_HWSET,MATCH(417,tk_ASEQ,0)),"")</f>
        <v/>
      </c>
      <c r="S423" s="162">
        <f>IFERROR(IF(""&amp;INDEX(tk_HINGES,MATCH(417,tk_ASEQ,0))="","",INDEX(tk_HINGES,MATCH(417,tk_ASEQ,0))&amp;" · "&amp;INDEX(tk_LSRC,MATCH(417,tk_ASEQ,0))),"")</f>
        <v/>
      </c>
      <c r="T423" s="162">
        <f>IFERROR(""&amp;INDEX(tk_LOCK,MATCH(417,tk_ASEQ,0)),"")</f>
        <v/>
      </c>
      <c r="U423" s="162">
        <f>IFERROR(INDEX(tk_ETYPE,MATCH(417,tk_ASEQ,0)),"")</f>
        <v/>
      </c>
      <c r="V423" s="162">
        <f>IFERROR(""&amp;INDEX(tk_CHECK,MATCH(417,tk_ASEQ,0)),"")</f>
        <v/>
      </c>
      <c r="W423" s="162">
        <f>IFERROR(TRIM(INDEX(tk_DNOTES,MATCH(417,tk_ASEQ,0))&amp;" "&amp;INDEX(tk_FNOTES,MATCH(417,tk_ASEQ,0))),"")</f>
        <v/>
      </c>
    </row>
    <row r="424">
      <c r="A424" s="161">
        <f>IFERROR(""&amp;INDEX(tk_MARK,MATCH(418,tk_ASEQ,0)),"")</f>
        <v/>
      </c>
      <c r="B424" s="162">
        <f>IFERROR(""&amp;INDEX(tk_ROOMF,MATCH(418,tk_ASEQ,0)),"")</f>
        <v/>
      </c>
      <c r="C424" s="162">
        <f>IFERROR(""&amp;INDEX(tk_ROOMT,MATCH(418,tk_ASEQ,0)),"")</f>
        <v/>
      </c>
      <c r="D424" s="162">
        <f>IFERROR(INDEX(tk_QTY,MATCH(418,tk_ASEQ,0)),"")</f>
        <v/>
      </c>
      <c r="E424" s="162">
        <f>IFERROR(""&amp;INDEX(tk_SIZE,MATCH(418,tk_ASEQ,0)),"")</f>
        <v/>
      </c>
      <c r="F424" s="162">
        <f>IFERROR(""&amp;INDEX(tk_PAIR,MATCH(418,tk_ASEQ,0)),"")</f>
        <v/>
      </c>
      <c r="G424" s="162">
        <f>IFERROR(""&amp;INDEX(tk_DMAT,MATCH(418,tk_ASEQ,0)),"")</f>
        <v/>
      </c>
      <c r="H424" s="162">
        <f>IFERROR(""&amp;INDEX(tk_DGA,MATCH(418,tk_ASEQ,0)),"")</f>
        <v/>
      </c>
      <c r="I424" s="162">
        <f>IFERROR(""&amp;INDEX(tk_FACE,MATCH(418,tk_ASEQ,0)),"")</f>
        <v/>
      </c>
      <c r="J424" s="162">
        <f>IFERROR(IF(INDEX(tk_DHAND,MATCH(418,tk_ASEQ,0))="",""&amp;INDEX(tk_HAND,MATCH(418,tk_ASEQ,0)),""&amp;INDEX(tk_DHAND,MATCH(418,tk_ASEQ,0))),"")</f>
        <v/>
      </c>
      <c r="K424" s="162">
        <f>IFERROR(""&amp;INDEX(tk_FDESC,MATCH(418,tk_ASEQ,0)),"")</f>
        <v/>
      </c>
      <c r="L424" s="162">
        <f>IFERROR(INDEX(tk_STEEL,MATCH(418,tk_ASEQ,0))&amp;IF(INDEX(tk_FGA,MATCH(418,tk_ASEQ,0))="",""," "&amp;INDEX(tk_FGA,MATCH(418,tk_ASEQ,0))&amp;"GA"),"")</f>
        <v/>
      </c>
      <c r="M424" s="162">
        <f>IFERROR(IFERROR(VLOOKUP(INDEX(tk_JAMB,MATCH(418,tk_ASEQ,0)),CODES,2,FALSE),""&amp;INDEX(tk_JAMB,MATCH(418,tk_ASEQ,0))),"")</f>
        <v/>
      </c>
      <c r="N424" s="162">
        <f>IFERROR(""&amp;INDEX(tk_CONSTR,MATCH(418,tk_ASEQ,0)),"")</f>
        <v/>
      </c>
      <c r="O424" s="162">
        <f>IFERROR(""&amp;INDEX(tk_ANCHOR,MATCH(418,tk_ASEQ,0)),"")</f>
        <v/>
      </c>
      <c r="P424" s="162">
        <f>IFERROR(""&amp;INDEX(tk_RATING,MATCH(418,tk_ASEQ,0)),"")</f>
        <v/>
      </c>
      <c r="Q424" s="162">
        <f>IFERROR(""&amp;INDEX(tk_LABEL,MATCH(418,tk_ASEQ,0)),"")</f>
        <v/>
      </c>
      <c r="R424" s="162">
        <f>IFERROR(""&amp;INDEX(tk_HWSET,MATCH(418,tk_ASEQ,0)),"")</f>
        <v/>
      </c>
      <c r="S424" s="162">
        <f>IFERROR(IF(""&amp;INDEX(tk_HINGES,MATCH(418,tk_ASEQ,0))="","",INDEX(tk_HINGES,MATCH(418,tk_ASEQ,0))&amp;" · "&amp;INDEX(tk_LSRC,MATCH(418,tk_ASEQ,0))),"")</f>
        <v/>
      </c>
      <c r="T424" s="162">
        <f>IFERROR(""&amp;INDEX(tk_LOCK,MATCH(418,tk_ASEQ,0)),"")</f>
        <v/>
      </c>
      <c r="U424" s="162">
        <f>IFERROR(INDEX(tk_ETYPE,MATCH(418,tk_ASEQ,0)),"")</f>
        <v/>
      </c>
      <c r="V424" s="162">
        <f>IFERROR(""&amp;INDEX(tk_CHECK,MATCH(418,tk_ASEQ,0)),"")</f>
        <v/>
      </c>
      <c r="W424" s="162">
        <f>IFERROR(TRIM(INDEX(tk_DNOTES,MATCH(418,tk_ASEQ,0))&amp;" "&amp;INDEX(tk_FNOTES,MATCH(418,tk_ASEQ,0))),"")</f>
        <v/>
      </c>
    </row>
    <row r="425">
      <c r="A425" s="161">
        <f>IFERROR(""&amp;INDEX(tk_MARK,MATCH(419,tk_ASEQ,0)),"")</f>
        <v/>
      </c>
      <c r="B425" s="162">
        <f>IFERROR(""&amp;INDEX(tk_ROOMF,MATCH(419,tk_ASEQ,0)),"")</f>
        <v/>
      </c>
      <c r="C425" s="162">
        <f>IFERROR(""&amp;INDEX(tk_ROOMT,MATCH(419,tk_ASEQ,0)),"")</f>
        <v/>
      </c>
      <c r="D425" s="162">
        <f>IFERROR(INDEX(tk_QTY,MATCH(419,tk_ASEQ,0)),"")</f>
        <v/>
      </c>
      <c r="E425" s="162">
        <f>IFERROR(""&amp;INDEX(tk_SIZE,MATCH(419,tk_ASEQ,0)),"")</f>
        <v/>
      </c>
      <c r="F425" s="162">
        <f>IFERROR(""&amp;INDEX(tk_PAIR,MATCH(419,tk_ASEQ,0)),"")</f>
        <v/>
      </c>
      <c r="G425" s="162">
        <f>IFERROR(""&amp;INDEX(tk_DMAT,MATCH(419,tk_ASEQ,0)),"")</f>
        <v/>
      </c>
      <c r="H425" s="162">
        <f>IFERROR(""&amp;INDEX(tk_DGA,MATCH(419,tk_ASEQ,0)),"")</f>
        <v/>
      </c>
      <c r="I425" s="162">
        <f>IFERROR(""&amp;INDEX(tk_FACE,MATCH(419,tk_ASEQ,0)),"")</f>
        <v/>
      </c>
      <c r="J425" s="162">
        <f>IFERROR(IF(INDEX(tk_DHAND,MATCH(419,tk_ASEQ,0))="",""&amp;INDEX(tk_HAND,MATCH(419,tk_ASEQ,0)),""&amp;INDEX(tk_DHAND,MATCH(419,tk_ASEQ,0))),"")</f>
        <v/>
      </c>
      <c r="K425" s="162">
        <f>IFERROR(""&amp;INDEX(tk_FDESC,MATCH(419,tk_ASEQ,0)),"")</f>
        <v/>
      </c>
      <c r="L425" s="162">
        <f>IFERROR(INDEX(tk_STEEL,MATCH(419,tk_ASEQ,0))&amp;IF(INDEX(tk_FGA,MATCH(419,tk_ASEQ,0))="",""," "&amp;INDEX(tk_FGA,MATCH(419,tk_ASEQ,0))&amp;"GA"),"")</f>
        <v/>
      </c>
      <c r="M425" s="162">
        <f>IFERROR(IFERROR(VLOOKUP(INDEX(tk_JAMB,MATCH(419,tk_ASEQ,0)),CODES,2,FALSE),""&amp;INDEX(tk_JAMB,MATCH(419,tk_ASEQ,0))),"")</f>
        <v/>
      </c>
      <c r="N425" s="162">
        <f>IFERROR(""&amp;INDEX(tk_CONSTR,MATCH(419,tk_ASEQ,0)),"")</f>
        <v/>
      </c>
      <c r="O425" s="162">
        <f>IFERROR(""&amp;INDEX(tk_ANCHOR,MATCH(419,tk_ASEQ,0)),"")</f>
        <v/>
      </c>
      <c r="P425" s="162">
        <f>IFERROR(""&amp;INDEX(tk_RATING,MATCH(419,tk_ASEQ,0)),"")</f>
        <v/>
      </c>
      <c r="Q425" s="162">
        <f>IFERROR(""&amp;INDEX(tk_LABEL,MATCH(419,tk_ASEQ,0)),"")</f>
        <v/>
      </c>
      <c r="R425" s="162">
        <f>IFERROR(""&amp;INDEX(tk_HWSET,MATCH(419,tk_ASEQ,0)),"")</f>
        <v/>
      </c>
      <c r="S425" s="162">
        <f>IFERROR(IF(""&amp;INDEX(tk_HINGES,MATCH(419,tk_ASEQ,0))="","",INDEX(tk_HINGES,MATCH(419,tk_ASEQ,0))&amp;" · "&amp;INDEX(tk_LSRC,MATCH(419,tk_ASEQ,0))),"")</f>
        <v/>
      </c>
      <c r="T425" s="162">
        <f>IFERROR(""&amp;INDEX(tk_LOCK,MATCH(419,tk_ASEQ,0)),"")</f>
        <v/>
      </c>
      <c r="U425" s="162">
        <f>IFERROR(INDEX(tk_ETYPE,MATCH(419,tk_ASEQ,0)),"")</f>
        <v/>
      </c>
      <c r="V425" s="162">
        <f>IFERROR(""&amp;INDEX(tk_CHECK,MATCH(419,tk_ASEQ,0)),"")</f>
        <v/>
      </c>
      <c r="W425" s="162">
        <f>IFERROR(TRIM(INDEX(tk_DNOTES,MATCH(419,tk_ASEQ,0))&amp;" "&amp;INDEX(tk_FNOTES,MATCH(419,tk_ASEQ,0))),"")</f>
        <v/>
      </c>
    </row>
    <row r="426">
      <c r="A426" s="161">
        <f>IFERROR(""&amp;INDEX(tk_MARK,MATCH(420,tk_ASEQ,0)),"")</f>
        <v/>
      </c>
      <c r="B426" s="162">
        <f>IFERROR(""&amp;INDEX(tk_ROOMF,MATCH(420,tk_ASEQ,0)),"")</f>
        <v/>
      </c>
      <c r="C426" s="162">
        <f>IFERROR(""&amp;INDEX(tk_ROOMT,MATCH(420,tk_ASEQ,0)),"")</f>
        <v/>
      </c>
      <c r="D426" s="162">
        <f>IFERROR(INDEX(tk_QTY,MATCH(420,tk_ASEQ,0)),"")</f>
        <v/>
      </c>
      <c r="E426" s="162">
        <f>IFERROR(""&amp;INDEX(tk_SIZE,MATCH(420,tk_ASEQ,0)),"")</f>
        <v/>
      </c>
      <c r="F426" s="162">
        <f>IFERROR(""&amp;INDEX(tk_PAIR,MATCH(420,tk_ASEQ,0)),"")</f>
        <v/>
      </c>
      <c r="G426" s="162">
        <f>IFERROR(""&amp;INDEX(tk_DMAT,MATCH(420,tk_ASEQ,0)),"")</f>
        <v/>
      </c>
      <c r="H426" s="162">
        <f>IFERROR(""&amp;INDEX(tk_DGA,MATCH(420,tk_ASEQ,0)),"")</f>
        <v/>
      </c>
      <c r="I426" s="162">
        <f>IFERROR(""&amp;INDEX(tk_FACE,MATCH(420,tk_ASEQ,0)),"")</f>
        <v/>
      </c>
      <c r="J426" s="162">
        <f>IFERROR(IF(INDEX(tk_DHAND,MATCH(420,tk_ASEQ,0))="",""&amp;INDEX(tk_HAND,MATCH(420,tk_ASEQ,0)),""&amp;INDEX(tk_DHAND,MATCH(420,tk_ASEQ,0))),"")</f>
        <v/>
      </c>
      <c r="K426" s="162">
        <f>IFERROR(""&amp;INDEX(tk_FDESC,MATCH(420,tk_ASEQ,0)),"")</f>
        <v/>
      </c>
      <c r="L426" s="162">
        <f>IFERROR(INDEX(tk_STEEL,MATCH(420,tk_ASEQ,0))&amp;IF(INDEX(tk_FGA,MATCH(420,tk_ASEQ,0))="",""," "&amp;INDEX(tk_FGA,MATCH(420,tk_ASEQ,0))&amp;"GA"),"")</f>
        <v/>
      </c>
      <c r="M426" s="162">
        <f>IFERROR(IFERROR(VLOOKUP(INDEX(tk_JAMB,MATCH(420,tk_ASEQ,0)),CODES,2,FALSE),""&amp;INDEX(tk_JAMB,MATCH(420,tk_ASEQ,0))),"")</f>
        <v/>
      </c>
      <c r="N426" s="162">
        <f>IFERROR(""&amp;INDEX(tk_CONSTR,MATCH(420,tk_ASEQ,0)),"")</f>
        <v/>
      </c>
      <c r="O426" s="162">
        <f>IFERROR(""&amp;INDEX(tk_ANCHOR,MATCH(420,tk_ASEQ,0)),"")</f>
        <v/>
      </c>
      <c r="P426" s="162">
        <f>IFERROR(""&amp;INDEX(tk_RATING,MATCH(420,tk_ASEQ,0)),"")</f>
        <v/>
      </c>
      <c r="Q426" s="162">
        <f>IFERROR(""&amp;INDEX(tk_LABEL,MATCH(420,tk_ASEQ,0)),"")</f>
        <v/>
      </c>
      <c r="R426" s="162">
        <f>IFERROR(""&amp;INDEX(tk_HWSET,MATCH(420,tk_ASEQ,0)),"")</f>
        <v/>
      </c>
      <c r="S426" s="162">
        <f>IFERROR(IF(""&amp;INDEX(tk_HINGES,MATCH(420,tk_ASEQ,0))="","",INDEX(tk_HINGES,MATCH(420,tk_ASEQ,0))&amp;" · "&amp;INDEX(tk_LSRC,MATCH(420,tk_ASEQ,0))),"")</f>
        <v/>
      </c>
      <c r="T426" s="162">
        <f>IFERROR(""&amp;INDEX(tk_LOCK,MATCH(420,tk_ASEQ,0)),"")</f>
        <v/>
      </c>
      <c r="U426" s="162">
        <f>IFERROR(INDEX(tk_ETYPE,MATCH(420,tk_ASEQ,0)),"")</f>
        <v/>
      </c>
      <c r="V426" s="162">
        <f>IFERROR(""&amp;INDEX(tk_CHECK,MATCH(420,tk_ASEQ,0)),"")</f>
        <v/>
      </c>
      <c r="W426" s="162">
        <f>IFERROR(TRIM(INDEX(tk_DNOTES,MATCH(420,tk_ASEQ,0))&amp;" "&amp;INDEX(tk_FNOTES,MATCH(420,tk_ASEQ,0))),"")</f>
        <v/>
      </c>
    </row>
    <row r="427">
      <c r="A427" s="161">
        <f>IFERROR(""&amp;INDEX(tk_MARK,MATCH(421,tk_ASEQ,0)),"")</f>
        <v/>
      </c>
      <c r="B427" s="162">
        <f>IFERROR(""&amp;INDEX(tk_ROOMF,MATCH(421,tk_ASEQ,0)),"")</f>
        <v/>
      </c>
      <c r="C427" s="162">
        <f>IFERROR(""&amp;INDEX(tk_ROOMT,MATCH(421,tk_ASEQ,0)),"")</f>
        <v/>
      </c>
      <c r="D427" s="162">
        <f>IFERROR(INDEX(tk_QTY,MATCH(421,tk_ASEQ,0)),"")</f>
        <v/>
      </c>
      <c r="E427" s="162">
        <f>IFERROR(""&amp;INDEX(tk_SIZE,MATCH(421,tk_ASEQ,0)),"")</f>
        <v/>
      </c>
      <c r="F427" s="162">
        <f>IFERROR(""&amp;INDEX(tk_PAIR,MATCH(421,tk_ASEQ,0)),"")</f>
        <v/>
      </c>
      <c r="G427" s="162">
        <f>IFERROR(""&amp;INDEX(tk_DMAT,MATCH(421,tk_ASEQ,0)),"")</f>
        <v/>
      </c>
      <c r="H427" s="162">
        <f>IFERROR(""&amp;INDEX(tk_DGA,MATCH(421,tk_ASEQ,0)),"")</f>
        <v/>
      </c>
      <c r="I427" s="162">
        <f>IFERROR(""&amp;INDEX(tk_FACE,MATCH(421,tk_ASEQ,0)),"")</f>
        <v/>
      </c>
      <c r="J427" s="162">
        <f>IFERROR(IF(INDEX(tk_DHAND,MATCH(421,tk_ASEQ,0))="",""&amp;INDEX(tk_HAND,MATCH(421,tk_ASEQ,0)),""&amp;INDEX(tk_DHAND,MATCH(421,tk_ASEQ,0))),"")</f>
        <v/>
      </c>
      <c r="K427" s="162">
        <f>IFERROR(""&amp;INDEX(tk_FDESC,MATCH(421,tk_ASEQ,0)),"")</f>
        <v/>
      </c>
      <c r="L427" s="162">
        <f>IFERROR(INDEX(tk_STEEL,MATCH(421,tk_ASEQ,0))&amp;IF(INDEX(tk_FGA,MATCH(421,tk_ASEQ,0))="",""," "&amp;INDEX(tk_FGA,MATCH(421,tk_ASEQ,0))&amp;"GA"),"")</f>
        <v/>
      </c>
      <c r="M427" s="162">
        <f>IFERROR(IFERROR(VLOOKUP(INDEX(tk_JAMB,MATCH(421,tk_ASEQ,0)),CODES,2,FALSE),""&amp;INDEX(tk_JAMB,MATCH(421,tk_ASEQ,0))),"")</f>
        <v/>
      </c>
      <c r="N427" s="162">
        <f>IFERROR(""&amp;INDEX(tk_CONSTR,MATCH(421,tk_ASEQ,0)),"")</f>
        <v/>
      </c>
      <c r="O427" s="162">
        <f>IFERROR(""&amp;INDEX(tk_ANCHOR,MATCH(421,tk_ASEQ,0)),"")</f>
        <v/>
      </c>
      <c r="P427" s="162">
        <f>IFERROR(""&amp;INDEX(tk_RATING,MATCH(421,tk_ASEQ,0)),"")</f>
        <v/>
      </c>
      <c r="Q427" s="162">
        <f>IFERROR(""&amp;INDEX(tk_LABEL,MATCH(421,tk_ASEQ,0)),"")</f>
        <v/>
      </c>
      <c r="R427" s="162">
        <f>IFERROR(""&amp;INDEX(tk_HWSET,MATCH(421,tk_ASEQ,0)),"")</f>
        <v/>
      </c>
      <c r="S427" s="162">
        <f>IFERROR(IF(""&amp;INDEX(tk_HINGES,MATCH(421,tk_ASEQ,0))="","",INDEX(tk_HINGES,MATCH(421,tk_ASEQ,0))&amp;" · "&amp;INDEX(tk_LSRC,MATCH(421,tk_ASEQ,0))),"")</f>
        <v/>
      </c>
      <c r="T427" s="162">
        <f>IFERROR(""&amp;INDEX(tk_LOCK,MATCH(421,tk_ASEQ,0)),"")</f>
        <v/>
      </c>
      <c r="U427" s="162">
        <f>IFERROR(INDEX(tk_ETYPE,MATCH(421,tk_ASEQ,0)),"")</f>
        <v/>
      </c>
      <c r="V427" s="162">
        <f>IFERROR(""&amp;INDEX(tk_CHECK,MATCH(421,tk_ASEQ,0)),"")</f>
        <v/>
      </c>
      <c r="W427" s="162">
        <f>IFERROR(TRIM(INDEX(tk_DNOTES,MATCH(421,tk_ASEQ,0))&amp;" "&amp;INDEX(tk_FNOTES,MATCH(421,tk_ASEQ,0))),"")</f>
        <v/>
      </c>
    </row>
    <row r="428">
      <c r="A428" s="161">
        <f>IFERROR(""&amp;INDEX(tk_MARK,MATCH(422,tk_ASEQ,0)),"")</f>
        <v/>
      </c>
      <c r="B428" s="162">
        <f>IFERROR(""&amp;INDEX(tk_ROOMF,MATCH(422,tk_ASEQ,0)),"")</f>
        <v/>
      </c>
      <c r="C428" s="162">
        <f>IFERROR(""&amp;INDEX(tk_ROOMT,MATCH(422,tk_ASEQ,0)),"")</f>
        <v/>
      </c>
      <c r="D428" s="162">
        <f>IFERROR(INDEX(tk_QTY,MATCH(422,tk_ASEQ,0)),"")</f>
        <v/>
      </c>
      <c r="E428" s="162">
        <f>IFERROR(""&amp;INDEX(tk_SIZE,MATCH(422,tk_ASEQ,0)),"")</f>
        <v/>
      </c>
      <c r="F428" s="162">
        <f>IFERROR(""&amp;INDEX(tk_PAIR,MATCH(422,tk_ASEQ,0)),"")</f>
        <v/>
      </c>
      <c r="G428" s="162">
        <f>IFERROR(""&amp;INDEX(tk_DMAT,MATCH(422,tk_ASEQ,0)),"")</f>
        <v/>
      </c>
      <c r="H428" s="162">
        <f>IFERROR(""&amp;INDEX(tk_DGA,MATCH(422,tk_ASEQ,0)),"")</f>
        <v/>
      </c>
      <c r="I428" s="162">
        <f>IFERROR(""&amp;INDEX(tk_FACE,MATCH(422,tk_ASEQ,0)),"")</f>
        <v/>
      </c>
      <c r="J428" s="162">
        <f>IFERROR(IF(INDEX(tk_DHAND,MATCH(422,tk_ASEQ,0))="",""&amp;INDEX(tk_HAND,MATCH(422,tk_ASEQ,0)),""&amp;INDEX(tk_DHAND,MATCH(422,tk_ASEQ,0))),"")</f>
        <v/>
      </c>
      <c r="K428" s="162">
        <f>IFERROR(""&amp;INDEX(tk_FDESC,MATCH(422,tk_ASEQ,0)),"")</f>
        <v/>
      </c>
      <c r="L428" s="162">
        <f>IFERROR(INDEX(tk_STEEL,MATCH(422,tk_ASEQ,0))&amp;IF(INDEX(tk_FGA,MATCH(422,tk_ASEQ,0))="",""," "&amp;INDEX(tk_FGA,MATCH(422,tk_ASEQ,0))&amp;"GA"),"")</f>
        <v/>
      </c>
      <c r="M428" s="162">
        <f>IFERROR(IFERROR(VLOOKUP(INDEX(tk_JAMB,MATCH(422,tk_ASEQ,0)),CODES,2,FALSE),""&amp;INDEX(tk_JAMB,MATCH(422,tk_ASEQ,0))),"")</f>
        <v/>
      </c>
      <c r="N428" s="162">
        <f>IFERROR(""&amp;INDEX(tk_CONSTR,MATCH(422,tk_ASEQ,0)),"")</f>
        <v/>
      </c>
      <c r="O428" s="162">
        <f>IFERROR(""&amp;INDEX(tk_ANCHOR,MATCH(422,tk_ASEQ,0)),"")</f>
        <v/>
      </c>
      <c r="P428" s="162">
        <f>IFERROR(""&amp;INDEX(tk_RATING,MATCH(422,tk_ASEQ,0)),"")</f>
        <v/>
      </c>
      <c r="Q428" s="162">
        <f>IFERROR(""&amp;INDEX(tk_LABEL,MATCH(422,tk_ASEQ,0)),"")</f>
        <v/>
      </c>
      <c r="R428" s="162">
        <f>IFERROR(""&amp;INDEX(tk_HWSET,MATCH(422,tk_ASEQ,0)),"")</f>
        <v/>
      </c>
      <c r="S428" s="162">
        <f>IFERROR(IF(""&amp;INDEX(tk_HINGES,MATCH(422,tk_ASEQ,0))="","",INDEX(tk_HINGES,MATCH(422,tk_ASEQ,0))&amp;" · "&amp;INDEX(tk_LSRC,MATCH(422,tk_ASEQ,0))),"")</f>
        <v/>
      </c>
      <c r="T428" s="162">
        <f>IFERROR(""&amp;INDEX(tk_LOCK,MATCH(422,tk_ASEQ,0)),"")</f>
        <v/>
      </c>
      <c r="U428" s="162">
        <f>IFERROR(INDEX(tk_ETYPE,MATCH(422,tk_ASEQ,0)),"")</f>
        <v/>
      </c>
      <c r="V428" s="162">
        <f>IFERROR(""&amp;INDEX(tk_CHECK,MATCH(422,tk_ASEQ,0)),"")</f>
        <v/>
      </c>
      <c r="W428" s="162">
        <f>IFERROR(TRIM(INDEX(tk_DNOTES,MATCH(422,tk_ASEQ,0))&amp;" "&amp;INDEX(tk_FNOTES,MATCH(422,tk_ASEQ,0))),"")</f>
        <v/>
      </c>
    </row>
    <row r="429">
      <c r="A429" s="161">
        <f>IFERROR(""&amp;INDEX(tk_MARK,MATCH(423,tk_ASEQ,0)),"")</f>
        <v/>
      </c>
      <c r="B429" s="162">
        <f>IFERROR(""&amp;INDEX(tk_ROOMF,MATCH(423,tk_ASEQ,0)),"")</f>
        <v/>
      </c>
      <c r="C429" s="162">
        <f>IFERROR(""&amp;INDEX(tk_ROOMT,MATCH(423,tk_ASEQ,0)),"")</f>
        <v/>
      </c>
      <c r="D429" s="162">
        <f>IFERROR(INDEX(tk_QTY,MATCH(423,tk_ASEQ,0)),"")</f>
        <v/>
      </c>
      <c r="E429" s="162">
        <f>IFERROR(""&amp;INDEX(tk_SIZE,MATCH(423,tk_ASEQ,0)),"")</f>
        <v/>
      </c>
      <c r="F429" s="162">
        <f>IFERROR(""&amp;INDEX(tk_PAIR,MATCH(423,tk_ASEQ,0)),"")</f>
        <v/>
      </c>
      <c r="G429" s="162">
        <f>IFERROR(""&amp;INDEX(tk_DMAT,MATCH(423,tk_ASEQ,0)),"")</f>
        <v/>
      </c>
      <c r="H429" s="162">
        <f>IFERROR(""&amp;INDEX(tk_DGA,MATCH(423,tk_ASEQ,0)),"")</f>
        <v/>
      </c>
      <c r="I429" s="162">
        <f>IFERROR(""&amp;INDEX(tk_FACE,MATCH(423,tk_ASEQ,0)),"")</f>
        <v/>
      </c>
      <c r="J429" s="162">
        <f>IFERROR(IF(INDEX(tk_DHAND,MATCH(423,tk_ASEQ,0))="",""&amp;INDEX(tk_HAND,MATCH(423,tk_ASEQ,0)),""&amp;INDEX(tk_DHAND,MATCH(423,tk_ASEQ,0))),"")</f>
        <v/>
      </c>
      <c r="K429" s="162">
        <f>IFERROR(""&amp;INDEX(tk_FDESC,MATCH(423,tk_ASEQ,0)),"")</f>
        <v/>
      </c>
      <c r="L429" s="162">
        <f>IFERROR(INDEX(tk_STEEL,MATCH(423,tk_ASEQ,0))&amp;IF(INDEX(tk_FGA,MATCH(423,tk_ASEQ,0))="",""," "&amp;INDEX(tk_FGA,MATCH(423,tk_ASEQ,0))&amp;"GA"),"")</f>
        <v/>
      </c>
      <c r="M429" s="162">
        <f>IFERROR(IFERROR(VLOOKUP(INDEX(tk_JAMB,MATCH(423,tk_ASEQ,0)),CODES,2,FALSE),""&amp;INDEX(tk_JAMB,MATCH(423,tk_ASEQ,0))),"")</f>
        <v/>
      </c>
      <c r="N429" s="162">
        <f>IFERROR(""&amp;INDEX(tk_CONSTR,MATCH(423,tk_ASEQ,0)),"")</f>
        <v/>
      </c>
      <c r="O429" s="162">
        <f>IFERROR(""&amp;INDEX(tk_ANCHOR,MATCH(423,tk_ASEQ,0)),"")</f>
        <v/>
      </c>
      <c r="P429" s="162">
        <f>IFERROR(""&amp;INDEX(tk_RATING,MATCH(423,tk_ASEQ,0)),"")</f>
        <v/>
      </c>
      <c r="Q429" s="162">
        <f>IFERROR(""&amp;INDEX(tk_LABEL,MATCH(423,tk_ASEQ,0)),"")</f>
        <v/>
      </c>
      <c r="R429" s="162">
        <f>IFERROR(""&amp;INDEX(tk_HWSET,MATCH(423,tk_ASEQ,0)),"")</f>
        <v/>
      </c>
      <c r="S429" s="162">
        <f>IFERROR(IF(""&amp;INDEX(tk_HINGES,MATCH(423,tk_ASEQ,0))="","",INDEX(tk_HINGES,MATCH(423,tk_ASEQ,0))&amp;" · "&amp;INDEX(tk_LSRC,MATCH(423,tk_ASEQ,0))),"")</f>
        <v/>
      </c>
      <c r="T429" s="162">
        <f>IFERROR(""&amp;INDEX(tk_LOCK,MATCH(423,tk_ASEQ,0)),"")</f>
        <v/>
      </c>
      <c r="U429" s="162">
        <f>IFERROR(INDEX(tk_ETYPE,MATCH(423,tk_ASEQ,0)),"")</f>
        <v/>
      </c>
      <c r="V429" s="162">
        <f>IFERROR(""&amp;INDEX(tk_CHECK,MATCH(423,tk_ASEQ,0)),"")</f>
        <v/>
      </c>
      <c r="W429" s="162">
        <f>IFERROR(TRIM(INDEX(tk_DNOTES,MATCH(423,tk_ASEQ,0))&amp;" "&amp;INDEX(tk_FNOTES,MATCH(423,tk_ASEQ,0))),"")</f>
        <v/>
      </c>
    </row>
    <row r="430">
      <c r="A430" s="161">
        <f>IFERROR(""&amp;INDEX(tk_MARK,MATCH(424,tk_ASEQ,0)),"")</f>
        <v/>
      </c>
      <c r="B430" s="162">
        <f>IFERROR(""&amp;INDEX(tk_ROOMF,MATCH(424,tk_ASEQ,0)),"")</f>
        <v/>
      </c>
      <c r="C430" s="162">
        <f>IFERROR(""&amp;INDEX(tk_ROOMT,MATCH(424,tk_ASEQ,0)),"")</f>
        <v/>
      </c>
      <c r="D430" s="162">
        <f>IFERROR(INDEX(tk_QTY,MATCH(424,tk_ASEQ,0)),"")</f>
        <v/>
      </c>
      <c r="E430" s="162">
        <f>IFERROR(""&amp;INDEX(tk_SIZE,MATCH(424,tk_ASEQ,0)),"")</f>
        <v/>
      </c>
      <c r="F430" s="162">
        <f>IFERROR(""&amp;INDEX(tk_PAIR,MATCH(424,tk_ASEQ,0)),"")</f>
        <v/>
      </c>
      <c r="G430" s="162">
        <f>IFERROR(""&amp;INDEX(tk_DMAT,MATCH(424,tk_ASEQ,0)),"")</f>
        <v/>
      </c>
      <c r="H430" s="162">
        <f>IFERROR(""&amp;INDEX(tk_DGA,MATCH(424,tk_ASEQ,0)),"")</f>
        <v/>
      </c>
      <c r="I430" s="162">
        <f>IFERROR(""&amp;INDEX(tk_FACE,MATCH(424,tk_ASEQ,0)),"")</f>
        <v/>
      </c>
      <c r="J430" s="162">
        <f>IFERROR(IF(INDEX(tk_DHAND,MATCH(424,tk_ASEQ,0))="",""&amp;INDEX(tk_HAND,MATCH(424,tk_ASEQ,0)),""&amp;INDEX(tk_DHAND,MATCH(424,tk_ASEQ,0))),"")</f>
        <v/>
      </c>
      <c r="K430" s="162">
        <f>IFERROR(""&amp;INDEX(tk_FDESC,MATCH(424,tk_ASEQ,0)),"")</f>
        <v/>
      </c>
      <c r="L430" s="162">
        <f>IFERROR(INDEX(tk_STEEL,MATCH(424,tk_ASEQ,0))&amp;IF(INDEX(tk_FGA,MATCH(424,tk_ASEQ,0))="",""," "&amp;INDEX(tk_FGA,MATCH(424,tk_ASEQ,0))&amp;"GA"),"")</f>
        <v/>
      </c>
      <c r="M430" s="162">
        <f>IFERROR(IFERROR(VLOOKUP(INDEX(tk_JAMB,MATCH(424,tk_ASEQ,0)),CODES,2,FALSE),""&amp;INDEX(tk_JAMB,MATCH(424,tk_ASEQ,0))),"")</f>
        <v/>
      </c>
      <c r="N430" s="162">
        <f>IFERROR(""&amp;INDEX(tk_CONSTR,MATCH(424,tk_ASEQ,0)),"")</f>
        <v/>
      </c>
      <c r="O430" s="162">
        <f>IFERROR(""&amp;INDEX(tk_ANCHOR,MATCH(424,tk_ASEQ,0)),"")</f>
        <v/>
      </c>
      <c r="P430" s="162">
        <f>IFERROR(""&amp;INDEX(tk_RATING,MATCH(424,tk_ASEQ,0)),"")</f>
        <v/>
      </c>
      <c r="Q430" s="162">
        <f>IFERROR(""&amp;INDEX(tk_LABEL,MATCH(424,tk_ASEQ,0)),"")</f>
        <v/>
      </c>
      <c r="R430" s="162">
        <f>IFERROR(""&amp;INDEX(tk_HWSET,MATCH(424,tk_ASEQ,0)),"")</f>
        <v/>
      </c>
      <c r="S430" s="162">
        <f>IFERROR(IF(""&amp;INDEX(tk_HINGES,MATCH(424,tk_ASEQ,0))="","",INDEX(tk_HINGES,MATCH(424,tk_ASEQ,0))&amp;" · "&amp;INDEX(tk_LSRC,MATCH(424,tk_ASEQ,0))),"")</f>
        <v/>
      </c>
      <c r="T430" s="162">
        <f>IFERROR(""&amp;INDEX(tk_LOCK,MATCH(424,tk_ASEQ,0)),"")</f>
        <v/>
      </c>
      <c r="U430" s="162">
        <f>IFERROR(INDEX(tk_ETYPE,MATCH(424,tk_ASEQ,0)),"")</f>
        <v/>
      </c>
      <c r="V430" s="162">
        <f>IFERROR(""&amp;INDEX(tk_CHECK,MATCH(424,tk_ASEQ,0)),"")</f>
        <v/>
      </c>
      <c r="W430" s="162">
        <f>IFERROR(TRIM(INDEX(tk_DNOTES,MATCH(424,tk_ASEQ,0))&amp;" "&amp;INDEX(tk_FNOTES,MATCH(424,tk_ASEQ,0))),"")</f>
        <v/>
      </c>
    </row>
    <row r="431">
      <c r="A431" s="161">
        <f>IFERROR(""&amp;INDEX(tk_MARK,MATCH(425,tk_ASEQ,0)),"")</f>
        <v/>
      </c>
      <c r="B431" s="162">
        <f>IFERROR(""&amp;INDEX(tk_ROOMF,MATCH(425,tk_ASEQ,0)),"")</f>
        <v/>
      </c>
      <c r="C431" s="162">
        <f>IFERROR(""&amp;INDEX(tk_ROOMT,MATCH(425,tk_ASEQ,0)),"")</f>
        <v/>
      </c>
      <c r="D431" s="162">
        <f>IFERROR(INDEX(tk_QTY,MATCH(425,tk_ASEQ,0)),"")</f>
        <v/>
      </c>
      <c r="E431" s="162">
        <f>IFERROR(""&amp;INDEX(tk_SIZE,MATCH(425,tk_ASEQ,0)),"")</f>
        <v/>
      </c>
      <c r="F431" s="162">
        <f>IFERROR(""&amp;INDEX(tk_PAIR,MATCH(425,tk_ASEQ,0)),"")</f>
        <v/>
      </c>
      <c r="G431" s="162">
        <f>IFERROR(""&amp;INDEX(tk_DMAT,MATCH(425,tk_ASEQ,0)),"")</f>
        <v/>
      </c>
      <c r="H431" s="162">
        <f>IFERROR(""&amp;INDEX(tk_DGA,MATCH(425,tk_ASEQ,0)),"")</f>
        <v/>
      </c>
      <c r="I431" s="162">
        <f>IFERROR(""&amp;INDEX(tk_FACE,MATCH(425,tk_ASEQ,0)),"")</f>
        <v/>
      </c>
      <c r="J431" s="162">
        <f>IFERROR(IF(INDEX(tk_DHAND,MATCH(425,tk_ASEQ,0))="",""&amp;INDEX(tk_HAND,MATCH(425,tk_ASEQ,0)),""&amp;INDEX(tk_DHAND,MATCH(425,tk_ASEQ,0))),"")</f>
        <v/>
      </c>
      <c r="K431" s="162">
        <f>IFERROR(""&amp;INDEX(tk_FDESC,MATCH(425,tk_ASEQ,0)),"")</f>
        <v/>
      </c>
      <c r="L431" s="162">
        <f>IFERROR(INDEX(tk_STEEL,MATCH(425,tk_ASEQ,0))&amp;IF(INDEX(tk_FGA,MATCH(425,tk_ASEQ,0))="",""," "&amp;INDEX(tk_FGA,MATCH(425,tk_ASEQ,0))&amp;"GA"),"")</f>
        <v/>
      </c>
      <c r="M431" s="162">
        <f>IFERROR(IFERROR(VLOOKUP(INDEX(tk_JAMB,MATCH(425,tk_ASEQ,0)),CODES,2,FALSE),""&amp;INDEX(tk_JAMB,MATCH(425,tk_ASEQ,0))),"")</f>
        <v/>
      </c>
      <c r="N431" s="162">
        <f>IFERROR(""&amp;INDEX(tk_CONSTR,MATCH(425,tk_ASEQ,0)),"")</f>
        <v/>
      </c>
      <c r="O431" s="162">
        <f>IFERROR(""&amp;INDEX(tk_ANCHOR,MATCH(425,tk_ASEQ,0)),"")</f>
        <v/>
      </c>
      <c r="P431" s="162">
        <f>IFERROR(""&amp;INDEX(tk_RATING,MATCH(425,tk_ASEQ,0)),"")</f>
        <v/>
      </c>
      <c r="Q431" s="162">
        <f>IFERROR(""&amp;INDEX(tk_LABEL,MATCH(425,tk_ASEQ,0)),"")</f>
        <v/>
      </c>
      <c r="R431" s="162">
        <f>IFERROR(""&amp;INDEX(tk_HWSET,MATCH(425,tk_ASEQ,0)),"")</f>
        <v/>
      </c>
      <c r="S431" s="162">
        <f>IFERROR(IF(""&amp;INDEX(tk_HINGES,MATCH(425,tk_ASEQ,0))="","",INDEX(tk_HINGES,MATCH(425,tk_ASEQ,0))&amp;" · "&amp;INDEX(tk_LSRC,MATCH(425,tk_ASEQ,0))),"")</f>
        <v/>
      </c>
      <c r="T431" s="162">
        <f>IFERROR(""&amp;INDEX(tk_LOCK,MATCH(425,tk_ASEQ,0)),"")</f>
        <v/>
      </c>
      <c r="U431" s="162">
        <f>IFERROR(INDEX(tk_ETYPE,MATCH(425,tk_ASEQ,0)),"")</f>
        <v/>
      </c>
      <c r="V431" s="162">
        <f>IFERROR(""&amp;INDEX(tk_CHECK,MATCH(425,tk_ASEQ,0)),"")</f>
        <v/>
      </c>
      <c r="W431" s="162">
        <f>IFERROR(TRIM(INDEX(tk_DNOTES,MATCH(425,tk_ASEQ,0))&amp;" "&amp;INDEX(tk_FNOTES,MATCH(425,tk_ASEQ,0))),"")</f>
        <v/>
      </c>
    </row>
    <row r="432">
      <c r="A432" s="161">
        <f>IFERROR(""&amp;INDEX(tk_MARK,MATCH(426,tk_ASEQ,0)),"")</f>
        <v/>
      </c>
      <c r="B432" s="162">
        <f>IFERROR(""&amp;INDEX(tk_ROOMF,MATCH(426,tk_ASEQ,0)),"")</f>
        <v/>
      </c>
      <c r="C432" s="162">
        <f>IFERROR(""&amp;INDEX(tk_ROOMT,MATCH(426,tk_ASEQ,0)),"")</f>
        <v/>
      </c>
      <c r="D432" s="162">
        <f>IFERROR(INDEX(tk_QTY,MATCH(426,tk_ASEQ,0)),"")</f>
        <v/>
      </c>
      <c r="E432" s="162">
        <f>IFERROR(""&amp;INDEX(tk_SIZE,MATCH(426,tk_ASEQ,0)),"")</f>
        <v/>
      </c>
      <c r="F432" s="162">
        <f>IFERROR(""&amp;INDEX(tk_PAIR,MATCH(426,tk_ASEQ,0)),"")</f>
        <v/>
      </c>
      <c r="G432" s="162">
        <f>IFERROR(""&amp;INDEX(tk_DMAT,MATCH(426,tk_ASEQ,0)),"")</f>
        <v/>
      </c>
      <c r="H432" s="162">
        <f>IFERROR(""&amp;INDEX(tk_DGA,MATCH(426,tk_ASEQ,0)),"")</f>
        <v/>
      </c>
      <c r="I432" s="162">
        <f>IFERROR(""&amp;INDEX(tk_FACE,MATCH(426,tk_ASEQ,0)),"")</f>
        <v/>
      </c>
      <c r="J432" s="162">
        <f>IFERROR(IF(INDEX(tk_DHAND,MATCH(426,tk_ASEQ,0))="",""&amp;INDEX(tk_HAND,MATCH(426,tk_ASEQ,0)),""&amp;INDEX(tk_DHAND,MATCH(426,tk_ASEQ,0))),"")</f>
        <v/>
      </c>
      <c r="K432" s="162">
        <f>IFERROR(""&amp;INDEX(tk_FDESC,MATCH(426,tk_ASEQ,0)),"")</f>
        <v/>
      </c>
      <c r="L432" s="162">
        <f>IFERROR(INDEX(tk_STEEL,MATCH(426,tk_ASEQ,0))&amp;IF(INDEX(tk_FGA,MATCH(426,tk_ASEQ,0))="",""," "&amp;INDEX(tk_FGA,MATCH(426,tk_ASEQ,0))&amp;"GA"),"")</f>
        <v/>
      </c>
      <c r="M432" s="162">
        <f>IFERROR(IFERROR(VLOOKUP(INDEX(tk_JAMB,MATCH(426,tk_ASEQ,0)),CODES,2,FALSE),""&amp;INDEX(tk_JAMB,MATCH(426,tk_ASEQ,0))),"")</f>
        <v/>
      </c>
      <c r="N432" s="162">
        <f>IFERROR(""&amp;INDEX(tk_CONSTR,MATCH(426,tk_ASEQ,0)),"")</f>
        <v/>
      </c>
      <c r="O432" s="162">
        <f>IFERROR(""&amp;INDEX(tk_ANCHOR,MATCH(426,tk_ASEQ,0)),"")</f>
        <v/>
      </c>
      <c r="P432" s="162">
        <f>IFERROR(""&amp;INDEX(tk_RATING,MATCH(426,tk_ASEQ,0)),"")</f>
        <v/>
      </c>
      <c r="Q432" s="162">
        <f>IFERROR(""&amp;INDEX(tk_LABEL,MATCH(426,tk_ASEQ,0)),"")</f>
        <v/>
      </c>
      <c r="R432" s="162">
        <f>IFERROR(""&amp;INDEX(tk_HWSET,MATCH(426,tk_ASEQ,0)),"")</f>
        <v/>
      </c>
      <c r="S432" s="162">
        <f>IFERROR(IF(""&amp;INDEX(tk_HINGES,MATCH(426,tk_ASEQ,0))="","",INDEX(tk_HINGES,MATCH(426,tk_ASEQ,0))&amp;" · "&amp;INDEX(tk_LSRC,MATCH(426,tk_ASEQ,0))),"")</f>
        <v/>
      </c>
      <c r="T432" s="162">
        <f>IFERROR(""&amp;INDEX(tk_LOCK,MATCH(426,tk_ASEQ,0)),"")</f>
        <v/>
      </c>
      <c r="U432" s="162">
        <f>IFERROR(INDEX(tk_ETYPE,MATCH(426,tk_ASEQ,0)),"")</f>
        <v/>
      </c>
      <c r="V432" s="162">
        <f>IFERROR(""&amp;INDEX(tk_CHECK,MATCH(426,tk_ASEQ,0)),"")</f>
        <v/>
      </c>
      <c r="W432" s="162">
        <f>IFERROR(TRIM(INDEX(tk_DNOTES,MATCH(426,tk_ASEQ,0))&amp;" "&amp;INDEX(tk_FNOTES,MATCH(426,tk_ASEQ,0))),"")</f>
        <v/>
      </c>
    </row>
    <row r="433">
      <c r="A433" s="161">
        <f>IFERROR(""&amp;INDEX(tk_MARK,MATCH(427,tk_ASEQ,0)),"")</f>
        <v/>
      </c>
      <c r="B433" s="162">
        <f>IFERROR(""&amp;INDEX(tk_ROOMF,MATCH(427,tk_ASEQ,0)),"")</f>
        <v/>
      </c>
      <c r="C433" s="162">
        <f>IFERROR(""&amp;INDEX(tk_ROOMT,MATCH(427,tk_ASEQ,0)),"")</f>
        <v/>
      </c>
      <c r="D433" s="162">
        <f>IFERROR(INDEX(tk_QTY,MATCH(427,tk_ASEQ,0)),"")</f>
        <v/>
      </c>
      <c r="E433" s="162">
        <f>IFERROR(""&amp;INDEX(tk_SIZE,MATCH(427,tk_ASEQ,0)),"")</f>
        <v/>
      </c>
      <c r="F433" s="162">
        <f>IFERROR(""&amp;INDEX(tk_PAIR,MATCH(427,tk_ASEQ,0)),"")</f>
        <v/>
      </c>
      <c r="G433" s="162">
        <f>IFERROR(""&amp;INDEX(tk_DMAT,MATCH(427,tk_ASEQ,0)),"")</f>
        <v/>
      </c>
      <c r="H433" s="162">
        <f>IFERROR(""&amp;INDEX(tk_DGA,MATCH(427,tk_ASEQ,0)),"")</f>
        <v/>
      </c>
      <c r="I433" s="162">
        <f>IFERROR(""&amp;INDEX(tk_FACE,MATCH(427,tk_ASEQ,0)),"")</f>
        <v/>
      </c>
      <c r="J433" s="162">
        <f>IFERROR(IF(INDEX(tk_DHAND,MATCH(427,tk_ASEQ,0))="",""&amp;INDEX(tk_HAND,MATCH(427,tk_ASEQ,0)),""&amp;INDEX(tk_DHAND,MATCH(427,tk_ASEQ,0))),"")</f>
        <v/>
      </c>
      <c r="K433" s="162">
        <f>IFERROR(""&amp;INDEX(tk_FDESC,MATCH(427,tk_ASEQ,0)),"")</f>
        <v/>
      </c>
      <c r="L433" s="162">
        <f>IFERROR(INDEX(tk_STEEL,MATCH(427,tk_ASEQ,0))&amp;IF(INDEX(tk_FGA,MATCH(427,tk_ASEQ,0))="",""," "&amp;INDEX(tk_FGA,MATCH(427,tk_ASEQ,0))&amp;"GA"),"")</f>
        <v/>
      </c>
      <c r="M433" s="162">
        <f>IFERROR(IFERROR(VLOOKUP(INDEX(tk_JAMB,MATCH(427,tk_ASEQ,0)),CODES,2,FALSE),""&amp;INDEX(tk_JAMB,MATCH(427,tk_ASEQ,0))),"")</f>
        <v/>
      </c>
      <c r="N433" s="162">
        <f>IFERROR(""&amp;INDEX(tk_CONSTR,MATCH(427,tk_ASEQ,0)),"")</f>
        <v/>
      </c>
      <c r="O433" s="162">
        <f>IFERROR(""&amp;INDEX(tk_ANCHOR,MATCH(427,tk_ASEQ,0)),"")</f>
        <v/>
      </c>
      <c r="P433" s="162">
        <f>IFERROR(""&amp;INDEX(tk_RATING,MATCH(427,tk_ASEQ,0)),"")</f>
        <v/>
      </c>
      <c r="Q433" s="162">
        <f>IFERROR(""&amp;INDEX(tk_LABEL,MATCH(427,tk_ASEQ,0)),"")</f>
        <v/>
      </c>
      <c r="R433" s="162">
        <f>IFERROR(""&amp;INDEX(tk_HWSET,MATCH(427,tk_ASEQ,0)),"")</f>
        <v/>
      </c>
      <c r="S433" s="162">
        <f>IFERROR(IF(""&amp;INDEX(tk_HINGES,MATCH(427,tk_ASEQ,0))="","",INDEX(tk_HINGES,MATCH(427,tk_ASEQ,0))&amp;" · "&amp;INDEX(tk_LSRC,MATCH(427,tk_ASEQ,0))),"")</f>
        <v/>
      </c>
      <c r="T433" s="162">
        <f>IFERROR(""&amp;INDEX(tk_LOCK,MATCH(427,tk_ASEQ,0)),"")</f>
        <v/>
      </c>
      <c r="U433" s="162">
        <f>IFERROR(INDEX(tk_ETYPE,MATCH(427,tk_ASEQ,0)),"")</f>
        <v/>
      </c>
      <c r="V433" s="162">
        <f>IFERROR(""&amp;INDEX(tk_CHECK,MATCH(427,tk_ASEQ,0)),"")</f>
        <v/>
      </c>
      <c r="W433" s="162">
        <f>IFERROR(TRIM(INDEX(tk_DNOTES,MATCH(427,tk_ASEQ,0))&amp;" "&amp;INDEX(tk_FNOTES,MATCH(427,tk_ASEQ,0))),"")</f>
        <v/>
      </c>
    </row>
    <row r="434">
      <c r="A434" s="161">
        <f>IFERROR(""&amp;INDEX(tk_MARK,MATCH(428,tk_ASEQ,0)),"")</f>
        <v/>
      </c>
      <c r="B434" s="162">
        <f>IFERROR(""&amp;INDEX(tk_ROOMF,MATCH(428,tk_ASEQ,0)),"")</f>
        <v/>
      </c>
      <c r="C434" s="162">
        <f>IFERROR(""&amp;INDEX(tk_ROOMT,MATCH(428,tk_ASEQ,0)),"")</f>
        <v/>
      </c>
      <c r="D434" s="162">
        <f>IFERROR(INDEX(tk_QTY,MATCH(428,tk_ASEQ,0)),"")</f>
        <v/>
      </c>
      <c r="E434" s="162">
        <f>IFERROR(""&amp;INDEX(tk_SIZE,MATCH(428,tk_ASEQ,0)),"")</f>
        <v/>
      </c>
      <c r="F434" s="162">
        <f>IFERROR(""&amp;INDEX(tk_PAIR,MATCH(428,tk_ASEQ,0)),"")</f>
        <v/>
      </c>
      <c r="G434" s="162">
        <f>IFERROR(""&amp;INDEX(tk_DMAT,MATCH(428,tk_ASEQ,0)),"")</f>
        <v/>
      </c>
      <c r="H434" s="162">
        <f>IFERROR(""&amp;INDEX(tk_DGA,MATCH(428,tk_ASEQ,0)),"")</f>
        <v/>
      </c>
      <c r="I434" s="162">
        <f>IFERROR(""&amp;INDEX(tk_FACE,MATCH(428,tk_ASEQ,0)),"")</f>
        <v/>
      </c>
      <c r="J434" s="162">
        <f>IFERROR(IF(INDEX(tk_DHAND,MATCH(428,tk_ASEQ,0))="",""&amp;INDEX(tk_HAND,MATCH(428,tk_ASEQ,0)),""&amp;INDEX(tk_DHAND,MATCH(428,tk_ASEQ,0))),"")</f>
        <v/>
      </c>
      <c r="K434" s="162">
        <f>IFERROR(""&amp;INDEX(tk_FDESC,MATCH(428,tk_ASEQ,0)),"")</f>
        <v/>
      </c>
      <c r="L434" s="162">
        <f>IFERROR(INDEX(tk_STEEL,MATCH(428,tk_ASEQ,0))&amp;IF(INDEX(tk_FGA,MATCH(428,tk_ASEQ,0))="",""," "&amp;INDEX(tk_FGA,MATCH(428,tk_ASEQ,0))&amp;"GA"),"")</f>
        <v/>
      </c>
      <c r="M434" s="162">
        <f>IFERROR(IFERROR(VLOOKUP(INDEX(tk_JAMB,MATCH(428,tk_ASEQ,0)),CODES,2,FALSE),""&amp;INDEX(tk_JAMB,MATCH(428,tk_ASEQ,0))),"")</f>
        <v/>
      </c>
      <c r="N434" s="162">
        <f>IFERROR(""&amp;INDEX(tk_CONSTR,MATCH(428,tk_ASEQ,0)),"")</f>
        <v/>
      </c>
      <c r="O434" s="162">
        <f>IFERROR(""&amp;INDEX(tk_ANCHOR,MATCH(428,tk_ASEQ,0)),"")</f>
        <v/>
      </c>
      <c r="P434" s="162">
        <f>IFERROR(""&amp;INDEX(tk_RATING,MATCH(428,tk_ASEQ,0)),"")</f>
        <v/>
      </c>
      <c r="Q434" s="162">
        <f>IFERROR(""&amp;INDEX(tk_LABEL,MATCH(428,tk_ASEQ,0)),"")</f>
        <v/>
      </c>
      <c r="R434" s="162">
        <f>IFERROR(""&amp;INDEX(tk_HWSET,MATCH(428,tk_ASEQ,0)),"")</f>
        <v/>
      </c>
      <c r="S434" s="162">
        <f>IFERROR(IF(""&amp;INDEX(tk_HINGES,MATCH(428,tk_ASEQ,0))="","",INDEX(tk_HINGES,MATCH(428,tk_ASEQ,0))&amp;" · "&amp;INDEX(tk_LSRC,MATCH(428,tk_ASEQ,0))),"")</f>
        <v/>
      </c>
      <c r="T434" s="162">
        <f>IFERROR(""&amp;INDEX(tk_LOCK,MATCH(428,tk_ASEQ,0)),"")</f>
        <v/>
      </c>
      <c r="U434" s="162">
        <f>IFERROR(INDEX(tk_ETYPE,MATCH(428,tk_ASEQ,0)),"")</f>
        <v/>
      </c>
      <c r="V434" s="162">
        <f>IFERROR(""&amp;INDEX(tk_CHECK,MATCH(428,tk_ASEQ,0)),"")</f>
        <v/>
      </c>
      <c r="W434" s="162">
        <f>IFERROR(TRIM(INDEX(tk_DNOTES,MATCH(428,tk_ASEQ,0))&amp;" "&amp;INDEX(tk_FNOTES,MATCH(428,tk_ASEQ,0))),"")</f>
        <v/>
      </c>
    </row>
    <row r="435">
      <c r="A435" s="161">
        <f>IFERROR(""&amp;INDEX(tk_MARK,MATCH(429,tk_ASEQ,0)),"")</f>
        <v/>
      </c>
      <c r="B435" s="162">
        <f>IFERROR(""&amp;INDEX(tk_ROOMF,MATCH(429,tk_ASEQ,0)),"")</f>
        <v/>
      </c>
      <c r="C435" s="162">
        <f>IFERROR(""&amp;INDEX(tk_ROOMT,MATCH(429,tk_ASEQ,0)),"")</f>
        <v/>
      </c>
      <c r="D435" s="162">
        <f>IFERROR(INDEX(tk_QTY,MATCH(429,tk_ASEQ,0)),"")</f>
        <v/>
      </c>
      <c r="E435" s="162">
        <f>IFERROR(""&amp;INDEX(tk_SIZE,MATCH(429,tk_ASEQ,0)),"")</f>
        <v/>
      </c>
      <c r="F435" s="162">
        <f>IFERROR(""&amp;INDEX(tk_PAIR,MATCH(429,tk_ASEQ,0)),"")</f>
        <v/>
      </c>
      <c r="G435" s="162">
        <f>IFERROR(""&amp;INDEX(tk_DMAT,MATCH(429,tk_ASEQ,0)),"")</f>
        <v/>
      </c>
      <c r="H435" s="162">
        <f>IFERROR(""&amp;INDEX(tk_DGA,MATCH(429,tk_ASEQ,0)),"")</f>
        <v/>
      </c>
      <c r="I435" s="162">
        <f>IFERROR(""&amp;INDEX(tk_FACE,MATCH(429,tk_ASEQ,0)),"")</f>
        <v/>
      </c>
      <c r="J435" s="162">
        <f>IFERROR(IF(INDEX(tk_DHAND,MATCH(429,tk_ASEQ,0))="",""&amp;INDEX(tk_HAND,MATCH(429,tk_ASEQ,0)),""&amp;INDEX(tk_DHAND,MATCH(429,tk_ASEQ,0))),"")</f>
        <v/>
      </c>
      <c r="K435" s="162">
        <f>IFERROR(""&amp;INDEX(tk_FDESC,MATCH(429,tk_ASEQ,0)),"")</f>
        <v/>
      </c>
      <c r="L435" s="162">
        <f>IFERROR(INDEX(tk_STEEL,MATCH(429,tk_ASEQ,0))&amp;IF(INDEX(tk_FGA,MATCH(429,tk_ASEQ,0))="",""," "&amp;INDEX(tk_FGA,MATCH(429,tk_ASEQ,0))&amp;"GA"),"")</f>
        <v/>
      </c>
      <c r="M435" s="162">
        <f>IFERROR(IFERROR(VLOOKUP(INDEX(tk_JAMB,MATCH(429,tk_ASEQ,0)),CODES,2,FALSE),""&amp;INDEX(tk_JAMB,MATCH(429,tk_ASEQ,0))),"")</f>
        <v/>
      </c>
      <c r="N435" s="162">
        <f>IFERROR(""&amp;INDEX(tk_CONSTR,MATCH(429,tk_ASEQ,0)),"")</f>
        <v/>
      </c>
      <c r="O435" s="162">
        <f>IFERROR(""&amp;INDEX(tk_ANCHOR,MATCH(429,tk_ASEQ,0)),"")</f>
        <v/>
      </c>
      <c r="P435" s="162">
        <f>IFERROR(""&amp;INDEX(tk_RATING,MATCH(429,tk_ASEQ,0)),"")</f>
        <v/>
      </c>
      <c r="Q435" s="162">
        <f>IFERROR(""&amp;INDEX(tk_LABEL,MATCH(429,tk_ASEQ,0)),"")</f>
        <v/>
      </c>
      <c r="R435" s="162">
        <f>IFERROR(""&amp;INDEX(tk_HWSET,MATCH(429,tk_ASEQ,0)),"")</f>
        <v/>
      </c>
      <c r="S435" s="162">
        <f>IFERROR(IF(""&amp;INDEX(tk_HINGES,MATCH(429,tk_ASEQ,0))="","",INDEX(tk_HINGES,MATCH(429,tk_ASEQ,0))&amp;" · "&amp;INDEX(tk_LSRC,MATCH(429,tk_ASEQ,0))),"")</f>
        <v/>
      </c>
      <c r="T435" s="162">
        <f>IFERROR(""&amp;INDEX(tk_LOCK,MATCH(429,tk_ASEQ,0)),"")</f>
        <v/>
      </c>
      <c r="U435" s="162">
        <f>IFERROR(INDEX(tk_ETYPE,MATCH(429,tk_ASEQ,0)),"")</f>
        <v/>
      </c>
      <c r="V435" s="162">
        <f>IFERROR(""&amp;INDEX(tk_CHECK,MATCH(429,tk_ASEQ,0)),"")</f>
        <v/>
      </c>
      <c r="W435" s="162">
        <f>IFERROR(TRIM(INDEX(tk_DNOTES,MATCH(429,tk_ASEQ,0))&amp;" "&amp;INDEX(tk_FNOTES,MATCH(429,tk_ASEQ,0))),"")</f>
        <v/>
      </c>
    </row>
    <row r="436">
      <c r="A436" s="161">
        <f>IFERROR(""&amp;INDEX(tk_MARK,MATCH(430,tk_ASEQ,0)),"")</f>
        <v/>
      </c>
      <c r="B436" s="162">
        <f>IFERROR(""&amp;INDEX(tk_ROOMF,MATCH(430,tk_ASEQ,0)),"")</f>
        <v/>
      </c>
      <c r="C436" s="162">
        <f>IFERROR(""&amp;INDEX(tk_ROOMT,MATCH(430,tk_ASEQ,0)),"")</f>
        <v/>
      </c>
      <c r="D436" s="162">
        <f>IFERROR(INDEX(tk_QTY,MATCH(430,tk_ASEQ,0)),"")</f>
        <v/>
      </c>
      <c r="E436" s="162">
        <f>IFERROR(""&amp;INDEX(tk_SIZE,MATCH(430,tk_ASEQ,0)),"")</f>
        <v/>
      </c>
      <c r="F436" s="162">
        <f>IFERROR(""&amp;INDEX(tk_PAIR,MATCH(430,tk_ASEQ,0)),"")</f>
        <v/>
      </c>
      <c r="G436" s="162">
        <f>IFERROR(""&amp;INDEX(tk_DMAT,MATCH(430,tk_ASEQ,0)),"")</f>
        <v/>
      </c>
      <c r="H436" s="162">
        <f>IFERROR(""&amp;INDEX(tk_DGA,MATCH(430,tk_ASEQ,0)),"")</f>
        <v/>
      </c>
      <c r="I436" s="162">
        <f>IFERROR(""&amp;INDEX(tk_FACE,MATCH(430,tk_ASEQ,0)),"")</f>
        <v/>
      </c>
      <c r="J436" s="162">
        <f>IFERROR(IF(INDEX(tk_DHAND,MATCH(430,tk_ASEQ,0))="",""&amp;INDEX(tk_HAND,MATCH(430,tk_ASEQ,0)),""&amp;INDEX(tk_DHAND,MATCH(430,tk_ASEQ,0))),"")</f>
        <v/>
      </c>
      <c r="K436" s="162">
        <f>IFERROR(""&amp;INDEX(tk_FDESC,MATCH(430,tk_ASEQ,0)),"")</f>
        <v/>
      </c>
      <c r="L436" s="162">
        <f>IFERROR(INDEX(tk_STEEL,MATCH(430,tk_ASEQ,0))&amp;IF(INDEX(tk_FGA,MATCH(430,tk_ASEQ,0))="",""," "&amp;INDEX(tk_FGA,MATCH(430,tk_ASEQ,0))&amp;"GA"),"")</f>
        <v/>
      </c>
      <c r="M436" s="162">
        <f>IFERROR(IFERROR(VLOOKUP(INDEX(tk_JAMB,MATCH(430,tk_ASEQ,0)),CODES,2,FALSE),""&amp;INDEX(tk_JAMB,MATCH(430,tk_ASEQ,0))),"")</f>
        <v/>
      </c>
      <c r="N436" s="162">
        <f>IFERROR(""&amp;INDEX(tk_CONSTR,MATCH(430,tk_ASEQ,0)),"")</f>
        <v/>
      </c>
      <c r="O436" s="162">
        <f>IFERROR(""&amp;INDEX(tk_ANCHOR,MATCH(430,tk_ASEQ,0)),"")</f>
        <v/>
      </c>
      <c r="P436" s="162">
        <f>IFERROR(""&amp;INDEX(tk_RATING,MATCH(430,tk_ASEQ,0)),"")</f>
        <v/>
      </c>
      <c r="Q436" s="162">
        <f>IFERROR(""&amp;INDEX(tk_LABEL,MATCH(430,tk_ASEQ,0)),"")</f>
        <v/>
      </c>
      <c r="R436" s="162">
        <f>IFERROR(""&amp;INDEX(tk_HWSET,MATCH(430,tk_ASEQ,0)),"")</f>
        <v/>
      </c>
      <c r="S436" s="162">
        <f>IFERROR(IF(""&amp;INDEX(tk_HINGES,MATCH(430,tk_ASEQ,0))="","",INDEX(tk_HINGES,MATCH(430,tk_ASEQ,0))&amp;" · "&amp;INDEX(tk_LSRC,MATCH(430,tk_ASEQ,0))),"")</f>
        <v/>
      </c>
      <c r="T436" s="162">
        <f>IFERROR(""&amp;INDEX(tk_LOCK,MATCH(430,tk_ASEQ,0)),"")</f>
        <v/>
      </c>
      <c r="U436" s="162">
        <f>IFERROR(INDEX(tk_ETYPE,MATCH(430,tk_ASEQ,0)),"")</f>
        <v/>
      </c>
      <c r="V436" s="162">
        <f>IFERROR(""&amp;INDEX(tk_CHECK,MATCH(430,tk_ASEQ,0)),"")</f>
        <v/>
      </c>
      <c r="W436" s="162">
        <f>IFERROR(TRIM(INDEX(tk_DNOTES,MATCH(430,tk_ASEQ,0))&amp;" "&amp;INDEX(tk_FNOTES,MATCH(430,tk_ASEQ,0))),"")</f>
        <v/>
      </c>
    </row>
    <row r="437">
      <c r="A437" s="161">
        <f>IFERROR(""&amp;INDEX(tk_MARK,MATCH(431,tk_ASEQ,0)),"")</f>
        <v/>
      </c>
      <c r="B437" s="162">
        <f>IFERROR(""&amp;INDEX(tk_ROOMF,MATCH(431,tk_ASEQ,0)),"")</f>
        <v/>
      </c>
      <c r="C437" s="162">
        <f>IFERROR(""&amp;INDEX(tk_ROOMT,MATCH(431,tk_ASEQ,0)),"")</f>
        <v/>
      </c>
      <c r="D437" s="162">
        <f>IFERROR(INDEX(tk_QTY,MATCH(431,tk_ASEQ,0)),"")</f>
        <v/>
      </c>
      <c r="E437" s="162">
        <f>IFERROR(""&amp;INDEX(tk_SIZE,MATCH(431,tk_ASEQ,0)),"")</f>
        <v/>
      </c>
      <c r="F437" s="162">
        <f>IFERROR(""&amp;INDEX(tk_PAIR,MATCH(431,tk_ASEQ,0)),"")</f>
        <v/>
      </c>
      <c r="G437" s="162">
        <f>IFERROR(""&amp;INDEX(tk_DMAT,MATCH(431,tk_ASEQ,0)),"")</f>
        <v/>
      </c>
      <c r="H437" s="162">
        <f>IFERROR(""&amp;INDEX(tk_DGA,MATCH(431,tk_ASEQ,0)),"")</f>
        <v/>
      </c>
      <c r="I437" s="162">
        <f>IFERROR(""&amp;INDEX(tk_FACE,MATCH(431,tk_ASEQ,0)),"")</f>
        <v/>
      </c>
      <c r="J437" s="162">
        <f>IFERROR(IF(INDEX(tk_DHAND,MATCH(431,tk_ASEQ,0))="",""&amp;INDEX(tk_HAND,MATCH(431,tk_ASEQ,0)),""&amp;INDEX(tk_DHAND,MATCH(431,tk_ASEQ,0))),"")</f>
        <v/>
      </c>
      <c r="K437" s="162">
        <f>IFERROR(""&amp;INDEX(tk_FDESC,MATCH(431,tk_ASEQ,0)),"")</f>
        <v/>
      </c>
      <c r="L437" s="162">
        <f>IFERROR(INDEX(tk_STEEL,MATCH(431,tk_ASEQ,0))&amp;IF(INDEX(tk_FGA,MATCH(431,tk_ASEQ,0))="",""," "&amp;INDEX(tk_FGA,MATCH(431,tk_ASEQ,0))&amp;"GA"),"")</f>
        <v/>
      </c>
      <c r="M437" s="162">
        <f>IFERROR(IFERROR(VLOOKUP(INDEX(tk_JAMB,MATCH(431,tk_ASEQ,0)),CODES,2,FALSE),""&amp;INDEX(tk_JAMB,MATCH(431,tk_ASEQ,0))),"")</f>
        <v/>
      </c>
      <c r="N437" s="162">
        <f>IFERROR(""&amp;INDEX(tk_CONSTR,MATCH(431,tk_ASEQ,0)),"")</f>
        <v/>
      </c>
      <c r="O437" s="162">
        <f>IFERROR(""&amp;INDEX(tk_ANCHOR,MATCH(431,tk_ASEQ,0)),"")</f>
        <v/>
      </c>
      <c r="P437" s="162">
        <f>IFERROR(""&amp;INDEX(tk_RATING,MATCH(431,tk_ASEQ,0)),"")</f>
        <v/>
      </c>
      <c r="Q437" s="162">
        <f>IFERROR(""&amp;INDEX(tk_LABEL,MATCH(431,tk_ASEQ,0)),"")</f>
        <v/>
      </c>
      <c r="R437" s="162">
        <f>IFERROR(""&amp;INDEX(tk_HWSET,MATCH(431,tk_ASEQ,0)),"")</f>
        <v/>
      </c>
      <c r="S437" s="162">
        <f>IFERROR(IF(""&amp;INDEX(tk_HINGES,MATCH(431,tk_ASEQ,0))="","",INDEX(tk_HINGES,MATCH(431,tk_ASEQ,0))&amp;" · "&amp;INDEX(tk_LSRC,MATCH(431,tk_ASEQ,0))),"")</f>
        <v/>
      </c>
      <c r="T437" s="162">
        <f>IFERROR(""&amp;INDEX(tk_LOCK,MATCH(431,tk_ASEQ,0)),"")</f>
        <v/>
      </c>
      <c r="U437" s="162">
        <f>IFERROR(INDEX(tk_ETYPE,MATCH(431,tk_ASEQ,0)),"")</f>
        <v/>
      </c>
      <c r="V437" s="162">
        <f>IFERROR(""&amp;INDEX(tk_CHECK,MATCH(431,tk_ASEQ,0)),"")</f>
        <v/>
      </c>
      <c r="W437" s="162">
        <f>IFERROR(TRIM(INDEX(tk_DNOTES,MATCH(431,tk_ASEQ,0))&amp;" "&amp;INDEX(tk_FNOTES,MATCH(431,tk_ASEQ,0))),"")</f>
        <v/>
      </c>
    </row>
    <row r="438">
      <c r="A438" s="161">
        <f>IFERROR(""&amp;INDEX(tk_MARK,MATCH(432,tk_ASEQ,0)),"")</f>
        <v/>
      </c>
      <c r="B438" s="162">
        <f>IFERROR(""&amp;INDEX(tk_ROOMF,MATCH(432,tk_ASEQ,0)),"")</f>
        <v/>
      </c>
      <c r="C438" s="162">
        <f>IFERROR(""&amp;INDEX(tk_ROOMT,MATCH(432,tk_ASEQ,0)),"")</f>
        <v/>
      </c>
      <c r="D438" s="162">
        <f>IFERROR(INDEX(tk_QTY,MATCH(432,tk_ASEQ,0)),"")</f>
        <v/>
      </c>
      <c r="E438" s="162">
        <f>IFERROR(""&amp;INDEX(tk_SIZE,MATCH(432,tk_ASEQ,0)),"")</f>
        <v/>
      </c>
      <c r="F438" s="162">
        <f>IFERROR(""&amp;INDEX(tk_PAIR,MATCH(432,tk_ASEQ,0)),"")</f>
        <v/>
      </c>
      <c r="G438" s="162">
        <f>IFERROR(""&amp;INDEX(tk_DMAT,MATCH(432,tk_ASEQ,0)),"")</f>
        <v/>
      </c>
      <c r="H438" s="162">
        <f>IFERROR(""&amp;INDEX(tk_DGA,MATCH(432,tk_ASEQ,0)),"")</f>
        <v/>
      </c>
      <c r="I438" s="162">
        <f>IFERROR(""&amp;INDEX(tk_FACE,MATCH(432,tk_ASEQ,0)),"")</f>
        <v/>
      </c>
      <c r="J438" s="162">
        <f>IFERROR(IF(INDEX(tk_DHAND,MATCH(432,tk_ASEQ,0))="",""&amp;INDEX(tk_HAND,MATCH(432,tk_ASEQ,0)),""&amp;INDEX(tk_DHAND,MATCH(432,tk_ASEQ,0))),"")</f>
        <v/>
      </c>
      <c r="K438" s="162">
        <f>IFERROR(""&amp;INDEX(tk_FDESC,MATCH(432,tk_ASEQ,0)),"")</f>
        <v/>
      </c>
      <c r="L438" s="162">
        <f>IFERROR(INDEX(tk_STEEL,MATCH(432,tk_ASEQ,0))&amp;IF(INDEX(tk_FGA,MATCH(432,tk_ASEQ,0))="",""," "&amp;INDEX(tk_FGA,MATCH(432,tk_ASEQ,0))&amp;"GA"),"")</f>
        <v/>
      </c>
      <c r="M438" s="162">
        <f>IFERROR(IFERROR(VLOOKUP(INDEX(tk_JAMB,MATCH(432,tk_ASEQ,0)),CODES,2,FALSE),""&amp;INDEX(tk_JAMB,MATCH(432,tk_ASEQ,0))),"")</f>
        <v/>
      </c>
      <c r="N438" s="162">
        <f>IFERROR(""&amp;INDEX(tk_CONSTR,MATCH(432,tk_ASEQ,0)),"")</f>
        <v/>
      </c>
      <c r="O438" s="162">
        <f>IFERROR(""&amp;INDEX(tk_ANCHOR,MATCH(432,tk_ASEQ,0)),"")</f>
        <v/>
      </c>
      <c r="P438" s="162">
        <f>IFERROR(""&amp;INDEX(tk_RATING,MATCH(432,tk_ASEQ,0)),"")</f>
        <v/>
      </c>
      <c r="Q438" s="162">
        <f>IFERROR(""&amp;INDEX(tk_LABEL,MATCH(432,tk_ASEQ,0)),"")</f>
        <v/>
      </c>
      <c r="R438" s="162">
        <f>IFERROR(""&amp;INDEX(tk_HWSET,MATCH(432,tk_ASEQ,0)),"")</f>
        <v/>
      </c>
      <c r="S438" s="162">
        <f>IFERROR(IF(""&amp;INDEX(tk_HINGES,MATCH(432,tk_ASEQ,0))="","",INDEX(tk_HINGES,MATCH(432,tk_ASEQ,0))&amp;" · "&amp;INDEX(tk_LSRC,MATCH(432,tk_ASEQ,0))),"")</f>
        <v/>
      </c>
      <c r="T438" s="162">
        <f>IFERROR(""&amp;INDEX(tk_LOCK,MATCH(432,tk_ASEQ,0)),"")</f>
        <v/>
      </c>
      <c r="U438" s="162">
        <f>IFERROR(INDEX(tk_ETYPE,MATCH(432,tk_ASEQ,0)),"")</f>
        <v/>
      </c>
      <c r="V438" s="162">
        <f>IFERROR(""&amp;INDEX(tk_CHECK,MATCH(432,tk_ASEQ,0)),"")</f>
        <v/>
      </c>
      <c r="W438" s="162">
        <f>IFERROR(TRIM(INDEX(tk_DNOTES,MATCH(432,tk_ASEQ,0))&amp;" "&amp;INDEX(tk_FNOTES,MATCH(432,tk_ASEQ,0))),"")</f>
        <v/>
      </c>
    </row>
    <row r="439">
      <c r="A439" s="161">
        <f>IFERROR(""&amp;INDEX(tk_MARK,MATCH(433,tk_ASEQ,0)),"")</f>
        <v/>
      </c>
      <c r="B439" s="162">
        <f>IFERROR(""&amp;INDEX(tk_ROOMF,MATCH(433,tk_ASEQ,0)),"")</f>
        <v/>
      </c>
      <c r="C439" s="162">
        <f>IFERROR(""&amp;INDEX(tk_ROOMT,MATCH(433,tk_ASEQ,0)),"")</f>
        <v/>
      </c>
      <c r="D439" s="162">
        <f>IFERROR(INDEX(tk_QTY,MATCH(433,tk_ASEQ,0)),"")</f>
        <v/>
      </c>
      <c r="E439" s="162">
        <f>IFERROR(""&amp;INDEX(tk_SIZE,MATCH(433,tk_ASEQ,0)),"")</f>
        <v/>
      </c>
      <c r="F439" s="162">
        <f>IFERROR(""&amp;INDEX(tk_PAIR,MATCH(433,tk_ASEQ,0)),"")</f>
        <v/>
      </c>
      <c r="G439" s="162">
        <f>IFERROR(""&amp;INDEX(tk_DMAT,MATCH(433,tk_ASEQ,0)),"")</f>
        <v/>
      </c>
      <c r="H439" s="162">
        <f>IFERROR(""&amp;INDEX(tk_DGA,MATCH(433,tk_ASEQ,0)),"")</f>
        <v/>
      </c>
      <c r="I439" s="162">
        <f>IFERROR(""&amp;INDEX(tk_FACE,MATCH(433,tk_ASEQ,0)),"")</f>
        <v/>
      </c>
      <c r="J439" s="162">
        <f>IFERROR(IF(INDEX(tk_DHAND,MATCH(433,tk_ASEQ,0))="",""&amp;INDEX(tk_HAND,MATCH(433,tk_ASEQ,0)),""&amp;INDEX(tk_DHAND,MATCH(433,tk_ASEQ,0))),"")</f>
        <v/>
      </c>
      <c r="K439" s="162">
        <f>IFERROR(""&amp;INDEX(tk_FDESC,MATCH(433,tk_ASEQ,0)),"")</f>
        <v/>
      </c>
      <c r="L439" s="162">
        <f>IFERROR(INDEX(tk_STEEL,MATCH(433,tk_ASEQ,0))&amp;IF(INDEX(tk_FGA,MATCH(433,tk_ASEQ,0))="",""," "&amp;INDEX(tk_FGA,MATCH(433,tk_ASEQ,0))&amp;"GA"),"")</f>
        <v/>
      </c>
      <c r="M439" s="162">
        <f>IFERROR(IFERROR(VLOOKUP(INDEX(tk_JAMB,MATCH(433,tk_ASEQ,0)),CODES,2,FALSE),""&amp;INDEX(tk_JAMB,MATCH(433,tk_ASEQ,0))),"")</f>
        <v/>
      </c>
      <c r="N439" s="162">
        <f>IFERROR(""&amp;INDEX(tk_CONSTR,MATCH(433,tk_ASEQ,0)),"")</f>
        <v/>
      </c>
      <c r="O439" s="162">
        <f>IFERROR(""&amp;INDEX(tk_ANCHOR,MATCH(433,tk_ASEQ,0)),"")</f>
        <v/>
      </c>
      <c r="P439" s="162">
        <f>IFERROR(""&amp;INDEX(tk_RATING,MATCH(433,tk_ASEQ,0)),"")</f>
        <v/>
      </c>
      <c r="Q439" s="162">
        <f>IFERROR(""&amp;INDEX(tk_LABEL,MATCH(433,tk_ASEQ,0)),"")</f>
        <v/>
      </c>
      <c r="R439" s="162">
        <f>IFERROR(""&amp;INDEX(tk_HWSET,MATCH(433,tk_ASEQ,0)),"")</f>
        <v/>
      </c>
      <c r="S439" s="162">
        <f>IFERROR(IF(""&amp;INDEX(tk_HINGES,MATCH(433,tk_ASEQ,0))="","",INDEX(tk_HINGES,MATCH(433,tk_ASEQ,0))&amp;" · "&amp;INDEX(tk_LSRC,MATCH(433,tk_ASEQ,0))),"")</f>
        <v/>
      </c>
      <c r="T439" s="162">
        <f>IFERROR(""&amp;INDEX(tk_LOCK,MATCH(433,tk_ASEQ,0)),"")</f>
        <v/>
      </c>
      <c r="U439" s="162">
        <f>IFERROR(INDEX(tk_ETYPE,MATCH(433,tk_ASEQ,0)),"")</f>
        <v/>
      </c>
      <c r="V439" s="162">
        <f>IFERROR(""&amp;INDEX(tk_CHECK,MATCH(433,tk_ASEQ,0)),"")</f>
        <v/>
      </c>
      <c r="W439" s="162">
        <f>IFERROR(TRIM(INDEX(tk_DNOTES,MATCH(433,tk_ASEQ,0))&amp;" "&amp;INDEX(tk_FNOTES,MATCH(433,tk_ASEQ,0))),"")</f>
        <v/>
      </c>
    </row>
    <row r="440">
      <c r="A440" s="161">
        <f>IFERROR(""&amp;INDEX(tk_MARK,MATCH(434,tk_ASEQ,0)),"")</f>
        <v/>
      </c>
      <c r="B440" s="162">
        <f>IFERROR(""&amp;INDEX(tk_ROOMF,MATCH(434,tk_ASEQ,0)),"")</f>
        <v/>
      </c>
      <c r="C440" s="162">
        <f>IFERROR(""&amp;INDEX(tk_ROOMT,MATCH(434,tk_ASEQ,0)),"")</f>
        <v/>
      </c>
      <c r="D440" s="162">
        <f>IFERROR(INDEX(tk_QTY,MATCH(434,tk_ASEQ,0)),"")</f>
        <v/>
      </c>
      <c r="E440" s="162">
        <f>IFERROR(""&amp;INDEX(tk_SIZE,MATCH(434,tk_ASEQ,0)),"")</f>
        <v/>
      </c>
      <c r="F440" s="162">
        <f>IFERROR(""&amp;INDEX(tk_PAIR,MATCH(434,tk_ASEQ,0)),"")</f>
        <v/>
      </c>
      <c r="G440" s="162">
        <f>IFERROR(""&amp;INDEX(tk_DMAT,MATCH(434,tk_ASEQ,0)),"")</f>
        <v/>
      </c>
      <c r="H440" s="162">
        <f>IFERROR(""&amp;INDEX(tk_DGA,MATCH(434,tk_ASEQ,0)),"")</f>
        <v/>
      </c>
      <c r="I440" s="162">
        <f>IFERROR(""&amp;INDEX(tk_FACE,MATCH(434,tk_ASEQ,0)),"")</f>
        <v/>
      </c>
      <c r="J440" s="162">
        <f>IFERROR(IF(INDEX(tk_DHAND,MATCH(434,tk_ASEQ,0))="",""&amp;INDEX(tk_HAND,MATCH(434,tk_ASEQ,0)),""&amp;INDEX(tk_DHAND,MATCH(434,tk_ASEQ,0))),"")</f>
        <v/>
      </c>
      <c r="K440" s="162">
        <f>IFERROR(""&amp;INDEX(tk_FDESC,MATCH(434,tk_ASEQ,0)),"")</f>
        <v/>
      </c>
      <c r="L440" s="162">
        <f>IFERROR(INDEX(tk_STEEL,MATCH(434,tk_ASEQ,0))&amp;IF(INDEX(tk_FGA,MATCH(434,tk_ASEQ,0))="",""," "&amp;INDEX(tk_FGA,MATCH(434,tk_ASEQ,0))&amp;"GA"),"")</f>
        <v/>
      </c>
      <c r="M440" s="162">
        <f>IFERROR(IFERROR(VLOOKUP(INDEX(tk_JAMB,MATCH(434,tk_ASEQ,0)),CODES,2,FALSE),""&amp;INDEX(tk_JAMB,MATCH(434,tk_ASEQ,0))),"")</f>
        <v/>
      </c>
      <c r="N440" s="162">
        <f>IFERROR(""&amp;INDEX(tk_CONSTR,MATCH(434,tk_ASEQ,0)),"")</f>
        <v/>
      </c>
      <c r="O440" s="162">
        <f>IFERROR(""&amp;INDEX(tk_ANCHOR,MATCH(434,tk_ASEQ,0)),"")</f>
        <v/>
      </c>
      <c r="P440" s="162">
        <f>IFERROR(""&amp;INDEX(tk_RATING,MATCH(434,tk_ASEQ,0)),"")</f>
        <v/>
      </c>
      <c r="Q440" s="162">
        <f>IFERROR(""&amp;INDEX(tk_LABEL,MATCH(434,tk_ASEQ,0)),"")</f>
        <v/>
      </c>
      <c r="R440" s="162">
        <f>IFERROR(""&amp;INDEX(tk_HWSET,MATCH(434,tk_ASEQ,0)),"")</f>
        <v/>
      </c>
      <c r="S440" s="162">
        <f>IFERROR(IF(""&amp;INDEX(tk_HINGES,MATCH(434,tk_ASEQ,0))="","",INDEX(tk_HINGES,MATCH(434,tk_ASEQ,0))&amp;" · "&amp;INDEX(tk_LSRC,MATCH(434,tk_ASEQ,0))),"")</f>
        <v/>
      </c>
      <c r="T440" s="162">
        <f>IFERROR(""&amp;INDEX(tk_LOCK,MATCH(434,tk_ASEQ,0)),"")</f>
        <v/>
      </c>
      <c r="U440" s="162">
        <f>IFERROR(INDEX(tk_ETYPE,MATCH(434,tk_ASEQ,0)),"")</f>
        <v/>
      </c>
      <c r="V440" s="162">
        <f>IFERROR(""&amp;INDEX(tk_CHECK,MATCH(434,tk_ASEQ,0)),"")</f>
        <v/>
      </c>
      <c r="W440" s="162">
        <f>IFERROR(TRIM(INDEX(tk_DNOTES,MATCH(434,tk_ASEQ,0))&amp;" "&amp;INDEX(tk_FNOTES,MATCH(434,tk_ASEQ,0))),"")</f>
        <v/>
      </c>
    </row>
    <row r="441">
      <c r="A441" s="161">
        <f>IFERROR(""&amp;INDEX(tk_MARK,MATCH(435,tk_ASEQ,0)),"")</f>
        <v/>
      </c>
      <c r="B441" s="162">
        <f>IFERROR(""&amp;INDEX(tk_ROOMF,MATCH(435,tk_ASEQ,0)),"")</f>
        <v/>
      </c>
      <c r="C441" s="162">
        <f>IFERROR(""&amp;INDEX(tk_ROOMT,MATCH(435,tk_ASEQ,0)),"")</f>
        <v/>
      </c>
      <c r="D441" s="162">
        <f>IFERROR(INDEX(tk_QTY,MATCH(435,tk_ASEQ,0)),"")</f>
        <v/>
      </c>
      <c r="E441" s="162">
        <f>IFERROR(""&amp;INDEX(tk_SIZE,MATCH(435,tk_ASEQ,0)),"")</f>
        <v/>
      </c>
      <c r="F441" s="162">
        <f>IFERROR(""&amp;INDEX(tk_PAIR,MATCH(435,tk_ASEQ,0)),"")</f>
        <v/>
      </c>
      <c r="G441" s="162">
        <f>IFERROR(""&amp;INDEX(tk_DMAT,MATCH(435,tk_ASEQ,0)),"")</f>
        <v/>
      </c>
      <c r="H441" s="162">
        <f>IFERROR(""&amp;INDEX(tk_DGA,MATCH(435,tk_ASEQ,0)),"")</f>
        <v/>
      </c>
      <c r="I441" s="162">
        <f>IFERROR(""&amp;INDEX(tk_FACE,MATCH(435,tk_ASEQ,0)),"")</f>
        <v/>
      </c>
      <c r="J441" s="162">
        <f>IFERROR(IF(INDEX(tk_DHAND,MATCH(435,tk_ASEQ,0))="",""&amp;INDEX(tk_HAND,MATCH(435,tk_ASEQ,0)),""&amp;INDEX(tk_DHAND,MATCH(435,tk_ASEQ,0))),"")</f>
        <v/>
      </c>
      <c r="K441" s="162">
        <f>IFERROR(""&amp;INDEX(tk_FDESC,MATCH(435,tk_ASEQ,0)),"")</f>
        <v/>
      </c>
      <c r="L441" s="162">
        <f>IFERROR(INDEX(tk_STEEL,MATCH(435,tk_ASEQ,0))&amp;IF(INDEX(tk_FGA,MATCH(435,tk_ASEQ,0))="",""," "&amp;INDEX(tk_FGA,MATCH(435,tk_ASEQ,0))&amp;"GA"),"")</f>
        <v/>
      </c>
      <c r="M441" s="162">
        <f>IFERROR(IFERROR(VLOOKUP(INDEX(tk_JAMB,MATCH(435,tk_ASEQ,0)),CODES,2,FALSE),""&amp;INDEX(tk_JAMB,MATCH(435,tk_ASEQ,0))),"")</f>
        <v/>
      </c>
      <c r="N441" s="162">
        <f>IFERROR(""&amp;INDEX(tk_CONSTR,MATCH(435,tk_ASEQ,0)),"")</f>
        <v/>
      </c>
      <c r="O441" s="162">
        <f>IFERROR(""&amp;INDEX(tk_ANCHOR,MATCH(435,tk_ASEQ,0)),"")</f>
        <v/>
      </c>
      <c r="P441" s="162">
        <f>IFERROR(""&amp;INDEX(tk_RATING,MATCH(435,tk_ASEQ,0)),"")</f>
        <v/>
      </c>
      <c r="Q441" s="162">
        <f>IFERROR(""&amp;INDEX(tk_LABEL,MATCH(435,tk_ASEQ,0)),"")</f>
        <v/>
      </c>
      <c r="R441" s="162">
        <f>IFERROR(""&amp;INDEX(tk_HWSET,MATCH(435,tk_ASEQ,0)),"")</f>
        <v/>
      </c>
      <c r="S441" s="162">
        <f>IFERROR(IF(""&amp;INDEX(tk_HINGES,MATCH(435,tk_ASEQ,0))="","",INDEX(tk_HINGES,MATCH(435,tk_ASEQ,0))&amp;" · "&amp;INDEX(tk_LSRC,MATCH(435,tk_ASEQ,0))),"")</f>
        <v/>
      </c>
      <c r="T441" s="162">
        <f>IFERROR(""&amp;INDEX(tk_LOCK,MATCH(435,tk_ASEQ,0)),"")</f>
        <v/>
      </c>
      <c r="U441" s="162">
        <f>IFERROR(INDEX(tk_ETYPE,MATCH(435,tk_ASEQ,0)),"")</f>
        <v/>
      </c>
      <c r="V441" s="162">
        <f>IFERROR(""&amp;INDEX(tk_CHECK,MATCH(435,tk_ASEQ,0)),"")</f>
        <v/>
      </c>
      <c r="W441" s="162">
        <f>IFERROR(TRIM(INDEX(tk_DNOTES,MATCH(435,tk_ASEQ,0))&amp;" "&amp;INDEX(tk_FNOTES,MATCH(435,tk_ASEQ,0))),"")</f>
        <v/>
      </c>
    </row>
    <row r="442">
      <c r="A442" s="161">
        <f>IFERROR(""&amp;INDEX(tk_MARK,MATCH(436,tk_ASEQ,0)),"")</f>
        <v/>
      </c>
      <c r="B442" s="162">
        <f>IFERROR(""&amp;INDEX(tk_ROOMF,MATCH(436,tk_ASEQ,0)),"")</f>
        <v/>
      </c>
      <c r="C442" s="162">
        <f>IFERROR(""&amp;INDEX(tk_ROOMT,MATCH(436,tk_ASEQ,0)),"")</f>
        <v/>
      </c>
      <c r="D442" s="162">
        <f>IFERROR(INDEX(tk_QTY,MATCH(436,tk_ASEQ,0)),"")</f>
        <v/>
      </c>
      <c r="E442" s="162">
        <f>IFERROR(""&amp;INDEX(tk_SIZE,MATCH(436,tk_ASEQ,0)),"")</f>
        <v/>
      </c>
      <c r="F442" s="162">
        <f>IFERROR(""&amp;INDEX(tk_PAIR,MATCH(436,tk_ASEQ,0)),"")</f>
        <v/>
      </c>
      <c r="G442" s="162">
        <f>IFERROR(""&amp;INDEX(tk_DMAT,MATCH(436,tk_ASEQ,0)),"")</f>
        <v/>
      </c>
      <c r="H442" s="162">
        <f>IFERROR(""&amp;INDEX(tk_DGA,MATCH(436,tk_ASEQ,0)),"")</f>
        <v/>
      </c>
      <c r="I442" s="162">
        <f>IFERROR(""&amp;INDEX(tk_FACE,MATCH(436,tk_ASEQ,0)),"")</f>
        <v/>
      </c>
      <c r="J442" s="162">
        <f>IFERROR(IF(INDEX(tk_DHAND,MATCH(436,tk_ASEQ,0))="",""&amp;INDEX(tk_HAND,MATCH(436,tk_ASEQ,0)),""&amp;INDEX(tk_DHAND,MATCH(436,tk_ASEQ,0))),"")</f>
        <v/>
      </c>
      <c r="K442" s="162">
        <f>IFERROR(""&amp;INDEX(tk_FDESC,MATCH(436,tk_ASEQ,0)),"")</f>
        <v/>
      </c>
      <c r="L442" s="162">
        <f>IFERROR(INDEX(tk_STEEL,MATCH(436,tk_ASEQ,0))&amp;IF(INDEX(tk_FGA,MATCH(436,tk_ASEQ,0))="",""," "&amp;INDEX(tk_FGA,MATCH(436,tk_ASEQ,0))&amp;"GA"),"")</f>
        <v/>
      </c>
      <c r="M442" s="162">
        <f>IFERROR(IFERROR(VLOOKUP(INDEX(tk_JAMB,MATCH(436,tk_ASEQ,0)),CODES,2,FALSE),""&amp;INDEX(tk_JAMB,MATCH(436,tk_ASEQ,0))),"")</f>
        <v/>
      </c>
      <c r="N442" s="162">
        <f>IFERROR(""&amp;INDEX(tk_CONSTR,MATCH(436,tk_ASEQ,0)),"")</f>
        <v/>
      </c>
      <c r="O442" s="162">
        <f>IFERROR(""&amp;INDEX(tk_ANCHOR,MATCH(436,tk_ASEQ,0)),"")</f>
        <v/>
      </c>
      <c r="P442" s="162">
        <f>IFERROR(""&amp;INDEX(tk_RATING,MATCH(436,tk_ASEQ,0)),"")</f>
        <v/>
      </c>
      <c r="Q442" s="162">
        <f>IFERROR(""&amp;INDEX(tk_LABEL,MATCH(436,tk_ASEQ,0)),"")</f>
        <v/>
      </c>
      <c r="R442" s="162">
        <f>IFERROR(""&amp;INDEX(tk_HWSET,MATCH(436,tk_ASEQ,0)),"")</f>
        <v/>
      </c>
      <c r="S442" s="162">
        <f>IFERROR(IF(""&amp;INDEX(tk_HINGES,MATCH(436,tk_ASEQ,0))="","",INDEX(tk_HINGES,MATCH(436,tk_ASEQ,0))&amp;" · "&amp;INDEX(tk_LSRC,MATCH(436,tk_ASEQ,0))),"")</f>
        <v/>
      </c>
      <c r="T442" s="162">
        <f>IFERROR(""&amp;INDEX(tk_LOCK,MATCH(436,tk_ASEQ,0)),"")</f>
        <v/>
      </c>
      <c r="U442" s="162">
        <f>IFERROR(INDEX(tk_ETYPE,MATCH(436,tk_ASEQ,0)),"")</f>
        <v/>
      </c>
      <c r="V442" s="162">
        <f>IFERROR(""&amp;INDEX(tk_CHECK,MATCH(436,tk_ASEQ,0)),"")</f>
        <v/>
      </c>
      <c r="W442" s="162">
        <f>IFERROR(TRIM(INDEX(tk_DNOTES,MATCH(436,tk_ASEQ,0))&amp;" "&amp;INDEX(tk_FNOTES,MATCH(436,tk_ASEQ,0))),"")</f>
        <v/>
      </c>
    </row>
    <row r="443">
      <c r="A443" s="161">
        <f>IFERROR(""&amp;INDEX(tk_MARK,MATCH(437,tk_ASEQ,0)),"")</f>
        <v/>
      </c>
      <c r="B443" s="162">
        <f>IFERROR(""&amp;INDEX(tk_ROOMF,MATCH(437,tk_ASEQ,0)),"")</f>
        <v/>
      </c>
      <c r="C443" s="162">
        <f>IFERROR(""&amp;INDEX(tk_ROOMT,MATCH(437,tk_ASEQ,0)),"")</f>
        <v/>
      </c>
      <c r="D443" s="162">
        <f>IFERROR(INDEX(tk_QTY,MATCH(437,tk_ASEQ,0)),"")</f>
        <v/>
      </c>
      <c r="E443" s="162">
        <f>IFERROR(""&amp;INDEX(tk_SIZE,MATCH(437,tk_ASEQ,0)),"")</f>
        <v/>
      </c>
      <c r="F443" s="162">
        <f>IFERROR(""&amp;INDEX(tk_PAIR,MATCH(437,tk_ASEQ,0)),"")</f>
        <v/>
      </c>
      <c r="G443" s="162">
        <f>IFERROR(""&amp;INDEX(tk_DMAT,MATCH(437,tk_ASEQ,0)),"")</f>
        <v/>
      </c>
      <c r="H443" s="162">
        <f>IFERROR(""&amp;INDEX(tk_DGA,MATCH(437,tk_ASEQ,0)),"")</f>
        <v/>
      </c>
      <c r="I443" s="162">
        <f>IFERROR(""&amp;INDEX(tk_FACE,MATCH(437,tk_ASEQ,0)),"")</f>
        <v/>
      </c>
      <c r="J443" s="162">
        <f>IFERROR(IF(INDEX(tk_DHAND,MATCH(437,tk_ASEQ,0))="",""&amp;INDEX(tk_HAND,MATCH(437,tk_ASEQ,0)),""&amp;INDEX(tk_DHAND,MATCH(437,tk_ASEQ,0))),"")</f>
        <v/>
      </c>
      <c r="K443" s="162">
        <f>IFERROR(""&amp;INDEX(tk_FDESC,MATCH(437,tk_ASEQ,0)),"")</f>
        <v/>
      </c>
      <c r="L443" s="162">
        <f>IFERROR(INDEX(tk_STEEL,MATCH(437,tk_ASEQ,0))&amp;IF(INDEX(tk_FGA,MATCH(437,tk_ASEQ,0))="",""," "&amp;INDEX(tk_FGA,MATCH(437,tk_ASEQ,0))&amp;"GA"),"")</f>
        <v/>
      </c>
      <c r="M443" s="162">
        <f>IFERROR(IFERROR(VLOOKUP(INDEX(tk_JAMB,MATCH(437,tk_ASEQ,0)),CODES,2,FALSE),""&amp;INDEX(tk_JAMB,MATCH(437,tk_ASEQ,0))),"")</f>
        <v/>
      </c>
      <c r="N443" s="162">
        <f>IFERROR(""&amp;INDEX(tk_CONSTR,MATCH(437,tk_ASEQ,0)),"")</f>
        <v/>
      </c>
      <c r="O443" s="162">
        <f>IFERROR(""&amp;INDEX(tk_ANCHOR,MATCH(437,tk_ASEQ,0)),"")</f>
        <v/>
      </c>
      <c r="P443" s="162">
        <f>IFERROR(""&amp;INDEX(tk_RATING,MATCH(437,tk_ASEQ,0)),"")</f>
        <v/>
      </c>
      <c r="Q443" s="162">
        <f>IFERROR(""&amp;INDEX(tk_LABEL,MATCH(437,tk_ASEQ,0)),"")</f>
        <v/>
      </c>
      <c r="R443" s="162">
        <f>IFERROR(""&amp;INDEX(tk_HWSET,MATCH(437,tk_ASEQ,0)),"")</f>
        <v/>
      </c>
      <c r="S443" s="162">
        <f>IFERROR(IF(""&amp;INDEX(tk_HINGES,MATCH(437,tk_ASEQ,0))="","",INDEX(tk_HINGES,MATCH(437,tk_ASEQ,0))&amp;" · "&amp;INDEX(tk_LSRC,MATCH(437,tk_ASEQ,0))),"")</f>
        <v/>
      </c>
      <c r="T443" s="162">
        <f>IFERROR(""&amp;INDEX(tk_LOCK,MATCH(437,tk_ASEQ,0)),"")</f>
        <v/>
      </c>
      <c r="U443" s="162">
        <f>IFERROR(INDEX(tk_ETYPE,MATCH(437,tk_ASEQ,0)),"")</f>
        <v/>
      </c>
      <c r="V443" s="162">
        <f>IFERROR(""&amp;INDEX(tk_CHECK,MATCH(437,tk_ASEQ,0)),"")</f>
        <v/>
      </c>
      <c r="W443" s="162">
        <f>IFERROR(TRIM(INDEX(tk_DNOTES,MATCH(437,tk_ASEQ,0))&amp;" "&amp;INDEX(tk_FNOTES,MATCH(437,tk_ASEQ,0))),"")</f>
        <v/>
      </c>
    </row>
    <row r="444">
      <c r="A444" s="161">
        <f>IFERROR(""&amp;INDEX(tk_MARK,MATCH(438,tk_ASEQ,0)),"")</f>
        <v/>
      </c>
      <c r="B444" s="162">
        <f>IFERROR(""&amp;INDEX(tk_ROOMF,MATCH(438,tk_ASEQ,0)),"")</f>
        <v/>
      </c>
      <c r="C444" s="162">
        <f>IFERROR(""&amp;INDEX(tk_ROOMT,MATCH(438,tk_ASEQ,0)),"")</f>
        <v/>
      </c>
      <c r="D444" s="162">
        <f>IFERROR(INDEX(tk_QTY,MATCH(438,tk_ASEQ,0)),"")</f>
        <v/>
      </c>
      <c r="E444" s="162">
        <f>IFERROR(""&amp;INDEX(tk_SIZE,MATCH(438,tk_ASEQ,0)),"")</f>
        <v/>
      </c>
      <c r="F444" s="162">
        <f>IFERROR(""&amp;INDEX(tk_PAIR,MATCH(438,tk_ASEQ,0)),"")</f>
        <v/>
      </c>
      <c r="G444" s="162">
        <f>IFERROR(""&amp;INDEX(tk_DMAT,MATCH(438,tk_ASEQ,0)),"")</f>
        <v/>
      </c>
      <c r="H444" s="162">
        <f>IFERROR(""&amp;INDEX(tk_DGA,MATCH(438,tk_ASEQ,0)),"")</f>
        <v/>
      </c>
      <c r="I444" s="162">
        <f>IFERROR(""&amp;INDEX(tk_FACE,MATCH(438,tk_ASEQ,0)),"")</f>
        <v/>
      </c>
      <c r="J444" s="162">
        <f>IFERROR(IF(INDEX(tk_DHAND,MATCH(438,tk_ASEQ,0))="",""&amp;INDEX(tk_HAND,MATCH(438,tk_ASEQ,0)),""&amp;INDEX(tk_DHAND,MATCH(438,tk_ASEQ,0))),"")</f>
        <v/>
      </c>
      <c r="K444" s="162">
        <f>IFERROR(""&amp;INDEX(tk_FDESC,MATCH(438,tk_ASEQ,0)),"")</f>
        <v/>
      </c>
      <c r="L444" s="162">
        <f>IFERROR(INDEX(tk_STEEL,MATCH(438,tk_ASEQ,0))&amp;IF(INDEX(tk_FGA,MATCH(438,tk_ASEQ,0))="",""," "&amp;INDEX(tk_FGA,MATCH(438,tk_ASEQ,0))&amp;"GA"),"")</f>
        <v/>
      </c>
      <c r="M444" s="162">
        <f>IFERROR(IFERROR(VLOOKUP(INDEX(tk_JAMB,MATCH(438,tk_ASEQ,0)),CODES,2,FALSE),""&amp;INDEX(tk_JAMB,MATCH(438,tk_ASEQ,0))),"")</f>
        <v/>
      </c>
      <c r="N444" s="162">
        <f>IFERROR(""&amp;INDEX(tk_CONSTR,MATCH(438,tk_ASEQ,0)),"")</f>
        <v/>
      </c>
      <c r="O444" s="162">
        <f>IFERROR(""&amp;INDEX(tk_ANCHOR,MATCH(438,tk_ASEQ,0)),"")</f>
        <v/>
      </c>
      <c r="P444" s="162">
        <f>IFERROR(""&amp;INDEX(tk_RATING,MATCH(438,tk_ASEQ,0)),"")</f>
        <v/>
      </c>
      <c r="Q444" s="162">
        <f>IFERROR(""&amp;INDEX(tk_LABEL,MATCH(438,tk_ASEQ,0)),"")</f>
        <v/>
      </c>
      <c r="R444" s="162">
        <f>IFERROR(""&amp;INDEX(tk_HWSET,MATCH(438,tk_ASEQ,0)),"")</f>
        <v/>
      </c>
      <c r="S444" s="162">
        <f>IFERROR(IF(""&amp;INDEX(tk_HINGES,MATCH(438,tk_ASEQ,0))="","",INDEX(tk_HINGES,MATCH(438,tk_ASEQ,0))&amp;" · "&amp;INDEX(tk_LSRC,MATCH(438,tk_ASEQ,0))),"")</f>
        <v/>
      </c>
      <c r="T444" s="162">
        <f>IFERROR(""&amp;INDEX(tk_LOCK,MATCH(438,tk_ASEQ,0)),"")</f>
        <v/>
      </c>
      <c r="U444" s="162">
        <f>IFERROR(INDEX(tk_ETYPE,MATCH(438,tk_ASEQ,0)),"")</f>
        <v/>
      </c>
      <c r="V444" s="162">
        <f>IFERROR(""&amp;INDEX(tk_CHECK,MATCH(438,tk_ASEQ,0)),"")</f>
        <v/>
      </c>
      <c r="W444" s="162">
        <f>IFERROR(TRIM(INDEX(tk_DNOTES,MATCH(438,tk_ASEQ,0))&amp;" "&amp;INDEX(tk_FNOTES,MATCH(438,tk_ASEQ,0))),"")</f>
        <v/>
      </c>
    </row>
    <row r="445">
      <c r="A445" s="161">
        <f>IFERROR(""&amp;INDEX(tk_MARK,MATCH(439,tk_ASEQ,0)),"")</f>
        <v/>
      </c>
      <c r="B445" s="162">
        <f>IFERROR(""&amp;INDEX(tk_ROOMF,MATCH(439,tk_ASEQ,0)),"")</f>
        <v/>
      </c>
      <c r="C445" s="162">
        <f>IFERROR(""&amp;INDEX(tk_ROOMT,MATCH(439,tk_ASEQ,0)),"")</f>
        <v/>
      </c>
      <c r="D445" s="162">
        <f>IFERROR(INDEX(tk_QTY,MATCH(439,tk_ASEQ,0)),"")</f>
        <v/>
      </c>
      <c r="E445" s="162">
        <f>IFERROR(""&amp;INDEX(tk_SIZE,MATCH(439,tk_ASEQ,0)),"")</f>
        <v/>
      </c>
      <c r="F445" s="162">
        <f>IFERROR(""&amp;INDEX(tk_PAIR,MATCH(439,tk_ASEQ,0)),"")</f>
        <v/>
      </c>
      <c r="G445" s="162">
        <f>IFERROR(""&amp;INDEX(tk_DMAT,MATCH(439,tk_ASEQ,0)),"")</f>
        <v/>
      </c>
      <c r="H445" s="162">
        <f>IFERROR(""&amp;INDEX(tk_DGA,MATCH(439,tk_ASEQ,0)),"")</f>
        <v/>
      </c>
      <c r="I445" s="162">
        <f>IFERROR(""&amp;INDEX(tk_FACE,MATCH(439,tk_ASEQ,0)),"")</f>
        <v/>
      </c>
      <c r="J445" s="162">
        <f>IFERROR(IF(INDEX(tk_DHAND,MATCH(439,tk_ASEQ,0))="",""&amp;INDEX(tk_HAND,MATCH(439,tk_ASEQ,0)),""&amp;INDEX(tk_DHAND,MATCH(439,tk_ASEQ,0))),"")</f>
        <v/>
      </c>
      <c r="K445" s="162">
        <f>IFERROR(""&amp;INDEX(tk_FDESC,MATCH(439,tk_ASEQ,0)),"")</f>
        <v/>
      </c>
      <c r="L445" s="162">
        <f>IFERROR(INDEX(tk_STEEL,MATCH(439,tk_ASEQ,0))&amp;IF(INDEX(tk_FGA,MATCH(439,tk_ASEQ,0))="",""," "&amp;INDEX(tk_FGA,MATCH(439,tk_ASEQ,0))&amp;"GA"),"")</f>
        <v/>
      </c>
      <c r="M445" s="162">
        <f>IFERROR(IFERROR(VLOOKUP(INDEX(tk_JAMB,MATCH(439,tk_ASEQ,0)),CODES,2,FALSE),""&amp;INDEX(tk_JAMB,MATCH(439,tk_ASEQ,0))),"")</f>
        <v/>
      </c>
      <c r="N445" s="162">
        <f>IFERROR(""&amp;INDEX(tk_CONSTR,MATCH(439,tk_ASEQ,0)),"")</f>
        <v/>
      </c>
      <c r="O445" s="162">
        <f>IFERROR(""&amp;INDEX(tk_ANCHOR,MATCH(439,tk_ASEQ,0)),"")</f>
        <v/>
      </c>
      <c r="P445" s="162">
        <f>IFERROR(""&amp;INDEX(tk_RATING,MATCH(439,tk_ASEQ,0)),"")</f>
        <v/>
      </c>
      <c r="Q445" s="162">
        <f>IFERROR(""&amp;INDEX(tk_LABEL,MATCH(439,tk_ASEQ,0)),"")</f>
        <v/>
      </c>
      <c r="R445" s="162">
        <f>IFERROR(""&amp;INDEX(tk_HWSET,MATCH(439,tk_ASEQ,0)),"")</f>
        <v/>
      </c>
      <c r="S445" s="162">
        <f>IFERROR(IF(""&amp;INDEX(tk_HINGES,MATCH(439,tk_ASEQ,0))="","",INDEX(tk_HINGES,MATCH(439,tk_ASEQ,0))&amp;" · "&amp;INDEX(tk_LSRC,MATCH(439,tk_ASEQ,0))),"")</f>
        <v/>
      </c>
      <c r="T445" s="162">
        <f>IFERROR(""&amp;INDEX(tk_LOCK,MATCH(439,tk_ASEQ,0)),"")</f>
        <v/>
      </c>
      <c r="U445" s="162">
        <f>IFERROR(INDEX(tk_ETYPE,MATCH(439,tk_ASEQ,0)),"")</f>
        <v/>
      </c>
      <c r="V445" s="162">
        <f>IFERROR(""&amp;INDEX(tk_CHECK,MATCH(439,tk_ASEQ,0)),"")</f>
        <v/>
      </c>
      <c r="W445" s="162">
        <f>IFERROR(TRIM(INDEX(tk_DNOTES,MATCH(439,tk_ASEQ,0))&amp;" "&amp;INDEX(tk_FNOTES,MATCH(439,tk_ASEQ,0))),"")</f>
        <v/>
      </c>
    </row>
    <row r="446">
      <c r="A446" s="161">
        <f>IFERROR(""&amp;INDEX(tk_MARK,MATCH(440,tk_ASEQ,0)),"")</f>
        <v/>
      </c>
      <c r="B446" s="162">
        <f>IFERROR(""&amp;INDEX(tk_ROOMF,MATCH(440,tk_ASEQ,0)),"")</f>
        <v/>
      </c>
      <c r="C446" s="162">
        <f>IFERROR(""&amp;INDEX(tk_ROOMT,MATCH(440,tk_ASEQ,0)),"")</f>
        <v/>
      </c>
      <c r="D446" s="162">
        <f>IFERROR(INDEX(tk_QTY,MATCH(440,tk_ASEQ,0)),"")</f>
        <v/>
      </c>
      <c r="E446" s="162">
        <f>IFERROR(""&amp;INDEX(tk_SIZE,MATCH(440,tk_ASEQ,0)),"")</f>
        <v/>
      </c>
      <c r="F446" s="162">
        <f>IFERROR(""&amp;INDEX(tk_PAIR,MATCH(440,tk_ASEQ,0)),"")</f>
        <v/>
      </c>
      <c r="G446" s="162">
        <f>IFERROR(""&amp;INDEX(tk_DMAT,MATCH(440,tk_ASEQ,0)),"")</f>
        <v/>
      </c>
      <c r="H446" s="162">
        <f>IFERROR(""&amp;INDEX(tk_DGA,MATCH(440,tk_ASEQ,0)),"")</f>
        <v/>
      </c>
      <c r="I446" s="162">
        <f>IFERROR(""&amp;INDEX(tk_FACE,MATCH(440,tk_ASEQ,0)),"")</f>
        <v/>
      </c>
      <c r="J446" s="162">
        <f>IFERROR(IF(INDEX(tk_DHAND,MATCH(440,tk_ASEQ,0))="",""&amp;INDEX(tk_HAND,MATCH(440,tk_ASEQ,0)),""&amp;INDEX(tk_DHAND,MATCH(440,tk_ASEQ,0))),"")</f>
        <v/>
      </c>
      <c r="K446" s="162">
        <f>IFERROR(""&amp;INDEX(tk_FDESC,MATCH(440,tk_ASEQ,0)),"")</f>
        <v/>
      </c>
      <c r="L446" s="162">
        <f>IFERROR(INDEX(tk_STEEL,MATCH(440,tk_ASEQ,0))&amp;IF(INDEX(tk_FGA,MATCH(440,tk_ASEQ,0))="",""," "&amp;INDEX(tk_FGA,MATCH(440,tk_ASEQ,0))&amp;"GA"),"")</f>
        <v/>
      </c>
      <c r="M446" s="162">
        <f>IFERROR(IFERROR(VLOOKUP(INDEX(tk_JAMB,MATCH(440,tk_ASEQ,0)),CODES,2,FALSE),""&amp;INDEX(tk_JAMB,MATCH(440,tk_ASEQ,0))),"")</f>
        <v/>
      </c>
      <c r="N446" s="162">
        <f>IFERROR(""&amp;INDEX(tk_CONSTR,MATCH(440,tk_ASEQ,0)),"")</f>
        <v/>
      </c>
      <c r="O446" s="162">
        <f>IFERROR(""&amp;INDEX(tk_ANCHOR,MATCH(440,tk_ASEQ,0)),"")</f>
        <v/>
      </c>
      <c r="P446" s="162">
        <f>IFERROR(""&amp;INDEX(tk_RATING,MATCH(440,tk_ASEQ,0)),"")</f>
        <v/>
      </c>
      <c r="Q446" s="162">
        <f>IFERROR(""&amp;INDEX(tk_LABEL,MATCH(440,tk_ASEQ,0)),"")</f>
        <v/>
      </c>
      <c r="R446" s="162">
        <f>IFERROR(""&amp;INDEX(tk_HWSET,MATCH(440,tk_ASEQ,0)),"")</f>
        <v/>
      </c>
      <c r="S446" s="162">
        <f>IFERROR(IF(""&amp;INDEX(tk_HINGES,MATCH(440,tk_ASEQ,0))="","",INDEX(tk_HINGES,MATCH(440,tk_ASEQ,0))&amp;" · "&amp;INDEX(tk_LSRC,MATCH(440,tk_ASEQ,0))),"")</f>
        <v/>
      </c>
      <c r="T446" s="162">
        <f>IFERROR(""&amp;INDEX(tk_LOCK,MATCH(440,tk_ASEQ,0)),"")</f>
        <v/>
      </c>
      <c r="U446" s="162">
        <f>IFERROR(INDEX(tk_ETYPE,MATCH(440,tk_ASEQ,0)),"")</f>
        <v/>
      </c>
      <c r="V446" s="162">
        <f>IFERROR(""&amp;INDEX(tk_CHECK,MATCH(440,tk_ASEQ,0)),"")</f>
        <v/>
      </c>
      <c r="W446" s="162">
        <f>IFERROR(TRIM(INDEX(tk_DNOTES,MATCH(440,tk_ASEQ,0))&amp;" "&amp;INDEX(tk_FNOTES,MATCH(440,tk_ASEQ,0))),"")</f>
        <v/>
      </c>
    </row>
    <row r="447">
      <c r="A447" s="161">
        <f>IFERROR(""&amp;INDEX(tk_MARK,MATCH(441,tk_ASEQ,0)),"")</f>
        <v/>
      </c>
      <c r="B447" s="162">
        <f>IFERROR(""&amp;INDEX(tk_ROOMF,MATCH(441,tk_ASEQ,0)),"")</f>
        <v/>
      </c>
      <c r="C447" s="162">
        <f>IFERROR(""&amp;INDEX(tk_ROOMT,MATCH(441,tk_ASEQ,0)),"")</f>
        <v/>
      </c>
      <c r="D447" s="162">
        <f>IFERROR(INDEX(tk_QTY,MATCH(441,tk_ASEQ,0)),"")</f>
        <v/>
      </c>
      <c r="E447" s="162">
        <f>IFERROR(""&amp;INDEX(tk_SIZE,MATCH(441,tk_ASEQ,0)),"")</f>
        <v/>
      </c>
      <c r="F447" s="162">
        <f>IFERROR(""&amp;INDEX(tk_PAIR,MATCH(441,tk_ASEQ,0)),"")</f>
        <v/>
      </c>
      <c r="G447" s="162">
        <f>IFERROR(""&amp;INDEX(tk_DMAT,MATCH(441,tk_ASEQ,0)),"")</f>
        <v/>
      </c>
      <c r="H447" s="162">
        <f>IFERROR(""&amp;INDEX(tk_DGA,MATCH(441,tk_ASEQ,0)),"")</f>
        <v/>
      </c>
      <c r="I447" s="162">
        <f>IFERROR(""&amp;INDEX(tk_FACE,MATCH(441,tk_ASEQ,0)),"")</f>
        <v/>
      </c>
      <c r="J447" s="162">
        <f>IFERROR(IF(INDEX(tk_DHAND,MATCH(441,tk_ASEQ,0))="",""&amp;INDEX(tk_HAND,MATCH(441,tk_ASEQ,0)),""&amp;INDEX(tk_DHAND,MATCH(441,tk_ASEQ,0))),"")</f>
        <v/>
      </c>
      <c r="K447" s="162">
        <f>IFERROR(""&amp;INDEX(tk_FDESC,MATCH(441,tk_ASEQ,0)),"")</f>
        <v/>
      </c>
      <c r="L447" s="162">
        <f>IFERROR(INDEX(tk_STEEL,MATCH(441,tk_ASEQ,0))&amp;IF(INDEX(tk_FGA,MATCH(441,tk_ASEQ,0))="",""," "&amp;INDEX(tk_FGA,MATCH(441,tk_ASEQ,0))&amp;"GA"),"")</f>
        <v/>
      </c>
      <c r="M447" s="162">
        <f>IFERROR(IFERROR(VLOOKUP(INDEX(tk_JAMB,MATCH(441,tk_ASEQ,0)),CODES,2,FALSE),""&amp;INDEX(tk_JAMB,MATCH(441,tk_ASEQ,0))),"")</f>
        <v/>
      </c>
      <c r="N447" s="162">
        <f>IFERROR(""&amp;INDEX(tk_CONSTR,MATCH(441,tk_ASEQ,0)),"")</f>
        <v/>
      </c>
      <c r="O447" s="162">
        <f>IFERROR(""&amp;INDEX(tk_ANCHOR,MATCH(441,tk_ASEQ,0)),"")</f>
        <v/>
      </c>
      <c r="P447" s="162">
        <f>IFERROR(""&amp;INDEX(tk_RATING,MATCH(441,tk_ASEQ,0)),"")</f>
        <v/>
      </c>
      <c r="Q447" s="162">
        <f>IFERROR(""&amp;INDEX(tk_LABEL,MATCH(441,tk_ASEQ,0)),"")</f>
        <v/>
      </c>
      <c r="R447" s="162">
        <f>IFERROR(""&amp;INDEX(tk_HWSET,MATCH(441,tk_ASEQ,0)),"")</f>
        <v/>
      </c>
      <c r="S447" s="162">
        <f>IFERROR(IF(""&amp;INDEX(tk_HINGES,MATCH(441,tk_ASEQ,0))="","",INDEX(tk_HINGES,MATCH(441,tk_ASEQ,0))&amp;" · "&amp;INDEX(tk_LSRC,MATCH(441,tk_ASEQ,0))),"")</f>
        <v/>
      </c>
      <c r="T447" s="162">
        <f>IFERROR(""&amp;INDEX(tk_LOCK,MATCH(441,tk_ASEQ,0)),"")</f>
        <v/>
      </c>
      <c r="U447" s="162">
        <f>IFERROR(INDEX(tk_ETYPE,MATCH(441,tk_ASEQ,0)),"")</f>
        <v/>
      </c>
      <c r="V447" s="162">
        <f>IFERROR(""&amp;INDEX(tk_CHECK,MATCH(441,tk_ASEQ,0)),"")</f>
        <v/>
      </c>
      <c r="W447" s="162">
        <f>IFERROR(TRIM(INDEX(tk_DNOTES,MATCH(441,tk_ASEQ,0))&amp;" "&amp;INDEX(tk_FNOTES,MATCH(441,tk_ASEQ,0))),"")</f>
        <v/>
      </c>
    </row>
    <row r="448">
      <c r="A448" s="161">
        <f>IFERROR(""&amp;INDEX(tk_MARK,MATCH(442,tk_ASEQ,0)),"")</f>
        <v/>
      </c>
      <c r="B448" s="162">
        <f>IFERROR(""&amp;INDEX(tk_ROOMF,MATCH(442,tk_ASEQ,0)),"")</f>
        <v/>
      </c>
      <c r="C448" s="162">
        <f>IFERROR(""&amp;INDEX(tk_ROOMT,MATCH(442,tk_ASEQ,0)),"")</f>
        <v/>
      </c>
      <c r="D448" s="162">
        <f>IFERROR(INDEX(tk_QTY,MATCH(442,tk_ASEQ,0)),"")</f>
        <v/>
      </c>
      <c r="E448" s="162">
        <f>IFERROR(""&amp;INDEX(tk_SIZE,MATCH(442,tk_ASEQ,0)),"")</f>
        <v/>
      </c>
      <c r="F448" s="162">
        <f>IFERROR(""&amp;INDEX(tk_PAIR,MATCH(442,tk_ASEQ,0)),"")</f>
        <v/>
      </c>
      <c r="G448" s="162">
        <f>IFERROR(""&amp;INDEX(tk_DMAT,MATCH(442,tk_ASEQ,0)),"")</f>
        <v/>
      </c>
      <c r="H448" s="162">
        <f>IFERROR(""&amp;INDEX(tk_DGA,MATCH(442,tk_ASEQ,0)),"")</f>
        <v/>
      </c>
      <c r="I448" s="162">
        <f>IFERROR(""&amp;INDEX(tk_FACE,MATCH(442,tk_ASEQ,0)),"")</f>
        <v/>
      </c>
      <c r="J448" s="162">
        <f>IFERROR(IF(INDEX(tk_DHAND,MATCH(442,tk_ASEQ,0))="",""&amp;INDEX(tk_HAND,MATCH(442,tk_ASEQ,0)),""&amp;INDEX(tk_DHAND,MATCH(442,tk_ASEQ,0))),"")</f>
        <v/>
      </c>
      <c r="K448" s="162">
        <f>IFERROR(""&amp;INDEX(tk_FDESC,MATCH(442,tk_ASEQ,0)),"")</f>
        <v/>
      </c>
      <c r="L448" s="162">
        <f>IFERROR(INDEX(tk_STEEL,MATCH(442,tk_ASEQ,0))&amp;IF(INDEX(tk_FGA,MATCH(442,tk_ASEQ,0))="",""," "&amp;INDEX(tk_FGA,MATCH(442,tk_ASEQ,0))&amp;"GA"),"")</f>
        <v/>
      </c>
      <c r="M448" s="162">
        <f>IFERROR(IFERROR(VLOOKUP(INDEX(tk_JAMB,MATCH(442,tk_ASEQ,0)),CODES,2,FALSE),""&amp;INDEX(tk_JAMB,MATCH(442,tk_ASEQ,0))),"")</f>
        <v/>
      </c>
      <c r="N448" s="162">
        <f>IFERROR(""&amp;INDEX(tk_CONSTR,MATCH(442,tk_ASEQ,0)),"")</f>
        <v/>
      </c>
      <c r="O448" s="162">
        <f>IFERROR(""&amp;INDEX(tk_ANCHOR,MATCH(442,tk_ASEQ,0)),"")</f>
        <v/>
      </c>
      <c r="P448" s="162">
        <f>IFERROR(""&amp;INDEX(tk_RATING,MATCH(442,tk_ASEQ,0)),"")</f>
        <v/>
      </c>
      <c r="Q448" s="162">
        <f>IFERROR(""&amp;INDEX(tk_LABEL,MATCH(442,tk_ASEQ,0)),"")</f>
        <v/>
      </c>
      <c r="R448" s="162">
        <f>IFERROR(""&amp;INDEX(tk_HWSET,MATCH(442,tk_ASEQ,0)),"")</f>
        <v/>
      </c>
      <c r="S448" s="162">
        <f>IFERROR(IF(""&amp;INDEX(tk_HINGES,MATCH(442,tk_ASEQ,0))="","",INDEX(tk_HINGES,MATCH(442,tk_ASEQ,0))&amp;" · "&amp;INDEX(tk_LSRC,MATCH(442,tk_ASEQ,0))),"")</f>
        <v/>
      </c>
      <c r="T448" s="162">
        <f>IFERROR(""&amp;INDEX(tk_LOCK,MATCH(442,tk_ASEQ,0)),"")</f>
        <v/>
      </c>
      <c r="U448" s="162">
        <f>IFERROR(INDEX(tk_ETYPE,MATCH(442,tk_ASEQ,0)),"")</f>
        <v/>
      </c>
      <c r="V448" s="162">
        <f>IFERROR(""&amp;INDEX(tk_CHECK,MATCH(442,tk_ASEQ,0)),"")</f>
        <v/>
      </c>
      <c r="W448" s="162">
        <f>IFERROR(TRIM(INDEX(tk_DNOTES,MATCH(442,tk_ASEQ,0))&amp;" "&amp;INDEX(tk_FNOTES,MATCH(442,tk_ASEQ,0))),"")</f>
        <v/>
      </c>
    </row>
    <row r="449">
      <c r="A449" s="161">
        <f>IFERROR(""&amp;INDEX(tk_MARK,MATCH(443,tk_ASEQ,0)),"")</f>
        <v/>
      </c>
      <c r="B449" s="162">
        <f>IFERROR(""&amp;INDEX(tk_ROOMF,MATCH(443,tk_ASEQ,0)),"")</f>
        <v/>
      </c>
      <c r="C449" s="162">
        <f>IFERROR(""&amp;INDEX(tk_ROOMT,MATCH(443,tk_ASEQ,0)),"")</f>
        <v/>
      </c>
      <c r="D449" s="162">
        <f>IFERROR(INDEX(tk_QTY,MATCH(443,tk_ASEQ,0)),"")</f>
        <v/>
      </c>
      <c r="E449" s="162">
        <f>IFERROR(""&amp;INDEX(tk_SIZE,MATCH(443,tk_ASEQ,0)),"")</f>
        <v/>
      </c>
      <c r="F449" s="162">
        <f>IFERROR(""&amp;INDEX(tk_PAIR,MATCH(443,tk_ASEQ,0)),"")</f>
        <v/>
      </c>
      <c r="G449" s="162">
        <f>IFERROR(""&amp;INDEX(tk_DMAT,MATCH(443,tk_ASEQ,0)),"")</f>
        <v/>
      </c>
      <c r="H449" s="162">
        <f>IFERROR(""&amp;INDEX(tk_DGA,MATCH(443,tk_ASEQ,0)),"")</f>
        <v/>
      </c>
      <c r="I449" s="162">
        <f>IFERROR(""&amp;INDEX(tk_FACE,MATCH(443,tk_ASEQ,0)),"")</f>
        <v/>
      </c>
      <c r="J449" s="162">
        <f>IFERROR(IF(INDEX(tk_DHAND,MATCH(443,tk_ASEQ,0))="",""&amp;INDEX(tk_HAND,MATCH(443,tk_ASEQ,0)),""&amp;INDEX(tk_DHAND,MATCH(443,tk_ASEQ,0))),"")</f>
        <v/>
      </c>
      <c r="K449" s="162">
        <f>IFERROR(""&amp;INDEX(tk_FDESC,MATCH(443,tk_ASEQ,0)),"")</f>
        <v/>
      </c>
      <c r="L449" s="162">
        <f>IFERROR(INDEX(tk_STEEL,MATCH(443,tk_ASEQ,0))&amp;IF(INDEX(tk_FGA,MATCH(443,tk_ASEQ,0))="",""," "&amp;INDEX(tk_FGA,MATCH(443,tk_ASEQ,0))&amp;"GA"),"")</f>
        <v/>
      </c>
      <c r="M449" s="162">
        <f>IFERROR(IFERROR(VLOOKUP(INDEX(tk_JAMB,MATCH(443,tk_ASEQ,0)),CODES,2,FALSE),""&amp;INDEX(tk_JAMB,MATCH(443,tk_ASEQ,0))),"")</f>
        <v/>
      </c>
      <c r="N449" s="162">
        <f>IFERROR(""&amp;INDEX(tk_CONSTR,MATCH(443,tk_ASEQ,0)),"")</f>
        <v/>
      </c>
      <c r="O449" s="162">
        <f>IFERROR(""&amp;INDEX(tk_ANCHOR,MATCH(443,tk_ASEQ,0)),"")</f>
        <v/>
      </c>
      <c r="P449" s="162">
        <f>IFERROR(""&amp;INDEX(tk_RATING,MATCH(443,tk_ASEQ,0)),"")</f>
        <v/>
      </c>
      <c r="Q449" s="162">
        <f>IFERROR(""&amp;INDEX(tk_LABEL,MATCH(443,tk_ASEQ,0)),"")</f>
        <v/>
      </c>
      <c r="R449" s="162">
        <f>IFERROR(""&amp;INDEX(tk_HWSET,MATCH(443,tk_ASEQ,0)),"")</f>
        <v/>
      </c>
      <c r="S449" s="162">
        <f>IFERROR(IF(""&amp;INDEX(tk_HINGES,MATCH(443,tk_ASEQ,0))="","",INDEX(tk_HINGES,MATCH(443,tk_ASEQ,0))&amp;" · "&amp;INDEX(tk_LSRC,MATCH(443,tk_ASEQ,0))),"")</f>
        <v/>
      </c>
      <c r="T449" s="162">
        <f>IFERROR(""&amp;INDEX(tk_LOCK,MATCH(443,tk_ASEQ,0)),"")</f>
        <v/>
      </c>
      <c r="U449" s="162">
        <f>IFERROR(INDEX(tk_ETYPE,MATCH(443,tk_ASEQ,0)),"")</f>
        <v/>
      </c>
      <c r="V449" s="162">
        <f>IFERROR(""&amp;INDEX(tk_CHECK,MATCH(443,tk_ASEQ,0)),"")</f>
        <v/>
      </c>
      <c r="W449" s="162">
        <f>IFERROR(TRIM(INDEX(tk_DNOTES,MATCH(443,tk_ASEQ,0))&amp;" "&amp;INDEX(tk_FNOTES,MATCH(443,tk_ASEQ,0))),"")</f>
        <v/>
      </c>
    </row>
    <row r="450">
      <c r="A450" s="161">
        <f>IFERROR(""&amp;INDEX(tk_MARK,MATCH(444,tk_ASEQ,0)),"")</f>
        <v/>
      </c>
      <c r="B450" s="162">
        <f>IFERROR(""&amp;INDEX(tk_ROOMF,MATCH(444,tk_ASEQ,0)),"")</f>
        <v/>
      </c>
      <c r="C450" s="162">
        <f>IFERROR(""&amp;INDEX(tk_ROOMT,MATCH(444,tk_ASEQ,0)),"")</f>
        <v/>
      </c>
      <c r="D450" s="162">
        <f>IFERROR(INDEX(tk_QTY,MATCH(444,tk_ASEQ,0)),"")</f>
        <v/>
      </c>
      <c r="E450" s="162">
        <f>IFERROR(""&amp;INDEX(tk_SIZE,MATCH(444,tk_ASEQ,0)),"")</f>
        <v/>
      </c>
      <c r="F450" s="162">
        <f>IFERROR(""&amp;INDEX(tk_PAIR,MATCH(444,tk_ASEQ,0)),"")</f>
        <v/>
      </c>
      <c r="G450" s="162">
        <f>IFERROR(""&amp;INDEX(tk_DMAT,MATCH(444,tk_ASEQ,0)),"")</f>
        <v/>
      </c>
      <c r="H450" s="162">
        <f>IFERROR(""&amp;INDEX(tk_DGA,MATCH(444,tk_ASEQ,0)),"")</f>
        <v/>
      </c>
      <c r="I450" s="162">
        <f>IFERROR(""&amp;INDEX(tk_FACE,MATCH(444,tk_ASEQ,0)),"")</f>
        <v/>
      </c>
      <c r="J450" s="162">
        <f>IFERROR(IF(INDEX(tk_DHAND,MATCH(444,tk_ASEQ,0))="",""&amp;INDEX(tk_HAND,MATCH(444,tk_ASEQ,0)),""&amp;INDEX(tk_DHAND,MATCH(444,tk_ASEQ,0))),"")</f>
        <v/>
      </c>
      <c r="K450" s="162">
        <f>IFERROR(""&amp;INDEX(tk_FDESC,MATCH(444,tk_ASEQ,0)),"")</f>
        <v/>
      </c>
      <c r="L450" s="162">
        <f>IFERROR(INDEX(tk_STEEL,MATCH(444,tk_ASEQ,0))&amp;IF(INDEX(tk_FGA,MATCH(444,tk_ASEQ,0))="",""," "&amp;INDEX(tk_FGA,MATCH(444,tk_ASEQ,0))&amp;"GA"),"")</f>
        <v/>
      </c>
      <c r="M450" s="162">
        <f>IFERROR(IFERROR(VLOOKUP(INDEX(tk_JAMB,MATCH(444,tk_ASEQ,0)),CODES,2,FALSE),""&amp;INDEX(tk_JAMB,MATCH(444,tk_ASEQ,0))),"")</f>
        <v/>
      </c>
      <c r="N450" s="162">
        <f>IFERROR(""&amp;INDEX(tk_CONSTR,MATCH(444,tk_ASEQ,0)),"")</f>
        <v/>
      </c>
      <c r="O450" s="162">
        <f>IFERROR(""&amp;INDEX(tk_ANCHOR,MATCH(444,tk_ASEQ,0)),"")</f>
        <v/>
      </c>
      <c r="P450" s="162">
        <f>IFERROR(""&amp;INDEX(tk_RATING,MATCH(444,tk_ASEQ,0)),"")</f>
        <v/>
      </c>
      <c r="Q450" s="162">
        <f>IFERROR(""&amp;INDEX(tk_LABEL,MATCH(444,tk_ASEQ,0)),"")</f>
        <v/>
      </c>
      <c r="R450" s="162">
        <f>IFERROR(""&amp;INDEX(tk_HWSET,MATCH(444,tk_ASEQ,0)),"")</f>
        <v/>
      </c>
      <c r="S450" s="162">
        <f>IFERROR(IF(""&amp;INDEX(tk_HINGES,MATCH(444,tk_ASEQ,0))="","",INDEX(tk_HINGES,MATCH(444,tk_ASEQ,0))&amp;" · "&amp;INDEX(tk_LSRC,MATCH(444,tk_ASEQ,0))),"")</f>
        <v/>
      </c>
      <c r="T450" s="162">
        <f>IFERROR(""&amp;INDEX(tk_LOCK,MATCH(444,tk_ASEQ,0)),"")</f>
        <v/>
      </c>
      <c r="U450" s="162">
        <f>IFERROR(INDEX(tk_ETYPE,MATCH(444,tk_ASEQ,0)),"")</f>
        <v/>
      </c>
      <c r="V450" s="162">
        <f>IFERROR(""&amp;INDEX(tk_CHECK,MATCH(444,tk_ASEQ,0)),"")</f>
        <v/>
      </c>
      <c r="W450" s="162">
        <f>IFERROR(TRIM(INDEX(tk_DNOTES,MATCH(444,tk_ASEQ,0))&amp;" "&amp;INDEX(tk_FNOTES,MATCH(444,tk_ASEQ,0))),"")</f>
        <v/>
      </c>
    </row>
    <row r="451">
      <c r="A451" s="161">
        <f>IFERROR(""&amp;INDEX(tk_MARK,MATCH(445,tk_ASEQ,0)),"")</f>
        <v/>
      </c>
      <c r="B451" s="162">
        <f>IFERROR(""&amp;INDEX(tk_ROOMF,MATCH(445,tk_ASEQ,0)),"")</f>
        <v/>
      </c>
      <c r="C451" s="162">
        <f>IFERROR(""&amp;INDEX(tk_ROOMT,MATCH(445,tk_ASEQ,0)),"")</f>
        <v/>
      </c>
      <c r="D451" s="162">
        <f>IFERROR(INDEX(tk_QTY,MATCH(445,tk_ASEQ,0)),"")</f>
        <v/>
      </c>
      <c r="E451" s="162">
        <f>IFERROR(""&amp;INDEX(tk_SIZE,MATCH(445,tk_ASEQ,0)),"")</f>
        <v/>
      </c>
      <c r="F451" s="162">
        <f>IFERROR(""&amp;INDEX(tk_PAIR,MATCH(445,tk_ASEQ,0)),"")</f>
        <v/>
      </c>
      <c r="G451" s="162">
        <f>IFERROR(""&amp;INDEX(tk_DMAT,MATCH(445,tk_ASEQ,0)),"")</f>
        <v/>
      </c>
      <c r="H451" s="162">
        <f>IFERROR(""&amp;INDEX(tk_DGA,MATCH(445,tk_ASEQ,0)),"")</f>
        <v/>
      </c>
      <c r="I451" s="162">
        <f>IFERROR(""&amp;INDEX(tk_FACE,MATCH(445,tk_ASEQ,0)),"")</f>
        <v/>
      </c>
      <c r="J451" s="162">
        <f>IFERROR(IF(INDEX(tk_DHAND,MATCH(445,tk_ASEQ,0))="",""&amp;INDEX(tk_HAND,MATCH(445,tk_ASEQ,0)),""&amp;INDEX(tk_DHAND,MATCH(445,tk_ASEQ,0))),"")</f>
        <v/>
      </c>
      <c r="K451" s="162">
        <f>IFERROR(""&amp;INDEX(tk_FDESC,MATCH(445,tk_ASEQ,0)),"")</f>
        <v/>
      </c>
      <c r="L451" s="162">
        <f>IFERROR(INDEX(tk_STEEL,MATCH(445,tk_ASEQ,0))&amp;IF(INDEX(tk_FGA,MATCH(445,tk_ASEQ,0))="",""," "&amp;INDEX(tk_FGA,MATCH(445,tk_ASEQ,0))&amp;"GA"),"")</f>
        <v/>
      </c>
      <c r="M451" s="162">
        <f>IFERROR(IFERROR(VLOOKUP(INDEX(tk_JAMB,MATCH(445,tk_ASEQ,0)),CODES,2,FALSE),""&amp;INDEX(tk_JAMB,MATCH(445,tk_ASEQ,0))),"")</f>
        <v/>
      </c>
      <c r="N451" s="162">
        <f>IFERROR(""&amp;INDEX(tk_CONSTR,MATCH(445,tk_ASEQ,0)),"")</f>
        <v/>
      </c>
      <c r="O451" s="162">
        <f>IFERROR(""&amp;INDEX(tk_ANCHOR,MATCH(445,tk_ASEQ,0)),"")</f>
        <v/>
      </c>
      <c r="P451" s="162">
        <f>IFERROR(""&amp;INDEX(tk_RATING,MATCH(445,tk_ASEQ,0)),"")</f>
        <v/>
      </c>
      <c r="Q451" s="162">
        <f>IFERROR(""&amp;INDEX(tk_LABEL,MATCH(445,tk_ASEQ,0)),"")</f>
        <v/>
      </c>
      <c r="R451" s="162">
        <f>IFERROR(""&amp;INDEX(tk_HWSET,MATCH(445,tk_ASEQ,0)),"")</f>
        <v/>
      </c>
      <c r="S451" s="162">
        <f>IFERROR(IF(""&amp;INDEX(tk_HINGES,MATCH(445,tk_ASEQ,0))="","",INDEX(tk_HINGES,MATCH(445,tk_ASEQ,0))&amp;" · "&amp;INDEX(tk_LSRC,MATCH(445,tk_ASEQ,0))),"")</f>
        <v/>
      </c>
      <c r="T451" s="162">
        <f>IFERROR(""&amp;INDEX(tk_LOCK,MATCH(445,tk_ASEQ,0)),"")</f>
        <v/>
      </c>
      <c r="U451" s="162">
        <f>IFERROR(INDEX(tk_ETYPE,MATCH(445,tk_ASEQ,0)),"")</f>
        <v/>
      </c>
      <c r="V451" s="162">
        <f>IFERROR(""&amp;INDEX(tk_CHECK,MATCH(445,tk_ASEQ,0)),"")</f>
        <v/>
      </c>
      <c r="W451" s="162">
        <f>IFERROR(TRIM(INDEX(tk_DNOTES,MATCH(445,tk_ASEQ,0))&amp;" "&amp;INDEX(tk_FNOTES,MATCH(445,tk_ASEQ,0))),"")</f>
        <v/>
      </c>
    </row>
    <row r="452">
      <c r="A452" s="161">
        <f>IFERROR(""&amp;INDEX(tk_MARK,MATCH(446,tk_ASEQ,0)),"")</f>
        <v/>
      </c>
      <c r="B452" s="162">
        <f>IFERROR(""&amp;INDEX(tk_ROOMF,MATCH(446,tk_ASEQ,0)),"")</f>
        <v/>
      </c>
      <c r="C452" s="162">
        <f>IFERROR(""&amp;INDEX(tk_ROOMT,MATCH(446,tk_ASEQ,0)),"")</f>
        <v/>
      </c>
      <c r="D452" s="162">
        <f>IFERROR(INDEX(tk_QTY,MATCH(446,tk_ASEQ,0)),"")</f>
        <v/>
      </c>
      <c r="E452" s="162">
        <f>IFERROR(""&amp;INDEX(tk_SIZE,MATCH(446,tk_ASEQ,0)),"")</f>
        <v/>
      </c>
      <c r="F452" s="162">
        <f>IFERROR(""&amp;INDEX(tk_PAIR,MATCH(446,tk_ASEQ,0)),"")</f>
        <v/>
      </c>
      <c r="G452" s="162">
        <f>IFERROR(""&amp;INDEX(tk_DMAT,MATCH(446,tk_ASEQ,0)),"")</f>
        <v/>
      </c>
      <c r="H452" s="162">
        <f>IFERROR(""&amp;INDEX(tk_DGA,MATCH(446,tk_ASEQ,0)),"")</f>
        <v/>
      </c>
      <c r="I452" s="162">
        <f>IFERROR(""&amp;INDEX(tk_FACE,MATCH(446,tk_ASEQ,0)),"")</f>
        <v/>
      </c>
      <c r="J452" s="162">
        <f>IFERROR(IF(INDEX(tk_DHAND,MATCH(446,tk_ASEQ,0))="",""&amp;INDEX(tk_HAND,MATCH(446,tk_ASEQ,0)),""&amp;INDEX(tk_DHAND,MATCH(446,tk_ASEQ,0))),"")</f>
        <v/>
      </c>
      <c r="K452" s="162">
        <f>IFERROR(""&amp;INDEX(tk_FDESC,MATCH(446,tk_ASEQ,0)),"")</f>
        <v/>
      </c>
      <c r="L452" s="162">
        <f>IFERROR(INDEX(tk_STEEL,MATCH(446,tk_ASEQ,0))&amp;IF(INDEX(tk_FGA,MATCH(446,tk_ASEQ,0))="",""," "&amp;INDEX(tk_FGA,MATCH(446,tk_ASEQ,0))&amp;"GA"),"")</f>
        <v/>
      </c>
      <c r="M452" s="162">
        <f>IFERROR(IFERROR(VLOOKUP(INDEX(tk_JAMB,MATCH(446,tk_ASEQ,0)),CODES,2,FALSE),""&amp;INDEX(tk_JAMB,MATCH(446,tk_ASEQ,0))),"")</f>
        <v/>
      </c>
      <c r="N452" s="162">
        <f>IFERROR(""&amp;INDEX(tk_CONSTR,MATCH(446,tk_ASEQ,0)),"")</f>
        <v/>
      </c>
      <c r="O452" s="162">
        <f>IFERROR(""&amp;INDEX(tk_ANCHOR,MATCH(446,tk_ASEQ,0)),"")</f>
        <v/>
      </c>
      <c r="P452" s="162">
        <f>IFERROR(""&amp;INDEX(tk_RATING,MATCH(446,tk_ASEQ,0)),"")</f>
        <v/>
      </c>
      <c r="Q452" s="162">
        <f>IFERROR(""&amp;INDEX(tk_LABEL,MATCH(446,tk_ASEQ,0)),"")</f>
        <v/>
      </c>
      <c r="R452" s="162">
        <f>IFERROR(""&amp;INDEX(tk_HWSET,MATCH(446,tk_ASEQ,0)),"")</f>
        <v/>
      </c>
      <c r="S452" s="162">
        <f>IFERROR(IF(""&amp;INDEX(tk_HINGES,MATCH(446,tk_ASEQ,0))="","",INDEX(tk_HINGES,MATCH(446,tk_ASEQ,0))&amp;" · "&amp;INDEX(tk_LSRC,MATCH(446,tk_ASEQ,0))),"")</f>
        <v/>
      </c>
      <c r="T452" s="162">
        <f>IFERROR(""&amp;INDEX(tk_LOCK,MATCH(446,tk_ASEQ,0)),"")</f>
        <v/>
      </c>
      <c r="U452" s="162">
        <f>IFERROR(INDEX(tk_ETYPE,MATCH(446,tk_ASEQ,0)),"")</f>
        <v/>
      </c>
      <c r="V452" s="162">
        <f>IFERROR(""&amp;INDEX(tk_CHECK,MATCH(446,tk_ASEQ,0)),"")</f>
        <v/>
      </c>
      <c r="W452" s="162">
        <f>IFERROR(TRIM(INDEX(tk_DNOTES,MATCH(446,tk_ASEQ,0))&amp;" "&amp;INDEX(tk_FNOTES,MATCH(446,tk_ASEQ,0))),"")</f>
        <v/>
      </c>
    </row>
    <row r="453">
      <c r="A453" s="161">
        <f>IFERROR(""&amp;INDEX(tk_MARK,MATCH(447,tk_ASEQ,0)),"")</f>
        <v/>
      </c>
      <c r="B453" s="162">
        <f>IFERROR(""&amp;INDEX(tk_ROOMF,MATCH(447,tk_ASEQ,0)),"")</f>
        <v/>
      </c>
      <c r="C453" s="162">
        <f>IFERROR(""&amp;INDEX(tk_ROOMT,MATCH(447,tk_ASEQ,0)),"")</f>
        <v/>
      </c>
      <c r="D453" s="162">
        <f>IFERROR(INDEX(tk_QTY,MATCH(447,tk_ASEQ,0)),"")</f>
        <v/>
      </c>
      <c r="E453" s="162">
        <f>IFERROR(""&amp;INDEX(tk_SIZE,MATCH(447,tk_ASEQ,0)),"")</f>
        <v/>
      </c>
      <c r="F453" s="162">
        <f>IFERROR(""&amp;INDEX(tk_PAIR,MATCH(447,tk_ASEQ,0)),"")</f>
        <v/>
      </c>
      <c r="G453" s="162">
        <f>IFERROR(""&amp;INDEX(tk_DMAT,MATCH(447,tk_ASEQ,0)),"")</f>
        <v/>
      </c>
      <c r="H453" s="162">
        <f>IFERROR(""&amp;INDEX(tk_DGA,MATCH(447,tk_ASEQ,0)),"")</f>
        <v/>
      </c>
      <c r="I453" s="162">
        <f>IFERROR(""&amp;INDEX(tk_FACE,MATCH(447,tk_ASEQ,0)),"")</f>
        <v/>
      </c>
      <c r="J453" s="162">
        <f>IFERROR(IF(INDEX(tk_DHAND,MATCH(447,tk_ASEQ,0))="",""&amp;INDEX(tk_HAND,MATCH(447,tk_ASEQ,0)),""&amp;INDEX(tk_DHAND,MATCH(447,tk_ASEQ,0))),"")</f>
        <v/>
      </c>
      <c r="K453" s="162">
        <f>IFERROR(""&amp;INDEX(tk_FDESC,MATCH(447,tk_ASEQ,0)),"")</f>
        <v/>
      </c>
      <c r="L453" s="162">
        <f>IFERROR(INDEX(tk_STEEL,MATCH(447,tk_ASEQ,0))&amp;IF(INDEX(tk_FGA,MATCH(447,tk_ASEQ,0))="",""," "&amp;INDEX(tk_FGA,MATCH(447,tk_ASEQ,0))&amp;"GA"),"")</f>
        <v/>
      </c>
      <c r="M453" s="162">
        <f>IFERROR(IFERROR(VLOOKUP(INDEX(tk_JAMB,MATCH(447,tk_ASEQ,0)),CODES,2,FALSE),""&amp;INDEX(tk_JAMB,MATCH(447,tk_ASEQ,0))),"")</f>
        <v/>
      </c>
      <c r="N453" s="162">
        <f>IFERROR(""&amp;INDEX(tk_CONSTR,MATCH(447,tk_ASEQ,0)),"")</f>
        <v/>
      </c>
      <c r="O453" s="162">
        <f>IFERROR(""&amp;INDEX(tk_ANCHOR,MATCH(447,tk_ASEQ,0)),"")</f>
        <v/>
      </c>
      <c r="P453" s="162">
        <f>IFERROR(""&amp;INDEX(tk_RATING,MATCH(447,tk_ASEQ,0)),"")</f>
        <v/>
      </c>
      <c r="Q453" s="162">
        <f>IFERROR(""&amp;INDEX(tk_LABEL,MATCH(447,tk_ASEQ,0)),"")</f>
        <v/>
      </c>
      <c r="R453" s="162">
        <f>IFERROR(""&amp;INDEX(tk_HWSET,MATCH(447,tk_ASEQ,0)),"")</f>
        <v/>
      </c>
      <c r="S453" s="162">
        <f>IFERROR(IF(""&amp;INDEX(tk_HINGES,MATCH(447,tk_ASEQ,0))="","",INDEX(tk_HINGES,MATCH(447,tk_ASEQ,0))&amp;" · "&amp;INDEX(tk_LSRC,MATCH(447,tk_ASEQ,0))),"")</f>
        <v/>
      </c>
      <c r="T453" s="162">
        <f>IFERROR(""&amp;INDEX(tk_LOCK,MATCH(447,tk_ASEQ,0)),"")</f>
        <v/>
      </c>
      <c r="U453" s="162">
        <f>IFERROR(INDEX(tk_ETYPE,MATCH(447,tk_ASEQ,0)),"")</f>
        <v/>
      </c>
      <c r="V453" s="162">
        <f>IFERROR(""&amp;INDEX(tk_CHECK,MATCH(447,tk_ASEQ,0)),"")</f>
        <v/>
      </c>
      <c r="W453" s="162">
        <f>IFERROR(TRIM(INDEX(tk_DNOTES,MATCH(447,tk_ASEQ,0))&amp;" "&amp;INDEX(tk_FNOTES,MATCH(447,tk_ASEQ,0))),"")</f>
        <v/>
      </c>
    </row>
    <row r="454">
      <c r="A454" s="161">
        <f>IFERROR(""&amp;INDEX(tk_MARK,MATCH(448,tk_ASEQ,0)),"")</f>
        <v/>
      </c>
      <c r="B454" s="162">
        <f>IFERROR(""&amp;INDEX(tk_ROOMF,MATCH(448,tk_ASEQ,0)),"")</f>
        <v/>
      </c>
      <c r="C454" s="162">
        <f>IFERROR(""&amp;INDEX(tk_ROOMT,MATCH(448,tk_ASEQ,0)),"")</f>
        <v/>
      </c>
      <c r="D454" s="162">
        <f>IFERROR(INDEX(tk_QTY,MATCH(448,tk_ASEQ,0)),"")</f>
        <v/>
      </c>
      <c r="E454" s="162">
        <f>IFERROR(""&amp;INDEX(tk_SIZE,MATCH(448,tk_ASEQ,0)),"")</f>
        <v/>
      </c>
      <c r="F454" s="162">
        <f>IFERROR(""&amp;INDEX(tk_PAIR,MATCH(448,tk_ASEQ,0)),"")</f>
        <v/>
      </c>
      <c r="G454" s="162">
        <f>IFERROR(""&amp;INDEX(tk_DMAT,MATCH(448,tk_ASEQ,0)),"")</f>
        <v/>
      </c>
      <c r="H454" s="162">
        <f>IFERROR(""&amp;INDEX(tk_DGA,MATCH(448,tk_ASEQ,0)),"")</f>
        <v/>
      </c>
      <c r="I454" s="162">
        <f>IFERROR(""&amp;INDEX(tk_FACE,MATCH(448,tk_ASEQ,0)),"")</f>
        <v/>
      </c>
      <c r="J454" s="162">
        <f>IFERROR(IF(INDEX(tk_DHAND,MATCH(448,tk_ASEQ,0))="",""&amp;INDEX(tk_HAND,MATCH(448,tk_ASEQ,0)),""&amp;INDEX(tk_DHAND,MATCH(448,tk_ASEQ,0))),"")</f>
        <v/>
      </c>
      <c r="K454" s="162">
        <f>IFERROR(""&amp;INDEX(tk_FDESC,MATCH(448,tk_ASEQ,0)),"")</f>
        <v/>
      </c>
      <c r="L454" s="162">
        <f>IFERROR(INDEX(tk_STEEL,MATCH(448,tk_ASEQ,0))&amp;IF(INDEX(tk_FGA,MATCH(448,tk_ASEQ,0))="",""," "&amp;INDEX(tk_FGA,MATCH(448,tk_ASEQ,0))&amp;"GA"),"")</f>
        <v/>
      </c>
      <c r="M454" s="162">
        <f>IFERROR(IFERROR(VLOOKUP(INDEX(tk_JAMB,MATCH(448,tk_ASEQ,0)),CODES,2,FALSE),""&amp;INDEX(tk_JAMB,MATCH(448,tk_ASEQ,0))),"")</f>
        <v/>
      </c>
      <c r="N454" s="162">
        <f>IFERROR(""&amp;INDEX(tk_CONSTR,MATCH(448,tk_ASEQ,0)),"")</f>
        <v/>
      </c>
      <c r="O454" s="162">
        <f>IFERROR(""&amp;INDEX(tk_ANCHOR,MATCH(448,tk_ASEQ,0)),"")</f>
        <v/>
      </c>
      <c r="P454" s="162">
        <f>IFERROR(""&amp;INDEX(tk_RATING,MATCH(448,tk_ASEQ,0)),"")</f>
        <v/>
      </c>
      <c r="Q454" s="162">
        <f>IFERROR(""&amp;INDEX(tk_LABEL,MATCH(448,tk_ASEQ,0)),"")</f>
        <v/>
      </c>
      <c r="R454" s="162">
        <f>IFERROR(""&amp;INDEX(tk_HWSET,MATCH(448,tk_ASEQ,0)),"")</f>
        <v/>
      </c>
      <c r="S454" s="162">
        <f>IFERROR(IF(""&amp;INDEX(tk_HINGES,MATCH(448,tk_ASEQ,0))="","",INDEX(tk_HINGES,MATCH(448,tk_ASEQ,0))&amp;" · "&amp;INDEX(tk_LSRC,MATCH(448,tk_ASEQ,0))),"")</f>
        <v/>
      </c>
      <c r="T454" s="162">
        <f>IFERROR(""&amp;INDEX(tk_LOCK,MATCH(448,tk_ASEQ,0)),"")</f>
        <v/>
      </c>
      <c r="U454" s="162">
        <f>IFERROR(INDEX(tk_ETYPE,MATCH(448,tk_ASEQ,0)),"")</f>
        <v/>
      </c>
      <c r="V454" s="162">
        <f>IFERROR(""&amp;INDEX(tk_CHECK,MATCH(448,tk_ASEQ,0)),"")</f>
        <v/>
      </c>
      <c r="W454" s="162">
        <f>IFERROR(TRIM(INDEX(tk_DNOTES,MATCH(448,tk_ASEQ,0))&amp;" "&amp;INDEX(tk_FNOTES,MATCH(448,tk_ASEQ,0))),"")</f>
        <v/>
      </c>
    </row>
    <row r="455">
      <c r="A455" s="161">
        <f>IFERROR(""&amp;INDEX(tk_MARK,MATCH(449,tk_ASEQ,0)),"")</f>
        <v/>
      </c>
      <c r="B455" s="162">
        <f>IFERROR(""&amp;INDEX(tk_ROOMF,MATCH(449,tk_ASEQ,0)),"")</f>
        <v/>
      </c>
      <c r="C455" s="162">
        <f>IFERROR(""&amp;INDEX(tk_ROOMT,MATCH(449,tk_ASEQ,0)),"")</f>
        <v/>
      </c>
      <c r="D455" s="162">
        <f>IFERROR(INDEX(tk_QTY,MATCH(449,tk_ASEQ,0)),"")</f>
        <v/>
      </c>
      <c r="E455" s="162">
        <f>IFERROR(""&amp;INDEX(tk_SIZE,MATCH(449,tk_ASEQ,0)),"")</f>
        <v/>
      </c>
      <c r="F455" s="162">
        <f>IFERROR(""&amp;INDEX(tk_PAIR,MATCH(449,tk_ASEQ,0)),"")</f>
        <v/>
      </c>
      <c r="G455" s="162">
        <f>IFERROR(""&amp;INDEX(tk_DMAT,MATCH(449,tk_ASEQ,0)),"")</f>
        <v/>
      </c>
      <c r="H455" s="162">
        <f>IFERROR(""&amp;INDEX(tk_DGA,MATCH(449,tk_ASEQ,0)),"")</f>
        <v/>
      </c>
      <c r="I455" s="162">
        <f>IFERROR(""&amp;INDEX(tk_FACE,MATCH(449,tk_ASEQ,0)),"")</f>
        <v/>
      </c>
      <c r="J455" s="162">
        <f>IFERROR(IF(INDEX(tk_DHAND,MATCH(449,tk_ASEQ,0))="",""&amp;INDEX(tk_HAND,MATCH(449,tk_ASEQ,0)),""&amp;INDEX(tk_DHAND,MATCH(449,tk_ASEQ,0))),"")</f>
        <v/>
      </c>
      <c r="K455" s="162">
        <f>IFERROR(""&amp;INDEX(tk_FDESC,MATCH(449,tk_ASEQ,0)),"")</f>
        <v/>
      </c>
      <c r="L455" s="162">
        <f>IFERROR(INDEX(tk_STEEL,MATCH(449,tk_ASEQ,0))&amp;IF(INDEX(tk_FGA,MATCH(449,tk_ASEQ,0))="",""," "&amp;INDEX(tk_FGA,MATCH(449,tk_ASEQ,0))&amp;"GA"),"")</f>
        <v/>
      </c>
      <c r="M455" s="162">
        <f>IFERROR(IFERROR(VLOOKUP(INDEX(tk_JAMB,MATCH(449,tk_ASEQ,0)),CODES,2,FALSE),""&amp;INDEX(tk_JAMB,MATCH(449,tk_ASEQ,0))),"")</f>
        <v/>
      </c>
      <c r="N455" s="162">
        <f>IFERROR(""&amp;INDEX(tk_CONSTR,MATCH(449,tk_ASEQ,0)),"")</f>
        <v/>
      </c>
      <c r="O455" s="162">
        <f>IFERROR(""&amp;INDEX(tk_ANCHOR,MATCH(449,tk_ASEQ,0)),"")</f>
        <v/>
      </c>
      <c r="P455" s="162">
        <f>IFERROR(""&amp;INDEX(tk_RATING,MATCH(449,tk_ASEQ,0)),"")</f>
        <v/>
      </c>
      <c r="Q455" s="162">
        <f>IFERROR(""&amp;INDEX(tk_LABEL,MATCH(449,tk_ASEQ,0)),"")</f>
        <v/>
      </c>
      <c r="R455" s="162">
        <f>IFERROR(""&amp;INDEX(tk_HWSET,MATCH(449,tk_ASEQ,0)),"")</f>
        <v/>
      </c>
      <c r="S455" s="162">
        <f>IFERROR(IF(""&amp;INDEX(tk_HINGES,MATCH(449,tk_ASEQ,0))="","",INDEX(tk_HINGES,MATCH(449,tk_ASEQ,0))&amp;" · "&amp;INDEX(tk_LSRC,MATCH(449,tk_ASEQ,0))),"")</f>
        <v/>
      </c>
      <c r="T455" s="162">
        <f>IFERROR(""&amp;INDEX(tk_LOCK,MATCH(449,tk_ASEQ,0)),"")</f>
        <v/>
      </c>
      <c r="U455" s="162">
        <f>IFERROR(INDEX(tk_ETYPE,MATCH(449,tk_ASEQ,0)),"")</f>
        <v/>
      </c>
      <c r="V455" s="162">
        <f>IFERROR(""&amp;INDEX(tk_CHECK,MATCH(449,tk_ASEQ,0)),"")</f>
        <v/>
      </c>
      <c r="W455" s="162">
        <f>IFERROR(TRIM(INDEX(tk_DNOTES,MATCH(449,tk_ASEQ,0))&amp;" "&amp;INDEX(tk_FNOTES,MATCH(449,tk_ASEQ,0))),"")</f>
        <v/>
      </c>
    </row>
    <row r="456">
      <c r="A456" s="161">
        <f>IFERROR(""&amp;INDEX(tk_MARK,MATCH(450,tk_ASEQ,0)),"")</f>
        <v/>
      </c>
      <c r="B456" s="162">
        <f>IFERROR(""&amp;INDEX(tk_ROOMF,MATCH(450,tk_ASEQ,0)),"")</f>
        <v/>
      </c>
      <c r="C456" s="162">
        <f>IFERROR(""&amp;INDEX(tk_ROOMT,MATCH(450,tk_ASEQ,0)),"")</f>
        <v/>
      </c>
      <c r="D456" s="162">
        <f>IFERROR(INDEX(tk_QTY,MATCH(450,tk_ASEQ,0)),"")</f>
        <v/>
      </c>
      <c r="E456" s="162">
        <f>IFERROR(""&amp;INDEX(tk_SIZE,MATCH(450,tk_ASEQ,0)),"")</f>
        <v/>
      </c>
      <c r="F456" s="162">
        <f>IFERROR(""&amp;INDEX(tk_PAIR,MATCH(450,tk_ASEQ,0)),"")</f>
        <v/>
      </c>
      <c r="G456" s="162">
        <f>IFERROR(""&amp;INDEX(tk_DMAT,MATCH(450,tk_ASEQ,0)),"")</f>
        <v/>
      </c>
      <c r="H456" s="162">
        <f>IFERROR(""&amp;INDEX(tk_DGA,MATCH(450,tk_ASEQ,0)),"")</f>
        <v/>
      </c>
      <c r="I456" s="162">
        <f>IFERROR(""&amp;INDEX(tk_FACE,MATCH(450,tk_ASEQ,0)),"")</f>
        <v/>
      </c>
      <c r="J456" s="162">
        <f>IFERROR(IF(INDEX(tk_DHAND,MATCH(450,tk_ASEQ,0))="",""&amp;INDEX(tk_HAND,MATCH(450,tk_ASEQ,0)),""&amp;INDEX(tk_DHAND,MATCH(450,tk_ASEQ,0))),"")</f>
        <v/>
      </c>
      <c r="K456" s="162">
        <f>IFERROR(""&amp;INDEX(tk_FDESC,MATCH(450,tk_ASEQ,0)),"")</f>
        <v/>
      </c>
      <c r="L456" s="162">
        <f>IFERROR(INDEX(tk_STEEL,MATCH(450,tk_ASEQ,0))&amp;IF(INDEX(tk_FGA,MATCH(450,tk_ASEQ,0))="",""," "&amp;INDEX(tk_FGA,MATCH(450,tk_ASEQ,0))&amp;"GA"),"")</f>
        <v/>
      </c>
      <c r="M456" s="162">
        <f>IFERROR(IFERROR(VLOOKUP(INDEX(tk_JAMB,MATCH(450,tk_ASEQ,0)),CODES,2,FALSE),""&amp;INDEX(tk_JAMB,MATCH(450,tk_ASEQ,0))),"")</f>
        <v/>
      </c>
      <c r="N456" s="162">
        <f>IFERROR(""&amp;INDEX(tk_CONSTR,MATCH(450,tk_ASEQ,0)),"")</f>
        <v/>
      </c>
      <c r="O456" s="162">
        <f>IFERROR(""&amp;INDEX(tk_ANCHOR,MATCH(450,tk_ASEQ,0)),"")</f>
        <v/>
      </c>
      <c r="P456" s="162">
        <f>IFERROR(""&amp;INDEX(tk_RATING,MATCH(450,tk_ASEQ,0)),"")</f>
        <v/>
      </c>
      <c r="Q456" s="162">
        <f>IFERROR(""&amp;INDEX(tk_LABEL,MATCH(450,tk_ASEQ,0)),"")</f>
        <v/>
      </c>
      <c r="R456" s="162">
        <f>IFERROR(""&amp;INDEX(tk_HWSET,MATCH(450,tk_ASEQ,0)),"")</f>
        <v/>
      </c>
      <c r="S456" s="162">
        <f>IFERROR(IF(""&amp;INDEX(tk_HINGES,MATCH(450,tk_ASEQ,0))="","",INDEX(tk_HINGES,MATCH(450,tk_ASEQ,0))&amp;" · "&amp;INDEX(tk_LSRC,MATCH(450,tk_ASEQ,0))),"")</f>
        <v/>
      </c>
      <c r="T456" s="162">
        <f>IFERROR(""&amp;INDEX(tk_LOCK,MATCH(450,tk_ASEQ,0)),"")</f>
        <v/>
      </c>
      <c r="U456" s="162">
        <f>IFERROR(INDEX(tk_ETYPE,MATCH(450,tk_ASEQ,0)),"")</f>
        <v/>
      </c>
      <c r="V456" s="162">
        <f>IFERROR(""&amp;INDEX(tk_CHECK,MATCH(450,tk_ASEQ,0)),"")</f>
        <v/>
      </c>
      <c r="W456" s="162">
        <f>IFERROR(TRIM(INDEX(tk_DNOTES,MATCH(450,tk_ASEQ,0))&amp;" "&amp;INDEX(tk_FNOTES,MATCH(450,tk_ASEQ,0))),"")</f>
        <v/>
      </c>
    </row>
    <row r="457">
      <c r="A457" s="161">
        <f>IFERROR(""&amp;INDEX(tk_MARK,MATCH(451,tk_ASEQ,0)),"")</f>
        <v/>
      </c>
      <c r="B457" s="162">
        <f>IFERROR(""&amp;INDEX(tk_ROOMF,MATCH(451,tk_ASEQ,0)),"")</f>
        <v/>
      </c>
      <c r="C457" s="162">
        <f>IFERROR(""&amp;INDEX(tk_ROOMT,MATCH(451,tk_ASEQ,0)),"")</f>
        <v/>
      </c>
      <c r="D457" s="162">
        <f>IFERROR(INDEX(tk_QTY,MATCH(451,tk_ASEQ,0)),"")</f>
        <v/>
      </c>
      <c r="E457" s="162">
        <f>IFERROR(""&amp;INDEX(tk_SIZE,MATCH(451,tk_ASEQ,0)),"")</f>
        <v/>
      </c>
      <c r="F457" s="162">
        <f>IFERROR(""&amp;INDEX(tk_PAIR,MATCH(451,tk_ASEQ,0)),"")</f>
        <v/>
      </c>
      <c r="G457" s="162">
        <f>IFERROR(""&amp;INDEX(tk_DMAT,MATCH(451,tk_ASEQ,0)),"")</f>
        <v/>
      </c>
      <c r="H457" s="162">
        <f>IFERROR(""&amp;INDEX(tk_DGA,MATCH(451,tk_ASEQ,0)),"")</f>
        <v/>
      </c>
      <c r="I457" s="162">
        <f>IFERROR(""&amp;INDEX(tk_FACE,MATCH(451,tk_ASEQ,0)),"")</f>
        <v/>
      </c>
      <c r="J457" s="162">
        <f>IFERROR(IF(INDEX(tk_DHAND,MATCH(451,tk_ASEQ,0))="",""&amp;INDEX(tk_HAND,MATCH(451,tk_ASEQ,0)),""&amp;INDEX(tk_DHAND,MATCH(451,tk_ASEQ,0))),"")</f>
        <v/>
      </c>
      <c r="K457" s="162">
        <f>IFERROR(""&amp;INDEX(tk_FDESC,MATCH(451,tk_ASEQ,0)),"")</f>
        <v/>
      </c>
      <c r="L457" s="162">
        <f>IFERROR(INDEX(tk_STEEL,MATCH(451,tk_ASEQ,0))&amp;IF(INDEX(tk_FGA,MATCH(451,tk_ASEQ,0))="",""," "&amp;INDEX(tk_FGA,MATCH(451,tk_ASEQ,0))&amp;"GA"),"")</f>
        <v/>
      </c>
      <c r="M457" s="162">
        <f>IFERROR(IFERROR(VLOOKUP(INDEX(tk_JAMB,MATCH(451,tk_ASEQ,0)),CODES,2,FALSE),""&amp;INDEX(tk_JAMB,MATCH(451,tk_ASEQ,0))),"")</f>
        <v/>
      </c>
      <c r="N457" s="162">
        <f>IFERROR(""&amp;INDEX(tk_CONSTR,MATCH(451,tk_ASEQ,0)),"")</f>
        <v/>
      </c>
      <c r="O457" s="162">
        <f>IFERROR(""&amp;INDEX(tk_ANCHOR,MATCH(451,tk_ASEQ,0)),"")</f>
        <v/>
      </c>
      <c r="P457" s="162">
        <f>IFERROR(""&amp;INDEX(tk_RATING,MATCH(451,tk_ASEQ,0)),"")</f>
        <v/>
      </c>
      <c r="Q457" s="162">
        <f>IFERROR(""&amp;INDEX(tk_LABEL,MATCH(451,tk_ASEQ,0)),"")</f>
        <v/>
      </c>
      <c r="R457" s="162">
        <f>IFERROR(""&amp;INDEX(tk_HWSET,MATCH(451,tk_ASEQ,0)),"")</f>
        <v/>
      </c>
      <c r="S457" s="162">
        <f>IFERROR(IF(""&amp;INDEX(tk_HINGES,MATCH(451,tk_ASEQ,0))="","",INDEX(tk_HINGES,MATCH(451,tk_ASEQ,0))&amp;" · "&amp;INDEX(tk_LSRC,MATCH(451,tk_ASEQ,0))),"")</f>
        <v/>
      </c>
      <c r="T457" s="162">
        <f>IFERROR(""&amp;INDEX(tk_LOCK,MATCH(451,tk_ASEQ,0)),"")</f>
        <v/>
      </c>
      <c r="U457" s="162">
        <f>IFERROR(INDEX(tk_ETYPE,MATCH(451,tk_ASEQ,0)),"")</f>
        <v/>
      </c>
      <c r="V457" s="162">
        <f>IFERROR(""&amp;INDEX(tk_CHECK,MATCH(451,tk_ASEQ,0)),"")</f>
        <v/>
      </c>
      <c r="W457" s="162">
        <f>IFERROR(TRIM(INDEX(tk_DNOTES,MATCH(451,tk_ASEQ,0))&amp;" "&amp;INDEX(tk_FNOTES,MATCH(451,tk_ASEQ,0))),"")</f>
        <v/>
      </c>
    </row>
    <row r="458">
      <c r="A458" s="161">
        <f>IFERROR(""&amp;INDEX(tk_MARK,MATCH(452,tk_ASEQ,0)),"")</f>
        <v/>
      </c>
      <c r="B458" s="162">
        <f>IFERROR(""&amp;INDEX(tk_ROOMF,MATCH(452,tk_ASEQ,0)),"")</f>
        <v/>
      </c>
      <c r="C458" s="162">
        <f>IFERROR(""&amp;INDEX(tk_ROOMT,MATCH(452,tk_ASEQ,0)),"")</f>
        <v/>
      </c>
      <c r="D458" s="162">
        <f>IFERROR(INDEX(tk_QTY,MATCH(452,tk_ASEQ,0)),"")</f>
        <v/>
      </c>
      <c r="E458" s="162">
        <f>IFERROR(""&amp;INDEX(tk_SIZE,MATCH(452,tk_ASEQ,0)),"")</f>
        <v/>
      </c>
      <c r="F458" s="162">
        <f>IFERROR(""&amp;INDEX(tk_PAIR,MATCH(452,tk_ASEQ,0)),"")</f>
        <v/>
      </c>
      <c r="G458" s="162">
        <f>IFERROR(""&amp;INDEX(tk_DMAT,MATCH(452,tk_ASEQ,0)),"")</f>
        <v/>
      </c>
      <c r="H458" s="162">
        <f>IFERROR(""&amp;INDEX(tk_DGA,MATCH(452,tk_ASEQ,0)),"")</f>
        <v/>
      </c>
      <c r="I458" s="162">
        <f>IFERROR(""&amp;INDEX(tk_FACE,MATCH(452,tk_ASEQ,0)),"")</f>
        <v/>
      </c>
      <c r="J458" s="162">
        <f>IFERROR(IF(INDEX(tk_DHAND,MATCH(452,tk_ASEQ,0))="",""&amp;INDEX(tk_HAND,MATCH(452,tk_ASEQ,0)),""&amp;INDEX(tk_DHAND,MATCH(452,tk_ASEQ,0))),"")</f>
        <v/>
      </c>
      <c r="K458" s="162">
        <f>IFERROR(""&amp;INDEX(tk_FDESC,MATCH(452,tk_ASEQ,0)),"")</f>
        <v/>
      </c>
      <c r="L458" s="162">
        <f>IFERROR(INDEX(tk_STEEL,MATCH(452,tk_ASEQ,0))&amp;IF(INDEX(tk_FGA,MATCH(452,tk_ASEQ,0))="",""," "&amp;INDEX(tk_FGA,MATCH(452,tk_ASEQ,0))&amp;"GA"),"")</f>
        <v/>
      </c>
      <c r="M458" s="162">
        <f>IFERROR(IFERROR(VLOOKUP(INDEX(tk_JAMB,MATCH(452,tk_ASEQ,0)),CODES,2,FALSE),""&amp;INDEX(tk_JAMB,MATCH(452,tk_ASEQ,0))),"")</f>
        <v/>
      </c>
      <c r="N458" s="162">
        <f>IFERROR(""&amp;INDEX(tk_CONSTR,MATCH(452,tk_ASEQ,0)),"")</f>
        <v/>
      </c>
      <c r="O458" s="162">
        <f>IFERROR(""&amp;INDEX(tk_ANCHOR,MATCH(452,tk_ASEQ,0)),"")</f>
        <v/>
      </c>
      <c r="P458" s="162">
        <f>IFERROR(""&amp;INDEX(tk_RATING,MATCH(452,tk_ASEQ,0)),"")</f>
        <v/>
      </c>
      <c r="Q458" s="162">
        <f>IFERROR(""&amp;INDEX(tk_LABEL,MATCH(452,tk_ASEQ,0)),"")</f>
        <v/>
      </c>
      <c r="R458" s="162">
        <f>IFERROR(""&amp;INDEX(tk_HWSET,MATCH(452,tk_ASEQ,0)),"")</f>
        <v/>
      </c>
      <c r="S458" s="162">
        <f>IFERROR(IF(""&amp;INDEX(tk_HINGES,MATCH(452,tk_ASEQ,0))="","",INDEX(tk_HINGES,MATCH(452,tk_ASEQ,0))&amp;" · "&amp;INDEX(tk_LSRC,MATCH(452,tk_ASEQ,0))),"")</f>
        <v/>
      </c>
      <c r="T458" s="162">
        <f>IFERROR(""&amp;INDEX(tk_LOCK,MATCH(452,tk_ASEQ,0)),"")</f>
        <v/>
      </c>
      <c r="U458" s="162">
        <f>IFERROR(INDEX(tk_ETYPE,MATCH(452,tk_ASEQ,0)),"")</f>
        <v/>
      </c>
      <c r="V458" s="162">
        <f>IFERROR(""&amp;INDEX(tk_CHECK,MATCH(452,tk_ASEQ,0)),"")</f>
        <v/>
      </c>
      <c r="W458" s="162">
        <f>IFERROR(TRIM(INDEX(tk_DNOTES,MATCH(452,tk_ASEQ,0))&amp;" "&amp;INDEX(tk_FNOTES,MATCH(452,tk_ASEQ,0))),"")</f>
        <v/>
      </c>
    </row>
    <row r="459">
      <c r="A459" s="161">
        <f>IFERROR(""&amp;INDEX(tk_MARK,MATCH(453,tk_ASEQ,0)),"")</f>
        <v/>
      </c>
      <c r="B459" s="162">
        <f>IFERROR(""&amp;INDEX(tk_ROOMF,MATCH(453,tk_ASEQ,0)),"")</f>
        <v/>
      </c>
      <c r="C459" s="162">
        <f>IFERROR(""&amp;INDEX(tk_ROOMT,MATCH(453,tk_ASEQ,0)),"")</f>
        <v/>
      </c>
      <c r="D459" s="162">
        <f>IFERROR(INDEX(tk_QTY,MATCH(453,tk_ASEQ,0)),"")</f>
        <v/>
      </c>
      <c r="E459" s="162">
        <f>IFERROR(""&amp;INDEX(tk_SIZE,MATCH(453,tk_ASEQ,0)),"")</f>
        <v/>
      </c>
      <c r="F459" s="162">
        <f>IFERROR(""&amp;INDEX(tk_PAIR,MATCH(453,tk_ASEQ,0)),"")</f>
        <v/>
      </c>
      <c r="G459" s="162">
        <f>IFERROR(""&amp;INDEX(tk_DMAT,MATCH(453,tk_ASEQ,0)),"")</f>
        <v/>
      </c>
      <c r="H459" s="162">
        <f>IFERROR(""&amp;INDEX(tk_DGA,MATCH(453,tk_ASEQ,0)),"")</f>
        <v/>
      </c>
      <c r="I459" s="162">
        <f>IFERROR(""&amp;INDEX(tk_FACE,MATCH(453,tk_ASEQ,0)),"")</f>
        <v/>
      </c>
      <c r="J459" s="162">
        <f>IFERROR(IF(INDEX(tk_DHAND,MATCH(453,tk_ASEQ,0))="",""&amp;INDEX(tk_HAND,MATCH(453,tk_ASEQ,0)),""&amp;INDEX(tk_DHAND,MATCH(453,tk_ASEQ,0))),"")</f>
        <v/>
      </c>
      <c r="K459" s="162">
        <f>IFERROR(""&amp;INDEX(tk_FDESC,MATCH(453,tk_ASEQ,0)),"")</f>
        <v/>
      </c>
      <c r="L459" s="162">
        <f>IFERROR(INDEX(tk_STEEL,MATCH(453,tk_ASEQ,0))&amp;IF(INDEX(tk_FGA,MATCH(453,tk_ASEQ,0))="",""," "&amp;INDEX(tk_FGA,MATCH(453,tk_ASEQ,0))&amp;"GA"),"")</f>
        <v/>
      </c>
      <c r="M459" s="162">
        <f>IFERROR(IFERROR(VLOOKUP(INDEX(tk_JAMB,MATCH(453,tk_ASEQ,0)),CODES,2,FALSE),""&amp;INDEX(tk_JAMB,MATCH(453,tk_ASEQ,0))),"")</f>
        <v/>
      </c>
      <c r="N459" s="162">
        <f>IFERROR(""&amp;INDEX(tk_CONSTR,MATCH(453,tk_ASEQ,0)),"")</f>
        <v/>
      </c>
      <c r="O459" s="162">
        <f>IFERROR(""&amp;INDEX(tk_ANCHOR,MATCH(453,tk_ASEQ,0)),"")</f>
        <v/>
      </c>
      <c r="P459" s="162">
        <f>IFERROR(""&amp;INDEX(tk_RATING,MATCH(453,tk_ASEQ,0)),"")</f>
        <v/>
      </c>
      <c r="Q459" s="162">
        <f>IFERROR(""&amp;INDEX(tk_LABEL,MATCH(453,tk_ASEQ,0)),"")</f>
        <v/>
      </c>
      <c r="R459" s="162">
        <f>IFERROR(""&amp;INDEX(tk_HWSET,MATCH(453,tk_ASEQ,0)),"")</f>
        <v/>
      </c>
      <c r="S459" s="162">
        <f>IFERROR(IF(""&amp;INDEX(tk_HINGES,MATCH(453,tk_ASEQ,0))="","",INDEX(tk_HINGES,MATCH(453,tk_ASEQ,0))&amp;" · "&amp;INDEX(tk_LSRC,MATCH(453,tk_ASEQ,0))),"")</f>
        <v/>
      </c>
      <c r="T459" s="162">
        <f>IFERROR(""&amp;INDEX(tk_LOCK,MATCH(453,tk_ASEQ,0)),"")</f>
        <v/>
      </c>
      <c r="U459" s="162">
        <f>IFERROR(INDEX(tk_ETYPE,MATCH(453,tk_ASEQ,0)),"")</f>
        <v/>
      </c>
      <c r="V459" s="162">
        <f>IFERROR(""&amp;INDEX(tk_CHECK,MATCH(453,tk_ASEQ,0)),"")</f>
        <v/>
      </c>
      <c r="W459" s="162">
        <f>IFERROR(TRIM(INDEX(tk_DNOTES,MATCH(453,tk_ASEQ,0))&amp;" "&amp;INDEX(tk_FNOTES,MATCH(453,tk_ASEQ,0))),"")</f>
        <v/>
      </c>
    </row>
    <row r="460">
      <c r="A460" s="161">
        <f>IFERROR(""&amp;INDEX(tk_MARK,MATCH(454,tk_ASEQ,0)),"")</f>
        <v/>
      </c>
      <c r="B460" s="162">
        <f>IFERROR(""&amp;INDEX(tk_ROOMF,MATCH(454,tk_ASEQ,0)),"")</f>
        <v/>
      </c>
      <c r="C460" s="162">
        <f>IFERROR(""&amp;INDEX(tk_ROOMT,MATCH(454,tk_ASEQ,0)),"")</f>
        <v/>
      </c>
      <c r="D460" s="162">
        <f>IFERROR(INDEX(tk_QTY,MATCH(454,tk_ASEQ,0)),"")</f>
        <v/>
      </c>
      <c r="E460" s="162">
        <f>IFERROR(""&amp;INDEX(tk_SIZE,MATCH(454,tk_ASEQ,0)),"")</f>
        <v/>
      </c>
      <c r="F460" s="162">
        <f>IFERROR(""&amp;INDEX(tk_PAIR,MATCH(454,tk_ASEQ,0)),"")</f>
        <v/>
      </c>
      <c r="G460" s="162">
        <f>IFERROR(""&amp;INDEX(tk_DMAT,MATCH(454,tk_ASEQ,0)),"")</f>
        <v/>
      </c>
      <c r="H460" s="162">
        <f>IFERROR(""&amp;INDEX(tk_DGA,MATCH(454,tk_ASEQ,0)),"")</f>
        <v/>
      </c>
      <c r="I460" s="162">
        <f>IFERROR(""&amp;INDEX(tk_FACE,MATCH(454,tk_ASEQ,0)),"")</f>
        <v/>
      </c>
      <c r="J460" s="162">
        <f>IFERROR(IF(INDEX(tk_DHAND,MATCH(454,tk_ASEQ,0))="",""&amp;INDEX(tk_HAND,MATCH(454,tk_ASEQ,0)),""&amp;INDEX(tk_DHAND,MATCH(454,tk_ASEQ,0))),"")</f>
        <v/>
      </c>
      <c r="K460" s="162">
        <f>IFERROR(""&amp;INDEX(tk_FDESC,MATCH(454,tk_ASEQ,0)),"")</f>
        <v/>
      </c>
      <c r="L460" s="162">
        <f>IFERROR(INDEX(tk_STEEL,MATCH(454,tk_ASEQ,0))&amp;IF(INDEX(tk_FGA,MATCH(454,tk_ASEQ,0))="",""," "&amp;INDEX(tk_FGA,MATCH(454,tk_ASEQ,0))&amp;"GA"),"")</f>
        <v/>
      </c>
      <c r="M460" s="162">
        <f>IFERROR(IFERROR(VLOOKUP(INDEX(tk_JAMB,MATCH(454,tk_ASEQ,0)),CODES,2,FALSE),""&amp;INDEX(tk_JAMB,MATCH(454,tk_ASEQ,0))),"")</f>
        <v/>
      </c>
      <c r="N460" s="162">
        <f>IFERROR(""&amp;INDEX(tk_CONSTR,MATCH(454,tk_ASEQ,0)),"")</f>
        <v/>
      </c>
      <c r="O460" s="162">
        <f>IFERROR(""&amp;INDEX(tk_ANCHOR,MATCH(454,tk_ASEQ,0)),"")</f>
        <v/>
      </c>
      <c r="P460" s="162">
        <f>IFERROR(""&amp;INDEX(tk_RATING,MATCH(454,tk_ASEQ,0)),"")</f>
        <v/>
      </c>
      <c r="Q460" s="162">
        <f>IFERROR(""&amp;INDEX(tk_LABEL,MATCH(454,tk_ASEQ,0)),"")</f>
        <v/>
      </c>
      <c r="R460" s="162">
        <f>IFERROR(""&amp;INDEX(tk_HWSET,MATCH(454,tk_ASEQ,0)),"")</f>
        <v/>
      </c>
      <c r="S460" s="162">
        <f>IFERROR(IF(""&amp;INDEX(tk_HINGES,MATCH(454,tk_ASEQ,0))="","",INDEX(tk_HINGES,MATCH(454,tk_ASEQ,0))&amp;" · "&amp;INDEX(tk_LSRC,MATCH(454,tk_ASEQ,0))),"")</f>
        <v/>
      </c>
      <c r="T460" s="162">
        <f>IFERROR(""&amp;INDEX(tk_LOCK,MATCH(454,tk_ASEQ,0)),"")</f>
        <v/>
      </c>
      <c r="U460" s="162">
        <f>IFERROR(INDEX(tk_ETYPE,MATCH(454,tk_ASEQ,0)),"")</f>
        <v/>
      </c>
      <c r="V460" s="162">
        <f>IFERROR(""&amp;INDEX(tk_CHECK,MATCH(454,tk_ASEQ,0)),"")</f>
        <v/>
      </c>
      <c r="W460" s="162">
        <f>IFERROR(TRIM(INDEX(tk_DNOTES,MATCH(454,tk_ASEQ,0))&amp;" "&amp;INDEX(tk_FNOTES,MATCH(454,tk_ASEQ,0))),"")</f>
        <v/>
      </c>
    </row>
    <row r="461">
      <c r="A461" s="161">
        <f>IFERROR(""&amp;INDEX(tk_MARK,MATCH(455,tk_ASEQ,0)),"")</f>
        <v/>
      </c>
      <c r="B461" s="162">
        <f>IFERROR(""&amp;INDEX(tk_ROOMF,MATCH(455,tk_ASEQ,0)),"")</f>
        <v/>
      </c>
      <c r="C461" s="162">
        <f>IFERROR(""&amp;INDEX(tk_ROOMT,MATCH(455,tk_ASEQ,0)),"")</f>
        <v/>
      </c>
      <c r="D461" s="162">
        <f>IFERROR(INDEX(tk_QTY,MATCH(455,tk_ASEQ,0)),"")</f>
        <v/>
      </c>
      <c r="E461" s="162">
        <f>IFERROR(""&amp;INDEX(tk_SIZE,MATCH(455,tk_ASEQ,0)),"")</f>
        <v/>
      </c>
      <c r="F461" s="162">
        <f>IFERROR(""&amp;INDEX(tk_PAIR,MATCH(455,tk_ASEQ,0)),"")</f>
        <v/>
      </c>
      <c r="G461" s="162">
        <f>IFERROR(""&amp;INDEX(tk_DMAT,MATCH(455,tk_ASEQ,0)),"")</f>
        <v/>
      </c>
      <c r="H461" s="162">
        <f>IFERROR(""&amp;INDEX(tk_DGA,MATCH(455,tk_ASEQ,0)),"")</f>
        <v/>
      </c>
      <c r="I461" s="162">
        <f>IFERROR(""&amp;INDEX(tk_FACE,MATCH(455,tk_ASEQ,0)),"")</f>
        <v/>
      </c>
      <c r="J461" s="162">
        <f>IFERROR(IF(INDEX(tk_DHAND,MATCH(455,tk_ASEQ,0))="",""&amp;INDEX(tk_HAND,MATCH(455,tk_ASEQ,0)),""&amp;INDEX(tk_DHAND,MATCH(455,tk_ASEQ,0))),"")</f>
        <v/>
      </c>
      <c r="K461" s="162">
        <f>IFERROR(""&amp;INDEX(tk_FDESC,MATCH(455,tk_ASEQ,0)),"")</f>
        <v/>
      </c>
      <c r="L461" s="162">
        <f>IFERROR(INDEX(tk_STEEL,MATCH(455,tk_ASEQ,0))&amp;IF(INDEX(tk_FGA,MATCH(455,tk_ASEQ,0))="",""," "&amp;INDEX(tk_FGA,MATCH(455,tk_ASEQ,0))&amp;"GA"),"")</f>
        <v/>
      </c>
      <c r="M461" s="162">
        <f>IFERROR(IFERROR(VLOOKUP(INDEX(tk_JAMB,MATCH(455,tk_ASEQ,0)),CODES,2,FALSE),""&amp;INDEX(tk_JAMB,MATCH(455,tk_ASEQ,0))),"")</f>
        <v/>
      </c>
      <c r="N461" s="162">
        <f>IFERROR(""&amp;INDEX(tk_CONSTR,MATCH(455,tk_ASEQ,0)),"")</f>
        <v/>
      </c>
      <c r="O461" s="162">
        <f>IFERROR(""&amp;INDEX(tk_ANCHOR,MATCH(455,tk_ASEQ,0)),"")</f>
        <v/>
      </c>
      <c r="P461" s="162">
        <f>IFERROR(""&amp;INDEX(tk_RATING,MATCH(455,tk_ASEQ,0)),"")</f>
        <v/>
      </c>
      <c r="Q461" s="162">
        <f>IFERROR(""&amp;INDEX(tk_LABEL,MATCH(455,tk_ASEQ,0)),"")</f>
        <v/>
      </c>
      <c r="R461" s="162">
        <f>IFERROR(""&amp;INDEX(tk_HWSET,MATCH(455,tk_ASEQ,0)),"")</f>
        <v/>
      </c>
      <c r="S461" s="162">
        <f>IFERROR(IF(""&amp;INDEX(tk_HINGES,MATCH(455,tk_ASEQ,0))="","",INDEX(tk_HINGES,MATCH(455,tk_ASEQ,0))&amp;" · "&amp;INDEX(tk_LSRC,MATCH(455,tk_ASEQ,0))),"")</f>
        <v/>
      </c>
      <c r="T461" s="162">
        <f>IFERROR(""&amp;INDEX(tk_LOCK,MATCH(455,tk_ASEQ,0)),"")</f>
        <v/>
      </c>
      <c r="U461" s="162">
        <f>IFERROR(INDEX(tk_ETYPE,MATCH(455,tk_ASEQ,0)),"")</f>
        <v/>
      </c>
      <c r="V461" s="162">
        <f>IFERROR(""&amp;INDEX(tk_CHECK,MATCH(455,tk_ASEQ,0)),"")</f>
        <v/>
      </c>
      <c r="W461" s="162">
        <f>IFERROR(TRIM(INDEX(tk_DNOTES,MATCH(455,tk_ASEQ,0))&amp;" "&amp;INDEX(tk_FNOTES,MATCH(455,tk_ASEQ,0))),"")</f>
        <v/>
      </c>
    </row>
    <row r="462">
      <c r="A462" s="161">
        <f>IFERROR(""&amp;INDEX(tk_MARK,MATCH(456,tk_ASEQ,0)),"")</f>
        <v/>
      </c>
      <c r="B462" s="162">
        <f>IFERROR(""&amp;INDEX(tk_ROOMF,MATCH(456,tk_ASEQ,0)),"")</f>
        <v/>
      </c>
      <c r="C462" s="162">
        <f>IFERROR(""&amp;INDEX(tk_ROOMT,MATCH(456,tk_ASEQ,0)),"")</f>
        <v/>
      </c>
      <c r="D462" s="162">
        <f>IFERROR(INDEX(tk_QTY,MATCH(456,tk_ASEQ,0)),"")</f>
        <v/>
      </c>
      <c r="E462" s="162">
        <f>IFERROR(""&amp;INDEX(tk_SIZE,MATCH(456,tk_ASEQ,0)),"")</f>
        <v/>
      </c>
      <c r="F462" s="162">
        <f>IFERROR(""&amp;INDEX(tk_PAIR,MATCH(456,tk_ASEQ,0)),"")</f>
        <v/>
      </c>
      <c r="G462" s="162">
        <f>IFERROR(""&amp;INDEX(tk_DMAT,MATCH(456,tk_ASEQ,0)),"")</f>
        <v/>
      </c>
      <c r="H462" s="162">
        <f>IFERROR(""&amp;INDEX(tk_DGA,MATCH(456,tk_ASEQ,0)),"")</f>
        <v/>
      </c>
      <c r="I462" s="162">
        <f>IFERROR(""&amp;INDEX(tk_FACE,MATCH(456,tk_ASEQ,0)),"")</f>
        <v/>
      </c>
      <c r="J462" s="162">
        <f>IFERROR(IF(INDEX(tk_DHAND,MATCH(456,tk_ASEQ,0))="",""&amp;INDEX(tk_HAND,MATCH(456,tk_ASEQ,0)),""&amp;INDEX(tk_DHAND,MATCH(456,tk_ASEQ,0))),"")</f>
        <v/>
      </c>
      <c r="K462" s="162">
        <f>IFERROR(""&amp;INDEX(tk_FDESC,MATCH(456,tk_ASEQ,0)),"")</f>
        <v/>
      </c>
      <c r="L462" s="162">
        <f>IFERROR(INDEX(tk_STEEL,MATCH(456,tk_ASEQ,0))&amp;IF(INDEX(tk_FGA,MATCH(456,tk_ASEQ,0))="",""," "&amp;INDEX(tk_FGA,MATCH(456,tk_ASEQ,0))&amp;"GA"),"")</f>
        <v/>
      </c>
      <c r="M462" s="162">
        <f>IFERROR(IFERROR(VLOOKUP(INDEX(tk_JAMB,MATCH(456,tk_ASEQ,0)),CODES,2,FALSE),""&amp;INDEX(tk_JAMB,MATCH(456,tk_ASEQ,0))),"")</f>
        <v/>
      </c>
      <c r="N462" s="162">
        <f>IFERROR(""&amp;INDEX(tk_CONSTR,MATCH(456,tk_ASEQ,0)),"")</f>
        <v/>
      </c>
      <c r="O462" s="162">
        <f>IFERROR(""&amp;INDEX(tk_ANCHOR,MATCH(456,tk_ASEQ,0)),"")</f>
        <v/>
      </c>
      <c r="P462" s="162">
        <f>IFERROR(""&amp;INDEX(tk_RATING,MATCH(456,tk_ASEQ,0)),"")</f>
        <v/>
      </c>
      <c r="Q462" s="162">
        <f>IFERROR(""&amp;INDEX(tk_LABEL,MATCH(456,tk_ASEQ,0)),"")</f>
        <v/>
      </c>
      <c r="R462" s="162">
        <f>IFERROR(""&amp;INDEX(tk_HWSET,MATCH(456,tk_ASEQ,0)),"")</f>
        <v/>
      </c>
      <c r="S462" s="162">
        <f>IFERROR(IF(""&amp;INDEX(tk_HINGES,MATCH(456,tk_ASEQ,0))="","",INDEX(tk_HINGES,MATCH(456,tk_ASEQ,0))&amp;" · "&amp;INDEX(tk_LSRC,MATCH(456,tk_ASEQ,0))),"")</f>
        <v/>
      </c>
      <c r="T462" s="162">
        <f>IFERROR(""&amp;INDEX(tk_LOCK,MATCH(456,tk_ASEQ,0)),"")</f>
        <v/>
      </c>
      <c r="U462" s="162">
        <f>IFERROR(INDEX(tk_ETYPE,MATCH(456,tk_ASEQ,0)),"")</f>
        <v/>
      </c>
      <c r="V462" s="162">
        <f>IFERROR(""&amp;INDEX(tk_CHECK,MATCH(456,tk_ASEQ,0)),"")</f>
        <v/>
      </c>
      <c r="W462" s="162">
        <f>IFERROR(TRIM(INDEX(tk_DNOTES,MATCH(456,tk_ASEQ,0))&amp;" "&amp;INDEX(tk_FNOTES,MATCH(456,tk_ASEQ,0))),"")</f>
        <v/>
      </c>
    </row>
    <row r="463">
      <c r="A463" s="161">
        <f>IFERROR(""&amp;INDEX(tk_MARK,MATCH(457,tk_ASEQ,0)),"")</f>
        <v/>
      </c>
      <c r="B463" s="162">
        <f>IFERROR(""&amp;INDEX(tk_ROOMF,MATCH(457,tk_ASEQ,0)),"")</f>
        <v/>
      </c>
      <c r="C463" s="162">
        <f>IFERROR(""&amp;INDEX(tk_ROOMT,MATCH(457,tk_ASEQ,0)),"")</f>
        <v/>
      </c>
      <c r="D463" s="162">
        <f>IFERROR(INDEX(tk_QTY,MATCH(457,tk_ASEQ,0)),"")</f>
        <v/>
      </c>
      <c r="E463" s="162">
        <f>IFERROR(""&amp;INDEX(tk_SIZE,MATCH(457,tk_ASEQ,0)),"")</f>
        <v/>
      </c>
      <c r="F463" s="162">
        <f>IFERROR(""&amp;INDEX(tk_PAIR,MATCH(457,tk_ASEQ,0)),"")</f>
        <v/>
      </c>
      <c r="G463" s="162">
        <f>IFERROR(""&amp;INDEX(tk_DMAT,MATCH(457,tk_ASEQ,0)),"")</f>
        <v/>
      </c>
      <c r="H463" s="162">
        <f>IFERROR(""&amp;INDEX(tk_DGA,MATCH(457,tk_ASEQ,0)),"")</f>
        <v/>
      </c>
      <c r="I463" s="162">
        <f>IFERROR(""&amp;INDEX(tk_FACE,MATCH(457,tk_ASEQ,0)),"")</f>
        <v/>
      </c>
      <c r="J463" s="162">
        <f>IFERROR(IF(INDEX(tk_DHAND,MATCH(457,tk_ASEQ,0))="",""&amp;INDEX(tk_HAND,MATCH(457,tk_ASEQ,0)),""&amp;INDEX(tk_DHAND,MATCH(457,tk_ASEQ,0))),"")</f>
        <v/>
      </c>
      <c r="K463" s="162">
        <f>IFERROR(""&amp;INDEX(tk_FDESC,MATCH(457,tk_ASEQ,0)),"")</f>
        <v/>
      </c>
      <c r="L463" s="162">
        <f>IFERROR(INDEX(tk_STEEL,MATCH(457,tk_ASEQ,0))&amp;IF(INDEX(tk_FGA,MATCH(457,tk_ASEQ,0))="",""," "&amp;INDEX(tk_FGA,MATCH(457,tk_ASEQ,0))&amp;"GA"),"")</f>
        <v/>
      </c>
      <c r="M463" s="162">
        <f>IFERROR(IFERROR(VLOOKUP(INDEX(tk_JAMB,MATCH(457,tk_ASEQ,0)),CODES,2,FALSE),""&amp;INDEX(tk_JAMB,MATCH(457,tk_ASEQ,0))),"")</f>
        <v/>
      </c>
      <c r="N463" s="162">
        <f>IFERROR(""&amp;INDEX(tk_CONSTR,MATCH(457,tk_ASEQ,0)),"")</f>
        <v/>
      </c>
      <c r="O463" s="162">
        <f>IFERROR(""&amp;INDEX(tk_ANCHOR,MATCH(457,tk_ASEQ,0)),"")</f>
        <v/>
      </c>
      <c r="P463" s="162">
        <f>IFERROR(""&amp;INDEX(tk_RATING,MATCH(457,tk_ASEQ,0)),"")</f>
        <v/>
      </c>
      <c r="Q463" s="162">
        <f>IFERROR(""&amp;INDEX(tk_LABEL,MATCH(457,tk_ASEQ,0)),"")</f>
        <v/>
      </c>
      <c r="R463" s="162">
        <f>IFERROR(""&amp;INDEX(tk_HWSET,MATCH(457,tk_ASEQ,0)),"")</f>
        <v/>
      </c>
      <c r="S463" s="162">
        <f>IFERROR(IF(""&amp;INDEX(tk_HINGES,MATCH(457,tk_ASEQ,0))="","",INDEX(tk_HINGES,MATCH(457,tk_ASEQ,0))&amp;" · "&amp;INDEX(tk_LSRC,MATCH(457,tk_ASEQ,0))),"")</f>
        <v/>
      </c>
      <c r="T463" s="162">
        <f>IFERROR(""&amp;INDEX(tk_LOCK,MATCH(457,tk_ASEQ,0)),"")</f>
        <v/>
      </c>
      <c r="U463" s="162">
        <f>IFERROR(INDEX(tk_ETYPE,MATCH(457,tk_ASEQ,0)),"")</f>
        <v/>
      </c>
      <c r="V463" s="162">
        <f>IFERROR(""&amp;INDEX(tk_CHECK,MATCH(457,tk_ASEQ,0)),"")</f>
        <v/>
      </c>
      <c r="W463" s="162">
        <f>IFERROR(TRIM(INDEX(tk_DNOTES,MATCH(457,tk_ASEQ,0))&amp;" "&amp;INDEX(tk_FNOTES,MATCH(457,tk_ASEQ,0))),"")</f>
        <v/>
      </c>
    </row>
    <row r="464">
      <c r="A464" s="161">
        <f>IFERROR(""&amp;INDEX(tk_MARK,MATCH(458,tk_ASEQ,0)),"")</f>
        <v/>
      </c>
      <c r="B464" s="162">
        <f>IFERROR(""&amp;INDEX(tk_ROOMF,MATCH(458,tk_ASEQ,0)),"")</f>
        <v/>
      </c>
      <c r="C464" s="162">
        <f>IFERROR(""&amp;INDEX(tk_ROOMT,MATCH(458,tk_ASEQ,0)),"")</f>
        <v/>
      </c>
      <c r="D464" s="162">
        <f>IFERROR(INDEX(tk_QTY,MATCH(458,tk_ASEQ,0)),"")</f>
        <v/>
      </c>
      <c r="E464" s="162">
        <f>IFERROR(""&amp;INDEX(tk_SIZE,MATCH(458,tk_ASEQ,0)),"")</f>
        <v/>
      </c>
      <c r="F464" s="162">
        <f>IFERROR(""&amp;INDEX(tk_PAIR,MATCH(458,tk_ASEQ,0)),"")</f>
        <v/>
      </c>
      <c r="G464" s="162">
        <f>IFERROR(""&amp;INDEX(tk_DMAT,MATCH(458,tk_ASEQ,0)),"")</f>
        <v/>
      </c>
      <c r="H464" s="162">
        <f>IFERROR(""&amp;INDEX(tk_DGA,MATCH(458,tk_ASEQ,0)),"")</f>
        <v/>
      </c>
      <c r="I464" s="162">
        <f>IFERROR(""&amp;INDEX(tk_FACE,MATCH(458,tk_ASEQ,0)),"")</f>
        <v/>
      </c>
      <c r="J464" s="162">
        <f>IFERROR(IF(INDEX(tk_DHAND,MATCH(458,tk_ASEQ,0))="",""&amp;INDEX(tk_HAND,MATCH(458,tk_ASEQ,0)),""&amp;INDEX(tk_DHAND,MATCH(458,tk_ASEQ,0))),"")</f>
        <v/>
      </c>
      <c r="K464" s="162">
        <f>IFERROR(""&amp;INDEX(tk_FDESC,MATCH(458,tk_ASEQ,0)),"")</f>
        <v/>
      </c>
      <c r="L464" s="162">
        <f>IFERROR(INDEX(tk_STEEL,MATCH(458,tk_ASEQ,0))&amp;IF(INDEX(tk_FGA,MATCH(458,tk_ASEQ,0))="",""," "&amp;INDEX(tk_FGA,MATCH(458,tk_ASEQ,0))&amp;"GA"),"")</f>
        <v/>
      </c>
      <c r="M464" s="162">
        <f>IFERROR(IFERROR(VLOOKUP(INDEX(tk_JAMB,MATCH(458,tk_ASEQ,0)),CODES,2,FALSE),""&amp;INDEX(tk_JAMB,MATCH(458,tk_ASEQ,0))),"")</f>
        <v/>
      </c>
      <c r="N464" s="162">
        <f>IFERROR(""&amp;INDEX(tk_CONSTR,MATCH(458,tk_ASEQ,0)),"")</f>
        <v/>
      </c>
      <c r="O464" s="162">
        <f>IFERROR(""&amp;INDEX(tk_ANCHOR,MATCH(458,tk_ASEQ,0)),"")</f>
        <v/>
      </c>
      <c r="P464" s="162">
        <f>IFERROR(""&amp;INDEX(tk_RATING,MATCH(458,tk_ASEQ,0)),"")</f>
        <v/>
      </c>
      <c r="Q464" s="162">
        <f>IFERROR(""&amp;INDEX(tk_LABEL,MATCH(458,tk_ASEQ,0)),"")</f>
        <v/>
      </c>
      <c r="R464" s="162">
        <f>IFERROR(""&amp;INDEX(tk_HWSET,MATCH(458,tk_ASEQ,0)),"")</f>
        <v/>
      </c>
      <c r="S464" s="162">
        <f>IFERROR(IF(""&amp;INDEX(tk_HINGES,MATCH(458,tk_ASEQ,0))="","",INDEX(tk_HINGES,MATCH(458,tk_ASEQ,0))&amp;" · "&amp;INDEX(tk_LSRC,MATCH(458,tk_ASEQ,0))),"")</f>
        <v/>
      </c>
      <c r="T464" s="162">
        <f>IFERROR(""&amp;INDEX(tk_LOCK,MATCH(458,tk_ASEQ,0)),"")</f>
        <v/>
      </c>
      <c r="U464" s="162">
        <f>IFERROR(INDEX(tk_ETYPE,MATCH(458,tk_ASEQ,0)),"")</f>
        <v/>
      </c>
      <c r="V464" s="162">
        <f>IFERROR(""&amp;INDEX(tk_CHECK,MATCH(458,tk_ASEQ,0)),"")</f>
        <v/>
      </c>
      <c r="W464" s="162">
        <f>IFERROR(TRIM(INDEX(tk_DNOTES,MATCH(458,tk_ASEQ,0))&amp;" "&amp;INDEX(tk_FNOTES,MATCH(458,tk_ASEQ,0))),"")</f>
        <v/>
      </c>
    </row>
    <row r="465">
      <c r="A465" s="161">
        <f>IFERROR(""&amp;INDEX(tk_MARK,MATCH(459,tk_ASEQ,0)),"")</f>
        <v/>
      </c>
      <c r="B465" s="162">
        <f>IFERROR(""&amp;INDEX(tk_ROOMF,MATCH(459,tk_ASEQ,0)),"")</f>
        <v/>
      </c>
      <c r="C465" s="162">
        <f>IFERROR(""&amp;INDEX(tk_ROOMT,MATCH(459,tk_ASEQ,0)),"")</f>
        <v/>
      </c>
      <c r="D465" s="162">
        <f>IFERROR(INDEX(tk_QTY,MATCH(459,tk_ASEQ,0)),"")</f>
        <v/>
      </c>
      <c r="E465" s="162">
        <f>IFERROR(""&amp;INDEX(tk_SIZE,MATCH(459,tk_ASEQ,0)),"")</f>
        <v/>
      </c>
      <c r="F465" s="162">
        <f>IFERROR(""&amp;INDEX(tk_PAIR,MATCH(459,tk_ASEQ,0)),"")</f>
        <v/>
      </c>
      <c r="G465" s="162">
        <f>IFERROR(""&amp;INDEX(tk_DMAT,MATCH(459,tk_ASEQ,0)),"")</f>
        <v/>
      </c>
      <c r="H465" s="162">
        <f>IFERROR(""&amp;INDEX(tk_DGA,MATCH(459,tk_ASEQ,0)),"")</f>
        <v/>
      </c>
      <c r="I465" s="162">
        <f>IFERROR(""&amp;INDEX(tk_FACE,MATCH(459,tk_ASEQ,0)),"")</f>
        <v/>
      </c>
      <c r="J465" s="162">
        <f>IFERROR(IF(INDEX(tk_DHAND,MATCH(459,tk_ASEQ,0))="",""&amp;INDEX(tk_HAND,MATCH(459,tk_ASEQ,0)),""&amp;INDEX(tk_DHAND,MATCH(459,tk_ASEQ,0))),"")</f>
        <v/>
      </c>
      <c r="K465" s="162">
        <f>IFERROR(""&amp;INDEX(tk_FDESC,MATCH(459,tk_ASEQ,0)),"")</f>
        <v/>
      </c>
      <c r="L465" s="162">
        <f>IFERROR(INDEX(tk_STEEL,MATCH(459,tk_ASEQ,0))&amp;IF(INDEX(tk_FGA,MATCH(459,tk_ASEQ,0))="",""," "&amp;INDEX(tk_FGA,MATCH(459,tk_ASEQ,0))&amp;"GA"),"")</f>
        <v/>
      </c>
      <c r="M465" s="162">
        <f>IFERROR(IFERROR(VLOOKUP(INDEX(tk_JAMB,MATCH(459,tk_ASEQ,0)),CODES,2,FALSE),""&amp;INDEX(tk_JAMB,MATCH(459,tk_ASEQ,0))),"")</f>
        <v/>
      </c>
      <c r="N465" s="162">
        <f>IFERROR(""&amp;INDEX(tk_CONSTR,MATCH(459,tk_ASEQ,0)),"")</f>
        <v/>
      </c>
      <c r="O465" s="162">
        <f>IFERROR(""&amp;INDEX(tk_ANCHOR,MATCH(459,tk_ASEQ,0)),"")</f>
        <v/>
      </c>
      <c r="P465" s="162">
        <f>IFERROR(""&amp;INDEX(tk_RATING,MATCH(459,tk_ASEQ,0)),"")</f>
        <v/>
      </c>
      <c r="Q465" s="162">
        <f>IFERROR(""&amp;INDEX(tk_LABEL,MATCH(459,tk_ASEQ,0)),"")</f>
        <v/>
      </c>
      <c r="R465" s="162">
        <f>IFERROR(""&amp;INDEX(tk_HWSET,MATCH(459,tk_ASEQ,0)),"")</f>
        <v/>
      </c>
      <c r="S465" s="162">
        <f>IFERROR(IF(""&amp;INDEX(tk_HINGES,MATCH(459,tk_ASEQ,0))="","",INDEX(tk_HINGES,MATCH(459,tk_ASEQ,0))&amp;" · "&amp;INDEX(tk_LSRC,MATCH(459,tk_ASEQ,0))),"")</f>
        <v/>
      </c>
      <c r="T465" s="162">
        <f>IFERROR(""&amp;INDEX(tk_LOCK,MATCH(459,tk_ASEQ,0)),"")</f>
        <v/>
      </c>
      <c r="U465" s="162">
        <f>IFERROR(INDEX(tk_ETYPE,MATCH(459,tk_ASEQ,0)),"")</f>
        <v/>
      </c>
      <c r="V465" s="162">
        <f>IFERROR(""&amp;INDEX(tk_CHECK,MATCH(459,tk_ASEQ,0)),"")</f>
        <v/>
      </c>
      <c r="W465" s="162">
        <f>IFERROR(TRIM(INDEX(tk_DNOTES,MATCH(459,tk_ASEQ,0))&amp;" "&amp;INDEX(tk_FNOTES,MATCH(459,tk_ASEQ,0))),"")</f>
        <v/>
      </c>
    </row>
    <row r="466">
      <c r="A466" s="161">
        <f>IFERROR(""&amp;INDEX(tk_MARK,MATCH(460,tk_ASEQ,0)),"")</f>
        <v/>
      </c>
      <c r="B466" s="162">
        <f>IFERROR(""&amp;INDEX(tk_ROOMF,MATCH(460,tk_ASEQ,0)),"")</f>
        <v/>
      </c>
      <c r="C466" s="162">
        <f>IFERROR(""&amp;INDEX(tk_ROOMT,MATCH(460,tk_ASEQ,0)),"")</f>
        <v/>
      </c>
      <c r="D466" s="162">
        <f>IFERROR(INDEX(tk_QTY,MATCH(460,tk_ASEQ,0)),"")</f>
        <v/>
      </c>
      <c r="E466" s="162">
        <f>IFERROR(""&amp;INDEX(tk_SIZE,MATCH(460,tk_ASEQ,0)),"")</f>
        <v/>
      </c>
      <c r="F466" s="162">
        <f>IFERROR(""&amp;INDEX(tk_PAIR,MATCH(460,tk_ASEQ,0)),"")</f>
        <v/>
      </c>
      <c r="G466" s="162">
        <f>IFERROR(""&amp;INDEX(tk_DMAT,MATCH(460,tk_ASEQ,0)),"")</f>
        <v/>
      </c>
      <c r="H466" s="162">
        <f>IFERROR(""&amp;INDEX(tk_DGA,MATCH(460,tk_ASEQ,0)),"")</f>
        <v/>
      </c>
      <c r="I466" s="162">
        <f>IFERROR(""&amp;INDEX(tk_FACE,MATCH(460,tk_ASEQ,0)),"")</f>
        <v/>
      </c>
      <c r="J466" s="162">
        <f>IFERROR(IF(INDEX(tk_DHAND,MATCH(460,tk_ASEQ,0))="",""&amp;INDEX(tk_HAND,MATCH(460,tk_ASEQ,0)),""&amp;INDEX(tk_DHAND,MATCH(460,tk_ASEQ,0))),"")</f>
        <v/>
      </c>
      <c r="K466" s="162">
        <f>IFERROR(""&amp;INDEX(tk_FDESC,MATCH(460,tk_ASEQ,0)),"")</f>
        <v/>
      </c>
      <c r="L466" s="162">
        <f>IFERROR(INDEX(tk_STEEL,MATCH(460,tk_ASEQ,0))&amp;IF(INDEX(tk_FGA,MATCH(460,tk_ASEQ,0))="",""," "&amp;INDEX(tk_FGA,MATCH(460,tk_ASEQ,0))&amp;"GA"),"")</f>
        <v/>
      </c>
      <c r="M466" s="162">
        <f>IFERROR(IFERROR(VLOOKUP(INDEX(tk_JAMB,MATCH(460,tk_ASEQ,0)),CODES,2,FALSE),""&amp;INDEX(tk_JAMB,MATCH(460,tk_ASEQ,0))),"")</f>
        <v/>
      </c>
      <c r="N466" s="162">
        <f>IFERROR(""&amp;INDEX(tk_CONSTR,MATCH(460,tk_ASEQ,0)),"")</f>
        <v/>
      </c>
      <c r="O466" s="162">
        <f>IFERROR(""&amp;INDEX(tk_ANCHOR,MATCH(460,tk_ASEQ,0)),"")</f>
        <v/>
      </c>
      <c r="P466" s="162">
        <f>IFERROR(""&amp;INDEX(tk_RATING,MATCH(460,tk_ASEQ,0)),"")</f>
        <v/>
      </c>
      <c r="Q466" s="162">
        <f>IFERROR(""&amp;INDEX(tk_LABEL,MATCH(460,tk_ASEQ,0)),"")</f>
        <v/>
      </c>
      <c r="R466" s="162">
        <f>IFERROR(""&amp;INDEX(tk_HWSET,MATCH(460,tk_ASEQ,0)),"")</f>
        <v/>
      </c>
      <c r="S466" s="162">
        <f>IFERROR(IF(""&amp;INDEX(tk_HINGES,MATCH(460,tk_ASEQ,0))="","",INDEX(tk_HINGES,MATCH(460,tk_ASEQ,0))&amp;" · "&amp;INDEX(tk_LSRC,MATCH(460,tk_ASEQ,0))),"")</f>
        <v/>
      </c>
      <c r="T466" s="162">
        <f>IFERROR(""&amp;INDEX(tk_LOCK,MATCH(460,tk_ASEQ,0)),"")</f>
        <v/>
      </c>
      <c r="U466" s="162">
        <f>IFERROR(INDEX(tk_ETYPE,MATCH(460,tk_ASEQ,0)),"")</f>
        <v/>
      </c>
      <c r="V466" s="162">
        <f>IFERROR(""&amp;INDEX(tk_CHECK,MATCH(460,tk_ASEQ,0)),"")</f>
        <v/>
      </c>
      <c r="W466" s="162">
        <f>IFERROR(TRIM(INDEX(tk_DNOTES,MATCH(460,tk_ASEQ,0))&amp;" "&amp;INDEX(tk_FNOTES,MATCH(460,tk_ASEQ,0))),"")</f>
        <v/>
      </c>
    </row>
    <row r="467">
      <c r="A467" s="161">
        <f>IFERROR(""&amp;INDEX(tk_MARK,MATCH(461,tk_ASEQ,0)),"")</f>
        <v/>
      </c>
      <c r="B467" s="162">
        <f>IFERROR(""&amp;INDEX(tk_ROOMF,MATCH(461,tk_ASEQ,0)),"")</f>
        <v/>
      </c>
      <c r="C467" s="162">
        <f>IFERROR(""&amp;INDEX(tk_ROOMT,MATCH(461,tk_ASEQ,0)),"")</f>
        <v/>
      </c>
      <c r="D467" s="162">
        <f>IFERROR(INDEX(tk_QTY,MATCH(461,tk_ASEQ,0)),"")</f>
        <v/>
      </c>
      <c r="E467" s="162">
        <f>IFERROR(""&amp;INDEX(tk_SIZE,MATCH(461,tk_ASEQ,0)),"")</f>
        <v/>
      </c>
      <c r="F467" s="162">
        <f>IFERROR(""&amp;INDEX(tk_PAIR,MATCH(461,tk_ASEQ,0)),"")</f>
        <v/>
      </c>
      <c r="G467" s="162">
        <f>IFERROR(""&amp;INDEX(tk_DMAT,MATCH(461,tk_ASEQ,0)),"")</f>
        <v/>
      </c>
      <c r="H467" s="162">
        <f>IFERROR(""&amp;INDEX(tk_DGA,MATCH(461,tk_ASEQ,0)),"")</f>
        <v/>
      </c>
      <c r="I467" s="162">
        <f>IFERROR(""&amp;INDEX(tk_FACE,MATCH(461,tk_ASEQ,0)),"")</f>
        <v/>
      </c>
      <c r="J467" s="162">
        <f>IFERROR(IF(INDEX(tk_DHAND,MATCH(461,tk_ASEQ,0))="",""&amp;INDEX(tk_HAND,MATCH(461,tk_ASEQ,0)),""&amp;INDEX(tk_DHAND,MATCH(461,tk_ASEQ,0))),"")</f>
        <v/>
      </c>
      <c r="K467" s="162">
        <f>IFERROR(""&amp;INDEX(tk_FDESC,MATCH(461,tk_ASEQ,0)),"")</f>
        <v/>
      </c>
      <c r="L467" s="162">
        <f>IFERROR(INDEX(tk_STEEL,MATCH(461,tk_ASEQ,0))&amp;IF(INDEX(tk_FGA,MATCH(461,tk_ASEQ,0))="",""," "&amp;INDEX(tk_FGA,MATCH(461,tk_ASEQ,0))&amp;"GA"),"")</f>
        <v/>
      </c>
      <c r="M467" s="162">
        <f>IFERROR(IFERROR(VLOOKUP(INDEX(tk_JAMB,MATCH(461,tk_ASEQ,0)),CODES,2,FALSE),""&amp;INDEX(tk_JAMB,MATCH(461,tk_ASEQ,0))),"")</f>
        <v/>
      </c>
      <c r="N467" s="162">
        <f>IFERROR(""&amp;INDEX(tk_CONSTR,MATCH(461,tk_ASEQ,0)),"")</f>
        <v/>
      </c>
      <c r="O467" s="162">
        <f>IFERROR(""&amp;INDEX(tk_ANCHOR,MATCH(461,tk_ASEQ,0)),"")</f>
        <v/>
      </c>
      <c r="P467" s="162">
        <f>IFERROR(""&amp;INDEX(tk_RATING,MATCH(461,tk_ASEQ,0)),"")</f>
        <v/>
      </c>
      <c r="Q467" s="162">
        <f>IFERROR(""&amp;INDEX(tk_LABEL,MATCH(461,tk_ASEQ,0)),"")</f>
        <v/>
      </c>
      <c r="R467" s="162">
        <f>IFERROR(""&amp;INDEX(tk_HWSET,MATCH(461,tk_ASEQ,0)),"")</f>
        <v/>
      </c>
      <c r="S467" s="162">
        <f>IFERROR(IF(""&amp;INDEX(tk_HINGES,MATCH(461,tk_ASEQ,0))="","",INDEX(tk_HINGES,MATCH(461,tk_ASEQ,0))&amp;" · "&amp;INDEX(tk_LSRC,MATCH(461,tk_ASEQ,0))),"")</f>
        <v/>
      </c>
      <c r="T467" s="162">
        <f>IFERROR(""&amp;INDEX(tk_LOCK,MATCH(461,tk_ASEQ,0)),"")</f>
        <v/>
      </c>
      <c r="U467" s="162">
        <f>IFERROR(INDEX(tk_ETYPE,MATCH(461,tk_ASEQ,0)),"")</f>
        <v/>
      </c>
      <c r="V467" s="162">
        <f>IFERROR(""&amp;INDEX(tk_CHECK,MATCH(461,tk_ASEQ,0)),"")</f>
        <v/>
      </c>
      <c r="W467" s="162">
        <f>IFERROR(TRIM(INDEX(tk_DNOTES,MATCH(461,tk_ASEQ,0))&amp;" "&amp;INDEX(tk_FNOTES,MATCH(461,tk_ASEQ,0))),"")</f>
        <v/>
      </c>
    </row>
    <row r="468">
      <c r="A468" s="161">
        <f>IFERROR(""&amp;INDEX(tk_MARK,MATCH(462,tk_ASEQ,0)),"")</f>
        <v/>
      </c>
      <c r="B468" s="162">
        <f>IFERROR(""&amp;INDEX(tk_ROOMF,MATCH(462,tk_ASEQ,0)),"")</f>
        <v/>
      </c>
      <c r="C468" s="162">
        <f>IFERROR(""&amp;INDEX(tk_ROOMT,MATCH(462,tk_ASEQ,0)),"")</f>
        <v/>
      </c>
      <c r="D468" s="162">
        <f>IFERROR(INDEX(tk_QTY,MATCH(462,tk_ASEQ,0)),"")</f>
        <v/>
      </c>
      <c r="E468" s="162">
        <f>IFERROR(""&amp;INDEX(tk_SIZE,MATCH(462,tk_ASEQ,0)),"")</f>
        <v/>
      </c>
      <c r="F468" s="162">
        <f>IFERROR(""&amp;INDEX(tk_PAIR,MATCH(462,tk_ASEQ,0)),"")</f>
        <v/>
      </c>
      <c r="G468" s="162">
        <f>IFERROR(""&amp;INDEX(tk_DMAT,MATCH(462,tk_ASEQ,0)),"")</f>
        <v/>
      </c>
      <c r="H468" s="162">
        <f>IFERROR(""&amp;INDEX(tk_DGA,MATCH(462,tk_ASEQ,0)),"")</f>
        <v/>
      </c>
      <c r="I468" s="162">
        <f>IFERROR(""&amp;INDEX(tk_FACE,MATCH(462,tk_ASEQ,0)),"")</f>
        <v/>
      </c>
      <c r="J468" s="162">
        <f>IFERROR(IF(INDEX(tk_DHAND,MATCH(462,tk_ASEQ,0))="",""&amp;INDEX(tk_HAND,MATCH(462,tk_ASEQ,0)),""&amp;INDEX(tk_DHAND,MATCH(462,tk_ASEQ,0))),"")</f>
        <v/>
      </c>
      <c r="K468" s="162">
        <f>IFERROR(""&amp;INDEX(tk_FDESC,MATCH(462,tk_ASEQ,0)),"")</f>
        <v/>
      </c>
      <c r="L468" s="162">
        <f>IFERROR(INDEX(tk_STEEL,MATCH(462,tk_ASEQ,0))&amp;IF(INDEX(tk_FGA,MATCH(462,tk_ASEQ,0))="",""," "&amp;INDEX(tk_FGA,MATCH(462,tk_ASEQ,0))&amp;"GA"),"")</f>
        <v/>
      </c>
      <c r="M468" s="162">
        <f>IFERROR(IFERROR(VLOOKUP(INDEX(tk_JAMB,MATCH(462,tk_ASEQ,0)),CODES,2,FALSE),""&amp;INDEX(tk_JAMB,MATCH(462,tk_ASEQ,0))),"")</f>
        <v/>
      </c>
      <c r="N468" s="162">
        <f>IFERROR(""&amp;INDEX(tk_CONSTR,MATCH(462,tk_ASEQ,0)),"")</f>
        <v/>
      </c>
      <c r="O468" s="162">
        <f>IFERROR(""&amp;INDEX(tk_ANCHOR,MATCH(462,tk_ASEQ,0)),"")</f>
        <v/>
      </c>
      <c r="P468" s="162">
        <f>IFERROR(""&amp;INDEX(tk_RATING,MATCH(462,tk_ASEQ,0)),"")</f>
        <v/>
      </c>
      <c r="Q468" s="162">
        <f>IFERROR(""&amp;INDEX(tk_LABEL,MATCH(462,tk_ASEQ,0)),"")</f>
        <v/>
      </c>
      <c r="R468" s="162">
        <f>IFERROR(""&amp;INDEX(tk_HWSET,MATCH(462,tk_ASEQ,0)),"")</f>
        <v/>
      </c>
      <c r="S468" s="162">
        <f>IFERROR(IF(""&amp;INDEX(tk_HINGES,MATCH(462,tk_ASEQ,0))="","",INDEX(tk_HINGES,MATCH(462,tk_ASEQ,0))&amp;" · "&amp;INDEX(tk_LSRC,MATCH(462,tk_ASEQ,0))),"")</f>
        <v/>
      </c>
      <c r="T468" s="162">
        <f>IFERROR(""&amp;INDEX(tk_LOCK,MATCH(462,tk_ASEQ,0)),"")</f>
        <v/>
      </c>
      <c r="U468" s="162">
        <f>IFERROR(INDEX(tk_ETYPE,MATCH(462,tk_ASEQ,0)),"")</f>
        <v/>
      </c>
      <c r="V468" s="162">
        <f>IFERROR(""&amp;INDEX(tk_CHECK,MATCH(462,tk_ASEQ,0)),"")</f>
        <v/>
      </c>
      <c r="W468" s="162">
        <f>IFERROR(TRIM(INDEX(tk_DNOTES,MATCH(462,tk_ASEQ,0))&amp;" "&amp;INDEX(tk_FNOTES,MATCH(462,tk_ASEQ,0))),"")</f>
        <v/>
      </c>
    </row>
    <row r="469">
      <c r="A469" s="161">
        <f>IFERROR(""&amp;INDEX(tk_MARK,MATCH(463,tk_ASEQ,0)),"")</f>
        <v/>
      </c>
      <c r="B469" s="162">
        <f>IFERROR(""&amp;INDEX(tk_ROOMF,MATCH(463,tk_ASEQ,0)),"")</f>
        <v/>
      </c>
      <c r="C469" s="162">
        <f>IFERROR(""&amp;INDEX(tk_ROOMT,MATCH(463,tk_ASEQ,0)),"")</f>
        <v/>
      </c>
      <c r="D469" s="162">
        <f>IFERROR(INDEX(tk_QTY,MATCH(463,tk_ASEQ,0)),"")</f>
        <v/>
      </c>
      <c r="E469" s="162">
        <f>IFERROR(""&amp;INDEX(tk_SIZE,MATCH(463,tk_ASEQ,0)),"")</f>
        <v/>
      </c>
      <c r="F469" s="162">
        <f>IFERROR(""&amp;INDEX(tk_PAIR,MATCH(463,tk_ASEQ,0)),"")</f>
        <v/>
      </c>
      <c r="G469" s="162">
        <f>IFERROR(""&amp;INDEX(tk_DMAT,MATCH(463,tk_ASEQ,0)),"")</f>
        <v/>
      </c>
      <c r="H469" s="162">
        <f>IFERROR(""&amp;INDEX(tk_DGA,MATCH(463,tk_ASEQ,0)),"")</f>
        <v/>
      </c>
      <c r="I469" s="162">
        <f>IFERROR(""&amp;INDEX(tk_FACE,MATCH(463,tk_ASEQ,0)),"")</f>
        <v/>
      </c>
      <c r="J469" s="162">
        <f>IFERROR(IF(INDEX(tk_DHAND,MATCH(463,tk_ASEQ,0))="",""&amp;INDEX(tk_HAND,MATCH(463,tk_ASEQ,0)),""&amp;INDEX(tk_DHAND,MATCH(463,tk_ASEQ,0))),"")</f>
        <v/>
      </c>
      <c r="K469" s="162">
        <f>IFERROR(""&amp;INDEX(tk_FDESC,MATCH(463,tk_ASEQ,0)),"")</f>
        <v/>
      </c>
      <c r="L469" s="162">
        <f>IFERROR(INDEX(tk_STEEL,MATCH(463,tk_ASEQ,0))&amp;IF(INDEX(tk_FGA,MATCH(463,tk_ASEQ,0))="",""," "&amp;INDEX(tk_FGA,MATCH(463,tk_ASEQ,0))&amp;"GA"),"")</f>
        <v/>
      </c>
      <c r="M469" s="162">
        <f>IFERROR(IFERROR(VLOOKUP(INDEX(tk_JAMB,MATCH(463,tk_ASEQ,0)),CODES,2,FALSE),""&amp;INDEX(tk_JAMB,MATCH(463,tk_ASEQ,0))),"")</f>
        <v/>
      </c>
      <c r="N469" s="162">
        <f>IFERROR(""&amp;INDEX(tk_CONSTR,MATCH(463,tk_ASEQ,0)),"")</f>
        <v/>
      </c>
      <c r="O469" s="162">
        <f>IFERROR(""&amp;INDEX(tk_ANCHOR,MATCH(463,tk_ASEQ,0)),"")</f>
        <v/>
      </c>
      <c r="P469" s="162">
        <f>IFERROR(""&amp;INDEX(tk_RATING,MATCH(463,tk_ASEQ,0)),"")</f>
        <v/>
      </c>
      <c r="Q469" s="162">
        <f>IFERROR(""&amp;INDEX(tk_LABEL,MATCH(463,tk_ASEQ,0)),"")</f>
        <v/>
      </c>
      <c r="R469" s="162">
        <f>IFERROR(""&amp;INDEX(tk_HWSET,MATCH(463,tk_ASEQ,0)),"")</f>
        <v/>
      </c>
      <c r="S469" s="162">
        <f>IFERROR(IF(""&amp;INDEX(tk_HINGES,MATCH(463,tk_ASEQ,0))="","",INDEX(tk_HINGES,MATCH(463,tk_ASEQ,0))&amp;" · "&amp;INDEX(tk_LSRC,MATCH(463,tk_ASEQ,0))),"")</f>
        <v/>
      </c>
      <c r="T469" s="162">
        <f>IFERROR(""&amp;INDEX(tk_LOCK,MATCH(463,tk_ASEQ,0)),"")</f>
        <v/>
      </c>
      <c r="U469" s="162">
        <f>IFERROR(INDEX(tk_ETYPE,MATCH(463,tk_ASEQ,0)),"")</f>
        <v/>
      </c>
      <c r="V469" s="162">
        <f>IFERROR(""&amp;INDEX(tk_CHECK,MATCH(463,tk_ASEQ,0)),"")</f>
        <v/>
      </c>
      <c r="W469" s="162">
        <f>IFERROR(TRIM(INDEX(tk_DNOTES,MATCH(463,tk_ASEQ,0))&amp;" "&amp;INDEX(tk_FNOTES,MATCH(463,tk_ASEQ,0))),"")</f>
        <v/>
      </c>
    </row>
    <row r="470">
      <c r="A470" s="161">
        <f>IFERROR(""&amp;INDEX(tk_MARK,MATCH(464,tk_ASEQ,0)),"")</f>
        <v/>
      </c>
      <c r="B470" s="162">
        <f>IFERROR(""&amp;INDEX(tk_ROOMF,MATCH(464,tk_ASEQ,0)),"")</f>
        <v/>
      </c>
      <c r="C470" s="162">
        <f>IFERROR(""&amp;INDEX(tk_ROOMT,MATCH(464,tk_ASEQ,0)),"")</f>
        <v/>
      </c>
      <c r="D470" s="162">
        <f>IFERROR(INDEX(tk_QTY,MATCH(464,tk_ASEQ,0)),"")</f>
        <v/>
      </c>
      <c r="E470" s="162">
        <f>IFERROR(""&amp;INDEX(tk_SIZE,MATCH(464,tk_ASEQ,0)),"")</f>
        <v/>
      </c>
      <c r="F470" s="162">
        <f>IFERROR(""&amp;INDEX(tk_PAIR,MATCH(464,tk_ASEQ,0)),"")</f>
        <v/>
      </c>
      <c r="G470" s="162">
        <f>IFERROR(""&amp;INDEX(tk_DMAT,MATCH(464,tk_ASEQ,0)),"")</f>
        <v/>
      </c>
      <c r="H470" s="162">
        <f>IFERROR(""&amp;INDEX(tk_DGA,MATCH(464,tk_ASEQ,0)),"")</f>
        <v/>
      </c>
      <c r="I470" s="162">
        <f>IFERROR(""&amp;INDEX(tk_FACE,MATCH(464,tk_ASEQ,0)),"")</f>
        <v/>
      </c>
      <c r="J470" s="162">
        <f>IFERROR(IF(INDEX(tk_DHAND,MATCH(464,tk_ASEQ,0))="",""&amp;INDEX(tk_HAND,MATCH(464,tk_ASEQ,0)),""&amp;INDEX(tk_DHAND,MATCH(464,tk_ASEQ,0))),"")</f>
        <v/>
      </c>
      <c r="K470" s="162">
        <f>IFERROR(""&amp;INDEX(tk_FDESC,MATCH(464,tk_ASEQ,0)),"")</f>
        <v/>
      </c>
      <c r="L470" s="162">
        <f>IFERROR(INDEX(tk_STEEL,MATCH(464,tk_ASEQ,0))&amp;IF(INDEX(tk_FGA,MATCH(464,tk_ASEQ,0))="",""," "&amp;INDEX(tk_FGA,MATCH(464,tk_ASEQ,0))&amp;"GA"),"")</f>
        <v/>
      </c>
      <c r="M470" s="162">
        <f>IFERROR(IFERROR(VLOOKUP(INDEX(tk_JAMB,MATCH(464,tk_ASEQ,0)),CODES,2,FALSE),""&amp;INDEX(tk_JAMB,MATCH(464,tk_ASEQ,0))),"")</f>
        <v/>
      </c>
      <c r="N470" s="162">
        <f>IFERROR(""&amp;INDEX(tk_CONSTR,MATCH(464,tk_ASEQ,0)),"")</f>
        <v/>
      </c>
      <c r="O470" s="162">
        <f>IFERROR(""&amp;INDEX(tk_ANCHOR,MATCH(464,tk_ASEQ,0)),"")</f>
        <v/>
      </c>
      <c r="P470" s="162">
        <f>IFERROR(""&amp;INDEX(tk_RATING,MATCH(464,tk_ASEQ,0)),"")</f>
        <v/>
      </c>
      <c r="Q470" s="162">
        <f>IFERROR(""&amp;INDEX(tk_LABEL,MATCH(464,tk_ASEQ,0)),"")</f>
        <v/>
      </c>
      <c r="R470" s="162">
        <f>IFERROR(""&amp;INDEX(tk_HWSET,MATCH(464,tk_ASEQ,0)),"")</f>
        <v/>
      </c>
      <c r="S470" s="162">
        <f>IFERROR(IF(""&amp;INDEX(tk_HINGES,MATCH(464,tk_ASEQ,0))="","",INDEX(tk_HINGES,MATCH(464,tk_ASEQ,0))&amp;" · "&amp;INDEX(tk_LSRC,MATCH(464,tk_ASEQ,0))),"")</f>
        <v/>
      </c>
      <c r="T470" s="162">
        <f>IFERROR(""&amp;INDEX(tk_LOCK,MATCH(464,tk_ASEQ,0)),"")</f>
        <v/>
      </c>
      <c r="U470" s="162">
        <f>IFERROR(INDEX(tk_ETYPE,MATCH(464,tk_ASEQ,0)),"")</f>
        <v/>
      </c>
      <c r="V470" s="162">
        <f>IFERROR(""&amp;INDEX(tk_CHECK,MATCH(464,tk_ASEQ,0)),"")</f>
        <v/>
      </c>
      <c r="W470" s="162">
        <f>IFERROR(TRIM(INDEX(tk_DNOTES,MATCH(464,tk_ASEQ,0))&amp;" "&amp;INDEX(tk_FNOTES,MATCH(464,tk_ASEQ,0))),"")</f>
        <v/>
      </c>
    </row>
    <row r="471">
      <c r="A471" s="161">
        <f>IFERROR(""&amp;INDEX(tk_MARK,MATCH(465,tk_ASEQ,0)),"")</f>
        <v/>
      </c>
      <c r="B471" s="162">
        <f>IFERROR(""&amp;INDEX(tk_ROOMF,MATCH(465,tk_ASEQ,0)),"")</f>
        <v/>
      </c>
      <c r="C471" s="162">
        <f>IFERROR(""&amp;INDEX(tk_ROOMT,MATCH(465,tk_ASEQ,0)),"")</f>
        <v/>
      </c>
      <c r="D471" s="162">
        <f>IFERROR(INDEX(tk_QTY,MATCH(465,tk_ASEQ,0)),"")</f>
        <v/>
      </c>
      <c r="E471" s="162">
        <f>IFERROR(""&amp;INDEX(tk_SIZE,MATCH(465,tk_ASEQ,0)),"")</f>
        <v/>
      </c>
      <c r="F471" s="162">
        <f>IFERROR(""&amp;INDEX(tk_PAIR,MATCH(465,tk_ASEQ,0)),"")</f>
        <v/>
      </c>
      <c r="G471" s="162">
        <f>IFERROR(""&amp;INDEX(tk_DMAT,MATCH(465,tk_ASEQ,0)),"")</f>
        <v/>
      </c>
      <c r="H471" s="162">
        <f>IFERROR(""&amp;INDEX(tk_DGA,MATCH(465,tk_ASEQ,0)),"")</f>
        <v/>
      </c>
      <c r="I471" s="162">
        <f>IFERROR(""&amp;INDEX(tk_FACE,MATCH(465,tk_ASEQ,0)),"")</f>
        <v/>
      </c>
      <c r="J471" s="162">
        <f>IFERROR(IF(INDEX(tk_DHAND,MATCH(465,tk_ASEQ,0))="",""&amp;INDEX(tk_HAND,MATCH(465,tk_ASEQ,0)),""&amp;INDEX(tk_DHAND,MATCH(465,tk_ASEQ,0))),"")</f>
        <v/>
      </c>
      <c r="K471" s="162">
        <f>IFERROR(""&amp;INDEX(tk_FDESC,MATCH(465,tk_ASEQ,0)),"")</f>
        <v/>
      </c>
      <c r="L471" s="162">
        <f>IFERROR(INDEX(tk_STEEL,MATCH(465,tk_ASEQ,0))&amp;IF(INDEX(tk_FGA,MATCH(465,tk_ASEQ,0))="",""," "&amp;INDEX(tk_FGA,MATCH(465,tk_ASEQ,0))&amp;"GA"),"")</f>
        <v/>
      </c>
      <c r="M471" s="162">
        <f>IFERROR(IFERROR(VLOOKUP(INDEX(tk_JAMB,MATCH(465,tk_ASEQ,0)),CODES,2,FALSE),""&amp;INDEX(tk_JAMB,MATCH(465,tk_ASEQ,0))),"")</f>
        <v/>
      </c>
      <c r="N471" s="162">
        <f>IFERROR(""&amp;INDEX(tk_CONSTR,MATCH(465,tk_ASEQ,0)),"")</f>
        <v/>
      </c>
      <c r="O471" s="162">
        <f>IFERROR(""&amp;INDEX(tk_ANCHOR,MATCH(465,tk_ASEQ,0)),"")</f>
        <v/>
      </c>
      <c r="P471" s="162">
        <f>IFERROR(""&amp;INDEX(tk_RATING,MATCH(465,tk_ASEQ,0)),"")</f>
        <v/>
      </c>
      <c r="Q471" s="162">
        <f>IFERROR(""&amp;INDEX(tk_LABEL,MATCH(465,tk_ASEQ,0)),"")</f>
        <v/>
      </c>
      <c r="R471" s="162">
        <f>IFERROR(""&amp;INDEX(tk_HWSET,MATCH(465,tk_ASEQ,0)),"")</f>
        <v/>
      </c>
      <c r="S471" s="162">
        <f>IFERROR(IF(""&amp;INDEX(tk_HINGES,MATCH(465,tk_ASEQ,0))="","",INDEX(tk_HINGES,MATCH(465,tk_ASEQ,0))&amp;" · "&amp;INDEX(tk_LSRC,MATCH(465,tk_ASEQ,0))),"")</f>
        <v/>
      </c>
      <c r="T471" s="162">
        <f>IFERROR(""&amp;INDEX(tk_LOCK,MATCH(465,tk_ASEQ,0)),"")</f>
        <v/>
      </c>
      <c r="U471" s="162">
        <f>IFERROR(INDEX(tk_ETYPE,MATCH(465,tk_ASEQ,0)),"")</f>
        <v/>
      </c>
      <c r="V471" s="162">
        <f>IFERROR(""&amp;INDEX(tk_CHECK,MATCH(465,tk_ASEQ,0)),"")</f>
        <v/>
      </c>
      <c r="W471" s="162">
        <f>IFERROR(TRIM(INDEX(tk_DNOTES,MATCH(465,tk_ASEQ,0))&amp;" "&amp;INDEX(tk_FNOTES,MATCH(465,tk_ASEQ,0))),"")</f>
        <v/>
      </c>
    </row>
    <row r="472">
      <c r="A472" s="161">
        <f>IFERROR(""&amp;INDEX(tk_MARK,MATCH(466,tk_ASEQ,0)),"")</f>
        <v/>
      </c>
      <c r="B472" s="162">
        <f>IFERROR(""&amp;INDEX(tk_ROOMF,MATCH(466,tk_ASEQ,0)),"")</f>
        <v/>
      </c>
      <c r="C472" s="162">
        <f>IFERROR(""&amp;INDEX(tk_ROOMT,MATCH(466,tk_ASEQ,0)),"")</f>
        <v/>
      </c>
      <c r="D472" s="162">
        <f>IFERROR(INDEX(tk_QTY,MATCH(466,tk_ASEQ,0)),"")</f>
        <v/>
      </c>
      <c r="E472" s="162">
        <f>IFERROR(""&amp;INDEX(tk_SIZE,MATCH(466,tk_ASEQ,0)),"")</f>
        <v/>
      </c>
      <c r="F472" s="162">
        <f>IFERROR(""&amp;INDEX(tk_PAIR,MATCH(466,tk_ASEQ,0)),"")</f>
        <v/>
      </c>
      <c r="G472" s="162">
        <f>IFERROR(""&amp;INDEX(tk_DMAT,MATCH(466,tk_ASEQ,0)),"")</f>
        <v/>
      </c>
      <c r="H472" s="162">
        <f>IFERROR(""&amp;INDEX(tk_DGA,MATCH(466,tk_ASEQ,0)),"")</f>
        <v/>
      </c>
      <c r="I472" s="162">
        <f>IFERROR(""&amp;INDEX(tk_FACE,MATCH(466,tk_ASEQ,0)),"")</f>
        <v/>
      </c>
      <c r="J472" s="162">
        <f>IFERROR(IF(INDEX(tk_DHAND,MATCH(466,tk_ASEQ,0))="",""&amp;INDEX(tk_HAND,MATCH(466,tk_ASEQ,0)),""&amp;INDEX(tk_DHAND,MATCH(466,tk_ASEQ,0))),"")</f>
        <v/>
      </c>
      <c r="K472" s="162">
        <f>IFERROR(""&amp;INDEX(tk_FDESC,MATCH(466,tk_ASEQ,0)),"")</f>
        <v/>
      </c>
      <c r="L472" s="162">
        <f>IFERROR(INDEX(tk_STEEL,MATCH(466,tk_ASEQ,0))&amp;IF(INDEX(tk_FGA,MATCH(466,tk_ASEQ,0))="",""," "&amp;INDEX(tk_FGA,MATCH(466,tk_ASEQ,0))&amp;"GA"),"")</f>
        <v/>
      </c>
      <c r="M472" s="162">
        <f>IFERROR(IFERROR(VLOOKUP(INDEX(tk_JAMB,MATCH(466,tk_ASEQ,0)),CODES,2,FALSE),""&amp;INDEX(tk_JAMB,MATCH(466,tk_ASEQ,0))),"")</f>
        <v/>
      </c>
      <c r="N472" s="162">
        <f>IFERROR(""&amp;INDEX(tk_CONSTR,MATCH(466,tk_ASEQ,0)),"")</f>
        <v/>
      </c>
      <c r="O472" s="162">
        <f>IFERROR(""&amp;INDEX(tk_ANCHOR,MATCH(466,tk_ASEQ,0)),"")</f>
        <v/>
      </c>
      <c r="P472" s="162">
        <f>IFERROR(""&amp;INDEX(tk_RATING,MATCH(466,tk_ASEQ,0)),"")</f>
        <v/>
      </c>
      <c r="Q472" s="162">
        <f>IFERROR(""&amp;INDEX(tk_LABEL,MATCH(466,tk_ASEQ,0)),"")</f>
        <v/>
      </c>
      <c r="R472" s="162">
        <f>IFERROR(""&amp;INDEX(tk_HWSET,MATCH(466,tk_ASEQ,0)),"")</f>
        <v/>
      </c>
      <c r="S472" s="162">
        <f>IFERROR(IF(""&amp;INDEX(tk_HINGES,MATCH(466,tk_ASEQ,0))="","",INDEX(tk_HINGES,MATCH(466,tk_ASEQ,0))&amp;" · "&amp;INDEX(tk_LSRC,MATCH(466,tk_ASEQ,0))),"")</f>
        <v/>
      </c>
      <c r="T472" s="162">
        <f>IFERROR(""&amp;INDEX(tk_LOCK,MATCH(466,tk_ASEQ,0)),"")</f>
        <v/>
      </c>
      <c r="U472" s="162">
        <f>IFERROR(INDEX(tk_ETYPE,MATCH(466,tk_ASEQ,0)),"")</f>
        <v/>
      </c>
      <c r="V472" s="162">
        <f>IFERROR(""&amp;INDEX(tk_CHECK,MATCH(466,tk_ASEQ,0)),"")</f>
        <v/>
      </c>
      <c r="W472" s="162">
        <f>IFERROR(TRIM(INDEX(tk_DNOTES,MATCH(466,tk_ASEQ,0))&amp;" "&amp;INDEX(tk_FNOTES,MATCH(466,tk_ASEQ,0))),"")</f>
        <v/>
      </c>
    </row>
    <row r="473">
      <c r="A473" s="161">
        <f>IFERROR(""&amp;INDEX(tk_MARK,MATCH(467,tk_ASEQ,0)),"")</f>
        <v/>
      </c>
      <c r="B473" s="162">
        <f>IFERROR(""&amp;INDEX(tk_ROOMF,MATCH(467,tk_ASEQ,0)),"")</f>
        <v/>
      </c>
      <c r="C473" s="162">
        <f>IFERROR(""&amp;INDEX(tk_ROOMT,MATCH(467,tk_ASEQ,0)),"")</f>
        <v/>
      </c>
      <c r="D473" s="162">
        <f>IFERROR(INDEX(tk_QTY,MATCH(467,tk_ASEQ,0)),"")</f>
        <v/>
      </c>
      <c r="E473" s="162">
        <f>IFERROR(""&amp;INDEX(tk_SIZE,MATCH(467,tk_ASEQ,0)),"")</f>
        <v/>
      </c>
      <c r="F473" s="162">
        <f>IFERROR(""&amp;INDEX(tk_PAIR,MATCH(467,tk_ASEQ,0)),"")</f>
        <v/>
      </c>
      <c r="G473" s="162">
        <f>IFERROR(""&amp;INDEX(tk_DMAT,MATCH(467,tk_ASEQ,0)),"")</f>
        <v/>
      </c>
      <c r="H473" s="162">
        <f>IFERROR(""&amp;INDEX(tk_DGA,MATCH(467,tk_ASEQ,0)),"")</f>
        <v/>
      </c>
      <c r="I473" s="162">
        <f>IFERROR(""&amp;INDEX(tk_FACE,MATCH(467,tk_ASEQ,0)),"")</f>
        <v/>
      </c>
      <c r="J473" s="162">
        <f>IFERROR(IF(INDEX(tk_DHAND,MATCH(467,tk_ASEQ,0))="",""&amp;INDEX(tk_HAND,MATCH(467,tk_ASEQ,0)),""&amp;INDEX(tk_DHAND,MATCH(467,tk_ASEQ,0))),"")</f>
        <v/>
      </c>
      <c r="K473" s="162">
        <f>IFERROR(""&amp;INDEX(tk_FDESC,MATCH(467,tk_ASEQ,0)),"")</f>
        <v/>
      </c>
      <c r="L473" s="162">
        <f>IFERROR(INDEX(tk_STEEL,MATCH(467,tk_ASEQ,0))&amp;IF(INDEX(tk_FGA,MATCH(467,tk_ASEQ,0))="",""," "&amp;INDEX(tk_FGA,MATCH(467,tk_ASEQ,0))&amp;"GA"),"")</f>
        <v/>
      </c>
      <c r="M473" s="162">
        <f>IFERROR(IFERROR(VLOOKUP(INDEX(tk_JAMB,MATCH(467,tk_ASEQ,0)),CODES,2,FALSE),""&amp;INDEX(tk_JAMB,MATCH(467,tk_ASEQ,0))),"")</f>
        <v/>
      </c>
      <c r="N473" s="162">
        <f>IFERROR(""&amp;INDEX(tk_CONSTR,MATCH(467,tk_ASEQ,0)),"")</f>
        <v/>
      </c>
      <c r="O473" s="162">
        <f>IFERROR(""&amp;INDEX(tk_ANCHOR,MATCH(467,tk_ASEQ,0)),"")</f>
        <v/>
      </c>
      <c r="P473" s="162">
        <f>IFERROR(""&amp;INDEX(tk_RATING,MATCH(467,tk_ASEQ,0)),"")</f>
        <v/>
      </c>
      <c r="Q473" s="162">
        <f>IFERROR(""&amp;INDEX(tk_LABEL,MATCH(467,tk_ASEQ,0)),"")</f>
        <v/>
      </c>
      <c r="R473" s="162">
        <f>IFERROR(""&amp;INDEX(tk_HWSET,MATCH(467,tk_ASEQ,0)),"")</f>
        <v/>
      </c>
      <c r="S473" s="162">
        <f>IFERROR(IF(""&amp;INDEX(tk_HINGES,MATCH(467,tk_ASEQ,0))="","",INDEX(tk_HINGES,MATCH(467,tk_ASEQ,0))&amp;" · "&amp;INDEX(tk_LSRC,MATCH(467,tk_ASEQ,0))),"")</f>
        <v/>
      </c>
      <c r="T473" s="162">
        <f>IFERROR(""&amp;INDEX(tk_LOCK,MATCH(467,tk_ASEQ,0)),"")</f>
        <v/>
      </c>
      <c r="U473" s="162">
        <f>IFERROR(INDEX(tk_ETYPE,MATCH(467,tk_ASEQ,0)),"")</f>
        <v/>
      </c>
      <c r="V473" s="162">
        <f>IFERROR(""&amp;INDEX(tk_CHECK,MATCH(467,tk_ASEQ,0)),"")</f>
        <v/>
      </c>
      <c r="W473" s="162">
        <f>IFERROR(TRIM(INDEX(tk_DNOTES,MATCH(467,tk_ASEQ,0))&amp;" "&amp;INDEX(tk_FNOTES,MATCH(467,tk_ASEQ,0))),"")</f>
        <v/>
      </c>
    </row>
    <row r="474">
      <c r="A474" s="161">
        <f>IFERROR(""&amp;INDEX(tk_MARK,MATCH(468,tk_ASEQ,0)),"")</f>
        <v/>
      </c>
      <c r="B474" s="162">
        <f>IFERROR(""&amp;INDEX(tk_ROOMF,MATCH(468,tk_ASEQ,0)),"")</f>
        <v/>
      </c>
      <c r="C474" s="162">
        <f>IFERROR(""&amp;INDEX(tk_ROOMT,MATCH(468,tk_ASEQ,0)),"")</f>
        <v/>
      </c>
      <c r="D474" s="162">
        <f>IFERROR(INDEX(tk_QTY,MATCH(468,tk_ASEQ,0)),"")</f>
        <v/>
      </c>
      <c r="E474" s="162">
        <f>IFERROR(""&amp;INDEX(tk_SIZE,MATCH(468,tk_ASEQ,0)),"")</f>
        <v/>
      </c>
      <c r="F474" s="162">
        <f>IFERROR(""&amp;INDEX(tk_PAIR,MATCH(468,tk_ASEQ,0)),"")</f>
        <v/>
      </c>
      <c r="G474" s="162">
        <f>IFERROR(""&amp;INDEX(tk_DMAT,MATCH(468,tk_ASEQ,0)),"")</f>
        <v/>
      </c>
      <c r="H474" s="162">
        <f>IFERROR(""&amp;INDEX(tk_DGA,MATCH(468,tk_ASEQ,0)),"")</f>
        <v/>
      </c>
      <c r="I474" s="162">
        <f>IFERROR(""&amp;INDEX(tk_FACE,MATCH(468,tk_ASEQ,0)),"")</f>
        <v/>
      </c>
      <c r="J474" s="162">
        <f>IFERROR(IF(INDEX(tk_DHAND,MATCH(468,tk_ASEQ,0))="",""&amp;INDEX(tk_HAND,MATCH(468,tk_ASEQ,0)),""&amp;INDEX(tk_DHAND,MATCH(468,tk_ASEQ,0))),"")</f>
        <v/>
      </c>
      <c r="K474" s="162">
        <f>IFERROR(""&amp;INDEX(tk_FDESC,MATCH(468,tk_ASEQ,0)),"")</f>
        <v/>
      </c>
      <c r="L474" s="162">
        <f>IFERROR(INDEX(tk_STEEL,MATCH(468,tk_ASEQ,0))&amp;IF(INDEX(tk_FGA,MATCH(468,tk_ASEQ,0))="",""," "&amp;INDEX(tk_FGA,MATCH(468,tk_ASEQ,0))&amp;"GA"),"")</f>
        <v/>
      </c>
      <c r="M474" s="162">
        <f>IFERROR(IFERROR(VLOOKUP(INDEX(tk_JAMB,MATCH(468,tk_ASEQ,0)),CODES,2,FALSE),""&amp;INDEX(tk_JAMB,MATCH(468,tk_ASEQ,0))),"")</f>
        <v/>
      </c>
      <c r="N474" s="162">
        <f>IFERROR(""&amp;INDEX(tk_CONSTR,MATCH(468,tk_ASEQ,0)),"")</f>
        <v/>
      </c>
      <c r="O474" s="162">
        <f>IFERROR(""&amp;INDEX(tk_ANCHOR,MATCH(468,tk_ASEQ,0)),"")</f>
        <v/>
      </c>
      <c r="P474" s="162">
        <f>IFERROR(""&amp;INDEX(tk_RATING,MATCH(468,tk_ASEQ,0)),"")</f>
        <v/>
      </c>
      <c r="Q474" s="162">
        <f>IFERROR(""&amp;INDEX(tk_LABEL,MATCH(468,tk_ASEQ,0)),"")</f>
        <v/>
      </c>
      <c r="R474" s="162">
        <f>IFERROR(""&amp;INDEX(tk_HWSET,MATCH(468,tk_ASEQ,0)),"")</f>
        <v/>
      </c>
      <c r="S474" s="162">
        <f>IFERROR(IF(""&amp;INDEX(tk_HINGES,MATCH(468,tk_ASEQ,0))="","",INDEX(tk_HINGES,MATCH(468,tk_ASEQ,0))&amp;" · "&amp;INDEX(tk_LSRC,MATCH(468,tk_ASEQ,0))),"")</f>
        <v/>
      </c>
      <c r="T474" s="162">
        <f>IFERROR(""&amp;INDEX(tk_LOCK,MATCH(468,tk_ASEQ,0)),"")</f>
        <v/>
      </c>
      <c r="U474" s="162">
        <f>IFERROR(INDEX(tk_ETYPE,MATCH(468,tk_ASEQ,0)),"")</f>
        <v/>
      </c>
      <c r="V474" s="162">
        <f>IFERROR(""&amp;INDEX(tk_CHECK,MATCH(468,tk_ASEQ,0)),"")</f>
        <v/>
      </c>
      <c r="W474" s="162">
        <f>IFERROR(TRIM(INDEX(tk_DNOTES,MATCH(468,tk_ASEQ,0))&amp;" "&amp;INDEX(tk_FNOTES,MATCH(468,tk_ASEQ,0))),"")</f>
        <v/>
      </c>
    </row>
    <row r="475">
      <c r="A475" s="161">
        <f>IFERROR(""&amp;INDEX(tk_MARK,MATCH(469,tk_ASEQ,0)),"")</f>
        <v/>
      </c>
      <c r="B475" s="162">
        <f>IFERROR(""&amp;INDEX(tk_ROOMF,MATCH(469,tk_ASEQ,0)),"")</f>
        <v/>
      </c>
      <c r="C475" s="162">
        <f>IFERROR(""&amp;INDEX(tk_ROOMT,MATCH(469,tk_ASEQ,0)),"")</f>
        <v/>
      </c>
      <c r="D475" s="162">
        <f>IFERROR(INDEX(tk_QTY,MATCH(469,tk_ASEQ,0)),"")</f>
        <v/>
      </c>
      <c r="E475" s="162">
        <f>IFERROR(""&amp;INDEX(tk_SIZE,MATCH(469,tk_ASEQ,0)),"")</f>
        <v/>
      </c>
      <c r="F475" s="162">
        <f>IFERROR(""&amp;INDEX(tk_PAIR,MATCH(469,tk_ASEQ,0)),"")</f>
        <v/>
      </c>
      <c r="G475" s="162">
        <f>IFERROR(""&amp;INDEX(tk_DMAT,MATCH(469,tk_ASEQ,0)),"")</f>
        <v/>
      </c>
      <c r="H475" s="162">
        <f>IFERROR(""&amp;INDEX(tk_DGA,MATCH(469,tk_ASEQ,0)),"")</f>
        <v/>
      </c>
      <c r="I475" s="162">
        <f>IFERROR(""&amp;INDEX(tk_FACE,MATCH(469,tk_ASEQ,0)),"")</f>
        <v/>
      </c>
      <c r="J475" s="162">
        <f>IFERROR(IF(INDEX(tk_DHAND,MATCH(469,tk_ASEQ,0))="",""&amp;INDEX(tk_HAND,MATCH(469,tk_ASEQ,0)),""&amp;INDEX(tk_DHAND,MATCH(469,tk_ASEQ,0))),"")</f>
        <v/>
      </c>
      <c r="K475" s="162">
        <f>IFERROR(""&amp;INDEX(tk_FDESC,MATCH(469,tk_ASEQ,0)),"")</f>
        <v/>
      </c>
      <c r="L475" s="162">
        <f>IFERROR(INDEX(tk_STEEL,MATCH(469,tk_ASEQ,0))&amp;IF(INDEX(tk_FGA,MATCH(469,tk_ASEQ,0))="",""," "&amp;INDEX(tk_FGA,MATCH(469,tk_ASEQ,0))&amp;"GA"),"")</f>
        <v/>
      </c>
      <c r="M475" s="162">
        <f>IFERROR(IFERROR(VLOOKUP(INDEX(tk_JAMB,MATCH(469,tk_ASEQ,0)),CODES,2,FALSE),""&amp;INDEX(tk_JAMB,MATCH(469,tk_ASEQ,0))),"")</f>
        <v/>
      </c>
      <c r="N475" s="162">
        <f>IFERROR(""&amp;INDEX(tk_CONSTR,MATCH(469,tk_ASEQ,0)),"")</f>
        <v/>
      </c>
      <c r="O475" s="162">
        <f>IFERROR(""&amp;INDEX(tk_ANCHOR,MATCH(469,tk_ASEQ,0)),"")</f>
        <v/>
      </c>
      <c r="P475" s="162">
        <f>IFERROR(""&amp;INDEX(tk_RATING,MATCH(469,tk_ASEQ,0)),"")</f>
        <v/>
      </c>
      <c r="Q475" s="162">
        <f>IFERROR(""&amp;INDEX(tk_LABEL,MATCH(469,tk_ASEQ,0)),"")</f>
        <v/>
      </c>
      <c r="R475" s="162">
        <f>IFERROR(""&amp;INDEX(tk_HWSET,MATCH(469,tk_ASEQ,0)),"")</f>
        <v/>
      </c>
      <c r="S475" s="162">
        <f>IFERROR(IF(""&amp;INDEX(tk_HINGES,MATCH(469,tk_ASEQ,0))="","",INDEX(tk_HINGES,MATCH(469,tk_ASEQ,0))&amp;" · "&amp;INDEX(tk_LSRC,MATCH(469,tk_ASEQ,0))),"")</f>
        <v/>
      </c>
      <c r="T475" s="162">
        <f>IFERROR(""&amp;INDEX(tk_LOCK,MATCH(469,tk_ASEQ,0)),"")</f>
        <v/>
      </c>
      <c r="U475" s="162">
        <f>IFERROR(INDEX(tk_ETYPE,MATCH(469,tk_ASEQ,0)),"")</f>
        <v/>
      </c>
      <c r="V475" s="162">
        <f>IFERROR(""&amp;INDEX(tk_CHECK,MATCH(469,tk_ASEQ,0)),"")</f>
        <v/>
      </c>
      <c r="W475" s="162">
        <f>IFERROR(TRIM(INDEX(tk_DNOTES,MATCH(469,tk_ASEQ,0))&amp;" "&amp;INDEX(tk_FNOTES,MATCH(469,tk_ASEQ,0))),"")</f>
        <v/>
      </c>
    </row>
    <row r="476">
      <c r="A476" s="161">
        <f>IFERROR(""&amp;INDEX(tk_MARK,MATCH(470,tk_ASEQ,0)),"")</f>
        <v/>
      </c>
      <c r="B476" s="162">
        <f>IFERROR(""&amp;INDEX(tk_ROOMF,MATCH(470,tk_ASEQ,0)),"")</f>
        <v/>
      </c>
      <c r="C476" s="162">
        <f>IFERROR(""&amp;INDEX(tk_ROOMT,MATCH(470,tk_ASEQ,0)),"")</f>
        <v/>
      </c>
      <c r="D476" s="162">
        <f>IFERROR(INDEX(tk_QTY,MATCH(470,tk_ASEQ,0)),"")</f>
        <v/>
      </c>
      <c r="E476" s="162">
        <f>IFERROR(""&amp;INDEX(tk_SIZE,MATCH(470,tk_ASEQ,0)),"")</f>
        <v/>
      </c>
      <c r="F476" s="162">
        <f>IFERROR(""&amp;INDEX(tk_PAIR,MATCH(470,tk_ASEQ,0)),"")</f>
        <v/>
      </c>
      <c r="G476" s="162">
        <f>IFERROR(""&amp;INDEX(tk_DMAT,MATCH(470,tk_ASEQ,0)),"")</f>
        <v/>
      </c>
      <c r="H476" s="162">
        <f>IFERROR(""&amp;INDEX(tk_DGA,MATCH(470,tk_ASEQ,0)),"")</f>
        <v/>
      </c>
      <c r="I476" s="162">
        <f>IFERROR(""&amp;INDEX(tk_FACE,MATCH(470,tk_ASEQ,0)),"")</f>
        <v/>
      </c>
      <c r="J476" s="162">
        <f>IFERROR(IF(INDEX(tk_DHAND,MATCH(470,tk_ASEQ,0))="",""&amp;INDEX(tk_HAND,MATCH(470,tk_ASEQ,0)),""&amp;INDEX(tk_DHAND,MATCH(470,tk_ASEQ,0))),"")</f>
        <v/>
      </c>
      <c r="K476" s="162">
        <f>IFERROR(""&amp;INDEX(tk_FDESC,MATCH(470,tk_ASEQ,0)),"")</f>
        <v/>
      </c>
      <c r="L476" s="162">
        <f>IFERROR(INDEX(tk_STEEL,MATCH(470,tk_ASEQ,0))&amp;IF(INDEX(tk_FGA,MATCH(470,tk_ASEQ,0))="",""," "&amp;INDEX(tk_FGA,MATCH(470,tk_ASEQ,0))&amp;"GA"),"")</f>
        <v/>
      </c>
      <c r="M476" s="162">
        <f>IFERROR(IFERROR(VLOOKUP(INDEX(tk_JAMB,MATCH(470,tk_ASEQ,0)),CODES,2,FALSE),""&amp;INDEX(tk_JAMB,MATCH(470,tk_ASEQ,0))),"")</f>
        <v/>
      </c>
      <c r="N476" s="162">
        <f>IFERROR(""&amp;INDEX(tk_CONSTR,MATCH(470,tk_ASEQ,0)),"")</f>
        <v/>
      </c>
      <c r="O476" s="162">
        <f>IFERROR(""&amp;INDEX(tk_ANCHOR,MATCH(470,tk_ASEQ,0)),"")</f>
        <v/>
      </c>
      <c r="P476" s="162">
        <f>IFERROR(""&amp;INDEX(tk_RATING,MATCH(470,tk_ASEQ,0)),"")</f>
        <v/>
      </c>
      <c r="Q476" s="162">
        <f>IFERROR(""&amp;INDEX(tk_LABEL,MATCH(470,tk_ASEQ,0)),"")</f>
        <v/>
      </c>
      <c r="R476" s="162">
        <f>IFERROR(""&amp;INDEX(tk_HWSET,MATCH(470,tk_ASEQ,0)),"")</f>
        <v/>
      </c>
      <c r="S476" s="162">
        <f>IFERROR(IF(""&amp;INDEX(tk_HINGES,MATCH(470,tk_ASEQ,0))="","",INDEX(tk_HINGES,MATCH(470,tk_ASEQ,0))&amp;" · "&amp;INDEX(tk_LSRC,MATCH(470,tk_ASEQ,0))),"")</f>
        <v/>
      </c>
      <c r="T476" s="162">
        <f>IFERROR(""&amp;INDEX(tk_LOCK,MATCH(470,tk_ASEQ,0)),"")</f>
        <v/>
      </c>
      <c r="U476" s="162">
        <f>IFERROR(INDEX(tk_ETYPE,MATCH(470,tk_ASEQ,0)),"")</f>
        <v/>
      </c>
      <c r="V476" s="162">
        <f>IFERROR(""&amp;INDEX(tk_CHECK,MATCH(470,tk_ASEQ,0)),"")</f>
        <v/>
      </c>
      <c r="W476" s="162">
        <f>IFERROR(TRIM(INDEX(tk_DNOTES,MATCH(470,tk_ASEQ,0))&amp;" "&amp;INDEX(tk_FNOTES,MATCH(470,tk_ASEQ,0))),"")</f>
        <v/>
      </c>
    </row>
    <row r="477">
      <c r="A477" s="161">
        <f>IFERROR(""&amp;INDEX(tk_MARK,MATCH(471,tk_ASEQ,0)),"")</f>
        <v/>
      </c>
      <c r="B477" s="162">
        <f>IFERROR(""&amp;INDEX(tk_ROOMF,MATCH(471,tk_ASEQ,0)),"")</f>
        <v/>
      </c>
      <c r="C477" s="162">
        <f>IFERROR(""&amp;INDEX(tk_ROOMT,MATCH(471,tk_ASEQ,0)),"")</f>
        <v/>
      </c>
      <c r="D477" s="162">
        <f>IFERROR(INDEX(tk_QTY,MATCH(471,tk_ASEQ,0)),"")</f>
        <v/>
      </c>
      <c r="E477" s="162">
        <f>IFERROR(""&amp;INDEX(tk_SIZE,MATCH(471,tk_ASEQ,0)),"")</f>
        <v/>
      </c>
      <c r="F477" s="162">
        <f>IFERROR(""&amp;INDEX(tk_PAIR,MATCH(471,tk_ASEQ,0)),"")</f>
        <v/>
      </c>
      <c r="G477" s="162">
        <f>IFERROR(""&amp;INDEX(tk_DMAT,MATCH(471,tk_ASEQ,0)),"")</f>
        <v/>
      </c>
      <c r="H477" s="162">
        <f>IFERROR(""&amp;INDEX(tk_DGA,MATCH(471,tk_ASEQ,0)),"")</f>
        <v/>
      </c>
      <c r="I477" s="162">
        <f>IFERROR(""&amp;INDEX(tk_FACE,MATCH(471,tk_ASEQ,0)),"")</f>
        <v/>
      </c>
      <c r="J477" s="162">
        <f>IFERROR(IF(INDEX(tk_DHAND,MATCH(471,tk_ASEQ,0))="",""&amp;INDEX(tk_HAND,MATCH(471,tk_ASEQ,0)),""&amp;INDEX(tk_DHAND,MATCH(471,tk_ASEQ,0))),"")</f>
        <v/>
      </c>
      <c r="K477" s="162">
        <f>IFERROR(""&amp;INDEX(tk_FDESC,MATCH(471,tk_ASEQ,0)),"")</f>
        <v/>
      </c>
      <c r="L477" s="162">
        <f>IFERROR(INDEX(tk_STEEL,MATCH(471,tk_ASEQ,0))&amp;IF(INDEX(tk_FGA,MATCH(471,tk_ASEQ,0))="",""," "&amp;INDEX(tk_FGA,MATCH(471,tk_ASEQ,0))&amp;"GA"),"")</f>
        <v/>
      </c>
      <c r="M477" s="162">
        <f>IFERROR(IFERROR(VLOOKUP(INDEX(tk_JAMB,MATCH(471,tk_ASEQ,0)),CODES,2,FALSE),""&amp;INDEX(tk_JAMB,MATCH(471,tk_ASEQ,0))),"")</f>
        <v/>
      </c>
      <c r="N477" s="162">
        <f>IFERROR(""&amp;INDEX(tk_CONSTR,MATCH(471,tk_ASEQ,0)),"")</f>
        <v/>
      </c>
      <c r="O477" s="162">
        <f>IFERROR(""&amp;INDEX(tk_ANCHOR,MATCH(471,tk_ASEQ,0)),"")</f>
        <v/>
      </c>
      <c r="P477" s="162">
        <f>IFERROR(""&amp;INDEX(tk_RATING,MATCH(471,tk_ASEQ,0)),"")</f>
        <v/>
      </c>
      <c r="Q477" s="162">
        <f>IFERROR(""&amp;INDEX(tk_LABEL,MATCH(471,tk_ASEQ,0)),"")</f>
        <v/>
      </c>
      <c r="R477" s="162">
        <f>IFERROR(""&amp;INDEX(tk_HWSET,MATCH(471,tk_ASEQ,0)),"")</f>
        <v/>
      </c>
      <c r="S477" s="162">
        <f>IFERROR(IF(""&amp;INDEX(tk_HINGES,MATCH(471,tk_ASEQ,0))="","",INDEX(tk_HINGES,MATCH(471,tk_ASEQ,0))&amp;" · "&amp;INDEX(tk_LSRC,MATCH(471,tk_ASEQ,0))),"")</f>
        <v/>
      </c>
      <c r="T477" s="162">
        <f>IFERROR(""&amp;INDEX(tk_LOCK,MATCH(471,tk_ASEQ,0)),"")</f>
        <v/>
      </c>
      <c r="U477" s="162">
        <f>IFERROR(INDEX(tk_ETYPE,MATCH(471,tk_ASEQ,0)),"")</f>
        <v/>
      </c>
      <c r="V477" s="162">
        <f>IFERROR(""&amp;INDEX(tk_CHECK,MATCH(471,tk_ASEQ,0)),"")</f>
        <v/>
      </c>
      <c r="W477" s="162">
        <f>IFERROR(TRIM(INDEX(tk_DNOTES,MATCH(471,tk_ASEQ,0))&amp;" "&amp;INDEX(tk_FNOTES,MATCH(471,tk_ASEQ,0))),"")</f>
        <v/>
      </c>
    </row>
    <row r="478">
      <c r="A478" s="161">
        <f>IFERROR(""&amp;INDEX(tk_MARK,MATCH(472,tk_ASEQ,0)),"")</f>
        <v/>
      </c>
      <c r="B478" s="162">
        <f>IFERROR(""&amp;INDEX(tk_ROOMF,MATCH(472,tk_ASEQ,0)),"")</f>
        <v/>
      </c>
      <c r="C478" s="162">
        <f>IFERROR(""&amp;INDEX(tk_ROOMT,MATCH(472,tk_ASEQ,0)),"")</f>
        <v/>
      </c>
      <c r="D478" s="162">
        <f>IFERROR(INDEX(tk_QTY,MATCH(472,tk_ASEQ,0)),"")</f>
        <v/>
      </c>
      <c r="E478" s="162">
        <f>IFERROR(""&amp;INDEX(tk_SIZE,MATCH(472,tk_ASEQ,0)),"")</f>
        <v/>
      </c>
      <c r="F478" s="162">
        <f>IFERROR(""&amp;INDEX(tk_PAIR,MATCH(472,tk_ASEQ,0)),"")</f>
        <v/>
      </c>
      <c r="G478" s="162">
        <f>IFERROR(""&amp;INDEX(tk_DMAT,MATCH(472,tk_ASEQ,0)),"")</f>
        <v/>
      </c>
      <c r="H478" s="162">
        <f>IFERROR(""&amp;INDEX(tk_DGA,MATCH(472,tk_ASEQ,0)),"")</f>
        <v/>
      </c>
      <c r="I478" s="162">
        <f>IFERROR(""&amp;INDEX(tk_FACE,MATCH(472,tk_ASEQ,0)),"")</f>
        <v/>
      </c>
      <c r="J478" s="162">
        <f>IFERROR(IF(INDEX(tk_DHAND,MATCH(472,tk_ASEQ,0))="",""&amp;INDEX(tk_HAND,MATCH(472,tk_ASEQ,0)),""&amp;INDEX(tk_DHAND,MATCH(472,tk_ASEQ,0))),"")</f>
        <v/>
      </c>
      <c r="K478" s="162">
        <f>IFERROR(""&amp;INDEX(tk_FDESC,MATCH(472,tk_ASEQ,0)),"")</f>
        <v/>
      </c>
      <c r="L478" s="162">
        <f>IFERROR(INDEX(tk_STEEL,MATCH(472,tk_ASEQ,0))&amp;IF(INDEX(tk_FGA,MATCH(472,tk_ASEQ,0))="",""," "&amp;INDEX(tk_FGA,MATCH(472,tk_ASEQ,0))&amp;"GA"),"")</f>
        <v/>
      </c>
      <c r="M478" s="162">
        <f>IFERROR(IFERROR(VLOOKUP(INDEX(tk_JAMB,MATCH(472,tk_ASEQ,0)),CODES,2,FALSE),""&amp;INDEX(tk_JAMB,MATCH(472,tk_ASEQ,0))),"")</f>
        <v/>
      </c>
      <c r="N478" s="162">
        <f>IFERROR(""&amp;INDEX(tk_CONSTR,MATCH(472,tk_ASEQ,0)),"")</f>
        <v/>
      </c>
      <c r="O478" s="162">
        <f>IFERROR(""&amp;INDEX(tk_ANCHOR,MATCH(472,tk_ASEQ,0)),"")</f>
        <v/>
      </c>
      <c r="P478" s="162">
        <f>IFERROR(""&amp;INDEX(tk_RATING,MATCH(472,tk_ASEQ,0)),"")</f>
        <v/>
      </c>
      <c r="Q478" s="162">
        <f>IFERROR(""&amp;INDEX(tk_LABEL,MATCH(472,tk_ASEQ,0)),"")</f>
        <v/>
      </c>
      <c r="R478" s="162">
        <f>IFERROR(""&amp;INDEX(tk_HWSET,MATCH(472,tk_ASEQ,0)),"")</f>
        <v/>
      </c>
      <c r="S478" s="162">
        <f>IFERROR(IF(""&amp;INDEX(tk_HINGES,MATCH(472,tk_ASEQ,0))="","",INDEX(tk_HINGES,MATCH(472,tk_ASEQ,0))&amp;" · "&amp;INDEX(tk_LSRC,MATCH(472,tk_ASEQ,0))),"")</f>
        <v/>
      </c>
      <c r="T478" s="162">
        <f>IFERROR(""&amp;INDEX(tk_LOCK,MATCH(472,tk_ASEQ,0)),"")</f>
        <v/>
      </c>
      <c r="U478" s="162">
        <f>IFERROR(INDEX(tk_ETYPE,MATCH(472,tk_ASEQ,0)),"")</f>
        <v/>
      </c>
      <c r="V478" s="162">
        <f>IFERROR(""&amp;INDEX(tk_CHECK,MATCH(472,tk_ASEQ,0)),"")</f>
        <v/>
      </c>
      <c r="W478" s="162">
        <f>IFERROR(TRIM(INDEX(tk_DNOTES,MATCH(472,tk_ASEQ,0))&amp;" "&amp;INDEX(tk_FNOTES,MATCH(472,tk_ASEQ,0))),"")</f>
        <v/>
      </c>
    </row>
    <row r="479">
      <c r="A479" s="161">
        <f>IFERROR(""&amp;INDEX(tk_MARK,MATCH(473,tk_ASEQ,0)),"")</f>
        <v/>
      </c>
      <c r="B479" s="162">
        <f>IFERROR(""&amp;INDEX(tk_ROOMF,MATCH(473,tk_ASEQ,0)),"")</f>
        <v/>
      </c>
      <c r="C479" s="162">
        <f>IFERROR(""&amp;INDEX(tk_ROOMT,MATCH(473,tk_ASEQ,0)),"")</f>
        <v/>
      </c>
      <c r="D479" s="162">
        <f>IFERROR(INDEX(tk_QTY,MATCH(473,tk_ASEQ,0)),"")</f>
        <v/>
      </c>
      <c r="E479" s="162">
        <f>IFERROR(""&amp;INDEX(tk_SIZE,MATCH(473,tk_ASEQ,0)),"")</f>
        <v/>
      </c>
      <c r="F479" s="162">
        <f>IFERROR(""&amp;INDEX(tk_PAIR,MATCH(473,tk_ASEQ,0)),"")</f>
        <v/>
      </c>
      <c r="G479" s="162">
        <f>IFERROR(""&amp;INDEX(tk_DMAT,MATCH(473,tk_ASEQ,0)),"")</f>
        <v/>
      </c>
      <c r="H479" s="162">
        <f>IFERROR(""&amp;INDEX(tk_DGA,MATCH(473,tk_ASEQ,0)),"")</f>
        <v/>
      </c>
      <c r="I479" s="162">
        <f>IFERROR(""&amp;INDEX(tk_FACE,MATCH(473,tk_ASEQ,0)),"")</f>
        <v/>
      </c>
      <c r="J479" s="162">
        <f>IFERROR(IF(INDEX(tk_DHAND,MATCH(473,tk_ASEQ,0))="",""&amp;INDEX(tk_HAND,MATCH(473,tk_ASEQ,0)),""&amp;INDEX(tk_DHAND,MATCH(473,tk_ASEQ,0))),"")</f>
        <v/>
      </c>
      <c r="K479" s="162">
        <f>IFERROR(""&amp;INDEX(tk_FDESC,MATCH(473,tk_ASEQ,0)),"")</f>
        <v/>
      </c>
      <c r="L479" s="162">
        <f>IFERROR(INDEX(tk_STEEL,MATCH(473,tk_ASEQ,0))&amp;IF(INDEX(tk_FGA,MATCH(473,tk_ASEQ,0))="",""," "&amp;INDEX(tk_FGA,MATCH(473,tk_ASEQ,0))&amp;"GA"),"")</f>
        <v/>
      </c>
      <c r="M479" s="162">
        <f>IFERROR(IFERROR(VLOOKUP(INDEX(tk_JAMB,MATCH(473,tk_ASEQ,0)),CODES,2,FALSE),""&amp;INDEX(tk_JAMB,MATCH(473,tk_ASEQ,0))),"")</f>
        <v/>
      </c>
      <c r="N479" s="162">
        <f>IFERROR(""&amp;INDEX(tk_CONSTR,MATCH(473,tk_ASEQ,0)),"")</f>
        <v/>
      </c>
      <c r="O479" s="162">
        <f>IFERROR(""&amp;INDEX(tk_ANCHOR,MATCH(473,tk_ASEQ,0)),"")</f>
        <v/>
      </c>
      <c r="P479" s="162">
        <f>IFERROR(""&amp;INDEX(tk_RATING,MATCH(473,tk_ASEQ,0)),"")</f>
        <v/>
      </c>
      <c r="Q479" s="162">
        <f>IFERROR(""&amp;INDEX(tk_LABEL,MATCH(473,tk_ASEQ,0)),"")</f>
        <v/>
      </c>
      <c r="R479" s="162">
        <f>IFERROR(""&amp;INDEX(tk_HWSET,MATCH(473,tk_ASEQ,0)),"")</f>
        <v/>
      </c>
      <c r="S479" s="162">
        <f>IFERROR(IF(""&amp;INDEX(tk_HINGES,MATCH(473,tk_ASEQ,0))="","",INDEX(tk_HINGES,MATCH(473,tk_ASEQ,0))&amp;" · "&amp;INDEX(tk_LSRC,MATCH(473,tk_ASEQ,0))),"")</f>
        <v/>
      </c>
      <c r="T479" s="162">
        <f>IFERROR(""&amp;INDEX(tk_LOCK,MATCH(473,tk_ASEQ,0)),"")</f>
        <v/>
      </c>
      <c r="U479" s="162">
        <f>IFERROR(INDEX(tk_ETYPE,MATCH(473,tk_ASEQ,0)),"")</f>
        <v/>
      </c>
      <c r="V479" s="162">
        <f>IFERROR(""&amp;INDEX(tk_CHECK,MATCH(473,tk_ASEQ,0)),"")</f>
        <v/>
      </c>
      <c r="W479" s="162">
        <f>IFERROR(TRIM(INDEX(tk_DNOTES,MATCH(473,tk_ASEQ,0))&amp;" "&amp;INDEX(tk_FNOTES,MATCH(473,tk_ASEQ,0))),"")</f>
        <v/>
      </c>
    </row>
    <row r="480">
      <c r="A480" s="161">
        <f>IFERROR(""&amp;INDEX(tk_MARK,MATCH(474,tk_ASEQ,0)),"")</f>
        <v/>
      </c>
      <c r="B480" s="162">
        <f>IFERROR(""&amp;INDEX(tk_ROOMF,MATCH(474,tk_ASEQ,0)),"")</f>
        <v/>
      </c>
      <c r="C480" s="162">
        <f>IFERROR(""&amp;INDEX(tk_ROOMT,MATCH(474,tk_ASEQ,0)),"")</f>
        <v/>
      </c>
      <c r="D480" s="162">
        <f>IFERROR(INDEX(tk_QTY,MATCH(474,tk_ASEQ,0)),"")</f>
        <v/>
      </c>
      <c r="E480" s="162">
        <f>IFERROR(""&amp;INDEX(tk_SIZE,MATCH(474,tk_ASEQ,0)),"")</f>
        <v/>
      </c>
      <c r="F480" s="162">
        <f>IFERROR(""&amp;INDEX(tk_PAIR,MATCH(474,tk_ASEQ,0)),"")</f>
        <v/>
      </c>
      <c r="G480" s="162">
        <f>IFERROR(""&amp;INDEX(tk_DMAT,MATCH(474,tk_ASEQ,0)),"")</f>
        <v/>
      </c>
      <c r="H480" s="162">
        <f>IFERROR(""&amp;INDEX(tk_DGA,MATCH(474,tk_ASEQ,0)),"")</f>
        <v/>
      </c>
      <c r="I480" s="162">
        <f>IFERROR(""&amp;INDEX(tk_FACE,MATCH(474,tk_ASEQ,0)),"")</f>
        <v/>
      </c>
      <c r="J480" s="162">
        <f>IFERROR(IF(INDEX(tk_DHAND,MATCH(474,tk_ASEQ,0))="",""&amp;INDEX(tk_HAND,MATCH(474,tk_ASEQ,0)),""&amp;INDEX(tk_DHAND,MATCH(474,tk_ASEQ,0))),"")</f>
        <v/>
      </c>
      <c r="K480" s="162">
        <f>IFERROR(""&amp;INDEX(tk_FDESC,MATCH(474,tk_ASEQ,0)),"")</f>
        <v/>
      </c>
      <c r="L480" s="162">
        <f>IFERROR(INDEX(tk_STEEL,MATCH(474,tk_ASEQ,0))&amp;IF(INDEX(tk_FGA,MATCH(474,tk_ASEQ,0))="",""," "&amp;INDEX(tk_FGA,MATCH(474,tk_ASEQ,0))&amp;"GA"),"")</f>
        <v/>
      </c>
      <c r="M480" s="162">
        <f>IFERROR(IFERROR(VLOOKUP(INDEX(tk_JAMB,MATCH(474,tk_ASEQ,0)),CODES,2,FALSE),""&amp;INDEX(tk_JAMB,MATCH(474,tk_ASEQ,0))),"")</f>
        <v/>
      </c>
      <c r="N480" s="162">
        <f>IFERROR(""&amp;INDEX(tk_CONSTR,MATCH(474,tk_ASEQ,0)),"")</f>
        <v/>
      </c>
      <c r="O480" s="162">
        <f>IFERROR(""&amp;INDEX(tk_ANCHOR,MATCH(474,tk_ASEQ,0)),"")</f>
        <v/>
      </c>
      <c r="P480" s="162">
        <f>IFERROR(""&amp;INDEX(tk_RATING,MATCH(474,tk_ASEQ,0)),"")</f>
        <v/>
      </c>
      <c r="Q480" s="162">
        <f>IFERROR(""&amp;INDEX(tk_LABEL,MATCH(474,tk_ASEQ,0)),"")</f>
        <v/>
      </c>
      <c r="R480" s="162">
        <f>IFERROR(""&amp;INDEX(tk_HWSET,MATCH(474,tk_ASEQ,0)),"")</f>
        <v/>
      </c>
      <c r="S480" s="162">
        <f>IFERROR(IF(""&amp;INDEX(tk_HINGES,MATCH(474,tk_ASEQ,0))="","",INDEX(tk_HINGES,MATCH(474,tk_ASEQ,0))&amp;" · "&amp;INDEX(tk_LSRC,MATCH(474,tk_ASEQ,0))),"")</f>
        <v/>
      </c>
      <c r="T480" s="162">
        <f>IFERROR(""&amp;INDEX(tk_LOCK,MATCH(474,tk_ASEQ,0)),"")</f>
        <v/>
      </c>
      <c r="U480" s="162">
        <f>IFERROR(INDEX(tk_ETYPE,MATCH(474,tk_ASEQ,0)),"")</f>
        <v/>
      </c>
      <c r="V480" s="162">
        <f>IFERROR(""&amp;INDEX(tk_CHECK,MATCH(474,tk_ASEQ,0)),"")</f>
        <v/>
      </c>
      <c r="W480" s="162">
        <f>IFERROR(TRIM(INDEX(tk_DNOTES,MATCH(474,tk_ASEQ,0))&amp;" "&amp;INDEX(tk_FNOTES,MATCH(474,tk_ASEQ,0))),"")</f>
        <v/>
      </c>
    </row>
    <row r="481">
      <c r="A481" s="161">
        <f>IFERROR(""&amp;INDEX(tk_MARK,MATCH(475,tk_ASEQ,0)),"")</f>
        <v/>
      </c>
      <c r="B481" s="162">
        <f>IFERROR(""&amp;INDEX(tk_ROOMF,MATCH(475,tk_ASEQ,0)),"")</f>
        <v/>
      </c>
      <c r="C481" s="162">
        <f>IFERROR(""&amp;INDEX(tk_ROOMT,MATCH(475,tk_ASEQ,0)),"")</f>
        <v/>
      </c>
      <c r="D481" s="162">
        <f>IFERROR(INDEX(tk_QTY,MATCH(475,tk_ASEQ,0)),"")</f>
        <v/>
      </c>
      <c r="E481" s="162">
        <f>IFERROR(""&amp;INDEX(tk_SIZE,MATCH(475,tk_ASEQ,0)),"")</f>
        <v/>
      </c>
      <c r="F481" s="162">
        <f>IFERROR(""&amp;INDEX(tk_PAIR,MATCH(475,tk_ASEQ,0)),"")</f>
        <v/>
      </c>
      <c r="G481" s="162">
        <f>IFERROR(""&amp;INDEX(tk_DMAT,MATCH(475,tk_ASEQ,0)),"")</f>
        <v/>
      </c>
      <c r="H481" s="162">
        <f>IFERROR(""&amp;INDEX(tk_DGA,MATCH(475,tk_ASEQ,0)),"")</f>
        <v/>
      </c>
      <c r="I481" s="162">
        <f>IFERROR(""&amp;INDEX(tk_FACE,MATCH(475,tk_ASEQ,0)),"")</f>
        <v/>
      </c>
      <c r="J481" s="162">
        <f>IFERROR(IF(INDEX(tk_DHAND,MATCH(475,tk_ASEQ,0))="",""&amp;INDEX(tk_HAND,MATCH(475,tk_ASEQ,0)),""&amp;INDEX(tk_DHAND,MATCH(475,tk_ASEQ,0))),"")</f>
        <v/>
      </c>
      <c r="K481" s="162">
        <f>IFERROR(""&amp;INDEX(tk_FDESC,MATCH(475,tk_ASEQ,0)),"")</f>
        <v/>
      </c>
      <c r="L481" s="162">
        <f>IFERROR(INDEX(tk_STEEL,MATCH(475,tk_ASEQ,0))&amp;IF(INDEX(tk_FGA,MATCH(475,tk_ASEQ,0))="",""," "&amp;INDEX(tk_FGA,MATCH(475,tk_ASEQ,0))&amp;"GA"),"")</f>
        <v/>
      </c>
      <c r="M481" s="162">
        <f>IFERROR(IFERROR(VLOOKUP(INDEX(tk_JAMB,MATCH(475,tk_ASEQ,0)),CODES,2,FALSE),""&amp;INDEX(tk_JAMB,MATCH(475,tk_ASEQ,0))),"")</f>
        <v/>
      </c>
      <c r="N481" s="162">
        <f>IFERROR(""&amp;INDEX(tk_CONSTR,MATCH(475,tk_ASEQ,0)),"")</f>
        <v/>
      </c>
      <c r="O481" s="162">
        <f>IFERROR(""&amp;INDEX(tk_ANCHOR,MATCH(475,tk_ASEQ,0)),"")</f>
        <v/>
      </c>
      <c r="P481" s="162">
        <f>IFERROR(""&amp;INDEX(tk_RATING,MATCH(475,tk_ASEQ,0)),"")</f>
        <v/>
      </c>
      <c r="Q481" s="162">
        <f>IFERROR(""&amp;INDEX(tk_LABEL,MATCH(475,tk_ASEQ,0)),"")</f>
        <v/>
      </c>
      <c r="R481" s="162">
        <f>IFERROR(""&amp;INDEX(tk_HWSET,MATCH(475,tk_ASEQ,0)),"")</f>
        <v/>
      </c>
      <c r="S481" s="162">
        <f>IFERROR(IF(""&amp;INDEX(tk_HINGES,MATCH(475,tk_ASEQ,0))="","",INDEX(tk_HINGES,MATCH(475,tk_ASEQ,0))&amp;" · "&amp;INDEX(tk_LSRC,MATCH(475,tk_ASEQ,0))),"")</f>
        <v/>
      </c>
      <c r="T481" s="162">
        <f>IFERROR(""&amp;INDEX(tk_LOCK,MATCH(475,tk_ASEQ,0)),"")</f>
        <v/>
      </c>
      <c r="U481" s="162">
        <f>IFERROR(INDEX(tk_ETYPE,MATCH(475,tk_ASEQ,0)),"")</f>
        <v/>
      </c>
      <c r="V481" s="162">
        <f>IFERROR(""&amp;INDEX(tk_CHECK,MATCH(475,tk_ASEQ,0)),"")</f>
        <v/>
      </c>
      <c r="W481" s="162">
        <f>IFERROR(TRIM(INDEX(tk_DNOTES,MATCH(475,tk_ASEQ,0))&amp;" "&amp;INDEX(tk_FNOTES,MATCH(475,tk_ASEQ,0))),"")</f>
        <v/>
      </c>
    </row>
    <row r="482">
      <c r="A482" s="161">
        <f>IFERROR(""&amp;INDEX(tk_MARK,MATCH(476,tk_ASEQ,0)),"")</f>
        <v/>
      </c>
      <c r="B482" s="162">
        <f>IFERROR(""&amp;INDEX(tk_ROOMF,MATCH(476,tk_ASEQ,0)),"")</f>
        <v/>
      </c>
      <c r="C482" s="162">
        <f>IFERROR(""&amp;INDEX(tk_ROOMT,MATCH(476,tk_ASEQ,0)),"")</f>
        <v/>
      </c>
      <c r="D482" s="162">
        <f>IFERROR(INDEX(tk_QTY,MATCH(476,tk_ASEQ,0)),"")</f>
        <v/>
      </c>
      <c r="E482" s="162">
        <f>IFERROR(""&amp;INDEX(tk_SIZE,MATCH(476,tk_ASEQ,0)),"")</f>
        <v/>
      </c>
      <c r="F482" s="162">
        <f>IFERROR(""&amp;INDEX(tk_PAIR,MATCH(476,tk_ASEQ,0)),"")</f>
        <v/>
      </c>
      <c r="G482" s="162">
        <f>IFERROR(""&amp;INDEX(tk_DMAT,MATCH(476,tk_ASEQ,0)),"")</f>
        <v/>
      </c>
      <c r="H482" s="162">
        <f>IFERROR(""&amp;INDEX(tk_DGA,MATCH(476,tk_ASEQ,0)),"")</f>
        <v/>
      </c>
      <c r="I482" s="162">
        <f>IFERROR(""&amp;INDEX(tk_FACE,MATCH(476,tk_ASEQ,0)),"")</f>
        <v/>
      </c>
      <c r="J482" s="162">
        <f>IFERROR(IF(INDEX(tk_DHAND,MATCH(476,tk_ASEQ,0))="",""&amp;INDEX(tk_HAND,MATCH(476,tk_ASEQ,0)),""&amp;INDEX(tk_DHAND,MATCH(476,tk_ASEQ,0))),"")</f>
        <v/>
      </c>
      <c r="K482" s="162">
        <f>IFERROR(""&amp;INDEX(tk_FDESC,MATCH(476,tk_ASEQ,0)),"")</f>
        <v/>
      </c>
      <c r="L482" s="162">
        <f>IFERROR(INDEX(tk_STEEL,MATCH(476,tk_ASEQ,0))&amp;IF(INDEX(tk_FGA,MATCH(476,tk_ASEQ,0))="",""," "&amp;INDEX(tk_FGA,MATCH(476,tk_ASEQ,0))&amp;"GA"),"")</f>
        <v/>
      </c>
      <c r="M482" s="162">
        <f>IFERROR(IFERROR(VLOOKUP(INDEX(tk_JAMB,MATCH(476,tk_ASEQ,0)),CODES,2,FALSE),""&amp;INDEX(tk_JAMB,MATCH(476,tk_ASEQ,0))),"")</f>
        <v/>
      </c>
      <c r="N482" s="162">
        <f>IFERROR(""&amp;INDEX(tk_CONSTR,MATCH(476,tk_ASEQ,0)),"")</f>
        <v/>
      </c>
      <c r="O482" s="162">
        <f>IFERROR(""&amp;INDEX(tk_ANCHOR,MATCH(476,tk_ASEQ,0)),"")</f>
        <v/>
      </c>
      <c r="P482" s="162">
        <f>IFERROR(""&amp;INDEX(tk_RATING,MATCH(476,tk_ASEQ,0)),"")</f>
        <v/>
      </c>
      <c r="Q482" s="162">
        <f>IFERROR(""&amp;INDEX(tk_LABEL,MATCH(476,tk_ASEQ,0)),"")</f>
        <v/>
      </c>
      <c r="R482" s="162">
        <f>IFERROR(""&amp;INDEX(tk_HWSET,MATCH(476,tk_ASEQ,0)),"")</f>
        <v/>
      </c>
      <c r="S482" s="162">
        <f>IFERROR(IF(""&amp;INDEX(tk_HINGES,MATCH(476,tk_ASEQ,0))="","",INDEX(tk_HINGES,MATCH(476,tk_ASEQ,0))&amp;" · "&amp;INDEX(tk_LSRC,MATCH(476,tk_ASEQ,0))),"")</f>
        <v/>
      </c>
      <c r="T482" s="162">
        <f>IFERROR(""&amp;INDEX(tk_LOCK,MATCH(476,tk_ASEQ,0)),"")</f>
        <v/>
      </c>
      <c r="U482" s="162">
        <f>IFERROR(INDEX(tk_ETYPE,MATCH(476,tk_ASEQ,0)),"")</f>
        <v/>
      </c>
      <c r="V482" s="162">
        <f>IFERROR(""&amp;INDEX(tk_CHECK,MATCH(476,tk_ASEQ,0)),"")</f>
        <v/>
      </c>
      <c r="W482" s="162">
        <f>IFERROR(TRIM(INDEX(tk_DNOTES,MATCH(476,tk_ASEQ,0))&amp;" "&amp;INDEX(tk_FNOTES,MATCH(476,tk_ASEQ,0))),"")</f>
        <v/>
      </c>
    </row>
    <row r="483">
      <c r="A483" s="161">
        <f>IFERROR(""&amp;INDEX(tk_MARK,MATCH(477,tk_ASEQ,0)),"")</f>
        <v/>
      </c>
      <c r="B483" s="162">
        <f>IFERROR(""&amp;INDEX(tk_ROOMF,MATCH(477,tk_ASEQ,0)),"")</f>
        <v/>
      </c>
      <c r="C483" s="162">
        <f>IFERROR(""&amp;INDEX(tk_ROOMT,MATCH(477,tk_ASEQ,0)),"")</f>
        <v/>
      </c>
      <c r="D483" s="162">
        <f>IFERROR(INDEX(tk_QTY,MATCH(477,tk_ASEQ,0)),"")</f>
        <v/>
      </c>
      <c r="E483" s="162">
        <f>IFERROR(""&amp;INDEX(tk_SIZE,MATCH(477,tk_ASEQ,0)),"")</f>
        <v/>
      </c>
      <c r="F483" s="162">
        <f>IFERROR(""&amp;INDEX(tk_PAIR,MATCH(477,tk_ASEQ,0)),"")</f>
        <v/>
      </c>
      <c r="G483" s="162">
        <f>IFERROR(""&amp;INDEX(tk_DMAT,MATCH(477,tk_ASEQ,0)),"")</f>
        <v/>
      </c>
      <c r="H483" s="162">
        <f>IFERROR(""&amp;INDEX(tk_DGA,MATCH(477,tk_ASEQ,0)),"")</f>
        <v/>
      </c>
      <c r="I483" s="162">
        <f>IFERROR(""&amp;INDEX(tk_FACE,MATCH(477,tk_ASEQ,0)),"")</f>
        <v/>
      </c>
      <c r="J483" s="162">
        <f>IFERROR(IF(INDEX(tk_DHAND,MATCH(477,tk_ASEQ,0))="",""&amp;INDEX(tk_HAND,MATCH(477,tk_ASEQ,0)),""&amp;INDEX(tk_DHAND,MATCH(477,tk_ASEQ,0))),"")</f>
        <v/>
      </c>
      <c r="K483" s="162">
        <f>IFERROR(""&amp;INDEX(tk_FDESC,MATCH(477,tk_ASEQ,0)),"")</f>
        <v/>
      </c>
      <c r="L483" s="162">
        <f>IFERROR(INDEX(tk_STEEL,MATCH(477,tk_ASEQ,0))&amp;IF(INDEX(tk_FGA,MATCH(477,tk_ASEQ,0))="",""," "&amp;INDEX(tk_FGA,MATCH(477,tk_ASEQ,0))&amp;"GA"),"")</f>
        <v/>
      </c>
      <c r="M483" s="162">
        <f>IFERROR(IFERROR(VLOOKUP(INDEX(tk_JAMB,MATCH(477,tk_ASEQ,0)),CODES,2,FALSE),""&amp;INDEX(tk_JAMB,MATCH(477,tk_ASEQ,0))),"")</f>
        <v/>
      </c>
      <c r="N483" s="162">
        <f>IFERROR(""&amp;INDEX(tk_CONSTR,MATCH(477,tk_ASEQ,0)),"")</f>
        <v/>
      </c>
      <c r="O483" s="162">
        <f>IFERROR(""&amp;INDEX(tk_ANCHOR,MATCH(477,tk_ASEQ,0)),"")</f>
        <v/>
      </c>
      <c r="P483" s="162">
        <f>IFERROR(""&amp;INDEX(tk_RATING,MATCH(477,tk_ASEQ,0)),"")</f>
        <v/>
      </c>
      <c r="Q483" s="162">
        <f>IFERROR(""&amp;INDEX(tk_LABEL,MATCH(477,tk_ASEQ,0)),"")</f>
        <v/>
      </c>
      <c r="R483" s="162">
        <f>IFERROR(""&amp;INDEX(tk_HWSET,MATCH(477,tk_ASEQ,0)),"")</f>
        <v/>
      </c>
      <c r="S483" s="162">
        <f>IFERROR(IF(""&amp;INDEX(tk_HINGES,MATCH(477,tk_ASEQ,0))="","",INDEX(tk_HINGES,MATCH(477,tk_ASEQ,0))&amp;" · "&amp;INDEX(tk_LSRC,MATCH(477,tk_ASEQ,0))),"")</f>
        <v/>
      </c>
      <c r="T483" s="162">
        <f>IFERROR(""&amp;INDEX(tk_LOCK,MATCH(477,tk_ASEQ,0)),"")</f>
        <v/>
      </c>
      <c r="U483" s="162">
        <f>IFERROR(INDEX(tk_ETYPE,MATCH(477,tk_ASEQ,0)),"")</f>
        <v/>
      </c>
      <c r="V483" s="162">
        <f>IFERROR(""&amp;INDEX(tk_CHECK,MATCH(477,tk_ASEQ,0)),"")</f>
        <v/>
      </c>
      <c r="W483" s="162">
        <f>IFERROR(TRIM(INDEX(tk_DNOTES,MATCH(477,tk_ASEQ,0))&amp;" "&amp;INDEX(tk_FNOTES,MATCH(477,tk_ASEQ,0))),"")</f>
        <v/>
      </c>
    </row>
    <row r="484">
      <c r="A484" s="161">
        <f>IFERROR(""&amp;INDEX(tk_MARK,MATCH(478,tk_ASEQ,0)),"")</f>
        <v/>
      </c>
      <c r="B484" s="162">
        <f>IFERROR(""&amp;INDEX(tk_ROOMF,MATCH(478,tk_ASEQ,0)),"")</f>
        <v/>
      </c>
      <c r="C484" s="162">
        <f>IFERROR(""&amp;INDEX(tk_ROOMT,MATCH(478,tk_ASEQ,0)),"")</f>
        <v/>
      </c>
      <c r="D484" s="162">
        <f>IFERROR(INDEX(tk_QTY,MATCH(478,tk_ASEQ,0)),"")</f>
        <v/>
      </c>
      <c r="E484" s="162">
        <f>IFERROR(""&amp;INDEX(tk_SIZE,MATCH(478,tk_ASEQ,0)),"")</f>
        <v/>
      </c>
      <c r="F484" s="162">
        <f>IFERROR(""&amp;INDEX(tk_PAIR,MATCH(478,tk_ASEQ,0)),"")</f>
        <v/>
      </c>
      <c r="G484" s="162">
        <f>IFERROR(""&amp;INDEX(tk_DMAT,MATCH(478,tk_ASEQ,0)),"")</f>
        <v/>
      </c>
      <c r="H484" s="162">
        <f>IFERROR(""&amp;INDEX(tk_DGA,MATCH(478,tk_ASEQ,0)),"")</f>
        <v/>
      </c>
      <c r="I484" s="162">
        <f>IFERROR(""&amp;INDEX(tk_FACE,MATCH(478,tk_ASEQ,0)),"")</f>
        <v/>
      </c>
      <c r="J484" s="162">
        <f>IFERROR(IF(INDEX(tk_DHAND,MATCH(478,tk_ASEQ,0))="",""&amp;INDEX(tk_HAND,MATCH(478,tk_ASEQ,0)),""&amp;INDEX(tk_DHAND,MATCH(478,tk_ASEQ,0))),"")</f>
        <v/>
      </c>
      <c r="K484" s="162">
        <f>IFERROR(""&amp;INDEX(tk_FDESC,MATCH(478,tk_ASEQ,0)),"")</f>
        <v/>
      </c>
      <c r="L484" s="162">
        <f>IFERROR(INDEX(tk_STEEL,MATCH(478,tk_ASEQ,0))&amp;IF(INDEX(tk_FGA,MATCH(478,tk_ASEQ,0))="",""," "&amp;INDEX(tk_FGA,MATCH(478,tk_ASEQ,0))&amp;"GA"),"")</f>
        <v/>
      </c>
      <c r="M484" s="162">
        <f>IFERROR(IFERROR(VLOOKUP(INDEX(tk_JAMB,MATCH(478,tk_ASEQ,0)),CODES,2,FALSE),""&amp;INDEX(tk_JAMB,MATCH(478,tk_ASEQ,0))),"")</f>
        <v/>
      </c>
      <c r="N484" s="162">
        <f>IFERROR(""&amp;INDEX(tk_CONSTR,MATCH(478,tk_ASEQ,0)),"")</f>
        <v/>
      </c>
      <c r="O484" s="162">
        <f>IFERROR(""&amp;INDEX(tk_ANCHOR,MATCH(478,tk_ASEQ,0)),"")</f>
        <v/>
      </c>
      <c r="P484" s="162">
        <f>IFERROR(""&amp;INDEX(tk_RATING,MATCH(478,tk_ASEQ,0)),"")</f>
        <v/>
      </c>
      <c r="Q484" s="162">
        <f>IFERROR(""&amp;INDEX(tk_LABEL,MATCH(478,tk_ASEQ,0)),"")</f>
        <v/>
      </c>
      <c r="R484" s="162">
        <f>IFERROR(""&amp;INDEX(tk_HWSET,MATCH(478,tk_ASEQ,0)),"")</f>
        <v/>
      </c>
      <c r="S484" s="162">
        <f>IFERROR(IF(""&amp;INDEX(tk_HINGES,MATCH(478,tk_ASEQ,0))="","",INDEX(tk_HINGES,MATCH(478,tk_ASEQ,0))&amp;" · "&amp;INDEX(tk_LSRC,MATCH(478,tk_ASEQ,0))),"")</f>
        <v/>
      </c>
      <c r="T484" s="162">
        <f>IFERROR(""&amp;INDEX(tk_LOCK,MATCH(478,tk_ASEQ,0)),"")</f>
        <v/>
      </c>
      <c r="U484" s="162">
        <f>IFERROR(INDEX(tk_ETYPE,MATCH(478,tk_ASEQ,0)),"")</f>
        <v/>
      </c>
      <c r="V484" s="162">
        <f>IFERROR(""&amp;INDEX(tk_CHECK,MATCH(478,tk_ASEQ,0)),"")</f>
        <v/>
      </c>
      <c r="W484" s="162">
        <f>IFERROR(TRIM(INDEX(tk_DNOTES,MATCH(478,tk_ASEQ,0))&amp;" "&amp;INDEX(tk_FNOTES,MATCH(478,tk_ASEQ,0))),"")</f>
        <v/>
      </c>
    </row>
    <row r="485">
      <c r="A485" s="161">
        <f>IFERROR(""&amp;INDEX(tk_MARK,MATCH(479,tk_ASEQ,0)),"")</f>
        <v/>
      </c>
      <c r="B485" s="162">
        <f>IFERROR(""&amp;INDEX(tk_ROOMF,MATCH(479,tk_ASEQ,0)),"")</f>
        <v/>
      </c>
      <c r="C485" s="162">
        <f>IFERROR(""&amp;INDEX(tk_ROOMT,MATCH(479,tk_ASEQ,0)),"")</f>
        <v/>
      </c>
      <c r="D485" s="162">
        <f>IFERROR(INDEX(tk_QTY,MATCH(479,tk_ASEQ,0)),"")</f>
        <v/>
      </c>
      <c r="E485" s="162">
        <f>IFERROR(""&amp;INDEX(tk_SIZE,MATCH(479,tk_ASEQ,0)),"")</f>
        <v/>
      </c>
      <c r="F485" s="162">
        <f>IFERROR(""&amp;INDEX(tk_PAIR,MATCH(479,tk_ASEQ,0)),"")</f>
        <v/>
      </c>
      <c r="G485" s="162">
        <f>IFERROR(""&amp;INDEX(tk_DMAT,MATCH(479,tk_ASEQ,0)),"")</f>
        <v/>
      </c>
      <c r="H485" s="162">
        <f>IFERROR(""&amp;INDEX(tk_DGA,MATCH(479,tk_ASEQ,0)),"")</f>
        <v/>
      </c>
      <c r="I485" s="162">
        <f>IFERROR(""&amp;INDEX(tk_FACE,MATCH(479,tk_ASEQ,0)),"")</f>
        <v/>
      </c>
      <c r="J485" s="162">
        <f>IFERROR(IF(INDEX(tk_DHAND,MATCH(479,tk_ASEQ,0))="",""&amp;INDEX(tk_HAND,MATCH(479,tk_ASEQ,0)),""&amp;INDEX(tk_DHAND,MATCH(479,tk_ASEQ,0))),"")</f>
        <v/>
      </c>
      <c r="K485" s="162">
        <f>IFERROR(""&amp;INDEX(tk_FDESC,MATCH(479,tk_ASEQ,0)),"")</f>
        <v/>
      </c>
      <c r="L485" s="162">
        <f>IFERROR(INDEX(tk_STEEL,MATCH(479,tk_ASEQ,0))&amp;IF(INDEX(tk_FGA,MATCH(479,tk_ASEQ,0))="",""," "&amp;INDEX(tk_FGA,MATCH(479,tk_ASEQ,0))&amp;"GA"),"")</f>
        <v/>
      </c>
      <c r="M485" s="162">
        <f>IFERROR(IFERROR(VLOOKUP(INDEX(tk_JAMB,MATCH(479,tk_ASEQ,0)),CODES,2,FALSE),""&amp;INDEX(tk_JAMB,MATCH(479,tk_ASEQ,0))),"")</f>
        <v/>
      </c>
      <c r="N485" s="162">
        <f>IFERROR(""&amp;INDEX(tk_CONSTR,MATCH(479,tk_ASEQ,0)),"")</f>
        <v/>
      </c>
      <c r="O485" s="162">
        <f>IFERROR(""&amp;INDEX(tk_ANCHOR,MATCH(479,tk_ASEQ,0)),"")</f>
        <v/>
      </c>
      <c r="P485" s="162">
        <f>IFERROR(""&amp;INDEX(tk_RATING,MATCH(479,tk_ASEQ,0)),"")</f>
        <v/>
      </c>
      <c r="Q485" s="162">
        <f>IFERROR(""&amp;INDEX(tk_LABEL,MATCH(479,tk_ASEQ,0)),"")</f>
        <v/>
      </c>
      <c r="R485" s="162">
        <f>IFERROR(""&amp;INDEX(tk_HWSET,MATCH(479,tk_ASEQ,0)),"")</f>
        <v/>
      </c>
      <c r="S485" s="162">
        <f>IFERROR(IF(""&amp;INDEX(tk_HINGES,MATCH(479,tk_ASEQ,0))="","",INDEX(tk_HINGES,MATCH(479,tk_ASEQ,0))&amp;" · "&amp;INDEX(tk_LSRC,MATCH(479,tk_ASEQ,0))),"")</f>
        <v/>
      </c>
      <c r="T485" s="162">
        <f>IFERROR(""&amp;INDEX(tk_LOCK,MATCH(479,tk_ASEQ,0)),"")</f>
        <v/>
      </c>
      <c r="U485" s="162">
        <f>IFERROR(INDEX(tk_ETYPE,MATCH(479,tk_ASEQ,0)),"")</f>
        <v/>
      </c>
      <c r="V485" s="162">
        <f>IFERROR(""&amp;INDEX(tk_CHECK,MATCH(479,tk_ASEQ,0)),"")</f>
        <v/>
      </c>
      <c r="W485" s="162">
        <f>IFERROR(TRIM(INDEX(tk_DNOTES,MATCH(479,tk_ASEQ,0))&amp;" "&amp;INDEX(tk_FNOTES,MATCH(479,tk_ASEQ,0))),"")</f>
        <v/>
      </c>
    </row>
    <row r="486">
      <c r="A486" s="161">
        <f>IFERROR(""&amp;INDEX(tk_MARK,MATCH(480,tk_ASEQ,0)),"")</f>
        <v/>
      </c>
      <c r="B486" s="162">
        <f>IFERROR(""&amp;INDEX(tk_ROOMF,MATCH(480,tk_ASEQ,0)),"")</f>
        <v/>
      </c>
      <c r="C486" s="162">
        <f>IFERROR(""&amp;INDEX(tk_ROOMT,MATCH(480,tk_ASEQ,0)),"")</f>
        <v/>
      </c>
      <c r="D486" s="162">
        <f>IFERROR(INDEX(tk_QTY,MATCH(480,tk_ASEQ,0)),"")</f>
        <v/>
      </c>
      <c r="E486" s="162">
        <f>IFERROR(""&amp;INDEX(tk_SIZE,MATCH(480,tk_ASEQ,0)),"")</f>
        <v/>
      </c>
      <c r="F486" s="162">
        <f>IFERROR(""&amp;INDEX(tk_PAIR,MATCH(480,tk_ASEQ,0)),"")</f>
        <v/>
      </c>
      <c r="G486" s="162">
        <f>IFERROR(""&amp;INDEX(tk_DMAT,MATCH(480,tk_ASEQ,0)),"")</f>
        <v/>
      </c>
      <c r="H486" s="162">
        <f>IFERROR(""&amp;INDEX(tk_DGA,MATCH(480,tk_ASEQ,0)),"")</f>
        <v/>
      </c>
      <c r="I486" s="162">
        <f>IFERROR(""&amp;INDEX(tk_FACE,MATCH(480,tk_ASEQ,0)),"")</f>
        <v/>
      </c>
      <c r="J486" s="162">
        <f>IFERROR(IF(INDEX(tk_DHAND,MATCH(480,tk_ASEQ,0))="",""&amp;INDEX(tk_HAND,MATCH(480,tk_ASEQ,0)),""&amp;INDEX(tk_DHAND,MATCH(480,tk_ASEQ,0))),"")</f>
        <v/>
      </c>
      <c r="K486" s="162">
        <f>IFERROR(""&amp;INDEX(tk_FDESC,MATCH(480,tk_ASEQ,0)),"")</f>
        <v/>
      </c>
      <c r="L486" s="162">
        <f>IFERROR(INDEX(tk_STEEL,MATCH(480,tk_ASEQ,0))&amp;IF(INDEX(tk_FGA,MATCH(480,tk_ASEQ,0))="",""," "&amp;INDEX(tk_FGA,MATCH(480,tk_ASEQ,0))&amp;"GA"),"")</f>
        <v/>
      </c>
      <c r="M486" s="162">
        <f>IFERROR(IFERROR(VLOOKUP(INDEX(tk_JAMB,MATCH(480,tk_ASEQ,0)),CODES,2,FALSE),""&amp;INDEX(tk_JAMB,MATCH(480,tk_ASEQ,0))),"")</f>
        <v/>
      </c>
      <c r="N486" s="162">
        <f>IFERROR(""&amp;INDEX(tk_CONSTR,MATCH(480,tk_ASEQ,0)),"")</f>
        <v/>
      </c>
      <c r="O486" s="162">
        <f>IFERROR(""&amp;INDEX(tk_ANCHOR,MATCH(480,tk_ASEQ,0)),"")</f>
        <v/>
      </c>
      <c r="P486" s="162">
        <f>IFERROR(""&amp;INDEX(tk_RATING,MATCH(480,tk_ASEQ,0)),"")</f>
        <v/>
      </c>
      <c r="Q486" s="162">
        <f>IFERROR(""&amp;INDEX(tk_LABEL,MATCH(480,tk_ASEQ,0)),"")</f>
        <v/>
      </c>
      <c r="R486" s="162">
        <f>IFERROR(""&amp;INDEX(tk_HWSET,MATCH(480,tk_ASEQ,0)),"")</f>
        <v/>
      </c>
      <c r="S486" s="162">
        <f>IFERROR(IF(""&amp;INDEX(tk_HINGES,MATCH(480,tk_ASEQ,0))="","",INDEX(tk_HINGES,MATCH(480,tk_ASEQ,0))&amp;" · "&amp;INDEX(tk_LSRC,MATCH(480,tk_ASEQ,0))),"")</f>
        <v/>
      </c>
      <c r="T486" s="162">
        <f>IFERROR(""&amp;INDEX(tk_LOCK,MATCH(480,tk_ASEQ,0)),"")</f>
        <v/>
      </c>
      <c r="U486" s="162">
        <f>IFERROR(INDEX(tk_ETYPE,MATCH(480,tk_ASEQ,0)),"")</f>
        <v/>
      </c>
      <c r="V486" s="162">
        <f>IFERROR(""&amp;INDEX(tk_CHECK,MATCH(480,tk_ASEQ,0)),"")</f>
        <v/>
      </c>
      <c r="W486" s="162">
        <f>IFERROR(TRIM(INDEX(tk_DNOTES,MATCH(480,tk_ASEQ,0))&amp;" "&amp;INDEX(tk_FNOTES,MATCH(480,tk_ASEQ,0))),"")</f>
        <v/>
      </c>
    </row>
    <row r="487">
      <c r="A487" s="161">
        <f>IFERROR(""&amp;INDEX(tk_MARK,MATCH(481,tk_ASEQ,0)),"")</f>
        <v/>
      </c>
      <c r="B487" s="162">
        <f>IFERROR(""&amp;INDEX(tk_ROOMF,MATCH(481,tk_ASEQ,0)),"")</f>
        <v/>
      </c>
      <c r="C487" s="162">
        <f>IFERROR(""&amp;INDEX(tk_ROOMT,MATCH(481,tk_ASEQ,0)),"")</f>
        <v/>
      </c>
      <c r="D487" s="162">
        <f>IFERROR(INDEX(tk_QTY,MATCH(481,tk_ASEQ,0)),"")</f>
        <v/>
      </c>
      <c r="E487" s="162">
        <f>IFERROR(""&amp;INDEX(tk_SIZE,MATCH(481,tk_ASEQ,0)),"")</f>
        <v/>
      </c>
      <c r="F487" s="162">
        <f>IFERROR(""&amp;INDEX(tk_PAIR,MATCH(481,tk_ASEQ,0)),"")</f>
        <v/>
      </c>
      <c r="G487" s="162">
        <f>IFERROR(""&amp;INDEX(tk_DMAT,MATCH(481,tk_ASEQ,0)),"")</f>
        <v/>
      </c>
      <c r="H487" s="162">
        <f>IFERROR(""&amp;INDEX(tk_DGA,MATCH(481,tk_ASEQ,0)),"")</f>
        <v/>
      </c>
      <c r="I487" s="162">
        <f>IFERROR(""&amp;INDEX(tk_FACE,MATCH(481,tk_ASEQ,0)),"")</f>
        <v/>
      </c>
      <c r="J487" s="162">
        <f>IFERROR(IF(INDEX(tk_DHAND,MATCH(481,tk_ASEQ,0))="",""&amp;INDEX(tk_HAND,MATCH(481,tk_ASEQ,0)),""&amp;INDEX(tk_DHAND,MATCH(481,tk_ASEQ,0))),"")</f>
        <v/>
      </c>
      <c r="K487" s="162">
        <f>IFERROR(""&amp;INDEX(tk_FDESC,MATCH(481,tk_ASEQ,0)),"")</f>
        <v/>
      </c>
      <c r="L487" s="162">
        <f>IFERROR(INDEX(tk_STEEL,MATCH(481,tk_ASEQ,0))&amp;IF(INDEX(tk_FGA,MATCH(481,tk_ASEQ,0))="",""," "&amp;INDEX(tk_FGA,MATCH(481,tk_ASEQ,0))&amp;"GA"),"")</f>
        <v/>
      </c>
      <c r="M487" s="162">
        <f>IFERROR(IFERROR(VLOOKUP(INDEX(tk_JAMB,MATCH(481,tk_ASEQ,0)),CODES,2,FALSE),""&amp;INDEX(tk_JAMB,MATCH(481,tk_ASEQ,0))),"")</f>
        <v/>
      </c>
      <c r="N487" s="162">
        <f>IFERROR(""&amp;INDEX(tk_CONSTR,MATCH(481,tk_ASEQ,0)),"")</f>
        <v/>
      </c>
      <c r="O487" s="162">
        <f>IFERROR(""&amp;INDEX(tk_ANCHOR,MATCH(481,tk_ASEQ,0)),"")</f>
        <v/>
      </c>
      <c r="P487" s="162">
        <f>IFERROR(""&amp;INDEX(tk_RATING,MATCH(481,tk_ASEQ,0)),"")</f>
        <v/>
      </c>
      <c r="Q487" s="162">
        <f>IFERROR(""&amp;INDEX(tk_LABEL,MATCH(481,tk_ASEQ,0)),"")</f>
        <v/>
      </c>
      <c r="R487" s="162">
        <f>IFERROR(""&amp;INDEX(tk_HWSET,MATCH(481,tk_ASEQ,0)),"")</f>
        <v/>
      </c>
      <c r="S487" s="162">
        <f>IFERROR(IF(""&amp;INDEX(tk_HINGES,MATCH(481,tk_ASEQ,0))="","",INDEX(tk_HINGES,MATCH(481,tk_ASEQ,0))&amp;" · "&amp;INDEX(tk_LSRC,MATCH(481,tk_ASEQ,0))),"")</f>
        <v/>
      </c>
      <c r="T487" s="162">
        <f>IFERROR(""&amp;INDEX(tk_LOCK,MATCH(481,tk_ASEQ,0)),"")</f>
        <v/>
      </c>
      <c r="U487" s="162">
        <f>IFERROR(INDEX(tk_ETYPE,MATCH(481,tk_ASEQ,0)),"")</f>
        <v/>
      </c>
      <c r="V487" s="162">
        <f>IFERROR(""&amp;INDEX(tk_CHECK,MATCH(481,tk_ASEQ,0)),"")</f>
        <v/>
      </c>
      <c r="W487" s="162">
        <f>IFERROR(TRIM(INDEX(tk_DNOTES,MATCH(481,tk_ASEQ,0))&amp;" "&amp;INDEX(tk_FNOTES,MATCH(481,tk_ASEQ,0))),"")</f>
        <v/>
      </c>
    </row>
    <row r="488">
      <c r="A488" s="161">
        <f>IFERROR(""&amp;INDEX(tk_MARK,MATCH(482,tk_ASEQ,0)),"")</f>
        <v/>
      </c>
      <c r="B488" s="162">
        <f>IFERROR(""&amp;INDEX(tk_ROOMF,MATCH(482,tk_ASEQ,0)),"")</f>
        <v/>
      </c>
      <c r="C488" s="162">
        <f>IFERROR(""&amp;INDEX(tk_ROOMT,MATCH(482,tk_ASEQ,0)),"")</f>
        <v/>
      </c>
      <c r="D488" s="162">
        <f>IFERROR(INDEX(tk_QTY,MATCH(482,tk_ASEQ,0)),"")</f>
        <v/>
      </c>
      <c r="E488" s="162">
        <f>IFERROR(""&amp;INDEX(tk_SIZE,MATCH(482,tk_ASEQ,0)),"")</f>
        <v/>
      </c>
      <c r="F488" s="162">
        <f>IFERROR(""&amp;INDEX(tk_PAIR,MATCH(482,tk_ASEQ,0)),"")</f>
        <v/>
      </c>
      <c r="G488" s="162">
        <f>IFERROR(""&amp;INDEX(tk_DMAT,MATCH(482,tk_ASEQ,0)),"")</f>
        <v/>
      </c>
      <c r="H488" s="162">
        <f>IFERROR(""&amp;INDEX(tk_DGA,MATCH(482,tk_ASEQ,0)),"")</f>
        <v/>
      </c>
      <c r="I488" s="162">
        <f>IFERROR(""&amp;INDEX(tk_FACE,MATCH(482,tk_ASEQ,0)),"")</f>
        <v/>
      </c>
      <c r="J488" s="162">
        <f>IFERROR(IF(INDEX(tk_DHAND,MATCH(482,tk_ASEQ,0))="",""&amp;INDEX(tk_HAND,MATCH(482,tk_ASEQ,0)),""&amp;INDEX(tk_DHAND,MATCH(482,tk_ASEQ,0))),"")</f>
        <v/>
      </c>
      <c r="K488" s="162">
        <f>IFERROR(""&amp;INDEX(tk_FDESC,MATCH(482,tk_ASEQ,0)),"")</f>
        <v/>
      </c>
      <c r="L488" s="162">
        <f>IFERROR(INDEX(tk_STEEL,MATCH(482,tk_ASEQ,0))&amp;IF(INDEX(tk_FGA,MATCH(482,tk_ASEQ,0))="",""," "&amp;INDEX(tk_FGA,MATCH(482,tk_ASEQ,0))&amp;"GA"),"")</f>
        <v/>
      </c>
      <c r="M488" s="162">
        <f>IFERROR(IFERROR(VLOOKUP(INDEX(tk_JAMB,MATCH(482,tk_ASEQ,0)),CODES,2,FALSE),""&amp;INDEX(tk_JAMB,MATCH(482,tk_ASEQ,0))),"")</f>
        <v/>
      </c>
      <c r="N488" s="162">
        <f>IFERROR(""&amp;INDEX(tk_CONSTR,MATCH(482,tk_ASEQ,0)),"")</f>
        <v/>
      </c>
      <c r="O488" s="162">
        <f>IFERROR(""&amp;INDEX(tk_ANCHOR,MATCH(482,tk_ASEQ,0)),"")</f>
        <v/>
      </c>
      <c r="P488" s="162">
        <f>IFERROR(""&amp;INDEX(tk_RATING,MATCH(482,tk_ASEQ,0)),"")</f>
        <v/>
      </c>
      <c r="Q488" s="162">
        <f>IFERROR(""&amp;INDEX(tk_LABEL,MATCH(482,tk_ASEQ,0)),"")</f>
        <v/>
      </c>
      <c r="R488" s="162">
        <f>IFERROR(""&amp;INDEX(tk_HWSET,MATCH(482,tk_ASEQ,0)),"")</f>
        <v/>
      </c>
      <c r="S488" s="162">
        <f>IFERROR(IF(""&amp;INDEX(tk_HINGES,MATCH(482,tk_ASEQ,0))="","",INDEX(tk_HINGES,MATCH(482,tk_ASEQ,0))&amp;" · "&amp;INDEX(tk_LSRC,MATCH(482,tk_ASEQ,0))),"")</f>
        <v/>
      </c>
      <c r="T488" s="162">
        <f>IFERROR(""&amp;INDEX(tk_LOCK,MATCH(482,tk_ASEQ,0)),"")</f>
        <v/>
      </c>
      <c r="U488" s="162">
        <f>IFERROR(INDEX(tk_ETYPE,MATCH(482,tk_ASEQ,0)),"")</f>
        <v/>
      </c>
      <c r="V488" s="162">
        <f>IFERROR(""&amp;INDEX(tk_CHECK,MATCH(482,tk_ASEQ,0)),"")</f>
        <v/>
      </c>
      <c r="W488" s="162">
        <f>IFERROR(TRIM(INDEX(tk_DNOTES,MATCH(482,tk_ASEQ,0))&amp;" "&amp;INDEX(tk_FNOTES,MATCH(482,tk_ASEQ,0))),"")</f>
        <v/>
      </c>
    </row>
    <row r="489">
      <c r="A489" s="161">
        <f>IFERROR(""&amp;INDEX(tk_MARK,MATCH(483,tk_ASEQ,0)),"")</f>
        <v/>
      </c>
      <c r="B489" s="162">
        <f>IFERROR(""&amp;INDEX(tk_ROOMF,MATCH(483,tk_ASEQ,0)),"")</f>
        <v/>
      </c>
      <c r="C489" s="162">
        <f>IFERROR(""&amp;INDEX(tk_ROOMT,MATCH(483,tk_ASEQ,0)),"")</f>
        <v/>
      </c>
      <c r="D489" s="162">
        <f>IFERROR(INDEX(tk_QTY,MATCH(483,tk_ASEQ,0)),"")</f>
        <v/>
      </c>
      <c r="E489" s="162">
        <f>IFERROR(""&amp;INDEX(tk_SIZE,MATCH(483,tk_ASEQ,0)),"")</f>
        <v/>
      </c>
      <c r="F489" s="162">
        <f>IFERROR(""&amp;INDEX(tk_PAIR,MATCH(483,tk_ASEQ,0)),"")</f>
        <v/>
      </c>
      <c r="G489" s="162">
        <f>IFERROR(""&amp;INDEX(tk_DMAT,MATCH(483,tk_ASEQ,0)),"")</f>
        <v/>
      </c>
      <c r="H489" s="162">
        <f>IFERROR(""&amp;INDEX(tk_DGA,MATCH(483,tk_ASEQ,0)),"")</f>
        <v/>
      </c>
      <c r="I489" s="162">
        <f>IFERROR(""&amp;INDEX(tk_FACE,MATCH(483,tk_ASEQ,0)),"")</f>
        <v/>
      </c>
      <c r="J489" s="162">
        <f>IFERROR(IF(INDEX(tk_DHAND,MATCH(483,tk_ASEQ,0))="",""&amp;INDEX(tk_HAND,MATCH(483,tk_ASEQ,0)),""&amp;INDEX(tk_DHAND,MATCH(483,tk_ASEQ,0))),"")</f>
        <v/>
      </c>
      <c r="K489" s="162">
        <f>IFERROR(""&amp;INDEX(tk_FDESC,MATCH(483,tk_ASEQ,0)),"")</f>
        <v/>
      </c>
      <c r="L489" s="162">
        <f>IFERROR(INDEX(tk_STEEL,MATCH(483,tk_ASEQ,0))&amp;IF(INDEX(tk_FGA,MATCH(483,tk_ASEQ,0))="",""," "&amp;INDEX(tk_FGA,MATCH(483,tk_ASEQ,0))&amp;"GA"),"")</f>
        <v/>
      </c>
      <c r="M489" s="162">
        <f>IFERROR(IFERROR(VLOOKUP(INDEX(tk_JAMB,MATCH(483,tk_ASEQ,0)),CODES,2,FALSE),""&amp;INDEX(tk_JAMB,MATCH(483,tk_ASEQ,0))),"")</f>
        <v/>
      </c>
      <c r="N489" s="162">
        <f>IFERROR(""&amp;INDEX(tk_CONSTR,MATCH(483,tk_ASEQ,0)),"")</f>
        <v/>
      </c>
      <c r="O489" s="162">
        <f>IFERROR(""&amp;INDEX(tk_ANCHOR,MATCH(483,tk_ASEQ,0)),"")</f>
        <v/>
      </c>
      <c r="P489" s="162">
        <f>IFERROR(""&amp;INDEX(tk_RATING,MATCH(483,tk_ASEQ,0)),"")</f>
        <v/>
      </c>
      <c r="Q489" s="162">
        <f>IFERROR(""&amp;INDEX(tk_LABEL,MATCH(483,tk_ASEQ,0)),"")</f>
        <v/>
      </c>
      <c r="R489" s="162">
        <f>IFERROR(""&amp;INDEX(tk_HWSET,MATCH(483,tk_ASEQ,0)),"")</f>
        <v/>
      </c>
      <c r="S489" s="162">
        <f>IFERROR(IF(""&amp;INDEX(tk_HINGES,MATCH(483,tk_ASEQ,0))="","",INDEX(tk_HINGES,MATCH(483,tk_ASEQ,0))&amp;" · "&amp;INDEX(tk_LSRC,MATCH(483,tk_ASEQ,0))),"")</f>
        <v/>
      </c>
      <c r="T489" s="162">
        <f>IFERROR(""&amp;INDEX(tk_LOCK,MATCH(483,tk_ASEQ,0)),"")</f>
        <v/>
      </c>
      <c r="U489" s="162">
        <f>IFERROR(INDEX(tk_ETYPE,MATCH(483,tk_ASEQ,0)),"")</f>
        <v/>
      </c>
      <c r="V489" s="162">
        <f>IFERROR(""&amp;INDEX(tk_CHECK,MATCH(483,tk_ASEQ,0)),"")</f>
        <v/>
      </c>
      <c r="W489" s="162">
        <f>IFERROR(TRIM(INDEX(tk_DNOTES,MATCH(483,tk_ASEQ,0))&amp;" "&amp;INDEX(tk_FNOTES,MATCH(483,tk_ASEQ,0))),"")</f>
        <v/>
      </c>
    </row>
    <row r="490">
      <c r="A490" s="161">
        <f>IFERROR(""&amp;INDEX(tk_MARK,MATCH(484,tk_ASEQ,0)),"")</f>
        <v/>
      </c>
      <c r="B490" s="162">
        <f>IFERROR(""&amp;INDEX(tk_ROOMF,MATCH(484,tk_ASEQ,0)),"")</f>
        <v/>
      </c>
      <c r="C490" s="162">
        <f>IFERROR(""&amp;INDEX(tk_ROOMT,MATCH(484,tk_ASEQ,0)),"")</f>
        <v/>
      </c>
      <c r="D490" s="162">
        <f>IFERROR(INDEX(tk_QTY,MATCH(484,tk_ASEQ,0)),"")</f>
        <v/>
      </c>
      <c r="E490" s="162">
        <f>IFERROR(""&amp;INDEX(tk_SIZE,MATCH(484,tk_ASEQ,0)),"")</f>
        <v/>
      </c>
      <c r="F490" s="162">
        <f>IFERROR(""&amp;INDEX(tk_PAIR,MATCH(484,tk_ASEQ,0)),"")</f>
        <v/>
      </c>
      <c r="G490" s="162">
        <f>IFERROR(""&amp;INDEX(tk_DMAT,MATCH(484,tk_ASEQ,0)),"")</f>
        <v/>
      </c>
      <c r="H490" s="162">
        <f>IFERROR(""&amp;INDEX(tk_DGA,MATCH(484,tk_ASEQ,0)),"")</f>
        <v/>
      </c>
      <c r="I490" s="162">
        <f>IFERROR(""&amp;INDEX(tk_FACE,MATCH(484,tk_ASEQ,0)),"")</f>
        <v/>
      </c>
      <c r="J490" s="162">
        <f>IFERROR(IF(INDEX(tk_DHAND,MATCH(484,tk_ASEQ,0))="",""&amp;INDEX(tk_HAND,MATCH(484,tk_ASEQ,0)),""&amp;INDEX(tk_DHAND,MATCH(484,tk_ASEQ,0))),"")</f>
        <v/>
      </c>
      <c r="K490" s="162">
        <f>IFERROR(""&amp;INDEX(tk_FDESC,MATCH(484,tk_ASEQ,0)),"")</f>
        <v/>
      </c>
      <c r="L490" s="162">
        <f>IFERROR(INDEX(tk_STEEL,MATCH(484,tk_ASEQ,0))&amp;IF(INDEX(tk_FGA,MATCH(484,tk_ASEQ,0))="",""," "&amp;INDEX(tk_FGA,MATCH(484,tk_ASEQ,0))&amp;"GA"),"")</f>
        <v/>
      </c>
      <c r="M490" s="162">
        <f>IFERROR(IFERROR(VLOOKUP(INDEX(tk_JAMB,MATCH(484,tk_ASEQ,0)),CODES,2,FALSE),""&amp;INDEX(tk_JAMB,MATCH(484,tk_ASEQ,0))),"")</f>
        <v/>
      </c>
      <c r="N490" s="162">
        <f>IFERROR(""&amp;INDEX(tk_CONSTR,MATCH(484,tk_ASEQ,0)),"")</f>
        <v/>
      </c>
      <c r="O490" s="162">
        <f>IFERROR(""&amp;INDEX(tk_ANCHOR,MATCH(484,tk_ASEQ,0)),"")</f>
        <v/>
      </c>
      <c r="P490" s="162">
        <f>IFERROR(""&amp;INDEX(tk_RATING,MATCH(484,tk_ASEQ,0)),"")</f>
        <v/>
      </c>
      <c r="Q490" s="162">
        <f>IFERROR(""&amp;INDEX(tk_LABEL,MATCH(484,tk_ASEQ,0)),"")</f>
        <v/>
      </c>
      <c r="R490" s="162">
        <f>IFERROR(""&amp;INDEX(tk_HWSET,MATCH(484,tk_ASEQ,0)),"")</f>
        <v/>
      </c>
      <c r="S490" s="162">
        <f>IFERROR(IF(""&amp;INDEX(tk_HINGES,MATCH(484,tk_ASEQ,0))="","",INDEX(tk_HINGES,MATCH(484,tk_ASEQ,0))&amp;" · "&amp;INDEX(tk_LSRC,MATCH(484,tk_ASEQ,0))),"")</f>
        <v/>
      </c>
      <c r="T490" s="162">
        <f>IFERROR(""&amp;INDEX(tk_LOCK,MATCH(484,tk_ASEQ,0)),"")</f>
        <v/>
      </c>
      <c r="U490" s="162">
        <f>IFERROR(INDEX(tk_ETYPE,MATCH(484,tk_ASEQ,0)),"")</f>
        <v/>
      </c>
      <c r="V490" s="162">
        <f>IFERROR(""&amp;INDEX(tk_CHECK,MATCH(484,tk_ASEQ,0)),"")</f>
        <v/>
      </c>
      <c r="W490" s="162">
        <f>IFERROR(TRIM(INDEX(tk_DNOTES,MATCH(484,tk_ASEQ,0))&amp;" "&amp;INDEX(tk_FNOTES,MATCH(484,tk_ASEQ,0))),"")</f>
        <v/>
      </c>
    </row>
    <row r="491">
      <c r="A491" s="161">
        <f>IFERROR(""&amp;INDEX(tk_MARK,MATCH(485,tk_ASEQ,0)),"")</f>
        <v/>
      </c>
      <c r="B491" s="162">
        <f>IFERROR(""&amp;INDEX(tk_ROOMF,MATCH(485,tk_ASEQ,0)),"")</f>
        <v/>
      </c>
      <c r="C491" s="162">
        <f>IFERROR(""&amp;INDEX(tk_ROOMT,MATCH(485,tk_ASEQ,0)),"")</f>
        <v/>
      </c>
      <c r="D491" s="162">
        <f>IFERROR(INDEX(tk_QTY,MATCH(485,tk_ASEQ,0)),"")</f>
        <v/>
      </c>
      <c r="E491" s="162">
        <f>IFERROR(""&amp;INDEX(tk_SIZE,MATCH(485,tk_ASEQ,0)),"")</f>
        <v/>
      </c>
      <c r="F491" s="162">
        <f>IFERROR(""&amp;INDEX(tk_PAIR,MATCH(485,tk_ASEQ,0)),"")</f>
        <v/>
      </c>
      <c r="G491" s="162">
        <f>IFERROR(""&amp;INDEX(tk_DMAT,MATCH(485,tk_ASEQ,0)),"")</f>
        <v/>
      </c>
      <c r="H491" s="162">
        <f>IFERROR(""&amp;INDEX(tk_DGA,MATCH(485,tk_ASEQ,0)),"")</f>
        <v/>
      </c>
      <c r="I491" s="162">
        <f>IFERROR(""&amp;INDEX(tk_FACE,MATCH(485,tk_ASEQ,0)),"")</f>
        <v/>
      </c>
      <c r="J491" s="162">
        <f>IFERROR(IF(INDEX(tk_DHAND,MATCH(485,tk_ASEQ,0))="",""&amp;INDEX(tk_HAND,MATCH(485,tk_ASEQ,0)),""&amp;INDEX(tk_DHAND,MATCH(485,tk_ASEQ,0))),"")</f>
        <v/>
      </c>
      <c r="K491" s="162">
        <f>IFERROR(""&amp;INDEX(tk_FDESC,MATCH(485,tk_ASEQ,0)),"")</f>
        <v/>
      </c>
      <c r="L491" s="162">
        <f>IFERROR(INDEX(tk_STEEL,MATCH(485,tk_ASEQ,0))&amp;IF(INDEX(tk_FGA,MATCH(485,tk_ASEQ,0))="",""," "&amp;INDEX(tk_FGA,MATCH(485,tk_ASEQ,0))&amp;"GA"),"")</f>
        <v/>
      </c>
      <c r="M491" s="162">
        <f>IFERROR(IFERROR(VLOOKUP(INDEX(tk_JAMB,MATCH(485,tk_ASEQ,0)),CODES,2,FALSE),""&amp;INDEX(tk_JAMB,MATCH(485,tk_ASEQ,0))),"")</f>
        <v/>
      </c>
      <c r="N491" s="162">
        <f>IFERROR(""&amp;INDEX(tk_CONSTR,MATCH(485,tk_ASEQ,0)),"")</f>
        <v/>
      </c>
      <c r="O491" s="162">
        <f>IFERROR(""&amp;INDEX(tk_ANCHOR,MATCH(485,tk_ASEQ,0)),"")</f>
        <v/>
      </c>
      <c r="P491" s="162">
        <f>IFERROR(""&amp;INDEX(tk_RATING,MATCH(485,tk_ASEQ,0)),"")</f>
        <v/>
      </c>
      <c r="Q491" s="162">
        <f>IFERROR(""&amp;INDEX(tk_LABEL,MATCH(485,tk_ASEQ,0)),"")</f>
        <v/>
      </c>
      <c r="R491" s="162">
        <f>IFERROR(""&amp;INDEX(tk_HWSET,MATCH(485,tk_ASEQ,0)),"")</f>
        <v/>
      </c>
      <c r="S491" s="162">
        <f>IFERROR(IF(""&amp;INDEX(tk_HINGES,MATCH(485,tk_ASEQ,0))="","",INDEX(tk_HINGES,MATCH(485,tk_ASEQ,0))&amp;" · "&amp;INDEX(tk_LSRC,MATCH(485,tk_ASEQ,0))),"")</f>
        <v/>
      </c>
      <c r="T491" s="162">
        <f>IFERROR(""&amp;INDEX(tk_LOCK,MATCH(485,tk_ASEQ,0)),"")</f>
        <v/>
      </c>
      <c r="U491" s="162">
        <f>IFERROR(INDEX(tk_ETYPE,MATCH(485,tk_ASEQ,0)),"")</f>
        <v/>
      </c>
      <c r="V491" s="162">
        <f>IFERROR(""&amp;INDEX(tk_CHECK,MATCH(485,tk_ASEQ,0)),"")</f>
        <v/>
      </c>
      <c r="W491" s="162">
        <f>IFERROR(TRIM(INDEX(tk_DNOTES,MATCH(485,tk_ASEQ,0))&amp;" "&amp;INDEX(tk_FNOTES,MATCH(485,tk_ASEQ,0))),"")</f>
        <v/>
      </c>
    </row>
    <row r="492">
      <c r="A492" s="161">
        <f>IFERROR(""&amp;INDEX(tk_MARK,MATCH(486,tk_ASEQ,0)),"")</f>
        <v/>
      </c>
      <c r="B492" s="162">
        <f>IFERROR(""&amp;INDEX(tk_ROOMF,MATCH(486,tk_ASEQ,0)),"")</f>
        <v/>
      </c>
      <c r="C492" s="162">
        <f>IFERROR(""&amp;INDEX(tk_ROOMT,MATCH(486,tk_ASEQ,0)),"")</f>
        <v/>
      </c>
      <c r="D492" s="162">
        <f>IFERROR(INDEX(tk_QTY,MATCH(486,tk_ASEQ,0)),"")</f>
        <v/>
      </c>
      <c r="E492" s="162">
        <f>IFERROR(""&amp;INDEX(tk_SIZE,MATCH(486,tk_ASEQ,0)),"")</f>
        <v/>
      </c>
      <c r="F492" s="162">
        <f>IFERROR(""&amp;INDEX(tk_PAIR,MATCH(486,tk_ASEQ,0)),"")</f>
        <v/>
      </c>
      <c r="G492" s="162">
        <f>IFERROR(""&amp;INDEX(tk_DMAT,MATCH(486,tk_ASEQ,0)),"")</f>
        <v/>
      </c>
      <c r="H492" s="162">
        <f>IFERROR(""&amp;INDEX(tk_DGA,MATCH(486,tk_ASEQ,0)),"")</f>
        <v/>
      </c>
      <c r="I492" s="162">
        <f>IFERROR(""&amp;INDEX(tk_FACE,MATCH(486,tk_ASEQ,0)),"")</f>
        <v/>
      </c>
      <c r="J492" s="162">
        <f>IFERROR(IF(INDEX(tk_DHAND,MATCH(486,tk_ASEQ,0))="",""&amp;INDEX(tk_HAND,MATCH(486,tk_ASEQ,0)),""&amp;INDEX(tk_DHAND,MATCH(486,tk_ASEQ,0))),"")</f>
        <v/>
      </c>
      <c r="K492" s="162">
        <f>IFERROR(""&amp;INDEX(tk_FDESC,MATCH(486,tk_ASEQ,0)),"")</f>
        <v/>
      </c>
      <c r="L492" s="162">
        <f>IFERROR(INDEX(tk_STEEL,MATCH(486,tk_ASEQ,0))&amp;IF(INDEX(tk_FGA,MATCH(486,tk_ASEQ,0))="",""," "&amp;INDEX(tk_FGA,MATCH(486,tk_ASEQ,0))&amp;"GA"),"")</f>
        <v/>
      </c>
      <c r="M492" s="162">
        <f>IFERROR(IFERROR(VLOOKUP(INDEX(tk_JAMB,MATCH(486,tk_ASEQ,0)),CODES,2,FALSE),""&amp;INDEX(tk_JAMB,MATCH(486,tk_ASEQ,0))),"")</f>
        <v/>
      </c>
      <c r="N492" s="162">
        <f>IFERROR(""&amp;INDEX(tk_CONSTR,MATCH(486,tk_ASEQ,0)),"")</f>
        <v/>
      </c>
      <c r="O492" s="162">
        <f>IFERROR(""&amp;INDEX(tk_ANCHOR,MATCH(486,tk_ASEQ,0)),"")</f>
        <v/>
      </c>
      <c r="P492" s="162">
        <f>IFERROR(""&amp;INDEX(tk_RATING,MATCH(486,tk_ASEQ,0)),"")</f>
        <v/>
      </c>
      <c r="Q492" s="162">
        <f>IFERROR(""&amp;INDEX(tk_LABEL,MATCH(486,tk_ASEQ,0)),"")</f>
        <v/>
      </c>
      <c r="R492" s="162">
        <f>IFERROR(""&amp;INDEX(tk_HWSET,MATCH(486,tk_ASEQ,0)),"")</f>
        <v/>
      </c>
      <c r="S492" s="162">
        <f>IFERROR(IF(""&amp;INDEX(tk_HINGES,MATCH(486,tk_ASEQ,0))="","",INDEX(tk_HINGES,MATCH(486,tk_ASEQ,0))&amp;" · "&amp;INDEX(tk_LSRC,MATCH(486,tk_ASEQ,0))),"")</f>
        <v/>
      </c>
      <c r="T492" s="162">
        <f>IFERROR(""&amp;INDEX(tk_LOCK,MATCH(486,tk_ASEQ,0)),"")</f>
        <v/>
      </c>
      <c r="U492" s="162">
        <f>IFERROR(INDEX(tk_ETYPE,MATCH(486,tk_ASEQ,0)),"")</f>
        <v/>
      </c>
      <c r="V492" s="162">
        <f>IFERROR(""&amp;INDEX(tk_CHECK,MATCH(486,tk_ASEQ,0)),"")</f>
        <v/>
      </c>
      <c r="W492" s="162">
        <f>IFERROR(TRIM(INDEX(tk_DNOTES,MATCH(486,tk_ASEQ,0))&amp;" "&amp;INDEX(tk_FNOTES,MATCH(486,tk_ASEQ,0))),"")</f>
        <v/>
      </c>
    </row>
    <row r="493">
      <c r="A493" s="161">
        <f>IFERROR(""&amp;INDEX(tk_MARK,MATCH(487,tk_ASEQ,0)),"")</f>
        <v/>
      </c>
      <c r="B493" s="162">
        <f>IFERROR(""&amp;INDEX(tk_ROOMF,MATCH(487,tk_ASEQ,0)),"")</f>
        <v/>
      </c>
      <c r="C493" s="162">
        <f>IFERROR(""&amp;INDEX(tk_ROOMT,MATCH(487,tk_ASEQ,0)),"")</f>
        <v/>
      </c>
      <c r="D493" s="162">
        <f>IFERROR(INDEX(tk_QTY,MATCH(487,tk_ASEQ,0)),"")</f>
        <v/>
      </c>
      <c r="E493" s="162">
        <f>IFERROR(""&amp;INDEX(tk_SIZE,MATCH(487,tk_ASEQ,0)),"")</f>
        <v/>
      </c>
      <c r="F493" s="162">
        <f>IFERROR(""&amp;INDEX(tk_PAIR,MATCH(487,tk_ASEQ,0)),"")</f>
        <v/>
      </c>
      <c r="G493" s="162">
        <f>IFERROR(""&amp;INDEX(tk_DMAT,MATCH(487,tk_ASEQ,0)),"")</f>
        <v/>
      </c>
      <c r="H493" s="162">
        <f>IFERROR(""&amp;INDEX(tk_DGA,MATCH(487,tk_ASEQ,0)),"")</f>
        <v/>
      </c>
      <c r="I493" s="162">
        <f>IFERROR(""&amp;INDEX(tk_FACE,MATCH(487,tk_ASEQ,0)),"")</f>
        <v/>
      </c>
      <c r="J493" s="162">
        <f>IFERROR(IF(INDEX(tk_DHAND,MATCH(487,tk_ASEQ,0))="",""&amp;INDEX(tk_HAND,MATCH(487,tk_ASEQ,0)),""&amp;INDEX(tk_DHAND,MATCH(487,tk_ASEQ,0))),"")</f>
        <v/>
      </c>
      <c r="K493" s="162">
        <f>IFERROR(""&amp;INDEX(tk_FDESC,MATCH(487,tk_ASEQ,0)),"")</f>
        <v/>
      </c>
      <c r="L493" s="162">
        <f>IFERROR(INDEX(tk_STEEL,MATCH(487,tk_ASEQ,0))&amp;IF(INDEX(tk_FGA,MATCH(487,tk_ASEQ,0))="",""," "&amp;INDEX(tk_FGA,MATCH(487,tk_ASEQ,0))&amp;"GA"),"")</f>
        <v/>
      </c>
      <c r="M493" s="162">
        <f>IFERROR(IFERROR(VLOOKUP(INDEX(tk_JAMB,MATCH(487,tk_ASEQ,0)),CODES,2,FALSE),""&amp;INDEX(tk_JAMB,MATCH(487,tk_ASEQ,0))),"")</f>
        <v/>
      </c>
      <c r="N493" s="162">
        <f>IFERROR(""&amp;INDEX(tk_CONSTR,MATCH(487,tk_ASEQ,0)),"")</f>
        <v/>
      </c>
      <c r="O493" s="162">
        <f>IFERROR(""&amp;INDEX(tk_ANCHOR,MATCH(487,tk_ASEQ,0)),"")</f>
        <v/>
      </c>
      <c r="P493" s="162">
        <f>IFERROR(""&amp;INDEX(tk_RATING,MATCH(487,tk_ASEQ,0)),"")</f>
        <v/>
      </c>
      <c r="Q493" s="162">
        <f>IFERROR(""&amp;INDEX(tk_LABEL,MATCH(487,tk_ASEQ,0)),"")</f>
        <v/>
      </c>
      <c r="R493" s="162">
        <f>IFERROR(""&amp;INDEX(tk_HWSET,MATCH(487,tk_ASEQ,0)),"")</f>
        <v/>
      </c>
      <c r="S493" s="162">
        <f>IFERROR(IF(""&amp;INDEX(tk_HINGES,MATCH(487,tk_ASEQ,0))="","",INDEX(tk_HINGES,MATCH(487,tk_ASEQ,0))&amp;" · "&amp;INDEX(tk_LSRC,MATCH(487,tk_ASEQ,0))),"")</f>
        <v/>
      </c>
      <c r="T493" s="162">
        <f>IFERROR(""&amp;INDEX(tk_LOCK,MATCH(487,tk_ASEQ,0)),"")</f>
        <v/>
      </c>
      <c r="U493" s="162">
        <f>IFERROR(INDEX(tk_ETYPE,MATCH(487,tk_ASEQ,0)),"")</f>
        <v/>
      </c>
      <c r="V493" s="162">
        <f>IFERROR(""&amp;INDEX(tk_CHECK,MATCH(487,tk_ASEQ,0)),"")</f>
        <v/>
      </c>
      <c r="W493" s="162">
        <f>IFERROR(TRIM(INDEX(tk_DNOTES,MATCH(487,tk_ASEQ,0))&amp;" "&amp;INDEX(tk_FNOTES,MATCH(487,tk_ASEQ,0))),"")</f>
        <v/>
      </c>
    </row>
    <row r="494">
      <c r="A494" s="161">
        <f>IFERROR(""&amp;INDEX(tk_MARK,MATCH(488,tk_ASEQ,0)),"")</f>
        <v/>
      </c>
      <c r="B494" s="162">
        <f>IFERROR(""&amp;INDEX(tk_ROOMF,MATCH(488,tk_ASEQ,0)),"")</f>
        <v/>
      </c>
      <c r="C494" s="162">
        <f>IFERROR(""&amp;INDEX(tk_ROOMT,MATCH(488,tk_ASEQ,0)),"")</f>
        <v/>
      </c>
      <c r="D494" s="162">
        <f>IFERROR(INDEX(tk_QTY,MATCH(488,tk_ASEQ,0)),"")</f>
        <v/>
      </c>
      <c r="E494" s="162">
        <f>IFERROR(""&amp;INDEX(tk_SIZE,MATCH(488,tk_ASEQ,0)),"")</f>
        <v/>
      </c>
      <c r="F494" s="162">
        <f>IFERROR(""&amp;INDEX(tk_PAIR,MATCH(488,tk_ASEQ,0)),"")</f>
        <v/>
      </c>
      <c r="G494" s="162">
        <f>IFERROR(""&amp;INDEX(tk_DMAT,MATCH(488,tk_ASEQ,0)),"")</f>
        <v/>
      </c>
      <c r="H494" s="162">
        <f>IFERROR(""&amp;INDEX(tk_DGA,MATCH(488,tk_ASEQ,0)),"")</f>
        <v/>
      </c>
      <c r="I494" s="162">
        <f>IFERROR(""&amp;INDEX(tk_FACE,MATCH(488,tk_ASEQ,0)),"")</f>
        <v/>
      </c>
      <c r="J494" s="162">
        <f>IFERROR(IF(INDEX(tk_DHAND,MATCH(488,tk_ASEQ,0))="",""&amp;INDEX(tk_HAND,MATCH(488,tk_ASEQ,0)),""&amp;INDEX(tk_DHAND,MATCH(488,tk_ASEQ,0))),"")</f>
        <v/>
      </c>
      <c r="K494" s="162">
        <f>IFERROR(""&amp;INDEX(tk_FDESC,MATCH(488,tk_ASEQ,0)),"")</f>
        <v/>
      </c>
      <c r="L494" s="162">
        <f>IFERROR(INDEX(tk_STEEL,MATCH(488,tk_ASEQ,0))&amp;IF(INDEX(tk_FGA,MATCH(488,tk_ASEQ,0))="",""," "&amp;INDEX(tk_FGA,MATCH(488,tk_ASEQ,0))&amp;"GA"),"")</f>
        <v/>
      </c>
      <c r="M494" s="162">
        <f>IFERROR(IFERROR(VLOOKUP(INDEX(tk_JAMB,MATCH(488,tk_ASEQ,0)),CODES,2,FALSE),""&amp;INDEX(tk_JAMB,MATCH(488,tk_ASEQ,0))),"")</f>
        <v/>
      </c>
      <c r="N494" s="162">
        <f>IFERROR(""&amp;INDEX(tk_CONSTR,MATCH(488,tk_ASEQ,0)),"")</f>
        <v/>
      </c>
      <c r="O494" s="162">
        <f>IFERROR(""&amp;INDEX(tk_ANCHOR,MATCH(488,tk_ASEQ,0)),"")</f>
        <v/>
      </c>
      <c r="P494" s="162">
        <f>IFERROR(""&amp;INDEX(tk_RATING,MATCH(488,tk_ASEQ,0)),"")</f>
        <v/>
      </c>
      <c r="Q494" s="162">
        <f>IFERROR(""&amp;INDEX(tk_LABEL,MATCH(488,tk_ASEQ,0)),"")</f>
        <v/>
      </c>
      <c r="R494" s="162">
        <f>IFERROR(""&amp;INDEX(tk_HWSET,MATCH(488,tk_ASEQ,0)),"")</f>
        <v/>
      </c>
      <c r="S494" s="162">
        <f>IFERROR(IF(""&amp;INDEX(tk_HINGES,MATCH(488,tk_ASEQ,0))="","",INDEX(tk_HINGES,MATCH(488,tk_ASEQ,0))&amp;" · "&amp;INDEX(tk_LSRC,MATCH(488,tk_ASEQ,0))),"")</f>
        <v/>
      </c>
      <c r="T494" s="162">
        <f>IFERROR(""&amp;INDEX(tk_LOCK,MATCH(488,tk_ASEQ,0)),"")</f>
        <v/>
      </c>
      <c r="U494" s="162">
        <f>IFERROR(INDEX(tk_ETYPE,MATCH(488,tk_ASEQ,0)),"")</f>
        <v/>
      </c>
      <c r="V494" s="162">
        <f>IFERROR(""&amp;INDEX(tk_CHECK,MATCH(488,tk_ASEQ,0)),"")</f>
        <v/>
      </c>
      <c r="W494" s="162">
        <f>IFERROR(TRIM(INDEX(tk_DNOTES,MATCH(488,tk_ASEQ,0))&amp;" "&amp;INDEX(tk_FNOTES,MATCH(488,tk_ASEQ,0))),"")</f>
        <v/>
      </c>
    </row>
    <row r="495">
      <c r="A495" s="161">
        <f>IFERROR(""&amp;INDEX(tk_MARK,MATCH(489,tk_ASEQ,0)),"")</f>
        <v/>
      </c>
      <c r="B495" s="162">
        <f>IFERROR(""&amp;INDEX(tk_ROOMF,MATCH(489,tk_ASEQ,0)),"")</f>
        <v/>
      </c>
      <c r="C495" s="162">
        <f>IFERROR(""&amp;INDEX(tk_ROOMT,MATCH(489,tk_ASEQ,0)),"")</f>
        <v/>
      </c>
      <c r="D495" s="162">
        <f>IFERROR(INDEX(tk_QTY,MATCH(489,tk_ASEQ,0)),"")</f>
        <v/>
      </c>
      <c r="E495" s="162">
        <f>IFERROR(""&amp;INDEX(tk_SIZE,MATCH(489,tk_ASEQ,0)),"")</f>
        <v/>
      </c>
      <c r="F495" s="162">
        <f>IFERROR(""&amp;INDEX(tk_PAIR,MATCH(489,tk_ASEQ,0)),"")</f>
        <v/>
      </c>
      <c r="G495" s="162">
        <f>IFERROR(""&amp;INDEX(tk_DMAT,MATCH(489,tk_ASEQ,0)),"")</f>
        <v/>
      </c>
      <c r="H495" s="162">
        <f>IFERROR(""&amp;INDEX(tk_DGA,MATCH(489,tk_ASEQ,0)),"")</f>
        <v/>
      </c>
      <c r="I495" s="162">
        <f>IFERROR(""&amp;INDEX(tk_FACE,MATCH(489,tk_ASEQ,0)),"")</f>
        <v/>
      </c>
      <c r="J495" s="162">
        <f>IFERROR(IF(INDEX(tk_DHAND,MATCH(489,tk_ASEQ,0))="",""&amp;INDEX(tk_HAND,MATCH(489,tk_ASEQ,0)),""&amp;INDEX(tk_DHAND,MATCH(489,tk_ASEQ,0))),"")</f>
        <v/>
      </c>
      <c r="K495" s="162">
        <f>IFERROR(""&amp;INDEX(tk_FDESC,MATCH(489,tk_ASEQ,0)),"")</f>
        <v/>
      </c>
      <c r="L495" s="162">
        <f>IFERROR(INDEX(tk_STEEL,MATCH(489,tk_ASEQ,0))&amp;IF(INDEX(tk_FGA,MATCH(489,tk_ASEQ,0))="",""," "&amp;INDEX(tk_FGA,MATCH(489,tk_ASEQ,0))&amp;"GA"),"")</f>
        <v/>
      </c>
      <c r="M495" s="162">
        <f>IFERROR(IFERROR(VLOOKUP(INDEX(tk_JAMB,MATCH(489,tk_ASEQ,0)),CODES,2,FALSE),""&amp;INDEX(tk_JAMB,MATCH(489,tk_ASEQ,0))),"")</f>
        <v/>
      </c>
      <c r="N495" s="162">
        <f>IFERROR(""&amp;INDEX(tk_CONSTR,MATCH(489,tk_ASEQ,0)),"")</f>
        <v/>
      </c>
      <c r="O495" s="162">
        <f>IFERROR(""&amp;INDEX(tk_ANCHOR,MATCH(489,tk_ASEQ,0)),"")</f>
        <v/>
      </c>
      <c r="P495" s="162">
        <f>IFERROR(""&amp;INDEX(tk_RATING,MATCH(489,tk_ASEQ,0)),"")</f>
        <v/>
      </c>
      <c r="Q495" s="162">
        <f>IFERROR(""&amp;INDEX(tk_LABEL,MATCH(489,tk_ASEQ,0)),"")</f>
        <v/>
      </c>
      <c r="R495" s="162">
        <f>IFERROR(""&amp;INDEX(tk_HWSET,MATCH(489,tk_ASEQ,0)),"")</f>
        <v/>
      </c>
      <c r="S495" s="162">
        <f>IFERROR(IF(""&amp;INDEX(tk_HINGES,MATCH(489,tk_ASEQ,0))="","",INDEX(tk_HINGES,MATCH(489,tk_ASEQ,0))&amp;" · "&amp;INDEX(tk_LSRC,MATCH(489,tk_ASEQ,0))),"")</f>
        <v/>
      </c>
      <c r="T495" s="162">
        <f>IFERROR(""&amp;INDEX(tk_LOCK,MATCH(489,tk_ASEQ,0)),"")</f>
        <v/>
      </c>
      <c r="U495" s="162">
        <f>IFERROR(INDEX(tk_ETYPE,MATCH(489,tk_ASEQ,0)),"")</f>
        <v/>
      </c>
      <c r="V495" s="162">
        <f>IFERROR(""&amp;INDEX(tk_CHECK,MATCH(489,tk_ASEQ,0)),"")</f>
        <v/>
      </c>
      <c r="W495" s="162">
        <f>IFERROR(TRIM(INDEX(tk_DNOTES,MATCH(489,tk_ASEQ,0))&amp;" "&amp;INDEX(tk_FNOTES,MATCH(489,tk_ASEQ,0))),"")</f>
        <v/>
      </c>
    </row>
    <row r="496">
      <c r="A496" s="161">
        <f>IFERROR(""&amp;INDEX(tk_MARK,MATCH(490,tk_ASEQ,0)),"")</f>
        <v/>
      </c>
      <c r="B496" s="162">
        <f>IFERROR(""&amp;INDEX(tk_ROOMF,MATCH(490,tk_ASEQ,0)),"")</f>
        <v/>
      </c>
      <c r="C496" s="162">
        <f>IFERROR(""&amp;INDEX(tk_ROOMT,MATCH(490,tk_ASEQ,0)),"")</f>
        <v/>
      </c>
      <c r="D496" s="162">
        <f>IFERROR(INDEX(tk_QTY,MATCH(490,tk_ASEQ,0)),"")</f>
        <v/>
      </c>
      <c r="E496" s="162">
        <f>IFERROR(""&amp;INDEX(tk_SIZE,MATCH(490,tk_ASEQ,0)),"")</f>
        <v/>
      </c>
      <c r="F496" s="162">
        <f>IFERROR(""&amp;INDEX(tk_PAIR,MATCH(490,tk_ASEQ,0)),"")</f>
        <v/>
      </c>
      <c r="G496" s="162">
        <f>IFERROR(""&amp;INDEX(tk_DMAT,MATCH(490,tk_ASEQ,0)),"")</f>
        <v/>
      </c>
      <c r="H496" s="162">
        <f>IFERROR(""&amp;INDEX(tk_DGA,MATCH(490,tk_ASEQ,0)),"")</f>
        <v/>
      </c>
      <c r="I496" s="162">
        <f>IFERROR(""&amp;INDEX(tk_FACE,MATCH(490,tk_ASEQ,0)),"")</f>
        <v/>
      </c>
      <c r="J496" s="162">
        <f>IFERROR(IF(INDEX(tk_DHAND,MATCH(490,tk_ASEQ,0))="",""&amp;INDEX(tk_HAND,MATCH(490,tk_ASEQ,0)),""&amp;INDEX(tk_DHAND,MATCH(490,tk_ASEQ,0))),"")</f>
        <v/>
      </c>
      <c r="K496" s="162">
        <f>IFERROR(""&amp;INDEX(tk_FDESC,MATCH(490,tk_ASEQ,0)),"")</f>
        <v/>
      </c>
      <c r="L496" s="162">
        <f>IFERROR(INDEX(tk_STEEL,MATCH(490,tk_ASEQ,0))&amp;IF(INDEX(tk_FGA,MATCH(490,tk_ASEQ,0))="",""," "&amp;INDEX(tk_FGA,MATCH(490,tk_ASEQ,0))&amp;"GA"),"")</f>
        <v/>
      </c>
      <c r="M496" s="162">
        <f>IFERROR(IFERROR(VLOOKUP(INDEX(tk_JAMB,MATCH(490,tk_ASEQ,0)),CODES,2,FALSE),""&amp;INDEX(tk_JAMB,MATCH(490,tk_ASEQ,0))),"")</f>
        <v/>
      </c>
      <c r="N496" s="162">
        <f>IFERROR(""&amp;INDEX(tk_CONSTR,MATCH(490,tk_ASEQ,0)),"")</f>
        <v/>
      </c>
      <c r="O496" s="162">
        <f>IFERROR(""&amp;INDEX(tk_ANCHOR,MATCH(490,tk_ASEQ,0)),"")</f>
        <v/>
      </c>
      <c r="P496" s="162">
        <f>IFERROR(""&amp;INDEX(tk_RATING,MATCH(490,tk_ASEQ,0)),"")</f>
        <v/>
      </c>
      <c r="Q496" s="162">
        <f>IFERROR(""&amp;INDEX(tk_LABEL,MATCH(490,tk_ASEQ,0)),"")</f>
        <v/>
      </c>
      <c r="R496" s="162">
        <f>IFERROR(""&amp;INDEX(tk_HWSET,MATCH(490,tk_ASEQ,0)),"")</f>
        <v/>
      </c>
      <c r="S496" s="162">
        <f>IFERROR(IF(""&amp;INDEX(tk_HINGES,MATCH(490,tk_ASEQ,0))="","",INDEX(tk_HINGES,MATCH(490,tk_ASEQ,0))&amp;" · "&amp;INDEX(tk_LSRC,MATCH(490,tk_ASEQ,0))),"")</f>
        <v/>
      </c>
      <c r="T496" s="162">
        <f>IFERROR(""&amp;INDEX(tk_LOCK,MATCH(490,tk_ASEQ,0)),"")</f>
        <v/>
      </c>
      <c r="U496" s="162">
        <f>IFERROR(INDEX(tk_ETYPE,MATCH(490,tk_ASEQ,0)),"")</f>
        <v/>
      </c>
      <c r="V496" s="162">
        <f>IFERROR(""&amp;INDEX(tk_CHECK,MATCH(490,tk_ASEQ,0)),"")</f>
        <v/>
      </c>
      <c r="W496" s="162">
        <f>IFERROR(TRIM(INDEX(tk_DNOTES,MATCH(490,tk_ASEQ,0))&amp;" "&amp;INDEX(tk_FNOTES,MATCH(490,tk_ASEQ,0))),"")</f>
        <v/>
      </c>
    </row>
    <row r="497">
      <c r="A497" s="161">
        <f>IFERROR(""&amp;INDEX(tk_MARK,MATCH(491,tk_ASEQ,0)),"")</f>
        <v/>
      </c>
      <c r="B497" s="162">
        <f>IFERROR(""&amp;INDEX(tk_ROOMF,MATCH(491,tk_ASEQ,0)),"")</f>
        <v/>
      </c>
      <c r="C497" s="162">
        <f>IFERROR(""&amp;INDEX(tk_ROOMT,MATCH(491,tk_ASEQ,0)),"")</f>
        <v/>
      </c>
      <c r="D497" s="162">
        <f>IFERROR(INDEX(tk_QTY,MATCH(491,tk_ASEQ,0)),"")</f>
        <v/>
      </c>
      <c r="E497" s="162">
        <f>IFERROR(""&amp;INDEX(tk_SIZE,MATCH(491,tk_ASEQ,0)),"")</f>
        <v/>
      </c>
      <c r="F497" s="162">
        <f>IFERROR(""&amp;INDEX(tk_PAIR,MATCH(491,tk_ASEQ,0)),"")</f>
        <v/>
      </c>
      <c r="G497" s="162">
        <f>IFERROR(""&amp;INDEX(tk_DMAT,MATCH(491,tk_ASEQ,0)),"")</f>
        <v/>
      </c>
      <c r="H497" s="162">
        <f>IFERROR(""&amp;INDEX(tk_DGA,MATCH(491,tk_ASEQ,0)),"")</f>
        <v/>
      </c>
      <c r="I497" s="162">
        <f>IFERROR(""&amp;INDEX(tk_FACE,MATCH(491,tk_ASEQ,0)),"")</f>
        <v/>
      </c>
      <c r="J497" s="162">
        <f>IFERROR(IF(INDEX(tk_DHAND,MATCH(491,tk_ASEQ,0))="",""&amp;INDEX(tk_HAND,MATCH(491,tk_ASEQ,0)),""&amp;INDEX(tk_DHAND,MATCH(491,tk_ASEQ,0))),"")</f>
        <v/>
      </c>
      <c r="K497" s="162">
        <f>IFERROR(""&amp;INDEX(tk_FDESC,MATCH(491,tk_ASEQ,0)),"")</f>
        <v/>
      </c>
      <c r="L497" s="162">
        <f>IFERROR(INDEX(tk_STEEL,MATCH(491,tk_ASEQ,0))&amp;IF(INDEX(tk_FGA,MATCH(491,tk_ASEQ,0))="",""," "&amp;INDEX(tk_FGA,MATCH(491,tk_ASEQ,0))&amp;"GA"),"")</f>
        <v/>
      </c>
      <c r="M497" s="162">
        <f>IFERROR(IFERROR(VLOOKUP(INDEX(tk_JAMB,MATCH(491,tk_ASEQ,0)),CODES,2,FALSE),""&amp;INDEX(tk_JAMB,MATCH(491,tk_ASEQ,0))),"")</f>
        <v/>
      </c>
      <c r="N497" s="162">
        <f>IFERROR(""&amp;INDEX(tk_CONSTR,MATCH(491,tk_ASEQ,0)),"")</f>
        <v/>
      </c>
      <c r="O497" s="162">
        <f>IFERROR(""&amp;INDEX(tk_ANCHOR,MATCH(491,tk_ASEQ,0)),"")</f>
        <v/>
      </c>
      <c r="P497" s="162">
        <f>IFERROR(""&amp;INDEX(tk_RATING,MATCH(491,tk_ASEQ,0)),"")</f>
        <v/>
      </c>
      <c r="Q497" s="162">
        <f>IFERROR(""&amp;INDEX(tk_LABEL,MATCH(491,tk_ASEQ,0)),"")</f>
        <v/>
      </c>
      <c r="R497" s="162">
        <f>IFERROR(""&amp;INDEX(tk_HWSET,MATCH(491,tk_ASEQ,0)),"")</f>
        <v/>
      </c>
      <c r="S497" s="162">
        <f>IFERROR(IF(""&amp;INDEX(tk_HINGES,MATCH(491,tk_ASEQ,0))="","",INDEX(tk_HINGES,MATCH(491,tk_ASEQ,0))&amp;" · "&amp;INDEX(tk_LSRC,MATCH(491,tk_ASEQ,0))),"")</f>
        <v/>
      </c>
      <c r="T497" s="162">
        <f>IFERROR(""&amp;INDEX(tk_LOCK,MATCH(491,tk_ASEQ,0)),"")</f>
        <v/>
      </c>
      <c r="U497" s="162">
        <f>IFERROR(INDEX(tk_ETYPE,MATCH(491,tk_ASEQ,0)),"")</f>
        <v/>
      </c>
      <c r="V497" s="162">
        <f>IFERROR(""&amp;INDEX(tk_CHECK,MATCH(491,tk_ASEQ,0)),"")</f>
        <v/>
      </c>
      <c r="W497" s="162">
        <f>IFERROR(TRIM(INDEX(tk_DNOTES,MATCH(491,tk_ASEQ,0))&amp;" "&amp;INDEX(tk_FNOTES,MATCH(491,tk_ASEQ,0))),"")</f>
        <v/>
      </c>
    </row>
    <row r="498">
      <c r="A498" s="161">
        <f>IFERROR(""&amp;INDEX(tk_MARK,MATCH(492,tk_ASEQ,0)),"")</f>
        <v/>
      </c>
      <c r="B498" s="162">
        <f>IFERROR(""&amp;INDEX(tk_ROOMF,MATCH(492,tk_ASEQ,0)),"")</f>
        <v/>
      </c>
      <c r="C498" s="162">
        <f>IFERROR(""&amp;INDEX(tk_ROOMT,MATCH(492,tk_ASEQ,0)),"")</f>
        <v/>
      </c>
      <c r="D498" s="162">
        <f>IFERROR(INDEX(tk_QTY,MATCH(492,tk_ASEQ,0)),"")</f>
        <v/>
      </c>
      <c r="E498" s="162">
        <f>IFERROR(""&amp;INDEX(tk_SIZE,MATCH(492,tk_ASEQ,0)),"")</f>
        <v/>
      </c>
      <c r="F498" s="162">
        <f>IFERROR(""&amp;INDEX(tk_PAIR,MATCH(492,tk_ASEQ,0)),"")</f>
        <v/>
      </c>
      <c r="G498" s="162">
        <f>IFERROR(""&amp;INDEX(tk_DMAT,MATCH(492,tk_ASEQ,0)),"")</f>
        <v/>
      </c>
      <c r="H498" s="162">
        <f>IFERROR(""&amp;INDEX(tk_DGA,MATCH(492,tk_ASEQ,0)),"")</f>
        <v/>
      </c>
      <c r="I498" s="162">
        <f>IFERROR(""&amp;INDEX(tk_FACE,MATCH(492,tk_ASEQ,0)),"")</f>
        <v/>
      </c>
      <c r="J498" s="162">
        <f>IFERROR(IF(INDEX(tk_DHAND,MATCH(492,tk_ASEQ,0))="",""&amp;INDEX(tk_HAND,MATCH(492,tk_ASEQ,0)),""&amp;INDEX(tk_DHAND,MATCH(492,tk_ASEQ,0))),"")</f>
        <v/>
      </c>
      <c r="K498" s="162">
        <f>IFERROR(""&amp;INDEX(tk_FDESC,MATCH(492,tk_ASEQ,0)),"")</f>
        <v/>
      </c>
      <c r="L498" s="162">
        <f>IFERROR(INDEX(tk_STEEL,MATCH(492,tk_ASEQ,0))&amp;IF(INDEX(tk_FGA,MATCH(492,tk_ASEQ,0))="",""," "&amp;INDEX(tk_FGA,MATCH(492,tk_ASEQ,0))&amp;"GA"),"")</f>
        <v/>
      </c>
      <c r="M498" s="162">
        <f>IFERROR(IFERROR(VLOOKUP(INDEX(tk_JAMB,MATCH(492,tk_ASEQ,0)),CODES,2,FALSE),""&amp;INDEX(tk_JAMB,MATCH(492,tk_ASEQ,0))),"")</f>
        <v/>
      </c>
      <c r="N498" s="162">
        <f>IFERROR(""&amp;INDEX(tk_CONSTR,MATCH(492,tk_ASEQ,0)),"")</f>
        <v/>
      </c>
      <c r="O498" s="162">
        <f>IFERROR(""&amp;INDEX(tk_ANCHOR,MATCH(492,tk_ASEQ,0)),"")</f>
        <v/>
      </c>
      <c r="P498" s="162">
        <f>IFERROR(""&amp;INDEX(tk_RATING,MATCH(492,tk_ASEQ,0)),"")</f>
        <v/>
      </c>
      <c r="Q498" s="162">
        <f>IFERROR(""&amp;INDEX(tk_LABEL,MATCH(492,tk_ASEQ,0)),"")</f>
        <v/>
      </c>
      <c r="R498" s="162">
        <f>IFERROR(""&amp;INDEX(tk_HWSET,MATCH(492,tk_ASEQ,0)),"")</f>
        <v/>
      </c>
      <c r="S498" s="162">
        <f>IFERROR(IF(""&amp;INDEX(tk_HINGES,MATCH(492,tk_ASEQ,0))="","",INDEX(tk_HINGES,MATCH(492,tk_ASEQ,0))&amp;" · "&amp;INDEX(tk_LSRC,MATCH(492,tk_ASEQ,0))),"")</f>
        <v/>
      </c>
      <c r="T498" s="162">
        <f>IFERROR(""&amp;INDEX(tk_LOCK,MATCH(492,tk_ASEQ,0)),"")</f>
        <v/>
      </c>
      <c r="U498" s="162">
        <f>IFERROR(INDEX(tk_ETYPE,MATCH(492,tk_ASEQ,0)),"")</f>
        <v/>
      </c>
      <c r="V498" s="162">
        <f>IFERROR(""&amp;INDEX(tk_CHECK,MATCH(492,tk_ASEQ,0)),"")</f>
        <v/>
      </c>
      <c r="W498" s="162">
        <f>IFERROR(TRIM(INDEX(tk_DNOTES,MATCH(492,tk_ASEQ,0))&amp;" "&amp;INDEX(tk_FNOTES,MATCH(492,tk_ASEQ,0))),"")</f>
        <v/>
      </c>
    </row>
    <row r="499">
      <c r="A499" s="161">
        <f>IFERROR(""&amp;INDEX(tk_MARK,MATCH(493,tk_ASEQ,0)),"")</f>
        <v/>
      </c>
      <c r="B499" s="162">
        <f>IFERROR(""&amp;INDEX(tk_ROOMF,MATCH(493,tk_ASEQ,0)),"")</f>
        <v/>
      </c>
      <c r="C499" s="162">
        <f>IFERROR(""&amp;INDEX(tk_ROOMT,MATCH(493,tk_ASEQ,0)),"")</f>
        <v/>
      </c>
      <c r="D499" s="162">
        <f>IFERROR(INDEX(tk_QTY,MATCH(493,tk_ASEQ,0)),"")</f>
        <v/>
      </c>
      <c r="E499" s="162">
        <f>IFERROR(""&amp;INDEX(tk_SIZE,MATCH(493,tk_ASEQ,0)),"")</f>
        <v/>
      </c>
      <c r="F499" s="162">
        <f>IFERROR(""&amp;INDEX(tk_PAIR,MATCH(493,tk_ASEQ,0)),"")</f>
        <v/>
      </c>
      <c r="G499" s="162">
        <f>IFERROR(""&amp;INDEX(tk_DMAT,MATCH(493,tk_ASEQ,0)),"")</f>
        <v/>
      </c>
      <c r="H499" s="162">
        <f>IFERROR(""&amp;INDEX(tk_DGA,MATCH(493,tk_ASEQ,0)),"")</f>
        <v/>
      </c>
      <c r="I499" s="162">
        <f>IFERROR(""&amp;INDEX(tk_FACE,MATCH(493,tk_ASEQ,0)),"")</f>
        <v/>
      </c>
      <c r="J499" s="162">
        <f>IFERROR(IF(INDEX(tk_DHAND,MATCH(493,tk_ASEQ,0))="",""&amp;INDEX(tk_HAND,MATCH(493,tk_ASEQ,0)),""&amp;INDEX(tk_DHAND,MATCH(493,tk_ASEQ,0))),"")</f>
        <v/>
      </c>
      <c r="K499" s="162">
        <f>IFERROR(""&amp;INDEX(tk_FDESC,MATCH(493,tk_ASEQ,0)),"")</f>
        <v/>
      </c>
      <c r="L499" s="162">
        <f>IFERROR(INDEX(tk_STEEL,MATCH(493,tk_ASEQ,0))&amp;IF(INDEX(tk_FGA,MATCH(493,tk_ASEQ,0))="",""," "&amp;INDEX(tk_FGA,MATCH(493,tk_ASEQ,0))&amp;"GA"),"")</f>
        <v/>
      </c>
      <c r="M499" s="162">
        <f>IFERROR(IFERROR(VLOOKUP(INDEX(tk_JAMB,MATCH(493,tk_ASEQ,0)),CODES,2,FALSE),""&amp;INDEX(tk_JAMB,MATCH(493,tk_ASEQ,0))),"")</f>
        <v/>
      </c>
      <c r="N499" s="162">
        <f>IFERROR(""&amp;INDEX(tk_CONSTR,MATCH(493,tk_ASEQ,0)),"")</f>
        <v/>
      </c>
      <c r="O499" s="162">
        <f>IFERROR(""&amp;INDEX(tk_ANCHOR,MATCH(493,tk_ASEQ,0)),"")</f>
        <v/>
      </c>
      <c r="P499" s="162">
        <f>IFERROR(""&amp;INDEX(tk_RATING,MATCH(493,tk_ASEQ,0)),"")</f>
        <v/>
      </c>
      <c r="Q499" s="162">
        <f>IFERROR(""&amp;INDEX(tk_LABEL,MATCH(493,tk_ASEQ,0)),"")</f>
        <v/>
      </c>
      <c r="R499" s="162">
        <f>IFERROR(""&amp;INDEX(tk_HWSET,MATCH(493,tk_ASEQ,0)),"")</f>
        <v/>
      </c>
      <c r="S499" s="162">
        <f>IFERROR(IF(""&amp;INDEX(tk_HINGES,MATCH(493,tk_ASEQ,0))="","",INDEX(tk_HINGES,MATCH(493,tk_ASEQ,0))&amp;" · "&amp;INDEX(tk_LSRC,MATCH(493,tk_ASEQ,0))),"")</f>
        <v/>
      </c>
      <c r="T499" s="162">
        <f>IFERROR(""&amp;INDEX(tk_LOCK,MATCH(493,tk_ASEQ,0)),"")</f>
        <v/>
      </c>
      <c r="U499" s="162">
        <f>IFERROR(INDEX(tk_ETYPE,MATCH(493,tk_ASEQ,0)),"")</f>
        <v/>
      </c>
      <c r="V499" s="162">
        <f>IFERROR(""&amp;INDEX(tk_CHECK,MATCH(493,tk_ASEQ,0)),"")</f>
        <v/>
      </c>
      <c r="W499" s="162">
        <f>IFERROR(TRIM(INDEX(tk_DNOTES,MATCH(493,tk_ASEQ,0))&amp;" "&amp;INDEX(tk_FNOTES,MATCH(493,tk_ASEQ,0))),"")</f>
        <v/>
      </c>
    </row>
    <row r="500">
      <c r="A500" s="161">
        <f>IFERROR(""&amp;INDEX(tk_MARK,MATCH(494,tk_ASEQ,0)),"")</f>
        <v/>
      </c>
      <c r="B500" s="162">
        <f>IFERROR(""&amp;INDEX(tk_ROOMF,MATCH(494,tk_ASEQ,0)),"")</f>
        <v/>
      </c>
      <c r="C500" s="162">
        <f>IFERROR(""&amp;INDEX(tk_ROOMT,MATCH(494,tk_ASEQ,0)),"")</f>
        <v/>
      </c>
      <c r="D500" s="162">
        <f>IFERROR(INDEX(tk_QTY,MATCH(494,tk_ASEQ,0)),"")</f>
        <v/>
      </c>
      <c r="E500" s="162">
        <f>IFERROR(""&amp;INDEX(tk_SIZE,MATCH(494,tk_ASEQ,0)),"")</f>
        <v/>
      </c>
      <c r="F500" s="162">
        <f>IFERROR(""&amp;INDEX(tk_PAIR,MATCH(494,tk_ASEQ,0)),"")</f>
        <v/>
      </c>
      <c r="G500" s="162">
        <f>IFERROR(""&amp;INDEX(tk_DMAT,MATCH(494,tk_ASEQ,0)),"")</f>
        <v/>
      </c>
      <c r="H500" s="162">
        <f>IFERROR(""&amp;INDEX(tk_DGA,MATCH(494,tk_ASEQ,0)),"")</f>
        <v/>
      </c>
      <c r="I500" s="162">
        <f>IFERROR(""&amp;INDEX(tk_FACE,MATCH(494,tk_ASEQ,0)),"")</f>
        <v/>
      </c>
      <c r="J500" s="162">
        <f>IFERROR(IF(INDEX(tk_DHAND,MATCH(494,tk_ASEQ,0))="",""&amp;INDEX(tk_HAND,MATCH(494,tk_ASEQ,0)),""&amp;INDEX(tk_DHAND,MATCH(494,tk_ASEQ,0))),"")</f>
        <v/>
      </c>
      <c r="K500" s="162">
        <f>IFERROR(""&amp;INDEX(tk_FDESC,MATCH(494,tk_ASEQ,0)),"")</f>
        <v/>
      </c>
      <c r="L500" s="162">
        <f>IFERROR(INDEX(tk_STEEL,MATCH(494,tk_ASEQ,0))&amp;IF(INDEX(tk_FGA,MATCH(494,tk_ASEQ,0))="",""," "&amp;INDEX(tk_FGA,MATCH(494,tk_ASEQ,0))&amp;"GA"),"")</f>
        <v/>
      </c>
      <c r="M500" s="162">
        <f>IFERROR(IFERROR(VLOOKUP(INDEX(tk_JAMB,MATCH(494,tk_ASEQ,0)),CODES,2,FALSE),""&amp;INDEX(tk_JAMB,MATCH(494,tk_ASEQ,0))),"")</f>
        <v/>
      </c>
      <c r="N500" s="162">
        <f>IFERROR(""&amp;INDEX(tk_CONSTR,MATCH(494,tk_ASEQ,0)),"")</f>
        <v/>
      </c>
      <c r="O500" s="162">
        <f>IFERROR(""&amp;INDEX(tk_ANCHOR,MATCH(494,tk_ASEQ,0)),"")</f>
        <v/>
      </c>
      <c r="P500" s="162">
        <f>IFERROR(""&amp;INDEX(tk_RATING,MATCH(494,tk_ASEQ,0)),"")</f>
        <v/>
      </c>
      <c r="Q500" s="162">
        <f>IFERROR(""&amp;INDEX(tk_LABEL,MATCH(494,tk_ASEQ,0)),"")</f>
        <v/>
      </c>
      <c r="R500" s="162">
        <f>IFERROR(""&amp;INDEX(tk_HWSET,MATCH(494,tk_ASEQ,0)),"")</f>
        <v/>
      </c>
      <c r="S500" s="162">
        <f>IFERROR(IF(""&amp;INDEX(tk_HINGES,MATCH(494,tk_ASEQ,0))="","",INDEX(tk_HINGES,MATCH(494,tk_ASEQ,0))&amp;" · "&amp;INDEX(tk_LSRC,MATCH(494,tk_ASEQ,0))),"")</f>
        <v/>
      </c>
      <c r="T500" s="162">
        <f>IFERROR(""&amp;INDEX(tk_LOCK,MATCH(494,tk_ASEQ,0)),"")</f>
        <v/>
      </c>
      <c r="U500" s="162">
        <f>IFERROR(INDEX(tk_ETYPE,MATCH(494,tk_ASEQ,0)),"")</f>
        <v/>
      </c>
      <c r="V500" s="162">
        <f>IFERROR(""&amp;INDEX(tk_CHECK,MATCH(494,tk_ASEQ,0)),"")</f>
        <v/>
      </c>
      <c r="W500" s="162">
        <f>IFERROR(TRIM(INDEX(tk_DNOTES,MATCH(494,tk_ASEQ,0))&amp;" "&amp;INDEX(tk_FNOTES,MATCH(494,tk_ASEQ,0))),"")</f>
        <v/>
      </c>
    </row>
    <row r="501">
      <c r="A501" s="161">
        <f>IFERROR(""&amp;INDEX(tk_MARK,MATCH(495,tk_ASEQ,0)),"")</f>
        <v/>
      </c>
      <c r="B501" s="162">
        <f>IFERROR(""&amp;INDEX(tk_ROOMF,MATCH(495,tk_ASEQ,0)),"")</f>
        <v/>
      </c>
      <c r="C501" s="162">
        <f>IFERROR(""&amp;INDEX(tk_ROOMT,MATCH(495,tk_ASEQ,0)),"")</f>
        <v/>
      </c>
      <c r="D501" s="162">
        <f>IFERROR(INDEX(tk_QTY,MATCH(495,tk_ASEQ,0)),"")</f>
        <v/>
      </c>
      <c r="E501" s="162">
        <f>IFERROR(""&amp;INDEX(tk_SIZE,MATCH(495,tk_ASEQ,0)),"")</f>
        <v/>
      </c>
      <c r="F501" s="162">
        <f>IFERROR(""&amp;INDEX(tk_PAIR,MATCH(495,tk_ASEQ,0)),"")</f>
        <v/>
      </c>
      <c r="G501" s="162">
        <f>IFERROR(""&amp;INDEX(tk_DMAT,MATCH(495,tk_ASEQ,0)),"")</f>
        <v/>
      </c>
      <c r="H501" s="162">
        <f>IFERROR(""&amp;INDEX(tk_DGA,MATCH(495,tk_ASEQ,0)),"")</f>
        <v/>
      </c>
      <c r="I501" s="162">
        <f>IFERROR(""&amp;INDEX(tk_FACE,MATCH(495,tk_ASEQ,0)),"")</f>
        <v/>
      </c>
      <c r="J501" s="162">
        <f>IFERROR(IF(INDEX(tk_DHAND,MATCH(495,tk_ASEQ,0))="",""&amp;INDEX(tk_HAND,MATCH(495,tk_ASEQ,0)),""&amp;INDEX(tk_DHAND,MATCH(495,tk_ASEQ,0))),"")</f>
        <v/>
      </c>
      <c r="K501" s="162">
        <f>IFERROR(""&amp;INDEX(tk_FDESC,MATCH(495,tk_ASEQ,0)),"")</f>
        <v/>
      </c>
      <c r="L501" s="162">
        <f>IFERROR(INDEX(tk_STEEL,MATCH(495,tk_ASEQ,0))&amp;IF(INDEX(tk_FGA,MATCH(495,tk_ASEQ,0))="",""," "&amp;INDEX(tk_FGA,MATCH(495,tk_ASEQ,0))&amp;"GA"),"")</f>
        <v/>
      </c>
      <c r="M501" s="162">
        <f>IFERROR(IFERROR(VLOOKUP(INDEX(tk_JAMB,MATCH(495,tk_ASEQ,0)),CODES,2,FALSE),""&amp;INDEX(tk_JAMB,MATCH(495,tk_ASEQ,0))),"")</f>
        <v/>
      </c>
      <c r="N501" s="162">
        <f>IFERROR(""&amp;INDEX(tk_CONSTR,MATCH(495,tk_ASEQ,0)),"")</f>
        <v/>
      </c>
      <c r="O501" s="162">
        <f>IFERROR(""&amp;INDEX(tk_ANCHOR,MATCH(495,tk_ASEQ,0)),"")</f>
        <v/>
      </c>
      <c r="P501" s="162">
        <f>IFERROR(""&amp;INDEX(tk_RATING,MATCH(495,tk_ASEQ,0)),"")</f>
        <v/>
      </c>
      <c r="Q501" s="162">
        <f>IFERROR(""&amp;INDEX(tk_LABEL,MATCH(495,tk_ASEQ,0)),"")</f>
        <v/>
      </c>
      <c r="R501" s="162">
        <f>IFERROR(""&amp;INDEX(tk_HWSET,MATCH(495,tk_ASEQ,0)),"")</f>
        <v/>
      </c>
      <c r="S501" s="162">
        <f>IFERROR(IF(""&amp;INDEX(tk_HINGES,MATCH(495,tk_ASEQ,0))="","",INDEX(tk_HINGES,MATCH(495,tk_ASEQ,0))&amp;" · "&amp;INDEX(tk_LSRC,MATCH(495,tk_ASEQ,0))),"")</f>
        <v/>
      </c>
      <c r="T501" s="162">
        <f>IFERROR(""&amp;INDEX(tk_LOCK,MATCH(495,tk_ASEQ,0)),"")</f>
        <v/>
      </c>
      <c r="U501" s="162">
        <f>IFERROR(INDEX(tk_ETYPE,MATCH(495,tk_ASEQ,0)),"")</f>
        <v/>
      </c>
      <c r="V501" s="162">
        <f>IFERROR(""&amp;INDEX(tk_CHECK,MATCH(495,tk_ASEQ,0)),"")</f>
        <v/>
      </c>
      <c r="W501" s="162">
        <f>IFERROR(TRIM(INDEX(tk_DNOTES,MATCH(495,tk_ASEQ,0))&amp;" "&amp;INDEX(tk_FNOTES,MATCH(495,tk_ASEQ,0))),"")</f>
        <v/>
      </c>
    </row>
    <row r="502">
      <c r="A502" s="161">
        <f>IFERROR(""&amp;INDEX(tk_MARK,MATCH(496,tk_ASEQ,0)),"")</f>
        <v/>
      </c>
      <c r="B502" s="162">
        <f>IFERROR(""&amp;INDEX(tk_ROOMF,MATCH(496,tk_ASEQ,0)),"")</f>
        <v/>
      </c>
      <c r="C502" s="162">
        <f>IFERROR(""&amp;INDEX(tk_ROOMT,MATCH(496,tk_ASEQ,0)),"")</f>
        <v/>
      </c>
      <c r="D502" s="162">
        <f>IFERROR(INDEX(tk_QTY,MATCH(496,tk_ASEQ,0)),"")</f>
        <v/>
      </c>
      <c r="E502" s="162">
        <f>IFERROR(""&amp;INDEX(tk_SIZE,MATCH(496,tk_ASEQ,0)),"")</f>
        <v/>
      </c>
      <c r="F502" s="162">
        <f>IFERROR(""&amp;INDEX(tk_PAIR,MATCH(496,tk_ASEQ,0)),"")</f>
        <v/>
      </c>
      <c r="G502" s="162">
        <f>IFERROR(""&amp;INDEX(tk_DMAT,MATCH(496,tk_ASEQ,0)),"")</f>
        <v/>
      </c>
      <c r="H502" s="162">
        <f>IFERROR(""&amp;INDEX(tk_DGA,MATCH(496,tk_ASEQ,0)),"")</f>
        <v/>
      </c>
      <c r="I502" s="162">
        <f>IFERROR(""&amp;INDEX(tk_FACE,MATCH(496,tk_ASEQ,0)),"")</f>
        <v/>
      </c>
      <c r="J502" s="162">
        <f>IFERROR(IF(INDEX(tk_DHAND,MATCH(496,tk_ASEQ,0))="",""&amp;INDEX(tk_HAND,MATCH(496,tk_ASEQ,0)),""&amp;INDEX(tk_DHAND,MATCH(496,tk_ASEQ,0))),"")</f>
        <v/>
      </c>
      <c r="K502" s="162">
        <f>IFERROR(""&amp;INDEX(tk_FDESC,MATCH(496,tk_ASEQ,0)),"")</f>
        <v/>
      </c>
      <c r="L502" s="162">
        <f>IFERROR(INDEX(tk_STEEL,MATCH(496,tk_ASEQ,0))&amp;IF(INDEX(tk_FGA,MATCH(496,tk_ASEQ,0))="",""," "&amp;INDEX(tk_FGA,MATCH(496,tk_ASEQ,0))&amp;"GA"),"")</f>
        <v/>
      </c>
      <c r="M502" s="162">
        <f>IFERROR(IFERROR(VLOOKUP(INDEX(tk_JAMB,MATCH(496,tk_ASEQ,0)),CODES,2,FALSE),""&amp;INDEX(tk_JAMB,MATCH(496,tk_ASEQ,0))),"")</f>
        <v/>
      </c>
      <c r="N502" s="162">
        <f>IFERROR(""&amp;INDEX(tk_CONSTR,MATCH(496,tk_ASEQ,0)),"")</f>
        <v/>
      </c>
      <c r="O502" s="162">
        <f>IFERROR(""&amp;INDEX(tk_ANCHOR,MATCH(496,tk_ASEQ,0)),"")</f>
        <v/>
      </c>
      <c r="P502" s="162">
        <f>IFERROR(""&amp;INDEX(tk_RATING,MATCH(496,tk_ASEQ,0)),"")</f>
        <v/>
      </c>
      <c r="Q502" s="162">
        <f>IFERROR(""&amp;INDEX(tk_LABEL,MATCH(496,tk_ASEQ,0)),"")</f>
        <v/>
      </c>
      <c r="R502" s="162">
        <f>IFERROR(""&amp;INDEX(tk_HWSET,MATCH(496,tk_ASEQ,0)),"")</f>
        <v/>
      </c>
      <c r="S502" s="162">
        <f>IFERROR(IF(""&amp;INDEX(tk_HINGES,MATCH(496,tk_ASEQ,0))="","",INDEX(tk_HINGES,MATCH(496,tk_ASEQ,0))&amp;" · "&amp;INDEX(tk_LSRC,MATCH(496,tk_ASEQ,0))),"")</f>
        <v/>
      </c>
      <c r="T502" s="162">
        <f>IFERROR(""&amp;INDEX(tk_LOCK,MATCH(496,tk_ASEQ,0)),"")</f>
        <v/>
      </c>
      <c r="U502" s="162">
        <f>IFERROR(INDEX(tk_ETYPE,MATCH(496,tk_ASEQ,0)),"")</f>
        <v/>
      </c>
      <c r="V502" s="162">
        <f>IFERROR(""&amp;INDEX(tk_CHECK,MATCH(496,tk_ASEQ,0)),"")</f>
        <v/>
      </c>
      <c r="W502" s="162">
        <f>IFERROR(TRIM(INDEX(tk_DNOTES,MATCH(496,tk_ASEQ,0))&amp;" "&amp;INDEX(tk_FNOTES,MATCH(496,tk_ASEQ,0))),"")</f>
        <v/>
      </c>
    </row>
    <row r="503">
      <c r="A503" s="161">
        <f>IFERROR(""&amp;INDEX(tk_MARK,MATCH(497,tk_ASEQ,0)),"")</f>
        <v/>
      </c>
      <c r="B503" s="162">
        <f>IFERROR(""&amp;INDEX(tk_ROOMF,MATCH(497,tk_ASEQ,0)),"")</f>
        <v/>
      </c>
      <c r="C503" s="162">
        <f>IFERROR(""&amp;INDEX(tk_ROOMT,MATCH(497,tk_ASEQ,0)),"")</f>
        <v/>
      </c>
      <c r="D503" s="162">
        <f>IFERROR(INDEX(tk_QTY,MATCH(497,tk_ASEQ,0)),"")</f>
        <v/>
      </c>
      <c r="E503" s="162">
        <f>IFERROR(""&amp;INDEX(tk_SIZE,MATCH(497,tk_ASEQ,0)),"")</f>
        <v/>
      </c>
      <c r="F503" s="162">
        <f>IFERROR(""&amp;INDEX(tk_PAIR,MATCH(497,tk_ASEQ,0)),"")</f>
        <v/>
      </c>
      <c r="G503" s="162">
        <f>IFERROR(""&amp;INDEX(tk_DMAT,MATCH(497,tk_ASEQ,0)),"")</f>
        <v/>
      </c>
      <c r="H503" s="162">
        <f>IFERROR(""&amp;INDEX(tk_DGA,MATCH(497,tk_ASEQ,0)),"")</f>
        <v/>
      </c>
      <c r="I503" s="162">
        <f>IFERROR(""&amp;INDEX(tk_FACE,MATCH(497,tk_ASEQ,0)),"")</f>
        <v/>
      </c>
      <c r="J503" s="162">
        <f>IFERROR(IF(INDEX(tk_DHAND,MATCH(497,tk_ASEQ,0))="",""&amp;INDEX(tk_HAND,MATCH(497,tk_ASEQ,0)),""&amp;INDEX(tk_DHAND,MATCH(497,tk_ASEQ,0))),"")</f>
        <v/>
      </c>
      <c r="K503" s="162">
        <f>IFERROR(""&amp;INDEX(tk_FDESC,MATCH(497,tk_ASEQ,0)),"")</f>
        <v/>
      </c>
      <c r="L503" s="162">
        <f>IFERROR(INDEX(tk_STEEL,MATCH(497,tk_ASEQ,0))&amp;IF(INDEX(tk_FGA,MATCH(497,tk_ASEQ,0))="",""," "&amp;INDEX(tk_FGA,MATCH(497,tk_ASEQ,0))&amp;"GA"),"")</f>
        <v/>
      </c>
      <c r="M503" s="162">
        <f>IFERROR(IFERROR(VLOOKUP(INDEX(tk_JAMB,MATCH(497,tk_ASEQ,0)),CODES,2,FALSE),""&amp;INDEX(tk_JAMB,MATCH(497,tk_ASEQ,0))),"")</f>
        <v/>
      </c>
      <c r="N503" s="162">
        <f>IFERROR(""&amp;INDEX(tk_CONSTR,MATCH(497,tk_ASEQ,0)),"")</f>
        <v/>
      </c>
      <c r="O503" s="162">
        <f>IFERROR(""&amp;INDEX(tk_ANCHOR,MATCH(497,tk_ASEQ,0)),"")</f>
        <v/>
      </c>
      <c r="P503" s="162">
        <f>IFERROR(""&amp;INDEX(tk_RATING,MATCH(497,tk_ASEQ,0)),"")</f>
        <v/>
      </c>
      <c r="Q503" s="162">
        <f>IFERROR(""&amp;INDEX(tk_LABEL,MATCH(497,tk_ASEQ,0)),"")</f>
        <v/>
      </c>
      <c r="R503" s="162">
        <f>IFERROR(""&amp;INDEX(tk_HWSET,MATCH(497,tk_ASEQ,0)),"")</f>
        <v/>
      </c>
      <c r="S503" s="162">
        <f>IFERROR(IF(""&amp;INDEX(tk_HINGES,MATCH(497,tk_ASEQ,0))="","",INDEX(tk_HINGES,MATCH(497,tk_ASEQ,0))&amp;" · "&amp;INDEX(tk_LSRC,MATCH(497,tk_ASEQ,0))),"")</f>
        <v/>
      </c>
      <c r="T503" s="162">
        <f>IFERROR(""&amp;INDEX(tk_LOCK,MATCH(497,tk_ASEQ,0)),"")</f>
        <v/>
      </c>
      <c r="U503" s="162">
        <f>IFERROR(INDEX(tk_ETYPE,MATCH(497,tk_ASEQ,0)),"")</f>
        <v/>
      </c>
      <c r="V503" s="162">
        <f>IFERROR(""&amp;INDEX(tk_CHECK,MATCH(497,tk_ASEQ,0)),"")</f>
        <v/>
      </c>
      <c r="W503" s="162">
        <f>IFERROR(TRIM(INDEX(tk_DNOTES,MATCH(497,tk_ASEQ,0))&amp;" "&amp;INDEX(tk_FNOTES,MATCH(497,tk_ASEQ,0))),"")</f>
        <v/>
      </c>
    </row>
    <row r="504">
      <c r="A504" s="161">
        <f>IFERROR(""&amp;INDEX(tk_MARK,MATCH(498,tk_ASEQ,0)),"")</f>
        <v/>
      </c>
      <c r="B504" s="162">
        <f>IFERROR(""&amp;INDEX(tk_ROOMF,MATCH(498,tk_ASEQ,0)),"")</f>
        <v/>
      </c>
      <c r="C504" s="162">
        <f>IFERROR(""&amp;INDEX(tk_ROOMT,MATCH(498,tk_ASEQ,0)),"")</f>
        <v/>
      </c>
      <c r="D504" s="162">
        <f>IFERROR(INDEX(tk_QTY,MATCH(498,tk_ASEQ,0)),"")</f>
        <v/>
      </c>
      <c r="E504" s="162">
        <f>IFERROR(""&amp;INDEX(tk_SIZE,MATCH(498,tk_ASEQ,0)),"")</f>
        <v/>
      </c>
      <c r="F504" s="162">
        <f>IFERROR(""&amp;INDEX(tk_PAIR,MATCH(498,tk_ASEQ,0)),"")</f>
        <v/>
      </c>
      <c r="G504" s="162">
        <f>IFERROR(""&amp;INDEX(tk_DMAT,MATCH(498,tk_ASEQ,0)),"")</f>
        <v/>
      </c>
      <c r="H504" s="162">
        <f>IFERROR(""&amp;INDEX(tk_DGA,MATCH(498,tk_ASEQ,0)),"")</f>
        <v/>
      </c>
      <c r="I504" s="162">
        <f>IFERROR(""&amp;INDEX(tk_FACE,MATCH(498,tk_ASEQ,0)),"")</f>
        <v/>
      </c>
      <c r="J504" s="162">
        <f>IFERROR(IF(INDEX(tk_DHAND,MATCH(498,tk_ASEQ,0))="",""&amp;INDEX(tk_HAND,MATCH(498,tk_ASEQ,0)),""&amp;INDEX(tk_DHAND,MATCH(498,tk_ASEQ,0))),"")</f>
        <v/>
      </c>
      <c r="K504" s="162">
        <f>IFERROR(""&amp;INDEX(tk_FDESC,MATCH(498,tk_ASEQ,0)),"")</f>
        <v/>
      </c>
      <c r="L504" s="162">
        <f>IFERROR(INDEX(tk_STEEL,MATCH(498,tk_ASEQ,0))&amp;IF(INDEX(tk_FGA,MATCH(498,tk_ASEQ,0))="",""," "&amp;INDEX(tk_FGA,MATCH(498,tk_ASEQ,0))&amp;"GA"),"")</f>
        <v/>
      </c>
      <c r="M504" s="162">
        <f>IFERROR(IFERROR(VLOOKUP(INDEX(tk_JAMB,MATCH(498,tk_ASEQ,0)),CODES,2,FALSE),""&amp;INDEX(tk_JAMB,MATCH(498,tk_ASEQ,0))),"")</f>
        <v/>
      </c>
      <c r="N504" s="162">
        <f>IFERROR(""&amp;INDEX(tk_CONSTR,MATCH(498,tk_ASEQ,0)),"")</f>
        <v/>
      </c>
      <c r="O504" s="162">
        <f>IFERROR(""&amp;INDEX(tk_ANCHOR,MATCH(498,tk_ASEQ,0)),"")</f>
        <v/>
      </c>
      <c r="P504" s="162">
        <f>IFERROR(""&amp;INDEX(tk_RATING,MATCH(498,tk_ASEQ,0)),"")</f>
        <v/>
      </c>
      <c r="Q504" s="162">
        <f>IFERROR(""&amp;INDEX(tk_LABEL,MATCH(498,tk_ASEQ,0)),"")</f>
        <v/>
      </c>
      <c r="R504" s="162">
        <f>IFERROR(""&amp;INDEX(tk_HWSET,MATCH(498,tk_ASEQ,0)),"")</f>
        <v/>
      </c>
      <c r="S504" s="162">
        <f>IFERROR(IF(""&amp;INDEX(tk_HINGES,MATCH(498,tk_ASEQ,0))="","",INDEX(tk_HINGES,MATCH(498,tk_ASEQ,0))&amp;" · "&amp;INDEX(tk_LSRC,MATCH(498,tk_ASEQ,0))),"")</f>
        <v/>
      </c>
      <c r="T504" s="162">
        <f>IFERROR(""&amp;INDEX(tk_LOCK,MATCH(498,tk_ASEQ,0)),"")</f>
        <v/>
      </c>
      <c r="U504" s="162">
        <f>IFERROR(INDEX(tk_ETYPE,MATCH(498,tk_ASEQ,0)),"")</f>
        <v/>
      </c>
      <c r="V504" s="162">
        <f>IFERROR(""&amp;INDEX(tk_CHECK,MATCH(498,tk_ASEQ,0)),"")</f>
        <v/>
      </c>
      <c r="W504" s="162">
        <f>IFERROR(TRIM(INDEX(tk_DNOTES,MATCH(498,tk_ASEQ,0))&amp;" "&amp;INDEX(tk_FNOTES,MATCH(498,tk_ASEQ,0))),"")</f>
        <v/>
      </c>
    </row>
    <row r="505">
      <c r="A505" s="161">
        <f>IFERROR(""&amp;INDEX(tk_MARK,MATCH(499,tk_ASEQ,0)),"")</f>
        <v/>
      </c>
      <c r="B505" s="162">
        <f>IFERROR(""&amp;INDEX(tk_ROOMF,MATCH(499,tk_ASEQ,0)),"")</f>
        <v/>
      </c>
      <c r="C505" s="162">
        <f>IFERROR(""&amp;INDEX(tk_ROOMT,MATCH(499,tk_ASEQ,0)),"")</f>
        <v/>
      </c>
      <c r="D505" s="162">
        <f>IFERROR(INDEX(tk_QTY,MATCH(499,tk_ASEQ,0)),"")</f>
        <v/>
      </c>
      <c r="E505" s="162">
        <f>IFERROR(""&amp;INDEX(tk_SIZE,MATCH(499,tk_ASEQ,0)),"")</f>
        <v/>
      </c>
      <c r="F505" s="162">
        <f>IFERROR(""&amp;INDEX(tk_PAIR,MATCH(499,tk_ASEQ,0)),"")</f>
        <v/>
      </c>
      <c r="G505" s="162">
        <f>IFERROR(""&amp;INDEX(tk_DMAT,MATCH(499,tk_ASEQ,0)),"")</f>
        <v/>
      </c>
      <c r="H505" s="162">
        <f>IFERROR(""&amp;INDEX(tk_DGA,MATCH(499,tk_ASEQ,0)),"")</f>
        <v/>
      </c>
      <c r="I505" s="162">
        <f>IFERROR(""&amp;INDEX(tk_FACE,MATCH(499,tk_ASEQ,0)),"")</f>
        <v/>
      </c>
      <c r="J505" s="162">
        <f>IFERROR(IF(INDEX(tk_DHAND,MATCH(499,tk_ASEQ,0))="",""&amp;INDEX(tk_HAND,MATCH(499,tk_ASEQ,0)),""&amp;INDEX(tk_DHAND,MATCH(499,tk_ASEQ,0))),"")</f>
        <v/>
      </c>
      <c r="K505" s="162">
        <f>IFERROR(""&amp;INDEX(tk_FDESC,MATCH(499,tk_ASEQ,0)),"")</f>
        <v/>
      </c>
      <c r="L505" s="162">
        <f>IFERROR(INDEX(tk_STEEL,MATCH(499,tk_ASEQ,0))&amp;IF(INDEX(tk_FGA,MATCH(499,tk_ASEQ,0))="",""," "&amp;INDEX(tk_FGA,MATCH(499,tk_ASEQ,0))&amp;"GA"),"")</f>
        <v/>
      </c>
      <c r="M505" s="162">
        <f>IFERROR(IFERROR(VLOOKUP(INDEX(tk_JAMB,MATCH(499,tk_ASEQ,0)),CODES,2,FALSE),""&amp;INDEX(tk_JAMB,MATCH(499,tk_ASEQ,0))),"")</f>
        <v/>
      </c>
      <c r="N505" s="162">
        <f>IFERROR(""&amp;INDEX(tk_CONSTR,MATCH(499,tk_ASEQ,0)),"")</f>
        <v/>
      </c>
      <c r="O505" s="162">
        <f>IFERROR(""&amp;INDEX(tk_ANCHOR,MATCH(499,tk_ASEQ,0)),"")</f>
        <v/>
      </c>
      <c r="P505" s="162">
        <f>IFERROR(""&amp;INDEX(tk_RATING,MATCH(499,tk_ASEQ,0)),"")</f>
        <v/>
      </c>
      <c r="Q505" s="162">
        <f>IFERROR(""&amp;INDEX(tk_LABEL,MATCH(499,tk_ASEQ,0)),"")</f>
        <v/>
      </c>
      <c r="R505" s="162">
        <f>IFERROR(""&amp;INDEX(tk_HWSET,MATCH(499,tk_ASEQ,0)),"")</f>
        <v/>
      </c>
      <c r="S505" s="162">
        <f>IFERROR(IF(""&amp;INDEX(tk_HINGES,MATCH(499,tk_ASEQ,0))="","",INDEX(tk_HINGES,MATCH(499,tk_ASEQ,0))&amp;" · "&amp;INDEX(tk_LSRC,MATCH(499,tk_ASEQ,0))),"")</f>
        <v/>
      </c>
      <c r="T505" s="162">
        <f>IFERROR(""&amp;INDEX(tk_LOCK,MATCH(499,tk_ASEQ,0)),"")</f>
        <v/>
      </c>
      <c r="U505" s="162">
        <f>IFERROR(INDEX(tk_ETYPE,MATCH(499,tk_ASEQ,0)),"")</f>
        <v/>
      </c>
      <c r="V505" s="162">
        <f>IFERROR(""&amp;INDEX(tk_CHECK,MATCH(499,tk_ASEQ,0)),"")</f>
        <v/>
      </c>
      <c r="W505" s="162">
        <f>IFERROR(TRIM(INDEX(tk_DNOTES,MATCH(499,tk_ASEQ,0))&amp;" "&amp;INDEX(tk_FNOTES,MATCH(499,tk_ASEQ,0))),"")</f>
        <v/>
      </c>
    </row>
    <row r="506">
      <c r="A506" s="161">
        <f>IFERROR(""&amp;INDEX(tk_MARK,MATCH(500,tk_ASEQ,0)),"")</f>
        <v/>
      </c>
      <c r="B506" s="162">
        <f>IFERROR(""&amp;INDEX(tk_ROOMF,MATCH(500,tk_ASEQ,0)),"")</f>
        <v/>
      </c>
      <c r="C506" s="162">
        <f>IFERROR(""&amp;INDEX(tk_ROOMT,MATCH(500,tk_ASEQ,0)),"")</f>
        <v/>
      </c>
      <c r="D506" s="162">
        <f>IFERROR(INDEX(tk_QTY,MATCH(500,tk_ASEQ,0)),"")</f>
        <v/>
      </c>
      <c r="E506" s="162">
        <f>IFERROR(""&amp;INDEX(tk_SIZE,MATCH(500,tk_ASEQ,0)),"")</f>
        <v/>
      </c>
      <c r="F506" s="162">
        <f>IFERROR(""&amp;INDEX(tk_PAIR,MATCH(500,tk_ASEQ,0)),"")</f>
        <v/>
      </c>
      <c r="G506" s="162">
        <f>IFERROR(""&amp;INDEX(tk_DMAT,MATCH(500,tk_ASEQ,0)),"")</f>
        <v/>
      </c>
      <c r="H506" s="162">
        <f>IFERROR(""&amp;INDEX(tk_DGA,MATCH(500,tk_ASEQ,0)),"")</f>
        <v/>
      </c>
      <c r="I506" s="162">
        <f>IFERROR(""&amp;INDEX(tk_FACE,MATCH(500,tk_ASEQ,0)),"")</f>
        <v/>
      </c>
      <c r="J506" s="162">
        <f>IFERROR(IF(INDEX(tk_DHAND,MATCH(500,tk_ASEQ,0))="",""&amp;INDEX(tk_HAND,MATCH(500,tk_ASEQ,0)),""&amp;INDEX(tk_DHAND,MATCH(500,tk_ASEQ,0))),"")</f>
        <v/>
      </c>
      <c r="K506" s="162">
        <f>IFERROR(""&amp;INDEX(tk_FDESC,MATCH(500,tk_ASEQ,0)),"")</f>
        <v/>
      </c>
      <c r="L506" s="162">
        <f>IFERROR(INDEX(tk_STEEL,MATCH(500,tk_ASEQ,0))&amp;IF(INDEX(tk_FGA,MATCH(500,tk_ASEQ,0))="",""," "&amp;INDEX(tk_FGA,MATCH(500,tk_ASEQ,0))&amp;"GA"),"")</f>
        <v/>
      </c>
      <c r="M506" s="162">
        <f>IFERROR(IFERROR(VLOOKUP(INDEX(tk_JAMB,MATCH(500,tk_ASEQ,0)),CODES,2,FALSE),""&amp;INDEX(tk_JAMB,MATCH(500,tk_ASEQ,0))),"")</f>
        <v/>
      </c>
      <c r="N506" s="162">
        <f>IFERROR(""&amp;INDEX(tk_CONSTR,MATCH(500,tk_ASEQ,0)),"")</f>
        <v/>
      </c>
      <c r="O506" s="162">
        <f>IFERROR(""&amp;INDEX(tk_ANCHOR,MATCH(500,tk_ASEQ,0)),"")</f>
        <v/>
      </c>
      <c r="P506" s="162">
        <f>IFERROR(""&amp;INDEX(tk_RATING,MATCH(500,tk_ASEQ,0)),"")</f>
        <v/>
      </c>
      <c r="Q506" s="162">
        <f>IFERROR(""&amp;INDEX(tk_LABEL,MATCH(500,tk_ASEQ,0)),"")</f>
        <v/>
      </c>
      <c r="R506" s="162">
        <f>IFERROR(""&amp;INDEX(tk_HWSET,MATCH(500,tk_ASEQ,0)),"")</f>
        <v/>
      </c>
      <c r="S506" s="162">
        <f>IFERROR(IF(""&amp;INDEX(tk_HINGES,MATCH(500,tk_ASEQ,0))="","",INDEX(tk_HINGES,MATCH(500,tk_ASEQ,0))&amp;" · "&amp;INDEX(tk_LSRC,MATCH(500,tk_ASEQ,0))),"")</f>
        <v/>
      </c>
      <c r="T506" s="162">
        <f>IFERROR(""&amp;INDEX(tk_LOCK,MATCH(500,tk_ASEQ,0)),"")</f>
        <v/>
      </c>
      <c r="U506" s="162">
        <f>IFERROR(INDEX(tk_ETYPE,MATCH(500,tk_ASEQ,0)),"")</f>
        <v/>
      </c>
      <c r="V506" s="162">
        <f>IFERROR(""&amp;INDEX(tk_CHECK,MATCH(500,tk_ASEQ,0)),"")</f>
        <v/>
      </c>
      <c r="W506" s="162">
        <f>IFERROR(TRIM(INDEX(tk_DNOTES,MATCH(500,tk_ASEQ,0))&amp;" "&amp;INDEX(tk_FNOTES,MATCH(500,tk_ASEQ,0))),"")</f>
        <v/>
      </c>
    </row>
  </sheetData>
  <conditionalFormatting sqref="A7:W506">
    <cfRule type="expression" priority="1" dxfId="9">
      <formula>AND($A7&lt;&gt;"",MOD(ROW(),2)=0)</formula>
    </cfRule>
  </conditionalFormatting>
  <conditionalFormatting sqref="V7:V506">
    <cfRule type="cellIs" priority="2" operator="equal" dxfId="10">
      <formula>"OK"</formula>
    </cfRule>
    <cfRule type="cellIs" priority="3" operator="equal" dxfId="11">
      <formula>"FIX"</formula>
    </cfRule>
    <cfRule type="cellIs" priority="4" operator="equal" dxfId="12">
      <formula>"CHECK"</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6B4A8E"/>
    <outlinePr summaryBelow="1" summaryRight="1"/>
    <pageSetUpPr/>
  </sheetPr>
  <dimension ref="A1:T306"/>
  <sheetViews>
    <sheetView showGridLines="0" workbookViewId="0">
      <pane ySplit="6" topLeftCell="A7" activePane="bottomLeft" state="frozen"/>
      <selection pane="bottomLeft" activeCell="A1" sqref="A1"/>
    </sheetView>
  </sheetViews>
  <sheetFormatPr baseColWidth="8" defaultRowHeight="15"/>
  <cols>
    <col width="6" customWidth="1" min="1" max="1"/>
    <col width="26" customWidth="1" min="2" max="2"/>
    <col width="5" customWidth="1" min="3" max="3"/>
    <col width="5" customWidth="1" min="4" max="4"/>
    <col width="16" customWidth="1" min="5" max="5"/>
    <col width="13" customWidth="1" min="6" max="6"/>
    <col width="24" customWidth="1" min="7" max="7"/>
    <col width="8" customWidth="1" min="8" max="8"/>
    <col width="18" customWidth="1" min="9" max="9"/>
    <col width="6" customWidth="1" min="10" max="10"/>
    <col width="13" customWidth="1" min="11" max="11"/>
    <col width="2" customWidth="1" min="12" max="12"/>
    <col width="6" customWidth="1" min="13" max="13"/>
    <col width="26" customWidth="1" min="14" max="14"/>
    <col width="9" customWidth="1" min="15" max="15"/>
    <col width="9" customWidth="1" min="16" max="16"/>
    <col width="2" customWidth="1" min="17" max="17"/>
    <col hidden="1" outlineLevel="1" width="6" customWidth="1" min="18" max="20"/>
  </cols>
  <sheetData>
    <row r="1" ht="30" customHeight="1">
      <c r="A1" s="1" t="n"/>
      <c r="B1" s="38" t="inlineStr">
        <is>
          <t>HARDWARE SETS</t>
        </is>
      </c>
      <c r="C1" s="1" t="n"/>
      <c r="D1" s="1" t="n"/>
      <c r="E1" s="1" t="n"/>
      <c r="F1" s="1" t="n"/>
      <c r="G1" s="1" t="n"/>
      <c r="H1" s="1" t="n"/>
      <c r="I1" s="1" t="n"/>
      <c r="J1" s="1" t="n"/>
      <c r="K1" s="1" t="n"/>
      <c r="L1" s="1" t="n"/>
      <c r="M1" s="1" t="n"/>
      <c r="N1" s="1" t="n"/>
      <c r="O1" s="1" t="n"/>
      <c r="P1" s="1" t="n"/>
      <c r="Q1" s="1" t="n"/>
      <c r="R1" s="1" t="n"/>
      <c r="S1" s="1" t="n"/>
      <c r="T1" s="39">
        <f>IF(JobName="","OPENING TAKEOFF  ·  FORM 3.2",JobName&amp;IF(JobNo="",""," · JOB "&amp;JobNo))</f>
        <v/>
      </c>
    </row>
    <row r="2" ht="18" customHeight="1">
      <c r="A2" s="1" t="n"/>
      <c r="B2" s="40" t="inlineStr">
        <is>
          <t>Type the set number once, on the first line of the set; one item per line under it — the set carries down until the next number. QTY is per opening (a pair: both leaves).</t>
        </is>
      </c>
      <c r="C2" s="1" t="n"/>
      <c r="D2" s="1" t="n"/>
      <c r="E2" s="1" t="n"/>
      <c r="F2" s="1" t="n"/>
      <c r="G2" s="1" t="n"/>
      <c r="H2" s="1" t="n"/>
      <c r="I2" s="1" t="n"/>
      <c r="J2" s="1" t="n"/>
      <c r="K2" s="1" t="n"/>
      <c r="L2" s="1" t="n"/>
      <c r="M2" s="1" t="n"/>
      <c r="N2" s="1" t="n"/>
      <c r="O2" s="1" t="n"/>
      <c r="P2" s="1" t="n"/>
      <c r="Q2" s="1" t="n"/>
      <c r="R2" s="1" t="n"/>
      <c r="S2" s="1" t="n"/>
      <c r="T2" s="41">
        <f>TEXT(JobDate,"mmm d, yyyy")&amp;IF(JobRev="",""," · "&amp;JobRev)</f>
        <v/>
      </c>
    </row>
    <row r="3" ht="4" customHeight="1">
      <c r="A3" s="6" t="n"/>
      <c r="B3" s="6" t="n"/>
      <c r="C3" s="6" t="n"/>
      <c r="D3" s="6" t="n"/>
      <c r="E3" s="6" t="n"/>
      <c r="F3" s="6" t="n"/>
      <c r="G3" s="6" t="n"/>
      <c r="H3" s="6" t="n"/>
      <c r="I3" s="6" t="n"/>
      <c r="J3" s="6" t="n"/>
      <c r="K3" s="6" t="n"/>
      <c r="L3" s="6" t="n"/>
      <c r="M3" s="6" t="n"/>
      <c r="N3" s="6" t="n"/>
      <c r="O3" s="6" t="n"/>
      <c r="P3" s="6" t="n"/>
      <c r="Q3" s="6" t="n"/>
      <c r="R3" s="6" t="n"/>
      <c r="S3" s="6" t="n"/>
      <c r="T3" s="6" t="n"/>
    </row>
    <row r="5" ht="18" customHeight="1">
      <c r="A5" s="7" t="inlineStr">
        <is>
          <t>BUILD YOUR SETS — yellow cells are yours</t>
        </is>
      </c>
      <c r="B5" s="8" t="n"/>
      <c r="C5" s="8" t="n"/>
      <c r="D5" s="8" t="n"/>
      <c r="E5" s="8" t="n"/>
      <c r="F5" s="8" t="n"/>
      <c r="G5" s="8" t="n"/>
      <c r="H5" s="8" t="n"/>
      <c r="I5" s="8" t="n"/>
      <c r="J5" s="70" t="inlineStr">
        <is>
          <t>CALCULATED</t>
        </is>
      </c>
      <c r="K5" s="31" t="n"/>
      <c r="M5" s="68" t="inlineStr">
        <is>
          <t>SET INDEX — feeds the HW SET dropdown</t>
        </is>
      </c>
      <c r="N5" s="29" t="n"/>
      <c r="O5" s="29" t="n"/>
      <c r="P5" s="29" t="n"/>
    </row>
    <row r="6">
      <c r="A6" s="163" t="inlineStr">
        <is>
          <t>SET</t>
        </is>
      </c>
      <c r="B6" s="163" t="inlineStr">
        <is>
          <t>SET DESCRIPTION</t>
        </is>
      </c>
      <c r="C6" s="163" t="inlineStr">
        <is>
          <t>QTY</t>
        </is>
      </c>
      <c r="D6" s="163" t="inlineStr">
        <is>
          <t>UNIT</t>
        </is>
      </c>
      <c r="E6" s="163" t="inlineStr">
        <is>
          <t>ITEM</t>
        </is>
      </c>
      <c r="F6" s="163" t="inlineStr">
        <is>
          <t>MANUF.</t>
        </is>
      </c>
      <c r="G6" s="163" t="inlineStr">
        <is>
          <t>MODEL / CATALOG</t>
        </is>
      </c>
      <c r="H6" s="163" t="inlineStr">
        <is>
          <t>FINISH</t>
        </is>
      </c>
      <c r="I6" s="163" t="inlineStr">
        <is>
          <t>NOTES</t>
        </is>
      </c>
      <c r="J6" s="164" t="inlineStr">
        <is>
          <t>SET</t>
        </is>
      </c>
      <c r="K6" s="164" t="inlineStr">
        <is>
          <t>CHECK</t>
        </is>
      </c>
      <c r="M6" s="163" t="inlineStr">
        <is>
          <t>SET</t>
        </is>
      </c>
      <c r="N6" s="163" t="inlineStr">
        <is>
          <t>DESCRIPTION</t>
        </is>
      </c>
      <c r="O6" s="163" t="inlineStr">
        <is>
          <t>OPENINGS</t>
        </is>
      </c>
      <c r="P6" s="163" t="inlineStr">
        <is>
          <t>TOTAL QTY</t>
        </is>
      </c>
      <c r="R6" s="164" t="inlineStr">
        <is>
          <t>CARRY</t>
        </is>
      </c>
      <c r="S6" s="164" t="inlineStr">
        <is>
          <t>ITEM SEQ</t>
        </is>
      </c>
      <c r="T6" s="164" t="inlineStr">
        <is>
          <t>SET SEQ</t>
        </is>
      </c>
    </row>
    <row r="7">
      <c r="A7" s="165" t="inlineStr">
        <is>
          <t>1</t>
        </is>
      </c>
      <c r="B7" s="166" t="inlineStr">
        <is>
          <t>Office lock, closer</t>
        </is>
      </c>
      <c r="C7" s="166" t="n">
        <v>3</v>
      </c>
      <c r="D7" s="166" t="inlineStr">
        <is>
          <t>EA</t>
        </is>
      </c>
      <c r="E7" s="166" t="inlineStr">
        <is>
          <t>HINGE</t>
        </is>
      </c>
      <c r="F7" s="166" t="inlineStr">
        <is>
          <t>IVES</t>
        </is>
      </c>
      <c r="G7" s="166" t="inlineStr">
        <is>
          <t>5BB1 4.5x4.5</t>
        </is>
      </c>
      <c r="H7" s="166" t="inlineStr">
        <is>
          <t>652</t>
        </is>
      </c>
      <c r="I7" s="166" t="n"/>
      <c r="J7" s="167">
        <f>IF(TRIM($E7&amp;"")="","",$R7)</f>
        <v/>
      </c>
      <c r="K7" s="167">
        <f>IF(AND(TRIM($A7&amp;"")&lt;&gt;"",COUNTIF($A$7:$A$306,$A7)&gt;1),"DUPLICATE SET",IF(AND($E7&lt;&gt;"",$R7=""),"NO SET ABOVE",IF(AND($E7&lt;&gt;"",$C7=""),"QTY?",IF($J7="","","OK"))))</f>
        <v/>
      </c>
      <c r="L7" s="168" t="n"/>
      <c r="M7" s="169">
        <f>IFERROR(INDEX($R$7:$R$306,MATCH(1,$T$7:$T$306,0)),"")</f>
        <v/>
      </c>
      <c r="N7" s="170">
        <f>IF($M7="","",INDEX($B$7:$B$306,MATCH(1,$T$7:$T$306,0))&amp;"")</f>
        <v/>
      </c>
      <c r="O7" s="170">
        <f>IF($M7="","",SUMIF(tk_HWSET,$M7,tk_QTY))</f>
        <v/>
      </c>
      <c r="P7" s="170">
        <f>IF($M7="","",COUNTIF($J$7:$J$306,$M7))</f>
        <v/>
      </c>
      <c r="Q7" s="168" t="n"/>
      <c r="R7" s="168">
        <f>IF(TRIM($A7&amp;"")&lt;&gt;"",TRIM($A7&amp;""),"")</f>
        <v/>
      </c>
      <c r="S7" s="168">
        <f>IF($J7="","",1)</f>
        <v/>
      </c>
      <c r="T7" s="168">
        <f>IF(TRIM($A7&amp;"")="","",1)</f>
        <v/>
      </c>
    </row>
    <row r="8">
      <c r="A8" s="165" t="n"/>
      <c r="B8" s="166" t="n"/>
      <c r="C8" s="166" t="n">
        <v>1</v>
      </c>
      <c r="D8" s="166" t="inlineStr">
        <is>
          <t>EA</t>
        </is>
      </c>
      <c r="E8" s="166" t="inlineStr">
        <is>
          <t>LOCKSET</t>
        </is>
      </c>
      <c r="F8" s="166" t="inlineStr">
        <is>
          <t>SCHLAGE</t>
        </is>
      </c>
      <c r="G8" s="166" t="inlineStr">
        <is>
          <t>ND50PD RHO</t>
        </is>
      </c>
      <c r="H8" s="166" t="inlineStr">
        <is>
          <t>626</t>
        </is>
      </c>
      <c r="I8" s="166" t="n"/>
      <c r="J8" s="167">
        <f>IF(TRIM($E8&amp;"")="","",$R8)</f>
        <v/>
      </c>
      <c r="K8" s="167">
        <f>IF(AND(TRIM($A8&amp;"")&lt;&gt;"",COUNTIF($A$7:$A$306,$A8)&gt;1),"DUPLICATE SET",IF(AND($E8&lt;&gt;"",$R8=""),"NO SET ABOVE",IF(AND($E8&lt;&gt;"",$C8=""),"QTY?",IF($J8="","","OK"))))</f>
        <v/>
      </c>
      <c r="L8" s="168" t="n"/>
      <c r="M8" s="169">
        <f>IFERROR(INDEX($R$7:$R$306,MATCH(2,$T$7:$T$306,0)),"")</f>
        <v/>
      </c>
      <c r="N8" s="170">
        <f>IF($M8="","",INDEX($B$7:$B$306,MATCH(2,$T$7:$T$306,0))&amp;"")</f>
        <v/>
      </c>
      <c r="O8" s="170">
        <f>IF($M8="","",SUMIF(tk_HWSET,$M8,tk_QTY))</f>
        <v/>
      </c>
      <c r="P8" s="170">
        <f>IF($M8="","",COUNTIF($J$7:$J$306,$M8))</f>
        <v/>
      </c>
      <c r="Q8" s="168" t="n"/>
      <c r="R8" s="168">
        <f>IF(TRIM($A8&amp;"")&lt;&gt;"",TRIM($A8&amp;""),$R7)</f>
        <v/>
      </c>
      <c r="S8" s="168">
        <f>IF($J8="","",MAX($S$6:$S7)+1)</f>
        <v/>
      </c>
      <c r="T8" s="168">
        <f>IF(TRIM($A8&amp;"")="","",MAX($T$6:$T7)+1)</f>
        <v/>
      </c>
    </row>
    <row r="9">
      <c r="A9" s="165" t="n"/>
      <c r="B9" s="166" t="n"/>
      <c r="C9" s="166" t="n">
        <v>1</v>
      </c>
      <c r="D9" s="166" t="inlineStr">
        <is>
          <t>EA</t>
        </is>
      </c>
      <c r="E9" s="166" t="inlineStr">
        <is>
          <t>CLOSER</t>
        </is>
      </c>
      <c r="F9" s="166" t="inlineStr">
        <is>
          <t>LCN</t>
        </is>
      </c>
      <c r="G9" s="166" t="inlineStr">
        <is>
          <t>4040XP RW/PA</t>
        </is>
      </c>
      <c r="H9" s="166" t="inlineStr">
        <is>
          <t>689</t>
        </is>
      </c>
      <c r="I9" s="166" t="n"/>
      <c r="J9" s="167">
        <f>IF(TRIM($E9&amp;"")="","",$R9)</f>
        <v/>
      </c>
      <c r="K9" s="167">
        <f>IF(AND(TRIM($A9&amp;"")&lt;&gt;"",COUNTIF($A$7:$A$306,$A9)&gt;1),"DUPLICATE SET",IF(AND($E9&lt;&gt;"",$R9=""),"NO SET ABOVE",IF(AND($E9&lt;&gt;"",$C9=""),"QTY?",IF($J9="","","OK"))))</f>
        <v/>
      </c>
      <c r="L9" s="168" t="n"/>
      <c r="M9" s="169">
        <f>IFERROR(INDEX($R$7:$R$306,MATCH(3,$T$7:$T$306,0)),"")</f>
        <v/>
      </c>
      <c r="N9" s="170">
        <f>IF($M9="","",INDEX($B$7:$B$306,MATCH(3,$T$7:$T$306,0))&amp;"")</f>
        <v/>
      </c>
      <c r="O9" s="170">
        <f>IF($M9="","",SUMIF(tk_HWSET,$M9,tk_QTY))</f>
        <v/>
      </c>
      <c r="P9" s="170">
        <f>IF($M9="","",COUNTIF($J$7:$J$306,$M9))</f>
        <v/>
      </c>
      <c r="Q9" s="168" t="n"/>
      <c r="R9" s="168">
        <f>IF(TRIM($A9&amp;"")&lt;&gt;"",TRIM($A9&amp;""),$R8)</f>
        <v/>
      </c>
      <c r="S9" s="168">
        <f>IF($J9="","",MAX($S$6:$S8)+1)</f>
        <v/>
      </c>
      <c r="T9" s="168">
        <f>IF(TRIM($A9&amp;"")="","",MAX($T$6:$T8)+1)</f>
        <v/>
      </c>
    </row>
    <row r="10">
      <c r="A10" s="165" t="n"/>
      <c r="B10" s="166" t="n"/>
      <c r="C10" s="166" t="n">
        <v>1</v>
      </c>
      <c r="D10" s="166" t="inlineStr">
        <is>
          <t>EA</t>
        </is>
      </c>
      <c r="E10" s="166" t="inlineStr">
        <is>
          <t>WALL STOP</t>
        </is>
      </c>
      <c r="F10" s="166" t="inlineStr">
        <is>
          <t>IVES</t>
        </is>
      </c>
      <c r="G10" s="166" t="inlineStr">
        <is>
          <t>WS406/407CVX</t>
        </is>
      </c>
      <c r="H10" s="166" t="inlineStr">
        <is>
          <t>626</t>
        </is>
      </c>
      <c r="I10" s="166" t="n"/>
      <c r="J10" s="167">
        <f>IF(TRIM($E10&amp;"")="","",$R10)</f>
        <v/>
      </c>
      <c r="K10" s="167">
        <f>IF(AND(TRIM($A10&amp;"")&lt;&gt;"",COUNTIF($A$7:$A$306,$A10)&gt;1),"DUPLICATE SET",IF(AND($E10&lt;&gt;"",$R10=""),"NO SET ABOVE",IF(AND($E10&lt;&gt;"",$C10=""),"QTY?",IF($J10="","","OK"))))</f>
        <v/>
      </c>
      <c r="L10" s="168" t="n"/>
      <c r="M10" s="169">
        <f>IFERROR(INDEX($R$7:$R$306,MATCH(4,$T$7:$T$306,0)),"")</f>
        <v/>
      </c>
      <c r="N10" s="170">
        <f>IF($M10="","",INDEX($B$7:$B$306,MATCH(4,$T$7:$T$306,0))&amp;"")</f>
        <v/>
      </c>
      <c r="O10" s="170">
        <f>IF($M10="","",SUMIF(tk_HWSET,$M10,tk_QTY))</f>
        <v/>
      </c>
      <c r="P10" s="170">
        <f>IF($M10="","",COUNTIF($J$7:$J$306,$M10))</f>
        <v/>
      </c>
      <c r="Q10" s="168" t="n"/>
      <c r="R10" s="168">
        <f>IF(TRIM($A10&amp;"")&lt;&gt;"",TRIM($A10&amp;""),$R9)</f>
        <v/>
      </c>
      <c r="S10" s="168">
        <f>IF($J10="","",MAX($S$6:$S9)+1)</f>
        <v/>
      </c>
      <c r="T10" s="168">
        <f>IF(TRIM($A10&amp;"")="","",MAX($T$6:$T9)+1)</f>
        <v/>
      </c>
    </row>
    <row r="11">
      <c r="A11" s="165" t="n"/>
      <c r="B11" s="166" t="n"/>
      <c r="C11" s="166" t="n">
        <v>3</v>
      </c>
      <c r="D11" s="166" t="inlineStr">
        <is>
          <t>EA</t>
        </is>
      </c>
      <c r="E11" s="166" t="inlineStr">
        <is>
          <t>SILENCER</t>
        </is>
      </c>
      <c r="F11" s="166" t="inlineStr">
        <is>
          <t>IVES</t>
        </is>
      </c>
      <c r="G11" s="166" t="inlineStr">
        <is>
          <t>SR64</t>
        </is>
      </c>
      <c r="H11" s="166" t="inlineStr">
        <is>
          <t>GRY</t>
        </is>
      </c>
      <c r="I11" s="166" t="n"/>
      <c r="J11" s="167">
        <f>IF(TRIM($E11&amp;"")="","",$R11)</f>
        <v/>
      </c>
      <c r="K11" s="167">
        <f>IF(AND(TRIM($A11&amp;"")&lt;&gt;"",COUNTIF($A$7:$A$306,$A11)&gt;1),"DUPLICATE SET",IF(AND($E11&lt;&gt;"",$R11=""),"NO SET ABOVE",IF(AND($E11&lt;&gt;"",$C11=""),"QTY?",IF($J11="","","OK"))))</f>
        <v/>
      </c>
      <c r="L11" s="168" t="n"/>
      <c r="M11" s="169">
        <f>IFERROR(INDEX($R$7:$R$306,MATCH(5,$T$7:$T$306,0)),"")</f>
        <v/>
      </c>
      <c r="N11" s="170">
        <f>IF($M11="","",INDEX($B$7:$B$306,MATCH(5,$T$7:$T$306,0))&amp;"")</f>
        <v/>
      </c>
      <c r="O11" s="170">
        <f>IF($M11="","",SUMIF(tk_HWSET,$M11,tk_QTY))</f>
        <v/>
      </c>
      <c r="P11" s="170">
        <f>IF($M11="","",COUNTIF($J$7:$J$306,$M11))</f>
        <v/>
      </c>
      <c r="Q11" s="168" t="n"/>
      <c r="R11" s="168">
        <f>IF(TRIM($A11&amp;"")&lt;&gt;"",TRIM($A11&amp;""),$R10)</f>
        <v/>
      </c>
      <c r="S11" s="168">
        <f>IF($J11="","",MAX($S$6:$S10)+1)</f>
        <v/>
      </c>
      <c r="T11" s="168">
        <f>IF(TRIM($A11&amp;"")="","",MAX($T$6:$T10)+1)</f>
        <v/>
      </c>
    </row>
    <row r="12">
      <c r="A12" s="165" t="inlineStr">
        <is>
          <t>2</t>
        </is>
      </c>
      <c r="B12" s="166" t="inlineStr">
        <is>
          <t>Pair, rated exit device, closers</t>
        </is>
      </c>
      <c r="C12" s="166" t="n">
        <v>8</v>
      </c>
      <c r="D12" s="166" t="inlineStr">
        <is>
          <t>EA</t>
        </is>
      </c>
      <c r="E12" s="166" t="inlineStr">
        <is>
          <t>HINGE</t>
        </is>
      </c>
      <c r="F12" s="166" t="inlineStr">
        <is>
          <t>IVES</t>
        </is>
      </c>
      <c r="G12" s="166" t="inlineStr">
        <is>
          <t>5BB1HW 4.5x4.5 NRP</t>
        </is>
      </c>
      <c r="H12" s="166" t="inlineStr">
        <is>
          <t>652</t>
        </is>
      </c>
      <c r="I12" s="166" t="n"/>
      <c r="J12" s="167">
        <f>IF(TRIM($E12&amp;"")="","",$R12)</f>
        <v/>
      </c>
      <c r="K12" s="167">
        <f>IF(AND(TRIM($A12&amp;"")&lt;&gt;"",COUNTIF($A$7:$A$306,$A12)&gt;1),"DUPLICATE SET",IF(AND($E12&lt;&gt;"",$R12=""),"NO SET ABOVE",IF(AND($E12&lt;&gt;"",$C12=""),"QTY?",IF($J12="","","OK"))))</f>
        <v/>
      </c>
      <c r="L12" s="168" t="n"/>
      <c r="M12" s="169">
        <f>IFERROR(INDEX($R$7:$R$306,MATCH(6,$T$7:$T$306,0)),"")</f>
        <v/>
      </c>
      <c r="N12" s="170">
        <f>IF($M12="","",INDEX($B$7:$B$306,MATCH(6,$T$7:$T$306,0))&amp;"")</f>
        <v/>
      </c>
      <c r="O12" s="170">
        <f>IF($M12="","",SUMIF(tk_HWSET,$M12,tk_QTY))</f>
        <v/>
      </c>
      <c r="P12" s="170">
        <f>IF($M12="","",COUNTIF($J$7:$J$306,$M12))</f>
        <v/>
      </c>
      <c r="Q12" s="168" t="n"/>
      <c r="R12" s="168">
        <f>IF(TRIM($A12&amp;"")&lt;&gt;"",TRIM($A12&amp;""),$R11)</f>
        <v/>
      </c>
      <c r="S12" s="168">
        <f>IF($J12="","",MAX($S$6:$S11)+1)</f>
        <v/>
      </c>
      <c r="T12" s="168">
        <f>IF(TRIM($A12&amp;"")="","",MAX($T$6:$T11)+1)</f>
        <v/>
      </c>
    </row>
    <row r="13">
      <c r="A13" s="165" t="n"/>
      <c r="B13" s="166" t="n"/>
      <c r="C13" s="166" t="n">
        <v>1</v>
      </c>
      <c r="D13" s="166" t="inlineStr">
        <is>
          <t>EA</t>
        </is>
      </c>
      <c r="E13" s="166" t="inlineStr">
        <is>
          <t>EXIT DEVICE</t>
        </is>
      </c>
      <c r="F13" s="166" t="inlineStr">
        <is>
          <t>VON DUPRIN</t>
        </is>
      </c>
      <c r="G13" s="166" t="inlineStr">
        <is>
          <t>98-L-F x 996L</t>
        </is>
      </c>
      <c r="H13" s="166" t="inlineStr">
        <is>
          <t>626</t>
        </is>
      </c>
      <c r="I13" s="166" t="n"/>
      <c r="J13" s="167">
        <f>IF(TRIM($E13&amp;"")="","",$R13)</f>
        <v/>
      </c>
      <c r="K13" s="167">
        <f>IF(AND(TRIM($A13&amp;"")&lt;&gt;"",COUNTIF($A$7:$A$306,$A13)&gt;1),"DUPLICATE SET",IF(AND($E13&lt;&gt;"",$R13=""),"NO SET ABOVE",IF(AND($E13&lt;&gt;"",$C13=""),"QTY?",IF($J13="","","OK"))))</f>
        <v/>
      </c>
      <c r="L13" s="168" t="n"/>
      <c r="M13" s="169">
        <f>IFERROR(INDEX($R$7:$R$306,MATCH(7,$T$7:$T$306,0)),"")</f>
        <v/>
      </c>
      <c r="N13" s="170">
        <f>IF($M13="","",INDEX($B$7:$B$306,MATCH(7,$T$7:$T$306,0))&amp;"")</f>
        <v/>
      </c>
      <c r="O13" s="170">
        <f>IF($M13="","",SUMIF(tk_HWSET,$M13,tk_QTY))</f>
        <v/>
      </c>
      <c r="P13" s="170">
        <f>IF($M13="","",COUNTIF($J$7:$J$306,$M13))</f>
        <v/>
      </c>
      <c r="Q13" s="168" t="n"/>
      <c r="R13" s="168">
        <f>IF(TRIM($A13&amp;"")&lt;&gt;"",TRIM($A13&amp;""),$R12)</f>
        <v/>
      </c>
      <c r="S13" s="168">
        <f>IF($J13="","",MAX($S$6:$S12)+1)</f>
        <v/>
      </c>
      <c r="T13" s="168">
        <f>IF(TRIM($A13&amp;"")="","",MAX($T$6:$T12)+1)</f>
        <v/>
      </c>
    </row>
    <row r="14">
      <c r="A14" s="165" t="n"/>
      <c r="B14" s="166" t="n"/>
      <c r="C14" s="166" t="n">
        <v>1</v>
      </c>
      <c r="D14" s="166" t="inlineStr">
        <is>
          <t>EA</t>
        </is>
      </c>
      <c r="E14" s="166" t="inlineStr">
        <is>
          <t>EXIT DEVICE</t>
        </is>
      </c>
      <c r="F14" s="166" t="inlineStr">
        <is>
          <t>VON DUPRIN</t>
        </is>
      </c>
      <c r="G14" s="166" t="inlineStr">
        <is>
          <t>9827-EO-F</t>
        </is>
      </c>
      <c r="H14" s="166" t="inlineStr">
        <is>
          <t>626</t>
        </is>
      </c>
      <c r="I14" s="166" t="n"/>
      <c r="J14" s="167">
        <f>IF(TRIM($E14&amp;"")="","",$R14)</f>
        <v/>
      </c>
      <c r="K14" s="167">
        <f>IF(AND(TRIM($A14&amp;"")&lt;&gt;"",COUNTIF($A$7:$A$306,$A14)&gt;1),"DUPLICATE SET",IF(AND($E14&lt;&gt;"",$R14=""),"NO SET ABOVE",IF(AND($E14&lt;&gt;"",$C14=""),"QTY?",IF($J14="","","OK"))))</f>
        <v/>
      </c>
      <c r="L14" s="168" t="n"/>
      <c r="M14" s="169">
        <f>IFERROR(INDEX($R$7:$R$306,MATCH(8,$T$7:$T$306,0)),"")</f>
        <v/>
      </c>
      <c r="N14" s="170">
        <f>IF($M14="","",INDEX($B$7:$B$306,MATCH(8,$T$7:$T$306,0))&amp;"")</f>
        <v/>
      </c>
      <c r="O14" s="170">
        <f>IF($M14="","",SUMIF(tk_HWSET,$M14,tk_QTY))</f>
        <v/>
      </c>
      <c r="P14" s="170">
        <f>IF($M14="","",COUNTIF($J$7:$J$306,$M14))</f>
        <v/>
      </c>
      <c r="Q14" s="168" t="n"/>
      <c r="R14" s="168">
        <f>IF(TRIM($A14&amp;"")&lt;&gt;"",TRIM($A14&amp;""),$R13)</f>
        <v/>
      </c>
      <c r="S14" s="168">
        <f>IF($J14="","",MAX($S$6:$S13)+1)</f>
        <v/>
      </c>
      <c r="T14" s="168">
        <f>IF(TRIM($A14&amp;"")="","",MAX($T$6:$T13)+1)</f>
        <v/>
      </c>
    </row>
    <row r="15">
      <c r="A15" s="165" t="n"/>
      <c r="B15" s="166" t="n"/>
      <c r="C15" s="166" t="n">
        <v>2</v>
      </c>
      <c r="D15" s="166" t="inlineStr">
        <is>
          <t>EA</t>
        </is>
      </c>
      <c r="E15" s="166" t="inlineStr">
        <is>
          <t>CLOSER</t>
        </is>
      </c>
      <c r="F15" s="166" t="inlineStr">
        <is>
          <t>LCN</t>
        </is>
      </c>
      <c r="G15" s="166" t="inlineStr">
        <is>
          <t>4040XP EDA</t>
        </is>
      </c>
      <c r="H15" s="166" t="inlineStr">
        <is>
          <t>689</t>
        </is>
      </c>
      <c r="I15" s="166" t="n"/>
      <c r="J15" s="167">
        <f>IF(TRIM($E15&amp;"")="","",$R15)</f>
        <v/>
      </c>
      <c r="K15" s="167">
        <f>IF(AND(TRIM($A15&amp;"")&lt;&gt;"",COUNTIF($A$7:$A$306,$A15)&gt;1),"DUPLICATE SET",IF(AND($E15&lt;&gt;"",$R15=""),"NO SET ABOVE",IF(AND($E15&lt;&gt;"",$C15=""),"QTY?",IF($J15="","","OK"))))</f>
        <v/>
      </c>
      <c r="L15" s="168" t="n"/>
      <c r="M15" s="169">
        <f>IFERROR(INDEX($R$7:$R$306,MATCH(9,$T$7:$T$306,0)),"")</f>
        <v/>
      </c>
      <c r="N15" s="170">
        <f>IF($M15="","",INDEX($B$7:$B$306,MATCH(9,$T$7:$T$306,0))&amp;"")</f>
        <v/>
      </c>
      <c r="O15" s="170">
        <f>IF($M15="","",SUMIF(tk_HWSET,$M15,tk_QTY))</f>
        <v/>
      </c>
      <c r="P15" s="170">
        <f>IF($M15="","",COUNTIF($J$7:$J$306,$M15))</f>
        <v/>
      </c>
      <c r="Q15" s="168" t="n"/>
      <c r="R15" s="168">
        <f>IF(TRIM($A15&amp;"")&lt;&gt;"",TRIM($A15&amp;""),$R14)</f>
        <v/>
      </c>
      <c r="S15" s="168">
        <f>IF($J15="","",MAX($S$6:$S14)+1)</f>
        <v/>
      </c>
      <c r="T15" s="168">
        <f>IF(TRIM($A15&amp;"")="","",MAX($T$6:$T14)+1)</f>
        <v/>
      </c>
    </row>
    <row r="16">
      <c r="A16" s="165" t="n"/>
      <c r="B16" s="166" t="n"/>
      <c r="C16" s="166" t="n">
        <v>1</v>
      </c>
      <c r="D16" s="166" t="inlineStr">
        <is>
          <t>EA</t>
        </is>
      </c>
      <c r="E16" s="166" t="inlineStr">
        <is>
          <t>COORDINATOR</t>
        </is>
      </c>
      <c r="F16" s="166" t="inlineStr">
        <is>
          <t>IVES</t>
        </is>
      </c>
      <c r="G16" s="166" t="inlineStr">
        <is>
          <t>COR x FL</t>
        </is>
      </c>
      <c r="H16" s="166" t="inlineStr">
        <is>
          <t>PRIMED</t>
        </is>
      </c>
      <c r="I16" s="166" t="n"/>
      <c r="J16" s="167">
        <f>IF(TRIM($E16&amp;"")="","",$R16)</f>
        <v/>
      </c>
      <c r="K16" s="167">
        <f>IF(AND(TRIM($A16&amp;"")&lt;&gt;"",COUNTIF($A$7:$A$306,$A16)&gt;1),"DUPLICATE SET",IF(AND($E16&lt;&gt;"",$R16=""),"NO SET ABOVE",IF(AND($E16&lt;&gt;"",$C16=""),"QTY?",IF($J16="","","OK"))))</f>
        <v/>
      </c>
      <c r="L16" s="168" t="n"/>
      <c r="M16" s="169">
        <f>IFERROR(INDEX($R$7:$R$306,MATCH(10,$T$7:$T$306,0)),"")</f>
        <v/>
      </c>
      <c r="N16" s="170">
        <f>IF($M16="","",INDEX($B$7:$B$306,MATCH(10,$T$7:$T$306,0))&amp;"")</f>
        <v/>
      </c>
      <c r="O16" s="170">
        <f>IF($M16="","",SUMIF(tk_HWSET,$M16,tk_QTY))</f>
        <v/>
      </c>
      <c r="P16" s="170">
        <f>IF($M16="","",COUNTIF($J$7:$J$306,$M16))</f>
        <v/>
      </c>
      <c r="Q16" s="168" t="n"/>
      <c r="R16" s="168">
        <f>IF(TRIM($A16&amp;"")&lt;&gt;"",TRIM($A16&amp;""),$R15)</f>
        <v/>
      </c>
      <c r="S16" s="168">
        <f>IF($J16="","",MAX($S$6:$S15)+1)</f>
        <v/>
      </c>
      <c r="T16" s="168">
        <f>IF(TRIM($A16&amp;"")="","",MAX($T$6:$T15)+1)</f>
        <v/>
      </c>
    </row>
    <row r="17">
      <c r="A17" s="165" t="n"/>
      <c r="B17" s="166" t="n"/>
      <c r="C17" s="166" t="n">
        <v>1</v>
      </c>
      <c r="D17" s="166" t="inlineStr">
        <is>
          <t>SET</t>
        </is>
      </c>
      <c r="E17" s="166" t="inlineStr">
        <is>
          <t>WEATHERSTRIP</t>
        </is>
      </c>
      <c r="F17" s="166" t="inlineStr">
        <is>
          <t>PEMKO</t>
        </is>
      </c>
      <c r="G17" s="166" t="inlineStr">
        <is>
          <t>S88D head &amp; jambs</t>
        </is>
      </c>
      <c r="H17" s="166" t="inlineStr"/>
      <c r="I17" s="166" t="n"/>
      <c r="J17" s="167">
        <f>IF(TRIM($E17&amp;"")="","",$R17)</f>
        <v/>
      </c>
      <c r="K17" s="167">
        <f>IF(AND(TRIM($A17&amp;"")&lt;&gt;"",COUNTIF($A$7:$A$306,$A17)&gt;1),"DUPLICATE SET",IF(AND($E17&lt;&gt;"",$R17=""),"NO SET ABOVE",IF(AND($E17&lt;&gt;"",$C17=""),"QTY?",IF($J17="","","OK"))))</f>
        <v/>
      </c>
      <c r="L17" s="168" t="n"/>
      <c r="M17" s="169">
        <f>IFERROR(INDEX($R$7:$R$306,MATCH(11,$T$7:$T$306,0)),"")</f>
        <v/>
      </c>
      <c r="N17" s="170">
        <f>IF($M17="","",INDEX($B$7:$B$306,MATCH(11,$T$7:$T$306,0))&amp;"")</f>
        <v/>
      </c>
      <c r="O17" s="170">
        <f>IF($M17="","",SUMIF(tk_HWSET,$M17,tk_QTY))</f>
        <v/>
      </c>
      <c r="P17" s="170">
        <f>IF($M17="","",COUNTIF($J$7:$J$306,$M17))</f>
        <v/>
      </c>
      <c r="Q17" s="168" t="n"/>
      <c r="R17" s="168">
        <f>IF(TRIM($A17&amp;"")&lt;&gt;"",TRIM($A17&amp;""),$R16)</f>
        <v/>
      </c>
      <c r="S17" s="168">
        <f>IF($J17="","",MAX($S$6:$S16)+1)</f>
        <v/>
      </c>
      <c r="T17" s="168">
        <f>IF(TRIM($A17&amp;"")="","",MAX($T$6:$T16)+1)</f>
        <v/>
      </c>
    </row>
    <row r="18">
      <c r="A18" s="165" t="inlineStr">
        <is>
          <t>3</t>
        </is>
      </c>
      <c r="B18" s="166" t="inlineStr">
        <is>
          <t>Exterior, exit device, weatherstrip</t>
        </is>
      </c>
      <c r="C18" s="166" t="n">
        <v>1</v>
      </c>
      <c r="D18" s="166" t="inlineStr">
        <is>
          <t>EA</t>
        </is>
      </c>
      <c r="E18" s="166" t="inlineStr">
        <is>
          <t>CONT. HINGE</t>
        </is>
      </c>
      <c r="F18" s="166" t="inlineStr">
        <is>
          <t>IVES</t>
        </is>
      </c>
      <c r="G18" s="166" t="inlineStr">
        <is>
          <t>112HD 83"</t>
        </is>
      </c>
      <c r="H18" s="166" t="inlineStr">
        <is>
          <t>628</t>
        </is>
      </c>
      <c r="I18" s="166" t="n"/>
      <c r="J18" s="167">
        <f>IF(TRIM($E18&amp;"")="","",$R18)</f>
        <v/>
      </c>
      <c r="K18" s="167">
        <f>IF(AND(TRIM($A18&amp;"")&lt;&gt;"",COUNTIF($A$7:$A$306,$A18)&gt;1),"DUPLICATE SET",IF(AND($E18&lt;&gt;"",$R18=""),"NO SET ABOVE",IF(AND($E18&lt;&gt;"",$C18=""),"QTY?",IF($J18="","","OK"))))</f>
        <v/>
      </c>
      <c r="L18" s="168" t="n"/>
      <c r="M18" s="169">
        <f>IFERROR(INDEX($R$7:$R$306,MATCH(12,$T$7:$T$306,0)),"")</f>
        <v/>
      </c>
      <c r="N18" s="170">
        <f>IF($M18="","",INDEX($B$7:$B$306,MATCH(12,$T$7:$T$306,0))&amp;"")</f>
        <v/>
      </c>
      <c r="O18" s="170">
        <f>IF($M18="","",SUMIF(tk_HWSET,$M18,tk_QTY))</f>
        <v/>
      </c>
      <c r="P18" s="170">
        <f>IF($M18="","",COUNTIF($J$7:$J$306,$M18))</f>
        <v/>
      </c>
      <c r="Q18" s="168" t="n"/>
      <c r="R18" s="168">
        <f>IF(TRIM($A18&amp;"")&lt;&gt;"",TRIM($A18&amp;""),$R17)</f>
        <v/>
      </c>
      <c r="S18" s="168">
        <f>IF($J18="","",MAX($S$6:$S17)+1)</f>
        <v/>
      </c>
      <c r="T18" s="168">
        <f>IF(TRIM($A18&amp;"")="","",MAX($T$6:$T17)+1)</f>
        <v/>
      </c>
    </row>
    <row r="19">
      <c r="A19" s="165" t="n"/>
      <c r="B19" s="166" t="n"/>
      <c r="C19" s="166" t="n">
        <v>1</v>
      </c>
      <c r="D19" s="166" t="inlineStr">
        <is>
          <t>EA</t>
        </is>
      </c>
      <c r="E19" s="166" t="inlineStr">
        <is>
          <t>EXIT DEVICE</t>
        </is>
      </c>
      <c r="F19" s="166" t="inlineStr">
        <is>
          <t>VON DUPRIN</t>
        </is>
      </c>
      <c r="G19" s="166" t="inlineStr">
        <is>
          <t>99-L-NL 996L</t>
        </is>
      </c>
      <c r="H19" s="166" t="inlineStr">
        <is>
          <t>626</t>
        </is>
      </c>
      <c r="I19" s="166" t="n"/>
      <c r="J19" s="167">
        <f>IF(TRIM($E19&amp;"")="","",$R19)</f>
        <v/>
      </c>
      <c r="K19" s="167">
        <f>IF(AND(TRIM($A19&amp;"")&lt;&gt;"",COUNTIF($A$7:$A$306,$A19)&gt;1),"DUPLICATE SET",IF(AND($E19&lt;&gt;"",$R19=""),"NO SET ABOVE",IF(AND($E19&lt;&gt;"",$C19=""),"QTY?",IF($J19="","","OK"))))</f>
        <v/>
      </c>
      <c r="L19" s="168" t="n"/>
      <c r="M19" s="169">
        <f>IFERROR(INDEX($R$7:$R$306,MATCH(13,$T$7:$T$306,0)),"")</f>
        <v/>
      </c>
      <c r="N19" s="170">
        <f>IF($M19="","",INDEX($B$7:$B$306,MATCH(13,$T$7:$T$306,0))&amp;"")</f>
        <v/>
      </c>
      <c r="O19" s="170">
        <f>IF($M19="","",SUMIF(tk_HWSET,$M19,tk_QTY))</f>
        <v/>
      </c>
      <c r="P19" s="170">
        <f>IF($M19="","",COUNTIF($J$7:$J$306,$M19))</f>
        <v/>
      </c>
      <c r="Q19" s="168" t="n"/>
      <c r="R19" s="168">
        <f>IF(TRIM($A19&amp;"")&lt;&gt;"",TRIM($A19&amp;""),$R18)</f>
        <v/>
      </c>
      <c r="S19" s="168">
        <f>IF($J19="","",MAX($S$6:$S18)+1)</f>
        <v/>
      </c>
      <c r="T19" s="168">
        <f>IF(TRIM($A19&amp;"")="","",MAX($T$6:$T18)+1)</f>
        <v/>
      </c>
    </row>
    <row r="20">
      <c r="A20" s="165" t="n"/>
      <c r="B20" s="166" t="n"/>
      <c r="C20" s="166" t="n">
        <v>1</v>
      </c>
      <c r="D20" s="166" t="inlineStr">
        <is>
          <t>EA</t>
        </is>
      </c>
      <c r="E20" s="166" t="inlineStr">
        <is>
          <t>CLOSER</t>
        </is>
      </c>
      <c r="F20" s="166" t="inlineStr">
        <is>
          <t>LCN</t>
        </is>
      </c>
      <c r="G20" s="166" t="inlineStr">
        <is>
          <t>4040XP SCUSH</t>
        </is>
      </c>
      <c r="H20" s="166" t="inlineStr">
        <is>
          <t>689</t>
        </is>
      </c>
      <c r="I20" s="166" t="n"/>
      <c r="J20" s="167">
        <f>IF(TRIM($E20&amp;"")="","",$R20)</f>
        <v/>
      </c>
      <c r="K20" s="167">
        <f>IF(AND(TRIM($A20&amp;"")&lt;&gt;"",COUNTIF($A$7:$A$306,$A20)&gt;1),"DUPLICATE SET",IF(AND($E20&lt;&gt;"",$R20=""),"NO SET ABOVE",IF(AND($E20&lt;&gt;"",$C20=""),"QTY?",IF($J20="","","OK"))))</f>
        <v/>
      </c>
      <c r="L20" s="168" t="n"/>
      <c r="M20" s="169">
        <f>IFERROR(INDEX($R$7:$R$306,MATCH(14,$T$7:$T$306,0)),"")</f>
        <v/>
      </c>
      <c r="N20" s="170">
        <f>IF($M20="","",INDEX($B$7:$B$306,MATCH(14,$T$7:$T$306,0))&amp;"")</f>
        <v/>
      </c>
      <c r="O20" s="170">
        <f>IF($M20="","",SUMIF(tk_HWSET,$M20,tk_QTY))</f>
        <v/>
      </c>
      <c r="P20" s="170">
        <f>IF($M20="","",COUNTIF($J$7:$J$306,$M20))</f>
        <v/>
      </c>
      <c r="Q20" s="168" t="n"/>
      <c r="R20" s="168">
        <f>IF(TRIM($A20&amp;"")&lt;&gt;"",TRIM($A20&amp;""),$R19)</f>
        <v/>
      </c>
      <c r="S20" s="168">
        <f>IF($J20="","",MAX($S$6:$S19)+1)</f>
        <v/>
      </c>
      <c r="T20" s="168">
        <f>IF(TRIM($A20&amp;"")="","",MAX($T$6:$T19)+1)</f>
        <v/>
      </c>
    </row>
    <row r="21">
      <c r="A21" s="165" t="n"/>
      <c r="B21" s="166" t="n"/>
      <c r="C21" s="166" t="n">
        <v>1</v>
      </c>
      <c r="D21" s="166" t="inlineStr">
        <is>
          <t>EA</t>
        </is>
      </c>
      <c r="E21" s="166" t="inlineStr">
        <is>
          <t>THRESHOLD</t>
        </is>
      </c>
      <c r="F21" s="166" t="inlineStr">
        <is>
          <t>PEMKO</t>
        </is>
      </c>
      <c r="G21" s="166" t="inlineStr">
        <is>
          <t>171A 36"</t>
        </is>
      </c>
      <c r="H21" s="166" t="inlineStr">
        <is>
          <t>AL</t>
        </is>
      </c>
      <c r="I21" s="166" t="n"/>
      <c r="J21" s="167">
        <f>IF(TRIM($E21&amp;"")="","",$R21)</f>
        <v/>
      </c>
      <c r="K21" s="167">
        <f>IF(AND(TRIM($A21&amp;"")&lt;&gt;"",COUNTIF($A$7:$A$306,$A21)&gt;1),"DUPLICATE SET",IF(AND($E21&lt;&gt;"",$R21=""),"NO SET ABOVE",IF(AND($E21&lt;&gt;"",$C21=""),"QTY?",IF($J21="","","OK"))))</f>
        <v/>
      </c>
      <c r="L21" s="168" t="n"/>
      <c r="M21" s="169">
        <f>IFERROR(INDEX($R$7:$R$306,MATCH(15,$T$7:$T$306,0)),"")</f>
        <v/>
      </c>
      <c r="N21" s="170">
        <f>IF($M21="","",INDEX($B$7:$B$306,MATCH(15,$T$7:$T$306,0))&amp;"")</f>
        <v/>
      </c>
      <c r="O21" s="170">
        <f>IF($M21="","",SUMIF(tk_HWSET,$M21,tk_QTY))</f>
        <v/>
      </c>
      <c r="P21" s="170">
        <f>IF($M21="","",COUNTIF($J$7:$J$306,$M21))</f>
        <v/>
      </c>
      <c r="Q21" s="168" t="n"/>
      <c r="R21" s="168">
        <f>IF(TRIM($A21&amp;"")&lt;&gt;"",TRIM($A21&amp;""),$R20)</f>
        <v/>
      </c>
      <c r="S21" s="168">
        <f>IF($J21="","",MAX($S$6:$S20)+1)</f>
        <v/>
      </c>
      <c r="T21" s="168">
        <f>IF(TRIM($A21&amp;"")="","",MAX($T$6:$T20)+1)</f>
        <v/>
      </c>
    </row>
    <row r="22">
      <c r="A22" s="165" t="n"/>
      <c r="B22" s="166" t="n"/>
      <c r="C22" s="166" t="n">
        <v>1</v>
      </c>
      <c r="D22" s="166" t="inlineStr">
        <is>
          <t>SET</t>
        </is>
      </c>
      <c r="E22" s="166" t="inlineStr">
        <is>
          <t>WEATHERSTRIP</t>
        </is>
      </c>
      <c r="F22" s="166" t="inlineStr">
        <is>
          <t>PEMKO</t>
        </is>
      </c>
      <c r="G22" s="166" t="inlineStr">
        <is>
          <t>303AS head &amp; jambs</t>
        </is>
      </c>
      <c r="H22" s="166" t="inlineStr">
        <is>
          <t>AL</t>
        </is>
      </c>
      <c r="I22" s="166" t="n"/>
      <c r="J22" s="167">
        <f>IF(TRIM($E22&amp;"")="","",$R22)</f>
        <v/>
      </c>
      <c r="K22" s="167">
        <f>IF(AND(TRIM($A22&amp;"")&lt;&gt;"",COUNTIF($A$7:$A$306,$A22)&gt;1),"DUPLICATE SET",IF(AND($E22&lt;&gt;"",$R22=""),"NO SET ABOVE",IF(AND($E22&lt;&gt;"",$C22=""),"QTY?",IF($J22="","","OK"))))</f>
        <v/>
      </c>
      <c r="L22" s="168" t="n"/>
      <c r="M22" s="169">
        <f>IFERROR(INDEX($R$7:$R$306,MATCH(16,$T$7:$T$306,0)),"")</f>
        <v/>
      </c>
      <c r="N22" s="170">
        <f>IF($M22="","",INDEX($B$7:$B$306,MATCH(16,$T$7:$T$306,0))&amp;"")</f>
        <v/>
      </c>
      <c r="O22" s="170">
        <f>IF($M22="","",SUMIF(tk_HWSET,$M22,tk_QTY))</f>
        <v/>
      </c>
      <c r="P22" s="170">
        <f>IF($M22="","",COUNTIF($J$7:$J$306,$M22))</f>
        <v/>
      </c>
      <c r="Q22" s="168" t="n"/>
      <c r="R22" s="168">
        <f>IF(TRIM($A22&amp;"")&lt;&gt;"",TRIM($A22&amp;""),$R21)</f>
        <v/>
      </c>
      <c r="S22" s="168">
        <f>IF($J22="","",MAX($S$6:$S21)+1)</f>
        <v/>
      </c>
      <c r="T22" s="168">
        <f>IF(TRIM($A22&amp;"")="","",MAX($T$6:$T21)+1)</f>
        <v/>
      </c>
    </row>
    <row r="23">
      <c r="A23" s="165" t="n"/>
      <c r="B23" s="166" t="n"/>
      <c r="C23" s="166" t="n">
        <v>1</v>
      </c>
      <c r="D23" s="166" t="inlineStr">
        <is>
          <t>EA</t>
        </is>
      </c>
      <c r="E23" s="166" t="inlineStr">
        <is>
          <t>DOOR SWEEP</t>
        </is>
      </c>
      <c r="F23" s="166" t="inlineStr">
        <is>
          <t>PEMKO</t>
        </is>
      </c>
      <c r="G23" s="166" t="inlineStr">
        <is>
          <t>315CN</t>
        </is>
      </c>
      <c r="H23" s="166" t="inlineStr">
        <is>
          <t>AL</t>
        </is>
      </c>
      <c r="I23" s="166" t="n"/>
      <c r="J23" s="167">
        <f>IF(TRIM($E23&amp;"")="","",$R23)</f>
        <v/>
      </c>
      <c r="K23" s="167">
        <f>IF(AND(TRIM($A23&amp;"")&lt;&gt;"",COUNTIF($A$7:$A$306,$A23)&gt;1),"DUPLICATE SET",IF(AND($E23&lt;&gt;"",$R23=""),"NO SET ABOVE",IF(AND($E23&lt;&gt;"",$C23=""),"QTY?",IF($J23="","","OK"))))</f>
        <v/>
      </c>
      <c r="L23" s="168" t="n"/>
      <c r="M23" s="169">
        <f>IFERROR(INDEX($R$7:$R$306,MATCH(17,$T$7:$T$306,0)),"")</f>
        <v/>
      </c>
      <c r="N23" s="170">
        <f>IF($M23="","",INDEX($B$7:$B$306,MATCH(17,$T$7:$T$306,0))&amp;"")</f>
        <v/>
      </c>
      <c r="O23" s="170">
        <f>IF($M23="","",SUMIF(tk_HWSET,$M23,tk_QTY))</f>
        <v/>
      </c>
      <c r="P23" s="170">
        <f>IF($M23="","",COUNTIF($J$7:$J$306,$M23))</f>
        <v/>
      </c>
      <c r="Q23" s="168" t="n"/>
      <c r="R23" s="168">
        <f>IF(TRIM($A23&amp;"")&lt;&gt;"",TRIM($A23&amp;""),$R22)</f>
        <v/>
      </c>
      <c r="S23" s="168">
        <f>IF($J23="","",MAX($S$6:$S22)+1)</f>
        <v/>
      </c>
      <c r="T23" s="168">
        <f>IF(TRIM($A23&amp;"")="","",MAX($T$6:$T22)+1)</f>
        <v/>
      </c>
    </row>
    <row r="24">
      <c r="A24" s="165" t="n"/>
      <c r="B24" s="166" t="n"/>
      <c r="C24" s="166" t="n"/>
      <c r="D24" s="166" t="n"/>
      <c r="E24" s="166" t="n"/>
      <c r="F24" s="166" t="n"/>
      <c r="G24" s="166" t="n"/>
      <c r="H24" s="166" t="n"/>
      <c r="I24" s="166" t="n"/>
      <c r="J24" s="167">
        <f>IF(TRIM($E24&amp;"")="","",$R24)</f>
        <v/>
      </c>
      <c r="K24" s="167">
        <f>IF(AND(TRIM($A24&amp;"")&lt;&gt;"",COUNTIF($A$7:$A$306,$A24)&gt;1),"DUPLICATE SET",IF(AND($E24&lt;&gt;"",$R24=""),"NO SET ABOVE",IF(AND($E24&lt;&gt;"",$C24=""),"QTY?",IF($J24="","","OK"))))</f>
        <v/>
      </c>
      <c r="L24" s="168" t="n"/>
      <c r="M24" s="169">
        <f>IFERROR(INDEX($R$7:$R$306,MATCH(18,$T$7:$T$306,0)),"")</f>
        <v/>
      </c>
      <c r="N24" s="170">
        <f>IF($M24="","",INDEX($B$7:$B$306,MATCH(18,$T$7:$T$306,0))&amp;"")</f>
        <v/>
      </c>
      <c r="O24" s="170">
        <f>IF($M24="","",SUMIF(tk_HWSET,$M24,tk_QTY))</f>
        <v/>
      </c>
      <c r="P24" s="170">
        <f>IF($M24="","",COUNTIF($J$7:$J$306,$M24))</f>
        <v/>
      </c>
      <c r="Q24" s="168" t="n"/>
      <c r="R24" s="168">
        <f>IF(TRIM($A24&amp;"")&lt;&gt;"",TRIM($A24&amp;""),$R23)</f>
        <v/>
      </c>
      <c r="S24" s="168">
        <f>IF($J24="","",MAX($S$6:$S23)+1)</f>
        <v/>
      </c>
      <c r="T24" s="168">
        <f>IF(TRIM($A24&amp;"")="","",MAX($T$6:$T23)+1)</f>
        <v/>
      </c>
    </row>
    <row r="25">
      <c r="A25" s="165" t="n"/>
      <c r="B25" s="166" t="n"/>
      <c r="C25" s="166" t="n"/>
      <c r="D25" s="166" t="n"/>
      <c r="E25" s="166" t="n"/>
      <c r="F25" s="166" t="n"/>
      <c r="G25" s="166" t="n"/>
      <c r="H25" s="166" t="n"/>
      <c r="I25" s="166" t="n"/>
      <c r="J25" s="167">
        <f>IF(TRIM($E25&amp;"")="","",$R25)</f>
        <v/>
      </c>
      <c r="K25" s="167">
        <f>IF(AND(TRIM($A25&amp;"")&lt;&gt;"",COUNTIF($A$7:$A$306,$A25)&gt;1),"DUPLICATE SET",IF(AND($E25&lt;&gt;"",$R25=""),"NO SET ABOVE",IF(AND($E25&lt;&gt;"",$C25=""),"QTY?",IF($J25="","","OK"))))</f>
        <v/>
      </c>
      <c r="L25" s="168" t="n"/>
      <c r="M25" s="169">
        <f>IFERROR(INDEX($R$7:$R$306,MATCH(19,$T$7:$T$306,0)),"")</f>
        <v/>
      </c>
      <c r="N25" s="170">
        <f>IF($M25="","",INDEX($B$7:$B$306,MATCH(19,$T$7:$T$306,0))&amp;"")</f>
        <v/>
      </c>
      <c r="O25" s="170">
        <f>IF($M25="","",SUMIF(tk_HWSET,$M25,tk_QTY))</f>
        <v/>
      </c>
      <c r="P25" s="170">
        <f>IF($M25="","",COUNTIF($J$7:$J$306,$M25))</f>
        <v/>
      </c>
      <c r="Q25" s="168" t="n"/>
      <c r="R25" s="168">
        <f>IF(TRIM($A25&amp;"")&lt;&gt;"",TRIM($A25&amp;""),$R24)</f>
        <v/>
      </c>
      <c r="S25" s="168">
        <f>IF($J25="","",MAX($S$6:$S24)+1)</f>
        <v/>
      </c>
      <c r="T25" s="168">
        <f>IF(TRIM($A25&amp;"")="","",MAX($T$6:$T24)+1)</f>
        <v/>
      </c>
    </row>
    <row r="26">
      <c r="A26" s="165" t="n"/>
      <c r="B26" s="166" t="n"/>
      <c r="C26" s="166" t="n"/>
      <c r="D26" s="166" t="n"/>
      <c r="E26" s="166" t="n"/>
      <c r="F26" s="166" t="n"/>
      <c r="G26" s="166" t="n"/>
      <c r="H26" s="166" t="n"/>
      <c r="I26" s="166" t="n"/>
      <c r="J26" s="167">
        <f>IF(TRIM($E26&amp;"")="","",$R26)</f>
        <v/>
      </c>
      <c r="K26" s="167">
        <f>IF(AND(TRIM($A26&amp;"")&lt;&gt;"",COUNTIF($A$7:$A$306,$A26)&gt;1),"DUPLICATE SET",IF(AND($E26&lt;&gt;"",$R26=""),"NO SET ABOVE",IF(AND($E26&lt;&gt;"",$C26=""),"QTY?",IF($J26="","","OK"))))</f>
        <v/>
      </c>
      <c r="L26" s="168" t="n"/>
      <c r="M26" s="169">
        <f>IFERROR(INDEX($R$7:$R$306,MATCH(20,$T$7:$T$306,0)),"")</f>
        <v/>
      </c>
      <c r="N26" s="170">
        <f>IF($M26="","",INDEX($B$7:$B$306,MATCH(20,$T$7:$T$306,0))&amp;"")</f>
        <v/>
      </c>
      <c r="O26" s="170">
        <f>IF($M26="","",SUMIF(tk_HWSET,$M26,tk_QTY))</f>
        <v/>
      </c>
      <c r="P26" s="170">
        <f>IF($M26="","",COUNTIF($J$7:$J$306,$M26))</f>
        <v/>
      </c>
      <c r="Q26" s="168" t="n"/>
      <c r="R26" s="168">
        <f>IF(TRIM($A26&amp;"")&lt;&gt;"",TRIM($A26&amp;""),$R25)</f>
        <v/>
      </c>
      <c r="S26" s="168">
        <f>IF($J26="","",MAX($S$6:$S25)+1)</f>
        <v/>
      </c>
      <c r="T26" s="168">
        <f>IF(TRIM($A26&amp;"")="","",MAX($T$6:$T25)+1)</f>
        <v/>
      </c>
    </row>
    <row r="27">
      <c r="A27" s="165" t="n"/>
      <c r="B27" s="166" t="n"/>
      <c r="C27" s="166" t="n"/>
      <c r="D27" s="166" t="n"/>
      <c r="E27" s="166" t="n"/>
      <c r="F27" s="166" t="n"/>
      <c r="G27" s="166" t="n"/>
      <c r="H27" s="166" t="n"/>
      <c r="I27" s="166" t="n"/>
      <c r="J27" s="167">
        <f>IF(TRIM($E27&amp;"")="","",$R27)</f>
        <v/>
      </c>
      <c r="K27" s="167">
        <f>IF(AND(TRIM($A27&amp;"")&lt;&gt;"",COUNTIF($A$7:$A$306,$A27)&gt;1),"DUPLICATE SET",IF(AND($E27&lt;&gt;"",$R27=""),"NO SET ABOVE",IF(AND($E27&lt;&gt;"",$C27=""),"QTY?",IF($J27="","","OK"))))</f>
        <v/>
      </c>
      <c r="L27" s="168" t="n"/>
      <c r="M27" s="169">
        <f>IFERROR(INDEX($R$7:$R$306,MATCH(21,$T$7:$T$306,0)),"")</f>
        <v/>
      </c>
      <c r="N27" s="170">
        <f>IF($M27="","",INDEX($B$7:$B$306,MATCH(21,$T$7:$T$306,0))&amp;"")</f>
        <v/>
      </c>
      <c r="O27" s="170">
        <f>IF($M27="","",SUMIF(tk_HWSET,$M27,tk_QTY))</f>
        <v/>
      </c>
      <c r="P27" s="170">
        <f>IF($M27="","",COUNTIF($J$7:$J$306,$M27))</f>
        <v/>
      </c>
      <c r="Q27" s="168" t="n"/>
      <c r="R27" s="168">
        <f>IF(TRIM($A27&amp;"")&lt;&gt;"",TRIM($A27&amp;""),$R26)</f>
        <v/>
      </c>
      <c r="S27" s="168">
        <f>IF($J27="","",MAX($S$6:$S26)+1)</f>
        <v/>
      </c>
      <c r="T27" s="168">
        <f>IF(TRIM($A27&amp;"")="","",MAX($T$6:$T26)+1)</f>
        <v/>
      </c>
    </row>
    <row r="28">
      <c r="A28" s="165" t="n"/>
      <c r="B28" s="166" t="n"/>
      <c r="C28" s="166" t="n"/>
      <c r="D28" s="166" t="n"/>
      <c r="E28" s="166" t="n"/>
      <c r="F28" s="166" t="n"/>
      <c r="G28" s="166" t="n"/>
      <c r="H28" s="166" t="n"/>
      <c r="I28" s="166" t="n"/>
      <c r="J28" s="167">
        <f>IF(TRIM($E28&amp;"")="","",$R28)</f>
        <v/>
      </c>
      <c r="K28" s="167">
        <f>IF(AND(TRIM($A28&amp;"")&lt;&gt;"",COUNTIF($A$7:$A$306,$A28)&gt;1),"DUPLICATE SET",IF(AND($E28&lt;&gt;"",$R28=""),"NO SET ABOVE",IF(AND($E28&lt;&gt;"",$C28=""),"QTY?",IF($J28="","","OK"))))</f>
        <v/>
      </c>
      <c r="L28" s="168" t="n"/>
      <c r="M28" s="169">
        <f>IFERROR(INDEX($R$7:$R$306,MATCH(22,$T$7:$T$306,0)),"")</f>
        <v/>
      </c>
      <c r="N28" s="170">
        <f>IF($M28="","",INDEX($B$7:$B$306,MATCH(22,$T$7:$T$306,0))&amp;"")</f>
        <v/>
      </c>
      <c r="O28" s="170">
        <f>IF($M28="","",SUMIF(tk_HWSET,$M28,tk_QTY))</f>
        <v/>
      </c>
      <c r="P28" s="170">
        <f>IF($M28="","",COUNTIF($J$7:$J$306,$M28))</f>
        <v/>
      </c>
      <c r="Q28" s="168" t="n"/>
      <c r="R28" s="168">
        <f>IF(TRIM($A28&amp;"")&lt;&gt;"",TRIM($A28&amp;""),$R27)</f>
        <v/>
      </c>
      <c r="S28" s="168">
        <f>IF($J28="","",MAX($S$6:$S27)+1)</f>
        <v/>
      </c>
      <c r="T28" s="168">
        <f>IF(TRIM($A28&amp;"")="","",MAX($T$6:$T27)+1)</f>
        <v/>
      </c>
    </row>
    <row r="29">
      <c r="A29" s="165" t="n"/>
      <c r="B29" s="166" t="n"/>
      <c r="C29" s="166" t="n"/>
      <c r="D29" s="166" t="n"/>
      <c r="E29" s="166" t="n"/>
      <c r="F29" s="166" t="n"/>
      <c r="G29" s="166" t="n"/>
      <c r="H29" s="166" t="n"/>
      <c r="I29" s="166" t="n"/>
      <c r="J29" s="167">
        <f>IF(TRIM($E29&amp;"")="","",$R29)</f>
        <v/>
      </c>
      <c r="K29" s="167">
        <f>IF(AND(TRIM($A29&amp;"")&lt;&gt;"",COUNTIF($A$7:$A$306,$A29)&gt;1),"DUPLICATE SET",IF(AND($E29&lt;&gt;"",$R29=""),"NO SET ABOVE",IF(AND($E29&lt;&gt;"",$C29=""),"QTY?",IF($J29="","","OK"))))</f>
        <v/>
      </c>
      <c r="L29" s="168" t="n"/>
      <c r="M29" s="169">
        <f>IFERROR(INDEX($R$7:$R$306,MATCH(23,$T$7:$T$306,0)),"")</f>
        <v/>
      </c>
      <c r="N29" s="170">
        <f>IF($M29="","",INDEX($B$7:$B$306,MATCH(23,$T$7:$T$306,0))&amp;"")</f>
        <v/>
      </c>
      <c r="O29" s="170">
        <f>IF($M29="","",SUMIF(tk_HWSET,$M29,tk_QTY))</f>
        <v/>
      </c>
      <c r="P29" s="170">
        <f>IF($M29="","",COUNTIF($J$7:$J$306,$M29))</f>
        <v/>
      </c>
      <c r="Q29" s="168" t="n"/>
      <c r="R29" s="168">
        <f>IF(TRIM($A29&amp;"")&lt;&gt;"",TRIM($A29&amp;""),$R28)</f>
        <v/>
      </c>
      <c r="S29" s="168">
        <f>IF($J29="","",MAX($S$6:$S28)+1)</f>
        <v/>
      </c>
      <c r="T29" s="168">
        <f>IF(TRIM($A29&amp;"")="","",MAX($T$6:$T28)+1)</f>
        <v/>
      </c>
    </row>
    <row r="30">
      <c r="A30" s="165" t="n"/>
      <c r="B30" s="166" t="n"/>
      <c r="C30" s="166" t="n"/>
      <c r="D30" s="166" t="n"/>
      <c r="E30" s="166" t="n"/>
      <c r="F30" s="166" t="n"/>
      <c r="G30" s="166" t="n"/>
      <c r="H30" s="166" t="n"/>
      <c r="I30" s="166" t="n"/>
      <c r="J30" s="167">
        <f>IF(TRIM($E30&amp;"")="","",$R30)</f>
        <v/>
      </c>
      <c r="K30" s="167">
        <f>IF(AND(TRIM($A30&amp;"")&lt;&gt;"",COUNTIF($A$7:$A$306,$A30)&gt;1),"DUPLICATE SET",IF(AND($E30&lt;&gt;"",$R30=""),"NO SET ABOVE",IF(AND($E30&lt;&gt;"",$C30=""),"QTY?",IF($J30="","","OK"))))</f>
        <v/>
      </c>
      <c r="L30" s="168" t="n"/>
      <c r="M30" s="169">
        <f>IFERROR(INDEX($R$7:$R$306,MATCH(24,$T$7:$T$306,0)),"")</f>
        <v/>
      </c>
      <c r="N30" s="170">
        <f>IF($M30="","",INDEX($B$7:$B$306,MATCH(24,$T$7:$T$306,0))&amp;"")</f>
        <v/>
      </c>
      <c r="O30" s="170">
        <f>IF($M30="","",SUMIF(tk_HWSET,$M30,tk_QTY))</f>
        <v/>
      </c>
      <c r="P30" s="170">
        <f>IF($M30="","",COUNTIF($J$7:$J$306,$M30))</f>
        <v/>
      </c>
      <c r="Q30" s="168" t="n"/>
      <c r="R30" s="168">
        <f>IF(TRIM($A30&amp;"")&lt;&gt;"",TRIM($A30&amp;""),$R29)</f>
        <v/>
      </c>
      <c r="S30" s="168">
        <f>IF($J30="","",MAX($S$6:$S29)+1)</f>
        <v/>
      </c>
      <c r="T30" s="168">
        <f>IF(TRIM($A30&amp;"")="","",MAX($T$6:$T29)+1)</f>
        <v/>
      </c>
    </row>
    <row r="31">
      <c r="A31" s="165" t="n"/>
      <c r="B31" s="166" t="n"/>
      <c r="C31" s="166" t="n"/>
      <c r="D31" s="166" t="n"/>
      <c r="E31" s="166" t="n"/>
      <c r="F31" s="166" t="n"/>
      <c r="G31" s="166" t="n"/>
      <c r="H31" s="166" t="n"/>
      <c r="I31" s="166" t="n"/>
      <c r="J31" s="167">
        <f>IF(TRIM($E31&amp;"")="","",$R31)</f>
        <v/>
      </c>
      <c r="K31" s="167">
        <f>IF(AND(TRIM($A31&amp;"")&lt;&gt;"",COUNTIF($A$7:$A$306,$A31)&gt;1),"DUPLICATE SET",IF(AND($E31&lt;&gt;"",$R31=""),"NO SET ABOVE",IF(AND($E31&lt;&gt;"",$C31=""),"QTY?",IF($J31="","","OK"))))</f>
        <v/>
      </c>
      <c r="L31" s="168" t="n"/>
      <c r="M31" s="169">
        <f>IFERROR(INDEX($R$7:$R$306,MATCH(25,$T$7:$T$306,0)),"")</f>
        <v/>
      </c>
      <c r="N31" s="170">
        <f>IF($M31="","",INDEX($B$7:$B$306,MATCH(25,$T$7:$T$306,0))&amp;"")</f>
        <v/>
      </c>
      <c r="O31" s="170">
        <f>IF($M31="","",SUMIF(tk_HWSET,$M31,tk_QTY))</f>
        <v/>
      </c>
      <c r="P31" s="170">
        <f>IF($M31="","",COUNTIF($J$7:$J$306,$M31))</f>
        <v/>
      </c>
      <c r="Q31" s="168" t="n"/>
      <c r="R31" s="168">
        <f>IF(TRIM($A31&amp;"")&lt;&gt;"",TRIM($A31&amp;""),$R30)</f>
        <v/>
      </c>
      <c r="S31" s="168">
        <f>IF($J31="","",MAX($S$6:$S30)+1)</f>
        <v/>
      </c>
      <c r="T31" s="168">
        <f>IF(TRIM($A31&amp;"")="","",MAX($T$6:$T30)+1)</f>
        <v/>
      </c>
    </row>
    <row r="32">
      <c r="A32" s="165" t="n"/>
      <c r="B32" s="166" t="n"/>
      <c r="C32" s="166" t="n"/>
      <c r="D32" s="166" t="n"/>
      <c r="E32" s="166" t="n"/>
      <c r="F32" s="166" t="n"/>
      <c r="G32" s="166" t="n"/>
      <c r="H32" s="166" t="n"/>
      <c r="I32" s="166" t="n"/>
      <c r="J32" s="167">
        <f>IF(TRIM($E32&amp;"")="","",$R32)</f>
        <v/>
      </c>
      <c r="K32" s="167">
        <f>IF(AND(TRIM($A32&amp;"")&lt;&gt;"",COUNTIF($A$7:$A$306,$A32)&gt;1),"DUPLICATE SET",IF(AND($E32&lt;&gt;"",$R32=""),"NO SET ABOVE",IF(AND($E32&lt;&gt;"",$C32=""),"QTY?",IF($J32="","","OK"))))</f>
        <v/>
      </c>
      <c r="L32" s="168" t="n"/>
      <c r="M32" s="169">
        <f>IFERROR(INDEX($R$7:$R$306,MATCH(26,$T$7:$T$306,0)),"")</f>
        <v/>
      </c>
      <c r="N32" s="170">
        <f>IF($M32="","",INDEX($B$7:$B$306,MATCH(26,$T$7:$T$306,0))&amp;"")</f>
        <v/>
      </c>
      <c r="O32" s="170">
        <f>IF($M32="","",SUMIF(tk_HWSET,$M32,tk_QTY))</f>
        <v/>
      </c>
      <c r="P32" s="170">
        <f>IF($M32="","",COUNTIF($J$7:$J$306,$M32))</f>
        <v/>
      </c>
      <c r="Q32" s="168" t="n"/>
      <c r="R32" s="168">
        <f>IF(TRIM($A32&amp;"")&lt;&gt;"",TRIM($A32&amp;""),$R31)</f>
        <v/>
      </c>
      <c r="S32" s="168">
        <f>IF($J32="","",MAX($S$6:$S31)+1)</f>
        <v/>
      </c>
      <c r="T32" s="168">
        <f>IF(TRIM($A32&amp;"")="","",MAX($T$6:$T31)+1)</f>
        <v/>
      </c>
    </row>
    <row r="33">
      <c r="A33" s="165" t="n"/>
      <c r="B33" s="166" t="n"/>
      <c r="C33" s="166" t="n"/>
      <c r="D33" s="166" t="n"/>
      <c r="E33" s="166" t="n"/>
      <c r="F33" s="166" t="n"/>
      <c r="G33" s="166" t="n"/>
      <c r="H33" s="166" t="n"/>
      <c r="I33" s="166" t="n"/>
      <c r="J33" s="167">
        <f>IF(TRIM($E33&amp;"")="","",$R33)</f>
        <v/>
      </c>
      <c r="K33" s="167">
        <f>IF(AND(TRIM($A33&amp;"")&lt;&gt;"",COUNTIF($A$7:$A$306,$A33)&gt;1),"DUPLICATE SET",IF(AND($E33&lt;&gt;"",$R33=""),"NO SET ABOVE",IF(AND($E33&lt;&gt;"",$C33=""),"QTY?",IF($J33="","","OK"))))</f>
        <v/>
      </c>
      <c r="L33" s="168" t="n"/>
      <c r="M33" s="169">
        <f>IFERROR(INDEX($R$7:$R$306,MATCH(27,$T$7:$T$306,0)),"")</f>
        <v/>
      </c>
      <c r="N33" s="170">
        <f>IF($M33="","",INDEX($B$7:$B$306,MATCH(27,$T$7:$T$306,0))&amp;"")</f>
        <v/>
      </c>
      <c r="O33" s="170">
        <f>IF($M33="","",SUMIF(tk_HWSET,$M33,tk_QTY))</f>
        <v/>
      </c>
      <c r="P33" s="170">
        <f>IF($M33="","",COUNTIF($J$7:$J$306,$M33))</f>
        <v/>
      </c>
      <c r="Q33" s="168" t="n"/>
      <c r="R33" s="168">
        <f>IF(TRIM($A33&amp;"")&lt;&gt;"",TRIM($A33&amp;""),$R32)</f>
        <v/>
      </c>
      <c r="S33" s="168">
        <f>IF($J33="","",MAX($S$6:$S32)+1)</f>
        <v/>
      </c>
      <c r="T33" s="168">
        <f>IF(TRIM($A33&amp;"")="","",MAX($T$6:$T32)+1)</f>
        <v/>
      </c>
    </row>
    <row r="34">
      <c r="A34" s="165" t="n"/>
      <c r="B34" s="166" t="n"/>
      <c r="C34" s="166" t="n"/>
      <c r="D34" s="166" t="n"/>
      <c r="E34" s="166" t="n"/>
      <c r="F34" s="166" t="n"/>
      <c r="G34" s="166" t="n"/>
      <c r="H34" s="166" t="n"/>
      <c r="I34" s="166" t="n"/>
      <c r="J34" s="167">
        <f>IF(TRIM($E34&amp;"")="","",$R34)</f>
        <v/>
      </c>
      <c r="K34" s="167">
        <f>IF(AND(TRIM($A34&amp;"")&lt;&gt;"",COUNTIF($A$7:$A$306,$A34)&gt;1),"DUPLICATE SET",IF(AND($E34&lt;&gt;"",$R34=""),"NO SET ABOVE",IF(AND($E34&lt;&gt;"",$C34=""),"QTY?",IF($J34="","","OK"))))</f>
        <v/>
      </c>
      <c r="L34" s="168" t="n"/>
      <c r="M34" s="169">
        <f>IFERROR(INDEX($R$7:$R$306,MATCH(28,$T$7:$T$306,0)),"")</f>
        <v/>
      </c>
      <c r="N34" s="170">
        <f>IF($M34="","",INDEX($B$7:$B$306,MATCH(28,$T$7:$T$306,0))&amp;"")</f>
        <v/>
      </c>
      <c r="O34" s="170">
        <f>IF($M34="","",SUMIF(tk_HWSET,$M34,tk_QTY))</f>
        <v/>
      </c>
      <c r="P34" s="170">
        <f>IF($M34="","",COUNTIF($J$7:$J$306,$M34))</f>
        <v/>
      </c>
      <c r="Q34" s="168" t="n"/>
      <c r="R34" s="168">
        <f>IF(TRIM($A34&amp;"")&lt;&gt;"",TRIM($A34&amp;""),$R33)</f>
        <v/>
      </c>
      <c r="S34" s="168">
        <f>IF($J34="","",MAX($S$6:$S33)+1)</f>
        <v/>
      </c>
      <c r="T34" s="168">
        <f>IF(TRIM($A34&amp;"")="","",MAX($T$6:$T33)+1)</f>
        <v/>
      </c>
    </row>
    <row r="35">
      <c r="A35" s="165" t="n"/>
      <c r="B35" s="166" t="n"/>
      <c r="C35" s="166" t="n"/>
      <c r="D35" s="166" t="n"/>
      <c r="E35" s="166" t="n"/>
      <c r="F35" s="166" t="n"/>
      <c r="G35" s="166" t="n"/>
      <c r="H35" s="166" t="n"/>
      <c r="I35" s="166" t="n"/>
      <c r="J35" s="167">
        <f>IF(TRIM($E35&amp;"")="","",$R35)</f>
        <v/>
      </c>
      <c r="K35" s="167">
        <f>IF(AND(TRIM($A35&amp;"")&lt;&gt;"",COUNTIF($A$7:$A$306,$A35)&gt;1),"DUPLICATE SET",IF(AND($E35&lt;&gt;"",$R35=""),"NO SET ABOVE",IF(AND($E35&lt;&gt;"",$C35=""),"QTY?",IF($J35="","","OK"))))</f>
        <v/>
      </c>
      <c r="L35" s="168" t="n"/>
      <c r="M35" s="169">
        <f>IFERROR(INDEX($R$7:$R$306,MATCH(29,$T$7:$T$306,0)),"")</f>
        <v/>
      </c>
      <c r="N35" s="170">
        <f>IF($M35="","",INDEX($B$7:$B$306,MATCH(29,$T$7:$T$306,0))&amp;"")</f>
        <v/>
      </c>
      <c r="O35" s="170">
        <f>IF($M35="","",SUMIF(tk_HWSET,$M35,tk_QTY))</f>
        <v/>
      </c>
      <c r="P35" s="170">
        <f>IF($M35="","",COUNTIF($J$7:$J$306,$M35))</f>
        <v/>
      </c>
      <c r="Q35" s="168" t="n"/>
      <c r="R35" s="168">
        <f>IF(TRIM($A35&amp;"")&lt;&gt;"",TRIM($A35&amp;""),$R34)</f>
        <v/>
      </c>
      <c r="S35" s="168">
        <f>IF($J35="","",MAX($S$6:$S34)+1)</f>
        <v/>
      </c>
      <c r="T35" s="168">
        <f>IF(TRIM($A35&amp;"")="","",MAX($T$6:$T34)+1)</f>
        <v/>
      </c>
    </row>
    <row r="36">
      <c r="A36" s="165" t="n"/>
      <c r="B36" s="166" t="n"/>
      <c r="C36" s="166" t="n"/>
      <c r="D36" s="166" t="n"/>
      <c r="E36" s="166" t="n"/>
      <c r="F36" s="166" t="n"/>
      <c r="G36" s="166" t="n"/>
      <c r="H36" s="166" t="n"/>
      <c r="I36" s="166" t="n"/>
      <c r="J36" s="167">
        <f>IF(TRIM($E36&amp;"")="","",$R36)</f>
        <v/>
      </c>
      <c r="K36" s="167">
        <f>IF(AND(TRIM($A36&amp;"")&lt;&gt;"",COUNTIF($A$7:$A$306,$A36)&gt;1),"DUPLICATE SET",IF(AND($E36&lt;&gt;"",$R36=""),"NO SET ABOVE",IF(AND($E36&lt;&gt;"",$C36=""),"QTY?",IF($J36="","","OK"))))</f>
        <v/>
      </c>
      <c r="L36" s="168" t="n"/>
      <c r="M36" s="169">
        <f>IFERROR(INDEX($R$7:$R$306,MATCH(30,$T$7:$T$306,0)),"")</f>
        <v/>
      </c>
      <c r="N36" s="170">
        <f>IF($M36="","",INDEX($B$7:$B$306,MATCH(30,$T$7:$T$306,0))&amp;"")</f>
        <v/>
      </c>
      <c r="O36" s="170">
        <f>IF($M36="","",SUMIF(tk_HWSET,$M36,tk_QTY))</f>
        <v/>
      </c>
      <c r="P36" s="170">
        <f>IF($M36="","",COUNTIF($J$7:$J$306,$M36))</f>
        <v/>
      </c>
      <c r="Q36" s="168" t="n"/>
      <c r="R36" s="168">
        <f>IF(TRIM($A36&amp;"")&lt;&gt;"",TRIM($A36&amp;""),$R35)</f>
        <v/>
      </c>
      <c r="S36" s="168">
        <f>IF($J36="","",MAX($S$6:$S35)+1)</f>
        <v/>
      </c>
      <c r="T36" s="168">
        <f>IF(TRIM($A36&amp;"")="","",MAX($T$6:$T35)+1)</f>
        <v/>
      </c>
    </row>
    <row r="37">
      <c r="A37" s="165" t="n"/>
      <c r="B37" s="166" t="n"/>
      <c r="C37" s="166" t="n"/>
      <c r="D37" s="166" t="n"/>
      <c r="E37" s="166" t="n"/>
      <c r="F37" s="166" t="n"/>
      <c r="G37" s="166" t="n"/>
      <c r="H37" s="166" t="n"/>
      <c r="I37" s="166" t="n"/>
      <c r="J37" s="167">
        <f>IF(TRIM($E37&amp;"")="","",$R37)</f>
        <v/>
      </c>
      <c r="K37" s="167">
        <f>IF(AND(TRIM($A37&amp;"")&lt;&gt;"",COUNTIF($A$7:$A$306,$A37)&gt;1),"DUPLICATE SET",IF(AND($E37&lt;&gt;"",$R37=""),"NO SET ABOVE",IF(AND($E37&lt;&gt;"",$C37=""),"QTY?",IF($J37="","","OK"))))</f>
        <v/>
      </c>
      <c r="L37" s="168" t="n"/>
      <c r="M37" s="169">
        <f>IFERROR(INDEX($R$7:$R$306,MATCH(31,$T$7:$T$306,0)),"")</f>
        <v/>
      </c>
      <c r="N37" s="170">
        <f>IF($M37="","",INDEX($B$7:$B$306,MATCH(31,$T$7:$T$306,0))&amp;"")</f>
        <v/>
      </c>
      <c r="O37" s="170">
        <f>IF($M37="","",SUMIF(tk_HWSET,$M37,tk_QTY))</f>
        <v/>
      </c>
      <c r="P37" s="170">
        <f>IF($M37="","",COUNTIF($J$7:$J$306,$M37))</f>
        <v/>
      </c>
      <c r="Q37" s="168" t="n"/>
      <c r="R37" s="168">
        <f>IF(TRIM($A37&amp;"")&lt;&gt;"",TRIM($A37&amp;""),$R36)</f>
        <v/>
      </c>
      <c r="S37" s="168">
        <f>IF($J37="","",MAX($S$6:$S36)+1)</f>
        <v/>
      </c>
      <c r="T37" s="168">
        <f>IF(TRIM($A37&amp;"")="","",MAX($T$6:$T36)+1)</f>
        <v/>
      </c>
    </row>
    <row r="38">
      <c r="A38" s="165" t="n"/>
      <c r="B38" s="166" t="n"/>
      <c r="C38" s="166" t="n"/>
      <c r="D38" s="166" t="n"/>
      <c r="E38" s="166" t="n"/>
      <c r="F38" s="166" t="n"/>
      <c r="G38" s="166" t="n"/>
      <c r="H38" s="166" t="n"/>
      <c r="I38" s="166" t="n"/>
      <c r="J38" s="167">
        <f>IF(TRIM($E38&amp;"")="","",$R38)</f>
        <v/>
      </c>
      <c r="K38" s="167">
        <f>IF(AND(TRIM($A38&amp;"")&lt;&gt;"",COUNTIF($A$7:$A$306,$A38)&gt;1),"DUPLICATE SET",IF(AND($E38&lt;&gt;"",$R38=""),"NO SET ABOVE",IF(AND($E38&lt;&gt;"",$C38=""),"QTY?",IF($J38="","","OK"))))</f>
        <v/>
      </c>
      <c r="L38" s="168" t="n"/>
      <c r="M38" s="169">
        <f>IFERROR(INDEX($R$7:$R$306,MATCH(32,$T$7:$T$306,0)),"")</f>
        <v/>
      </c>
      <c r="N38" s="170">
        <f>IF($M38="","",INDEX($B$7:$B$306,MATCH(32,$T$7:$T$306,0))&amp;"")</f>
        <v/>
      </c>
      <c r="O38" s="170">
        <f>IF($M38="","",SUMIF(tk_HWSET,$M38,tk_QTY))</f>
        <v/>
      </c>
      <c r="P38" s="170">
        <f>IF($M38="","",COUNTIF($J$7:$J$306,$M38))</f>
        <v/>
      </c>
      <c r="Q38" s="168" t="n"/>
      <c r="R38" s="168">
        <f>IF(TRIM($A38&amp;"")&lt;&gt;"",TRIM($A38&amp;""),$R37)</f>
        <v/>
      </c>
      <c r="S38" s="168">
        <f>IF($J38="","",MAX($S$6:$S37)+1)</f>
        <v/>
      </c>
      <c r="T38" s="168">
        <f>IF(TRIM($A38&amp;"")="","",MAX($T$6:$T37)+1)</f>
        <v/>
      </c>
    </row>
    <row r="39">
      <c r="A39" s="165" t="n"/>
      <c r="B39" s="166" t="n"/>
      <c r="C39" s="166" t="n"/>
      <c r="D39" s="166" t="n"/>
      <c r="E39" s="166" t="n"/>
      <c r="F39" s="166" t="n"/>
      <c r="G39" s="166" t="n"/>
      <c r="H39" s="166" t="n"/>
      <c r="I39" s="166" t="n"/>
      <c r="J39" s="167">
        <f>IF(TRIM($E39&amp;"")="","",$R39)</f>
        <v/>
      </c>
      <c r="K39" s="167">
        <f>IF(AND(TRIM($A39&amp;"")&lt;&gt;"",COUNTIF($A$7:$A$306,$A39)&gt;1),"DUPLICATE SET",IF(AND($E39&lt;&gt;"",$R39=""),"NO SET ABOVE",IF(AND($E39&lt;&gt;"",$C39=""),"QTY?",IF($J39="","","OK"))))</f>
        <v/>
      </c>
      <c r="L39" s="168" t="n"/>
      <c r="M39" s="169">
        <f>IFERROR(INDEX($R$7:$R$306,MATCH(33,$T$7:$T$306,0)),"")</f>
        <v/>
      </c>
      <c r="N39" s="170">
        <f>IF($M39="","",INDEX($B$7:$B$306,MATCH(33,$T$7:$T$306,0))&amp;"")</f>
        <v/>
      </c>
      <c r="O39" s="170">
        <f>IF($M39="","",SUMIF(tk_HWSET,$M39,tk_QTY))</f>
        <v/>
      </c>
      <c r="P39" s="170">
        <f>IF($M39="","",COUNTIF($J$7:$J$306,$M39))</f>
        <v/>
      </c>
      <c r="Q39" s="168" t="n"/>
      <c r="R39" s="168">
        <f>IF(TRIM($A39&amp;"")&lt;&gt;"",TRIM($A39&amp;""),$R38)</f>
        <v/>
      </c>
      <c r="S39" s="168">
        <f>IF($J39="","",MAX($S$6:$S38)+1)</f>
        <v/>
      </c>
      <c r="T39" s="168">
        <f>IF(TRIM($A39&amp;"")="","",MAX($T$6:$T38)+1)</f>
        <v/>
      </c>
    </row>
    <row r="40">
      <c r="A40" s="165" t="n"/>
      <c r="B40" s="166" t="n"/>
      <c r="C40" s="166" t="n"/>
      <c r="D40" s="166" t="n"/>
      <c r="E40" s="166" t="n"/>
      <c r="F40" s="166" t="n"/>
      <c r="G40" s="166" t="n"/>
      <c r="H40" s="166" t="n"/>
      <c r="I40" s="166" t="n"/>
      <c r="J40" s="167">
        <f>IF(TRIM($E40&amp;"")="","",$R40)</f>
        <v/>
      </c>
      <c r="K40" s="167">
        <f>IF(AND(TRIM($A40&amp;"")&lt;&gt;"",COUNTIF($A$7:$A$306,$A40)&gt;1),"DUPLICATE SET",IF(AND($E40&lt;&gt;"",$R40=""),"NO SET ABOVE",IF(AND($E40&lt;&gt;"",$C40=""),"QTY?",IF($J40="","","OK"))))</f>
        <v/>
      </c>
      <c r="L40" s="168" t="n"/>
      <c r="M40" s="169">
        <f>IFERROR(INDEX($R$7:$R$306,MATCH(34,$T$7:$T$306,0)),"")</f>
        <v/>
      </c>
      <c r="N40" s="170">
        <f>IF($M40="","",INDEX($B$7:$B$306,MATCH(34,$T$7:$T$306,0))&amp;"")</f>
        <v/>
      </c>
      <c r="O40" s="170">
        <f>IF($M40="","",SUMIF(tk_HWSET,$M40,tk_QTY))</f>
        <v/>
      </c>
      <c r="P40" s="170">
        <f>IF($M40="","",COUNTIF($J$7:$J$306,$M40))</f>
        <v/>
      </c>
      <c r="Q40" s="168" t="n"/>
      <c r="R40" s="168">
        <f>IF(TRIM($A40&amp;"")&lt;&gt;"",TRIM($A40&amp;""),$R39)</f>
        <v/>
      </c>
      <c r="S40" s="168">
        <f>IF($J40="","",MAX($S$6:$S39)+1)</f>
        <v/>
      </c>
      <c r="T40" s="168">
        <f>IF(TRIM($A40&amp;"")="","",MAX($T$6:$T39)+1)</f>
        <v/>
      </c>
    </row>
    <row r="41">
      <c r="A41" s="165" t="n"/>
      <c r="B41" s="166" t="n"/>
      <c r="C41" s="166" t="n"/>
      <c r="D41" s="166" t="n"/>
      <c r="E41" s="166" t="n"/>
      <c r="F41" s="166" t="n"/>
      <c r="G41" s="166" t="n"/>
      <c r="H41" s="166" t="n"/>
      <c r="I41" s="166" t="n"/>
      <c r="J41" s="167">
        <f>IF(TRIM($E41&amp;"")="","",$R41)</f>
        <v/>
      </c>
      <c r="K41" s="167">
        <f>IF(AND(TRIM($A41&amp;"")&lt;&gt;"",COUNTIF($A$7:$A$306,$A41)&gt;1),"DUPLICATE SET",IF(AND($E41&lt;&gt;"",$R41=""),"NO SET ABOVE",IF(AND($E41&lt;&gt;"",$C41=""),"QTY?",IF($J41="","","OK"))))</f>
        <v/>
      </c>
      <c r="L41" s="168" t="n"/>
      <c r="M41" s="169">
        <f>IFERROR(INDEX($R$7:$R$306,MATCH(35,$T$7:$T$306,0)),"")</f>
        <v/>
      </c>
      <c r="N41" s="170">
        <f>IF($M41="","",INDEX($B$7:$B$306,MATCH(35,$T$7:$T$306,0))&amp;"")</f>
        <v/>
      </c>
      <c r="O41" s="170">
        <f>IF($M41="","",SUMIF(tk_HWSET,$M41,tk_QTY))</f>
        <v/>
      </c>
      <c r="P41" s="170">
        <f>IF($M41="","",COUNTIF($J$7:$J$306,$M41))</f>
        <v/>
      </c>
      <c r="Q41" s="168" t="n"/>
      <c r="R41" s="168">
        <f>IF(TRIM($A41&amp;"")&lt;&gt;"",TRIM($A41&amp;""),$R40)</f>
        <v/>
      </c>
      <c r="S41" s="168">
        <f>IF($J41="","",MAX($S$6:$S40)+1)</f>
        <v/>
      </c>
      <c r="T41" s="168">
        <f>IF(TRIM($A41&amp;"")="","",MAX($T$6:$T40)+1)</f>
        <v/>
      </c>
    </row>
    <row r="42">
      <c r="A42" s="165" t="n"/>
      <c r="B42" s="166" t="n"/>
      <c r="C42" s="166" t="n"/>
      <c r="D42" s="166" t="n"/>
      <c r="E42" s="166" t="n"/>
      <c r="F42" s="166" t="n"/>
      <c r="G42" s="166" t="n"/>
      <c r="H42" s="166" t="n"/>
      <c r="I42" s="166" t="n"/>
      <c r="J42" s="167">
        <f>IF(TRIM($E42&amp;"")="","",$R42)</f>
        <v/>
      </c>
      <c r="K42" s="167">
        <f>IF(AND(TRIM($A42&amp;"")&lt;&gt;"",COUNTIF($A$7:$A$306,$A42)&gt;1),"DUPLICATE SET",IF(AND($E42&lt;&gt;"",$R42=""),"NO SET ABOVE",IF(AND($E42&lt;&gt;"",$C42=""),"QTY?",IF($J42="","","OK"))))</f>
        <v/>
      </c>
      <c r="L42" s="168" t="n"/>
      <c r="M42" s="169">
        <f>IFERROR(INDEX($R$7:$R$306,MATCH(36,$T$7:$T$306,0)),"")</f>
        <v/>
      </c>
      <c r="N42" s="170">
        <f>IF($M42="","",INDEX($B$7:$B$306,MATCH(36,$T$7:$T$306,0))&amp;"")</f>
        <v/>
      </c>
      <c r="O42" s="170">
        <f>IF($M42="","",SUMIF(tk_HWSET,$M42,tk_QTY))</f>
        <v/>
      </c>
      <c r="P42" s="170">
        <f>IF($M42="","",COUNTIF($J$7:$J$306,$M42))</f>
        <v/>
      </c>
      <c r="Q42" s="168" t="n"/>
      <c r="R42" s="168">
        <f>IF(TRIM($A42&amp;"")&lt;&gt;"",TRIM($A42&amp;""),$R41)</f>
        <v/>
      </c>
      <c r="S42" s="168">
        <f>IF($J42="","",MAX($S$6:$S41)+1)</f>
        <v/>
      </c>
      <c r="T42" s="168">
        <f>IF(TRIM($A42&amp;"")="","",MAX($T$6:$T41)+1)</f>
        <v/>
      </c>
    </row>
    <row r="43">
      <c r="A43" s="165" t="n"/>
      <c r="B43" s="166" t="n"/>
      <c r="C43" s="166" t="n"/>
      <c r="D43" s="166" t="n"/>
      <c r="E43" s="166" t="n"/>
      <c r="F43" s="166" t="n"/>
      <c r="G43" s="166" t="n"/>
      <c r="H43" s="166" t="n"/>
      <c r="I43" s="166" t="n"/>
      <c r="J43" s="167">
        <f>IF(TRIM($E43&amp;"")="","",$R43)</f>
        <v/>
      </c>
      <c r="K43" s="167">
        <f>IF(AND(TRIM($A43&amp;"")&lt;&gt;"",COUNTIF($A$7:$A$306,$A43)&gt;1),"DUPLICATE SET",IF(AND($E43&lt;&gt;"",$R43=""),"NO SET ABOVE",IF(AND($E43&lt;&gt;"",$C43=""),"QTY?",IF($J43="","","OK"))))</f>
        <v/>
      </c>
      <c r="L43" s="168" t="n"/>
      <c r="M43" s="169">
        <f>IFERROR(INDEX($R$7:$R$306,MATCH(37,$T$7:$T$306,0)),"")</f>
        <v/>
      </c>
      <c r="N43" s="170">
        <f>IF($M43="","",INDEX($B$7:$B$306,MATCH(37,$T$7:$T$306,0))&amp;"")</f>
        <v/>
      </c>
      <c r="O43" s="170">
        <f>IF($M43="","",SUMIF(tk_HWSET,$M43,tk_QTY))</f>
        <v/>
      </c>
      <c r="P43" s="170">
        <f>IF($M43="","",COUNTIF($J$7:$J$306,$M43))</f>
        <v/>
      </c>
      <c r="Q43" s="168" t="n"/>
      <c r="R43" s="168">
        <f>IF(TRIM($A43&amp;"")&lt;&gt;"",TRIM($A43&amp;""),$R42)</f>
        <v/>
      </c>
      <c r="S43" s="168">
        <f>IF($J43="","",MAX($S$6:$S42)+1)</f>
        <v/>
      </c>
      <c r="T43" s="168">
        <f>IF(TRIM($A43&amp;"")="","",MAX($T$6:$T42)+1)</f>
        <v/>
      </c>
    </row>
    <row r="44">
      <c r="A44" s="165" t="n"/>
      <c r="B44" s="166" t="n"/>
      <c r="C44" s="166" t="n"/>
      <c r="D44" s="166" t="n"/>
      <c r="E44" s="166" t="n"/>
      <c r="F44" s="166" t="n"/>
      <c r="G44" s="166" t="n"/>
      <c r="H44" s="166" t="n"/>
      <c r="I44" s="166" t="n"/>
      <c r="J44" s="167">
        <f>IF(TRIM($E44&amp;"")="","",$R44)</f>
        <v/>
      </c>
      <c r="K44" s="167">
        <f>IF(AND(TRIM($A44&amp;"")&lt;&gt;"",COUNTIF($A$7:$A$306,$A44)&gt;1),"DUPLICATE SET",IF(AND($E44&lt;&gt;"",$R44=""),"NO SET ABOVE",IF(AND($E44&lt;&gt;"",$C44=""),"QTY?",IF($J44="","","OK"))))</f>
        <v/>
      </c>
      <c r="L44" s="168" t="n"/>
      <c r="M44" s="169">
        <f>IFERROR(INDEX($R$7:$R$306,MATCH(38,$T$7:$T$306,0)),"")</f>
        <v/>
      </c>
      <c r="N44" s="170">
        <f>IF($M44="","",INDEX($B$7:$B$306,MATCH(38,$T$7:$T$306,0))&amp;"")</f>
        <v/>
      </c>
      <c r="O44" s="170">
        <f>IF($M44="","",SUMIF(tk_HWSET,$M44,tk_QTY))</f>
        <v/>
      </c>
      <c r="P44" s="170">
        <f>IF($M44="","",COUNTIF($J$7:$J$306,$M44))</f>
        <v/>
      </c>
      <c r="Q44" s="168" t="n"/>
      <c r="R44" s="168">
        <f>IF(TRIM($A44&amp;"")&lt;&gt;"",TRIM($A44&amp;""),$R43)</f>
        <v/>
      </c>
      <c r="S44" s="168">
        <f>IF($J44="","",MAX($S$6:$S43)+1)</f>
        <v/>
      </c>
      <c r="T44" s="168">
        <f>IF(TRIM($A44&amp;"")="","",MAX($T$6:$T43)+1)</f>
        <v/>
      </c>
    </row>
    <row r="45">
      <c r="A45" s="165" t="n"/>
      <c r="B45" s="166" t="n"/>
      <c r="C45" s="166" t="n"/>
      <c r="D45" s="166" t="n"/>
      <c r="E45" s="166" t="n"/>
      <c r="F45" s="166" t="n"/>
      <c r="G45" s="166" t="n"/>
      <c r="H45" s="166" t="n"/>
      <c r="I45" s="166" t="n"/>
      <c r="J45" s="167">
        <f>IF(TRIM($E45&amp;"")="","",$R45)</f>
        <v/>
      </c>
      <c r="K45" s="167">
        <f>IF(AND(TRIM($A45&amp;"")&lt;&gt;"",COUNTIF($A$7:$A$306,$A45)&gt;1),"DUPLICATE SET",IF(AND($E45&lt;&gt;"",$R45=""),"NO SET ABOVE",IF(AND($E45&lt;&gt;"",$C45=""),"QTY?",IF($J45="","","OK"))))</f>
        <v/>
      </c>
      <c r="L45" s="168" t="n"/>
      <c r="M45" s="169">
        <f>IFERROR(INDEX($R$7:$R$306,MATCH(39,$T$7:$T$306,0)),"")</f>
        <v/>
      </c>
      <c r="N45" s="170">
        <f>IF($M45="","",INDEX($B$7:$B$306,MATCH(39,$T$7:$T$306,0))&amp;"")</f>
        <v/>
      </c>
      <c r="O45" s="170">
        <f>IF($M45="","",SUMIF(tk_HWSET,$M45,tk_QTY))</f>
        <v/>
      </c>
      <c r="P45" s="170">
        <f>IF($M45="","",COUNTIF($J$7:$J$306,$M45))</f>
        <v/>
      </c>
      <c r="Q45" s="168" t="n"/>
      <c r="R45" s="168">
        <f>IF(TRIM($A45&amp;"")&lt;&gt;"",TRIM($A45&amp;""),$R44)</f>
        <v/>
      </c>
      <c r="S45" s="168">
        <f>IF($J45="","",MAX($S$6:$S44)+1)</f>
        <v/>
      </c>
      <c r="T45" s="168">
        <f>IF(TRIM($A45&amp;"")="","",MAX($T$6:$T44)+1)</f>
        <v/>
      </c>
    </row>
    <row r="46">
      <c r="A46" s="165" t="n"/>
      <c r="B46" s="166" t="n"/>
      <c r="C46" s="166" t="n"/>
      <c r="D46" s="166" t="n"/>
      <c r="E46" s="166" t="n"/>
      <c r="F46" s="166" t="n"/>
      <c r="G46" s="166" t="n"/>
      <c r="H46" s="166" t="n"/>
      <c r="I46" s="166" t="n"/>
      <c r="J46" s="167">
        <f>IF(TRIM($E46&amp;"")="","",$R46)</f>
        <v/>
      </c>
      <c r="K46" s="167">
        <f>IF(AND(TRIM($A46&amp;"")&lt;&gt;"",COUNTIF($A$7:$A$306,$A46)&gt;1),"DUPLICATE SET",IF(AND($E46&lt;&gt;"",$R46=""),"NO SET ABOVE",IF(AND($E46&lt;&gt;"",$C46=""),"QTY?",IF($J46="","","OK"))))</f>
        <v/>
      </c>
      <c r="L46" s="168" t="n"/>
      <c r="M46" s="169">
        <f>IFERROR(INDEX($R$7:$R$306,MATCH(40,$T$7:$T$306,0)),"")</f>
        <v/>
      </c>
      <c r="N46" s="170">
        <f>IF($M46="","",INDEX($B$7:$B$306,MATCH(40,$T$7:$T$306,0))&amp;"")</f>
        <v/>
      </c>
      <c r="O46" s="170">
        <f>IF($M46="","",SUMIF(tk_HWSET,$M46,tk_QTY))</f>
        <v/>
      </c>
      <c r="P46" s="170">
        <f>IF($M46="","",COUNTIF($J$7:$J$306,$M46))</f>
        <v/>
      </c>
      <c r="Q46" s="168" t="n"/>
      <c r="R46" s="168">
        <f>IF(TRIM($A46&amp;"")&lt;&gt;"",TRIM($A46&amp;""),$R45)</f>
        <v/>
      </c>
      <c r="S46" s="168">
        <f>IF($J46="","",MAX($S$6:$S45)+1)</f>
        <v/>
      </c>
      <c r="T46" s="168">
        <f>IF(TRIM($A46&amp;"")="","",MAX($T$6:$T45)+1)</f>
        <v/>
      </c>
    </row>
    <row r="47">
      <c r="A47" s="165" t="n"/>
      <c r="B47" s="166" t="n"/>
      <c r="C47" s="166" t="n"/>
      <c r="D47" s="166" t="n"/>
      <c r="E47" s="166" t="n"/>
      <c r="F47" s="166" t="n"/>
      <c r="G47" s="166" t="n"/>
      <c r="H47" s="166" t="n"/>
      <c r="I47" s="166" t="n"/>
      <c r="J47" s="167">
        <f>IF(TRIM($E47&amp;"")="","",$R47)</f>
        <v/>
      </c>
      <c r="K47" s="167">
        <f>IF(AND(TRIM($A47&amp;"")&lt;&gt;"",COUNTIF($A$7:$A$306,$A47)&gt;1),"DUPLICATE SET",IF(AND($E47&lt;&gt;"",$R47=""),"NO SET ABOVE",IF(AND($E47&lt;&gt;"",$C47=""),"QTY?",IF($J47="","","OK"))))</f>
        <v/>
      </c>
      <c r="L47" s="168" t="n"/>
      <c r="M47" s="169">
        <f>IFERROR(INDEX($R$7:$R$306,MATCH(41,$T$7:$T$306,0)),"")</f>
        <v/>
      </c>
      <c r="N47" s="170">
        <f>IF($M47="","",INDEX($B$7:$B$306,MATCH(41,$T$7:$T$306,0))&amp;"")</f>
        <v/>
      </c>
      <c r="O47" s="170">
        <f>IF($M47="","",SUMIF(tk_HWSET,$M47,tk_QTY))</f>
        <v/>
      </c>
      <c r="P47" s="170">
        <f>IF($M47="","",COUNTIF($J$7:$J$306,$M47))</f>
        <v/>
      </c>
      <c r="Q47" s="168" t="n"/>
      <c r="R47" s="168">
        <f>IF(TRIM($A47&amp;"")&lt;&gt;"",TRIM($A47&amp;""),$R46)</f>
        <v/>
      </c>
      <c r="S47" s="168">
        <f>IF($J47="","",MAX($S$6:$S46)+1)</f>
        <v/>
      </c>
      <c r="T47" s="168">
        <f>IF(TRIM($A47&amp;"")="","",MAX($T$6:$T46)+1)</f>
        <v/>
      </c>
    </row>
    <row r="48">
      <c r="A48" s="165" t="n"/>
      <c r="B48" s="166" t="n"/>
      <c r="C48" s="166" t="n"/>
      <c r="D48" s="166" t="n"/>
      <c r="E48" s="166" t="n"/>
      <c r="F48" s="166" t="n"/>
      <c r="G48" s="166" t="n"/>
      <c r="H48" s="166" t="n"/>
      <c r="I48" s="166" t="n"/>
      <c r="J48" s="167">
        <f>IF(TRIM($E48&amp;"")="","",$R48)</f>
        <v/>
      </c>
      <c r="K48" s="167">
        <f>IF(AND(TRIM($A48&amp;"")&lt;&gt;"",COUNTIF($A$7:$A$306,$A48)&gt;1),"DUPLICATE SET",IF(AND($E48&lt;&gt;"",$R48=""),"NO SET ABOVE",IF(AND($E48&lt;&gt;"",$C48=""),"QTY?",IF($J48="","","OK"))))</f>
        <v/>
      </c>
      <c r="L48" s="168" t="n"/>
      <c r="M48" s="169">
        <f>IFERROR(INDEX($R$7:$R$306,MATCH(42,$T$7:$T$306,0)),"")</f>
        <v/>
      </c>
      <c r="N48" s="170">
        <f>IF($M48="","",INDEX($B$7:$B$306,MATCH(42,$T$7:$T$306,0))&amp;"")</f>
        <v/>
      </c>
      <c r="O48" s="170">
        <f>IF($M48="","",SUMIF(tk_HWSET,$M48,tk_QTY))</f>
        <v/>
      </c>
      <c r="P48" s="170">
        <f>IF($M48="","",COUNTIF($J$7:$J$306,$M48))</f>
        <v/>
      </c>
      <c r="Q48" s="168" t="n"/>
      <c r="R48" s="168">
        <f>IF(TRIM($A48&amp;"")&lt;&gt;"",TRIM($A48&amp;""),$R47)</f>
        <v/>
      </c>
      <c r="S48" s="168">
        <f>IF($J48="","",MAX($S$6:$S47)+1)</f>
        <v/>
      </c>
      <c r="T48" s="168">
        <f>IF(TRIM($A48&amp;"")="","",MAX($T$6:$T47)+1)</f>
        <v/>
      </c>
    </row>
    <row r="49">
      <c r="A49" s="165" t="n"/>
      <c r="B49" s="166" t="n"/>
      <c r="C49" s="166" t="n"/>
      <c r="D49" s="166" t="n"/>
      <c r="E49" s="166" t="n"/>
      <c r="F49" s="166" t="n"/>
      <c r="G49" s="166" t="n"/>
      <c r="H49" s="166" t="n"/>
      <c r="I49" s="166" t="n"/>
      <c r="J49" s="167">
        <f>IF(TRIM($E49&amp;"")="","",$R49)</f>
        <v/>
      </c>
      <c r="K49" s="167">
        <f>IF(AND(TRIM($A49&amp;"")&lt;&gt;"",COUNTIF($A$7:$A$306,$A49)&gt;1),"DUPLICATE SET",IF(AND($E49&lt;&gt;"",$R49=""),"NO SET ABOVE",IF(AND($E49&lt;&gt;"",$C49=""),"QTY?",IF($J49="","","OK"))))</f>
        <v/>
      </c>
      <c r="L49" s="168" t="n"/>
      <c r="M49" s="169">
        <f>IFERROR(INDEX($R$7:$R$306,MATCH(43,$T$7:$T$306,0)),"")</f>
        <v/>
      </c>
      <c r="N49" s="170">
        <f>IF($M49="","",INDEX($B$7:$B$306,MATCH(43,$T$7:$T$306,0))&amp;"")</f>
        <v/>
      </c>
      <c r="O49" s="170">
        <f>IF($M49="","",SUMIF(tk_HWSET,$M49,tk_QTY))</f>
        <v/>
      </c>
      <c r="P49" s="170">
        <f>IF($M49="","",COUNTIF($J$7:$J$306,$M49))</f>
        <v/>
      </c>
      <c r="Q49" s="168" t="n"/>
      <c r="R49" s="168">
        <f>IF(TRIM($A49&amp;"")&lt;&gt;"",TRIM($A49&amp;""),$R48)</f>
        <v/>
      </c>
      <c r="S49" s="168">
        <f>IF($J49="","",MAX($S$6:$S48)+1)</f>
        <v/>
      </c>
      <c r="T49" s="168">
        <f>IF(TRIM($A49&amp;"")="","",MAX($T$6:$T48)+1)</f>
        <v/>
      </c>
    </row>
    <row r="50">
      <c r="A50" s="165" t="n"/>
      <c r="B50" s="166" t="n"/>
      <c r="C50" s="166" t="n"/>
      <c r="D50" s="166" t="n"/>
      <c r="E50" s="166" t="n"/>
      <c r="F50" s="166" t="n"/>
      <c r="G50" s="166" t="n"/>
      <c r="H50" s="166" t="n"/>
      <c r="I50" s="166" t="n"/>
      <c r="J50" s="167">
        <f>IF(TRIM($E50&amp;"")="","",$R50)</f>
        <v/>
      </c>
      <c r="K50" s="167">
        <f>IF(AND(TRIM($A50&amp;"")&lt;&gt;"",COUNTIF($A$7:$A$306,$A50)&gt;1),"DUPLICATE SET",IF(AND($E50&lt;&gt;"",$R50=""),"NO SET ABOVE",IF(AND($E50&lt;&gt;"",$C50=""),"QTY?",IF($J50="","","OK"))))</f>
        <v/>
      </c>
      <c r="L50" s="168" t="n"/>
      <c r="M50" s="169">
        <f>IFERROR(INDEX($R$7:$R$306,MATCH(44,$T$7:$T$306,0)),"")</f>
        <v/>
      </c>
      <c r="N50" s="170">
        <f>IF($M50="","",INDEX($B$7:$B$306,MATCH(44,$T$7:$T$306,0))&amp;"")</f>
        <v/>
      </c>
      <c r="O50" s="170">
        <f>IF($M50="","",SUMIF(tk_HWSET,$M50,tk_QTY))</f>
        <v/>
      </c>
      <c r="P50" s="170">
        <f>IF($M50="","",COUNTIF($J$7:$J$306,$M50))</f>
        <v/>
      </c>
      <c r="Q50" s="168" t="n"/>
      <c r="R50" s="168">
        <f>IF(TRIM($A50&amp;"")&lt;&gt;"",TRIM($A50&amp;""),$R49)</f>
        <v/>
      </c>
      <c r="S50" s="168">
        <f>IF($J50="","",MAX($S$6:$S49)+1)</f>
        <v/>
      </c>
      <c r="T50" s="168">
        <f>IF(TRIM($A50&amp;"")="","",MAX($T$6:$T49)+1)</f>
        <v/>
      </c>
    </row>
    <row r="51">
      <c r="A51" s="165" t="n"/>
      <c r="B51" s="166" t="n"/>
      <c r="C51" s="166" t="n"/>
      <c r="D51" s="166" t="n"/>
      <c r="E51" s="166" t="n"/>
      <c r="F51" s="166" t="n"/>
      <c r="G51" s="166" t="n"/>
      <c r="H51" s="166" t="n"/>
      <c r="I51" s="166" t="n"/>
      <c r="J51" s="167">
        <f>IF(TRIM($E51&amp;"")="","",$R51)</f>
        <v/>
      </c>
      <c r="K51" s="167">
        <f>IF(AND(TRIM($A51&amp;"")&lt;&gt;"",COUNTIF($A$7:$A$306,$A51)&gt;1),"DUPLICATE SET",IF(AND($E51&lt;&gt;"",$R51=""),"NO SET ABOVE",IF(AND($E51&lt;&gt;"",$C51=""),"QTY?",IF($J51="","","OK"))))</f>
        <v/>
      </c>
      <c r="L51" s="168" t="n"/>
      <c r="M51" s="169">
        <f>IFERROR(INDEX($R$7:$R$306,MATCH(45,$T$7:$T$306,0)),"")</f>
        <v/>
      </c>
      <c r="N51" s="170">
        <f>IF($M51="","",INDEX($B$7:$B$306,MATCH(45,$T$7:$T$306,0))&amp;"")</f>
        <v/>
      </c>
      <c r="O51" s="170">
        <f>IF($M51="","",SUMIF(tk_HWSET,$M51,tk_QTY))</f>
        <v/>
      </c>
      <c r="P51" s="170">
        <f>IF($M51="","",COUNTIF($J$7:$J$306,$M51))</f>
        <v/>
      </c>
      <c r="Q51" s="168" t="n"/>
      <c r="R51" s="168">
        <f>IF(TRIM($A51&amp;"")&lt;&gt;"",TRIM($A51&amp;""),$R50)</f>
        <v/>
      </c>
      <c r="S51" s="168">
        <f>IF($J51="","",MAX($S$6:$S50)+1)</f>
        <v/>
      </c>
      <c r="T51" s="168">
        <f>IF(TRIM($A51&amp;"")="","",MAX($T$6:$T50)+1)</f>
        <v/>
      </c>
    </row>
    <row r="52">
      <c r="A52" s="165" t="n"/>
      <c r="B52" s="166" t="n"/>
      <c r="C52" s="166" t="n"/>
      <c r="D52" s="166" t="n"/>
      <c r="E52" s="166" t="n"/>
      <c r="F52" s="166" t="n"/>
      <c r="G52" s="166" t="n"/>
      <c r="H52" s="166" t="n"/>
      <c r="I52" s="166" t="n"/>
      <c r="J52" s="167">
        <f>IF(TRIM($E52&amp;"")="","",$R52)</f>
        <v/>
      </c>
      <c r="K52" s="167">
        <f>IF(AND(TRIM($A52&amp;"")&lt;&gt;"",COUNTIF($A$7:$A$306,$A52)&gt;1),"DUPLICATE SET",IF(AND($E52&lt;&gt;"",$R52=""),"NO SET ABOVE",IF(AND($E52&lt;&gt;"",$C52=""),"QTY?",IF($J52="","","OK"))))</f>
        <v/>
      </c>
      <c r="L52" s="168" t="n"/>
      <c r="M52" s="169">
        <f>IFERROR(INDEX($R$7:$R$306,MATCH(46,$T$7:$T$306,0)),"")</f>
        <v/>
      </c>
      <c r="N52" s="170">
        <f>IF($M52="","",INDEX($B$7:$B$306,MATCH(46,$T$7:$T$306,0))&amp;"")</f>
        <v/>
      </c>
      <c r="O52" s="170">
        <f>IF($M52="","",SUMIF(tk_HWSET,$M52,tk_QTY))</f>
        <v/>
      </c>
      <c r="P52" s="170">
        <f>IF($M52="","",COUNTIF($J$7:$J$306,$M52))</f>
        <v/>
      </c>
      <c r="Q52" s="168" t="n"/>
      <c r="R52" s="168">
        <f>IF(TRIM($A52&amp;"")&lt;&gt;"",TRIM($A52&amp;""),$R51)</f>
        <v/>
      </c>
      <c r="S52" s="168">
        <f>IF($J52="","",MAX($S$6:$S51)+1)</f>
        <v/>
      </c>
      <c r="T52" s="168">
        <f>IF(TRIM($A52&amp;"")="","",MAX($T$6:$T51)+1)</f>
        <v/>
      </c>
    </row>
    <row r="53">
      <c r="A53" s="165" t="n"/>
      <c r="B53" s="166" t="n"/>
      <c r="C53" s="166" t="n"/>
      <c r="D53" s="166" t="n"/>
      <c r="E53" s="166" t="n"/>
      <c r="F53" s="166" t="n"/>
      <c r="G53" s="166" t="n"/>
      <c r="H53" s="166" t="n"/>
      <c r="I53" s="166" t="n"/>
      <c r="J53" s="167">
        <f>IF(TRIM($E53&amp;"")="","",$R53)</f>
        <v/>
      </c>
      <c r="K53" s="167">
        <f>IF(AND(TRIM($A53&amp;"")&lt;&gt;"",COUNTIF($A$7:$A$306,$A53)&gt;1),"DUPLICATE SET",IF(AND($E53&lt;&gt;"",$R53=""),"NO SET ABOVE",IF(AND($E53&lt;&gt;"",$C53=""),"QTY?",IF($J53="","","OK"))))</f>
        <v/>
      </c>
      <c r="L53" s="168" t="n"/>
      <c r="M53" s="169">
        <f>IFERROR(INDEX($R$7:$R$306,MATCH(47,$T$7:$T$306,0)),"")</f>
        <v/>
      </c>
      <c r="N53" s="170">
        <f>IF($M53="","",INDEX($B$7:$B$306,MATCH(47,$T$7:$T$306,0))&amp;"")</f>
        <v/>
      </c>
      <c r="O53" s="170">
        <f>IF($M53="","",SUMIF(tk_HWSET,$M53,tk_QTY))</f>
        <v/>
      </c>
      <c r="P53" s="170">
        <f>IF($M53="","",COUNTIF($J$7:$J$306,$M53))</f>
        <v/>
      </c>
      <c r="Q53" s="168" t="n"/>
      <c r="R53" s="168">
        <f>IF(TRIM($A53&amp;"")&lt;&gt;"",TRIM($A53&amp;""),$R52)</f>
        <v/>
      </c>
      <c r="S53" s="168">
        <f>IF($J53="","",MAX($S$6:$S52)+1)</f>
        <v/>
      </c>
      <c r="T53" s="168">
        <f>IF(TRIM($A53&amp;"")="","",MAX($T$6:$T52)+1)</f>
        <v/>
      </c>
    </row>
    <row r="54">
      <c r="A54" s="165" t="n"/>
      <c r="B54" s="166" t="n"/>
      <c r="C54" s="166" t="n"/>
      <c r="D54" s="166" t="n"/>
      <c r="E54" s="166" t="n"/>
      <c r="F54" s="166" t="n"/>
      <c r="G54" s="166" t="n"/>
      <c r="H54" s="166" t="n"/>
      <c r="I54" s="166" t="n"/>
      <c r="J54" s="167">
        <f>IF(TRIM($E54&amp;"")="","",$R54)</f>
        <v/>
      </c>
      <c r="K54" s="167">
        <f>IF(AND(TRIM($A54&amp;"")&lt;&gt;"",COUNTIF($A$7:$A$306,$A54)&gt;1),"DUPLICATE SET",IF(AND($E54&lt;&gt;"",$R54=""),"NO SET ABOVE",IF(AND($E54&lt;&gt;"",$C54=""),"QTY?",IF($J54="","","OK"))))</f>
        <v/>
      </c>
      <c r="L54" s="168" t="n"/>
      <c r="M54" s="169">
        <f>IFERROR(INDEX($R$7:$R$306,MATCH(48,$T$7:$T$306,0)),"")</f>
        <v/>
      </c>
      <c r="N54" s="170">
        <f>IF($M54="","",INDEX($B$7:$B$306,MATCH(48,$T$7:$T$306,0))&amp;"")</f>
        <v/>
      </c>
      <c r="O54" s="170">
        <f>IF($M54="","",SUMIF(tk_HWSET,$M54,tk_QTY))</f>
        <v/>
      </c>
      <c r="P54" s="170">
        <f>IF($M54="","",COUNTIF($J$7:$J$306,$M54))</f>
        <v/>
      </c>
      <c r="Q54" s="168" t="n"/>
      <c r="R54" s="168">
        <f>IF(TRIM($A54&amp;"")&lt;&gt;"",TRIM($A54&amp;""),$R53)</f>
        <v/>
      </c>
      <c r="S54" s="168">
        <f>IF($J54="","",MAX($S$6:$S53)+1)</f>
        <v/>
      </c>
      <c r="T54" s="168">
        <f>IF(TRIM($A54&amp;"")="","",MAX($T$6:$T53)+1)</f>
        <v/>
      </c>
    </row>
    <row r="55">
      <c r="A55" s="165" t="n"/>
      <c r="B55" s="166" t="n"/>
      <c r="C55" s="166" t="n"/>
      <c r="D55" s="166" t="n"/>
      <c r="E55" s="166" t="n"/>
      <c r="F55" s="166" t="n"/>
      <c r="G55" s="166" t="n"/>
      <c r="H55" s="166" t="n"/>
      <c r="I55" s="166" t="n"/>
      <c r="J55" s="167">
        <f>IF(TRIM($E55&amp;"")="","",$R55)</f>
        <v/>
      </c>
      <c r="K55" s="167">
        <f>IF(AND(TRIM($A55&amp;"")&lt;&gt;"",COUNTIF($A$7:$A$306,$A55)&gt;1),"DUPLICATE SET",IF(AND($E55&lt;&gt;"",$R55=""),"NO SET ABOVE",IF(AND($E55&lt;&gt;"",$C55=""),"QTY?",IF($J55="","","OK"))))</f>
        <v/>
      </c>
      <c r="L55" s="168" t="n"/>
      <c r="M55" s="169">
        <f>IFERROR(INDEX($R$7:$R$306,MATCH(49,$T$7:$T$306,0)),"")</f>
        <v/>
      </c>
      <c r="N55" s="170">
        <f>IF($M55="","",INDEX($B$7:$B$306,MATCH(49,$T$7:$T$306,0))&amp;"")</f>
        <v/>
      </c>
      <c r="O55" s="170">
        <f>IF($M55="","",SUMIF(tk_HWSET,$M55,tk_QTY))</f>
        <v/>
      </c>
      <c r="P55" s="170">
        <f>IF($M55="","",COUNTIF($J$7:$J$306,$M55))</f>
        <v/>
      </c>
      <c r="Q55" s="168" t="n"/>
      <c r="R55" s="168">
        <f>IF(TRIM($A55&amp;"")&lt;&gt;"",TRIM($A55&amp;""),$R54)</f>
        <v/>
      </c>
      <c r="S55" s="168">
        <f>IF($J55="","",MAX($S$6:$S54)+1)</f>
        <v/>
      </c>
      <c r="T55" s="168">
        <f>IF(TRIM($A55&amp;"")="","",MAX($T$6:$T54)+1)</f>
        <v/>
      </c>
    </row>
    <row r="56">
      <c r="A56" s="165" t="n"/>
      <c r="B56" s="166" t="n"/>
      <c r="C56" s="166" t="n"/>
      <c r="D56" s="166" t="n"/>
      <c r="E56" s="166" t="n"/>
      <c r="F56" s="166" t="n"/>
      <c r="G56" s="166" t="n"/>
      <c r="H56" s="166" t="n"/>
      <c r="I56" s="166" t="n"/>
      <c r="J56" s="167">
        <f>IF(TRIM($E56&amp;"")="","",$R56)</f>
        <v/>
      </c>
      <c r="K56" s="167">
        <f>IF(AND(TRIM($A56&amp;"")&lt;&gt;"",COUNTIF($A$7:$A$306,$A56)&gt;1),"DUPLICATE SET",IF(AND($E56&lt;&gt;"",$R56=""),"NO SET ABOVE",IF(AND($E56&lt;&gt;"",$C56=""),"QTY?",IF($J56="","","OK"))))</f>
        <v/>
      </c>
      <c r="L56" s="168" t="n"/>
      <c r="M56" s="169">
        <f>IFERROR(INDEX($R$7:$R$306,MATCH(50,$T$7:$T$306,0)),"")</f>
        <v/>
      </c>
      <c r="N56" s="170">
        <f>IF($M56="","",INDEX($B$7:$B$306,MATCH(50,$T$7:$T$306,0))&amp;"")</f>
        <v/>
      </c>
      <c r="O56" s="170">
        <f>IF($M56="","",SUMIF(tk_HWSET,$M56,tk_QTY))</f>
        <v/>
      </c>
      <c r="P56" s="170">
        <f>IF($M56="","",COUNTIF($J$7:$J$306,$M56))</f>
        <v/>
      </c>
      <c r="Q56" s="168" t="n"/>
      <c r="R56" s="168">
        <f>IF(TRIM($A56&amp;"")&lt;&gt;"",TRIM($A56&amp;""),$R55)</f>
        <v/>
      </c>
      <c r="S56" s="168">
        <f>IF($J56="","",MAX($S$6:$S55)+1)</f>
        <v/>
      </c>
      <c r="T56" s="168">
        <f>IF(TRIM($A56&amp;"")="","",MAX($T$6:$T55)+1)</f>
        <v/>
      </c>
    </row>
    <row r="57">
      <c r="A57" s="165" t="n"/>
      <c r="B57" s="166" t="n"/>
      <c r="C57" s="166" t="n"/>
      <c r="D57" s="166" t="n"/>
      <c r="E57" s="166" t="n"/>
      <c r="F57" s="166" t="n"/>
      <c r="G57" s="166" t="n"/>
      <c r="H57" s="166" t="n"/>
      <c r="I57" s="166" t="n"/>
      <c r="J57" s="167">
        <f>IF(TRIM($E57&amp;"")="","",$R57)</f>
        <v/>
      </c>
      <c r="K57" s="167">
        <f>IF(AND(TRIM($A57&amp;"")&lt;&gt;"",COUNTIF($A$7:$A$306,$A57)&gt;1),"DUPLICATE SET",IF(AND($E57&lt;&gt;"",$R57=""),"NO SET ABOVE",IF(AND($E57&lt;&gt;"",$C57=""),"QTY?",IF($J57="","","OK"))))</f>
        <v/>
      </c>
      <c r="L57" s="168" t="n"/>
      <c r="M57" s="169">
        <f>IFERROR(INDEX($R$7:$R$306,MATCH(51,$T$7:$T$306,0)),"")</f>
        <v/>
      </c>
      <c r="N57" s="170">
        <f>IF($M57="","",INDEX($B$7:$B$306,MATCH(51,$T$7:$T$306,0))&amp;"")</f>
        <v/>
      </c>
      <c r="O57" s="170">
        <f>IF($M57="","",SUMIF(tk_HWSET,$M57,tk_QTY))</f>
        <v/>
      </c>
      <c r="P57" s="170">
        <f>IF($M57="","",COUNTIF($J$7:$J$306,$M57))</f>
        <v/>
      </c>
      <c r="Q57" s="168" t="n"/>
      <c r="R57" s="168">
        <f>IF(TRIM($A57&amp;"")&lt;&gt;"",TRIM($A57&amp;""),$R56)</f>
        <v/>
      </c>
      <c r="S57" s="168">
        <f>IF($J57="","",MAX($S$6:$S56)+1)</f>
        <v/>
      </c>
      <c r="T57" s="168">
        <f>IF(TRIM($A57&amp;"")="","",MAX($T$6:$T56)+1)</f>
        <v/>
      </c>
    </row>
    <row r="58">
      <c r="A58" s="165" t="n"/>
      <c r="B58" s="166" t="n"/>
      <c r="C58" s="166" t="n"/>
      <c r="D58" s="166" t="n"/>
      <c r="E58" s="166" t="n"/>
      <c r="F58" s="166" t="n"/>
      <c r="G58" s="166" t="n"/>
      <c r="H58" s="166" t="n"/>
      <c r="I58" s="166" t="n"/>
      <c r="J58" s="167">
        <f>IF(TRIM($E58&amp;"")="","",$R58)</f>
        <v/>
      </c>
      <c r="K58" s="167">
        <f>IF(AND(TRIM($A58&amp;"")&lt;&gt;"",COUNTIF($A$7:$A$306,$A58)&gt;1),"DUPLICATE SET",IF(AND($E58&lt;&gt;"",$R58=""),"NO SET ABOVE",IF(AND($E58&lt;&gt;"",$C58=""),"QTY?",IF($J58="","","OK"))))</f>
        <v/>
      </c>
      <c r="L58" s="168" t="n"/>
      <c r="M58" s="169">
        <f>IFERROR(INDEX($R$7:$R$306,MATCH(52,$T$7:$T$306,0)),"")</f>
        <v/>
      </c>
      <c r="N58" s="170">
        <f>IF($M58="","",INDEX($B$7:$B$306,MATCH(52,$T$7:$T$306,0))&amp;"")</f>
        <v/>
      </c>
      <c r="O58" s="170">
        <f>IF($M58="","",SUMIF(tk_HWSET,$M58,tk_QTY))</f>
        <v/>
      </c>
      <c r="P58" s="170">
        <f>IF($M58="","",COUNTIF($J$7:$J$306,$M58))</f>
        <v/>
      </c>
      <c r="Q58" s="168" t="n"/>
      <c r="R58" s="168">
        <f>IF(TRIM($A58&amp;"")&lt;&gt;"",TRIM($A58&amp;""),$R57)</f>
        <v/>
      </c>
      <c r="S58" s="168">
        <f>IF($J58="","",MAX($S$6:$S57)+1)</f>
        <v/>
      </c>
      <c r="T58" s="168">
        <f>IF(TRIM($A58&amp;"")="","",MAX($T$6:$T57)+1)</f>
        <v/>
      </c>
    </row>
    <row r="59">
      <c r="A59" s="165" t="n"/>
      <c r="B59" s="166" t="n"/>
      <c r="C59" s="166" t="n"/>
      <c r="D59" s="166" t="n"/>
      <c r="E59" s="166" t="n"/>
      <c r="F59" s="166" t="n"/>
      <c r="G59" s="166" t="n"/>
      <c r="H59" s="166" t="n"/>
      <c r="I59" s="166" t="n"/>
      <c r="J59" s="167">
        <f>IF(TRIM($E59&amp;"")="","",$R59)</f>
        <v/>
      </c>
      <c r="K59" s="167">
        <f>IF(AND(TRIM($A59&amp;"")&lt;&gt;"",COUNTIF($A$7:$A$306,$A59)&gt;1),"DUPLICATE SET",IF(AND($E59&lt;&gt;"",$R59=""),"NO SET ABOVE",IF(AND($E59&lt;&gt;"",$C59=""),"QTY?",IF($J59="","","OK"))))</f>
        <v/>
      </c>
      <c r="L59" s="168" t="n"/>
      <c r="M59" s="169">
        <f>IFERROR(INDEX($R$7:$R$306,MATCH(53,$T$7:$T$306,0)),"")</f>
        <v/>
      </c>
      <c r="N59" s="170">
        <f>IF($M59="","",INDEX($B$7:$B$306,MATCH(53,$T$7:$T$306,0))&amp;"")</f>
        <v/>
      </c>
      <c r="O59" s="170">
        <f>IF($M59="","",SUMIF(tk_HWSET,$M59,tk_QTY))</f>
        <v/>
      </c>
      <c r="P59" s="170">
        <f>IF($M59="","",COUNTIF($J$7:$J$306,$M59))</f>
        <v/>
      </c>
      <c r="Q59" s="168" t="n"/>
      <c r="R59" s="168">
        <f>IF(TRIM($A59&amp;"")&lt;&gt;"",TRIM($A59&amp;""),$R58)</f>
        <v/>
      </c>
      <c r="S59" s="168">
        <f>IF($J59="","",MAX($S$6:$S58)+1)</f>
        <v/>
      </c>
      <c r="T59" s="168">
        <f>IF(TRIM($A59&amp;"")="","",MAX($T$6:$T58)+1)</f>
        <v/>
      </c>
    </row>
    <row r="60">
      <c r="A60" s="165" t="n"/>
      <c r="B60" s="166" t="n"/>
      <c r="C60" s="166" t="n"/>
      <c r="D60" s="166" t="n"/>
      <c r="E60" s="166" t="n"/>
      <c r="F60" s="166" t="n"/>
      <c r="G60" s="166" t="n"/>
      <c r="H60" s="166" t="n"/>
      <c r="I60" s="166" t="n"/>
      <c r="J60" s="167">
        <f>IF(TRIM($E60&amp;"")="","",$R60)</f>
        <v/>
      </c>
      <c r="K60" s="167">
        <f>IF(AND(TRIM($A60&amp;"")&lt;&gt;"",COUNTIF($A$7:$A$306,$A60)&gt;1),"DUPLICATE SET",IF(AND($E60&lt;&gt;"",$R60=""),"NO SET ABOVE",IF(AND($E60&lt;&gt;"",$C60=""),"QTY?",IF($J60="","","OK"))))</f>
        <v/>
      </c>
      <c r="L60" s="168" t="n"/>
      <c r="M60" s="169">
        <f>IFERROR(INDEX($R$7:$R$306,MATCH(54,$T$7:$T$306,0)),"")</f>
        <v/>
      </c>
      <c r="N60" s="170">
        <f>IF($M60="","",INDEX($B$7:$B$306,MATCH(54,$T$7:$T$306,0))&amp;"")</f>
        <v/>
      </c>
      <c r="O60" s="170">
        <f>IF($M60="","",SUMIF(tk_HWSET,$M60,tk_QTY))</f>
        <v/>
      </c>
      <c r="P60" s="170">
        <f>IF($M60="","",COUNTIF($J$7:$J$306,$M60))</f>
        <v/>
      </c>
      <c r="Q60" s="168" t="n"/>
      <c r="R60" s="168">
        <f>IF(TRIM($A60&amp;"")&lt;&gt;"",TRIM($A60&amp;""),$R59)</f>
        <v/>
      </c>
      <c r="S60" s="168">
        <f>IF($J60="","",MAX($S$6:$S59)+1)</f>
        <v/>
      </c>
      <c r="T60" s="168">
        <f>IF(TRIM($A60&amp;"")="","",MAX($T$6:$T59)+1)</f>
        <v/>
      </c>
    </row>
    <row r="61">
      <c r="A61" s="165" t="n"/>
      <c r="B61" s="166" t="n"/>
      <c r="C61" s="166" t="n"/>
      <c r="D61" s="166" t="n"/>
      <c r="E61" s="166" t="n"/>
      <c r="F61" s="166" t="n"/>
      <c r="G61" s="166" t="n"/>
      <c r="H61" s="166" t="n"/>
      <c r="I61" s="166" t="n"/>
      <c r="J61" s="167">
        <f>IF(TRIM($E61&amp;"")="","",$R61)</f>
        <v/>
      </c>
      <c r="K61" s="167">
        <f>IF(AND(TRIM($A61&amp;"")&lt;&gt;"",COUNTIF($A$7:$A$306,$A61)&gt;1),"DUPLICATE SET",IF(AND($E61&lt;&gt;"",$R61=""),"NO SET ABOVE",IF(AND($E61&lt;&gt;"",$C61=""),"QTY?",IF($J61="","","OK"))))</f>
        <v/>
      </c>
      <c r="L61" s="168" t="n"/>
      <c r="M61" s="169">
        <f>IFERROR(INDEX($R$7:$R$306,MATCH(55,$T$7:$T$306,0)),"")</f>
        <v/>
      </c>
      <c r="N61" s="170">
        <f>IF($M61="","",INDEX($B$7:$B$306,MATCH(55,$T$7:$T$306,0))&amp;"")</f>
        <v/>
      </c>
      <c r="O61" s="170">
        <f>IF($M61="","",SUMIF(tk_HWSET,$M61,tk_QTY))</f>
        <v/>
      </c>
      <c r="P61" s="170">
        <f>IF($M61="","",COUNTIF($J$7:$J$306,$M61))</f>
        <v/>
      </c>
      <c r="Q61" s="168" t="n"/>
      <c r="R61" s="168">
        <f>IF(TRIM($A61&amp;"")&lt;&gt;"",TRIM($A61&amp;""),$R60)</f>
        <v/>
      </c>
      <c r="S61" s="168">
        <f>IF($J61="","",MAX($S$6:$S60)+1)</f>
        <v/>
      </c>
      <c r="T61" s="168">
        <f>IF(TRIM($A61&amp;"")="","",MAX($T$6:$T60)+1)</f>
        <v/>
      </c>
    </row>
    <row r="62">
      <c r="A62" s="165" t="n"/>
      <c r="B62" s="166" t="n"/>
      <c r="C62" s="166" t="n"/>
      <c r="D62" s="166" t="n"/>
      <c r="E62" s="166" t="n"/>
      <c r="F62" s="166" t="n"/>
      <c r="G62" s="166" t="n"/>
      <c r="H62" s="166" t="n"/>
      <c r="I62" s="166" t="n"/>
      <c r="J62" s="167">
        <f>IF(TRIM($E62&amp;"")="","",$R62)</f>
        <v/>
      </c>
      <c r="K62" s="167">
        <f>IF(AND(TRIM($A62&amp;"")&lt;&gt;"",COUNTIF($A$7:$A$306,$A62)&gt;1),"DUPLICATE SET",IF(AND($E62&lt;&gt;"",$R62=""),"NO SET ABOVE",IF(AND($E62&lt;&gt;"",$C62=""),"QTY?",IF($J62="","","OK"))))</f>
        <v/>
      </c>
      <c r="L62" s="168" t="n"/>
      <c r="M62" s="169">
        <f>IFERROR(INDEX($R$7:$R$306,MATCH(56,$T$7:$T$306,0)),"")</f>
        <v/>
      </c>
      <c r="N62" s="170">
        <f>IF($M62="","",INDEX($B$7:$B$306,MATCH(56,$T$7:$T$306,0))&amp;"")</f>
        <v/>
      </c>
      <c r="O62" s="170">
        <f>IF($M62="","",SUMIF(tk_HWSET,$M62,tk_QTY))</f>
        <v/>
      </c>
      <c r="P62" s="170">
        <f>IF($M62="","",COUNTIF($J$7:$J$306,$M62))</f>
        <v/>
      </c>
      <c r="Q62" s="168" t="n"/>
      <c r="R62" s="168">
        <f>IF(TRIM($A62&amp;"")&lt;&gt;"",TRIM($A62&amp;""),$R61)</f>
        <v/>
      </c>
      <c r="S62" s="168">
        <f>IF($J62="","",MAX($S$6:$S61)+1)</f>
        <v/>
      </c>
      <c r="T62" s="168">
        <f>IF(TRIM($A62&amp;"")="","",MAX($T$6:$T61)+1)</f>
        <v/>
      </c>
    </row>
    <row r="63">
      <c r="A63" s="165" t="n"/>
      <c r="B63" s="166" t="n"/>
      <c r="C63" s="166" t="n"/>
      <c r="D63" s="166" t="n"/>
      <c r="E63" s="166" t="n"/>
      <c r="F63" s="166" t="n"/>
      <c r="G63" s="166" t="n"/>
      <c r="H63" s="166" t="n"/>
      <c r="I63" s="166" t="n"/>
      <c r="J63" s="167">
        <f>IF(TRIM($E63&amp;"")="","",$R63)</f>
        <v/>
      </c>
      <c r="K63" s="167">
        <f>IF(AND(TRIM($A63&amp;"")&lt;&gt;"",COUNTIF($A$7:$A$306,$A63)&gt;1),"DUPLICATE SET",IF(AND($E63&lt;&gt;"",$R63=""),"NO SET ABOVE",IF(AND($E63&lt;&gt;"",$C63=""),"QTY?",IF($J63="","","OK"))))</f>
        <v/>
      </c>
      <c r="L63" s="168" t="n"/>
      <c r="M63" s="169">
        <f>IFERROR(INDEX($R$7:$R$306,MATCH(57,$T$7:$T$306,0)),"")</f>
        <v/>
      </c>
      <c r="N63" s="170">
        <f>IF($M63="","",INDEX($B$7:$B$306,MATCH(57,$T$7:$T$306,0))&amp;"")</f>
        <v/>
      </c>
      <c r="O63" s="170">
        <f>IF($M63="","",SUMIF(tk_HWSET,$M63,tk_QTY))</f>
        <v/>
      </c>
      <c r="P63" s="170">
        <f>IF($M63="","",COUNTIF($J$7:$J$306,$M63))</f>
        <v/>
      </c>
      <c r="Q63" s="168" t="n"/>
      <c r="R63" s="168">
        <f>IF(TRIM($A63&amp;"")&lt;&gt;"",TRIM($A63&amp;""),$R62)</f>
        <v/>
      </c>
      <c r="S63" s="168">
        <f>IF($J63="","",MAX($S$6:$S62)+1)</f>
        <v/>
      </c>
      <c r="T63" s="168">
        <f>IF(TRIM($A63&amp;"")="","",MAX($T$6:$T62)+1)</f>
        <v/>
      </c>
    </row>
    <row r="64">
      <c r="A64" s="165" t="n"/>
      <c r="B64" s="166" t="n"/>
      <c r="C64" s="166" t="n"/>
      <c r="D64" s="166" t="n"/>
      <c r="E64" s="166" t="n"/>
      <c r="F64" s="166" t="n"/>
      <c r="G64" s="166" t="n"/>
      <c r="H64" s="166" t="n"/>
      <c r="I64" s="166" t="n"/>
      <c r="J64" s="167">
        <f>IF(TRIM($E64&amp;"")="","",$R64)</f>
        <v/>
      </c>
      <c r="K64" s="167">
        <f>IF(AND(TRIM($A64&amp;"")&lt;&gt;"",COUNTIF($A$7:$A$306,$A64)&gt;1),"DUPLICATE SET",IF(AND($E64&lt;&gt;"",$R64=""),"NO SET ABOVE",IF(AND($E64&lt;&gt;"",$C64=""),"QTY?",IF($J64="","","OK"))))</f>
        <v/>
      </c>
      <c r="L64" s="168" t="n"/>
      <c r="M64" s="169">
        <f>IFERROR(INDEX($R$7:$R$306,MATCH(58,$T$7:$T$306,0)),"")</f>
        <v/>
      </c>
      <c r="N64" s="170">
        <f>IF($M64="","",INDEX($B$7:$B$306,MATCH(58,$T$7:$T$306,0))&amp;"")</f>
        <v/>
      </c>
      <c r="O64" s="170">
        <f>IF($M64="","",SUMIF(tk_HWSET,$M64,tk_QTY))</f>
        <v/>
      </c>
      <c r="P64" s="170">
        <f>IF($M64="","",COUNTIF($J$7:$J$306,$M64))</f>
        <v/>
      </c>
      <c r="Q64" s="168" t="n"/>
      <c r="R64" s="168">
        <f>IF(TRIM($A64&amp;"")&lt;&gt;"",TRIM($A64&amp;""),$R63)</f>
        <v/>
      </c>
      <c r="S64" s="168">
        <f>IF($J64="","",MAX($S$6:$S63)+1)</f>
        <v/>
      </c>
      <c r="T64" s="168">
        <f>IF(TRIM($A64&amp;"")="","",MAX($T$6:$T63)+1)</f>
        <v/>
      </c>
    </row>
    <row r="65">
      <c r="A65" s="165" t="n"/>
      <c r="B65" s="166" t="n"/>
      <c r="C65" s="166" t="n"/>
      <c r="D65" s="166" t="n"/>
      <c r="E65" s="166" t="n"/>
      <c r="F65" s="166" t="n"/>
      <c r="G65" s="166" t="n"/>
      <c r="H65" s="166" t="n"/>
      <c r="I65" s="166" t="n"/>
      <c r="J65" s="167">
        <f>IF(TRIM($E65&amp;"")="","",$R65)</f>
        <v/>
      </c>
      <c r="K65" s="167">
        <f>IF(AND(TRIM($A65&amp;"")&lt;&gt;"",COUNTIF($A$7:$A$306,$A65)&gt;1),"DUPLICATE SET",IF(AND($E65&lt;&gt;"",$R65=""),"NO SET ABOVE",IF(AND($E65&lt;&gt;"",$C65=""),"QTY?",IF($J65="","","OK"))))</f>
        <v/>
      </c>
      <c r="L65" s="168" t="n"/>
      <c r="M65" s="169">
        <f>IFERROR(INDEX($R$7:$R$306,MATCH(59,$T$7:$T$306,0)),"")</f>
        <v/>
      </c>
      <c r="N65" s="170">
        <f>IF($M65="","",INDEX($B$7:$B$306,MATCH(59,$T$7:$T$306,0))&amp;"")</f>
        <v/>
      </c>
      <c r="O65" s="170">
        <f>IF($M65="","",SUMIF(tk_HWSET,$M65,tk_QTY))</f>
        <v/>
      </c>
      <c r="P65" s="170">
        <f>IF($M65="","",COUNTIF($J$7:$J$306,$M65))</f>
        <v/>
      </c>
      <c r="Q65" s="168" t="n"/>
      <c r="R65" s="168">
        <f>IF(TRIM($A65&amp;"")&lt;&gt;"",TRIM($A65&amp;""),$R64)</f>
        <v/>
      </c>
      <c r="S65" s="168">
        <f>IF($J65="","",MAX($S$6:$S64)+1)</f>
        <v/>
      </c>
      <c r="T65" s="168">
        <f>IF(TRIM($A65&amp;"")="","",MAX($T$6:$T64)+1)</f>
        <v/>
      </c>
    </row>
    <row r="66">
      <c r="A66" s="165" t="n"/>
      <c r="B66" s="166" t="n"/>
      <c r="C66" s="166" t="n"/>
      <c r="D66" s="166" t="n"/>
      <c r="E66" s="166" t="n"/>
      <c r="F66" s="166" t="n"/>
      <c r="G66" s="166" t="n"/>
      <c r="H66" s="166" t="n"/>
      <c r="I66" s="166" t="n"/>
      <c r="J66" s="167">
        <f>IF(TRIM($E66&amp;"")="","",$R66)</f>
        <v/>
      </c>
      <c r="K66" s="167">
        <f>IF(AND(TRIM($A66&amp;"")&lt;&gt;"",COUNTIF($A$7:$A$306,$A66)&gt;1),"DUPLICATE SET",IF(AND($E66&lt;&gt;"",$R66=""),"NO SET ABOVE",IF(AND($E66&lt;&gt;"",$C66=""),"QTY?",IF($J66="","","OK"))))</f>
        <v/>
      </c>
      <c r="L66" s="168" t="n"/>
      <c r="M66" s="169">
        <f>IFERROR(INDEX($R$7:$R$306,MATCH(60,$T$7:$T$306,0)),"")</f>
        <v/>
      </c>
      <c r="N66" s="170">
        <f>IF($M66="","",INDEX($B$7:$B$306,MATCH(60,$T$7:$T$306,0))&amp;"")</f>
        <v/>
      </c>
      <c r="O66" s="170">
        <f>IF($M66="","",SUMIF(tk_HWSET,$M66,tk_QTY))</f>
        <v/>
      </c>
      <c r="P66" s="170">
        <f>IF($M66="","",COUNTIF($J$7:$J$306,$M66))</f>
        <v/>
      </c>
      <c r="Q66" s="168" t="n"/>
      <c r="R66" s="168">
        <f>IF(TRIM($A66&amp;"")&lt;&gt;"",TRIM($A66&amp;""),$R65)</f>
        <v/>
      </c>
      <c r="S66" s="168">
        <f>IF($J66="","",MAX($S$6:$S65)+1)</f>
        <v/>
      </c>
      <c r="T66" s="168">
        <f>IF(TRIM($A66&amp;"")="","",MAX($T$6:$T65)+1)</f>
        <v/>
      </c>
    </row>
    <row r="67">
      <c r="A67" s="165" t="n"/>
      <c r="B67" s="166" t="n"/>
      <c r="C67" s="166" t="n"/>
      <c r="D67" s="166" t="n"/>
      <c r="E67" s="166" t="n"/>
      <c r="F67" s="166" t="n"/>
      <c r="G67" s="166" t="n"/>
      <c r="H67" s="166" t="n"/>
      <c r="I67" s="166" t="n"/>
      <c r="J67" s="167">
        <f>IF(TRIM($E67&amp;"")="","",$R67)</f>
        <v/>
      </c>
      <c r="K67" s="167">
        <f>IF(AND(TRIM($A67&amp;"")&lt;&gt;"",COUNTIF($A$7:$A$306,$A67)&gt;1),"DUPLICATE SET",IF(AND($E67&lt;&gt;"",$R67=""),"NO SET ABOVE",IF(AND($E67&lt;&gt;"",$C67=""),"QTY?",IF($J67="","","OK"))))</f>
        <v/>
      </c>
      <c r="L67" s="168" t="n"/>
      <c r="M67" s="169">
        <f>IFERROR(INDEX($R$7:$R$306,MATCH(61,$T$7:$T$306,0)),"")</f>
        <v/>
      </c>
      <c r="N67" s="170">
        <f>IF($M67="","",INDEX($B$7:$B$306,MATCH(61,$T$7:$T$306,0))&amp;"")</f>
        <v/>
      </c>
      <c r="O67" s="170">
        <f>IF($M67="","",SUMIF(tk_HWSET,$M67,tk_QTY))</f>
        <v/>
      </c>
      <c r="P67" s="170">
        <f>IF($M67="","",COUNTIF($J$7:$J$306,$M67))</f>
        <v/>
      </c>
      <c r="Q67" s="168" t="n"/>
      <c r="R67" s="168">
        <f>IF(TRIM($A67&amp;"")&lt;&gt;"",TRIM($A67&amp;""),$R66)</f>
        <v/>
      </c>
      <c r="S67" s="168">
        <f>IF($J67="","",MAX($S$6:$S66)+1)</f>
        <v/>
      </c>
      <c r="T67" s="168">
        <f>IF(TRIM($A67&amp;"")="","",MAX($T$6:$T66)+1)</f>
        <v/>
      </c>
    </row>
    <row r="68">
      <c r="A68" s="165" t="n"/>
      <c r="B68" s="166" t="n"/>
      <c r="C68" s="166" t="n"/>
      <c r="D68" s="166" t="n"/>
      <c r="E68" s="166" t="n"/>
      <c r="F68" s="166" t="n"/>
      <c r="G68" s="166" t="n"/>
      <c r="H68" s="166" t="n"/>
      <c r="I68" s="166" t="n"/>
      <c r="J68" s="167">
        <f>IF(TRIM($E68&amp;"")="","",$R68)</f>
        <v/>
      </c>
      <c r="K68" s="167">
        <f>IF(AND(TRIM($A68&amp;"")&lt;&gt;"",COUNTIF($A$7:$A$306,$A68)&gt;1),"DUPLICATE SET",IF(AND($E68&lt;&gt;"",$R68=""),"NO SET ABOVE",IF(AND($E68&lt;&gt;"",$C68=""),"QTY?",IF($J68="","","OK"))))</f>
        <v/>
      </c>
      <c r="L68" s="168" t="n"/>
      <c r="M68" s="169">
        <f>IFERROR(INDEX($R$7:$R$306,MATCH(62,$T$7:$T$306,0)),"")</f>
        <v/>
      </c>
      <c r="N68" s="170">
        <f>IF($M68="","",INDEX($B$7:$B$306,MATCH(62,$T$7:$T$306,0))&amp;"")</f>
        <v/>
      </c>
      <c r="O68" s="170">
        <f>IF($M68="","",SUMIF(tk_HWSET,$M68,tk_QTY))</f>
        <v/>
      </c>
      <c r="P68" s="170">
        <f>IF($M68="","",COUNTIF($J$7:$J$306,$M68))</f>
        <v/>
      </c>
      <c r="Q68" s="168" t="n"/>
      <c r="R68" s="168">
        <f>IF(TRIM($A68&amp;"")&lt;&gt;"",TRIM($A68&amp;""),$R67)</f>
        <v/>
      </c>
      <c r="S68" s="168">
        <f>IF($J68="","",MAX($S$6:$S67)+1)</f>
        <v/>
      </c>
      <c r="T68" s="168">
        <f>IF(TRIM($A68&amp;"")="","",MAX($T$6:$T67)+1)</f>
        <v/>
      </c>
    </row>
    <row r="69">
      <c r="A69" s="165" t="n"/>
      <c r="B69" s="166" t="n"/>
      <c r="C69" s="166" t="n"/>
      <c r="D69" s="166" t="n"/>
      <c r="E69" s="166" t="n"/>
      <c r="F69" s="166" t="n"/>
      <c r="G69" s="166" t="n"/>
      <c r="H69" s="166" t="n"/>
      <c r="I69" s="166" t="n"/>
      <c r="J69" s="167">
        <f>IF(TRIM($E69&amp;"")="","",$R69)</f>
        <v/>
      </c>
      <c r="K69" s="167">
        <f>IF(AND(TRIM($A69&amp;"")&lt;&gt;"",COUNTIF($A$7:$A$306,$A69)&gt;1),"DUPLICATE SET",IF(AND($E69&lt;&gt;"",$R69=""),"NO SET ABOVE",IF(AND($E69&lt;&gt;"",$C69=""),"QTY?",IF($J69="","","OK"))))</f>
        <v/>
      </c>
      <c r="L69" s="168" t="n"/>
      <c r="M69" s="169">
        <f>IFERROR(INDEX($R$7:$R$306,MATCH(63,$T$7:$T$306,0)),"")</f>
        <v/>
      </c>
      <c r="N69" s="170">
        <f>IF($M69="","",INDEX($B$7:$B$306,MATCH(63,$T$7:$T$306,0))&amp;"")</f>
        <v/>
      </c>
      <c r="O69" s="170">
        <f>IF($M69="","",SUMIF(tk_HWSET,$M69,tk_QTY))</f>
        <v/>
      </c>
      <c r="P69" s="170">
        <f>IF($M69="","",COUNTIF($J$7:$J$306,$M69))</f>
        <v/>
      </c>
      <c r="Q69" s="168" t="n"/>
      <c r="R69" s="168">
        <f>IF(TRIM($A69&amp;"")&lt;&gt;"",TRIM($A69&amp;""),$R68)</f>
        <v/>
      </c>
      <c r="S69" s="168">
        <f>IF($J69="","",MAX($S$6:$S68)+1)</f>
        <v/>
      </c>
      <c r="T69" s="168">
        <f>IF(TRIM($A69&amp;"")="","",MAX($T$6:$T68)+1)</f>
        <v/>
      </c>
    </row>
    <row r="70">
      <c r="A70" s="165" t="n"/>
      <c r="B70" s="166" t="n"/>
      <c r="C70" s="166" t="n"/>
      <c r="D70" s="166" t="n"/>
      <c r="E70" s="166" t="n"/>
      <c r="F70" s="166" t="n"/>
      <c r="G70" s="166" t="n"/>
      <c r="H70" s="166" t="n"/>
      <c r="I70" s="166" t="n"/>
      <c r="J70" s="167">
        <f>IF(TRIM($E70&amp;"")="","",$R70)</f>
        <v/>
      </c>
      <c r="K70" s="167">
        <f>IF(AND(TRIM($A70&amp;"")&lt;&gt;"",COUNTIF($A$7:$A$306,$A70)&gt;1),"DUPLICATE SET",IF(AND($E70&lt;&gt;"",$R70=""),"NO SET ABOVE",IF(AND($E70&lt;&gt;"",$C70=""),"QTY?",IF($J70="","","OK"))))</f>
        <v/>
      </c>
      <c r="L70" s="168" t="n"/>
      <c r="M70" s="169">
        <f>IFERROR(INDEX($R$7:$R$306,MATCH(64,$T$7:$T$306,0)),"")</f>
        <v/>
      </c>
      <c r="N70" s="170">
        <f>IF($M70="","",INDEX($B$7:$B$306,MATCH(64,$T$7:$T$306,0))&amp;"")</f>
        <v/>
      </c>
      <c r="O70" s="170">
        <f>IF($M70="","",SUMIF(tk_HWSET,$M70,tk_QTY))</f>
        <v/>
      </c>
      <c r="P70" s="170">
        <f>IF($M70="","",COUNTIF($J$7:$J$306,$M70))</f>
        <v/>
      </c>
      <c r="Q70" s="168" t="n"/>
      <c r="R70" s="168">
        <f>IF(TRIM($A70&amp;"")&lt;&gt;"",TRIM($A70&amp;""),$R69)</f>
        <v/>
      </c>
      <c r="S70" s="168">
        <f>IF($J70="","",MAX($S$6:$S69)+1)</f>
        <v/>
      </c>
      <c r="T70" s="168">
        <f>IF(TRIM($A70&amp;"")="","",MAX($T$6:$T69)+1)</f>
        <v/>
      </c>
    </row>
    <row r="71">
      <c r="A71" s="165" t="n"/>
      <c r="B71" s="166" t="n"/>
      <c r="C71" s="166" t="n"/>
      <c r="D71" s="166" t="n"/>
      <c r="E71" s="166" t="n"/>
      <c r="F71" s="166" t="n"/>
      <c r="G71" s="166" t="n"/>
      <c r="H71" s="166" t="n"/>
      <c r="I71" s="166" t="n"/>
      <c r="J71" s="167">
        <f>IF(TRIM($E71&amp;"")="","",$R71)</f>
        <v/>
      </c>
      <c r="K71" s="167">
        <f>IF(AND(TRIM($A71&amp;"")&lt;&gt;"",COUNTIF($A$7:$A$306,$A71)&gt;1),"DUPLICATE SET",IF(AND($E71&lt;&gt;"",$R71=""),"NO SET ABOVE",IF(AND($E71&lt;&gt;"",$C71=""),"QTY?",IF($J71="","","OK"))))</f>
        <v/>
      </c>
      <c r="L71" s="168" t="n"/>
      <c r="M71" s="169">
        <f>IFERROR(INDEX($R$7:$R$306,MATCH(65,$T$7:$T$306,0)),"")</f>
        <v/>
      </c>
      <c r="N71" s="170">
        <f>IF($M71="","",INDEX($B$7:$B$306,MATCH(65,$T$7:$T$306,0))&amp;"")</f>
        <v/>
      </c>
      <c r="O71" s="170">
        <f>IF($M71="","",SUMIF(tk_HWSET,$M71,tk_QTY))</f>
        <v/>
      </c>
      <c r="P71" s="170">
        <f>IF($M71="","",COUNTIF($J$7:$J$306,$M71))</f>
        <v/>
      </c>
      <c r="Q71" s="168" t="n"/>
      <c r="R71" s="168">
        <f>IF(TRIM($A71&amp;"")&lt;&gt;"",TRIM($A71&amp;""),$R70)</f>
        <v/>
      </c>
      <c r="S71" s="168">
        <f>IF($J71="","",MAX($S$6:$S70)+1)</f>
        <v/>
      </c>
      <c r="T71" s="168">
        <f>IF(TRIM($A71&amp;"")="","",MAX($T$6:$T70)+1)</f>
        <v/>
      </c>
    </row>
    <row r="72">
      <c r="A72" s="165" t="n"/>
      <c r="B72" s="166" t="n"/>
      <c r="C72" s="166" t="n"/>
      <c r="D72" s="166" t="n"/>
      <c r="E72" s="166" t="n"/>
      <c r="F72" s="166" t="n"/>
      <c r="G72" s="166" t="n"/>
      <c r="H72" s="166" t="n"/>
      <c r="I72" s="166" t="n"/>
      <c r="J72" s="167">
        <f>IF(TRIM($E72&amp;"")="","",$R72)</f>
        <v/>
      </c>
      <c r="K72" s="167">
        <f>IF(AND(TRIM($A72&amp;"")&lt;&gt;"",COUNTIF($A$7:$A$306,$A72)&gt;1),"DUPLICATE SET",IF(AND($E72&lt;&gt;"",$R72=""),"NO SET ABOVE",IF(AND($E72&lt;&gt;"",$C72=""),"QTY?",IF($J72="","","OK"))))</f>
        <v/>
      </c>
      <c r="L72" s="168" t="n"/>
      <c r="M72" s="169">
        <f>IFERROR(INDEX($R$7:$R$306,MATCH(66,$T$7:$T$306,0)),"")</f>
        <v/>
      </c>
      <c r="N72" s="170">
        <f>IF($M72="","",INDEX($B$7:$B$306,MATCH(66,$T$7:$T$306,0))&amp;"")</f>
        <v/>
      </c>
      <c r="O72" s="170">
        <f>IF($M72="","",SUMIF(tk_HWSET,$M72,tk_QTY))</f>
        <v/>
      </c>
      <c r="P72" s="170">
        <f>IF($M72="","",COUNTIF($J$7:$J$306,$M72))</f>
        <v/>
      </c>
      <c r="Q72" s="168" t="n"/>
      <c r="R72" s="168">
        <f>IF(TRIM($A72&amp;"")&lt;&gt;"",TRIM($A72&amp;""),$R71)</f>
        <v/>
      </c>
      <c r="S72" s="168">
        <f>IF($J72="","",MAX($S$6:$S71)+1)</f>
        <v/>
      </c>
      <c r="T72" s="168">
        <f>IF(TRIM($A72&amp;"")="","",MAX($T$6:$T71)+1)</f>
        <v/>
      </c>
    </row>
    <row r="73">
      <c r="A73" s="165" t="n"/>
      <c r="B73" s="166" t="n"/>
      <c r="C73" s="166" t="n"/>
      <c r="D73" s="166" t="n"/>
      <c r="E73" s="166" t="n"/>
      <c r="F73" s="166" t="n"/>
      <c r="G73" s="166" t="n"/>
      <c r="H73" s="166" t="n"/>
      <c r="I73" s="166" t="n"/>
      <c r="J73" s="167">
        <f>IF(TRIM($E73&amp;"")="","",$R73)</f>
        <v/>
      </c>
      <c r="K73" s="167">
        <f>IF(AND(TRIM($A73&amp;"")&lt;&gt;"",COUNTIF($A$7:$A$306,$A73)&gt;1),"DUPLICATE SET",IF(AND($E73&lt;&gt;"",$R73=""),"NO SET ABOVE",IF(AND($E73&lt;&gt;"",$C73=""),"QTY?",IF($J73="","","OK"))))</f>
        <v/>
      </c>
      <c r="L73" s="168" t="n"/>
      <c r="M73" s="169">
        <f>IFERROR(INDEX($R$7:$R$306,MATCH(67,$T$7:$T$306,0)),"")</f>
        <v/>
      </c>
      <c r="N73" s="170">
        <f>IF($M73="","",INDEX($B$7:$B$306,MATCH(67,$T$7:$T$306,0))&amp;"")</f>
        <v/>
      </c>
      <c r="O73" s="170">
        <f>IF($M73="","",SUMIF(tk_HWSET,$M73,tk_QTY))</f>
        <v/>
      </c>
      <c r="P73" s="170">
        <f>IF($M73="","",COUNTIF($J$7:$J$306,$M73))</f>
        <v/>
      </c>
      <c r="Q73" s="168" t="n"/>
      <c r="R73" s="168">
        <f>IF(TRIM($A73&amp;"")&lt;&gt;"",TRIM($A73&amp;""),$R72)</f>
        <v/>
      </c>
      <c r="S73" s="168">
        <f>IF($J73="","",MAX($S$6:$S72)+1)</f>
        <v/>
      </c>
      <c r="T73" s="168">
        <f>IF(TRIM($A73&amp;"")="","",MAX($T$6:$T72)+1)</f>
        <v/>
      </c>
    </row>
    <row r="74">
      <c r="A74" s="165" t="n"/>
      <c r="B74" s="166" t="n"/>
      <c r="C74" s="166" t="n"/>
      <c r="D74" s="166" t="n"/>
      <c r="E74" s="166" t="n"/>
      <c r="F74" s="166" t="n"/>
      <c r="G74" s="166" t="n"/>
      <c r="H74" s="166" t="n"/>
      <c r="I74" s="166" t="n"/>
      <c r="J74" s="167">
        <f>IF(TRIM($E74&amp;"")="","",$R74)</f>
        <v/>
      </c>
      <c r="K74" s="167">
        <f>IF(AND(TRIM($A74&amp;"")&lt;&gt;"",COUNTIF($A$7:$A$306,$A74)&gt;1),"DUPLICATE SET",IF(AND($E74&lt;&gt;"",$R74=""),"NO SET ABOVE",IF(AND($E74&lt;&gt;"",$C74=""),"QTY?",IF($J74="","","OK"))))</f>
        <v/>
      </c>
      <c r="L74" s="168" t="n"/>
      <c r="M74" s="169">
        <f>IFERROR(INDEX($R$7:$R$306,MATCH(68,$T$7:$T$306,0)),"")</f>
        <v/>
      </c>
      <c r="N74" s="170">
        <f>IF($M74="","",INDEX($B$7:$B$306,MATCH(68,$T$7:$T$306,0))&amp;"")</f>
        <v/>
      </c>
      <c r="O74" s="170">
        <f>IF($M74="","",SUMIF(tk_HWSET,$M74,tk_QTY))</f>
        <v/>
      </c>
      <c r="P74" s="170">
        <f>IF($M74="","",COUNTIF($J$7:$J$306,$M74))</f>
        <v/>
      </c>
      <c r="Q74" s="168" t="n"/>
      <c r="R74" s="168">
        <f>IF(TRIM($A74&amp;"")&lt;&gt;"",TRIM($A74&amp;""),$R73)</f>
        <v/>
      </c>
      <c r="S74" s="168">
        <f>IF($J74="","",MAX($S$6:$S73)+1)</f>
        <v/>
      </c>
      <c r="T74" s="168">
        <f>IF(TRIM($A74&amp;"")="","",MAX($T$6:$T73)+1)</f>
        <v/>
      </c>
    </row>
    <row r="75">
      <c r="A75" s="165" t="n"/>
      <c r="B75" s="166" t="n"/>
      <c r="C75" s="166" t="n"/>
      <c r="D75" s="166" t="n"/>
      <c r="E75" s="166" t="n"/>
      <c r="F75" s="166" t="n"/>
      <c r="G75" s="166" t="n"/>
      <c r="H75" s="166" t="n"/>
      <c r="I75" s="166" t="n"/>
      <c r="J75" s="167">
        <f>IF(TRIM($E75&amp;"")="","",$R75)</f>
        <v/>
      </c>
      <c r="K75" s="167">
        <f>IF(AND(TRIM($A75&amp;"")&lt;&gt;"",COUNTIF($A$7:$A$306,$A75)&gt;1),"DUPLICATE SET",IF(AND($E75&lt;&gt;"",$R75=""),"NO SET ABOVE",IF(AND($E75&lt;&gt;"",$C75=""),"QTY?",IF($J75="","","OK"))))</f>
        <v/>
      </c>
      <c r="L75" s="168" t="n"/>
      <c r="M75" s="169">
        <f>IFERROR(INDEX($R$7:$R$306,MATCH(69,$T$7:$T$306,0)),"")</f>
        <v/>
      </c>
      <c r="N75" s="170">
        <f>IF($M75="","",INDEX($B$7:$B$306,MATCH(69,$T$7:$T$306,0))&amp;"")</f>
        <v/>
      </c>
      <c r="O75" s="170">
        <f>IF($M75="","",SUMIF(tk_HWSET,$M75,tk_QTY))</f>
        <v/>
      </c>
      <c r="P75" s="170">
        <f>IF($M75="","",COUNTIF($J$7:$J$306,$M75))</f>
        <v/>
      </c>
      <c r="Q75" s="168" t="n"/>
      <c r="R75" s="168">
        <f>IF(TRIM($A75&amp;"")&lt;&gt;"",TRIM($A75&amp;""),$R74)</f>
        <v/>
      </c>
      <c r="S75" s="168">
        <f>IF($J75="","",MAX($S$6:$S74)+1)</f>
        <v/>
      </c>
      <c r="T75" s="168">
        <f>IF(TRIM($A75&amp;"")="","",MAX($T$6:$T74)+1)</f>
        <v/>
      </c>
    </row>
    <row r="76">
      <c r="A76" s="165" t="n"/>
      <c r="B76" s="166" t="n"/>
      <c r="C76" s="166" t="n"/>
      <c r="D76" s="166" t="n"/>
      <c r="E76" s="166" t="n"/>
      <c r="F76" s="166" t="n"/>
      <c r="G76" s="166" t="n"/>
      <c r="H76" s="166" t="n"/>
      <c r="I76" s="166" t="n"/>
      <c r="J76" s="167">
        <f>IF(TRIM($E76&amp;"")="","",$R76)</f>
        <v/>
      </c>
      <c r="K76" s="167">
        <f>IF(AND(TRIM($A76&amp;"")&lt;&gt;"",COUNTIF($A$7:$A$306,$A76)&gt;1),"DUPLICATE SET",IF(AND($E76&lt;&gt;"",$R76=""),"NO SET ABOVE",IF(AND($E76&lt;&gt;"",$C76=""),"QTY?",IF($J76="","","OK"))))</f>
        <v/>
      </c>
      <c r="L76" s="168" t="n"/>
      <c r="M76" s="169">
        <f>IFERROR(INDEX($R$7:$R$306,MATCH(70,$T$7:$T$306,0)),"")</f>
        <v/>
      </c>
      <c r="N76" s="170">
        <f>IF($M76="","",INDEX($B$7:$B$306,MATCH(70,$T$7:$T$306,0))&amp;"")</f>
        <v/>
      </c>
      <c r="O76" s="170">
        <f>IF($M76="","",SUMIF(tk_HWSET,$M76,tk_QTY))</f>
        <v/>
      </c>
      <c r="P76" s="170">
        <f>IF($M76="","",COUNTIF($J$7:$J$306,$M76))</f>
        <v/>
      </c>
      <c r="Q76" s="168" t="n"/>
      <c r="R76" s="168">
        <f>IF(TRIM($A76&amp;"")&lt;&gt;"",TRIM($A76&amp;""),$R75)</f>
        <v/>
      </c>
      <c r="S76" s="168">
        <f>IF($J76="","",MAX($S$6:$S75)+1)</f>
        <v/>
      </c>
      <c r="T76" s="168">
        <f>IF(TRIM($A76&amp;"")="","",MAX($T$6:$T75)+1)</f>
        <v/>
      </c>
    </row>
    <row r="77">
      <c r="A77" s="165" t="n"/>
      <c r="B77" s="166" t="n"/>
      <c r="C77" s="166" t="n"/>
      <c r="D77" s="166" t="n"/>
      <c r="E77" s="166" t="n"/>
      <c r="F77" s="166" t="n"/>
      <c r="G77" s="166" t="n"/>
      <c r="H77" s="166" t="n"/>
      <c r="I77" s="166" t="n"/>
      <c r="J77" s="167">
        <f>IF(TRIM($E77&amp;"")="","",$R77)</f>
        <v/>
      </c>
      <c r="K77" s="167">
        <f>IF(AND(TRIM($A77&amp;"")&lt;&gt;"",COUNTIF($A$7:$A$306,$A77)&gt;1),"DUPLICATE SET",IF(AND($E77&lt;&gt;"",$R77=""),"NO SET ABOVE",IF(AND($E77&lt;&gt;"",$C77=""),"QTY?",IF($J77="","","OK"))))</f>
        <v/>
      </c>
      <c r="L77" s="168" t="n"/>
      <c r="M77" s="169">
        <f>IFERROR(INDEX($R$7:$R$306,MATCH(71,$T$7:$T$306,0)),"")</f>
        <v/>
      </c>
      <c r="N77" s="170">
        <f>IF($M77="","",INDEX($B$7:$B$306,MATCH(71,$T$7:$T$306,0))&amp;"")</f>
        <v/>
      </c>
      <c r="O77" s="170">
        <f>IF($M77="","",SUMIF(tk_HWSET,$M77,tk_QTY))</f>
        <v/>
      </c>
      <c r="P77" s="170">
        <f>IF($M77="","",COUNTIF($J$7:$J$306,$M77))</f>
        <v/>
      </c>
      <c r="Q77" s="168" t="n"/>
      <c r="R77" s="168">
        <f>IF(TRIM($A77&amp;"")&lt;&gt;"",TRIM($A77&amp;""),$R76)</f>
        <v/>
      </c>
      <c r="S77" s="168">
        <f>IF($J77="","",MAX($S$6:$S76)+1)</f>
        <v/>
      </c>
      <c r="T77" s="168">
        <f>IF(TRIM($A77&amp;"")="","",MAX($T$6:$T76)+1)</f>
        <v/>
      </c>
    </row>
    <row r="78">
      <c r="A78" s="165" t="n"/>
      <c r="B78" s="166" t="n"/>
      <c r="C78" s="166" t="n"/>
      <c r="D78" s="166" t="n"/>
      <c r="E78" s="166" t="n"/>
      <c r="F78" s="166" t="n"/>
      <c r="G78" s="166" t="n"/>
      <c r="H78" s="166" t="n"/>
      <c r="I78" s="166" t="n"/>
      <c r="J78" s="167">
        <f>IF(TRIM($E78&amp;"")="","",$R78)</f>
        <v/>
      </c>
      <c r="K78" s="167">
        <f>IF(AND(TRIM($A78&amp;"")&lt;&gt;"",COUNTIF($A$7:$A$306,$A78)&gt;1),"DUPLICATE SET",IF(AND($E78&lt;&gt;"",$R78=""),"NO SET ABOVE",IF(AND($E78&lt;&gt;"",$C78=""),"QTY?",IF($J78="","","OK"))))</f>
        <v/>
      </c>
      <c r="L78" s="168" t="n"/>
      <c r="M78" s="169">
        <f>IFERROR(INDEX($R$7:$R$306,MATCH(72,$T$7:$T$306,0)),"")</f>
        <v/>
      </c>
      <c r="N78" s="170">
        <f>IF($M78="","",INDEX($B$7:$B$306,MATCH(72,$T$7:$T$306,0))&amp;"")</f>
        <v/>
      </c>
      <c r="O78" s="170">
        <f>IF($M78="","",SUMIF(tk_HWSET,$M78,tk_QTY))</f>
        <v/>
      </c>
      <c r="P78" s="170">
        <f>IF($M78="","",COUNTIF($J$7:$J$306,$M78))</f>
        <v/>
      </c>
      <c r="Q78" s="168" t="n"/>
      <c r="R78" s="168">
        <f>IF(TRIM($A78&amp;"")&lt;&gt;"",TRIM($A78&amp;""),$R77)</f>
        <v/>
      </c>
      <c r="S78" s="168">
        <f>IF($J78="","",MAX($S$6:$S77)+1)</f>
        <v/>
      </c>
      <c r="T78" s="168">
        <f>IF(TRIM($A78&amp;"")="","",MAX($T$6:$T77)+1)</f>
        <v/>
      </c>
    </row>
    <row r="79">
      <c r="A79" s="165" t="n"/>
      <c r="B79" s="166" t="n"/>
      <c r="C79" s="166" t="n"/>
      <c r="D79" s="166" t="n"/>
      <c r="E79" s="166" t="n"/>
      <c r="F79" s="166" t="n"/>
      <c r="G79" s="166" t="n"/>
      <c r="H79" s="166" t="n"/>
      <c r="I79" s="166" t="n"/>
      <c r="J79" s="167">
        <f>IF(TRIM($E79&amp;"")="","",$R79)</f>
        <v/>
      </c>
      <c r="K79" s="167">
        <f>IF(AND(TRIM($A79&amp;"")&lt;&gt;"",COUNTIF($A$7:$A$306,$A79)&gt;1),"DUPLICATE SET",IF(AND($E79&lt;&gt;"",$R79=""),"NO SET ABOVE",IF(AND($E79&lt;&gt;"",$C79=""),"QTY?",IF($J79="","","OK"))))</f>
        <v/>
      </c>
      <c r="L79" s="168" t="n"/>
      <c r="M79" s="169">
        <f>IFERROR(INDEX($R$7:$R$306,MATCH(73,$T$7:$T$306,0)),"")</f>
        <v/>
      </c>
      <c r="N79" s="170">
        <f>IF($M79="","",INDEX($B$7:$B$306,MATCH(73,$T$7:$T$306,0))&amp;"")</f>
        <v/>
      </c>
      <c r="O79" s="170">
        <f>IF($M79="","",SUMIF(tk_HWSET,$M79,tk_QTY))</f>
        <v/>
      </c>
      <c r="P79" s="170">
        <f>IF($M79="","",COUNTIF($J$7:$J$306,$M79))</f>
        <v/>
      </c>
      <c r="Q79" s="168" t="n"/>
      <c r="R79" s="168">
        <f>IF(TRIM($A79&amp;"")&lt;&gt;"",TRIM($A79&amp;""),$R78)</f>
        <v/>
      </c>
      <c r="S79" s="168">
        <f>IF($J79="","",MAX($S$6:$S78)+1)</f>
        <v/>
      </c>
      <c r="T79" s="168">
        <f>IF(TRIM($A79&amp;"")="","",MAX($T$6:$T78)+1)</f>
        <v/>
      </c>
    </row>
    <row r="80">
      <c r="A80" s="165" t="n"/>
      <c r="B80" s="166" t="n"/>
      <c r="C80" s="166" t="n"/>
      <c r="D80" s="166" t="n"/>
      <c r="E80" s="166" t="n"/>
      <c r="F80" s="166" t="n"/>
      <c r="G80" s="166" t="n"/>
      <c r="H80" s="166" t="n"/>
      <c r="I80" s="166" t="n"/>
      <c r="J80" s="167">
        <f>IF(TRIM($E80&amp;"")="","",$R80)</f>
        <v/>
      </c>
      <c r="K80" s="167">
        <f>IF(AND(TRIM($A80&amp;"")&lt;&gt;"",COUNTIF($A$7:$A$306,$A80)&gt;1),"DUPLICATE SET",IF(AND($E80&lt;&gt;"",$R80=""),"NO SET ABOVE",IF(AND($E80&lt;&gt;"",$C80=""),"QTY?",IF($J80="","","OK"))))</f>
        <v/>
      </c>
      <c r="L80" s="168" t="n"/>
      <c r="M80" s="169">
        <f>IFERROR(INDEX($R$7:$R$306,MATCH(74,$T$7:$T$306,0)),"")</f>
        <v/>
      </c>
      <c r="N80" s="170">
        <f>IF($M80="","",INDEX($B$7:$B$306,MATCH(74,$T$7:$T$306,0))&amp;"")</f>
        <v/>
      </c>
      <c r="O80" s="170">
        <f>IF($M80="","",SUMIF(tk_HWSET,$M80,tk_QTY))</f>
        <v/>
      </c>
      <c r="P80" s="170">
        <f>IF($M80="","",COUNTIF($J$7:$J$306,$M80))</f>
        <v/>
      </c>
      <c r="Q80" s="168" t="n"/>
      <c r="R80" s="168">
        <f>IF(TRIM($A80&amp;"")&lt;&gt;"",TRIM($A80&amp;""),$R79)</f>
        <v/>
      </c>
      <c r="S80" s="168">
        <f>IF($J80="","",MAX($S$6:$S79)+1)</f>
        <v/>
      </c>
      <c r="T80" s="168">
        <f>IF(TRIM($A80&amp;"")="","",MAX($T$6:$T79)+1)</f>
        <v/>
      </c>
    </row>
    <row r="81">
      <c r="A81" s="165" t="n"/>
      <c r="B81" s="166" t="n"/>
      <c r="C81" s="166" t="n"/>
      <c r="D81" s="166" t="n"/>
      <c r="E81" s="166" t="n"/>
      <c r="F81" s="166" t="n"/>
      <c r="G81" s="166" t="n"/>
      <c r="H81" s="166" t="n"/>
      <c r="I81" s="166" t="n"/>
      <c r="J81" s="167">
        <f>IF(TRIM($E81&amp;"")="","",$R81)</f>
        <v/>
      </c>
      <c r="K81" s="167">
        <f>IF(AND(TRIM($A81&amp;"")&lt;&gt;"",COUNTIF($A$7:$A$306,$A81)&gt;1),"DUPLICATE SET",IF(AND($E81&lt;&gt;"",$R81=""),"NO SET ABOVE",IF(AND($E81&lt;&gt;"",$C81=""),"QTY?",IF($J81="","","OK"))))</f>
        <v/>
      </c>
      <c r="L81" s="168" t="n"/>
      <c r="M81" s="169">
        <f>IFERROR(INDEX($R$7:$R$306,MATCH(75,$T$7:$T$306,0)),"")</f>
        <v/>
      </c>
      <c r="N81" s="170">
        <f>IF($M81="","",INDEX($B$7:$B$306,MATCH(75,$T$7:$T$306,0))&amp;"")</f>
        <v/>
      </c>
      <c r="O81" s="170">
        <f>IF($M81="","",SUMIF(tk_HWSET,$M81,tk_QTY))</f>
        <v/>
      </c>
      <c r="P81" s="170">
        <f>IF($M81="","",COUNTIF($J$7:$J$306,$M81))</f>
        <v/>
      </c>
      <c r="Q81" s="168" t="n"/>
      <c r="R81" s="168">
        <f>IF(TRIM($A81&amp;"")&lt;&gt;"",TRIM($A81&amp;""),$R80)</f>
        <v/>
      </c>
      <c r="S81" s="168">
        <f>IF($J81="","",MAX($S$6:$S80)+1)</f>
        <v/>
      </c>
      <c r="T81" s="168">
        <f>IF(TRIM($A81&amp;"")="","",MAX($T$6:$T80)+1)</f>
        <v/>
      </c>
    </row>
    <row r="82">
      <c r="A82" s="165" t="n"/>
      <c r="B82" s="166" t="n"/>
      <c r="C82" s="166" t="n"/>
      <c r="D82" s="166" t="n"/>
      <c r="E82" s="166" t="n"/>
      <c r="F82" s="166" t="n"/>
      <c r="G82" s="166" t="n"/>
      <c r="H82" s="166" t="n"/>
      <c r="I82" s="166" t="n"/>
      <c r="J82" s="167">
        <f>IF(TRIM($E82&amp;"")="","",$R82)</f>
        <v/>
      </c>
      <c r="K82" s="167">
        <f>IF(AND(TRIM($A82&amp;"")&lt;&gt;"",COUNTIF($A$7:$A$306,$A82)&gt;1),"DUPLICATE SET",IF(AND($E82&lt;&gt;"",$R82=""),"NO SET ABOVE",IF(AND($E82&lt;&gt;"",$C82=""),"QTY?",IF($J82="","","OK"))))</f>
        <v/>
      </c>
      <c r="L82" s="168" t="n"/>
      <c r="M82" s="169">
        <f>IFERROR(INDEX($R$7:$R$306,MATCH(76,$T$7:$T$306,0)),"")</f>
        <v/>
      </c>
      <c r="N82" s="170">
        <f>IF($M82="","",INDEX($B$7:$B$306,MATCH(76,$T$7:$T$306,0))&amp;"")</f>
        <v/>
      </c>
      <c r="O82" s="170">
        <f>IF($M82="","",SUMIF(tk_HWSET,$M82,tk_QTY))</f>
        <v/>
      </c>
      <c r="P82" s="170">
        <f>IF($M82="","",COUNTIF($J$7:$J$306,$M82))</f>
        <v/>
      </c>
      <c r="Q82" s="168" t="n"/>
      <c r="R82" s="168">
        <f>IF(TRIM($A82&amp;"")&lt;&gt;"",TRIM($A82&amp;""),$R81)</f>
        <v/>
      </c>
      <c r="S82" s="168">
        <f>IF($J82="","",MAX($S$6:$S81)+1)</f>
        <v/>
      </c>
      <c r="T82" s="168">
        <f>IF(TRIM($A82&amp;"")="","",MAX($T$6:$T81)+1)</f>
        <v/>
      </c>
    </row>
    <row r="83">
      <c r="A83" s="165" t="n"/>
      <c r="B83" s="166" t="n"/>
      <c r="C83" s="166" t="n"/>
      <c r="D83" s="166" t="n"/>
      <c r="E83" s="166" t="n"/>
      <c r="F83" s="166" t="n"/>
      <c r="G83" s="166" t="n"/>
      <c r="H83" s="166" t="n"/>
      <c r="I83" s="166" t="n"/>
      <c r="J83" s="167">
        <f>IF(TRIM($E83&amp;"")="","",$R83)</f>
        <v/>
      </c>
      <c r="K83" s="167">
        <f>IF(AND(TRIM($A83&amp;"")&lt;&gt;"",COUNTIF($A$7:$A$306,$A83)&gt;1),"DUPLICATE SET",IF(AND($E83&lt;&gt;"",$R83=""),"NO SET ABOVE",IF(AND($E83&lt;&gt;"",$C83=""),"QTY?",IF($J83="","","OK"))))</f>
        <v/>
      </c>
      <c r="L83" s="168" t="n"/>
      <c r="M83" s="169">
        <f>IFERROR(INDEX($R$7:$R$306,MATCH(77,$T$7:$T$306,0)),"")</f>
        <v/>
      </c>
      <c r="N83" s="170">
        <f>IF($M83="","",INDEX($B$7:$B$306,MATCH(77,$T$7:$T$306,0))&amp;"")</f>
        <v/>
      </c>
      <c r="O83" s="170">
        <f>IF($M83="","",SUMIF(tk_HWSET,$M83,tk_QTY))</f>
        <v/>
      </c>
      <c r="P83" s="170">
        <f>IF($M83="","",COUNTIF($J$7:$J$306,$M83))</f>
        <v/>
      </c>
      <c r="Q83" s="168" t="n"/>
      <c r="R83" s="168">
        <f>IF(TRIM($A83&amp;"")&lt;&gt;"",TRIM($A83&amp;""),$R82)</f>
        <v/>
      </c>
      <c r="S83" s="168">
        <f>IF($J83="","",MAX($S$6:$S82)+1)</f>
        <v/>
      </c>
      <c r="T83" s="168">
        <f>IF(TRIM($A83&amp;"")="","",MAX($T$6:$T82)+1)</f>
        <v/>
      </c>
    </row>
    <row r="84">
      <c r="A84" s="165" t="n"/>
      <c r="B84" s="166" t="n"/>
      <c r="C84" s="166" t="n"/>
      <c r="D84" s="166" t="n"/>
      <c r="E84" s="166" t="n"/>
      <c r="F84" s="166" t="n"/>
      <c r="G84" s="166" t="n"/>
      <c r="H84" s="166" t="n"/>
      <c r="I84" s="166" t="n"/>
      <c r="J84" s="167">
        <f>IF(TRIM($E84&amp;"")="","",$R84)</f>
        <v/>
      </c>
      <c r="K84" s="167">
        <f>IF(AND(TRIM($A84&amp;"")&lt;&gt;"",COUNTIF($A$7:$A$306,$A84)&gt;1),"DUPLICATE SET",IF(AND($E84&lt;&gt;"",$R84=""),"NO SET ABOVE",IF(AND($E84&lt;&gt;"",$C84=""),"QTY?",IF($J84="","","OK"))))</f>
        <v/>
      </c>
      <c r="L84" s="168" t="n"/>
      <c r="M84" s="169">
        <f>IFERROR(INDEX($R$7:$R$306,MATCH(78,$T$7:$T$306,0)),"")</f>
        <v/>
      </c>
      <c r="N84" s="170">
        <f>IF($M84="","",INDEX($B$7:$B$306,MATCH(78,$T$7:$T$306,0))&amp;"")</f>
        <v/>
      </c>
      <c r="O84" s="170">
        <f>IF($M84="","",SUMIF(tk_HWSET,$M84,tk_QTY))</f>
        <v/>
      </c>
      <c r="P84" s="170">
        <f>IF($M84="","",COUNTIF($J$7:$J$306,$M84))</f>
        <v/>
      </c>
      <c r="Q84" s="168" t="n"/>
      <c r="R84" s="168">
        <f>IF(TRIM($A84&amp;"")&lt;&gt;"",TRIM($A84&amp;""),$R83)</f>
        <v/>
      </c>
      <c r="S84" s="168">
        <f>IF($J84="","",MAX($S$6:$S83)+1)</f>
        <v/>
      </c>
      <c r="T84" s="168">
        <f>IF(TRIM($A84&amp;"")="","",MAX($T$6:$T83)+1)</f>
        <v/>
      </c>
    </row>
    <row r="85">
      <c r="A85" s="165" t="n"/>
      <c r="B85" s="166" t="n"/>
      <c r="C85" s="166" t="n"/>
      <c r="D85" s="166" t="n"/>
      <c r="E85" s="166" t="n"/>
      <c r="F85" s="166" t="n"/>
      <c r="G85" s="166" t="n"/>
      <c r="H85" s="166" t="n"/>
      <c r="I85" s="166" t="n"/>
      <c r="J85" s="167">
        <f>IF(TRIM($E85&amp;"")="","",$R85)</f>
        <v/>
      </c>
      <c r="K85" s="167">
        <f>IF(AND(TRIM($A85&amp;"")&lt;&gt;"",COUNTIF($A$7:$A$306,$A85)&gt;1),"DUPLICATE SET",IF(AND($E85&lt;&gt;"",$R85=""),"NO SET ABOVE",IF(AND($E85&lt;&gt;"",$C85=""),"QTY?",IF($J85="","","OK"))))</f>
        <v/>
      </c>
      <c r="L85" s="168" t="n"/>
      <c r="M85" s="169">
        <f>IFERROR(INDEX($R$7:$R$306,MATCH(79,$T$7:$T$306,0)),"")</f>
        <v/>
      </c>
      <c r="N85" s="170">
        <f>IF($M85="","",INDEX($B$7:$B$306,MATCH(79,$T$7:$T$306,0))&amp;"")</f>
        <v/>
      </c>
      <c r="O85" s="170">
        <f>IF($M85="","",SUMIF(tk_HWSET,$M85,tk_QTY))</f>
        <v/>
      </c>
      <c r="P85" s="170">
        <f>IF($M85="","",COUNTIF($J$7:$J$306,$M85))</f>
        <v/>
      </c>
      <c r="Q85" s="168" t="n"/>
      <c r="R85" s="168">
        <f>IF(TRIM($A85&amp;"")&lt;&gt;"",TRIM($A85&amp;""),$R84)</f>
        <v/>
      </c>
      <c r="S85" s="168">
        <f>IF($J85="","",MAX($S$6:$S84)+1)</f>
        <v/>
      </c>
      <c r="T85" s="168">
        <f>IF(TRIM($A85&amp;"")="","",MAX($T$6:$T84)+1)</f>
        <v/>
      </c>
    </row>
    <row r="86">
      <c r="A86" s="165" t="n"/>
      <c r="B86" s="166" t="n"/>
      <c r="C86" s="166" t="n"/>
      <c r="D86" s="166" t="n"/>
      <c r="E86" s="166" t="n"/>
      <c r="F86" s="166" t="n"/>
      <c r="G86" s="166" t="n"/>
      <c r="H86" s="166" t="n"/>
      <c r="I86" s="166" t="n"/>
      <c r="J86" s="167">
        <f>IF(TRIM($E86&amp;"")="","",$R86)</f>
        <v/>
      </c>
      <c r="K86" s="167">
        <f>IF(AND(TRIM($A86&amp;"")&lt;&gt;"",COUNTIF($A$7:$A$306,$A86)&gt;1),"DUPLICATE SET",IF(AND($E86&lt;&gt;"",$R86=""),"NO SET ABOVE",IF(AND($E86&lt;&gt;"",$C86=""),"QTY?",IF($J86="","","OK"))))</f>
        <v/>
      </c>
      <c r="L86" s="168" t="n"/>
      <c r="M86" s="169">
        <f>IFERROR(INDEX($R$7:$R$306,MATCH(80,$T$7:$T$306,0)),"")</f>
        <v/>
      </c>
      <c r="N86" s="170">
        <f>IF($M86="","",INDEX($B$7:$B$306,MATCH(80,$T$7:$T$306,0))&amp;"")</f>
        <v/>
      </c>
      <c r="O86" s="170">
        <f>IF($M86="","",SUMIF(tk_HWSET,$M86,tk_QTY))</f>
        <v/>
      </c>
      <c r="P86" s="170">
        <f>IF($M86="","",COUNTIF($J$7:$J$306,$M86))</f>
        <v/>
      </c>
      <c r="Q86" s="168" t="n"/>
      <c r="R86" s="168">
        <f>IF(TRIM($A86&amp;"")&lt;&gt;"",TRIM($A86&amp;""),$R85)</f>
        <v/>
      </c>
      <c r="S86" s="168">
        <f>IF($J86="","",MAX($S$6:$S85)+1)</f>
        <v/>
      </c>
      <c r="T86" s="168">
        <f>IF(TRIM($A86&amp;"")="","",MAX($T$6:$T85)+1)</f>
        <v/>
      </c>
    </row>
    <row r="87">
      <c r="A87" s="165" t="n"/>
      <c r="B87" s="166" t="n"/>
      <c r="C87" s="166" t="n"/>
      <c r="D87" s="166" t="n"/>
      <c r="E87" s="166" t="n"/>
      <c r="F87" s="166" t="n"/>
      <c r="G87" s="166" t="n"/>
      <c r="H87" s="166" t="n"/>
      <c r="I87" s="166" t="n"/>
      <c r="J87" s="167">
        <f>IF(TRIM($E87&amp;"")="","",$R87)</f>
        <v/>
      </c>
      <c r="K87" s="167">
        <f>IF(AND(TRIM($A87&amp;"")&lt;&gt;"",COUNTIF($A$7:$A$306,$A87)&gt;1),"DUPLICATE SET",IF(AND($E87&lt;&gt;"",$R87=""),"NO SET ABOVE",IF(AND($E87&lt;&gt;"",$C87=""),"QTY?",IF($J87="","","OK"))))</f>
        <v/>
      </c>
      <c r="L87" s="168" t="n"/>
      <c r="M87" s="169">
        <f>IFERROR(INDEX($R$7:$R$306,MATCH(81,$T$7:$T$306,0)),"")</f>
        <v/>
      </c>
      <c r="N87" s="170">
        <f>IF($M87="","",INDEX($B$7:$B$306,MATCH(81,$T$7:$T$306,0))&amp;"")</f>
        <v/>
      </c>
      <c r="O87" s="170">
        <f>IF($M87="","",SUMIF(tk_HWSET,$M87,tk_QTY))</f>
        <v/>
      </c>
      <c r="P87" s="170">
        <f>IF($M87="","",COUNTIF($J$7:$J$306,$M87))</f>
        <v/>
      </c>
      <c r="Q87" s="168" t="n"/>
      <c r="R87" s="168">
        <f>IF(TRIM($A87&amp;"")&lt;&gt;"",TRIM($A87&amp;""),$R86)</f>
        <v/>
      </c>
      <c r="S87" s="168">
        <f>IF($J87="","",MAX($S$6:$S86)+1)</f>
        <v/>
      </c>
      <c r="T87" s="168">
        <f>IF(TRIM($A87&amp;"")="","",MAX($T$6:$T86)+1)</f>
        <v/>
      </c>
    </row>
    <row r="88">
      <c r="A88" s="165" t="n"/>
      <c r="B88" s="166" t="n"/>
      <c r="C88" s="166" t="n"/>
      <c r="D88" s="166" t="n"/>
      <c r="E88" s="166" t="n"/>
      <c r="F88" s="166" t="n"/>
      <c r="G88" s="166" t="n"/>
      <c r="H88" s="166" t="n"/>
      <c r="I88" s="166" t="n"/>
      <c r="J88" s="167">
        <f>IF(TRIM($E88&amp;"")="","",$R88)</f>
        <v/>
      </c>
      <c r="K88" s="167">
        <f>IF(AND(TRIM($A88&amp;"")&lt;&gt;"",COUNTIF($A$7:$A$306,$A88)&gt;1),"DUPLICATE SET",IF(AND($E88&lt;&gt;"",$R88=""),"NO SET ABOVE",IF(AND($E88&lt;&gt;"",$C88=""),"QTY?",IF($J88="","","OK"))))</f>
        <v/>
      </c>
      <c r="L88" s="168" t="n"/>
      <c r="M88" s="169">
        <f>IFERROR(INDEX($R$7:$R$306,MATCH(82,$T$7:$T$306,0)),"")</f>
        <v/>
      </c>
      <c r="N88" s="170">
        <f>IF($M88="","",INDEX($B$7:$B$306,MATCH(82,$T$7:$T$306,0))&amp;"")</f>
        <v/>
      </c>
      <c r="O88" s="170">
        <f>IF($M88="","",SUMIF(tk_HWSET,$M88,tk_QTY))</f>
        <v/>
      </c>
      <c r="P88" s="170">
        <f>IF($M88="","",COUNTIF($J$7:$J$306,$M88))</f>
        <v/>
      </c>
      <c r="Q88" s="168" t="n"/>
      <c r="R88" s="168">
        <f>IF(TRIM($A88&amp;"")&lt;&gt;"",TRIM($A88&amp;""),$R87)</f>
        <v/>
      </c>
      <c r="S88" s="168">
        <f>IF($J88="","",MAX($S$6:$S87)+1)</f>
        <v/>
      </c>
      <c r="T88" s="168">
        <f>IF(TRIM($A88&amp;"")="","",MAX($T$6:$T87)+1)</f>
        <v/>
      </c>
    </row>
    <row r="89">
      <c r="A89" s="165" t="n"/>
      <c r="B89" s="166" t="n"/>
      <c r="C89" s="166" t="n"/>
      <c r="D89" s="166" t="n"/>
      <c r="E89" s="166" t="n"/>
      <c r="F89" s="166" t="n"/>
      <c r="G89" s="166" t="n"/>
      <c r="H89" s="166" t="n"/>
      <c r="I89" s="166" t="n"/>
      <c r="J89" s="167">
        <f>IF(TRIM($E89&amp;"")="","",$R89)</f>
        <v/>
      </c>
      <c r="K89" s="167">
        <f>IF(AND(TRIM($A89&amp;"")&lt;&gt;"",COUNTIF($A$7:$A$306,$A89)&gt;1),"DUPLICATE SET",IF(AND($E89&lt;&gt;"",$R89=""),"NO SET ABOVE",IF(AND($E89&lt;&gt;"",$C89=""),"QTY?",IF($J89="","","OK"))))</f>
        <v/>
      </c>
      <c r="L89" s="168" t="n"/>
      <c r="M89" s="169">
        <f>IFERROR(INDEX($R$7:$R$306,MATCH(83,$T$7:$T$306,0)),"")</f>
        <v/>
      </c>
      <c r="N89" s="170">
        <f>IF($M89="","",INDEX($B$7:$B$306,MATCH(83,$T$7:$T$306,0))&amp;"")</f>
        <v/>
      </c>
      <c r="O89" s="170">
        <f>IF($M89="","",SUMIF(tk_HWSET,$M89,tk_QTY))</f>
        <v/>
      </c>
      <c r="P89" s="170">
        <f>IF($M89="","",COUNTIF($J$7:$J$306,$M89))</f>
        <v/>
      </c>
      <c r="Q89" s="168" t="n"/>
      <c r="R89" s="168">
        <f>IF(TRIM($A89&amp;"")&lt;&gt;"",TRIM($A89&amp;""),$R88)</f>
        <v/>
      </c>
      <c r="S89" s="168">
        <f>IF($J89="","",MAX($S$6:$S88)+1)</f>
        <v/>
      </c>
      <c r="T89" s="168">
        <f>IF(TRIM($A89&amp;"")="","",MAX($T$6:$T88)+1)</f>
        <v/>
      </c>
    </row>
    <row r="90">
      <c r="A90" s="165" t="n"/>
      <c r="B90" s="166" t="n"/>
      <c r="C90" s="166" t="n"/>
      <c r="D90" s="166" t="n"/>
      <c r="E90" s="166" t="n"/>
      <c r="F90" s="166" t="n"/>
      <c r="G90" s="166" t="n"/>
      <c r="H90" s="166" t="n"/>
      <c r="I90" s="166" t="n"/>
      <c r="J90" s="167">
        <f>IF(TRIM($E90&amp;"")="","",$R90)</f>
        <v/>
      </c>
      <c r="K90" s="167">
        <f>IF(AND(TRIM($A90&amp;"")&lt;&gt;"",COUNTIF($A$7:$A$306,$A90)&gt;1),"DUPLICATE SET",IF(AND($E90&lt;&gt;"",$R90=""),"NO SET ABOVE",IF(AND($E90&lt;&gt;"",$C90=""),"QTY?",IF($J90="","","OK"))))</f>
        <v/>
      </c>
      <c r="L90" s="168" t="n"/>
      <c r="M90" s="169">
        <f>IFERROR(INDEX($R$7:$R$306,MATCH(84,$T$7:$T$306,0)),"")</f>
        <v/>
      </c>
      <c r="N90" s="170">
        <f>IF($M90="","",INDEX($B$7:$B$306,MATCH(84,$T$7:$T$306,0))&amp;"")</f>
        <v/>
      </c>
      <c r="O90" s="170">
        <f>IF($M90="","",SUMIF(tk_HWSET,$M90,tk_QTY))</f>
        <v/>
      </c>
      <c r="P90" s="170">
        <f>IF($M90="","",COUNTIF($J$7:$J$306,$M90))</f>
        <v/>
      </c>
      <c r="Q90" s="168" t="n"/>
      <c r="R90" s="168">
        <f>IF(TRIM($A90&amp;"")&lt;&gt;"",TRIM($A90&amp;""),$R89)</f>
        <v/>
      </c>
      <c r="S90" s="168">
        <f>IF($J90="","",MAX($S$6:$S89)+1)</f>
        <v/>
      </c>
      <c r="T90" s="168">
        <f>IF(TRIM($A90&amp;"")="","",MAX($T$6:$T89)+1)</f>
        <v/>
      </c>
    </row>
    <row r="91">
      <c r="A91" s="165" t="n"/>
      <c r="B91" s="166" t="n"/>
      <c r="C91" s="166" t="n"/>
      <c r="D91" s="166" t="n"/>
      <c r="E91" s="166" t="n"/>
      <c r="F91" s="166" t="n"/>
      <c r="G91" s="166" t="n"/>
      <c r="H91" s="166" t="n"/>
      <c r="I91" s="166" t="n"/>
      <c r="J91" s="167">
        <f>IF(TRIM($E91&amp;"")="","",$R91)</f>
        <v/>
      </c>
      <c r="K91" s="167">
        <f>IF(AND(TRIM($A91&amp;"")&lt;&gt;"",COUNTIF($A$7:$A$306,$A91)&gt;1),"DUPLICATE SET",IF(AND($E91&lt;&gt;"",$R91=""),"NO SET ABOVE",IF(AND($E91&lt;&gt;"",$C91=""),"QTY?",IF($J91="","","OK"))))</f>
        <v/>
      </c>
      <c r="L91" s="168" t="n"/>
      <c r="M91" s="169">
        <f>IFERROR(INDEX($R$7:$R$306,MATCH(85,$T$7:$T$306,0)),"")</f>
        <v/>
      </c>
      <c r="N91" s="170">
        <f>IF($M91="","",INDEX($B$7:$B$306,MATCH(85,$T$7:$T$306,0))&amp;"")</f>
        <v/>
      </c>
      <c r="O91" s="170">
        <f>IF($M91="","",SUMIF(tk_HWSET,$M91,tk_QTY))</f>
        <v/>
      </c>
      <c r="P91" s="170">
        <f>IF($M91="","",COUNTIF($J$7:$J$306,$M91))</f>
        <v/>
      </c>
      <c r="Q91" s="168" t="n"/>
      <c r="R91" s="168">
        <f>IF(TRIM($A91&amp;"")&lt;&gt;"",TRIM($A91&amp;""),$R90)</f>
        <v/>
      </c>
      <c r="S91" s="168">
        <f>IF($J91="","",MAX($S$6:$S90)+1)</f>
        <v/>
      </c>
      <c r="T91" s="168">
        <f>IF(TRIM($A91&amp;"")="","",MAX($T$6:$T90)+1)</f>
        <v/>
      </c>
    </row>
    <row r="92">
      <c r="A92" s="165" t="n"/>
      <c r="B92" s="166" t="n"/>
      <c r="C92" s="166" t="n"/>
      <c r="D92" s="166" t="n"/>
      <c r="E92" s="166" t="n"/>
      <c r="F92" s="166" t="n"/>
      <c r="G92" s="166" t="n"/>
      <c r="H92" s="166" t="n"/>
      <c r="I92" s="166" t="n"/>
      <c r="J92" s="167">
        <f>IF(TRIM($E92&amp;"")="","",$R92)</f>
        <v/>
      </c>
      <c r="K92" s="167">
        <f>IF(AND(TRIM($A92&amp;"")&lt;&gt;"",COUNTIF($A$7:$A$306,$A92)&gt;1),"DUPLICATE SET",IF(AND($E92&lt;&gt;"",$R92=""),"NO SET ABOVE",IF(AND($E92&lt;&gt;"",$C92=""),"QTY?",IF($J92="","","OK"))))</f>
        <v/>
      </c>
      <c r="L92" s="168" t="n"/>
      <c r="M92" s="169">
        <f>IFERROR(INDEX($R$7:$R$306,MATCH(86,$T$7:$T$306,0)),"")</f>
        <v/>
      </c>
      <c r="N92" s="170">
        <f>IF($M92="","",INDEX($B$7:$B$306,MATCH(86,$T$7:$T$306,0))&amp;"")</f>
        <v/>
      </c>
      <c r="O92" s="170">
        <f>IF($M92="","",SUMIF(tk_HWSET,$M92,tk_QTY))</f>
        <v/>
      </c>
      <c r="P92" s="170">
        <f>IF($M92="","",COUNTIF($J$7:$J$306,$M92))</f>
        <v/>
      </c>
      <c r="Q92" s="168" t="n"/>
      <c r="R92" s="168">
        <f>IF(TRIM($A92&amp;"")&lt;&gt;"",TRIM($A92&amp;""),$R91)</f>
        <v/>
      </c>
      <c r="S92" s="168">
        <f>IF($J92="","",MAX($S$6:$S91)+1)</f>
        <v/>
      </c>
      <c r="T92" s="168">
        <f>IF(TRIM($A92&amp;"")="","",MAX($T$6:$T91)+1)</f>
        <v/>
      </c>
    </row>
    <row r="93">
      <c r="A93" s="165" t="n"/>
      <c r="B93" s="166" t="n"/>
      <c r="C93" s="166" t="n"/>
      <c r="D93" s="166" t="n"/>
      <c r="E93" s="166" t="n"/>
      <c r="F93" s="166" t="n"/>
      <c r="G93" s="166" t="n"/>
      <c r="H93" s="166" t="n"/>
      <c r="I93" s="166" t="n"/>
      <c r="J93" s="167">
        <f>IF(TRIM($E93&amp;"")="","",$R93)</f>
        <v/>
      </c>
      <c r="K93" s="167">
        <f>IF(AND(TRIM($A93&amp;"")&lt;&gt;"",COUNTIF($A$7:$A$306,$A93)&gt;1),"DUPLICATE SET",IF(AND($E93&lt;&gt;"",$R93=""),"NO SET ABOVE",IF(AND($E93&lt;&gt;"",$C93=""),"QTY?",IF($J93="","","OK"))))</f>
        <v/>
      </c>
      <c r="L93" s="168" t="n"/>
      <c r="M93" s="169">
        <f>IFERROR(INDEX($R$7:$R$306,MATCH(87,$T$7:$T$306,0)),"")</f>
        <v/>
      </c>
      <c r="N93" s="170">
        <f>IF($M93="","",INDEX($B$7:$B$306,MATCH(87,$T$7:$T$306,0))&amp;"")</f>
        <v/>
      </c>
      <c r="O93" s="170">
        <f>IF($M93="","",SUMIF(tk_HWSET,$M93,tk_QTY))</f>
        <v/>
      </c>
      <c r="P93" s="170">
        <f>IF($M93="","",COUNTIF($J$7:$J$306,$M93))</f>
        <v/>
      </c>
      <c r="Q93" s="168" t="n"/>
      <c r="R93" s="168">
        <f>IF(TRIM($A93&amp;"")&lt;&gt;"",TRIM($A93&amp;""),$R92)</f>
        <v/>
      </c>
      <c r="S93" s="168">
        <f>IF($J93="","",MAX($S$6:$S92)+1)</f>
        <v/>
      </c>
      <c r="T93" s="168">
        <f>IF(TRIM($A93&amp;"")="","",MAX($T$6:$T92)+1)</f>
        <v/>
      </c>
    </row>
    <row r="94">
      <c r="A94" s="165" t="n"/>
      <c r="B94" s="166" t="n"/>
      <c r="C94" s="166" t="n"/>
      <c r="D94" s="166" t="n"/>
      <c r="E94" s="166" t="n"/>
      <c r="F94" s="166" t="n"/>
      <c r="G94" s="166" t="n"/>
      <c r="H94" s="166" t="n"/>
      <c r="I94" s="166" t="n"/>
      <c r="J94" s="167">
        <f>IF(TRIM($E94&amp;"")="","",$R94)</f>
        <v/>
      </c>
      <c r="K94" s="167">
        <f>IF(AND(TRIM($A94&amp;"")&lt;&gt;"",COUNTIF($A$7:$A$306,$A94)&gt;1),"DUPLICATE SET",IF(AND($E94&lt;&gt;"",$R94=""),"NO SET ABOVE",IF(AND($E94&lt;&gt;"",$C94=""),"QTY?",IF($J94="","","OK"))))</f>
        <v/>
      </c>
      <c r="L94" s="168" t="n"/>
      <c r="M94" s="169">
        <f>IFERROR(INDEX($R$7:$R$306,MATCH(88,$T$7:$T$306,0)),"")</f>
        <v/>
      </c>
      <c r="N94" s="170">
        <f>IF($M94="","",INDEX($B$7:$B$306,MATCH(88,$T$7:$T$306,0))&amp;"")</f>
        <v/>
      </c>
      <c r="O94" s="170">
        <f>IF($M94="","",SUMIF(tk_HWSET,$M94,tk_QTY))</f>
        <v/>
      </c>
      <c r="P94" s="170">
        <f>IF($M94="","",COUNTIF($J$7:$J$306,$M94))</f>
        <v/>
      </c>
      <c r="Q94" s="168" t="n"/>
      <c r="R94" s="168">
        <f>IF(TRIM($A94&amp;"")&lt;&gt;"",TRIM($A94&amp;""),$R93)</f>
        <v/>
      </c>
      <c r="S94" s="168">
        <f>IF($J94="","",MAX($S$6:$S93)+1)</f>
        <v/>
      </c>
      <c r="T94" s="168">
        <f>IF(TRIM($A94&amp;"")="","",MAX($T$6:$T93)+1)</f>
        <v/>
      </c>
    </row>
    <row r="95">
      <c r="A95" s="165" t="n"/>
      <c r="B95" s="166" t="n"/>
      <c r="C95" s="166" t="n"/>
      <c r="D95" s="166" t="n"/>
      <c r="E95" s="166" t="n"/>
      <c r="F95" s="166" t="n"/>
      <c r="G95" s="166" t="n"/>
      <c r="H95" s="166" t="n"/>
      <c r="I95" s="166" t="n"/>
      <c r="J95" s="167">
        <f>IF(TRIM($E95&amp;"")="","",$R95)</f>
        <v/>
      </c>
      <c r="K95" s="167">
        <f>IF(AND(TRIM($A95&amp;"")&lt;&gt;"",COUNTIF($A$7:$A$306,$A95)&gt;1),"DUPLICATE SET",IF(AND($E95&lt;&gt;"",$R95=""),"NO SET ABOVE",IF(AND($E95&lt;&gt;"",$C95=""),"QTY?",IF($J95="","","OK"))))</f>
        <v/>
      </c>
      <c r="L95" s="168" t="n"/>
      <c r="M95" s="169">
        <f>IFERROR(INDEX($R$7:$R$306,MATCH(89,$T$7:$T$306,0)),"")</f>
        <v/>
      </c>
      <c r="N95" s="170">
        <f>IF($M95="","",INDEX($B$7:$B$306,MATCH(89,$T$7:$T$306,0))&amp;"")</f>
        <v/>
      </c>
      <c r="O95" s="170">
        <f>IF($M95="","",SUMIF(tk_HWSET,$M95,tk_QTY))</f>
        <v/>
      </c>
      <c r="P95" s="170">
        <f>IF($M95="","",COUNTIF($J$7:$J$306,$M95))</f>
        <v/>
      </c>
      <c r="Q95" s="168" t="n"/>
      <c r="R95" s="168">
        <f>IF(TRIM($A95&amp;"")&lt;&gt;"",TRIM($A95&amp;""),$R94)</f>
        <v/>
      </c>
      <c r="S95" s="168">
        <f>IF($J95="","",MAX($S$6:$S94)+1)</f>
        <v/>
      </c>
      <c r="T95" s="168">
        <f>IF(TRIM($A95&amp;"")="","",MAX($T$6:$T94)+1)</f>
        <v/>
      </c>
    </row>
    <row r="96">
      <c r="A96" s="165" t="n"/>
      <c r="B96" s="166" t="n"/>
      <c r="C96" s="166" t="n"/>
      <c r="D96" s="166" t="n"/>
      <c r="E96" s="166" t="n"/>
      <c r="F96" s="166" t="n"/>
      <c r="G96" s="166" t="n"/>
      <c r="H96" s="166" t="n"/>
      <c r="I96" s="166" t="n"/>
      <c r="J96" s="167">
        <f>IF(TRIM($E96&amp;"")="","",$R96)</f>
        <v/>
      </c>
      <c r="K96" s="167">
        <f>IF(AND(TRIM($A96&amp;"")&lt;&gt;"",COUNTIF($A$7:$A$306,$A96)&gt;1),"DUPLICATE SET",IF(AND($E96&lt;&gt;"",$R96=""),"NO SET ABOVE",IF(AND($E96&lt;&gt;"",$C96=""),"QTY?",IF($J96="","","OK"))))</f>
        <v/>
      </c>
      <c r="L96" s="168" t="n"/>
      <c r="M96" s="169">
        <f>IFERROR(INDEX($R$7:$R$306,MATCH(90,$T$7:$T$306,0)),"")</f>
        <v/>
      </c>
      <c r="N96" s="170">
        <f>IF($M96="","",INDEX($B$7:$B$306,MATCH(90,$T$7:$T$306,0))&amp;"")</f>
        <v/>
      </c>
      <c r="O96" s="170">
        <f>IF($M96="","",SUMIF(tk_HWSET,$M96,tk_QTY))</f>
        <v/>
      </c>
      <c r="P96" s="170">
        <f>IF($M96="","",COUNTIF($J$7:$J$306,$M96))</f>
        <v/>
      </c>
      <c r="Q96" s="168" t="n"/>
      <c r="R96" s="168">
        <f>IF(TRIM($A96&amp;"")&lt;&gt;"",TRIM($A96&amp;""),$R95)</f>
        <v/>
      </c>
      <c r="S96" s="168">
        <f>IF($J96="","",MAX($S$6:$S95)+1)</f>
        <v/>
      </c>
      <c r="T96" s="168">
        <f>IF(TRIM($A96&amp;"")="","",MAX($T$6:$T95)+1)</f>
        <v/>
      </c>
    </row>
    <row r="97">
      <c r="A97" s="165" t="n"/>
      <c r="B97" s="166" t="n"/>
      <c r="C97" s="166" t="n"/>
      <c r="D97" s="166" t="n"/>
      <c r="E97" s="166" t="n"/>
      <c r="F97" s="166" t="n"/>
      <c r="G97" s="166" t="n"/>
      <c r="H97" s="166" t="n"/>
      <c r="I97" s="166" t="n"/>
      <c r="J97" s="167">
        <f>IF(TRIM($E97&amp;"")="","",$R97)</f>
        <v/>
      </c>
      <c r="K97" s="167">
        <f>IF(AND(TRIM($A97&amp;"")&lt;&gt;"",COUNTIF($A$7:$A$306,$A97)&gt;1),"DUPLICATE SET",IF(AND($E97&lt;&gt;"",$R97=""),"NO SET ABOVE",IF(AND($E97&lt;&gt;"",$C97=""),"QTY?",IF($J97="","","OK"))))</f>
        <v/>
      </c>
      <c r="L97" s="168" t="n"/>
      <c r="M97" s="169">
        <f>IFERROR(INDEX($R$7:$R$306,MATCH(91,$T$7:$T$306,0)),"")</f>
        <v/>
      </c>
      <c r="N97" s="170">
        <f>IF($M97="","",INDEX($B$7:$B$306,MATCH(91,$T$7:$T$306,0))&amp;"")</f>
        <v/>
      </c>
      <c r="O97" s="170">
        <f>IF($M97="","",SUMIF(tk_HWSET,$M97,tk_QTY))</f>
        <v/>
      </c>
      <c r="P97" s="170">
        <f>IF($M97="","",COUNTIF($J$7:$J$306,$M97))</f>
        <v/>
      </c>
      <c r="Q97" s="168" t="n"/>
      <c r="R97" s="168">
        <f>IF(TRIM($A97&amp;"")&lt;&gt;"",TRIM($A97&amp;""),$R96)</f>
        <v/>
      </c>
      <c r="S97" s="168">
        <f>IF($J97="","",MAX($S$6:$S96)+1)</f>
        <v/>
      </c>
      <c r="T97" s="168">
        <f>IF(TRIM($A97&amp;"")="","",MAX($T$6:$T96)+1)</f>
        <v/>
      </c>
    </row>
    <row r="98">
      <c r="A98" s="165" t="n"/>
      <c r="B98" s="166" t="n"/>
      <c r="C98" s="166" t="n"/>
      <c r="D98" s="166" t="n"/>
      <c r="E98" s="166" t="n"/>
      <c r="F98" s="166" t="n"/>
      <c r="G98" s="166" t="n"/>
      <c r="H98" s="166" t="n"/>
      <c r="I98" s="166" t="n"/>
      <c r="J98" s="167">
        <f>IF(TRIM($E98&amp;"")="","",$R98)</f>
        <v/>
      </c>
      <c r="K98" s="167">
        <f>IF(AND(TRIM($A98&amp;"")&lt;&gt;"",COUNTIF($A$7:$A$306,$A98)&gt;1),"DUPLICATE SET",IF(AND($E98&lt;&gt;"",$R98=""),"NO SET ABOVE",IF(AND($E98&lt;&gt;"",$C98=""),"QTY?",IF($J98="","","OK"))))</f>
        <v/>
      </c>
      <c r="L98" s="168" t="n"/>
      <c r="M98" s="169">
        <f>IFERROR(INDEX($R$7:$R$306,MATCH(92,$T$7:$T$306,0)),"")</f>
        <v/>
      </c>
      <c r="N98" s="170">
        <f>IF($M98="","",INDEX($B$7:$B$306,MATCH(92,$T$7:$T$306,0))&amp;"")</f>
        <v/>
      </c>
      <c r="O98" s="170">
        <f>IF($M98="","",SUMIF(tk_HWSET,$M98,tk_QTY))</f>
        <v/>
      </c>
      <c r="P98" s="170">
        <f>IF($M98="","",COUNTIF($J$7:$J$306,$M98))</f>
        <v/>
      </c>
      <c r="Q98" s="168" t="n"/>
      <c r="R98" s="168">
        <f>IF(TRIM($A98&amp;"")&lt;&gt;"",TRIM($A98&amp;""),$R97)</f>
        <v/>
      </c>
      <c r="S98" s="168">
        <f>IF($J98="","",MAX($S$6:$S97)+1)</f>
        <v/>
      </c>
      <c r="T98" s="168">
        <f>IF(TRIM($A98&amp;"")="","",MAX($T$6:$T97)+1)</f>
        <v/>
      </c>
    </row>
    <row r="99">
      <c r="A99" s="165" t="n"/>
      <c r="B99" s="166" t="n"/>
      <c r="C99" s="166" t="n"/>
      <c r="D99" s="166" t="n"/>
      <c r="E99" s="166" t="n"/>
      <c r="F99" s="166" t="n"/>
      <c r="G99" s="166" t="n"/>
      <c r="H99" s="166" t="n"/>
      <c r="I99" s="166" t="n"/>
      <c r="J99" s="167">
        <f>IF(TRIM($E99&amp;"")="","",$R99)</f>
        <v/>
      </c>
      <c r="K99" s="167">
        <f>IF(AND(TRIM($A99&amp;"")&lt;&gt;"",COUNTIF($A$7:$A$306,$A99)&gt;1),"DUPLICATE SET",IF(AND($E99&lt;&gt;"",$R99=""),"NO SET ABOVE",IF(AND($E99&lt;&gt;"",$C99=""),"QTY?",IF($J99="","","OK"))))</f>
        <v/>
      </c>
      <c r="L99" s="168" t="n"/>
      <c r="M99" s="169">
        <f>IFERROR(INDEX($R$7:$R$306,MATCH(93,$T$7:$T$306,0)),"")</f>
        <v/>
      </c>
      <c r="N99" s="170">
        <f>IF($M99="","",INDEX($B$7:$B$306,MATCH(93,$T$7:$T$306,0))&amp;"")</f>
        <v/>
      </c>
      <c r="O99" s="170">
        <f>IF($M99="","",SUMIF(tk_HWSET,$M99,tk_QTY))</f>
        <v/>
      </c>
      <c r="P99" s="170">
        <f>IF($M99="","",COUNTIF($J$7:$J$306,$M99))</f>
        <v/>
      </c>
      <c r="Q99" s="168" t="n"/>
      <c r="R99" s="168">
        <f>IF(TRIM($A99&amp;"")&lt;&gt;"",TRIM($A99&amp;""),$R98)</f>
        <v/>
      </c>
      <c r="S99" s="168">
        <f>IF($J99="","",MAX($S$6:$S98)+1)</f>
        <v/>
      </c>
      <c r="T99" s="168">
        <f>IF(TRIM($A99&amp;"")="","",MAX($T$6:$T98)+1)</f>
        <v/>
      </c>
    </row>
    <row r="100">
      <c r="A100" s="165" t="n"/>
      <c r="B100" s="166" t="n"/>
      <c r="C100" s="166" t="n"/>
      <c r="D100" s="166" t="n"/>
      <c r="E100" s="166" t="n"/>
      <c r="F100" s="166" t="n"/>
      <c r="G100" s="166" t="n"/>
      <c r="H100" s="166" t="n"/>
      <c r="I100" s="166" t="n"/>
      <c r="J100" s="167">
        <f>IF(TRIM($E100&amp;"")="","",$R100)</f>
        <v/>
      </c>
      <c r="K100" s="167">
        <f>IF(AND(TRIM($A100&amp;"")&lt;&gt;"",COUNTIF($A$7:$A$306,$A100)&gt;1),"DUPLICATE SET",IF(AND($E100&lt;&gt;"",$R100=""),"NO SET ABOVE",IF(AND($E100&lt;&gt;"",$C100=""),"QTY?",IF($J100="","","OK"))))</f>
        <v/>
      </c>
      <c r="L100" s="168" t="n"/>
      <c r="M100" s="169">
        <f>IFERROR(INDEX($R$7:$R$306,MATCH(94,$T$7:$T$306,0)),"")</f>
        <v/>
      </c>
      <c r="N100" s="170">
        <f>IF($M100="","",INDEX($B$7:$B$306,MATCH(94,$T$7:$T$306,0))&amp;"")</f>
        <v/>
      </c>
      <c r="O100" s="170">
        <f>IF($M100="","",SUMIF(tk_HWSET,$M100,tk_QTY))</f>
        <v/>
      </c>
      <c r="P100" s="170">
        <f>IF($M100="","",COUNTIF($J$7:$J$306,$M100))</f>
        <v/>
      </c>
      <c r="Q100" s="168" t="n"/>
      <c r="R100" s="168">
        <f>IF(TRIM($A100&amp;"")&lt;&gt;"",TRIM($A100&amp;""),$R99)</f>
        <v/>
      </c>
      <c r="S100" s="168">
        <f>IF($J100="","",MAX($S$6:$S99)+1)</f>
        <v/>
      </c>
      <c r="T100" s="168">
        <f>IF(TRIM($A100&amp;"")="","",MAX($T$6:$T99)+1)</f>
        <v/>
      </c>
    </row>
    <row r="101">
      <c r="A101" s="165" t="n"/>
      <c r="B101" s="166" t="n"/>
      <c r="C101" s="166" t="n"/>
      <c r="D101" s="166" t="n"/>
      <c r="E101" s="166" t="n"/>
      <c r="F101" s="166" t="n"/>
      <c r="G101" s="166" t="n"/>
      <c r="H101" s="166" t="n"/>
      <c r="I101" s="166" t="n"/>
      <c r="J101" s="167">
        <f>IF(TRIM($E101&amp;"")="","",$R101)</f>
        <v/>
      </c>
      <c r="K101" s="167">
        <f>IF(AND(TRIM($A101&amp;"")&lt;&gt;"",COUNTIF($A$7:$A$306,$A101)&gt;1),"DUPLICATE SET",IF(AND($E101&lt;&gt;"",$R101=""),"NO SET ABOVE",IF(AND($E101&lt;&gt;"",$C101=""),"QTY?",IF($J101="","","OK"))))</f>
        <v/>
      </c>
      <c r="L101" s="168" t="n"/>
      <c r="M101" s="169">
        <f>IFERROR(INDEX($R$7:$R$306,MATCH(95,$T$7:$T$306,0)),"")</f>
        <v/>
      </c>
      <c r="N101" s="170">
        <f>IF($M101="","",INDEX($B$7:$B$306,MATCH(95,$T$7:$T$306,0))&amp;"")</f>
        <v/>
      </c>
      <c r="O101" s="170">
        <f>IF($M101="","",SUMIF(tk_HWSET,$M101,tk_QTY))</f>
        <v/>
      </c>
      <c r="P101" s="170">
        <f>IF($M101="","",COUNTIF($J$7:$J$306,$M101))</f>
        <v/>
      </c>
      <c r="Q101" s="168" t="n"/>
      <c r="R101" s="168">
        <f>IF(TRIM($A101&amp;"")&lt;&gt;"",TRIM($A101&amp;""),$R100)</f>
        <v/>
      </c>
      <c r="S101" s="168">
        <f>IF($J101="","",MAX($S$6:$S100)+1)</f>
        <v/>
      </c>
      <c r="T101" s="168">
        <f>IF(TRIM($A101&amp;"")="","",MAX($T$6:$T100)+1)</f>
        <v/>
      </c>
    </row>
    <row r="102">
      <c r="A102" s="165" t="n"/>
      <c r="B102" s="166" t="n"/>
      <c r="C102" s="166" t="n"/>
      <c r="D102" s="166" t="n"/>
      <c r="E102" s="166" t="n"/>
      <c r="F102" s="166" t="n"/>
      <c r="G102" s="166" t="n"/>
      <c r="H102" s="166" t="n"/>
      <c r="I102" s="166" t="n"/>
      <c r="J102" s="167">
        <f>IF(TRIM($E102&amp;"")="","",$R102)</f>
        <v/>
      </c>
      <c r="K102" s="167">
        <f>IF(AND(TRIM($A102&amp;"")&lt;&gt;"",COUNTIF($A$7:$A$306,$A102)&gt;1),"DUPLICATE SET",IF(AND($E102&lt;&gt;"",$R102=""),"NO SET ABOVE",IF(AND($E102&lt;&gt;"",$C102=""),"QTY?",IF($J102="","","OK"))))</f>
        <v/>
      </c>
      <c r="L102" s="168" t="n"/>
      <c r="M102" s="169">
        <f>IFERROR(INDEX($R$7:$R$306,MATCH(96,$T$7:$T$306,0)),"")</f>
        <v/>
      </c>
      <c r="N102" s="170">
        <f>IF($M102="","",INDEX($B$7:$B$306,MATCH(96,$T$7:$T$306,0))&amp;"")</f>
        <v/>
      </c>
      <c r="O102" s="170">
        <f>IF($M102="","",SUMIF(tk_HWSET,$M102,tk_QTY))</f>
        <v/>
      </c>
      <c r="P102" s="170">
        <f>IF($M102="","",COUNTIF($J$7:$J$306,$M102))</f>
        <v/>
      </c>
      <c r="Q102" s="168" t="n"/>
      <c r="R102" s="168">
        <f>IF(TRIM($A102&amp;"")&lt;&gt;"",TRIM($A102&amp;""),$R101)</f>
        <v/>
      </c>
      <c r="S102" s="168">
        <f>IF($J102="","",MAX($S$6:$S101)+1)</f>
        <v/>
      </c>
      <c r="T102" s="168">
        <f>IF(TRIM($A102&amp;"")="","",MAX($T$6:$T101)+1)</f>
        <v/>
      </c>
    </row>
    <row r="103">
      <c r="A103" s="165" t="n"/>
      <c r="B103" s="166" t="n"/>
      <c r="C103" s="166" t="n"/>
      <c r="D103" s="166" t="n"/>
      <c r="E103" s="166" t="n"/>
      <c r="F103" s="166" t="n"/>
      <c r="G103" s="166" t="n"/>
      <c r="H103" s="166" t="n"/>
      <c r="I103" s="166" t="n"/>
      <c r="J103" s="167">
        <f>IF(TRIM($E103&amp;"")="","",$R103)</f>
        <v/>
      </c>
      <c r="K103" s="167">
        <f>IF(AND(TRIM($A103&amp;"")&lt;&gt;"",COUNTIF($A$7:$A$306,$A103)&gt;1),"DUPLICATE SET",IF(AND($E103&lt;&gt;"",$R103=""),"NO SET ABOVE",IF(AND($E103&lt;&gt;"",$C103=""),"QTY?",IF($J103="","","OK"))))</f>
        <v/>
      </c>
      <c r="L103" s="168" t="n"/>
      <c r="M103" s="169">
        <f>IFERROR(INDEX($R$7:$R$306,MATCH(97,$T$7:$T$306,0)),"")</f>
        <v/>
      </c>
      <c r="N103" s="170">
        <f>IF($M103="","",INDEX($B$7:$B$306,MATCH(97,$T$7:$T$306,0))&amp;"")</f>
        <v/>
      </c>
      <c r="O103" s="170">
        <f>IF($M103="","",SUMIF(tk_HWSET,$M103,tk_QTY))</f>
        <v/>
      </c>
      <c r="P103" s="170">
        <f>IF($M103="","",COUNTIF($J$7:$J$306,$M103))</f>
        <v/>
      </c>
      <c r="Q103" s="168" t="n"/>
      <c r="R103" s="168">
        <f>IF(TRIM($A103&amp;"")&lt;&gt;"",TRIM($A103&amp;""),$R102)</f>
        <v/>
      </c>
      <c r="S103" s="168">
        <f>IF($J103="","",MAX($S$6:$S102)+1)</f>
        <v/>
      </c>
      <c r="T103" s="168">
        <f>IF(TRIM($A103&amp;"")="","",MAX($T$6:$T102)+1)</f>
        <v/>
      </c>
    </row>
    <row r="104">
      <c r="A104" s="165" t="n"/>
      <c r="B104" s="166" t="n"/>
      <c r="C104" s="166" t="n"/>
      <c r="D104" s="166" t="n"/>
      <c r="E104" s="166" t="n"/>
      <c r="F104" s="166" t="n"/>
      <c r="G104" s="166" t="n"/>
      <c r="H104" s="166" t="n"/>
      <c r="I104" s="166" t="n"/>
      <c r="J104" s="167">
        <f>IF(TRIM($E104&amp;"")="","",$R104)</f>
        <v/>
      </c>
      <c r="K104" s="167">
        <f>IF(AND(TRIM($A104&amp;"")&lt;&gt;"",COUNTIF($A$7:$A$306,$A104)&gt;1),"DUPLICATE SET",IF(AND($E104&lt;&gt;"",$R104=""),"NO SET ABOVE",IF(AND($E104&lt;&gt;"",$C104=""),"QTY?",IF($J104="","","OK"))))</f>
        <v/>
      </c>
      <c r="L104" s="168" t="n"/>
      <c r="M104" s="169">
        <f>IFERROR(INDEX($R$7:$R$306,MATCH(98,$T$7:$T$306,0)),"")</f>
        <v/>
      </c>
      <c r="N104" s="170">
        <f>IF($M104="","",INDEX($B$7:$B$306,MATCH(98,$T$7:$T$306,0))&amp;"")</f>
        <v/>
      </c>
      <c r="O104" s="170">
        <f>IF($M104="","",SUMIF(tk_HWSET,$M104,tk_QTY))</f>
        <v/>
      </c>
      <c r="P104" s="170">
        <f>IF($M104="","",COUNTIF($J$7:$J$306,$M104))</f>
        <v/>
      </c>
      <c r="Q104" s="168" t="n"/>
      <c r="R104" s="168">
        <f>IF(TRIM($A104&amp;"")&lt;&gt;"",TRIM($A104&amp;""),$R103)</f>
        <v/>
      </c>
      <c r="S104" s="168">
        <f>IF($J104="","",MAX($S$6:$S103)+1)</f>
        <v/>
      </c>
      <c r="T104" s="168">
        <f>IF(TRIM($A104&amp;"")="","",MAX($T$6:$T103)+1)</f>
        <v/>
      </c>
    </row>
    <row r="105">
      <c r="A105" s="165" t="n"/>
      <c r="B105" s="166" t="n"/>
      <c r="C105" s="166" t="n"/>
      <c r="D105" s="166" t="n"/>
      <c r="E105" s="166" t="n"/>
      <c r="F105" s="166" t="n"/>
      <c r="G105" s="166" t="n"/>
      <c r="H105" s="166" t="n"/>
      <c r="I105" s="166" t="n"/>
      <c r="J105" s="167">
        <f>IF(TRIM($E105&amp;"")="","",$R105)</f>
        <v/>
      </c>
      <c r="K105" s="167">
        <f>IF(AND(TRIM($A105&amp;"")&lt;&gt;"",COUNTIF($A$7:$A$306,$A105)&gt;1),"DUPLICATE SET",IF(AND($E105&lt;&gt;"",$R105=""),"NO SET ABOVE",IF(AND($E105&lt;&gt;"",$C105=""),"QTY?",IF($J105="","","OK"))))</f>
        <v/>
      </c>
      <c r="L105" s="168" t="n"/>
      <c r="M105" s="169">
        <f>IFERROR(INDEX($R$7:$R$306,MATCH(99,$T$7:$T$306,0)),"")</f>
        <v/>
      </c>
      <c r="N105" s="170">
        <f>IF($M105="","",INDEX($B$7:$B$306,MATCH(99,$T$7:$T$306,0))&amp;"")</f>
        <v/>
      </c>
      <c r="O105" s="170">
        <f>IF($M105="","",SUMIF(tk_HWSET,$M105,tk_QTY))</f>
        <v/>
      </c>
      <c r="P105" s="170">
        <f>IF($M105="","",COUNTIF($J$7:$J$306,$M105))</f>
        <v/>
      </c>
      <c r="Q105" s="168" t="n"/>
      <c r="R105" s="168">
        <f>IF(TRIM($A105&amp;"")&lt;&gt;"",TRIM($A105&amp;""),$R104)</f>
        <v/>
      </c>
      <c r="S105" s="168">
        <f>IF($J105="","",MAX($S$6:$S104)+1)</f>
        <v/>
      </c>
      <c r="T105" s="168">
        <f>IF(TRIM($A105&amp;"")="","",MAX($T$6:$T104)+1)</f>
        <v/>
      </c>
    </row>
    <row r="106">
      <c r="A106" s="165" t="n"/>
      <c r="B106" s="166" t="n"/>
      <c r="C106" s="166" t="n"/>
      <c r="D106" s="166" t="n"/>
      <c r="E106" s="166" t="n"/>
      <c r="F106" s="166" t="n"/>
      <c r="G106" s="166" t="n"/>
      <c r="H106" s="166" t="n"/>
      <c r="I106" s="166" t="n"/>
      <c r="J106" s="167">
        <f>IF(TRIM($E106&amp;"")="","",$R106)</f>
        <v/>
      </c>
      <c r="K106" s="167">
        <f>IF(AND(TRIM($A106&amp;"")&lt;&gt;"",COUNTIF($A$7:$A$306,$A106)&gt;1),"DUPLICATE SET",IF(AND($E106&lt;&gt;"",$R106=""),"NO SET ABOVE",IF(AND($E106&lt;&gt;"",$C106=""),"QTY?",IF($J106="","","OK"))))</f>
        <v/>
      </c>
      <c r="L106" s="168" t="n"/>
      <c r="M106" s="169">
        <f>IFERROR(INDEX($R$7:$R$306,MATCH(100,$T$7:$T$306,0)),"")</f>
        <v/>
      </c>
      <c r="N106" s="170">
        <f>IF($M106="","",INDEX($B$7:$B$306,MATCH(100,$T$7:$T$306,0))&amp;"")</f>
        <v/>
      </c>
      <c r="O106" s="170">
        <f>IF($M106="","",SUMIF(tk_HWSET,$M106,tk_QTY))</f>
        <v/>
      </c>
      <c r="P106" s="170">
        <f>IF($M106="","",COUNTIF($J$7:$J$306,$M106))</f>
        <v/>
      </c>
      <c r="Q106" s="168" t="n"/>
      <c r="R106" s="168">
        <f>IF(TRIM($A106&amp;"")&lt;&gt;"",TRIM($A106&amp;""),$R105)</f>
        <v/>
      </c>
      <c r="S106" s="168">
        <f>IF($J106="","",MAX($S$6:$S105)+1)</f>
        <v/>
      </c>
      <c r="T106" s="168">
        <f>IF(TRIM($A106&amp;"")="","",MAX($T$6:$T105)+1)</f>
        <v/>
      </c>
    </row>
    <row r="107">
      <c r="A107" s="165" t="n"/>
      <c r="B107" s="166" t="n"/>
      <c r="C107" s="166" t="n"/>
      <c r="D107" s="166" t="n"/>
      <c r="E107" s="166" t="n"/>
      <c r="F107" s="166" t="n"/>
      <c r="G107" s="166" t="n"/>
      <c r="H107" s="166" t="n"/>
      <c r="I107" s="166" t="n"/>
      <c r="J107" s="167">
        <f>IF(TRIM($E107&amp;"")="","",$R107)</f>
        <v/>
      </c>
      <c r="K107" s="167">
        <f>IF(AND(TRIM($A107&amp;"")&lt;&gt;"",COUNTIF($A$7:$A$306,$A107)&gt;1),"DUPLICATE SET",IF(AND($E107&lt;&gt;"",$R107=""),"NO SET ABOVE",IF(AND($E107&lt;&gt;"",$C107=""),"QTY?",IF($J107="","","OK"))))</f>
        <v/>
      </c>
      <c r="L107" s="168" t="n"/>
      <c r="M107" s="169">
        <f>IFERROR(INDEX($R$7:$R$306,MATCH(101,$T$7:$T$306,0)),"")</f>
        <v/>
      </c>
      <c r="N107" s="170">
        <f>IF($M107="","",INDEX($B$7:$B$306,MATCH(101,$T$7:$T$306,0))&amp;"")</f>
        <v/>
      </c>
      <c r="O107" s="170">
        <f>IF($M107="","",SUMIF(tk_HWSET,$M107,tk_QTY))</f>
        <v/>
      </c>
      <c r="P107" s="170">
        <f>IF($M107="","",COUNTIF($J$7:$J$306,$M107))</f>
        <v/>
      </c>
      <c r="Q107" s="168" t="n"/>
      <c r="R107" s="168">
        <f>IF(TRIM($A107&amp;"")&lt;&gt;"",TRIM($A107&amp;""),$R106)</f>
        <v/>
      </c>
      <c r="S107" s="168">
        <f>IF($J107="","",MAX($S$6:$S106)+1)</f>
        <v/>
      </c>
      <c r="T107" s="168">
        <f>IF(TRIM($A107&amp;"")="","",MAX($T$6:$T106)+1)</f>
        <v/>
      </c>
    </row>
    <row r="108">
      <c r="A108" s="165" t="n"/>
      <c r="B108" s="166" t="n"/>
      <c r="C108" s="166" t="n"/>
      <c r="D108" s="166" t="n"/>
      <c r="E108" s="166" t="n"/>
      <c r="F108" s="166" t="n"/>
      <c r="G108" s="166" t="n"/>
      <c r="H108" s="166" t="n"/>
      <c r="I108" s="166" t="n"/>
      <c r="J108" s="167">
        <f>IF(TRIM($E108&amp;"")="","",$R108)</f>
        <v/>
      </c>
      <c r="K108" s="167">
        <f>IF(AND(TRIM($A108&amp;"")&lt;&gt;"",COUNTIF($A$7:$A$306,$A108)&gt;1),"DUPLICATE SET",IF(AND($E108&lt;&gt;"",$R108=""),"NO SET ABOVE",IF(AND($E108&lt;&gt;"",$C108=""),"QTY?",IF($J108="","","OK"))))</f>
        <v/>
      </c>
      <c r="L108" s="168" t="n"/>
      <c r="M108" s="169">
        <f>IFERROR(INDEX($R$7:$R$306,MATCH(102,$T$7:$T$306,0)),"")</f>
        <v/>
      </c>
      <c r="N108" s="170">
        <f>IF($M108="","",INDEX($B$7:$B$306,MATCH(102,$T$7:$T$306,0))&amp;"")</f>
        <v/>
      </c>
      <c r="O108" s="170">
        <f>IF($M108="","",SUMIF(tk_HWSET,$M108,tk_QTY))</f>
        <v/>
      </c>
      <c r="P108" s="170">
        <f>IF($M108="","",COUNTIF($J$7:$J$306,$M108))</f>
        <v/>
      </c>
      <c r="Q108" s="168" t="n"/>
      <c r="R108" s="168">
        <f>IF(TRIM($A108&amp;"")&lt;&gt;"",TRIM($A108&amp;""),$R107)</f>
        <v/>
      </c>
      <c r="S108" s="168">
        <f>IF($J108="","",MAX($S$6:$S107)+1)</f>
        <v/>
      </c>
      <c r="T108" s="168">
        <f>IF(TRIM($A108&amp;"")="","",MAX($T$6:$T107)+1)</f>
        <v/>
      </c>
    </row>
    <row r="109">
      <c r="A109" s="165" t="n"/>
      <c r="B109" s="166" t="n"/>
      <c r="C109" s="166" t="n"/>
      <c r="D109" s="166" t="n"/>
      <c r="E109" s="166" t="n"/>
      <c r="F109" s="166" t="n"/>
      <c r="G109" s="166" t="n"/>
      <c r="H109" s="166" t="n"/>
      <c r="I109" s="166" t="n"/>
      <c r="J109" s="167">
        <f>IF(TRIM($E109&amp;"")="","",$R109)</f>
        <v/>
      </c>
      <c r="K109" s="167">
        <f>IF(AND(TRIM($A109&amp;"")&lt;&gt;"",COUNTIF($A$7:$A$306,$A109)&gt;1),"DUPLICATE SET",IF(AND($E109&lt;&gt;"",$R109=""),"NO SET ABOVE",IF(AND($E109&lt;&gt;"",$C109=""),"QTY?",IF($J109="","","OK"))))</f>
        <v/>
      </c>
      <c r="L109" s="168" t="n"/>
      <c r="M109" s="169">
        <f>IFERROR(INDEX($R$7:$R$306,MATCH(103,$T$7:$T$306,0)),"")</f>
        <v/>
      </c>
      <c r="N109" s="170">
        <f>IF($M109="","",INDEX($B$7:$B$306,MATCH(103,$T$7:$T$306,0))&amp;"")</f>
        <v/>
      </c>
      <c r="O109" s="170">
        <f>IF($M109="","",SUMIF(tk_HWSET,$M109,tk_QTY))</f>
        <v/>
      </c>
      <c r="P109" s="170">
        <f>IF($M109="","",COUNTIF($J$7:$J$306,$M109))</f>
        <v/>
      </c>
      <c r="Q109" s="168" t="n"/>
      <c r="R109" s="168">
        <f>IF(TRIM($A109&amp;"")&lt;&gt;"",TRIM($A109&amp;""),$R108)</f>
        <v/>
      </c>
      <c r="S109" s="168">
        <f>IF($J109="","",MAX($S$6:$S108)+1)</f>
        <v/>
      </c>
      <c r="T109" s="168">
        <f>IF(TRIM($A109&amp;"")="","",MAX($T$6:$T108)+1)</f>
        <v/>
      </c>
    </row>
    <row r="110">
      <c r="A110" s="165" t="n"/>
      <c r="B110" s="166" t="n"/>
      <c r="C110" s="166" t="n"/>
      <c r="D110" s="166" t="n"/>
      <c r="E110" s="166" t="n"/>
      <c r="F110" s="166" t="n"/>
      <c r="G110" s="166" t="n"/>
      <c r="H110" s="166" t="n"/>
      <c r="I110" s="166" t="n"/>
      <c r="J110" s="167">
        <f>IF(TRIM($E110&amp;"")="","",$R110)</f>
        <v/>
      </c>
      <c r="K110" s="167">
        <f>IF(AND(TRIM($A110&amp;"")&lt;&gt;"",COUNTIF($A$7:$A$306,$A110)&gt;1),"DUPLICATE SET",IF(AND($E110&lt;&gt;"",$R110=""),"NO SET ABOVE",IF(AND($E110&lt;&gt;"",$C110=""),"QTY?",IF($J110="","","OK"))))</f>
        <v/>
      </c>
      <c r="L110" s="168" t="n"/>
      <c r="M110" s="169">
        <f>IFERROR(INDEX($R$7:$R$306,MATCH(104,$T$7:$T$306,0)),"")</f>
        <v/>
      </c>
      <c r="N110" s="170">
        <f>IF($M110="","",INDEX($B$7:$B$306,MATCH(104,$T$7:$T$306,0))&amp;"")</f>
        <v/>
      </c>
      <c r="O110" s="170">
        <f>IF($M110="","",SUMIF(tk_HWSET,$M110,tk_QTY))</f>
        <v/>
      </c>
      <c r="P110" s="170">
        <f>IF($M110="","",COUNTIF($J$7:$J$306,$M110))</f>
        <v/>
      </c>
      <c r="Q110" s="168" t="n"/>
      <c r="R110" s="168">
        <f>IF(TRIM($A110&amp;"")&lt;&gt;"",TRIM($A110&amp;""),$R109)</f>
        <v/>
      </c>
      <c r="S110" s="168">
        <f>IF($J110="","",MAX($S$6:$S109)+1)</f>
        <v/>
      </c>
      <c r="T110" s="168">
        <f>IF(TRIM($A110&amp;"")="","",MAX($T$6:$T109)+1)</f>
        <v/>
      </c>
    </row>
    <row r="111">
      <c r="A111" s="165" t="n"/>
      <c r="B111" s="166" t="n"/>
      <c r="C111" s="166" t="n"/>
      <c r="D111" s="166" t="n"/>
      <c r="E111" s="166" t="n"/>
      <c r="F111" s="166" t="n"/>
      <c r="G111" s="166" t="n"/>
      <c r="H111" s="166" t="n"/>
      <c r="I111" s="166" t="n"/>
      <c r="J111" s="167">
        <f>IF(TRIM($E111&amp;"")="","",$R111)</f>
        <v/>
      </c>
      <c r="K111" s="167">
        <f>IF(AND(TRIM($A111&amp;"")&lt;&gt;"",COUNTIF($A$7:$A$306,$A111)&gt;1),"DUPLICATE SET",IF(AND($E111&lt;&gt;"",$R111=""),"NO SET ABOVE",IF(AND($E111&lt;&gt;"",$C111=""),"QTY?",IF($J111="","","OK"))))</f>
        <v/>
      </c>
      <c r="L111" s="168" t="n"/>
      <c r="M111" s="169">
        <f>IFERROR(INDEX($R$7:$R$306,MATCH(105,$T$7:$T$306,0)),"")</f>
        <v/>
      </c>
      <c r="N111" s="170">
        <f>IF($M111="","",INDEX($B$7:$B$306,MATCH(105,$T$7:$T$306,0))&amp;"")</f>
        <v/>
      </c>
      <c r="O111" s="170">
        <f>IF($M111="","",SUMIF(tk_HWSET,$M111,tk_QTY))</f>
        <v/>
      </c>
      <c r="P111" s="170">
        <f>IF($M111="","",COUNTIF($J$7:$J$306,$M111))</f>
        <v/>
      </c>
      <c r="Q111" s="168" t="n"/>
      <c r="R111" s="168">
        <f>IF(TRIM($A111&amp;"")&lt;&gt;"",TRIM($A111&amp;""),$R110)</f>
        <v/>
      </c>
      <c r="S111" s="168">
        <f>IF($J111="","",MAX($S$6:$S110)+1)</f>
        <v/>
      </c>
      <c r="T111" s="168">
        <f>IF(TRIM($A111&amp;"")="","",MAX($T$6:$T110)+1)</f>
        <v/>
      </c>
    </row>
    <row r="112">
      <c r="A112" s="165" t="n"/>
      <c r="B112" s="166" t="n"/>
      <c r="C112" s="166" t="n"/>
      <c r="D112" s="166" t="n"/>
      <c r="E112" s="166" t="n"/>
      <c r="F112" s="166" t="n"/>
      <c r="G112" s="166" t="n"/>
      <c r="H112" s="166" t="n"/>
      <c r="I112" s="166" t="n"/>
      <c r="J112" s="167">
        <f>IF(TRIM($E112&amp;"")="","",$R112)</f>
        <v/>
      </c>
      <c r="K112" s="167">
        <f>IF(AND(TRIM($A112&amp;"")&lt;&gt;"",COUNTIF($A$7:$A$306,$A112)&gt;1),"DUPLICATE SET",IF(AND($E112&lt;&gt;"",$R112=""),"NO SET ABOVE",IF(AND($E112&lt;&gt;"",$C112=""),"QTY?",IF($J112="","","OK"))))</f>
        <v/>
      </c>
      <c r="L112" s="168" t="n"/>
      <c r="M112" s="169">
        <f>IFERROR(INDEX($R$7:$R$306,MATCH(106,$T$7:$T$306,0)),"")</f>
        <v/>
      </c>
      <c r="N112" s="170">
        <f>IF($M112="","",INDEX($B$7:$B$306,MATCH(106,$T$7:$T$306,0))&amp;"")</f>
        <v/>
      </c>
      <c r="O112" s="170">
        <f>IF($M112="","",SUMIF(tk_HWSET,$M112,tk_QTY))</f>
        <v/>
      </c>
      <c r="P112" s="170">
        <f>IF($M112="","",COUNTIF($J$7:$J$306,$M112))</f>
        <v/>
      </c>
      <c r="Q112" s="168" t="n"/>
      <c r="R112" s="168">
        <f>IF(TRIM($A112&amp;"")&lt;&gt;"",TRIM($A112&amp;""),$R111)</f>
        <v/>
      </c>
      <c r="S112" s="168">
        <f>IF($J112="","",MAX($S$6:$S111)+1)</f>
        <v/>
      </c>
      <c r="T112" s="168">
        <f>IF(TRIM($A112&amp;"")="","",MAX($T$6:$T111)+1)</f>
        <v/>
      </c>
    </row>
    <row r="113">
      <c r="A113" s="165" t="n"/>
      <c r="B113" s="166" t="n"/>
      <c r="C113" s="166" t="n"/>
      <c r="D113" s="166" t="n"/>
      <c r="E113" s="166" t="n"/>
      <c r="F113" s="166" t="n"/>
      <c r="G113" s="166" t="n"/>
      <c r="H113" s="166" t="n"/>
      <c r="I113" s="166" t="n"/>
      <c r="J113" s="167">
        <f>IF(TRIM($E113&amp;"")="","",$R113)</f>
        <v/>
      </c>
      <c r="K113" s="167">
        <f>IF(AND(TRIM($A113&amp;"")&lt;&gt;"",COUNTIF($A$7:$A$306,$A113)&gt;1),"DUPLICATE SET",IF(AND($E113&lt;&gt;"",$R113=""),"NO SET ABOVE",IF(AND($E113&lt;&gt;"",$C113=""),"QTY?",IF($J113="","","OK"))))</f>
        <v/>
      </c>
      <c r="L113" s="168" t="n"/>
      <c r="M113" s="169">
        <f>IFERROR(INDEX($R$7:$R$306,MATCH(107,$T$7:$T$306,0)),"")</f>
        <v/>
      </c>
      <c r="N113" s="170">
        <f>IF($M113="","",INDEX($B$7:$B$306,MATCH(107,$T$7:$T$306,0))&amp;"")</f>
        <v/>
      </c>
      <c r="O113" s="170">
        <f>IF($M113="","",SUMIF(tk_HWSET,$M113,tk_QTY))</f>
        <v/>
      </c>
      <c r="P113" s="170">
        <f>IF($M113="","",COUNTIF($J$7:$J$306,$M113))</f>
        <v/>
      </c>
      <c r="Q113" s="168" t="n"/>
      <c r="R113" s="168">
        <f>IF(TRIM($A113&amp;"")&lt;&gt;"",TRIM($A113&amp;""),$R112)</f>
        <v/>
      </c>
      <c r="S113" s="168">
        <f>IF($J113="","",MAX($S$6:$S112)+1)</f>
        <v/>
      </c>
      <c r="T113" s="168">
        <f>IF(TRIM($A113&amp;"")="","",MAX($T$6:$T112)+1)</f>
        <v/>
      </c>
    </row>
    <row r="114">
      <c r="A114" s="165" t="n"/>
      <c r="B114" s="166" t="n"/>
      <c r="C114" s="166" t="n"/>
      <c r="D114" s="166" t="n"/>
      <c r="E114" s="166" t="n"/>
      <c r="F114" s="166" t="n"/>
      <c r="G114" s="166" t="n"/>
      <c r="H114" s="166" t="n"/>
      <c r="I114" s="166" t="n"/>
      <c r="J114" s="167">
        <f>IF(TRIM($E114&amp;"")="","",$R114)</f>
        <v/>
      </c>
      <c r="K114" s="167">
        <f>IF(AND(TRIM($A114&amp;"")&lt;&gt;"",COUNTIF($A$7:$A$306,$A114)&gt;1),"DUPLICATE SET",IF(AND($E114&lt;&gt;"",$R114=""),"NO SET ABOVE",IF(AND($E114&lt;&gt;"",$C114=""),"QTY?",IF($J114="","","OK"))))</f>
        <v/>
      </c>
      <c r="L114" s="168" t="n"/>
      <c r="M114" s="169">
        <f>IFERROR(INDEX($R$7:$R$306,MATCH(108,$T$7:$T$306,0)),"")</f>
        <v/>
      </c>
      <c r="N114" s="170">
        <f>IF($M114="","",INDEX($B$7:$B$306,MATCH(108,$T$7:$T$306,0))&amp;"")</f>
        <v/>
      </c>
      <c r="O114" s="170">
        <f>IF($M114="","",SUMIF(tk_HWSET,$M114,tk_QTY))</f>
        <v/>
      </c>
      <c r="P114" s="170">
        <f>IF($M114="","",COUNTIF($J$7:$J$306,$M114))</f>
        <v/>
      </c>
      <c r="Q114" s="168" t="n"/>
      <c r="R114" s="168">
        <f>IF(TRIM($A114&amp;"")&lt;&gt;"",TRIM($A114&amp;""),$R113)</f>
        <v/>
      </c>
      <c r="S114" s="168">
        <f>IF($J114="","",MAX($S$6:$S113)+1)</f>
        <v/>
      </c>
      <c r="T114" s="168">
        <f>IF(TRIM($A114&amp;"")="","",MAX($T$6:$T113)+1)</f>
        <v/>
      </c>
    </row>
    <row r="115">
      <c r="A115" s="165" t="n"/>
      <c r="B115" s="166" t="n"/>
      <c r="C115" s="166" t="n"/>
      <c r="D115" s="166" t="n"/>
      <c r="E115" s="166" t="n"/>
      <c r="F115" s="166" t="n"/>
      <c r="G115" s="166" t="n"/>
      <c r="H115" s="166" t="n"/>
      <c r="I115" s="166" t="n"/>
      <c r="J115" s="167">
        <f>IF(TRIM($E115&amp;"")="","",$R115)</f>
        <v/>
      </c>
      <c r="K115" s="167">
        <f>IF(AND(TRIM($A115&amp;"")&lt;&gt;"",COUNTIF($A$7:$A$306,$A115)&gt;1),"DUPLICATE SET",IF(AND($E115&lt;&gt;"",$R115=""),"NO SET ABOVE",IF(AND($E115&lt;&gt;"",$C115=""),"QTY?",IF($J115="","","OK"))))</f>
        <v/>
      </c>
      <c r="L115" s="168" t="n"/>
      <c r="M115" s="169">
        <f>IFERROR(INDEX($R$7:$R$306,MATCH(109,$T$7:$T$306,0)),"")</f>
        <v/>
      </c>
      <c r="N115" s="170">
        <f>IF($M115="","",INDEX($B$7:$B$306,MATCH(109,$T$7:$T$306,0))&amp;"")</f>
        <v/>
      </c>
      <c r="O115" s="170">
        <f>IF($M115="","",SUMIF(tk_HWSET,$M115,tk_QTY))</f>
        <v/>
      </c>
      <c r="P115" s="170">
        <f>IF($M115="","",COUNTIF($J$7:$J$306,$M115))</f>
        <v/>
      </c>
      <c r="Q115" s="168" t="n"/>
      <c r="R115" s="168">
        <f>IF(TRIM($A115&amp;"")&lt;&gt;"",TRIM($A115&amp;""),$R114)</f>
        <v/>
      </c>
      <c r="S115" s="168">
        <f>IF($J115="","",MAX($S$6:$S114)+1)</f>
        <v/>
      </c>
      <c r="T115" s="168">
        <f>IF(TRIM($A115&amp;"")="","",MAX($T$6:$T114)+1)</f>
        <v/>
      </c>
    </row>
    <row r="116">
      <c r="A116" s="165" t="n"/>
      <c r="B116" s="166" t="n"/>
      <c r="C116" s="166" t="n"/>
      <c r="D116" s="166" t="n"/>
      <c r="E116" s="166" t="n"/>
      <c r="F116" s="166" t="n"/>
      <c r="G116" s="166" t="n"/>
      <c r="H116" s="166" t="n"/>
      <c r="I116" s="166" t="n"/>
      <c r="J116" s="167">
        <f>IF(TRIM($E116&amp;"")="","",$R116)</f>
        <v/>
      </c>
      <c r="K116" s="167">
        <f>IF(AND(TRIM($A116&amp;"")&lt;&gt;"",COUNTIF($A$7:$A$306,$A116)&gt;1),"DUPLICATE SET",IF(AND($E116&lt;&gt;"",$R116=""),"NO SET ABOVE",IF(AND($E116&lt;&gt;"",$C116=""),"QTY?",IF($J116="","","OK"))))</f>
        <v/>
      </c>
      <c r="L116" s="168" t="n"/>
      <c r="M116" s="169">
        <f>IFERROR(INDEX($R$7:$R$306,MATCH(110,$T$7:$T$306,0)),"")</f>
        <v/>
      </c>
      <c r="N116" s="170">
        <f>IF($M116="","",INDEX($B$7:$B$306,MATCH(110,$T$7:$T$306,0))&amp;"")</f>
        <v/>
      </c>
      <c r="O116" s="170">
        <f>IF($M116="","",SUMIF(tk_HWSET,$M116,tk_QTY))</f>
        <v/>
      </c>
      <c r="P116" s="170">
        <f>IF($M116="","",COUNTIF($J$7:$J$306,$M116))</f>
        <v/>
      </c>
      <c r="Q116" s="168" t="n"/>
      <c r="R116" s="168">
        <f>IF(TRIM($A116&amp;"")&lt;&gt;"",TRIM($A116&amp;""),$R115)</f>
        <v/>
      </c>
      <c r="S116" s="168">
        <f>IF($J116="","",MAX($S$6:$S115)+1)</f>
        <v/>
      </c>
      <c r="T116" s="168">
        <f>IF(TRIM($A116&amp;"")="","",MAX($T$6:$T115)+1)</f>
        <v/>
      </c>
    </row>
    <row r="117">
      <c r="A117" s="165" t="n"/>
      <c r="B117" s="166" t="n"/>
      <c r="C117" s="166" t="n"/>
      <c r="D117" s="166" t="n"/>
      <c r="E117" s="166" t="n"/>
      <c r="F117" s="166" t="n"/>
      <c r="G117" s="166" t="n"/>
      <c r="H117" s="166" t="n"/>
      <c r="I117" s="166" t="n"/>
      <c r="J117" s="167">
        <f>IF(TRIM($E117&amp;"")="","",$R117)</f>
        <v/>
      </c>
      <c r="K117" s="167">
        <f>IF(AND(TRIM($A117&amp;"")&lt;&gt;"",COUNTIF($A$7:$A$306,$A117)&gt;1),"DUPLICATE SET",IF(AND($E117&lt;&gt;"",$R117=""),"NO SET ABOVE",IF(AND($E117&lt;&gt;"",$C117=""),"QTY?",IF($J117="","","OK"))))</f>
        <v/>
      </c>
      <c r="L117" s="168" t="n"/>
      <c r="M117" s="169">
        <f>IFERROR(INDEX($R$7:$R$306,MATCH(111,$T$7:$T$306,0)),"")</f>
        <v/>
      </c>
      <c r="N117" s="170">
        <f>IF($M117="","",INDEX($B$7:$B$306,MATCH(111,$T$7:$T$306,0))&amp;"")</f>
        <v/>
      </c>
      <c r="O117" s="170">
        <f>IF($M117="","",SUMIF(tk_HWSET,$M117,tk_QTY))</f>
        <v/>
      </c>
      <c r="P117" s="170">
        <f>IF($M117="","",COUNTIF($J$7:$J$306,$M117))</f>
        <v/>
      </c>
      <c r="Q117" s="168" t="n"/>
      <c r="R117" s="168">
        <f>IF(TRIM($A117&amp;"")&lt;&gt;"",TRIM($A117&amp;""),$R116)</f>
        <v/>
      </c>
      <c r="S117" s="168">
        <f>IF($J117="","",MAX($S$6:$S116)+1)</f>
        <v/>
      </c>
      <c r="T117" s="168">
        <f>IF(TRIM($A117&amp;"")="","",MAX($T$6:$T116)+1)</f>
        <v/>
      </c>
    </row>
    <row r="118">
      <c r="A118" s="165" t="n"/>
      <c r="B118" s="166" t="n"/>
      <c r="C118" s="166" t="n"/>
      <c r="D118" s="166" t="n"/>
      <c r="E118" s="166" t="n"/>
      <c r="F118" s="166" t="n"/>
      <c r="G118" s="166" t="n"/>
      <c r="H118" s="166" t="n"/>
      <c r="I118" s="166" t="n"/>
      <c r="J118" s="167">
        <f>IF(TRIM($E118&amp;"")="","",$R118)</f>
        <v/>
      </c>
      <c r="K118" s="167">
        <f>IF(AND(TRIM($A118&amp;"")&lt;&gt;"",COUNTIF($A$7:$A$306,$A118)&gt;1),"DUPLICATE SET",IF(AND($E118&lt;&gt;"",$R118=""),"NO SET ABOVE",IF(AND($E118&lt;&gt;"",$C118=""),"QTY?",IF($J118="","","OK"))))</f>
        <v/>
      </c>
      <c r="L118" s="168" t="n"/>
      <c r="M118" s="169">
        <f>IFERROR(INDEX($R$7:$R$306,MATCH(112,$T$7:$T$306,0)),"")</f>
        <v/>
      </c>
      <c r="N118" s="170">
        <f>IF($M118="","",INDEX($B$7:$B$306,MATCH(112,$T$7:$T$306,0))&amp;"")</f>
        <v/>
      </c>
      <c r="O118" s="170">
        <f>IF($M118="","",SUMIF(tk_HWSET,$M118,tk_QTY))</f>
        <v/>
      </c>
      <c r="P118" s="170">
        <f>IF($M118="","",COUNTIF($J$7:$J$306,$M118))</f>
        <v/>
      </c>
      <c r="Q118" s="168" t="n"/>
      <c r="R118" s="168">
        <f>IF(TRIM($A118&amp;"")&lt;&gt;"",TRIM($A118&amp;""),$R117)</f>
        <v/>
      </c>
      <c r="S118" s="168">
        <f>IF($J118="","",MAX($S$6:$S117)+1)</f>
        <v/>
      </c>
      <c r="T118" s="168">
        <f>IF(TRIM($A118&amp;"")="","",MAX($T$6:$T117)+1)</f>
        <v/>
      </c>
    </row>
    <row r="119">
      <c r="A119" s="165" t="n"/>
      <c r="B119" s="166" t="n"/>
      <c r="C119" s="166" t="n"/>
      <c r="D119" s="166" t="n"/>
      <c r="E119" s="166" t="n"/>
      <c r="F119" s="166" t="n"/>
      <c r="G119" s="166" t="n"/>
      <c r="H119" s="166" t="n"/>
      <c r="I119" s="166" t="n"/>
      <c r="J119" s="167">
        <f>IF(TRIM($E119&amp;"")="","",$R119)</f>
        <v/>
      </c>
      <c r="K119" s="167">
        <f>IF(AND(TRIM($A119&amp;"")&lt;&gt;"",COUNTIF($A$7:$A$306,$A119)&gt;1),"DUPLICATE SET",IF(AND($E119&lt;&gt;"",$R119=""),"NO SET ABOVE",IF(AND($E119&lt;&gt;"",$C119=""),"QTY?",IF($J119="","","OK"))))</f>
        <v/>
      </c>
      <c r="L119" s="168" t="n"/>
      <c r="M119" s="169">
        <f>IFERROR(INDEX($R$7:$R$306,MATCH(113,$T$7:$T$306,0)),"")</f>
        <v/>
      </c>
      <c r="N119" s="170">
        <f>IF($M119="","",INDEX($B$7:$B$306,MATCH(113,$T$7:$T$306,0))&amp;"")</f>
        <v/>
      </c>
      <c r="O119" s="170">
        <f>IF($M119="","",SUMIF(tk_HWSET,$M119,tk_QTY))</f>
        <v/>
      </c>
      <c r="P119" s="170">
        <f>IF($M119="","",COUNTIF($J$7:$J$306,$M119))</f>
        <v/>
      </c>
      <c r="Q119" s="168" t="n"/>
      <c r="R119" s="168">
        <f>IF(TRIM($A119&amp;"")&lt;&gt;"",TRIM($A119&amp;""),$R118)</f>
        <v/>
      </c>
      <c r="S119" s="168">
        <f>IF($J119="","",MAX($S$6:$S118)+1)</f>
        <v/>
      </c>
      <c r="T119" s="168">
        <f>IF(TRIM($A119&amp;"")="","",MAX($T$6:$T118)+1)</f>
        <v/>
      </c>
    </row>
    <row r="120">
      <c r="A120" s="165" t="n"/>
      <c r="B120" s="166" t="n"/>
      <c r="C120" s="166" t="n"/>
      <c r="D120" s="166" t="n"/>
      <c r="E120" s="166" t="n"/>
      <c r="F120" s="166" t="n"/>
      <c r="G120" s="166" t="n"/>
      <c r="H120" s="166" t="n"/>
      <c r="I120" s="166" t="n"/>
      <c r="J120" s="167">
        <f>IF(TRIM($E120&amp;"")="","",$R120)</f>
        <v/>
      </c>
      <c r="K120" s="167">
        <f>IF(AND(TRIM($A120&amp;"")&lt;&gt;"",COUNTIF($A$7:$A$306,$A120)&gt;1),"DUPLICATE SET",IF(AND($E120&lt;&gt;"",$R120=""),"NO SET ABOVE",IF(AND($E120&lt;&gt;"",$C120=""),"QTY?",IF($J120="","","OK"))))</f>
        <v/>
      </c>
      <c r="L120" s="168" t="n"/>
      <c r="M120" s="169">
        <f>IFERROR(INDEX($R$7:$R$306,MATCH(114,$T$7:$T$306,0)),"")</f>
        <v/>
      </c>
      <c r="N120" s="170">
        <f>IF($M120="","",INDEX($B$7:$B$306,MATCH(114,$T$7:$T$306,0))&amp;"")</f>
        <v/>
      </c>
      <c r="O120" s="170">
        <f>IF($M120="","",SUMIF(tk_HWSET,$M120,tk_QTY))</f>
        <v/>
      </c>
      <c r="P120" s="170">
        <f>IF($M120="","",COUNTIF($J$7:$J$306,$M120))</f>
        <v/>
      </c>
      <c r="Q120" s="168" t="n"/>
      <c r="R120" s="168">
        <f>IF(TRIM($A120&amp;"")&lt;&gt;"",TRIM($A120&amp;""),$R119)</f>
        <v/>
      </c>
      <c r="S120" s="168">
        <f>IF($J120="","",MAX($S$6:$S119)+1)</f>
        <v/>
      </c>
      <c r="T120" s="168">
        <f>IF(TRIM($A120&amp;"")="","",MAX($T$6:$T119)+1)</f>
        <v/>
      </c>
    </row>
    <row r="121">
      <c r="A121" s="165" t="n"/>
      <c r="B121" s="166" t="n"/>
      <c r="C121" s="166" t="n"/>
      <c r="D121" s="166" t="n"/>
      <c r="E121" s="166" t="n"/>
      <c r="F121" s="166" t="n"/>
      <c r="G121" s="166" t="n"/>
      <c r="H121" s="166" t="n"/>
      <c r="I121" s="166" t="n"/>
      <c r="J121" s="167">
        <f>IF(TRIM($E121&amp;"")="","",$R121)</f>
        <v/>
      </c>
      <c r="K121" s="167">
        <f>IF(AND(TRIM($A121&amp;"")&lt;&gt;"",COUNTIF($A$7:$A$306,$A121)&gt;1),"DUPLICATE SET",IF(AND($E121&lt;&gt;"",$R121=""),"NO SET ABOVE",IF(AND($E121&lt;&gt;"",$C121=""),"QTY?",IF($J121="","","OK"))))</f>
        <v/>
      </c>
      <c r="L121" s="168" t="n"/>
      <c r="M121" s="169">
        <f>IFERROR(INDEX($R$7:$R$306,MATCH(115,$T$7:$T$306,0)),"")</f>
        <v/>
      </c>
      <c r="N121" s="170">
        <f>IF($M121="","",INDEX($B$7:$B$306,MATCH(115,$T$7:$T$306,0))&amp;"")</f>
        <v/>
      </c>
      <c r="O121" s="170">
        <f>IF($M121="","",SUMIF(tk_HWSET,$M121,tk_QTY))</f>
        <v/>
      </c>
      <c r="P121" s="170">
        <f>IF($M121="","",COUNTIF($J$7:$J$306,$M121))</f>
        <v/>
      </c>
      <c r="Q121" s="168" t="n"/>
      <c r="R121" s="168">
        <f>IF(TRIM($A121&amp;"")&lt;&gt;"",TRIM($A121&amp;""),$R120)</f>
        <v/>
      </c>
      <c r="S121" s="168">
        <f>IF($J121="","",MAX($S$6:$S120)+1)</f>
        <v/>
      </c>
      <c r="T121" s="168">
        <f>IF(TRIM($A121&amp;"")="","",MAX($T$6:$T120)+1)</f>
        <v/>
      </c>
    </row>
    <row r="122">
      <c r="A122" s="165" t="n"/>
      <c r="B122" s="166" t="n"/>
      <c r="C122" s="166" t="n"/>
      <c r="D122" s="166" t="n"/>
      <c r="E122" s="166" t="n"/>
      <c r="F122" s="166" t="n"/>
      <c r="G122" s="166" t="n"/>
      <c r="H122" s="166" t="n"/>
      <c r="I122" s="166" t="n"/>
      <c r="J122" s="167">
        <f>IF(TRIM($E122&amp;"")="","",$R122)</f>
        <v/>
      </c>
      <c r="K122" s="167">
        <f>IF(AND(TRIM($A122&amp;"")&lt;&gt;"",COUNTIF($A$7:$A$306,$A122)&gt;1),"DUPLICATE SET",IF(AND($E122&lt;&gt;"",$R122=""),"NO SET ABOVE",IF(AND($E122&lt;&gt;"",$C122=""),"QTY?",IF($J122="","","OK"))))</f>
        <v/>
      </c>
      <c r="L122" s="168" t="n"/>
      <c r="M122" s="169">
        <f>IFERROR(INDEX($R$7:$R$306,MATCH(116,$T$7:$T$306,0)),"")</f>
        <v/>
      </c>
      <c r="N122" s="170">
        <f>IF($M122="","",INDEX($B$7:$B$306,MATCH(116,$T$7:$T$306,0))&amp;"")</f>
        <v/>
      </c>
      <c r="O122" s="170">
        <f>IF($M122="","",SUMIF(tk_HWSET,$M122,tk_QTY))</f>
        <v/>
      </c>
      <c r="P122" s="170">
        <f>IF($M122="","",COUNTIF($J$7:$J$306,$M122))</f>
        <v/>
      </c>
      <c r="Q122" s="168" t="n"/>
      <c r="R122" s="168">
        <f>IF(TRIM($A122&amp;"")&lt;&gt;"",TRIM($A122&amp;""),$R121)</f>
        <v/>
      </c>
      <c r="S122" s="168">
        <f>IF($J122="","",MAX($S$6:$S121)+1)</f>
        <v/>
      </c>
      <c r="T122" s="168">
        <f>IF(TRIM($A122&amp;"")="","",MAX($T$6:$T121)+1)</f>
        <v/>
      </c>
    </row>
    <row r="123">
      <c r="A123" s="165" t="n"/>
      <c r="B123" s="166" t="n"/>
      <c r="C123" s="166" t="n"/>
      <c r="D123" s="166" t="n"/>
      <c r="E123" s="166" t="n"/>
      <c r="F123" s="166" t="n"/>
      <c r="G123" s="166" t="n"/>
      <c r="H123" s="166" t="n"/>
      <c r="I123" s="166" t="n"/>
      <c r="J123" s="167">
        <f>IF(TRIM($E123&amp;"")="","",$R123)</f>
        <v/>
      </c>
      <c r="K123" s="167">
        <f>IF(AND(TRIM($A123&amp;"")&lt;&gt;"",COUNTIF($A$7:$A$306,$A123)&gt;1),"DUPLICATE SET",IF(AND($E123&lt;&gt;"",$R123=""),"NO SET ABOVE",IF(AND($E123&lt;&gt;"",$C123=""),"QTY?",IF($J123="","","OK"))))</f>
        <v/>
      </c>
      <c r="L123" s="168" t="n"/>
      <c r="M123" s="169">
        <f>IFERROR(INDEX($R$7:$R$306,MATCH(117,$T$7:$T$306,0)),"")</f>
        <v/>
      </c>
      <c r="N123" s="170">
        <f>IF($M123="","",INDEX($B$7:$B$306,MATCH(117,$T$7:$T$306,0))&amp;"")</f>
        <v/>
      </c>
      <c r="O123" s="170">
        <f>IF($M123="","",SUMIF(tk_HWSET,$M123,tk_QTY))</f>
        <v/>
      </c>
      <c r="P123" s="170">
        <f>IF($M123="","",COUNTIF($J$7:$J$306,$M123))</f>
        <v/>
      </c>
      <c r="Q123" s="168" t="n"/>
      <c r="R123" s="168">
        <f>IF(TRIM($A123&amp;"")&lt;&gt;"",TRIM($A123&amp;""),$R122)</f>
        <v/>
      </c>
      <c r="S123" s="168">
        <f>IF($J123="","",MAX($S$6:$S122)+1)</f>
        <v/>
      </c>
      <c r="T123" s="168">
        <f>IF(TRIM($A123&amp;"")="","",MAX($T$6:$T122)+1)</f>
        <v/>
      </c>
    </row>
    <row r="124">
      <c r="A124" s="165" t="n"/>
      <c r="B124" s="166" t="n"/>
      <c r="C124" s="166" t="n"/>
      <c r="D124" s="166" t="n"/>
      <c r="E124" s="166" t="n"/>
      <c r="F124" s="166" t="n"/>
      <c r="G124" s="166" t="n"/>
      <c r="H124" s="166" t="n"/>
      <c r="I124" s="166" t="n"/>
      <c r="J124" s="167">
        <f>IF(TRIM($E124&amp;"")="","",$R124)</f>
        <v/>
      </c>
      <c r="K124" s="167">
        <f>IF(AND(TRIM($A124&amp;"")&lt;&gt;"",COUNTIF($A$7:$A$306,$A124)&gt;1),"DUPLICATE SET",IF(AND($E124&lt;&gt;"",$R124=""),"NO SET ABOVE",IF(AND($E124&lt;&gt;"",$C124=""),"QTY?",IF($J124="","","OK"))))</f>
        <v/>
      </c>
      <c r="L124" s="168" t="n"/>
      <c r="M124" s="169">
        <f>IFERROR(INDEX($R$7:$R$306,MATCH(118,$T$7:$T$306,0)),"")</f>
        <v/>
      </c>
      <c r="N124" s="170">
        <f>IF($M124="","",INDEX($B$7:$B$306,MATCH(118,$T$7:$T$306,0))&amp;"")</f>
        <v/>
      </c>
      <c r="O124" s="170">
        <f>IF($M124="","",SUMIF(tk_HWSET,$M124,tk_QTY))</f>
        <v/>
      </c>
      <c r="P124" s="170">
        <f>IF($M124="","",COUNTIF($J$7:$J$306,$M124))</f>
        <v/>
      </c>
      <c r="Q124" s="168" t="n"/>
      <c r="R124" s="168">
        <f>IF(TRIM($A124&amp;"")&lt;&gt;"",TRIM($A124&amp;""),$R123)</f>
        <v/>
      </c>
      <c r="S124" s="168">
        <f>IF($J124="","",MAX($S$6:$S123)+1)</f>
        <v/>
      </c>
      <c r="T124" s="168">
        <f>IF(TRIM($A124&amp;"")="","",MAX($T$6:$T123)+1)</f>
        <v/>
      </c>
    </row>
    <row r="125">
      <c r="A125" s="165" t="n"/>
      <c r="B125" s="166" t="n"/>
      <c r="C125" s="166" t="n"/>
      <c r="D125" s="166" t="n"/>
      <c r="E125" s="166" t="n"/>
      <c r="F125" s="166" t="n"/>
      <c r="G125" s="166" t="n"/>
      <c r="H125" s="166" t="n"/>
      <c r="I125" s="166" t="n"/>
      <c r="J125" s="167">
        <f>IF(TRIM($E125&amp;"")="","",$R125)</f>
        <v/>
      </c>
      <c r="K125" s="167">
        <f>IF(AND(TRIM($A125&amp;"")&lt;&gt;"",COUNTIF($A$7:$A$306,$A125)&gt;1),"DUPLICATE SET",IF(AND($E125&lt;&gt;"",$R125=""),"NO SET ABOVE",IF(AND($E125&lt;&gt;"",$C125=""),"QTY?",IF($J125="","","OK"))))</f>
        <v/>
      </c>
      <c r="L125" s="168" t="n"/>
      <c r="M125" s="169">
        <f>IFERROR(INDEX($R$7:$R$306,MATCH(119,$T$7:$T$306,0)),"")</f>
        <v/>
      </c>
      <c r="N125" s="170">
        <f>IF($M125="","",INDEX($B$7:$B$306,MATCH(119,$T$7:$T$306,0))&amp;"")</f>
        <v/>
      </c>
      <c r="O125" s="170">
        <f>IF($M125="","",SUMIF(tk_HWSET,$M125,tk_QTY))</f>
        <v/>
      </c>
      <c r="P125" s="170">
        <f>IF($M125="","",COUNTIF($J$7:$J$306,$M125))</f>
        <v/>
      </c>
      <c r="Q125" s="168" t="n"/>
      <c r="R125" s="168">
        <f>IF(TRIM($A125&amp;"")&lt;&gt;"",TRIM($A125&amp;""),$R124)</f>
        <v/>
      </c>
      <c r="S125" s="168">
        <f>IF($J125="","",MAX($S$6:$S124)+1)</f>
        <v/>
      </c>
      <c r="T125" s="168">
        <f>IF(TRIM($A125&amp;"")="","",MAX($T$6:$T124)+1)</f>
        <v/>
      </c>
    </row>
    <row r="126">
      <c r="A126" s="165" t="n"/>
      <c r="B126" s="166" t="n"/>
      <c r="C126" s="166" t="n"/>
      <c r="D126" s="166" t="n"/>
      <c r="E126" s="166" t="n"/>
      <c r="F126" s="166" t="n"/>
      <c r="G126" s="166" t="n"/>
      <c r="H126" s="166" t="n"/>
      <c r="I126" s="166" t="n"/>
      <c r="J126" s="167">
        <f>IF(TRIM($E126&amp;"")="","",$R126)</f>
        <v/>
      </c>
      <c r="K126" s="167">
        <f>IF(AND(TRIM($A126&amp;"")&lt;&gt;"",COUNTIF($A$7:$A$306,$A126)&gt;1),"DUPLICATE SET",IF(AND($E126&lt;&gt;"",$R126=""),"NO SET ABOVE",IF(AND($E126&lt;&gt;"",$C126=""),"QTY?",IF($J126="","","OK"))))</f>
        <v/>
      </c>
      <c r="L126" s="168" t="n"/>
      <c r="M126" s="169">
        <f>IFERROR(INDEX($R$7:$R$306,MATCH(120,$T$7:$T$306,0)),"")</f>
        <v/>
      </c>
      <c r="N126" s="170">
        <f>IF($M126="","",INDEX($B$7:$B$306,MATCH(120,$T$7:$T$306,0))&amp;"")</f>
        <v/>
      </c>
      <c r="O126" s="170">
        <f>IF($M126="","",SUMIF(tk_HWSET,$M126,tk_QTY))</f>
        <v/>
      </c>
      <c r="P126" s="170">
        <f>IF($M126="","",COUNTIF($J$7:$J$306,$M126))</f>
        <v/>
      </c>
      <c r="Q126" s="168" t="n"/>
      <c r="R126" s="168">
        <f>IF(TRIM($A126&amp;"")&lt;&gt;"",TRIM($A126&amp;""),$R125)</f>
        <v/>
      </c>
      <c r="S126" s="168">
        <f>IF($J126="","",MAX($S$6:$S125)+1)</f>
        <v/>
      </c>
      <c r="T126" s="168">
        <f>IF(TRIM($A126&amp;"")="","",MAX($T$6:$T125)+1)</f>
        <v/>
      </c>
    </row>
    <row r="127">
      <c r="A127" s="165" t="n"/>
      <c r="B127" s="166" t="n"/>
      <c r="C127" s="166" t="n"/>
      <c r="D127" s="166" t="n"/>
      <c r="E127" s="166" t="n"/>
      <c r="F127" s="166" t="n"/>
      <c r="G127" s="166" t="n"/>
      <c r="H127" s="166" t="n"/>
      <c r="I127" s="166" t="n"/>
      <c r="J127" s="167">
        <f>IF(TRIM($E127&amp;"")="","",$R127)</f>
        <v/>
      </c>
      <c r="K127" s="167">
        <f>IF(AND(TRIM($A127&amp;"")&lt;&gt;"",COUNTIF($A$7:$A$306,$A127)&gt;1),"DUPLICATE SET",IF(AND($E127&lt;&gt;"",$R127=""),"NO SET ABOVE",IF(AND($E127&lt;&gt;"",$C127=""),"QTY?",IF($J127="","","OK"))))</f>
        <v/>
      </c>
      <c r="L127" s="168" t="n"/>
      <c r="M127" s="169">
        <f>IFERROR(INDEX($R$7:$R$306,MATCH(121,$T$7:$T$306,0)),"")</f>
        <v/>
      </c>
      <c r="N127" s="170">
        <f>IF($M127="","",INDEX($B$7:$B$306,MATCH(121,$T$7:$T$306,0))&amp;"")</f>
        <v/>
      </c>
      <c r="O127" s="170">
        <f>IF($M127="","",SUMIF(tk_HWSET,$M127,tk_QTY))</f>
        <v/>
      </c>
      <c r="P127" s="170">
        <f>IF($M127="","",COUNTIF($J$7:$J$306,$M127))</f>
        <v/>
      </c>
      <c r="Q127" s="168" t="n"/>
      <c r="R127" s="168">
        <f>IF(TRIM($A127&amp;"")&lt;&gt;"",TRIM($A127&amp;""),$R126)</f>
        <v/>
      </c>
      <c r="S127" s="168">
        <f>IF($J127="","",MAX($S$6:$S126)+1)</f>
        <v/>
      </c>
      <c r="T127" s="168">
        <f>IF(TRIM($A127&amp;"")="","",MAX($T$6:$T126)+1)</f>
        <v/>
      </c>
    </row>
    <row r="128">
      <c r="A128" s="165" t="n"/>
      <c r="B128" s="166" t="n"/>
      <c r="C128" s="166" t="n"/>
      <c r="D128" s="166" t="n"/>
      <c r="E128" s="166" t="n"/>
      <c r="F128" s="166" t="n"/>
      <c r="G128" s="166" t="n"/>
      <c r="H128" s="166" t="n"/>
      <c r="I128" s="166" t="n"/>
      <c r="J128" s="167">
        <f>IF(TRIM($E128&amp;"")="","",$R128)</f>
        <v/>
      </c>
      <c r="K128" s="167">
        <f>IF(AND(TRIM($A128&amp;"")&lt;&gt;"",COUNTIF($A$7:$A$306,$A128)&gt;1),"DUPLICATE SET",IF(AND($E128&lt;&gt;"",$R128=""),"NO SET ABOVE",IF(AND($E128&lt;&gt;"",$C128=""),"QTY?",IF($J128="","","OK"))))</f>
        <v/>
      </c>
      <c r="L128" s="168" t="n"/>
      <c r="M128" s="169">
        <f>IFERROR(INDEX($R$7:$R$306,MATCH(122,$T$7:$T$306,0)),"")</f>
        <v/>
      </c>
      <c r="N128" s="170">
        <f>IF($M128="","",INDEX($B$7:$B$306,MATCH(122,$T$7:$T$306,0))&amp;"")</f>
        <v/>
      </c>
      <c r="O128" s="170">
        <f>IF($M128="","",SUMIF(tk_HWSET,$M128,tk_QTY))</f>
        <v/>
      </c>
      <c r="P128" s="170">
        <f>IF($M128="","",COUNTIF($J$7:$J$306,$M128))</f>
        <v/>
      </c>
      <c r="Q128" s="168" t="n"/>
      <c r="R128" s="168">
        <f>IF(TRIM($A128&amp;"")&lt;&gt;"",TRIM($A128&amp;""),$R127)</f>
        <v/>
      </c>
      <c r="S128" s="168">
        <f>IF($J128="","",MAX($S$6:$S127)+1)</f>
        <v/>
      </c>
      <c r="T128" s="168">
        <f>IF(TRIM($A128&amp;"")="","",MAX($T$6:$T127)+1)</f>
        <v/>
      </c>
    </row>
    <row r="129">
      <c r="A129" s="165" t="n"/>
      <c r="B129" s="166" t="n"/>
      <c r="C129" s="166" t="n"/>
      <c r="D129" s="166" t="n"/>
      <c r="E129" s="166" t="n"/>
      <c r="F129" s="166" t="n"/>
      <c r="G129" s="166" t="n"/>
      <c r="H129" s="166" t="n"/>
      <c r="I129" s="166" t="n"/>
      <c r="J129" s="167">
        <f>IF(TRIM($E129&amp;"")="","",$R129)</f>
        <v/>
      </c>
      <c r="K129" s="167">
        <f>IF(AND(TRIM($A129&amp;"")&lt;&gt;"",COUNTIF($A$7:$A$306,$A129)&gt;1),"DUPLICATE SET",IF(AND($E129&lt;&gt;"",$R129=""),"NO SET ABOVE",IF(AND($E129&lt;&gt;"",$C129=""),"QTY?",IF($J129="","","OK"))))</f>
        <v/>
      </c>
      <c r="L129" s="168" t="n"/>
      <c r="M129" s="169">
        <f>IFERROR(INDEX($R$7:$R$306,MATCH(123,$T$7:$T$306,0)),"")</f>
        <v/>
      </c>
      <c r="N129" s="170">
        <f>IF($M129="","",INDEX($B$7:$B$306,MATCH(123,$T$7:$T$306,0))&amp;"")</f>
        <v/>
      </c>
      <c r="O129" s="170">
        <f>IF($M129="","",SUMIF(tk_HWSET,$M129,tk_QTY))</f>
        <v/>
      </c>
      <c r="P129" s="170">
        <f>IF($M129="","",COUNTIF($J$7:$J$306,$M129))</f>
        <v/>
      </c>
      <c r="Q129" s="168" t="n"/>
      <c r="R129" s="168">
        <f>IF(TRIM($A129&amp;"")&lt;&gt;"",TRIM($A129&amp;""),$R128)</f>
        <v/>
      </c>
      <c r="S129" s="168">
        <f>IF($J129="","",MAX($S$6:$S128)+1)</f>
        <v/>
      </c>
      <c r="T129" s="168">
        <f>IF(TRIM($A129&amp;"")="","",MAX($T$6:$T128)+1)</f>
        <v/>
      </c>
    </row>
    <row r="130">
      <c r="A130" s="165" t="n"/>
      <c r="B130" s="166" t="n"/>
      <c r="C130" s="166" t="n"/>
      <c r="D130" s="166" t="n"/>
      <c r="E130" s="166" t="n"/>
      <c r="F130" s="166" t="n"/>
      <c r="G130" s="166" t="n"/>
      <c r="H130" s="166" t="n"/>
      <c r="I130" s="166" t="n"/>
      <c r="J130" s="167">
        <f>IF(TRIM($E130&amp;"")="","",$R130)</f>
        <v/>
      </c>
      <c r="K130" s="167">
        <f>IF(AND(TRIM($A130&amp;"")&lt;&gt;"",COUNTIF($A$7:$A$306,$A130)&gt;1),"DUPLICATE SET",IF(AND($E130&lt;&gt;"",$R130=""),"NO SET ABOVE",IF(AND($E130&lt;&gt;"",$C130=""),"QTY?",IF($J130="","","OK"))))</f>
        <v/>
      </c>
      <c r="L130" s="168" t="n"/>
      <c r="M130" s="169">
        <f>IFERROR(INDEX($R$7:$R$306,MATCH(124,$T$7:$T$306,0)),"")</f>
        <v/>
      </c>
      <c r="N130" s="170">
        <f>IF($M130="","",INDEX($B$7:$B$306,MATCH(124,$T$7:$T$306,0))&amp;"")</f>
        <v/>
      </c>
      <c r="O130" s="170">
        <f>IF($M130="","",SUMIF(tk_HWSET,$M130,tk_QTY))</f>
        <v/>
      </c>
      <c r="P130" s="170">
        <f>IF($M130="","",COUNTIF($J$7:$J$306,$M130))</f>
        <v/>
      </c>
      <c r="Q130" s="168" t="n"/>
      <c r="R130" s="168">
        <f>IF(TRIM($A130&amp;"")&lt;&gt;"",TRIM($A130&amp;""),$R129)</f>
        <v/>
      </c>
      <c r="S130" s="168">
        <f>IF($J130="","",MAX($S$6:$S129)+1)</f>
        <v/>
      </c>
      <c r="T130" s="168">
        <f>IF(TRIM($A130&amp;"")="","",MAX($T$6:$T129)+1)</f>
        <v/>
      </c>
    </row>
    <row r="131">
      <c r="A131" s="165" t="n"/>
      <c r="B131" s="166" t="n"/>
      <c r="C131" s="166" t="n"/>
      <c r="D131" s="166" t="n"/>
      <c r="E131" s="166" t="n"/>
      <c r="F131" s="166" t="n"/>
      <c r="G131" s="166" t="n"/>
      <c r="H131" s="166" t="n"/>
      <c r="I131" s="166" t="n"/>
      <c r="J131" s="167">
        <f>IF(TRIM($E131&amp;"")="","",$R131)</f>
        <v/>
      </c>
      <c r="K131" s="167">
        <f>IF(AND(TRIM($A131&amp;"")&lt;&gt;"",COUNTIF($A$7:$A$306,$A131)&gt;1),"DUPLICATE SET",IF(AND($E131&lt;&gt;"",$R131=""),"NO SET ABOVE",IF(AND($E131&lt;&gt;"",$C131=""),"QTY?",IF($J131="","","OK"))))</f>
        <v/>
      </c>
      <c r="L131" s="168" t="n"/>
      <c r="M131" s="169">
        <f>IFERROR(INDEX($R$7:$R$306,MATCH(125,$T$7:$T$306,0)),"")</f>
        <v/>
      </c>
      <c r="N131" s="170">
        <f>IF($M131="","",INDEX($B$7:$B$306,MATCH(125,$T$7:$T$306,0))&amp;"")</f>
        <v/>
      </c>
      <c r="O131" s="170">
        <f>IF($M131="","",SUMIF(tk_HWSET,$M131,tk_QTY))</f>
        <v/>
      </c>
      <c r="P131" s="170">
        <f>IF($M131="","",COUNTIF($J$7:$J$306,$M131))</f>
        <v/>
      </c>
      <c r="Q131" s="168" t="n"/>
      <c r="R131" s="168">
        <f>IF(TRIM($A131&amp;"")&lt;&gt;"",TRIM($A131&amp;""),$R130)</f>
        <v/>
      </c>
      <c r="S131" s="168">
        <f>IF($J131="","",MAX($S$6:$S130)+1)</f>
        <v/>
      </c>
      <c r="T131" s="168">
        <f>IF(TRIM($A131&amp;"")="","",MAX($T$6:$T130)+1)</f>
        <v/>
      </c>
    </row>
    <row r="132">
      <c r="A132" s="165" t="n"/>
      <c r="B132" s="166" t="n"/>
      <c r="C132" s="166" t="n"/>
      <c r="D132" s="166" t="n"/>
      <c r="E132" s="166" t="n"/>
      <c r="F132" s="166" t="n"/>
      <c r="G132" s="166" t="n"/>
      <c r="H132" s="166" t="n"/>
      <c r="I132" s="166" t="n"/>
      <c r="J132" s="167">
        <f>IF(TRIM($E132&amp;"")="","",$R132)</f>
        <v/>
      </c>
      <c r="K132" s="167">
        <f>IF(AND(TRIM($A132&amp;"")&lt;&gt;"",COUNTIF($A$7:$A$306,$A132)&gt;1),"DUPLICATE SET",IF(AND($E132&lt;&gt;"",$R132=""),"NO SET ABOVE",IF(AND($E132&lt;&gt;"",$C132=""),"QTY?",IF($J132="","","OK"))))</f>
        <v/>
      </c>
      <c r="L132" s="168" t="n"/>
      <c r="M132" s="169">
        <f>IFERROR(INDEX($R$7:$R$306,MATCH(126,$T$7:$T$306,0)),"")</f>
        <v/>
      </c>
      <c r="N132" s="170">
        <f>IF($M132="","",INDEX($B$7:$B$306,MATCH(126,$T$7:$T$306,0))&amp;"")</f>
        <v/>
      </c>
      <c r="O132" s="170">
        <f>IF($M132="","",SUMIF(tk_HWSET,$M132,tk_QTY))</f>
        <v/>
      </c>
      <c r="P132" s="170">
        <f>IF($M132="","",COUNTIF($J$7:$J$306,$M132))</f>
        <v/>
      </c>
      <c r="Q132" s="168" t="n"/>
      <c r="R132" s="168">
        <f>IF(TRIM($A132&amp;"")&lt;&gt;"",TRIM($A132&amp;""),$R131)</f>
        <v/>
      </c>
      <c r="S132" s="168">
        <f>IF($J132="","",MAX($S$6:$S131)+1)</f>
        <v/>
      </c>
      <c r="T132" s="168">
        <f>IF(TRIM($A132&amp;"")="","",MAX($T$6:$T131)+1)</f>
        <v/>
      </c>
    </row>
    <row r="133">
      <c r="A133" s="165" t="n"/>
      <c r="B133" s="166" t="n"/>
      <c r="C133" s="166" t="n"/>
      <c r="D133" s="166" t="n"/>
      <c r="E133" s="166" t="n"/>
      <c r="F133" s="166" t="n"/>
      <c r="G133" s="166" t="n"/>
      <c r="H133" s="166" t="n"/>
      <c r="I133" s="166" t="n"/>
      <c r="J133" s="167">
        <f>IF(TRIM($E133&amp;"")="","",$R133)</f>
        <v/>
      </c>
      <c r="K133" s="167">
        <f>IF(AND(TRIM($A133&amp;"")&lt;&gt;"",COUNTIF($A$7:$A$306,$A133)&gt;1),"DUPLICATE SET",IF(AND($E133&lt;&gt;"",$R133=""),"NO SET ABOVE",IF(AND($E133&lt;&gt;"",$C133=""),"QTY?",IF($J133="","","OK"))))</f>
        <v/>
      </c>
      <c r="L133" s="168" t="n"/>
      <c r="M133" s="169">
        <f>IFERROR(INDEX($R$7:$R$306,MATCH(127,$T$7:$T$306,0)),"")</f>
        <v/>
      </c>
      <c r="N133" s="170">
        <f>IF($M133="","",INDEX($B$7:$B$306,MATCH(127,$T$7:$T$306,0))&amp;"")</f>
        <v/>
      </c>
      <c r="O133" s="170">
        <f>IF($M133="","",SUMIF(tk_HWSET,$M133,tk_QTY))</f>
        <v/>
      </c>
      <c r="P133" s="170">
        <f>IF($M133="","",COUNTIF($J$7:$J$306,$M133))</f>
        <v/>
      </c>
      <c r="Q133" s="168" t="n"/>
      <c r="R133" s="168">
        <f>IF(TRIM($A133&amp;"")&lt;&gt;"",TRIM($A133&amp;""),$R132)</f>
        <v/>
      </c>
      <c r="S133" s="168">
        <f>IF($J133="","",MAX($S$6:$S132)+1)</f>
        <v/>
      </c>
      <c r="T133" s="168">
        <f>IF(TRIM($A133&amp;"")="","",MAX($T$6:$T132)+1)</f>
        <v/>
      </c>
    </row>
    <row r="134">
      <c r="A134" s="165" t="n"/>
      <c r="B134" s="166" t="n"/>
      <c r="C134" s="166" t="n"/>
      <c r="D134" s="166" t="n"/>
      <c r="E134" s="166" t="n"/>
      <c r="F134" s="166" t="n"/>
      <c r="G134" s="166" t="n"/>
      <c r="H134" s="166" t="n"/>
      <c r="I134" s="166" t="n"/>
      <c r="J134" s="167">
        <f>IF(TRIM($E134&amp;"")="","",$R134)</f>
        <v/>
      </c>
      <c r="K134" s="167">
        <f>IF(AND(TRIM($A134&amp;"")&lt;&gt;"",COUNTIF($A$7:$A$306,$A134)&gt;1),"DUPLICATE SET",IF(AND($E134&lt;&gt;"",$R134=""),"NO SET ABOVE",IF(AND($E134&lt;&gt;"",$C134=""),"QTY?",IF($J134="","","OK"))))</f>
        <v/>
      </c>
      <c r="L134" s="168" t="n"/>
      <c r="M134" s="169">
        <f>IFERROR(INDEX($R$7:$R$306,MATCH(128,$T$7:$T$306,0)),"")</f>
        <v/>
      </c>
      <c r="N134" s="170">
        <f>IF($M134="","",INDEX($B$7:$B$306,MATCH(128,$T$7:$T$306,0))&amp;"")</f>
        <v/>
      </c>
      <c r="O134" s="170">
        <f>IF($M134="","",SUMIF(tk_HWSET,$M134,tk_QTY))</f>
        <v/>
      </c>
      <c r="P134" s="170">
        <f>IF($M134="","",COUNTIF($J$7:$J$306,$M134))</f>
        <v/>
      </c>
      <c r="Q134" s="168" t="n"/>
      <c r="R134" s="168">
        <f>IF(TRIM($A134&amp;"")&lt;&gt;"",TRIM($A134&amp;""),$R133)</f>
        <v/>
      </c>
      <c r="S134" s="168">
        <f>IF($J134="","",MAX($S$6:$S133)+1)</f>
        <v/>
      </c>
      <c r="T134" s="168">
        <f>IF(TRIM($A134&amp;"")="","",MAX($T$6:$T133)+1)</f>
        <v/>
      </c>
    </row>
    <row r="135">
      <c r="A135" s="165" t="n"/>
      <c r="B135" s="166" t="n"/>
      <c r="C135" s="166" t="n"/>
      <c r="D135" s="166" t="n"/>
      <c r="E135" s="166" t="n"/>
      <c r="F135" s="166" t="n"/>
      <c r="G135" s="166" t="n"/>
      <c r="H135" s="166" t="n"/>
      <c r="I135" s="166" t="n"/>
      <c r="J135" s="167">
        <f>IF(TRIM($E135&amp;"")="","",$R135)</f>
        <v/>
      </c>
      <c r="K135" s="167">
        <f>IF(AND(TRIM($A135&amp;"")&lt;&gt;"",COUNTIF($A$7:$A$306,$A135)&gt;1),"DUPLICATE SET",IF(AND($E135&lt;&gt;"",$R135=""),"NO SET ABOVE",IF(AND($E135&lt;&gt;"",$C135=""),"QTY?",IF($J135="","","OK"))))</f>
        <v/>
      </c>
      <c r="L135" s="168" t="n"/>
      <c r="M135" s="169">
        <f>IFERROR(INDEX($R$7:$R$306,MATCH(129,$T$7:$T$306,0)),"")</f>
        <v/>
      </c>
      <c r="N135" s="170">
        <f>IF($M135="","",INDEX($B$7:$B$306,MATCH(129,$T$7:$T$306,0))&amp;"")</f>
        <v/>
      </c>
      <c r="O135" s="170">
        <f>IF($M135="","",SUMIF(tk_HWSET,$M135,tk_QTY))</f>
        <v/>
      </c>
      <c r="P135" s="170">
        <f>IF($M135="","",COUNTIF($J$7:$J$306,$M135))</f>
        <v/>
      </c>
      <c r="Q135" s="168" t="n"/>
      <c r="R135" s="168">
        <f>IF(TRIM($A135&amp;"")&lt;&gt;"",TRIM($A135&amp;""),$R134)</f>
        <v/>
      </c>
      <c r="S135" s="168">
        <f>IF($J135="","",MAX($S$6:$S134)+1)</f>
        <v/>
      </c>
      <c r="T135" s="168">
        <f>IF(TRIM($A135&amp;"")="","",MAX($T$6:$T134)+1)</f>
        <v/>
      </c>
    </row>
    <row r="136">
      <c r="A136" s="165" t="n"/>
      <c r="B136" s="166" t="n"/>
      <c r="C136" s="166" t="n"/>
      <c r="D136" s="166" t="n"/>
      <c r="E136" s="166" t="n"/>
      <c r="F136" s="166" t="n"/>
      <c r="G136" s="166" t="n"/>
      <c r="H136" s="166" t="n"/>
      <c r="I136" s="166" t="n"/>
      <c r="J136" s="167">
        <f>IF(TRIM($E136&amp;"")="","",$R136)</f>
        <v/>
      </c>
      <c r="K136" s="167">
        <f>IF(AND(TRIM($A136&amp;"")&lt;&gt;"",COUNTIF($A$7:$A$306,$A136)&gt;1),"DUPLICATE SET",IF(AND($E136&lt;&gt;"",$R136=""),"NO SET ABOVE",IF(AND($E136&lt;&gt;"",$C136=""),"QTY?",IF($J136="","","OK"))))</f>
        <v/>
      </c>
      <c r="L136" s="168" t="n"/>
      <c r="M136" s="169">
        <f>IFERROR(INDEX($R$7:$R$306,MATCH(130,$T$7:$T$306,0)),"")</f>
        <v/>
      </c>
      <c r="N136" s="170">
        <f>IF($M136="","",INDEX($B$7:$B$306,MATCH(130,$T$7:$T$306,0))&amp;"")</f>
        <v/>
      </c>
      <c r="O136" s="170">
        <f>IF($M136="","",SUMIF(tk_HWSET,$M136,tk_QTY))</f>
        <v/>
      </c>
      <c r="P136" s="170">
        <f>IF($M136="","",COUNTIF($J$7:$J$306,$M136))</f>
        <v/>
      </c>
      <c r="Q136" s="168" t="n"/>
      <c r="R136" s="168">
        <f>IF(TRIM($A136&amp;"")&lt;&gt;"",TRIM($A136&amp;""),$R135)</f>
        <v/>
      </c>
      <c r="S136" s="168">
        <f>IF($J136="","",MAX($S$6:$S135)+1)</f>
        <v/>
      </c>
      <c r="T136" s="168">
        <f>IF(TRIM($A136&amp;"")="","",MAX($T$6:$T135)+1)</f>
        <v/>
      </c>
    </row>
    <row r="137">
      <c r="A137" s="165" t="n"/>
      <c r="B137" s="166" t="n"/>
      <c r="C137" s="166" t="n"/>
      <c r="D137" s="166" t="n"/>
      <c r="E137" s="166" t="n"/>
      <c r="F137" s="166" t="n"/>
      <c r="G137" s="166" t="n"/>
      <c r="H137" s="166" t="n"/>
      <c r="I137" s="166" t="n"/>
      <c r="J137" s="167">
        <f>IF(TRIM($E137&amp;"")="","",$R137)</f>
        <v/>
      </c>
      <c r="K137" s="167">
        <f>IF(AND(TRIM($A137&amp;"")&lt;&gt;"",COUNTIF($A$7:$A$306,$A137)&gt;1),"DUPLICATE SET",IF(AND($E137&lt;&gt;"",$R137=""),"NO SET ABOVE",IF(AND($E137&lt;&gt;"",$C137=""),"QTY?",IF($J137="","","OK"))))</f>
        <v/>
      </c>
      <c r="L137" s="168" t="n"/>
      <c r="M137" s="169">
        <f>IFERROR(INDEX($R$7:$R$306,MATCH(131,$T$7:$T$306,0)),"")</f>
        <v/>
      </c>
      <c r="N137" s="170">
        <f>IF($M137="","",INDEX($B$7:$B$306,MATCH(131,$T$7:$T$306,0))&amp;"")</f>
        <v/>
      </c>
      <c r="O137" s="170">
        <f>IF($M137="","",SUMIF(tk_HWSET,$M137,tk_QTY))</f>
        <v/>
      </c>
      <c r="P137" s="170">
        <f>IF($M137="","",COUNTIF($J$7:$J$306,$M137))</f>
        <v/>
      </c>
      <c r="Q137" s="168" t="n"/>
      <c r="R137" s="168">
        <f>IF(TRIM($A137&amp;"")&lt;&gt;"",TRIM($A137&amp;""),$R136)</f>
        <v/>
      </c>
      <c r="S137" s="168">
        <f>IF($J137="","",MAX($S$6:$S136)+1)</f>
        <v/>
      </c>
      <c r="T137" s="168">
        <f>IF(TRIM($A137&amp;"")="","",MAX($T$6:$T136)+1)</f>
        <v/>
      </c>
    </row>
    <row r="138">
      <c r="A138" s="165" t="n"/>
      <c r="B138" s="166" t="n"/>
      <c r="C138" s="166" t="n"/>
      <c r="D138" s="166" t="n"/>
      <c r="E138" s="166" t="n"/>
      <c r="F138" s="166" t="n"/>
      <c r="G138" s="166" t="n"/>
      <c r="H138" s="166" t="n"/>
      <c r="I138" s="166" t="n"/>
      <c r="J138" s="167">
        <f>IF(TRIM($E138&amp;"")="","",$R138)</f>
        <v/>
      </c>
      <c r="K138" s="167">
        <f>IF(AND(TRIM($A138&amp;"")&lt;&gt;"",COUNTIF($A$7:$A$306,$A138)&gt;1),"DUPLICATE SET",IF(AND($E138&lt;&gt;"",$R138=""),"NO SET ABOVE",IF(AND($E138&lt;&gt;"",$C138=""),"QTY?",IF($J138="","","OK"))))</f>
        <v/>
      </c>
      <c r="L138" s="168" t="n"/>
      <c r="M138" s="169">
        <f>IFERROR(INDEX($R$7:$R$306,MATCH(132,$T$7:$T$306,0)),"")</f>
        <v/>
      </c>
      <c r="N138" s="170">
        <f>IF($M138="","",INDEX($B$7:$B$306,MATCH(132,$T$7:$T$306,0))&amp;"")</f>
        <v/>
      </c>
      <c r="O138" s="170">
        <f>IF($M138="","",SUMIF(tk_HWSET,$M138,tk_QTY))</f>
        <v/>
      </c>
      <c r="P138" s="170">
        <f>IF($M138="","",COUNTIF($J$7:$J$306,$M138))</f>
        <v/>
      </c>
      <c r="Q138" s="168" t="n"/>
      <c r="R138" s="168">
        <f>IF(TRIM($A138&amp;"")&lt;&gt;"",TRIM($A138&amp;""),$R137)</f>
        <v/>
      </c>
      <c r="S138" s="168">
        <f>IF($J138="","",MAX($S$6:$S137)+1)</f>
        <v/>
      </c>
      <c r="T138" s="168">
        <f>IF(TRIM($A138&amp;"")="","",MAX($T$6:$T137)+1)</f>
        <v/>
      </c>
    </row>
    <row r="139">
      <c r="A139" s="165" t="n"/>
      <c r="B139" s="166" t="n"/>
      <c r="C139" s="166" t="n"/>
      <c r="D139" s="166" t="n"/>
      <c r="E139" s="166" t="n"/>
      <c r="F139" s="166" t="n"/>
      <c r="G139" s="166" t="n"/>
      <c r="H139" s="166" t="n"/>
      <c r="I139" s="166" t="n"/>
      <c r="J139" s="167">
        <f>IF(TRIM($E139&amp;"")="","",$R139)</f>
        <v/>
      </c>
      <c r="K139" s="167">
        <f>IF(AND(TRIM($A139&amp;"")&lt;&gt;"",COUNTIF($A$7:$A$306,$A139)&gt;1),"DUPLICATE SET",IF(AND($E139&lt;&gt;"",$R139=""),"NO SET ABOVE",IF(AND($E139&lt;&gt;"",$C139=""),"QTY?",IF($J139="","","OK"))))</f>
        <v/>
      </c>
      <c r="L139" s="168" t="n"/>
      <c r="M139" s="169">
        <f>IFERROR(INDEX($R$7:$R$306,MATCH(133,$T$7:$T$306,0)),"")</f>
        <v/>
      </c>
      <c r="N139" s="170">
        <f>IF($M139="","",INDEX($B$7:$B$306,MATCH(133,$T$7:$T$306,0))&amp;"")</f>
        <v/>
      </c>
      <c r="O139" s="170">
        <f>IF($M139="","",SUMIF(tk_HWSET,$M139,tk_QTY))</f>
        <v/>
      </c>
      <c r="P139" s="170">
        <f>IF($M139="","",COUNTIF($J$7:$J$306,$M139))</f>
        <v/>
      </c>
      <c r="Q139" s="168" t="n"/>
      <c r="R139" s="168">
        <f>IF(TRIM($A139&amp;"")&lt;&gt;"",TRIM($A139&amp;""),$R138)</f>
        <v/>
      </c>
      <c r="S139" s="168">
        <f>IF($J139="","",MAX($S$6:$S138)+1)</f>
        <v/>
      </c>
      <c r="T139" s="168">
        <f>IF(TRIM($A139&amp;"")="","",MAX($T$6:$T138)+1)</f>
        <v/>
      </c>
    </row>
    <row r="140">
      <c r="A140" s="165" t="n"/>
      <c r="B140" s="166" t="n"/>
      <c r="C140" s="166" t="n"/>
      <c r="D140" s="166" t="n"/>
      <c r="E140" s="166" t="n"/>
      <c r="F140" s="166" t="n"/>
      <c r="G140" s="166" t="n"/>
      <c r="H140" s="166" t="n"/>
      <c r="I140" s="166" t="n"/>
      <c r="J140" s="167">
        <f>IF(TRIM($E140&amp;"")="","",$R140)</f>
        <v/>
      </c>
      <c r="K140" s="167">
        <f>IF(AND(TRIM($A140&amp;"")&lt;&gt;"",COUNTIF($A$7:$A$306,$A140)&gt;1),"DUPLICATE SET",IF(AND($E140&lt;&gt;"",$R140=""),"NO SET ABOVE",IF(AND($E140&lt;&gt;"",$C140=""),"QTY?",IF($J140="","","OK"))))</f>
        <v/>
      </c>
      <c r="L140" s="168" t="n"/>
      <c r="M140" s="169">
        <f>IFERROR(INDEX($R$7:$R$306,MATCH(134,$T$7:$T$306,0)),"")</f>
        <v/>
      </c>
      <c r="N140" s="170">
        <f>IF($M140="","",INDEX($B$7:$B$306,MATCH(134,$T$7:$T$306,0))&amp;"")</f>
        <v/>
      </c>
      <c r="O140" s="170">
        <f>IF($M140="","",SUMIF(tk_HWSET,$M140,tk_QTY))</f>
        <v/>
      </c>
      <c r="P140" s="170">
        <f>IF($M140="","",COUNTIF($J$7:$J$306,$M140))</f>
        <v/>
      </c>
      <c r="Q140" s="168" t="n"/>
      <c r="R140" s="168">
        <f>IF(TRIM($A140&amp;"")&lt;&gt;"",TRIM($A140&amp;""),$R139)</f>
        <v/>
      </c>
      <c r="S140" s="168">
        <f>IF($J140="","",MAX($S$6:$S139)+1)</f>
        <v/>
      </c>
      <c r="T140" s="168">
        <f>IF(TRIM($A140&amp;"")="","",MAX($T$6:$T139)+1)</f>
        <v/>
      </c>
    </row>
    <row r="141">
      <c r="A141" s="165" t="n"/>
      <c r="B141" s="166" t="n"/>
      <c r="C141" s="166" t="n"/>
      <c r="D141" s="166" t="n"/>
      <c r="E141" s="166" t="n"/>
      <c r="F141" s="166" t="n"/>
      <c r="G141" s="166" t="n"/>
      <c r="H141" s="166" t="n"/>
      <c r="I141" s="166" t="n"/>
      <c r="J141" s="167">
        <f>IF(TRIM($E141&amp;"")="","",$R141)</f>
        <v/>
      </c>
      <c r="K141" s="167">
        <f>IF(AND(TRIM($A141&amp;"")&lt;&gt;"",COUNTIF($A$7:$A$306,$A141)&gt;1),"DUPLICATE SET",IF(AND($E141&lt;&gt;"",$R141=""),"NO SET ABOVE",IF(AND($E141&lt;&gt;"",$C141=""),"QTY?",IF($J141="","","OK"))))</f>
        <v/>
      </c>
      <c r="L141" s="168" t="n"/>
      <c r="M141" s="169">
        <f>IFERROR(INDEX($R$7:$R$306,MATCH(135,$T$7:$T$306,0)),"")</f>
        <v/>
      </c>
      <c r="N141" s="170">
        <f>IF($M141="","",INDEX($B$7:$B$306,MATCH(135,$T$7:$T$306,0))&amp;"")</f>
        <v/>
      </c>
      <c r="O141" s="170">
        <f>IF($M141="","",SUMIF(tk_HWSET,$M141,tk_QTY))</f>
        <v/>
      </c>
      <c r="P141" s="170">
        <f>IF($M141="","",COUNTIF($J$7:$J$306,$M141))</f>
        <v/>
      </c>
      <c r="Q141" s="168" t="n"/>
      <c r="R141" s="168">
        <f>IF(TRIM($A141&amp;"")&lt;&gt;"",TRIM($A141&amp;""),$R140)</f>
        <v/>
      </c>
      <c r="S141" s="168">
        <f>IF($J141="","",MAX($S$6:$S140)+1)</f>
        <v/>
      </c>
      <c r="T141" s="168">
        <f>IF(TRIM($A141&amp;"")="","",MAX($T$6:$T140)+1)</f>
        <v/>
      </c>
    </row>
    <row r="142">
      <c r="A142" s="165" t="n"/>
      <c r="B142" s="166" t="n"/>
      <c r="C142" s="166" t="n"/>
      <c r="D142" s="166" t="n"/>
      <c r="E142" s="166" t="n"/>
      <c r="F142" s="166" t="n"/>
      <c r="G142" s="166" t="n"/>
      <c r="H142" s="166" t="n"/>
      <c r="I142" s="166" t="n"/>
      <c r="J142" s="167">
        <f>IF(TRIM($E142&amp;"")="","",$R142)</f>
        <v/>
      </c>
      <c r="K142" s="167">
        <f>IF(AND(TRIM($A142&amp;"")&lt;&gt;"",COUNTIF($A$7:$A$306,$A142)&gt;1),"DUPLICATE SET",IF(AND($E142&lt;&gt;"",$R142=""),"NO SET ABOVE",IF(AND($E142&lt;&gt;"",$C142=""),"QTY?",IF($J142="","","OK"))))</f>
        <v/>
      </c>
      <c r="L142" s="168" t="n"/>
      <c r="M142" s="169">
        <f>IFERROR(INDEX($R$7:$R$306,MATCH(136,$T$7:$T$306,0)),"")</f>
        <v/>
      </c>
      <c r="N142" s="170">
        <f>IF($M142="","",INDEX($B$7:$B$306,MATCH(136,$T$7:$T$306,0))&amp;"")</f>
        <v/>
      </c>
      <c r="O142" s="170">
        <f>IF($M142="","",SUMIF(tk_HWSET,$M142,tk_QTY))</f>
        <v/>
      </c>
      <c r="P142" s="170">
        <f>IF($M142="","",COUNTIF($J$7:$J$306,$M142))</f>
        <v/>
      </c>
      <c r="Q142" s="168" t="n"/>
      <c r="R142" s="168">
        <f>IF(TRIM($A142&amp;"")&lt;&gt;"",TRIM($A142&amp;""),$R141)</f>
        <v/>
      </c>
      <c r="S142" s="168">
        <f>IF($J142="","",MAX($S$6:$S141)+1)</f>
        <v/>
      </c>
      <c r="T142" s="168">
        <f>IF(TRIM($A142&amp;"")="","",MAX($T$6:$T141)+1)</f>
        <v/>
      </c>
    </row>
    <row r="143">
      <c r="A143" s="165" t="n"/>
      <c r="B143" s="166" t="n"/>
      <c r="C143" s="166" t="n"/>
      <c r="D143" s="166" t="n"/>
      <c r="E143" s="166" t="n"/>
      <c r="F143" s="166" t="n"/>
      <c r="G143" s="166" t="n"/>
      <c r="H143" s="166" t="n"/>
      <c r="I143" s="166" t="n"/>
      <c r="J143" s="167">
        <f>IF(TRIM($E143&amp;"")="","",$R143)</f>
        <v/>
      </c>
      <c r="K143" s="167">
        <f>IF(AND(TRIM($A143&amp;"")&lt;&gt;"",COUNTIF($A$7:$A$306,$A143)&gt;1),"DUPLICATE SET",IF(AND($E143&lt;&gt;"",$R143=""),"NO SET ABOVE",IF(AND($E143&lt;&gt;"",$C143=""),"QTY?",IF($J143="","","OK"))))</f>
        <v/>
      </c>
      <c r="L143" s="168" t="n"/>
      <c r="M143" s="169">
        <f>IFERROR(INDEX($R$7:$R$306,MATCH(137,$T$7:$T$306,0)),"")</f>
        <v/>
      </c>
      <c r="N143" s="170">
        <f>IF($M143="","",INDEX($B$7:$B$306,MATCH(137,$T$7:$T$306,0))&amp;"")</f>
        <v/>
      </c>
      <c r="O143" s="170">
        <f>IF($M143="","",SUMIF(tk_HWSET,$M143,tk_QTY))</f>
        <v/>
      </c>
      <c r="P143" s="170">
        <f>IF($M143="","",COUNTIF($J$7:$J$306,$M143))</f>
        <v/>
      </c>
      <c r="Q143" s="168" t="n"/>
      <c r="R143" s="168">
        <f>IF(TRIM($A143&amp;"")&lt;&gt;"",TRIM($A143&amp;""),$R142)</f>
        <v/>
      </c>
      <c r="S143" s="168">
        <f>IF($J143="","",MAX($S$6:$S142)+1)</f>
        <v/>
      </c>
      <c r="T143" s="168">
        <f>IF(TRIM($A143&amp;"")="","",MAX($T$6:$T142)+1)</f>
        <v/>
      </c>
    </row>
    <row r="144">
      <c r="A144" s="165" t="n"/>
      <c r="B144" s="166" t="n"/>
      <c r="C144" s="166" t="n"/>
      <c r="D144" s="166" t="n"/>
      <c r="E144" s="166" t="n"/>
      <c r="F144" s="166" t="n"/>
      <c r="G144" s="166" t="n"/>
      <c r="H144" s="166" t="n"/>
      <c r="I144" s="166" t="n"/>
      <c r="J144" s="167">
        <f>IF(TRIM($E144&amp;"")="","",$R144)</f>
        <v/>
      </c>
      <c r="K144" s="167">
        <f>IF(AND(TRIM($A144&amp;"")&lt;&gt;"",COUNTIF($A$7:$A$306,$A144)&gt;1),"DUPLICATE SET",IF(AND($E144&lt;&gt;"",$R144=""),"NO SET ABOVE",IF(AND($E144&lt;&gt;"",$C144=""),"QTY?",IF($J144="","","OK"))))</f>
        <v/>
      </c>
      <c r="L144" s="168" t="n"/>
      <c r="M144" s="169">
        <f>IFERROR(INDEX($R$7:$R$306,MATCH(138,$T$7:$T$306,0)),"")</f>
        <v/>
      </c>
      <c r="N144" s="170">
        <f>IF($M144="","",INDEX($B$7:$B$306,MATCH(138,$T$7:$T$306,0))&amp;"")</f>
        <v/>
      </c>
      <c r="O144" s="170">
        <f>IF($M144="","",SUMIF(tk_HWSET,$M144,tk_QTY))</f>
        <v/>
      </c>
      <c r="P144" s="170">
        <f>IF($M144="","",COUNTIF($J$7:$J$306,$M144))</f>
        <v/>
      </c>
      <c r="Q144" s="168" t="n"/>
      <c r="R144" s="168">
        <f>IF(TRIM($A144&amp;"")&lt;&gt;"",TRIM($A144&amp;""),$R143)</f>
        <v/>
      </c>
      <c r="S144" s="168">
        <f>IF($J144="","",MAX($S$6:$S143)+1)</f>
        <v/>
      </c>
      <c r="T144" s="168">
        <f>IF(TRIM($A144&amp;"")="","",MAX($T$6:$T143)+1)</f>
        <v/>
      </c>
    </row>
    <row r="145">
      <c r="A145" s="165" t="n"/>
      <c r="B145" s="166" t="n"/>
      <c r="C145" s="166" t="n"/>
      <c r="D145" s="166" t="n"/>
      <c r="E145" s="166" t="n"/>
      <c r="F145" s="166" t="n"/>
      <c r="G145" s="166" t="n"/>
      <c r="H145" s="166" t="n"/>
      <c r="I145" s="166" t="n"/>
      <c r="J145" s="167">
        <f>IF(TRIM($E145&amp;"")="","",$R145)</f>
        <v/>
      </c>
      <c r="K145" s="167">
        <f>IF(AND(TRIM($A145&amp;"")&lt;&gt;"",COUNTIF($A$7:$A$306,$A145)&gt;1),"DUPLICATE SET",IF(AND($E145&lt;&gt;"",$R145=""),"NO SET ABOVE",IF(AND($E145&lt;&gt;"",$C145=""),"QTY?",IF($J145="","","OK"))))</f>
        <v/>
      </c>
      <c r="L145" s="168" t="n"/>
      <c r="M145" s="169">
        <f>IFERROR(INDEX($R$7:$R$306,MATCH(139,$T$7:$T$306,0)),"")</f>
        <v/>
      </c>
      <c r="N145" s="170">
        <f>IF($M145="","",INDEX($B$7:$B$306,MATCH(139,$T$7:$T$306,0))&amp;"")</f>
        <v/>
      </c>
      <c r="O145" s="170">
        <f>IF($M145="","",SUMIF(tk_HWSET,$M145,tk_QTY))</f>
        <v/>
      </c>
      <c r="P145" s="170">
        <f>IF($M145="","",COUNTIF($J$7:$J$306,$M145))</f>
        <v/>
      </c>
      <c r="Q145" s="168" t="n"/>
      <c r="R145" s="168">
        <f>IF(TRIM($A145&amp;"")&lt;&gt;"",TRIM($A145&amp;""),$R144)</f>
        <v/>
      </c>
      <c r="S145" s="168">
        <f>IF($J145="","",MAX($S$6:$S144)+1)</f>
        <v/>
      </c>
      <c r="T145" s="168">
        <f>IF(TRIM($A145&amp;"")="","",MAX($T$6:$T144)+1)</f>
        <v/>
      </c>
    </row>
    <row r="146">
      <c r="A146" s="165" t="n"/>
      <c r="B146" s="166" t="n"/>
      <c r="C146" s="166" t="n"/>
      <c r="D146" s="166" t="n"/>
      <c r="E146" s="166" t="n"/>
      <c r="F146" s="166" t="n"/>
      <c r="G146" s="166" t="n"/>
      <c r="H146" s="166" t="n"/>
      <c r="I146" s="166" t="n"/>
      <c r="J146" s="167">
        <f>IF(TRIM($E146&amp;"")="","",$R146)</f>
        <v/>
      </c>
      <c r="K146" s="167">
        <f>IF(AND(TRIM($A146&amp;"")&lt;&gt;"",COUNTIF($A$7:$A$306,$A146)&gt;1),"DUPLICATE SET",IF(AND($E146&lt;&gt;"",$R146=""),"NO SET ABOVE",IF(AND($E146&lt;&gt;"",$C146=""),"QTY?",IF($J146="","","OK"))))</f>
        <v/>
      </c>
      <c r="L146" s="168" t="n"/>
      <c r="M146" s="169">
        <f>IFERROR(INDEX($R$7:$R$306,MATCH(140,$T$7:$T$306,0)),"")</f>
        <v/>
      </c>
      <c r="N146" s="170">
        <f>IF($M146="","",INDEX($B$7:$B$306,MATCH(140,$T$7:$T$306,0))&amp;"")</f>
        <v/>
      </c>
      <c r="O146" s="170">
        <f>IF($M146="","",SUMIF(tk_HWSET,$M146,tk_QTY))</f>
        <v/>
      </c>
      <c r="P146" s="170">
        <f>IF($M146="","",COUNTIF($J$7:$J$306,$M146))</f>
        <v/>
      </c>
      <c r="Q146" s="168" t="n"/>
      <c r="R146" s="168">
        <f>IF(TRIM($A146&amp;"")&lt;&gt;"",TRIM($A146&amp;""),$R145)</f>
        <v/>
      </c>
      <c r="S146" s="168">
        <f>IF($J146="","",MAX($S$6:$S145)+1)</f>
        <v/>
      </c>
      <c r="T146" s="168">
        <f>IF(TRIM($A146&amp;"")="","",MAX($T$6:$T145)+1)</f>
        <v/>
      </c>
    </row>
    <row r="147">
      <c r="A147" s="165" t="n"/>
      <c r="B147" s="166" t="n"/>
      <c r="C147" s="166" t="n"/>
      <c r="D147" s="166" t="n"/>
      <c r="E147" s="166" t="n"/>
      <c r="F147" s="166" t="n"/>
      <c r="G147" s="166" t="n"/>
      <c r="H147" s="166" t="n"/>
      <c r="I147" s="166" t="n"/>
      <c r="J147" s="167">
        <f>IF(TRIM($E147&amp;"")="","",$R147)</f>
        <v/>
      </c>
      <c r="K147" s="167">
        <f>IF(AND(TRIM($A147&amp;"")&lt;&gt;"",COUNTIF($A$7:$A$306,$A147)&gt;1),"DUPLICATE SET",IF(AND($E147&lt;&gt;"",$R147=""),"NO SET ABOVE",IF(AND($E147&lt;&gt;"",$C147=""),"QTY?",IF($J147="","","OK"))))</f>
        <v/>
      </c>
      <c r="L147" s="168" t="n"/>
      <c r="M147" s="169">
        <f>IFERROR(INDEX($R$7:$R$306,MATCH(141,$T$7:$T$306,0)),"")</f>
        <v/>
      </c>
      <c r="N147" s="170">
        <f>IF($M147="","",INDEX($B$7:$B$306,MATCH(141,$T$7:$T$306,0))&amp;"")</f>
        <v/>
      </c>
      <c r="O147" s="170">
        <f>IF($M147="","",SUMIF(tk_HWSET,$M147,tk_QTY))</f>
        <v/>
      </c>
      <c r="P147" s="170">
        <f>IF($M147="","",COUNTIF($J$7:$J$306,$M147))</f>
        <v/>
      </c>
      <c r="Q147" s="168" t="n"/>
      <c r="R147" s="168">
        <f>IF(TRIM($A147&amp;"")&lt;&gt;"",TRIM($A147&amp;""),$R146)</f>
        <v/>
      </c>
      <c r="S147" s="168">
        <f>IF($J147="","",MAX($S$6:$S146)+1)</f>
        <v/>
      </c>
      <c r="T147" s="168">
        <f>IF(TRIM($A147&amp;"")="","",MAX($T$6:$T146)+1)</f>
        <v/>
      </c>
    </row>
    <row r="148">
      <c r="A148" s="165" t="n"/>
      <c r="B148" s="166" t="n"/>
      <c r="C148" s="166" t="n"/>
      <c r="D148" s="166" t="n"/>
      <c r="E148" s="166" t="n"/>
      <c r="F148" s="166" t="n"/>
      <c r="G148" s="166" t="n"/>
      <c r="H148" s="166" t="n"/>
      <c r="I148" s="166" t="n"/>
      <c r="J148" s="167">
        <f>IF(TRIM($E148&amp;"")="","",$R148)</f>
        <v/>
      </c>
      <c r="K148" s="167">
        <f>IF(AND(TRIM($A148&amp;"")&lt;&gt;"",COUNTIF($A$7:$A$306,$A148)&gt;1),"DUPLICATE SET",IF(AND($E148&lt;&gt;"",$R148=""),"NO SET ABOVE",IF(AND($E148&lt;&gt;"",$C148=""),"QTY?",IF($J148="","","OK"))))</f>
        <v/>
      </c>
      <c r="L148" s="168" t="n"/>
      <c r="M148" s="169">
        <f>IFERROR(INDEX($R$7:$R$306,MATCH(142,$T$7:$T$306,0)),"")</f>
        <v/>
      </c>
      <c r="N148" s="170">
        <f>IF($M148="","",INDEX($B$7:$B$306,MATCH(142,$T$7:$T$306,0))&amp;"")</f>
        <v/>
      </c>
      <c r="O148" s="170">
        <f>IF($M148="","",SUMIF(tk_HWSET,$M148,tk_QTY))</f>
        <v/>
      </c>
      <c r="P148" s="170">
        <f>IF($M148="","",COUNTIF($J$7:$J$306,$M148))</f>
        <v/>
      </c>
      <c r="Q148" s="168" t="n"/>
      <c r="R148" s="168">
        <f>IF(TRIM($A148&amp;"")&lt;&gt;"",TRIM($A148&amp;""),$R147)</f>
        <v/>
      </c>
      <c r="S148" s="168">
        <f>IF($J148="","",MAX($S$6:$S147)+1)</f>
        <v/>
      </c>
      <c r="T148" s="168">
        <f>IF(TRIM($A148&amp;"")="","",MAX($T$6:$T147)+1)</f>
        <v/>
      </c>
    </row>
    <row r="149">
      <c r="A149" s="165" t="n"/>
      <c r="B149" s="166" t="n"/>
      <c r="C149" s="166" t="n"/>
      <c r="D149" s="166" t="n"/>
      <c r="E149" s="166" t="n"/>
      <c r="F149" s="166" t="n"/>
      <c r="G149" s="166" t="n"/>
      <c r="H149" s="166" t="n"/>
      <c r="I149" s="166" t="n"/>
      <c r="J149" s="167">
        <f>IF(TRIM($E149&amp;"")="","",$R149)</f>
        <v/>
      </c>
      <c r="K149" s="167">
        <f>IF(AND(TRIM($A149&amp;"")&lt;&gt;"",COUNTIF($A$7:$A$306,$A149)&gt;1),"DUPLICATE SET",IF(AND($E149&lt;&gt;"",$R149=""),"NO SET ABOVE",IF(AND($E149&lt;&gt;"",$C149=""),"QTY?",IF($J149="","","OK"))))</f>
        <v/>
      </c>
      <c r="L149" s="168" t="n"/>
      <c r="M149" s="169">
        <f>IFERROR(INDEX($R$7:$R$306,MATCH(143,$T$7:$T$306,0)),"")</f>
        <v/>
      </c>
      <c r="N149" s="170">
        <f>IF($M149="","",INDEX($B$7:$B$306,MATCH(143,$T$7:$T$306,0))&amp;"")</f>
        <v/>
      </c>
      <c r="O149" s="170">
        <f>IF($M149="","",SUMIF(tk_HWSET,$M149,tk_QTY))</f>
        <v/>
      </c>
      <c r="P149" s="170">
        <f>IF($M149="","",COUNTIF($J$7:$J$306,$M149))</f>
        <v/>
      </c>
      <c r="Q149" s="168" t="n"/>
      <c r="R149" s="168">
        <f>IF(TRIM($A149&amp;"")&lt;&gt;"",TRIM($A149&amp;""),$R148)</f>
        <v/>
      </c>
      <c r="S149" s="168">
        <f>IF($J149="","",MAX($S$6:$S148)+1)</f>
        <v/>
      </c>
      <c r="T149" s="168">
        <f>IF(TRIM($A149&amp;"")="","",MAX($T$6:$T148)+1)</f>
        <v/>
      </c>
    </row>
    <row r="150">
      <c r="A150" s="165" t="n"/>
      <c r="B150" s="166" t="n"/>
      <c r="C150" s="166" t="n"/>
      <c r="D150" s="166" t="n"/>
      <c r="E150" s="166" t="n"/>
      <c r="F150" s="166" t="n"/>
      <c r="G150" s="166" t="n"/>
      <c r="H150" s="166" t="n"/>
      <c r="I150" s="166" t="n"/>
      <c r="J150" s="167">
        <f>IF(TRIM($E150&amp;"")="","",$R150)</f>
        <v/>
      </c>
      <c r="K150" s="167">
        <f>IF(AND(TRIM($A150&amp;"")&lt;&gt;"",COUNTIF($A$7:$A$306,$A150)&gt;1),"DUPLICATE SET",IF(AND($E150&lt;&gt;"",$R150=""),"NO SET ABOVE",IF(AND($E150&lt;&gt;"",$C150=""),"QTY?",IF($J150="","","OK"))))</f>
        <v/>
      </c>
      <c r="L150" s="168" t="n"/>
      <c r="M150" s="169">
        <f>IFERROR(INDEX($R$7:$R$306,MATCH(144,$T$7:$T$306,0)),"")</f>
        <v/>
      </c>
      <c r="N150" s="170">
        <f>IF($M150="","",INDEX($B$7:$B$306,MATCH(144,$T$7:$T$306,0))&amp;"")</f>
        <v/>
      </c>
      <c r="O150" s="170">
        <f>IF($M150="","",SUMIF(tk_HWSET,$M150,tk_QTY))</f>
        <v/>
      </c>
      <c r="P150" s="170">
        <f>IF($M150="","",COUNTIF($J$7:$J$306,$M150))</f>
        <v/>
      </c>
      <c r="Q150" s="168" t="n"/>
      <c r="R150" s="168">
        <f>IF(TRIM($A150&amp;"")&lt;&gt;"",TRIM($A150&amp;""),$R149)</f>
        <v/>
      </c>
      <c r="S150" s="168">
        <f>IF($J150="","",MAX($S$6:$S149)+1)</f>
        <v/>
      </c>
      <c r="T150" s="168">
        <f>IF(TRIM($A150&amp;"")="","",MAX($T$6:$T149)+1)</f>
        <v/>
      </c>
    </row>
    <row r="151">
      <c r="A151" s="165" t="n"/>
      <c r="B151" s="166" t="n"/>
      <c r="C151" s="166" t="n"/>
      <c r="D151" s="166" t="n"/>
      <c r="E151" s="166" t="n"/>
      <c r="F151" s="166" t="n"/>
      <c r="G151" s="166" t="n"/>
      <c r="H151" s="166" t="n"/>
      <c r="I151" s="166" t="n"/>
      <c r="J151" s="167">
        <f>IF(TRIM($E151&amp;"")="","",$R151)</f>
        <v/>
      </c>
      <c r="K151" s="167">
        <f>IF(AND(TRIM($A151&amp;"")&lt;&gt;"",COUNTIF($A$7:$A$306,$A151)&gt;1),"DUPLICATE SET",IF(AND($E151&lt;&gt;"",$R151=""),"NO SET ABOVE",IF(AND($E151&lt;&gt;"",$C151=""),"QTY?",IF($J151="","","OK"))))</f>
        <v/>
      </c>
      <c r="L151" s="168" t="n"/>
      <c r="M151" s="169">
        <f>IFERROR(INDEX($R$7:$R$306,MATCH(145,$T$7:$T$306,0)),"")</f>
        <v/>
      </c>
      <c r="N151" s="170">
        <f>IF($M151="","",INDEX($B$7:$B$306,MATCH(145,$T$7:$T$306,0))&amp;"")</f>
        <v/>
      </c>
      <c r="O151" s="170">
        <f>IF($M151="","",SUMIF(tk_HWSET,$M151,tk_QTY))</f>
        <v/>
      </c>
      <c r="P151" s="170">
        <f>IF($M151="","",COUNTIF($J$7:$J$306,$M151))</f>
        <v/>
      </c>
      <c r="Q151" s="168" t="n"/>
      <c r="R151" s="168">
        <f>IF(TRIM($A151&amp;"")&lt;&gt;"",TRIM($A151&amp;""),$R150)</f>
        <v/>
      </c>
      <c r="S151" s="168">
        <f>IF($J151="","",MAX($S$6:$S150)+1)</f>
        <v/>
      </c>
      <c r="T151" s="168">
        <f>IF(TRIM($A151&amp;"")="","",MAX($T$6:$T150)+1)</f>
        <v/>
      </c>
    </row>
    <row r="152">
      <c r="A152" s="165" t="n"/>
      <c r="B152" s="166" t="n"/>
      <c r="C152" s="166" t="n"/>
      <c r="D152" s="166" t="n"/>
      <c r="E152" s="166" t="n"/>
      <c r="F152" s="166" t="n"/>
      <c r="G152" s="166" t="n"/>
      <c r="H152" s="166" t="n"/>
      <c r="I152" s="166" t="n"/>
      <c r="J152" s="167">
        <f>IF(TRIM($E152&amp;"")="","",$R152)</f>
        <v/>
      </c>
      <c r="K152" s="167">
        <f>IF(AND(TRIM($A152&amp;"")&lt;&gt;"",COUNTIF($A$7:$A$306,$A152)&gt;1),"DUPLICATE SET",IF(AND($E152&lt;&gt;"",$R152=""),"NO SET ABOVE",IF(AND($E152&lt;&gt;"",$C152=""),"QTY?",IF($J152="","","OK"))))</f>
        <v/>
      </c>
      <c r="L152" s="168" t="n"/>
      <c r="M152" s="169">
        <f>IFERROR(INDEX($R$7:$R$306,MATCH(146,$T$7:$T$306,0)),"")</f>
        <v/>
      </c>
      <c r="N152" s="170">
        <f>IF($M152="","",INDEX($B$7:$B$306,MATCH(146,$T$7:$T$306,0))&amp;"")</f>
        <v/>
      </c>
      <c r="O152" s="170">
        <f>IF($M152="","",SUMIF(tk_HWSET,$M152,tk_QTY))</f>
        <v/>
      </c>
      <c r="P152" s="170">
        <f>IF($M152="","",COUNTIF($J$7:$J$306,$M152))</f>
        <v/>
      </c>
      <c r="Q152" s="168" t="n"/>
      <c r="R152" s="168">
        <f>IF(TRIM($A152&amp;"")&lt;&gt;"",TRIM($A152&amp;""),$R151)</f>
        <v/>
      </c>
      <c r="S152" s="168">
        <f>IF($J152="","",MAX($S$6:$S151)+1)</f>
        <v/>
      </c>
      <c r="T152" s="168">
        <f>IF(TRIM($A152&amp;"")="","",MAX($T$6:$T151)+1)</f>
        <v/>
      </c>
    </row>
    <row r="153">
      <c r="A153" s="165" t="n"/>
      <c r="B153" s="166" t="n"/>
      <c r="C153" s="166" t="n"/>
      <c r="D153" s="166" t="n"/>
      <c r="E153" s="166" t="n"/>
      <c r="F153" s="166" t="n"/>
      <c r="G153" s="166" t="n"/>
      <c r="H153" s="166" t="n"/>
      <c r="I153" s="166" t="n"/>
      <c r="J153" s="167">
        <f>IF(TRIM($E153&amp;"")="","",$R153)</f>
        <v/>
      </c>
      <c r="K153" s="167">
        <f>IF(AND(TRIM($A153&amp;"")&lt;&gt;"",COUNTIF($A$7:$A$306,$A153)&gt;1),"DUPLICATE SET",IF(AND($E153&lt;&gt;"",$R153=""),"NO SET ABOVE",IF(AND($E153&lt;&gt;"",$C153=""),"QTY?",IF($J153="","","OK"))))</f>
        <v/>
      </c>
      <c r="L153" s="168" t="n"/>
      <c r="M153" s="169">
        <f>IFERROR(INDEX($R$7:$R$306,MATCH(147,$T$7:$T$306,0)),"")</f>
        <v/>
      </c>
      <c r="N153" s="170">
        <f>IF($M153="","",INDEX($B$7:$B$306,MATCH(147,$T$7:$T$306,0))&amp;"")</f>
        <v/>
      </c>
      <c r="O153" s="170">
        <f>IF($M153="","",SUMIF(tk_HWSET,$M153,tk_QTY))</f>
        <v/>
      </c>
      <c r="P153" s="170">
        <f>IF($M153="","",COUNTIF($J$7:$J$306,$M153))</f>
        <v/>
      </c>
      <c r="Q153" s="168" t="n"/>
      <c r="R153" s="168">
        <f>IF(TRIM($A153&amp;"")&lt;&gt;"",TRIM($A153&amp;""),$R152)</f>
        <v/>
      </c>
      <c r="S153" s="168">
        <f>IF($J153="","",MAX($S$6:$S152)+1)</f>
        <v/>
      </c>
      <c r="T153" s="168">
        <f>IF(TRIM($A153&amp;"")="","",MAX($T$6:$T152)+1)</f>
        <v/>
      </c>
    </row>
    <row r="154">
      <c r="A154" s="165" t="n"/>
      <c r="B154" s="166" t="n"/>
      <c r="C154" s="166" t="n"/>
      <c r="D154" s="166" t="n"/>
      <c r="E154" s="166" t="n"/>
      <c r="F154" s="166" t="n"/>
      <c r="G154" s="166" t="n"/>
      <c r="H154" s="166" t="n"/>
      <c r="I154" s="166" t="n"/>
      <c r="J154" s="167">
        <f>IF(TRIM($E154&amp;"")="","",$R154)</f>
        <v/>
      </c>
      <c r="K154" s="167">
        <f>IF(AND(TRIM($A154&amp;"")&lt;&gt;"",COUNTIF($A$7:$A$306,$A154)&gt;1),"DUPLICATE SET",IF(AND($E154&lt;&gt;"",$R154=""),"NO SET ABOVE",IF(AND($E154&lt;&gt;"",$C154=""),"QTY?",IF($J154="","","OK"))))</f>
        <v/>
      </c>
      <c r="L154" s="168" t="n"/>
      <c r="M154" s="169">
        <f>IFERROR(INDEX($R$7:$R$306,MATCH(148,$T$7:$T$306,0)),"")</f>
        <v/>
      </c>
      <c r="N154" s="170">
        <f>IF($M154="","",INDEX($B$7:$B$306,MATCH(148,$T$7:$T$306,0))&amp;"")</f>
        <v/>
      </c>
      <c r="O154" s="170">
        <f>IF($M154="","",SUMIF(tk_HWSET,$M154,tk_QTY))</f>
        <v/>
      </c>
      <c r="P154" s="170">
        <f>IF($M154="","",COUNTIF($J$7:$J$306,$M154))</f>
        <v/>
      </c>
      <c r="Q154" s="168" t="n"/>
      <c r="R154" s="168">
        <f>IF(TRIM($A154&amp;"")&lt;&gt;"",TRIM($A154&amp;""),$R153)</f>
        <v/>
      </c>
      <c r="S154" s="168">
        <f>IF($J154="","",MAX($S$6:$S153)+1)</f>
        <v/>
      </c>
      <c r="T154" s="168">
        <f>IF(TRIM($A154&amp;"")="","",MAX($T$6:$T153)+1)</f>
        <v/>
      </c>
    </row>
    <row r="155">
      <c r="A155" s="165" t="n"/>
      <c r="B155" s="166" t="n"/>
      <c r="C155" s="166" t="n"/>
      <c r="D155" s="166" t="n"/>
      <c r="E155" s="166" t="n"/>
      <c r="F155" s="166" t="n"/>
      <c r="G155" s="166" t="n"/>
      <c r="H155" s="166" t="n"/>
      <c r="I155" s="166" t="n"/>
      <c r="J155" s="167">
        <f>IF(TRIM($E155&amp;"")="","",$R155)</f>
        <v/>
      </c>
      <c r="K155" s="167">
        <f>IF(AND(TRIM($A155&amp;"")&lt;&gt;"",COUNTIF($A$7:$A$306,$A155)&gt;1),"DUPLICATE SET",IF(AND($E155&lt;&gt;"",$R155=""),"NO SET ABOVE",IF(AND($E155&lt;&gt;"",$C155=""),"QTY?",IF($J155="","","OK"))))</f>
        <v/>
      </c>
      <c r="L155" s="168" t="n"/>
      <c r="M155" s="169">
        <f>IFERROR(INDEX($R$7:$R$306,MATCH(149,$T$7:$T$306,0)),"")</f>
        <v/>
      </c>
      <c r="N155" s="170">
        <f>IF($M155="","",INDEX($B$7:$B$306,MATCH(149,$T$7:$T$306,0))&amp;"")</f>
        <v/>
      </c>
      <c r="O155" s="170">
        <f>IF($M155="","",SUMIF(tk_HWSET,$M155,tk_QTY))</f>
        <v/>
      </c>
      <c r="P155" s="170">
        <f>IF($M155="","",COUNTIF($J$7:$J$306,$M155))</f>
        <v/>
      </c>
      <c r="Q155" s="168" t="n"/>
      <c r="R155" s="168">
        <f>IF(TRIM($A155&amp;"")&lt;&gt;"",TRIM($A155&amp;""),$R154)</f>
        <v/>
      </c>
      <c r="S155" s="168">
        <f>IF($J155="","",MAX($S$6:$S154)+1)</f>
        <v/>
      </c>
      <c r="T155" s="168">
        <f>IF(TRIM($A155&amp;"")="","",MAX($T$6:$T154)+1)</f>
        <v/>
      </c>
    </row>
    <row r="156">
      <c r="A156" s="165" t="n"/>
      <c r="B156" s="166" t="n"/>
      <c r="C156" s="166" t="n"/>
      <c r="D156" s="166" t="n"/>
      <c r="E156" s="166" t="n"/>
      <c r="F156" s="166" t="n"/>
      <c r="G156" s="166" t="n"/>
      <c r="H156" s="166" t="n"/>
      <c r="I156" s="166" t="n"/>
      <c r="J156" s="167">
        <f>IF(TRIM($E156&amp;"")="","",$R156)</f>
        <v/>
      </c>
      <c r="K156" s="167">
        <f>IF(AND(TRIM($A156&amp;"")&lt;&gt;"",COUNTIF($A$7:$A$306,$A156)&gt;1),"DUPLICATE SET",IF(AND($E156&lt;&gt;"",$R156=""),"NO SET ABOVE",IF(AND($E156&lt;&gt;"",$C156=""),"QTY?",IF($J156="","","OK"))))</f>
        <v/>
      </c>
      <c r="L156" s="168" t="n"/>
      <c r="M156" s="169">
        <f>IFERROR(INDEX($R$7:$R$306,MATCH(150,$T$7:$T$306,0)),"")</f>
        <v/>
      </c>
      <c r="N156" s="170">
        <f>IF($M156="","",INDEX($B$7:$B$306,MATCH(150,$T$7:$T$306,0))&amp;"")</f>
        <v/>
      </c>
      <c r="O156" s="170">
        <f>IF($M156="","",SUMIF(tk_HWSET,$M156,tk_QTY))</f>
        <v/>
      </c>
      <c r="P156" s="170">
        <f>IF($M156="","",COUNTIF($J$7:$J$306,$M156))</f>
        <v/>
      </c>
      <c r="Q156" s="168" t="n"/>
      <c r="R156" s="168">
        <f>IF(TRIM($A156&amp;"")&lt;&gt;"",TRIM($A156&amp;""),$R155)</f>
        <v/>
      </c>
      <c r="S156" s="168">
        <f>IF($J156="","",MAX($S$6:$S155)+1)</f>
        <v/>
      </c>
      <c r="T156" s="168">
        <f>IF(TRIM($A156&amp;"")="","",MAX($T$6:$T155)+1)</f>
        <v/>
      </c>
    </row>
    <row r="157">
      <c r="A157" s="165" t="n"/>
      <c r="B157" s="166" t="n"/>
      <c r="C157" s="166" t="n"/>
      <c r="D157" s="166" t="n"/>
      <c r="E157" s="166" t="n"/>
      <c r="F157" s="166" t="n"/>
      <c r="G157" s="166" t="n"/>
      <c r="H157" s="166" t="n"/>
      <c r="I157" s="166" t="n"/>
      <c r="J157" s="167">
        <f>IF(TRIM($E157&amp;"")="","",$R157)</f>
        <v/>
      </c>
      <c r="K157" s="167">
        <f>IF(AND(TRIM($A157&amp;"")&lt;&gt;"",COUNTIF($A$7:$A$306,$A157)&gt;1),"DUPLICATE SET",IF(AND($E157&lt;&gt;"",$R157=""),"NO SET ABOVE",IF(AND($E157&lt;&gt;"",$C157=""),"QTY?",IF($J157="","","OK"))))</f>
        <v/>
      </c>
      <c r="L157" s="168" t="n"/>
      <c r="M157" s="169">
        <f>IFERROR(INDEX($R$7:$R$306,MATCH(151,$T$7:$T$306,0)),"")</f>
        <v/>
      </c>
      <c r="N157" s="170">
        <f>IF($M157="","",INDEX($B$7:$B$306,MATCH(151,$T$7:$T$306,0))&amp;"")</f>
        <v/>
      </c>
      <c r="O157" s="170">
        <f>IF($M157="","",SUMIF(tk_HWSET,$M157,tk_QTY))</f>
        <v/>
      </c>
      <c r="P157" s="170">
        <f>IF($M157="","",COUNTIF($J$7:$J$306,$M157))</f>
        <v/>
      </c>
      <c r="Q157" s="168" t="n"/>
      <c r="R157" s="168">
        <f>IF(TRIM($A157&amp;"")&lt;&gt;"",TRIM($A157&amp;""),$R156)</f>
        <v/>
      </c>
      <c r="S157" s="168">
        <f>IF($J157="","",MAX($S$6:$S156)+1)</f>
        <v/>
      </c>
      <c r="T157" s="168">
        <f>IF(TRIM($A157&amp;"")="","",MAX($T$6:$T156)+1)</f>
        <v/>
      </c>
    </row>
    <row r="158">
      <c r="A158" s="165" t="n"/>
      <c r="B158" s="166" t="n"/>
      <c r="C158" s="166" t="n"/>
      <c r="D158" s="166" t="n"/>
      <c r="E158" s="166" t="n"/>
      <c r="F158" s="166" t="n"/>
      <c r="G158" s="166" t="n"/>
      <c r="H158" s="166" t="n"/>
      <c r="I158" s="166" t="n"/>
      <c r="J158" s="167">
        <f>IF(TRIM($E158&amp;"")="","",$R158)</f>
        <v/>
      </c>
      <c r="K158" s="167">
        <f>IF(AND(TRIM($A158&amp;"")&lt;&gt;"",COUNTIF($A$7:$A$306,$A158)&gt;1),"DUPLICATE SET",IF(AND($E158&lt;&gt;"",$R158=""),"NO SET ABOVE",IF(AND($E158&lt;&gt;"",$C158=""),"QTY?",IF($J158="","","OK"))))</f>
        <v/>
      </c>
      <c r="L158" s="168" t="n"/>
      <c r="M158" s="169">
        <f>IFERROR(INDEX($R$7:$R$306,MATCH(152,$T$7:$T$306,0)),"")</f>
        <v/>
      </c>
      <c r="N158" s="170">
        <f>IF($M158="","",INDEX($B$7:$B$306,MATCH(152,$T$7:$T$306,0))&amp;"")</f>
        <v/>
      </c>
      <c r="O158" s="170">
        <f>IF($M158="","",SUMIF(tk_HWSET,$M158,tk_QTY))</f>
        <v/>
      </c>
      <c r="P158" s="170">
        <f>IF($M158="","",COUNTIF($J$7:$J$306,$M158))</f>
        <v/>
      </c>
      <c r="Q158" s="168" t="n"/>
      <c r="R158" s="168">
        <f>IF(TRIM($A158&amp;"")&lt;&gt;"",TRIM($A158&amp;""),$R157)</f>
        <v/>
      </c>
      <c r="S158" s="168">
        <f>IF($J158="","",MAX($S$6:$S157)+1)</f>
        <v/>
      </c>
      <c r="T158" s="168">
        <f>IF(TRIM($A158&amp;"")="","",MAX($T$6:$T157)+1)</f>
        <v/>
      </c>
    </row>
    <row r="159">
      <c r="A159" s="165" t="n"/>
      <c r="B159" s="166" t="n"/>
      <c r="C159" s="166" t="n"/>
      <c r="D159" s="166" t="n"/>
      <c r="E159" s="166" t="n"/>
      <c r="F159" s="166" t="n"/>
      <c r="G159" s="166" t="n"/>
      <c r="H159" s="166" t="n"/>
      <c r="I159" s="166" t="n"/>
      <c r="J159" s="167">
        <f>IF(TRIM($E159&amp;"")="","",$R159)</f>
        <v/>
      </c>
      <c r="K159" s="167">
        <f>IF(AND(TRIM($A159&amp;"")&lt;&gt;"",COUNTIF($A$7:$A$306,$A159)&gt;1),"DUPLICATE SET",IF(AND($E159&lt;&gt;"",$R159=""),"NO SET ABOVE",IF(AND($E159&lt;&gt;"",$C159=""),"QTY?",IF($J159="","","OK"))))</f>
        <v/>
      </c>
      <c r="L159" s="168" t="n"/>
      <c r="M159" s="169">
        <f>IFERROR(INDEX($R$7:$R$306,MATCH(153,$T$7:$T$306,0)),"")</f>
        <v/>
      </c>
      <c r="N159" s="170">
        <f>IF($M159="","",INDEX($B$7:$B$306,MATCH(153,$T$7:$T$306,0))&amp;"")</f>
        <v/>
      </c>
      <c r="O159" s="170">
        <f>IF($M159="","",SUMIF(tk_HWSET,$M159,tk_QTY))</f>
        <v/>
      </c>
      <c r="P159" s="170">
        <f>IF($M159="","",COUNTIF($J$7:$J$306,$M159))</f>
        <v/>
      </c>
      <c r="Q159" s="168" t="n"/>
      <c r="R159" s="168">
        <f>IF(TRIM($A159&amp;"")&lt;&gt;"",TRIM($A159&amp;""),$R158)</f>
        <v/>
      </c>
      <c r="S159" s="168">
        <f>IF($J159="","",MAX($S$6:$S158)+1)</f>
        <v/>
      </c>
      <c r="T159" s="168">
        <f>IF(TRIM($A159&amp;"")="","",MAX($T$6:$T158)+1)</f>
        <v/>
      </c>
    </row>
    <row r="160">
      <c r="A160" s="165" t="n"/>
      <c r="B160" s="166" t="n"/>
      <c r="C160" s="166" t="n"/>
      <c r="D160" s="166" t="n"/>
      <c r="E160" s="166" t="n"/>
      <c r="F160" s="166" t="n"/>
      <c r="G160" s="166" t="n"/>
      <c r="H160" s="166" t="n"/>
      <c r="I160" s="166" t="n"/>
      <c r="J160" s="167">
        <f>IF(TRIM($E160&amp;"")="","",$R160)</f>
        <v/>
      </c>
      <c r="K160" s="167">
        <f>IF(AND(TRIM($A160&amp;"")&lt;&gt;"",COUNTIF($A$7:$A$306,$A160)&gt;1),"DUPLICATE SET",IF(AND($E160&lt;&gt;"",$R160=""),"NO SET ABOVE",IF(AND($E160&lt;&gt;"",$C160=""),"QTY?",IF($J160="","","OK"))))</f>
        <v/>
      </c>
      <c r="L160" s="168" t="n"/>
      <c r="M160" s="169">
        <f>IFERROR(INDEX($R$7:$R$306,MATCH(154,$T$7:$T$306,0)),"")</f>
        <v/>
      </c>
      <c r="N160" s="170">
        <f>IF($M160="","",INDEX($B$7:$B$306,MATCH(154,$T$7:$T$306,0))&amp;"")</f>
        <v/>
      </c>
      <c r="O160" s="170">
        <f>IF($M160="","",SUMIF(tk_HWSET,$M160,tk_QTY))</f>
        <v/>
      </c>
      <c r="P160" s="170">
        <f>IF($M160="","",COUNTIF($J$7:$J$306,$M160))</f>
        <v/>
      </c>
      <c r="Q160" s="168" t="n"/>
      <c r="R160" s="168">
        <f>IF(TRIM($A160&amp;"")&lt;&gt;"",TRIM($A160&amp;""),$R159)</f>
        <v/>
      </c>
      <c r="S160" s="168">
        <f>IF($J160="","",MAX($S$6:$S159)+1)</f>
        <v/>
      </c>
      <c r="T160" s="168">
        <f>IF(TRIM($A160&amp;"")="","",MAX($T$6:$T159)+1)</f>
        <v/>
      </c>
    </row>
    <row r="161">
      <c r="A161" s="165" t="n"/>
      <c r="B161" s="166" t="n"/>
      <c r="C161" s="166" t="n"/>
      <c r="D161" s="166" t="n"/>
      <c r="E161" s="166" t="n"/>
      <c r="F161" s="166" t="n"/>
      <c r="G161" s="166" t="n"/>
      <c r="H161" s="166" t="n"/>
      <c r="I161" s="166" t="n"/>
      <c r="J161" s="167">
        <f>IF(TRIM($E161&amp;"")="","",$R161)</f>
        <v/>
      </c>
      <c r="K161" s="167">
        <f>IF(AND(TRIM($A161&amp;"")&lt;&gt;"",COUNTIF($A$7:$A$306,$A161)&gt;1),"DUPLICATE SET",IF(AND($E161&lt;&gt;"",$R161=""),"NO SET ABOVE",IF(AND($E161&lt;&gt;"",$C161=""),"QTY?",IF($J161="","","OK"))))</f>
        <v/>
      </c>
      <c r="L161" s="168" t="n"/>
      <c r="M161" s="169">
        <f>IFERROR(INDEX($R$7:$R$306,MATCH(155,$T$7:$T$306,0)),"")</f>
        <v/>
      </c>
      <c r="N161" s="170">
        <f>IF($M161="","",INDEX($B$7:$B$306,MATCH(155,$T$7:$T$306,0))&amp;"")</f>
        <v/>
      </c>
      <c r="O161" s="170">
        <f>IF($M161="","",SUMIF(tk_HWSET,$M161,tk_QTY))</f>
        <v/>
      </c>
      <c r="P161" s="170">
        <f>IF($M161="","",COUNTIF($J$7:$J$306,$M161))</f>
        <v/>
      </c>
      <c r="Q161" s="168" t="n"/>
      <c r="R161" s="168">
        <f>IF(TRIM($A161&amp;"")&lt;&gt;"",TRIM($A161&amp;""),$R160)</f>
        <v/>
      </c>
      <c r="S161" s="168">
        <f>IF($J161="","",MAX($S$6:$S160)+1)</f>
        <v/>
      </c>
      <c r="T161" s="168">
        <f>IF(TRIM($A161&amp;"")="","",MAX($T$6:$T160)+1)</f>
        <v/>
      </c>
    </row>
    <row r="162">
      <c r="A162" s="165" t="n"/>
      <c r="B162" s="166" t="n"/>
      <c r="C162" s="166" t="n"/>
      <c r="D162" s="166" t="n"/>
      <c r="E162" s="166" t="n"/>
      <c r="F162" s="166" t="n"/>
      <c r="G162" s="166" t="n"/>
      <c r="H162" s="166" t="n"/>
      <c r="I162" s="166" t="n"/>
      <c r="J162" s="167">
        <f>IF(TRIM($E162&amp;"")="","",$R162)</f>
        <v/>
      </c>
      <c r="K162" s="167">
        <f>IF(AND(TRIM($A162&amp;"")&lt;&gt;"",COUNTIF($A$7:$A$306,$A162)&gt;1),"DUPLICATE SET",IF(AND($E162&lt;&gt;"",$R162=""),"NO SET ABOVE",IF(AND($E162&lt;&gt;"",$C162=""),"QTY?",IF($J162="","","OK"))))</f>
        <v/>
      </c>
      <c r="L162" s="168" t="n"/>
      <c r="M162" s="169">
        <f>IFERROR(INDEX($R$7:$R$306,MATCH(156,$T$7:$T$306,0)),"")</f>
        <v/>
      </c>
      <c r="N162" s="170">
        <f>IF($M162="","",INDEX($B$7:$B$306,MATCH(156,$T$7:$T$306,0))&amp;"")</f>
        <v/>
      </c>
      <c r="O162" s="170">
        <f>IF($M162="","",SUMIF(tk_HWSET,$M162,tk_QTY))</f>
        <v/>
      </c>
      <c r="P162" s="170">
        <f>IF($M162="","",COUNTIF($J$7:$J$306,$M162))</f>
        <v/>
      </c>
      <c r="Q162" s="168" t="n"/>
      <c r="R162" s="168">
        <f>IF(TRIM($A162&amp;"")&lt;&gt;"",TRIM($A162&amp;""),$R161)</f>
        <v/>
      </c>
      <c r="S162" s="168">
        <f>IF($J162="","",MAX($S$6:$S161)+1)</f>
        <v/>
      </c>
      <c r="T162" s="168">
        <f>IF(TRIM($A162&amp;"")="","",MAX($T$6:$T161)+1)</f>
        <v/>
      </c>
    </row>
    <row r="163">
      <c r="A163" s="165" t="n"/>
      <c r="B163" s="166" t="n"/>
      <c r="C163" s="166" t="n"/>
      <c r="D163" s="166" t="n"/>
      <c r="E163" s="166" t="n"/>
      <c r="F163" s="166" t="n"/>
      <c r="G163" s="166" t="n"/>
      <c r="H163" s="166" t="n"/>
      <c r="I163" s="166" t="n"/>
      <c r="J163" s="167">
        <f>IF(TRIM($E163&amp;"")="","",$R163)</f>
        <v/>
      </c>
      <c r="K163" s="167">
        <f>IF(AND(TRIM($A163&amp;"")&lt;&gt;"",COUNTIF($A$7:$A$306,$A163)&gt;1),"DUPLICATE SET",IF(AND($E163&lt;&gt;"",$R163=""),"NO SET ABOVE",IF(AND($E163&lt;&gt;"",$C163=""),"QTY?",IF($J163="","","OK"))))</f>
        <v/>
      </c>
      <c r="L163" s="168" t="n"/>
      <c r="M163" s="169">
        <f>IFERROR(INDEX($R$7:$R$306,MATCH(157,$T$7:$T$306,0)),"")</f>
        <v/>
      </c>
      <c r="N163" s="170">
        <f>IF($M163="","",INDEX($B$7:$B$306,MATCH(157,$T$7:$T$306,0))&amp;"")</f>
        <v/>
      </c>
      <c r="O163" s="170">
        <f>IF($M163="","",SUMIF(tk_HWSET,$M163,tk_QTY))</f>
        <v/>
      </c>
      <c r="P163" s="170">
        <f>IF($M163="","",COUNTIF($J$7:$J$306,$M163))</f>
        <v/>
      </c>
      <c r="Q163" s="168" t="n"/>
      <c r="R163" s="168">
        <f>IF(TRIM($A163&amp;"")&lt;&gt;"",TRIM($A163&amp;""),$R162)</f>
        <v/>
      </c>
      <c r="S163" s="168">
        <f>IF($J163="","",MAX($S$6:$S162)+1)</f>
        <v/>
      </c>
      <c r="T163" s="168">
        <f>IF(TRIM($A163&amp;"")="","",MAX($T$6:$T162)+1)</f>
        <v/>
      </c>
    </row>
    <row r="164">
      <c r="A164" s="165" t="n"/>
      <c r="B164" s="166" t="n"/>
      <c r="C164" s="166" t="n"/>
      <c r="D164" s="166" t="n"/>
      <c r="E164" s="166" t="n"/>
      <c r="F164" s="166" t="n"/>
      <c r="G164" s="166" t="n"/>
      <c r="H164" s="166" t="n"/>
      <c r="I164" s="166" t="n"/>
      <c r="J164" s="167">
        <f>IF(TRIM($E164&amp;"")="","",$R164)</f>
        <v/>
      </c>
      <c r="K164" s="167">
        <f>IF(AND(TRIM($A164&amp;"")&lt;&gt;"",COUNTIF($A$7:$A$306,$A164)&gt;1),"DUPLICATE SET",IF(AND($E164&lt;&gt;"",$R164=""),"NO SET ABOVE",IF(AND($E164&lt;&gt;"",$C164=""),"QTY?",IF($J164="","","OK"))))</f>
        <v/>
      </c>
      <c r="L164" s="168" t="n"/>
      <c r="M164" s="169">
        <f>IFERROR(INDEX($R$7:$R$306,MATCH(158,$T$7:$T$306,0)),"")</f>
        <v/>
      </c>
      <c r="N164" s="170">
        <f>IF($M164="","",INDEX($B$7:$B$306,MATCH(158,$T$7:$T$306,0))&amp;"")</f>
        <v/>
      </c>
      <c r="O164" s="170">
        <f>IF($M164="","",SUMIF(tk_HWSET,$M164,tk_QTY))</f>
        <v/>
      </c>
      <c r="P164" s="170">
        <f>IF($M164="","",COUNTIF($J$7:$J$306,$M164))</f>
        <v/>
      </c>
      <c r="Q164" s="168" t="n"/>
      <c r="R164" s="168">
        <f>IF(TRIM($A164&amp;"")&lt;&gt;"",TRIM($A164&amp;""),$R163)</f>
        <v/>
      </c>
      <c r="S164" s="168">
        <f>IF($J164="","",MAX($S$6:$S163)+1)</f>
        <v/>
      </c>
      <c r="T164" s="168">
        <f>IF(TRIM($A164&amp;"")="","",MAX($T$6:$T163)+1)</f>
        <v/>
      </c>
    </row>
    <row r="165">
      <c r="A165" s="165" t="n"/>
      <c r="B165" s="166" t="n"/>
      <c r="C165" s="166" t="n"/>
      <c r="D165" s="166" t="n"/>
      <c r="E165" s="166" t="n"/>
      <c r="F165" s="166" t="n"/>
      <c r="G165" s="166" t="n"/>
      <c r="H165" s="166" t="n"/>
      <c r="I165" s="166" t="n"/>
      <c r="J165" s="167">
        <f>IF(TRIM($E165&amp;"")="","",$R165)</f>
        <v/>
      </c>
      <c r="K165" s="167">
        <f>IF(AND(TRIM($A165&amp;"")&lt;&gt;"",COUNTIF($A$7:$A$306,$A165)&gt;1),"DUPLICATE SET",IF(AND($E165&lt;&gt;"",$R165=""),"NO SET ABOVE",IF(AND($E165&lt;&gt;"",$C165=""),"QTY?",IF($J165="","","OK"))))</f>
        <v/>
      </c>
      <c r="L165" s="168" t="n"/>
      <c r="M165" s="169">
        <f>IFERROR(INDEX($R$7:$R$306,MATCH(159,$T$7:$T$306,0)),"")</f>
        <v/>
      </c>
      <c r="N165" s="170">
        <f>IF($M165="","",INDEX($B$7:$B$306,MATCH(159,$T$7:$T$306,0))&amp;"")</f>
        <v/>
      </c>
      <c r="O165" s="170">
        <f>IF($M165="","",SUMIF(tk_HWSET,$M165,tk_QTY))</f>
        <v/>
      </c>
      <c r="P165" s="170">
        <f>IF($M165="","",COUNTIF($J$7:$J$306,$M165))</f>
        <v/>
      </c>
      <c r="Q165" s="168" t="n"/>
      <c r="R165" s="168">
        <f>IF(TRIM($A165&amp;"")&lt;&gt;"",TRIM($A165&amp;""),$R164)</f>
        <v/>
      </c>
      <c r="S165" s="168">
        <f>IF($J165="","",MAX($S$6:$S164)+1)</f>
        <v/>
      </c>
      <c r="T165" s="168">
        <f>IF(TRIM($A165&amp;"")="","",MAX($T$6:$T164)+1)</f>
        <v/>
      </c>
    </row>
    <row r="166">
      <c r="A166" s="165" t="n"/>
      <c r="B166" s="166" t="n"/>
      <c r="C166" s="166" t="n"/>
      <c r="D166" s="166" t="n"/>
      <c r="E166" s="166" t="n"/>
      <c r="F166" s="166" t="n"/>
      <c r="G166" s="166" t="n"/>
      <c r="H166" s="166" t="n"/>
      <c r="I166" s="166" t="n"/>
      <c r="J166" s="167">
        <f>IF(TRIM($E166&amp;"")="","",$R166)</f>
        <v/>
      </c>
      <c r="K166" s="167">
        <f>IF(AND(TRIM($A166&amp;"")&lt;&gt;"",COUNTIF($A$7:$A$306,$A166)&gt;1),"DUPLICATE SET",IF(AND($E166&lt;&gt;"",$R166=""),"NO SET ABOVE",IF(AND($E166&lt;&gt;"",$C166=""),"QTY?",IF($J166="","","OK"))))</f>
        <v/>
      </c>
      <c r="L166" s="168" t="n"/>
      <c r="M166" s="169">
        <f>IFERROR(INDEX($R$7:$R$306,MATCH(160,$T$7:$T$306,0)),"")</f>
        <v/>
      </c>
      <c r="N166" s="170">
        <f>IF($M166="","",INDEX($B$7:$B$306,MATCH(160,$T$7:$T$306,0))&amp;"")</f>
        <v/>
      </c>
      <c r="O166" s="170">
        <f>IF($M166="","",SUMIF(tk_HWSET,$M166,tk_QTY))</f>
        <v/>
      </c>
      <c r="P166" s="170">
        <f>IF($M166="","",COUNTIF($J$7:$J$306,$M166))</f>
        <v/>
      </c>
      <c r="Q166" s="168" t="n"/>
      <c r="R166" s="168">
        <f>IF(TRIM($A166&amp;"")&lt;&gt;"",TRIM($A166&amp;""),$R165)</f>
        <v/>
      </c>
      <c r="S166" s="168">
        <f>IF($J166="","",MAX($S$6:$S165)+1)</f>
        <v/>
      </c>
      <c r="T166" s="168">
        <f>IF(TRIM($A166&amp;"")="","",MAX($T$6:$T165)+1)</f>
        <v/>
      </c>
    </row>
    <row r="167">
      <c r="A167" s="165" t="n"/>
      <c r="B167" s="166" t="n"/>
      <c r="C167" s="166" t="n"/>
      <c r="D167" s="166" t="n"/>
      <c r="E167" s="166" t="n"/>
      <c r="F167" s="166" t="n"/>
      <c r="G167" s="166" t="n"/>
      <c r="H167" s="166" t="n"/>
      <c r="I167" s="166" t="n"/>
      <c r="J167" s="167">
        <f>IF(TRIM($E167&amp;"")="","",$R167)</f>
        <v/>
      </c>
      <c r="K167" s="167">
        <f>IF(AND(TRIM($A167&amp;"")&lt;&gt;"",COUNTIF($A$7:$A$306,$A167)&gt;1),"DUPLICATE SET",IF(AND($E167&lt;&gt;"",$R167=""),"NO SET ABOVE",IF(AND($E167&lt;&gt;"",$C167=""),"QTY?",IF($J167="","","OK"))))</f>
        <v/>
      </c>
      <c r="L167" s="168" t="n"/>
      <c r="M167" s="169">
        <f>IFERROR(INDEX($R$7:$R$306,MATCH(161,$T$7:$T$306,0)),"")</f>
        <v/>
      </c>
      <c r="N167" s="170">
        <f>IF($M167="","",INDEX($B$7:$B$306,MATCH(161,$T$7:$T$306,0))&amp;"")</f>
        <v/>
      </c>
      <c r="O167" s="170">
        <f>IF($M167="","",SUMIF(tk_HWSET,$M167,tk_QTY))</f>
        <v/>
      </c>
      <c r="P167" s="170">
        <f>IF($M167="","",COUNTIF($J$7:$J$306,$M167))</f>
        <v/>
      </c>
      <c r="Q167" s="168" t="n"/>
      <c r="R167" s="168">
        <f>IF(TRIM($A167&amp;"")&lt;&gt;"",TRIM($A167&amp;""),$R166)</f>
        <v/>
      </c>
      <c r="S167" s="168">
        <f>IF($J167="","",MAX($S$6:$S166)+1)</f>
        <v/>
      </c>
      <c r="T167" s="168">
        <f>IF(TRIM($A167&amp;"")="","",MAX($T$6:$T166)+1)</f>
        <v/>
      </c>
    </row>
    <row r="168">
      <c r="A168" s="165" t="n"/>
      <c r="B168" s="166" t="n"/>
      <c r="C168" s="166" t="n"/>
      <c r="D168" s="166" t="n"/>
      <c r="E168" s="166" t="n"/>
      <c r="F168" s="166" t="n"/>
      <c r="G168" s="166" t="n"/>
      <c r="H168" s="166" t="n"/>
      <c r="I168" s="166" t="n"/>
      <c r="J168" s="167">
        <f>IF(TRIM($E168&amp;"")="","",$R168)</f>
        <v/>
      </c>
      <c r="K168" s="167">
        <f>IF(AND(TRIM($A168&amp;"")&lt;&gt;"",COUNTIF($A$7:$A$306,$A168)&gt;1),"DUPLICATE SET",IF(AND($E168&lt;&gt;"",$R168=""),"NO SET ABOVE",IF(AND($E168&lt;&gt;"",$C168=""),"QTY?",IF($J168="","","OK"))))</f>
        <v/>
      </c>
      <c r="L168" s="168" t="n"/>
      <c r="M168" s="169">
        <f>IFERROR(INDEX($R$7:$R$306,MATCH(162,$T$7:$T$306,0)),"")</f>
        <v/>
      </c>
      <c r="N168" s="170">
        <f>IF($M168="","",INDEX($B$7:$B$306,MATCH(162,$T$7:$T$306,0))&amp;"")</f>
        <v/>
      </c>
      <c r="O168" s="170">
        <f>IF($M168="","",SUMIF(tk_HWSET,$M168,tk_QTY))</f>
        <v/>
      </c>
      <c r="P168" s="170">
        <f>IF($M168="","",COUNTIF($J$7:$J$306,$M168))</f>
        <v/>
      </c>
      <c r="Q168" s="168" t="n"/>
      <c r="R168" s="168">
        <f>IF(TRIM($A168&amp;"")&lt;&gt;"",TRIM($A168&amp;""),$R167)</f>
        <v/>
      </c>
      <c r="S168" s="168">
        <f>IF($J168="","",MAX($S$6:$S167)+1)</f>
        <v/>
      </c>
      <c r="T168" s="168">
        <f>IF(TRIM($A168&amp;"")="","",MAX($T$6:$T167)+1)</f>
        <v/>
      </c>
    </row>
    <row r="169">
      <c r="A169" s="165" t="n"/>
      <c r="B169" s="166" t="n"/>
      <c r="C169" s="166" t="n"/>
      <c r="D169" s="166" t="n"/>
      <c r="E169" s="166" t="n"/>
      <c r="F169" s="166" t="n"/>
      <c r="G169" s="166" t="n"/>
      <c r="H169" s="166" t="n"/>
      <c r="I169" s="166" t="n"/>
      <c r="J169" s="167">
        <f>IF(TRIM($E169&amp;"")="","",$R169)</f>
        <v/>
      </c>
      <c r="K169" s="167">
        <f>IF(AND(TRIM($A169&amp;"")&lt;&gt;"",COUNTIF($A$7:$A$306,$A169)&gt;1),"DUPLICATE SET",IF(AND($E169&lt;&gt;"",$R169=""),"NO SET ABOVE",IF(AND($E169&lt;&gt;"",$C169=""),"QTY?",IF($J169="","","OK"))))</f>
        <v/>
      </c>
      <c r="L169" s="168" t="n"/>
      <c r="M169" s="169">
        <f>IFERROR(INDEX($R$7:$R$306,MATCH(163,$T$7:$T$306,0)),"")</f>
        <v/>
      </c>
      <c r="N169" s="170">
        <f>IF($M169="","",INDEX($B$7:$B$306,MATCH(163,$T$7:$T$306,0))&amp;"")</f>
        <v/>
      </c>
      <c r="O169" s="170">
        <f>IF($M169="","",SUMIF(tk_HWSET,$M169,tk_QTY))</f>
        <v/>
      </c>
      <c r="P169" s="170">
        <f>IF($M169="","",COUNTIF($J$7:$J$306,$M169))</f>
        <v/>
      </c>
      <c r="Q169" s="168" t="n"/>
      <c r="R169" s="168">
        <f>IF(TRIM($A169&amp;"")&lt;&gt;"",TRIM($A169&amp;""),$R168)</f>
        <v/>
      </c>
      <c r="S169" s="168">
        <f>IF($J169="","",MAX($S$6:$S168)+1)</f>
        <v/>
      </c>
      <c r="T169" s="168">
        <f>IF(TRIM($A169&amp;"")="","",MAX($T$6:$T168)+1)</f>
        <v/>
      </c>
    </row>
    <row r="170">
      <c r="A170" s="165" t="n"/>
      <c r="B170" s="166" t="n"/>
      <c r="C170" s="166" t="n"/>
      <c r="D170" s="166" t="n"/>
      <c r="E170" s="166" t="n"/>
      <c r="F170" s="166" t="n"/>
      <c r="G170" s="166" t="n"/>
      <c r="H170" s="166" t="n"/>
      <c r="I170" s="166" t="n"/>
      <c r="J170" s="167">
        <f>IF(TRIM($E170&amp;"")="","",$R170)</f>
        <v/>
      </c>
      <c r="K170" s="167">
        <f>IF(AND(TRIM($A170&amp;"")&lt;&gt;"",COUNTIF($A$7:$A$306,$A170)&gt;1),"DUPLICATE SET",IF(AND($E170&lt;&gt;"",$R170=""),"NO SET ABOVE",IF(AND($E170&lt;&gt;"",$C170=""),"QTY?",IF($J170="","","OK"))))</f>
        <v/>
      </c>
      <c r="L170" s="168" t="n"/>
      <c r="M170" s="169">
        <f>IFERROR(INDEX($R$7:$R$306,MATCH(164,$T$7:$T$306,0)),"")</f>
        <v/>
      </c>
      <c r="N170" s="170">
        <f>IF($M170="","",INDEX($B$7:$B$306,MATCH(164,$T$7:$T$306,0))&amp;"")</f>
        <v/>
      </c>
      <c r="O170" s="170">
        <f>IF($M170="","",SUMIF(tk_HWSET,$M170,tk_QTY))</f>
        <v/>
      </c>
      <c r="P170" s="170">
        <f>IF($M170="","",COUNTIF($J$7:$J$306,$M170))</f>
        <v/>
      </c>
      <c r="Q170" s="168" t="n"/>
      <c r="R170" s="168">
        <f>IF(TRIM($A170&amp;"")&lt;&gt;"",TRIM($A170&amp;""),$R169)</f>
        <v/>
      </c>
      <c r="S170" s="168">
        <f>IF($J170="","",MAX($S$6:$S169)+1)</f>
        <v/>
      </c>
      <c r="T170" s="168">
        <f>IF(TRIM($A170&amp;"")="","",MAX($T$6:$T169)+1)</f>
        <v/>
      </c>
    </row>
    <row r="171">
      <c r="A171" s="165" t="n"/>
      <c r="B171" s="166" t="n"/>
      <c r="C171" s="166" t="n"/>
      <c r="D171" s="166" t="n"/>
      <c r="E171" s="166" t="n"/>
      <c r="F171" s="166" t="n"/>
      <c r="G171" s="166" t="n"/>
      <c r="H171" s="166" t="n"/>
      <c r="I171" s="166" t="n"/>
      <c r="J171" s="167">
        <f>IF(TRIM($E171&amp;"")="","",$R171)</f>
        <v/>
      </c>
      <c r="K171" s="167">
        <f>IF(AND(TRIM($A171&amp;"")&lt;&gt;"",COUNTIF($A$7:$A$306,$A171)&gt;1),"DUPLICATE SET",IF(AND($E171&lt;&gt;"",$R171=""),"NO SET ABOVE",IF(AND($E171&lt;&gt;"",$C171=""),"QTY?",IF($J171="","","OK"))))</f>
        <v/>
      </c>
      <c r="L171" s="168" t="n"/>
      <c r="M171" s="169">
        <f>IFERROR(INDEX($R$7:$R$306,MATCH(165,$T$7:$T$306,0)),"")</f>
        <v/>
      </c>
      <c r="N171" s="170">
        <f>IF($M171="","",INDEX($B$7:$B$306,MATCH(165,$T$7:$T$306,0))&amp;"")</f>
        <v/>
      </c>
      <c r="O171" s="170">
        <f>IF($M171="","",SUMIF(tk_HWSET,$M171,tk_QTY))</f>
        <v/>
      </c>
      <c r="P171" s="170">
        <f>IF($M171="","",COUNTIF($J$7:$J$306,$M171))</f>
        <v/>
      </c>
      <c r="Q171" s="168" t="n"/>
      <c r="R171" s="168">
        <f>IF(TRIM($A171&amp;"")&lt;&gt;"",TRIM($A171&amp;""),$R170)</f>
        <v/>
      </c>
      <c r="S171" s="168">
        <f>IF($J171="","",MAX($S$6:$S170)+1)</f>
        <v/>
      </c>
      <c r="T171" s="168">
        <f>IF(TRIM($A171&amp;"")="","",MAX($T$6:$T170)+1)</f>
        <v/>
      </c>
    </row>
    <row r="172">
      <c r="A172" s="165" t="n"/>
      <c r="B172" s="166" t="n"/>
      <c r="C172" s="166" t="n"/>
      <c r="D172" s="166" t="n"/>
      <c r="E172" s="166" t="n"/>
      <c r="F172" s="166" t="n"/>
      <c r="G172" s="166" t="n"/>
      <c r="H172" s="166" t="n"/>
      <c r="I172" s="166" t="n"/>
      <c r="J172" s="167">
        <f>IF(TRIM($E172&amp;"")="","",$R172)</f>
        <v/>
      </c>
      <c r="K172" s="167">
        <f>IF(AND(TRIM($A172&amp;"")&lt;&gt;"",COUNTIF($A$7:$A$306,$A172)&gt;1),"DUPLICATE SET",IF(AND($E172&lt;&gt;"",$R172=""),"NO SET ABOVE",IF(AND($E172&lt;&gt;"",$C172=""),"QTY?",IF($J172="","","OK"))))</f>
        <v/>
      </c>
      <c r="L172" s="168" t="n"/>
      <c r="M172" s="169">
        <f>IFERROR(INDEX($R$7:$R$306,MATCH(166,$T$7:$T$306,0)),"")</f>
        <v/>
      </c>
      <c r="N172" s="170">
        <f>IF($M172="","",INDEX($B$7:$B$306,MATCH(166,$T$7:$T$306,0))&amp;"")</f>
        <v/>
      </c>
      <c r="O172" s="170">
        <f>IF($M172="","",SUMIF(tk_HWSET,$M172,tk_QTY))</f>
        <v/>
      </c>
      <c r="P172" s="170">
        <f>IF($M172="","",COUNTIF($J$7:$J$306,$M172))</f>
        <v/>
      </c>
      <c r="Q172" s="168" t="n"/>
      <c r="R172" s="168">
        <f>IF(TRIM($A172&amp;"")&lt;&gt;"",TRIM($A172&amp;""),$R171)</f>
        <v/>
      </c>
      <c r="S172" s="168">
        <f>IF($J172="","",MAX($S$6:$S171)+1)</f>
        <v/>
      </c>
      <c r="T172" s="168">
        <f>IF(TRIM($A172&amp;"")="","",MAX($T$6:$T171)+1)</f>
        <v/>
      </c>
    </row>
    <row r="173">
      <c r="A173" s="165" t="n"/>
      <c r="B173" s="166" t="n"/>
      <c r="C173" s="166" t="n"/>
      <c r="D173" s="166" t="n"/>
      <c r="E173" s="166" t="n"/>
      <c r="F173" s="166" t="n"/>
      <c r="G173" s="166" t="n"/>
      <c r="H173" s="166" t="n"/>
      <c r="I173" s="166" t="n"/>
      <c r="J173" s="167">
        <f>IF(TRIM($E173&amp;"")="","",$R173)</f>
        <v/>
      </c>
      <c r="K173" s="167">
        <f>IF(AND(TRIM($A173&amp;"")&lt;&gt;"",COUNTIF($A$7:$A$306,$A173)&gt;1),"DUPLICATE SET",IF(AND($E173&lt;&gt;"",$R173=""),"NO SET ABOVE",IF(AND($E173&lt;&gt;"",$C173=""),"QTY?",IF($J173="","","OK"))))</f>
        <v/>
      </c>
      <c r="L173" s="168" t="n"/>
      <c r="M173" s="169">
        <f>IFERROR(INDEX($R$7:$R$306,MATCH(167,$T$7:$T$306,0)),"")</f>
        <v/>
      </c>
      <c r="N173" s="170">
        <f>IF($M173="","",INDEX($B$7:$B$306,MATCH(167,$T$7:$T$306,0))&amp;"")</f>
        <v/>
      </c>
      <c r="O173" s="170">
        <f>IF($M173="","",SUMIF(tk_HWSET,$M173,tk_QTY))</f>
        <v/>
      </c>
      <c r="P173" s="170">
        <f>IF($M173="","",COUNTIF($J$7:$J$306,$M173))</f>
        <v/>
      </c>
      <c r="Q173" s="168" t="n"/>
      <c r="R173" s="168">
        <f>IF(TRIM($A173&amp;"")&lt;&gt;"",TRIM($A173&amp;""),$R172)</f>
        <v/>
      </c>
      <c r="S173" s="168">
        <f>IF($J173="","",MAX($S$6:$S172)+1)</f>
        <v/>
      </c>
      <c r="T173" s="168">
        <f>IF(TRIM($A173&amp;"")="","",MAX($T$6:$T172)+1)</f>
        <v/>
      </c>
    </row>
    <row r="174">
      <c r="A174" s="165" t="n"/>
      <c r="B174" s="166" t="n"/>
      <c r="C174" s="166" t="n"/>
      <c r="D174" s="166" t="n"/>
      <c r="E174" s="166" t="n"/>
      <c r="F174" s="166" t="n"/>
      <c r="G174" s="166" t="n"/>
      <c r="H174" s="166" t="n"/>
      <c r="I174" s="166" t="n"/>
      <c r="J174" s="167">
        <f>IF(TRIM($E174&amp;"")="","",$R174)</f>
        <v/>
      </c>
      <c r="K174" s="167">
        <f>IF(AND(TRIM($A174&amp;"")&lt;&gt;"",COUNTIF($A$7:$A$306,$A174)&gt;1),"DUPLICATE SET",IF(AND($E174&lt;&gt;"",$R174=""),"NO SET ABOVE",IF(AND($E174&lt;&gt;"",$C174=""),"QTY?",IF($J174="","","OK"))))</f>
        <v/>
      </c>
      <c r="L174" s="168" t="n"/>
      <c r="M174" s="169">
        <f>IFERROR(INDEX($R$7:$R$306,MATCH(168,$T$7:$T$306,0)),"")</f>
        <v/>
      </c>
      <c r="N174" s="170">
        <f>IF($M174="","",INDEX($B$7:$B$306,MATCH(168,$T$7:$T$306,0))&amp;"")</f>
        <v/>
      </c>
      <c r="O174" s="170">
        <f>IF($M174="","",SUMIF(tk_HWSET,$M174,tk_QTY))</f>
        <v/>
      </c>
      <c r="P174" s="170">
        <f>IF($M174="","",COUNTIF($J$7:$J$306,$M174))</f>
        <v/>
      </c>
      <c r="Q174" s="168" t="n"/>
      <c r="R174" s="168">
        <f>IF(TRIM($A174&amp;"")&lt;&gt;"",TRIM($A174&amp;""),$R173)</f>
        <v/>
      </c>
      <c r="S174" s="168">
        <f>IF($J174="","",MAX($S$6:$S173)+1)</f>
        <v/>
      </c>
      <c r="T174" s="168">
        <f>IF(TRIM($A174&amp;"")="","",MAX($T$6:$T173)+1)</f>
        <v/>
      </c>
    </row>
    <row r="175">
      <c r="A175" s="165" t="n"/>
      <c r="B175" s="166" t="n"/>
      <c r="C175" s="166" t="n"/>
      <c r="D175" s="166" t="n"/>
      <c r="E175" s="166" t="n"/>
      <c r="F175" s="166" t="n"/>
      <c r="G175" s="166" t="n"/>
      <c r="H175" s="166" t="n"/>
      <c r="I175" s="166" t="n"/>
      <c r="J175" s="167">
        <f>IF(TRIM($E175&amp;"")="","",$R175)</f>
        <v/>
      </c>
      <c r="K175" s="167">
        <f>IF(AND(TRIM($A175&amp;"")&lt;&gt;"",COUNTIF($A$7:$A$306,$A175)&gt;1),"DUPLICATE SET",IF(AND($E175&lt;&gt;"",$R175=""),"NO SET ABOVE",IF(AND($E175&lt;&gt;"",$C175=""),"QTY?",IF($J175="","","OK"))))</f>
        <v/>
      </c>
      <c r="L175" s="168" t="n"/>
      <c r="M175" s="169">
        <f>IFERROR(INDEX($R$7:$R$306,MATCH(169,$T$7:$T$306,0)),"")</f>
        <v/>
      </c>
      <c r="N175" s="170">
        <f>IF($M175="","",INDEX($B$7:$B$306,MATCH(169,$T$7:$T$306,0))&amp;"")</f>
        <v/>
      </c>
      <c r="O175" s="170">
        <f>IF($M175="","",SUMIF(tk_HWSET,$M175,tk_QTY))</f>
        <v/>
      </c>
      <c r="P175" s="170">
        <f>IF($M175="","",COUNTIF($J$7:$J$306,$M175))</f>
        <v/>
      </c>
      <c r="Q175" s="168" t="n"/>
      <c r="R175" s="168">
        <f>IF(TRIM($A175&amp;"")&lt;&gt;"",TRIM($A175&amp;""),$R174)</f>
        <v/>
      </c>
      <c r="S175" s="168">
        <f>IF($J175="","",MAX($S$6:$S174)+1)</f>
        <v/>
      </c>
      <c r="T175" s="168">
        <f>IF(TRIM($A175&amp;"")="","",MAX($T$6:$T174)+1)</f>
        <v/>
      </c>
    </row>
    <row r="176">
      <c r="A176" s="165" t="n"/>
      <c r="B176" s="166" t="n"/>
      <c r="C176" s="166" t="n"/>
      <c r="D176" s="166" t="n"/>
      <c r="E176" s="166" t="n"/>
      <c r="F176" s="166" t="n"/>
      <c r="G176" s="166" t="n"/>
      <c r="H176" s="166" t="n"/>
      <c r="I176" s="166" t="n"/>
      <c r="J176" s="167">
        <f>IF(TRIM($E176&amp;"")="","",$R176)</f>
        <v/>
      </c>
      <c r="K176" s="167">
        <f>IF(AND(TRIM($A176&amp;"")&lt;&gt;"",COUNTIF($A$7:$A$306,$A176)&gt;1),"DUPLICATE SET",IF(AND($E176&lt;&gt;"",$R176=""),"NO SET ABOVE",IF(AND($E176&lt;&gt;"",$C176=""),"QTY?",IF($J176="","","OK"))))</f>
        <v/>
      </c>
      <c r="L176" s="168" t="n"/>
      <c r="M176" s="169">
        <f>IFERROR(INDEX($R$7:$R$306,MATCH(170,$T$7:$T$306,0)),"")</f>
        <v/>
      </c>
      <c r="N176" s="170">
        <f>IF($M176="","",INDEX($B$7:$B$306,MATCH(170,$T$7:$T$306,0))&amp;"")</f>
        <v/>
      </c>
      <c r="O176" s="170">
        <f>IF($M176="","",SUMIF(tk_HWSET,$M176,tk_QTY))</f>
        <v/>
      </c>
      <c r="P176" s="170">
        <f>IF($M176="","",COUNTIF($J$7:$J$306,$M176))</f>
        <v/>
      </c>
      <c r="Q176" s="168" t="n"/>
      <c r="R176" s="168">
        <f>IF(TRIM($A176&amp;"")&lt;&gt;"",TRIM($A176&amp;""),$R175)</f>
        <v/>
      </c>
      <c r="S176" s="168">
        <f>IF($J176="","",MAX($S$6:$S175)+1)</f>
        <v/>
      </c>
      <c r="T176" s="168">
        <f>IF(TRIM($A176&amp;"")="","",MAX($T$6:$T175)+1)</f>
        <v/>
      </c>
    </row>
    <row r="177">
      <c r="A177" s="165" t="n"/>
      <c r="B177" s="166" t="n"/>
      <c r="C177" s="166" t="n"/>
      <c r="D177" s="166" t="n"/>
      <c r="E177" s="166" t="n"/>
      <c r="F177" s="166" t="n"/>
      <c r="G177" s="166" t="n"/>
      <c r="H177" s="166" t="n"/>
      <c r="I177" s="166" t="n"/>
      <c r="J177" s="167">
        <f>IF(TRIM($E177&amp;"")="","",$R177)</f>
        <v/>
      </c>
      <c r="K177" s="167">
        <f>IF(AND(TRIM($A177&amp;"")&lt;&gt;"",COUNTIF($A$7:$A$306,$A177)&gt;1),"DUPLICATE SET",IF(AND($E177&lt;&gt;"",$R177=""),"NO SET ABOVE",IF(AND($E177&lt;&gt;"",$C177=""),"QTY?",IF($J177="","","OK"))))</f>
        <v/>
      </c>
      <c r="L177" s="168" t="n"/>
      <c r="M177" s="169">
        <f>IFERROR(INDEX($R$7:$R$306,MATCH(171,$T$7:$T$306,0)),"")</f>
        <v/>
      </c>
      <c r="N177" s="170">
        <f>IF($M177="","",INDEX($B$7:$B$306,MATCH(171,$T$7:$T$306,0))&amp;"")</f>
        <v/>
      </c>
      <c r="O177" s="170">
        <f>IF($M177="","",SUMIF(tk_HWSET,$M177,tk_QTY))</f>
        <v/>
      </c>
      <c r="P177" s="170">
        <f>IF($M177="","",COUNTIF($J$7:$J$306,$M177))</f>
        <v/>
      </c>
      <c r="Q177" s="168" t="n"/>
      <c r="R177" s="168">
        <f>IF(TRIM($A177&amp;"")&lt;&gt;"",TRIM($A177&amp;""),$R176)</f>
        <v/>
      </c>
      <c r="S177" s="168">
        <f>IF($J177="","",MAX($S$6:$S176)+1)</f>
        <v/>
      </c>
      <c r="T177" s="168">
        <f>IF(TRIM($A177&amp;"")="","",MAX($T$6:$T176)+1)</f>
        <v/>
      </c>
    </row>
    <row r="178">
      <c r="A178" s="165" t="n"/>
      <c r="B178" s="166" t="n"/>
      <c r="C178" s="166" t="n"/>
      <c r="D178" s="166" t="n"/>
      <c r="E178" s="166" t="n"/>
      <c r="F178" s="166" t="n"/>
      <c r="G178" s="166" t="n"/>
      <c r="H178" s="166" t="n"/>
      <c r="I178" s="166" t="n"/>
      <c r="J178" s="167">
        <f>IF(TRIM($E178&amp;"")="","",$R178)</f>
        <v/>
      </c>
      <c r="K178" s="167">
        <f>IF(AND(TRIM($A178&amp;"")&lt;&gt;"",COUNTIF($A$7:$A$306,$A178)&gt;1),"DUPLICATE SET",IF(AND($E178&lt;&gt;"",$R178=""),"NO SET ABOVE",IF(AND($E178&lt;&gt;"",$C178=""),"QTY?",IF($J178="","","OK"))))</f>
        <v/>
      </c>
      <c r="L178" s="168" t="n"/>
      <c r="M178" s="169">
        <f>IFERROR(INDEX($R$7:$R$306,MATCH(172,$T$7:$T$306,0)),"")</f>
        <v/>
      </c>
      <c r="N178" s="170">
        <f>IF($M178="","",INDEX($B$7:$B$306,MATCH(172,$T$7:$T$306,0))&amp;"")</f>
        <v/>
      </c>
      <c r="O178" s="170">
        <f>IF($M178="","",SUMIF(tk_HWSET,$M178,tk_QTY))</f>
        <v/>
      </c>
      <c r="P178" s="170">
        <f>IF($M178="","",COUNTIF($J$7:$J$306,$M178))</f>
        <v/>
      </c>
      <c r="Q178" s="168" t="n"/>
      <c r="R178" s="168">
        <f>IF(TRIM($A178&amp;"")&lt;&gt;"",TRIM($A178&amp;""),$R177)</f>
        <v/>
      </c>
      <c r="S178" s="168">
        <f>IF($J178="","",MAX($S$6:$S177)+1)</f>
        <v/>
      </c>
      <c r="T178" s="168">
        <f>IF(TRIM($A178&amp;"")="","",MAX($T$6:$T177)+1)</f>
        <v/>
      </c>
    </row>
    <row r="179">
      <c r="A179" s="165" t="n"/>
      <c r="B179" s="166" t="n"/>
      <c r="C179" s="166" t="n"/>
      <c r="D179" s="166" t="n"/>
      <c r="E179" s="166" t="n"/>
      <c r="F179" s="166" t="n"/>
      <c r="G179" s="166" t="n"/>
      <c r="H179" s="166" t="n"/>
      <c r="I179" s="166" t="n"/>
      <c r="J179" s="167">
        <f>IF(TRIM($E179&amp;"")="","",$R179)</f>
        <v/>
      </c>
      <c r="K179" s="167">
        <f>IF(AND(TRIM($A179&amp;"")&lt;&gt;"",COUNTIF($A$7:$A$306,$A179)&gt;1),"DUPLICATE SET",IF(AND($E179&lt;&gt;"",$R179=""),"NO SET ABOVE",IF(AND($E179&lt;&gt;"",$C179=""),"QTY?",IF($J179="","","OK"))))</f>
        <v/>
      </c>
      <c r="L179" s="168" t="n"/>
      <c r="M179" s="169">
        <f>IFERROR(INDEX($R$7:$R$306,MATCH(173,$T$7:$T$306,0)),"")</f>
        <v/>
      </c>
      <c r="N179" s="170">
        <f>IF($M179="","",INDEX($B$7:$B$306,MATCH(173,$T$7:$T$306,0))&amp;"")</f>
        <v/>
      </c>
      <c r="O179" s="170">
        <f>IF($M179="","",SUMIF(tk_HWSET,$M179,tk_QTY))</f>
        <v/>
      </c>
      <c r="P179" s="170">
        <f>IF($M179="","",COUNTIF($J$7:$J$306,$M179))</f>
        <v/>
      </c>
      <c r="Q179" s="168" t="n"/>
      <c r="R179" s="168">
        <f>IF(TRIM($A179&amp;"")&lt;&gt;"",TRIM($A179&amp;""),$R178)</f>
        <v/>
      </c>
      <c r="S179" s="168">
        <f>IF($J179="","",MAX($S$6:$S178)+1)</f>
        <v/>
      </c>
      <c r="T179" s="168">
        <f>IF(TRIM($A179&amp;"")="","",MAX($T$6:$T178)+1)</f>
        <v/>
      </c>
    </row>
    <row r="180">
      <c r="A180" s="165" t="n"/>
      <c r="B180" s="166" t="n"/>
      <c r="C180" s="166" t="n"/>
      <c r="D180" s="166" t="n"/>
      <c r="E180" s="166" t="n"/>
      <c r="F180" s="166" t="n"/>
      <c r="G180" s="166" t="n"/>
      <c r="H180" s="166" t="n"/>
      <c r="I180" s="166" t="n"/>
      <c r="J180" s="167">
        <f>IF(TRIM($E180&amp;"")="","",$R180)</f>
        <v/>
      </c>
      <c r="K180" s="167">
        <f>IF(AND(TRIM($A180&amp;"")&lt;&gt;"",COUNTIF($A$7:$A$306,$A180)&gt;1),"DUPLICATE SET",IF(AND($E180&lt;&gt;"",$R180=""),"NO SET ABOVE",IF(AND($E180&lt;&gt;"",$C180=""),"QTY?",IF($J180="","","OK"))))</f>
        <v/>
      </c>
      <c r="L180" s="168" t="n"/>
      <c r="M180" s="169">
        <f>IFERROR(INDEX($R$7:$R$306,MATCH(174,$T$7:$T$306,0)),"")</f>
        <v/>
      </c>
      <c r="N180" s="170">
        <f>IF($M180="","",INDEX($B$7:$B$306,MATCH(174,$T$7:$T$306,0))&amp;"")</f>
        <v/>
      </c>
      <c r="O180" s="170">
        <f>IF($M180="","",SUMIF(tk_HWSET,$M180,tk_QTY))</f>
        <v/>
      </c>
      <c r="P180" s="170">
        <f>IF($M180="","",COUNTIF($J$7:$J$306,$M180))</f>
        <v/>
      </c>
      <c r="Q180" s="168" t="n"/>
      <c r="R180" s="168">
        <f>IF(TRIM($A180&amp;"")&lt;&gt;"",TRIM($A180&amp;""),$R179)</f>
        <v/>
      </c>
      <c r="S180" s="168">
        <f>IF($J180="","",MAX($S$6:$S179)+1)</f>
        <v/>
      </c>
      <c r="T180" s="168">
        <f>IF(TRIM($A180&amp;"")="","",MAX($T$6:$T179)+1)</f>
        <v/>
      </c>
    </row>
    <row r="181">
      <c r="A181" s="165" t="n"/>
      <c r="B181" s="166" t="n"/>
      <c r="C181" s="166" t="n"/>
      <c r="D181" s="166" t="n"/>
      <c r="E181" s="166" t="n"/>
      <c r="F181" s="166" t="n"/>
      <c r="G181" s="166" t="n"/>
      <c r="H181" s="166" t="n"/>
      <c r="I181" s="166" t="n"/>
      <c r="J181" s="167">
        <f>IF(TRIM($E181&amp;"")="","",$R181)</f>
        <v/>
      </c>
      <c r="K181" s="167">
        <f>IF(AND(TRIM($A181&amp;"")&lt;&gt;"",COUNTIF($A$7:$A$306,$A181)&gt;1),"DUPLICATE SET",IF(AND($E181&lt;&gt;"",$R181=""),"NO SET ABOVE",IF(AND($E181&lt;&gt;"",$C181=""),"QTY?",IF($J181="","","OK"))))</f>
        <v/>
      </c>
      <c r="L181" s="168" t="n"/>
      <c r="M181" s="169">
        <f>IFERROR(INDEX($R$7:$R$306,MATCH(175,$T$7:$T$306,0)),"")</f>
        <v/>
      </c>
      <c r="N181" s="170">
        <f>IF($M181="","",INDEX($B$7:$B$306,MATCH(175,$T$7:$T$306,0))&amp;"")</f>
        <v/>
      </c>
      <c r="O181" s="170">
        <f>IF($M181="","",SUMIF(tk_HWSET,$M181,tk_QTY))</f>
        <v/>
      </c>
      <c r="P181" s="170">
        <f>IF($M181="","",COUNTIF($J$7:$J$306,$M181))</f>
        <v/>
      </c>
      <c r="Q181" s="168" t="n"/>
      <c r="R181" s="168">
        <f>IF(TRIM($A181&amp;"")&lt;&gt;"",TRIM($A181&amp;""),$R180)</f>
        <v/>
      </c>
      <c r="S181" s="168">
        <f>IF($J181="","",MAX($S$6:$S180)+1)</f>
        <v/>
      </c>
      <c r="T181" s="168">
        <f>IF(TRIM($A181&amp;"")="","",MAX($T$6:$T180)+1)</f>
        <v/>
      </c>
    </row>
    <row r="182">
      <c r="A182" s="165" t="n"/>
      <c r="B182" s="166" t="n"/>
      <c r="C182" s="166" t="n"/>
      <c r="D182" s="166" t="n"/>
      <c r="E182" s="166" t="n"/>
      <c r="F182" s="166" t="n"/>
      <c r="G182" s="166" t="n"/>
      <c r="H182" s="166" t="n"/>
      <c r="I182" s="166" t="n"/>
      <c r="J182" s="167">
        <f>IF(TRIM($E182&amp;"")="","",$R182)</f>
        <v/>
      </c>
      <c r="K182" s="167">
        <f>IF(AND(TRIM($A182&amp;"")&lt;&gt;"",COUNTIF($A$7:$A$306,$A182)&gt;1),"DUPLICATE SET",IF(AND($E182&lt;&gt;"",$R182=""),"NO SET ABOVE",IF(AND($E182&lt;&gt;"",$C182=""),"QTY?",IF($J182="","","OK"))))</f>
        <v/>
      </c>
      <c r="L182" s="168" t="n"/>
      <c r="M182" s="169">
        <f>IFERROR(INDEX($R$7:$R$306,MATCH(176,$T$7:$T$306,0)),"")</f>
        <v/>
      </c>
      <c r="N182" s="170">
        <f>IF($M182="","",INDEX($B$7:$B$306,MATCH(176,$T$7:$T$306,0))&amp;"")</f>
        <v/>
      </c>
      <c r="O182" s="170">
        <f>IF($M182="","",SUMIF(tk_HWSET,$M182,tk_QTY))</f>
        <v/>
      </c>
      <c r="P182" s="170">
        <f>IF($M182="","",COUNTIF($J$7:$J$306,$M182))</f>
        <v/>
      </c>
      <c r="Q182" s="168" t="n"/>
      <c r="R182" s="168">
        <f>IF(TRIM($A182&amp;"")&lt;&gt;"",TRIM($A182&amp;""),$R181)</f>
        <v/>
      </c>
      <c r="S182" s="168">
        <f>IF($J182="","",MAX($S$6:$S181)+1)</f>
        <v/>
      </c>
      <c r="T182" s="168">
        <f>IF(TRIM($A182&amp;"")="","",MAX($T$6:$T181)+1)</f>
        <v/>
      </c>
    </row>
    <row r="183">
      <c r="A183" s="165" t="n"/>
      <c r="B183" s="166" t="n"/>
      <c r="C183" s="166" t="n"/>
      <c r="D183" s="166" t="n"/>
      <c r="E183" s="166" t="n"/>
      <c r="F183" s="166" t="n"/>
      <c r="G183" s="166" t="n"/>
      <c r="H183" s="166" t="n"/>
      <c r="I183" s="166" t="n"/>
      <c r="J183" s="167">
        <f>IF(TRIM($E183&amp;"")="","",$R183)</f>
        <v/>
      </c>
      <c r="K183" s="167">
        <f>IF(AND(TRIM($A183&amp;"")&lt;&gt;"",COUNTIF($A$7:$A$306,$A183)&gt;1),"DUPLICATE SET",IF(AND($E183&lt;&gt;"",$R183=""),"NO SET ABOVE",IF(AND($E183&lt;&gt;"",$C183=""),"QTY?",IF($J183="","","OK"))))</f>
        <v/>
      </c>
      <c r="L183" s="168" t="n"/>
      <c r="M183" s="169">
        <f>IFERROR(INDEX($R$7:$R$306,MATCH(177,$T$7:$T$306,0)),"")</f>
        <v/>
      </c>
      <c r="N183" s="170">
        <f>IF($M183="","",INDEX($B$7:$B$306,MATCH(177,$T$7:$T$306,0))&amp;"")</f>
        <v/>
      </c>
      <c r="O183" s="170">
        <f>IF($M183="","",SUMIF(tk_HWSET,$M183,tk_QTY))</f>
        <v/>
      </c>
      <c r="P183" s="170">
        <f>IF($M183="","",COUNTIF($J$7:$J$306,$M183))</f>
        <v/>
      </c>
      <c r="Q183" s="168" t="n"/>
      <c r="R183" s="168">
        <f>IF(TRIM($A183&amp;"")&lt;&gt;"",TRIM($A183&amp;""),$R182)</f>
        <v/>
      </c>
      <c r="S183" s="168">
        <f>IF($J183="","",MAX($S$6:$S182)+1)</f>
        <v/>
      </c>
      <c r="T183" s="168">
        <f>IF(TRIM($A183&amp;"")="","",MAX($T$6:$T182)+1)</f>
        <v/>
      </c>
    </row>
    <row r="184">
      <c r="A184" s="165" t="n"/>
      <c r="B184" s="166" t="n"/>
      <c r="C184" s="166" t="n"/>
      <c r="D184" s="166" t="n"/>
      <c r="E184" s="166" t="n"/>
      <c r="F184" s="166" t="n"/>
      <c r="G184" s="166" t="n"/>
      <c r="H184" s="166" t="n"/>
      <c r="I184" s="166" t="n"/>
      <c r="J184" s="167">
        <f>IF(TRIM($E184&amp;"")="","",$R184)</f>
        <v/>
      </c>
      <c r="K184" s="167">
        <f>IF(AND(TRIM($A184&amp;"")&lt;&gt;"",COUNTIF($A$7:$A$306,$A184)&gt;1),"DUPLICATE SET",IF(AND($E184&lt;&gt;"",$R184=""),"NO SET ABOVE",IF(AND($E184&lt;&gt;"",$C184=""),"QTY?",IF($J184="","","OK"))))</f>
        <v/>
      </c>
      <c r="L184" s="168" t="n"/>
      <c r="M184" s="169">
        <f>IFERROR(INDEX($R$7:$R$306,MATCH(178,$T$7:$T$306,0)),"")</f>
        <v/>
      </c>
      <c r="N184" s="170">
        <f>IF($M184="","",INDEX($B$7:$B$306,MATCH(178,$T$7:$T$306,0))&amp;"")</f>
        <v/>
      </c>
      <c r="O184" s="170">
        <f>IF($M184="","",SUMIF(tk_HWSET,$M184,tk_QTY))</f>
        <v/>
      </c>
      <c r="P184" s="170">
        <f>IF($M184="","",COUNTIF($J$7:$J$306,$M184))</f>
        <v/>
      </c>
      <c r="Q184" s="168" t="n"/>
      <c r="R184" s="168">
        <f>IF(TRIM($A184&amp;"")&lt;&gt;"",TRIM($A184&amp;""),$R183)</f>
        <v/>
      </c>
      <c r="S184" s="168">
        <f>IF($J184="","",MAX($S$6:$S183)+1)</f>
        <v/>
      </c>
      <c r="T184" s="168">
        <f>IF(TRIM($A184&amp;"")="","",MAX($T$6:$T183)+1)</f>
        <v/>
      </c>
    </row>
    <row r="185">
      <c r="A185" s="165" t="n"/>
      <c r="B185" s="166" t="n"/>
      <c r="C185" s="166" t="n"/>
      <c r="D185" s="166" t="n"/>
      <c r="E185" s="166" t="n"/>
      <c r="F185" s="166" t="n"/>
      <c r="G185" s="166" t="n"/>
      <c r="H185" s="166" t="n"/>
      <c r="I185" s="166" t="n"/>
      <c r="J185" s="167">
        <f>IF(TRIM($E185&amp;"")="","",$R185)</f>
        <v/>
      </c>
      <c r="K185" s="167">
        <f>IF(AND(TRIM($A185&amp;"")&lt;&gt;"",COUNTIF($A$7:$A$306,$A185)&gt;1),"DUPLICATE SET",IF(AND($E185&lt;&gt;"",$R185=""),"NO SET ABOVE",IF(AND($E185&lt;&gt;"",$C185=""),"QTY?",IF($J185="","","OK"))))</f>
        <v/>
      </c>
      <c r="L185" s="168" t="n"/>
      <c r="M185" s="169">
        <f>IFERROR(INDEX($R$7:$R$306,MATCH(179,$T$7:$T$306,0)),"")</f>
        <v/>
      </c>
      <c r="N185" s="170">
        <f>IF($M185="","",INDEX($B$7:$B$306,MATCH(179,$T$7:$T$306,0))&amp;"")</f>
        <v/>
      </c>
      <c r="O185" s="170">
        <f>IF($M185="","",SUMIF(tk_HWSET,$M185,tk_QTY))</f>
        <v/>
      </c>
      <c r="P185" s="170">
        <f>IF($M185="","",COUNTIF($J$7:$J$306,$M185))</f>
        <v/>
      </c>
      <c r="Q185" s="168" t="n"/>
      <c r="R185" s="168">
        <f>IF(TRIM($A185&amp;"")&lt;&gt;"",TRIM($A185&amp;""),$R184)</f>
        <v/>
      </c>
      <c r="S185" s="168">
        <f>IF($J185="","",MAX($S$6:$S184)+1)</f>
        <v/>
      </c>
      <c r="T185" s="168">
        <f>IF(TRIM($A185&amp;"")="","",MAX($T$6:$T184)+1)</f>
        <v/>
      </c>
    </row>
    <row r="186">
      <c r="A186" s="165" t="n"/>
      <c r="B186" s="166" t="n"/>
      <c r="C186" s="166" t="n"/>
      <c r="D186" s="166" t="n"/>
      <c r="E186" s="166" t="n"/>
      <c r="F186" s="166" t="n"/>
      <c r="G186" s="166" t="n"/>
      <c r="H186" s="166" t="n"/>
      <c r="I186" s="166" t="n"/>
      <c r="J186" s="167">
        <f>IF(TRIM($E186&amp;"")="","",$R186)</f>
        <v/>
      </c>
      <c r="K186" s="167">
        <f>IF(AND(TRIM($A186&amp;"")&lt;&gt;"",COUNTIF($A$7:$A$306,$A186)&gt;1),"DUPLICATE SET",IF(AND($E186&lt;&gt;"",$R186=""),"NO SET ABOVE",IF(AND($E186&lt;&gt;"",$C186=""),"QTY?",IF($J186="","","OK"))))</f>
        <v/>
      </c>
      <c r="L186" s="168" t="n"/>
      <c r="M186" s="169">
        <f>IFERROR(INDEX($R$7:$R$306,MATCH(180,$T$7:$T$306,0)),"")</f>
        <v/>
      </c>
      <c r="N186" s="170">
        <f>IF($M186="","",INDEX($B$7:$B$306,MATCH(180,$T$7:$T$306,0))&amp;"")</f>
        <v/>
      </c>
      <c r="O186" s="170">
        <f>IF($M186="","",SUMIF(tk_HWSET,$M186,tk_QTY))</f>
        <v/>
      </c>
      <c r="P186" s="170">
        <f>IF($M186="","",COUNTIF($J$7:$J$306,$M186))</f>
        <v/>
      </c>
      <c r="Q186" s="168" t="n"/>
      <c r="R186" s="168">
        <f>IF(TRIM($A186&amp;"")&lt;&gt;"",TRIM($A186&amp;""),$R185)</f>
        <v/>
      </c>
      <c r="S186" s="168">
        <f>IF($J186="","",MAX($S$6:$S185)+1)</f>
        <v/>
      </c>
      <c r="T186" s="168">
        <f>IF(TRIM($A186&amp;"")="","",MAX($T$6:$T185)+1)</f>
        <v/>
      </c>
    </row>
    <row r="187">
      <c r="A187" s="165" t="n"/>
      <c r="B187" s="166" t="n"/>
      <c r="C187" s="166" t="n"/>
      <c r="D187" s="166" t="n"/>
      <c r="E187" s="166" t="n"/>
      <c r="F187" s="166" t="n"/>
      <c r="G187" s="166" t="n"/>
      <c r="H187" s="166" t="n"/>
      <c r="I187" s="166" t="n"/>
      <c r="J187" s="167">
        <f>IF(TRIM($E187&amp;"")="","",$R187)</f>
        <v/>
      </c>
      <c r="K187" s="167">
        <f>IF(AND(TRIM($A187&amp;"")&lt;&gt;"",COUNTIF($A$7:$A$306,$A187)&gt;1),"DUPLICATE SET",IF(AND($E187&lt;&gt;"",$R187=""),"NO SET ABOVE",IF(AND($E187&lt;&gt;"",$C187=""),"QTY?",IF($J187="","","OK"))))</f>
        <v/>
      </c>
      <c r="L187" s="168" t="n"/>
      <c r="M187" s="169">
        <f>IFERROR(INDEX($R$7:$R$306,MATCH(181,$T$7:$T$306,0)),"")</f>
        <v/>
      </c>
      <c r="N187" s="170">
        <f>IF($M187="","",INDEX($B$7:$B$306,MATCH(181,$T$7:$T$306,0))&amp;"")</f>
        <v/>
      </c>
      <c r="O187" s="170">
        <f>IF($M187="","",SUMIF(tk_HWSET,$M187,tk_QTY))</f>
        <v/>
      </c>
      <c r="P187" s="170">
        <f>IF($M187="","",COUNTIF($J$7:$J$306,$M187))</f>
        <v/>
      </c>
      <c r="Q187" s="168" t="n"/>
      <c r="R187" s="168">
        <f>IF(TRIM($A187&amp;"")&lt;&gt;"",TRIM($A187&amp;""),$R186)</f>
        <v/>
      </c>
      <c r="S187" s="168">
        <f>IF($J187="","",MAX($S$6:$S186)+1)</f>
        <v/>
      </c>
      <c r="T187" s="168">
        <f>IF(TRIM($A187&amp;"")="","",MAX($T$6:$T186)+1)</f>
        <v/>
      </c>
    </row>
    <row r="188">
      <c r="A188" s="165" t="n"/>
      <c r="B188" s="166" t="n"/>
      <c r="C188" s="166" t="n"/>
      <c r="D188" s="166" t="n"/>
      <c r="E188" s="166" t="n"/>
      <c r="F188" s="166" t="n"/>
      <c r="G188" s="166" t="n"/>
      <c r="H188" s="166" t="n"/>
      <c r="I188" s="166" t="n"/>
      <c r="J188" s="167">
        <f>IF(TRIM($E188&amp;"")="","",$R188)</f>
        <v/>
      </c>
      <c r="K188" s="167">
        <f>IF(AND(TRIM($A188&amp;"")&lt;&gt;"",COUNTIF($A$7:$A$306,$A188)&gt;1),"DUPLICATE SET",IF(AND($E188&lt;&gt;"",$R188=""),"NO SET ABOVE",IF(AND($E188&lt;&gt;"",$C188=""),"QTY?",IF($J188="","","OK"))))</f>
        <v/>
      </c>
      <c r="L188" s="168" t="n"/>
      <c r="M188" s="169">
        <f>IFERROR(INDEX($R$7:$R$306,MATCH(182,$T$7:$T$306,0)),"")</f>
        <v/>
      </c>
      <c r="N188" s="170">
        <f>IF($M188="","",INDEX($B$7:$B$306,MATCH(182,$T$7:$T$306,0))&amp;"")</f>
        <v/>
      </c>
      <c r="O188" s="170">
        <f>IF($M188="","",SUMIF(tk_HWSET,$M188,tk_QTY))</f>
        <v/>
      </c>
      <c r="P188" s="170">
        <f>IF($M188="","",COUNTIF($J$7:$J$306,$M188))</f>
        <v/>
      </c>
      <c r="Q188" s="168" t="n"/>
      <c r="R188" s="168">
        <f>IF(TRIM($A188&amp;"")&lt;&gt;"",TRIM($A188&amp;""),$R187)</f>
        <v/>
      </c>
      <c r="S188" s="168">
        <f>IF($J188="","",MAX($S$6:$S187)+1)</f>
        <v/>
      </c>
      <c r="T188" s="168">
        <f>IF(TRIM($A188&amp;"")="","",MAX($T$6:$T187)+1)</f>
        <v/>
      </c>
    </row>
    <row r="189">
      <c r="A189" s="165" t="n"/>
      <c r="B189" s="166" t="n"/>
      <c r="C189" s="166" t="n"/>
      <c r="D189" s="166" t="n"/>
      <c r="E189" s="166" t="n"/>
      <c r="F189" s="166" t="n"/>
      <c r="G189" s="166" t="n"/>
      <c r="H189" s="166" t="n"/>
      <c r="I189" s="166" t="n"/>
      <c r="J189" s="167">
        <f>IF(TRIM($E189&amp;"")="","",$R189)</f>
        <v/>
      </c>
      <c r="K189" s="167">
        <f>IF(AND(TRIM($A189&amp;"")&lt;&gt;"",COUNTIF($A$7:$A$306,$A189)&gt;1),"DUPLICATE SET",IF(AND($E189&lt;&gt;"",$R189=""),"NO SET ABOVE",IF(AND($E189&lt;&gt;"",$C189=""),"QTY?",IF($J189="","","OK"))))</f>
        <v/>
      </c>
      <c r="L189" s="168" t="n"/>
      <c r="M189" s="169">
        <f>IFERROR(INDEX($R$7:$R$306,MATCH(183,$T$7:$T$306,0)),"")</f>
        <v/>
      </c>
      <c r="N189" s="170">
        <f>IF($M189="","",INDEX($B$7:$B$306,MATCH(183,$T$7:$T$306,0))&amp;"")</f>
        <v/>
      </c>
      <c r="O189" s="170">
        <f>IF($M189="","",SUMIF(tk_HWSET,$M189,tk_QTY))</f>
        <v/>
      </c>
      <c r="P189" s="170">
        <f>IF($M189="","",COUNTIF($J$7:$J$306,$M189))</f>
        <v/>
      </c>
      <c r="Q189" s="168" t="n"/>
      <c r="R189" s="168">
        <f>IF(TRIM($A189&amp;"")&lt;&gt;"",TRIM($A189&amp;""),$R188)</f>
        <v/>
      </c>
      <c r="S189" s="168">
        <f>IF($J189="","",MAX($S$6:$S188)+1)</f>
        <v/>
      </c>
      <c r="T189" s="168">
        <f>IF(TRIM($A189&amp;"")="","",MAX($T$6:$T188)+1)</f>
        <v/>
      </c>
    </row>
    <row r="190">
      <c r="A190" s="165" t="n"/>
      <c r="B190" s="166" t="n"/>
      <c r="C190" s="166" t="n"/>
      <c r="D190" s="166" t="n"/>
      <c r="E190" s="166" t="n"/>
      <c r="F190" s="166" t="n"/>
      <c r="G190" s="166" t="n"/>
      <c r="H190" s="166" t="n"/>
      <c r="I190" s="166" t="n"/>
      <c r="J190" s="167">
        <f>IF(TRIM($E190&amp;"")="","",$R190)</f>
        <v/>
      </c>
      <c r="K190" s="167">
        <f>IF(AND(TRIM($A190&amp;"")&lt;&gt;"",COUNTIF($A$7:$A$306,$A190)&gt;1),"DUPLICATE SET",IF(AND($E190&lt;&gt;"",$R190=""),"NO SET ABOVE",IF(AND($E190&lt;&gt;"",$C190=""),"QTY?",IF($J190="","","OK"))))</f>
        <v/>
      </c>
      <c r="L190" s="168" t="n"/>
      <c r="M190" s="169">
        <f>IFERROR(INDEX($R$7:$R$306,MATCH(184,$T$7:$T$306,0)),"")</f>
        <v/>
      </c>
      <c r="N190" s="170">
        <f>IF($M190="","",INDEX($B$7:$B$306,MATCH(184,$T$7:$T$306,0))&amp;"")</f>
        <v/>
      </c>
      <c r="O190" s="170">
        <f>IF($M190="","",SUMIF(tk_HWSET,$M190,tk_QTY))</f>
        <v/>
      </c>
      <c r="P190" s="170">
        <f>IF($M190="","",COUNTIF($J$7:$J$306,$M190))</f>
        <v/>
      </c>
      <c r="Q190" s="168" t="n"/>
      <c r="R190" s="168">
        <f>IF(TRIM($A190&amp;"")&lt;&gt;"",TRIM($A190&amp;""),$R189)</f>
        <v/>
      </c>
      <c r="S190" s="168">
        <f>IF($J190="","",MAX($S$6:$S189)+1)</f>
        <v/>
      </c>
      <c r="T190" s="168">
        <f>IF(TRIM($A190&amp;"")="","",MAX($T$6:$T189)+1)</f>
        <v/>
      </c>
    </row>
    <row r="191">
      <c r="A191" s="165" t="n"/>
      <c r="B191" s="166" t="n"/>
      <c r="C191" s="166" t="n"/>
      <c r="D191" s="166" t="n"/>
      <c r="E191" s="166" t="n"/>
      <c r="F191" s="166" t="n"/>
      <c r="G191" s="166" t="n"/>
      <c r="H191" s="166" t="n"/>
      <c r="I191" s="166" t="n"/>
      <c r="J191" s="167">
        <f>IF(TRIM($E191&amp;"")="","",$R191)</f>
        <v/>
      </c>
      <c r="K191" s="167">
        <f>IF(AND(TRIM($A191&amp;"")&lt;&gt;"",COUNTIF($A$7:$A$306,$A191)&gt;1),"DUPLICATE SET",IF(AND($E191&lt;&gt;"",$R191=""),"NO SET ABOVE",IF(AND($E191&lt;&gt;"",$C191=""),"QTY?",IF($J191="","","OK"))))</f>
        <v/>
      </c>
      <c r="L191" s="168" t="n"/>
      <c r="M191" s="169">
        <f>IFERROR(INDEX($R$7:$R$306,MATCH(185,$T$7:$T$306,0)),"")</f>
        <v/>
      </c>
      <c r="N191" s="170">
        <f>IF($M191="","",INDEX($B$7:$B$306,MATCH(185,$T$7:$T$306,0))&amp;"")</f>
        <v/>
      </c>
      <c r="O191" s="170">
        <f>IF($M191="","",SUMIF(tk_HWSET,$M191,tk_QTY))</f>
        <v/>
      </c>
      <c r="P191" s="170">
        <f>IF($M191="","",COUNTIF($J$7:$J$306,$M191))</f>
        <v/>
      </c>
      <c r="Q191" s="168" t="n"/>
      <c r="R191" s="168">
        <f>IF(TRIM($A191&amp;"")&lt;&gt;"",TRIM($A191&amp;""),$R190)</f>
        <v/>
      </c>
      <c r="S191" s="168">
        <f>IF($J191="","",MAX($S$6:$S190)+1)</f>
        <v/>
      </c>
      <c r="T191" s="168">
        <f>IF(TRIM($A191&amp;"")="","",MAX($T$6:$T190)+1)</f>
        <v/>
      </c>
    </row>
    <row r="192">
      <c r="A192" s="165" t="n"/>
      <c r="B192" s="166" t="n"/>
      <c r="C192" s="166" t="n"/>
      <c r="D192" s="166" t="n"/>
      <c r="E192" s="166" t="n"/>
      <c r="F192" s="166" t="n"/>
      <c r="G192" s="166" t="n"/>
      <c r="H192" s="166" t="n"/>
      <c r="I192" s="166" t="n"/>
      <c r="J192" s="167">
        <f>IF(TRIM($E192&amp;"")="","",$R192)</f>
        <v/>
      </c>
      <c r="K192" s="167">
        <f>IF(AND(TRIM($A192&amp;"")&lt;&gt;"",COUNTIF($A$7:$A$306,$A192)&gt;1),"DUPLICATE SET",IF(AND($E192&lt;&gt;"",$R192=""),"NO SET ABOVE",IF(AND($E192&lt;&gt;"",$C192=""),"QTY?",IF($J192="","","OK"))))</f>
        <v/>
      </c>
      <c r="L192" s="168" t="n"/>
      <c r="M192" s="169">
        <f>IFERROR(INDEX($R$7:$R$306,MATCH(186,$T$7:$T$306,0)),"")</f>
        <v/>
      </c>
      <c r="N192" s="170">
        <f>IF($M192="","",INDEX($B$7:$B$306,MATCH(186,$T$7:$T$306,0))&amp;"")</f>
        <v/>
      </c>
      <c r="O192" s="170">
        <f>IF($M192="","",SUMIF(tk_HWSET,$M192,tk_QTY))</f>
        <v/>
      </c>
      <c r="P192" s="170">
        <f>IF($M192="","",COUNTIF($J$7:$J$306,$M192))</f>
        <v/>
      </c>
      <c r="Q192" s="168" t="n"/>
      <c r="R192" s="168">
        <f>IF(TRIM($A192&amp;"")&lt;&gt;"",TRIM($A192&amp;""),$R191)</f>
        <v/>
      </c>
      <c r="S192" s="168">
        <f>IF($J192="","",MAX($S$6:$S191)+1)</f>
        <v/>
      </c>
      <c r="T192" s="168">
        <f>IF(TRIM($A192&amp;"")="","",MAX($T$6:$T191)+1)</f>
        <v/>
      </c>
    </row>
    <row r="193">
      <c r="A193" s="165" t="n"/>
      <c r="B193" s="166" t="n"/>
      <c r="C193" s="166" t="n"/>
      <c r="D193" s="166" t="n"/>
      <c r="E193" s="166" t="n"/>
      <c r="F193" s="166" t="n"/>
      <c r="G193" s="166" t="n"/>
      <c r="H193" s="166" t="n"/>
      <c r="I193" s="166" t="n"/>
      <c r="J193" s="167">
        <f>IF(TRIM($E193&amp;"")="","",$R193)</f>
        <v/>
      </c>
      <c r="K193" s="167">
        <f>IF(AND(TRIM($A193&amp;"")&lt;&gt;"",COUNTIF($A$7:$A$306,$A193)&gt;1),"DUPLICATE SET",IF(AND($E193&lt;&gt;"",$R193=""),"NO SET ABOVE",IF(AND($E193&lt;&gt;"",$C193=""),"QTY?",IF($J193="","","OK"))))</f>
        <v/>
      </c>
      <c r="L193" s="168" t="n"/>
      <c r="M193" s="169">
        <f>IFERROR(INDEX($R$7:$R$306,MATCH(187,$T$7:$T$306,0)),"")</f>
        <v/>
      </c>
      <c r="N193" s="170">
        <f>IF($M193="","",INDEX($B$7:$B$306,MATCH(187,$T$7:$T$306,0))&amp;"")</f>
        <v/>
      </c>
      <c r="O193" s="170">
        <f>IF($M193="","",SUMIF(tk_HWSET,$M193,tk_QTY))</f>
        <v/>
      </c>
      <c r="P193" s="170">
        <f>IF($M193="","",COUNTIF($J$7:$J$306,$M193))</f>
        <v/>
      </c>
      <c r="Q193" s="168" t="n"/>
      <c r="R193" s="168">
        <f>IF(TRIM($A193&amp;"")&lt;&gt;"",TRIM($A193&amp;""),$R192)</f>
        <v/>
      </c>
      <c r="S193" s="168">
        <f>IF($J193="","",MAX($S$6:$S192)+1)</f>
        <v/>
      </c>
      <c r="T193" s="168">
        <f>IF(TRIM($A193&amp;"")="","",MAX($T$6:$T192)+1)</f>
        <v/>
      </c>
    </row>
    <row r="194">
      <c r="A194" s="165" t="n"/>
      <c r="B194" s="166" t="n"/>
      <c r="C194" s="166" t="n"/>
      <c r="D194" s="166" t="n"/>
      <c r="E194" s="166" t="n"/>
      <c r="F194" s="166" t="n"/>
      <c r="G194" s="166" t="n"/>
      <c r="H194" s="166" t="n"/>
      <c r="I194" s="166" t="n"/>
      <c r="J194" s="167">
        <f>IF(TRIM($E194&amp;"")="","",$R194)</f>
        <v/>
      </c>
      <c r="K194" s="167">
        <f>IF(AND(TRIM($A194&amp;"")&lt;&gt;"",COUNTIF($A$7:$A$306,$A194)&gt;1),"DUPLICATE SET",IF(AND($E194&lt;&gt;"",$R194=""),"NO SET ABOVE",IF(AND($E194&lt;&gt;"",$C194=""),"QTY?",IF($J194="","","OK"))))</f>
        <v/>
      </c>
      <c r="L194" s="168" t="n"/>
      <c r="M194" s="169">
        <f>IFERROR(INDEX($R$7:$R$306,MATCH(188,$T$7:$T$306,0)),"")</f>
        <v/>
      </c>
      <c r="N194" s="170">
        <f>IF($M194="","",INDEX($B$7:$B$306,MATCH(188,$T$7:$T$306,0))&amp;"")</f>
        <v/>
      </c>
      <c r="O194" s="170">
        <f>IF($M194="","",SUMIF(tk_HWSET,$M194,tk_QTY))</f>
        <v/>
      </c>
      <c r="P194" s="170">
        <f>IF($M194="","",COUNTIF($J$7:$J$306,$M194))</f>
        <v/>
      </c>
      <c r="Q194" s="168" t="n"/>
      <c r="R194" s="168">
        <f>IF(TRIM($A194&amp;"")&lt;&gt;"",TRIM($A194&amp;""),$R193)</f>
        <v/>
      </c>
      <c r="S194" s="168">
        <f>IF($J194="","",MAX($S$6:$S193)+1)</f>
        <v/>
      </c>
      <c r="T194" s="168">
        <f>IF(TRIM($A194&amp;"")="","",MAX($T$6:$T193)+1)</f>
        <v/>
      </c>
    </row>
    <row r="195">
      <c r="A195" s="165" t="n"/>
      <c r="B195" s="166" t="n"/>
      <c r="C195" s="166" t="n"/>
      <c r="D195" s="166" t="n"/>
      <c r="E195" s="166" t="n"/>
      <c r="F195" s="166" t="n"/>
      <c r="G195" s="166" t="n"/>
      <c r="H195" s="166" t="n"/>
      <c r="I195" s="166" t="n"/>
      <c r="J195" s="167">
        <f>IF(TRIM($E195&amp;"")="","",$R195)</f>
        <v/>
      </c>
      <c r="K195" s="167">
        <f>IF(AND(TRIM($A195&amp;"")&lt;&gt;"",COUNTIF($A$7:$A$306,$A195)&gt;1),"DUPLICATE SET",IF(AND($E195&lt;&gt;"",$R195=""),"NO SET ABOVE",IF(AND($E195&lt;&gt;"",$C195=""),"QTY?",IF($J195="","","OK"))))</f>
        <v/>
      </c>
      <c r="L195" s="168" t="n"/>
      <c r="M195" s="169">
        <f>IFERROR(INDEX($R$7:$R$306,MATCH(189,$T$7:$T$306,0)),"")</f>
        <v/>
      </c>
      <c r="N195" s="170">
        <f>IF($M195="","",INDEX($B$7:$B$306,MATCH(189,$T$7:$T$306,0))&amp;"")</f>
        <v/>
      </c>
      <c r="O195" s="170">
        <f>IF($M195="","",SUMIF(tk_HWSET,$M195,tk_QTY))</f>
        <v/>
      </c>
      <c r="P195" s="170">
        <f>IF($M195="","",COUNTIF($J$7:$J$306,$M195))</f>
        <v/>
      </c>
      <c r="Q195" s="168" t="n"/>
      <c r="R195" s="168">
        <f>IF(TRIM($A195&amp;"")&lt;&gt;"",TRIM($A195&amp;""),$R194)</f>
        <v/>
      </c>
      <c r="S195" s="168">
        <f>IF($J195="","",MAX($S$6:$S194)+1)</f>
        <v/>
      </c>
      <c r="T195" s="168">
        <f>IF(TRIM($A195&amp;"")="","",MAX($T$6:$T194)+1)</f>
        <v/>
      </c>
    </row>
    <row r="196">
      <c r="A196" s="165" t="n"/>
      <c r="B196" s="166" t="n"/>
      <c r="C196" s="166" t="n"/>
      <c r="D196" s="166" t="n"/>
      <c r="E196" s="166" t="n"/>
      <c r="F196" s="166" t="n"/>
      <c r="G196" s="166" t="n"/>
      <c r="H196" s="166" t="n"/>
      <c r="I196" s="166" t="n"/>
      <c r="J196" s="167">
        <f>IF(TRIM($E196&amp;"")="","",$R196)</f>
        <v/>
      </c>
      <c r="K196" s="167">
        <f>IF(AND(TRIM($A196&amp;"")&lt;&gt;"",COUNTIF($A$7:$A$306,$A196)&gt;1),"DUPLICATE SET",IF(AND($E196&lt;&gt;"",$R196=""),"NO SET ABOVE",IF(AND($E196&lt;&gt;"",$C196=""),"QTY?",IF($J196="","","OK"))))</f>
        <v/>
      </c>
      <c r="L196" s="168" t="n"/>
      <c r="M196" s="169">
        <f>IFERROR(INDEX($R$7:$R$306,MATCH(190,$T$7:$T$306,0)),"")</f>
        <v/>
      </c>
      <c r="N196" s="170">
        <f>IF($M196="","",INDEX($B$7:$B$306,MATCH(190,$T$7:$T$306,0))&amp;"")</f>
        <v/>
      </c>
      <c r="O196" s="170">
        <f>IF($M196="","",SUMIF(tk_HWSET,$M196,tk_QTY))</f>
        <v/>
      </c>
      <c r="P196" s="170">
        <f>IF($M196="","",COUNTIF($J$7:$J$306,$M196))</f>
        <v/>
      </c>
      <c r="Q196" s="168" t="n"/>
      <c r="R196" s="168">
        <f>IF(TRIM($A196&amp;"")&lt;&gt;"",TRIM($A196&amp;""),$R195)</f>
        <v/>
      </c>
      <c r="S196" s="168">
        <f>IF($J196="","",MAX($S$6:$S195)+1)</f>
        <v/>
      </c>
      <c r="T196" s="168">
        <f>IF(TRIM($A196&amp;"")="","",MAX($T$6:$T195)+1)</f>
        <v/>
      </c>
    </row>
    <row r="197">
      <c r="A197" s="165" t="n"/>
      <c r="B197" s="166" t="n"/>
      <c r="C197" s="166" t="n"/>
      <c r="D197" s="166" t="n"/>
      <c r="E197" s="166" t="n"/>
      <c r="F197" s="166" t="n"/>
      <c r="G197" s="166" t="n"/>
      <c r="H197" s="166" t="n"/>
      <c r="I197" s="166" t="n"/>
      <c r="J197" s="167">
        <f>IF(TRIM($E197&amp;"")="","",$R197)</f>
        <v/>
      </c>
      <c r="K197" s="167">
        <f>IF(AND(TRIM($A197&amp;"")&lt;&gt;"",COUNTIF($A$7:$A$306,$A197)&gt;1),"DUPLICATE SET",IF(AND($E197&lt;&gt;"",$R197=""),"NO SET ABOVE",IF(AND($E197&lt;&gt;"",$C197=""),"QTY?",IF($J197="","","OK"))))</f>
        <v/>
      </c>
      <c r="L197" s="168" t="n"/>
      <c r="M197" s="169">
        <f>IFERROR(INDEX($R$7:$R$306,MATCH(191,$T$7:$T$306,0)),"")</f>
        <v/>
      </c>
      <c r="N197" s="170">
        <f>IF($M197="","",INDEX($B$7:$B$306,MATCH(191,$T$7:$T$306,0))&amp;"")</f>
        <v/>
      </c>
      <c r="O197" s="170">
        <f>IF($M197="","",SUMIF(tk_HWSET,$M197,tk_QTY))</f>
        <v/>
      </c>
      <c r="P197" s="170">
        <f>IF($M197="","",COUNTIF($J$7:$J$306,$M197))</f>
        <v/>
      </c>
      <c r="Q197" s="168" t="n"/>
      <c r="R197" s="168">
        <f>IF(TRIM($A197&amp;"")&lt;&gt;"",TRIM($A197&amp;""),$R196)</f>
        <v/>
      </c>
      <c r="S197" s="168">
        <f>IF($J197="","",MAX($S$6:$S196)+1)</f>
        <v/>
      </c>
      <c r="T197" s="168">
        <f>IF(TRIM($A197&amp;"")="","",MAX($T$6:$T196)+1)</f>
        <v/>
      </c>
    </row>
    <row r="198">
      <c r="A198" s="165" t="n"/>
      <c r="B198" s="166" t="n"/>
      <c r="C198" s="166" t="n"/>
      <c r="D198" s="166" t="n"/>
      <c r="E198" s="166" t="n"/>
      <c r="F198" s="166" t="n"/>
      <c r="G198" s="166" t="n"/>
      <c r="H198" s="166" t="n"/>
      <c r="I198" s="166" t="n"/>
      <c r="J198" s="167">
        <f>IF(TRIM($E198&amp;"")="","",$R198)</f>
        <v/>
      </c>
      <c r="K198" s="167">
        <f>IF(AND(TRIM($A198&amp;"")&lt;&gt;"",COUNTIF($A$7:$A$306,$A198)&gt;1),"DUPLICATE SET",IF(AND($E198&lt;&gt;"",$R198=""),"NO SET ABOVE",IF(AND($E198&lt;&gt;"",$C198=""),"QTY?",IF($J198="","","OK"))))</f>
        <v/>
      </c>
      <c r="L198" s="168" t="n"/>
      <c r="M198" s="169">
        <f>IFERROR(INDEX($R$7:$R$306,MATCH(192,$T$7:$T$306,0)),"")</f>
        <v/>
      </c>
      <c r="N198" s="170">
        <f>IF($M198="","",INDEX($B$7:$B$306,MATCH(192,$T$7:$T$306,0))&amp;"")</f>
        <v/>
      </c>
      <c r="O198" s="170">
        <f>IF($M198="","",SUMIF(tk_HWSET,$M198,tk_QTY))</f>
        <v/>
      </c>
      <c r="P198" s="170">
        <f>IF($M198="","",COUNTIF($J$7:$J$306,$M198))</f>
        <v/>
      </c>
      <c r="Q198" s="168" t="n"/>
      <c r="R198" s="168">
        <f>IF(TRIM($A198&amp;"")&lt;&gt;"",TRIM($A198&amp;""),$R197)</f>
        <v/>
      </c>
      <c r="S198" s="168">
        <f>IF($J198="","",MAX($S$6:$S197)+1)</f>
        <v/>
      </c>
      <c r="T198" s="168">
        <f>IF(TRIM($A198&amp;"")="","",MAX($T$6:$T197)+1)</f>
        <v/>
      </c>
    </row>
    <row r="199">
      <c r="A199" s="165" t="n"/>
      <c r="B199" s="166" t="n"/>
      <c r="C199" s="166" t="n"/>
      <c r="D199" s="166" t="n"/>
      <c r="E199" s="166" t="n"/>
      <c r="F199" s="166" t="n"/>
      <c r="G199" s="166" t="n"/>
      <c r="H199" s="166" t="n"/>
      <c r="I199" s="166" t="n"/>
      <c r="J199" s="167">
        <f>IF(TRIM($E199&amp;"")="","",$R199)</f>
        <v/>
      </c>
      <c r="K199" s="167">
        <f>IF(AND(TRIM($A199&amp;"")&lt;&gt;"",COUNTIF($A$7:$A$306,$A199)&gt;1),"DUPLICATE SET",IF(AND($E199&lt;&gt;"",$R199=""),"NO SET ABOVE",IF(AND($E199&lt;&gt;"",$C199=""),"QTY?",IF($J199="","","OK"))))</f>
        <v/>
      </c>
      <c r="L199" s="168" t="n"/>
      <c r="M199" s="169">
        <f>IFERROR(INDEX($R$7:$R$306,MATCH(193,$T$7:$T$306,0)),"")</f>
        <v/>
      </c>
      <c r="N199" s="170">
        <f>IF($M199="","",INDEX($B$7:$B$306,MATCH(193,$T$7:$T$306,0))&amp;"")</f>
        <v/>
      </c>
      <c r="O199" s="170">
        <f>IF($M199="","",SUMIF(tk_HWSET,$M199,tk_QTY))</f>
        <v/>
      </c>
      <c r="P199" s="170">
        <f>IF($M199="","",COUNTIF($J$7:$J$306,$M199))</f>
        <v/>
      </c>
      <c r="Q199" s="168" t="n"/>
      <c r="R199" s="168">
        <f>IF(TRIM($A199&amp;"")&lt;&gt;"",TRIM($A199&amp;""),$R198)</f>
        <v/>
      </c>
      <c r="S199" s="168">
        <f>IF($J199="","",MAX($S$6:$S198)+1)</f>
        <v/>
      </c>
      <c r="T199" s="168">
        <f>IF(TRIM($A199&amp;"")="","",MAX($T$6:$T198)+1)</f>
        <v/>
      </c>
    </row>
    <row r="200">
      <c r="A200" s="165" t="n"/>
      <c r="B200" s="166" t="n"/>
      <c r="C200" s="166" t="n"/>
      <c r="D200" s="166" t="n"/>
      <c r="E200" s="166" t="n"/>
      <c r="F200" s="166" t="n"/>
      <c r="G200" s="166" t="n"/>
      <c r="H200" s="166" t="n"/>
      <c r="I200" s="166" t="n"/>
      <c r="J200" s="167">
        <f>IF(TRIM($E200&amp;"")="","",$R200)</f>
        <v/>
      </c>
      <c r="K200" s="167">
        <f>IF(AND(TRIM($A200&amp;"")&lt;&gt;"",COUNTIF($A$7:$A$306,$A200)&gt;1),"DUPLICATE SET",IF(AND($E200&lt;&gt;"",$R200=""),"NO SET ABOVE",IF(AND($E200&lt;&gt;"",$C200=""),"QTY?",IF($J200="","","OK"))))</f>
        <v/>
      </c>
      <c r="L200" s="168" t="n"/>
      <c r="M200" s="169">
        <f>IFERROR(INDEX($R$7:$R$306,MATCH(194,$T$7:$T$306,0)),"")</f>
        <v/>
      </c>
      <c r="N200" s="170">
        <f>IF($M200="","",INDEX($B$7:$B$306,MATCH(194,$T$7:$T$306,0))&amp;"")</f>
        <v/>
      </c>
      <c r="O200" s="170">
        <f>IF($M200="","",SUMIF(tk_HWSET,$M200,tk_QTY))</f>
        <v/>
      </c>
      <c r="P200" s="170">
        <f>IF($M200="","",COUNTIF($J$7:$J$306,$M200))</f>
        <v/>
      </c>
      <c r="Q200" s="168" t="n"/>
      <c r="R200" s="168">
        <f>IF(TRIM($A200&amp;"")&lt;&gt;"",TRIM($A200&amp;""),$R199)</f>
        <v/>
      </c>
      <c r="S200" s="168">
        <f>IF($J200="","",MAX($S$6:$S199)+1)</f>
        <v/>
      </c>
      <c r="T200" s="168">
        <f>IF(TRIM($A200&amp;"")="","",MAX($T$6:$T199)+1)</f>
        <v/>
      </c>
    </row>
    <row r="201">
      <c r="A201" s="165" t="n"/>
      <c r="B201" s="166" t="n"/>
      <c r="C201" s="166" t="n"/>
      <c r="D201" s="166" t="n"/>
      <c r="E201" s="166" t="n"/>
      <c r="F201" s="166" t="n"/>
      <c r="G201" s="166" t="n"/>
      <c r="H201" s="166" t="n"/>
      <c r="I201" s="166" t="n"/>
      <c r="J201" s="167">
        <f>IF(TRIM($E201&amp;"")="","",$R201)</f>
        <v/>
      </c>
      <c r="K201" s="167">
        <f>IF(AND(TRIM($A201&amp;"")&lt;&gt;"",COUNTIF($A$7:$A$306,$A201)&gt;1),"DUPLICATE SET",IF(AND($E201&lt;&gt;"",$R201=""),"NO SET ABOVE",IF(AND($E201&lt;&gt;"",$C201=""),"QTY?",IF($J201="","","OK"))))</f>
        <v/>
      </c>
      <c r="L201" s="168" t="n"/>
      <c r="M201" s="169">
        <f>IFERROR(INDEX($R$7:$R$306,MATCH(195,$T$7:$T$306,0)),"")</f>
        <v/>
      </c>
      <c r="N201" s="170">
        <f>IF($M201="","",INDEX($B$7:$B$306,MATCH(195,$T$7:$T$306,0))&amp;"")</f>
        <v/>
      </c>
      <c r="O201" s="170">
        <f>IF($M201="","",SUMIF(tk_HWSET,$M201,tk_QTY))</f>
        <v/>
      </c>
      <c r="P201" s="170">
        <f>IF($M201="","",COUNTIF($J$7:$J$306,$M201))</f>
        <v/>
      </c>
      <c r="Q201" s="168" t="n"/>
      <c r="R201" s="168">
        <f>IF(TRIM($A201&amp;"")&lt;&gt;"",TRIM($A201&amp;""),$R200)</f>
        <v/>
      </c>
      <c r="S201" s="168">
        <f>IF($J201="","",MAX($S$6:$S200)+1)</f>
        <v/>
      </c>
      <c r="T201" s="168">
        <f>IF(TRIM($A201&amp;"")="","",MAX($T$6:$T200)+1)</f>
        <v/>
      </c>
    </row>
    <row r="202">
      <c r="A202" s="165" t="n"/>
      <c r="B202" s="166" t="n"/>
      <c r="C202" s="166" t="n"/>
      <c r="D202" s="166" t="n"/>
      <c r="E202" s="166" t="n"/>
      <c r="F202" s="166" t="n"/>
      <c r="G202" s="166" t="n"/>
      <c r="H202" s="166" t="n"/>
      <c r="I202" s="166" t="n"/>
      <c r="J202" s="167">
        <f>IF(TRIM($E202&amp;"")="","",$R202)</f>
        <v/>
      </c>
      <c r="K202" s="167">
        <f>IF(AND(TRIM($A202&amp;"")&lt;&gt;"",COUNTIF($A$7:$A$306,$A202)&gt;1),"DUPLICATE SET",IF(AND($E202&lt;&gt;"",$R202=""),"NO SET ABOVE",IF(AND($E202&lt;&gt;"",$C202=""),"QTY?",IF($J202="","","OK"))))</f>
        <v/>
      </c>
      <c r="L202" s="168" t="n"/>
      <c r="M202" s="169">
        <f>IFERROR(INDEX($R$7:$R$306,MATCH(196,$T$7:$T$306,0)),"")</f>
        <v/>
      </c>
      <c r="N202" s="170">
        <f>IF($M202="","",INDEX($B$7:$B$306,MATCH(196,$T$7:$T$306,0))&amp;"")</f>
        <v/>
      </c>
      <c r="O202" s="170">
        <f>IF($M202="","",SUMIF(tk_HWSET,$M202,tk_QTY))</f>
        <v/>
      </c>
      <c r="P202" s="170">
        <f>IF($M202="","",COUNTIF($J$7:$J$306,$M202))</f>
        <v/>
      </c>
      <c r="Q202" s="168" t="n"/>
      <c r="R202" s="168">
        <f>IF(TRIM($A202&amp;"")&lt;&gt;"",TRIM($A202&amp;""),$R201)</f>
        <v/>
      </c>
      <c r="S202" s="168">
        <f>IF($J202="","",MAX($S$6:$S201)+1)</f>
        <v/>
      </c>
      <c r="T202" s="168">
        <f>IF(TRIM($A202&amp;"")="","",MAX($T$6:$T201)+1)</f>
        <v/>
      </c>
    </row>
    <row r="203">
      <c r="A203" s="165" t="n"/>
      <c r="B203" s="166" t="n"/>
      <c r="C203" s="166" t="n"/>
      <c r="D203" s="166" t="n"/>
      <c r="E203" s="166" t="n"/>
      <c r="F203" s="166" t="n"/>
      <c r="G203" s="166" t="n"/>
      <c r="H203" s="166" t="n"/>
      <c r="I203" s="166" t="n"/>
      <c r="J203" s="167">
        <f>IF(TRIM($E203&amp;"")="","",$R203)</f>
        <v/>
      </c>
      <c r="K203" s="167">
        <f>IF(AND(TRIM($A203&amp;"")&lt;&gt;"",COUNTIF($A$7:$A$306,$A203)&gt;1),"DUPLICATE SET",IF(AND($E203&lt;&gt;"",$R203=""),"NO SET ABOVE",IF(AND($E203&lt;&gt;"",$C203=""),"QTY?",IF($J203="","","OK"))))</f>
        <v/>
      </c>
      <c r="L203" s="168" t="n"/>
      <c r="M203" s="169">
        <f>IFERROR(INDEX($R$7:$R$306,MATCH(197,$T$7:$T$306,0)),"")</f>
        <v/>
      </c>
      <c r="N203" s="170">
        <f>IF($M203="","",INDEX($B$7:$B$306,MATCH(197,$T$7:$T$306,0))&amp;"")</f>
        <v/>
      </c>
      <c r="O203" s="170">
        <f>IF($M203="","",SUMIF(tk_HWSET,$M203,tk_QTY))</f>
        <v/>
      </c>
      <c r="P203" s="170">
        <f>IF($M203="","",COUNTIF($J$7:$J$306,$M203))</f>
        <v/>
      </c>
      <c r="Q203" s="168" t="n"/>
      <c r="R203" s="168">
        <f>IF(TRIM($A203&amp;"")&lt;&gt;"",TRIM($A203&amp;""),$R202)</f>
        <v/>
      </c>
      <c r="S203" s="168">
        <f>IF($J203="","",MAX($S$6:$S202)+1)</f>
        <v/>
      </c>
      <c r="T203" s="168">
        <f>IF(TRIM($A203&amp;"")="","",MAX($T$6:$T202)+1)</f>
        <v/>
      </c>
    </row>
    <row r="204">
      <c r="A204" s="165" t="n"/>
      <c r="B204" s="166" t="n"/>
      <c r="C204" s="166" t="n"/>
      <c r="D204" s="166" t="n"/>
      <c r="E204" s="166" t="n"/>
      <c r="F204" s="166" t="n"/>
      <c r="G204" s="166" t="n"/>
      <c r="H204" s="166" t="n"/>
      <c r="I204" s="166" t="n"/>
      <c r="J204" s="167">
        <f>IF(TRIM($E204&amp;"")="","",$R204)</f>
        <v/>
      </c>
      <c r="K204" s="167">
        <f>IF(AND(TRIM($A204&amp;"")&lt;&gt;"",COUNTIF($A$7:$A$306,$A204)&gt;1),"DUPLICATE SET",IF(AND($E204&lt;&gt;"",$R204=""),"NO SET ABOVE",IF(AND($E204&lt;&gt;"",$C204=""),"QTY?",IF($J204="","","OK"))))</f>
        <v/>
      </c>
      <c r="L204" s="168" t="n"/>
      <c r="M204" s="169">
        <f>IFERROR(INDEX($R$7:$R$306,MATCH(198,$T$7:$T$306,0)),"")</f>
        <v/>
      </c>
      <c r="N204" s="170">
        <f>IF($M204="","",INDEX($B$7:$B$306,MATCH(198,$T$7:$T$306,0))&amp;"")</f>
        <v/>
      </c>
      <c r="O204" s="170">
        <f>IF($M204="","",SUMIF(tk_HWSET,$M204,tk_QTY))</f>
        <v/>
      </c>
      <c r="P204" s="170">
        <f>IF($M204="","",COUNTIF($J$7:$J$306,$M204))</f>
        <v/>
      </c>
      <c r="Q204" s="168" t="n"/>
      <c r="R204" s="168">
        <f>IF(TRIM($A204&amp;"")&lt;&gt;"",TRIM($A204&amp;""),$R203)</f>
        <v/>
      </c>
      <c r="S204" s="168">
        <f>IF($J204="","",MAX($S$6:$S203)+1)</f>
        <v/>
      </c>
      <c r="T204" s="168">
        <f>IF(TRIM($A204&amp;"")="","",MAX($T$6:$T203)+1)</f>
        <v/>
      </c>
    </row>
    <row r="205">
      <c r="A205" s="165" t="n"/>
      <c r="B205" s="166" t="n"/>
      <c r="C205" s="166" t="n"/>
      <c r="D205" s="166" t="n"/>
      <c r="E205" s="166" t="n"/>
      <c r="F205" s="166" t="n"/>
      <c r="G205" s="166" t="n"/>
      <c r="H205" s="166" t="n"/>
      <c r="I205" s="166" t="n"/>
      <c r="J205" s="167">
        <f>IF(TRIM($E205&amp;"")="","",$R205)</f>
        <v/>
      </c>
      <c r="K205" s="167">
        <f>IF(AND(TRIM($A205&amp;"")&lt;&gt;"",COUNTIF($A$7:$A$306,$A205)&gt;1),"DUPLICATE SET",IF(AND($E205&lt;&gt;"",$R205=""),"NO SET ABOVE",IF(AND($E205&lt;&gt;"",$C205=""),"QTY?",IF($J205="","","OK"))))</f>
        <v/>
      </c>
      <c r="L205" s="168" t="n"/>
      <c r="M205" s="169">
        <f>IFERROR(INDEX($R$7:$R$306,MATCH(199,$T$7:$T$306,0)),"")</f>
        <v/>
      </c>
      <c r="N205" s="170">
        <f>IF($M205="","",INDEX($B$7:$B$306,MATCH(199,$T$7:$T$306,0))&amp;"")</f>
        <v/>
      </c>
      <c r="O205" s="170">
        <f>IF($M205="","",SUMIF(tk_HWSET,$M205,tk_QTY))</f>
        <v/>
      </c>
      <c r="P205" s="170">
        <f>IF($M205="","",COUNTIF($J$7:$J$306,$M205))</f>
        <v/>
      </c>
      <c r="Q205" s="168" t="n"/>
      <c r="R205" s="168">
        <f>IF(TRIM($A205&amp;"")&lt;&gt;"",TRIM($A205&amp;""),$R204)</f>
        <v/>
      </c>
      <c r="S205" s="168">
        <f>IF($J205="","",MAX($S$6:$S204)+1)</f>
        <v/>
      </c>
      <c r="T205" s="168">
        <f>IF(TRIM($A205&amp;"")="","",MAX($T$6:$T204)+1)</f>
        <v/>
      </c>
    </row>
    <row r="206">
      <c r="A206" s="165" t="n"/>
      <c r="B206" s="166" t="n"/>
      <c r="C206" s="166" t="n"/>
      <c r="D206" s="166" t="n"/>
      <c r="E206" s="166" t="n"/>
      <c r="F206" s="166" t="n"/>
      <c r="G206" s="166" t="n"/>
      <c r="H206" s="166" t="n"/>
      <c r="I206" s="166" t="n"/>
      <c r="J206" s="167">
        <f>IF(TRIM($E206&amp;"")="","",$R206)</f>
        <v/>
      </c>
      <c r="K206" s="167">
        <f>IF(AND(TRIM($A206&amp;"")&lt;&gt;"",COUNTIF($A$7:$A$306,$A206)&gt;1),"DUPLICATE SET",IF(AND($E206&lt;&gt;"",$R206=""),"NO SET ABOVE",IF(AND($E206&lt;&gt;"",$C206=""),"QTY?",IF($J206="","","OK"))))</f>
        <v/>
      </c>
      <c r="L206" s="168" t="n"/>
      <c r="M206" s="169">
        <f>IFERROR(INDEX($R$7:$R$306,MATCH(200,$T$7:$T$306,0)),"")</f>
        <v/>
      </c>
      <c r="N206" s="170">
        <f>IF($M206="","",INDEX($B$7:$B$306,MATCH(200,$T$7:$T$306,0))&amp;"")</f>
        <v/>
      </c>
      <c r="O206" s="170">
        <f>IF($M206="","",SUMIF(tk_HWSET,$M206,tk_QTY))</f>
        <v/>
      </c>
      <c r="P206" s="170">
        <f>IF($M206="","",COUNTIF($J$7:$J$306,$M206))</f>
        <v/>
      </c>
      <c r="Q206" s="168" t="n"/>
      <c r="R206" s="168">
        <f>IF(TRIM($A206&amp;"")&lt;&gt;"",TRIM($A206&amp;""),$R205)</f>
        <v/>
      </c>
      <c r="S206" s="168">
        <f>IF($J206="","",MAX($S$6:$S205)+1)</f>
        <v/>
      </c>
      <c r="T206" s="168">
        <f>IF(TRIM($A206&amp;"")="","",MAX($T$6:$T205)+1)</f>
        <v/>
      </c>
    </row>
    <row r="207">
      <c r="A207" s="165" t="n"/>
      <c r="B207" s="166" t="n"/>
      <c r="C207" s="166" t="n"/>
      <c r="D207" s="166" t="n"/>
      <c r="E207" s="166" t="n"/>
      <c r="F207" s="166" t="n"/>
      <c r="G207" s="166" t="n"/>
      <c r="H207" s="166" t="n"/>
      <c r="I207" s="166" t="n"/>
      <c r="J207" s="167">
        <f>IF(TRIM($E207&amp;"")="","",$R207)</f>
        <v/>
      </c>
      <c r="K207" s="167">
        <f>IF(AND(TRIM($A207&amp;"")&lt;&gt;"",COUNTIF($A$7:$A$306,$A207)&gt;1),"DUPLICATE SET",IF(AND($E207&lt;&gt;"",$R207=""),"NO SET ABOVE",IF(AND($E207&lt;&gt;"",$C207=""),"QTY?",IF($J207="","","OK"))))</f>
        <v/>
      </c>
      <c r="L207" s="168" t="n"/>
      <c r="M207" s="169">
        <f>IFERROR(INDEX($R$7:$R$306,MATCH(201,$T$7:$T$306,0)),"")</f>
        <v/>
      </c>
      <c r="N207" s="170">
        <f>IF($M207="","",INDEX($B$7:$B$306,MATCH(201,$T$7:$T$306,0))&amp;"")</f>
        <v/>
      </c>
      <c r="O207" s="170">
        <f>IF($M207="","",SUMIF(tk_HWSET,$M207,tk_QTY))</f>
        <v/>
      </c>
      <c r="P207" s="170">
        <f>IF($M207="","",COUNTIF($J$7:$J$306,$M207))</f>
        <v/>
      </c>
      <c r="Q207" s="168" t="n"/>
      <c r="R207" s="168">
        <f>IF(TRIM($A207&amp;"")&lt;&gt;"",TRIM($A207&amp;""),$R206)</f>
        <v/>
      </c>
      <c r="S207" s="168">
        <f>IF($J207="","",MAX($S$6:$S206)+1)</f>
        <v/>
      </c>
      <c r="T207" s="168">
        <f>IF(TRIM($A207&amp;"")="","",MAX($T$6:$T206)+1)</f>
        <v/>
      </c>
    </row>
    <row r="208">
      <c r="A208" s="165" t="n"/>
      <c r="B208" s="166" t="n"/>
      <c r="C208" s="166" t="n"/>
      <c r="D208" s="166" t="n"/>
      <c r="E208" s="166" t="n"/>
      <c r="F208" s="166" t="n"/>
      <c r="G208" s="166" t="n"/>
      <c r="H208" s="166" t="n"/>
      <c r="I208" s="166" t="n"/>
      <c r="J208" s="167">
        <f>IF(TRIM($E208&amp;"")="","",$R208)</f>
        <v/>
      </c>
      <c r="K208" s="167">
        <f>IF(AND(TRIM($A208&amp;"")&lt;&gt;"",COUNTIF($A$7:$A$306,$A208)&gt;1),"DUPLICATE SET",IF(AND($E208&lt;&gt;"",$R208=""),"NO SET ABOVE",IF(AND($E208&lt;&gt;"",$C208=""),"QTY?",IF($J208="","","OK"))))</f>
        <v/>
      </c>
      <c r="L208" s="168" t="n"/>
      <c r="M208" s="169">
        <f>IFERROR(INDEX($R$7:$R$306,MATCH(202,$T$7:$T$306,0)),"")</f>
        <v/>
      </c>
      <c r="N208" s="170">
        <f>IF($M208="","",INDEX($B$7:$B$306,MATCH(202,$T$7:$T$306,0))&amp;"")</f>
        <v/>
      </c>
      <c r="O208" s="170">
        <f>IF($M208="","",SUMIF(tk_HWSET,$M208,tk_QTY))</f>
        <v/>
      </c>
      <c r="P208" s="170">
        <f>IF($M208="","",COUNTIF($J$7:$J$306,$M208))</f>
        <v/>
      </c>
      <c r="Q208" s="168" t="n"/>
      <c r="R208" s="168">
        <f>IF(TRIM($A208&amp;"")&lt;&gt;"",TRIM($A208&amp;""),$R207)</f>
        <v/>
      </c>
      <c r="S208" s="168">
        <f>IF($J208="","",MAX($S$6:$S207)+1)</f>
        <v/>
      </c>
      <c r="T208" s="168">
        <f>IF(TRIM($A208&amp;"")="","",MAX($T$6:$T207)+1)</f>
        <v/>
      </c>
    </row>
    <row r="209">
      <c r="A209" s="165" t="n"/>
      <c r="B209" s="166" t="n"/>
      <c r="C209" s="166" t="n"/>
      <c r="D209" s="166" t="n"/>
      <c r="E209" s="166" t="n"/>
      <c r="F209" s="166" t="n"/>
      <c r="G209" s="166" t="n"/>
      <c r="H209" s="166" t="n"/>
      <c r="I209" s="166" t="n"/>
      <c r="J209" s="167">
        <f>IF(TRIM($E209&amp;"")="","",$R209)</f>
        <v/>
      </c>
      <c r="K209" s="167">
        <f>IF(AND(TRIM($A209&amp;"")&lt;&gt;"",COUNTIF($A$7:$A$306,$A209)&gt;1),"DUPLICATE SET",IF(AND($E209&lt;&gt;"",$R209=""),"NO SET ABOVE",IF(AND($E209&lt;&gt;"",$C209=""),"QTY?",IF($J209="","","OK"))))</f>
        <v/>
      </c>
      <c r="L209" s="168" t="n"/>
      <c r="M209" s="169">
        <f>IFERROR(INDEX($R$7:$R$306,MATCH(203,$T$7:$T$306,0)),"")</f>
        <v/>
      </c>
      <c r="N209" s="170">
        <f>IF($M209="","",INDEX($B$7:$B$306,MATCH(203,$T$7:$T$306,0))&amp;"")</f>
        <v/>
      </c>
      <c r="O209" s="170">
        <f>IF($M209="","",SUMIF(tk_HWSET,$M209,tk_QTY))</f>
        <v/>
      </c>
      <c r="P209" s="170">
        <f>IF($M209="","",COUNTIF($J$7:$J$306,$M209))</f>
        <v/>
      </c>
      <c r="Q209" s="168" t="n"/>
      <c r="R209" s="168">
        <f>IF(TRIM($A209&amp;"")&lt;&gt;"",TRIM($A209&amp;""),$R208)</f>
        <v/>
      </c>
      <c r="S209" s="168">
        <f>IF($J209="","",MAX($S$6:$S208)+1)</f>
        <v/>
      </c>
      <c r="T209" s="168">
        <f>IF(TRIM($A209&amp;"")="","",MAX($T$6:$T208)+1)</f>
        <v/>
      </c>
    </row>
    <row r="210">
      <c r="A210" s="165" t="n"/>
      <c r="B210" s="166" t="n"/>
      <c r="C210" s="166" t="n"/>
      <c r="D210" s="166" t="n"/>
      <c r="E210" s="166" t="n"/>
      <c r="F210" s="166" t="n"/>
      <c r="G210" s="166" t="n"/>
      <c r="H210" s="166" t="n"/>
      <c r="I210" s="166" t="n"/>
      <c r="J210" s="167">
        <f>IF(TRIM($E210&amp;"")="","",$R210)</f>
        <v/>
      </c>
      <c r="K210" s="167">
        <f>IF(AND(TRIM($A210&amp;"")&lt;&gt;"",COUNTIF($A$7:$A$306,$A210)&gt;1),"DUPLICATE SET",IF(AND($E210&lt;&gt;"",$R210=""),"NO SET ABOVE",IF(AND($E210&lt;&gt;"",$C210=""),"QTY?",IF($J210="","","OK"))))</f>
        <v/>
      </c>
      <c r="L210" s="168" t="n"/>
      <c r="M210" s="169">
        <f>IFERROR(INDEX($R$7:$R$306,MATCH(204,$T$7:$T$306,0)),"")</f>
        <v/>
      </c>
      <c r="N210" s="170">
        <f>IF($M210="","",INDEX($B$7:$B$306,MATCH(204,$T$7:$T$306,0))&amp;"")</f>
        <v/>
      </c>
      <c r="O210" s="170">
        <f>IF($M210="","",SUMIF(tk_HWSET,$M210,tk_QTY))</f>
        <v/>
      </c>
      <c r="P210" s="170">
        <f>IF($M210="","",COUNTIF($J$7:$J$306,$M210))</f>
        <v/>
      </c>
      <c r="Q210" s="168" t="n"/>
      <c r="R210" s="168">
        <f>IF(TRIM($A210&amp;"")&lt;&gt;"",TRIM($A210&amp;""),$R209)</f>
        <v/>
      </c>
      <c r="S210" s="168">
        <f>IF($J210="","",MAX($S$6:$S209)+1)</f>
        <v/>
      </c>
      <c r="T210" s="168">
        <f>IF(TRIM($A210&amp;"")="","",MAX($T$6:$T209)+1)</f>
        <v/>
      </c>
    </row>
    <row r="211">
      <c r="A211" s="165" t="n"/>
      <c r="B211" s="166" t="n"/>
      <c r="C211" s="166" t="n"/>
      <c r="D211" s="166" t="n"/>
      <c r="E211" s="166" t="n"/>
      <c r="F211" s="166" t="n"/>
      <c r="G211" s="166" t="n"/>
      <c r="H211" s="166" t="n"/>
      <c r="I211" s="166" t="n"/>
      <c r="J211" s="167">
        <f>IF(TRIM($E211&amp;"")="","",$R211)</f>
        <v/>
      </c>
      <c r="K211" s="167">
        <f>IF(AND(TRIM($A211&amp;"")&lt;&gt;"",COUNTIF($A$7:$A$306,$A211)&gt;1),"DUPLICATE SET",IF(AND($E211&lt;&gt;"",$R211=""),"NO SET ABOVE",IF(AND($E211&lt;&gt;"",$C211=""),"QTY?",IF($J211="","","OK"))))</f>
        <v/>
      </c>
      <c r="L211" s="168" t="n"/>
      <c r="M211" s="169">
        <f>IFERROR(INDEX($R$7:$R$306,MATCH(205,$T$7:$T$306,0)),"")</f>
        <v/>
      </c>
      <c r="N211" s="170">
        <f>IF($M211="","",INDEX($B$7:$B$306,MATCH(205,$T$7:$T$306,0))&amp;"")</f>
        <v/>
      </c>
      <c r="O211" s="170">
        <f>IF($M211="","",SUMIF(tk_HWSET,$M211,tk_QTY))</f>
        <v/>
      </c>
      <c r="P211" s="170">
        <f>IF($M211="","",COUNTIF($J$7:$J$306,$M211))</f>
        <v/>
      </c>
      <c r="Q211" s="168" t="n"/>
      <c r="R211" s="168">
        <f>IF(TRIM($A211&amp;"")&lt;&gt;"",TRIM($A211&amp;""),$R210)</f>
        <v/>
      </c>
      <c r="S211" s="168">
        <f>IF($J211="","",MAX($S$6:$S210)+1)</f>
        <v/>
      </c>
      <c r="T211" s="168">
        <f>IF(TRIM($A211&amp;"")="","",MAX($T$6:$T210)+1)</f>
        <v/>
      </c>
    </row>
    <row r="212">
      <c r="A212" s="165" t="n"/>
      <c r="B212" s="166" t="n"/>
      <c r="C212" s="166" t="n"/>
      <c r="D212" s="166" t="n"/>
      <c r="E212" s="166" t="n"/>
      <c r="F212" s="166" t="n"/>
      <c r="G212" s="166" t="n"/>
      <c r="H212" s="166" t="n"/>
      <c r="I212" s="166" t="n"/>
      <c r="J212" s="167">
        <f>IF(TRIM($E212&amp;"")="","",$R212)</f>
        <v/>
      </c>
      <c r="K212" s="167">
        <f>IF(AND(TRIM($A212&amp;"")&lt;&gt;"",COUNTIF($A$7:$A$306,$A212)&gt;1),"DUPLICATE SET",IF(AND($E212&lt;&gt;"",$R212=""),"NO SET ABOVE",IF(AND($E212&lt;&gt;"",$C212=""),"QTY?",IF($J212="","","OK"))))</f>
        <v/>
      </c>
      <c r="L212" s="168" t="n"/>
      <c r="M212" s="169">
        <f>IFERROR(INDEX($R$7:$R$306,MATCH(206,$T$7:$T$306,0)),"")</f>
        <v/>
      </c>
      <c r="N212" s="170">
        <f>IF($M212="","",INDEX($B$7:$B$306,MATCH(206,$T$7:$T$306,0))&amp;"")</f>
        <v/>
      </c>
      <c r="O212" s="170">
        <f>IF($M212="","",SUMIF(tk_HWSET,$M212,tk_QTY))</f>
        <v/>
      </c>
      <c r="P212" s="170">
        <f>IF($M212="","",COUNTIF($J$7:$J$306,$M212))</f>
        <v/>
      </c>
      <c r="Q212" s="168" t="n"/>
      <c r="R212" s="168">
        <f>IF(TRIM($A212&amp;"")&lt;&gt;"",TRIM($A212&amp;""),$R211)</f>
        <v/>
      </c>
      <c r="S212" s="168">
        <f>IF($J212="","",MAX($S$6:$S211)+1)</f>
        <v/>
      </c>
      <c r="T212" s="168">
        <f>IF(TRIM($A212&amp;"")="","",MAX($T$6:$T211)+1)</f>
        <v/>
      </c>
    </row>
    <row r="213">
      <c r="A213" s="165" t="n"/>
      <c r="B213" s="166" t="n"/>
      <c r="C213" s="166" t="n"/>
      <c r="D213" s="166" t="n"/>
      <c r="E213" s="166" t="n"/>
      <c r="F213" s="166" t="n"/>
      <c r="G213" s="166" t="n"/>
      <c r="H213" s="166" t="n"/>
      <c r="I213" s="166" t="n"/>
      <c r="J213" s="167">
        <f>IF(TRIM($E213&amp;"")="","",$R213)</f>
        <v/>
      </c>
      <c r="K213" s="167">
        <f>IF(AND(TRIM($A213&amp;"")&lt;&gt;"",COUNTIF($A$7:$A$306,$A213)&gt;1),"DUPLICATE SET",IF(AND($E213&lt;&gt;"",$R213=""),"NO SET ABOVE",IF(AND($E213&lt;&gt;"",$C213=""),"QTY?",IF($J213="","","OK"))))</f>
        <v/>
      </c>
      <c r="L213" s="168" t="n"/>
      <c r="M213" s="169">
        <f>IFERROR(INDEX($R$7:$R$306,MATCH(207,$T$7:$T$306,0)),"")</f>
        <v/>
      </c>
      <c r="N213" s="170">
        <f>IF($M213="","",INDEX($B$7:$B$306,MATCH(207,$T$7:$T$306,0))&amp;"")</f>
        <v/>
      </c>
      <c r="O213" s="170">
        <f>IF($M213="","",SUMIF(tk_HWSET,$M213,tk_QTY))</f>
        <v/>
      </c>
      <c r="P213" s="170">
        <f>IF($M213="","",COUNTIF($J$7:$J$306,$M213))</f>
        <v/>
      </c>
      <c r="Q213" s="168" t="n"/>
      <c r="R213" s="168">
        <f>IF(TRIM($A213&amp;"")&lt;&gt;"",TRIM($A213&amp;""),$R212)</f>
        <v/>
      </c>
      <c r="S213" s="168">
        <f>IF($J213="","",MAX($S$6:$S212)+1)</f>
        <v/>
      </c>
      <c r="T213" s="168">
        <f>IF(TRIM($A213&amp;"")="","",MAX($T$6:$T212)+1)</f>
        <v/>
      </c>
    </row>
    <row r="214">
      <c r="A214" s="165" t="n"/>
      <c r="B214" s="166" t="n"/>
      <c r="C214" s="166" t="n"/>
      <c r="D214" s="166" t="n"/>
      <c r="E214" s="166" t="n"/>
      <c r="F214" s="166" t="n"/>
      <c r="G214" s="166" t="n"/>
      <c r="H214" s="166" t="n"/>
      <c r="I214" s="166" t="n"/>
      <c r="J214" s="167">
        <f>IF(TRIM($E214&amp;"")="","",$R214)</f>
        <v/>
      </c>
      <c r="K214" s="167">
        <f>IF(AND(TRIM($A214&amp;"")&lt;&gt;"",COUNTIF($A$7:$A$306,$A214)&gt;1),"DUPLICATE SET",IF(AND($E214&lt;&gt;"",$R214=""),"NO SET ABOVE",IF(AND($E214&lt;&gt;"",$C214=""),"QTY?",IF($J214="","","OK"))))</f>
        <v/>
      </c>
      <c r="L214" s="168" t="n"/>
      <c r="M214" s="169">
        <f>IFERROR(INDEX($R$7:$R$306,MATCH(208,$T$7:$T$306,0)),"")</f>
        <v/>
      </c>
      <c r="N214" s="170">
        <f>IF($M214="","",INDEX($B$7:$B$306,MATCH(208,$T$7:$T$306,0))&amp;"")</f>
        <v/>
      </c>
      <c r="O214" s="170">
        <f>IF($M214="","",SUMIF(tk_HWSET,$M214,tk_QTY))</f>
        <v/>
      </c>
      <c r="P214" s="170">
        <f>IF($M214="","",COUNTIF($J$7:$J$306,$M214))</f>
        <v/>
      </c>
      <c r="Q214" s="168" t="n"/>
      <c r="R214" s="168">
        <f>IF(TRIM($A214&amp;"")&lt;&gt;"",TRIM($A214&amp;""),$R213)</f>
        <v/>
      </c>
      <c r="S214" s="168">
        <f>IF($J214="","",MAX($S$6:$S213)+1)</f>
        <v/>
      </c>
      <c r="T214" s="168">
        <f>IF(TRIM($A214&amp;"")="","",MAX($T$6:$T213)+1)</f>
        <v/>
      </c>
    </row>
    <row r="215">
      <c r="A215" s="165" t="n"/>
      <c r="B215" s="166" t="n"/>
      <c r="C215" s="166" t="n"/>
      <c r="D215" s="166" t="n"/>
      <c r="E215" s="166" t="n"/>
      <c r="F215" s="166" t="n"/>
      <c r="G215" s="166" t="n"/>
      <c r="H215" s="166" t="n"/>
      <c r="I215" s="166" t="n"/>
      <c r="J215" s="167">
        <f>IF(TRIM($E215&amp;"")="","",$R215)</f>
        <v/>
      </c>
      <c r="K215" s="167">
        <f>IF(AND(TRIM($A215&amp;"")&lt;&gt;"",COUNTIF($A$7:$A$306,$A215)&gt;1),"DUPLICATE SET",IF(AND($E215&lt;&gt;"",$R215=""),"NO SET ABOVE",IF(AND($E215&lt;&gt;"",$C215=""),"QTY?",IF($J215="","","OK"))))</f>
        <v/>
      </c>
      <c r="L215" s="168" t="n"/>
      <c r="M215" s="169">
        <f>IFERROR(INDEX($R$7:$R$306,MATCH(209,$T$7:$T$306,0)),"")</f>
        <v/>
      </c>
      <c r="N215" s="170">
        <f>IF($M215="","",INDEX($B$7:$B$306,MATCH(209,$T$7:$T$306,0))&amp;"")</f>
        <v/>
      </c>
      <c r="O215" s="170">
        <f>IF($M215="","",SUMIF(tk_HWSET,$M215,tk_QTY))</f>
        <v/>
      </c>
      <c r="P215" s="170">
        <f>IF($M215="","",COUNTIF($J$7:$J$306,$M215))</f>
        <v/>
      </c>
      <c r="Q215" s="168" t="n"/>
      <c r="R215" s="168">
        <f>IF(TRIM($A215&amp;"")&lt;&gt;"",TRIM($A215&amp;""),$R214)</f>
        <v/>
      </c>
      <c r="S215" s="168">
        <f>IF($J215="","",MAX($S$6:$S214)+1)</f>
        <v/>
      </c>
      <c r="T215" s="168">
        <f>IF(TRIM($A215&amp;"")="","",MAX($T$6:$T214)+1)</f>
        <v/>
      </c>
    </row>
    <row r="216">
      <c r="A216" s="165" t="n"/>
      <c r="B216" s="166" t="n"/>
      <c r="C216" s="166" t="n"/>
      <c r="D216" s="166" t="n"/>
      <c r="E216" s="166" t="n"/>
      <c r="F216" s="166" t="n"/>
      <c r="G216" s="166" t="n"/>
      <c r="H216" s="166" t="n"/>
      <c r="I216" s="166" t="n"/>
      <c r="J216" s="167">
        <f>IF(TRIM($E216&amp;"")="","",$R216)</f>
        <v/>
      </c>
      <c r="K216" s="167">
        <f>IF(AND(TRIM($A216&amp;"")&lt;&gt;"",COUNTIF($A$7:$A$306,$A216)&gt;1),"DUPLICATE SET",IF(AND($E216&lt;&gt;"",$R216=""),"NO SET ABOVE",IF(AND($E216&lt;&gt;"",$C216=""),"QTY?",IF($J216="","","OK"))))</f>
        <v/>
      </c>
      <c r="L216" s="168" t="n"/>
      <c r="M216" s="169">
        <f>IFERROR(INDEX($R$7:$R$306,MATCH(210,$T$7:$T$306,0)),"")</f>
        <v/>
      </c>
      <c r="N216" s="170">
        <f>IF($M216="","",INDEX($B$7:$B$306,MATCH(210,$T$7:$T$306,0))&amp;"")</f>
        <v/>
      </c>
      <c r="O216" s="170">
        <f>IF($M216="","",SUMIF(tk_HWSET,$M216,tk_QTY))</f>
        <v/>
      </c>
      <c r="P216" s="170">
        <f>IF($M216="","",COUNTIF($J$7:$J$306,$M216))</f>
        <v/>
      </c>
      <c r="Q216" s="168" t="n"/>
      <c r="R216" s="168">
        <f>IF(TRIM($A216&amp;"")&lt;&gt;"",TRIM($A216&amp;""),$R215)</f>
        <v/>
      </c>
      <c r="S216" s="168">
        <f>IF($J216="","",MAX($S$6:$S215)+1)</f>
        <v/>
      </c>
      <c r="T216" s="168">
        <f>IF(TRIM($A216&amp;"")="","",MAX($T$6:$T215)+1)</f>
        <v/>
      </c>
    </row>
    <row r="217">
      <c r="A217" s="165" t="n"/>
      <c r="B217" s="166" t="n"/>
      <c r="C217" s="166" t="n"/>
      <c r="D217" s="166" t="n"/>
      <c r="E217" s="166" t="n"/>
      <c r="F217" s="166" t="n"/>
      <c r="G217" s="166" t="n"/>
      <c r="H217" s="166" t="n"/>
      <c r="I217" s="166" t="n"/>
      <c r="J217" s="167">
        <f>IF(TRIM($E217&amp;"")="","",$R217)</f>
        <v/>
      </c>
      <c r="K217" s="167">
        <f>IF(AND(TRIM($A217&amp;"")&lt;&gt;"",COUNTIF($A$7:$A$306,$A217)&gt;1),"DUPLICATE SET",IF(AND($E217&lt;&gt;"",$R217=""),"NO SET ABOVE",IF(AND($E217&lt;&gt;"",$C217=""),"QTY?",IF($J217="","","OK"))))</f>
        <v/>
      </c>
      <c r="L217" s="168" t="n"/>
      <c r="M217" s="169">
        <f>IFERROR(INDEX($R$7:$R$306,MATCH(211,$T$7:$T$306,0)),"")</f>
        <v/>
      </c>
      <c r="N217" s="170">
        <f>IF($M217="","",INDEX($B$7:$B$306,MATCH(211,$T$7:$T$306,0))&amp;"")</f>
        <v/>
      </c>
      <c r="O217" s="170">
        <f>IF($M217="","",SUMIF(tk_HWSET,$M217,tk_QTY))</f>
        <v/>
      </c>
      <c r="P217" s="170">
        <f>IF($M217="","",COUNTIF($J$7:$J$306,$M217))</f>
        <v/>
      </c>
      <c r="Q217" s="168" t="n"/>
      <c r="R217" s="168">
        <f>IF(TRIM($A217&amp;"")&lt;&gt;"",TRIM($A217&amp;""),$R216)</f>
        <v/>
      </c>
      <c r="S217" s="168">
        <f>IF($J217="","",MAX($S$6:$S216)+1)</f>
        <v/>
      </c>
      <c r="T217" s="168">
        <f>IF(TRIM($A217&amp;"")="","",MAX($T$6:$T216)+1)</f>
        <v/>
      </c>
    </row>
    <row r="218">
      <c r="A218" s="165" t="n"/>
      <c r="B218" s="166" t="n"/>
      <c r="C218" s="166" t="n"/>
      <c r="D218" s="166" t="n"/>
      <c r="E218" s="166" t="n"/>
      <c r="F218" s="166" t="n"/>
      <c r="G218" s="166" t="n"/>
      <c r="H218" s="166" t="n"/>
      <c r="I218" s="166" t="n"/>
      <c r="J218" s="167">
        <f>IF(TRIM($E218&amp;"")="","",$R218)</f>
        <v/>
      </c>
      <c r="K218" s="167">
        <f>IF(AND(TRIM($A218&amp;"")&lt;&gt;"",COUNTIF($A$7:$A$306,$A218)&gt;1),"DUPLICATE SET",IF(AND($E218&lt;&gt;"",$R218=""),"NO SET ABOVE",IF(AND($E218&lt;&gt;"",$C218=""),"QTY?",IF($J218="","","OK"))))</f>
        <v/>
      </c>
      <c r="L218" s="168" t="n"/>
      <c r="M218" s="169">
        <f>IFERROR(INDEX($R$7:$R$306,MATCH(212,$T$7:$T$306,0)),"")</f>
        <v/>
      </c>
      <c r="N218" s="170">
        <f>IF($M218="","",INDEX($B$7:$B$306,MATCH(212,$T$7:$T$306,0))&amp;"")</f>
        <v/>
      </c>
      <c r="O218" s="170">
        <f>IF($M218="","",SUMIF(tk_HWSET,$M218,tk_QTY))</f>
        <v/>
      </c>
      <c r="P218" s="170">
        <f>IF($M218="","",COUNTIF($J$7:$J$306,$M218))</f>
        <v/>
      </c>
      <c r="Q218" s="168" t="n"/>
      <c r="R218" s="168">
        <f>IF(TRIM($A218&amp;"")&lt;&gt;"",TRIM($A218&amp;""),$R217)</f>
        <v/>
      </c>
      <c r="S218" s="168">
        <f>IF($J218="","",MAX($S$6:$S217)+1)</f>
        <v/>
      </c>
      <c r="T218" s="168">
        <f>IF(TRIM($A218&amp;"")="","",MAX($T$6:$T217)+1)</f>
        <v/>
      </c>
    </row>
    <row r="219">
      <c r="A219" s="165" t="n"/>
      <c r="B219" s="166" t="n"/>
      <c r="C219" s="166" t="n"/>
      <c r="D219" s="166" t="n"/>
      <c r="E219" s="166" t="n"/>
      <c r="F219" s="166" t="n"/>
      <c r="G219" s="166" t="n"/>
      <c r="H219" s="166" t="n"/>
      <c r="I219" s="166" t="n"/>
      <c r="J219" s="167">
        <f>IF(TRIM($E219&amp;"")="","",$R219)</f>
        <v/>
      </c>
      <c r="K219" s="167">
        <f>IF(AND(TRIM($A219&amp;"")&lt;&gt;"",COUNTIF($A$7:$A$306,$A219)&gt;1),"DUPLICATE SET",IF(AND($E219&lt;&gt;"",$R219=""),"NO SET ABOVE",IF(AND($E219&lt;&gt;"",$C219=""),"QTY?",IF($J219="","","OK"))))</f>
        <v/>
      </c>
      <c r="L219" s="168" t="n"/>
      <c r="M219" s="169">
        <f>IFERROR(INDEX($R$7:$R$306,MATCH(213,$T$7:$T$306,0)),"")</f>
        <v/>
      </c>
      <c r="N219" s="170">
        <f>IF($M219="","",INDEX($B$7:$B$306,MATCH(213,$T$7:$T$306,0))&amp;"")</f>
        <v/>
      </c>
      <c r="O219" s="170">
        <f>IF($M219="","",SUMIF(tk_HWSET,$M219,tk_QTY))</f>
        <v/>
      </c>
      <c r="P219" s="170">
        <f>IF($M219="","",COUNTIF($J$7:$J$306,$M219))</f>
        <v/>
      </c>
      <c r="Q219" s="168" t="n"/>
      <c r="R219" s="168">
        <f>IF(TRIM($A219&amp;"")&lt;&gt;"",TRIM($A219&amp;""),$R218)</f>
        <v/>
      </c>
      <c r="S219" s="168">
        <f>IF($J219="","",MAX($S$6:$S218)+1)</f>
        <v/>
      </c>
      <c r="T219" s="168">
        <f>IF(TRIM($A219&amp;"")="","",MAX($T$6:$T218)+1)</f>
        <v/>
      </c>
    </row>
    <row r="220">
      <c r="A220" s="165" t="n"/>
      <c r="B220" s="166" t="n"/>
      <c r="C220" s="166" t="n"/>
      <c r="D220" s="166" t="n"/>
      <c r="E220" s="166" t="n"/>
      <c r="F220" s="166" t="n"/>
      <c r="G220" s="166" t="n"/>
      <c r="H220" s="166" t="n"/>
      <c r="I220" s="166" t="n"/>
      <c r="J220" s="167">
        <f>IF(TRIM($E220&amp;"")="","",$R220)</f>
        <v/>
      </c>
      <c r="K220" s="167">
        <f>IF(AND(TRIM($A220&amp;"")&lt;&gt;"",COUNTIF($A$7:$A$306,$A220)&gt;1),"DUPLICATE SET",IF(AND($E220&lt;&gt;"",$R220=""),"NO SET ABOVE",IF(AND($E220&lt;&gt;"",$C220=""),"QTY?",IF($J220="","","OK"))))</f>
        <v/>
      </c>
      <c r="L220" s="168" t="n"/>
      <c r="M220" s="169">
        <f>IFERROR(INDEX($R$7:$R$306,MATCH(214,$T$7:$T$306,0)),"")</f>
        <v/>
      </c>
      <c r="N220" s="170">
        <f>IF($M220="","",INDEX($B$7:$B$306,MATCH(214,$T$7:$T$306,0))&amp;"")</f>
        <v/>
      </c>
      <c r="O220" s="170">
        <f>IF($M220="","",SUMIF(tk_HWSET,$M220,tk_QTY))</f>
        <v/>
      </c>
      <c r="P220" s="170">
        <f>IF($M220="","",COUNTIF($J$7:$J$306,$M220))</f>
        <v/>
      </c>
      <c r="Q220" s="168" t="n"/>
      <c r="R220" s="168">
        <f>IF(TRIM($A220&amp;"")&lt;&gt;"",TRIM($A220&amp;""),$R219)</f>
        <v/>
      </c>
      <c r="S220" s="168">
        <f>IF($J220="","",MAX($S$6:$S219)+1)</f>
        <v/>
      </c>
      <c r="T220" s="168">
        <f>IF(TRIM($A220&amp;"")="","",MAX($T$6:$T219)+1)</f>
        <v/>
      </c>
    </row>
    <row r="221">
      <c r="A221" s="165" t="n"/>
      <c r="B221" s="166" t="n"/>
      <c r="C221" s="166" t="n"/>
      <c r="D221" s="166" t="n"/>
      <c r="E221" s="166" t="n"/>
      <c r="F221" s="166" t="n"/>
      <c r="G221" s="166" t="n"/>
      <c r="H221" s="166" t="n"/>
      <c r="I221" s="166" t="n"/>
      <c r="J221" s="167">
        <f>IF(TRIM($E221&amp;"")="","",$R221)</f>
        <v/>
      </c>
      <c r="K221" s="167">
        <f>IF(AND(TRIM($A221&amp;"")&lt;&gt;"",COUNTIF($A$7:$A$306,$A221)&gt;1),"DUPLICATE SET",IF(AND($E221&lt;&gt;"",$R221=""),"NO SET ABOVE",IF(AND($E221&lt;&gt;"",$C221=""),"QTY?",IF($J221="","","OK"))))</f>
        <v/>
      </c>
      <c r="L221" s="168" t="n"/>
      <c r="M221" s="169">
        <f>IFERROR(INDEX($R$7:$R$306,MATCH(215,$T$7:$T$306,0)),"")</f>
        <v/>
      </c>
      <c r="N221" s="170">
        <f>IF($M221="","",INDEX($B$7:$B$306,MATCH(215,$T$7:$T$306,0))&amp;"")</f>
        <v/>
      </c>
      <c r="O221" s="170">
        <f>IF($M221="","",SUMIF(tk_HWSET,$M221,tk_QTY))</f>
        <v/>
      </c>
      <c r="P221" s="170">
        <f>IF($M221="","",COUNTIF($J$7:$J$306,$M221))</f>
        <v/>
      </c>
      <c r="Q221" s="168" t="n"/>
      <c r="R221" s="168">
        <f>IF(TRIM($A221&amp;"")&lt;&gt;"",TRIM($A221&amp;""),$R220)</f>
        <v/>
      </c>
      <c r="S221" s="168">
        <f>IF($J221="","",MAX($S$6:$S220)+1)</f>
        <v/>
      </c>
      <c r="T221" s="168">
        <f>IF(TRIM($A221&amp;"")="","",MAX($T$6:$T220)+1)</f>
        <v/>
      </c>
    </row>
    <row r="222">
      <c r="A222" s="165" t="n"/>
      <c r="B222" s="166" t="n"/>
      <c r="C222" s="166" t="n"/>
      <c r="D222" s="166" t="n"/>
      <c r="E222" s="166" t="n"/>
      <c r="F222" s="166" t="n"/>
      <c r="G222" s="166" t="n"/>
      <c r="H222" s="166" t="n"/>
      <c r="I222" s="166" t="n"/>
      <c r="J222" s="167">
        <f>IF(TRIM($E222&amp;"")="","",$R222)</f>
        <v/>
      </c>
      <c r="K222" s="167">
        <f>IF(AND(TRIM($A222&amp;"")&lt;&gt;"",COUNTIF($A$7:$A$306,$A222)&gt;1),"DUPLICATE SET",IF(AND($E222&lt;&gt;"",$R222=""),"NO SET ABOVE",IF(AND($E222&lt;&gt;"",$C222=""),"QTY?",IF($J222="","","OK"))))</f>
        <v/>
      </c>
      <c r="L222" s="168" t="n"/>
      <c r="M222" s="169">
        <f>IFERROR(INDEX($R$7:$R$306,MATCH(216,$T$7:$T$306,0)),"")</f>
        <v/>
      </c>
      <c r="N222" s="170">
        <f>IF($M222="","",INDEX($B$7:$B$306,MATCH(216,$T$7:$T$306,0))&amp;"")</f>
        <v/>
      </c>
      <c r="O222" s="170">
        <f>IF($M222="","",SUMIF(tk_HWSET,$M222,tk_QTY))</f>
        <v/>
      </c>
      <c r="P222" s="170">
        <f>IF($M222="","",COUNTIF($J$7:$J$306,$M222))</f>
        <v/>
      </c>
      <c r="Q222" s="168" t="n"/>
      <c r="R222" s="168">
        <f>IF(TRIM($A222&amp;"")&lt;&gt;"",TRIM($A222&amp;""),$R221)</f>
        <v/>
      </c>
      <c r="S222" s="168">
        <f>IF($J222="","",MAX($S$6:$S221)+1)</f>
        <v/>
      </c>
      <c r="T222" s="168">
        <f>IF(TRIM($A222&amp;"")="","",MAX($T$6:$T221)+1)</f>
        <v/>
      </c>
    </row>
    <row r="223">
      <c r="A223" s="165" t="n"/>
      <c r="B223" s="166" t="n"/>
      <c r="C223" s="166" t="n"/>
      <c r="D223" s="166" t="n"/>
      <c r="E223" s="166" t="n"/>
      <c r="F223" s="166" t="n"/>
      <c r="G223" s="166" t="n"/>
      <c r="H223" s="166" t="n"/>
      <c r="I223" s="166" t="n"/>
      <c r="J223" s="167">
        <f>IF(TRIM($E223&amp;"")="","",$R223)</f>
        <v/>
      </c>
      <c r="K223" s="167">
        <f>IF(AND(TRIM($A223&amp;"")&lt;&gt;"",COUNTIF($A$7:$A$306,$A223)&gt;1),"DUPLICATE SET",IF(AND($E223&lt;&gt;"",$R223=""),"NO SET ABOVE",IF(AND($E223&lt;&gt;"",$C223=""),"QTY?",IF($J223="","","OK"))))</f>
        <v/>
      </c>
      <c r="L223" s="168" t="n"/>
      <c r="M223" s="169">
        <f>IFERROR(INDEX($R$7:$R$306,MATCH(217,$T$7:$T$306,0)),"")</f>
        <v/>
      </c>
      <c r="N223" s="170">
        <f>IF($M223="","",INDEX($B$7:$B$306,MATCH(217,$T$7:$T$306,0))&amp;"")</f>
        <v/>
      </c>
      <c r="O223" s="170">
        <f>IF($M223="","",SUMIF(tk_HWSET,$M223,tk_QTY))</f>
        <v/>
      </c>
      <c r="P223" s="170">
        <f>IF($M223="","",COUNTIF($J$7:$J$306,$M223))</f>
        <v/>
      </c>
      <c r="Q223" s="168" t="n"/>
      <c r="R223" s="168">
        <f>IF(TRIM($A223&amp;"")&lt;&gt;"",TRIM($A223&amp;""),$R222)</f>
        <v/>
      </c>
      <c r="S223" s="168">
        <f>IF($J223="","",MAX($S$6:$S222)+1)</f>
        <v/>
      </c>
      <c r="T223" s="168">
        <f>IF(TRIM($A223&amp;"")="","",MAX($T$6:$T222)+1)</f>
        <v/>
      </c>
    </row>
    <row r="224">
      <c r="A224" s="165" t="n"/>
      <c r="B224" s="166" t="n"/>
      <c r="C224" s="166" t="n"/>
      <c r="D224" s="166" t="n"/>
      <c r="E224" s="166" t="n"/>
      <c r="F224" s="166" t="n"/>
      <c r="G224" s="166" t="n"/>
      <c r="H224" s="166" t="n"/>
      <c r="I224" s="166" t="n"/>
      <c r="J224" s="167">
        <f>IF(TRIM($E224&amp;"")="","",$R224)</f>
        <v/>
      </c>
      <c r="K224" s="167">
        <f>IF(AND(TRIM($A224&amp;"")&lt;&gt;"",COUNTIF($A$7:$A$306,$A224)&gt;1),"DUPLICATE SET",IF(AND($E224&lt;&gt;"",$R224=""),"NO SET ABOVE",IF(AND($E224&lt;&gt;"",$C224=""),"QTY?",IF($J224="","","OK"))))</f>
        <v/>
      </c>
      <c r="L224" s="168" t="n"/>
      <c r="M224" s="169">
        <f>IFERROR(INDEX($R$7:$R$306,MATCH(218,$T$7:$T$306,0)),"")</f>
        <v/>
      </c>
      <c r="N224" s="170">
        <f>IF($M224="","",INDEX($B$7:$B$306,MATCH(218,$T$7:$T$306,0))&amp;"")</f>
        <v/>
      </c>
      <c r="O224" s="170">
        <f>IF($M224="","",SUMIF(tk_HWSET,$M224,tk_QTY))</f>
        <v/>
      </c>
      <c r="P224" s="170">
        <f>IF($M224="","",COUNTIF($J$7:$J$306,$M224))</f>
        <v/>
      </c>
      <c r="Q224" s="168" t="n"/>
      <c r="R224" s="168">
        <f>IF(TRIM($A224&amp;"")&lt;&gt;"",TRIM($A224&amp;""),$R223)</f>
        <v/>
      </c>
      <c r="S224" s="168">
        <f>IF($J224="","",MAX($S$6:$S223)+1)</f>
        <v/>
      </c>
      <c r="T224" s="168">
        <f>IF(TRIM($A224&amp;"")="","",MAX($T$6:$T223)+1)</f>
        <v/>
      </c>
    </row>
    <row r="225">
      <c r="A225" s="165" t="n"/>
      <c r="B225" s="166" t="n"/>
      <c r="C225" s="166" t="n"/>
      <c r="D225" s="166" t="n"/>
      <c r="E225" s="166" t="n"/>
      <c r="F225" s="166" t="n"/>
      <c r="G225" s="166" t="n"/>
      <c r="H225" s="166" t="n"/>
      <c r="I225" s="166" t="n"/>
      <c r="J225" s="167">
        <f>IF(TRIM($E225&amp;"")="","",$R225)</f>
        <v/>
      </c>
      <c r="K225" s="167">
        <f>IF(AND(TRIM($A225&amp;"")&lt;&gt;"",COUNTIF($A$7:$A$306,$A225)&gt;1),"DUPLICATE SET",IF(AND($E225&lt;&gt;"",$R225=""),"NO SET ABOVE",IF(AND($E225&lt;&gt;"",$C225=""),"QTY?",IF($J225="","","OK"))))</f>
        <v/>
      </c>
      <c r="L225" s="168" t="n"/>
      <c r="M225" s="169">
        <f>IFERROR(INDEX($R$7:$R$306,MATCH(219,$T$7:$T$306,0)),"")</f>
        <v/>
      </c>
      <c r="N225" s="170">
        <f>IF($M225="","",INDEX($B$7:$B$306,MATCH(219,$T$7:$T$306,0))&amp;"")</f>
        <v/>
      </c>
      <c r="O225" s="170">
        <f>IF($M225="","",SUMIF(tk_HWSET,$M225,tk_QTY))</f>
        <v/>
      </c>
      <c r="P225" s="170">
        <f>IF($M225="","",COUNTIF($J$7:$J$306,$M225))</f>
        <v/>
      </c>
      <c r="Q225" s="168" t="n"/>
      <c r="R225" s="168">
        <f>IF(TRIM($A225&amp;"")&lt;&gt;"",TRIM($A225&amp;""),$R224)</f>
        <v/>
      </c>
      <c r="S225" s="168">
        <f>IF($J225="","",MAX($S$6:$S224)+1)</f>
        <v/>
      </c>
      <c r="T225" s="168">
        <f>IF(TRIM($A225&amp;"")="","",MAX($T$6:$T224)+1)</f>
        <v/>
      </c>
    </row>
    <row r="226">
      <c r="A226" s="165" t="n"/>
      <c r="B226" s="166" t="n"/>
      <c r="C226" s="166" t="n"/>
      <c r="D226" s="166" t="n"/>
      <c r="E226" s="166" t="n"/>
      <c r="F226" s="166" t="n"/>
      <c r="G226" s="166" t="n"/>
      <c r="H226" s="166" t="n"/>
      <c r="I226" s="166" t="n"/>
      <c r="J226" s="167">
        <f>IF(TRIM($E226&amp;"")="","",$R226)</f>
        <v/>
      </c>
      <c r="K226" s="167">
        <f>IF(AND(TRIM($A226&amp;"")&lt;&gt;"",COUNTIF($A$7:$A$306,$A226)&gt;1),"DUPLICATE SET",IF(AND($E226&lt;&gt;"",$R226=""),"NO SET ABOVE",IF(AND($E226&lt;&gt;"",$C226=""),"QTY?",IF($J226="","","OK"))))</f>
        <v/>
      </c>
      <c r="L226" s="168" t="n"/>
      <c r="M226" s="169">
        <f>IFERROR(INDEX($R$7:$R$306,MATCH(220,$T$7:$T$306,0)),"")</f>
        <v/>
      </c>
      <c r="N226" s="170">
        <f>IF($M226="","",INDEX($B$7:$B$306,MATCH(220,$T$7:$T$306,0))&amp;"")</f>
        <v/>
      </c>
      <c r="O226" s="170">
        <f>IF($M226="","",SUMIF(tk_HWSET,$M226,tk_QTY))</f>
        <v/>
      </c>
      <c r="P226" s="170">
        <f>IF($M226="","",COUNTIF($J$7:$J$306,$M226))</f>
        <v/>
      </c>
      <c r="Q226" s="168" t="n"/>
      <c r="R226" s="168">
        <f>IF(TRIM($A226&amp;"")&lt;&gt;"",TRIM($A226&amp;""),$R225)</f>
        <v/>
      </c>
      <c r="S226" s="168">
        <f>IF($J226="","",MAX($S$6:$S225)+1)</f>
        <v/>
      </c>
      <c r="T226" s="168">
        <f>IF(TRIM($A226&amp;"")="","",MAX($T$6:$T225)+1)</f>
        <v/>
      </c>
    </row>
    <row r="227">
      <c r="A227" s="165" t="n"/>
      <c r="B227" s="166" t="n"/>
      <c r="C227" s="166" t="n"/>
      <c r="D227" s="166" t="n"/>
      <c r="E227" s="166" t="n"/>
      <c r="F227" s="166" t="n"/>
      <c r="G227" s="166" t="n"/>
      <c r="H227" s="166" t="n"/>
      <c r="I227" s="166" t="n"/>
      <c r="J227" s="167">
        <f>IF(TRIM($E227&amp;"")="","",$R227)</f>
        <v/>
      </c>
      <c r="K227" s="167">
        <f>IF(AND(TRIM($A227&amp;"")&lt;&gt;"",COUNTIF($A$7:$A$306,$A227)&gt;1),"DUPLICATE SET",IF(AND($E227&lt;&gt;"",$R227=""),"NO SET ABOVE",IF(AND($E227&lt;&gt;"",$C227=""),"QTY?",IF($J227="","","OK"))))</f>
        <v/>
      </c>
      <c r="L227" s="168" t="n"/>
      <c r="M227" s="169">
        <f>IFERROR(INDEX($R$7:$R$306,MATCH(221,$T$7:$T$306,0)),"")</f>
        <v/>
      </c>
      <c r="N227" s="170">
        <f>IF($M227="","",INDEX($B$7:$B$306,MATCH(221,$T$7:$T$306,0))&amp;"")</f>
        <v/>
      </c>
      <c r="O227" s="170">
        <f>IF($M227="","",SUMIF(tk_HWSET,$M227,tk_QTY))</f>
        <v/>
      </c>
      <c r="P227" s="170">
        <f>IF($M227="","",COUNTIF($J$7:$J$306,$M227))</f>
        <v/>
      </c>
      <c r="Q227" s="168" t="n"/>
      <c r="R227" s="168">
        <f>IF(TRIM($A227&amp;"")&lt;&gt;"",TRIM($A227&amp;""),$R226)</f>
        <v/>
      </c>
      <c r="S227" s="168">
        <f>IF($J227="","",MAX($S$6:$S226)+1)</f>
        <v/>
      </c>
      <c r="T227" s="168">
        <f>IF(TRIM($A227&amp;"")="","",MAX($T$6:$T226)+1)</f>
        <v/>
      </c>
    </row>
    <row r="228">
      <c r="A228" s="165" t="n"/>
      <c r="B228" s="166" t="n"/>
      <c r="C228" s="166" t="n"/>
      <c r="D228" s="166" t="n"/>
      <c r="E228" s="166" t="n"/>
      <c r="F228" s="166" t="n"/>
      <c r="G228" s="166" t="n"/>
      <c r="H228" s="166" t="n"/>
      <c r="I228" s="166" t="n"/>
      <c r="J228" s="167">
        <f>IF(TRIM($E228&amp;"")="","",$R228)</f>
        <v/>
      </c>
      <c r="K228" s="167">
        <f>IF(AND(TRIM($A228&amp;"")&lt;&gt;"",COUNTIF($A$7:$A$306,$A228)&gt;1),"DUPLICATE SET",IF(AND($E228&lt;&gt;"",$R228=""),"NO SET ABOVE",IF(AND($E228&lt;&gt;"",$C228=""),"QTY?",IF($J228="","","OK"))))</f>
        <v/>
      </c>
      <c r="L228" s="168" t="n"/>
      <c r="M228" s="169">
        <f>IFERROR(INDEX($R$7:$R$306,MATCH(222,$T$7:$T$306,0)),"")</f>
        <v/>
      </c>
      <c r="N228" s="170">
        <f>IF($M228="","",INDEX($B$7:$B$306,MATCH(222,$T$7:$T$306,0))&amp;"")</f>
        <v/>
      </c>
      <c r="O228" s="170">
        <f>IF($M228="","",SUMIF(tk_HWSET,$M228,tk_QTY))</f>
        <v/>
      </c>
      <c r="P228" s="170">
        <f>IF($M228="","",COUNTIF($J$7:$J$306,$M228))</f>
        <v/>
      </c>
      <c r="Q228" s="168" t="n"/>
      <c r="R228" s="168">
        <f>IF(TRIM($A228&amp;"")&lt;&gt;"",TRIM($A228&amp;""),$R227)</f>
        <v/>
      </c>
      <c r="S228" s="168">
        <f>IF($J228="","",MAX($S$6:$S227)+1)</f>
        <v/>
      </c>
      <c r="T228" s="168">
        <f>IF(TRIM($A228&amp;"")="","",MAX($T$6:$T227)+1)</f>
        <v/>
      </c>
    </row>
    <row r="229">
      <c r="A229" s="165" t="n"/>
      <c r="B229" s="166" t="n"/>
      <c r="C229" s="166" t="n"/>
      <c r="D229" s="166" t="n"/>
      <c r="E229" s="166" t="n"/>
      <c r="F229" s="166" t="n"/>
      <c r="G229" s="166" t="n"/>
      <c r="H229" s="166" t="n"/>
      <c r="I229" s="166" t="n"/>
      <c r="J229" s="167">
        <f>IF(TRIM($E229&amp;"")="","",$R229)</f>
        <v/>
      </c>
      <c r="K229" s="167">
        <f>IF(AND(TRIM($A229&amp;"")&lt;&gt;"",COUNTIF($A$7:$A$306,$A229)&gt;1),"DUPLICATE SET",IF(AND($E229&lt;&gt;"",$R229=""),"NO SET ABOVE",IF(AND($E229&lt;&gt;"",$C229=""),"QTY?",IF($J229="","","OK"))))</f>
        <v/>
      </c>
      <c r="L229" s="168" t="n"/>
      <c r="M229" s="169">
        <f>IFERROR(INDEX($R$7:$R$306,MATCH(223,$T$7:$T$306,0)),"")</f>
        <v/>
      </c>
      <c r="N229" s="170">
        <f>IF($M229="","",INDEX($B$7:$B$306,MATCH(223,$T$7:$T$306,0))&amp;"")</f>
        <v/>
      </c>
      <c r="O229" s="170">
        <f>IF($M229="","",SUMIF(tk_HWSET,$M229,tk_QTY))</f>
        <v/>
      </c>
      <c r="P229" s="170">
        <f>IF($M229="","",COUNTIF($J$7:$J$306,$M229))</f>
        <v/>
      </c>
      <c r="Q229" s="168" t="n"/>
      <c r="R229" s="168">
        <f>IF(TRIM($A229&amp;"")&lt;&gt;"",TRIM($A229&amp;""),$R228)</f>
        <v/>
      </c>
      <c r="S229" s="168">
        <f>IF($J229="","",MAX($S$6:$S228)+1)</f>
        <v/>
      </c>
      <c r="T229" s="168">
        <f>IF(TRIM($A229&amp;"")="","",MAX($T$6:$T228)+1)</f>
        <v/>
      </c>
    </row>
    <row r="230">
      <c r="A230" s="165" t="n"/>
      <c r="B230" s="166" t="n"/>
      <c r="C230" s="166" t="n"/>
      <c r="D230" s="166" t="n"/>
      <c r="E230" s="166" t="n"/>
      <c r="F230" s="166" t="n"/>
      <c r="G230" s="166" t="n"/>
      <c r="H230" s="166" t="n"/>
      <c r="I230" s="166" t="n"/>
      <c r="J230" s="167">
        <f>IF(TRIM($E230&amp;"")="","",$R230)</f>
        <v/>
      </c>
      <c r="K230" s="167">
        <f>IF(AND(TRIM($A230&amp;"")&lt;&gt;"",COUNTIF($A$7:$A$306,$A230)&gt;1),"DUPLICATE SET",IF(AND($E230&lt;&gt;"",$R230=""),"NO SET ABOVE",IF(AND($E230&lt;&gt;"",$C230=""),"QTY?",IF($J230="","","OK"))))</f>
        <v/>
      </c>
      <c r="L230" s="168" t="n"/>
      <c r="M230" s="169">
        <f>IFERROR(INDEX($R$7:$R$306,MATCH(224,$T$7:$T$306,0)),"")</f>
        <v/>
      </c>
      <c r="N230" s="170">
        <f>IF($M230="","",INDEX($B$7:$B$306,MATCH(224,$T$7:$T$306,0))&amp;"")</f>
        <v/>
      </c>
      <c r="O230" s="170">
        <f>IF($M230="","",SUMIF(tk_HWSET,$M230,tk_QTY))</f>
        <v/>
      </c>
      <c r="P230" s="170">
        <f>IF($M230="","",COUNTIF($J$7:$J$306,$M230))</f>
        <v/>
      </c>
      <c r="Q230" s="168" t="n"/>
      <c r="R230" s="168">
        <f>IF(TRIM($A230&amp;"")&lt;&gt;"",TRIM($A230&amp;""),$R229)</f>
        <v/>
      </c>
      <c r="S230" s="168">
        <f>IF($J230="","",MAX($S$6:$S229)+1)</f>
        <v/>
      </c>
      <c r="T230" s="168">
        <f>IF(TRIM($A230&amp;"")="","",MAX($T$6:$T229)+1)</f>
        <v/>
      </c>
    </row>
    <row r="231">
      <c r="A231" s="165" t="n"/>
      <c r="B231" s="166" t="n"/>
      <c r="C231" s="166" t="n"/>
      <c r="D231" s="166" t="n"/>
      <c r="E231" s="166" t="n"/>
      <c r="F231" s="166" t="n"/>
      <c r="G231" s="166" t="n"/>
      <c r="H231" s="166" t="n"/>
      <c r="I231" s="166" t="n"/>
      <c r="J231" s="167">
        <f>IF(TRIM($E231&amp;"")="","",$R231)</f>
        <v/>
      </c>
      <c r="K231" s="167">
        <f>IF(AND(TRIM($A231&amp;"")&lt;&gt;"",COUNTIF($A$7:$A$306,$A231)&gt;1),"DUPLICATE SET",IF(AND($E231&lt;&gt;"",$R231=""),"NO SET ABOVE",IF(AND($E231&lt;&gt;"",$C231=""),"QTY?",IF($J231="","","OK"))))</f>
        <v/>
      </c>
      <c r="L231" s="168" t="n"/>
      <c r="M231" s="169">
        <f>IFERROR(INDEX($R$7:$R$306,MATCH(225,$T$7:$T$306,0)),"")</f>
        <v/>
      </c>
      <c r="N231" s="170">
        <f>IF($M231="","",INDEX($B$7:$B$306,MATCH(225,$T$7:$T$306,0))&amp;"")</f>
        <v/>
      </c>
      <c r="O231" s="170">
        <f>IF($M231="","",SUMIF(tk_HWSET,$M231,tk_QTY))</f>
        <v/>
      </c>
      <c r="P231" s="170">
        <f>IF($M231="","",COUNTIF($J$7:$J$306,$M231))</f>
        <v/>
      </c>
      <c r="Q231" s="168" t="n"/>
      <c r="R231" s="168">
        <f>IF(TRIM($A231&amp;"")&lt;&gt;"",TRIM($A231&amp;""),$R230)</f>
        <v/>
      </c>
      <c r="S231" s="168">
        <f>IF($J231="","",MAX($S$6:$S230)+1)</f>
        <v/>
      </c>
      <c r="T231" s="168">
        <f>IF(TRIM($A231&amp;"")="","",MAX($T$6:$T230)+1)</f>
        <v/>
      </c>
    </row>
    <row r="232">
      <c r="A232" s="165" t="n"/>
      <c r="B232" s="166" t="n"/>
      <c r="C232" s="166" t="n"/>
      <c r="D232" s="166" t="n"/>
      <c r="E232" s="166" t="n"/>
      <c r="F232" s="166" t="n"/>
      <c r="G232" s="166" t="n"/>
      <c r="H232" s="166" t="n"/>
      <c r="I232" s="166" t="n"/>
      <c r="J232" s="167">
        <f>IF(TRIM($E232&amp;"")="","",$R232)</f>
        <v/>
      </c>
      <c r="K232" s="167">
        <f>IF(AND(TRIM($A232&amp;"")&lt;&gt;"",COUNTIF($A$7:$A$306,$A232)&gt;1),"DUPLICATE SET",IF(AND($E232&lt;&gt;"",$R232=""),"NO SET ABOVE",IF(AND($E232&lt;&gt;"",$C232=""),"QTY?",IF($J232="","","OK"))))</f>
        <v/>
      </c>
      <c r="L232" s="168" t="n"/>
      <c r="M232" s="169">
        <f>IFERROR(INDEX($R$7:$R$306,MATCH(226,$T$7:$T$306,0)),"")</f>
        <v/>
      </c>
      <c r="N232" s="170">
        <f>IF($M232="","",INDEX($B$7:$B$306,MATCH(226,$T$7:$T$306,0))&amp;"")</f>
        <v/>
      </c>
      <c r="O232" s="170">
        <f>IF($M232="","",SUMIF(tk_HWSET,$M232,tk_QTY))</f>
        <v/>
      </c>
      <c r="P232" s="170">
        <f>IF($M232="","",COUNTIF($J$7:$J$306,$M232))</f>
        <v/>
      </c>
      <c r="Q232" s="168" t="n"/>
      <c r="R232" s="168">
        <f>IF(TRIM($A232&amp;"")&lt;&gt;"",TRIM($A232&amp;""),$R231)</f>
        <v/>
      </c>
      <c r="S232" s="168">
        <f>IF($J232="","",MAX($S$6:$S231)+1)</f>
        <v/>
      </c>
      <c r="T232" s="168">
        <f>IF(TRIM($A232&amp;"")="","",MAX($T$6:$T231)+1)</f>
        <v/>
      </c>
    </row>
    <row r="233">
      <c r="A233" s="165" t="n"/>
      <c r="B233" s="166" t="n"/>
      <c r="C233" s="166" t="n"/>
      <c r="D233" s="166" t="n"/>
      <c r="E233" s="166" t="n"/>
      <c r="F233" s="166" t="n"/>
      <c r="G233" s="166" t="n"/>
      <c r="H233" s="166" t="n"/>
      <c r="I233" s="166" t="n"/>
      <c r="J233" s="167">
        <f>IF(TRIM($E233&amp;"")="","",$R233)</f>
        <v/>
      </c>
      <c r="K233" s="167">
        <f>IF(AND(TRIM($A233&amp;"")&lt;&gt;"",COUNTIF($A$7:$A$306,$A233)&gt;1),"DUPLICATE SET",IF(AND($E233&lt;&gt;"",$R233=""),"NO SET ABOVE",IF(AND($E233&lt;&gt;"",$C233=""),"QTY?",IF($J233="","","OK"))))</f>
        <v/>
      </c>
      <c r="L233" s="168" t="n"/>
      <c r="M233" s="169">
        <f>IFERROR(INDEX($R$7:$R$306,MATCH(227,$T$7:$T$306,0)),"")</f>
        <v/>
      </c>
      <c r="N233" s="170">
        <f>IF($M233="","",INDEX($B$7:$B$306,MATCH(227,$T$7:$T$306,0))&amp;"")</f>
        <v/>
      </c>
      <c r="O233" s="170">
        <f>IF($M233="","",SUMIF(tk_HWSET,$M233,tk_QTY))</f>
        <v/>
      </c>
      <c r="P233" s="170">
        <f>IF($M233="","",COUNTIF($J$7:$J$306,$M233))</f>
        <v/>
      </c>
      <c r="Q233" s="168" t="n"/>
      <c r="R233" s="168">
        <f>IF(TRIM($A233&amp;"")&lt;&gt;"",TRIM($A233&amp;""),$R232)</f>
        <v/>
      </c>
      <c r="S233" s="168">
        <f>IF($J233="","",MAX($S$6:$S232)+1)</f>
        <v/>
      </c>
      <c r="T233" s="168">
        <f>IF(TRIM($A233&amp;"")="","",MAX($T$6:$T232)+1)</f>
        <v/>
      </c>
    </row>
    <row r="234">
      <c r="A234" s="165" t="n"/>
      <c r="B234" s="166" t="n"/>
      <c r="C234" s="166" t="n"/>
      <c r="D234" s="166" t="n"/>
      <c r="E234" s="166" t="n"/>
      <c r="F234" s="166" t="n"/>
      <c r="G234" s="166" t="n"/>
      <c r="H234" s="166" t="n"/>
      <c r="I234" s="166" t="n"/>
      <c r="J234" s="167">
        <f>IF(TRIM($E234&amp;"")="","",$R234)</f>
        <v/>
      </c>
      <c r="K234" s="167">
        <f>IF(AND(TRIM($A234&amp;"")&lt;&gt;"",COUNTIF($A$7:$A$306,$A234)&gt;1),"DUPLICATE SET",IF(AND($E234&lt;&gt;"",$R234=""),"NO SET ABOVE",IF(AND($E234&lt;&gt;"",$C234=""),"QTY?",IF($J234="","","OK"))))</f>
        <v/>
      </c>
      <c r="L234" s="168" t="n"/>
      <c r="M234" s="169">
        <f>IFERROR(INDEX($R$7:$R$306,MATCH(228,$T$7:$T$306,0)),"")</f>
        <v/>
      </c>
      <c r="N234" s="170">
        <f>IF($M234="","",INDEX($B$7:$B$306,MATCH(228,$T$7:$T$306,0))&amp;"")</f>
        <v/>
      </c>
      <c r="O234" s="170">
        <f>IF($M234="","",SUMIF(tk_HWSET,$M234,tk_QTY))</f>
        <v/>
      </c>
      <c r="P234" s="170">
        <f>IF($M234="","",COUNTIF($J$7:$J$306,$M234))</f>
        <v/>
      </c>
      <c r="Q234" s="168" t="n"/>
      <c r="R234" s="168">
        <f>IF(TRIM($A234&amp;"")&lt;&gt;"",TRIM($A234&amp;""),$R233)</f>
        <v/>
      </c>
      <c r="S234" s="168">
        <f>IF($J234="","",MAX($S$6:$S233)+1)</f>
        <v/>
      </c>
      <c r="T234" s="168">
        <f>IF(TRIM($A234&amp;"")="","",MAX($T$6:$T233)+1)</f>
        <v/>
      </c>
    </row>
    <row r="235">
      <c r="A235" s="165" t="n"/>
      <c r="B235" s="166" t="n"/>
      <c r="C235" s="166" t="n"/>
      <c r="D235" s="166" t="n"/>
      <c r="E235" s="166" t="n"/>
      <c r="F235" s="166" t="n"/>
      <c r="G235" s="166" t="n"/>
      <c r="H235" s="166" t="n"/>
      <c r="I235" s="166" t="n"/>
      <c r="J235" s="167">
        <f>IF(TRIM($E235&amp;"")="","",$R235)</f>
        <v/>
      </c>
      <c r="K235" s="167">
        <f>IF(AND(TRIM($A235&amp;"")&lt;&gt;"",COUNTIF($A$7:$A$306,$A235)&gt;1),"DUPLICATE SET",IF(AND($E235&lt;&gt;"",$R235=""),"NO SET ABOVE",IF(AND($E235&lt;&gt;"",$C235=""),"QTY?",IF($J235="","","OK"))))</f>
        <v/>
      </c>
      <c r="L235" s="168" t="n"/>
      <c r="M235" s="169">
        <f>IFERROR(INDEX($R$7:$R$306,MATCH(229,$T$7:$T$306,0)),"")</f>
        <v/>
      </c>
      <c r="N235" s="170">
        <f>IF($M235="","",INDEX($B$7:$B$306,MATCH(229,$T$7:$T$306,0))&amp;"")</f>
        <v/>
      </c>
      <c r="O235" s="170">
        <f>IF($M235="","",SUMIF(tk_HWSET,$M235,tk_QTY))</f>
        <v/>
      </c>
      <c r="P235" s="170">
        <f>IF($M235="","",COUNTIF($J$7:$J$306,$M235))</f>
        <v/>
      </c>
      <c r="Q235" s="168" t="n"/>
      <c r="R235" s="168">
        <f>IF(TRIM($A235&amp;"")&lt;&gt;"",TRIM($A235&amp;""),$R234)</f>
        <v/>
      </c>
      <c r="S235" s="168">
        <f>IF($J235="","",MAX($S$6:$S234)+1)</f>
        <v/>
      </c>
      <c r="T235" s="168">
        <f>IF(TRIM($A235&amp;"")="","",MAX($T$6:$T234)+1)</f>
        <v/>
      </c>
    </row>
    <row r="236">
      <c r="A236" s="165" t="n"/>
      <c r="B236" s="166" t="n"/>
      <c r="C236" s="166" t="n"/>
      <c r="D236" s="166" t="n"/>
      <c r="E236" s="166" t="n"/>
      <c r="F236" s="166" t="n"/>
      <c r="G236" s="166" t="n"/>
      <c r="H236" s="166" t="n"/>
      <c r="I236" s="166" t="n"/>
      <c r="J236" s="167">
        <f>IF(TRIM($E236&amp;"")="","",$R236)</f>
        <v/>
      </c>
      <c r="K236" s="167">
        <f>IF(AND(TRIM($A236&amp;"")&lt;&gt;"",COUNTIF($A$7:$A$306,$A236)&gt;1),"DUPLICATE SET",IF(AND($E236&lt;&gt;"",$R236=""),"NO SET ABOVE",IF(AND($E236&lt;&gt;"",$C236=""),"QTY?",IF($J236="","","OK"))))</f>
        <v/>
      </c>
      <c r="L236" s="168" t="n"/>
      <c r="M236" s="169">
        <f>IFERROR(INDEX($R$7:$R$306,MATCH(230,$T$7:$T$306,0)),"")</f>
        <v/>
      </c>
      <c r="N236" s="170">
        <f>IF($M236="","",INDEX($B$7:$B$306,MATCH(230,$T$7:$T$306,0))&amp;"")</f>
        <v/>
      </c>
      <c r="O236" s="170">
        <f>IF($M236="","",SUMIF(tk_HWSET,$M236,tk_QTY))</f>
        <v/>
      </c>
      <c r="P236" s="170">
        <f>IF($M236="","",COUNTIF($J$7:$J$306,$M236))</f>
        <v/>
      </c>
      <c r="Q236" s="168" t="n"/>
      <c r="R236" s="168">
        <f>IF(TRIM($A236&amp;"")&lt;&gt;"",TRIM($A236&amp;""),$R235)</f>
        <v/>
      </c>
      <c r="S236" s="168">
        <f>IF($J236="","",MAX($S$6:$S235)+1)</f>
        <v/>
      </c>
      <c r="T236" s="168">
        <f>IF(TRIM($A236&amp;"")="","",MAX($T$6:$T235)+1)</f>
        <v/>
      </c>
    </row>
    <row r="237">
      <c r="A237" s="165" t="n"/>
      <c r="B237" s="166" t="n"/>
      <c r="C237" s="166" t="n"/>
      <c r="D237" s="166" t="n"/>
      <c r="E237" s="166" t="n"/>
      <c r="F237" s="166" t="n"/>
      <c r="G237" s="166" t="n"/>
      <c r="H237" s="166" t="n"/>
      <c r="I237" s="166" t="n"/>
      <c r="J237" s="167">
        <f>IF(TRIM($E237&amp;"")="","",$R237)</f>
        <v/>
      </c>
      <c r="K237" s="167">
        <f>IF(AND(TRIM($A237&amp;"")&lt;&gt;"",COUNTIF($A$7:$A$306,$A237)&gt;1),"DUPLICATE SET",IF(AND($E237&lt;&gt;"",$R237=""),"NO SET ABOVE",IF(AND($E237&lt;&gt;"",$C237=""),"QTY?",IF($J237="","","OK"))))</f>
        <v/>
      </c>
      <c r="L237" s="168" t="n"/>
      <c r="M237" s="169">
        <f>IFERROR(INDEX($R$7:$R$306,MATCH(231,$T$7:$T$306,0)),"")</f>
        <v/>
      </c>
      <c r="N237" s="170">
        <f>IF($M237="","",INDEX($B$7:$B$306,MATCH(231,$T$7:$T$306,0))&amp;"")</f>
        <v/>
      </c>
      <c r="O237" s="170">
        <f>IF($M237="","",SUMIF(tk_HWSET,$M237,tk_QTY))</f>
        <v/>
      </c>
      <c r="P237" s="170">
        <f>IF($M237="","",COUNTIF($J$7:$J$306,$M237))</f>
        <v/>
      </c>
      <c r="Q237" s="168" t="n"/>
      <c r="R237" s="168">
        <f>IF(TRIM($A237&amp;"")&lt;&gt;"",TRIM($A237&amp;""),$R236)</f>
        <v/>
      </c>
      <c r="S237" s="168">
        <f>IF($J237="","",MAX($S$6:$S236)+1)</f>
        <v/>
      </c>
      <c r="T237" s="168">
        <f>IF(TRIM($A237&amp;"")="","",MAX($T$6:$T236)+1)</f>
        <v/>
      </c>
    </row>
    <row r="238">
      <c r="A238" s="165" t="n"/>
      <c r="B238" s="166" t="n"/>
      <c r="C238" s="166" t="n"/>
      <c r="D238" s="166" t="n"/>
      <c r="E238" s="166" t="n"/>
      <c r="F238" s="166" t="n"/>
      <c r="G238" s="166" t="n"/>
      <c r="H238" s="166" t="n"/>
      <c r="I238" s="166" t="n"/>
      <c r="J238" s="167">
        <f>IF(TRIM($E238&amp;"")="","",$R238)</f>
        <v/>
      </c>
      <c r="K238" s="167">
        <f>IF(AND(TRIM($A238&amp;"")&lt;&gt;"",COUNTIF($A$7:$A$306,$A238)&gt;1),"DUPLICATE SET",IF(AND($E238&lt;&gt;"",$R238=""),"NO SET ABOVE",IF(AND($E238&lt;&gt;"",$C238=""),"QTY?",IF($J238="","","OK"))))</f>
        <v/>
      </c>
      <c r="L238" s="168" t="n"/>
      <c r="M238" s="169">
        <f>IFERROR(INDEX($R$7:$R$306,MATCH(232,$T$7:$T$306,0)),"")</f>
        <v/>
      </c>
      <c r="N238" s="170">
        <f>IF($M238="","",INDEX($B$7:$B$306,MATCH(232,$T$7:$T$306,0))&amp;"")</f>
        <v/>
      </c>
      <c r="O238" s="170">
        <f>IF($M238="","",SUMIF(tk_HWSET,$M238,tk_QTY))</f>
        <v/>
      </c>
      <c r="P238" s="170">
        <f>IF($M238="","",COUNTIF($J$7:$J$306,$M238))</f>
        <v/>
      </c>
      <c r="Q238" s="168" t="n"/>
      <c r="R238" s="168">
        <f>IF(TRIM($A238&amp;"")&lt;&gt;"",TRIM($A238&amp;""),$R237)</f>
        <v/>
      </c>
      <c r="S238" s="168">
        <f>IF($J238="","",MAX($S$6:$S237)+1)</f>
        <v/>
      </c>
      <c r="T238" s="168">
        <f>IF(TRIM($A238&amp;"")="","",MAX($T$6:$T237)+1)</f>
        <v/>
      </c>
    </row>
    <row r="239">
      <c r="A239" s="165" t="n"/>
      <c r="B239" s="166" t="n"/>
      <c r="C239" s="166" t="n"/>
      <c r="D239" s="166" t="n"/>
      <c r="E239" s="166" t="n"/>
      <c r="F239" s="166" t="n"/>
      <c r="G239" s="166" t="n"/>
      <c r="H239" s="166" t="n"/>
      <c r="I239" s="166" t="n"/>
      <c r="J239" s="167">
        <f>IF(TRIM($E239&amp;"")="","",$R239)</f>
        <v/>
      </c>
      <c r="K239" s="167">
        <f>IF(AND(TRIM($A239&amp;"")&lt;&gt;"",COUNTIF($A$7:$A$306,$A239)&gt;1),"DUPLICATE SET",IF(AND($E239&lt;&gt;"",$R239=""),"NO SET ABOVE",IF(AND($E239&lt;&gt;"",$C239=""),"QTY?",IF($J239="","","OK"))))</f>
        <v/>
      </c>
      <c r="L239" s="168" t="n"/>
      <c r="M239" s="169">
        <f>IFERROR(INDEX($R$7:$R$306,MATCH(233,$T$7:$T$306,0)),"")</f>
        <v/>
      </c>
      <c r="N239" s="170">
        <f>IF($M239="","",INDEX($B$7:$B$306,MATCH(233,$T$7:$T$306,0))&amp;"")</f>
        <v/>
      </c>
      <c r="O239" s="170">
        <f>IF($M239="","",SUMIF(tk_HWSET,$M239,tk_QTY))</f>
        <v/>
      </c>
      <c r="P239" s="170">
        <f>IF($M239="","",COUNTIF($J$7:$J$306,$M239))</f>
        <v/>
      </c>
      <c r="Q239" s="168" t="n"/>
      <c r="R239" s="168">
        <f>IF(TRIM($A239&amp;"")&lt;&gt;"",TRIM($A239&amp;""),$R238)</f>
        <v/>
      </c>
      <c r="S239" s="168">
        <f>IF($J239="","",MAX($S$6:$S238)+1)</f>
        <v/>
      </c>
      <c r="T239" s="168">
        <f>IF(TRIM($A239&amp;"")="","",MAX($T$6:$T238)+1)</f>
        <v/>
      </c>
    </row>
    <row r="240">
      <c r="A240" s="165" t="n"/>
      <c r="B240" s="166" t="n"/>
      <c r="C240" s="166" t="n"/>
      <c r="D240" s="166" t="n"/>
      <c r="E240" s="166" t="n"/>
      <c r="F240" s="166" t="n"/>
      <c r="G240" s="166" t="n"/>
      <c r="H240" s="166" t="n"/>
      <c r="I240" s="166" t="n"/>
      <c r="J240" s="167">
        <f>IF(TRIM($E240&amp;"")="","",$R240)</f>
        <v/>
      </c>
      <c r="K240" s="167">
        <f>IF(AND(TRIM($A240&amp;"")&lt;&gt;"",COUNTIF($A$7:$A$306,$A240)&gt;1),"DUPLICATE SET",IF(AND($E240&lt;&gt;"",$R240=""),"NO SET ABOVE",IF(AND($E240&lt;&gt;"",$C240=""),"QTY?",IF($J240="","","OK"))))</f>
        <v/>
      </c>
      <c r="L240" s="168" t="n"/>
      <c r="M240" s="169">
        <f>IFERROR(INDEX($R$7:$R$306,MATCH(234,$T$7:$T$306,0)),"")</f>
        <v/>
      </c>
      <c r="N240" s="170">
        <f>IF($M240="","",INDEX($B$7:$B$306,MATCH(234,$T$7:$T$306,0))&amp;"")</f>
        <v/>
      </c>
      <c r="O240" s="170">
        <f>IF($M240="","",SUMIF(tk_HWSET,$M240,tk_QTY))</f>
        <v/>
      </c>
      <c r="P240" s="170">
        <f>IF($M240="","",COUNTIF($J$7:$J$306,$M240))</f>
        <v/>
      </c>
      <c r="Q240" s="168" t="n"/>
      <c r="R240" s="168">
        <f>IF(TRIM($A240&amp;"")&lt;&gt;"",TRIM($A240&amp;""),$R239)</f>
        <v/>
      </c>
      <c r="S240" s="168">
        <f>IF($J240="","",MAX($S$6:$S239)+1)</f>
        <v/>
      </c>
      <c r="T240" s="168">
        <f>IF(TRIM($A240&amp;"")="","",MAX($T$6:$T239)+1)</f>
        <v/>
      </c>
    </row>
    <row r="241">
      <c r="A241" s="165" t="n"/>
      <c r="B241" s="166" t="n"/>
      <c r="C241" s="166" t="n"/>
      <c r="D241" s="166" t="n"/>
      <c r="E241" s="166" t="n"/>
      <c r="F241" s="166" t="n"/>
      <c r="G241" s="166" t="n"/>
      <c r="H241" s="166" t="n"/>
      <c r="I241" s="166" t="n"/>
      <c r="J241" s="167">
        <f>IF(TRIM($E241&amp;"")="","",$R241)</f>
        <v/>
      </c>
      <c r="K241" s="167">
        <f>IF(AND(TRIM($A241&amp;"")&lt;&gt;"",COUNTIF($A$7:$A$306,$A241)&gt;1),"DUPLICATE SET",IF(AND($E241&lt;&gt;"",$R241=""),"NO SET ABOVE",IF(AND($E241&lt;&gt;"",$C241=""),"QTY?",IF($J241="","","OK"))))</f>
        <v/>
      </c>
      <c r="L241" s="168" t="n"/>
      <c r="M241" s="169">
        <f>IFERROR(INDEX($R$7:$R$306,MATCH(235,$T$7:$T$306,0)),"")</f>
        <v/>
      </c>
      <c r="N241" s="170">
        <f>IF($M241="","",INDEX($B$7:$B$306,MATCH(235,$T$7:$T$306,0))&amp;"")</f>
        <v/>
      </c>
      <c r="O241" s="170">
        <f>IF($M241="","",SUMIF(tk_HWSET,$M241,tk_QTY))</f>
        <v/>
      </c>
      <c r="P241" s="170">
        <f>IF($M241="","",COUNTIF($J$7:$J$306,$M241))</f>
        <v/>
      </c>
      <c r="Q241" s="168" t="n"/>
      <c r="R241" s="168">
        <f>IF(TRIM($A241&amp;"")&lt;&gt;"",TRIM($A241&amp;""),$R240)</f>
        <v/>
      </c>
      <c r="S241" s="168">
        <f>IF($J241="","",MAX($S$6:$S240)+1)</f>
        <v/>
      </c>
      <c r="T241" s="168">
        <f>IF(TRIM($A241&amp;"")="","",MAX($T$6:$T240)+1)</f>
        <v/>
      </c>
    </row>
    <row r="242">
      <c r="A242" s="165" t="n"/>
      <c r="B242" s="166" t="n"/>
      <c r="C242" s="166" t="n"/>
      <c r="D242" s="166" t="n"/>
      <c r="E242" s="166" t="n"/>
      <c r="F242" s="166" t="n"/>
      <c r="G242" s="166" t="n"/>
      <c r="H242" s="166" t="n"/>
      <c r="I242" s="166" t="n"/>
      <c r="J242" s="167">
        <f>IF(TRIM($E242&amp;"")="","",$R242)</f>
        <v/>
      </c>
      <c r="K242" s="167">
        <f>IF(AND(TRIM($A242&amp;"")&lt;&gt;"",COUNTIF($A$7:$A$306,$A242)&gt;1),"DUPLICATE SET",IF(AND($E242&lt;&gt;"",$R242=""),"NO SET ABOVE",IF(AND($E242&lt;&gt;"",$C242=""),"QTY?",IF($J242="","","OK"))))</f>
        <v/>
      </c>
      <c r="L242" s="168" t="n"/>
      <c r="M242" s="169">
        <f>IFERROR(INDEX($R$7:$R$306,MATCH(236,$T$7:$T$306,0)),"")</f>
        <v/>
      </c>
      <c r="N242" s="170">
        <f>IF($M242="","",INDEX($B$7:$B$306,MATCH(236,$T$7:$T$306,0))&amp;"")</f>
        <v/>
      </c>
      <c r="O242" s="170">
        <f>IF($M242="","",SUMIF(tk_HWSET,$M242,tk_QTY))</f>
        <v/>
      </c>
      <c r="P242" s="170">
        <f>IF($M242="","",COUNTIF($J$7:$J$306,$M242))</f>
        <v/>
      </c>
      <c r="Q242" s="168" t="n"/>
      <c r="R242" s="168">
        <f>IF(TRIM($A242&amp;"")&lt;&gt;"",TRIM($A242&amp;""),$R241)</f>
        <v/>
      </c>
      <c r="S242" s="168">
        <f>IF($J242="","",MAX($S$6:$S241)+1)</f>
        <v/>
      </c>
      <c r="T242" s="168">
        <f>IF(TRIM($A242&amp;"")="","",MAX($T$6:$T241)+1)</f>
        <v/>
      </c>
    </row>
    <row r="243">
      <c r="A243" s="165" t="n"/>
      <c r="B243" s="166" t="n"/>
      <c r="C243" s="166" t="n"/>
      <c r="D243" s="166" t="n"/>
      <c r="E243" s="166" t="n"/>
      <c r="F243" s="166" t="n"/>
      <c r="G243" s="166" t="n"/>
      <c r="H243" s="166" t="n"/>
      <c r="I243" s="166" t="n"/>
      <c r="J243" s="167">
        <f>IF(TRIM($E243&amp;"")="","",$R243)</f>
        <v/>
      </c>
      <c r="K243" s="167">
        <f>IF(AND(TRIM($A243&amp;"")&lt;&gt;"",COUNTIF($A$7:$A$306,$A243)&gt;1),"DUPLICATE SET",IF(AND($E243&lt;&gt;"",$R243=""),"NO SET ABOVE",IF(AND($E243&lt;&gt;"",$C243=""),"QTY?",IF($J243="","","OK"))))</f>
        <v/>
      </c>
      <c r="L243" s="168" t="n"/>
      <c r="M243" s="169">
        <f>IFERROR(INDEX($R$7:$R$306,MATCH(237,$T$7:$T$306,0)),"")</f>
        <v/>
      </c>
      <c r="N243" s="170">
        <f>IF($M243="","",INDEX($B$7:$B$306,MATCH(237,$T$7:$T$306,0))&amp;"")</f>
        <v/>
      </c>
      <c r="O243" s="170">
        <f>IF($M243="","",SUMIF(tk_HWSET,$M243,tk_QTY))</f>
        <v/>
      </c>
      <c r="P243" s="170">
        <f>IF($M243="","",COUNTIF($J$7:$J$306,$M243))</f>
        <v/>
      </c>
      <c r="Q243" s="168" t="n"/>
      <c r="R243" s="168">
        <f>IF(TRIM($A243&amp;"")&lt;&gt;"",TRIM($A243&amp;""),$R242)</f>
        <v/>
      </c>
      <c r="S243" s="168">
        <f>IF($J243="","",MAX($S$6:$S242)+1)</f>
        <v/>
      </c>
      <c r="T243" s="168">
        <f>IF(TRIM($A243&amp;"")="","",MAX($T$6:$T242)+1)</f>
        <v/>
      </c>
    </row>
    <row r="244">
      <c r="A244" s="165" t="n"/>
      <c r="B244" s="166" t="n"/>
      <c r="C244" s="166" t="n"/>
      <c r="D244" s="166" t="n"/>
      <c r="E244" s="166" t="n"/>
      <c r="F244" s="166" t="n"/>
      <c r="G244" s="166" t="n"/>
      <c r="H244" s="166" t="n"/>
      <c r="I244" s="166" t="n"/>
      <c r="J244" s="167">
        <f>IF(TRIM($E244&amp;"")="","",$R244)</f>
        <v/>
      </c>
      <c r="K244" s="167">
        <f>IF(AND(TRIM($A244&amp;"")&lt;&gt;"",COUNTIF($A$7:$A$306,$A244)&gt;1),"DUPLICATE SET",IF(AND($E244&lt;&gt;"",$R244=""),"NO SET ABOVE",IF(AND($E244&lt;&gt;"",$C244=""),"QTY?",IF($J244="","","OK"))))</f>
        <v/>
      </c>
      <c r="L244" s="168" t="n"/>
      <c r="M244" s="169">
        <f>IFERROR(INDEX($R$7:$R$306,MATCH(238,$T$7:$T$306,0)),"")</f>
        <v/>
      </c>
      <c r="N244" s="170">
        <f>IF($M244="","",INDEX($B$7:$B$306,MATCH(238,$T$7:$T$306,0))&amp;"")</f>
        <v/>
      </c>
      <c r="O244" s="170">
        <f>IF($M244="","",SUMIF(tk_HWSET,$M244,tk_QTY))</f>
        <v/>
      </c>
      <c r="P244" s="170">
        <f>IF($M244="","",COUNTIF($J$7:$J$306,$M244))</f>
        <v/>
      </c>
      <c r="Q244" s="168" t="n"/>
      <c r="R244" s="168">
        <f>IF(TRIM($A244&amp;"")&lt;&gt;"",TRIM($A244&amp;""),$R243)</f>
        <v/>
      </c>
      <c r="S244" s="168">
        <f>IF($J244="","",MAX($S$6:$S243)+1)</f>
        <v/>
      </c>
      <c r="T244" s="168">
        <f>IF(TRIM($A244&amp;"")="","",MAX($T$6:$T243)+1)</f>
        <v/>
      </c>
    </row>
    <row r="245">
      <c r="A245" s="165" t="n"/>
      <c r="B245" s="166" t="n"/>
      <c r="C245" s="166" t="n"/>
      <c r="D245" s="166" t="n"/>
      <c r="E245" s="166" t="n"/>
      <c r="F245" s="166" t="n"/>
      <c r="G245" s="166" t="n"/>
      <c r="H245" s="166" t="n"/>
      <c r="I245" s="166" t="n"/>
      <c r="J245" s="167">
        <f>IF(TRIM($E245&amp;"")="","",$R245)</f>
        <v/>
      </c>
      <c r="K245" s="167">
        <f>IF(AND(TRIM($A245&amp;"")&lt;&gt;"",COUNTIF($A$7:$A$306,$A245)&gt;1),"DUPLICATE SET",IF(AND($E245&lt;&gt;"",$R245=""),"NO SET ABOVE",IF(AND($E245&lt;&gt;"",$C245=""),"QTY?",IF($J245="","","OK"))))</f>
        <v/>
      </c>
      <c r="L245" s="168" t="n"/>
      <c r="M245" s="169">
        <f>IFERROR(INDEX($R$7:$R$306,MATCH(239,$T$7:$T$306,0)),"")</f>
        <v/>
      </c>
      <c r="N245" s="170">
        <f>IF($M245="","",INDEX($B$7:$B$306,MATCH(239,$T$7:$T$306,0))&amp;"")</f>
        <v/>
      </c>
      <c r="O245" s="170">
        <f>IF($M245="","",SUMIF(tk_HWSET,$M245,tk_QTY))</f>
        <v/>
      </c>
      <c r="P245" s="170">
        <f>IF($M245="","",COUNTIF($J$7:$J$306,$M245))</f>
        <v/>
      </c>
      <c r="Q245" s="168" t="n"/>
      <c r="R245" s="168">
        <f>IF(TRIM($A245&amp;"")&lt;&gt;"",TRIM($A245&amp;""),$R244)</f>
        <v/>
      </c>
      <c r="S245" s="168">
        <f>IF($J245="","",MAX($S$6:$S244)+1)</f>
        <v/>
      </c>
      <c r="T245" s="168">
        <f>IF(TRIM($A245&amp;"")="","",MAX($T$6:$T244)+1)</f>
        <v/>
      </c>
    </row>
    <row r="246">
      <c r="A246" s="165" t="n"/>
      <c r="B246" s="166" t="n"/>
      <c r="C246" s="166" t="n"/>
      <c r="D246" s="166" t="n"/>
      <c r="E246" s="166" t="n"/>
      <c r="F246" s="166" t="n"/>
      <c r="G246" s="166" t="n"/>
      <c r="H246" s="166" t="n"/>
      <c r="I246" s="166" t="n"/>
      <c r="J246" s="167">
        <f>IF(TRIM($E246&amp;"")="","",$R246)</f>
        <v/>
      </c>
      <c r="K246" s="167">
        <f>IF(AND(TRIM($A246&amp;"")&lt;&gt;"",COUNTIF($A$7:$A$306,$A246)&gt;1),"DUPLICATE SET",IF(AND($E246&lt;&gt;"",$R246=""),"NO SET ABOVE",IF(AND($E246&lt;&gt;"",$C246=""),"QTY?",IF($J246="","","OK"))))</f>
        <v/>
      </c>
      <c r="L246" s="168" t="n"/>
      <c r="M246" s="169">
        <f>IFERROR(INDEX($R$7:$R$306,MATCH(240,$T$7:$T$306,0)),"")</f>
        <v/>
      </c>
      <c r="N246" s="170">
        <f>IF($M246="","",INDEX($B$7:$B$306,MATCH(240,$T$7:$T$306,0))&amp;"")</f>
        <v/>
      </c>
      <c r="O246" s="170">
        <f>IF($M246="","",SUMIF(tk_HWSET,$M246,tk_QTY))</f>
        <v/>
      </c>
      <c r="P246" s="170">
        <f>IF($M246="","",COUNTIF($J$7:$J$306,$M246))</f>
        <v/>
      </c>
      <c r="Q246" s="168" t="n"/>
      <c r="R246" s="168">
        <f>IF(TRIM($A246&amp;"")&lt;&gt;"",TRIM($A246&amp;""),$R245)</f>
        <v/>
      </c>
      <c r="S246" s="168">
        <f>IF($J246="","",MAX($S$6:$S245)+1)</f>
        <v/>
      </c>
      <c r="T246" s="168">
        <f>IF(TRIM($A246&amp;"")="","",MAX($T$6:$T245)+1)</f>
        <v/>
      </c>
    </row>
    <row r="247">
      <c r="A247" s="165" t="n"/>
      <c r="B247" s="166" t="n"/>
      <c r="C247" s="166" t="n"/>
      <c r="D247" s="166" t="n"/>
      <c r="E247" s="166" t="n"/>
      <c r="F247" s="166" t="n"/>
      <c r="G247" s="166" t="n"/>
      <c r="H247" s="166" t="n"/>
      <c r="I247" s="166" t="n"/>
      <c r="J247" s="167">
        <f>IF(TRIM($E247&amp;"")="","",$R247)</f>
        <v/>
      </c>
      <c r="K247" s="167">
        <f>IF(AND(TRIM($A247&amp;"")&lt;&gt;"",COUNTIF($A$7:$A$306,$A247)&gt;1),"DUPLICATE SET",IF(AND($E247&lt;&gt;"",$R247=""),"NO SET ABOVE",IF(AND($E247&lt;&gt;"",$C247=""),"QTY?",IF($J247="","","OK"))))</f>
        <v/>
      </c>
      <c r="L247" s="168" t="n"/>
      <c r="M247" s="169">
        <f>IFERROR(INDEX($R$7:$R$306,MATCH(241,$T$7:$T$306,0)),"")</f>
        <v/>
      </c>
      <c r="N247" s="170">
        <f>IF($M247="","",INDEX($B$7:$B$306,MATCH(241,$T$7:$T$306,0))&amp;"")</f>
        <v/>
      </c>
      <c r="O247" s="170">
        <f>IF($M247="","",SUMIF(tk_HWSET,$M247,tk_QTY))</f>
        <v/>
      </c>
      <c r="P247" s="170">
        <f>IF($M247="","",COUNTIF($J$7:$J$306,$M247))</f>
        <v/>
      </c>
      <c r="Q247" s="168" t="n"/>
      <c r="R247" s="168">
        <f>IF(TRIM($A247&amp;"")&lt;&gt;"",TRIM($A247&amp;""),$R246)</f>
        <v/>
      </c>
      <c r="S247" s="168">
        <f>IF($J247="","",MAX($S$6:$S246)+1)</f>
        <v/>
      </c>
      <c r="T247" s="168">
        <f>IF(TRIM($A247&amp;"")="","",MAX($T$6:$T246)+1)</f>
        <v/>
      </c>
    </row>
    <row r="248">
      <c r="A248" s="165" t="n"/>
      <c r="B248" s="166" t="n"/>
      <c r="C248" s="166" t="n"/>
      <c r="D248" s="166" t="n"/>
      <c r="E248" s="166" t="n"/>
      <c r="F248" s="166" t="n"/>
      <c r="G248" s="166" t="n"/>
      <c r="H248" s="166" t="n"/>
      <c r="I248" s="166" t="n"/>
      <c r="J248" s="167">
        <f>IF(TRIM($E248&amp;"")="","",$R248)</f>
        <v/>
      </c>
      <c r="K248" s="167">
        <f>IF(AND(TRIM($A248&amp;"")&lt;&gt;"",COUNTIF($A$7:$A$306,$A248)&gt;1),"DUPLICATE SET",IF(AND($E248&lt;&gt;"",$R248=""),"NO SET ABOVE",IF(AND($E248&lt;&gt;"",$C248=""),"QTY?",IF($J248="","","OK"))))</f>
        <v/>
      </c>
      <c r="L248" s="168" t="n"/>
      <c r="M248" s="169">
        <f>IFERROR(INDEX($R$7:$R$306,MATCH(242,$T$7:$T$306,0)),"")</f>
        <v/>
      </c>
      <c r="N248" s="170">
        <f>IF($M248="","",INDEX($B$7:$B$306,MATCH(242,$T$7:$T$306,0))&amp;"")</f>
        <v/>
      </c>
      <c r="O248" s="170">
        <f>IF($M248="","",SUMIF(tk_HWSET,$M248,tk_QTY))</f>
        <v/>
      </c>
      <c r="P248" s="170">
        <f>IF($M248="","",COUNTIF($J$7:$J$306,$M248))</f>
        <v/>
      </c>
      <c r="Q248" s="168" t="n"/>
      <c r="R248" s="168">
        <f>IF(TRIM($A248&amp;"")&lt;&gt;"",TRIM($A248&amp;""),$R247)</f>
        <v/>
      </c>
      <c r="S248" s="168">
        <f>IF($J248="","",MAX($S$6:$S247)+1)</f>
        <v/>
      </c>
      <c r="T248" s="168">
        <f>IF(TRIM($A248&amp;"")="","",MAX($T$6:$T247)+1)</f>
        <v/>
      </c>
    </row>
    <row r="249">
      <c r="A249" s="165" t="n"/>
      <c r="B249" s="166" t="n"/>
      <c r="C249" s="166" t="n"/>
      <c r="D249" s="166" t="n"/>
      <c r="E249" s="166" t="n"/>
      <c r="F249" s="166" t="n"/>
      <c r="G249" s="166" t="n"/>
      <c r="H249" s="166" t="n"/>
      <c r="I249" s="166" t="n"/>
      <c r="J249" s="167">
        <f>IF(TRIM($E249&amp;"")="","",$R249)</f>
        <v/>
      </c>
      <c r="K249" s="167">
        <f>IF(AND(TRIM($A249&amp;"")&lt;&gt;"",COUNTIF($A$7:$A$306,$A249)&gt;1),"DUPLICATE SET",IF(AND($E249&lt;&gt;"",$R249=""),"NO SET ABOVE",IF(AND($E249&lt;&gt;"",$C249=""),"QTY?",IF($J249="","","OK"))))</f>
        <v/>
      </c>
      <c r="L249" s="168" t="n"/>
      <c r="M249" s="169">
        <f>IFERROR(INDEX($R$7:$R$306,MATCH(243,$T$7:$T$306,0)),"")</f>
        <v/>
      </c>
      <c r="N249" s="170">
        <f>IF($M249="","",INDEX($B$7:$B$306,MATCH(243,$T$7:$T$306,0))&amp;"")</f>
        <v/>
      </c>
      <c r="O249" s="170">
        <f>IF($M249="","",SUMIF(tk_HWSET,$M249,tk_QTY))</f>
        <v/>
      </c>
      <c r="P249" s="170">
        <f>IF($M249="","",COUNTIF($J$7:$J$306,$M249))</f>
        <v/>
      </c>
      <c r="Q249" s="168" t="n"/>
      <c r="R249" s="168">
        <f>IF(TRIM($A249&amp;"")&lt;&gt;"",TRIM($A249&amp;""),$R248)</f>
        <v/>
      </c>
      <c r="S249" s="168">
        <f>IF($J249="","",MAX($S$6:$S248)+1)</f>
        <v/>
      </c>
      <c r="T249" s="168">
        <f>IF(TRIM($A249&amp;"")="","",MAX($T$6:$T248)+1)</f>
        <v/>
      </c>
    </row>
    <row r="250">
      <c r="A250" s="165" t="n"/>
      <c r="B250" s="166" t="n"/>
      <c r="C250" s="166" t="n"/>
      <c r="D250" s="166" t="n"/>
      <c r="E250" s="166" t="n"/>
      <c r="F250" s="166" t="n"/>
      <c r="G250" s="166" t="n"/>
      <c r="H250" s="166" t="n"/>
      <c r="I250" s="166" t="n"/>
      <c r="J250" s="167">
        <f>IF(TRIM($E250&amp;"")="","",$R250)</f>
        <v/>
      </c>
      <c r="K250" s="167">
        <f>IF(AND(TRIM($A250&amp;"")&lt;&gt;"",COUNTIF($A$7:$A$306,$A250)&gt;1),"DUPLICATE SET",IF(AND($E250&lt;&gt;"",$R250=""),"NO SET ABOVE",IF(AND($E250&lt;&gt;"",$C250=""),"QTY?",IF($J250="","","OK"))))</f>
        <v/>
      </c>
      <c r="L250" s="168" t="n"/>
      <c r="M250" s="169">
        <f>IFERROR(INDEX($R$7:$R$306,MATCH(244,$T$7:$T$306,0)),"")</f>
        <v/>
      </c>
      <c r="N250" s="170">
        <f>IF($M250="","",INDEX($B$7:$B$306,MATCH(244,$T$7:$T$306,0))&amp;"")</f>
        <v/>
      </c>
      <c r="O250" s="170">
        <f>IF($M250="","",SUMIF(tk_HWSET,$M250,tk_QTY))</f>
        <v/>
      </c>
      <c r="P250" s="170">
        <f>IF($M250="","",COUNTIF($J$7:$J$306,$M250))</f>
        <v/>
      </c>
      <c r="Q250" s="168" t="n"/>
      <c r="R250" s="168">
        <f>IF(TRIM($A250&amp;"")&lt;&gt;"",TRIM($A250&amp;""),$R249)</f>
        <v/>
      </c>
      <c r="S250" s="168">
        <f>IF($J250="","",MAX($S$6:$S249)+1)</f>
        <v/>
      </c>
      <c r="T250" s="168">
        <f>IF(TRIM($A250&amp;"")="","",MAX($T$6:$T249)+1)</f>
        <v/>
      </c>
    </row>
    <row r="251">
      <c r="A251" s="165" t="n"/>
      <c r="B251" s="166" t="n"/>
      <c r="C251" s="166" t="n"/>
      <c r="D251" s="166" t="n"/>
      <c r="E251" s="166" t="n"/>
      <c r="F251" s="166" t="n"/>
      <c r="G251" s="166" t="n"/>
      <c r="H251" s="166" t="n"/>
      <c r="I251" s="166" t="n"/>
      <c r="J251" s="167">
        <f>IF(TRIM($E251&amp;"")="","",$R251)</f>
        <v/>
      </c>
      <c r="K251" s="167">
        <f>IF(AND(TRIM($A251&amp;"")&lt;&gt;"",COUNTIF($A$7:$A$306,$A251)&gt;1),"DUPLICATE SET",IF(AND($E251&lt;&gt;"",$R251=""),"NO SET ABOVE",IF(AND($E251&lt;&gt;"",$C251=""),"QTY?",IF($J251="","","OK"))))</f>
        <v/>
      </c>
      <c r="L251" s="168" t="n"/>
      <c r="M251" s="169">
        <f>IFERROR(INDEX($R$7:$R$306,MATCH(245,$T$7:$T$306,0)),"")</f>
        <v/>
      </c>
      <c r="N251" s="170">
        <f>IF($M251="","",INDEX($B$7:$B$306,MATCH(245,$T$7:$T$306,0))&amp;"")</f>
        <v/>
      </c>
      <c r="O251" s="170">
        <f>IF($M251="","",SUMIF(tk_HWSET,$M251,tk_QTY))</f>
        <v/>
      </c>
      <c r="P251" s="170">
        <f>IF($M251="","",COUNTIF($J$7:$J$306,$M251))</f>
        <v/>
      </c>
      <c r="Q251" s="168" t="n"/>
      <c r="R251" s="168">
        <f>IF(TRIM($A251&amp;"")&lt;&gt;"",TRIM($A251&amp;""),$R250)</f>
        <v/>
      </c>
      <c r="S251" s="168">
        <f>IF($J251="","",MAX($S$6:$S250)+1)</f>
        <v/>
      </c>
      <c r="T251" s="168">
        <f>IF(TRIM($A251&amp;"")="","",MAX($T$6:$T250)+1)</f>
        <v/>
      </c>
    </row>
    <row r="252">
      <c r="A252" s="165" t="n"/>
      <c r="B252" s="166" t="n"/>
      <c r="C252" s="166" t="n"/>
      <c r="D252" s="166" t="n"/>
      <c r="E252" s="166" t="n"/>
      <c r="F252" s="166" t="n"/>
      <c r="G252" s="166" t="n"/>
      <c r="H252" s="166" t="n"/>
      <c r="I252" s="166" t="n"/>
      <c r="J252" s="167">
        <f>IF(TRIM($E252&amp;"")="","",$R252)</f>
        <v/>
      </c>
      <c r="K252" s="167">
        <f>IF(AND(TRIM($A252&amp;"")&lt;&gt;"",COUNTIF($A$7:$A$306,$A252)&gt;1),"DUPLICATE SET",IF(AND($E252&lt;&gt;"",$R252=""),"NO SET ABOVE",IF(AND($E252&lt;&gt;"",$C252=""),"QTY?",IF($J252="","","OK"))))</f>
        <v/>
      </c>
      <c r="L252" s="168" t="n"/>
      <c r="M252" s="169">
        <f>IFERROR(INDEX($R$7:$R$306,MATCH(246,$T$7:$T$306,0)),"")</f>
        <v/>
      </c>
      <c r="N252" s="170">
        <f>IF($M252="","",INDEX($B$7:$B$306,MATCH(246,$T$7:$T$306,0))&amp;"")</f>
        <v/>
      </c>
      <c r="O252" s="170">
        <f>IF($M252="","",SUMIF(tk_HWSET,$M252,tk_QTY))</f>
        <v/>
      </c>
      <c r="P252" s="170">
        <f>IF($M252="","",COUNTIF($J$7:$J$306,$M252))</f>
        <v/>
      </c>
      <c r="Q252" s="168" t="n"/>
      <c r="R252" s="168">
        <f>IF(TRIM($A252&amp;"")&lt;&gt;"",TRIM($A252&amp;""),$R251)</f>
        <v/>
      </c>
      <c r="S252" s="168">
        <f>IF($J252="","",MAX($S$6:$S251)+1)</f>
        <v/>
      </c>
      <c r="T252" s="168">
        <f>IF(TRIM($A252&amp;"")="","",MAX($T$6:$T251)+1)</f>
        <v/>
      </c>
    </row>
    <row r="253">
      <c r="A253" s="165" t="n"/>
      <c r="B253" s="166" t="n"/>
      <c r="C253" s="166" t="n"/>
      <c r="D253" s="166" t="n"/>
      <c r="E253" s="166" t="n"/>
      <c r="F253" s="166" t="n"/>
      <c r="G253" s="166" t="n"/>
      <c r="H253" s="166" t="n"/>
      <c r="I253" s="166" t="n"/>
      <c r="J253" s="167">
        <f>IF(TRIM($E253&amp;"")="","",$R253)</f>
        <v/>
      </c>
      <c r="K253" s="167">
        <f>IF(AND(TRIM($A253&amp;"")&lt;&gt;"",COUNTIF($A$7:$A$306,$A253)&gt;1),"DUPLICATE SET",IF(AND($E253&lt;&gt;"",$R253=""),"NO SET ABOVE",IF(AND($E253&lt;&gt;"",$C253=""),"QTY?",IF($J253="","","OK"))))</f>
        <v/>
      </c>
      <c r="L253" s="168" t="n"/>
      <c r="M253" s="169">
        <f>IFERROR(INDEX($R$7:$R$306,MATCH(247,$T$7:$T$306,0)),"")</f>
        <v/>
      </c>
      <c r="N253" s="170">
        <f>IF($M253="","",INDEX($B$7:$B$306,MATCH(247,$T$7:$T$306,0))&amp;"")</f>
        <v/>
      </c>
      <c r="O253" s="170">
        <f>IF($M253="","",SUMIF(tk_HWSET,$M253,tk_QTY))</f>
        <v/>
      </c>
      <c r="P253" s="170">
        <f>IF($M253="","",COUNTIF($J$7:$J$306,$M253))</f>
        <v/>
      </c>
      <c r="Q253" s="168" t="n"/>
      <c r="R253" s="168">
        <f>IF(TRIM($A253&amp;"")&lt;&gt;"",TRIM($A253&amp;""),$R252)</f>
        <v/>
      </c>
      <c r="S253" s="168">
        <f>IF($J253="","",MAX($S$6:$S252)+1)</f>
        <v/>
      </c>
      <c r="T253" s="168">
        <f>IF(TRIM($A253&amp;"")="","",MAX($T$6:$T252)+1)</f>
        <v/>
      </c>
    </row>
    <row r="254">
      <c r="A254" s="165" t="n"/>
      <c r="B254" s="166" t="n"/>
      <c r="C254" s="166" t="n"/>
      <c r="D254" s="166" t="n"/>
      <c r="E254" s="166" t="n"/>
      <c r="F254" s="166" t="n"/>
      <c r="G254" s="166" t="n"/>
      <c r="H254" s="166" t="n"/>
      <c r="I254" s="166" t="n"/>
      <c r="J254" s="167">
        <f>IF(TRIM($E254&amp;"")="","",$R254)</f>
        <v/>
      </c>
      <c r="K254" s="167">
        <f>IF(AND(TRIM($A254&amp;"")&lt;&gt;"",COUNTIF($A$7:$A$306,$A254)&gt;1),"DUPLICATE SET",IF(AND($E254&lt;&gt;"",$R254=""),"NO SET ABOVE",IF(AND($E254&lt;&gt;"",$C254=""),"QTY?",IF($J254="","","OK"))))</f>
        <v/>
      </c>
      <c r="L254" s="168" t="n"/>
      <c r="M254" s="169">
        <f>IFERROR(INDEX($R$7:$R$306,MATCH(248,$T$7:$T$306,0)),"")</f>
        <v/>
      </c>
      <c r="N254" s="170">
        <f>IF($M254="","",INDEX($B$7:$B$306,MATCH(248,$T$7:$T$306,0))&amp;"")</f>
        <v/>
      </c>
      <c r="O254" s="170">
        <f>IF($M254="","",SUMIF(tk_HWSET,$M254,tk_QTY))</f>
        <v/>
      </c>
      <c r="P254" s="170">
        <f>IF($M254="","",COUNTIF($J$7:$J$306,$M254))</f>
        <v/>
      </c>
      <c r="Q254" s="168" t="n"/>
      <c r="R254" s="168">
        <f>IF(TRIM($A254&amp;"")&lt;&gt;"",TRIM($A254&amp;""),$R253)</f>
        <v/>
      </c>
      <c r="S254" s="168">
        <f>IF($J254="","",MAX($S$6:$S253)+1)</f>
        <v/>
      </c>
      <c r="T254" s="168">
        <f>IF(TRIM($A254&amp;"")="","",MAX($T$6:$T253)+1)</f>
        <v/>
      </c>
    </row>
    <row r="255">
      <c r="A255" s="165" t="n"/>
      <c r="B255" s="166" t="n"/>
      <c r="C255" s="166" t="n"/>
      <c r="D255" s="166" t="n"/>
      <c r="E255" s="166" t="n"/>
      <c r="F255" s="166" t="n"/>
      <c r="G255" s="166" t="n"/>
      <c r="H255" s="166" t="n"/>
      <c r="I255" s="166" t="n"/>
      <c r="J255" s="167">
        <f>IF(TRIM($E255&amp;"")="","",$R255)</f>
        <v/>
      </c>
      <c r="K255" s="167">
        <f>IF(AND(TRIM($A255&amp;"")&lt;&gt;"",COUNTIF($A$7:$A$306,$A255)&gt;1),"DUPLICATE SET",IF(AND($E255&lt;&gt;"",$R255=""),"NO SET ABOVE",IF(AND($E255&lt;&gt;"",$C255=""),"QTY?",IF($J255="","","OK"))))</f>
        <v/>
      </c>
      <c r="L255" s="168" t="n"/>
      <c r="M255" s="169">
        <f>IFERROR(INDEX($R$7:$R$306,MATCH(249,$T$7:$T$306,0)),"")</f>
        <v/>
      </c>
      <c r="N255" s="170">
        <f>IF($M255="","",INDEX($B$7:$B$306,MATCH(249,$T$7:$T$306,0))&amp;"")</f>
        <v/>
      </c>
      <c r="O255" s="170">
        <f>IF($M255="","",SUMIF(tk_HWSET,$M255,tk_QTY))</f>
        <v/>
      </c>
      <c r="P255" s="170">
        <f>IF($M255="","",COUNTIF($J$7:$J$306,$M255))</f>
        <v/>
      </c>
      <c r="Q255" s="168" t="n"/>
      <c r="R255" s="168">
        <f>IF(TRIM($A255&amp;"")&lt;&gt;"",TRIM($A255&amp;""),$R254)</f>
        <v/>
      </c>
      <c r="S255" s="168">
        <f>IF($J255="","",MAX($S$6:$S254)+1)</f>
        <v/>
      </c>
      <c r="T255" s="168">
        <f>IF(TRIM($A255&amp;"")="","",MAX($T$6:$T254)+1)</f>
        <v/>
      </c>
    </row>
    <row r="256">
      <c r="A256" s="165" t="n"/>
      <c r="B256" s="166" t="n"/>
      <c r="C256" s="166" t="n"/>
      <c r="D256" s="166" t="n"/>
      <c r="E256" s="166" t="n"/>
      <c r="F256" s="166" t="n"/>
      <c r="G256" s="166" t="n"/>
      <c r="H256" s="166" t="n"/>
      <c r="I256" s="166" t="n"/>
      <c r="J256" s="167">
        <f>IF(TRIM($E256&amp;"")="","",$R256)</f>
        <v/>
      </c>
      <c r="K256" s="167">
        <f>IF(AND(TRIM($A256&amp;"")&lt;&gt;"",COUNTIF($A$7:$A$306,$A256)&gt;1),"DUPLICATE SET",IF(AND($E256&lt;&gt;"",$R256=""),"NO SET ABOVE",IF(AND($E256&lt;&gt;"",$C256=""),"QTY?",IF($J256="","","OK"))))</f>
        <v/>
      </c>
      <c r="L256" s="168" t="n"/>
      <c r="M256" s="169">
        <f>IFERROR(INDEX($R$7:$R$306,MATCH(250,$T$7:$T$306,0)),"")</f>
        <v/>
      </c>
      <c r="N256" s="170">
        <f>IF($M256="","",INDEX($B$7:$B$306,MATCH(250,$T$7:$T$306,0))&amp;"")</f>
        <v/>
      </c>
      <c r="O256" s="170">
        <f>IF($M256="","",SUMIF(tk_HWSET,$M256,tk_QTY))</f>
        <v/>
      </c>
      <c r="P256" s="170">
        <f>IF($M256="","",COUNTIF($J$7:$J$306,$M256))</f>
        <v/>
      </c>
      <c r="Q256" s="168" t="n"/>
      <c r="R256" s="168">
        <f>IF(TRIM($A256&amp;"")&lt;&gt;"",TRIM($A256&amp;""),$R255)</f>
        <v/>
      </c>
      <c r="S256" s="168">
        <f>IF($J256="","",MAX($S$6:$S255)+1)</f>
        <v/>
      </c>
      <c r="T256" s="168">
        <f>IF(TRIM($A256&amp;"")="","",MAX($T$6:$T255)+1)</f>
        <v/>
      </c>
    </row>
    <row r="257">
      <c r="A257" s="165" t="n"/>
      <c r="B257" s="166" t="n"/>
      <c r="C257" s="166" t="n"/>
      <c r="D257" s="166" t="n"/>
      <c r="E257" s="166" t="n"/>
      <c r="F257" s="166" t="n"/>
      <c r="G257" s="166" t="n"/>
      <c r="H257" s="166" t="n"/>
      <c r="I257" s="166" t="n"/>
      <c r="J257" s="167">
        <f>IF(TRIM($E257&amp;"")="","",$R257)</f>
        <v/>
      </c>
      <c r="K257" s="167">
        <f>IF(AND(TRIM($A257&amp;"")&lt;&gt;"",COUNTIF($A$7:$A$306,$A257)&gt;1),"DUPLICATE SET",IF(AND($E257&lt;&gt;"",$R257=""),"NO SET ABOVE",IF(AND($E257&lt;&gt;"",$C257=""),"QTY?",IF($J257="","","OK"))))</f>
        <v/>
      </c>
      <c r="L257" s="168" t="n"/>
      <c r="M257" s="169">
        <f>IFERROR(INDEX($R$7:$R$306,MATCH(251,$T$7:$T$306,0)),"")</f>
        <v/>
      </c>
      <c r="N257" s="170">
        <f>IF($M257="","",INDEX($B$7:$B$306,MATCH(251,$T$7:$T$306,0))&amp;"")</f>
        <v/>
      </c>
      <c r="O257" s="170">
        <f>IF($M257="","",SUMIF(tk_HWSET,$M257,tk_QTY))</f>
        <v/>
      </c>
      <c r="P257" s="170">
        <f>IF($M257="","",COUNTIF($J$7:$J$306,$M257))</f>
        <v/>
      </c>
      <c r="Q257" s="168" t="n"/>
      <c r="R257" s="168">
        <f>IF(TRIM($A257&amp;"")&lt;&gt;"",TRIM($A257&amp;""),$R256)</f>
        <v/>
      </c>
      <c r="S257" s="168">
        <f>IF($J257="","",MAX($S$6:$S256)+1)</f>
        <v/>
      </c>
      <c r="T257" s="168">
        <f>IF(TRIM($A257&amp;"")="","",MAX($T$6:$T256)+1)</f>
        <v/>
      </c>
    </row>
    <row r="258">
      <c r="A258" s="165" t="n"/>
      <c r="B258" s="166" t="n"/>
      <c r="C258" s="166" t="n"/>
      <c r="D258" s="166" t="n"/>
      <c r="E258" s="166" t="n"/>
      <c r="F258" s="166" t="n"/>
      <c r="G258" s="166" t="n"/>
      <c r="H258" s="166" t="n"/>
      <c r="I258" s="166" t="n"/>
      <c r="J258" s="167">
        <f>IF(TRIM($E258&amp;"")="","",$R258)</f>
        <v/>
      </c>
      <c r="K258" s="167">
        <f>IF(AND(TRIM($A258&amp;"")&lt;&gt;"",COUNTIF($A$7:$A$306,$A258)&gt;1),"DUPLICATE SET",IF(AND($E258&lt;&gt;"",$R258=""),"NO SET ABOVE",IF(AND($E258&lt;&gt;"",$C258=""),"QTY?",IF($J258="","","OK"))))</f>
        <v/>
      </c>
      <c r="L258" s="168" t="n"/>
      <c r="M258" s="169">
        <f>IFERROR(INDEX($R$7:$R$306,MATCH(252,$T$7:$T$306,0)),"")</f>
        <v/>
      </c>
      <c r="N258" s="170">
        <f>IF($M258="","",INDEX($B$7:$B$306,MATCH(252,$T$7:$T$306,0))&amp;"")</f>
        <v/>
      </c>
      <c r="O258" s="170">
        <f>IF($M258="","",SUMIF(tk_HWSET,$M258,tk_QTY))</f>
        <v/>
      </c>
      <c r="P258" s="170">
        <f>IF($M258="","",COUNTIF($J$7:$J$306,$M258))</f>
        <v/>
      </c>
      <c r="Q258" s="168" t="n"/>
      <c r="R258" s="168">
        <f>IF(TRIM($A258&amp;"")&lt;&gt;"",TRIM($A258&amp;""),$R257)</f>
        <v/>
      </c>
      <c r="S258" s="168">
        <f>IF($J258="","",MAX($S$6:$S257)+1)</f>
        <v/>
      </c>
      <c r="T258" s="168">
        <f>IF(TRIM($A258&amp;"")="","",MAX($T$6:$T257)+1)</f>
        <v/>
      </c>
    </row>
    <row r="259">
      <c r="A259" s="165" t="n"/>
      <c r="B259" s="166" t="n"/>
      <c r="C259" s="166" t="n"/>
      <c r="D259" s="166" t="n"/>
      <c r="E259" s="166" t="n"/>
      <c r="F259" s="166" t="n"/>
      <c r="G259" s="166" t="n"/>
      <c r="H259" s="166" t="n"/>
      <c r="I259" s="166" t="n"/>
      <c r="J259" s="167">
        <f>IF(TRIM($E259&amp;"")="","",$R259)</f>
        <v/>
      </c>
      <c r="K259" s="167">
        <f>IF(AND(TRIM($A259&amp;"")&lt;&gt;"",COUNTIF($A$7:$A$306,$A259)&gt;1),"DUPLICATE SET",IF(AND($E259&lt;&gt;"",$R259=""),"NO SET ABOVE",IF(AND($E259&lt;&gt;"",$C259=""),"QTY?",IF($J259="","","OK"))))</f>
        <v/>
      </c>
      <c r="L259" s="168" t="n"/>
      <c r="M259" s="169">
        <f>IFERROR(INDEX($R$7:$R$306,MATCH(253,$T$7:$T$306,0)),"")</f>
        <v/>
      </c>
      <c r="N259" s="170">
        <f>IF($M259="","",INDEX($B$7:$B$306,MATCH(253,$T$7:$T$306,0))&amp;"")</f>
        <v/>
      </c>
      <c r="O259" s="170">
        <f>IF($M259="","",SUMIF(tk_HWSET,$M259,tk_QTY))</f>
        <v/>
      </c>
      <c r="P259" s="170">
        <f>IF($M259="","",COUNTIF($J$7:$J$306,$M259))</f>
        <v/>
      </c>
      <c r="Q259" s="168" t="n"/>
      <c r="R259" s="168">
        <f>IF(TRIM($A259&amp;"")&lt;&gt;"",TRIM($A259&amp;""),$R258)</f>
        <v/>
      </c>
      <c r="S259" s="168">
        <f>IF($J259="","",MAX($S$6:$S258)+1)</f>
        <v/>
      </c>
      <c r="T259" s="168">
        <f>IF(TRIM($A259&amp;"")="","",MAX($T$6:$T258)+1)</f>
        <v/>
      </c>
    </row>
    <row r="260">
      <c r="A260" s="165" t="n"/>
      <c r="B260" s="166" t="n"/>
      <c r="C260" s="166" t="n"/>
      <c r="D260" s="166" t="n"/>
      <c r="E260" s="166" t="n"/>
      <c r="F260" s="166" t="n"/>
      <c r="G260" s="166" t="n"/>
      <c r="H260" s="166" t="n"/>
      <c r="I260" s="166" t="n"/>
      <c r="J260" s="167">
        <f>IF(TRIM($E260&amp;"")="","",$R260)</f>
        <v/>
      </c>
      <c r="K260" s="167">
        <f>IF(AND(TRIM($A260&amp;"")&lt;&gt;"",COUNTIF($A$7:$A$306,$A260)&gt;1),"DUPLICATE SET",IF(AND($E260&lt;&gt;"",$R260=""),"NO SET ABOVE",IF(AND($E260&lt;&gt;"",$C260=""),"QTY?",IF($J260="","","OK"))))</f>
        <v/>
      </c>
      <c r="L260" s="168" t="n"/>
      <c r="M260" s="169">
        <f>IFERROR(INDEX($R$7:$R$306,MATCH(254,$T$7:$T$306,0)),"")</f>
        <v/>
      </c>
      <c r="N260" s="170">
        <f>IF($M260="","",INDEX($B$7:$B$306,MATCH(254,$T$7:$T$306,0))&amp;"")</f>
        <v/>
      </c>
      <c r="O260" s="170">
        <f>IF($M260="","",SUMIF(tk_HWSET,$M260,tk_QTY))</f>
        <v/>
      </c>
      <c r="P260" s="170">
        <f>IF($M260="","",COUNTIF($J$7:$J$306,$M260))</f>
        <v/>
      </c>
      <c r="Q260" s="168" t="n"/>
      <c r="R260" s="168">
        <f>IF(TRIM($A260&amp;"")&lt;&gt;"",TRIM($A260&amp;""),$R259)</f>
        <v/>
      </c>
      <c r="S260" s="168">
        <f>IF($J260="","",MAX($S$6:$S259)+1)</f>
        <v/>
      </c>
      <c r="T260" s="168">
        <f>IF(TRIM($A260&amp;"")="","",MAX($T$6:$T259)+1)</f>
        <v/>
      </c>
    </row>
    <row r="261">
      <c r="A261" s="165" t="n"/>
      <c r="B261" s="166" t="n"/>
      <c r="C261" s="166" t="n"/>
      <c r="D261" s="166" t="n"/>
      <c r="E261" s="166" t="n"/>
      <c r="F261" s="166" t="n"/>
      <c r="G261" s="166" t="n"/>
      <c r="H261" s="166" t="n"/>
      <c r="I261" s="166" t="n"/>
      <c r="J261" s="167">
        <f>IF(TRIM($E261&amp;"")="","",$R261)</f>
        <v/>
      </c>
      <c r="K261" s="167">
        <f>IF(AND(TRIM($A261&amp;"")&lt;&gt;"",COUNTIF($A$7:$A$306,$A261)&gt;1),"DUPLICATE SET",IF(AND($E261&lt;&gt;"",$R261=""),"NO SET ABOVE",IF(AND($E261&lt;&gt;"",$C261=""),"QTY?",IF($J261="","","OK"))))</f>
        <v/>
      </c>
      <c r="L261" s="168" t="n"/>
      <c r="M261" s="169">
        <f>IFERROR(INDEX($R$7:$R$306,MATCH(255,$T$7:$T$306,0)),"")</f>
        <v/>
      </c>
      <c r="N261" s="170">
        <f>IF($M261="","",INDEX($B$7:$B$306,MATCH(255,$T$7:$T$306,0))&amp;"")</f>
        <v/>
      </c>
      <c r="O261" s="170">
        <f>IF($M261="","",SUMIF(tk_HWSET,$M261,tk_QTY))</f>
        <v/>
      </c>
      <c r="P261" s="170">
        <f>IF($M261="","",COUNTIF($J$7:$J$306,$M261))</f>
        <v/>
      </c>
      <c r="Q261" s="168" t="n"/>
      <c r="R261" s="168">
        <f>IF(TRIM($A261&amp;"")&lt;&gt;"",TRIM($A261&amp;""),$R260)</f>
        <v/>
      </c>
      <c r="S261" s="168">
        <f>IF($J261="","",MAX($S$6:$S260)+1)</f>
        <v/>
      </c>
      <c r="T261" s="168">
        <f>IF(TRIM($A261&amp;"")="","",MAX($T$6:$T260)+1)</f>
        <v/>
      </c>
    </row>
    <row r="262">
      <c r="A262" s="165" t="n"/>
      <c r="B262" s="166" t="n"/>
      <c r="C262" s="166" t="n"/>
      <c r="D262" s="166" t="n"/>
      <c r="E262" s="166" t="n"/>
      <c r="F262" s="166" t="n"/>
      <c r="G262" s="166" t="n"/>
      <c r="H262" s="166" t="n"/>
      <c r="I262" s="166" t="n"/>
      <c r="J262" s="167">
        <f>IF(TRIM($E262&amp;"")="","",$R262)</f>
        <v/>
      </c>
      <c r="K262" s="167">
        <f>IF(AND(TRIM($A262&amp;"")&lt;&gt;"",COUNTIF($A$7:$A$306,$A262)&gt;1),"DUPLICATE SET",IF(AND($E262&lt;&gt;"",$R262=""),"NO SET ABOVE",IF(AND($E262&lt;&gt;"",$C262=""),"QTY?",IF($J262="","","OK"))))</f>
        <v/>
      </c>
      <c r="L262" s="168" t="n"/>
      <c r="M262" s="169">
        <f>IFERROR(INDEX($R$7:$R$306,MATCH(256,$T$7:$T$306,0)),"")</f>
        <v/>
      </c>
      <c r="N262" s="170">
        <f>IF($M262="","",INDEX($B$7:$B$306,MATCH(256,$T$7:$T$306,0))&amp;"")</f>
        <v/>
      </c>
      <c r="O262" s="170">
        <f>IF($M262="","",SUMIF(tk_HWSET,$M262,tk_QTY))</f>
        <v/>
      </c>
      <c r="P262" s="170">
        <f>IF($M262="","",COUNTIF($J$7:$J$306,$M262))</f>
        <v/>
      </c>
      <c r="Q262" s="168" t="n"/>
      <c r="R262" s="168">
        <f>IF(TRIM($A262&amp;"")&lt;&gt;"",TRIM($A262&amp;""),$R261)</f>
        <v/>
      </c>
      <c r="S262" s="168">
        <f>IF($J262="","",MAX($S$6:$S261)+1)</f>
        <v/>
      </c>
      <c r="T262" s="168">
        <f>IF(TRIM($A262&amp;"")="","",MAX($T$6:$T261)+1)</f>
        <v/>
      </c>
    </row>
    <row r="263">
      <c r="A263" s="165" t="n"/>
      <c r="B263" s="166" t="n"/>
      <c r="C263" s="166" t="n"/>
      <c r="D263" s="166" t="n"/>
      <c r="E263" s="166" t="n"/>
      <c r="F263" s="166" t="n"/>
      <c r="G263" s="166" t="n"/>
      <c r="H263" s="166" t="n"/>
      <c r="I263" s="166" t="n"/>
      <c r="J263" s="167">
        <f>IF(TRIM($E263&amp;"")="","",$R263)</f>
        <v/>
      </c>
      <c r="K263" s="167">
        <f>IF(AND(TRIM($A263&amp;"")&lt;&gt;"",COUNTIF($A$7:$A$306,$A263)&gt;1),"DUPLICATE SET",IF(AND($E263&lt;&gt;"",$R263=""),"NO SET ABOVE",IF(AND($E263&lt;&gt;"",$C263=""),"QTY?",IF($J263="","","OK"))))</f>
        <v/>
      </c>
      <c r="L263" s="168" t="n"/>
      <c r="M263" s="169">
        <f>IFERROR(INDEX($R$7:$R$306,MATCH(257,$T$7:$T$306,0)),"")</f>
        <v/>
      </c>
      <c r="N263" s="170">
        <f>IF($M263="","",INDEX($B$7:$B$306,MATCH(257,$T$7:$T$306,0))&amp;"")</f>
        <v/>
      </c>
      <c r="O263" s="170">
        <f>IF($M263="","",SUMIF(tk_HWSET,$M263,tk_QTY))</f>
        <v/>
      </c>
      <c r="P263" s="170">
        <f>IF($M263="","",COUNTIF($J$7:$J$306,$M263))</f>
        <v/>
      </c>
      <c r="Q263" s="168" t="n"/>
      <c r="R263" s="168">
        <f>IF(TRIM($A263&amp;"")&lt;&gt;"",TRIM($A263&amp;""),$R262)</f>
        <v/>
      </c>
      <c r="S263" s="168">
        <f>IF($J263="","",MAX($S$6:$S262)+1)</f>
        <v/>
      </c>
      <c r="T263" s="168">
        <f>IF(TRIM($A263&amp;"")="","",MAX($T$6:$T262)+1)</f>
        <v/>
      </c>
    </row>
    <row r="264">
      <c r="A264" s="165" t="n"/>
      <c r="B264" s="166" t="n"/>
      <c r="C264" s="166" t="n"/>
      <c r="D264" s="166" t="n"/>
      <c r="E264" s="166" t="n"/>
      <c r="F264" s="166" t="n"/>
      <c r="G264" s="166" t="n"/>
      <c r="H264" s="166" t="n"/>
      <c r="I264" s="166" t="n"/>
      <c r="J264" s="167">
        <f>IF(TRIM($E264&amp;"")="","",$R264)</f>
        <v/>
      </c>
      <c r="K264" s="167">
        <f>IF(AND(TRIM($A264&amp;"")&lt;&gt;"",COUNTIF($A$7:$A$306,$A264)&gt;1),"DUPLICATE SET",IF(AND($E264&lt;&gt;"",$R264=""),"NO SET ABOVE",IF(AND($E264&lt;&gt;"",$C264=""),"QTY?",IF($J264="","","OK"))))</f>
        <v/>
      </c>
      <c r="L264" s="168" t="n"/>
      <c r="M264" s="169">
        <f>IFERROR(INDEX($R$7:$R$306,MATCH(258,$T$7:$T$306,0)),"")</f>
        <v/>
      </c>
      <c r="N264" s="170">
        <f>IF($M264="","",INDEX($B$7:$B$306,MATCH(258,$T$7:$T$306,0))&amp;"")</f>
        <v/>
      </c>
      <c r="O264" s="170">
        <f>IF($M264="","",SUMIF(tk_HWSET,$M264,tk_QTY))</f>
        <v/>
      </c>
      <c r="P264" s="170">
        <f>IF($M264="","",COUNTIF($J$7:$J$306,$M264))</f>
        <v/>
      </c>
      <c r="Q264" s="168" t="n"/>
      <c r="R264" s="168">
        <f>IF(TRIM($A264&amp;"")&lt;&gt;"",TRIM($A264&amp;""),$R263)</f>
        <v/>
      </c>
      <c r="S264" s="168">
        <f>IF($J264="","",MAX($S$6:$S263)+1)</f>
        <v/>
      </c>
      <c r="T264" s="168">
        <f>IF(TRIM($A264&amp;"")="","",MAX($T$6:$T263)+1)</f>
        <v/>
      </c>
    </row>
    <row r="265">
      <c r="A265" s="165" t="n"/>
      <c r="B265" s="166" t="n"/>
      <c r="C265" s="166" t="n"/>
      <c r="D265" s="166" t="n"/>
      <c r="E265" s="166" t="n"/>
      <c r="F265" s="166" t="n"/>
      <c r="G265" s="166" t="n"/>
      <c r="H265" s="166" t="n"/>
      <c r="I265" s="166" t="n"/>
      <c r="J265" s="167">
        <f>IF(TRIM($E265&amp;"")="","",$R265)</f>
        <v/>
      </c>
      <c r="K265" s="167">
        <f>IF(AND(TRIM($A265&amp;"")&lt;&gt;"",COUNTIF($A$7:$A$306,$A265)&gt;1),"DUPLICATE SET",IF(AND($E265&lt;&gt;"",$R265=""),"NO SET ABOVE",IF(AND($E265&lt;&gt;"",$C265=""),"QTY?",IF($J265="","","OK"))))</f>
        <v/>
      </c>
      <c r="L265" s="168" t="n"/>
      <c r="M265" s="169">
        <f>IFERROR(INDEX($R$7:$R$306,MATCH(259,$T$7:$T$306,0)),"")</f>
        <v/>
      </c>
      <c r="N265" s="170">
        <f>IF($M265="","",INDEX($B$7:$B$306,MATCH(259,$T$7:$T$306,0))&amp;"")</f>
        <v/>
      </c>
      <c r="O265" s="170">
        <f>IF($M265="","",SUMIF(tk_HWSET,$M265,tk_QTY))</f>
        <v/>
      </c>
      <c r="P265" s="170">
        <f>IF($M265="","",COUNTIF($J$7:$J$306,$M265))</f>
        <v/>
      </c>
      <c r="Q265" s="168" t="n"/>
      <c r="R265" s="168">
        <f>IF(TRIM($A265&amp;"")&lt;&gt;"",TRIM($A265&amp;""),$R264)</f>
        <v/>
      </c>
      <c r="S265" s="168">
        <f>IF($J265="","",MAX($S$6:$S264)+1)</f>
        <v/>
      </c>
      <c r="T265" s="168">
        <f>IF(TRIM($A265&amp;"")="","",MAX($T$6:$T264)+1)</f>
        <v/>
      </c>
    </row>
    <row r="266">
      <c r="A266" s="165" t="n"/>
      <c r="B266" s="166" t="n"/>
      <c r="C266" s="166" t="n"/>
      <c r="D266" s="166" t="n"/>
      <c r="E266" s="166" t="n"/>
      <c r="F266" s="166" t="n"/>
      <c r="G266" s="166" t="n"/>
      <c r="H266" s="166" t="n"/>
      <c r="I266" s="166" t="n"/>
      <c r="J266" s="167">
        <f>IF(TRIM($E266&amp;"")="","",$R266)</f>
        <v/>
      </c>
      <c r="K266" s="167">
        <f>IF(AND(TRIM($A266&amp;"")&lt;&gt;"",COUNTIF($A$7:$A$306,$A266)&gt;1),"DUPLICATE SET",IF(AND($E266&lt;&gt;"",$R266=""),"NO SET ABOVE",IF(AND($E266&lt;&gt;"",$C266=""),"QTY?",IF($J266="","","OK"))))</f>
        <v/>
      </c>
      <c r="L266" s="168" t="n"/>
      <c r="M266" s="169">
        <f>IFERROR(INDEX($R$7:$R$306,MATCH(260,$T$7:$T$306,0)),"")</f>
        <v/>
      </c>
      <c r="N266" s="170">
        <f>IF($M266="","",INDEX($B$7:$B$306,MATCH(260,$T$7:$T$306,0))&amp;"")</f>
        <v/>
      </c>
      <c r="O266" s="170">
        <f>IF($M266="","",SUMIF(tk_HWSET,$M266,tk_QTY))</f>
        <v/>
      </c>
      <c r="P266" s="170">
        <f>IF($M266="","",COUNTIF($J$7:$J$306,$M266))</f>
        <v/>
      </c>
      <c r="Q266" s="168" t="n"/>
      <c r="R266" s="168">
        <f>IF(TRIM($A266&amp;"")&lt;&gt;"",TRIM($A266&amp;""),$R265)</f>
        <v/>
      </c>
      <c r="S266" s="168">
        <f>IF($J266="","",MAX($S$6:$S265)+1)</f>
        <v/>
      </c>
      <c r="T266" s="168">
        <f>IF(TRIM($A266&amp;"")="","",MAX($T$6:$T265)+1)</f>
        <v/>
      </c>
    </row>
    <row r="267">
      <c r="A267" s="165" t="n"/>
      <c r="B267" s="166" t="n"/>
      <c r="C267" s="166" t="n"/>
      <c r="D267" s="166" t="n"/>
      <c r="E267" s="166" t="n"/>
      <c r="F267" s="166" t="n"/>
      <c r="G267" s="166" t="n"/>
      <c r="H267" s="166" t="n"/>
      <c r="I267" s="166" t="n"/>
      <c r="J267" s="167">
        <f>IF(TRIM($E267&amp;"")="","",$R267)</f>
        <v/>
      </c>
      <c r="K267" s="167">
        <f>IF(AND(TRIM($A267&amp;"")&lt;&gt;"",COUNTIF($A$7:$A$306,$A267)&gt;1),"DUPLICATE SET",IF(AND($E267&lt;&gt;"",$R267=""),"NO SET ABOVE",IF(AND($E267&lt;&gt;"",$C267=""),"QTY?",IF($J267="","","OK"))))</f>
        <v/>
      </c>
      <c r="L267" s="168" t="n"/>
      <c r="M267" s="169">
        <f>IFERROR(INDEX($R$7:$R$306,MATCH(261,$T$7:$T$306,0)),"")</f>
        <v/>
      </c>
      <c r="N267" s="170">
        <f>IF($M267="","",INDEX($B$7:$B$306,MATCH(261,$T$7:$T$306,0))&amp;"")</f>
        <v/>
      </c>
      <c r="O267" s="170">
        <f>IF($M267="","",SUMIF(tk_HWSET,$M267,tk_QTY))</f>
        <v/>
      </c>
      <c r="P267" s="170">
        <f>IF($M267="","",COUNTIF($J$7:$J$306,$M267))</f>
        <v/>
      </c>
      <c r="Q267" s="168" t="n"/>
      <c r="R267" s="168">
        <f>IF(TRIM($A267&amp;"")&lt;&gt;"",TRIM($A267&amp;""),$R266)</f>
        <v/>
      </c>
      <c r="S267" s="168">
        <f>IF($J267="","",MAX($S$6:$S266)+1)</f>
        <v/>
      </c>
      <c r="T267" s="168">
        <f>IF(TRIM($A267&amp;"")="","",MAX($T$6:$T266)+1)</f>
        <v/>
      </c>
    </row>
    <row r="268">
      <c r="A268" s="165" t="n"/>
      <c r="B268" s="166" t="n"/>
      <c r="C268" s="166" t="n"/>
      <c r="D268" s="166" t="n"/>
      <c r="E268" s="166" t="n"/>
      <c r="F268" s="166" t="n"/>
      <c r="G268" s="166" t="n"/>
      <c r="H268" s="166" t="n"/>
      <c r="I268" s="166" t="n"/>
      <c r="J268" s="167">
        <f>IF(TRIM($E268&amp;"")="","",$R268)</f>
        <v/>
      </c>
      <c r="K268" s="167">
        <f>IF(AND(TRIM($A268&amp;"")&lt;&gt;"",COUNTIF($A$7:$A$306,$A268)&gt;1),"DUPLICATE SET",IF(AND($E268&lt;&gt;"",$R268=""),"NO SET ABOVE",IF(AND($E268&lt;&gt;"",$C268=""),"QTY?",IF($J268="","","OK"))))</f>
        <v/>
      </c>
      <c r="L268" s="168" t="n"/>
      <c r="M268" s="169">
        <f>IFERROR(INDEX($R$7:$R$306,MATCH(262,$T$7:$T$306,0)),"")</f>
        <v/>
      </c>
      <c r="N268" s="170">
        <f>IF($M268="","",INDEX($B$7:$B$306,MATCH(262,$T$7:$T$306,0))&amp;"")</f>
        <v/>
      </c>
      <c r="O268" s="170">
        <f>IF($M268="","",SUMIF(tk_HWSET,$M268,tk_QTY))</f>
        <v/>
      </c>
      <c r="P268" s="170">
        <f>IF($M268="","",COUNTIF($J$7:$J$306,$M268))</f>
        <v/>
      </c>
      <c r="Q268" s="168" t="n"/>
      <c r="R268" s="168">
        <f>IF(TRIM($A268&amp;"")&lt;&gt;"",TRIM($A268&amp;""),$R267)</f>
        <v/>
      </c>
      <c r="S268" s="168">
        <f>IF($J268="","",MAX($S$6:$S267)+1)</f>
        <v/>
      </c>
      <c r="T268" s="168">
        <f>IF(TRIM($A268&amp;"")="","",MAX($T$6:$T267)+1)</f>
        <v/>
      </c>
    </row>
    <row r="269">
      <c r="A269" s="165" t="n"/>
      <c r="B269" s="166" t="n"/>
      <c r="C269" s="166" t="n"/>
      <c r="D269" s="166" t="n"/>
      <c r="E269" s="166" t="n"/>
      <c r="F269" s="166" t="n"/>
      <c r="G269" s="166" t="n"/>
      <c r="H269" s="166" t="n"/>
      <c r="I269" s="166" t="n"/>
      <c r="J269" s="167">
        <f>IF(TRIM($E269&amp;"")="","",$R269)</f>
        <v/>
      </c>
      <c r="K269" s="167">
        <f>IF(AND(TRIM($A269&amp;"")&lt;&gt;"",COUNTIF($A$7:$A$306,$A269)&gt;1),"DUPLICATE SET",IF(AND($E269&lt;&gt;"",$R269=""),"NO SET ABOVE",IF(AND($E269&lt;&gt;"",$C269=""),"QTY?",IF($J269="","","OK"))))</f>
        <v/>
      </c>
      <c r="L269" s="168" t="n"/>
      <c r="M269" s="169">
        <f>IFERROR(INDEX($R$7:$R$306,MATCH(263,$T$7:$T$306,0)),"")</f>
        <v/>
      </c>
      <c r="N269" s="170">
        <f>IF($M269="","",INDEX($B$7:$B$306,MATCH(263,$T$7:$T$306,0))&amp;"")</f>
        <v/>
      </c>
      <c r="O269" s="170">
        <f>IF($M269="","",SUMIF(tk_HWSET,$M269,tk_QTY))</f>
        <v/>
      </c>
      <c r="P269" s="170">
        <f>IF($M269="","",COUNTIF($J$7:$J$306,$M269))</f>
        <v/>
      </c>
      <c r="Q269" s="168" t="n"/>
      <c r="R269" s="168">
        <f>IF(TRIM($A269&amp;"")&lt;&gt;"",TRIM($A269&amp;""),$R268)</f>
        <v/>
      </c>
      <c r="S269" s="168">
        <f>IF($J269="","",MAX($S$6:$S268)+1)</f>
        <v/>
      </c>
      <c r="T269" s="168">
        <f>IF(TRIM($A269&amp;"")="","",MAX($T$6:$T268)+1)</f>
        <v/>
      </c>
    </row>
    <row r="270">
      <c r="A270" s="165" t="n"/>
      <c r="B270" s="166" t="n"/>
      <c r="C270" s="166" t="n"/>
      <c r="D270" s="166" t="n"/>
      <c r="E270" s="166" t="n"/>
      <c r="F270" s="166" t="n"/>
      <c r="G270" s="166" t="n"/>
      <c r="H270" s="166" t="n"/>
      <c r="I270" s="166" t="n"/>
      <c r="J270" s="167">
        <f>IF(TRIM($E270&amp;"")="","",$R270)</f>
        <v/>
      </c>
      <c r="K270" s="167">
        <f>IF(AND(TRIM($A270&amp;"")&lt;&gt;"",COUNTIF($A$7:$A$306,$A270)&gt;1),"DUPLICATE SET",IF(AND($E270&lt;&gt;"",$R270=""),"NO SET ABOVE",IF(AND($E270&lt;&gt;"",$C270=""),"QTY?",IF($J270="","","OK"))))</f>
        <v/>
      </c>
      <c r="L270" s="168" t="n"/>
      <c r="M270" s="169">
        <f>IFERROR(INDEX($R$7:$R$306,MATCH(264,$T$7:$T$306,0)),"")</f>
        <v/>
      </c>
      <c r="N270" s="170">
        <f>IF($M270="","",INDEX($B$7:$B$306,MATCH(264,$T$7:$T$306,0))&amp;"")</f>
        <v/>
      </c>
      <c r="O270" s="170">
        <f>IF($M270="","",SUMIF(tk_HWSET,$M270,tk_QTY))</f>
        <v/>
      </c>
      <c r="P270" s="170">
        <f>IF($M270="","",COUNTIF($J$7:$J$306,$M270))</f>
        <v/>
      </c>
      <c r="Q270" s="168" t="n"/>
      <c r="R270" s="168">
        <f>IF(TRIM($A270&amp;"")&lt;&gt;"",TRIM($A270&amp;""),$R269)</f>
        <v/>
      </c>
      <c r="S270" s="168">
        <f>IF($J270="","",MAX($S$6:$S269)+1)</f>
        <v/>
      </c>
      <c r="T270" s="168">
        <f>IF(TRIM($A270&amp;"")="","",MAX($T$6:$T269)+1)</f>
        <v/>
      </c>
    </row>
    <row r="271">
      <c r="A271" s="165" t="n"/>
      <c r="B271" s="166" t="n"/>
      <c r="C271" s="166" t="n"/>
      <c r="D271" s="166" t="n"/>
      <c r="E271" s="166" t="n"/>
      <c r="F271" s="166" t="n"/>
      <c r="G271" s="166" t="n"/>
      <c r="H271" s="166" t="n"/>
      <c r="I271" s="166" t="n"/>
      <c r="J271" s="167">
        <f>IF(TRIM($E271&amp;"")="","",$R271)</f>
        <v/>
      </c>
      <c r="K271" s="167">
        <f>IF(AND(TRIM($A271&amp;"")&lt;&gt;"",COUNTIF($A$7:$A$306,$A271)&gt;1),"DUPLICATE SET",IF(AND($E271&lt;&gt;"",$R271=""),"NO SET ABOVE",IF(AND($E271&lt;&gt;"",$C271=""),"QTY?",IF($J271="","","OK"))))</f>
        <v/>
      </c>
      <c r="L271" s="168" t="n"/>
      <c r="M271" s="169">
        <f>IFERROR(INDEX($R$7:$R$306,MATCH(265,$T$7:$T$306,0)),"")</f>
        <v/>
      </c>
      <c r="N271" s="170">
        <f>IF($M271="","",INDEX($B$7:$B$306,MATCH(265,$T$7:$T$306,0))&amp;"")</f>
        <v/>
      </c>
      <c r="O271" s="170">
        <f>IF($M271="","",SUMIF(tk_HWSET,$M271,tk_QTY))</f>
        <v/>
      </c>
      <c r="P271" s="170">
        <f>IF($M271="","",COUNTIF($J$7:$J$306,$M271))</f>
        <v/>
      </c>
      <c r="Q271" s="168" t="n"/>
      <c r="R271" s="168">
        <f>IF(TRIM($A271&amp;"")&lt;&gt;"",TRIM($A271&amp;""),$R270)</f>
        <v/>
      </c>
      <c r="S271" s="168">
        <f>IF($J271="","",MAX($S$6:$S270)+1)</f>
        <v/>
      </c>
      <c r="T271" s="168">
        <f>IF(TRIM($A271&amp;"")="","",MAX($T$6:$T270)+1)</f>
        <v/>
      </c>
    </row>
    <row r="272">
      <c r="A272" s="165" t="n"/>
      <c r="B272" s="166" t="n"/>
      <c r="C272" s="166" t="n"/>
      <c r="D272" s="166" t="n"/>
      <c r="E272" s="166" t="n"/>
      <c r="F272" s="166" t="n"/>
      <c r="G272" s="166" t="n"/>
      <c r="H272" s="166" t="n"/>
      <c r="I272" s="166" t="n"/>
      <c r="J272" s="167">
        <f>IF(TRIM($E272&amp;"")="","",$R272)</f>
        <v/>
      </c>
      <c r="K272" s="167">
        <f>IF(AND(TRIM($A272&amp;"")&lt;&gt;"",COUNTIF($A$7:$A$306,$A272)&gt;1),"DUPLICATE SET",IF(AND($E272&lt;&gt;"",$R272=""),"NO SET ABOVE",IF(AND($E272&lt;&gt;"",$C272=""),"QTY?",IF($J272="","","OK"))))</f>
        <v/>
      </c>
      <c r="L272" s="168" t="n"/>
      <c r="M272" s="169">
        <f>IFERROR(INDEX($R$7:$R$306,MATCH(266,$T$7:$T$306,0)),"")</f>
        <v/>
      </c>
      <c r="N272" s="170">
        <f>IF($M272="","",INDEX($B$7:$B$306,MATCH(266,$T$7:$T$306,0))&amp;"")</f>
        <v/>
      </c>
      <c r="O272" s="170">
        <f>IF($M272="","",SUMIF(tk_HWSET,$M272,tk_QTY))</f>
        <v/>
      </c>
      <c r="P272" s="170">
        <f>IF($M272="","",COUNTIF($J$7:$J$306,$M272))</f>
        <v/>
      </c>
      <c r="Q272" s="168" t="n"/>
      <c r="R272" s="168">
        <f>IF(TRIM($A272&amp;"")&lt;&gt;"",TRIM($A272&amp;""),$R271)</f>
        <v/>
      </c>
      <c r="S272" s="168">
        <f>IF($J272="","",MAX($S$6:$S271)+1)</f>
        <v/>
      </c>
      <c r="T272" s="168">
        <f>IF(TRIM($A272&amp;"")="","",MAX($T$6:$T271)+1)</f>
        <v/>
      </c>
    </row>
    <row r="273">
      <c r="A273" s="165" t="n"/>
      <c r="B273" s="166" t="n"/>
      <c r="C273" s="166" t="n"/>
      <c r="D273" s="166" t="n"/>
      <c r="E273" s="166" t="n"/>
      <c r="F273" s="166" t="n"/>
      <c r="G273" s="166" t="n"/>
      <c r="H273" s="166" t="n"/>
      <c r="I273" s="166" t="n"/>
      <c r="J273" s="167">
        <f>IF(TRIM($E273&amp;"")="","",$R273)</f>
        <v/>
      </c>
      <c r="K273" s="167">
        <f>IF(AND(TRIM($A273&amp;"")&lt;&gt;"",COUNTIF($A$7:$A$306,$A273)&gt;1),"DUPLICATE SET",IF(AND($E273&lt;&gt;"",$R273=""),"NO SET ABOVE",IF(AND($E273&lt;&gt;"",$C273=""),"QTY?",IF($J273="","","OK"))))</f>
        <v/>
      </c>
      <c r="L273" s="168" t="n"/>
      <c r="M273" s="169">
        <f>IFERROR(INDEX($R$7:$R$306,MATCH(267,$T$7:$T$306,0)),"")</f>
        <v/>
      </c>
      <c r="N273" s="170">
        <f>IF($M273="","",INDEX($B$7:$B$306,MATCH(267,$T$7:$T$306,0))&amp;"")</f>
        <v/>
      </c>
      <c r="O273" s="170">
        <f>IF($M273="","",SUMIF(tk_HWSET,$M273,tk_QTY))</f>
        <v/>
      </c>
      <c r="P273" s="170">
        <f>IF($M273="","",COUNTIF($J$7:$J$306,$M273))</f>
        <v/>
      </c>
      <c r="Q273" s="168" t="n"/>
      <c r="R273" s="168">
        <f>IF(TRIM($A273&amp;"")&lt;&gt;"",TRIM($A273&amp;""),$R272)</f>
        <v/>
      </c>
      <c r="S273" s="168">
        <f>IF($J273="","",MAX($S$6:$S272)+1)</f>
        <v/>
      </c>
      <c r="T273" s="168">
        <f>IF(TRIM($A273&amp;"")="","",MAX($T$6:$T272)+1)</f>
        <v/>
      </c>
    </row>
    <row r="274">
      <c r="A274" s="165" t="n"/>
      <c r="B274" s="166" t="n"/>
      <c r="C274" s="166" t="n"/>
      <c r="D274" s="166" t="n"/>
      <c r="E274" s="166" t="n"/>
      <c r="F274" s="166" t="n"/>
      <c r="G274" s="166" t="n"/>
      <c r="H274" s="166" t="n"/>
      <c r="I274" s="166" t="n"/>
      <c r="J274" s="167">
        <f>IF(TRIM($E274&amp;"")="","",$R274)</f>
        <v/>
      </c>
      <c r="K274" s="167">
        <f>IF(AND(TRIM($A274&amp;"")&lt;&gt;"",COUNTIF($A$7:$A$306,$A274)&gt;1),"DUPLICATE SET",IF(AND($E274&lt;&gt;"",$R274=""),"NO SET ABOVE",IF(AND($E274&lt;&gt;"",$C274=""),"QTY?",IF($J274="","","OK"))))</f>
        <v/>
      </c>
      <c r="L274" s="168" t="n"/>
      <c r="M274" s="169">
        <f>IFERROR(INDEX($R$7:$R$306,MATCH(268,$T$7:$T$306,0)),"")</f>
        <v/>
      </c>
      <c r="N274" s="170">
        <f>IF($M274="","",INDEX($B$7:$B$306,MATCH(268,$T$7:$T$306,0))&amp;"")</f>
        <v/>
      </c>
      <c r="O274" s="170">
        <f>IF($M274="","",SUMIF(tk_HWSET,$M274,tk_QTY))</f>
        <v/>
      </c>
      <c r="P274" s="170">
        <f>IF($M274="","",COUNTIF($J$7:$J$306,$M274))</f>
        <v/>
      </c>
      <c r="Q274" s="168" t="n"/>
      <c r="R274" s="168">
        <f>IF(TRIM($A274&amp;"")&lt;&gt;"",TRIM($A274&amp;""),$R273)</f>
        <v/>
      </c>
      <c r="S274" s="168">
        <f>IF($J274="","",MAX($S$6:$S273)+1)</f>
        <v/>
      </c>
      <c r="T274" s="168">
        <f>IF(TRIM($A274&amp;"")="","",MAX($T$6:$T273)+1)</f>
        <v/>
      </c>
    </row>
    <row r="275">
      <c r="A275" s="165" t="n"/>
      <c r="B275" s="166" t="n"/>
      <c r="C275" s="166" t="n"/>
      <c r="D275" s="166" t="n"/>
      <c r="E275" s="166" t="n"/>
      <c r="F275" s="166" t="n"/>
      <c r="G275" s="166" t="n"/>
      <c r="H275" s="166" t="n"/>
      <c r="I275" s="166" t="n"/>
      <c r="J275" s="167">
        <f>IF(TRIM($E275&amp;"")="","",$R275)</f>
        <v/>
      </c>
      <c r="K275" s="167">
        <f>IF(AND(TRIM($A275&amp;"")&lt;&gt;"",COUNTIF($A$7:$A$306,$A275)&gt;1),"DUPLICATE SET",IF(AND($E275&lt;&gt;"",$R275=""),"NO SET ABOVE",IF(AND($E275&lt;&gt;"",$C275=""),"QTY?",IF($J275="","","OK"))))</f>
        <v/>
      </c>
      <c r="L275" s="168" t="n"/>
      <c r="M275" s="169">
        <f>IFERROR(INDEX($R$7:$R$306,MATCH(269,$T$7:$T$306,0)),"")</f>
        <v/>
      </c>
      <c r="N275" s="170">
        <f>IF($M275="","",INDEX($B$7:$B$306,MATCH(269,$T$7:$T$306,0))&amp;"")</f>
        <v/>
      </c>
      <c r="O275" s="170">
        <f>IF($M275="","",SUMIF(tk_HWSET,$M275,tk_QTY))</f>
        <v/>
      </c>
      <c r="P275" s="170">
        <f>IF($M275="","",COUNTIF($J$7:$J$306,$M275))</f>
        <v/>
      </c>
      <c r="Q275" s="168" t="n"/>
      <c r="R275" s="168">
        <f>IF(TRIM($A275&amp;"")&lt;&gt;"",TRIM($A275&amp;""),$R274)</f>
        <v/>
      </c>
      <c r="S275" s="168">
        <f>IF($J275="","",MAX($S$6:$S274)+1)</f>
        <v/>
      </c>
      <c r="T275" s="168">
        <f>IF(TRIM($A275&amp;"")="","",MAX($T$6:$T274)+1)</f>
        <v/>
      </c>
    </row>
    <row r="276">
      <c r="A276" s="165" t="n"/>
      <c r="B276" s="166" t="n"/>
      <c r="C276" s="166" t="n"/>
      <c r="D276" s="166" t="n"/>
      <c r="E276" s="166" t="n"/>
      <c r="F276" s="166" t="n"/>
      <c r="G276" s="166" t="n"/>
      <c r="H276" s="166" t="n"/>
      <c r="I276" s="166" t="n"/>
      <c r="J276" s="167">
        <f>IF(TRIM($E276&amp;"")="","",$R276)</f>
        <v/>
      </c>
      <c r="K276" s="167">
        <f>IF(AND(TRIM($A276&amp;"")&lt;&gt;"",COUNTIF($A$7:$A$306,$A276)&gt;1),"DUPLICATE SET",IF(AND($E276&lt;&gt;"",$R276=""),"NO SET ABOVE",IF(AND($E276&lt;&gt;"",$C276=""),"QTY?",IF($J276="","","OK"))))</f>
        <v/>
      </c>
      <c r="L276" s="168" t="n"/>
      <c r="M276" s="169">
        <f>IFERROR(INDEX($R$7:$R$306,MATCH(270,$T$7:$T$306,0)),"")</f>
        <v/>
      </c>
      <c r="N276" s="170">
        <f>IF($M276="","",INDEX($B$7:$B$306,MATCH(270,$T$7:$T$306,0))&amp;"")</f>
        <v/>
      </c>
      <c r="O276" s="170">
        <f>IF($M276="","",SUMIF(tk_HWSET,$M276,tk_QTY))</f>
        <v/>
      </c>
      <c r="P276" s="170">
        <f>IF($M276="","",COUNTIF($J$7:$J$306,$M276))</f>
        <v/>
      </c>
      <c r="Q276" s="168" t="n"/>
      <c r="R276" s="168">
        <f>IF(TRIM($A276&amp;"")&lt;&gt;"",TRIM($A276&amp;""),$R275)</f>
        <v/>
      </c>
      <c r="S276" s="168">
        <f>IF($J276="","",MAX($S$6:$S275)+1)</f>
        <v/>
      </c>
      <c r="T276" s="168">
        <f>IF(TRIM($A276&amp;"")="","",MAX($T$6:$T275)+1)</f>
        <v/>
      </c>
    </row>
    <row r="277">
      <c r="A277" s="165" t="n"/>
      <c r="B277" s="166" t="n"/>
      <c r="C277" s="166" t="n"/>
      <c r="D277" s="166" t="n"/>
      <c r="E277" s="166" t="n"/>
      <c r="F277" s="166" t="n"/>
      <c r="G277" s="166" t="n"/>
      <c r="H277" s="166" t="n"/>
      <c r="I277" s="166" t="n"/>
      <c r="J277" s="167">
        <f>IF(TRIM($E277&amp;"")="","",$R277)</f>
        <v/>
      </c>
      <c r="K277" s="167">
        <f>IF(AND(TRIM($A277&amp;"")&lt;&gt;"",COUNTIF($A$7:$A$306,$A277)&gt;1),"DUPLICATE SET",IF(AND($E277&lt;&gt;"",$R277=""),"NO SET ABOVE",IF(AND($E277&lt;&gt;"",$C277=""),"QTY?",IF($J277="","","OK"))))</f>
        <v/>
      </c>
      <c r="L277" s="168" t="n"/>
      <c r="M277" s="169">
        <f>IFERROR(INDEX($R$7:$R$306,MATCH(271,$T$7:$T$306,0)),"")</f>
        <v/>
      </c>
      <c r="N277" s="170">
        <f>IF($M277="","",INDEX($B$7:$B$306,MATCH(271,$T$7:$T$306,0))&amp;"")</f>
        <v/>
      </c>
      <c r="O277" s="170">
        <f>IF($M277="","",SUMIF(tk_HWSET,$M277,tk_QTY))</f>
        <v/>
      </c>
      <c r="P277" s="170">
        <f>IF($M277="","",COUNTIF($J$7:$J$306,$M277))</f>
        <v/>
      </c>
      <c r="Q277" s="168" t="n"/>
      <c r="R277" s="168">
        <f>IF(TRIM($A277&amp;"")&lt;&gt;"",TRIM($A277&amp;""),$R276)</f>
        <v/>
      </c>
      <c r="S277" s="168">
        <f>IF($J277="","",MAX($S$6:$S276)+1)</f>
        <v/>
      </c>
      <c r="T277" s="168">
        <f>IF(TRIM($A277&amp;"")="","",MAX($T$6:$T276)+1)</f>
        <v/>
      </c>
    </row>
    <row r="278">
      <c r="A278" s="165" t="n"/>
      <c r="B278" s="166" t="n"/>
      <c r="C278" s="166" t="n"/>
      <c r="D278" s="166" t="n"/>
      <c r="E278" s="166" t="n"/>
      <c r="F278" s="166" t="n"/>
      <c r="G278" s="166" t="n"/>
      <c r="H278" s="166" t="n"/>
      <c r="I278" s="166" t="n"/>
      <c r="J278" s="167">
        <f>IF(TRIM($E278&amp;"")="","",$R278)</f>
        <v/>
      </c>
      <c r="K278" s="167">
        <f>IF(AND(TRIM($A278&amp;"")&lt;&gt;"",COUNTIF($A$7:$A$306,$A278)&gt;1),"DUPLICATE SET",IF(AND($E278&lt;&gt;"",$R278=""),"NO SET ABOVE",IF(AND($E278&lt;&gt;"",$C278=""),"QTY?",IF($J278="","","OK"))))</f>
        <v/>
      </c>
      <c r="L278" s="168" t="n"/>
      <c r="M278" s="169">
        <f>IFERROR(INDEX($R$7:$R$306,MATCH(272,$T$7:$T$306,0)),"")</f>
        <v/>
      </c>
      <c r="N278" s="170">
        <f>IF($M278="","",INDEX($B$7:$B$306,MATCH(272,$T$7:$T$306,0))&amp;"")</f>
        <v/>
      </c>
      <c r="O278" s="170">
        <f>IF($M278="","",SUMIF(tk_HWSET,$M278,tk_QTY))</f>
        <v/>
      </c>
      <c r="P278" s="170">
        <f>IF($M278="","",COUNTIF($J$7:$J$306,$M278))</f>
        <v/>
      </c>
      <c r="Q278" s="168" t="n"/>
      <c r="R278" s="168">
        <f>IF(TRIM($A278&amp;"")&lt;&gt;"",TRIM($A278&amp;""),$R277)</f>
        <v/>
      </c>
      <c r="S278" s="168">
        <f>IF($J278="","",MAX($S$6:$S277)+1)</f>
        <v/>
      </c>
      <c r="T278" s="168">
        <f>IF(TRIM($A278&amp;"")="","",MAX($T$6:$T277)+1)</f>
        <v/>
      </c>
    </row>
    <row r="279">
      <c r="A279" s="165" t="n"/>
      <c r="B279" s="166" t="n"/>
      <c r="C279" s="166" t="n"/>
      <c r="D279" s="166" t="n"/>
      <c r="E279" s="166" t="n"/>
      <c r="F279" s="166" t="n"/>
      <c r="G279" s="166" t="n"/>
      <c r="H279" s="166" t="n"/>
      <c r="I279" s="166" t="n"/>
      <c r="J279" s="167">
        <f>IF(TRIM($E279&amp;"")="","",$R279)</f>
        <v/>
      </c>
      <c r="K279" s="167">
        <f>IF(AND(TRIM($A279&amp;"")&lt;&gt;"",COUNTIF($A$7:$A$306,$A279)&gt;1),"DUPLICATE SET",IF(AND($E279&lt;&gt;"",$R279=""),"NO SET ABOVE",IF(AND($E279&lt;&gt;"",$C279=""),"QTY?",IF($J279="","","OK"))))</f>
        <v/>
      </c>
      <c r="L279" s="168" t="n"/>
      <c r="M279" s="169">
        <f>IFERROR(INDEX($R$7:$R$306,MATCH(273,$T$7:$T$306,0)),"")</f>
        <v/>
      </c>
      <c r="N279" s="170">
        <f>IF($M279="","",INDEX($B$7:$B$306,MATCH(273,$T$7:$T$306,0))&amp;"")</f>
        <v/>
      </c>
      <c r="O279" s="170">
        <f>IF($M279="","",SUMIF(tk_HWSET,$M279,tk_QTY))</f>
        <v/>
      </c>
      <c r="P279" s="170">
        <f>IF($M279="","",COUNTIF($J$7:$J$306,$M279))</f>
        <v/>
      </c>
      <c r="Q279" s="168" t="n"/>
      <c r="R279" s="168">
        <f>IF(TRIM($A279&amp;"")&lt;&gt;"",TRIM($A279&amp;""),$R278)</f>
        <v/>
      </c>
      <c r="S279" s="168">
        <f>IF($J279="","",MAX($S$6:$S278)+1)</f>
        <v/>
      </c>
      <c r="T279" s="168">
        <f>IF(TRIM($A279&amp;"")="","",MAX($T$6:$T278)+1)</f>
        <v/>
      </c>
    </row>
    <row r="280">
      <c r="A280" s="165" t="n"/>
      <c r="B280" s="166" t="n"/>
      <c r="C280" s="166" t="n"/>
      <c r="D280" s="166" t="n"/>
      <c r="E280" s="166" t="n"/>
      <c r="F280" s="166" t="n"/>
      <c r="G280" s="166" t="n"/>
      <c r="H280" s="166" t="n"/>
      <c r="I280" s="166" t="n"/>
      <c r="J280" s="167">
        <f>IF(TRIM($E280&amp;"")="","",$R280)</f>
        <v/>
      </c>
      <c r="K280" s="167">
        <f>IF(AND(TRIM($A280&amp;"")&lt;&gt;"",COUNTIF($A$7:$A$306,$A280)&gt;1),"DUPLICATE SET",IF(AND($E280&lt;&gt;"",$R280=""),"NO SET ABOVE",IF(AND($E280&lt;&gt;"",$C280=""),"QTY?",IF($J280="","","OK"))))</f>
        <v/>
      </c>
      <c r="L280" s="168" t="n"/>
      <c r="M280" s="169">
        <f>IFERROR(INDEX($R$7:$R$306,MATCH(274,$T$7:$T$306,0)),"")</f>
        <v/>
      </c>
      <c r="N280" s="170">
        <f>IF($M280="","",INDEX($B$7:$B$306,MATCH(274,$T$7:$T$306,0))&amp;"")</f>
        <v/>
      </c>
      <c r="O280" s="170">
        <f>IF($M280="","",SUMIF(tk_HWSET,$M280,tk_QTY))</f>
        <v/>
      </c>
      <c r="P280" s="170">
        <f>IF($M280="","",COUNTIF($J$7:$J$306,$M280))</f>
        <v/>
      </c>
      <c r="Q280" s="168" t="n"/>
      <c r="R280" s="168">
        <f>IF(TRIM($A280&amp;"")&lt;&gt;"",TRIM($A280&amp;""),$R279)</f>
        <v/>
      </c>
      <c r="S280" s="168">
        <f>IF($J280="","",MAX($S$6:$S279)+1)</f>
        <v/>
      </c>
      <c r="T280" s="168">
        <f>IF(TRIM($A280&amp;"")="","",MAX($T$6:$T279)+1)</f>
        <v/>
      </c>
    </row>
    <row r="281">
      <c r="A281" s="165" t="n"/>
      <c r="B281" s="166" t="n"/>
      <c r="C281" s="166" t="n"/>
      <c r="D281" s="166" t="n"/>
      <c r="E281" s="166" t="n"/>
      <c r="F281" s="166" t="n"/>
      <c r="G281" s="166" t="n"/>
      <c r="H281" s="166" t="n"/>
      <c r="I281" s="166" t="n"/>
      <c r="J281" s="167">
        <f>IF(TRIM($E281&amp;"")="","",$R281)</f>
        <v/>
      </c>
      <c r="K281" s="167">
        <f>IF(AND(TRIM($A281&amp;"")&lt;&gt;"",COUNTIF($A$7:$A$306,$A281)&gt;1),"DUPLICATE SET",IF(AND($E281&lt;&gt;"",$R281=""),"NO SET ABOVE",IF(AND($E281&lt;&gt;"",$C281=""),"QTY?",IF($J281="","","OK"))))</f>
        <v/>
      </c>
      <c r="L281" s="168" t="n"/>
      <c r="M281" s="169">
        <f>IFERROR(INDEX($R$7:$R$306,MATCH(275,$T$7:$T$306,0)),"")</f>
        <v/>
      </c>
      <c r="N281" s="170">
        <f>IF($M281="","",INDEX($B$7:$B$306,MATCH(275,$T$7:$T$306,0))&amp;"")</f>
        <v/>
      </c>
      <c r="O281" s="170">
        <f>IF($M281="","",SUMIF(tk_HWSET,$M281,tk_QTY))</f>
        <v/>
      </c>
      <c r="P281" s="170">
        <f>IF($M281="","",COUNTIF($J$7:$J$306,$M281))</f>
        <v/>
      </c>
      <c r="Q281" s="168" t="n"/>
      <c r="R281" s="168">
        <f>IF(TRIM($A281&amp;"")&lt;&gt;"",TRIM($A281&amp;""),$R280)</f>
        <v/>
      </c>
      <c r="S281" s="168">
        <f>IF($J281="","",MAX($S$6:$S280)+1)</f>
        <v/>
      </c>
      <c r="T281" s="168">
        <f>IF(TRIM($A281&amp;"")="","",MAX($T$6:$T280)+1)</f>
        <v/>
      </c>
    </row>
    <row r="282">
      <c r="A282" s="165" t="n"/>
      <c r="B282" s="166" t="n"/>
      <c r="C282" s="166" t="n"/>
      <c r="D282" s="166" t="n"/>
      <c r="E282" s="166" t="n"/>
      <c r="F282" s="166" t="n"/>
      <c r="G282" s="166" t="n"/>
      <c r="H282" s="166" t="n"/>
      <c r="I282" s="166" t="n"/>
      <c r="J282" s="167">
        <f>IF(TRIM($E282&amp;"")="","",$R282)</f>
        <v/>
      </c>
      <c r="K282" s="167">
        <f>IF(AND(TRIM($A282&amp;"")&lt;&gt;"",COUNTIF($A$7:$A$306,$A282)&gt;1),"DUPLICATE SET",IF(AND($E282&lt;&gt;"",$R282=""),"NO SET ABOVE",IF(AND($E282&lt;&gt;"",$C282=""),"QTY?",IF($J282="","","OK"))))</f>
        <v/>
      </c>
      <c r="L282" s="168" t="n"/>
      <c r="M282" s="169">
        <f>IFERROR(INDEX($R$7:$R$306,MATCH(276,$T$7:$T$306,0)),"")</f>
        <v/>
      </c>
      <c r="N282" s="170">
        <f>IF($M282="","",INDEX($B$7:$B$306,MATCH(276,$T$7:$T$306,0))&amp;"")</f>
        <v/>
      </c>
      <c r="O282" s="170">
        <f>IF($M282="","",SUMIF(tk_HWSET,$M282,tk_QTY))</f>
        <v/>
      </c>
      <c r="P282" s="170">
        <f>IF($M282="","",COUNTIF($J$7:$J$306,$M282))</f>
        <v/>
      </c>
      <c r="Q282" s="168" t="n"/>
      <c r="R282" s="168">
        <f>IF(TRIM($A282&amp;"")&lt;&gt;"",TRIM($A282&amp;""),$R281)</f>
        <v/>
      </c>
      <c r="S282" s="168">
        <f>IF($J282="","",MAX($S$6:$S281)+1)</f>
        <v/>
      </c>
      <c r="T282" s="168">
        <f>IF(TRIM($A282&amp;"")="","",MAX($T$6:$T281)+1)</f>
        <v/>
      </c>
    </row>
    <row r="283">
      <c r="A283" s="165" t="n"/>
      <c r="B283" s="166" t="n"/>
      <c r="C283" s="166" t="n"/>
      <c r="D283" s="166" t="n"/>
      <c r="E283" s="166" t="n"/>
      <c r="F283" s="166" t="n"/>
      <c r="G283" s="166" t="n"/>
      <c r="H283" s="166" t="n"/>
      <c r="I283" s="166" t="n"/>
      <c r="J283" s="167">
        <f>IF(TRIM($E283&amp;"")="","",$R283)</f>
        <v/>
      </c>
      <c r="K283" s="167">
        <f>IF(AND(TRIM($A283&amp;"")&lt;&gt;"",COUNTIF($A$7:$A$306,$A283)&gt;1),"DUPLICATE SET",IF(AND($E283&lt;&gt;"",$R283=""),"NO SET ABOVE",IF(AND($E283&lt;&gt;"",$C283=""),"QTY?",IF($J283="","","OK"))))</f>
        <v/>
      </c>
      <c r="L283" s="168" t="n"/>
      <c r="M283" s="169">
        <f>IFERROR(INDEX($R$7:$R$306,MATCH(277,$T$7:$T$306,0)),"")</f>
        <v/>
      </c>
      <c r="N283" s="170">
        <f>IF($M283="","",INDEX($B$7:$B$306,MATCH(277,$T$7:$T$306,0))&amp;"")</f>
        <v/>
      </c>
      <c r="O283" s="170">
        <f>IF($M283="","",SUMIF(tk_HWSET,$M283,tk_QTY))</f>
        <v/>
      </c>
      <c r="P283" s="170">
        <f>IF($M283="","",COUNTIF($J$7:$J$306,$M283))</f>
        <v/>
      </c>
      <c r="Q283" s="168" t="n"/>
      <c r="R283" s="168">
        <f>IF(TRIM($A283&amp;"")&lt;&gt;"",TRIM($A283&amp;""),$R282)</f>
        <v/>
      </c>
      <c r="S283" s="168">
        <f>IF($J283="","",MAX($S$6:$S282)+1)</f>
        <v/>
      </c>
      <c r="T283" s="168">
        <f>IF(TRIM($A283&amp;"")="","",MAX($T$6:$T282)+1)</f>
        <v/>
      </c>
    </row>
    <row r="284">
      <c r="A284" s="165" t="n"/>
      <c r="B284" s="166" t="n"/>
      <c r="C284" s="166" t="n"/>
      <c r="D284" s="166" t="n"/>
      <c r="E284" s="166" t="n"/>
      <c r="F284" s="166" t="n"/>
      <c r="G284" s="166" t="n"/>
      <c r="H284" s="166" t="n"/>
      <c r="I284" s="166" t="n"/>
      <c r="J284" s="167">
        <f>IF(TRIM($E284&amp;"")="","",$R284)</f>
        <v/>
      </c>
      <c r="K284" s="167">
        <f>IF(AND(TRIM($A284&amp;"")&lt;&gt;"",COUNTIF($A$7:$A$306,$A284)&gt;1),"DUPLICATE SET",IF(AND($E284&lt;&gt;"",$R284=""),"NO SET ABOVE",IF(AND($E284&lt;&gt;"",$C284=""),"QTY?",IF($J284="","","OK"))))</f>
        <v/>
      </c>
      <c r="L284" s="168" t="n"/>
      <c r="M284" s="169">
        <f>IFERROR(INDEX($R$7:$R$306,MATCH(278,$T$7:$T$306,0)),"")</f>
        <v/>
      </c>
      <c r="N284" s="170">
        <f>IF($M284="","",INDEX($B$7:$B$306,MATCH(278,$T$7:$T$306,0))&amp;"")</f>
        <v/>
      </c>
      <c r="O284" s="170">
        <f>IF($M284="","",SUMIF(tk_HWSET,$M284,tk_QTY))</f>
        <v/>
      </c>
      <c r="P284" s="170">
        <f>IF($M284="","",COUNTIF($J$7:$J$306,$M284))</f>
        <v/>
      </c>
      <c r="Q284" s="168" t="n"/>
      <c r="R284" s="168">
        <f>IF(TRIM($A284&amp;"")&lt;&gt;"",TRIM($A284&amp;""),$R283)</f>
        <v/>
      </c>
      <c r="S284" s="168">
        <f>IF($J284="","",MAX($S$6:$S283)+1)</f>
        <v/>
      </c>
      <c r="T284" s="168">
        <f>IF(TRIM($A284&amp;"")="","",MAX($T$6:$T283)+1)</f>
        <v/>
      </c>
    </row>
    <row r="285">
      <c r="A285" s="165" t="n"/>
      <c r="B285" s="166" t="n"/>
      <c r="C285" s="166" t="n"/>
      <c r="D285" s="166" t="n"/>
      <c r="E285" s="166" t="n"/>
      <c r="F285" s="166" t="n"/>
      <c r="G285" s="166" t="n"/>
      <c r="H285" s="166" t="n"/>
      <c r="I285" s="166" t="n"/>
      <c r="J285" s="167">
        <f>IF(TRIM($E285&amp;"")="","",$R285)</f>
        <v/>
      </c>
      <c r="K285" s="167">
        <f>IF(AND(TRIM($A285&amp;"")&lt;&gt;"",COUNTIF($A$7:$A$306,$A285)&gt;1),"DUPLICATE SET",IF(AND($E285&lt;&gt;"",$R285=""),"NO SET ABOVE",IF(AND($E285&lt;&gt;"",$C285=""),"QTY?",IF($J285="","","OK"))))</f>
        <v/>
      </c>
      <c r="L285" s="168" t="n"/>
      <c r="M285" s="169">
        <f>IFERROR(INDEX($R$7:$R$306,MATCH(279,$T$7:$T$306,0)),"")</f>
        <v/>
      </c>
      <c r="N285" s="170">
        <f>IF($M285="","",INDEX($B$7:$B$306,MATCH(279,$T$7:$T$306,0))&amp;"")</f>
        <v/>
      </c>
      <c r="O285" s="170">
        <f>IF($M285="","",SUMIF(tk_HWSET,$M285,tk_QTY))</f>
        <v/>
      </c>
      <c r="P285" s="170">
        <f>IF($M285="","",COUNTIF($J$7:$J$306,$M285))</f>
        <v/>
      </c>
      <c r="Q285" s="168" t="n"/>
      <c r="R285" s="168">
        <f>IF(TRIM($A285&amp;"")&lt;&gt;"",TRIM($A285&amp;""),$R284)</f>
        <v/>
      </c>
      <c r="S285" s="168">
        <f>IF($J285="","",MAX($S$6:$S284)+1)</f>
        <v/>
      </c>
      <c r="T285" s="168">
        <f>IF(TRIM($A285&amp;"")="","",MAX($T$6:$T284)+1)</f>
        <v/>
      </c>
    </row>
    <row r="286">
      <c r="A286" s="165" t="n"/>
      <c r="B286" s="166" t="n"/>
      <c r="C286" s="166" t="n"/>
      <c r="D286" s="166" t="n"/>
      <c r="E286" s="166" t="n"/>
      <c r="F286" s="166" t="n"/>
      <c r="G286" s="166" t="n"/>
      <c r="H286" s="166" t="n"/>
      <c r="I286" s="166" t="n"/>
      <c r="J286" s="167">
        <f>IF(TRIM($E286&amp;"")="","",$R286)</f>
        <v/>
      </c>
      <c r="K286" s="167">
        <f>IF(AND(TRIM($A286&amp;"")&lt;&gt;"",COUNTIF($A$7:$A$306,$A286)&gt;1),"DUPLICATE SET",IF(AND($E286&lt;&gt;"",$R286=""),"NO SET ABOVE",IF(AND($E286&lt;&gt;"",$C286=""),"QTY?",IF($J286="","","OK"))))</f>
        <v/>
      </c>
      <c r="L286" s="168" t="n"/>
      <c r="M286" s="169">
        <f>IFERROR(INDEX($R$7:$R$306,MATCH(280,$T$7:$T$306,0)),"")</f>
        <v/>
      </c>
      <c r="N286" s="170">
        <f>IF($M286="","",INDEX($B$7:$B$306,MATCH(280,$T$7:$T$306,0))&amp;"")</f>
        <v/>
      </c>
      <c r="O286" s="170">
        <f>IF($M286="","",SUMIF(tk_HWSET,$M286,tk_QTY))</f>
        <v/>
      </c>
      <c r="P286" s="170">
        <f>IF($M286="","",COUNTIF($J$7:$J$306,$M286))</f>
        <v/>
      </c>
      <c r="Q286" s="168" t="n"/>
      <c r="R286" s="168">
        <f>IF(TRIM($A286&amp;"")&lt;&gt;"",TRIM($A286&amp;""),$R285)</f>
        <v/>
      </c>
      <c r="S286" s="168">
        <f>IF($J286="","",MAX($S$6:$S285)+1)</f>
        <v/>
      </c>
      <c r="T286" s="168">
        <f>IF(TRIM($A286&amp;"")="","",MAX($T$6:$T285)+1)</f>
        <v/>
      </c>
    </row>
    <row r="287">
      <c r="A287" s="165" t="n"/>
      <c r="B287" s="166" t="n"/>
      <c r="C287" s="166" t="n"/>
      <c r="D287" s="166" t="n"/>
      <c r="E287" s="166" t="n"/>
      <c r="F287" s="166" t="n"/>
      <c r="G287" s="166" t="n"/>
      <c r="H287" s="166" t="n"/>
      <c r="I287" s="166" t="n"/>
      <c r="J287" s="167">
        <f>IF(TRIM($E287&amp;"")="","",$R287)</f>
        <v/>
      </c>
      <c r="K287" s="167">
        <f>IF(AND(TRIM($A287&amp;"")&lt;&gt;"",COUNTIF($A$7:$A$306,$A287)&gt;1),"DUPLICATE SET",IF(AND($E287&lt;&gt;"",$R287=""),"NO SET ABOVE",IF(AND($E287&lt;&gt;"",$C287=""),"QTY?",IF($J287="","","OK"))))</f>
        <v/>
      </c>
      <c r="L287" s="168" t="n"/>
      <c r="M287" s="169">
        <f>IFERROR(INDEX($R$7:$R$306,MATCH(281,$T$7:$T$306,0)),"")</f>
        <v/>
      </c>
      <c r="N287" s="170">
        <f>IF($M287="","",INDEX($B$7:$B$306,MATCH(281,$T$7:$T$306,0))&amp;"")</f>
        <v/>
      </c>
      <c r="O287" s="170">
        <f>IF($M287="","",SUMIF(tk_HWSET,$M287,tk_QTY))</f>
        <v/>
      </c>
      <c r="P287" s="170">
        <f>IF($M287="","",COUNTIF($J$7:$J$306,$M287))</f>
        <v/>
      </c>
      <c r="Q287" s="168" t="n"/>
      <c r="R287" s="168">
        <f>IF(TRIM($A287&amp;"")&lt;&gt;"",TRIM($A287&amp;""),$R286)</f>
        <v/>
      </c>
      <c r="S287" s="168">
        <f>IF($J287="","",MAX($S$6:$S286)+1)</f>
        <v/>
      </c>
      <c r="T287" s="168">
        <f>IF(TRIM($A287&amp;"")="","",MAX($T$6:$T286)+1)</f>
        <v/>
      </c>
    </row>
    <row r="288">
      <c r="A288" s="165" t="n"/>
      <c r="B288" s="166" t="n"/>
      <c r="C288" s="166" t="n"/>
      <c r="D288" s="166" t="n"/>
      <c r="E288" s="166" t="n"/>
      <c r="F288" s="166" t="n"/>
      <c r="G288" s="166" t="n"/>
      <c r="H288" s="166" t="n"/>
      <c r="I288" s="166" t="n"/>
      <c r="J288" s="167">
        <f>IF(TRIM($E288&amp;"")="","",$R288)</f>
        <v/>
      </c>
      <c r="K288" s="167">
        <f>IF(AND(TRIM($A288&amp;"")&lt;&gt;"",COUNTIF($A$7:$A$306,$A288)&gt;1),"DUPLICATE SET",IF(AND($E288&lt;&gt;"",$R288=""),"NO SET ABOVE",IF(AND($E288&lt;&gt;"",$C288=""),"QTY?",IF($J288="","","OK"))))</f>
        <v/>
      </c>
      <c r="L288" s="168" t="n"/>
      <c r="M288" s="169">
        <f>IFERROR(INDEX($R$7:$R$306,MATCH(282,$T$7:$T$306,0)),"")</f>
        <v/>
      </c>
      <c r="N288" s="170">
        <f>IF($M288="","",INDEX($B$7:$B$306,MATCH(282,$T$7:$T$306,0))&amp;"")</f>
        <v/>
      </c>
      <c r="O288" s="170">
        <f>IF($M288="","",SUMIF(tk_HWSET,$M288,tk_QTY))</f>
        <v/>
      </c>
      <c r="P288" s="170">
        <f>IF($M288="","",COUNTIF($J$7:$J$306,$M288))</f>
        <v/>
      </c>
      <c r="Q288" s="168" t="n"/>
      <c r="R288" s="168">
        <f>IF(TRIM($A288&amp;"")&lt;&gt;"",TRIM($A288&amp;""),$R287)</f>
        <v/>
      </c>
      <c r="S288" s="168">
        <f>IF($J288="","",MAX($S$6:$S287)+1)</f>
        <v/>
      </c>
      <c r="T288" s="168">
        <f>IF(TRIM($A288&amp;"")="","",MAX($T$6:$T287)+1)</f>
        <v/>
      </c>
    </row>
    <row r="289">
      <c r="A289" s="165" t="n"/>
      <c r="B289" s="166" t="n"/>
      <c r="C289" s="166" t="n"/>
      <c r="D289" s="166" t="n"/>
      <c r="E289" s="166" t="n"/>
      <c r="F289" s="166" t="n"/>
      <c r="G289" s="166" t="n"/>
      <c r="H289" s="166" t="n"/>
      <c r="I289" s="166" t="n"/>
      <c r="J289" s="167">
        <f>IF(TRIM($E289&amp;"")="","",$R289)</f>
        <v/>
      </c>
      <c r="K289" s="167">
        <f>IF(AND(TRIM($A289&amp;"")&lt;&gt;"",COUNTIF($A$7:$A$306,$A289)&gt;1),"DUPLICATE SET",IF(AND($E289&lt;&gt;"",$R289=""),"NO SET ABOVE",IF(AND($E289&lt;&gt;"",$C289=""),"QTY?",IF($J289="","","OK"))))</f>
        <v/>
      </c>
      <c r="L289" s="168" t="n"/>
      <c r="M289" s="169">
        <f>IFERROR(INDEX($R$7:$R$306,MATCH(283,$T$7:$T$306,0)),"")</f>
        <v/>
      </c>
      <c r="N289" s="170">
        <f>IF($M289="","",INDEX($B$7:$B$306,MATCH(283,$T$7:$T$306,0))&amp;"")</f>
        <v/>
      </c>
      <c r="O289" s="170">
        <f>IF($M289="","",SUMIF(tk_HWSET,$M289,tk_QTY))</f>
        <v/>
      </c>
      <c r="P289" s="170">
        <f>IF($M289="","",COUNTIF($J$7:$J$306,$M289))</f>
        <v/>
      </c>
      <c r="Q289" s="168" t="n"/>
      <c r="R289" s="168">
        <f>IF(TRIM($A289&amp;"")&lt;&gt;"",TRIM($A289&amp;""),$R288)</f>
        <v/>
      </c>
      <c r="S289" s="168">
        <f>IF($J289="","",MAX($S$6:$S288)+1)</f>
        <v/>
      </c>
      <c r="T289" s="168">
        <f>IF(TRIM($A289&amp;"")="","",MAX($T$6:$T288)+1)</f>
        <v/>
      </c>
    </row>
    <row r="290">
      <c r="A290" s="165" t="n"/>
      <c r="B290" s="166" t="n"/>
      <c r="C290" s="166" t="n"/>
      <c r="D290" s="166" t="n"/>
      <c r="E290" s="166" t="n"/>
      <c r="F290" s="166" t="n"/>
      <c r="G290" s="166" t="n"/>
      <c r="H290" s="166" t="n"/>
      <c r="I290" s="166" t="n"/>
      <c r="J290" s="167">
        <f>IF(TRIM($E290&amp;"")="","",$R290)</f>
        <v/>
      </c>
      <c r="K290" s="167">
        <f>IF(AND(TRIM($A290&amp;"")&lt;&gt;"",COUNTIF($A$7:$A$306,$A290)&gt;1),"DUPLICATE SET",IF(AND($E290&lt;&gt;"",$R290=""),"NO SET ABOVE",IF(AND($E290&lt;&gt;"",$C290=""),"QTY?",IF($J290="","","OK"))))</f>
        <v/>
      </c>
      <c r="L290" s="168" t="n"/>
      <c r="M290" s="169">
        <f>IFERROR(INDEX($R$7:$R$306,MATCH(284,$T$7:$T$306,0)),"")</f>
        <v/>
      </c>
      <c r="N290" s="170">
        <f>IF($M290="","",INDEX($B$7:$B$306,MATCH(284,$T$7:$T$306,0))&amp;"")</f>
        <v/>
      </c>
      <c r="O290" s="170">
        <f>IF($M290="","",SUMIF(tk_HWSET,$M290,tk_QTY))</f>
        <v/>
      </c>
      <c r="P290" s="170">
        <f>IF($M290="","",COUNTIF($J$7:$J$306,$M290))</f>
        <v/>
      </c>
      <c r="Q290" s="168" t="n"/>
      <c r="R290" s="168">
        <f>IF(TRIM($A290&amp;"")&lt;&gt;"",TRIM($A290&amp;""),$R289)</f>
        <v/>
      </c>
      <c r="S290" s="168">
        <f>IF($J290="","",MAX($S$6:$S289)+1)</f>
        <v/>
      </c>
      <c r="T290" s="168">
        <f>IF(TRIM($A290&amp;"")="","",MAX($T$6:$T289)+1)</f>
        <v/>
      </c>
    </row>
    <row r="291">
      <c r="A291" s="165" t="n"/>
      <c r="B291" s="166" t="n"/>
      <c r="C291" s="166" t="n"/>
      <c r="D291" s="166" t="n"/>
      <c r="E291" s="166" t="n"/>
      <c r="F291" s="166" t="n"/>
      <c r="G291" s="166" t="n"/>
      <c r="H291" s="166" t="n"/>
      <c r="I291" s="166" t="n"/>
      <c r="J291" s="167">
        <f>IF(TRIM($E291&amp;"")="","",$R291)</f>
        <v/>
      </c>
      <c r="K291" s="167">
        <f>IF(AND(TRIM($A291&amp;"")&lt;&gt;"",COUNTIF($A$7:$A$306,$A291)&gt;1),"DUPLICATE SET",IF(AND($E291&lt;&gt;"",$R291=""),"NO SET ABOVE",IF(AND($E291&lt;&gt;"",$C291=""),"QTY?",IF($J291="","","OK"))))</f>
        <v/>
      </c>
      <c r="L291" s="168" t="n"/>
      <c r="M291" s="169">
        <f>IFERROR(INDEX($R$7:$R$306,MATCH(285,$T$7:$T$306,0)),"")</f>
        <v/>
      </c>
      <c r="N291" s="170">
        <f>IF($M291="","",INDEX($B$7:$B$306,MATCH(285,$T$7:$T$306,0))&amp;"")</f>
        <v/>
      </c>
      <c r="O291" s="170">
        <f>IF($M291="","",SUMIF(tk_HWSET,$M291,tk_QTY))</f>
        <v/>
      </c>
      <c r="P291" s="170">
        <f>IF($M291="","",COUNTIF($J$7:$J$306,$M291))</f>
        <v/>
      </c>
      <c r="Q291" s="168" t="n"/>
      <c r="R291" s="168">
        <f>IF(TRIM($A291&amp;"")&lt;&gt;"",TRIM($A291&amp;""),$R290)</f>
        <v/>
      </c>
      <c r="S291" s="168">
        <f>IF($J291="","",MAX($S$6:$S290)+1)</f>
        <v/>
      </c>
      <c r="T291" s="168">
        <f>IF(TRIM($A291&amp;"")="","",MAX($T$6:$T290)+1)</f>
        <v/>
      </c>
    </row>
    <row r="292">
      <c r="A292" s="165" t="n"/>
      <c r="B292" s="166" t="n"/>
      <c r="C292" s="166" t="n"/>
      <c r="D292" s="166" t="n"/>
      <c r="E292" s="166" t="n"/>
      <c r="F292" s="166" t="n"/>
      <c r="G292" s="166" t="n"/>
      <c r="H292" s="166" t="n"/>
      <c r="I292" s="166" t="n"/>
      <c r="J292" s="167">
        <f>IF(TRIM($E292&amp;"")="","",$R292)</f>
        <v/>
      </c>
      <c r="K292" s="167">
        <f>IF(AND(TRIM($A292&amp;"")&lt;&gt;"",COUNTIF($A$7:$A$306,$A292)&gt;1),"DUPLICATE SET",IF(AND($E292&lt;&gt;"",$R292=""),"NO SET ABOVE",IF(AND($E292&lt;&gt;"",$C292=""),"QTY?",IF($J292="","","OK"))))</f>
        <v/>
      </c>
      <c r="L292" s="168" t="n"/>
      <c r="M292" s="169">
        <f>IFERROR(INDEX($R$7:$R$306,MATCH(286,$T$7:$T$306,0)),"")</f>
        <v/>
      </c>
      <c r="N292" s="170">
        <f>IF($M292="","",INDEX($B$7:$B$306,MATCH(286,$T$7:$T$306,0))&amp;"")</f>
        <v/>
      </c>
      <c r="O292" s="170">
        <f>IF($M292="","",SUMIF(tk_HWSET,$M292,tk_QTY))</f>
        <v/>
      </c>
      <c r="P292" s="170">
        <f>IF($M292="","",COUNTIF($J$7:$J$306,$M292))</f>
        <v/>
      </c>
      <c r="Q292" s="168" t="n"/>
      <c r="R292" s="168">
        <f>IF(TRIM($A292&amp;"")&lt;&gt;"",TRIM($A292&amp;""),$R291)</f>
        <v/>
      </c>
      <c r="S292" s="168">
        <f>IF($J292="","",MAX($S$6:$S291)+1)</f>
        <v/>
      </c>
      <c r="T292" s="168">
        <f>IF(TRIM($A292&amp;"")="","",MAX($T$6:$T291)+1)</f>
        <v/>
      </c>
    </row>
    <row r="293">
      <c r="A293" s="165" t="n"/>
      <c r="B293" s="166" t="n"/>
      <c r="C293" s="166" t="n"/>
      <c r="D293" s="166" t="n"/>
      <c r="E293" s="166" t="n"/>
      <c r="F293" s="166" t="n"/>
      <c r="G293" s="166" t="n"/>
      <c r="H293" s="166" t="n"/>
      <c r="I293" s="166" t="n"/>
      <c r="J293" s="167">
        <f>IF(TRIM($E293&amp;"")="","",$R293)</f>
        <v/>
      </c>
      <c r="K293" s="167">
        <f>IF(AND(TRIM($A293&amp;"")&lt;&gt;"",COUNTIF($A$7:$A$306,$A293)&gt;1),"DUPLICATE SET",IF(AND($E293&lt;&gt;"",$R293=""),"NO SET ABOVE",IF(AND($E293&lt;&gt;"",$C293=""),"QTY?",IF($J293="","","OK"))))</f>
        <v/>
      </c>
      <c r="L293" s="168" t="n"/>
      <c r="M293" s="169">
        <f>IFERROR(INDEX($R$7:$R$306,MATCH(287,$T$7:$T$306,0)),"")</f>
        <v/>
      </c>
      <c r="N293" s="170">
        <f>IF($M293="","",INDEX($B$7:$B$306,MATCH(287,$T$7:$T$306,0))&amp;"")</f>
        <v/>
      </c>
      <c r="O293" s="170">
        <f>IF($M293="","",SUMIF(tk_HWSET,$M293,tk_QTY))</f>
        <v/>
      </c>
      <c r="P293" s="170">
        <f>IF($M293="","",COUNTIF($J$7:$J$306,$M293))</f>
        <v/>
      </c>
      <c r="Q293" s="168" t="n"/>
      <c r="R293" s="168">
        <f>IF(TRIM($A293&amp;"")&lt;&gt;"",TRIM($A293&amp;""),$R292)</f>
        <v/>
      </c>
      <c r="S293" s="168">
        <f>IF($J293="","",MAX($S$6:$S292)+1)</f>
        <v/>
      </c>
      <c r="T293" s="168">
        <f>IF(TRIM($A293&amp;"")="","",MAX($T$6:$T292)+1)</f>
        <v/>
      </c>
    </row>
    <row r="294">
      <c r="A294" s="165" t="n"/>
      <c r="B294" s="166" t="n"/>
      <c r="C294" s="166" t="n"/>
      <c r="D294" s="166" t="n"/>
      <c r="E294" s="166" t="n"/>
      <c r="F294" s="166" t="n"/>
      <c r="G294" s="166" t="n"/>
      <c r="H294" s="166" t="n"/>
      <c r="I294" s="166" t="n"/>
      <c r="J294" s="167">
        <f>IF(TRIM($E294&amp;"")="","",$R294)</f>
        <v/>
      </c>
      <c r="K294" s="167">
        <f>IF(AND(TRIM($A294&amp;"")&lt;&gt;"",COUNTIF($A$7:$A$306,$A294)&gt;1),"DUPLICATE SET",IF(AND($E294&lt;&gt;"",$R294=""),"NO SET ABOVE",IF(AND($E294&lt;&gt;"",$C294=""),"QTY?",IF($J294="","","OK"))))</f>
        <v/>
      </c>
      <c r="L294" s="168" t="n"/>
      <c r="M294" s="169">
        <f>IFERROR(INDEX($R$7:$R$306,MATCH(288,$T$7:$T$306,0)),"")</f>
        <v/>
      </c>
      <c r="N294" s="170">
        <f>IF($M294="","",INDEX($B$7:$B$306,MATCH(288,$T$7:$T$306,0))&amp;"")</f>
        <v/>
      </c>
      <c r="O294" s="170">
        <f>IF($M294="","",SUMIF(tk_HWSET,$M294,tk_QTY))</f>
        <v/>
      </c>
      <c r="P294" s="170">
        <f>IF($M294="","",COUNTIF($J$7:$J$306,$M294))</f>
        <v/>
      </c>
      <c r="Q294" s="168" t="n"/>
      <c r="R294" s="168">
        <f>IF(TRIM($A294&amp;"")&lt;&gt;"",TRIM($A294&amp;""),$R293)</f>
        <v/>
      </c>
      <c r="S294" s="168">
        <f>IF($J294="","",MAX($S$6:$S293)+1)</f>
        <v/>
      </c>
      <c r="T294" s="168">
        <f>IF(TRIM($A294&amp;"")="","",MAX($T$6:$T293)+1)</f>
        <v/>
      </c>
    </row>
    <row r="295">
      <c r="A295" s="165" t="n"/>
      <c r="B295" s="166" t="n"/>
      <c r="C295" s="166" t="n"/>
      <c r="D295" s="166" t="n"/>
      <c r="E295" s="166" t="n"/>
      <c r="F295" s="166" t="n"/>
      <c r="G295" s="166" t="n"/>
      <c r="H295" s="166" t="n"/>
      <c r="I295" s="166" t="n"/>
      <c r="J295" s="167">
        <f>IF(TRIM($E295&amp;"")="","",$R295)</f>
        <v/>
      </c>
      <c r="K295" s="167">
        <f>IF(AND(TRIM($A295&amp;"")&lt;&gt;"",COUNTIF($A$7:$A$306,$A295)&gt;1),"DUPLICATE SET",IF(AND($E295&lt;&gt;"",$R295=""),"NO SET ABOVE",IF(AND($E295&lt;&gt;"",$C295=""),"QTY?",IF($J295="","","OK"))))</f>
        <v/>
      </c>
      <c r="L295" s="168" t="n"/>
      <c r="M295" s="169">
        <f>IFERROR(INDEX($R$7:$R$306,MATCH(289,$T$7:$T$306,0)),"")</f>
        <v/>
      </c>
      <c r="N295" s="170">
        <f>IF($M295="","",INDEX($B$7:$B$306,MATCH(289,$T$7:$T$306,0))&amp;"")</f>
        <v/>
      </c>
      <c r="O295" s="170">
        <f>IF($M295="","",SUMIF(tk_HWSET,$M295,tk_QTY))</f>
        <v/>
      </c>
      <c r="P295" s="170">
        <f>IF($M295="","",COUNTIF($J$7:$J$306,$M295))</f>
        <v/>
      </c>
      <c r="Q295" s="168" t="n"/>
      <c r="R295" s="168">
        <f>IF(TRIM($A295&amp;"")&lt;&gt;"",TRIM($A295&amp;""),$R294)</f>
        <v/>
      </c>
      <c r="S295" s="168">
        <f>IF($J295="","",MAX($S$6:$S294)+1)</f>
        <v/>
      </c>
      <c r="T295" s="168">
        <f>IF(TRIM($A295&amp;"")="","",MAX($T$6:$T294)+1)</f>
        <v/>
      </c>
    </row>
    <row r="296">
      <c r="A296" s="165" t="n"/>
      <c r="B296" s="166" t="n"/>
      <c r="C296" s="166" t="n"/>
      <c r="D296" s="166" t="n"/>
      <c r="E296" s="166" t="n"/>
      <c r="F296" s="166" t="n"/>
      <c r="G296" s="166" t="n"/>
      <c r="H296" s="166" t="n"/>
      <c r="I296" s="166" t="n"/>
      <c r="J296" s="167">
        <f>IF(TRIM($E296&amp;"")="","",$R296)</f>
        <v/>
      </c>
      <c r="K296" s="167">
        <f>IF(AND(TRIM($A296&amp;"")&lt;&gt;"",COUNTIF($A$7:$A$306,$A296)&gt;1),"DUPLICATE SET",IF(AND($E296&lt;&gt;"",$R296=""),"NO SET ABOVE",IF(AND($E296&lt;&gt;"",$C296=""),"QTY?",IF($J296="","","OK"))))</f>
        <v/>
      </c>
      <c r="L296" s="168" t="n"/>
      <c r="M296" s="169">
        <f>IFERROR(INDEX($R$7:$R$306,MATCH(290,$T$7:$T$306,0)),"")</f>
        <v/>
      </c>
      <c r="N296" s="170">
        <f>IF($M296="","",INDEX($B$7:$B$306,MATCH(290,$T$7:$T$306,0))&amp;"")</f>
        <v/>
      </c>
      <c r="O296" s="170">
        <f>IF($M296="","",SUMIF(tk_HWSET,$M296,tk_QTY))</f>
        <v/>
      </c>
      <c r="P296" s="170">
        <f>IF($M296="","",COUNTIF($J$7:$J$306,$M296))</f>
        <v/>
      </c>
      <c r="Q296" s="168" t="n"/>
      <c r="R296" s="168">
        <f>IF(TRIM($A296&amp;"")&lt;&gt;"",TRIM($A296&amp;""),$R295)</f>
        <v/>
      </c>
      <c r="S296" s="168">
        <f>IF($J296="","",MAX($S$6:$S295)+1)</f>
        <v/>
      </c>
      <c r="T296" s="168">
        <f>IF(TRIM($A296&amp;"")="","",MAX($T$6:$T295)+1)</f>
        <v/>
      </c>
    </row>
    <row r="297">
      <c r="A297" s="165" t="n"/>
      <c r="B297" s="166" t="n"/>
      <c r="C297" s="166" t="n"/>
      <c r="D297" s="166" t="n"/>
      <c r="E297" s="166" t="n"/>
      <c r="F297" s="166" t="n"/>
      <c r="G297" s="166" t="n"/>
      <c r="H297" s="166" t="n"/>
      <c r="I297" s="166" t="n"/>
      <c r="J297" s="167">
        <f>IF(TRIM($E297&amp;"")="","",$R297)</f>
        <v/>
      </c>
      <c r="K297" s="167">
        <f>IF(AND(TRIM($A297&amp;"")&lt;&gt;"",COUNTIF($A$7:$A$306,$A297)&gt;1),"DUPLICATE SET",IF(AND($E297&lt;&gt;"",$R297=""),"NO SET ABOVE",IF(AND($E297&lt;&gt;"",$C297=""),"QTY?",IF($J297="","","OK"))))</f>
        <v/>
      </c>
      <c r="L297" s="168" t="n"/>
      <c r="M297" s="169">
        <f>IFERROR(INDEX($R$7:$R$306,MATCH(291,$T$7:$T$306,0)),"")</f>
        <v/>
      </c>
      <c r="N297" s="170">
        <f>IF($M297="","",INDEX($B$7:$B$306,MATCH(291,$T$7:$T$306,0))&amp;"")</f>
        <v/>
      </c>
      <c r="O297" s="170">
        <f>IF($M297="","",SUMIF(tk_HWSET,$M297,tk_QTY))</f>
        <v/>
      </c>
      <c r="P297" s="170">
        <f>IF($M297="","",COUNTIF($J$7:$J$306,$M297))</f>
        <v/>
      </c>
      <c r="Q297" s="168" t="n"/>
      <c r="R297" s="168">
        <f>IF(TRIM($A297&amp;"")&lt;&gt;"",TRIM($A297&amp;""),$R296)</f>
        <v/>
      </c>
      <c r="S297" s="168">
        <f>IF($J297="","",MAX($S$6:$S296)+1)</f>
        <v/>
      </c>
      <c r="T297" s="168">
        <f>IF(TRIM($A297&amp;"")="","",MAX($T$6:$T296)+1)</f>
        <v/>
      </c>
    </row>
    <row r="298">
      <c r="A298" s="165" t="n"/>
      <c r="B298" s="166" t="n"/>
      <c r="C298" s="166" t="n"/>
      <c r="D298" s="166" t="n"/>
      <c r="E298" s="166" t="n"/>
      <c r="F298" s="166" t="n"/>
      <c r="G298" s="166" t="n"/>
      <c r="H298" s="166" t="n"/>
      <c r="I298" s="166" t="n"/>
      <c r="J298" s="167">
        <f>IF(TRIM($E298&amp;"")="","",$R298)</f>
        <v/>
      </c>
      <c r="K298" s="167">
        <f>IF(AND(TRIM($A298&amp;"")&lt;&gt;"",COUNTIF($A$7:$A$306,$A298)&gt;1),"DUPLICATE SET",IF(AND($E298&lt;&gt;"",$R298=""),"NO SET ABOVE",IF(AND($E298&lt;&gt;"",$C298=""),"QTY?",IF($J298="","","OK"))))</f>
        <v/>
      </c>
      <c r="L298" s="168" t="n"/>
      <c r="M298" s="169">
        <f>IFERROR(INDEX($R$7:$R$306,MATCH(292,$T$7:$T$306,0)),"")</f>
        <v/>
      </c>
      <c r="N298" s="170">
        <f>IF($M298="","",INDEX($B$7:$B$306,MATCH(292,$T$7:$T$306,0))&amp;"")</f>
        <v/>
      </c>
      <c r="O298" s="170">
        <f>IF($M298="","",SUMIF(tk_HWSET,$M298,tk_QTY))</f>
        <v/>
      </c>
      <c r="P298" s="170">
        <f>IF($M298="","",COUNTIF($J$7:$J$306,$M298))</f>
        <v/>
      </c>
      <c r="Q298" s="168" t="n"/>
      <c r="R298" s="168">
        <f>IF(TRIM($A298&amp;"")&lt;&gt;"",TRIM($A298&amp;""),$R297)</f>
        <v/>
      </c>
      <c r="S298" s="168">
        <f>IF($J298="","",MAX($S$6:$S297)+1)</f>
        <v/>
      </c>
      <c r="T298" s="168">
        <f>IF(TRIM($A298&amp;"")="","",MAX($T$6:$T297)+1)</f>
        <v/>
      </c>
    </row>
    <row r="299">
      <c r="A299" s="165" t="n"/>
      <c r="B299" s="166" t="n"/>
      <c r="C299" s="166" t="n"/>
      <c r="D299" s="166" t="n"/>
      <c r="E299" s="166" t="n"/>
      <c r="F299" s="166" t="n"/>
      <c r="G299" s="166" t="n"/>
      <c r="H299" s="166" t="n"/>
      <c r="I299" s="166" t="n"/>
      <c r="J299" s="167">
        <f>IF(TRIM($E299&amp;"")="","",$R299)</f>
        <v/>
      </c>
      <c r="K299" s="167">
        <f>IF(AND(TRIM($A299&amp;"")&lt;&gt;"",COUNTIF($A$7:$A$306,$A299)&gt;1),"DUPLICATE SET",IF(AND($E299&lt;&gt;"",$R299=""),"NO SET ABOVE",IF(AND($E299&lt;&gt;"",$C299=""),"QTY?",IF($J299="","","OK"))))</f>
        <v/>
      </c>
      <c r="L299" s="168" t="n"/>
      <c r="M299" s="169">
        <f>IFERROR(INDEX($R$7:$R$306,MATCH(293,$T$7:$T$306,0)),"")</f>
        <v/>
      </c>
      <c r="N299" s="170">
        <f>IF($M299="","",INDEX($B$7:$B$306,MATCH(293,$T$7:$T$306,0))&amp;"")</f>
        <v/>
      </c>
      <c r="O299" s="170">
        <f>IF($M299="","",SUMIF(tk_HWSET,$M299,tk_QTY))</f>
        <v/>
      </c>
      <c r="P299" s="170">
        <f>IF($M299="","",COUNTIF($J$7:$J$306,$M299))</f>
        <v/>
      </c>
      <c r="Q299" s="168" t="n"/>
      <c r="R299" s="168">
        <f>IF(TRIM($A299&amp;"")&lt;&gt;"",TRIM($A299&amp;""),$R298)</f>
        <v/>
      </c>
      <c r="S299" s="168">
        <f>IF($J299="","",MAX($S$6:$S298)+1)</f>
        <v/>
      </c>
      <c r="T299" s="168">
        <f>IF(TRIM($A299&amp;"")="","",MAX($T$6:$T298)+1)</f>
        <v/>
      </c>
    </row>
    <row r="300">
      <c r="A300" s="165" t="n"/>
      <c r="B300" s="166" t="n"/>
      <c r="C300" s="166" t="n"/>
      <c r="D300" s="166" t="n"/>
      <c r="E300" s="166" t="n"/>
      <c r="F300" s="166" t="n"/>
      <c r="G300" s="166" t="n"/>
      <c r="H300" s="166" t="n"/>
      <c r="I300" s="166" t="n"/>
      <c r="J300" s="167">
        <f>IF(TRIM($E300&amp;"")="","",$R300)</f>
        <v/>
      </c>
      <c r="K300" s="167">
        <f>IF(AND(TRIM($A300&amp;"")&lt;&gt;"",COUNTIF($A$7:$A$306,$A300)&gt;1),"DUPLICATE SET",IF(AND($E300&lt;&gt;"",$R300=""),"NO SET ABOVE",IF(AND($E300&lt;&gt;"",$C300=""),"QTY?",IF($J300="","","OK"))))</f>
        <v/>
      </c>
      <c r="L300" s="168" t="n"/>
      <c r="M300" s="169">
        <f>IFERROR(INDEX($R$7:$R$306,MATCH(294,$T$7:$T$306,0)),"")</f>
        <v/>
      </c>
      <c r="N300" s="170">
        <f>IF($M300="","",INDEX($B$7:$B$306,MATCH(294,$T$7:$T$306,0))&amp;"")</f>
        <v/>
      </c>
      <c r="O300" s="170">
        <f>IF($M300="","",SUMIF(tk_HWSET,$M300,tk_QTY))</f>
        <v/>
      </c>
      <c r="P300" s="170">
        <f>IF($M300="","",COUNTIF($J$7:$J$306,$M300))</f>
        <v/>
      </c>
      <c r="Q300" s="168" t="n"/>
      <c r="R300" s="168">
        <f>IF(TRIM($A300&amp;"")&lt;&gt;"",TRIM($A300&amp;""),$R299)</f>
        <v/>
      </c>
      <c r="S300" s="168">
        <f>IF($J300="","",MAX($S$6:$S299)+1)</f>
        <v/>
      </c>
      <c r="T300" s="168">
        <f>IF(TRIM($A300&amp;"")="","",MAX($T$6:$T299)+1)</f>
        <v/>
      </c>
    </row>
    <row r="301">
      <c r="A301" s="165" t="n"/>
      <c r="B301" s="166" t="n"/>
      <c r="C301" s="166" t="n"/>
      <c r="D301" s="166" t="n"/>
      <c r="E301" s="166" t="n"/>
      <c r="F301" s="166" t="n"/>
      <c r="G301" s="166" t="n"/>
      <c r="H301" s="166" t="n"/>
      <c r="I301" s="166" t="n"/>
      <c r="J301" s="167">
        <f>IF(TRIM($E301&amp;"")="","",$R301)</f>
        <v/>
      </c>
      <c r="K301" s="167">
        <f>IF(AND(TRIM($A301&amp;"")&lt;&gt;"",COUNTIF($A$7:$A$306,$A301)&gt;1),"DUPLICATE SET",IF(AND($E301&lt;&gt;"",$R301=""),"NO SET ABOVE",IF(AND($E301&lt;&gt;"",$C301=""),"QTY?",IF($J301="","","OK"))))</f>
        <v/>
      </c>
      <c r="L301" s="168" t="n"/>
      <c r="M301" s="169">
        <f>IFERROR(INDEX($R$7:$R$306,MATCH(295,$T$7:$T$306,0)),"")</f>
        <v/>
      </c>
      <c r="N301" s="170">
        <f>IF($M301="","",INDEX($B$7:$B$306,MATCH(295,$T$7:$T$306,0))&amp;"")</f>
        <v/>
      </c>
      <c r="O301" s="170">
        <f>IF($M301="","",SUMIF(tk_HWSET,$M301,tk_QTY))</f>
        <v/>
      </c>
      <c r="P301" s="170">
        <f>IF($M301="","",COUNTIF($J$7:$J$306,$M301))</f>
        <v/>
      </c>
      <c r="Q301" s="168" t="n"/>
      <c r="R301" s="168">
        <f>IF(TRIM($A301&amp;"")&lt;&gt;"",TRIM($A301&amp;""),$R300)</f>
        <v/>
      </c>
      <c r="S301" s="168">
        <f>IF($J301="","",MAX($S$6:$S300)+1)</f>
        <v/>
      </c>
      <c r="T301" s="168">
        <f>IF(TRIM($A301&amp;"")="","",MAX($T$6:$T300)+1)</f>
        <v/>
      </c>
    </row>
    <row r="302">
      <c r="A302" s="165" t="n"/>
      <c r="B302" s="166" t="n"/>
      <c r="C302" s="166" t="n"/>
      <c r="D302" s="166" t="n"/>
      <c r="E302" s="166" t="n"/>
      <c r="F302" s="166" t="n"/>
      <c r="G302" s="166" t="n"/>
      <c r="H302" s="166" t="n"/>
      <c r="I302" s="166" t="n"/>
      <c r="J302" s="167">
        <f>IF(TRIM($E302&amp;"")="","",$R302)</f>
        <v/>
      </c>
      <c r="K302" s="167">
        <f>IF(AND(TRIM($A302&amp;"")&lt;&gt;"",COUNTIF($A$7:$A$306,$A302)&gt;1),"DUPLICATE SET",IF(AND($E302&lt;&gt;"",$R302=""),"NO SET ABOVE",IF(AND($E302&lt;&gt;"",$C302=""),"QTY?",IF($J302="","","OK"))))</f>
        <v/>
      </c>
      <c r="L302" s="168" t="n"/>
      <c r="M302" s="169">
        <f>IFERROR(INDEX($R$7:$R$306,MATCH(296,$T$7:$T$306,0)),"")</f>
        <v/>
      </c>
      <c r="N302" s="170">
        <f>IF($M302="","",INDEX($B$7:$B$306,MATCH(296,$T$7:$T$306,0))&amp;"")</f>
        <v/>
      </c>
      <c r="O302" s="170">
        <f>IF($M302="","",SUMIF(tk_HWSET,$M302,tk_QTY))</f>
        <v/>
      </c>
      <c r="P302" s="170">
        <f>IF($M302="","",COUNTIF($J$7:$J$306,$M302))</f>
        <v/>
      </c>
      <c r="Q302" s="168" t="n"/>
      <c r="R302" s="168">
        <f>IF(TRIM($A302&amp;"")&lt;&gt;"",TRIM($A302&amp;""),$R301)</f>
        <v/>
      </c>
      <c r="S302" s="168">
        <f>IF($J302="","",MAX($S$6:$S301)+1)</f>
        <v/>
      </c>
      <c r="T302" s="168">
        <f>IF(TRIM($A302&amp;"")="","",MAX($T$6:$T301)+1)</f>
        <v/>
      </c>
    </row>
    <row r="303">
      <c r="A303" s="165" t="n"/>
      <c r="B303" s="166" t="n"/>
      <c r="C303" s="166" t="n"/>
      <c r="D303" s="166" t="n"/>
      <c r="E303" s="166" t="n"/>
      <c r="F303" s="166" t="n"/>
      <c r="G303" s="166" t="n"/>
      <c r="H303" s="166" t="n"/>
      <c r="I303" s="166" t="n"/>
      <c r="J303" s="167">
        <f>IF(TRIM($E303&amp;"")="","",$R303)</f>
        <v/>
      </c>
      <c r="K303" s="167">
        <f>IF(AND(TRIM($A303&amp;"")&lt;&gt;"",COUNTIF($A$7:$A$306,$A303)&gt;1),"DUPLICATE SET",IF(AND($E303&lt;&gt;"",$R303=""),"NO SET ABOVE",IF(AND($E303&lt;&gt;"",$C303=""),"QTY?",IF($J303="","","OK"))))</f>
        <v/>
      </c>
      <c r="L303" s="168" t="n"/>
      <c r="M303" s="169">
        <f>IFERROR(INDEX($R$7:$R$306,MATCH(297,$T$7:$T$306,0)),"")</f>
        <v/>
      </c>
      <c r="N303" s="170">
        <f>IF($M303="","",INDEX($B$7:$B$306,MATCH(297,$T$7:$T$306,0))&amp;"")</f>
        <v/>
      </c>
      <c r="O303" s="170">
        <f>IF($M303="","",SUMIF(tk_HWSET,$M303,tk_QTY))</f>
        <v/>
      </c>
      <c r="P303" s="170">
        <f>IF($M303="","",COUNTIF($J$7:$J$306,$M303))</f>
        <v/>
      </c>
      <c r="Q303" s="168" t="n"/>
      <c r="R303" s="168">
        <f>IF(TRIM($A303&amp;"")&lt;&gt;"",TRIM($A303&amp;""),$R302)</f>
        <v/>
      </c>
      <c r="S303" s="168">
        <f>IF($J303="","",MAX($S$6:$S302)+1)</f>
        <v/>
      </c>
      <c r="T303" s="168">
        <f>IF(TRIM($A303&amp;"")="","",MAX($T$6:$T302)+1)</f>
        <v/>
      </c>
    </row>
    <row r="304">
      <c r="A304" s="165" t="n"/>
      <c r="B304" s="166" t="n"/>
      <c r="C304" s="166" t="n"/>
      <c r="D304" s="166" t="n"/>
      <c r="E304" s="166" t="n"/>
      <c r="F304" s="166" t="n"/>
      <c r="G304" s="166" t="n"/>
      <c r="H304" s="166" t="n"/>
      <c r="I304" s="166" t="n"/>
      <c r="J304" s="167">
        <f>IF(TRIM($E304&amp;"")="","",$R304)</f>
        <v/>
      </c>
      <c r="K304" s="167">
        <f>IF(AND(TRIM($A304&amp;"")&lt;&gt;"",COUNTIF($A$7:$A$306,$A304)&gt;1),"DUPLICATE SET",IF(AND($E304&lt;&gt;"",$R304=""),"NO SET ABOVE",IF(AND($E304&lt;&gt;"",$C304=""),"QTY?",IF($J304="","","OK"))))</f>
        <v/>
      </c>
      <c r="L304" s="168" t="n"/>
      <c r="M304" s="169">
        <f>IFERROR(INDEX($R$7:$R$306,MATCH(298,$T$7:$T$306,0)),"")</f>
        <v/>
      </c>
      <c r="N304" s="170">
        <f>IF($M304="","",INDEX($B$7:$B$306,MATCH(298,$T$7:$T$306,0))&amp;"")</f>
        <v/>
      </c>
      <c r="O304" s="170">
        <f>IF($M304="","",SUMIF(tk_HWSET,$M304,tk_QTY))</f>
        <v/>
      </c>
      <c r="P304" s="170">
        <f>IF($M304="","",COUNTIF($J$7:$J$306,$M304))</f>
        <v/>
      </c>
      <c r="Q304" s="168" t="n"/>
      <c r="R304" s="168">
        <f>IF(TRIM($A304&amp;"")&lt;&gt;"",TRIM($A304&amp;""),$R303)</f>
        <v/>
      </c>
      <c r="S304" s="168">
        <f>IF($J304="","",MAX($S$6:$S303)+1)</f>
        <v/>
      </c>
      <c r="T304" s="168">
        <f>IF(TRIM($A304&amp;"")="","",MAX($T$6:$T303)+1)</f>
        <v/>
      </c>
    </row>
    <row r="305">
      <c r="A305" s="165" t="n"/>
      <c r="B305" s="166" t="n"/>
      <c r="C305" s="166" t="n"/>
      <c r="D305" s="166" t="n"/>
      <c r="E305" s="166" t="n"/>
      <c r="F305" s="166" t="n"/>
      <c r="G305" s="166" t="n"/>
      <c r="H305" s="166" t="n"/>
      <c r="I305" s="166" t="n"/>
      <c r="J305" s="167">
        <f>IF(TRIM($E305&amp;"")="","",$R305)</f>
        <v/>
      </c>
      <c r="K305" s="167">
        <f>IF(AND(TRIM($A305&amp;"")&lt;&gt;"",COUNTIF($A$7:$A$306,$A305)&gt;1),"DUPLICATE SET",IF(AND($E305&lt;&gt;"",$R305=""),"NO SET ABOVE",IF(AND($E305&lt;&gt;"",$C305=""),"QTY?",IF($J305="","","OK"))))</f>
        <v/>
      </c>
      <c r="L305" s="168" t="n"/>
      <c r="M305" s="169">
        <f>IFERROR(INDEX($R$7:$R$306,MATCH(299,$T$7:$T$306,0)),"")</f>
        <v/>
      </c>
      <c r="N305" s="170">
        <f>IF($M305="","",INDEX($B$7:$B$306,MATCH(299,$T$7:$T$306,0))&amp;"")</f>
        <v/>
      </c>
      <c r="O305" s="170">
        <f>IF($M305="","",SUMIF(tk_HWSET,$M305,tk_QTY))</f>
        <v/>
      </c>
      <c r="P305" s="170">
        <f>IF($M305="","",COUNTIF($J$7:$J$306,$M305))</f>
        <v/>
      </c>
      <c r="Q305" s="168" t="n"/>
      <c r="R305" s="168">
        <f>IF(TRIM($A305&amp;"")&lt;&gt;"",TRIM($A305&amp;""),$R304)</f>
        <v/>
      </c>
      <c r="S305" s="168">
        <f>IF($J305="","",MAX($S$6:$S304)+1)</f>
        <v/>
      </c>
      <c r="T305" s="168">
        <f>IF(TRIM($A305&amp;"")="","",MAX($T$6:$T304)+1)</f>
        <v/>
      </c>
    </row>
    <row r="306">
      <c r="A306" s="165" t="n"/>
      <c r="B306" s="166" t="n"/>
      <c r="C306" s="166" t="n"/>
      <c r="D306" s="166" t="n"/>
      <c r="E306" s="166" t="n"/>
      <c r="F306" s="166" t="n"/>
      <c r="G306" s="166" t="n"/>
      <c r="H306" s="166" t="n"/>
      <c r="I306" s="166" t="n"/>
      <c r="J306" s="167">
        <f>IF(TRIM($E306&amp;"")="","",$R306)</f>
        <v/>
      </c>
      <c r="K306" s="167">
        <f>IF(AND(TRIM($A306&amp;"")&lt;&gt;"",COUNTIF($A$7:$A$306,$A306)&gt;1),"DUPLICATE SET",IF(AND($E306&lt;&gt;"",$R306=""),"NO SET ABOVE",IF(AND($E306&lt;&gt;"",$C306=""),"QTY?",IF($J306="","","OK"))))</f>
        <v/>
      </c>
      <c r="L306" s="168" t="n"/>
      <c r="M306" s="169">
        <f>IFERROR(INDEX($R$7:$R$306,MATCH(300,$T$7:$T$306,0)),"")</f>
        <v/>
      </c>
      <c r="N306" s="170">
        <f>IF($M306="","",INDEX($B$7:$B$306,MATCH(300,$T$7:$T$306,0))&amp;"")</f>
        <v/>
      </c>
      <c r="O306" s="170">
        <f>IF($M306="","",SUMIF(tk_HWSET,$M306,tk_QTY))</f>
        <v/>
      </c>
      <c r="P306" s="170">
        <f>IF($M306="","",COUNTIF($J$7:$J$306,$M306))</f>
        <v/>
      </c>
      <c r="Q306" s="168" t="n"/>
      <c r="R306" s="168">
        <f>IF(TRIM($A306&amp;"")&lt;&gt;"",TRIM($A306&amp;""),$R305)</f>
        <v/>
      </c>
      <c r="S306" s="168">
        <f>IF($J306="","",MAX($S$6:$S305)+1)</f>
        <v/>
      </c>
      <c r="T306" s="168">
        <f>IF(TRIM($A306&amp;"")="","",MAX($T$6:$T305)+1)</f>
        <v/>
      </c>
    </row>
  </sheetData>
  <conditionalFormatting sqref="A7:I306">
    <cfRule type="expression" priority="1" dxfId="13">
      <formula>TRIM($A7&amp;"")&lt;&gt;""</formula>
    </cfRule>
  </conditionalFormatting>
  <conditionalFormatting sqref="K7:K306">
    <cfRule type="cellIs" priority="2" operator="equal" dxfId="14">
      <formula>"OK"</formula>
    </cfRule>
    <cfRule type="expression" priority="3" dxfId="1">
      <formula>AND($K7&lt;&gt;"",$K7&lt;&gt;"OK")</formula>
    </cfRule>
  </conditionalFormatting>
  <dataValidations count="4">
    <dataValidation sqref="D7:D306" showDropDown="0" showInputMessage="0" showErrorMessage="0" allowBlank="1" type="list" errorStyle="warning">
      <formula1>=HWUnit</formula1>
    </dataValidation>
    <dataValidation sqref="E7:E306" showDropDown="0" showInputMessage="0" showErrorMessage="0" allowBlank="1" type="list" errorStyle="warning">
      <formula1>=HWItem</formula1>
    </dataValidation>
    <dataValidation sqref="H7:H306" showDropDown="0" showInputMessage="0" showErrorMessage="0" allowBlank="1" type="list" errorStyle="warning">
      <formula1>=HWFinish</formula1>
    </dataValidation>
    <dataValidation sqref="C7:C306" showDropDown="0" showInputMessage="0" showErrorMessage="0" allowBlank="1" type="decimal"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tabColor rgb="006B4A8E"/>
    <outlinePr summaryBelow="1" summaryRight="1"/>
    <pageSetUpPr fitToPage="1"/>
  </sheetPr>
  <dimension ref="A1:Z306"/>
  <sheetViews>
    <sheetView showGridLines="0" workbookViewId="0">
      <pane ySplit="6" topLeftCell="A7" activePane="bottomLeft" state="frozen"/>
      <selection pane="bottomLeft" activeCell="A1" sqref="A1"/>
    </sheetView>
  </sheetViews>
  <sheetFormatPr baseColWidth="8" defaultRowHeight="15"/>
  <cols>
    <col width="6" customWidth="1" min="1" max="1"/>
    <col width="22" customWidth="1" min="2" max="2"/>
    <col width="28" customWidth="1" min="3" max="3"/>
    <col width="8" customWidth="1" min="4" max="4"/>
    <col width="7" customWidth="1" min="5" max="5"/>
    <col width="5" customWidth="1" min="6" max="6"/>
    <col width="15" customWidth="1" min="7" max="7"/>
    <col width="12" customWidth="1" min="8" max="8"/>
    <col width="22" customWidth="1" min="9" max="9"/>
    <col width="8" customWidth="1" min="10" max="10"/>
    <col width="9" customWidth="1" min="11" max="11"/>
    <col width="16" customWidth="1" min="12" max="12"/>
    <col width="2" customWidth="1" min="13" max="13"/>
    <col width="15" customWidth="1" min="14" max="14"/>
    <col width="12" customWidth="1" min="15" max="15"/>
    <col width="22" customWidth="1" min="16" max="16"/>
    <col width="8" customWidth="1" min="17" max="17"/>
    <col width="6" customWidth="1" min="18" max="18"/>
    <col width="9" customWidth="1" min="19" max="19"/>
    <col hidden="1" outlineLevel="1" width="13" customWidth="1" min="21" max="26"/>
  </cols>
  <sheetData>
    <row r="1" ht="30" customHeight="1">
      <c r="A1" s="1" t="n"/>
      <c r="B1" s="38" t="inlineStr">
        <is>
          <t>HARDWARE SCHEDULE</t>
        </is>
      </c>
      <c r="C1" s="1" t="n"/>
      <c r="D1" s="1" t="n"/>
      <c r="E1" s="1" t="n"/>
      <c r="F1" s="1" t="n"/>
      <c r="G1" s="1" t="n"/>
      <c r="H1" s="1" t="n"/>
      <c r="I1" s="1" t="n"/>
      <c r="J1" s="1" t="n"/>
      <c r="K1" s="1" t="n"/>
      <c r="L1" s="1" t="n"/>
      <c r="M1" s="1" t="n"/>
      <c r="N1" s="1" t="n"/>
      <c r="O1" s="1" t="n"/>
      <c r="P1" s="1" t="n"/>
      <c r="Q1" s="1" t="n"/>
      <c r="R1" s="1" t="n"/>
      <c r="S1" s="39">
        <f>IF(JobName="","OPENING TAKEOFF  ·  FORM 3.2",JobName&amp;IF(JobNo="",""," · JOB "&amp;JobNo))</f>
        <v/>
      </c>
    </row>
    <row r="2" ht="18" customHeight="1">
      <c r="A2" s="1" t="n"/>
      <c r="B2" s="40" t="inlineStr">
        <is>
          <t>Builds itself from HW Sets and the HW SET column on the Takeoff. Nothing here is typed.</t>
        </is>
      </c>
      <c r="C2" s="1" t="n"/>
      <c r="D2" s="1" t="n"/>
      <c r="E2" s="1" t="n"/>
      <c r="F2" s="1" t="n"/>
      <c r="G2" s="1" t="n"/>
      <c r="H2" s="1" t="n"/>
      <c r="I2" s="1" t="n"/>
      <c r="J2" s="1" t="n"/>
      <c r="K2" s="1" t="n"/>
      <c r="L2" s="1" t="n"/>
      <c r="M2" s="1" t="n"/>
      <c r="N2" s="1" t="n"/>
      <c r="O2" s="1" t="n"/>
      <c r="P2" s="1" t="n"/>
      <c r="Q2" s="1" t="n"/>
      <c r="R2" s="1" t="n"/>
      <c r="S2" s="41">
        <f>TEXT(JobDate,"mmm d, yyyy")&amp;IF(JobRev="",""," · "&amp;JobRev)</f>
        <v/>
      </c>
    </row>
    <row r="3" ht="4" customHeight="1">
      <c r="A3" s="6" t="n"/>
      <c r="B3" s="6" t="n"/>
      <c r="C3" s="6" t="n"/>
      <c r="D3" s="6" t="n"/>
      <c r="E3" s="6" t="n"/>
      <c r="F3" s="6" t="n"/>
      <c r="G3" s="6" t="n"/>
      <c r="H3" s="6" t="n"/>
      <c r="I3" s="6" t="n"/>
      <c r="J3" s="6" t="n"/>
      <c r="K3" s="6" t="n"/>
      <c r="L3" s="6" t="n"/>
      <c r="M3" s="6" t="n"/>
      <c r="N3" s="6" t="n"/>
      <c r="O3" s="6" t="n"/>
      <c r="P3" s="6" t="n"/>
      <c r="Q3" s="6" t="n"/>
      <c r="R3" s="6" t="n"/>
      <c r="S3" s="6" t="n"/>
    </row>
    <row r="4">
      <c r="A4" s="155">
        <f>COUNT('HW Sets'!$T$7:$T$306)&amp;" sets  ·  "&amp;SUMPRODUCT(--(tk_HWSET&lt;&gt;""),N(+tk_QTY))&amp;" openings with a set"</f>
        <v/>
      </c>
    </row>
    <row r="5" ht="18" customHeight="1">
      <c r="A5" s="7" t="inlineStr">
        <is>
          <t>BY SET — every item, the marks that use it, and the quantity for the job</t>
        </is>
      </c>
      <c r="B5" s="8" t="n"/>
      <c r="C5" s="8" t="n"/>
      <c r="D5" s="8" t="n"/>
      <c r="E5" s="8" t="n"/>
      <c r="F5" s="8" t="n"/>
      <c r="G5" s="8" t="n"/>
      <c r="H5" s="8" t="n"/>
      <c r="I5" s="8" t="n"/>
      <c r="J5" s="8" t="n"/>
      <c r="K5" s="8" t="n"/>
      <c r="L5" s="8" t="n"/>
      <c r="N5" s="171" t="inlineStr">
        <is>
          <t>JOB TOTALS BY ITEM — order quantities</t>
        </is>
      </c>
      <c r="O5" s="172" t="n"/>
      <c r="P5" s="172" t="n"/>
      <c r="Q5" s="172" t="n"/>
      <c r="R5" s="172" t="n"/>
      <c r="S5" s="172" t="n"/>
    </row>
    <row r="6">
      <c r="A6" s="173" t="inlineStr">
        <is>
          <t>SET</t>
        </is>
      </c>
      <c r="B6" s="173" t="inlineStr">
        <is>
          <t>DESCRIPTION</t>
        </is>
      </c>
      <c r="C6" s="173" t="inlineStr">
        <is>
          <t>USED ON (MARKS)</t>
        </is>
      </c>
      <c r="D6" s="173" t="inlineStr">
        <is>
          <t>OPENINGS</t>
        </is>
      </c>
      <c r="E6" s="173" t="inlineStr">
        <is>
          <t>QTY EACH</t>
        </is>
      </c>
      <c r="F6" s="173" t="inlineStr">
        <is>
          <t>UNIT</t>
        </is>
      </c>
      <c r="G6" s="173" t="inlineStr">
        <is>
          <t>ITEM</t>
        </is>
      </c>
      <c r="H6" s="173" t="inlineStr">
        <is>
          <t>MANUF.</t>
        </is>
      </c>
      <c r="I6" s="173" t="inlineStr">
        <is>
          <t>MODEL / CATALOG</t>
        </is>
      </c>
      <c r="J6" s="173" t="inlineStr">
        <is>
          <t>FINISH</t>
        </is>
      </c>
      <c r="K6" s="173" t="inlineStr">
        <is>
          <t>TOTAL QTY</t>
        </is>
      </c>
      <c r="L6" s="173" t="inlineStr">
        <is>
          <t>NOTES</t>
        </is>
      </c>
      <c r="N6" s="174" t="inlineStr">
        <is>
          <t>ITEM</t>
        </is>
      </c>
      <c r="O6" s="174" t="inlineStr">
        <is>
          <t>MANUF.</t>
        </is>
      </c>
      <c r="P6" s="174" t="inlineStr">
        <is>
          <t>MODEL / CATALOG</t>
        </is>
      </c>
      <c r="Q6" s="174" t="inlineStr">
        <is>
          <t>FINISH</t>
        </is>
      </c>
      <c r="R6" s="174" t="inlineStr">
        <is>
          <t>UNIT</t>
        </is>
      </c>
      <c r="S6" s="174" t="inlineStr">
        <is>
          <t>TOTAL QTY</t>
        </is>
      </c>
    </row>
    <row r="7">
      <c r="A7" s="175">
        <f>IF($Z7="","",$Y7)</f>
        <v/>
      </c>
      <c r="B7" s="176">
        <f>IF($Z7="","",IFERROR(INDEX('HW Sets'!$N$7:$N$306,MATCH($Y7,'HW Sets'!$M$7:$M$306,0)),""))</f>
        <v/>
      </c>
      <c r="C7" s="177">
        <f t="array" ref="C7">IF($Z7="","",_xlfn.TEXTJOIN(", ",TRUE,IF(tk_HWSET&amp;""=$Y7,tk_MARK,"")))</f>
        <v/>
      </c>
      <c r="D7" s="176">
        <f t="array" ref="D7">IF($Z7="","",SUM(IF(tk_HWSET&amp;""=$Y7,IFERROR(--tk_QTY,0),0)))</f>
        <v/>
      </c>
      <c r="E7" s="176">
        <f>IF($X7="","",IF(INDEX('HW Sets'!$C$7:$C$306,$X7)="","",INDEX('HW Sets'!$C$7:$C$306,$X7)))</f>
        <v/>
      </c>
      <c r="F7" s="176">
        <f>IF($X7="","",IF(INDEX('HW Sets'!$D$7:$D$306,$X7)="","",INDEX('HW Sets'!$D$7:$D$306,$X7)))</f>
        <v/>
      </c>
      <c r="G7" s="176">
        <f>IF($X7="","",IF(INDEX('HW Sets'!$E$7:$E$306,$X7)="","",INDEX('HW Sets'!$E$7:$E$306,$X7)))</f>
        <v/>
      </c>
      <c r="H7" s="176">
        <f>IF($X7="","",IF(INDEX('HW Sets'!$F$7:$F$306,$X7)="","",INDEX('HW Sets'!$F$7:$F$306,$X7)))</f>
        <v/>
      </c>
      <c r="I7" s="176">
        <f>IF($X7="","",IF(INDEX('HW Sets'!$G$7:$G$306,$X7)="","",INDEX('HW Sets'!$G$7:$G$306,$X7)))</f>
        <v/>
      </c>
      <c r="J7" s="176">
        <f>IF($X7="","",IF(INDEX('HW Sets'!$H$7:$H$306,$X7)="","",INDEX('HW Sets'!$H$7:$H$306,$X7)))</f>
        <v/>
      </c>
      <c r="K7" s="175">
        <f t="array" ref="K7">IF($X7="","",N($E7)*SUM(IF(tk_HWSET&amp;""=$Y7,IFERROR(--tk_QTY,0),0)))</f>
        <v/>
      </c>
      <c r="L7" s="176">
        <f>IF($X7="","",IF(INDEX('HW Sets'!$I$7:$I$306,$X7)="","",INDEX('HW Sets'!$I$7:$I$306,$X7)))</f>
        <v/>
      </c>
      <c r="N7" s="176">
        <f>IF($W7="","",INDEX($G$7:$G$306,$W7)&amp;"")</f>
        <v/>
      </c>
      <c r="O7" s="176">
        <f>IF($W7="","",INDEX($H$7:$H$306,$W7)&amp;"")</f>
        <v/>
      </c>
      <c r="P7" s="176">
        <f>IF($W7="","",INDEX($I$7:$I$306,$W7)&amp;"")</f>
        <v/>
      </c>
      <c r="Q7" s="176">
        <f>IF($W7="","",INDEX($J$7:$J$306,$W7)&amp;"")</f>
        <v/>
      </c>
      <c r="R7" s="176">
        <f>IF($W7="","",INDEX($F$7:$F$306,$W7)&amp;"")</f>
        <v/>
      </c>
      <c r="S7" s="175">
        <f>IF($W7="","",SUMIF($U$7:$U$306,INDEX($U$7:$U$306,$W7),$K$7:$K$306))</f>
        <v/>
      </c>
      <c r="U7">
        <f>IF(OR($X7="",N($K7)=0),"",UPPER(TRIM($G7&amp;"|"&amp;$H7&amp;"|"&amp;$I7&amp;"|"&amp;$J7&amp;"|"&amp;$F7)))</f>
        <v/>
      </c>
      <c r="V7">
        <f>IF($U7="","",IF(COUNTIF($U$7:$U7,$U7)=1,1,""))</f>
        <v/>
      </c>
      <c r="W7">
        <f>IFERROR(MATCH(1,$V$7:$V$306,0),"")</f>
        <v/>
      </c>
      <c r="X7">
        <f>IFERROR(MATCH(1,'HW Sets'!$S$7:$S$306,0),"")</f>
        <v/>
      </c>
      <c r="Y7">
        <f>IF($X7="","",INDEX('HW Sets'!$J$7:$J$306,$X7)&amp;"")</f>
        <v/>
      </c>
      <c r="Z7">
        <f>IF($Y7="","",IF(COUNTIF($Y$7:$Y7,$Y7)=1,1,""))</f>
        <v/>
      </c>
    </row>
    <row r="8">
      <c r="A8" s="175">
        <f>IF($Z8="","",$Y8)</f>
        <v/>
      </c>
      <c r="B8" s="176">
        <f>IF($Z8="","",IFERROR(INDEX('HW Sets'!$N$7:$N$306,MATCH($Y8,'HW Sets'!$M$7:$M$306,0)),""))</f>
        <v/>
      </c>
      <c r="C8" s="177">
        <f t="array" ref="C8">IF($Z8="","",_xlfn.TEXTJOIN(", ",TRUE,IF(tk_HWSET&amp;""=$Y8,tk_MARK,"")))</f>
        <v/>
      </c>
      <c r="D8" s="176">
        <f t="array" ref="D8">IF($Z8="","",SUM(IF(tk_HWSET&amp;""=$Y8,IFERROR(--tk_QTY,0),0)))</f>
        <v/>
      </c>
      <c r="E8" s="176">
        <f>IF($X8="","",IF(INDEX('HW Sets'!$C$7:$C$306,$X8)="","",INDEX('HW Sets'!$C$7:$C$306,$X8)))</f>
        <v/>
      </c>
      <c r="F8" s="176">
        <f>IF($X8="","",IF(INDEX('HW Sets'!$D$7:$D$306,$X8)="","",INDEX('HW Sets'!$D$7:$D$306,$X8)))</f>
        <v/>
      </c>
      <c r="G8" s="176">
        <f>IF($X8="","",IF(INDEX('HW Sets'!$E$7:$E$306,$X8)="","",INDEX('HW Sets'!$E$7:$E$306,$X8)))</f>
        <v/>
      </c>
      <c r="H8" s="176">
        <f>IF($X8="","",IF(INDEX('HW Sets'!$F$7:$F$306,$X8)="","",INDEX('HW Sets'!$F$7:$F$306,$X8)))</f>
        <v/>
      </c>
      <c r="I8" s="176">
        <f>IF($X8="","",IF(INDEX('HW Sets'!$G$7:$G$306,$X8)="","",INDEX('HW Sets'!$G$7:$G$306,$X8)))</f>
        <v/>
      </c>
      <c r="J8" s="176">
        <f>IF($X8="","",IF(INDEX('HW Sets'!$H$7:$H$306,$X8)="","",INDEX('HW Sets'!$H$7:$H$306,$X8)))</f>
        <v/>
      </c>
      <c r="K8" s="175">
        <f t="array" ref="K8">IF($X8="","",N($E8)*SUM(IF(tk_HWSET&amp;""=$Y8,IFERROR(--tk_QTY,0),0)))</f>
        <v/>
      </c>
      <c r="L8" s="176">
        <f>IF($X8="","",IF(INDEX('HW Sets'!$I$7:$I$306,$X8)="","",INDEX('HW Sets'!$I$7:$I$306,$X8)))</f>
        <v/>
      </c>
      <c r="N8" s="176">
        <f>IF($W8="","",INDEX($G$7:$G$306,$W8)&amp;"")</f>
        <v/>
      </c>
      <c r="O8" s="176">
        <f>IF($W8="","",INDEX($H$7:$H$306,$W8)&amp;"")</f>
        <v/>
      </c>
      <c r="P8" s="176">
        <f>IF($W8="","",INDEX($I$7:$I$306,$W8)&amp;"")</f>
        <v/>
      </c>
      <c r="Q8" s="176">
        <f>IF($W8="","",INDEX($J$7:$J$306,$W8)&amp;"")</f>
        <v/>
      </c>
      <c r="R8" s="176">
        <f>IF($W8="","",INDEX($F$7:$F$306,$W8)&amp;"")</f>
        <v/>
      </c>
      <c r="S8" s="175">
        <f>IF($W8="","",SUMIF($U$7:$U$306,INDEX($U$7:$U$306,$W8),$K$7:$K$306))</f>
        <v/>
      </c>
      <c r="U8">
        <f>IF(OR($X8="",N($K8)=0),"",UPPER(TRIM($G8&amp;"|"&amp;$H8&amp;"|"&amp;$I8&amp;"|"&amp;$J8&amp;"|"&amp;$F8)))</f>
        <v/>
      </c>
      <c r="V8">
        <f>IF($U8="","",IF(COUNTIF($U$7:$U8,$U8)=1,MAX($V$6:$V7)+1,""))</f>
        <v/>
      </c>
      <c r="W8">
        <f>IFERROR(MATCH(2,$V$7:$V$306,0),"")</f>
        <v/>
      </c>
      <c r="X8">
        <f>IFERROR(MATCH(2,'HW Sets'!$S$7:$S$306,0),"")</f>
        <v/>
      </c>
      <c r="Y8">
        <f>IF($X8="","",INDEX('HW Sets'!$J$7:$J$306,$X8)&amp;"")</f>
        <v/>
      </c>
      <c r="Z8">
        <f>IF($Y8="","",IF(COUNTIF($Y$7:$Y8,$Y8)=1,1,""))</f>
        <v/>
      </c>
    </row>
    <row r="9">
      <c r="A9" s="175">
        <f>IF($Z9="","",$Y9)</f>
        <v/>
      </c>
      <c r="B9" s="176">
        <f>IF($Z9="","",IFERROR(INDEX('HW Sets'!$N$7:$N$306,MATCH($Y9,'HW Sets'!$M$7:$M$306,0)),""))</f>
        <v/>
      </c>
      <c r="C9" s="177">
        <f t="array" ref="C9">IF($Z9="","",_xlfn.TEXTJOIN(", ",TRUE,IF(tk_HWSET&amp;""=$Y9,tk_MARK,"")))</f>
        <v/>
      </c>
      <c r="D9" s="176">
        <f t="array" ref="D9">IF($Z9="","",SUM(IF(tk_HWSET&amp;""=$Y9,IFERROR(--tk_QTY,0),0)))</f>
        <v/>
      </c>
      <c r="E9" s="176">
        <f>IF($X9="","",IF(INDEX('HW Sets'!$C$7:$C$306,$X9)="","",INDEX('HW Sets'!$C$7:$C$306,$X9)))</f>
        <v/>
      </c>
      <c r="F9" s="176">
        <f>IF($X9="","",IF(INDEX('HW Sets'!$D$7:$D$306,$X9)="","",INDEX('HW Sets'!$D$7:$D$306,$X9)))</f>
        <v/>
      </c>
      <c r="G9" s="176">
        <f>IF($X9="","",IF(INDEX('HW Sets'!$E$7:$E$306,$X9)="","",INDEX('HW Sets'!$E$7:$E$306,$X9)))</f>
        <v/>
      </c>
      <c r="H9" s="176">
        <f>IF($X9="","",IF(INDEX('HW Sets'!$F$7:$F$306,$X9)="","",INDEX('HW Sets'!$F$7:$F$306,$X9)))</f>
        <v/>
      </c>
      <c r="I9" s="176">
        <f>IF($X9="","",IF(INDEX('HW Sets'!$G$7:$G$306,$X9)="","",INDEX('HW Sets'!$G$7:$G$306,$X9)))</f>
        <v/>
      </c>
      <c r="J9" s="176">
        <f>IF($X9="","",IF(INDEX('HW Sets'!$H$7:$H$306,$X9)="","",INDEX('HW Sets'!$H$7:$H$306,$X9)))</f>
        <v/>
      </c>
      <c r="K9" s="175">
        <f t="array" ref="K9">IF($X9="","",N($E9)*SUM(IF(tk_HWSET&amp;""=$Y9,IFERROR(--tk_QTY,0),0)))</f>
        <v/>
      </c>
      <c r="L9" s="176">
        <f>IF($X9="","",IF(INDEX('HW Sets'!$I$7:$I$306,$X9)="","",INDEX('HW Sets'!$I$7:$I$306,$X9)))</f>
        <v/>
      </c>
      <c r="N9" s="176">
        <f>IF($W9="","",INDEX($G$7:$G$306,$W9)&amp;"")</f>
        <v/>
      </c>
      <c r="O9" s="176">
        <f>IF($W9="","",INDEX($H$7:$H$306,$W9)&amp;"")</f>
        <v/>
      </c>
      <c r="P9" s="176">
        <f>IF($W9="","",INDEX($I$7:$I$306,$W9)&amp;"")</f>
        <v/>
      </c>
      <c r="Q9" s="176">
        <f>IF($W9="","",INDEX($J$7:$J$306,$W9)&amp;"")</f>
        <v/>
      </c>
      <c r="R9" s="176">
        <f>IF($W9="","",INDEX($F$7:$F$306,$W9)&amp;"")</f>
        <v/>
      </c>
      <c r="S9" s="175">
        <f>IF($W9="","",SUMIF($U$7:$U$306,INDEX($U$7:$U$306,$W9),$K$7:$K$306))</f>
        <v/>
      </c>
      <c r="U9">
        <f>IF(OR($X9="",N($K9)=0),"",UPPER(TRIM($G9&amp;"|"&amp;$H9&amp;"|"&amp;$I9&amp;"|"&amp;$J9&amp;"|"&amp;$F9)))</f>
        <v/>
      </c>
      <c r="V9">
        <f>IF($U9="","",IF(COUNTIF($U$7:$U9,$U9)=1,MAX($V$6:$V8)+1,""))</f>
        <v/>
      </c>
      <c r="W9">
        <f>IFERROR(MATCH(3,$V$7:$V$306,0),"")</f>
        <v/>
      </c>
      <c r="X9">
        <f>IFERROR(MATCH(3,'HW Sets'!$S$7:$S$306,0),"")</f>
        <v/>
      </c>
      <c r="Y9">
        <f>IF($X9="","",INDEX('HW Sets'!$J$7:$J$306,$X9)&amp;"")</f>
        <v/>
      </c>
      <c r="Z9">
        <f>IF($Y9="","",IF(COUNTIF($Y$7:$Y9,$Y9)=1,1,""))</f>
        <v/>
      </c>
    </row>
    <row r="10">
      <c r="A10" s="175">
        <f>IF($Z10="","",$Y10)</f>
        <v/>
      </c>
      <c r="B10" s="176">
        <f>IF($Z10="","",IFERROR(INDEX('HW Sets'!$N$7:$N$306,MATCH($Y10,'HW Sets'!$M$7:$M$306,0)),""))</f>
        <v/>
      </c>
      <c r="C10" s="177">
        <f t="array" ref="C10">IF($Z10="","",_xlfn.TEXTJOIN(", ",TRUE,IF(tk_HWSET&amp;""=$Y10,tk_MARK,"")))</f>
        <v/>
      </c>
      <c r="D10" s="176">
        <f t="array" ref="D10">IF($Z10="","",SUM(IF(tk_HWSET&amp;""=$Y10,IFERROR(--tk_QTY,0),0)))</f>
        <v/>
      </c>
      <c r="E10" s="176">
        <f>IF($X10="","",IF(INDEX('HW Sets'!$C$7:$C$306,$X10)="","",INDEX('HW Sets'!$C$7:$C$306,$X10)))</f>
        <v/>
      </c>
      <c r="F10" s="176">
        <f>IF($X10="","",IF(INDEX('HW Sets'!$D$7:$D$306,$X10)="","",INDEX('HW Sets'!$D$7:$D$306,$X10)))</f>
        <v/>
      </c>
      <c r="G10" s="176">
        <f>IF($X10="","",IF(INDEX('HW Sets'!$E$7:$E$306,$X10)="","",INDEX('HW Sets'!$E$7:$E$306,$X10)))</f>
        <v/>
      </c>
      <c r="H10" s="176">
        <f>IF($X10="","",IF(INDEX('HW Sets'!$F$7:$F$306,$X10)="","",INDEX('HW Sets'!$F$7:$F$306,$X10)))</f>
        <v/>
      </c>
      <c r="I10" s="176">
        <f>IF($X10="","",IF(INDEX('HW Sets'!$G$7:$G$306,$X10)="","",INDEX('HW Sets'!$G$7:$G$306,$X10)))</f>
        <v/>
      </c>
      <c r="J10" s="176">
        <f>IF($X10="","",IF(INDEX('HW Sets'!$H$7:$H$306,$X10)="","",INDEX('HW Sets'!$H$7:$H$306,$X10)))</f>
        <v/>
      </c>
      <c r="K10" s="175">
        <f t="array" ref="K10">IF($X10="","",N($E10)*SUM(IF(tk_HWSET&amp;""=$Y10,IFERROR(--tk_QTY,0),0)))</f>
        <v/>
      </c>
      <c r="L10" s="176">
        <f>IF($X10="","",IF(INDEX('HW Sets'!$I$7:$I$306,$X10)="","",INDEX('HW Sets'!$I$7:$I$306,$X10)))</f>
        <v/>
      </c>
      <c r="N10" s="176">
        <f>IF($W10="","",INDEX($G$7:$G$306,$W10)&amp;"")</f>
        <v/>
      </c>
      <c r="O10" s="176">
        <f>IF($W10="","",INDEX($H$7:$H$306,$W10)&amp;"")</f>
        <v/>
      </c>
      <c r="P10" s="176">
        <f>IF($W10="","",INDEX($I$7:$I$306,$W10)&amp;"")</f>
        <v/>
      </c>
      <c r="Q10" s="176">
        <f>IF($W10="","",INDEX($J$7:$J$306,$W10)&amp;"")</f>
        <v/>
      </c>
      <c r="R10" s="176">
        <f>IF($W10="","",INDEX($F$7:$F$306,$W10)&amp;"")</f>
        <v/>
      </c>
      <c r="S10" s="175">
        <f>IF($W10="","",SUMIF($U$7:$U$306,INDEX($U$7:$U$306,$W10),$K$7:$K$306))</f>
        <v/>
      </c>
      <c r="U10">
        <f>IF(OR($X10="",N($K10)=0),"",UPPER(TRIM($G10&amp;"|"&amp;$H10&amp;"|"&amp;$I10&amp;"|"&amp;$J10&amp;"|"&amp;$F10)))</f>
        <v/>
      </c>
      <c r="V10">
        <f>IF($U10="","",IF(COUNTIF($U$7:$U10,$U10)=1,MAX($V$6:$V9)+1,""))</f>
        <v/>
      </c>
      <c r="W10">
        <f>IFERROR(MATCH(4,$V$7:$V$306,0),"")</f>
        <v/>
      </c>
      <c r="X10">
        <f>IFERROR(MATCH(4,'HW Sets'!$S$7:$S$306,0),"")</f>
        <v/>
      </c>
      <c r="Y10">
        <f>IF($X10="","",INDEX('HW Sets'!$J$7:$J$306,$X10)&amp;"")</f>
        <v/>
      </c>
      <c r="Z10">
        <f>IF($Y10="","",IF(COUNTIF($Y$7:$Y10,$Y10)=1,1,""))</f>
        <v/>
      </c>
    </row>
    <row r="11">
      <c r="A11" s="175">
        <f>IF($Z11="","",$Y11)</f>
        <v/>
      </c>
      <c r="B11" s="176">
        <f>IF($Z11="","",IFERROR(INDEX('HW Sets'!$N$7:$N$306,MATCH($Y11,'HW Sets'!$M$7:$M$306,0)),""))</f>
        <v/>
      </c>
      <c r="C11" s="177">
        <f t="array" ref="C11">IF($Z11="","",_xlfn.TEXTJOIN(", ",TRUE,IF(tk_HWSET&amp;""=$Y11,tk_MARK,"")))</f>
        <v/>
      </c>
      <c r="D11" s="176">
        <f t="array" ref="D11">IF($Z11="","",SUM(IF(tk_HWSET&amp;""=$Y11,IFERROR(--tk_QTY,0),0)))</f>
        <v/>
      </c>
      <c r="E11" s="176">
        <f>IF($X11="","",IF(INDEX('HW Sets'!$C$7:$C$306,$X11)="","",INDEX('HW Sets'!$C$7:$C$306,$X11)))</f>
        <v/>
      </c>
      <c r="F11" s="176">
        <f>IF($X11="","",IF(INDEX('HW Sets'!$D$7:$D$306,$X11)="","",INDEX('HW Sets'!$D$7:$D$306,$X11)))</f>
        <v/>
      </c>
      <c r="G11" s="176">
        <f>IF($X11="","",IF(INDEX('HW Sets'!$E$7:$E$306,$X11)="","",INDEX('HW Sets'!$E$7:$E$306,$X11)))</f>
        <v/>
      </c>
      <c r="H11" s="176">
        <f>IF($X11="","",IF(INDEX('HW Sets'!$F$7:$F$306,$X11)="","",INDEX('HW Sets'!$F$7:$F$306,$X11)))</f>
        <v/>
      </c>
      <c r="I11" s="176">
        <f>IF($X11="","",IF(INDEX('HW Sets'!$G$7:$G$306,$X11)="","",INDEX('HW Sets'!$G$7:$G$306,$X11)))</f>
        <v/>
      </c>
      <c r="J11" s="176">
        <f>IF($X11="","",IF(INDEX('HW Sets'!$H$7:$H$306,$X11)="","",INDEX('HW Sets'!$H$7:$H$306,$X11)))</f>
        <v/>
      </c>
      <c r="K11" s="175">
        <f t="array" ref="K11">IF($X11="","",N($E11)*SUM(IF(tk_HWSET&amp;""=$Y11,IFERROR(--tk_QTY,0),0)))</f>
        <v/>
      </c>
      <c r="L11" s="176">
        <f>IF($X11="","",IF(INDEX('HW Sets'!$I$7:$I$306,$X11)="","",INDEX('HW Sets'!$I$7:$I$306,$X11)))</f>
        <v/>
      </c>
      <c r="N11" s="176">
        <f>IF($W11="","",INDEX($G$7:$G$306,$W11)&amp;"")</f>
        <v/>
      </c>
      <c r="O11" s="176">
        <f>IF($W11="","",INDEX($H$7:$H$306,$W11)&amp;"")</f>
        <v/>
      </c>
      <c r="P11" s="176">
        <f>IF($W11="","",INDEX($I$7:$I$306,$W11)&amp;"")</f>
        <v/>
      </c>
      <c r="Q11" s="176">
        <f>IF($W11="","",INDEX($J$7:$J$306,$W11)&amp;"")</f>
        <v/>
      </c>
      <c r="R11" s="176">
        <f>IF($W11="","",INDEX($F$7:$F$306,$W11)&amp;"")</f>
        <v/>
      </c>
      <c r="S11" s="175">
        <f>IF($W11="","",SUMIF($U$7:$U$306,INDEX($U$7:$U$306,$W11),$K$7:$K$306))</f>
        <v/>
      </c>
      <c r="U11">
        <f>IF(OR($X11="",N($K11)=0),"",UPPER(TRIM($G11&amp;"|"&amp;$H11&amp;"|"&amp;$I11&amp;"|"&amp;$J11&amp;"|"&amp;$F11)))</f>
        <v/>
      </c>
      <c r="V11">
        <f>IF($U11="","",IF(COUNTIF($U$7:$U11,$U11)=1,MAX($V$6:$V10)+1,""))</f>
        <v/>
      </c>
      <c r="W11">
        <f>IFERROR(MATCH(5,$V$7:$V$306,0),"")</f>
        <v/>
      </c>
      <c r="X11">
        <f>IFERROR(MATCH(5,'HW Sets'!$S$7:$S$306,0),"")</f>
        <v/>
      </c>
      <c r="Y11">
        <f>IF($X11="","",INDEX('HW Sets'!$J$7:$J$306,$X11)&amp;"")</f>
        <v/>
      </c>
      <c r="Z11">
        <f>IF($Y11="","",IF(COUNTIF($Y$7:$Y11,$Y11)=1,1,""))</f>
        <v/>
      </c>
    </row>
    <row r="12">
      <c r="A12" s="175">
        <f>IF($Z12="","",$Y12)</f>
        <v/>
      </c>
      <c r="B12" s="176">
        <f>IF($Z12="","",IFERROR(INDEX('HW Sets'!$N$7:$N$306,MATCH($Y12,'HW Sets'!$M$7:$M$306,0)),""))</f>
        <v/>
      </c>
      <c r="C12" s="177">
        <f t="array" ref="C12">IF($Z12="","",_xlfn.TEXTJOIN(", ",TRUE,IF(tk_HWSET&amp;""=$Y12,tk_MARK,"")))</f>
        <v/>
      </c>
      <c r="D12" s="176">
        <f t="array" ref="D12">IF($Z12="","",SUM(IF(tk_HWSET&amp;""=$Y12,IFERROR(--tk_QTY,0),0)))</f>
        <v/>
      </c>
      <c r="E12" s="176">
        <f>IF($X12="","",IF(INDEX('HW Sets'!$C$7:$C$306,$X12)="","",INDEX('HW Sets'!$C$7:$C$306,$X12)))</f>
        <v/>
      </c>
      <c r="F12" s="176">
        <f>IF($X12="","",IF(INDEX('HW Sets'!$D$7:$D$306,$X12)="","",INDEX('HW Sets'!$D$7:$D$306,$X12)))</f>
        <v/>
      </c>
      <c r="G12" s="176">
        <f>IF($X12="","",IF(INDEX('HW Sets'!$E$7:$E$306,$X12)="","",INDEX('HW Sets'!$E$7:$E$306,$X12)))</f>
        <v/>
      </c>
      <c r="H12" s="176">
        <f>IF($X12="","",IF(INDEX('HW Sets'!$F$7:$F$306,$X12)="","",INDEX('HW Sets'!$F$7:$F$306,$X12)))</f>
        <v/>
      </c>
      <c r="I12" s="176">
        <f>IF($X12="","",IF(INDEX('HW Sets'!$G$7:$G$306,$X12)="","",INDEX('HW Sets'!$G$7:$G$306,$X12)))</f>
        <v/>
      </c>
      <c r="J12" s="176">
        <f>IF($X12="","",IF(INDEX('HW Sets'!$H$7:$H$306,$X12)="","",INDEX('HW Sets'!$H$7:$H$306,$X12)))</f>
        <v/>
      </c>
      <c r="K12" s="175">
        <f t="array" ref="K12">IF($X12="","",N($E12)*SUM(IF(tk_HWSET&amp;""=$Y12,IFERROR(--tk_QTY,0),0)))</f>
        <v/>
      </c>
      <c r="L12" s="176">
        <f>IF($X12="","",IF(INDEX('HW Sets'!$I$7:$I$306,$X12)="","",INDEX('HW Sets'!$I$7:$I$306,$X12)))</f>
        <v/>
      </c>
      <c r="N12" s="176">
        <f>IF($W12="","",INDEX($G$7:$G$306,$W12)&amp;"")</f>
        <v/>
      </c>
      <c r="O12" s="176">
        <f>IF($W12="","",INDEX($H$7:$H$306,$W12)&amp;"")</f>
        <v/>
      </c>
      <c r="P12" s="176">
        <f>IF($W12="","",INDEX($I$7:$I$306,$W12)&amp;"")</f>
        <v/>
      </c>
      <c r="Q12" s="176">
        <f>IF($W12="","",INDEX($J$7:$J$306,$W12)&amp;"")</f>
        <v/>
      </c>
      <c r="R12" s="176">
        <f>IF($W12="","",INDEX($F$7:$F$306,$W12)&amp;"")</f>
        <v/>
      </c>
      <c r="S12" s="175">
        <f>IF($W12="","",SUMIF($U$7:$U$306,INDEX($U$7:$U$306,$W12),$K$7:$K$306))</f>
        <v/>
      </c>
      <c r="U12">
        <f>IF(OR($X12="",N($K12)=0),"",UPPER(TRIM($G12&amp;"|"&amp;$H12&amp;"|"&amp;$I12&amp;"|"&amp;$J12&amp;"|"&amp;$F12)))</f>
        <v/>
      </c>
      <c r="V12">
        <f>IF($U12="","",IF(COUNTIF($U$7:$U12,$U12)=1,MAX($V$6:$V11)+1,""))</f>
        <v/>
      </c>
      <c r="W12">
        <f>IFERROR(MATCH(6,$V$7:$V$306,0),"")</f>
        <v/>
      </c>
      <c r="X12">
        <f>IFERROR(MATCH(6,'HW Sets'!$S$7:$S$306,0),"")</f>
        <v/>
      </c>
      <c r="Y12">
        <f>IF($X12="","",INDEX('HW Sets'!$J$7:$J$306,$X12)&amp;"")</f>
        <v/>
      </c>
      <c r="Z12">
        <f>IF($Y12="","",IF(COUNTIF($Y$7:$Y12,$Y12)=1,1,""))</f>
        <v/>
      </c>
    </row>
    <row r="13">
      <c r="A13" s="175">
        <f>IF($Z13="","",$Y13)</f>
        <v/>
      </c>
      <c r="B13" s="176">
        <f>IF($Z13="","",IFERROR(INDEX('HW Sets'!$N$7:$N$306,MATCH($Y13,'HW Sets'!$M$7:$M$306,0)),""))</f>
        <v/>
      </c>
      <c r="C13" s="177">
        <f t="array" ref="C13">IF($Z13="","",_xlfn.TEXTJOIN(", ",TRUE,IF(tk_HWSET&amp;""=$Y13,tk_MARK,"")))</f>
        <v/>
      </c>
      <c r="D13" s="176">
        <f t="array" ref="D13">IF($Z13="","",SUM(IF(tk_HWSET&amp;""=$Y13,IFERROR(--tk_QTY,0),0)))</f>
        <v/>
      </c>
      <c r="E13" s="176">
        <f>IF($X13="","",IF(INDEX('HW Sets'!$C$7:$C$306,$X13)="","",INDEX('HW Sets'!$C$7:$C$306,$X13)))</f>
        <v/>
      </c>
      <c r="F13" s="176">
        <f>IF($X13="","",IF(INDEX('HW Sets'!$D$7:$D$306,$X13)="","",INDEX('HW Sets'!$D$7:$D$306,$X13)))</f>
        <v/>
      </c>
      <c r="G13" s="176">
        <f>IF($X13="","",IF(INDEX('HW Sets'!$E$7:$E$306,$X13)="","",INDEX('HW Sets'!$E$7:$E$306,$X13)))</f>
        <v/>
      </c>
      <c r="H13" s="176">
        <f>IF($X13="","",IF(INDEX('HW Sets'!$F$7:$F$306,$X13)="","",INDEX('HW Sets'!$F$7:$F$306,$X13)))</f>
        <v/>
      </c>
      <c r="I13" s="176">
        <f>IF($X13="","",IF(INDEX('HW Sets'!$G$7:$G$306,$X13)="","",INDEX('HW Sets'!$G$7:$G$306,$X13)))</f>
        <v/>
      </c>
      <c r="J13" s="176">
        <f>IF($X13="","",IF(INDEX('HW Sets'!$H$7:$H$306,$X13)="","",INDEX('HW Sets'!$H$7:$H$306,$X13)))</f>
        <v/>
      </c>
      <c r="K13" s="175">
        <f t="array" ref="K13">IF($X13="","",N($E13)*SUM(IF(tk_HWSET&amp;""=$Y13,IFERROR(--tk_QTY,0),0)))</f>
        <v/>
      </c>
      <c r="L13" s="176">
        <f>IF($X13="","",IF(INDEX('HW Sets'!$I$7:$I$306,$X13)="","",INDEX('HW Sets'!$I$7:$I$306,$X13)))</f>
        <v/>
      </c>
      <c r="N13" s="176">
        <f>IF($W13="","",INDEX($G$7:$G$306,$W13)&amp;"")</f>
        <v/>
      </c>
      <c r="O13" s="176">
        <f>IF($W13="","",INDEX($H$7:$H$306,$W13)&amp;"")</f>
        <v/>
      </c>
      <c r="P13" s="176">
        <f>IF($W13="","",INDEX($I$7:$I$306,$W13)&amp;"")</f>
        <v/>
      </c>
      <c r="Q13" s="176">
        <f>IF($W13="","",INDEX($J$7:$J$306,$W13)&amp;"")</f>
        <v/>
      </c>
      <c r="R13" s="176">
        <f>IF($W13="","",INDEX($F$7:$F$306,$W13)&amp;"")</f>
        <v/>
      </c>
      <c r="S13" s="175">
        <f>IF($W13="","",SUMIF($U$7:$U$306,INDEX($U$7:$U$306,$W13),$K$7:$K$306))</f>
        <v/>
      </c>
      <c r="U13">
        <f>IF(OR($X13="",N($K13)=0),"",UPPER(TRIM($G13&amp;"|"&amp;$H13&amp;"|"&amp;$I13&amp;"|"&amp;$J13&amp;"|"&amp;$F13)))</f>
        <v/>
      </c>
      <c r="V13">
        <f>IF($U13="","",IF(COUNTIF($U$7:$U13,$U13)=1,MAX($V$6:$V12)+1,""))</f>
        <v/>
      </c>
      <c r="W13">
        <f>IFERROR(MATCH(7,$V$7:$V$306,0),"")</f>
        <v/>
      </c>
      <c r="X13">
        <f>IFERROR(MATCH(7,'HW Sets'!$S$7:$S$306,0),"")</f>
        <v/>
      </c>
      <c r="Y13">
        <f>IF($X13="","",INDEX('HW Sets'!$J$7:$J$306,$X13)&amp;"")</f>
        <v/>
      </c>
      <c r="Z13">
        <f>IF($Y13="","",IF(COUNTIF($Y$7:$Y13,$Y13)=1,1,""))</f>
        <v/>
      </c>
    </row>
    <row r="14">
      <c r="A14" s="175">
        <f>IF($Z14="","",$Y14)</f>
        <v/>
      </c>
      <c r="B14" s="176">
        <f>IF($Z14="","",IFERROR(INDEX('HW Sets'!$N$7:$N$306,MATCH($Y14,'HW Sets'!$M$7:$M$306,0)),""))</f>
        <v/>
      </c>
      <c r="C14" s="177">
        <f t="array" ref="C14">IF($Z14="","",_xlfn.TEXTJOIN(", ",TRUE,IF(tk_HWSET&amp;""=$Y14,tk_MARK,"")))</f>
        <v/>
      </c>
      <c r="D14" s="176">
        <f t="array" ref="D14">IF($Z14="","",SUM(IF(tk_HWSET&amp;""=$Y14,IFERROR(--tk_QTY,0),0)))</f>
        <v/>
      </c>
      <c r="E14" s="176">
        <f>IF($X14="","",IF(INDEX('HW Sets'!$C$7:$C$306,$X14)="","",INDEX('HW Sets'!$C$7:$C$306,$X14)))</f>
        <v/>
      </c>
      <c r="F14" s="176">
        <f>IF($X14="","",IF(INDEX('HW Sets'!$D$7:$D$306,$X14)="","",INDEX('HW Sets'!$D$7:$D$306,$X14)))</f>
        <v/>
      </c>
      <c r="G14" s="176">
        <f>IF($X14="","",IF(INDEX('HW Sets'!$E$7:$E$306,$X14)="","",INDEX('HW Sets'!$E$7:$E$306,$X14)))</f>
        <v/>
      </c>
      <c r="H14" s="176">
        <f>IF($X14="","",IF(INDEX('HW Sets'!$F$7:$F$306,$X14)="","",INDEX('HW Sets'!$F$7:$F$306,$X14)))</f>
        <v/>
      </c>
      <c r="I14" s="176">
        <f>IF($X14="","",IF(INDEX('HW Sets'!$G$7:$G$306,$X14)="","",INDEX('HW Sets'!$G$7:$G$306,$X14)))</f>
        <v/>
      </c>
      <c r="J14" s="176">
        <f>IF($X14="","",IF(INDEX('HW Sets'!$H$7:$H$306,$X14)="","",INDEX('HW Sets'!$H$7:$H$306,$X14)))</f>
        <v/>
      </c>
      <c r="K14" s="175">
        <f t="array" ref="K14">IF($X14="","",N($E14)*SUM(IF(tk_HWSET&amp;""=$Y14,IFERROR(--tk_QTY,0),0)))</f>
        <v/>
      </c>
      <c r="L14" s="176">
        <f>IF($X14="","",IF(INDEX('HW Sets'!$I$7:$I$306,$X14)="","",INDEX('HW Sets'!$I$7:$I$306,$X14)))</f>
        <v/>
      </c>
      <c r="N14" s="176">
        <f>IF($W14="","",INDEX($G$7:$G$306,$W14)&amp;"")</f>
        <v/>
      </c>
      <c r="O14" s="176">
        <f>IF($W14="","",INDEX($H$7:$H$306,$W14)&amp;"")</f>
        <v/>
      </c>
      <c r="P14" s="176">
        <f>IF($W14="","",INDEX($I$7:$I$306,$W14)&amp;"")</f>
        <v/>
      </c>
      <c r="Q14" s="176">
        <f>IF($W14="","",INDEX($J$7:$J$306,$W14)&amp;"")</f>
        <v/>
      </c>
      <c r="R14" s="176">
        <f>IF($W14="","",INDEX($F$7:$F$306,$W14)&amp;"")</f>
        <v/>
      </c>
      <c r="S14" s="175">
        <f>IF($W14="","",SUMIF($U$7:$U$306,INDEX($U$7:$U$306,$W14),$K$7:$K$306))</f>
        <v/>
      </c>
      <c r="U14">
        <f>IF(OR($X14="",N($K14)=0),"",UPPER(TRIM($G14&amp;"|"&amp;$H14&amp;"|"&amp;$I14&amp;"|"&amp;$J14&amp;"|"&amp;$F14)))</f>
        <v/>
      </c>
      <c r="V14">
        <f>IF($U14="","",IF(COUNTIF($U$7:$U14,$U14)=1,MAX($V$6:$V13)+1,""))</f>
        <v/>
      </c>
      <c r="W14">
        <f>IFERROR(MATCH(8,$V$7:$V$306,0),"")</f>
        <v/>
      </c>
      <c r="X14">
        <f>IFERROR(MATCH(8,'HW Sets'!$S$7:$S$306,0),"")</f>
        <v/>
      </c>
      <c r="Y14">
        <f>IF($X14="","",INDEX('HW Sets'!$J$7:$J$306,$X14)&amp;"")</f>
        <v/>
      </c>
      <c r="Z14">
        <f>IF($Y14="","",IF(COUNTIF($Y$7:$Y14,$Y14)=1,1,""))</f>
        <v/>
      </c>
    </row>
    <row r="15">
      <c r="A15" s="175">
        <f>IF($Z15="","",$Y15)</f>
        <v/>
      </c>
      <c r="B15" s="176">
        <f>IF($Z15="","",IFERROR(INDEX('HW Sets'!$N$7:$N$306,MATCH($Y15,'HW Sets'!$M$7:$M$306,0)),""))</f>
        <v/>
      </c>
      <c r="C15" s="177">
        <f t="array" ref="C15">IF($Z15="","",_xlfn.TEXTJOIN(", ",TRUE,IF(tk_HWSET&amp;""=$Y15,tk_MARK,"")))</f>
        <v/>
      </c>
      <c r="D15" s="176">
        <f t="array" ref="D15">IF($Z15="","",SUM(IF(tk_HWSET&amp;""=$Y15,IFERROR(--tk_QTY,0),0)))</f>
        <v/>
      </c>
      <c r="E15" s="176">
        <f>IF($X15="","",IF(INDEX('HW Sets'!$C$7:$C$306,$X15)="","",INDEX('HW Sets'!$C$7:$C$306,$X15)))</f>
        <v/>
      </c>
      <c r="F15" s="176">
        <f>IF($X15="","",IF(INDEX('HW Sets'!$D$7:$D$306,$X15)="","",INDEX('HW Sets'!$D$7:$D$306,$X15)))</f>
        <v/>
      </c>
      <c r="G15" s="176">
        <f>IF($X15="","",IF(INDEX('HW Sets'!$E$7:$E$306,$X15)="","",INDEX('HW Sets'!$E$7:$E$306,$X15)))</f>
        <v/>
      </c>
      <c r="H15" s="176">
        <f>IF($X15="","",IF(INDEX('HW Sets'!$F$7:$F$306,$X15)="","",INDEX('HW Sets'!$F$7:$F$306,$X15)))</f>
        <v/>
      </c>
      <c r="I15" s="176">
        <f>IF($X15="","",IF(INDEX('HW Sets'!$G$7:$G$306,$X15)="","",INDEX('HW Sets'!$G$7:$G$306,$X15)))</f>
        <v/>
      </c>
      <c r="J15" s="176">
        <f>IF($X15="","",IF(INDEX('HW Sets'!$H$7:$H$306,$X15)="","",INDEX('HW Sets'!$H$7:$H$306,$X15)))</f>
        <v/>
      </c>
      <c r="K15" s="175">
        <f t="array" ref="K15">IF($X15="","",N($E15)*SUM(IF(tk_HWSET&amp;""=$Y15,IFERROR(--tk_QTY,0),0)))</f>
        <v/>
      </c>
      <c r="L15" s="176">
        <f>IF($X15="","",IF(INDEX('HW Sets'!$I$7:$I$306,$X15)="","",INDEX('HW Sets'!$I$7:$I$306,$X15)))</f>
        <v/>
      </c>
      <c r="N15" s="176">
        <f>IF($W15="","",INDEX($G$7:$G$306,$W15)&amp;"")</f>
        <v/>
      </c>
      <c r="O15" s="176">
        <f>IF($W15="","",INDEX($H$7:$H$306,$W15)&amp;"")</f>
        <v/>
      </c>
      <c r="P15" s="176">
        <f>IF($W15="","",INDEX($I$7:$I$306,$W15)&amp;"")</f>
        <v/>
      </c>
      <c r="Q15" s="176">
        <f>IF($W15="","",INDEX($J$7:$J$306,$W15)&amp;"")</f>
        <v/>
      </c>
      <c r="R15" s="176">
        <f>IF($W15="","",INDEX($F$7:$F$306,$W15)&amp;"")</f>
        <v/>
      </c>
      <c r="S15" s="175">
        <f>IF($W15="","",SUMIF($U$7:$U$306,INDEX($U$7:$U$306,$W15),$K$7:$K$306))</f>
        <v/>
      </c>
      <c r="U15">
        <f>IF(OR($X15="",N($K15)=0),"",UPPER(TRIM($G15&amp;"|"&amp;$H15&amp;"|"&amp;$I15&amp;"|"&amp;$J15&amp;"|"&amp;$F15)))</f>
        <v/>
      </c>
      <c r="V15">
        <f>IF($U15="","",IF(COUNTIF($U$7:$U15,$U15)=1,MAX($V$6:$V14)+1,""))</f>
        <v/>
      </c>
      <c r="W15">
        <f>IFERROR(MATCH(9,$V$7:$V$306,0),"")</f>
        <v/>
      </c>
      <c r="X15">
        <f>IFERROR(MATCH(9,'HW Sets'!$S$7:$S$306,0),"")</f>
        <v/>
      </c>
      <c r="Y15">
        <f>IF($X15="","",INDEX('HW Sets'!$J$7:$J$306,$X15)&amp;"")</f>
        <v/>
      </c>
      <c r="Z15">
        <f>IF($Y15="","",IF(COUNTIF($Y$7:$Y15,$Y15)=1,1,""))</f>
        <v/>
      </c>
    </row>
    <row r="16">
      <c r="A16" s="175">
        <f>IF($Z16="","",$Y16)</f>
        <v/>
      </c>
      <c r="B16" s="176">
        <f>IF($Z16="","",IFERROR(INDEX('HW Sets'!$N$7:$N$306,MATCH($Y16,'HW Sets'!$M$7:$M$306,0)),""))</f>
        <v/>
      </c>
      <c r="C16" s="177">
        <f t="array" ref="C16">IF($Z16="","",_xlfn.TEXTJOIN(", ",TRUE,IF(tk_HWSET&amp;""=$Y16,tk_MARK,"")))</f>
        <v/>
      </c>
      <c r="D16" s="176">
        <f t="array" ref="D16">IF($Z16="","",SUM(IF(tk_HWSET&amp;""=$Y16,IFERROR(--tk_QTY,0),0)))</f>
        <v/>
      </c>
      <c r="E16" s="176">
        <f>IF($X16="","",IF(INDEX('HW Sets'!$C$7:$C$306,$X16)="","",INDEX('HW Sets'!$C$7:$C$306,$X16)))</f>
        <v/>
      </c>
      <c r="F16" s="176">
        <f>IF($X16="","",IF(INDEX('HW Sets'!$D$7:$D$306,$X16)="","",INDEX('HW Sets'!$D$7:$D$306,$X16)))</f>
        <v/>
      </c>
      <c r="G16" s="176">
        <f>IF($X16="","",IF(INDEX('HW Sets'!$E$7:$E$306,$X16)="","",INDEX('HW Sets'!$E$7:$E$306,$X16)))</f>
        <v/>
      </c>
      <c r="H16" s="176">
        <f>IF($X16="","",IF(INDEX('HW Sets'!$F$7:$F$306,$X16)="","",INDEX('HW Sets'!$F$7:$F$306,$X16)))</f>
        <v/>
      </c>
      <c r="I16" s="176">
        <f>IF($X16="","",IF(INDEX('HW Sets'!$G$7:$G$306,$X16)="","",INDEX('HW Sets'!$G$7:$G$306,$X16)))</f>
        <v/>
      </c>
      <c r="J16" s="176">
        <f>IF($X16="","",IF(INDEX('HW Sets'!$H$7:$H$306,$X16)="","",INDEX('HW Sets'!$H$7:$H$306,$X16)))</f>
        <v/>
      </c>
      <c r="K16" s="175">
        <f t="array" ref="K16">IF($X16="","",N($E16)*SUM(IF(tk_HWSET&amp;""=$Y16,IFERROR(--tk_QTY,0),0)))</f>
        <v/>
      </c>
      <c r="L16" s="176">
        <f>IF($X16="","",IF(INDEX('HW Sets'!$I$7:$I$306,$X16)="","",INDEX('HW Sets'!$I$7:$I$306,$X16)))</f>
        <v/>
      </c>
      <c r="N16" s="176">
        <f>IF($W16="","",INDEX($G$7:$G$306,$W16)&amp;"")</f>
        <v/>
      </c>
      <c r="O16" s="176">
        <f>IF($W16="","",INDEX($H$7:$H$306,$W16)&amp;"")</f>
        <v/>
      </c>
      <c r="P16" s="176">
        <f>IF($W16="","",INDEX($I$7:$I$306,$W16)&amp;"")</f>
        <v/>
      </c>
      <c r="Q16" s="176">
        <f>IF($W16="","",INDEX($J$7:$J$306,$W16)&amp;"")</f>
        <v/>
      </c>
      <c r="R16" s="176">
        <f>IF($W16="","",INDEX($F$7:$F$306,$W16)&amp;"")</f>
        <v/>
      </c>
      <c r="S16" s="175">
        <f>IF($W16="","",SUMIF($U$7:$U$306,INDEX($U$7:$U$306,$W16),$K$7:$K$306))</f>
        <v/>
      </c>
      <c r="U16">
        <f>IF(OR($X16="",N($K16)=0),"",UPPER(TRIM($G16&amp;"|"&amp;$H16&amp;"|"&amp;$I16&amp;"|"&amp;$J16&amp;"|"&amp;$F16)))</f>
        <v/>
      </c>
      <c r="V16">
        <f>IF($U16="","",IF(COUNTIF($U$7:$U16,$U16)=1,MAX($V$6:$V15)+1,""))</f>
        <v/>
      </c>
      <c r="W16">
        <f>IFERROR(MATCH(10,$V$7:$V$306,0),"")</f>
        <v/>
      </c>
      <c r="X16">
        <f>IFERROR(MATCH(10,'HW Sets'!$S$7:$S$306,0),"")</f>
        <v/>
      </c>
      <c r="Y16">
        <f>IF($X16="","",INDEX('HW Sets'!$J$7:$J$306,$X16)&amp;"")</f>
        <v/>
      </c>
      <c r="Z16">
        <f>IF($Y16="","",IF(COUNTIF($Y$7:$Y16,$Y16)=1,1,""))</f>
        <v/>
      </c>
    </row>
    <row r="17">
      <c r="A17" s="175">
        <f>IF($Z17="","",$Y17)</f>
        <v/>
      </c>
      <c r="B17" s="176">
        <f>IF($Z17="","",IFERROR(INDEX('HW Sets'!$N$7:$N$306,MATCH($Y17,'HW Sets'!$M$7:$M$306,0)),""))</f>
        <v/>
      </c>
      <c r="C17" s="177">
        <f t="array" ref="C17">IF($Z17="","",_xlfn.TEXTJOIN(", ",TRUE,IF(tk_HWSET&amp;""=$Y17,tk_MARK,"")))</f>
        <v/>
      </c>
      <c r="D17" s="176">
        <f t="array" ref="D17">IF($Z17="","",SUM(IF(tk_HWSET&amp;""=$Y17,IFERROR(--tk_QTY,0),0)))</f>
        <v/>
      </c>
      <c r="E17" s="176">
        <f>IF($X17="","",IF(INDEX('HW Sets'!$C$7:$C$306,$X17)="","",INDEX('HW Sets'!$C$7:$C$306,$X17)))</f>
        <v/>
      </c>
      <c r="F17" s="176">
        <f>IF($X17="","",IF(INDEX('HW Sets'!$D$7:$D$306,$X17)="","",INDEX('HW Sets'!$D$7:$D$306,$X17)))</f>
        <v/>
      </c>
      <c r="G17" s="176">
        <f>IF($X17="","",IF(INDEX('HW Sets'!$E$7:$E$306,$X17)="","",INDEX('HW Sets'!$E$7:$E$306,$X17)))</f>
        <v/>
      </c>
      <c r="H17" s="176">
        <f>IF($X17="","",IF(INDEX('HW Sets'!$F$7:$F$306,$X17)="","",INDEX('HW Sets'!$F$7:$F$306,$X17)))</f>
        <v/>
      </c>
      <c r="I17" s="176">
        <f>IF($X17="","",IF(INDEX('HW Sets'!$G$7:$G$306,$X17)="","",INDEX('HW Sets'!$G$7:$G$306,$X17)))</f>
        <v/>
      </c>
      <c r="J17" s="176">
        <f>IF($X17="","",IF(INDEX('HW Sets'!$H$7:$H$306,$X17)="","",INDEX('HW Sets'!$H$7:$H$306,$X17)))</f>
        <v/>
      </c>
      <c r="K17" s="175">
        <f t="array" ref="K17">IF($X17="","",N($E17)*SUM(IF(tk_HWSET&amp;""=$Y17,IFERROR(--tk_QTY,0),0)))</f>
        <v/>
      </c>
      <c r="L17" s="176">
        <f>IF($X17="","",IF(INDEX('HW Sets'!$I$7:$I$306,$X17)="","",INDEX('HW Sets'!$I$7:$I$306,$X17)))</f>
        <v/>
      </c>
      <c r="N17" s="176">
        <f>IF($W17="","",INDEX($G$7:$G$306,$W17)&amp;"")</f>
        <v/>
      </c>
      <c r="O17" s="176">
        <f>IF($W17="","",INDEX($H$7:$H$306,$W17)&amp;"")</f>
        <v/>
      </c>
      <c r="P17" s="176">
        <f>IF($W17="","",INDEX($I$7:$I$306,$W17)&amp;"")</f>
        <v/>
      </c>
      <c r="Q17" s="176">
        <f>IF($W17="","",INDEX($J$7:$J$306,$W17)&amp;"")</f>
        <v/>
      </c>
      <c r="R17" s="176">
        <f>IF($W17="","",INDEX($F$7:$F$306,$W17)&amp;"")</f>
        <v/>
      </c>
      <c r="S17" s="175">
        <f>IF($W17="","",SUMIF($U$7:$U$306,INDEX($U$7:$U$306,$W17),$K$7:$K$306))</f>
        <v/>
      </c>
      <c r="U17">
        <f>IF(OR($X17="",N($K17)=0),"",UPPER(TRIM($G17&amp;"|"&amp;$H17&amp;"|"&amp;$I17&amp;"|"&amp;$J17&amp;"|"&amp;$F17)))</f>
        <v/>
      </c>
      <c r="V17">
        <f>IF($U17="","",IF(COUNTIF($U$7:$U17,$U17)=1,MAX($V$6:$V16)+1,""))</f>
        <v/>
      </c>
      <c r="W17">
        <f>IFERROR(MATCH(11,$V$7:$V$306,0),"")</f>
        <v/>
      </c>
      <c r="X17">
        <f>IFERROR(MATCH(11,'HW Sets'!$S$7:$S$306,0),"")</f>
        <v/>
      </c>
      <c r="Y17">
        <f>IF($X17="","",INDEX('HW Sets'!$J$7:$J$306,$X17)&amp;"")</f>
        <v/>
      </c>
      <c r="Z17">
        <f>IF($Y17="","",IF(COUNTIF($Y$7:$Y17,$Y17)=1,1,""))</f>
        <v/>
      </c>
    </row>
    <row r="18">
      <c r="A18" s="175">
        <f>IF($Z18="","",$Y18)</f>
        <v/>
      </c>
      <c r="B18" s="176">
        <f>IF($Z18="","",IFERROR(INDEX('HW Sets'!$N$7:$N$306,MATCH($Y18,'HW Sets'!$M$7:$M$306,0)),""))</f>
        <v/>
      </c>
      <c r="C18" s="177">
        <f t="array" ref="C18">IF($Z18="","",_xlfn.TEXTJOIN(", ",TRUE,IF(tk_HWSET&amp;""=$Y18,tk_MARK,"")))</f>
        <v/>
      </c>
      <c r="D18" s="176">
        <f t="array" ref="D18">IF($Z18="","",SUM(IF(tk_HWSET&amp;""=$Y18,IFERROR(--tk_QTY,0),0)))</f>
        <v/>
      </c>
      <c r="E18" s="176">
        <f>IF($X18="","",IF(INDEX('HW Sets'!$C$7:$C$306,$X18)="","",INDEX('HW Sets'!$C$7:$C$306,$X18)))</f>
        <v/>
      </c>
      <c r="F18" s="176">
        <f>IF($X18="","",IF(INDEX('HW Sets'!$D$7:$D$306,$X18)="","",INDEX('HW Sets'!$D$7:$D$306,$X18)))</f>
        <v/>
      </c>
      <c r="G18" s="176">
        <f>IF($X18="","",IF(INDEX('HW Sets'!$E$7:$E$306,$X18)="","",INDEX('HW Sets'!$E$7:$E$306,$X18)))</f>
        <v/>
      </c>
      <c r="H18" s="176">
        <f>IF($X18="","",IF(INDEX('HW Sets'!$F$7:$F$306,$X18)="","",INDEX('HW Sets'!$F$7:$F$306,$X18)))</f>
        <v/>
      </c>
      <c r="I18" s="176">
        <f>IF($X18="","",IF(INDEX('HW Sets'!$G$7:$G$306,$X18)="","",INDEX('HW Sets'!$G$7:$G$306,$X18)))</f>
        <v/>
      </c>
      <c r="J18" s="176">
        <f>IF($X18="","",IF(INDEX('HW Sets'!$H$7:$H$306,$X18)="","",INDEX('HW Sets'!$H$7:$H$306,$X18)))</f>
        <v/>
      </c>
      <c r="K18" s="175">
        <f t="array" ref="K18">IF($X18="","",N($E18)*SUM(IF(tk_HWSET&amp;""=$Y18,IFERROR(--tk_QTY,0),0)))</f>
        <v/>
      </c>
      <c r="L18" s="176">
        <f>IF($X18="","",IF(INDEX('HW Sets'!$I$7:$I$306,$X18)="","",INDEX('HW Sets'!$I$7:$I$306,$X18)))</f>
        <v/>
      </c>
      <c r="N18" s="176">
        <f>IF($W18="","",INDEX($G$7:$G$306,$W18)&amp;"")</f>
        <v/>
      </c>
      <c r="O18" s="176">
        <f>IF($W18="","",INDEX($H$7:$H$306,$W18)&amp;"")</f>
        <v/>
      </c>
      <c r="P18" s="176">
        <f>IF($W18="","",INDEX($I$7:$I$306,$W18)&amp;"")</f>
        <v/>
      </c>
      <c r="Q18" s="176">
        <f>IF($W18="","",INDEX($J$7:$J$306,$W18)&amp;"")</f>
        <v/>
      </c>
      <c r="R18" s="176">
        <f>IF($W18="","",INDEX($F$7:$F$306,$W18)&amp;"")</f>
        <v/>
      </c>
      <c r="S18" s="175">
        <f>IF($W18="","",SUMIF($U$7:$U$306,INDEX($U$7:$U$306,$W18),$K$7:$K$306))</f>
        <v/>
      </c>
      <c r="U18">
        <f>IF(OR($X18="",N($K18)=0),"",UPPER(TRIM($G18&amp;"|"&amp;$H18&amp;"|"&amp;$I18&amp;"|"&amp;$J18&amp;"|"&amp;$F18)))</f>
        <v/>
      </c>
      <c r="V18">
        <f>IF($U18="","",IF(COUNTIF($U$7:$U18,$U18)=1,MAX($V$6:$V17)+1,""))</f>
        <v/>
      </c>
      <c r="W18">
        <f>IFERROR(MATCH(12,$V$7:$V$306,0),"")</f>
        <v/>
      </c>
      <c r="X18">
        <f>IFERROR(MATCH(12,'HW Sets'!$S$7:$S$306,0),"")</f>
        <v/>
      </c>
      <c r="Y18">
        <f>IF($X18="","",INDEX('HW Sets'!$J$7:$J$306,$X18)&amp;"")</f>
        <v/>
      </c>
      <c r="Z18">
        <f>IF($Y18="","",IF(COUNTIF($Y$7:$Y18,$Y18)=1,1,""))</f>
        <v/>
      </c>
    </row>
    <row r="19">
      <c r="A19" s="175">
        <f>IF($Z19="","",$Y19)</f>
        <v/>
      </c>
      <c r="B19" s="176">
        <f>IF($Z19="","",IFERROR(INDEX('HW Sets'!$N$7:$N$306,MATCH($Y19,'HW Sets'!$M$7:$M$306,0)),""))</f>
        <v/>
      </c>
      <c r="C19" s="177">
        <f t="array" ref="C19">IF($Z19="","",_xlfn.TEXTJOIN(", ",TRUE,IF(tk_HWSET&amp;""=$Y19,tk_MARK,"")))</f>
        <v/>
      </c>
      <c r="D19" s="176">
        <f t="array" ref="D19">IF($Z19="","",SUM(IF(tk_HWSET&amp;""=$Y19,IFERROR(--tk_QTY,0),0)))</f>
        <v/>
      </c>
      <c r="E19" s="176">
        <f>IF($X19="","",IF(INDEX('HW Sets'!$C$7:$C$306,$X19)="","",INDEX('HW Sets'!$C$7:$C$306,$X19)))</f>
        <v/>
      </c>
      <c r="F19" s="176">
        <f>IF($X19="","",IF(INDEX('HW Sets'!$D$7:$D$306,$X19)="","",INDEX('HW Sets'!$D$7:$D$306,$X19)))</f>
        <v/>
      </c>
      <c r="G19" s="176">
        <f>IF($X19="","",IF(INDEX('HW Sets'!$E$7:$E$306,$X19)="","",INDEX('HW Sets'!$E$7:$E$306,$X19)))</f>
        <v/>
      </c>
      <c r="H19" s="176">
        <f>IF($X19="","",IF(INDEX('HW Sets'!$F$7:$F$306,$X19)="","",INDEX('HW Sets'!$F$7:$F$306,$X19)))</f>
        <v/>
      </c>
      <c r="I19" s="176">
        <f>IF($X19="","",IF(INDEX('HW Sets'!$G$7:$G$306,$X19)="","",INDEX('HW Sets'!$G$7:$G$306,$X19)))</f>
        <v/>
      </c>
      <c r="J19" s="176">
        <f>IF($X19="","",IF(INDEX('HW Sets'!$H$7:$H$306,$X19)="","",INDEX('HW Sets'!$H$7:$H$306,$X19)))</f>
        <v/>
      </c>
      <c r="K19" s="175">
        <f t="array" ref="K19">IF($X19="","",N($E19)*SUM(IF(tk_HWSET&amp;""=$Y19,IFERROR(--tk_QTY,0),0)))</f>
        <v/>
      </c>
      <c r="L19" s="176">
        <f>IF($X19="","",IF(INDEX('HW Sets'!$I$7:$I$306,$X19)="","",INDEX('HW Sets'!$I$7:$I$306,$X19)))</f>
        <v/>
      </c>
      <c r="N19" s="176">
        <f>IF($W19="","",INDEX($G$7:$G$306,$W19)&amp;"")</f>
        <v/>
      </c>
      <c r="O19" s="176">
        <f>IF($W19="","",INDEX($H$7:$H$306,$W19)&amp;"")</f>
        <v/>
      </c>
      <c r="P19" s="176">
        <f>IF($W19="","",INDEX($I$7:$I$306,$W19)&amp;"")</f>
        <v/>
      </c>
      <c r="Q19" s="176">
        <f>IF($W19="","",INDEX($J$7:$J$306,$W19)&amp;"")</f>
        <v/>
      </c>
      <c r="R19" s="176">
        <f>IF($W19="","",INDEX($F$7:$F$306,$W19)&amp;"")</f>
        <v/>
      </c>
      <c r="S19" s="175">
        <f>IF($W19="","",SUMIF($U$7:$U$306,INDEX($U$7:$U$306,$W19),$K$7:$K$306))</f>
        <v/>
      </c>
      <c r="U19">
        <f>IF(OR($X19="",N($K19)=0),"",UPPER(TRIM($G19&amp;"|"&amp;$H19&amp;"|"&amp;$I19&amp;"|"&amp;$J19&amp;"|"&amp;$F19)))</f>
        <v/>
      </c>
      <c r="V19">
        <f>IF($U19="","",IF(COUNTIF($U$7:$U19,$U19)=1,MAX($V$6:$V18)+1,""))</f>
        <v/>
      </c>
      <c r="W19">
        <f>IFERROR(MATCH(13,$V$7:$V$306,0),"")</f>
        <v/>
      </c>
      <c r="X19">
        <f>IFERROR(MATCH(13,'HW Sets'!$S$7:$S$306,0),"")</f>
        <v/>
      </c>
      <c r="Y19">
        <f>IF($X19="","",INDEX('HW Sets'!$J$7:$J$306,$X19)&amp;"")</f>
        <v/>
      </c>
      <c r="Z19">
        <f>IF($Y19="","",IF(COUNTIF($Y$7:$Y19,$Y19)=1,1,""))</f>
        <v/>
      </c>
    </row>
    <row r="20">
      <c r="A20" s="175">
        <f>IF($Z20="","",$Y20)</f>
        <v/>
      </c>
      <c r="B20" s="176">
        <f>IF($Z20="","",IFERROR(INDEX('HW Sets'!$N$7:$N$306,MATCH($Y20,'HW Sets'!$M$7:$M$306,0)),""))</f>
        <v/>
      </c>
      <c r="C20" s="177">
        <f t="array" ref="C20">IF($Z20="","",_xlfn.TEXTJOIN(", ",TRUE,IF(tk_HWSET&amp;""=$Y20,tk_MARK,"")))</f>
        <v/>
      </c>
      <c r="D20" s="176">
        <f t="array" ref="D20">IF($Z20="","",SUM(IF(tk_HWSET&amp;""=$Y20,IFERROR(--tk_QTY,0),0)))</f>
        <v/>
      </c>
      <c r="E20" s="176">
        <f>IF($X20="","",IF(INDEX('HW Sets'!$C$7:$C$306,$X20)="","",INDEX('HW Sets'!$C$7:$C$306,$X20)))</f>
        <v/>
      </c>
      <c r="F20" s="176">
        <f>IF($X20="","",IF(INDEX('HW Sets'!$D$7:$D$306,$X20)="","",INDEX('HW Sets'!$D$7:$D$306,$X20)))</f>
        <v/>
      </c>
      <c r="G20" s="176">
        <f>IF($X20="","",IF(INDEX('HW Sets'!$E$7:$E$306,$X20)="","",INDEX('HW Sets'!$E$7:$E$306,$X20)))</f>
        <v/>
      </c>
      <c r="H20" s="176">
        <f>IF($X20="","",IF(INDEX('HW Sets'!$F$7:$F$306,$X20)="","",INDEX('HW Sets'!$F$7:$F$306,$X20)))</f>
        <v/>
      </c>
      <c r="I20" s="176">
        <f>IF($X20="","",IF(INDEX('HW Sets'!$G$7:$G$306,$X20)="","",INDEX('HW Sets'!$G$7:$G$306,$X20)))</f>
        <v/>
      </c>
      <c r="J20" s="176">
        <f>IF($X20="","",IF(INDEX('HW Sets'!$H$7:$H$306,$X20)="","",INDEX('HW Sets'!$H$7:$H$306,$X20)))</f>
        <v/>
      </c>
      <c r="K20" s="175">
        <f t="array" ref="K20">IF($X20="","",N($E20)*SUM(IF(tk_HWSET&amp;""=$Y20,IFERROR(--tk_QTY,0),0)))</f>
        <v/>
      </c>
      <c r="L20" s="176">
        <f>IF($X20="","",IF(INDEX('HW Sets'!$I$7:$I$306,$X20)="","",INDEX('HW Sets'!$I$7:$I$306,$X20)))</f>
        <v/>
      </c>
      <c r="N20" s="176">
        <f>IF($W20="","",INDEX($G$7:$G$306,$W20)&amp;"")</f>
        <v/>
      </c>
      <c r="O20" s="176">
        <f>IF($W20="","",INDEX($H$7:$H$306,$W20)&amp;"")</f>
        <v/>
      </c>
      <c r="P20" s="176">
        <f>IF($W20="","",INDEX($I$7:$I$306,$W20)&amp;"")</f>
        <v/>
      </c>
      <c r="Q20" s="176">
        <f>IF($W20="","",INDEX($J$7:$J$306,$W20)&amp;"")</f>
        <v/>
      </c>
      <c r="R20" s="176">
        <f>IF($W20="","",INDEX($F$7:$F$306,$W20)&amp;"")</f>
        <v/>
      </c>
      <c r="S20" s="175">
        <f>IF($W20="","",SUMIF($U$7:$U$306,INDEX($U$7:$U$306,$W20),$K$7:$K$306))</f>
        <v/>
      </c>
      <c r="U20">
        <f>IF(OR($X20="",N($K20)=0),"",UPPER(TRIM($G20&amp;"|"&amp;$H20&amp;"|"&amp;$I20&amp;"|"&amp;$J20&amp;"|"&amp;$F20)))</f>
        <v/>
      </c>
      <c r="V20">
        <f>IF($U20="","",IF(COUNTIF($U$7:$U20,$U20)=1,MAX($V$6:$V19)+1,""))</f>
        <v/>
      </c>
      <c r="W20">
        <f>IFERROR(MATCH(14,$V$7:$V$306,0),"")</f>
        <v/>
      </c>
      <c r="X20">
        <f>IFERROR(MATCH(14,'HW Sets'!$S$7:$S$306,0),"")</f>
        <v/>
      </c>
      <c r="Y20">
        <f>IF($X20="","",INDEX('HW Sets'!$J$7:$J$306,$X20)&amp;"")</f>
        <v/>
      </c>
      <c r="Z20">
        <f>IF($Y20="","",IF(COUNTIF($Y$7:$Y20,$Y20)=1,1,""))</f>
        <v/>
      </c>
    </row>
    <row r="21">
      <c r="A21" s="175">
        <f>IF($Z21="","",$Y21)</f>
        <v/>
      </c>
      <c r="B21" s="176">
        <f>IF($Z21="","",IFERROR(INDEX('HW Sets'!$N$7:$N$306,MATCH($Y21,'HW Sets'!$M$7:$M$306,0)),""))</f>
        <v/>
      </c>
      <c r="C21" s="177">
        <f t="array" ref="C21">IF($Z21="","",_xlfn.TEXTJOIN(", ",TRUE,IF(tk_HWSET&amp;""=$Y21,tk_MARK,"")))</f>
        <v/>
      </c>
      <c r="D21" s="176">
        <f t="array" ref="D21">IF($Z21="","",SUM(IF(tk_HWSET&amp;""=$Y21,IFERROR(--tk_QTY,0),0)))</f>
        <v/>
      </c>
      <c r="E21" s="176">
        <f>IF($X21="","",IF(INDEX('HW Sets'!$C$7:$C$306,$X21)="","",INDEX('HW Sets'!$C$7:$C$306,$X21)))</f>
        <v/>
      </c>
      <c r="F21" s="176">
        <f>IF($X21="","",IF(INDEX('HW Sets'!$D$7:$D$306,$X21)="","",INDEX('HW Sets'!$D$7:$D$306,$X21)))</f>
        <v/>
      </c>
      <c r="G21" s="176">
        <f>IF($X21="","",IF(INDEX('HW Sets'!$E$7:$E$306,$X21)="","",INDEX('HW Sets'!$E$7:$E$306,$X21)))</f>
        <v/>
      </c>
      <c r="H21" s="176">
        <f>IF($X21="","",IF(INDEX('HW Sets'!$F$7:$F$306,$X21)="","",INDEX('HW Sets'!$F$7:$F$306,$X21)))</f>
        <v/>
      </c>
      <c r="I21" s="176">
        <f>IF($X21="","",IF(INDEX('HW Sets'!$G$7:$G$306,$X21)="","",INDEX('HW Sets'!$G$7:$G$306,$X21)))</f>
        <v/>
      </c>
      <c r="J21" s="176">
        <f>IF($X21="","",IF(INDEX('HW Sets'!$H$7:$H$306,$X21)="","",INDEX('HW Sets'!$H$7:$H$306,$X21)))</f>
        <v/>
      </c>
      <c r="K21" s="175">
        <f t="array" ref="K21">IF($X21="","",N($E21)*SUM(IF(tk_HWSET&amp;""=$Y21,IFERROR(--tk_QTY,0),0)))</f>
        <v/>
      </c>
      <c r="L21" s="176">
        <f>IF($X21="","",IF(INDEX('HW Sets'!$I$7:$I$306,$X21)="","",INDEX('HW Sets'!$I$7:$I$306,$X21)))</f>
        <v/>
      </c>
      <c r="N21" s="176">
        <f>IF($W21="","",INDEX($G$7:$G$306,$W21)&amp;"")</f>
        <v/>
      </c>
      <c r="O21" s="176">
        <f>IF($W21="","",INDEX($H$7:$H$306,$W21)&amp;"")</f>
        <v/>
      </c>
      <c r="P21" s="176">
        <f>IF($W21="","",INDEX($I$7:$I$306,$W21)&amp;"")</f>
        <v/>
      </c>
      <c r="Q21" s="176">
        <f>IF($W21="","",INDEX($J$7:$J$306,$W21)&amp;"")</f>
        <v/>
      </c>
      <c r="R21" s="176">
        <f>IF($W21="","",INDEX($F$7:$F$306,$W21)&amp;"")</f>
        <v/>
      </c>
      <c r="S21" s="175">
        <f>IF($W21="","",SUMIF($U$7:$U$306,INDEX($U$7:$U$306,$W21),$K$7:$K$306))</f>
        <v/>
      </c>
      <c r="U21">
        <f>IF(OR($X21="",N($K21)=0),"",UPPER(TRIM($G21&amp;"|"&amp;$H21&amp;"|"&amp;$I21&amp;"|"&amp;$J21&amp;"|"&amp;$F21)))</f>
        <v/>
      </c>
      <c r="V21">
        <f>IF($U21="","",IF(COUNTIF($U$7:$U21,$U21)=1,MAX($V$6:$V20)+1,""))</f>
        <v/>
      </c>
      <c r="W21">
        <f>IFERROR(MATCH(15,$V$7:$V$306,0),"")</f>
        <v/>
      </c>
      <c r="X21">
        <f>IFERROR(MATCH(15,'HW Sets'!$S$7:$S$306,0),"")</f>
        <v/>
      </c>
      <c r="Y21">
        <f>IF($X21="","",INDEX('HW Sets'!$J$7:$J$306,$X21)&amp;"")</f>
        <v/>
      </c>
      <c r="Z21">
        <f>IF($Y21="","",IF(COUNTIF($Y$7:$Y21,$Y21)=1,1,""))</f>
        <v/>
      </c>
    </row>
    <row r="22">
      <c r="A22" s="175">
        <f>IF($Z22="","",$Y22)</f>
        <v/>
      </c>
      <c r="B22" s="176">
        <f>IF($Z22="","",IFERROR(INDEX('HW Sets'!$N$7:$N$306,MATCH($Y22,'HW Sets'!$M$7:$M$306,0)),""))</f>
        <v/>
      </c>
      <c r="C22" s="177">
        <f t="array" ref="C22">IF($Z22="","",_xlfn.TEXTJOIN(", ",TRUE,IF(tk_HWSET&amp;""=$Y22,tk_MARK,"")))</f>
        <v/>
      </c>
      <c r="D22" s="176">
        <f t="array" ref="D22">IF($Z22="","",SUM(IF(tk_HWSET&amp;""=$Y22,IFERROR(--tk_QTY,0),0)))</f>
        <v/>
      </c>
      <c r="E22" s="176">
        <f>IF($X22="","",IF(INDEX('HW Sets'!$C$7:$C$306,$X22)="","",INDEX('HW Sets'!$C$7:$C$306,$X22)))</f>
        <v/>
      </c>
      <c r="F22" s="176">
        <f>IF($X22="","",IF(INDEX('HW Sets'!$D$7:$D$306,$X22)="","",INDEX('HW Sets'!$D$7:$D$306,$X22)))</f>
        <v/>
      </c>
      <c r="G22" s="176">
        <f>IF($X22="","",IF(INDEX('HW Sets'!$E$7:$E$306,$X22)="","",INDEX('HW Sets'!$E$7:$E$306,$X22)))</f>
        <v/>
      </c>
      <c r="H22" s="176">
        <f>IF($X22="","",IF(INDEX('HW Sets'!$F$7:$F$306,$X22)="","",INDEX('HW Sets'!$F$7:$F$306,$X22)))</f>
        <v/>
      </c>
      <c r="I22" s="176">
        <f>IF($X22="","",IF(INDEX('HW Sets'!$G$7:$G$306,$X22)="","",INDEX('HW Sets'!$G$7:$G$306,$X22)))</f>
        <v/>
      </c>
      <c r="J22" s="176">
        <f>IF($X22="","",IF(INDEX('HW Sets'!$H$7:$H$306,$X22)="","",INDEX('HW Sets'!$H$7:$H$306,$X22)))</f>
        <v/>
      </c>
      <c r="K22" s="175">
        <f t="array" ref="K22">IF($X22="","",N($E22)*SUM(IF(tk_HWSET&amp;""=$Y22,IFERROR(--tk_QTY,0),0)))</f>
        <v/>
      </c>
      <c r="L22" s="176">
        <f>IF($X22="","",IF(INDEX('HW Sets'!$I$7:$I$306,$X22)="","",INDEX('HW Sets'!$I$7:$I$306,$X22)))</f>
        <v/>
      </c>
      <c r="N22" s="176">
        <f>IF($W22="","",INDEX($G$7:$G$306,$W22)&amp;"")</f>
        <v/>
      </c>
      <c r="O22" s="176">
        <f>IF($W22="","",INDEX($H$7:$H$306,$W22)&amp;"")</f>
        <v/>
      </c>
      <c r="P22" s="176">
        <f>IF($W22="","",INDEX($I$7:$I$306,$W22)&amp;"")</f>
        <v/>
      </c>
      <c r="Q22" s="176">
        <f>IF($W22="","",INDEX($J$7:$J$306,$W22)&amp;"")</f>
        <v/>
      </c>
      <c r="R22" s="176">
        <f>IF($W22="","",INDEX($F$7:$F$306,$W22)&amp;"")</f>
        <v/>
      </c>
      <c r="S22" s="175">
        <f>IF($W22="","",SUMIF($U$7:$U$306,INDEX($U$7:$U$306,$W22),$K$7:$K$306))</f>
        <v/>
      </c>
      <c r="U22">
        <f>IF(OR($X22="",N($K22)=0),"",UPPER(TRIM($G22&amp;"|"&amp;$H22&amp;"|"&amp;$I22&amp;"|"&amp;$J22&amp;"|"&amp;$F22)))</f>
        <v/>
      </c>
      <c r="V22">
        <f>IF($U22="","",IF(COUNTIF($U$7:$U22,$U22)=1,MAX($V$6:$V21)+1,""))</f>
        <v/>
      </c>
      <c r="W22">
        <f>IFERROR(MATCH(16,$V$7:$V$306,0),"")</f>
        <v/>
      </c>
      <c r="X22">
        <f>IFERROR(MATCH(16,'HW Sets'!$S$7:$S$306,0),"")</f>
        <v/>
      </c>
      <c r="Y22">
        <f>IF($X22="","",INDEX('HW Sets'!$J$7:$J$306,$X22)&amp;"")</f>
        <v/>
      </c>
      <c r="Z22">
        <f>IF($Y22="","",IF(COUNTIF($Y$7:$Y22,$Y22)=1,1,""))</f>
        <v/>
      </c>
    </row>
    <row r="23">
      <c r="A23" s="175">
        <f>IF($Z23="","",$Y23)</f>
        <v/>
      </c>
      <c r="B23" s="176">
        <f>IF($Z23="","",IFERROR(INDEX('HW Sets'!$N$7:$N$306,MATCH($Y23,'HW Sets'!$M$7:$M$306,0)),""))</f>
        <v/>
      </c>
      <c r="C23" s="177">
        <f t="array" ref="C23">IF($Z23="","",_xlfn.TEXTJOIN(", ",TRUE,IF(tk_HWSET&amp;""=$Y23,tk_MARK,"")))</f>
        <v/>
      </c>
      <c r="D23" s="176">
        <f t="array" ref="D23">IF($Z23="","",SUM(IF(tk_HWSET&amp;""=$Y23,IFERROR(--tk_QTY,0),0)))</f>
        <v/>
      </c>
      <c r="E23" s="176">
        <f>IF($X23="","",IF(INDEX('HW Sets'!$C$7:$C$306,$X23)="","",INDEX('HW Sets'!$C$7:$C$306,$X23)))</f>
        <v/>
      </c>
      <c r="F23" s="176">
        <f>IF($X23="","",IF(INDEX('HW Sets'!$D$7:$D$306,$X23)="","",INDEX('HW Sets'!$D$7:$D$306,$X23)))</f>
        <v/>
      </c>
      <c r="G23" s="176">
        <f>IF($X23="","",IF(INDEX('HW Sets'!$E$7:$E$306,$X23)="","",INDEX('HW Sets'!$E$7:$E$306,$X23)))</f>
        <v/>
      </c>
      <c r="H23" s="176">
        <f>IF($X23="","",IF(INDEX('HW Sets'!$F$7:$F$306,$X23)="","",INDEX('HW Sets'!$F$7:$F$306,$X23)))</f>
        <v/>
      </c>
      <c r="I23" s="176">
        <f>IF($X23="","",IF(INDEX('HW Sets'!$G$7:$G$306,$X23)="","",INDEX('HW Sets'!$G$7:$G$306,$X23)))</f>
        <v/>
      </c>
      <c r="J23" s="176">
        <f>IF($X23="","",IF(INDEX('HW Sets'!$H$7:$H$306,$X23)="","",INDEX('HW Sets'!$H$7:$H$306,$X23)))</f>
        <v/>
      </c>
      <c r="K23" s="175">
        <f t="array" ref="K23">IF($X23="","",N($E23)*SUM(IF(tk_HWSET&amp;""=$Y23,IFERROR(--tk_QTY,0),0)))</f>
        <v/>
      </c>
      <c r="L23" s="176">
        <f>IF($X23="","",IF(INDEX('HW Sets'!$I$7:$I$306,$X23)="","",INDEX('HW Sets'!$I$7:$I$306,$X23)))</f>
        <v/>
      </c>
      <c r="N23" s="176">
        <f>IF($W23="","",INDEX($G$7:$G$306,$W23)&amp;"")</f>
        <v/>
      </c>
      <c r="O23" s="176">
        <f>IF($W23="","",INDEX($H$7:$H$306,$W23)&amp;"")</f>
        <v/>
      </c>
      <c r="P23" s="176">
        <f>IF($W23="","",INDEX($I$7:$I$306,$W23)&amp;"")</f>
        <v/>
      </c>
      <c r="Q23" s="176">
        <f>IF($W23="","",INDEX($J$7:$J$306,$W23)&amp;"")</f>
        <v/>
      </c>
      <c r="R23" s="176">
        <f>IF($W23="","",INDEX($F$7:$F$306,$W23)&amp;"")</f>
        <v/>
      </c>
      <c r="S23" s="175">
        <f>IF($W23="","",SUMIF($U$7:$U$306,INDEX($U$7:$U$306,$W23),$K$7:$K$306))</f>
        <v/>
      </c>
      <c r="U23">
        <f>IF(OR($X23="",N($K23)=0),"",UPPER(TRIM($G23&amp;"|"&amp;$H23&amp;"|"&amp;$I23&amp;"|"&amp;$J23&amp;"|"&amp;$F23)))</f>
        <v/>
      </c>
      <c r="V23">
        <f>IF($U23="","",IF(COUNTIF($U$7:$U23,$U23)=1,MAX($V$6:$V22)+1,""))</f>
        <v/>
      </c>
      <c r="W23">
        <f>IFERROR(MATCH(17,$V$7:$V$306,0),"")</f>
        <v/>
      </c>
      <c r="X23">
        <f>IFERROR(MATCH(17,'HW Sets'!$S$7:$S$306,0),"")</f>
        <v/>
      </c>
      <c r="Y23">
        <f>IF($X23="","",INDEX('HW Sets'!$J$7:$J$306,$X23)&amp;"")</f>
        <v/>
      </c>
      <c r="Z23">
        <f>IF($Y23="","",IF(COUNTIF($Y$7:$Y23,$Y23)=1,1,""))</f>
        <v/>
      </c>
    </row>
    <row r="24">
      <c r="A24" s="175">
        <f>IF($Z24="","",$Y24)</f>
        <v/>
      </c>
      <c r="B24" s="176">
        <f>IF($Z24="","",IFERROR(INDEX('HW Sets'!$N$7:$N$306,MATCH($Y24,'HW Sets'!$M$7:$M$306,0)),""))</f>
        <v/>
      </c>
      <c r="C24" s="177">
        <f t="array" ref="C24">IF($Z24="","",_xlfn.TEXTJOIN(", ",TRUE,IF(tk_HWSET&amp;""=$Y24,tk_MARK,"")))</f>
        <v/>
      </c>
      <c r="D24" s="176">
        <f t="array" ref="D24">IF($Z24="","",SUM(IF(tk_HWSET&amp;""=$Y24,IFERROR(--tk_QTY,0),0)))</f>
        <v/>
      </c>
      <c r="E24" s="176">
        <f>IF($X24="","",IF(INDEX('HW Sets'!$C$7:$C$306,$X24)="","",INDEX('HW Sets'!$C$7:$C$306,$X24)))</f>
        <v/>
      </c>
      <c r="F24" s="176">
        <f>IF($X24="","",IF(INDEX('HW Sets'!$D$7:$D$306,$X24)="","",INDEX('HW Sets'!$D$7:$D$306,$X24)))</f>
        <v/>
      </c>
      <c r="G24" s="176">
        <f>IF($X24="","",IF(INDEX('HW Sets'!$E$7:$E$306,$X24)="","",INDEX('HW Sets'!$E$7:$E$306,$X24)))</f>
        <v/>
      </c>
      <c r="H24" s="176">
        <f>IF($X24="","",IF(INDEX('HW Sets'!$F$7:$F$306,$X24)="","",INDEX('HW Sets'!$F$7:$F$306,$X24)))</f>
        <v/>
      </c>
      <c r="I24" s="176">
        <f>IF($X24="","",IF(INDEX('HW Sets'!$G$7:$G$306,$X24)="","",INDEX('HW Sets'!$G$7:$G$306,$X24)))</f>
        <v/>
      </c>
      <c r="J24" s="176">
        <f>IF($X24="","",IF(INDEX('HW Sets'!$H$7:$H$306,$X24)="","",INDEX('HW Sets'!$H$7:$H$306,$X24)))</f>
        <v/>
      </c>
      <c r="K24" s="175">
        <f t="array" ref="K24">IF($X24="","",N($E24)*SUM(IF(tk_HWSET&amp;""=$Y24,IFERROR(--tk_QTY,0),0)))</f>
        <v/>
      </c>
      <c r="L24" s="176">
        <f>IF($X24="","",IF(INDEX('HW Sets'!$I$7:$I$306,$X24)="","",INDEX('HW Sets'!$I$7:$I$306,$X24)))</f>
        <v/>
      </c>
      <c r="N24" s="176">
        <f>IF($W24="","",INDEX($G$7:$G$306,$W24)&amp;"")</f>
        <v/>
      </c>
      <c r="O24" s="176">
        <f>IF($W24="","",INDEX($H$7:$H$306,$W24)&amp;"")</f>
        <v/>
      </c>
      <c r="P24" s="176">
        <f>IF($W24="","",INDEX($I$7:$I$306,$W24)&amp;"")</f>
        <v/>
      </c>
      <c r="Q24" s="176">
        <f>IF($W24="","",INDEX($J$7:$J$306,$W24)&amp;"")</f>
        <v/>
      </c>
      <c r="R24" s="176">
        <f>IF($W24="","",INDEX($F$7:$F$306,$W24)&amp;"")</f>
        <v/>
      </c>
      <c r="S24" s="175">
        <f>IF($W24="","",SUMIF($U$7:$U$306,INDEX($U$7:$U$306,$W24),$K$7:$K$306))</f>
        <v/>
      </c>
      <c r="U24">
        <f>IF(OR($X24="",N($K24)=0),"",UPPER(TRIM($G24&amp;"|"&amp;$H24&amp;"|"&amp;$I24&amp;"|"&amp;$J24&amp;"|"&amp;$F24)))</f>
        <v/>
      </c>
      <c r="V24">
        <f>IF($U24="","",IF(COUNTIF($U$7:$U24,$U24)=1,MAX($V$6:$V23)+1,""))</f>
        <v/>
      </c>
      <c r="W24">
        <f>IFERROR(MATCH(18,$V$7:$V$306,0),"")</f>
        <v/>
      </c>
      <c r="X24">
        <f>IFERROR(MATCH(18,'HW Sets'!$S$7:$S$306,0),"")</f>
        <v/>
      </c>
      <c r="Y24">
        <f>IF($X24="","",INDEX('HW Sets'!$J$7:$J$306,$X24)&amp;"")</f>
        <v/>
      </c>
      <c r="Z24">
        <f>IF($Y24="","",IF(COUNTIF($Y$7:$Y24,$Y24)=1,1,""))</f>
        <v/>
      </c>
    </row>
    <row r="25">
      <c r="A25" s="175">
        <f>IF($Z25="","",$Y25)</f>
        <v/>
      </c>
      <c r="B25" s="176">
        <f>IF($Z25="","",IFERROR(INDEX('HW Sets'!$N$7:$N$306,MATCH($Y25,'HW Sets'!$M$7:$M$306,0)),""))</f>
        <v/>
      </c>
      <c r="C25" s="177">
        <f t="array" ref="C25">IF($Z25="","",_xlfn.TEXTJOIN(", ",TRUE,IF(tk_HWSET&amp;""=$Y25,tk_MARK,"")))</f>
        <v/>
      </c>
      <c r="D25" s="176">
        <f t="array" ref="D25">IF($Z25="","",SUM(IF(tk_HWSET&amp;""=$Y25,IFERROR(--tk_QTY,0),0)))</f>
        <v/>
      </c>
      <c r="E25" s="176">
        <f>IF($X25="","",IF(INDEX('HW Sets'!$C$7:$C$306,$X25)="","",INDEX('HW Sets'!$C$7:$C$306,$X25)))</f>
        <v/>
      </c>
      <c r="F25" s="176">
        <f>IF($X25="","",IF(INDEX('HW Sets'!$D$7:$D$306,$X25)="","",INDEX('HW Sets'!$D$7:$D$306,$X25)))</f>
        <v/>
      </c>
      <c r="G25" s="176">
        <f>IF($X25="","",IF(INDEX('HW Sets'!$E$7:$E$306,$X25)="","",INDEX('HW Sets'!$E$7:$E$306,$X25)))</f>
        <v/>
      </c>
      <c r="H25" s="176">
        <f>IF($X25="","",IF(INDEX('HW Sets'!$F$7:$F$306,$X25)="","",INDEX('HW Sets'!$F$7:$F$306,$X25)))</f>
        <v/>
      </c>
      <c r="I25" s="176">
        <f>IF($X25="","",IF(INDEX('HW Sets'!$G$7:$G$306,$X25)="","",INDEX('HW Sets'!$G$7:$G$306,$X25)))</f>
        <v/>
      </c>
      <c r="J25" s="176">
        <f>IF($X25="","",IF(INDEX('HW Sets'!$H$7:$H$306,$X25)="","",INDEX('HW Sets'!$H$7:$H$306,$X25)))</f>
        <v/>
      </c>
      <c r="K25" s="175">
        <f t="array" ref="K25">IF($X25="","",N($E25)*SUM(IF(tk_HWSET&amp;""=$Y25,IFERROR(--tk_QTY,0),0)))</f>
        <v/>
      </c>
      <c r="L25" s="176">
        <f>IF($X25="","",IF(INDEX('HW Sets'!$I$7:$I$306,$X25)="","",INDEX('HW Sets'!$I$7:$I$306,$X25)))</f>
        <v/>
      </c>
      <c r="N25" s="176">
        <f>IF($W25="","",INDEX($G$7:$G$306,$W25)&amp;"")</f>
        <v/>
      </c>
      <c r="O25" s="176">
        <f>IF($W25="","",INDEX($H$7:$H$306,$W25)&amp;"")</f>
        <v/>
      </c>
      <c r="P25" s="176">
        <f>IF($W25="","",INDEX($I$7:$I$306,$W25)&amp;"")</f>
        <v/>
      </c>
      <c r="Q25" s="176">
        <f>IF($W25="","",INDEX($J$7:$J$306,$W25)&amp;"")</f>
        <v/>
      </c>
      <c r="R25" s="176">
        <f>IF($W25="","",INDEX($F$7:$F$306,$W25)&amp;"")</f>
        <v/>
      </c>
      <c r="S25" s="175">
        <f>IF($W25="","",SUMIF($U$7:$U$306,INDEX($U$7:$U$306,$W25),$K$7:$K$306))</f>
        <v/>
      </c>
      <c r="U25">
        <f>IF(OR($X25="",N($K25)=0),"",UPPER(TRIM($G25&amp;"|"&amp;$H25&amp;"|"&amp;$I25&amp;"|"&amp;$J25&amp;"|"&amp;$F25)))</f>
        <v/>
      </c>
      <c r="V25">
        <f>IF($U25="","",IF(COUNTIF($U$7:$U25,$U25)=1,MAX($V$6:$V24)+1,""))</f>
        <v/>
      </c>
      <c r="W25">
        <f>IFERROR(MATCH(19,$V$7:$V$306,0),"")</f>
        <v/>
      </c>
      <c r="X25">
        <f>IFERROR(MATCH(19,'HW Sets'!$S$7:$S$306,0),"")</f>
        <v/>
      </c>
      <c r="Y25">
        <f>IF($X25="","",INDEX('HW Sets'!$J$7:$J$306,$X25)&amp;"")</f>
        <v/>
      </c>
      <c r="Z25">
        <f>IF($Y25="","",IF(COUNTIF($Y$7:$Y25,$Y25)=1,1,""))</f>
        <v/>
      </c>
    </row>
    <row r="26">
      <c r="A26" s="175">
        <f>IF($Z26="","",$Y26)</f>
        <v/>
      </c>
      <c r="B26" s="176">
        <f>IF($Z26="","",IFERROR(INDEX('HW Sets'!$N$7:$N$306,MATCH($Y26,'HW Sets'!$M$7:$M$306,0)),""))</f>
        <v/>
      </c>
      <c r="C26" s="177">
        <f t="array" ref="C26">IF($Z26="","",_xlfn.TEXTJOIN(", ",TRUE,IF(tk_HWSET&amp;""=$Y26,tk_MARK,"")))</f>
        <v/>
      </c>
      <c r="D26" s="176">
        <f t="array" ref="D26">IF($Z26="","",SUM(IF(tk_HWSET&amp;""=$Y26,IFERROR(--tk_QTY,0),0)))</f>
        <v/>
      </c>
      <c r="E26" s="176">
        <f>IF($X26="","",IF(INDEX('HW Sets'!$C$7:$C$306,$X26)="","",INDEX('HW Sets'!$C$7:$C$306,$X26)))</f>
        <v/>
      </c>
      <c r="F26" s="176">
        <f>IF($X26="","",IF(INDEX('HW Sets'!$D$7:$D$306,$X26)="","",INDEX('HW Sets'!$D$7:$D$306,$X26)))</f>
        <v/>
      </c>
      <c r="G26" s="176">
        <f>IF($X26="","",IF(INDEX('HW Sets'!$E$7:$E$306,$X26)="","",INDEX('HW Sets'!$E$7:$E$306,$X26)))</f>
        <v/>
      </c>
      <c r="H26" s="176">
        <f>IF($X26="","",IF(INDEX('HW Sets'!$F$7:$F$306,$X26)="","",INDEX('HW Sets'!$F$7:$F$306,$X26)))</f>
        <v/>
      </c>
      <c r="I26" s="176">
        <f>IF($X26="","",IF(INDEX('HW Sets'!$G$7:$G$306,$X26)="","",INDEX('HW Sets'!$G$7:$G$306,$X26)))</f>
        <v/>
      </c>
      <c r="J26" s="176">
        <f>IF($X26="","",IF(INDEX('HW Sets'!$H$7:$H$306,$X26)="","",INDEX('HW Sets'!$H$7:$H$306,$X26)))</f>
        <v/>
      </c>
      <c r="K26" s="175">
        <f t="array" ref="K26">IF($X26="","",N($E26)*SUM(IF(tk_HWSET&amp;""=$Y26,IFERROR(--tk_QTY,0),0)))</f>
        <v/>
      </c>
      <c r="L26" s="176">
        <f>IF($X26="","",IF(INDEX('HW Sets'!$I$7:$I$306,$X26)="","",INDEX('HW Sets'!$I$7:$I$306,$X26)))</f>
        <v/>
      </c>
      <c r="N26" s="176">
        <f>IF($W26="","",INDEX($G$7:$G$306,$W26)&amp;"")</f>
        <v/>
      </c>
      <c r="O26" s="176">
        <f>IF($W26="","",INDEX($H$7:$H$306,$W26)&amp;"")</f>
        <v/>
      </c>
      <c r="P26" s="176">
        <f>IF($W26="","",INDEX($I$7:$I$306,$W26)&amp;"")</f>
        <v/>
      </c>
      <c r="Q26" s="176">
        <f>IF($W26="","",INDEX($J$7:$J$306,$W26)&amp;"")</f>
        <v/>
      </c>
      <c r="R26" s="176">
        <f>IF($W26="","",INDEX($F$7:$F$306,$W26)&amp;"")</f>
        <v/>
      </c>
      <c r="S26" s="175">
        <f>IF($W26="","",SUMIF($U$7:$U$306,INDEX($U$7:$U$306,$W26),$K$7:$K$306))</f>
        <v/>
      </c>
      <c r="U26">
        <f>IF(OR($X26="",N($K26)=0),"",UPPER(TRIM($G26&amp;"|"&amp;$H26&amp;"|"&amp;$I26&amp;"|"&amp;$J26&amp;"|"&amp;$F26)))</f>
        <v/>
      </c>
      <c r="V26">
        <f>IF($U26="","",IF(COUNTIF($U$7:$U26,$U26)=1,MAX($V$6:$V25)+1,""))</f>
        <v/>
      </c>
      <c r="W26">
        <f>IFERROR(MATCH(20,$V$7:$V$306,0),"")</f>
        <v/>
      </c>
      <c r="X26">
        <f>IFERROR(MATCH(20,'HW Sets'!$S$7:$S$306,0),"")</f>
        <v/>
      </c>
      <c r="Y26">
        <f>IF($X26="","",INDEX('HW Sets'!$J$7:$J$306,$X26)&amp;"")</f>
        <v/>
      </c>
      <c r="Z26">
        <f>IF($Y26="","",IF(COUNTIF($Y$7:$Y26,$Y26)=1,1,""))</f>
        <v/>
      </c>
    </row>
    <row r="27">
      <c r="A27" s="175">
        <f>IF($Z27="","",$Y27)</f>
        <v/>
      </c>
      <c r="B27" s="176">
        <f>IF($Z27="","",IFERROR(INDEX('HW Sets'!$N$7:$N$306,MATCH($Y27,'HW Sets'!$M$7:$M$306,0)),""))</f>
        <v/>
      </c>
      <c r="C27" s="177">
        <f t="array" ref="C27">IF($Z27="","",_xlfn.TEXTJOIN(", ",TRUE,IF(tk_HWSET&amp;""=$Y27,tk_MARK,"")))</f>
        <v/>
      </c>
      <c r="D27" s="176">
        <f t="array" ref="D27">IF($Z27="","",SUM(IF(tk_HWSET&amp;""=$Y27,IFERROR(--tk_QTY,0),0)))</f>
        <v/>
      </c>
      <c r="E27" s="176">
        <f>IF($X27="","",IF(INDEX('HW Sets'!$C$7:$C$306,$X27)="","",INDEX('HW Sets'!$C$7:$C$306,$X27)))</f>
        <v/>
      </c>
      <c r="F27" s="176">
        <f>IF($X27="","",IF(INDEX('HW Sets'!$D$7:$D$306,$X27)="","",INDEX('HW Sets'!$D$7:$D$306,$X27)))</f>
        <v/>
      </c>
      <c r="G27" s="176">
        <f>IF($X27="","",IF(INDEX('HW Sets'!$E$7:$E$306,$X27)="","",INDEX('HW Sets'!$E$7:$E$306,$X27)))</f>
        <v/>
      </c>
      <c r="H27" s="176">
        <f>IF($X27="","",IF(INDEX('HW Sets'!$F$7:$F$306,$X27)="","",INDEX('HW Sets'!$F$7:$F$306,$X27)))</f>
        <v/>
      </c>
      <c r="I27" s="176">
        <f>IF($X27="","",IF(INDEX('HW Sets'!$G$7:$G$306,$X27)="","",INDEX('HW Sets'!$G$7:$G$306,$X27)))</f>
        <v/>
      </c>
      <c r="J27" s="176">
        <f>IF($X27="","",IF(INDEX('HW Sets'!$H$7:$H$306,$X27)="","",INDEX('HW Sets'!$H$7:$H$306,$X27)))</f>
        <v/>
      </c>
      <c r="K27" s="175">
        <f t="array" ref="K27">IF($X27="","",N($E27)*SUM(IF(tk_HWSET&amp;""=$Y27,IFERROR(--tk_QTY,0),0)))</f>
        <v/>
      </c>
      <c r="L27" s="176">
        <f>IF($X27="","",IF(INDEX('HW Sets'!$I$7:$I$306,$X27)="","",INDEX('HW Sets'!$I$7:$I$306,$X27)))</f>
        <v/>
      </c>
      <c r="N27" s="176">
        <f>IF($W27="","",INDEX($G$7:$G$306,$W27)&amp;"")</f>
        <v/>
      </c>
      <c r="O27" s="176">
        <f>IF($W27="","",INDEX($H$7:$H$306,$W27)&amp;"")</f>
        <v/>
      </c>
      <c r="P27" s="176">
        <f>IF($W27="","",INDEX($I$7:$I$306,$W27)&amp;"")</f>
        <v/>
      </c>
      <c r="Q27" s="176">
        <f>IF($W27="","",INDEX($J$7:$J$306,$W27)&amp;"")</f>
        <v/>
      </c>
      <c r="R27" s="176">
        <f>IF($W27="","",INDEX($F$7:$F$306,$W27)&amp;"")</f>
        <v/>
      </c>
      <c r="S27" s="175">
        <f>IF($W27="","",SUMIF($U$7:$U$306,INDEX($U$7:$U$306,$W27),$K$7:$K$306))</f>
        <v/>
      </c>
      <c r="U27">
        <f>IF(OR($X27="",N($K27)=0),"",UPPER(TRIM($G27&amp;"|"&amp;$H27&amp;"|"&amp;$I27&amp;"|"&amp;$J27&amp;"|"&amp;$F27)))</f>
        <v/>
      </c>
      <c r="V27">
        <f>IF($U27="","",IF(COUNTIF($U$7:$U27,$U27)=1,MAX($V$6:$V26)+1,""))</f>
        <v/>
      </c>
      <c r="W27">
        <f>IFERROR(MATCH(21,$V$7:$V$306,0),"")</f>
        <v/>
      </c>
      <c r="X27">
        <f>IFERROR(MATCH(21,'HW Sets'!$S$7:$S$306,0),"")</f>
        <v/>
      </c>
      <c r="Y27">
        <f>IF($X27="","",INDEX('HW Sets'!$J$7:$J$306,$X27)&amp;"")</f>
        <v/>
      </c>
      <c r="Z27">
        <f>IF($Y27="","",IF(COUNTIF($Y$7:$Y27,$Y27)=1,1,""))</f>
        <v/>
      </c>
    </row>
    <row r="28">
      <c r="A28" s="175">
        <f>IF($Z28="","",$Y28)</f>
        <v/>
      </c>
      <c r="B28" s="176">
        <f>IF($Z28="","",IFERROR(INDEX('HW Sets'!$N$7:$N$306,MATCH($Y28,'HW Sets'!$M$7:$M$306,0)),""))</f>
        <v/>
      </c>
      <c r="C28" s="177">
        <f t="array" ref="C28">IF($Z28="","",_xlfn.TEXTJOIN(", ",TRUE,IF(tk_HWSET&amp;""=$Y28,tk_MARK,"")))</f>
        <v/>
      </c>
      <c r="D28" s="176">
        <f t="array" ref="D28">IF($Z28="","",SUM(IF(tk_HWSET&amp;""=$Y28,IFERROR(--tk_QTY,0),0)))</f>
        <v/>
      </c>
      <c r="E28" s="176">
        <f>IF($X28="","",IF(INDEX('HW Sets'!$C$7:$C$306,$X28)="","",INDEX('HW Sets'!$C$7:$C$306,$X28)))</f>
        <v/>
      </c>
      <c r="F28" s="176">
        <f>IF($X28="","",IF(INDEX('HW Sets'!$D$7:$D$306,$X28)="","",INDEX('HW Sets'!$D$7:$D$306,$X28)))</f>
        <v/>
      </c>
      <c r="G28" s="176">
        <f>IF($X28="","",IF(INDEX('HW Sets'!$E$7:$E$306,$X28)="","",INDEX('HW Sets'!$E$7:$E$306,$X28)))</f>
        <v/>
      </c>
      <c r="H28" s="176">
        <f>IF($X28="","",IF(INDEX('HW Sets'!$F$7:$F$306,$X28)="","",INDEX('HW Sets'!$F$7:$F$306,$X28)))</f>
        <v/>
      </c>
      <c r="I28" s="176">
        <f>IF($X28="","",IF(INDEX('HW Sets'!$G$7:$G$306,$X28)="","",INDEX('HW Sets'!$G$7:$G$306,$X28)))</f>
        <v/>
      </c>
      <c r="J28" s="176">
        <f>IF($X28="","",IF(INDEX('HW Sets'!$H$7:$H$306,$X28)="","",INDEX('HW Sets'!$H$7:$H$306,$X28)))</f>
        <v/>
      </c>
      <c r="K28" s="175">
        <f t="array" ref="K28">IF($X28="","",N($E28)*SUM(IF(tk_HWSET&amp;""=$Y28,IFERROR(--tk_QTY,0),0)))</f>
        <v/>
      </c>
      <c r="L28" s="176">
        <f>IF($X28="","",IF(INDEX('HW Sets'!$I$7:$I$306,$X28)="","",INDEX('HW Sets'!$I$7:$I$306,$X28)))</f>
        <v/>
      </c>
      <c r="N28" s="176">
        <f>IF($W28="","",INDEX($G$7:$G$306,$W28)&amp;"")</f>
        <v/>
      </c>
      <c r="O28" s="176">
        <f>IF($W28="","",INDEX($H$7:$H$306,$W28)&amp;"")</f>
        <v/>
      </c>
      <c r="P28" s="176">
        <f>IF($W28="","",INDEX($I$7:$I$306,$W28)&amp;"")</f>
        <v/>
      </c>
      <c r="Q28" s="176">
        <f>IF($W28="","",INDEX($J$7:$J$306,$W28)&amp;"")</f>
        <v/>
      </c>
      <c r="R28" s="176">
        <f>IF($W28="","",INDEX($F$7:$F$306,$W28)&amp;"")</f>
        <v/>
      </c>
      <c r="S28" s="175">
        <f>IF($W28="","",SUMIF($U$7:$U$306,INDEX($U$7:$U$306,$W28),$K$7:$K$306))</f>
        <v/>
      </c>
      <c r="U28">
        <f>IF(OR($X28="",N($K28)=0),"",UPPER(TRIM($G28&amp;"|"&amp;$H28&amp;"|"&amp;$I28&amp;"|"&amp;$J28&amp;"|"&amp;$F28)))</f>
        <v/>
      </c>
      <c r="V28">
        <f>IF($U28="","",IF(COUNTIF($U$7:$U28,$U28)=1,MAX($V$6:$V27)+1,""))</f>
        <v/>
      </c>
      <c r="W28">
        <f>IFERROR(MATCH(22,$V$7:$V$306,0),"")</f>
        <v/>
      </c>
      <c r="X28">
        <f>IFERROR(MATCH(22,'HW Sets'!$S$7:$S$306,0),"")</f>
        <v/>
      </c>
      <c r="Y28">
        <f>IF($X28="","",INDEX('HW Sets'!$J$7:$J$306,$X28)&amp;"")</f>
        <v/>
      </c>
      <c r="Z28">
        <f>IF($Y28="","",IF(COUNTIF($Y$7:$Y28,$Y28)=1,1,""))</f>
        <v/>
      </c>
    </row>
    <row r="29">
      <c r="A29" s="175">
        <f>IF($Z29="","",$Y29)</f>
        <v/>
      </c>
      <c r="B29" s="176">
        <f>IF($Z29="","",IFERROR(INDEX('HW Sets'!$N$7:$N$306,MATCH($Y29,'HW Sets'!$M$7:$M$306,0)),""))</f>
        <v/>
      </c>
      <c r="C29" s="177">
        <f t="array" ref="C29">IF($Z29="","",_xlfn.TEXTJOIN(", ",TRUE,IF(tk_HWSET&amp;""=$Y29,tk_MARK,"")))</f>
        <v/>
      </c>
      <c r="D29" s="176">
        <f t="array" ref="D29">IF($Z29="","",SUM(IF(tk_HWSET&amp;""=$Y29,IFERROR(--tk_QTY,0),0)))</f>
        <v/>
      </c>
      <c r="E29" s="176">
        <f>IF($X29="","",IF(INDEX('HW Sets'!$C$7:$C$306,$X29)="","",INDEX('HW Sets'!$C$7:$C$306,$X29)))</f>
        <v/>
      </c>
      <c r="F29" s="176">
        <f>IF($X29="","",IF(INDEX('HW Sets'!$D$7:$D$306,$X29)="","",INDEX('HW Sets'!$D$7:$D$306,$X29)))</f>
        <v/>
      </c>
      <c r="G29" s="176">
        <f>IF($X29="","",IF(INDEX('HW Sets'!$E$7:$E$306,$X29)="","",INDEX('HW Sets'!$E$7:$E$306,$X29)))</f>
        <v/>
      </c>
      <c r="H29" s="176">
        <f>IF($X29="","",IF(INDEX('HW Sets'!$F$7:$F$306,$X29)="","",INDEX('HW Sets'!$F$7:$F$306,$X29)))</f>
        <v/>
      </c>
      <c r="I29" s="176">
        <f>IF($X29="","",IF(INDEX('HW Sets'!$G$7:$G$306,$X29)="","",INDEX('HW Sets'!$G$7:$G$306,$X29)))</f>
        <v/>
      </c>
      <c r="J29" s="176">
        <f>IF($X29="","",IF(INDEX('HW Sets'!$H$7:$H$306,$X29)="","",INDEX('HW Sets'!$H$7:$H$306,$X29)))</f>
        <v/>
      </c>
      <c r="K29" s="175">
        <f t="array" ref="K29">IF($X29="","",N($E29)*SUM(IF(tk_HWSET&amp;""=$Y29,IFERROR(--tk_QTY,0),0)))</f>
        <v/>
      </c>
      <c r="L29" s="176">
        <f>IF($X29="","",IF(INDEX('HW Sets'!$I$7:$I$306,$X29)="","",INDEX('HW Sets'!$I$7:$I$306,$X29)))</f>
        <v/>
      </c>
      <c r="N29" s="176">
        <f>IF($W29="","",INDEX($G$7:$G$306,$W29)&amp;"")</f>
        <v/>
      </c>
      <c r="O29" s="176">
        <f>IF($W29="","",INDEX($H$7:$H$306,$W29)&amp;"")</f>
        <v/>
      </c>
      <c r="P29" s="176">
        <f>IF($W29="","",INDEX($I$7:$I$306,$W29)&amp;"")</f>
        <v/>
      </c>
      <c r="Q29" s="176">
        <f>IF($W29="","",INDEX($J$7:$J$306,$W29)&amp;"")</f>
        <v/>
      </c>
      <c r="R29" s="176">
        <f>IF($W29="","",INDEX($F$7:$F$306,$W29)&amp;"")</f>
        <v/>
      </c>
      <c r="S29" s="175">
        <f>IF($W29="","",SUMIF($U$7:$U$306,INDEX($U$7:$U$306,$W29),$K$7:$K$306))</f>
        <v/>
      </c>
      <c r="U29">
        <f>IF(OR($X29="",N($K29)=0),"",UPPER(TRIM($G29&amp;"|"&amp;$H29&amp;"|"&amp;$I29&amp;"|"&amp;$J29&amp;"|"&amp;$F29)))</f>
        <v/>
      </c>
      <c r="V29">
        <f>IF($U29="","",IF(COUNTIF($U$7:$U29,$U29)=1,MAX($V$6:$V28)+1,""))</f>
        <v/>
      </c>
      <c r="W29">
        <f>IFERROR(MATCH(23,$V$7:$V$306,0),"")</f>
        <v/>
      </c>
      <c r="X29">
        <f>IFERROR(MATCH(23,'HW Sets'!$S$7:$S$306,0),"")</f>
        <v/>
      </c>
      <c r="Y29">
        <f>IF($X29="","",INDEX('HW Sets'!$J$7:$J$306,$X29)&amp;"")</f>
        <v/>
      </c>
      <c r="Z29">
        <f>IF($Y29="","",IF(COUNTIF($Y$7:$Y29,$Y29)=1,1,""))</f>
        <v/>
      </c>
    </row>
    <row r="30">
      <c r="A30" s="175">
        <f>IF($Z30="","",$Y30)</f>
        <v/>
      </c>
      <c r="B30" s="176">
        <f>IF($Z30="","",IFERROR(INDEX('HW Sets'!$N$7:$N$306,MATCH($Y30,'HW Sets'!$M$7:$M$306,0)),""))</f>
        <v/>
      </c>
      <c r="C30" s="177">
        <f t="array" ref="C30">IF($Z30="","",_xlfn.TEXTJOIN(", ",TRUE,IF(tk_HWSET&amp;""=$Y30,tk_MARK,"")))</f>
        <v/>
      </c>
      <c r="D30" s="176">
        <f t="array" ref="D30">IF($Z30="","",SUM(IF(tk_HWSET&amp;""=$Y30,IFERROR(--tk_QTY,0),0)))</f>
        <v/>
      </c>
      <c r="E30" s="176">
        <f>IF($X30="","",IF(INDEX('HW Sets'!$C$7:$C$306,$X30)="","",INDEX('HW Sets'!$C$7:$C$306,$X30)))</f>
        <v/>
      </c>
      <c r="F30" s="176">
        <f>IF($X30="","",IF(INDEX('HW Sets'!$D$7:$D$306,$X30)="","",INDEX('HW Sets'!$D$7:$D$306,$X30)))</f>
        <v/>
      </c>
      <c r="G30" s="176">
        <f>IF($X30="","",IF(INDEX('HW Sets'!$E$7:$E$306,$X30)="","",INDEX('HW Sets'!$E$7:$E$306,$X30)))</f>
        <v/>
      </c>
      <c r="H30" s="176">
        <f>IF($X30="","",IF(INDEX('HW Sets'!$F$7:$F$306,$X30)="","",INDEX('HW Sets'!$F$7:$F$306,$X30)))</f>
        <v/>
      </c>
      <c r="I30" s="176">
        <f>IF($X30="","",IF(INDEX('HW Sets'!$G$7:$G$306,$X30)="","",INDEX('HW Sets'!$G$7:$G$306,$X30)))</f>
        <v/>
      </c>
      <c r="J30" s="176">
        <f>IF($X30="","",IF(INDEX('HW Sets'!$H$7:$H$306,$X30)="","",INDEX('HW Sets'!$H$7:$H$306,$X30)))</f>
        <v/>
      </c>
      <c r="K30" s="175">
        <f t="array" ref="K30">IF($X30="","",N($E30)*SUM(IF(tk_HWSET&amp;""=$Y30,IFERROR(--tk_QTY,0),0)))</f>
        <v/>
      </c>
      <c r="L30" s="176">
        <f>IF($X30="","",IF(INDEX('HW Sets'!$I$7:$I$306,$X30)="","",INDEX('HW Sets'!$I$7:$I$306,$X30)))</f>
        <v/>
      </c>
      <c r="N30" s="176">
        <f>IF($W30="","",INDEX($G$7:$G$306,$W30)&amp;"")</f>
        <v/>
      </c>
      <c r="O30" s="176">
        <f>IF($W30="","",INDEX($H$7:$H$306,$W30)&amp;"")</f>
        <v/>
      </c>
      <c r="P30" s="176">
        <f>IF($W30="","",INDEX($I$7:$I$306,$W30)&amp;"")</f>
        <v/>
      </c>
      <c r="Q30" s="176">
        <f>IF($W30="","",INDEX($J$7:$J$306,$W30)&amp;"")</f>
        <v/>
      </c>
      <c r="R30" s="176">
        <f>IF($W30="","",INDEX($F$7:$F$306,$W30)&amp;"")</f>
        <v/>
      </c>
      <c r="S30" s="175">
        <f>IF($W30="","",SUMIF($U$7:$U$306,INDEX($U$7:$U$306,$W30),$K$7:$K$306))</f>
        <v/>
      </c>
      <c r="U30">
        <f>IF(OR($X30="",N($K30)=0),"",UPPER(TRIM($G30&amp;"|"&amp;$H30&amp;"|"&amp;$I30&amp;"|"&amp;$J30&amp;"|"&amp;$F30)))</f>
        <v/>
      </c>
      <c r="V30">
        <f>IF($U30="","",IF(COUNTIF($U$7:$U30,$U30)=1,MAX($V$6:$V29)+1,""))</f>
        <v/>
      </c>
      <c r="W30">
        <f>IFERROR(MATCH(24,$V$7:$V$306,0),"")</f>
        <v/>
      </c>
      <c r="X30">
        <f>IFERROR(MATCH(24,'HW Sets'!$S$7:$S$306,0),"")</f>
        <v/>
      </c>
      <c r="Y30">
        <f>IF($X30="","",INDEX('HW Sets'!$J$7:$J$306,$X30)&amp;"")</f>
        <v/>
      </c>
      <c r="Z30">
        <f>IF($Y30="","",IF(COUNTIF($Y$7:$Y30,$Y30)=1,1,""))</f>
        <v/>
      </c>
    </row>
    <row r="31">
      <c r="A31" s="175">
        <f>IF($Z31="","",$Y31)</f>
        <v/>
      </c>
      <c r="B31" s="176">
        <f>IF($Z31="","",IFERROR(INDEX('HW Sets'!$N$7:$N$306,MATCH($Y31,'HW Sets'!$M$7:$M$306,0)),""))</f>
        <v/>
      </c>
      <c r="C31" s="177">
        <f t="array" ref="C31">IF($Z31="","",_xlfn.TEXTJOIN(", ",TRUE,IF(tk_HWSET&amp;""=$Y31,tk_MARK,"")))</f>
        <v/>
      </c>
      <c r="D31" s="176">
        <f t="array" ref="D31">IF($Z31="","",SUM(IF(tk_HWSET&amp;""=$Y31,IFERROR(--tk_QTY,0),0)))</f>
        <v/>
      </c>
      <c r="E31" s="176">
        <f>IF($X31="","",IF(INDEX('HW Sets'!$C$7:$C$306,$X31)="","",INDEX('HW Sets'!$C$7:$C$306,$X31)))</f>
        <v/>
      </c>
      <c r="F31" s="176">
        <f>IF($X31="","",IF(INDEX('HW Sets'!$D$7:$D$306,$X31)="","",INDEX('HW Sets'!$D$7:$D$306,$X31)))</f>
        <v/>
      </c>
      <c r="G31" s="176">
        <f>IF($X31="","",IF(INDEX('HW Sets'!$E$7:$E$306,$X31)="","",INDEX('HW Sets'!$E$7:$E$306,$X31)))</f>
        <v/>
      </c>
      <c r="H31" s="176">
        <f>IF($X31="","",IF(INDEX('HW Sets'!$F$7:$F$306,$X31)="","",INDEX('HW Sets'!$F$7:$F$306,$X31)))</f>
        <v/>
      </c>
      <c r="I31" s="176">
        <f>IF($X31="","",IF(INDEX('HW Sets'!$G$7:$G$306,$X31)="","",INDEX('HW Sets'!$G$7:$G$306,$X31)))</f>
        <v/>
      </c>
      <c r="J31" s="176">
        <f>IF($X31="","",IF(INDEX('HW Sets'!$H$7:$H$306,$X31)="","",INDEX('HW Sets'!$H$7:$H$306,$X31)))</f>
        <v/>
      </c>
      <c r="K31" s="175">
        <f t="array" ref="K31">IF($X31="","",N($E31)*SUM(IF(tk_HWSET&amp;""=$Y31,IFERROR(--tk_QTY,0),0)))</f>
        <v/>
      </c>
      <c r="L31" s="176">
        <f>IF($X31="","",IF(INDEX('HW Sets'!$I$7:$I$306,$X31)="","",INDEX('HW Sets'!$I$7:$I$306,$X31)))</f>
        <v/>
      </c>
      <c r="N31" s="176">
        <f>IF($W31="","",INDEX($G$7:$G$306,$W31)&amp;"")</f>
        <v/>
      </c>
      <c r="O31" s="176">
        <f>IF($W31="","",INDEX($H$7:$H$306,$W31)&amp;"")</f>
        <v/>
      </c>
      <c r="P31" s="176">
        <f>IF($W31="","",INDEX($I$7:$I$306,$W31)&amp;"")</f>
        <v/>
      </c>
      <c r="Q31" s="176">
        <f>IF($W31="","",INDEX($J$7:$J$306,$W31)&amp;"")</f>
        <v/>
      </c>
      <c r="R31" s="176">
        <f>IF($W31="","",INDEX($F$7:$F$306,$W31)&amp;"")</f>
        <v/>
      </c>
      <c r="S31" s="175">
        <f>IF($W31="","",SUMIF($U$7:$U$306,INDEX($U$7:$U$306,$W31),$K$7:$K$306))</f>
        <v/>
      </c>
      <c r="U31">
        <f>IF(OR($X31="",N($K31)=0),"",UPPER(TRIM($G31&amp;"|"&amp;$H31&amp;"|"&amp;$I31&amp;"|"&amp;$J31&amp;"|"&amp;$F31)))</f>
        <v/>
      </c>
      <c r="V31">
        <f>IF($U31="","",IF(COUNTIF($U$7:$U31,$U31)=1,MAX($V$6:$V30)+1,""))</f>
        <v/>
      </c>
      <c r="W31">
        <f>IFERROR(MATCH(25,$V$7:$V$306,0),"")</f>
        <v/>
      </c>
      <c r="X31">
        <f>IFERROR(MATCH(25,'HW Sets'!$S$7:$S$306,0),"")</f>
        <v/>
      </c>
      <c r="Y31">
        <f>IF($X31="","",INDEX('HW Sets'!$J$7:$J$306,$X31)&amp;"")</f>
        <v/>
      </c>
      <c r="Z31">
        <f>IF($Y31="","",IF(COUNTIF($Y$7:$Y31,$Y31)=1,1,""))</f>
        <v/>
      </c>
    </row>
    <row r="32">
      <c r="A32" s="175">
        <f>IF($Z32="","",$Y32)</f>
        <v/>
      </c>
      <c r="B32" s="176">
        <f>IF($Z32="","",IFERROR(INDEX('HW Sets'!$N$7:$N$306,MATCH($Y32,'HW Sets'!$M$7:$M$306,0)),""))</f>
        <v/>
      </c>
      <c r="C32" s="177">
        <f t="array" ref="C32">IF($Z32="","",_xlfn.TEXTJOIN(", ",TRUE,IF(tk_HWSET&amp;""=$Y32,tk_MARK,"")))</f>
        <v/>
      </c>
      <c r="D32" s="176">
        <f t="array" ref="D32">IF($Z32="","",SUM(IF(tk_HWSET&amp;""=$Y32,IFERROR(--tk_QTY,0),0)))</f>
        <v/>
      </c>
      <c r="E32" s="176">
        <f>IF($X32="","",IF(INDEX('HW Sets'!$C$7:$C$306,$X32)="","",INDEX('HW Sets'!$C$7:$C$306,$X32)))</f>
        <v/>
      </c>
      <c r="F32" s="176">
        <f>IF($X32="","",IF(INDEX('HW Sets'!$D$7:$D$306,$X32)="","",INDEX('HW Sets'!$D$7:$D$306,$X32)))</f>
        <v/>
      </c>
      <c r="G32" s="176">
        <f>IF($X32="","",IF(INDEX('HW Sets'!$E$7:$E$306,$X32)="","",INDEX('HW Sets'!$E$7:$E$306,$X32)))</f>
        <v/>
      </c>
      <c r="H32" s="176">
        <f>IF($X32="","",IF(INDEX('HW Sets'!$F$7:$F$306,$X32)="","",INDEX('HW Sets'!$F$7:$F$306,$X32)))</f>
        <v/>
      </c>
      <c r="I32" s="176">
        <f>IF($X32="","",IF(INDEX('HW Sets'!$G$7:$G$306,$X32)="","",INDEX('HW Sets'!$G$7:$G$306,$X32)))</f>
        <v/>
      </c>
      <c r="J32" s="176">
        <f>IF($X32="","",IF(INDEX('HW Sets'!$H$7:$H$306,$X32)="","",INDEX('HW Sets'!$H$7:$H$306,$X32)))</f>
        <v/>
      </c>
      <c r="K32" s="175">
        <f t="array" ref="K32">IF($X32="","",N($E32)*SUM(IF(tk_HWSET&amp;""=$Y32,IFERROR(--tk_QTY,0),0)))</f>
        <v/>
      </c>
      <c r="L32" s="176">
        <f>IF($X32="","",IF(INDEX('HW Sets'!$I$7:$I$306,$X32)="","",INDEX('HW Sets'!$I$7:$I$306,$X32)))</f>
        <v/>
      </c>
      <c r="N32" s="176">
        <f>IF($W32="","",INDEX($G$7:$G$306,$W32)&amp;"")</f>
        <v/>
      </c>
      <c r="O32" s="176">
        <f>IF($W32="","",INDEX($H$7:$H$306,$W32)&amp;"")</f>
        <v/>
      </c>
      <c r="P32" s="176">
        <f>IF($W32="","",INDEX($I$7:$I$306,$W32)&amp;"")</f>
        <v/>
      </c>
      <c r="Q32" s="176">
        <f>IF($W32="","",INDEX($J$7:$J$306,$W32)&amp;"")</f>
        <v/>
      </c>
      <c r="R32" s="176">
        <f>IF($W32="","",INDEX($F$7:$F$306,$W32)&amp;"")</f>
        <v/>
      </c>
      <c r="S32" s="175">
        <f>IF($W32="","",SUMIF($U$7:$U$306,INDEX($U$7:$U$306,$W32),$K$7:$K$306))</f>
        <v/>
      </c>
      <c r="U32">
        <f>IF(OR($X32="",N($K32)=0),"",UPPER(TRIM($G32&amp;"|"&amp;$H32&amp;"|"&amp;$I32&amp;"|"&amp;$J32&amp;"|"&amp;$F32)))</f>
        <v/>
      </c>
      <c r="V32">
        <f>IF($U32="","",IF(COUNTIF($U$7:$U32,$U32)=1,MAX($V$6:$V31)+1,""))</f>
        <v/>
      </c>
      <c r="W32">
        <f>IFERROR(MATCH(26,$V$7:$V$306,0),"")</f>
        <v/>
      </c>
      <c r="X32">
        <f>IFERROR(MATCH(26,'HW Sets'!$S$7:$S$306,0),"")</f>
        <v/>
      </c>
      <c r="Y32">
        <f>IF($X32="","",INDEX('HW Sets'!$J$7:$J$306,$X32)&amp;"")</f>
        <v/>
      </c>
      <c r="Z32">
        <f>IF($Y32="","",IF(COUNTIF($Y$7:$Y32,$Y32)=1,1,""))</f>
        <v/>
      </c>
    </row>
    <row r="33">
      <c r="A33" s="175">
        <f>IF($Z33="","",$Y33)</f>
        <v/>
      </c>
      <c r="B33" s="176">
        <f>IF($Z33="","",IFERROR(INDEX('HW Sets'!$N$7:$N$306,MATCH($Y33,'HW Sets'!$M$7:$M$306,0)),""))</f>
        <v/>
      </c>
      <c r="C33" s="177">
        <f t="array" ref="C33">IF($Z33="","",_xlfn.TEXTJOIN(", ",TRUE,IF(tk_HWSET&amp;""=$Y33,tk_MARK,"")))</f>
        <v/>
      </c>
      <c r="D33" s="176">
        <f t="array" ref="D33">IF($Z33="","",SUM(IF(tk_HWSET&amp;""=$Y33,IFERROR(--tk_QTY,0),0)))</f>
        <v/>
      </c>
      <c r="E33" s="176">
        <f>IF($X33="","",IF(INDEX('HW Sets'!$C$7:$C$306,$X33)="","",INDEX('HW Sets'!$C$7:$C$306,$X33)))</f>
        <v/>
      </c>
      <c r="F33" s="176">
        <f>IF($X33="","",IF(INDEX('HW Sets'!$D$7:$D$306,$X33)="","",INDEX('HW Sets'!$D$7:$D$306,$X33)))</f>
        <v/>
      </c>
      <c r="G33" s="176">
        <f>IF($X33="","",IF(INDEX('HW Sets'!$E$7:$E$306,$X33)="","",INDEX('HW Sets'!$E$7:$E$306,$X33)))</f>
        <v/>
      </c>
      <c r="H33" s="176">
        <f>IF($X33="","",IF(INDEX('HW Sets'!$F$7:$F$306,$X33)="","",INDEX('HW Sets'!$F$7:$F$306,$X33)))</f>
        <v/>
      </c>
      <c r="I33" s="176">
        <f>IF($X33="","",IF(INDEX('HW Sets'!$G$7:$G$306,$X33)="","",INDEX('HW Sets'!$G$7:$G$306,$X33)))</f>
        <v/>
      </c>
      <c r="J33" s="176">
        <f>IF($X33="","",IF(INDEX('HW Sets'!$H$7:$H$306,$X33)="","",INDEX('HW Sets'!$H$7:$H$306,$X33)))</f>
        <v/>
      </c>
      <c r="K33" s="175">
        <f t="array" ref="K33">IF($X33="","",N($E33)*SUM(IF(tk_HWSET&amp;""=$Y33,IFERROR(--tk_QTY,0),0)))</f>
        <v/>
      </c>
      <c r="L33" s="176">
        <f>IF($X33="","",IF(INDEX('HW Sets'!$I$7:$I$306,$X33)="","",INDEX('HW Sets'!$I$7:$I$306,$X33)))</f>
        <v/>
      </c>
      <c r="N33" s="176">
        <f>IF($W33="","",INDEX($G$7:$G$306,$W33)&amp;"")</f>
        <v/>
      </c>
      <c r="O33" s="176">
        <f>IF($W33="","",INDEX($H$7:$H$306,$W33)&amp;"")</f>
        <v/>
      </c>
      <c r="P33" s="176">
        <f>IF($W33="","",INDEX($I$7:$I$306,$W33)&amp;"")</f>
        <v/>
      </c>
      <c r="Q33" s="176">
        <f>IF($W33="","",INDEX($J$7:$J$306,$W33)&amp;"")</f>
        <v/>
      </c>
      <c r="R33" s="176">
        <f>IF($W33="","",INDEX($F$7:$F$306,$W33)&amp;"")</f>
        <v/>
      </c>
      <c r="S33" s="175">
        <f>IF($W33="","",SUMIF($U$7:$U$306,INDEX($U$7:$U$306,$W33),$K$7:$K$306))</f>
        <v/>
      </c>
      <c r="U33">
        <f>IF(OR($X33="",N($K33)=0),"",UPPER(TRIM($G33&amp;"|"&amp;$H33&amp;"|"&amp;$I33&amp;"|"&amp;$J33&amp;"|"&amp;$F33)))</f>
        <v/>
      </c>
      <c r="V33">
        <f>IF($U33="","",IF(COUNTIF($U$7:$U33,$U33)=1,MAX($V$6:$V32)+1,""))</f>
        <v/>
      </c>
      <c r="W33">
        <f>IFERROR(MATCH(27,$V$7:$V$306,0),"")</f>
        <v/>
      </c>
      <c r="X33">
        <f>IFERROR(MATCH(27,'HW Sets'!$S$7:$S$306,0),"")</f>
        <v/>
      </c>
      <c r="Y33">
        <f>IF($X33="","",INDEX('HW Sets'!$J$7:$J$306,$X33)&amp;"")</f>
        <v/>
      </c>
      <c r="Z33">
        <f>IF($Y33="","",IF(COUNTIF($Y$7:$Y33,$Y33)=1,1,""))</f>
        <v/>
      </c>
    </row>
    <row r="34">
      <c r="A34" s="175">
        <f>IF($Z34="","",$Y34)</f>
        <v/>
      </c>
      <c r="B34" s="176">
        <f>IF($Z34="","",IFERROR(INDEX('HW Sets'!$N$7:$N$306,MATCH($Y34,'HW Sets'!$M$7:$M$306,0)),""))</f>
        <v/>
      </c>
      <c r="C34" s="177">
        <f t="array" ref="C34">IF($Z34="","",_xlfn.TEXTJOIN(", ",TRUE,IF(tk_HWSET&amp;""=$Y34,tk_MARK,"")))</f>
        <v/>
      </c>
      <c r="D34" s="176">
        <f t="array" ref="D34">IF($Z34="","",SUM(IF(tk_HWSET&amp;""=$Y34,IFERROR(--tk_QTY,0),0)))</f>
        <v/>
      </c>
      <c r="E34" s="176">
        <f>IF($X34="","",IF(INDEX('HW Sets'!$C$7:$C$306,$X34)="","",INDEX('HW Sets'!$C$7:$C$306,$X34)))</f>
        <v/>
      </c>
      <c r="F34" s="176">
        <f>IF($X34="","",IF(INDEX('HW Sets'!$D$7:$D$306,$X34)="","",INDEX('HW Sets'!$D$7:$D$306,$X34)))</f>
        <v/>
      </c>
      <c r="G34" s="176">
        <f>IF($X34="","",IF(INDEX('HW Sets'!$E$7:$E$306,$X34)="","",INDEX('HW Sets'!$E$7:$E$306,$X34)))</f>
        <v/>
      </c>
      <c r="H34" s="176">
        <f>IF($X34="","",IF(INDEX('HW Sets'!$F$7:$F$306,$X34)="","",INDEX('HW Sets'!$F$7:$F$306,$X34)))</f>
        <v/>
      </c>
      <c r="I34" s="176">
        <f>IF($X34="","",IF(INDEX('HW Sets'!$G$7:$G$306,$X34)="","",INDEX('HW Sets'!$G$7:$G$306,$X34)))</f>
        <v/>
      </c>
      <c r="J34" s="176">
        <f>IF($X34="","",IF(INDEX('HW Sets'!$H$7:$H$306,$X34)="","",INDEX('HW Sets'!$H$7:$H$306,$X34)))</f>
        <v/>
      </c>
      <c r="K34" s="175">
        <f t="array" ref="K34">IF($X34="","",N($E34)*SUM(IF(tk_HWSET&amp;""=$Y34,IFERROR(--tk_QTY,0),0)))</f>
        <v/>
      </c>
      <c r="L34" s="176">
        <f>IF($X34="","",IF(INDEX('HW Sets'!$I$7:$I$306,$X34)="","",INDEX('HW Sets'!$I$7:$I$306,$X34)))</f>
        <v/>
      </c>
      <c r="N34" s="176">
        <f>IF($W34="","",INDEX($G$7:$G$306,$W34)&amp;"")</f>
        <v/>
      </c>
      <c r="O34" s="176">
        <f>IF($W34="","",INDEX($H$7:$H$306,$W34)&amp;"")</f>
        <v/>
      </c>
      <c r="P34" s="176">
        <f>IF($W34="","",INDEX($I$7:$I$306,$W34)&amp;"")</f>
        <v/>
      </c>
      <c r="Q34" s="176">
        <f>IF($W34="","",INDEX($J$7:$J$306,$W34)&amp;"")</f>
        <v/>
      </c>
      <c r="R34" s="176">
        <f>IF($W34="","",INDEX($F$7:$F$306,$W34)&amp;"")</f>
        <v/>
      </c>
      <c r="S34" s="175">
        <f>IF($W34="","",SUMIF($U$7:$U$306,INDEX($U$7:$U$306,$W34),$K$7:$K$306))</f>
        <v/>
      </c>
      <c r="U34">
        <f>IF(OR($X34="",N($K34)=0),"",UPPER(TRIM($G34&amp;"|"&amp;$H34&amp;"|"&amp;$I34&amp;"|"&amp;$J34&amp;"|"&amp;$F34)))</f>
        <v/>
      </c>
      <c r="V34">
        <f>IF($U34="","",IF(COUNTIF($U$7:$U34,$U34)=1,MAX($V$6:$V33)+1,""))</f>
        <v/>
      </c>
      <c r="W34">
        <f>IFERROR(MATCH(28,$V$7:$V$306,0),"")</f>
        <v/>
      </c>
      <c r="X34">
        <f>IFERROR(MATCH(28,'HW Sets'!$S$7:$S$306,0),"")</f>
        <v/>
      </c>
      <c r="Y34">
        <f>IF($X34="","",INDEX('HW Sets'!$J$7:$J$306,$X34)&amp;"")</f>
        <v/>
      </c>
      <c r="Z34">
        <f>IF($Y34="","",IF(COUNTIF($Y$7:$Y34,$Y34)=1,1,""))</f>
        <v/>
      </c>
    </row>
    <row r="35">
      <c r="A35" s="175">
        <f>IF($Z35="","",$Y35)</f>
        <v/>
      </c>
      <c r="B35" s="176">
        <f>IF($Z35="","",IFERROR(INDEX('HW Sets'!$N$7:$N$306,MATCH($Y35,'HW Sets'!$M$7:$M$306,0)),""))</f>
        <v/>
      </c>
      <c r="C35" s="177">
        <f t="array" ref="C35">IF($Z35="","",_xlfn.TEXTJOIN(", ",TRUE,IF(tk_HWSET&amp;""=$Y35,tk_MARK,"")))</f>
        <v/>
      </c>
      <c r="D35" s="176">
        <f t="array" ref="D35">IF($Z35="","",SUM(IF(tk_HWSET&amp;""=$Y35,IFERROR(--tk_QTY,0),0)))</f>
        <v/>
      </c>
      <c r="E35" s="176">
        <f>IF($X35="","",IF(INDEX('HW Sets'!$C$7:$C$306,$X35)="","",INDEX('HW Sets'!$C$7:$C$306,$X35)))</f>
        <v/>
      </c>
      <c r="F35" s="176">
        <f>IF($X35="","",IF(INDEX('HW Sets'!$D$7:$D$306,$X35)="","",INDEX('HW Sets'!$D$7:$D$306,$X35)))</f>
        <v/>
      </c>
      <c r="G35" s="176">
        <f>IF($X35="","",IF(INDEX('HW Sets'!$E$7:$E$306,$X35)="","",INDEX('HW Sets'!$E$7:$E$306,$X35)))</f>
        <v/>
      </c>
      <c r="H35" s="176">
        <f>IF($X35="","",IF(INDEX('HW Sets'!$F$7:$F$306,$X35)="","",INDEX('HW Sets'!$F$7:$F$306,$X35)))</f>
        <v/>
      </c>
      <c r="I35" s="176">
        <f>IF($X35="","",IF(INDEX('HW Sets'!$G$7:$G$306,$X35)="","",INDEX('HW Sets'!$G$7:$G$306,$X35)))</f>
        <v/>
      </c>
      <c r="J35" s="176">
        <f>IF($X35="","",IF(INDEX('HW Sets'!$H$7:$H$306,$X35)="","",INDEX('HW Sets'!$H$7:$H$306,$X35)))</f>
        <v/>
      </c>
      <c r="K35" s="175">
        <f t="array" ref="K35">IF($X35="","",N($E35)*SUM(IF(tk_HWSET&amp;""=$Y35,IFERROR(--tk_QTY,0),0)))</f>
        <v/>
      </c>
      <c r="L35" s="176">
        <f>IF($X35="","",IF(INDEX('HW Sets'!$I$7:$I$306,$X35)="","",INDEX('HW Sets'!$I$7:$I$306,$X35)))</f>
        <v/>
      </c>
      <c r="N35" s="176">
        <f>IF($W35="","",INDEX($G$7:$G$306,$W35)&amp;"")</f>
        <v/>
      </c>
      <c r="O35" s="176">
        <f>IF($W35="","",INDEX($H$7:$H$306,$W35)&amp;"")</f>
        <v/>
      </c>
      <c r="P35" s="176">
        <f>IF($W35="","",INDEX($I$7:$I$306,$W35)&amp;"")</f>
        <v/>
      </c>
      <c r="Q35" s="176">
        <f>IF($W35="","",INDEX($J$7:$J$306,$W35)&amp;"")</f>
        <v/>
      </c>
      <c r="R35" s="176">
        <f>IF($W35="","",INDEX($F$7:$F$306,$W35)&amp;"")</f>
        <v/>
      </c>
      <c r="S35" s="175">
        <f>IF($W35="","",SUMIF($U$7:$U$306,INDEX($U$7:$U$306,$W35),$K$7:$K$306))</f>
        <v/>
      </c>
      <c r="U35">
        <f>IF(OR($X35="",N($K35)=0),"",UPPER(TRIM($G35&amp;"|"&amp;$H35&amp;"|"&amp;$I35&amp;"|"&amp;$J35&amp;"|"&amp;$F35)))</f>
        <v/>
      </c>
      <c r="V35">
        <f>IF($U35="","",IF(COUNTIF($U$7:$U35,$U35)=1,MAX($V$6:$V34)+1,""))</f>
        <v/>
      </c>
      <c r="W35">
        <f>IFERROR(MATCH(29,$V$7:$V$306,0),"")</f>
        <v/>
      </c>
      <c r="X35">
        <f>IFERROR(MATCH(29,'HW Sets'!$S$7:$S$306,0),"")</f>
        <v/>
      </c>
      <c r="Y35">
        <f>IF($X35="","",INDEX('HW Sets'!$J$7:$J$306,$X35)&amp;"")</f>
        <v/>
      </c>
      <c r="Z35">
        <f>IF($Y35="","",IF(COUNTIF($Y$7:$Y35,$Y35)=1,1,""))</f>
        <v/>
      </c>
    </row>
    <row r="36">
      <c r="A36" s="175">
        <f>IF($Z36="","",$Y36)</f>
        <v/>
      </c>
      <c r="B36" s="176">
        <f>IF($Z36="","",IFERROR(INDEX('HW Sets'!$N$7:$N$306,MATCH($Y36,'HW Sets'!$M$7:$M$306,0)),""))</f>
        <v/>
      </c>
      <c r="C36" s="177">
        <f t="array" ref="C36">IF($Z36="","",_xlfn.TEXTJOIN(", ",TRUE,IF(tk_HWSET&amp;""=$Y36,tk_MARK,"")))</f>
        <v/>
      </c>
      <c r="D36" s="176">
        <f t="array" ref="D36">IF($Z36="","",SUM(IF(tk_HWSET&amp;""=$Y36,IFERROR(--tk_QTY,0),0)))</f>
        <v/>
      </c>
      <c r="E36" s="176">
        <f>IF($X36="","",IF(INDEX('HW Sets'!$C$7:$C$306,$X36)="","",INDEX('HW Sets'!$C$7:$C$306,$X36)))</f>
        <v/>
      </c>
      <c r="F36" s="176">
        <f>IF($X36="","",IF(INDEX('HW Sets'!$D$7:$D$306,$X36)="","",INDEX('HW Sets'!$D$7:$D$306,$X36)))</f>
        <v/>
      </c>
      <c r="G36" s="176">
        <f>IF($X36="","",IF(INDEX('HW Sets'!$E$7:$E$306,$X36)="","",INDEX('HW Sets'!$E$7:$E$306,$X36)))</f>
        <v/>
      </c>
      <c r="H36" s="176">
        <f>IF($X36="","",IF(INDEX('HW Sets'!$F$7:$F$306,$X36)="","",INDEX('HW Sets'!$F$7:$F$306,$X36)))</f>
        <v/>
      </c>
      <c r="I36" s="176">
        <f>IF($X36="","",IF(INDEX('HW Sets'!$G$7:$G$306,$X36)="","",INDEX('HW Sets'!$G$7:$G$306,$X36)))</f>
        <v/>
      </c>
      <c r="J36" s="176">
        <f>IF($X36="","",IF(INDEX('HW Sets'!$H$7:$H$306,$X36)="","",INDEX('HW Sets'!$H$7:$H$306,$X36)))</f>
        <v/>
      </c>
      <c r="K36" s="175">
        <f t="array" ref="K36">IF($X36="","",N($E36)*SUM(IF(tk_HWSET&amp;""=$Y36,IFERROR(--tk_QTY,0),0)))</f>
        <v/>
      </c>
      <c r="L36" s="176">
        <f>IF($X36="","",IF(INDEX('HW Sets'!$I$7:$I$306,$X36)="","",INDEX('HW Sets'!$I$7:$I$306,$X36)))</f>
        <v/>
      </c>
      <c r="N36" s="176">
        <f>IF($W36="","",INDEX($G$7:$G$306,$W36)&amp;"")</f>
        <v/>
      </c>
      <c r="O36" s="176">
        <f>IF($W36="","",INDEX($H$7:$H$306,$W36)&amp;"")</f>
        <v/>
      </c>
      <c r="P36" s="176">
        <f>IF($W36="","",INDEX($I$7:$I$306,$W36)&amp;"")</f>
        <v/>
      </c>
      <c r="Q36" s="176">
        <f>IF($W36="","",INDEX($J$7:$J$306,$W36)&amp;"")</f>
        <v/>
      </c>
      <c r="R36" s="176">
        <f>IF($W36="","",INDEX($F$7:$F$306,$W36)&amp;"")</f>
        <v/>
      </c>
      <c r="S36" s="175">
        <f>IF($W36="","",SUMIF($U$7:$U$306,INDEX($U$7:$U$306,$W36),$K$7:$K$306))</f>
        <v/>
      </c>
      <c r="U36">
        <f>IF(OR($X36="",N($K36)=0),"",UPPER(TRIM($G36&amp;"|"&amp;$H36&amp;"|"&amp;$I36&amp;"|"&amp;$J36&amp;"|"&amp;$F36)))</f>
        <v/>
      </c>
      <c r="V36">
        <f>IF($U36="","",IF(COUNTIF($U$7:$U36,$U36)=1,MAX($V$6:$V35)+1,""))</f>
        <v/>
      </c>
      <c r="W36">
        <f>IFERROR(MATCH(30,$V$7:$V$306,0),"")</f>
        <v/>
      </c>
      <c r="X36">
        <f>IFERROR(MATCH(30,'HW Sets'!$S$7:$S$306,0),"")</f>
        <v/>
      </c>
      <c r="Y36">
        <f>IF($X36="","",INDEX('HW Sets'!$J$7:$J$306,$X36)&amp;"")</f>
        <v/>
      </c>
      <c r="Z36">
        <f>IF($Y36="","",IF(COUNTIF($Y$7:$Y36,$Y36)=1,1,""))</f>
        <v/>
      </c>
    </row>
    <row r="37">
      <c r="A37" s="175">
        <f>IF($Z37="","",$Y37)</f>
        <v/>
      </c>
      <c r="B37" s="176">
        <f>IF($Z37="","",IFERROR(INDEX('HW Sets'!$N$7:$N$306,MATCH($Y37,'HW Sets'!$M$7:$M$306,0)),""))</f>
        <v/>
      </c>
      <c r="C37" s="177">
        <f t="array" ref="C37">IF($Z37="","",_xlfn.TEXTJOIN(", ",TRUE,IF(tk_HWSET&amp;""=$Y37,tk_MARK,"")))</f>
        <v/>
      </c>
      <c r="D37" s="176">
        <f t="array" ref="D37">IF($Z37="","",SUM(IF(tk_HWSET&amp;""=$Y37,IFERROR(--tk_QTY,0),0)))</f>
        <v/>
      </c>
      <c r="E37" s="176">
        <f>IF($X37="","",IF(INDEX('HW Sets'!$C$7:$C$306,$X37)="","",INDEX('HW Sets'!$C$7:$C$306,$X37)))</f>
        <v/>
      </c>
      <c r="F37" s="176">
        <f>IF($X37="","",IF(INDEX('HW Sets'!$D$7:$D$306,$X37)="","",INDEX('HW Sets'!$D$7:$D$306,$X37)))</f>
        <v/>
      </c>
      <c r="G37" s="176">
        <f>IF($X37="","",IF(INDEX('HW Sets'!$E$7:$E$306,$X37)="","",INDEX('HW Sets'!$E$7:$E$306,$X37)))</f>
        <v/>
      </c>
      <c r="H37" s="176">
        <f>IF($X37="","",IF(INDEX('HW Sets'!$F$7:$F$306,$X37)="","",INDEX('HW Sets'!$F$7:$F$306,$X37)))</f>
        <v/>
      </c>
      <c r="I37" s="176">
        <f>IF($X37="","",IF(INDEX('HW Sets'!$G$7:$G$306,$X37)="","",INDEX('HW Sets'!$G$7:$G$306,$X37)))</f>
        <v/>
      </c>
      <c r="J37" s="176">
        <f>IF($X37="","",IF(INDEX('HW Sets'!$H$7:$H$306,$X37)="","",INDEX('HW Sets'!$H$7:$H$306,$X37)))</f>
        <v/>
      </c>
      <c r="K37" s="175">
        <f t="array" ref="K37">IF($X37="","",N($E37)*SUM(IF(tk_HWSET&amp;""=$Y37,IFERROR(--tk_QTY,0),0)))</f>
        <v/>
      </c>
      <c r="L37" s="176">
        <f>IF($X37="","",IF(INDEX('HW Sets'!$I$7:$I$306,$X37)="","",INDEX('HW Sets'!$I$7:$I$306,$X37)))</f>
        <v/>
      </c>
      <c r="N37" s="176">
        <f>IF($W37="","",INDEX($G$7:$G$306,$W37)&amp;"")</f>
        <v/>
      </c>
      <c r="O37" s="176">
        <f>IF($W37="","",INDEX($H$7:$H$306,$W37)&amp;"")</f>
        <v/>
      </c>
      <c r="P37" s="176">
        <f>IF($W37="","",INDEX($I$7:$I$306,$W37)&amp;"")</f>
        <v/>
      </c>
      <c r="Q37" s="176">
        <f>IF($W37="","",INDEX($J$7:$J$306,$W37)&amp;"")</f>
        <v/>
      </c>
      <c r="R37" s="176">
        <f>IF($W37="","",INDEX($F$7:$F$306,$W37)&amp;"")</f>
        <v/>
      </c>
      <c r="S37" s="175">
        <f>IF($W37="","",SUMIF($U$7:$U$306,INDEX($U$7:$U$306,$W37),$K$7:$K$306))</f>
        <v/>
      </c>
      <c r="U37">
        <f>IF(OR($X37="",N($K37)=0),"",UPPER(TRIM($G37&amp;"|"&amp;$H37&amp;"|"&amp;$I37&amp;"|"&amp;$J37&amp;"|"&amp;$F37)))</f>
        <v/>
      </c>
      <c r="V37">
        <f>IF($U37="","",IF(COUNTIF($U$7:$U37,$U37)=1,MAX($V$6:$V36)+1,""))</f>
        <v/>
      </c>
      <c r="W37">
        <f>IFERROR(MATCH(31,$V$7:$V$306,0),"")</f>
        <v/>
      </c>
      <c r="X37">
        <f>IFERROR(MATCH(31,'HW Sets'!$S$7:$S$306,0),"")</f>
        <v/>
      </c>
      <c r="Y37">
        <f>IF($X37="","",INDEX('HW Sets'!$J$7:$J$306,$X37)&amp;"")</f>
        <v/>
      </c>
      <c r="Z37">
        <f>IF($Y37="","",IF(COUNTIF($Y$7:$Y37,$Y37)=1,1,""))</f>
        <v/>
      </c>
    </row>
    <row r="38">
      <c r="A38" s="175">
        <f>IF($Z38="","",$Y38)</f>
        <v/>
      </c>
      <c r="B38" s="176">
        <f>IF($Z38="","",IFERROR(INDEX('HW Sets'!$N$7:$N$306,MATCH($Y38,'HW Sets'!$M$7:$M$306,0)),""))</f>
        <v/>
      </c>
      <c r="C38" s="177">
        <f t="array" ref="C38">IF($Z38="","",_xlfn.TEXTJOIN(", ",TRUE,IF(tk_HWSET&amp;""=$Y38,tk_MARK,"")))</f>
        <v/>
      </c>
      <c r="D38" s="176">
        <f t="array" ref="D38">IF($Z38="","",SUM(IF(tk_HWSET&amp;""=$Y38,IFERROR(--tk_QTY,0),0)))</f>
        <v/>
      </c>
      <c r="E38" s="176">
        <f>IF($X38="","",IF(INDEX('HW Sets'!$C$7:$C$306,$X38)="","",INDEX('HW Sets'!$C$7:$C$306,$X38)))</f>
        <v/>
      </c>
      <c r="F38" s="176">
        <f>IF($X38="","",IF(INDEX('HW Sets'!$D$7:$D$306,$X38)="","",INDEX('HW Sets'!$D$7:$D$306,$X38)))</f>
        <v/>
      </c>
      <c r="G38" s="176">
        <f>IF($X38="","",IF(INDEX('HW Sets'!$E$7:$E$306,$X38)="","",INDEX('HW Sets'!$E$7:$E$306,$X38)))</f>
        <v/>
      </c>
      <c r="H38" s="176">
        <f>IF($X38="","",IF(INDEX('HW Sets'!$F$7:$F$306,$X38)="","",INDEX('HW Sets'!$F$7:$F$306,$X38)))</f>
        <v/>
      </c>
      <c r="I38" s="176">
        <f>IF($X38="","",IF(INDEX('HW Sets'!$G$7:$G$306,$X38)="","",INDEX('HW Sets'!$G$7:$G$306,$X38)))</f>
        <v/>
      </c>
      <c r="J38" s="176">
        <f>IF($X38="","",IF(INDEX('HW Sets'!$H$7:$H$306,$X38)="","",INDEX('HW Sets'!$H$7:$H$306,$X38)))</f>
        <v/>
      </c>
      <c r="K38" s="175">
        <f t="array" ref="K38">IF($X38="","",N($E38)*SUM(IF(tk_HWSET&amp;""=$Y38,IFERROR(--tk_QTY,0),0)))</f>
        <v/>
      </c>
      <c r="L38" s="176">
        <f>IF($X38="","",IF(INDEX('HW Sets'!$I$7:$I$306,$X38)="","",INDEX('HW Sets'!$I$7:$I$306,$X38)))</f>
        <v/>
      </c>
      <c r="N38" s="176">
        <f>IF($W38="","",INDEX($G$7:$G$306,$W38)&amp;"")</f>
        <v/>
      </c>
      <c r="O38" s="176">
        <f>IF($W38="","",INDEX($H$7:$H$306,$W38)&amp;"")</f>
        <v/>
      </c>
      <c r="P38" s="176">
        <f>IF($W38="","",INDEX($I$7:$I$306,$W38)&amp;"")</f>
        <v/>
      </c>
      <c r="Q38" s="176">
        <f>IF($W38="","",INDEX($J$7:$J$306,$W38)&amp;"")</f>
        <v/>
      </c>
      <c r="R38" s="176">
        <f>IF($W38="","",INDEX($F$7:$F$306,$W38)&amp;"")</f>
        <v/>
      </c>
      <c r="S38" s="175">
        <f>IF($W38="","",SUMIF($U$7:$U$306,INDEX($U$7:$U$306,$W38),$K$7:$K$306))</f>
        <v/>
      </c>
      <c r="U38">
        <f>IF(OR($X38="",N($K38)=0),"",UPPER(TRIM($G38&amp;"|"&amp;$H38&amp;"|"&amp;$I38&amp;"|"&amp;$J38&amp;"|"&amp;$F38)))</f>
        <v/>
      </c>
      <c r="V38">
        <f>IF($U38="","",IF(COUNTIF($U$7:$U38,$U38)=1,MAX($V$6:$V37)+1,""))</f>
        <v/>
      </c>
      <c r="W38">
        <f>IFERROR(MATCH(32,$V$7:$V$306,0),"")</f>
        <v/>
      </c>
      <c r="X38">
        <f>IFERROR(MATCH(32,'HW Sets'!$S$7:$S$306,0),"")</f>
        <v/>
      </c>
      <c r="Y38">
        <f>IF($X38="","",INDEX('HW Sets'!$J$7:$J$306,$X38)&amp;"")</f>
        <v/>
      </c>
      <c r="Z38">
        <f>IF($Y38="","",IF(COUNTIF($Y$7:$Y38,$Y38)=1,1,""))</f>
        <v/>
      </c>
    </row>
    <row r="39">
      <c r="A39" s="175">
        <f>IF($Z39="","",$Y39)</f>
        <v/>
      </c>
      <c r="B39" s="176">
        <f>IF($Z39="","",IFERROR(INDEX('HW Sets'!$N$7:$N$306,MATCH($Y39,'HW Sets'!$M$7:$M$306,0)),""))</f>
        <v/>
      </c>
      <c r="C39" s="177">
        <f t="array" ref="C39">IF($Z39="","",_xlfn.TEXTJOIN(", ",TRUE,IF(tk_HWSET&amp;""=$Y39,tk_MARK,"")))</f>
        <v/>
      </c>
      <c r="D39" s="176">
        <f t="array" ref="D39">IF($Z39="","",SUM(IF(tk_HWSET&amp;""=$Y39,IFERROR(--tk_QTY,0),0)))</f>
        <v/>
      </c>
      <c r="E39" s="176">
        <f>IF($X39="","",IF(INDEX('HW Sets'!$C$7:$C$306,$X39)="","",INDEX('HW Sets'!$C$7:$C$306,$X39)))</f>
        <v/>
      </c>
      <c r="F39" s="176">
        <f>IF($X39="","",IF(INDEX('HW Sets'!$D$7:$D$306,$X39)="","",INDEX('HW Sets'!$D$7:$D$306,$X39)))</f>
        <v/>
      </c>
      <c r="G39" s="176">
        <f>IF($X39="","",IF(INDEX('HW Sets'!$E$7:$E$306,$X39)="","",INDEX('HW Sets'!$E$7:$E$306,$X39)))</f>
        <v/>
      </c>
      <c r="H39" s="176">
        <f>IF($X39="","",IF(INDEX('HW Sets'!$F$7:$F$306,$X39)="","",INDEX('HW Sets'!$F$7:$F$306,$X39)))</f>
        <v/>
      </c>
      <c r="I39" s="176">
        <f>IF($X39="","",IF(INDEX('HW Sets'!$G$7:$G$306,$X39)="","",INDEX('HW Sets'!$G$7:$G$306,$X39)))</f>
        <v/>
      </c>
      <c r="J39" s="176">
        <f>IF($X39="","",IF(INDEX('HW Sets'!$H$7:$H$306,$X39)="","",INDEX('HW Sets'!$H$7:$H$306,$X39)))</f>
        <v/>
      </c>
      <c r="K39" s="175">
        <f t="array" ref="K39">IF($X39="","",N($E39)*SUM(IF(tk_HWSET&amp;""=$Y39,IFERROR(--tk_QTY,0),0)))</f>
        <v/>
      </c>
      <c r="L39" s="176">
        <f>IF($X39="","",IF(INDEX('HW Sets'!$I$7:$I$306,$X39)="","",INDEX('HW Sets'!$I$7:$I$306,$X39)))</f>
        <v/>
      </c>
      <c r="N39" s="176">
        <f>IF($W39="","",INDEX($G$7:$G$306,$W39)&amp;"")</f>
        <v/>
      </c>
      <c r="O39" s="176">
        <f>IF($W39="","",INDEX($H$7:$H$306,$W39)&amp;"")</f>
        <v/>
      </c>
      <c r="P39" s="176">
        <f>IF($W39="","",INDEX($I$7:$I$306,$W39)&amp;"")</f>
        <v/>
      </c>
      <c r="Q39" s="176">
        <f>IF($W39="","",INDEX($J$7:$J$306,$W39)&amp;"")</f>
        <v/>
      </c>
      <c r="R39" s="176">
        <f>IF($W39="","",INDEX($F$7:$F$306,$W39)&amp;"")</f>
        <v/>
      </c>
      <c r="S39" s="175">
        <f>IF($W39="","",SUMIF($U$7:$U$306,INDEX($U$7:$U$306,$W39),$K$7:$K$306))</f>
        <v/>
      </c>
      <c r="U39">
        <f>IF(OR($X39="",N($K39)=0),"",UPPER(TRIM($G39&amp;"|"&amp;$H39&amp;"|"&amp;$I39&amp;"|"&amp;$J39&amp;"|"&amp;$F39)))</f>
        <v/>
      </c>
      <c r="V39">
        <f>IF($U39="","",IF(COUNTIF($U$7:$U39,$U39)=1,MAX($V$6:$V38)+1,""))</f>
        <v/>
      </c>
      <c r="W39">
        <f>IFERROR(MATCH(33,$V$7:$V$306,0),"")</f>
        <v/>
      </c>
      <c r="X39">
        <f>IFERROR(MATCH(33,'HW Sets'!$S$7:$S$306,0),"")</f>
        <v/>
      </c>
      <c r="Y39">
        <f>IF($X39="","",INDEX('HW Sets'!$J$7:$J$306,$X39)&amp;"")</f>
        <v/>
      </c>
      <c r="Z39">
        <f>IF($Y39="","",IF(COUNTIF($Y$7:$Y39,$Y39)=1,1,""))</f>
        <v/>
      </c>
    </row>
    <row r="40">
      <c r="A40" s="175">
        <f>IF($Z40="","",$Y40)</f>
        <v/>
      </c>
      <c r="B40" s="176">
        <f>IF($Z40="","",IFERROR(INDEX('HW Sets'!$N$7:$N$306,MATCH($Y40,'HW Sets'!$M$7:$M$306,0)),""))</f>
        <v/>
      </c>
      <c r="C40" s="177">
        <f t="array" ref="C40">IF($Z40="","",_xlfn.TEXTJOIN(", ",TRUE,IF(tk_HWSET&amp;""=$Y40,tk_MARK,"")))</f>
        <v/>
      </c>
      <c r="D40" s="176">
        <f t="array" ref="D40">IF($Z40="","",SUM(IF(tk_HWSET&amp;""=$Y40,IFERROR(--tk_QTY,0),0)))</f>
        <v/>
      </c>
      <c r="E40" s="176">
        <f>IF($X40="","",IF(INDEX('HW Sets'!$C$7:$C$306,$X40)="","",INDEX('HW Sets'!$C$7:$C$306,$X40)))</f>
        <v/>
      </c>
      <c r="F40" s="176">
        <f>IF($X40="","",IF(INDEX('HW Sets'!$D$7:$D$306,$X40)="","",INDEX('HW Sets'!$D$7:$D$306,$X40)))</f>
        <v/>
      </c>
      <c r="G40" s="176">
        <f>IF($X40="","",IF(INDEX('HW Sets'!$E$7:$E$306,$X40)="","",INDEX('HW Sets'!$E$7:$E$306,$X40)))</f>
        <v/>
      </c>
      <c r="H40" s="176">
        <f>IF($X40="","",IF(INDEX('HW Sets'!$F$7:$F$306,$X40)="","",INDEX('HW Sets'!$F$7:$F$306,$X40)))</f>
        <v/>
      </c>
      <c r="I40" s="176">
        <f>IF($X40="","",IF(INDEX('HW Sets'!$G$7:$G$306,$X40)="","",INDEX('HW Sets'!$G$7:$G$306,$X40)))</f>
        <v/>
      </c>
      <c r="J40" s="176">
        <f>IF($X40="","",IF(INDEX('HW Sets'!$H$7:$H$306,$X40)="","",INDEX('HW Sets'!$H$7:$H$306,$X40)))</f>
        <v/>
      </c>
      <c r="K40" s="175">
        <f t="array" ref="K40">IF($X40="","",N($E40)*SUM(IF(tk_HWSET&amp;""=$Y40,IFERROR(--tk_QTY,0),0)))</f>
        <v/>
      </c>
      <c r="L40" s="176">
        <f>IF($X40="","",IF(INDEX('HW Sets'!$I$7:$I$306,$X40)="","",INDEX('HW Sets'!$I$7:$I$306,$X40)))</f>
        <v/>
      </c>
      <c r="N40" s="176">
        <f>IF($W40="","",INDEX($G$7:$G$306,$W40)&amp;"")</f>
        <v/>
      </c>
      <c r="O40" s="176">
        <f>IF($W40="","",INDEX($H$7:$H$306,$W40)&amp;"")</f>
        <v/>
      </c>
      <c r="P40" s="176">
        <f>IF($W40="","",INDEX($I$7:$I$306,$W40)&amp;"")</f>
        <v/>
      </c>
      <c r="Q40" s="176">
        <f>IF($W40="","",INDEX($J$7:$J$306,$W40)&amp;"")</f>
        <v/>
      </c>
      <c r="R40" s="176">
        <f>IF($W40="","",INDEX($F$7:$F$306,$W40)&amp;"")</f>
        <v/>
      </c>
      <c r="S40" s="175">
        <f>IF($W40="","",SUMIF($U$7:$U$306,INDEX($U$7:$U$306,$W40),$K$7:$K$306))</f>
        <v/>
      </c>
      <c r="U40">
        <f>IF(OR($X40="",N($K40)=0),"",UPPER(TRIM($G40&amp;"|"&amp;$H40&amp;"|"&amp;$I40&amp;"|"&amp;$J40&amp;"|"&amp;$F40)))</f>
        <v/>
      </c>
      <c r="V40">
        <f>IF($U40="","",IF(COUNTIF($U$7:$U40,$U40)=1,MAX($V$6:$V39)+1,""))</f>
        <v/>
      </c>
      <c r="W40">
        <f>IFERROR(MATCH(34,$V$7:$V$306,0),"")</f>
        <v/>
      </c>
      <c r="X40">
        <f>IFERROR(MATCH(34,'HW Sets'!$S$7:$S$306,0),"")</f>
        <v/>
      </c>
      <c r="Y40">
        <f>IF($X40="","",INDEX('HW Sets'!$J$7:$J$306,$X40)&amp;"")</f>
        <v/>
      </c>
      <c r="Z40">
        <f>IF($Y40="","",IF(COUNTIF($Y$7:$Y40,$Y40)=1,1,""))</f>
        <v/>
      </c>
    </row>
    <row r="41">
      <c r="A41" s="175">
        <f>IF($Z41="","",$Y41)</f>
        <v/>
      </c>
      <c r="B41" s="176">
        <f>IF($Z41="","",IFERROR(INDEX('HW Sets'!$N$7:$N$306,MATCH($Y41,'HW Sets'!$M$7:$M$306,0)),""))</f>
        <v/>
      </c>
      <c r="C41" s="177">
        <f t="array" ref="C41">IF($Z41="","",_xlfn.TEXTJOIN(", ",TRUE,IF(tk_HWSET&amp;""=$Y41,tk_MARK,"")))</f>
        <v/>
      </c>
      <c r="D41" s="176">
        <f t="array" ref="D41">IF($Z41="","",SUM(IF(tk_HWSET&amp;""=$Y41,IFERROR(--tk_QTY,0),0)))</f>
        <v/>
      </c>
      <c r="E41" s="176">
        <f>IF($X41="","",IF(INDEX('HW Sets'!$C$7:$C$306,$X41)="","",INDEX('HW Sets'!$C$7:$C$306,$X41)))</f>
        <v/>
      </c>
      <c r="F41" s="176">
        <f>IF($X41="","",IF(INDEX('HW Sets'!$D$7:$D$306,$X41)="","",INDEX('HW Sets'!$D$7:$D$306,$X41)))</f>
        <v/>
      </c>
      <c r="G41" s="176">
        <f>IF($X41="","",IF(INDEX('HW Sets'!$E$7:$E$306,$X41)="","",INDEX('HW Sets'!$E$7:$E$306,$X41)))</f>
        <v/>
      </c>
      <c r="H41" s="176">
        <f>IF($X41="","",IF(INDEX('HW Sets'!$F$7:$F$306,$X41)="","",INDEX('HW Sets'!$F$7:$F$306,$X41)))</f>
        <v/>
      </c>
      <c r="I41" s="176">
        <f>IF($X41="","",IF(INDEX('HW Sets'!$G$7:$G$306,$X41)="","",INDEX('HW Sets'!$G$7:$G$306,$X41)))</f>
        <v/>
      </c>
      <c r="J41" s="176">
        <f>IF($X41="","",IF(INDEX('HW Sets'!$H$7:$H$306,$X41)="","",INDEX('HW Sets'!$H$7:$H$306,$X41)))</f>
        <v/>
      </c>
      <c r="K41" s="175">
        <f t="array" ref="K41">IF($X41="","",N($E41)*SUM(IF(tk_HWSET&amp;""=$Y41,IFERROR(--tk_QTY,0),0)))</f>
        <v/>
      </c>
      <c r="L41" s="176">
        <f>IF($X41="","",IF(INDEX('HW Sets'!$I$7:$I$306,$X41)="","",INDEX('HW Sets'!$I$7:$I$306,$X41)))</f>
        <v/>
      </c>
      <c r="N41" s="176">
        <f>IF($W41="","",INDEX($G$7:$G$306,$W41)&amp;"")</f>
        <v/>
      </c>
      <c r="O41" s="176">
        <f>IF($W41="","",INDEX($H$7:$H$306,$W41)&amp;"")</f>
        <v/>
      </c>
      <c r="P41" s="176">
        <f>IF($W41="","",INDEX($I$7:$I$306,$W41)&amp;"")</f>
        <v/>
      </c>
      <c r="Q41" s="176">
        <f>IF($W41="","",INDEX($J$7:$J$306,$W41)&amp;"")</f>
        <v/>
      </c>
      <c r="R41" s="176">
        <f>IF($W41="","",INDEX($F$7:$F$306,$W41)&amp;"")</f>
        <v/>
      </c>
      <c r="S41" s="175">
        <f>IF($W41="","",SUMIF($U$7:$U$306,INDEX($U$7:$U$306,$W41),$K$7:$K$306))</f>
        <v/>
      </c>
      <c r="U41">
        <f>IF(OR($X41="",N($K41)=0),"",UPPER(TRIM($G41&amp;"|"&amp;$H41&amp;"|"&amp;$I41&amp;"|"&amp;$J41&amp;"|"&amp;$F41)))</f>
        <v/>
      </c>
      <c r="V41">
        <f>IF($U41="","",IF(COUNTIF($U$7:$U41,$U41)=1,MAX($V$6:$V40)+1,""))</f>
        <v/>
      </c>
      <c r="W41">
        <f>IFERROR(MATCH(35,$V$7:$V$306,0),"")</f>
        <v/>
      </c>
      <c r="X41">
        <f>IFERROR(MATCH(35,'HW Sets'!$S$7:$S$306,0),"")</f>
        <v/>
      </c>
      <c r="Y41">
        <f>IF($X41="","",INDEX('HW Sets'!$J$7:$J$306,$X41)&amp;"")</f>
        <v/>
      </c>
      <c r="Z41">
        <f>IF($Y41="","",IF(COUNTIF($Y$7:$Y41,$Y41)=1,1,""))</f>
        <v/>
      </c>
    </row>
    <row r="42">
      <c r="A42" s="175">
        <f>IF($Z42="","",$Y42)</f>
        <v/>
      </c>
      <c r="B42" s="176">
        <f>IF($Z42="","",IFERROR(INDEX('HW Sets'!$N$7:$N$306,MATCH($Y42,'HW Sets'!$M$7:$M$306,0)),""))</f>
        <v/>
      </c>
      <c r="C42" s="177">
        <f t="array" ref="C42">IF($Z42="","",_xlfn.TEXTJOIN(", ",TRUE,IF(tk_HWSET&amp;""=$Y42,tk_MARK,"")))</f>
        <v/>
      </c>
      <c r="D42" s="176">
        <f t="array" ref="D42">IF($Z42="","",SUM(IF(tk_HWSET&amp;""=$Y42,IFERROR(--tk_QTY,0),0)))</f>
        <v/>
      </c>
      <c r="E42" s="176">
        <f>IF($X42="","",IF(INDEX('HW Sets'!$C$7:$C$306,$X42)="","",INDEX('HW Sets'!$C$7:$C$306,$X42)))</f>
        <v/>
      </c>
      <c r="F42" s="176">
        <f>IF($X42="","",IF(INDEX('HW Sets'!$D$7:$D$306,$X42)="","",INDEX('HW Sets'!$D$7:$D$306,$X42)))</f>
        <v/>
      </c>
      <c r="G42" s="176">
        <f>IF($X42="","",IF(INDEX('HW Sets'!$E$7:$E$306,$X42)="","",INDEX('HW Sets'!$E$7:$E$306,$X42)))</f>
        <v/>
      </c>
      <c r="H42" s="176">
        <f>IF($X42="","",IF(INDEX('HW Sets'!$F$7:$F$306,$X42)="","",INDEX('HW Sets'!$F$7:$F$306,$X42)))</f>
        <v/>
      </c>
      <c r="I42" s="176">
        <f>IF($X42="","",IF(INDEX('HW Sets'!$G$7:$G$306,$X42)="","",INDEX('HW Sets'!$G$7:$G$306,$X42)))</f>
        <v/>
      </c>
      <c r="J42" s="176">
        <f>IF($X42="","",IF(INDEX('HW Sets'!$H$7:$H$306,$X42)="","",INDEX('HW Sets'!$H$7:$H$306,$X42)))</f>
        <v/>
      </c>
      <c r="K42" s="175">
        <f t="array" ref="K42">IF($X42="","",N($E42)*SUM(IF(tk_HWSET&amp;""=$Y42,IFERROR(--tk_QTY,0),0)))</f>
        <v/>
      </c>
      <c r="L42" s="176">
        <f>IF($X42="","",IF(INDEX('HW Sets'!$I$7:$I$306,$X42)="","",INDEX('HW Sets'!$I$7:$I$306,$X42)))</f>
        <v/>
      </c>
      <c r="N42" s="176">
        <f>IF($W42="","",INDEX($G$7:$G$306,$W42)&amp;"")</f>
        <v/>
      </c>
      <c r="O42" s="176">
        <f>IF($W42="","",INDEX($H$7:$H$306,$W42)&amp;"")</f>
        <v/>
      </c>
      <c r="P42" s="176">
        <f>IF($W42="","",INDEX($I$7:$I$306,$W42)&amp;"")</f>
        <v/>
      </c>
      <c r="Q42" s="176">
        <f>IF($W42="","",INDEX($J$7:$J$306,$W42)&amp;"")</f>
        <v/>
      </c>
      <c r="R42" s="176">
        <f>IF($W42="","",INDEX($F$7:$F$306,$W42)&amp;"")</f>
        <v/>
      </c>
      <c r="S42" s="175">
        <f>IF($W42="","",SUMIF($U$7:$U$306,INDEX($U$7:$U$306,$W42),$K$7:$K$306))</f>
        <v/>
      </c>
      <c r="U42">
        <f>IF(OR($X42="",N($K42)=0),"",UPPER(TRIM($G42&amp;"|"&amp;$H42&amp;"|"&amp;$I42&amp;"|"&amp;$J42&amp;"|"&amp;$F42)))</f>
        <v/>
      </c>
      <c r="V42">
        <f>IF($U42="","",IF(COUNTIF($U$7:$U42,$U42)=1,MAX($V$6:$V41)+1,""))</f>
        <v/>
      </c>
      <c r="W42">
        <f>IFERROR(MATCH(36,$V$7:$V$306,0),"")</f>
        <v/>
      </c>
      <c r="X42">
        <f>IFERROR(MATCH(36,'HW Sets'!$S$7:$S$306,0),"")</f>
        <v/>
      </c>
      <c r="Y42">
        <f>IF($X42="","",INDEX('HW Sets'!$J$7:$J$306,$X42)&amp;"")</f>
        <v/>
      </c>
      <c r="Z42">
        <f>IF($Y42="","",IF(COUNTIF($Y$7:$Y42,$Y42)=1,1,""))</f>
        <v/>
      </c>
    </row>
    <row r="43">
      <c r="A43" s="175">
        <f>IF($Z43="","",$Y43)</f>
        <v/>
      </c>
      <c r="B43" s="176">
        <f>IF($Z43="","",IFERROR(INDEX('HW Sets'!$N$7:$N$306,MATCH($Y43,'HW Sets'!$M$7:$M$306,0)),""))</f>
        <v/>
      </c>
      <c r="C43" s="177">
        <f t="array" ref="C43">IF($Z43="","",_xlfn.TEXTJOIN(", ",TRUE,IF(tk_HWSET&amp;""=$Y43,tk_MARK,"")))</f>
        <v/>
      </c>
      <c r="D43" s="176">
        <f t="array" ref="D43">IF($Z43="","",SUM(IF(tk_HWSET&amp;""=$Y43,IFERROR(--tk_QTY,0),0)))</f>
        <v/>
      </c>
      <c r="E43" s="176">
        <f>IF($X43="","",IF(INDEX('HW Sets'!$C$7:$C$306,$X43)="","",INDEX('HW Sets'!$C$7:$C$306,$X43)))</f>
        <v/>
      </c>
      <c r="F43" s="176">
        <f>IF($X43="","",IF(INDEX('HW Sets'!$D$7:$D$306,$X43)="","",INDEX('HW Sets'!$D$7:$D$306,$X43)))</f>
        <v/>
      </c>
      <c r="G43" s="176">
        <f>IF($X43="","",IF(INDEX('HW Sets'!$E$7:$E$306,$X43)="","",INDEX('HW Sets'!$E$7:$E$306,$X43)))</f>
        <v/>
      </c>
      <c r="H43" s="176">
        <f>IF($X43="","",IF(INDEX('HW Sets'!$F$7:$F$306,$X43)="","",INDEX('HW Sets'!$F$7:$F$306,$X43)))</f>
        <v/>
      </c>
      <c r="I43" s="176">
        <f>IF($X43="","",IF(INDEX('HW Sets'!$G$7:$G$306,$X43)="","",INDEX('HW Sets'!$G$7:$G$306,$X43)))</f>
        <v/>
      </c>
      <c r="J43" s="176">
        <f>IF($X43="","",IF(INDEX('HW Sets'!$H$7:$H$306,$X43)="","",INDEX('HW Sets'!$H$7:$H$306,$X43)))</f>
        <v/>
      </c>
      <c r="K43" s="175">
        <f t="array" ref="K43">IF($X43="","",N($E43)*SUM(IF(tk_HWSET&amp;""=$Y43,IFERROR(--tk_QTY,0),0)))</f>
        <v/>
      </c>
      <c r="L43" s="176">
        <f>IF($X43="","",IF(INDEX('HW Sets'!$I$7:$I$306,$X43)="","",INDEX('HW Sets'!$I$7:$I$306,$X43)))</f>
        <v/>
      </c>
      <c r="N43" s="176">
        <f>IF($W43="","",INDEX($G$7:$G$306,$W43)&amp;"")</f>
        <v/>
      </c>
      <c r="O43" s="176">
        <f>IF($W43="","",INDEX($H$7:$H$306,$W43)&amp;"")</f>
        <v/>
      </c>
      <c r="P43" s="176">
        <f>IF($W43="","",INDEX($I$7:$I$306,$W43)&amp;"")</f>
        <v/>
      </c>
      <c r="Q43" s="176">
        <f>IF($W43="","",INDEX($J$7:$J$306,$W43)&amp;"")</f>
        <v/>
      </c>
      <c r="R43" s="176">
        <f>IF($W43="","",INDEX($F$7:$F$306,$W43)&amp;"")</f>
        <v/>
      </c>
      <c r="S43" s="175">
        <f>IF($W43="","",SUMIF($U$7:$U$306,INDEX($U$7:$U$306,$W43),$K$7:$K$306))</f>
        <v/>
      </c>
      <c r="U43">
        <f>IF(OR($X43="",N($K43)=0),"",UPPER(TRIM($G43&amp;"|"&amp;$H43&amp;"|"&amp;$I43&amp;"|"&amp;$J43&amp;"|"&amp;$F43)))</f>
        <v/>
      </c>
      <c r="V43">
        <f>IF($U43="","",IF(COUNTIF($U$7:$U43,$U43)=1,MAX($V$6:$V42)+1,""))</f>
        <v/>
      </c>
      <c r="W43">
        <f>IFERROR(MATCH(37,$V$7:$V$306,0),"")</f>
        <v/>
      </c>
      <c r="X43">
        <f>IFERROR(MATCH(37,'HW Sets'!$S$7:$S$306,0),"")</f>
        <v/>
      </c>
      <c r="Y43">
        <f>IF($X43="","",INDEX('HW Sets'!$J$7:$J$306,$X43)&amp;"")</f>
        <v/>
      </c>
      <c r="Z43">
        <f>IF($Y43="","",IF(COUNTIF($Y$7:$Y43,$Y43)=1,1,""))</f>
        <v/>
      </c>
    </row>
    <row r="44">
      <c r="A44" s="175">
        <f>IF($Z44="","",$Y44)</f>
        <v/>
      </c>
      <c r="B44" s="176">
        <f>IF($Z44="","",IFERROR(INDEX('HW Sets'!$N$7:$N$306,MATCH($Y44,'HW Sets'!$M$7:$M$306,0)),""))</f>
        <v/>
      </c>
      <c r="C44" s="177">
        <f t="array" ref="C44">IF($Z44="","",_xlfn.TEXTJOIN(", ",TRUE,IF(tk_HWSET&amp;""=$Y44,tk_MARK,"")))</f>
        <v/>
      </c>
      <c r="D44" s="176">
        <f t="array" ref="D44">IF($Z44="","",SUM(IF(tk_HWSET&amp;""=$Y44,IFERROR(--tk_QTY,0),0)))</f>
        <v/>
      </c>
      <c r="E44" s="176">
        <f>IF($X44="","",IF(INDEX('HW Sets'!$C$7:$C$306,$X44)="","",INDEX('HW Sets'!$C$7:$C$306,$X44)))</f>
        <v/>
      </c>
      <c r="F44" s="176">
        <f>IF($X44="","",IF(INDEX('HW Sets'!$D$7:$D$306,$X44)="","",INDEX('HW Sets'!$D$7:$D$306,$X44)))</f>
        <v/>
      </c>
      <c r="G44" s="176">
        <f>IF($X44="","",IF(INDEX('HW Sets'!$E$7:$E$306,$X44)="","",INDEX('HW Sets'!$E$7:$E$306,$X44)))</f>
        <v/>
      </c>
      <c r="H44" s="176">
        <f>IF($X44="","",IF(INDEX('HW Sets'!$F$7:$F$306,$X44)="","",INDEX('HW Sets'!$F$7:$F$306,$X44)))</f>
        <v/>
      </c>
      <c r="I44" s="176">
        <f>IF($X44="","",IF(INDEX('HW Sets'!$G$7:$G$306,$X44)="","",INDEX('HW Sets'!$G$7:$G$306,$X44)))</f>
        <v/>
      </c>
      <c r="J44" s="176">
        <f>IF($X44="","",IF(INDEX('HW Sets'!$H$7:$H$306,$X44)="","",INDEX('HW Sets'!$H$7:$H$306,$X44)))</f>
        <v/>
      </c>
      <c r="K44" s="175">
        <f t="array" ref="K44">IF($X44="","",N($E44)*SUM(IF(tk_HWSET&amp;""=$Y44,IFERROR(--tk_QTY,0),0)))</f>
        <v/>
      </c>
      <c r="L44" s="176">
        <f>IF($X44="","",IF(INDEX('HW Sets'!$I$7:$I$306,$X44)="","",INDEX('HW Sets'!$I$7:$I$306,$X44)))</f>
        <v/>
      </c>
      <c r="N44" s="176">
        <f>IF($W44="","",INDEX($G$7:$G$306,$W44)&amp;"")</f>
        <v/>
      </c>
      <c r="O44" s="176">
        <f>IF($W44="","",INDEX($H$7:$H$306,$W44)&amp;"")</f>
        <v/>
      </c>
      <c r="P44" s="176">
        <f>IF($W44="","",INDEX($I$7:$I$306,$W44)&amp;"")</f>
        <v/>
      </c>
      <c r="Q44" s="176">
        <f>IF($W44="","",INDEX($J$7:$J$306,$W44)&amp;"")</f>
        <v/>
      </c>
      <c r="R44" s="176">
        <f>IF($W44="","",INDEX($F$7:$F$306,$W44)&amp;"")</f>
        <v/>
      </c>
      <c r="S44" s="175">
        <f>IF($W44="","",SUMIF($U$7:$U$306,INDEX($U$7:$U$306,$W44),$K$7:$K$306))</f>
        <v/>
      </c>
      <c r="U44">
        <f>IF(OR($X44="",N($K44)=0),"",UPPER(TRIM($G44&amp;"|"&amp;$H44&amp;"|"&amp;$I44&amp;"|"&amp;$J44&amp;"|"&amp;$F44)))</f>
        <v/>
      </c>
      <c r="V44">
        <f>IF($U44="","",IF(COUNTIF($U$7:$U44,$U44)=1,MAX($V$6:$V43)+1,""))</f>
        <v/>
      </c>
      <c r="W44">
        <f>IFERROR(MATCH(38,$V$7:$V$306,0),"")</f>
        <v/>
      </c>
      <c r="X44">
        <f>IFERROR(MATCH(38,'HW Sets'!$S$7:$S$306,0),"")</f>
        <v/>
      </c>
      <c r="Y44">
        <f>IF($X44="","",INDEX('HW Sets'!$J$7:$J$306,$X44)&amp;"")</f>
        <v/>
      </c>
      <c r="Z44">
        <f>IF($Y44="","",IF(COUNTIF($Y$7:$Y44,$Y44)=1,1,""))</f>
        <v/>
      </c>
    </row>
    <row r="45">
      <c r="A45" s="175">
        <f>IF($Z45="","",$Y45)</f>
        <v/>
      </c>
      <c r="B45" s="176">
        <f>IF($Z45="","",IFERROR(INDEX('HW Sets'!$N$7:$N$306,MATCH($Y45,'HW Sets'!$M$7:$M$306,0)),""))</f>
        <v/>
      </c>
      <c r="C45" s="177">
        <f t="array" ref="C45">IF($Z45="","",_xlfn.TEXTJOIN(", ",TRUE,IF(tk_HWSET&amp;""=$Y45,tk_MARK,"")))</f>
        <v/>
      </c>
      <c r="D45" s="176">
        <f t="array" ref="D45">IF($Z45="","",SUM(IF(tk_HWSET&amp;""=$Y45,IFERROR(--tk_QTY,0),0)))</f>
        <v/>
      </c>
      <c r="E45" s="176">
        <f>IF($X45="","",IF(INDEX('HW Sets'!$C$7:$C$306,$X45)="","",INDEX('HW Sets'!$C$7:$C$306,$X45)))</f>
        <v/>
      </c>
      <c r="F45" s="176">
        <f>IF($X45="","",IF(INDEX('HW Sets'!$D$7:$D$306,$X45)="","",INDEX('HW Sets'!$D$7:$D$306,$X45)))</f>
        <v/>
      </c>
      <c r="G45" s="176">
        <f>IF($X45="","",IF(INDEX('HW Sets'!$E$7:$E$306,$X45)="","",INDEX('HW Sets'!$E$7:$E$306,$X45)))</f>
        <v/>
      </c>
      <c r="H45" s="176">
        <f>IF($X45="","",IF(INDEX('HW Sets'!$F$7:$F$306,$X45)="","",INDEX('HW Sets'!$F$7:$F$306,$X45)))</f>
        <v/>
      </c>
      <c r="I45" s="176">
        <f>IF($X45="","",IF(INDEX('HW Sets'!$G$7:$G$306,$X45)="","",INDEX('HW Sets'!$G$7:$G$306,$X45)))</f>
        <v/>
      </c>
      <c r="J45" s="176">
        <f>IF($X45="","",IF(INDEX('HW Sets'!$H$7:$H$306,$X45)="","",INDEX('HW Sets'!$H$7:$H$306,$X45)))</f>
        <v/>
      </c>
      <c r="K45" s="175">
        <f t="array" ref="K45">IF($X45="","",N($E45)*SUM(IF(tk_HWSET&amp;""=$Y45,IFERROR(--tk_QTY,0),0)))</f>
        <v/>
      </c>
      <c r="L45" s="176">
        <f>IF($X45="","",IF(INDEX('HW Sets'!$I$7:$I$306,$X45)="","",INDEX('HW Sets'!$I$7:$I$306,$X45)))</f>
        <v/>
      </c>
      <c r="N45" s="176">
        <f>IF($W45="","",INDEX($G$7:$G$306,$W45)&amp;"")</f>
        <v/>
      </c>
      <c r="O45" s="176">
        <f>IF($W45="","",INDEX($H$7:$H$306,$W45)&amp;"")</f>
        <v/>
      </c>
      <c r="P45" s="176">
        <f>IF($W45="","",INDEX($I$7:$I$306,$W45)&amp;"")</f>
        <v/>
      </c>
      <c r="Q45" s="176">
        <f>IF($W45="","",INDEX($J$7:$J$306,$W45)&amp;"")</f>
        <v/>
      </c>
      <c r="R45" s="176">
        <f>IF($W45="","",INDEX($F$7:$F$306,$W45)&amp;"")</f>
        <v/>
      </c>
      <c r="S45" s="175">
        <f>IF($W45="","",SUMIF($U$7:$U$306,INDEX($U$7:$U$306,$W45),$K$7:$K$306))</f>
        <v/>
      </c>
      <c r="U45">
        <f>IF(OR($X45="",N($K45)=0),"",UPPER(TRIM($G45&amp;"|"&amp;$H45&amp;"|"&amp;$I45&amp;"|"&amp;$J45&amp;"|"&amp;$F45)))</f>
        <v/>
      </c>
      <c r="V45">
        <f>IF($U45="","",IF(COUNTIF($U$7:$U45,$U45)=1,MAX($V$6:$V44)+1,""))</f>
        <v/>
      </c>
      <c r="W45">
        <f>IFERROR(MATCH(39,$V$7:$V$306,0),"")</f>
        <v/>
      </c>
      <c r="X45">
        <f>IFERROR(MATCH(39,'HW Sets'!$S$7:$S$306,0),"")</f>
        <v/>
      </c>
      <c r="Y45">
        <f>IF($X45="","",INDEX('HW Sets'!$J$7:$J$306,$X45)&amp;"")</f>
        <v/>
      </c>
      <c r="Z45">
        <f>IF($Y45="","",IF(COUNTIF($Y$7:$Y45,$Y45)=1,1,""))</f>
        <v/>
      </c>
    </row>
    <row r="46">
      <c r="A46" s="175">
        <f>IF($Z46="","",$Y46)</f>
        <v/>
      </c>
      <c r="B46" s="176">
        <f>IF($Z46="","",IFERROR(INDEX('HW Sets'!$N$7:$N$306,MATCH($Y46,'HW Sets'!$M$7:$M$306,0)),""))</f>
        <v/>
      </c>
      <c r="C46" s="177">
        <f t="array" ref="C46">IF($Z46="","",_xlfn.TEXTJOIN(", ",TRUE,IF(tk_HWSET&amp;""=$Y46,tk_MARK,"")))</f>
        <v/>
      </c>
      <c r="D46" s="176">
        <f t="array" ref="D46">IF($Z46="","",SUM(IF(tk_HWSET&amp;""=$Y46,IFERROR(--tk_QTY,0),0)))</f>
        <v/>
      </c>
      <c r="E46" s="176">
        <f>IF($X46="","",IF(INDEX('HW Sets'!$C$7:$C$306,$X46)="","",INDEX('HW Sets'!$C$7:$C$306,$X46)))</f>
        <v/>
      </c>
      <c r="F46" s="176">
        <f>IF($X46="","",IF(INDEX('HW Sets'!$D$7:$D$306,$X46)="","",INDEX('HW Sets'!$D$7:$D$306,$X46)))</f>
        <v/>
      </c>
      <c r="G46" s="176">
        <f>IF($X46="","",IF(INDEX('HW Sets'!$E$7:$E$306,$X46)="","",INDEX('HW Sets'!$E$7:$E$306,$X46)))</f>
        <v/>
      </c>
      <c r="H46" s="176">
        <f>IF($X46="","",IF(INDEX('HW Sets'!$F$7:$F$306,$X46)="","",INDEX('HW Sets'!$F$7:$F$306,$X46)))</f>
        <v/>
      </c>
      <c r="I46" s="176">
        <f>IF($X46="","",IF(INDEX('HW Sets'!$G$7:$G$306,$X46)="","",INDEX('HW Sets'!$G$7:$G$306,$X46)))</f>
        <v/>
      </c>
      <c r="J46" s="176">
        <f>IF($X46="","",IF(INDEX('HW Sets'!$H$7:$H$306,$X46)="","",INDEX('HW Sets'!$H$7:$H$306,$X46)))</f>
        <v/>
      </c>
      <c r="K46" s="175">
        <f t="array" ref="K46">IF($X46="","",N($E46)*SUM(IF(tk_HWSET&amp;""=$Y46,IFERROR(--tk_QTY,0),0)))</f>
        <v/>
      </c>
      <c r="L46" s="176">
        <f>IF($X46="","",IF(INDEX('HW Sets'!$I$7:$I$306,$X46)="","",INDEX('HW Sets'!$I$7:$I$306,$X46)))</f>
        <v/>
      </c>
      <c r="N46" s="176">
        <f>IF($W46="","",INDEX($G$7:$G$306,$W46)&amp;"")</f>
        <v/>
      </c>
      <c r="O46" s="176">
        <f>IF($W46="","",INDEX($H$7:$H$306,$W46)&amp;"")</f>
        <v/>
      </c>
      <c r="P46" s="176">
        <f>IF($W46="","",INDEX($I$7:$I$306,$W46)&amp;"")</f>
        <v/>
      </c>
      <c r="Q46" s="176">
        <f>IF($W46="","",INDEX($J$7:$J$306,$W46)&amp;"")</f>
        <v/>
      </c>
      <c r="R46" s="176">
        <f>IF($W46="","",INDEX($F$7:$F$306,$W46)&amp;"")</f>
        <v/>
      </c>
      <c r="S46" s="175">
        <f>IF($W46="","",SUMIF($U$7:$U$306,INDEX($U$7:$U$306,$W46),$K$7:$K$306))</f>
        <v/>
      </c>
      <c r="U46">
        <f>IF(OR($X46="",N($K46)=0),"",UPPER(TRIM($G46&amp;"|"&amp;$H46&amp;"|"&amp;$I46&amp;"|"&amp;$J46&amp;"|"&amp;$F46)))</f>
        <v/>
      </c>
      <c r="V46">
        <f>IF($U46="","",IF(COUNTIF($U$7:$U46,$U46)=1,MAX($V$6:$V45)+1,""))</f>
        <v/>
      </c>
      <c r="W46">
        <f>IFERROR(MATCH(40,$V$7:$V$306,0),"")</f>
        <v/>
      </c>
      <c r="X46">
        <f>IFERROR(MATCH(40,'HW Sets'!$S$7:$S$306,0),"")</f>
        <v/>
      </c>
      <c r="Y46">
        <f>IF($X46="","",INDEX('HW Sets'!$J$7:$J$306,$X46)&amp;"")</f>
        <v/>
      </c>
      <c r="Z46">
        <f>IF($Y46="","",IF(COUNTIF($Y$7:$Y46,$Y46)=1,1,""))</f>
        <v/>
      </c>
    </row>
    <row r="47">
      <c r="A47" s="175">
        <f>IF($Z47="","",$Y47)</f>
        <v/>
      </c>
      <c r="B47" s="176">
        <f>IF($Z47="","",IFERROR(INDEX('HW Sets'!$N$7:$N$306,MATCH($Y47,'HW Sets'!$M$7:$M$306,0)),""))</f>
        <v/>
      </c>
      <c r="C47" s="177">
        <f t="array" ref="C47">IF($Z47="","",_xlfn.TEXTJOIN(", ",TRUE,IF(tk_HWSET&amp;""=$Y47,tk_MARK,"")))</f>
        <v/>
      </c>
      <c r="D47" s="176">
        <f t="array" ref="D47">IF($Z47="","",SUM(IF(tk_HWSET&amp;""=$Y47,IFERROR(--tk_QTY,0),0)))</f>
        <v/>
      </c>
      <c r="E47" s="176">
        <f>IF($X47="","",IF(INDEX('HW Sets'!$C$7:$C$306,$X47)="","",INDEX('HW Sets'!$C$7:$C$306,$X47)))</f>
        <v/>
      </c>
      <c r="F47" s="176">
        <f>IF($X47="","",IF(INDEX('HW Sets'!$D$7:$D$306,$X47)="","",INDEX('HW Sets'!$D$7:$D$306,$X47)))</f>
        <v/>
      </c>
      <c r="G47" s="176">
        <f>IF($X47="","",IF(INDEX('HW Sets'!$E$7:$E$306,$X47)="","",INDEX('HW Sets'!$E$7:$E$306,$X47)))</f>
        <v/>
      </c>
      <c r="H47" s="176">
        <f>IF($X47="","",IF(INDEX('HW Sets'!$F$7:$F$306,$X47)="","",INDEX('HW Sets'!$F$7:$F$306,$X47)))</f>
        <v/>
      </c>
      <c r="I47" s="176">
        <f>IF($X47="","",IF(INDEX('HW Sets'!$G$7:$G$306,$X47)="","",INDEX('HW Sets'!$G$7:$G$306,$X47)))</f>
        <v/>
      </c>
      <c r="J47" s="176">
        <f>IF($X47="","",IF(INDEX('HW Sets'!$H$7:$H$306,$X47)="","",INDEX('HW Sets'!$H$7:$H$306,$X47)))</f>
        <v/>
      </c>
      <c r="K47" s="175">
        <f t="array" ref="K47">IF($X47="","",N($E47)*SUM(IF(tk_HWSET&amp;""=$Y47,IFERROR(--tk_QTY,0),0)))</f>
        <v/>
      </c>
      <c r="L47" s="176">
        <f>IF($X47="","",IF(INDEX('HW Sets'!$I$7:$I$306,$X47)="","",INDEX('HW Sets'!$I$7:$I$306,$X47)))</f>
        <v/>
      </c>
      <c r="N47" s="176">
        <f>IF($W47="","",INDEX($G$7:$G$306,$W47)&amp;"")</f>
        <v/>
      </c>
      <c r="O47" s="176">
        <f>IF($W47="","",INDEX($H$7:$H$306,$W47)&amp;"")</f>
        <v/>
      </c>
      <c r="P47" s="176">
        <f>IF($W47="","",INDEX($I$7:$I$306,$W47)&amp;"")</f>
        <v/>
      </c>
      <c r="Q47" s="176">
        <f>IF($W47="","",INDEX($J$7:$J$306,$W47)&amp;"")</f>
        <v/>
      </c>
      <c r="R47" s="176">
        <f>IF($W47="","",INDEX($F$7:$F$306,$W47)&amp;"")</f>
        <v/>
      </c>
      <c r="S47" s="175">
        <f>IF($W47="","",SUMIF($U$7:$U$306,INDEX($U$7:$U$306,$W47),$K$7:$K$306))</f>
        <v/>
      </c>
      <c r="U47">
        <f>IF(OR($X47="",N($K47)=0),"",UPPER(TRIM($G47&amp;"|"&amp;$H47&amp;"|"&amp;$I47&amp;"|"&amp;$J47&amp;"|"&amp;$F47)))</f>
        <v/>
      </c>
      <c r="V47">
        <f>IF($U47="","",IF(COUNTIF($U$7:$U47,$U47)=1,MAX($V$6:$V46)+1,""))</f>
        <v/>
      </c>
      <c r="W47">
        <f>IFERROR(MATCH(41,$V$7:$V$306,0),"")</f>
        <v/>
      </c>
      <c r="X47">
        <f>IFERROR(MATCH(41,'HW Sets'!$S$7:$S$306,0),"")</f>
        <v/>
      </c>
      <c r="Y47">
        <f>IF($X47="","",INDEX('HW Sets'!$J$7:$J$306,$X47)&amp;"")</f>
        <v/>
      </c>
      <c r="Z47">
        <f>IF($Y47="","",IF(COUNTIF($Y$7:$Y47,$Y47)=1,1,""))</f>
        <v/>
      </c>
    </row>
    <row r="48">
      <c r="A48" s="175">
        <f>IF($Z48="","",$Y48)</f>
        <v/>
      </c>
      <c r="B48" s="176">
        <f>IF($Z48="","",IFERROR(INDEX('HW Sets'!$N$7:$N$306,MATCH($Y48,'HW Sets'!$M$7:$M$306,0)),""))</f>
        <v/>
      </c>
      <c r="C48" s="177">
        <f t="array" ref="C48">IF($Z48="","",_xlfn.TEXTJOIN(", ",TRUE,IF(tk_HWSET&amp;""=$Y48,tk_MARK,"")))</f>
        <v/>
      </c>
      <c r="D48" s="176">
        <f t="array" ref="D48">IF($Z48="","",SUM(IF(tk_HWSET&amp;""=$Y48,IFERROR(--tk_QTY,0),0)))</f>
        <v/>
      </c>
      <c r="E48" s="176">
        <f>IF($X48="","",IF(INDEX('HW Sets'!$C$7:$C$306,$X48)="","",INDEX('HW Sets'!$C$7:$C$306,$X48)))</f>
        <v/>
      </c>
      <c r="F48" s="176">
        <f>IF($X48="","",IF(INDEX('HW Sets'!$D$7:$D$306,$X48)="","",INDEX('HW Sets'!$D$7:$D$306,$X48)))</f>
        <v/>
      </c>
      <c r="G48" s="176">
        <f>IF($X48="","",IF(INDEX('HW Sets'!$E$7:$E$306,$X48)="","",INDEX('HW Sets'!$E$7:$E$306,$X48)))</f>
        <v/>
      </c>
      <c r="H48" s="176">
        <f>IF($X48="","",IF(INDEX('HW Sets'!$F$7:$F$306,$X48)="","",INDEX('HW Sets'!$F$7:$F$306,$X48)))</f>
        <v/>
      </c>
      <c r="I48" s="176">
        <f>IF($X48="","",IF(INDEX('HW Sets'!$G$7:$G$306,$X48)="","",INDEX('HW Sets'!$G$7:$G$306,$X48)))</f>
        <v/>
      </c>
      <c r="J48" s="176">
        <f>IF($X48="","",IF(INDEX('HW Sets'!$H$7:$H$306,$X48)="","",INDEX('HW Sets'!$H$7:$H$306,$X48)))</f>
        <v/>
      </c>
      <c r="K48" s="175">
        <f t="array" ref="K48">IF($X48="","",N($E48)*SUM(IF(tk_HWSET&amp;""=$Y48,IFERROR(--tk_QTY,0),0)))</f>
        <v/>
      </c>
      <c r="L48" s="176">
        <f>IF($X48="","",IF(INDEX('HW Sets'!$I$7:$I$306,$X48)="","",INDEX('HW Sets'!$I$7:$I$306,$X48)))</f>
        <v/>
      </c>
      <c r="N48" s="176">
        <f>IF($W48="","",INDEX($G$7:$G$306,$W48)&amp;"")</f>
        <v/>
      </c>
      <c r="O48" s="176">
        <f>IF($W48="","",INDEX($H$7:$H$306,$W48)&amp;"")</f>
        <v/>
      </c>
      <c r="P48" s="176">
        <f>IF($W48="","",INDEX($I$7:$I$306,$W48)&amp;"")</f>
        <v/>
      </c>
      <c r="Q48" s="176">
        <f>IF($W48="","",INDEX($J$7:$J$306,$W48)&amp;"")</f>
        <v/>
      </c>
      <c r="R48" s="176">
        <f>IF($W48="","",INDEX($F$7:$F$306,$W48)&amp;"")</f>
        <v/>
      </c>
      <c r="S48" s="175">
        <f>IF($W48="","",SUMIF($U$7:$U$306,INDEX($U$7:$U$306,$W48),$K$7:$K$306))</f>
        <v/>
      </c>
      <c r="U48">
        <f>IF(OR($X48="",N($K48)=0),"",UPPER(TRIM($G48&amp;"|"&amp;$H48&amp;"|"&amp;$I48&amp;"|"&amp;$J48&amp;"|"&amp;$F48)))</f>
        <v/>
      </c>
      <c r="V48">
        <f>IF($U48="","",IF(COUNTIF($U$7:$U48,$U48)=1,MAX($V$6:$V47)+1,""))</f>
        <v/>
      </c>
      <c r="W48">
        <f>IFERROR(MATCH(42,$V$7:$V$306,0),"")</f>
        <v/>
      </c>
      <c r="X48">
        <f>IFERROR(MATCH(42,'HW Sets'!$S$7:$S$306,0),"")</f>
        <v/>
      </c>
      <c r="Y48">
        <f>IF($X48="","",INDEX('HW Sets'!$J$7:$J$306,$X48)&amp;"")</f>
        <v/>
      </c>
      <c r="Z48">
        <f>IF($Y48="","",IF(COUNTIF($Y$7:$Y48,$Y48)=1,1,""))</f>
        <v/>
      </c>
    </row>
    <row r="49">
      <c r="A49" s="175">
        <f>IF($Z49="","",$Y49)</f>
        <v/>
      </c>
      <c r="B49" s="176">
        <f>IF($Z49="","",IFERROR(INDEX('HW Sets'!$N$7:$N$306,MATCH($Y49,'HW Sets'!$M$7:$M$306,0)),""))</f>
        <v/>
      </c>
      <c r="C49" s="177">
        <f t="array" ref="C49">IF($Z49="","",_xlfn.TEXTJOIN(", ",TRUE,IF(tk_HWSET&amp;""=$Y49,tk_MARK,"")))</f>
        <v/>
      </c>
      <c r="D49" s="176">
        <f t="array" ref="D49">IF($Z49="","",SUM(IF(tk_HWSET&amp;""=$Y49,IFERROR(--tk_QTY,0),0)))</f>
        <v/>
      </c>
      <c r="E49" s="176">
        <f>IF($X49="","",IF(INDEX('HW Sets'!$C$7:$C$306,$X49)="","",INDEX('HW Sets'!$C$7:$C$306,$X49)))</f>
        <v/>
      </c>
      <c r="F49" s="176">
        <f>IF($X49="","",IF(INDEX('HW Sets'!$D$7:$D$306,$X49)="","",INDEX('HW Sets'!$D$7:$D$306,$X49)))</f>
        <v/>
      </c>
      <c r="G49" s="176">
        <f>IF($X49="","",IF(INDEX('HW Sets'!$E$7:$E$306,$X49)="","",INDEX('HW Sets'!$E$7:$E$306,$X49)))</f>
        <v/>
      </c>
      <c r="H49" s="176">
        <f>IF($X49="","",IF(INDEX('HW Sets'!$F$7:$F$306,$X49)="","",INDEX('HW Sets'!$F$7:$F$306,$X49)))</f>
        <v/>
      </c>
      <c r="I49" s="176">
        <f>IF($X49="","",IF(INDEX('HW Sets'!$G$7:$G$306,$X49)="","",INDEX('HW Sets'!$G$7:$G$306,$X49)))</f>
        <v/>
      </c>
      <c r="J49" s="176">
        <f>IF($X49="","",IF(INDEX('HW Sets'!$H$7:$H$306,$X49)="","",INDEX('HW Sets'!$H$7:$H$306,$X49)))</f>
        <v/>
      </c>
      <c r="K49" s="175">
        <f t="array" ref="K49">IF($X49="","",N($E49)*SUM(IF(tk_HWSET&amp;""=$Y49,IFERROR(--tk_QTY,0),0)))</f>
        <v/>
      </c>
      <c r="L49" s="176">
        <f>IF($X49="","",IF(INDEX('HW Sets'!$I$7:$I$306,$X49)="","",INDEX('HW Sets'!$I$7:$I$306,$X49)))</f>
        <v/>
      </c>
      <c r="N49" s="176">
        <f>IF($W49="","",INDEX($G$7:$G$306,$W49)&amp;"")</f>
        <v/>
      </c>
      <c r="O49" s="176">
        <f>IF($W49="","",INDEX($H$7:$H$306,$W49)&amp;"")</f>
        <v/>
      </c>
      <c r="P49" s="176">
        <f>IF($W49="","",INDEX($I$7:$I$306,$W49)&amp;"")</f>
        <v/>
      </c>
      <c r="Q49" s="176">
        <f>IF($W49="","",INDEX($J$7:$J$306,$W49)&amp;"")</f>
        <v/>
      </c>
      <c r="R49" s="176">
        <f>IF($W49="","",INDEX($F$7:$F$306,$W49)&amp;"")</f>
        <v/>
      </c>
      <c r="S49" s="175">
        <f>IF($W49="","",SUMIF($U$7:$U$306,INDEX($U$7:$U$306,$W49),$K$7:$K$306))</f>
        <v/>
      </c>
      <c r="U49">
        <f>IF(OR($X49="",N($K49)=0),"",UPPER(TRIM($G49&amp;"|"&amp;$H49&amp;"|"&amp;$I49&amp;"|"&amp;$J49&amp;"|"&amp;$F49)))</f>
        <v/>
      </c>
      <c r="V49">
        <f>IF($U49="","",IF(COUNTIF($U$7:$U49,$U49)=1,MAX($V$6:$V48)+1,""))</f>
        <v/>
      </c>
      <c r="W49">
        <f>IFERROR(MATCH(43,$V$7:$V$306,0),"")</f>
        <v/>
      </c>
      <c r="X49">
        <f>IFERROR(MATCH(43,'HW Sets'!$S$7:$S$306,0),"")</f>
        <v/>
      </c>
      <c r="Y49">
        <f>IF($X49="","",INDEX('HW Sets'!$J$7:$J$306,$X49)&amp;"")</f>
        <v/>
      </c>
      <c r="Z49">
        <f>IF($Y49="","",IF(COUNTIF($Y$7:$Y49,$Y49)=1,1,""))</f>
        <v/>
      </c>
    </row>
    <row r="50">
      <c r="A50" s="175">
        <f>IF($Z50="","",$Y50)</f>
        <v/>
      </c>
      <c r="B50" s="176">
        <f>IF($Z50="","",IFERROR(INDEX('HW Sets'!$N$7:$N$306,MATCH($Y50,'HW Sets'!$M$7:$M$306,0)),""))</f>
        <v/>
      </c>
      <c r="C50" s="177">
        <f t="array" ref="C50">IF($Z50="","",_xlfn.TEXTJOIN(", ",TRUE,IF(tk_HWSET&amp;""=$Y50,tk_MARK,"")))</f>
        <v/>
      </c>
      <c r="D50" s="176">
        <f t="array" ref="D50">IF($Z50="","",SUM(IF(tk_HWSET&amp;""=$Y50,IFERROR(--tk_QTY,0),0)))</f>
        <v/>
      </c>
      <c r="E50" s="176">
        <f>IF($X50="","",IF(INDEX('HW Sets'!$C$7:$C$306,$X50)="","",INDEX('HW Sets'!$C$7:$C$306,$X50)))</f>
        <v/>
      </c>
      <c r="F50" s="176">
        <f>IF($X50="","",IF(INDEX('HW Sets'!$D$7:$D$306,$X50)="","",INDEX('HW Sets'!$D$7:$D$306,$X50)))</f>
        <v/>
      </c>
      <c r="G50" s="176">
        <f>IF($X50="","",IF(INDEX('HW Sets'!$E$7:$E$306,$X50)="","",INDEX('HW Sets'!$E$7:$E$306,$X50)))</f>
        <v/>
      </c>
      <c r="H50" s="176">
        <f>IF($X50="","",IF(INDEX('HW Sets'!$F$7:$F$306,$X50)="","",INDEX('HW Sets'!$F$7:$F$306,$X50)))</f>
        <v/>
      </c>
      <c r="I50" s="176">
        <f>IF($X50="","",IF(INDEX('HW Sets'!$G$7:$G$306,$X50)="","",INDEX('HW Sets'!$G$7:$G$306,$X50)))</f>
        <v/>
      </c>
      <c r="J50" s="176">
        <f>IF($X50="","",IF(INDEX('HW Sets'!$H$7:$H$306,$X50)="","",INDEX('HW Sets'!$H$7:$H$306,$X50)))</f>
        <v/>
      </c>
      <c r="K50" s="175">
        <f t="array" ref="K50">IF($X50="","",N($E50)*SUM(IF(tk_HWSET&amp;""=$Y50,IFERROR(--tk_QTY,0),0)))</f>
        <v/>
      </c>
      <c r="L50" s="176">
        <f>IF($X50="","",IF(INDEX('HW Sets'!$I$7:$I$306,$X50)="","",INDEX('HW Sets'!$I$7:$I$306,$X50)))</f>
        <v/>
      </c>
      <c r="N50" s="176">
        <f>IF($W50="","",INDEX($G$7:$G$306,$W50)&amp;"")</f>
        <v/>
      </c>
      <c r="O50" s="176">
        <f>IF($W50="","",INDEX($H$7:$H$306,$W50)&amp;"")</f>
        <v/>
      </c>
      <c r="P50" s="176">
        <f>IF($W50="","",INDEX($I$7:$I$306,$W50)&amp;"")</f>
        <v/>
      </c>
      <c r="Q50" s="176">
        <f>IF($W50="","",INDEX($J$7:$J$306,$W50)&amp;"")</f>
        <v/>
      </c>
      <c r="R50" s="176">
        <f>IF($W50="","",INDEX($F$7:$F$306,$W50)&amp;"")</f>
        <v/>
      </c>
      <c r="S50" s="175">
        <f>IF($W50="","",SUMIF($U$7:$U$306,INDEX($U$7:$U$306,$W50),$K$7:$K$306))</f>
        <v/>
      </c>
      <c r="U50">
        <f>IF(OR($X50="",N($K50)=0),"",UPPER(TRIM($G50&amp;"|"&amp;$H50&amp;"|"&amp;$I50&amp;"|"&amp;$J50&amp;"|"&amp;$F50)))</f>
        <v/>
      </c>
      <c r="V50">
        <f>IF($U50="","",IF(COUNTIF($U$7:$U50,$U50)=1,MAX($V$6:$V49)+1,""))</f>
        <v/>
      </c>
      <c r="W50">
        <f>IFERROR(MATCH(44,$V$7:$V$306,0),"")</f>
        <v/>
      </c>
      <c r="X50">
        <f>IFERROR(MATCH(44,'HW Sets'!$S$7:$S$306,0),"")</f>
        <v/>
      </c>
      <c r="Y50">
        <f>IF($X50="","",INDEX('HW Sets'!$J$7:$J$306,$X50)&amp;"")</f>
        <v/>
      </c>
      <c r="Z50">
        <f>IF($Y50="","",IF(COUNTIF($Y$7:$Y50,$Y50)=1,1,""))</f>
        <v/>
      </c>
    </row>
    <row r="51">
      <c r="A51" s="175">
        <f>IF($Z51="","",$Y51)</f>
        <v/>
      </c>
      <c r="B51" s="176">
        <f>IF($Z51="","",IFERROR(INDEX('HW Sets'!$N$7:$N$306,MATCH($Y51,'HW Sets'!$M$7:$M$306,0)),""))</f>
        <v/>
      </c>
      <c r="C51" s="177">
        <f t="array" ref="C51">IF($Z51="","",_xlfn.TEXTJOIN(", ",TRUE,IF(tk_HWSET&amp;""=$Y51,tk_MARK,"")))</f>
        <v/>
      </c>
      <c r="D51" s="176">
        <f t="array" ref="D51">IF($Z51="","",SUM(IF(tk_HWSET&amp;""=$Y51,IFERROR(--tk_QTY,0),0)))</f>
        <v/>
      </c>
      <c r="E51" s="176">
        <f>IF($X51="","",IF(INDEX('HW Sets'!$C$7:$C$306,$X51)="","",INDEX('HW Sets'!$C$7:$C$306,$X51)))</f>
        <v/>
      </c>
      <c r="F51" s="176">
        <f>IF($X51="","",IF(INDEX('HW Sets'!$D$7:$D$306,$X51)="","",INDEX('HW Sets'!$D$7:$D$306,$X51)))</f>
        <v/>
      </c>
      <c r="G51" s="176">
        <f>IF($X51="","",IF(INDEX('HW Sets'!$E$7:$E$306,$X51)="","",INDEX('HW Sets'!$E$7:$E$306,$X51)))</f>
        <v/>
      </c>
      <c r="H51" s="176">
        <f>IF($X51="","",IF(INDEX('HW Sets'!$F$7:$F$306,$X51)="","",INDEX('HW Sets'!$F$7:$F$306,$X51)))</f>
        <v/>
      </c>
      <c r="I51" s="176">
        <f>IF($X51="","",IF(INDEX('HW Sets'!$G$7:$G$306,$X51)="","",INDEX('HW Sets'!$G$7:$G$306,$X51)))</f>
        <v/>
      </c>
      <c r="J51" s="176">
        <f>IF($X51="","",IF(INDEX('HW Sets'!$H$7:$H$306,$X51)="","",INDEX('HW Sets'!$H$7:$H$306,$X51)))</f>
        <v/>
      </c>
      <c r="K51" s="175">
        <f t="array" ref="K51">IF($X51="","",N($E51)*SUM(IF(tk_HWSET&amp;""=$Y51,IFERROR(--tk_QTY,0),0)))</f>
        <v/>
      </c>
      <c r="L51" s="176">
        <f>IF($X51="","",IF(INDEX('HW Sets'!$I$7:$I$306,$X51)="","",INDEX('HW Sets'!$I$7:$I$306,$X51)))</f>
        <v/>
      </c>
      <c r="N51" s="176">
        <f>IF($W51="","",INDEX($G$7:$G$306,$W51)&amp;"")</f>
        <v/>
      </c>
      <c r="O51" s="176">
        <f>IF($W51="","",INDEX($H$7:$H$306,$W51)&amp;"")</f>
        <v/>
      </c>
      <c r="P51" s="176">
        <f>IF($W51="","",INDEX($I$7:$I$306,$W51)&amp;"")</f>
        <v/>
      </c>
      <c r="Q51" s="176">
        <f>IF($W51="","",INDEX($J$7:$J$306,$W51)&amp;"")</f>
        <v/>
      </c>
      <c r="R51" s="176">
        <f>IF($W51="","",INDEX($F$7:$F$306,$W51)&amp;"")</f>
        <v/>
      </c>
      <c r="S51" s="175">
        <f>IF($W51="","",SUMIF($U$7:$U$306,INDEX($U$7:$U$306,$W51),$K$7:$K$306))</f>
        <v/>
      </c>
      <c r="U51">
        <f>IF(OR($X51="",N($K51)=0),"",UPPER(TRIM($G51&amp;"|"&amp;$H51&amp;"|"&amp;$I51&amp;"|"&amp;$J51&amp;"|"&amp;$F51)))</f>
        <v/>
      </c>
      <c r="V51">
        <f>IF($U51="","",IF(COUNTIF($U$7:$U51,$U51)=1,MAX($V$6:$V50)+1,""))</f>
        <v/>
      </c>
      <c r="W51">
        <f>IFERROR(MATCH(45,$V$7:$V$306,0),"")</f>
        <v/>
      </c>
      <c r="X51">
        <f>IFERROR(MATCH(45,'HW Sets'!$S$7:$S$306,0),"")</f>
        <v/>
      </c>
      <c r="Y51">
        <f>IF($X51="","",INDEX('HW Sets'!$J$7:$J$306,$X51)&amp;"")</f>
        <v/>
      </c>
      <c r="Z51">
        <f>IF($Y51="","",IF(COUNTIF($Y$7:$Y51,$Y51)=1,1,""))</f>
        <v/>
      </c>
    </row>
    <row r="52">
      <c r="A52" s="175">
        <f>IF($Z52="","",$Y52)</f>
        <v/>
      </c>
      <c r="B52" s="176">
        <f>IF($Z52="","",IFERROR(INDEX('HW Sets'!$N$7:$N$306,MATCH($Y52,'HW Sets'!$M$7:$M$306,0)),""))</f>
        <v/>
      </c>
      <c r="C52" s="177">
        <f t="array" ref="C52">IF($Z52="","",_xlfn.TEXTJOIN(", ",TRUE,IF(tk_HWSET&amp;""=$Y52,tk_MARK,"")))</f>
        <v/>
      </c>
      <c r="D52" s="176">
        <f t="array" ref="D52">IF($Z52="","",SUM(IF(tk_HWSET&amp;""=$Y52,IFERROR(--tk_QTY,0),0)))</f>
        <v/>
      </c>
      <c r="E52" s="176">
        <f>IF($X52="","",IF(INDEX('HW Sets'!$C$7:$C$306,$X52)="","",INDEX('HW Sets'!$C$7:$C$306,$X52)))</f>
        <v/>
      </c>
      <c r="F52" s="176">
        <f>IF($X52="","",IF(INDEX('HW Sets'!$D$7:$D$306,$X52)="","",INDEX('HW Sets'!$D$7:$D$306,$X52)))</f>
        <v/>
      </c>
      <c r="G52" s="176">
        <f>IF($X52="","",IF(INDEX('HW Sets'!$E$7:$E$306,$X52)="","",INDEX('HW Sets'!$E$7:$E$306,$X52)))</f>
        <v/>
      </c>
      <c r="H52" s="176">
        <f>IF($X52="","",IF(INDEX('HW Sets'!$F$7:$F$306,$X52)="","",INDEX('HW Sets'!$F$7:$F$306,$X52)))</f>
        <v/>
      </c>
      <c r="I52" s="176">
        <f>IF($X52="","",IF(INDEX('HW Sets'!$G$7:$G$306,$X52)="","",INDEX('HW Sets'!$G$7:$G$306,$X52)))</f>
        <v/>
      </c>
      <c r="J52" s="176">
        <f>IF($X52="","",IF(INDEX('HW Sets'!$H$7:$H$306,$X52)="","",INDEX('HW Sets'!$H$7:$H$306,$X52)))</f>
        <v/>
      </c>
      <c r="K52" s="175">
        <f t="array" ref="K52">IF($X52="","",N($E52)*SUM(IF(tk_HWSET&amp;""=$Y52,IFERROR(--tk_QTY,0),0)))</f>
        <v/>
      </c>
      <c r="L52" s="176">
        <f>IF($X52="","",IF(INDEX('HW Sets'!$I$7:$I$306,$X52)="","",INDEX('HW Sets'!$I$7:$I$306,$X52)))</f>
        <v/>
      </c>
      <c r="N52" s="176">
        <f>IF($W52="","",INDEX($G$7:$G$306,$W52)&amp;"")</f>
        <v/>
      </c>
      <c r="O52" s="176">
        <f>IF($W52="","",INDEX($H$7:$H$306,$W52)&amp;"")</f>
        <v/>
      </c>
      <c r="P52" s="176">
        <f>IF($W52="","",INDEX($I$7:$I$306,$W52)&amp;"")</f>
        <v/>
      </c>
      <c r="Q52" s="176">
        <f>IF($W52="","",INDEX($J$7:$J$306,$W52)&amp;"")</f>
        <v/>
      </c>
      <c r="R52" s="176">
        <f>IF($W52="","",INDEX($F$7:$F$306,$W52)&amp;"")</f>
        <v/>
      </c>
      <c r="S52" s="175">
        <f>IF($W52="","",SUMIF($U$7:$U$306,INDEX($U$7:$U$306,$W52),$K$7:$K$306))</f>
        <v/>
      </c>
      <c r="U52">
        <f>IF(OR($X52="",N($K52)=0),"",UPPER(TRIM($G52&amp;"|"&amp;$H52&amp;"|"&amp;$I52&amp;"|"&amp;$J52&amp;"|"&amp;$F52)))</f>
        <v/>
      </c>
      <c r="V52">
        <f>IF($U52="","",IF(COUNTIF($U$7:$U52,$U52)=1,MAX($V$6:$V51)+1,""))</f>
        <v/>
      </c>
      <c r="W52">
        <f>IFERROR(MATCH(46,$V$7:$V$306,0),"")</f>
        <v/>
      </c>
      <c r="X52">
        <f>IFERROR(MATCH(46,'HW Sets'!$S$7:$S$306,0),"")</f>
        <v/>
      </c>
      <c r="Y52">
        <f>IF($X52="","",INDEX('HW Sets'!$J$7:$J$306,$X52)&amp;"")</f>
        <v/>
      </c>
      <c r="Z52">
        <f>IF($Y52="","",IF(COUNTIF($Y$7:$Y52,$Y52)=1,1,""))</f>
        <v/>
      </c>
    </row>
    <row r="53">
      <c r="A53" s="175">
        <f>IF($Z53="","",$Y53)</f>
        <v/>
      </c>
      <c r="B53" s="176">
        <f>IF($Z53="","",IFERROR(INDEX('HW Sets'!$N$7:$N$306,MATCH($Y53,'HW Sets'!$M$7:$M$306,0)),""))</f>
        <v/>
      </c>
      <c r="C53" s="177">
        <f t="array" ref="C53">IF($Z53="","",_xlfn.TEXTJOIN(", ",TRUE,IF(tk_HWSET&amp;""=$Y53,tk_MARK,"")))</f>
        <v/>
      </c>
      <c r="D53" s="176">
        <f t="array" ref="D53">IF($Z53="","",SUM(IF(tk_HWSET&amp;""=$Y53,IFERROR(--tk_QTY,0),0)))</f>
        <v/>
      </c>
      <c r="E53" s="176">
        <f>IF($X53="","",IF(INDEX('HW Sets'!$C$7:$C$306,$X53)="","",INDEX('HW Sets'!$C$7:$C$306,$X53)))</f>
        <v/>
      </c>
      <c r="F53" s="176">
        <f>IF($X53="","",IF(INDEX('HW Sets'!$D$7:$D$306,$X53)="","",INDEX('HW Sets'!$D$7:$D$306,$X53)))</f>
        <v/>
      </c>
      <c r="G53" s="176">
        <f>IF($X53="","",IF(INDEX('HW Sets'!$E$7:$E$306,$X53)="","",INDEX('HW Sets'!$E$7:$E$306,$X53)))</f>
        <v/>
      </c>
      <c r="H53" s="176">
        <f>IF($X53="","",IF(INDEX('HW Sets'!$F$7:$F$306,$X53)="","",INDEX('HW Sets'!$F$7:$F$306,$X53)))</f>
        <v/>
      </c>
      <c r="I53" s="176">
        <f>IF($X53="","",IF(INDEX('HW Sets'!$G$7:$G$306,$X53)="","",INDEX('HW Sets'!$G$7:$G$306,$X53)))</f>
        <v/>
      </c>
      <c r="J53" s="176">
        <f>IF($X53="","",IF(INDEX('HW Sets'!$H$7:$H$306,$X53)="","",INDEX('HW Sets'!$H$7:$H$306,$X53)))</f>
        <v/>
      </c>
      <c r="K53" s="175">
        <f t="array" ref="K53">IF($X53="","",N($E53)*SUM(IF(tk_HWSET&amp;""=$Y53,IFERROR(--tk_QTY,0),0)))</f>
        <v/>
      </c>
      <c r="L53" s="176">
        <f>IF($X53="","",IF(INDEX('HW Sets'!$I$7:$I$306,$X53)="","",INDEX('HW Sets'!$I$7:$I$306,$X53)))</f>
        <v/>
      </c>
      <c r="N53" s="176">
        <f>IF($W53="","",INDEX($G$7:$G$306,$W53)&amp;"")</f>
        <v/>
      </c>
      <c r="O53" s="176">
        <f>IF($W53="","",INDEX($H$7:$H$306,$W53)&amp;"")</f>
        <v/>
      </c>
      <c r="P53" s="176">
        <f>IF($W53="","",INDEX($I$7:$I$306,$W53)&amp;"")</f>
        <v/>
      </c>
      <c r="Q53" s="176">
        <f>IF($W53="","",INDEX($J$7:$J$306,$W53)&amp;"")</f>
        <v/>
      </c>
      <c r="R53" s="176">
        <f>IF($W53="","",INDEX($F$7:$F$306,$W53)&amp;"")</f>
        <v/>
      </c>
      <c r="S53" s="175">
        <f>IF($W53="","",SUMIF($U$7:$U$306,INDEX($U$7:$U$306,$W53),$K$7:$K$306))</f>
        <v/>
      </c>
      <c r="U53">
        <f>IF(OR($X53="",N($K53)=0),"",UPPER(TRIM($G53&amp;"|"&amp;$H53&amp;"|"&amp;$I53&amp;"|"&amp;$J53&amp;"|"&amp;$F53)))</f>
        <v/>
      </c>
      <c r="V53">
        <f>IF($U53="","",IF(COUNTIF($U$7:$U53,$U53)=1,MAX($V$6:$V52)+1,""))</f>
        <v/>
      </c>
      <c r="W53">
        <f>IFERROR(MATCH(47,$V$7:$V$306,0),"")</f>
        <v/>
      </c>
      <c r="X53">
        <f>IFERROR(MATCH(47,'HW Sets'!$S$7:$S$306,0),"")</f>
        <v/>
      </c>
      <c r="Y53">
        <f>IF($X53="","",INDEX('HW Sets'!$J$7:$J$306,$X53)&amp;"")</f>
        <v/>
      </c>
      <c r="Z53">
        <f>IF($Y53="","",IF(COUNTIF($Y$7:$Y53,$Y53)=1,1,""))</f>
        <v/>
      </c>
    </row>
    <row r="54">
      <c r="A54" s="175">
        <f>IF($Z54="","",$Y54)</f>
        <v/>
      </c>
      <c r="B54" s="176">
        <f>IF($Z54="","",IFERROR(INDEX('HW Sets'!$N$7:$N$306,MATCH($Y54,'HW Sets'!$M$7:$M$306,0)),""))</f>
        <v/>
      </c>
      <c r="C54" s="177">
        <f t="array" ref="C54">IF($Z54="","",_xlfn.TEXTJOIN(", ",TRUE,IF(tk_HWSET&amp;""=$Y54,tk_MARK,"")))</f>
        <v/>
      </c>
      <c r="D54" s="176">
        <f t="array" ref="D54">IF($Z54="","",SUM(IF(tk_HWSET&amp;""=$Y54,IFERROR(--tk_QTY,0),0)))</f>
        <v/>
      </c>
      <c r="E54" s="176">
        <f>IF($X54="","",IF(INDEX('HW Sets'!$C$7:$C$306,$X54)="","",INDEX('HW Sets'!$C$7:$C$306,$X54)))</f>
        <v/>
      </c>
      <c r="F54" s="176">
        <f>IF($X54="","",IF(INDEX('HW Sets'!$D$7:$D$306,$X54)="","",INDEX('HW Sets'!$D$7:$D$306,$X54)))</f>
        <v/>
      </c>
      <c r="G54" s="176">
        <f>IF($X54="","",IF(INDEX('HW Sets'!$E$7:$E$306,$X54)="","",INDEX('HW Sets'!$E$7:$E$306,$X54)))</f>
        <v/>
      </c>
      <c r="H54" s="176">
        <f>IF($X54="","",IF(INDEX('HW Sets'!$F$7:$F$306,$X54)="","",INDEX('HW Sets'!$F$7:$F$306,$X54)))</f>
        <v/>
      </c>
      <c r="I54" s="176">
        <f>IF($X54="","",IF(INDEX('HW Sets'!$G$7:$G$306,$X54)="","",INDEX('HW Sets'!$G$7:$G$306,$X54)))</f>
        <v/>
      </c>
      <c r="J54" s="176">
        <f>IF($X54="","",IF(INDEX('HW Sets'!$H$7:$H$306,$X54)="","",INDEX('HW Sets'!$H$7:$H$306,$X54)))</f>
        <v/>
      </c>
      <c r="K54" s="175">
        <f t="array" ref="K54">IF($X54="","",N($E54)*SUM(IF(tk_HWSET&amp;""=$Y54,IFERROR(--tk_QTY,0),0)))</f>
        <v/>
      </c>
      <c r="L54" s="176">
        <f>IF($X54="","",IF(INDEX('HW Sets'!$I$7:$I$306,$X54)="","",INDEX('HW Sets'!$I$7:$I$306,$X54)))</f>
        <v/>
      </c>
      <c r="N54" s="176">
        <f>IF($W54="","",INDEX($G$7:$G$306,$W54)&amp;"")</f>
        <v/>
      </c>
      <c r="O54" s="176">
        <f>IF($W54="","",INDEX($H$7:$H$306,$W54)&amp;"")</f>
        <v/>
      </c>
      <c r="P54" s="176">
        <f>IF($W54="","",INDEX($I$7:$I$306,$W54)&amp;"")</f>
        <v/>
      </c>
      <c r="Q54" s="176">
        <f>IF($W54="","",INDEX($J$7:$J$306,$W54)&amp;"")</f>
        <v/>
      </c>
      <c r="R54" s="176">
        <f>IF($W54="","",INDEX($F$7:$F$306,$W54)&amp;"")</f>
        <v/>
      </c>
      <c r="S54" s="175">
        <f>IF($W54="","",SUMIF($U$7:$U$306,INDEX($U$7:$U$306,$W54),$K$7:$K$306))</f>
        <v/>
      </c>
      <c r="U54">
        <f>IF(OR($X54="",N($K54)=0),"",UPPER(TRIM($G54&amp;"|"&amp;$H54&amp;"|"&amp;$I54&amp;"|"&amp;$J54&amp;"|"&amp;$F54)))</f>
        <v/>
      </c>
      <c r="V54">
        <f>IF($U54="","",IF(COUNTIF($U$7:$U54,$U54)=1,MAX($V$6:$V53)+1,""))</f>
        <v/>
      </c>
      <c r="W54">
        <f>IFERROR(MATCH(48,$V$7:$V$306,0),"")</f>
        <v/>
      </c>
      <c r="X54">
        <f>IFERROR(MATCH(48,'HW Sets'!$S$7:$S$306,0),"")</f>
        <v/>
      </c>
      <c r="Y54">
        <f>IF($X54="","",INDEX('HW Sets'!$J$7:$J$306,$X54)&amp;"")</f>
        <v/>
      </c>
      <c r="Z54">
        <f>IF($Y54="","",IF(COUNTIF($Y$7:$Y54,$Y54)=1,1,""))</f>
        <v/>
      </c>
    </row>
    <row r="55">
      <c r="A55" s="175">
        <f>IF($Z55="","",$Y55)</f>
        <v/>
      </c>
      <c r="B55" s="176">
        <f>IF($Z55="","",IFERROR(INDEX('HW Sets'!$N$7:$N$306,MATCH($Y55,'HW Sets'!$M$7:$M$306,0)),""))</f>
        <v/>
      </c>
      <c r="C55" s="177">
        <f t="array" ref="C55">IF($Z55="","",_xlfn.TEXTJOIN(", ",TRUE,IF(tk_HWSET&amp;""=$Y55,tk_MARK,"")))</f>
        <v/>
      </c>
      <c r="D55" s="176">
        <f t="array" ref="D55">IF($Z55="","",SUM(IF(tk_HWSET&amp;""=$Y55,IFERROR(--tk_QTY,0),0)))</f>
        <v/>
      </c>
      <c r="E55" s="176">
        <f>IF($X55="","",IF(INDEX('HW Sets'!$C$7:$C$306,$X55)="","",INDEX('HW Sets'!$C$7:$C$306,$X55)))</f>
        <v/>
      </c>
      <c r="F55" s="176">
        <f>IF($X55="","",IF(INDEX('HW Sets'!$D$7:$D$306,$X55)="","",INDEX('HW Sets'!$D$7:$D$306,$X55)))</f>
        <v/>
      </c>
      <c r="G55" s="176">
        <f>IF($X55="","",IF(INDEX('HW Sets'!$E$7:$E$306,$X55)="","",INDEX('HW Sets'!$E$7:$E$306,$X55)))</f>
        <v/>
      </c>
      <c r="H55" s="176">
        <f>IF($X55="","",IF(INDEX('HW Sets'!$F$7:$F$306,$X55)="","",INDEX('HW Sets'!$F$7:$F$306,$X55)))</f>
        <v/>
      </c>
      <c r="I55" s="176">
        <f>IF($X55="","",IF(INDEX('HW Sets'!$G$7:$G$306,$X55)="","",INDEX('HW Sets'!$G$7:$G$306,$X55)))</f>
        <v/>
      </c>
      <c r="J55" s="176">
        <f>IF($X55="","",IF(INDEX('HW Sets'!$H$7:$H$306,$X55)="","",INDEX('HW Sets'!$H$7:$H$306,$X55)))</f>
        <v/>
      </c>
      <c r="K55" s="175">
        <f t="array" ref="K55">IF($X55="","",N($E55)*SUM(IF(tk_HWSET&amp;""=$Y55,IFERROR(--tk_QTY,0),0)))</f>
        <v/>
      </c>
      <c r="L55" s="176">
        <f>IF($X55="","",IF(INDEX('HW Sets'!$I$7:$I$306,$X55)="","",INDEX('HW Sets'!$I$7:$I$306,$X55)))</f>
        <v/>
      </c>
      <c r="N55" s="176">
        <f>IF($W55="","",INDEX($G$7:$G$306,$W55)&amp;"")</f>
        <v/>
      </c>
      <c r="O55" s="176">
        <f>IF($W55="","",INDEX($H$7:$H$306,$W55)&amp;"")</f>
        <v/>
      </c>
      <c r="P55" s="176">
        <f>IF($W55="","",INDEX($I$7:$I$306,$W55)&amp;"")</f>
        <v/>
      </c>
      <c r="Q55" s="176">
        <f>IF($W55="","",INDEX($J$7:$J$306,$W55)&amp;"")</f>
        <v/>
      </c>
      <c r="R55" s="176">
        <f>IF($W55="","",INDEX($F$7:$F$306,$W55)&amp;"")</f>
        <v/>
      </c>
      <c r="S55" s="175">
        <f>IF($W55="","",SUMIF($U$7:$U$306,INDEX($U$7:$U$306,$W55),$K$7:$K$306))</f>
        <v/>
      </c>
      <c r="U55">
        <f>IF(OR($X55="",N($K55)=0),"",UPPER(TRIM($G55&amp;"|"&amp;$H55&amp;"|"&amp;$I55&amp;"|"&amp;$J55&amp;"|"&amp;$F55)))</f>
        <v/>
      </c>
      <c r="V55">
        <f>IF($U55="","",IF(COUNTIF($U$7:$U55,$U55)=1,MAX($V$6:$V54)+1,""))</f>
        <v/>
      </c>
      <c r="W55">
        <f>IFERROR(MATCH(49,$V$7:$V$306,0),"")</f>
        <v/>
      </c>
      <c r="X55">
        <f>IFERROR(MATCH(49,'HW Sets'!$S$7:$S$306,0),"")</f>
        <v/>
      </c>
      <c r="Y55">
        <f>IF($X55="","",INDEX('HW Sets'!$J$7:$J$306,$X55)&amp;"")</f>
        <v/>
      </c>
      <c r="Z55">
        <f>IF($Y55="","",IF(COUNTIF($Y$7:$Y55,$Y55)=1,1,""))</f>
        <v/>
      </c>
    </row>
    <row r="56">
      <c r="A56" s="175">
        <f>IF($Z56="","",$Y56)</f>
        <v/>
      </c>
      <c r="B56" s="176">
        <f>IF($Z56="","",IFERROR(INDEX('HW Sets'!$N$7:$N$306,MATCH($Y56,'HW Sets'!$M$7:$M$306,0)),""))</f>
        <v/>
      </c>
      <c r="C56" s="177">
        <f t="array" ref="C56">IF($Z56="","",_xlfn.TEXTJOIN(", ",TRUE,IF(tk_HWSET&amp;""=$Y56,tk_MARK,"")))</f>
        <v/>
      </c>
      <c r="D56" s="176">
        <f t="array" ref="D56">IF($Z56="","",SUM(IF(tk_HWSET&amp;""=$Y56,IFERROR(--tk_QTY,0),0)))</f>
        <v/>
      </c>
      <c r="E56" s="176">
        <f>IF($X56="","",IF(INDEX('HW Sets'!$C$7:$C$306,$X56)="","",INDEX('HW Sets'!$C$7:$C$306,$X56)))</f>
        <v/>
      </c>
      <c r="F56" s="176">
        <f>IF($X56="","",IF(INDEX('HW Sets'!$D$7:$D$306,$X56)="","",INDEX('HW Sets'!$D$7:$D$306,$X56)))</f>
        <v/>
      </c>
      <c r="G56" s="176">
        <f>IF($X56="","",IF(INDEX('HW Sets'!$E$7:$E$306,$X56)="","",INDEX('HW Sets'!$E$7:$E$306,$X56)))</f>
        <v/>
      </c>
      <c r="H56" s="176">
        <f>IF($X56="","",IF(INDEX('HW Sets'!$F$7:$F$306,$X56)="","",INDEX('HW Sets'!$F$7:$F$306,$X56)))</f>
        <v/>
      </c>
      <c r="I56" s="176">
        <f>IF($X56="","",IF(INDEX('HW Sets'!$G$7:$G$306,$X56)="","",INDEX('HW Sets'!$G$7:$G$306,$X56)))</f>
        <v/>
      </c>
      <c r="J56" s="176">
        <f>IF($X56="","",IF(INDEX('HW Sets'!$H$7:$H$306,$X56)="","",INDEX('HW Sets'!$H$7:$H$306,$X56)))</f>
        <v/>
      </c>
      <c r="K56" s="175">
        <f t="array" ref="K56">IF($X56="","",N($E56)*SUM(IF(tk_HWSET&amp;""=$Y56,IFERROR(--tk_QTY,0),0)))</f>
        <v/>
      </c>
      <c r="L56" s="176">
        <f>IF($X56="","",IF(INDEX('HW Sets'!$I$7:$I$306,$X56)="","",INDEX('HW Sets'!$I$7:$I$306,$X56)))</f>
        <v/>
      </c>
      <c r="N56" s="176">
        <f>IF($W56="","",INDEX($G$7:$G$306,$W56)&amp;"")</f>
        <v/>
      </c>
      <c r="O56" s="176">
        <f>IF($W56="","",INDEX($H$7:$H$306,$W56)&amp;"")</f>
        <v/>
      </c>
      <c r="P56" s="176">
        <f>IF($W56="","",INDEX($I$7:$I$306,$W56)&amp;"")</f>
        <v/>
      </c>
      <c r="Q56" s="176">
        <f>IF($W56="","",INDEX($J$7:$J$306,$W56)&amp;"")</f>
        <v/>
      </c>
      <c r="R56" s="176">
        <f>IF($W56="","",INDEX($F$7:$F$306,$W56)&amp;"")</f>
        <v/>
      </c>
      <c r="S56" s="175">
        <f>IF($W56="","",SUMIF($U$7:$U$306,INDEX($U$7:$U$306,$W56),$K$7:$K$306))</f>
        <v/>
      </c>
      <c r="U56">
        <f>IF(OR($X56="",N($K56)=0),"",UPPER(TRIM($G56&amp;"|"&amp;$H56&amp;"|"&amp;$I56&amp;"|"&amp;$J56&amp;"|"&amp;$F56)))</f>
        <v/>
      </c>
      <c r="V56">
        <f>IF($U56="","",IF(COUNTIF($U$7:$U56,$U56)=1,MAX($V$6:$V55)+1,""))</f>
        <v/>
      </c>
      <c r="W56">
        <f>IFERROR(MATCH(50,$V$7:$V$306,0),"")</f>
        <v/>
      </c>
      <c r="X56">
        <f>IFERROR(MATCH(50,'HW Sets'!$S$7:$S$306,0),"")</f>
        <v/>
      </c>
      <c r="Y56">
        <f>IF($X56="","",INDEX('HW Sets'!$J$7:$J$306,$X56)&amp;"")</f>
        <v/>
      </c>
      <c r="Z56">
        <f>IF($Y56="","",IF(COUNTIF($Y$7:$Y56,$Y56)=1,1,""))</f>
        <v/>
      </c>
    </row>
    <row r="57">
      <c r="A57" s="175">
        <f>IF($Z57="","",$Y57)</f>
        <v/>
      </c>
      <c r="B57" s="176">
        <f>IF($Z57="","",IFERROR(INDEX('HW Sets'!$N$7:$N$306,MATCH($Y57,'HW Sets'!$M$7:$M$306,0)),""))</f>
        <v/>
      </c>
      <c r="C57" s="177">
        <f t="array" ref="C57">IF($Z57="","",_xlfn.TEXTJOIN(", ",TRUE,IF(tk_HWSET&amp;""=$Y57,tk_MARK,"")))</f>
        <v/>
      </c>
      <c r="D57" s="176">
        <f t="array" ref="D57">IF($Z57="","",SUM(IF(tk_HWSET&amp;""=$Y57,IFERROR(--tk_QTY,0),0)))</f>
        <v/>
      </c>
      <c r="E57" s="176">
        <f>IF($X57="","",IF(INDEX('HW Sets'!$C$7:$C$306,$X57)="","",INDEX('HW Sets'!$C$7:$C$306,$X57)))</f>
        <v/>
      </c>
      <c r="F57" s="176">
        <f>IF($X57="","",IF(INDEX('HW Sets'!$D$7:$D$306,$X57)="","",INDEX('HW Sets'!$D$7:$D$306,$X57)))</f>
        <v/>
      </c>
      <c r="G57" s="176">
        <f>IF($X57="","",IF(INDEX('HW Sets'!$E$7:$E$306,$X57)="","",INDEX('HW Sets'!$E$7:$E$306,$X57)))</f>
        <v/>
      </c>
      <c r="H57" s="176">
        <f>IF($X57="","",IF(INDEX('HW Sets'!$F$7:$F$306,$X57)="","",INDEX('HW Sets'!$F$7:$F$306,$X57)))</f>
        <v/>
      </c>
      <c r="I57" s="176">
        <f>IF($X57="","",IF(INDEX('HW Sets'!$G$7:$G$306,$X57)="","",INDEX('HW Sets'!$G$7:$G$306,$X57)))</f>
        <v/>
      </c>
      <c r="J57" s="176">
        <f>IF($X57="","",IF(INDEX('HW Sets'!$H$7:$H$306,$X57)="","",INDEX('HW Sets'!$H$7:$H$306,$X57)))</f>
        <v/>
      </c>
      <c r="K57" s="175">
        <f t="array" ref="K57">IF($X57="","",N($E57)*SUM(IF(tk_HWSET&amp;""=$Y57,IFERROR(--tk_QTY,0),0)))</f>
        <v/>
      </c>
      <c r="L57" s="176">
        <f>IF($X57="","",IF(INDEX('HW Sets'!$I$7:$I$306,$X57)="","",INDEX('HW Sets'!$I$7:$I$306,$X57)))</f>
        <v/>
      </c>
      <c r="N57" s="176">
        <f>IF($W57="","",INDEX($G$7:$G$306,$W57)&amp;"")</f>
        <v/>
      </c>
      <c r="O57" s="176">
        <f>IF($W57="","",INDEX($H$7:$H$306,$W57)&amp;"")</f>
        <v/>
      </c>
      <c r="P57" s="176">
        <f>IF($W57="","",INDEX($I$7:$I$306,$W57)&amp;"")</f>
        <v/>
      </c>
      <c r="Q57" s="176">
        <f>IF($W57="","",INDEX($J$7:$J$306,$W57)&amp;"")</f>
        <v/>
      </c>
      <c r="R57" s="176">
        <f>IF($W57="","",INDEX($F$7:$F$306,$W57)&amp;"")</f>
        <v/>
      </c>
      <c r="S57" s="175">
        <f>IF($W57="","",SUMIF($U$7:$U$306,INDEX($U$7:$U$306,$W57),$K$7:$K$306))</f>
        <v/>
      </c>
      <c r="U57">
        <f>IF(OR($X57="",N($K57)=0),"",UPPER(TRIM($G57&amp;"|"&amp;$H57&amp;"|"&amp;$I57&amp;"|"&amp;$J57&amp;"|"&amp;$F57)))</f>
        <v/>
      </c>
      <c r="V57">
        <f>IF($U57="","",IF(COUNTIF($U$7:$U57,$U57)=1,MAX($V$6:$V56)+1,""))</f>
        <v/>
      </c>
      <c r="W57">
        <f>IFERROR(MATCH(51,$V$7:$V$306,0),"")</f>
        <v/>
      </c>
      <c r="X57">
        <f>IFERROR(MATCH(51,'HW Sets'!$S$7:$S$306,0),"")</f>
        <v/>
      </c>
      <c r="Y57">
        <f>IF($X57="","",INDEX('HW Sets'!$J$7:$J$306,$X57)&amp;"")</f>
        <v/>
      </c>
      <c r="Z57">
        <f>IF($Y57="","",IF(COUNTIF($Y$7:$Y57,$Y57)=1,1,""))</f>
        <v/>
      </c>
    </row>
    <row r="58">
      <c r="A58" s="175">
        <f>IF($Z58="","",$Y58)</f>
        <v/>
      </c>
      <c r="B58" s="176">
        <f>IF($Z58="","",IFERROR(INDEX('HW Sets'!$N$7:$N$306,MATCH($Y58,'HW Sets'!$M$7:$M$306,0)),""))</f>
        <v/>
      </c>
      <c r="C58" s="177">
        <f t="array" ref="C58">IF($Z58="","",_xlfn.TEXTJOIN(", ",TRUE,IF(tk_HWSET&amp;""=$Y58,tk_MARK,"")))</f>
        <v/>
      </c>
      <c r="D58" s="176">
        <f t="array" ref="D58">IF($Z58="","",SUM(IF(tk_HWSET&amp;""=$Y58,IFERROR(--tk_QTY,0),0)))</f>
        <v/>
      </c>
      <c r="E58" s="176">
        <f>IF($X58="","",IF(INDEX('HW Sets'!$C$7:$C$306,$X58)="","",INDEX('HW Sets'!$C$7:$C$306,$X58)))</f>
        <v/>
      </c>
      <c r="F58" s="176">
        <f>IF($X58="","",IF(INDEX('HW Sets'!$D$7:$D$306,$X58)="","",INDEX('HW Sets'!$D$7:$D$306,$X58)))</f>
        <v/>
      </c>
      <c r="G58" s="176">
        <f>IF($X58="","",IF(INDEX('HW Sets'!$E$7:$E$306,$X58)="","",INDEX('HW Sets'!$E$7:$E$306,$X58)))</f>
        <v/>
      </c>
      <c r="H58" s="176">
        <f>IF($X58="","",IF(INDEX('HW Sets'!$F$7:$F$306,$X58)="","",INDEX('HW Sets'!$F$7:$F$306,$X58)))</f>
        <v/>
      </c>
      <c r="I58" s="176">
        <f>IF($X58="","",IF(INDEX('HW Sets'!$G$7:$G$306,$X58)="","",INDEX('HW Sets'!$G$7:$G$306,$X58)))</f>
        <v/>
      </c>
      <c r="J58" s="176">
        <f>IF($X58="","",IF(INDEX('HW Sets'!$H$7:$H$306,$X58)="","",INDEX('HW Sets'!$H$7:$H$306,$X58)))</f>
        <v/>
      </c>
      <c r="K58" s="175">
        <f t="array" ref="K58">IF($X58="","",N($E58)*SUM(IF(tk_HWSET&amp;""=$Y58,IFERROR(--tk_QTY,0),0)))</f>
        <v/>
      </c>
      <c r="L58" s="176">
        <f>IF($X58="","",IF(INDEX('HW Sets'!$I$7:$I$306,$X58)="","",INDEX('HW Sets'!$I$7:$I$306,$X58)))</f>
        <v/>
      </c>
      <c r="N58" s="176">
        <f>IF($W58="","",INDEX($G$7:$G$306,$W58)&amp;"")</f>
        <v/>
      </c>
      <c r="O58" s="176">
        <f>IF($W58="","",INDEX($H$7:$H$306,$W58)&amp;"")</f>
        <v/>
      </c>
      <c r="P58" s="176">
        <f>IF($W58="","",INDEX($I$7:$I$306,$W58)&amp;"")</f>
        <v/>
      </c>
      <c r="Q58" s="176">
        <f>IF($W58="","",INDEX($J$7:$J$306,$W58)&amp;"")</f>
        <v/>
      </c>
      <c r="R58" s="176">
        <f>IF($W58="","",INDEX($F$7:$F$306,$W58)&amp;"")</f>
        <v/>
      </c>
      <c r="S58" s="175">
        <f>IF($W58="","",SUMIF($U$7:$U$306,INDEX($U$7:$U$306,$W58),$K$7:$K$306))</f>
        <v/>
      </c>
      <c r="U58">
        <f>IF(OR($X58="",N($K58)=0),"",UPPER(TRIM($G58&amp;"|"&amp;$H58&amp;"|"&amp;$I58&amp;"|"&amp;$J58&amp;"|"&amp;$F58)))</f>
        <v/>
      </c>
      <c r="V58">
        <f>IF($U58="","",IF(COUNTIF($U$7:$U58,$U58)=1,MAX($V$6:$V57)+1,""))</f>
        <v/>
      </c>
      <c r="W58">
        <f>IFERROR(MATCH(52,$V$7:$V$306,0),"")</f>
        <v/>
      </c>
      <c r="X58">
        <f>IFERROR(MATCH(52,'HW Sets'!$S$7:$S$306,0),"")</f>
        <v/>
      </c>
      <c r="Y58">
        <f>IF($X58="","",INDEX('HW Sets'!$J$7:$J$306,$X58)&amp;"")</f>
        <v/>
      </c>
      <c r="Z58">
        <f>IF($Y58="","",IF(COUNTIF($Y$7:$Y58,$Y58)=1,1,""))</f>
        <v/>
      </c>
    </row>
    <row r="59">
      <c r="A59" s="175">
        <f>IF($Z59="","",$Y59)</f>
        <v/>
      </c>
      <c r="B59" s="176">
        <f>IF($Z59="","",IFERROR(INDEX('HW Sets'!$N$7:$N$306,MATCH($Y59,'HW Sets'!$M$7:$M$306,0)),""))</f>
        <v/>
      </c>
      <c r="C59" s="177">
        <f t="array" ref="C59">IF($Z59="","",_xlfn.TEXTJOIN(", ",TRUE,IF(tk_HWSET&amp;""=$Y59,tk_MARK,"")))</f>
        <v/>
      </c>
      <c r="D59" s="176">
        <f t="array" ref="D59">IF($Z59="","",SUM(IF(tk_HWSET&amp;""=$Y59,IFERROR(--tk_QTY,0),0)))</f>
        <v/>
      </c>
      <c r="E59" s="176">
        <f>IF($X59="","",IF(INDEX('HW Sets'!$C$7:$C$306,$X59)="","",INDEX('HW Sets'!$C$7:$C$306,$X59)))</f>
        <v/>
      </c>
      <c r="F59" s="176">
        <f>IF($X59="","",IF(INDEX('HW Sets'!$D$7:$D$306,$X59)="","",INDEX('HW Sets'!$D$7:$D$306,$X59)))</f>
        <v/>
      </c>
      <c r="G59" s="176">
        <f>IF($X59="","",IF(INDEX('HW Sets'!$E$7:$E$306,$X59)="","",INDEX('HW Sets'!$E$7:$E$306,$X59)))</f>
        <v/>
      </c>
      <c r="H59" s="176">
        <f>IF($X59="","",IF(INDEX('HW Sets'!$F$7:$F$306,$X59)="","",INDEX('HW Sets'!$F$7:$F$306,$X59)))</f>
        <v/>
      </c>
      <c r="I59" s="176">
        <f>IF($X59="","",IF(INDEX('HW Sets'!$G$7:$G$306,$X59)="","",INDEX('HW Sets'!$G$7:$G$306,$X59)))</f>
        <v/>
      </c>
      <c r="J59" s="176">
        <f>IF($X59="","",IF(INDEX('HW Sets'!$H$7:$H$306,$X59)="","",INDEX('HW Sets'!$H$7:$H$306,$X59)))</f>
        <v/>
      </c>
      <c r="K59" s="175">
        <f t="array" ref="K59">IF($X59="","",N($E59)*SUM(IF(tk_HWSET&amp;""=$Y59,IFERROR(--tk_QTY,0),0)))</f>
        <v/>
      </c>
      <c r="L59" s="176">
        <f>IF($X59="","",IF(INDEX('HW Sets'!$I$7:$I$306,$X59)="","",INDEX('HW Sets'!$I$7:$I$306,$X59)))</f>
        <v/>
      </c>
      <c r="N59" s="176">
        <f>IF($W59="","",INDEX($G$7:$G$306,$W59)&amp;"")</f>
        <v/>
      </c>
      <c r="O59" s="176">
        <f>IF($W59="","",INDEX($H$7:$H$306,$W59)&amp;"")</f>
        <v/>
      </c>
      <c r="P59" s="176">
        <f>IF($W59="","",INDEX($I$7:$I$306,$W59)&amp;"")</f>
        <v/>
      </c>
      <c r="Q59" s="176">
        <f>IF($W59="","",INDEX($J$7:$J$306,$W59)&amp;"")</f>
        <v/>
      </c>
      <c r="R59" s="176">
        <f>IF($W59="","",INDEX($F$7:$F$306,$W59)&amp;"")</f>
        <v/>
      </c>
      <c r="S59" s="175">
        <f>IF($W59="","",SUMIF($U$7:$U$306,INDEX($U$7:$U$306,$W59),$K$7:$K$306))</f>
        <v/>
      </c>
      <c r="U59">
        <f>IF(OR($X59="",N($K59)=0),"",UPPER(TRIM($G59&amp;"|"&amp;$H59&amp;"|"&amp;$I59&amp;"|"&amp;$J59&amp;"|"&amp;$F59)))</f>
        <v/>
      </c>
      <c r="V59">
        <f>IF($U59="","",IF(COUNTIF($U$7:$U59,$U59)=1,MAX($V$6:$V58)+1,""))</f>
        <v/>
      </c>
      <c r="W59">
        <f>IFERROR(MATCH(53,$V$7:$V$306,0),"")</f>
        <v/>
      </c>
      <c r="X59">
        <f>IFERROR(MATCH(53,'HW Sets'!$S$7:$S$306,0),"")</f>
        <v/>
      </c>
      <c r="Y59">
        <f>IF($X59="","",INDEX('HW Sets'!$J$7:$J$306,$X59)&amp;"")</f>
        <v/>
      </c>
      <c r="Z59">
        <f>IF($Y59="","",IF(COUNTIF($Y$7:$Y59,$Y59)=1,1,""))</f>
        <v/>
      </c>
    </row>
    <row r="60">
      <c r="A60" s="175">
        <f>IF($Z60="","",$Y60)</f>
        <v/>
      </c>
      <c r="B60" s="176">
        <f>IF($Z60="","",IFERROR(INDEX('HW Sets'!$N$7:$N$306,MATCH($Y60,'HW Sets'!$M$7:$M$306,0)),""))</f>
        <v/>
      </c>
      <c r="C60" s="177">
        <f t="array" ref="C60">IF($Z60="","",_xlfn.TEXTJOIN(", ",TRUE,IF(tk_HWSET&amp;""=$Y60,tk_MARK,"")))</f>
        <v/>
      </c>
      <c r="D60" s="176">
        <f t="array" ref="D60">IF($Z60="","",SUM(IF(tk_HWSET&amp;""=$Y60,IFERROR(--tk_QTY,0),0)))</f>
        <v/>
      </c>
      <c r="E60" s="176">
        <f>IF($X60="","",IF(INDEX('HW Sets'!$C$7:$C$306,$X60)="","",INDEX('HW Sets'!$C$7:$C$306,$X60)))</f>
        <v/>
      </c>
      <c r="F60" s="176">
        <f>IF($X60="","",IF(INDEX('HW Sets'!$D$7:$D$306,$X60)="","",INDEX('HW Sets'!$D$7:$D$306,$X60)))</f>
        <v/>
      </c>
      <c r="G60" s="176">
        <f>IF($X60="","",IF(INDEX('HW Sets'!$E$7:$E$306,$X60)="","",INDEX('HW Sets'!$E$7:$E$306,$X60)))</f>
        <v/>
      </c>
      <c r="H60" s="176">
        <f>IF($X60="","",IF(INDEX('HW Sets'!$F$7:$F$306,$X60)="","",INDEX('HW Sets'!$F$7:$F$306,$X60)))</f>
        <v/>
      </c>
      <c r="I60" s="176">
        <f>IF($X60="","",IF(INDEX('HW Sets'!$G$7:$G$306,$X60)="","",INDEX('HW Sets'!$G$7:$G$306,$X60)))</f>
        <v/>
      </c>
      <c r="J60" s="176">
        <f>IF($X60="","",IF(INDEX('HW Sets'!$H$7:$H$306,$X60)="","",INDEX('HW Sets'!$H$7:$H$306,$X60)))</f>
        <v/>
      </c>
      <c r="K60" s="175">
        <f t="array" ref="K60">IF($X60="","",N($E60)*SUM(IF(tk_HWSET&amp;""=$Y60,IFERROR(--tk_QTY,0),0)))</f>
        <v/>
      </c>
      <c r="L60" s="176">
        <f>IF($X60="","",IF(INDEX('HW Sets'!$I$7:$I$306,$X60)="","",INDEX('HW Sets'!$I$7:$I$306,$X60)))</f>
        <v/>
      </c>
      <c r="N60" s="176">
        <f>IF($W60="","",INDEX($G$7:$G$306,$W60)&amp;"")</f>
        <v/>
      </c>
      <c r="O60" s="176">
        <f>IF($W60="","",INDEX($H$7:$H$306,$W60)&amp;"")</f>
        <v/>
      </c>
      <c r="P60" s="176">
        <f>IF($W60="","",INDEX($I$7:$I$306,$W60)&amp;"")</f>
        <v/>
      </c>
      <c r="Q60" s="176">
        <f>IF($W60="","",INDEX($J$7:$J$306,$W60)&amp;"")</f>
        <v/>
      </c>
      <c r="R60" s="176">
        <f>IF($W60="","",INDEX($F$7:$F$306,$W60)&amp;"")</f>
        <v/>
      </c>
      <c r="S60" s="175">
        <f>IF($W60="","",SUMIF($U$7:$U$306,INDEX($U$7:$U$306,$W60),$K$7:$K$306))</f>
        <v/>
      </c>
      <c r="U60">
        <f>IF(OR($X60="",N($K60)=0),"",UPPER(TRIM($G60&amp;"|"&amp;$H60&amp;"|"&amp;$I60&amp;"|"&amp;$J60&amp;"|"&amp;$F60)))</f>
        <v/>
      </c>
      <c r="V60">
        <f>IF($U60="","",IF(COUNTIF($U$7:$U60,$U60)=1,MAX($V$6:$V59)+1,""))</f>
        <v/>
      </c>
      <c r="W60">
        <f>IFERROR(MATCH(54,$V$7:$V$306,0),"")</f>
        <v/>
      </c>
      <c r="X60">
        <f>IFERROR(MATCH(54,'HW Sets'!$S$7:$S$306,0),"")</f>
        <v/>
      </c>
      <c r="Y60">
        <f>IF($X60="","",INDEX('HW Sets'!$J$7:$J$306,$X60)&amp;"")</f>
        <v/>
      </c>
      <c r="Z60">
        <f>IF($Y60="","",IF(COUNTIF($Y$7:$Y60,$Y60)=1,1,""))</f>
        <v/>
      </c>
    </row>
    <row r="61">
      <c r="A61" s="175">
        <f>IF($Z61="","",$Y61)</f>
        <v/>
      </c>
      <c r="B61" s="176">
        <f>IF($Z61="","",IFERROR(INDEX('HW Sets'!$N$7:$N$306,MATCH($Y61,'HW Sets'!$M$7:$M$306,0)),""))</f>
        <v/>
      </c>
      <c r="C61" s="177">
        <f t="array" ref="C61">IF($Z61="","",_xlfn.TEXTJOIN(", ",TRUE,IF(tk_HWSET&amp;""=$Y61,tk_MARK,"")))</f>
        <v/>
      </c>
      <c r="D61" s="176">
        <f t="array" ref="D61">IF($Z61="","",SUM(IF(tk_HWSET&amp;""=$Y61,IFERROR(--tk_QTY,0),0)))</f>
        <v/>
      </c>
      <c r="E61" s="176">
        <f>IF($X61="","",IF(INDEX('HW Sets'!$C$7:$C$306,$X61)="","",INDEX('HW Sets'!$C$7:$C$306,$X61)))</f>
        <v/>
      </c>
      <c r="F61" s="176">
        <f>IF($X61="","",IF(INDEX('HW Sets'!$D$7:$D$306,$X61)="","",INDEX('HW Sets'!$D$7:$D$306,$X61)))</f>
        <v/>
      </c>
      <c r="G61" s="176">
        <f>IF($X61="","",IF(INDEX('HW Sets'!$E$7:$E$306,$X61)="","",INDEX('HW Sets'!$E$7:$E$306,$X61)))</f>
        <v/>
      </c>
      <c r="H61" s="176">
        <f>IF($X61="","",IF(INDEX('HW Sets'!$F$7:$F$306,$X61)="","",INDEX('HW Sets'!$F$7:$F$306,$X61)))</f>
        <v/>
      </c>
      <c r="I61" s="176">
        <f>IF($X61="","",IF(INDEX('HW Sets'!$G$7:$G$306,$X61)="","",INDEX('HW Sets'!$G$7:$G$306,$X61)))</f>
        <v/>
      </c>
      <c r="J61" s="176">
        <f>IF($X61="","",IF(INDEX('HW Sets'!$H$7:$H$306,$X61)="","",INDEX('HW Sets'!$H$7:$H$306,$X61)))</f>
        <v/>
      </c>
      <c r="K61" s="175">
        <f t="array" ref="K61">IF($X61="","",N($E61)*SUM(IF(tk_HWSET&amp;""=$Y61,IFERROR(--tk_QTY,0),0)))</f>
        <v/>
      </c>
      <c r="L61" s="176">
        <f>IF($X61="","",IF(INDEX('HW Sets'!$I$7:$I$306,$X61)="","",INDEX('HW Sets'!$I$7:$I$306,$X61)))</f>
        <v/>
      </c>
      <c r="N61" s="176">
        <f>IF($W61="","",INDEX($G$7:$G$306,$W61)&amp;"")</f>
        <v/>
      </c>
      <c r="O61" s="176">
        <f>IF($W61="","",INDEX($H$7:$H$306,$W61)&amp;"")</f>
        <v/>
      </c>
      <c r="P61" s="176">
        <f>IF($W61="","",INDEX($I$7:$I$306,$W61)&amp;"")</f>
        <v/>
      </c>
      <c r="Q61" s="176">
        <f>IF($W61="","",INDEX($J$7:$J$306,$W61)&amp;"")</f>
        <v/>
      </c>
      <c r="R61" s="176">
        <f>IF($W61="","",INDEX($F$7:$F$306,$W61)&amp;"")</f>
        <v/>
      </c>
      <c r="S61" s="175">
        <f>IF($W61="","",SUMIF($U$7:$U$306,INDEX($U$7:$U$306,$W61),$K$7:$K$306))</f>
        <v/>
      </c>
      <c r="U61">
        <f>IF(OR($X61="",N($K61)=0),"",UPPER(TRIM($G61&amp;"|"&amp;$H61&amp;"|"&amp;$I61&amp;"|"&amp;$J61&amp;"|"&amp;$F61)))</f>
        <v/>
      </c>
      <c r="V61">
        <f>IF($U61="","",IF(COUNTIF($U$7:$U61,$U61)=1,MAX($V$6:$V60)+1,""))</f>
        <v/>
      </c>
      <c r="W61">
        <f>IFERROR(MATCH(55,$V$7:$V$306,0),"")</f>
        <v/>
      </c>
      <c r="X61">
        <f>IFERROR(MATCH(55,'HW Sets'!$S$7:$S$306,0),"")</f>
        <v/>
      </c>
      <c r="Y61">
        <f>IF($X61="","",INDEX('HW Sets'!$J$7:$J$306,$X61)&amp;"")</f>
        <v/>
      </c>
      <c r="Z61">
        <f>IF($Y61="","",IF(COUNTIF($Y$7:$Y61,$Y61)=1,1,""))</f>
        <v/>
      </c>
    </row>
    <row r="62">
      <c r="A62" s="175">
        <f>IF($Z62="","",$Y62)</f>
        <v/>
      </c>
      <c r="B62" s="176">
        <f>IF($Z62="","",IFERROR(INDEX('HW Sets'!$N$7:$N$306,MATCH($Y62,'HW Sets'!$M$7:$M$306,0)),""))</f>
        <v/>
      </c>
      <c r="C62" s="177">
        <f t="array" ref="C62">IF($Z62="","",_xlfn.TEXTJOIN(", ",TRUE,IF(tk_HWSET&amp;""=$Y62,tk_MARK,"")))</f>
        <v/>
      </c>
      <c r="D62" s="176">
        <f t="array" ref="D62">IF($Z62="","",SUM(IF(tk_HWSET&amp;""=$Y62,IFERROR(--tk_QTY,0),0)))</f>
        <v/>
      </c>
      <c r="E62" s="176">
        <f>IF($X62="","",IF(INDEX('HW Sets'!$C$7:$C$306,$X62)="","",INDEX('HW Sets'!$C$7:$C$306,$X62)))</f>
        <v/>
      </c>
      <c r="F62" s="176">
        <f>IF($X62="","",IF(INDEX('HW Sets'!$D$7:$D$306,$X62)="","",INDEX('HW Sets'!$D$7:$D$306,$X62)))</f>
        <v/>
      </c>
      <c r="G62" s="176">
        <f>IF($X62="","",IF(INDEX('HW Sets'!$E$7:$E$306,$X62)="","",INDEX('HW Sets'!$E$7:$E$306,$X62)))</f>
        <v/>
      </c>
      <c r="H62" s="176">
        <f>IF($X62="","",IF(INDEX('HW Sets'!$F$7:$F$306,$X62)="","",INDEX('HW Sets'!$F$7:$F$306,$X62)))</f>
        <v/>
      </c>
      <c r="I62" s="176">
        <f>IF($X62="","",IF(INDEX('HW Sets'!$G$7:$G$306,$X62)="","",INDEX('HW Sets'!$G$7:$G$306,$X62)))</f>
        <v/>
      </c>
      <c r="J62" s="176">
        <f>IF($X62="","",IF(INDEX('HW Sets'!$H$7:$H$306,$X62)="","",INDEX('HW Sets'!$H$7:$H$306,$X62)))</f>
        <v/>
      </c>
      <c r="K62" s="175">
        <f t="array" ref="K62">IF($X62="","",N($E62)*SUM(IF(tk_HWSET&amp;""=$Y62,IFERROR(--tk_QTY,0),0)))</f>
        <v/>
      </c>
      <c r="L62" s="176">
        <f>IF($X62="","",IF(INDEX('HW Sets'!$I$7:$I$306,$X62)="","",INDEX('HW Sets'!$I$7:$I$306,$X62)))</f>
        <v/>
      </c>
      <c r="N62" s="176">
        <f>IF($W62="","",INDEX($G$7:$G$306,$W62)&amp;"")</f>
        <v/>
      </c>
      <c r="O62" s="176">
        <f>IF($W62="","",INDEX($H$7:$H$306,$W62)&amp;"")</f>
        <v/>
      </c>
      <c r="P62" s="176">
        <f>IF($W62="","",INDEX($I$7:$I$306,$W62)&amp;"")</f>
        <v/>
      </c>
      <c r="Q62" s="176">
        <f>IF($W62="","",INDEX($J$7:$J$306,$W62)&amp;"")</f>
        <v/>
      </c>
      <c r="R62" s="176">
        <f>IF($W62="","",INDEX($F$7:$F$306,$W62)&amp;"")</f>
        <v/>
      </c>
      <c r="S62" s="175">
        <f>IF($W62="","",SUMIF($U$7:$U$306,INDEX($U$7:$U$306,$W62),$K$7:$K$306))</f>
        <v/>
      </c>
      <c r="U62">
        <f>IF(OR($X62="",N($K62)=0),"",UPPER(TRIM($G62&amp;"|"&amp;$H62&amp;"|"&amp;$I62&amp;"|"&amp;$J62&amp;"|"&amp;$F62)))</f>
        <v/>
      </c>
      <c r="V62">
        <f>IF($U62="","",IF(COUNTIF($U$7:$U62,$U62)=1,MAX($V$6:$V61)+1,""))</f>
        <v/>
      </c>
      <c r="W62">
        <f>IFERROR(MATCH(56,$V$7:$V$306,0),"")</f>
        <v/>
      </c>
      <c r="X62">
        <f>IFERROR(MATCH(56,'HW Sets'!$S$7:$S$306,0),"")</f>
        <v/>
      </c>
      <c r="Y62">
        <f>IF($X62="","",INDEX('HW Sets'!$J$7:$J$306,$X62)&amp;"")</f>
        <v/>
      </c>
      <c r="Z62">
        <f>IF($Y62="","",IF(COUNTIF($Y$7:$Y62,$Y62)=1,1,""))</f>
        <v/>
      </c>
    </row>
    <row r="63">
      <c r="A63" s="175">
        <f>IF($Z63="","",$Y63)</f>
        <v/>
      </c>
      <c r="B63" s="176">
        <f>IF($Z63="","",IFERROR(INDEX('HW Sets'!$N$7:$N$306,MATCH($Y63,'HW Sets'!$M$7:$M$306,0)),""))</f>
        <v/>
      </c>
      <c r="C63" s="177">
        <f t="array" ref="C63">IF($Z63="","",_xlfn.TEXTJOIN(", ",TRUE,IF(tk_HWSET&amp;""=$Y63,tk_MARK,"")))</f>
        <v/>
      </c>
      <c r="D63" s="176">
        <f t="array" ref="D63">IF($Z63="","",SUM(IF(tk_HWSET&amp;""=$Y63,IFERROR(--tk_QTY,0),0)))</f>
        <v/>
      </c>
      <c r="E63" s="176">
        <f>IF($X63="","",IF(INDEX('HW Sets'!$C$7:$C$306,$X63)="","",INDEX('HW Sets'!$C$7:$C$306,$X63)))</f>
        <v/>
      </c>
      <c r="F63" s="176">
        <f>IF($X63="","",IF(INDEX('HW Sets'!$D$7:$D$306,$X63)="","",INDEX('HW Sets'!$D$7:$D$306,$X63)))</f>
        <v/>
      </c>
      <c r="G63" s="176">
        <f>IF($X63="","",IF(INDEX('HW Sets'!$E$7:$E$306,$X63)="","",INDEX('HW Sets'!$E$7:$E$306,$X63)))</f>
        <v/>
      </c>
      <c r="H63" s="176">
        <f>IF($X63="","",IF(INDEX('HW Sets'!$F$7:$F$306,$X63)="","",INDEX('HW Sets'!$F$7:$F$306,$X63)))</f>
        <v/>
      </c>
      <c r="I63" s="176">
        <f>IF($X63="","",IF(INDEX('HW Sets'!$G$7:$G$306,$X63)="","",INDEX('HW Sets'!$G$7:$G$306,$X63)))</f>
        <v/>
      </c>
      <c r="J63" s="176">
        <f>IF($X63="","",IF(INDEX('HW Sets'!$H$7:$H$306,$X63)="","",INDEX('HW Sets'!$H$7:$H$306,$X63)))</f>
        <v/>
      </c>
      <c r="K63" s="175">
        <f t="array" ref="K63">IF($X63="","",N($E63)*SUM(IF(tk_HWSET&amp;""=$Y63,IFERROR(--tk_QTY,0),0)))</f>
        <v/>
      </c>
      <c r="L63" s="176">
        <f>IF($X63="","",IF(INDEX('HW Sets'!$I$7:$I$306,$X63)="","",INDEX('HW Sets'!$I$7:$I$306,$X63)))</f>
        <v/>
      </c>
      <c r="N63" s="176">
        <f>IF($W63="","",INDEX($G$7:$G$306,$W63)&amp;"")</f>
        <v/>
      </c>
      <c r="O63" s="176">
        <f>IF($W63="","",INDEX($H$7:$H$306,$W63)&amp;"")</f>
        <v/>
      </c>
      <c r="P63" s="176">
        <f>IF($W63="","",INDEX($I$7:$I$306,$W63)&amp;"")</f>
        <v/>
      </c>
      <c r="Q63" s="176">
        <f>IF($W63="","",INDEX($J$7:$J$306,$W63)&amp;"")</f>
        <v/>
      </c>
      <c r="R63" s="176">
        <f>IF($W63="","",INDEX($F$7:$F$306,$W63)&amp;"")</f>
        <v/>
      </c>
      <c r="S63" s="175">
        <f>IF($W63="","",SUMIF($U$7:$U$306,INDEX($U$7:$U$306,$W63),$K$7:$K$306))</f>
        <v/>
      </c>
      <c r="U63">
        <f>IF(OR($X63="",N($K63)=0),"",UPPER(TRIM($G63&amp;"|"&amp;$H63&amp;"|"&amp;$I63&amp;"|"&amp;$J63&amp;"|"&amp;$F63)))</f>
        <v/>
      </c>
      <c r="V63">
        <f>IF($U63="","",IF(COUNTIF($U$7:$U63,$U63)=1,MAX($V$6:$V62)+1,""))</f>
        <v/>
      </c>
      <c r="W63">
        <f>IFERROR(MATCH(57,$V$7:$V$306,0),"")</f>
        <v/>
      </c>
      <c r="X63">
        <f>IFERROR(MATCH(57,'HW Sets'!$S$7:$S$306,0),"")</f>
        <v/>
      </c>
      <c r="Y63">
        <f>IF($X63="","",INDEX('HW Sets'!$J$7:$J$306,$X63)&amp;"")</f>
        <v/>
      </c>
      <c r="Z63">
        <f>IF($Y63="","",IF(COUNTIF($Y$7:$Y63,$Y63)=1,1,""))</f>
        <v/>
      </c>
    </row>
    <row r="64">
      <c r="A64" s="175">
        <f>IF($Z64="","",$Y64)</f>
        <v/>
      </c>
      <c r="B64" s="176">
        <f>IF($Z64="","",IFERROR(INDEX('HW Sets'!$N$7:$N$306,MATCH($Y64,'HW Sets'!$M$7:$M$306,0)),""))</f>
        <v/>
      </c>
      <c r="C64" s="177">
        <f t="array" ref="C64">IF($Z64="","",_xlfn.TEXTJOIN(", ",TRUE,IF(tk_HWSET&amp;""=$Y64,tk_MARK,"")))</f>
        <v/>
      </c>
      <c r="D64" s="176">
        <f t="array" ref="D64">IF($Z64="","",SUM(IF(tk_HWSET&amp;""=$Y64,IFERROR(--tk_QTY,0),0)))</f>
        <v/>
      </c>
      <c r="E64" s="176">
        <f>IF($X64="","",IF(INDEX('HW Sets'!$C$7:$C$306,$X64)="","",INDEX('HW Sets'!$C$7:$C$306,$X64)))</f>
        <v/>
      </c>
      <c r="F64" s="176">
        <f>IF($X64="","",IF(INDEX('HW Sets'!$D$7:$D$306,$X64)="","",INDEX('HW Sets'!$D$7:$D$306,$X64)))</f>
        <v/>
      </c>
      <c r="G64" s="176">
        <f>IF($X64="","",IF(INDEX('HW Sets'!$E$7:$E$306,$X64)="","",INDEX('HW Sets'!$E$7:$E$306,$X64)))</f>
        <v/>
      </c>
      <c r="H64" s="176">
        <f>IF($X64="","",IF(INDEX('HW Sets'!$F$7:$F$306,$X64)="","",INDEX('HW Sets'!$F$7:$F$306,$X64)))</f>
        <v/>
      </c>
      <c r="I64" s="176">
        <f>IF($X64="","",IF(INDEX('HW Sets'!$G$7:$G$306,$X64)="","",INDEX('HW Sets'!$G$7:$G$306,$X64)))</f>
        <v/>
      </c>
      <c r="J64" s="176">
        <f>IF($X64="","",IF(INDEX('HW Sets'!$H$7:$H$306,$X64)="","",INDEX('HW Sets'!$H$7:$H$306,$X64)))</f>
        <v/>
      </c>
      <c r="K64" s="175">
        <f t="array" ref="K64">IF($X64="","",N($E64)*SUM(IF(tk_HWSET&amp;""=$Y64,IFERROR(--tk_QTY,0),0)))</f>
        <v/>
      </c>
      <c r="L64" s="176">
        <f>IF($X64="","",IF(INDEX('HW Sets'!$I$7:$I$306,$X64)="","",INDEX('HW Sets'!$I$7:$I$306,$X64)))</f>
        <v/>
      </c>
      <c r="N64" s="176">
        <f>IF($W64="","",INDEX($G$7:$G$306,$W64)&amp;"")</f>
        <v/>
      </c>
      <c r="O64" s="176">
        <f>IF($W64="","",INDEX($H$7:$H$306,$W64)&amp;"")</f>
        <v/>
      </c>
      <c r="P64" s="176">
        <f>IF($W64="","",INDEX($I$7:$I$306,$W64)&amp;"")</f>
        <v/>
      </c>
      <c r="Q64" s="176">
        <f>IF($W64="","",INDEX($J$7:$J$306,$W64)&amp;"")</f>
        <v/>
      </c>
      <c r="R64" s="176">
        <f>IF($W64="","",INDEX($F$7:$F$306,$W64)&amp;"")</f>
        <v/>
      </c>
      <c r="S64" s="175">
        <f>IF($W64="","",SUMIF($U$7:$U$306,INDEX($U$7:$U$306,$W64),$K$7:$K$306))</f>
        <v/>
      </c>
      <c r="U64">
        <f>IF(OR($X64="",N($K64)=0),"",UPPER(TRIM($G64&amp;"|"&amp;$H64&amp;"|"&amp;$I64&amp;"|"&amp;$J64&amp;"|"&amp;$F64)))</f>
        <v/>
      </c>
      <c r="V64">
        <f>IF($U64="","",IF(COUNTIF($U$7:$U64,$U64)=1,MAX($V$6:$V63)+1,""))</f>
        <v/>
      </c>
      <c r="W64">
        <f>IFERROR(MATCH(58,$V$7:$V$306,0),"")</f>
        <v/>
      </c>
      <c r="X64">
        <f>IFERROR(MATCH(58,'HW Sets'!$S$7:$S$306,0),"")</f>
        <v/>
      </c>
      <c r="Y64">
        <f>IF($X64="","",INDEX('HW Sets'!$J$7:$J$306,$X64)&amp;"")</f>
        <v/>
      </c>
      <c r="Z64">
        <f>IF($Y64="","",IF(COUNTIF($Y$7:$Y64,$Y64)=1,1,""))</f>
        <v/>
      </c>
    </row>
    <row r="65">
      <c r="A65" s="175">
        <f>IF($Z65="","",$Y65)</f>
        <v/>
      </c>
      <c r="B65" s="176">
        <f>IF($Z65="","",IFERROR(INDEX('HW Sets'!$N$7:$N$306,MATCH($Y65,'HW Sets'!$M$7:$M$306,0)),""))</f>
        <v/>
      </c>
      <c r="C65" s="177">
        <f t="array" ref="C65">IF($Z65="","",_xlfn.TEXTJOIN(", ",TRUE,IF(tk_HWSET&amp;""=$Y65,tk_MARK,"")))</f>
        <v/>
      </c>
      <c r="D65" s="176">
        <f t="array" ref="D65">IF($Z65="","",SUM(IF(tk_HWSET&amp;""=$Y65,IFERROR(--tk_QTY,0),0)))</f>
        <v/>
      </c>
      <c r="E65" s="176">
        <f>IF($X65="","",IF(INDEX('HW Sets'!$C$7:$C$306,$X65)="","",INDEX('HW Sets'!$C$7:$C$306,$X65)))</f>
        <v/>
      </c>
      <c r="F65" s="176">
        <f>IF($X65="","",IF(INDEX('HW Sets'!$D$7:$D$306,$X65)="","",INDEX('HW Sets'!$D$7:$D$306,$X65)))</f>
        <v/>
      </c>
      <c r="G65" s="176">
        <f>IF($X65="","",IF(INDEX('HW Sets'!$E$7:$E$306,$X65)="","",INDEX('HW Sets'!$E$7:$E$306,$X65)))</f>
        <v/>
      </c>
      <c r="H65" s="176">
        <f>IF($X65="","",IF(INDEX('HW Sets'!$F$7:$F$306,$X65)="","",INDEX('HW Sets'!$F$7:$F$306,$X65)))</f>
        <v/>
      </c>
      <c r="I65" s="176">
        <f>IF($X65="","",IF(INDEX('HW Sets'!$G$7:$G$306,$X65)="","",INDEX('HW Sets'!$G$7:$G$306,$X65)))</f>
        <v/>
      </c>
      <c r="J65" s="176">
        <f>IF($X65="","",IF(INDEX('HW Sets'!$H$7:$H$306,$X65)="","",INDEX('HW Sets'!$H$7:$H$306,$X65)))</f>
        <v/>
      </c>
      <c r="K65" s="175">
        <f t="array" ref="K65">IF($X65="","",N($E65)*SUM(IF(tk_HWSET&amp;""=$Y65,IFERROR(--tk_QTY,0),0)))</f>
        <v/>
      </c>
      <c r="L65" s="176">
        <f>IF($X65="","",IF(INDEX('HW Sets'!$I$7:$I$306,$X65)="","",INDEX('HW Sets'!$I$7:$I$306,$X65)))</f>
        <v/>
      </c>
      <c r="N65" s="176">
        <f>IF($W65="","",INDEX($G$7:$G$306,$W65)&amp;"")</f>
        <v/>
      </c>
      <c r="O65" s="176">
        <f>IF($W65="","",INDEX($H$7:$H$306,$W65)&amp;"")</f>
        <v/>
      </c>
      <c r="P65" s="176">
        <f>IF($W65="","",INDEX($I$7:$I$306,$W65)&amp;"")</f>
        <v/>
      </c>
      <c r="Q65" s="176">
        <f>IF($W65="","",INDEX($J$7:$J$306,$W65)&amp;"")</f>
        <v/>
      </c>
      <c r="R65" s="176">
        <f>IF($W65="","",INDEX($F$7:$F$306,$W65)&amp;"")</f>
        <v/>
      </c>
      <c r="S65" s="175">
        <f>IF($W65="","",SUMIF($U$7:$U$306,INDEX($U$7:$U$306,$W65),$K$7:$K$306))</f>
        <v/>
      </c>
      <c r="U65">
        <f>IF(OR($X65="",N($K65)=0),"",UPPER(TRIM($G65&amp;"|"&amp;$H65&amp;"|"&amp;$I65&amp;"|"&amp;$J65&amp;"|"&amp;$F65)))</f>
        <v/>
      </c>
      <c r="V65">
        <f>IF($U65="","",IF(COUNTIF($U$7:$U65,$U65)=1,MAX($V$6:$V64)+1,""))</f>
        <v/>
      </c>
      <c r="W65">
        <f>IFERROR(MATCH(59,$V$7:$V$306,0),"")</f>
        <v/>
      </c>
      <c r="X65">
        <f>IFERROR(MATCH(59,'HW Sets'!$S$7:$S$306,0),"")</f>
        <v/>
      </c>
      <c r="Y65">
        <f>IF($X65="","",INDEX('HW Sets'!$J$7:$J$306,$X65)&amp;"")</f>
        <v/>
      </c>
      <c r="Z65">
        <f>IF($Y65="","",IF(COUNTIF($Y$7:$Y65,$Y65)=1,1,""))</f>
        <v/>
      </c>
    </row>
    <row r="66">
      <c r="A66" s="175">
        <f>IF($Z66="","",$Y66)</f>
        <v/>
      </c>
      <c r="B66" s="176">
        <f>IF($Z66="","",IFERROR(INDEX('HW Sets'!$N$7:$N$306,MATCH($Y66,'HW Sets'!$M$7:$M$306,0)),""))</f>
        <v/>
      </c>
      <c r="C66" s="177">
        <f t="array" ref="C66">IF($Z66="","",_xlfn.TEXTJOIN(", ",TRUE,IF(tk_HWSET&amp;""=$Y66,tk_MARK,"")))</f>
        <v/>
      </c>
      <c r="D66" s="176">
        <f t="array" ref="D66">IF($Z66="","",SUM(IF(tk_HWSET&amp;""=$Y66,IFERROR(--tk_QTY,0),0)))</f>
        <v/>
      </c>
      <c r="E66" s="176">
        <f>IF($X66="","",IF(INDEX('HW Sets'!$C$7:$C$306,$X66)="","",INDEX('HW Sets'!$C$7:$C$306,$X66)))</f>
        <v/>
      </c>
      <c r="F66" s="176">
        <f>IF($X66="","",IF(INDEX('HW Sets'!$D$7:$D$306,$X66)="","",INDEX('HW Sets'!$D$7:$D$306,$X66)))</f>
        <v/>
      </c>
      <c r="G66" s="176">
        <f>IF($X66="","",IF(INDEX('HW Sets'!$E$7:$E$306,$X66)="","",INDEX('HW Sets'!$E$7:$E$306,$X66)))</f>
        <v/>
      </c>
      <c r="H66" s="176">
        <f>IF($X66="","",IF(INDEX('HW Sets'!$F$7:$F$306,$X66)="","",INDEX('HW Sets'!$F$7:$F$306,$X66)))</f>
        <v/>
      </c>
      <c r="I66" s="176">
        <f>IF($X66="","",IF(INDEX('HW Sets'!$G$7:$G$306,$X66)="","",INDEX('HW Sets'!$G$7:$G$306,$X66)))</f>
        <v/>
      </c>
      <c r="J66" s="176">
        <f>IF($X66="","",IF(INDEX('HW Sets'!$H$7:$H$306,$X66)="","",INDEX('HW Sets'!$H$7:$H$306,$X66)))</f>
        <v/>
      </c>
      <c r="K66" s="175">
        <f t="array" ref="K66">IF($X66="","",N($E66)*SUM(IF(tk_HWSET&amp;""=$Y66,IFERROR(--tk_QTY,0),0)))</f>
        <v/>
      </c>
      <c r="L66" s="176">
        <f>IF($X66="","",IF(INDEX('HW Sets'!$I$7:$I$306,$X66)="","",INDEX('HW Sets'!$I$7:$I$306,$X66)))</f>
        <v/>
      </c>
      <c r="N66" s="176">
        <f>IF($W66="","",INDEX($G$7:$G$306,$W66)&amp;"")</f>
        <v/>
      </c>
      <c r="O66" s="176">
        <f>IF($W66="","",INDEX($H$7:$H$306,$W66)&amp;"")</f>
        <v/>
      </c>
      <c r="P66" s="176">
        <f>IF($W66="","",INDEX($I$7:$I$306,$W66)&amp;"")</f>
        <v/>
      </c>
      <c r="Q66" s="176">
        <f>IF($W66="","",INDEX($J$7:$J$306,$W66)&amp;"")</f>
        <v/>
      </c>
      <c r="R66" s="176">
        <f>IF($W66="","",INDEX($F$7:$F$306,$W66)&amp;"")</f>
        <v/>
      </c>
      <c r="S66" s="175">
        <f>IF($W66="","",SUMIF($U$7:$U$306,INDEX($U$7:$U$306,$W66),$K$7:$K$306))</f>
        <v/>
      </c>
      <c r="U66">
        <f>IF(OR($X66="",N($K66)=0),"",UPPER(TRIM($G66&amp;"|"&amp;$H66&amp;"|"&amp;$I66&amp;"|"&amp;$J66&amp;"|"&amp;$F66)))</f>
        <v/>
      </c>
      <c r="V66">
        <f>IF($U66="","",IF(COUNTIF($U$7:$U66,$U66)=1,MAX($V$6:$V65)+1,""))</f>
        <v/>
      </c>
      <c r="W66">
        <f>IFERROR(MATCH(60,$V$7:$V$306,0),"")</f>
        <v/>
      </c>
      <c r="X66">
        <f>IFERROR(MATCH(60,'HW Sets'!$S$7:$S$306,0),"")</f>
        <v/>
      </c>
      <c r="Y66">
        <f>IF($X66="","",INDEX('HW Sets'!$J$7:$J$306,$X66)&amp;"")</f>
        <v/>
      </c>
      <c r="Z66">
        <f>IF($Y66="","",IF(COUNTIF($Y$7:$Y66,$Y66)=1,1,""))</f>
        <v/>
      </c>
    </row>
    <row r="67">
      <c r="A67" s="175">
        <f>IF($Z67="","",$Y67)</f>
        <v/>
      </c>
      <c r="B67" s="176">
        <f>IF($Z67="","",IFERROR(INDEX('HW Sets'!$N$7:$N$306,MATCH($Y67,'HW Sets'!$M$7:$M$306,0)),""))</f>
        <v/>
      </c>
      <c r="C67" s="177">
        <f t="array" ref="C67">IF($Z67="","",_xlfn.TEXTJOIN(", ",TRUE,IF(tk_HWSET&amp;""=$Y67,tk_MARK,"")))</f>
        <v/>
      </c>
      <c r="D67" s="176">
        <f t="array" ref="D67">IF($Z67="","",SUM(IF(tk_HWSET&amp;""=$Y67,IFERROR(--tk_QTY,0),0)))</f>
        <v/>
      </c>
      <c r="E67" s="176">
        <f>IF($X67="","",IF(INDEX('HW Sets'!$C$7:$C$306,$X67)="","",INDEX('HW Sets'!$C$7:$C$306,$X67)))</f>
        <v/>
      </c>
      <c r="F67" s="176">
        <f>IF($X67="","",IF(INDEX('HW Sets'!$D$7:$D$306,$X67)="","",INDEX('HW Sets'!$D$7:$D$306,$X67)))</f>
        <v/>
      </c>
      <c r="G67" s="176">
        <f>IF($X67="","",IF(INDEX('HW Sets'!$E$7:$E$306,$X67)="","",INDEX('HW Sets'!$E$7:$E$306,$X67)))</f>
        <v/>
      </c>
      <c r="H67" s="176">
        <f>IF($X67="","",IF(INDEX('HW Sets'!$F$7:$F$306,$X67)="","",INDEX('HW Sets'!$F$7:$F$306,$X67)))</f>
        <v/>
      </c>
      <c r="I67" s="176">
        <f>IF($X67="","",IF(INDEX('HW Sets'!$G$7:$G$306,$X67)="","",INDEX('HW Sets'!$G$7:$G$306,$X67)))</f>
        <v/>
      </c>
      <c r="J67" s="176">
        <f>IF($X67="","",IF(INDEX('HW Sets'!$H$7:$H$306,$X67)="","",INDEX('HW Sets'!$H$7:$H$306,$X67)))</f>
        <v/>
      </c>
      <c r="K67" s="175">
        <f t="array" ref="K67">IF($X67="","",N($E67)*SUM(IF(tk_HWSET&amp;""=$Y67,IFERROR(--tk_QTY,0),0)))</f>
        <v/>
      </c>
      <c r="L67" s="176">
        <f>IF($X67="","",IF(INDEX('HW Sets'!$I$7:$I$306,$X67)="","",INDEX('HW Sets'!$I$7:$I$306,$X67)))</f>
        <v/>
      </c>
      <c r="N67" s="176">
        <f>IF($W67="","",INDEX($G$7:$G$306,$W67)&amp;"")</f>
        <v/>
      </c>
      <c r="O67" s="176">
        <f>IF($W67="","",INDEX($H$7:$H$306,$W67)&amp;"")</f>
        <v/>
      </c>
      <c r="P67" s="176">
        <f>IF($W67="","",INDEX($I$7:$I$306,$W67)&amp;"")</f>
        <v/>
      </c>
      <c r="Q67" s="176">
        <f>IF($W67="","",INDEX($J$7:$J$306,$W67)&amp;"")</f>
        <v/>
      </c>
      <c r="R67" s="176">
        <f>IF($W67="","",INDEX($F$7:$F$306,$W67)&amp;"")</f>
        <v/>
      </c>
      <c r="S67" s="175">
        <f>IF($W67="","",SUMIF($U$7:$U$306,INDEX($U$7:$U$306,$W67),$K$7:$K$306))</f>
        <v/>
      </c>
      <c r="U67">
        <f>IF(OR($X67="",N($K67)=0),"",UPPER(TRIM($G67&amp;"|"&amp;$H67&amp;"|"&amp;$I67&amp;"|"&amp;$J67&amp;"|"&amp;$F67)))</f>
        <v/>
      </c>
      <c r="V67">
        <f>IF($U67="","",IF(COUNTIF($U$7:$U67,$U67)=1,MAX($V$6:$V66)+1,""))</f>
        <v/>
      </c>
      <c r="W67">
        <f>IFERROR(MATCH(61,$V$7:$V$306,0),"")</f>
        <v/>
      </c>
      <c r="X67">
        <f>IFERROR(MATCH(61,'HW Sets'!$S$7:$S$306,0),"")</f>
        <v/>
      </c>
      <c r="Y67">
        <f>IF($X67="","",INDEX('HW Sets'!$J$7:$J$306,$X67)&amp;"")</f>
        <v/>
      </c>
      <c r="Z67">
        <f>IF($Y67="","",IF(COUNTIF($Y$7:$Y67,$Y67)=1,1,""))</f>
        <v/>
      </c>
    </row>
    <row r="68">
      <c r="A68" s="175">
        <f>IF($Z68="","",$Y68)</f>
        <v/>
      </c>
      <c r="B68" s="176">
        <f>IF($Z68="","",IFERROR(INDEX('HW Sets'!$N$7:$N$306,MATCH($Y68,'HW Sets'!$M$7:$M$306,0)),""))</f>
        <v/>
      </c>
      <c r="C68" s="177">
        <f t="array" ref="C68">IF($Z68="","",_xlfn.TEXTJOIN(", ",TRUE,IF(tk_HWSET&amp;""=$Y68,tk_MARK,"")))</f>
        <v/>
      </c>
      <c r="D68" s="176">
        <f t="array" ref="D68">IF($Z68="","",SUM(IF(tk_HWSET&amp;""=$Y68,IFERROR(--tk_QTY,0),0)))</f>
        <v/>
      </c>
      <c r="E68" s="176">
        <f>IF($X68="","",IF(INDEX('HW Sets'!$C$7:$C$306,$X68)="","",INDEX('HW Sets'!$C$7:$C$306,$X68)))</f>
        <v/>
      </c>
      <c r="F68" s="176">
        <f>IF($X68="","",IF(INDEX('HW Sets'!$D$7:$D$306,$X68)="","",INDEX('HW Sets'!$D$7:$D$306,$X68)))</f>
        <v/>
      </c>
      <c r="G68" s="176">
        <f>IF($X68="","",IF(INDEX('HW Sets'!$E$7:$E$306,$X68)="","",INDEX('HW Sets'!$E$7:$E$306,$X68)))</f>
        <v/>
      </c>
      <c r="H68" s="176">
        <f>IF($X68="","",IF(INDEX('HW Sets'!$F$7:$F$306,$X68)="","",INDEX('HW Sets'!$F$7:$F$306,$X68)))</f>
        <v/>
      </c>
      <c r="I68" s="176">
        <f>IF($X68="","",IF(INDEX('HW Sets'!$G$7:$G$306,$X68)="","",INDEX('HW Sets'!$G$7:$G$306,$X68)))</f>
        <v/>
      </c>
      <c r="J68" s="176">
        <f>IF($X68="","",IF(INDEX('HW Sets'!$H$7:$H$306,$X68)="","",INDEX('HW Sets'!$H$7:$H$306,$X68)))</f>
        <v/>
      </c>
      <c r="K68" s="175">
        <f t="array" ref="K68">IF($X68="","",N($E68)*SUM(IF(tk_HWSET&amp;""=$Y68,IFERROR(--tk_QTY,0),0)))</f>
        <v/>
      </c>
      <c r="L68" s="176">
        <f>IF($X68="","",IF(INDEX('HW Sets'!$I$7:$I$306,$X68)="","",INDEX('HW Sets'!$I$7:$I$306,$X68)))</f>
        <v/>
      </c>
      <c r="N68" s="176">
        <f>IF($W68="","",INDEX($G$7:$G$306,$W68)&amp;"")</f>
        <v/>
      </c>
      <c r="O68" s="176">
        <f>IF($W68="","",INDEX($H$7:$H$306,$W68)&amp;"")</f>
        <v/>
      </c>
      <c r="P68" s="176">
        <f>IF($W68="","",INDEX($I$7:$I$306,$W68)&amp;"")</f>
        <v/>
      </c>
      <c r="Q68" s="176">
        <f>IF($W68="","",INDEX($J$7:$J$306,$W68)&amp;"")</f>
        <v/>
      </c>
      <c r="R68" s="176">
        <f>IF($W68="","",INDEX($F$7:$F$306,$W68)&amp;"")</f>
        <v/>
      </c>
      <c r="S68" s="175">
        <f>IF($W68="","",SUMIF($U$7:$U$306,INDEX($U$7:$U$306,$W68),$K$7:$K$306))</f>
        <v/>
      </c>
      <c r="U68">
        <f>IF(OR($X68="",N($K68)=0),"",UPPER(TRIM($G68&amp;"|"&amp;$H68&amp;"|"&amp;$I68&amp;"|"&amp;$J68&amp;"|"&amp;$F68)))</f>
        <v/>
      </c>
      <c r="V68">
        <f>IF($U68="","",IF(COUNTIF($U$7:$U68,$U68)=1,MAX($V$6:$V67)+1,""))</f>
        <v/>
      </c>
      <c r="W68">
        <f>IFERROR(MATCH(62,$V$7:$V$306,0),"")</f>
        <v/>
      </c>
      <c r="X68">
        <f>IFERROR(MATCH(62,'HW Sets'!$S$7:$S$306,0),"")</f>
        <v/>
      </c>
      <c r="Y68">
        <f>IF($X68="","",INDEX('HW Sets'!$J$7:$J$306,$X68)&amp;"")</f>
        <v/>
      </c>
      <c r="Z68">
        <f>IF($Y68="","",IF(COUNTIF($Y$7:$Y68,$Y68)=1,1,""))</f>
        <v/>
      </c>
    </row>
    <row r="69">
      <c r="A69" s="175">
        <f>IF($Z69="","",$Y69)</f>
        <v/>
      </c>
      <c r="B69" s="176">
        <f>IF($Z69="","",IFERROR(INDEX('HW Sets'!$N$7:$N$306,MATCH($Y69,'HW Sets'!$M$7:$M$306,0)),""))</f>
        <v/>
      </c>
      <c r="C69" s="177">
        <f t="array" ref="C69">IF($Z69="","",_xlfn.TEXTJOIN(", ",TRUE,IF(tk_HWSET&amp;""=$Y69,tk_MARK,"")))</f>
        <v/>
      </c>
      <c r="D69" s="176">
        <f t="array" ref="D69">IF($Z69="","",SUM(IF(tk_HWSET&amp;""=$Y69,IFERROR(--tk_QTY,0),0)))</f>
        <v/>
      </c>
      <c r="E69" s="176">
        <f>IF($X69="","",IF(INDEX('HW Sets'!$C$7:$C$306,$X69)="","",INDEX('HW Sets'!$C$7:$C$306,$X69)))</f>
        <v/>
      </c>
      <c r="F69" s="176">
        <f>IF($X69="","",IF(INDEX('HW Sets'!$D$7:$D$306,$X69)="","",INDEX('HW Sets'!$D$7:$D$306,$X69)))</f>
        <v/>
      </c>
      <c r="G69" s="176">
        <f>IF($X69="","",IF(INDEX('HW Sets'!$E$7:$E$306,$X69)="","",INDEX('HW Sets'!$E$7:$E$306,$X69)))</f>
        <v/>
      </c>
      <c r="H69" s="176">
        <f>IF($X69="","",IF(INDEX('HW Sets'!$F$7:$F$306,$X69)="","",INDEX('HW Sets'!$F$7:$F$306,$X69)))</f>
        <v/>
      </c>
      <c r="I69" s="176">
        <f>IF($X69="","",IF(INDEX('HW Sets'!$G$7:$G$306,$X69)="","",INDEX('HW Sets'!$G$7:$G$306,$X69)))</f>
        <v/>
      </c>
      <c r="J69" s="176">
        <f>IF($X69="","",IF(INDEX('HW Sets'!$H$7:$H$306,$X69)="","",INDEX('HW Sets'!$H$7:$H$306,$X69)))</f>
        <v/>
      </c>
      <c r="K69" s="175">
        <f t="array" ref="K69">IF($X69="","",N($E69)*SUM(IF(tk_HWSET&amp;""=$Y69,IFERROR(--tk_QTY,0),0)))</f>
        <v/>
      </c>
      <c r="L69" s="176">
        <f>IF($X69="","",IF(INDEX('HW Sets'!$I$7:$I$306,$X69)="","",INDEX('HW Sets'!$I$7:$I$306,$X69)))</f>
        <v/>
      </c>
      <c r="N69" s="176">
        <f>IF($W69="","",INDEX($G$7:$G$306,$W69)&amp;"")</f>
        <v/>
      </c>
      <c r="O69" s="176">
        <f>IF($W69="","",INDEX($H$7:$H$306,$W69)&amp;"")</f>
        <v/>
      </c>
      <c r="P69" s="176">
        <f>IF($W69="","",INDEX($I$7:$I$306,$W69)&amp;"")</f>
        <v/>
      </c>
      <c r="Q69" s="176">
        <f>IF($W69="","",INDEX($J$7:$J$306,$W69)&amp;"")</f>
        <v/>
      </c>
      <c r="R69" s="176">
        <f>IF($W69="","",INDEX($F$7:$F$306,$W69)&amp;"")</f>
        <v/>
      </c>
      <c r="S69" s="175">
        <f>IF($W69="","",SUMIF($U$7:$U$306,INDEX($U$7:$U$306,$W69),$K$7:$K$306))</f>
        <v/>
      </c>
      <c r="U69">
        <f>IF(OR($X69="",N($K69)=0),"",UPPER(TRIM($G69&amp;"|"&amp;$H69&amp;"|"&amp;$I69&amp;"|"&amp;$J69&amp;"|"&amp;$F69)))</f>
        <v/>
      </c>
      <c r="V69">
        <f>IF($U69="","",IF(COUNTIF($U$7:$U69,$U69)=1,MAX($V$6:$V68)+1,""))</f>
        <v/>
      </c>
      <c r="W69">
        <f>IFERROR(MATCH(63,$V$7:$V$306,0),"")</f>
        <v/>
      </c>
      <c r="X69">
        <f>IFERROR(MATCH(63,'HW Sets'!$S$7:$S$306,0),"")</f>
        <v/>
      </c>
      <c r="Y69">
        <f>IF($X69="","",INDEX('HW Sets'!$J$7:$J$306,$X69)&amp;"")</f>
        <v/>
      </c>
      <c r="Z69">
        <f>IF($Y69="","",IF(COUNTIF($Y$7:$Y69,$Y69)=1,1,""))</f>
        <v/>
      </c>
    </row>
    <row r="70">
      <c r="A70" s="175">
        <f>IF($Z70="","",$Y70)</f>
        <v/>
      </c>
      <c r="B70" s="176">
        <f>IF($Z70="","",IFERROR(INDEX('HW Sets'!$N$7:$N$306,MATCH($Y70,'HW Sets'!$M$7:$M$306,0)),""))</f>
        <v/>
      </c>
      <c r="C70" s="177">
        <f t="array" ref="C70">IF($Z70="","",_xlfn.TEXTJOIN(", ",TRUE,IF(tk_HWSET&amp;""=$Y70,tk_MARK,"")))</f>
        <v/>
      </c>
      <c r="D70" s="176">
        <f t="array" ref="D70">IF($Z70="","",SUM(IF(tk_HWSET&amp;""=$Y70,IFERROR(--tk_QTY,0),0)))</f>
        <v/>
      </c>
      <c r="E70" s="176">
        <f>IF($X70="","",IF(INDEX('HW Sets'!$C$7:$C$306,$X70)="","",INDEX('HW Sets'!$C$7:$C$306,$X70)))</f>
        <v/>
      </c>
      <c r="F70" s="176">
        <f>IF($X70="","",IF(INDEX('HW Sets'!$D$7:$D$306,$X70)="","",INDEX('HW Sets'!$D$7:$D$306,$X70)))</f>
        <v/>
      </c>
      <c r="G70" s="176">
        <f>IF($X70="","",IF(INDEX('HW Sets'!$E$7:$E$306,$X70)="","",INDEX('HW Sets'!$E$7:$E$306,$X70)))</f>
        <v/>
      </c>
      <c r="H70" s="176">
        <f>IF($X70="","",IF(INDEX('HW Sets'!$F$7:$F$306,$X70)="","",INDEX('HW Sets'!$F$7:$F$306,$X70)))</f>
        <v/>
      </c>
      <c r="I70" s="176">
        <f>IF($X70="","",IF(INDEX('HW Sets'!$G$7:$G$306,$X70)="","",INDEX('HW Sets'!$G$7:$G$306,$X70)))</f>
        <v/>
      </c>
      <c r="J70" s="176">
        <f>IF($X70="","",IF(INDEX('HW Sets'!$H$7:$H$306,$X70)="","",INDEX('HW Sets'!$H$7:$H$306,$X70)))</f>
        <v/>
      </c>
      <c r="K70" s="175">
        <f t="array" ref="K70">IF($X70="","",N($E70)*SUM(IF(tk_HWSET&amp;""=$Y70,IFERROR(--tk_QTY,0),0)))</f>
        <v/>
      </c>
      <c r="L70" s="176">
        <f>IF($X70="","",IF(INDEX('HW Sets'!$I$7:$I$306,$X70)="","",INDEX('HW Sets'!$I$7:$I$306,$X70)))</f>
        <v/>
      </c>
      <c r="N70" s="176">
        <f>IF($W70="","",INDEX($G$7:$G$306,$W70)&amp;"")</f>
        <v/>
      </c>
      <c r="O70" s="176">
        <f>IF($W70="","",INDEX($H$7:$H$306,$W70)&amp;"")</f>
        <v/>
      </c>
      <c r="P70" s="176">
        <f>IF($W70="","",INDEX($I$7:$I$306,$W70)&amp;"")</f>
        <v/>
      </c>
      <c r="Q70" s="176">
        <f>IF($W70="","",INDEX($J$7:$J$306,$W70)&amp;"")</f>
        <v/>
      </c>
      <c r="R70" s="176">
        <f>IF($W70="","",INDEX($F$7:$F$306,$W70)&amp;"")</f>
        <v/>
      </c>
      <c r="S70" s="175">
        <f>IF($W70="","",SUMIF($U$7:$U$306,INDEX($U$7:$U$306,$W70),$K$7:$K$306))</f>
        <v/>
      </c>
      <c r="U70">
        <f>IF(OR($X70="",N($K70)=0),"",UPPER(TRIM($G70&amp;"|"&amp;$H70&amp;"|"&amp;$I70&amp;"|"&amp;$J70&amp;"|"&amp;$F70)))</f>
        <v/>
      </c>
      <c r="V70">
        <f>IF($U70="","",IF(COUNTIF($U$7:$U70,$U70)=1,MAX($V$6:$V69)+1,""))</f>
        <v/>
      </c>
      <c r="W70">
        <f>IFERROR(MATCH(64,$V$7:$V$306,0),"")</f>
        <v/>
      </c>
      <c r="X70">
        <f>IFERROR(MATCH(64,'HW Sets'!$S$7:$S$306,0),"")</f>
        <v/>
      </c>
      <c r="Y70">
        <f>IF($X70="","",INDEX('HW Sets'!$J$7:$J$306,$X70)&amp;"")</f>
        <v/>
      </c>
      <c r="Z70">
        <f>IF($Y70="","",IF(COUNTIF($Y$7:$Y70,$Y70)=1,1,""))</f>
        <v/>
      </c>
    </row>
    <row r="71">
      <c r="A71" s="175">
        <f>IF($Z71="","",$Y71)</f>
        <v/>
      </c>
      <c r="B71" s="176">
        <f>IF($Z71="","",IFERROR(INDEX('HW Sets'!$N$7:$N$306,MATCH($Y71,'HW Sets'!$M$7:$M$306,0)),""))</f>
        <v/>
      </c>
      <c r="C71" s="177">
        <f t="array" ref="C71">IF($Z71="","",_xlfn.TEXTJOIN(", ",TRUE,IF(tk_HWSET&amp;""=$Y71,tk_MARK,"")))</f>
        <v/>
      </c>
      <c r="D71" s="176">
        <f t="array" ref="D71">IF($Z71="","",SUM(IF(tk_HWSET&amp;""=$Y71,IFERROR(--tk_QTY,0),0)))</f>
        <v/>
      </c>
      <c r="E71" s="176">
        <f>IF($X71="","",IF(INDEX('HW Sets'!$C$7:$C$306,$X71)="","",INDEX('HW Sets'!$C$7:$C$306,$X71)))</f>
        <v/>
      </c>
      <c r="F71" s="176">
        <f>IF($X71="","",IF(INDEX('HW Sets'!$D$7:$D$306,$X71)="","",INDEX('HW Sets'!$D$7:$D$306,$X71)))</f>
        <v/>
      </c>
      <c r="G71" s="176">
        <f>IF($X71="","",IF(INDEX('HW Sets'!$E$7:$E$306,$X71)="","",INDEX('HW Sets'!$E$7:$E$306,$X71)))</f>
        <v/>
      </c>
      <c r="H71" s="176">
        <f>IF($X71="","",IF(INDEX('HW Sets'!$F$7:$F$306,$X71)="","",INDEX('HW Sets'!$F$7:$F$306,$X71)))</f>
        <v/>
      </c>
      <c r="I71" s="176">
        <f>IF($X71="","",IF(INDEX('HW Sets'!$G$7:$G$306,$X71)="","",INDEX('HW Sets'!$G$7:$G$306,$X71)))</f>
        <v/>
      </c>
      <c r="J71" s="176">
        <f>IF($X71="","",IF(INDEX('HW Sets'!$H$7:$H$306,$X71)="","",INDEX('HW Sets'!$H$7:$H$306,$X71)))</f>
        <v/>
      </c>
      <c r="K71" s="175">
        <f t="array" ref="K71">IF($X71="","",N($E71)*SUM(IF(tk_HWSET&amp;""=$Y71,IFERROR(--tk_QTY,0),0)))</f>
        <v/>
      </c>
      <c r="L71" s="176">
        <f>IF($X71="","",IF(INDEX('HW Sets'!$I$7:$I$306,$X71)="","",INDEX('HW Sets'!$I$7:$I$306,$X71)))</f>
        <v/>
      </c>
      <c r="N71" s="176">
        <f>IF($W71="","",INDEX($G$7:$G$306,$W71)&amp;"")</f>
        <v/>
      </c>
      <c r="O71" s="176">
        <f>IF($W71="","",INDEX($H$7:$H$306,$W71)&amp;"")</f>
        <v/>
      </c>
      <c r="P71" s="176">
        <f>IF($W71="","",INDEX($I$7:$I$306,$W71)&amp;"")</f>
        <v/>
      </c>
      <c r="Q71" s="176">
        <f>IF($W71="","",INDEX($J$7:$J$306,$W71)&amp;"")</f>
        <v/>
      </c>
      <c r="R71" s="176">
        <f>IF($W71="","",INDEX($F$7:$F$306,$W71)&amp;"")</f>
        <v/>
      </c>
      <c r="S71" s="175">
        <f>IF($W71="","",SUMIF($U$7:$U$306,INDEX($U$7:$U$306,$W71),$K$7:$K$306))</f>
        <v/>
      </c>
      <c r="U71">
        <f>IF(OR($X71="",N($K71)=0),"",UPPER(TRIM($G71&amp;"|"&amp;$H71&amp;"|"&amp;$I71&amp;"|"&amp;$J71&amp;"|"&amp;$F71)))</f>
        <v/>
      </c>
      <c r="V71">
        <f>IF($U71="","",IF(COUNTIF($U$7:$U71,$U71)=1,MAX($V$6:$V70)+1,""))</f>
        <v/>
      </c>
      <c r="W71">
        <f>IFERROR(MATCH(65,$V$7:$V$306,0),"")</f>
        <v/>
      </c>
      <c r="X71">
        <f>IFERROR(MATCH(65,'HW Sets'!$S$7:$S$306,0),"")</f>
        <v/>
      </c>
      <c r="Y71">
        <f>IF($X71="","",INDEX('HW Sets'!$J$7:$J$306,$X71)&amp;"")</f>
        <v/>
      </c>
      <c r="Z71">
        <f>IF($Y71="","",IF(COUNTIF($Y$7:$Y71,$Y71)=1,1,""))</f>
        <v/>
      </c>
    </row>
    <row r="72">
      <c r="A72" s="175">
        <f>IF($Z72="","",$Y72)</f>
        <v/>
      </c>
      <c r="B72" s="176">
        <f>IF($Z72="","",IFERROR(INDEX('HW Sets'!$N$7:$N$306,MATCH($Y72,'HW Sets'!$M$7:$M$306,0)),""))</f>
        <v/>
      </c>
      <c r="C72" s="177">
        <f t="array" ref="C72">IF($Z72="","",_xlfn.TEXTJOIN(", ",TRUE,IF(tk_HWSET&amp;""=$Y72,tk_MARK,"")))</f>
        <v/>
      </c>
      <c r="D72" s="176">
        <f t="array" ref="D72">IF($Z72="","",SUM(IF(tk_HWSET&amp;""=$Y72,IFERROR(--tk_QTY,0),0)))</f>
        <v/>
      </c>
      <c r="E72" s="176">
        <f>IF($X72="","",IF(INDEX('HW Sets'!$C$7:$C$306,$X72)="","",INDEX('HW Sets'!$C$7:$C$306,$X72)))</f>
        <v/>
      </c>
      <c r="F72" s="176">
        <f>IF($X72="","",IF(INDEX('HW Sets'!$D$7:$D$306,$X72)="","",INDEX('HW Sets'!$D$7:$D$306,$X72)))</f>
        <v/>
      </c>
      <c r="G72" s="176">
        <f>IF($X72="","",IF(INDEX('HW Sets'!$E$7:$E$306,$X72)="","",INDEX('HW Sets'!$E$7:$E$306,$X72)))</f>
        <v/>
      </c>
      <c r="H72" s="176">
        <f>IF($X72="","",IF(INDEX('HW Sets'!$F$7:$F$306,$X72)="","",INDEX('HW Sets'!$F$7:$F$306,$X72)))</f>
        <v/>
      </c>
      <c r="I72" s="176">
        <f>IF($X72="","",IF(INDEX('HW Sets'!$G$7:$G$306,$X72)="","",INDEX('HW Sets'!$G$7:$G$306,$X72)))</f>
        <v/>
      </c>
      <c r="J72" s="176">
        <f>IF($X72="","",IF(INDEX('HW Sets'!$H$7:$H$306,$X72)="","",INDEX('HW Sets'!$H$7:$H$306,$X72)))</f>
        <v/>
      </c>
      <c r="K72" s="175">
        <f t="array" ref="K72">IF($X72="","",N($E72)*SUM(IF(tk_HWSET&amp;""=$Y72,IFERROR(--tk_QTY,0),0)))</f>
        <v/>
      </c>
      <c r="L72" s="176">
        <f>IF($X72="","",IF(INDEX('HW Sets'!$I$7:$I$306,$X72)="","",INDEX('HW Sets'!$I$7:$I$306,$X72)))</f>
        <v/>
      </c>
      <c r="N72" s="176">
        <f>IF($W72="","",INDEX($G$7:$G$306,$W72)&amp;"")</f>
        <v/>
      </c>
      <c r="O72" s="176">
        <f>IF($W72="","",INDEX($H$7:$H$306,$W72)&amp;"")</f>
        <v/>
      </c>
      <c r="P72" s="176">
        <f>IF($W72="","",INDEX($I$7:$I$306,$W72)&amp;"")</f>
        <v/>
      </c>
      <c r="Q72" s="176">
        <f>IF($W72="","",INDEX($J$7:$J$306,$W72)&amp;"")</f>
        <v/>
      </c>
      <c r="R72" s="176">
        <f>IF($W72="","",INDEX($F$7:$F$306,$W72)&amp;"")</f>
        <v/>
      </c>
      <c r="S72" s="175">
        <f>IF($W72="","",SUMIF($U$7:$U$306,INDEX($U$7:$U$306,$W72),$K$7:$K$306))</f>
        <v/>
      </c>
      <c r="U72">
        <f>IF(OR($X72="",N($K72)=0),"",UPPER(TRIM($G72&amp;"|"&amp;$H72&amp;"|"&amp;$I72&amp;"|"&amp;$J72&amp;"|"&amp;$F72)))</f>
        <v/>
      </c>
      <c r="V72">
        <f>IF($U72="","",IF(COUNTIF($U$7:$U72,$U72)=1,MAX($V$6:$V71)+1,""))</f>
        <v/>
      </c>
      <c r="W72">
        <f>IFERROR(MATCH(66,$V$7:$V$306,0),"")</f>
        <v/>
      </c>
      <c r="X72">
        <f>IFERROR(MATCH(66,'HW Sets'!$S$7:$S$306,0),"")</f>
        <v/>
      </c>
      <c r="Y72">
        <f>IF($X72="","",INDEX('HW Sets'!$J$7:$J$306,$X72)&amp;"")</f>
        <v/>
      </c>
      <c r="Z72">
        <f>IF($Y72="","",IF(COUNTIF($Y$7:$Y72,$Y72)=1,1,""))</f>
        <v/>
      </c>
    </row>
    <row r="73">
      <c r="A73" s="175">
        <f>IF($Z73="","",$Y73)</f>
        <v/>
      </c>
      <c r="B73" s="176">
        <f>IF($Z73="","",IFERROR(INDEX('HW Sets'!$N$7:$N$306,MATCH($Y73,'HW Sets'!$M$7:$M$306,0)),""))</f>
        <v/>
      </c>
      <c r="C73" s="177">
        <f t="array" ref="C73">IF($Z73="","",_xlfn.TEXTJOIN(", ",TRUE,IF(tk_HWSET&amp;""=$Y73,tk_MARK,"")))</f>
        <v/>
      </c>
      <c r="D73" s="176">
        <f t="array" ref="D73">IF($Z73="","",SUM(IF(tk_HWSET&amp;""=$Y73,IFERROR(--tk_QTY,0),0)))</f>
        <v/>
      </c>
      <c r="E73" s="176">
        <f>IF($X73="","",IF(INDEX('HW Sets'!$C$7:$C$306,$X73)="","",INDEX('HW Sets'!$C$7:$C$306,$X73)))</f>
        <v/>
      </c>
      <c r="F73" s="176">
        <f>IF($X73="","",IF(INDEX('HW Sets'!$D$7:$D$306,$X73)="","",INDEX('HW Sets'!$D$7:$D$306,$X73)))</f>
        <v/>
      </c>
      <c r="G73" s="176">
        <f>IF($X73="","",IF(INDEX('HW Sets'!$E$7:$E$306,$X73)="","",INDEX('HW Sets'!$E$7:$E$306,$X73)))</f>
        <v/>
      </c>
      <c r="H73" s="176">
        <f>IF($X73="","",IF(INDEX('HW Sets'!$F$7:$F$306,$X73)="","",INDEX('HW Sets'!$F$7:$F$306,$X73)))</f>
        <v/>
      </c>
      <c r="I73" s="176">
        <f>IF($X73="","",IF(INDEX('HW Sets'!$G$7:$G$306,$X73)="","",INDEX('HW Sets'!$G$7:$G$306,$X73)))</f>
        <v/>
      </c>
      <c r="J73" s="176">
        <f>IF($X73="","",IF(INDEX('HW Sets'!$H$7:$H$306,$X73)="","",INDEX('HW Sets'!$H$7:$H$306,$X73)))</f>
        <v/>
      </c>
      <c r="K73" s="175">
        <f t="array" ref="K73">IF($X73="","",N($E73)*SUM(IF(tk_HWSET&amp;""=$Y73,IFERROR(--tk_QTY,0),0)))</f>
        <v/>
      </c>
      <c r="L73" s="176">
        <f>IF($X73="","",IF(INDEX('HW Sets'!$I$7:$I$306,$X73)="","",INDEX('HW Sets'!$I$7:$I$306,$X73)))</f>
        <v/>
      </c>
      <c r="N73" s="176">
        <f>IF($W73="","",INDEX($G$7:$G$306,$W73)&amp;"")</f>
        <v/>
      </c>
      <c r="O73" s="176">
        <f>IF($W73="","",INDEX($H$7:$H$306,$W73)&amp;"")</f>
        <v/>
      </c>
      <c r="P73" s="176">
        <f>IF($W73="","",INDEX($I$7:$I$306,$W73)&amp;"")</f>
        <v/>
      </c>
      <c r="Q73" s="176">
        <f>IF($W73="","",INDEX($J$7:$J$306,$W73)&amp;"")</f>
        <v/>
      </c>
      <c r="R73" s="176">
        <f>IF($W73="","",INDEX($F$7:$F$306,$W73)&amp;"")</f>
        <v/>
      </c>
      <c r="S73" s="175">
        <f>IF($W73="","",SUMIF($U$7:$U$306,INDEX($U$7:$U$306,$W73),$K$7:$K$306))</f>
        <v/>
      </c>
      <c r="U73">
        <f>IF(OR($X73="",N($K73)=0),"",UPPER(TRIM($G73&amp;"|"&amp;$H73&amp;"|"&amp;$I73&amp;"|"&amp;$J73&amp;"|"&amp;$F73)))</f>
        <v/>
      </c>
      <c r="V73">
        <f>IF($U73="","",IF(COUNTIF($U$7:$U73,$U73)=1,MAX($V$6:$V72)+1,""))</f>
        <v/>
      </c>
      <c r="W73">
        <f>IFERROR(MATCH(67,$V$7:$V$306,0),"")</f>
        <v/>
      </c>
      <c r="X73">
        <f>IFERROR(MATCH(67,'HW Sets'!$S$7:$S$306,0),"")</f>
        <v/>
      </c>
      <c r="Y73">
        <f>IF($X73="","",INDEX('HW Sets'!$J$7:$J$306,$X73)&amp;"")</f>
        <v/>
      </c>
      <c r="Z73">
        <f>IF($Y73="","",IF(COUNTIF($Y$7:$Y73,$Y73)=1,1,""))</f>
        <v/>
      </c>
    </row>
    <row r="74">
      <c r="A74" s="175">
        <f>IF($Z74="","",$Y74)</f>
        <v/>
      </c>
      <c r="B74" s="176">
        <f>IF($Z74="","",IFERROR(INDEX('HW Sets'!$N$7:$N$306,MATCH($Y74,'HW Sets'!$M$7:$M$306,0)),""))</f>
        <v/>
      </c>
      <c r="C74" s="177">
        <f t="array" ref="C74">IF($Z74="","",_xlfn.TEXTJOIN(", ",TRUE,IF(tk_HWSET&amp;""=$Y74,tk_MARK,"")))</f>
        <v/>
      </c>
      <c r="D74" s="176">
        <f t="array" ref="D74">IF($Z74="","",SUM(IF(tk_HWSET&amp;""=$Y74,IFERROR(--tk_QTY,0),0)))</f>
        <v/>
      </c>
      <c r="E74" s="176">
        <f>IF($X74="","",IF(INDEX('HW Sets'!$C$7:$C$306,$X74)="","",INDEX('HW Sets'!$C$7:$C$306,$X74)))</f>
        <v/>
      </c>
      <c r="F74" s="176">
        <f>IF($X74="","",IF(INDEX('HW Sets'!$D$7:$D$306,$X74)="","",INDEX('HW Sets'!$D$7:$D$306,$X74)))</f>
        <v/>
      </c>
      <c r="G74" s="176">
        <f>IF($X74="","",IF(INDEX('HW Sets'!$E$7:$E$306,$X74)="","",INDEX('HW Sets'!$E$7:$E$306,$X74)))</f>
        <v/>
      </c>
      <c r="H74" s="176">
        <f>IF($X74="","",IF(INDEX('HW Sets'!$F$7:$F$306,$X74)="","",INDEX('HW Sets'!$F$7:$F$306,$X74)))</f>
        <v/>
      </c>
      <c r="I74" s="176">
        <f>IF($X74="","",IF(INDEX('HW Sets'!$G$7:$G$306,$X74)="","",INDEX('HW Sets'!$G$7:$G$306,$X74)))</f>
        <v/>
      </c>
      <c r="J74" s="176">
        <f>IF($X74="","",IF(INDEX('HW Sets'!$H$7:$H$306,$X74)="","",INDEX('HW Sets'!$H$7:$H$306,$X74)))</f>
        <v/>
      </c>
      <c r="K74" s="175">
        <f t="array" ref="K74">IF($X74="","",N($E74)*SUM(IF(tk_HWSET&amp;""=$Y74,IFERROR(--tk_QTY,0),0)))</f>
        <v/>
      </c>
      <c r="L74" s="176">
        <f>IF($X74="","",IF(INDEX('HW Sets'!$I$7:$I$306,$X74)="","",INDEX('HW Sets'!$I$7:$I$306,$X74)))</f>
        <v/>
      </c>
      <c r="N74" s="176">
        <f>IF($W74="","",INDEX($G$7:$G$306,$W74)&amp;"")</f>
        <v/>
      </c>
      <c r="O74" s="176">
        <f>IF($W74="","",INDEX($H$7:$H$306,$W74)&amp;"")</f>
        <v/>
      </c>
      <c r="P74" s="176">
        <f>IF($W74="","",INDEX($I$7:$I$306,$W74)&amp;"")</f>
        <v/>
      </c>
      <c r="Q74" s="176">
        <f>IF($W74="","",INDEX($J$7:$J$306,$W74)&amp;"")</f>
        <v/>
      </c>
      <c r="R74" s="176">
        <f>IF($W74="","",INDEX($F$7:$F$306,$W74)&amp;"")</f>
        <v/>
      </c>
      <c r="S74" s="175">
        <f>IF($W74="","",SUMIF($U$7:$U$306,INDEX($U$7:$U$306,$W74),$K$7:$K$306))</f>
        <v/>
      </c>
      <c r="U74">
        <f>IF(OR($X74="",N($K74)=0),"",UPPER(TRIM($G74&amp;"|"&amp;$H74&amp;"|"&amp;$I74&amp;"|"&amp;$J74&amp;"|"&amp;$F74)))</f>
        <v/>
      </c>
      <c r="V74">
        <f>IF($U74="","",IF(COUNTIF($U$7:$U74,$U74)=1,MAX($V$6:$V73)+1,""))</f>
        <v/>
      </c>
      <c r="W74">
        <f>IFERROR(MATCH(68,$V$7:$V$306,0),"")</f>
        <v/>
      </c>
      <c r="X74">
        <f>IFERROR(MATCH(68,'HW Sets'!$S$7:$S$306,0),"")</f>
        <v/>
      </c>
      <c r="Y74">
        <f>IF($X74="","",INDEX('HW Sets'!$J$7:$J$306,$X74)&amp;"")</f>
        <v/>
      </c>
      <c r="Z74">
        <f>IF($Y74="","",IF(COUNTIF($Y$7:$Y74,$Y74)=1,1,""))</f>
        <v/>
      </c>
    </row>
    <row r="75">
      <c r="A75" s="175">
        <f>IF($Z75="","",$Y75)</f>
        <v/>
      </c>
      <c r="B75" s="176">
        <f>IF($Z75="","",IFERROR(INDEX('HW Sets'!$N$7:$N$306,MATCH($Y75,'HW Sets'!$M$7:$M$306,0)),""))</f>
        <v/>
      </c>
      <c r="C75" s="177">
        <f t="array" ref="C75">IF($Z75="","",_xlfn.TEXTJOIN(", ",TRUE,IF(tk_HWSET&amp;""=$Y75,tk_MARK,"")))</f>
        <v/>
      </c>
      <c r="D75" s="176">
        <f t="array" ref="D75">IF($Z75="","",SUM(IF(tk_HWSET&amp;""=$Y75,IFERROR(--tk_QTY,0),0)))</f>
        <v/>
      </c>
      <c r="E75" s="176">
        <f>IF($X75="","",IF(INDEX('HW Sets'!$C$7:$C$306,$X75)="","",INDEX('HW Sets'!$C$7:$C$306,$X75)))</f>
        <v/>
      </c>
      <c r="F75" s="176">
        <f>IF($X75="","",IF(INDEX('HW Sets'!$D$7:$D$306,$X75)="","",INDEX('HW Sets'!$D$7:$D$306,$X75)))</f>
        <v/>
      </c>
      <c r="G75" s="176">
        <f>IF($X75="","",IF(INDEX('HW Sets'!$E$7:$E$306,$X75)="","",INDEX('HW Sets'!$E$7:$E$306,$X75)))</f>
        <v/>
      </c>
      <c r="H75" s="176">
        <f>IF($X75="","",IF(INDEX('HW Sets'!$F$7:$F$306,$X75)="","",INDEX('HW Sets'!$F$7:$F$306,$X75)))</f>
        <v/>
      </c>
      <c r="I75" s="176">
        <f>IF($X75="","",IF(INDEX('HW Sets'!$G$7:$G$306,$X75)="","",INDEX('HW Sets'!$G$7:$G$306,$X75)))</f>
        <v/>
      </c>
      <c r="J75" s="176">
        <f>IF($X75="","",IF(INDEX('HW Sets'!$H$7:$H$306,$X75)="","",INDEX('HW Sets'!$H$7:$H$306,$X75)))</f>
        <v/>
      </c>
      <c r="K75" s="175">
        <f t="array" ref="K75">IF($X75="","",N($E75)*SUM(IF(tk_HWSET&amp;""=$Y75,IFERROR(--tk_QTY,0),0)))</f>
        <v/>
      </c>
      <c r="L75" s="176">
        <f>IF($X75="","",IF(INDEX('HW Sets'!$I$7:$I$306,$X75)="","",INDEX('HW Sets'!$I$7:$I$306,$X75)))</f>
        <v/>
      </c>
      <c r="N75" s="176">
        <f>IF($W75="","",INDEX($G$7:$G$306,$W75)&amp;"")</f>
        <v/>
      </c>
      <c r="O75" s="176">
        <f>IF($W75="","",INDEX($H$7:$H$306,$W75)&amp;"")</f>
        <v/>
      </c>
      <c r="P75" s="176">
        <f>IF($W75="","",INDEX($I$7:$I$306,$W75)&amp;"")</f>
        <v/>
      </c>
      <c r="Q75" s="176">
        <f>IF($W75="","",INDEX($J$7:$J$306,$W75)&amp;"")</f>
        <v/>
      </c>
      <c r="R75" s="176">
        <f>IF($W75="","",INDEX($F$7:$F$306,$W75)&amp;"")</f>
        <v/>
      </c>
      <c r="S75" s="175">
        <f>IF($W75="","",SUMIF($U$7:$U$306,INDEX($U$7:$U$306,$W75),$K$7:$K$306))</f>
        <v/>
      </c>
      <c r="U75">
        <f>IF(OR($X75="",N($K75)=0),"",UPPER(TRIM($G75&amp;"|"&amp;$H75&amp;"|"&amp;$I75&amp;"|"&amp;$J75&amp;"|"&amp;$F75)))</f>
        <v/>
      </c>
      <c r="V75">
        <f>IF($U75="","",IF(COUNTIF($U$7:$U75,$U75)=1,MAX($V$6:$V74)+1,""))</f>
        <v/>
      </c>
      <c r="W75">
        <f>IFERROR(MATCH(69,$V$7:$V$306,0),"")</f>
        <v/>
      </c>
      <c r="X75">
        <f>IFERROR(MATCH(69,'HW Sets'!$S$7:$S$306,0),"")</f>
        <v/>
      </c>
      <c r="Y75">
        <f>IF($X75="","",INDEX('HW Sets'!$J$7:$J$306,$X75)&amp;"")</f>
        <v/>
      </c>
      <c r="Z75">
        <f>IF($Y75="","",IF(COUNTIF($Y$7:$Y75,$Y75)=1,1,""))</f>
        <v/>
      </c>
    </row>
    <row r="76">
      <c r="A76" s="175">
        <f>IF($Z76="","",$Y76)</f>
        <v/>
      </c>
      <c r="B76" s="176">
        <f>IF($Z76="","",IFERROR(INDEX('HW Sets'!$N$7:$N$306,MATCH($Y76,'HW Sets'!$M$7:$M$306,0)),""))</f>
        <v/>
      </c>
      <c r="C76" s="177">
        <f t="array" ref="C76">IF($Z76="","",_xlfn.TEXTJOIN(", ",TRUE,IF(tk_HWSET&amp;""=$Y76,tk_MARK,"")))</f>
        <v/>
      </c>
      <c r="D76" s="176">
        <f t="array" ref="D76">IF($Z76="","",SUM(IF(tk_HWSET&amp;""=$Y76,IFERROR(--tk_QTY,0),0)))</f>
        <v/>
      </c>
      <c r="E76" s="176">
        <f>IF($X76="","",IF(INDEX('HW Sets'!$C$7:$C$306,$X76)="","",INDEX('HW Sets'!$C$7:$C$306,$X76)))</f>
        <v/>
      </c>
      <c r="F76" s="176">
        <f>IF($X76="","",IF(INDEX('HW Sets'!$D$7:$D$306,$X76)="","",INDEX('HW Sets'!$D$7:$D$306,$X76)))</f>
        <v/>
      </c>
      <c r="G76" s="176">
        <f>IF($X76="","",IF(INDEX('HW Sets'!$E$7:$E$306,$X76)="","",INDEX('HW Sets'!$E$7:$E$306,$X76)))</f>
        <v/>
      </c>
      <c r="H76" s="176">
        <f>IF($X76="","",IF(INDEX('HW Sets'!$F$7:$F$306,$X76)="","",INDEX('HW Sets'!$F$7:$F$306,$X76)))</f>
        <v/>
      </c>
      <c r="I76" s="176">
        <f>IF($X76="","",IF(INDEX('HW Sets'!$G$7:$G$306,$X76)="","",INDEX('HW Sets'!$G$7:$G$306,$X76)))</f>
        <v/>
      </c>
      <c r="J76" s="176">
        <f>IF($X76="","",IF(INDEX('HW Sets'!$H$7:$H$306,$X76)="","",INDEX('HW Sets'!$H$7:$H$306,$X76)))</f>
        <v/>
      </c>
      <c r="K76" s="175">
        <f t="array" ref="K76">IF($X76="","",N($E76)*SUM(IF(tk_HWSET&amp;""=$Y76,IFERROR(--tk_QTY,0),0)))</f>
        <v/>
      </c>
      <c r="L76" s="176">
        <f>IF($X76="","",IF(INDEX('HW Sets'!$I$7:$I$306,$X76)="","",INDEX('HW Sets'!$I$7:$I$306,$X76)))</f>
        <v/>
      </c>
      <c r="N76" s="176">
        <f>IF($W76="","",INDEX($G$7:$G$306,$W76)&amp;"")</f>
        <v/>
      </c>
      <c r="O76" s="176">
        <f>IF($W76="","",INDEX($H$7:$H$306,$W76)&amp;"")</f>
        <v/>
      </c>
      <c r="P76" s="176">
        <f>IF($W76="","",INDEX($I$7:$I$306,$W76)&amp;"")</f>
        <v/>
      </c>
      <c r="Q76" s="176">
        <f>IF($W76="","",INDEX($J$7:$J$306,$W76)&amp;"")</f>
        <v/>
      </c>
      <c r="R76" s="176">
        <f>IF($W76="","",INDEX($F$7:$F$306,$W76)&amp;"")</f>
        <v/>
      </c>
      <c r="S76" s="175">
        <f>IF($W76="","",SUMIF($U$7:$U$306,INDEX($U$7:$U$306,$W76),$K$7:$K$306))</f>
        <v/>
      </c>
      <c r="U76">
        <f>IF(OR($X76="",N($K76)=0),"",UPPER(TRIM($G76&amp;"|"&amp;$H76&amp;"|"&amp;$I76&amp;"|"&amp;$J76&amp;"|"&amp;$F76)))</f>
        <v/>
      </c>
      <c r="V76">
        <f>IF($U76="","",IF(COUNTIF($U$7:$U76,$U76)=1,MAX($V$6:$V75)+1,""))</f>
        <v/>
      </c>
      <c r="W76">
        <f>IFERROR(MATCH(70,$V$7:$V$306,0),"")</f>
        <v/>
      </c>
      <c r="X76">
        <f>IFERROR(MATCH(70,'HW Sets'!$S$7:$S$306,0),"")</f>
        <v/>
      </c>
      <c r="Y76">
        <f>IF($X76="","",INDEX('HW Sets'!$J$7:$J$306,$X76)&amp;"")</f>
        <v/>
      </c>
      <c r="Z76">
        <f>IF($Y76="","",IF(COUNTIF($Y$7:$Y76,$Y76)=1,1,""))</f>
        <v/>
      </c>
    </row>
    <row r="77">
      <c r="A77" s="175">
        <f>IF($Z77="","",$Y77)</f>
        <v/>
      </c>
      <c r="B77" s="176">
        <f>IF($Z77="","",IFERROR(INDEX('HW Sets'!$N$7:$N$306,MATCH($Y77,'HW Sets'!$M$7:$M$306,0)),""))</f>
        <v/>
      </c>
      <c r="C77" s="177">
        <f t="array" ref="C77">IF($Z77="","",_xlfn.TEXTJOIN(", ",TRUE,IF(tk_HWSET&amp;""=$Y77,tk_MARK,"")))</f>
        <v/>
      </c>
      <c r="D77" s="176">
        <f t="array" ref="D77">IF($Z77="","",SUM(IF(tk_HWSET&amp;""=$Y77,IFERROR(--tk_QTY,0),0)))</f>
        <v/>
      </c>
      <c r="E77" s="176">
        <f>IF($X77="","",IF(INDEX('HW Sets'!$C$7:$C$306,$X77)="","",INDEX('HW Sets'!$C$7:$C$306,$X77)))</f>
        <v/>
      </c>
      <c r="F77" s="176">
        <f>IF($X77="","",IF(INDEX('HW Sets'!$D$7:$D$306,$X77)="","",INDEX('HW Sets'!$D$7:$D$306,$X77)))</f>
        <v/>
      </c>
      <c r="G77" s="176">
        <f>IF($X77="","",IF(INDEX('HW Sets'!$E$7:$E$306,$X77)="","",INDEX('HW Sets'!$E$7:$E$306,$X77)))</f>
        <v/>
      </c>
      <c r="H77" s="176">
        <f>IF($X77="","",IF(INDEX('HW Sets'!$F$7:$F$306,$X77)="","",INDEX('HW Sets'!$F$7:$F$306,$X77)))</f>
        <v/>
      </c>
      <c r="I77" s="176">
        <f>IF($X77="","",IF(INDEX('HW Sets'!$G$7:$G$306,$X77)="","",INDEX('HW Sets'!$G$7:$G$306,$X77)))</f>
        <v/>
      </c>
      <c r="J77" s="176">
        <f>IF($X77="","",IF(INDEX('HW Sets'!$H$7:$H$306,$X77)="","",INDEX('HW Sets'!$H$7:$H$306,$X77)))</f>
        <v/>
      </c>
      <c r="K77" s="175">
        <f t="array" ref="K77">IF($X77="","",N($E77)*SUM(IF(tk_HWSET&amp;""=$Y77,IFERROR(--tk_QTY,0),0)))</f>
        <v/>
      </c>
      <c r="L77" s="176">
        <f>IF($X77="","",IF(INDEX('HW Sets'!$I$7:$I$306,$X77)="","",INDEX('HW Sets'!$I$7:$I$306,$X77)))</f>
        <v/>
      </c>
      <c r="N77" s="176">
        <f>IF($W77="","",INDEX($G$7:$G$306,$W77)&amp;"")</f>
        <v/>
      </c>
      <c r="O77" s="176">
        <f>IF($W77="","",INDEX($H$7:$H$306,$W77)&amp;"")</f>
        <v/>
      </c>
      <c r="P77" s="176">
        <f>IF($W77="","",INDEX($I$7:$I$306,$W77)&amp;"")</f>
        <v/>
      </c>
      <c r="Q77" s="176">
        <f>IF($W77="","",INDEX($J$7:$J$306,$W77)&amp;"")</f>
        <v/>
      </c>
      <c r="R77" s="176">
        <f>IF($W77="","",INDEX($F$7:$F$306,$W77)&amp;"")</f>
        <v/>
      </c>
      <c r="S77" s="175">
        <f>IF($W77="","",SUMIF($U$7:$U$306,INDEX($U$7:$U$306,$W77),$K$7:$K$306))</f>
        <v/>
      </c>
      <c r="U77">
        <f>IF(OR($X77="",N($K77)=0),"",UPPER(TRIM($G77&amp;"|"&amp;$H77&amp;"|"&amp;$I77&amp;"|"&amp;$J77&amp;"|"&amp;$F77)))</f>
        <v/>
      </c>
      <c r="V77">
        <f>IF($U77="","",IF(COUNTIF($U$7:$U77,$U77)=1,MAX($V$6:$V76)+1,""))</f>
        <v/>
      </c>
      <c r="W77">
        <f>IFERROR(MATCH(71,$V$7:$V$306,0),"")</f>
        <v/>
      </c>
      <c r="X77">
        <f>IFERROR(MATCH(71,'HW Sets'!$S$7:$S$306,0),"")</f>
        <v/>
      </c>
      <c r="Y77">
        <f>IF($X77="","",INDEX('HW Sets'!$J$7:$J$306,$X77)&amp;"")</f>
        <v/>
      </c>
      <c r="Z77">
        <f>IF($Y77="","",IF(COUNTIF($Y$7:$Y77,$Y77)=1,1,""))</f>
        <v/>
      </c>
    </row>
    <row r="78">
      <c r="A78" s="175">
        <f>IF($Z78="","",$Y78)</f>
        <v/>
      </c>
      <c r="B78" s="176">
        <f>IF($Z78="","",IFERROR(INDEX('HW Sets'!$N$7:$N$306,MATCH($Y78,'HW Sets'!$M$7:$M$306,0)),""))</f>
        <v/>
      </c>
      <c r="C78" s="177">
        <f t="array" ref="C78">IF($Z78="","",_xlfn.TEXTJOIN(", ",TRUE,IF(tk_HWSET&amp;""=$Y78,tk_MARK,"")))</f>
        <v/>
      </c>
      <c r="D78" s="176">
        <f t="array" ref="D78">IF($Z78="","",SUM(IF(tk_HWSET&amp;""=$Y78,IFERROR(--tk_QTY,0),0)))</f>
        <v/>
      </c>
      <c r="E78" s="176">
        <f>IF($X78="","",IF(INDEX('HW Sets'!$C$7:$C$306,$X78)="","",INDEX('HW Sets'!$C$7:$C$306,$X78)))</f>
        <v/>
      </c>
      <c r="F78" s="176">
        <f>IF($X78="","",IF(INDEX('HW Sets'!$D$7:$D$306,$X78)="","",INDEX('HW Sets'!$D$7:$D$306,$X78)))</f>
        <v/>
      </c>
      <c r="G78" s="176">
        <f>IF($X78="","",IF(INDEX('HW Sets'!$E$7:$E$306,$X78)="","",INDEX('HW Sets'!$E$7:$E$306,$X78)))</f>
        <v/>
      </c>
      <c r="H78" s="176">
        <f>IF($X78="","",IF(INDEX('HW Sets'!$F$7:$F$306,$X78)="","",INDEX('HW Sets'!$F$7:$F$306,$X78)))</f>
        <v/>
      </c>
      <c r="I78" s="176">
        <f>IF($X78="","",IF(INDEX('HW Sets'!$G$7:$G$306,$X78)="","",INDEX('HW Sets'!$G$7:$G$306,$X78)))</f>
        <v/>
      </c>
      <c r="J78" s="176">
        <f>IF($X78="","",IF(INDEX('HW Sets'!$H$7:$H$306,$X78)="","",INDEX('HW Sets'!$H$7:$H$306,$X78)))</f>
        <v/>
      </c>
      <c r="K78" s="175">
        <f t="array" ref="K78">IF($X78="","",N($E78)*SUM(IF(tk_HWSET&amp;""=$Y78,IFERROR(--tk_QTY,0),0)))</f>
        <v/>
      </c>
      <c r="L78" s="176">
        <f>IF($X78="","",IF(INDEX('HW Sets'!$I$7:$I$306,$X78)="","",INDEX('HW Sets'!$I$7:$I$306,$X78)))</f>
        <v/>
      </c>
      <c r="N78" s="176">
        <f>IF($W78="","",INDEX($G$7:$G$306,$W78)&amp;"")</f>
        <v/>
      </c>
      <c r="O78" s="176">
        <f>IF($W78="","",INDEX($H$7:$H$306,$W78)&amp;"")</f>
        <v/>
      </c>
      <c r="P78" s="176">
        <f>IF($W78="","",INDEX($I$7:$I$306,$W78)&amp;"")</f>
        <v/>
      </c>
      <c r="Q78" s="176">
        <f>IF($W78="","",INDEX($J$7:$J$306,$W78)&amp;"")</f>
        <v/>
      </c>
      <c r="R78" s="176">
        <f>IF($W78="","",INDEX($F$7:$F$306,$W78)&amp;"")</f>
        <v/>
      </c>
      <c r="S78" s="175">
        <f>IF($W78="","",SUMIF($U$7:$U$306,INDEX($U$7:$U$306,$W78),$K$7:$K$306))</f>
        <v/>
      </c>
      <c r="U78">
        <f>IF(OR($X78="",N($K78)=0),"",UPPER(TRIM($G78&amp;"|"&amp;$H78&amp;"|"&amp;$I78&amp;"|"&amp;$J78&amp;"|"&amp;$F78)))</f>
        <v/>
      </c>
      <c r="V78">
        <f>IF($U78="","",IF(COUNTIF($U$7:$U78,$U78)=1,MAX($V$6:$V77)+1,""))</f>
        <v/>
      </c>
      <c r="W78">
        <f>IFERROR(MATCH(72,$V$7:$V$306,0),"")</f>
        <v/>
      </c>
      <c r="X78">
        <f>IFERROR(MATCH(72,'HW Sets'!$S$7:$S$306,0),"")</f>
        <v/>
      </c>
      <c r="Y78">
        <f>IF($X78="","",INDEX('HW Sets'!$J$7:$J$306,$X78)&amp;"")</f>
        <v/>
      </c>
      <c r="Z78">
        <f>IF($Y78="","",IF(COUNTIF($Y$7:$Y78,$Y78)=1,1,""))</f>
        <v/>
      </c>
    </row>
    <row r="79">
      <c r="A79" s="175">
        <f>IF($Z79="","",$Y79)</f>
        <v/>
      </c>
      <c r="B79" s="176">
        <f>IF($Z79="","",IFERROR(INDEX('HW Sets'!$N$7:$N$306,MATCH($Y79,'HW Sets'!$M$7:$M$306,0)),""))</f>
        <v/>
      </c>
      <c r="C79" s="177">
        <f t="array" ref="C79">IF($Z79="","",_xlfn.TEXTJOIN(", ",TRUE,IF(tk_HWSET&amp;""=$Y79,tk_MARK,"")))</f>
        <v/>
      </c>
      <c r="D79" s="176">
        <f t="array" ref="D79">IF($Z79="","",SUM(IF(tk_HWSET&amp;""=$Y79,IFERROR(--tk_QTY,0),0)))</f>
        <v/>
      </c>
      <c r="E79" s="176">
        <f>IF($X79="","",IF(INDEX('HW Sets'!$C$7:$C$306,$X79)="","",INDEX('HW Sets'!$C$7:$C$306,$X79)))</f>
        <v/>
      </c>
      <c r="F79" s="176">
        <f>IF($X79="","",IF(INDEX('HW Sets'!$D$7:$D$306,$X79)="","",INDEX('HW Sets'!$D$7:$D$306,$X79)))</f>
        <v/>
      </c>
      <c r="G79" s="176">
        <f>IF($X79="","",IF(INDEX('HW Sets'!$E$7:$E$306,$X79)="","",INDEX('HW Sets'!$E$7:$E$306,$X79)))</f>
        <v/>
      </c>
      <c r="H79" s="176">
        <f>IF($X79="","",IF(INDEX('HW Sets'!$F$7:$F$306,$X79)="","",INDEX('HW Sets'!$F$7:$F$306,$X79)))</f>
        <v/>
      </c>
      <c r="I79" s="176">
        <f>IF($X79="","",IF(INDEX('HW Sets'!$G$7:$G$306,$X79)="","",INDEX('HW Sets'!$G$7:$G$306,$X79)))</f>
        <v/>
      </c>
      <c r="J79" s="176">
        <f>IF($X79="","",IF(INDEX('HW Sets'!$H$7:$H$306,$X79)="","",INDEX('HW Sets'!$H$7:$H$306,$X79)))</f>
        <v/>
      </c>
      <c r="K79" s="175">
        <f t="array" ref="K79">IF($X79="","",N($E79)*SUM(IF(tk_HWSET&amp;""=$Y79,IFERROR(--tk_QTY,0),0)))</f>
        <v/>
      </c>
      <c r="L79" s="176">
        <f>IF($X79="","",IF(INDEX('HW Sets'!$I$7:$I$306,$X79)="","",INDEX('HW Sets'!$I$7:$I$306,$X79)))</f>
        <v/>
      </c>
      <c r="N79" s="176">
        <f>IF($W79="","",INDEX($G$7:$G$306,$W79)&amp;"")</f>
        <v/>
      </c>
      <c r="O79" s="176">
        <f>IF($W79="","",INDEX($H$7:$H$306,$W79)&amp;"")</f>
        <v/>
      </c>
      <c r="P79" s="176">
        <f>IF($W79="","",INDEX($I$7:$I$306,$W79)&amp;"")</f>
        <v/>
      </c>
      <c r="Q79" s="176">
        <f>IF($W79="","",INDEX($J$7:$J$306,$W79)&amp;"")</f>
        <v/>
      </c>
      <c r="R79" s="176">
        <f>IF($W79="","",INDEX($F$7:$F$306,$W79)&amp;"")</f>
        <v/>
      </c>
      <c r="S79" s="175">
        <f>IF($W79="","",SUMIF($U$7:$U$306,INDEX($U$7:$U$306,$W79),$K$7:$K$306))</f>
        <v/>
      </c>
      <c r="U79">
        <f>IF(OR($X79="",N($K79)=0),"",UPPER(TRIM($G79&amp;"|"&amp;$H79&amp;"|"&amp;$I79&amp;"|"&amp;$J79&amp;"|"&amp;$F79)))</f>
        <v/>
      </c>
      <c r="V79">
        <f>IF($U79="","",IF(COUNTIF($U$7:$U79,$U79)=1,MAX($V$6:$V78)+1,""))</f>
        <v/>
      </c>
      <c r="W79">
        <f>IFERROR(MATCH(73,$V$7:$V$306,0),"")</f>
        <v/>
      </c>
      <c r="X79">
        <f>IFERROR(MATCH(73,'HW Sets'!$S$7:$S$306,0),"")</f>
        <v/>
      </c>
      <c r="Y79">
        <f>IF($X79="","",INDEX('HW Sets'!$J$7:$J$306,$X79)&amp;"")</f>
        <v/>
      </c>
      <c r="Z79">
        <f>IF($Y79="","",IF(COUNTIF($Y$7:$Y79,$Y79)=1,1,""))</f>
        <v/>
      </c>
    </row>
    <row r="80">
      <c r="A80" s="175">
        <f>IF($Z80="","",$Y80)</f>
        <v/>
      </c>
      <c r="B80" s="176">
        <f>IF($Z80="","",IFERROR(INDEX('HW Sets'!$N$7:$N$306,MATCH($Y80,'HW Sets'!$M$7:$M$306,0)),""))</f>
        <v/>
      </c>
      <c r="C80" s="177">
        <f t="array" ref="C80">IF($Z80="","",_xlfn.TEXTJOIN(", ",TRUE,IF(tk_HWSET&amp;""=$Y80,tk_MARK,"")))</f>
        <v/>
      </c>
      <c r="D80" s="176">
        <f t="array" ref="D80">IF($Z80="","",SUM(IF(tk_HWSET&amp;""=$Y80,IFERROR(--tk_QTY,0),0)))</f>
        <v/>
      </c>
      <c r="E80" s="176">
        <f>IF($X80="","",IF(INDEX('HW Sets'!$C$7:$C$306,$X80)="","",INDEX('HW Sets'!$C$7:$C$306,$X80)))</f>
        <v/>
      </c>
      <c r="F80" s="176">
        <f>IF($X80="","",IF(INDEX('HW Sets'!$D$7:$D$306,$X80)="","",INDEX('HW Sets'!$D$7:$D$306,$X80)))</f>
        <v/>
      </c>
      <c r="G80" s="176">
        <f>IF($X80="","",IF(INDEX('HW Sets'!$E$7:$E$306,$X80)="","",INDEX('HW Sets'!$E$7:$E$306,$X80)))</f>
        <v/>
      </c>
      <c r="H80" s="176">
        <f>IF($X80="","",IF(INDEX('HW Sets'!$F$7:$F$306,$X80)="","",INDEX('HW Sets'!$F$7:$F$306,$X80)))</f>
        <v/>
      </c>
      <c r="I80" s="176">
        <f>IF($X80="","",IF(INDEX('HW Sets'!$G$7:$G$306,$X80)="","",INDEX('HW Sets'!$G$7:$G$306,$X80)))</f>
        <v/>
      </c>
      <c r="J80" s="176">
        <f>IF($X80="","",IF(INDEX('HW Sets'!$H$7:$H$306,$X80)="","",INDEX('HW Sets'!$H$7:$H$306,$X80)))</f>
        <v/>
      </c>
      <c r="K80" s="175">
        <f t="array" ref="K80">IF($X80="","",N($E80)*SUM(IF(tk_HWSET&amp;""=$Y80,IFERROR(--tk_QTY,0),0)))</f>
        <v/>
      </c>
      <c r="L80" s="176">
        <f>IF($X80="","",IF(INDEX('HW Sets'!$I$7:$I$306,$X80)="","",INDEX('HW Sets'!$I$7:$I$306,$X80)))</f>
        <v/>
      </c>
      <c r="N80" s="176">
        <f>IF($W80="","",INDEX($G$7:$G$306,$W80)&amp;"")</f>
        <v/>
      </c>
      <c r="O80" s="176">
        <f>IF($W80="","",INDEX($H$7:$H$306,$W80)&amp;"")</f>
        <v/>
      </c>
      <c r="P80" s="176">
        <f>IF($W80="","",INDEX($I$7:$I$306,$W80)&amp;"")</f>
        <v/>
      </c>
      <c r="Q80" s="176">
        <f>IF($W80="","",INDEX($J$7:$J$306,$W80)&amp;"")</f>
        <v/>
      </c>
      <c r="R80" s="176">
        <f>IF($W80="","",INDEX($F$7:$F$306,$W80)&amp;"")</f>
        <v/>
      </c>
      <c r="S80" s="175">
        <f>IF($W80="","",SUMIF($U$7:$U$306,INDEX($U$7:$U$306,$W80),$K$7:$K$306))</f>
        <v/>
      </c>
      <c r="U80">
        <f>IF(OR($X80="",N($K80)=0),"",UPPER(TRIM($G80&amp;"|"&amp;$H80&amp;"|"&amp;$I80&amp;"|"&amp;$J80&amp;"|"&amp;$F80)))</f>
        <v/>
      </c>
      <c r="V80">
        <f>IF($U80="","",IF(COUNTIF($U$7:$U80,$U80)=1,MAX($V$6:$V79)+1,""))</f>
        <v/>
      </c>
      <c r="W80">
        <f>IFERROR(MATCH(74,$V$7:$V$306,0),"")</f>
        <v/>
      </c>
      <c r="X80">
        <f>IFERROR(MATCH(74,'HW Sets'!$S$7:$S$306,0),"")</f>
        <v/>
      </c>
      <c r="Y80">
        <f>IF($X80="","",INDEX('HW Sets'!$J$7:$J$306,$X80)&amp;"")</f>
        <v/>
      </c>
      <c r="Z80">
        <f>IF($Y80="","",IF(COUNTIF($Y$7:$Y80,$Y80)=1,1,""))</f>
        <v/>
      </c>
    </row>
    <row r="81">
      <c r="A81" s="175">
        <f>IF($Z81="","",$Y81)</f>
        <v/>
      </c>
      <c r="B81" s="176">
        <f>IF($Z81="","",IFERROR(INDEX('HW Sets'!$N$7:$N$306,MATCH($Y81,'HW Sets'!$M$7:$M$306,0)),""))</f>
        <v/>
      </c>
      <c r="C81" s="177">
        <f t="array" ref="C81">IF($Z81="","",_xlfn.TEXTJOIN(", ",TRUE,IF(tk_HWSET&amp;""=$Y81,tk_MARK,"")))</f>
        <v/>
      </c>
      <c r="D81" s="176">
        <f t="array" ref="D81">IF($Z81="","",SUM(IF(tk_HWSET&amp;""=$Y81,IFERROR(--tk_QTY,0),0)))</f>
        <v/>
      </c>
      <c r="E81" s="176">
        <f>IF($X81="","",IF(INDEX('HW Sets'!$C$7:$C$306,$X81)="","",INDEX('HW Sets'!$C$7:$C$306,$X81)))</f>
        <v/>
      </c>
      <c r="F81" s="176">
        <f>IF($X81="","",IF(INDEX('HW Sets'!$D$7:$D$306,$X81)="","",INDEX('HW Sets'!$D$7:$D$306,$X81)))</f>
        <v/>
      </c>
      <c r="G81" s="176">
        <f>IF($X81="","",IF(INDEX('HW Sets'!$E$7:$E$306,$X81)="","",INDEX('HW Sets'!$E$7:$E$306,$X81)))</f>
        <v/>
      </c>
      <c r="H81" s="176">
        <f>IF($X81="","",IF(INDEX('HW Sets'!$F$7:$F$306,$X81)="","",INDEX('HW Sets'!$F$7:$F$306,$X81)))</f>
        <v/>
      </c>
      <c r="I81" s="176">
        <f>IF($X81="","",IF(INDEX('HW Sets'!$G$7:$G$306,$X81)="","",INDEX('HW Sets'!$G$7:$G$306,$X81)))</f>
        <v/>
      </c>
      <c r="J81" s="176">
        <f>IF($X81="","",IF(INDEX('HW Sets'!$H$7:$H$306,$X81)="","",INDEX('HW Sets'!$H$7:$H$306,$X81)))</f>
        <v/>
      </c>
      <c r="K81" s="175">
        <f t="array" ref="K81">IF($X81="","",N($E81)*SUM(IF(tk_HWSET&amp;""=$Y81,IFERROR(--tk_QTY,0),0)))</f>
        <v/>
      </c>
      <c r="L81" s="176">
        <f>IF($X81="","",IF(INDEX('HW Sets'!$I$7:$I$306,$X81)="","",INDEX('HW Sets'!$I$7:$I$306,$X81)))</f>
        <v/>
      </c>
      <c r="N81" s="176">
        <f>IF($W81="","",INDEX($G$7:$G$306,$W81)&amp;"")</f>
        <v/>
      </c>
      <c r="O81" s="176">
        <f>IF($W81="","",INDEX($H$7:$H$306,$W81)&amp;"")</f>
        <v/>
      </c>
      <c r="P81" s="176">
        <f>IF($W81="","",INDEX($I$7:$I$306,$W81)&amp;"")</f>
        <v/>
      </c>
      <c r="Q81" s="176">
        <f>IF($W81="","",INDEX($J$7:$J$306,$W81)&amp;"")</f>
        <v/>
      </c>
      <c r="R81" s="176">
        <f>IF($W81="","",INDEX($F$7:$F$306,$W81)&amp;"")</f>
        <v/>
      </c>
      <c r="S81" s="175">
        <f>IF($W81="","",SUMIF($U$7:$U$306,INDEX($U$7:$U$306,$W81),$K$7:$K$306))</f>
        <v/>
      </c>
      <c r="U81">
        <f>IF(OR($X81="",N($K81)=0),"",UPPER(TRIM($G81&amp;"|"&amp;$H81&amp;"|"&amp;$I81&amp;"|"&amp;$J81&amp;"|"&amp;$F81)))</f>
        <v/>
      </c>
      <c r="V81">
        <f>IF($U81="","",IF(COUNTIF($U$7:$U81,$U81)=1,MAX($V$6:$V80)+1,""))</f>
        <v/>
      </c>
      <c r="W81">
        <f>IFERROR(MATCH(75,$V$7:$V$306,0),"")</f>
        <v/>
      </c>
      <c r="X81">
        <f>IFERROR(MATCH(75,'HW Sets'!$S$7:$S$306,0),"")</f>
        <v/>
      </c>
      <c r="Y81">
        <f>IF($X81="","",INDEX('HW Sets'!$J$7:$J$306,$X81)&amp;"")</f>
        <v/>
      </c>
      <c r="Z81">
        <f>IF($Y81="","",IF(COUNTIF($Y$7:$Y81,$Y81)=1,1,""))</f>
        <v/>
      </c>
    </row>
    <row r="82">
      <c r="A82" s="175">
        <f>IF($Z82="","",$Y82)</f>
        <v/>
      </c>
      <c r="B82" s="176">
        <f>IF($Z82="","",IFERROR(INDEX('HW Sets'!$N$7:$N$306,MATCH($Y82,'HW Sets'!$M$7:$M$306,0)),""))</f>
        <v/>
      </c>
      <c r="C82" s="177">
        <f t="array" ref="C82">IF($Z82="","",_xlfn.TEXTJOIN(", ",TRUE,IF(tk_HWSET&amp;""=$Y82,tk_MARK,"")))</f>
        <v/>
      </c>
      <c r="D82" s="176">
        <f t="array" ref="D82">IF($Z82="","",SUM(IF(tk_HWSET&amp;""=$Y82,IFERROR(--tk_QTY,0),0)))</f>
        <v/>
      </c>
      <c r="E82" s="176">
        <f>IF($X82="","",IF(INDEX('HW Sets'!$C$7:$C$306,$X82)="","",INDEX('HW Sets'!$C$7:$C$306,$X82)))</f>
        <v/>
      </c>
      <c r="F82" s="176">
        <f>IF($X82="","",IF(INDEX('HW Sets'!$D$7:$D$306,$X82)="","",INDEX('HW Sets'!$D$7:$D$306,$X82)))</f>
        <v/>
      </c>
      <c r="G82" s="176">
        <f>IF($X82="","",IF(INDEX('HW Sets'!$E$7:$E$306,$X82)="","",INDEX('HW Sets'!$E$7:$E$306,$X82)))</f>
        <v/>
      </c>
      <c r="H82" s="176">
        <f>IF($X82="","",IF(INDEX('HW Sets'!$F$7:$F$306,$X82)="","",INDEX('HW Sets'!$F$7:$F$306,$X82)))</f>
        <v/>
      </c>
      <c r="I82" s="176">
        <f>IF($X82="","",IF(INDEX('HW Sets'!$G$7:$G$306,$X82)="","",INDEX('HW Sets'!$G$7:$G$306,$X82)))</f>
        <v/>
      </c>
      <c r="J82" s="176">
        <f>IF($X82="","",IF(INDEX('HW Sets'!$H$7:$H$306,$X82)="","",INDEX('HW Sets'!$H$7:$H$306,$X82)))</f>
        <v/>
      </c>
      <c r="K82" s="175">
        <f t="array" ref="K82">IF($X82="","",N($E82)*SUM(IF(tk_HWSET&amp;""=$Y82,IFERROR(--tk_QTY,0),0)))</f>
        <v/>
      </c>
      <c r="L82" s="176">
        <f>IF($X82="","",IF(INDEX('HW Sets'!$I$7:$I$306,$X82)="","",INDEX('HW Sets'!$I$7:$I$306,$X82)))</f>
        <v/>
      </c>
      <c r="N82" s="176">
        <f>IF($W82="","",INDEX($G$7:$G$306,$W82)&amp;"")</f>
        <v/>
      </c>
      <c r="O82" s="176">
        <f>IF($W82="","",INDEX($H$7:$H$306,$W82)&amp;"")</f>
        <v/>
      </c>
      <c r="P82" s="176">
        <f>IF($W82="","",INDEX($I$7:$I$306,$W82)&amp;"")</f>
        <v/>
      </c>
      <c r="Q82" s="176">
        <f>IF($W82="","",INDEX($J$7:$J$306,$W82)&amp;"")</f>
        <v/>
      </c>
      <c r="R82" s="176">
        <f>IF($W82="","",INDEX($F$7:$F$306,$W82)&amp;"")</f>
        <v/>
      </c>
      <c r="S82" s="175">
        <f>IF($W82="","",SUMIF($U$7:$U$306,INDEX($U$7:$U$306,$W82),$K$7:$K$306))</f>
        <v/>
      </c>
      <c r="U82">
        <f>IF(OR($X82="",N($K82)=0),"",UPPER(TRIM($G82&amp;"|"&amp;$H82&amp;"|"&amp;$I82&amp;"|"&amp;$J82&amp;"|"&amp;$F82)))</f>
        <v/>
      </c>
      <c r="V82">
        <f>IF($U82="","",IF(COUNTIF($U$7:$U82,$U82)=1,MAX($V$6:$V81)+1,""))</f>
        <v/>
      </c>
      <c r="W82">
        <f>IFERROR(MATCH(76,$V$7:$V$306,0),"")</f>
        <v/>
      </c>
      <c r="X82">
        <f>IFERROR(MATCH(76,'HW Sets'!$S$7:$S$306,0),"")</f>
        <v/>
      </c>
      <c r="Y82">
        <f>IF($X82="","",INDEX('HW Sets'!$J$7:$J$306,$X82)&amp;"")</f>
        <v/>
      </c>
      <c r="Z82">
        <f>IF($Y82="","",IF(COUNTIF($Y$7:$Y82,$Y82)=1,1,""))</f>
        <v/>
      </c>
    </row>
    <row r="83">
      <c r="A83" s="175">
        <f>IF($Z83="","",$Y83)</f>
        <v/>
      </c>
      <c r="B83" s="176">
        <f>IF($Z83="","",IFERROR(INDEX('HW Sets'!$N$7:$N$306,MATCH($Y83,'HW Sets'!$M$7:$M$306,0)),""))</f>
        <v/>
      </c>
      <c r="C83" s="177">
        <f t="array" ref="C83">IF($Z83="","",_xlfn.TEXTJOIN(", ",TRUE,IF(tk_HWSET&amp;""=$Y83,tk_MARK,"")))</f>
        <v/>
      </c>
      <c r="D83" s="176">
        <f t="array" ref="D83">IF($Z83="","",SUM(IF(tk_HWSET&amp;""=$Y83,IFERROR(--tk_QTY,0),0)))</f>
        <v/>
      </c>
      <c r="E83" s="176">
        <f>IF($X83="","",IF(INDEX('HW Sets'!$C$7:$C$306,$X83)="","",INDEX('HW Sets'!$C$7:$C$306,$X83)))</f>
        <v/>
      </c>
      <c r="F83" s="176">
        <f>IF($X83="","",IF(INDEX('HW Sets'!$D$7:$D$306,$X83)="","",INDEX('HW Sets'!$D$7:$D$306,$X83)))</f>
        <v/>
      </c>
      <c r="G83" s="176">
        <f>IF($X83="","",IF(INDEX('HW Sets'!$E$7:$E$306,$X83)="","",INDEX('HW Sets'!$E$7:$E$306,$X83)))</f>
        <v/>
      </c>
      <c r="H83" s="176">
        <f>IF($X83="","",IF(INDEX('HW Sets'!$F$7:$F$306,$X83)="","",INDEX('HW Sets'!$F$7:$F$306,$X83)))</f>
        <v/>
      </c>
      <c r="I83" s="176">
        <f>IF($X83="","",IF(INDEX('HW Sets'!$G$7:$G$306,$X83)="","",INDEX('HW Sets'!$G$7:$G$306,$X83)))</f>
        <v/>
      </c>
      <c r="J83" s="176">
        <f>IF($X83="","",IF(INDEX('HW Sets'!$H$7:$H$306,$X83)="","",INDEX('HW Sets'!$H$7:$H$306,$X83)))</f>
        <v/>
      </c>
      <c r="K83" s="175">
        <f t="array" ref="K83">IF($X83="","",N($E83)*SUM(IF(tk_HWSET&amp;""=$Y83,IFERROR(--tk_QTY,0),0)))</f>
        <v/>
      </c>
      <c r="L83" s="176">
        <f>IF($X83="","",IF(INDEX('HW Sets'!$I$7:$I$306,$X83)="","",INDEX('HW Sets'!$I$7:$I$306,$X83)))</f>
        <v/>
      </c>
      <c r="N83" s="176">
        <f>IF($W83="","",INDEX($G$7:$G$306,$W83)&amp;"")</f>
        <v/>
      </c>
      <c r="O83" s="176">
        <f>IF($W83="","",INDEX($H$7:$H$306,$W83)&amp;"")</f>
        <v/>
      </c>
      <c r="P83" s="176">
        <f>IF($W83="","",INDEX($I$7:$I$306,$W83)&amp;"")</f>
        <v/>
      </c>
      <c r="Q83" s="176">
        <f>IF($W83="","",INDEX($J$7:$J$306,$W83)&amp;"")</f>
        <v/>
      </c>
      <c r="R83" s="176">
        <f>IF($W83="","",INDEX($F$7:$F$306,$W83)&amp;"")</f>
        <v/>
      </c>
      <c r="S83" s="175">
        <f>IF($W83="","",SUMIF($U$7:$U$306,INDEX($U$7:$U$306,$W83),$K$7:$K$306))</f>
        <v/>
      </c>
      <c r="U83">
        <f>IF(OR($X83="",N($K83)=0),"",UPPER(TRIM($G83&amp;"|"&amp;$H83&amp;"|"&amp;$I83&amp;"|"&amp;$J83&amp;"|"&amp;$F83)))</f>
        <v/>
      </c>
      <c r="V83">
        <f>IF($U83="","",IF(COUNTIF($U$7:$U83,$U83)=1,MAX($V$6:$V82)+1,""))</f>
        <v/>
      </c>
      <c r="W83">
        <f>IFERROR(MATCH(77,$V$7:$V$306,0),"")</f>
        <v/>
      </c>
      <c r="X83">
        <f>IFERROR(MATCH(77,'HW Sets'!$S$7:$S$306,0),"")</f>
        <v/>
      </c>
      <c r="Y83">
        <f>IF($X83="","",INDEX('HW Sets'!$J$7:$J$306,$X83)&amp;"")</f>
        <v/>
      </c>
      <c r="Z83">
        <f>IF($Y83="","",IF(COUNTIF($Y$7:$Y83,$Y83)=1,1,""))</f>
        <v/>
      </c>
    </row>
    <row r="84">
      <c r="A84" s="175">
        <f>IF($Z84="","",$Y84)</f>
        <v/>
      </c>
      <c r="B84" s="176">
        <f>IF($Z84="","",IFERROR(INDEX('HW Sets'!$N$7:$N$306,MATCH($Y84,'HW Sets'!$M$7:$M$306,0)),""))</f>
        <v/>
      </c>
      <c r="C84" s="177">
        <f t="array" ref="C84">IF($Z84="","",_xlfn.TEXTJOIN(", ",TRUE,IF(tk_HWSET&amp;""=$Y84,tk_MARK,"")))</f>
        <v/>
      </c>
      <c r="D84" s="176">
        <f t="array" ref="D84">IF($Z84="","",SUM(IF(tk_HWSET&amp;""=$Y84,IFERROR(--tk_QTY,0),0)))</f>
        <v/>
      </c>
      <c r="E84" s="176">
        <f>IF($X84="","",IF(INDEX('HW Sets'!$C$7:$C$306,$X84)="","",INDEX('HW Sets'!$C$7:$C$306,$X84)))</f>
        <v/>
      </c>
      <c r="F84" s="176">
        <f>IF($X84="","",IF(INDEX('HW Sets'!$D$7:$D$306,$X84)="","",INDEX('HW Sets'!$D$7:$D$306,$X84)))</f>
        <v/>
      </c>
      <c r="G84" s="176">
        <f>IF($X84="","",IF(INDEX('HW Sets'!$E$7:$E$306,$X84)="","",INDEX('HW Sets'!$E$7:$E$306,$X84)))</f>
        <v/>
      </c>
      <c r="H84" s="176">
        <f>IF($X84="","",IF(INDEX('HW Sets'!$F$7:$F$306,$X84)="","",INDEX('HW Sets'!$F$7:$F$306,$X84)))</f>
        <v/>
      </c>
      <c r="I84" s="176">
        <f>IF($X84="","",IF(INDEX('HW Sets'!$G$7:$G$306,$X84)="","",INDEX('HW Sets'!$G$7:$G$306,$X84)))</f>
        <v/>
      </c>
      <c r="J84" s="176">
        <f>IF($X84="","",IF(INDEX('HW Sets'!$H$7:$H$306,$X84)="","",INDEX('HW Sets'!$H$7:$H$306,$X84)))</f>
        <v/>
      </c>
      <c r="K84" s="175">
        <f t="array" ref="K84">IF($X84="","",N($E84)*SUM(IF(tk_HWSET&amp;""=$Y84,IFERROR(--tk_QTY,0),0)))</f>
        <v/>
      </c>
      <c r="L84" s="176">
        <f>IF($X84="","",IF(INDEX('HW Sets'!$I$7:$I$306,$X84)="","",INDEX('HW Sets'!$I$7:$I$306,$X84)))</f>
        <v/>
      </c>
      <c r="N84" s="176">
        <f>IF($W84="","",INDEX($G$7:$G$306,$W84)&amp;"")</f>
        <v/>
      </c>
      <c r="O84" s="176">
        <f>IF($W84="","",INDEX($H$7:$H$306,$W84)&amp;"")</f>
        <v/>
      </c>
      <c r="P84" s="176">
        <f>IF($W84="","",INDEX($I$7:$I$306,$W84)&amp;"")</f>
        <v/>
      </c>
      <c r="Q84" s="176">
        <f>IF($W84="","",INDEX($J$7:$J$306,$W84)&amp;"")</f>
        <v/>
      </c>
      <c r="R84" s="176">
        <f>IF($W84="","",INDEX($F$7:$F$306,$W84)&amp;"")</f>
        <v/>
      </c>
      <c r="S84" s="175">
        <f>IF($W84="","",SUMIF($U$7:$U$306,INDEX($U$7:$U$306,$W84),$K$7:$K$306))</f>
        <v/>
      </c>
      <c r="U84">
        <f>IF(OR($X84="",N($K84)=0),"",UPPER(TRIM($G84&amp;"|"&amp;$H84&amp;"|"&amp;$I84&amp;"|"&amp;$J84&amp;"|"&amp;$F84)))</f>
        <v/>
      </c>
      <c r="V84">
        <f>IF($U84="","",IF(COUNTIF($U$7:$U84,$U84)=1,MAX($V$6:$V83)+1,""))</f>
        <v/>
      </c>
      <c r="W84">
        <f>IFERROR(MATCH(78,$V$7:$V$306,0),"")</f>
        <v/>
      </c>
      <c r="X84">
        <f>IFERROR(MATCH(78,'HW Sets'!$S$7:$S$306,0),"")</f>
        <v/>
      </c>
      <c r="Y84">
        <f>IF($X84="","",INDEX('HW Sets'!$J$7:$J$306,$X84)&amp;"")</f>
        <v/>
      </c>
      <c r="Z84">
        <f>IF($Y84="","",IF(COUNTIF($Y$7:$Y84,$Y84)=1,1,""))</f>
        <v/>
      </c>
    </row>
    <row r="85">
      <c r="A85" s="175">
        <f>IF($Z85="","",$Y85)</f>
        <v/>
      </c>
      <c r="B85" s="176">
        <f>IF($Z85="","",IFERROR(INDEX('HW Sets'!$N$7:$N$306,MATCH($Y85,'HW Sets'!$M$7:$M$306,0)),""))</f>
        <v/>
      </c>
      <c r="C85" s="177">
        <f t="array" ref="C85">IF($Z85="","",_xlfn.TEXTJOIN(", ",TRUE,IF(tk_HWSET&amp;""=$Y85,tk_MARK,"")))</f>
        <v/>
      </c>
      <c r="D85" s="176">
        <f t="array" ref="D85">IF($Z85="","",SUM(IF(tk_HWSET&amp;""=$Y85,IFERROR(--tk_QTY,0),0)))</f>
        <v/>
      </c>
      <c r="E85" s="176">
        <f>IF($X85="","",IF(INDEX('HW Sets'!$C$7:$C$306,$X85)="","",INDEX('HW Sets'!$C$7:$C$306,$X85)))</f>
        <v/>
      </c>
      <c r="F85" s="176">
        <f>IF($X85="","",IF(INDEX('HW Sets'!$D$7:$D$306,$X85)="","",INDEX('HW Sets'!$D$7:$D$306,$X85)))</f>
        <v/>
      </c>
      <c r="G85" s="176">
        <f>IF($X85="","",IF(INDEX('HW Sets'!$E$7:$E$306,$X85)="","",INDEX('HW Sets'!$E$7:$E$306,$X85)))</f>
        <v/>
      </c>
      <c r="H85" s="176">
        <f>IF($X85="","",IF(INDEX('HW Sets'!$F$7:$F$306,$X85)="","",INDEX('HW Sets'!$F$7:$F$306,$X85)))</f>
        <v/>
      </c>
      <c r="I85" s="176">
        <f>IF($X85="","",IF(INDEX('HW Sets'!$G$7:$G$306,$X85)="","",INDEX('HW Sets'!$G$7:$G$306,$X85)))</f>
        <v/>
      </c>
      <c r="J85" s="176">
        <f>IF($X85="","",IF(INDEX('HW Sets'!$H$7:$H$306,$X85)="","",INDEX('HW Sets'!$H$7:$H$306,$X85)))</f>
        <v/>
      </c>
      <c r="K85" s="175">
        <f t="array" ref="K85">IF($X85="","",N($E85)*SUM(IF(tk_HWSET&amp;""=$Y85,IFERROR(--tk_QTY,0),0)))</f>
        <v/>
      </c>
      <c r="L85" s="176">
        <f>IF($X85="","",IF(INDEX('HW Sets'!$I$7:$I$306,$X85)="","",INDEX('HW Sets'!$I$7:$I$306,$X85)))</f>
        <v/>
      </c>
      <c r="N85" s="176">
        <f>IF($W85="","",INDEX($G$7:$G$306,$W85)&amp;"")</f>
        <v/>
      </c>
      <c r="O85" s="176">
        <f>IF($W85="","",INDEX($H$7:$H$306,$W85)&amp;"")</f>
        <v/>
      </c>
      <c r="P85" s="176">
        <f>IF($W85="","",INDEX($I$7:$I$306,$W85)&amp;"")</f>
        <v/>
      </c>
      <c r="Q85" s="176">
        <f>IF($W85="","",INDEX($J$7:$J$306,$W85)&amp;"")</f>
        <v/>
      </c>
      <c r="R85" s="176">
        <f>IF($W85="","",INDEX($F$7:$F$306,$W85)&amp;"")</f>
        <v/>
      </c>
      <c r="S85" s="175">
        <f>IF($W85="","",SUMIF($U$7:$U$306,INDEX($U$7:$U$306,$W85),$K$7:$K$306))</f>
        <v/>
      </c>
      <c r="U85">
        <f>IF(OR($X85="",N($K85)=0),"",UPPER(TRIM($G85&amp;"|"&amp;$H85&amp;"|"&amp;$I85&amp;"|"&amp;$J85&amp;"|"&amp;$F85)))</f>
        <v/>
      </c>
      <c r="V85">
        <f>IF($U85="","",IF(COUNTIF($U$7:$U85,$U85)=1,MAX($V$6:$V84)+1,""))</f>
        <v/>
      </c>
      <c r="W85">
        <f>IFERROR(MATCH(79,$V$7:$V$306,0),"")</f>
        <v/>
      </c>
      <c r="X85">
        <f>IFERROR(MATCH(79,'HW Sets'!$S$7:$S$306,0),"")</f>
        <v/>
      </c>
      <c r="Y85">
        <f>IF($X85="","",INDEX('HW Sets'!$J$7:$J$306,$X85)&amp;"")</f>
        <v/>
      </c>
      <c r="Z85">
        <f>IF($Y85="","",IF(COUNTIF($Y$7:$Y85,$Y85)=1,1,""))</f>
        <v/>
      </c>
    </row>
    <row r="86">
      <c r="A86" s="175">
        <f>IF($Z86="","",$Y86)</f>
        <v/>
      </c>
      <c r="B86" s="176">
        <f>IF($Z86="","",IFERROR(INDEX('HW Sets'!$N$7:$N$306,MATCH($Y86,'HW Sets'!$M$7:$M$306,0)),""))</f>
        <v/>
      </c>
      <c r="C86" s="177">
        <f t="array" ref="C86">IF($Z86="","",_xlfn.TEXTJOIN(", ",TRUE,IF(tk_HWSET&amp;""=$Y86,tk_MARK,"")))</f>
        <v/>
      </c>
      <c r="D86" s="176">
        <f t="array" ref="D86">IF($Z86="","",SUM(IF(tk_HWSET&amp;""=$Y86,IFERROR(--tk_QTY,0),0)))</f>
        <v/>
      </c>
      <c r="E86" s="176">
        <f>IF($X86="","",IF(INDEX('HW Sets'!$C$7:$C$306,$X86)="","",INDEX('HW Sets'!$C$7:$C$306,$X86)))</f>
        <v/>
      </c>
      <c r="F86" s="176">
        <f>IF($X86="","",IF(INDEX('HW Sets'!$D$7:$D$306,$X86)="","",INDEX('HW Sets'!$D$7:$D$306,$X86)))</f>
        <v/>
      </c>
      <c r="G86" s="176">
        <f>IF($X86="","",IF(INDEX('HW Sets'!$E$7:$E$306,$X86)="","",INDEX('HW Sets'!$E$7:$E$306,$X86)))</f>
        <v/>
      </c>
      <c r="H86" s="176">
        <f>IF($X86="","",IF(INDEX('HW Sets'!$F$7:$F$306,$X86)="","",INDEX('HW Sets'!$F$7:$F$306,$X86)))</f>
        <v/>
      </c>
      <c r="I86" s="176">
        <f>IF($X86="","",IF(INDEX('HW Sets'!$G$7:$G$306,$X86)="","",INDEX('HW Sets'!$G$7:$G$306,$X86)))</f>
        <v/>
      </c>
      <c r="J86" s="176">
        <f>IF($X86="","",IF(INDEX('HW Sets'!$H$7:$H$306,$X86)="","",INDEX('HW Sets'!$H$7:$H$306,$X86)))</f>
        <v/>
      </c>
      <c r="K86" s="175">
        <f t="array" ref="K86">IF($X86="","",N($E86)*SUM(IF(tk_HWSET&amp;""=$Y86,IFERROR(--tk_QTY,0),0)))</f>
        <v/>
      </c>
      <c r="L86" s="176">
        <f>IF($X86="","",IF(INDEX('HW Sets'!$I$7:$I$306,$X86)="","",INDEX('HW Sets'!$I$7:$I$306,$X86)))</f>
        <v/>
      </c>
      <c r="N86" s="176">
        <f>IF($W86="","",INDEX($G$7:$G$306,$W86)&amp;"")</f>
        <v/>
      </c>
      <c r="O86" s="176">
        <f>IF($W86="","",INDEX($H$7:$H$306,$W86)&amp;"")</f>
        <v/>
      </c>
      <c r="P86" s="176">
        <f>IF($W86="","",INDEX($I$7:$I$306,$W86)&amp;"")</f>
        <v/>
      </c>
      <c r="Q86" s="176">
        <f>IF($W86="","",INDEX($J$7:$J$306,$W86)&amp;"")</f>
        <v/>
      </c>
      <c r="R86" s="176">
        <f>IF($W86="","",INDEX($F$7:$F$306,$W86)&amp;"")</f>
        <v/>
      </c>
      <c r="S86" s="175">
        <f>IF($W86="","",SUMIF($U$7:$U$306,INDEX($U$7:$U$306,$W86),$K$7:$K$306))</f>
        <v/>
      </c>
      <c r="U86">
        <f>IF(OR($X86="",N($K86)=0),"",UPPER(TRIM($G86&amp;"|"&amp;$H86&amp;"|"&amp;$I86&amp;"|"&amp;$J86&amp;"|"&amp;$F86)))</f>
        <v/>
      </c>
      <c r="V86">
        <f>IF($U86="","",IF(COUNTIF($U$7:$U86,$U86)=1,MAX($V$6:$V85)+1,""))</f>
        <v/>
      </c>
      <c r="W86">
        <f>IFERROR(MATCH(80,$V$7:$V$306,0),"")</f>
        <v/>
      </c>
      <c r="X86">
        <f>IFERROR(MATCH(80,'HW Sets'!$S$7:$S$306,0),"")</f>
        <v/>
      </c>
      <c r="Y86">
        <f>IF($X86="","",INDEX('HW Sets'!$J$7:$J$306,$X86)&amp;"")</f>
        <v/>
      </c>
      <c r="Z86">
        <f>IF($Y86="","",IF(COUNTIF($Y$7:$Y86,$Y86)=1,1,""))</f>
        <v/>
      </c>
    </row>
    <row r="87">
      <c r="A87" s="175">
        <f>IF($Z87="","",$Y87)</f>
        <v/>
      </c>
      <c r="B87" s="176">
        <f>IF($Z87="","",IFERROR(INDEX('HW Sets'!$N$7:$N$306,MATCH($Y87,'HW Sets'!$M$7:$M$306,0)),""))</f>
        <v/>
      </c>
      <c r="C87" s="177">
        <f t="array" ref="C87">IF($Z87="","",_xlfn.TEXTJOIN(", ",TRUE,IF(tk_HWSET&amp;""=$Y87,tk_MARK,"")))</f>
        <v/>
      </c>
      <c r="D87" s="176">
        <f t="array" ref="D87">IF($Z87="","",SUM(IF(tk_HWSET&amp;""=$Y87,IFERROR(--tk_QTY,0),0)))</f>
        <v/>
      </c>
      <c r="E87" s="176">
        <f>IF($X87="","",IF(INDEX('HW Sets'!$C$7:$C$306,$X87)="","",INDEX('HW Sets'!$C$7:$C$306,$X87)))</f>
        <v/>
      </c>
      <c r="F87" s="176">
        <f>IF($X87="","",IF(INDEX('HW Sets'!$D$7:$D$306,$X87)="","",INDEX('HW Sets'!$D$7:$D$306,$X87)))</f>
        <v/>
      </c>
      <c r="G87" s="176">
        <f>IF($X87="","",IF(INDEX('HW Sets'!$E$7:$E$306,$X87)="","",INDEX('HW Sets'!$E$7:$E$306,$X87)))</f>
        <v/>
      </c>
      <c r="H87" s="176">
        <f>IF($X87="","",IF(INDEX('HW Sets'!$F$7:$F$306,$X87)="","",INDEX('HW Sets'!$F$7:$F$306,$X87)))</f>
        <v/>
      </c>
      <c r="I87" s="176">
        <f>IF($X87="","",IF(INDEX('HW Sets'!$G$7:$G$306,$X87)="","",INDEX('HW Sets'!$G$7:$G$306,$X87)))</f>
        <v/>
      </c>
      <c r="J87" s="176">
        <f>IF($X87="","",IF(INDEX('HW Sets'!$H$7:$H$306,$X87)="","",INDEX('HW Sets'!$H$7:$H$306,$X87)))</f>
        <v/>
      </c>
      <c r="K87" s="175">
        <f t="array" ref="K87">IF($X87="","",N($E87)*SUM(IF(tk_HWSET&amp;""=$Y87,IFERROR(--tk_QTY,0),0)))</f>
        <v/>
      </c>
      <c r="L87" s="176">
        <f>IF($X87="","",IF(INDEX('HW Sets'!$I$7:$I$306,$X87)="","",INDEX('HW Sets'!$I$7:$I$306,$X87)))</f>
        <v/>
      </c>
      <c r="N87" s="176">
        <f>IF($W87="","",INDEX($G$7:$G$306,$W87)&amp;"")</f>
        <v/>
      </c>
      <c r="O87" s="176">
        <f>IF($W87="","",INDEX($H$7:$H$306,$W87)&amp;"")</f>
        <v/>
      </c>
      <c r="P87" s="176">
        <f>IF($W87="","",INDEX($I$7:$I$306,$W87)&amp;"")</f>
        <v/>
      </c>
      <c r="Q87" s="176">
        <f>IF($W87="","",INDEX($J$7:$J$306,$W87)&amp;"")</f>
        <v/>
      </c>
      <c r="R87" s="176">
        <f>IF($W87="","",INDEX($F$7:$F$306,$W87)&amp;"")</f>
        <v/>
      </c>
      <c r="S87" s="175">
        <f>IF($W87="","",SUMIF($U$7:$U$306,INDEX($U$7:$U$306,$W87),$K$7:$K$306))</f>
        <v/>
      </c>
      <c r="U87">
        <f>IF(OR($X87="",N($K87)=0),"",UPPER(TRIM($G87&amp;"|"&amp;$H87&amp;"|"&amp;$I87&amp;"|"&amp;$J87&amp;"|"&amp;$F87)))</f>
        <v/>
      </c>
      <c r="V87">
        <f>IF($U87="","",IF(COUNTIF($U$7:$U87,$U87)=1,MAX($V$6:$V86)+1,""))</f>
        <v/>
      </c>
      <c r="W87">
        <f>IFERROR(MATCH(81,$V$7:$V$306,0),"")</f>
        <v/>
      </c>
      <c r="X87">
        <f>IFERROR(MATCH(81,'HW Sets'!$S$7:$S$306,0),"")</f>
        <v/>
      </c>
      <c r="Y87">
        <f>IF($X87="","",INDEX('HW Sets'!$J$7:$J$306,$X87)&amp;"")</f>
        <v/>
      </c>
      <c r="Z87">
        <f>IF($Y87="","",IF(COUNTIF($Y$7:$Y87,$Y87)=1,1,""))</f>
        <v/>
      </c>
    </row>
    <row r="88">
      <c r="A88" s="175">
        <f>IF($Z88="","",$Y88)</f>
        <v/>
      </c>
      <c r="B88" s="176">
        <f>IF($Z88="","",IFERROR(INDEX('HW Sets'!$N$7:$N$306,MATCH($Y88,'HW Sets'!$M$7:$M$306,0)),""))</f>
        <v/>
      </c>
      <c r="C88" s="177">
        <f t="array" ref="C88">IF($Z88="","",_xlfn.TEXTJOIN(", ",TRUE,IF(tk_HWSET&amp;""=$Y88,tk_MARK,"")))</f>
        <v/>
      </c>
      <c r="D88" s="176">
        <f t="array" ref="D88">IF($Z88="","",SUM(IF(tk_HWSET&amp;""=$Y88,IFERROR(--tk_QTY,0),0)))</f>
        <v/>
      </c>
      <c r="E88" s="176">
        <f>IF($X88="","",IF(INDEX('HW Sets'!$C$7:$C$306,$X88)="","",INDEX('HW Sets'!$C$7:$C$306,$X88)))</f>
        <v/>
      </c>
      <c r="F88" s="176">
        <f>IF($X88="","",IF(INDEX('HW Sets'!$D$7:$D$306,$X88)="","",INDEX('HW Sets'!$D$7:$D$306,$X88)))</f>
        <v/>
      </c>
      <c r="G88" s="176">
        <f>IF($X88="","",IF(INDEX('HW Sets'!$E$7:$E$306,$X88)="","",INDEX('HW Sets'!$E$7:$E$306,$X88)))</f>
        <v/>
      </c>
      <c r="H88" s="176">
        <f>IF($X88="","",IF(INDEX('HW Sets'!$F$7:$F$306,$X88)="","",INDEX('HW Sets'!$F$7:$F$306,$X88)))</f>
        <v/>
      </c>
      <c r="I88" s="176">
        <f>IF($X88="","",IF(INDEX('HW Sets'!$G$7:$G$306,$X88)="","",INDEX('HW Sets'!$G$7:$G$306,$X88)))</f>
        <v/>
      </c>
      <c r="J88" s="176">
        <f>IF($X88="","",IF(INDEX('HW Sets'!$H$7:$H$306,$X88)="","",INDEX('HW Sets'!$H$7:$H$306,$X88)))</f>
        <v/>
      </c>
      <c r="K88" s="175">
        <f t="array" ref="K88">IF($X88="","",N($E88)*SUM(IF(tk_HWSET&amp;""=$Y88,IFERROR(--tk_QTY,0),0)))</f>
        <v/>
      </c>
      <c r="L88" s="176">
        <f>IF($X88="","",IF(INDEX('HW Sets'!$I$7:$I$306,$X88)="","",INDEX('HW Sets'!$I$7:$I$306,$X88)))</f>
        <v/>
      </c>
      <c r="N88" s="176">
        <f>IF($W88="","",INDEX($G$7:$G$306,$W88)&amp;"")</f>
        <v/>
      </c>
      <c r="O88" s="176">
        <f>IF($W88="","",INDEX($H$7:$H$306,$W88)&amp;"")</f>
        <v/>
      </c>
      <c r="P88" s="176">
        <f>IF($W88="","",INDEX($I$7:$I$306,$W88)&amp;"")</f>
        <v/>
      </c>
      <c r="Q88" s="176">
        <f>IF($W88="","",INDEX($J$7:$J$306,$W88)&amp;"")</f>
        <v/>
      </c>
      <c r="R88" s="176">
        <f>IF($W88="","",INDEX($F$7:$F$306,$W88)&amp;"")</f>
        <v/>
      </c>
      <c r="S88" s="175">
        <f>IF($W88="","",SUMIF($U$7:$U$306,INDEX($U$7:$U$306,$W88),$K$7:$K$306))</f>
        <v/>
      </c>
      <c r="U88">
        <f>IF(OR($X88="",N($K88)=0),"",UPPER(TRIM($G88&amp;"|"&amp;$H88&amp;"|"&amp;$I88&amp;"|"&amp;$J88&amp;"|"&amp;$F88)))</f>
        <v/>
      </c>
      <c r="V88">
        <f>IF($U88="","",IF(COUNTIF($U$7:$U88,$U88)=1,MAX($V$6:$V87)+1,""))</f>
        <v/>
      </c>
      <c r="W88">
        <f>IFERROR(MATCH(82,$V$7:$V$306,0),"")</f>
        <v/>
      </c>
      <c r="X88">
        <f>IFERROR(MATCH(82,'HW Sets'!$S$7:$S$306,0),"")</f>
        <v/>
      </c>
      <c r="Y88">
        <f>IF($X88="","",INDEX('HW Sets'!$J$7:$J$306,$X88)&amp;"")</f>
        <v/>
      </c>
      <c r="Z88">
        <f>IF($Y88="","",IF(COUNTIF($Y$7:$Y88,$Y88)=1,1,""))</f>
        <v/>
      </c>
    </row>
    <row r="89">
      <c r="A89" s="175">
        <f>IF($Z89="","",$Y89)</f>
        <v/>
      </c>
      <c r="B89" s="176">
        <f>IF($Z89="","",IFERROR(INDEX('HW Sets'!$N$7:$N$306,MATCH($Y89,'HW Sets'!$M$7:$M$306,0)),""))</f>
        <v/>
      </c>
      <c r="C89" s="177">
        <f t="array" ref="C89">IF($Z89="","",_xlfn.TEXTJOIN(", ",TRUE,IF(tk_HWSET&amp;""=$Y89,tk_MARK,"")))</f>
        <v/>
      </c>
      <c r="D89" s="176">
        <f t="array" ref="D89">IF($Z89="","",SUM(IF(tk_HWSET&amp;""=$Y89,IFERROR(--tk_QTY,0),0)))</f>
        <v/>
      </c>
      <c r="E89" s="176">
        <f>IF($X89="","",IF(INDEX('HW Sets'!$C$7:$C$306,$X89)="","",INDEX('HW Sets'!$C$7:$C$306,$X89)))</f>
        <v/>
      </c>
      <c r="F89" s="176">
        <f>IF($X89="","",IF(INDEX('HW Sets'!$D$7:$D$306,$X89)="","",INDEX('HW Sets'!$D$7:$D$306,$X89)))</f>
        <v/>
      </c>
      <c r="G89" s="176">
        <f>IF($X89="","",IF(INDEX('HW Sets'!$E$7:$E$306,$X89)="","",INDEX('HW Sets'!$E$7:$E$306,$X89)))</f>
        <v/>
      </c>
      <c r="H89" s="176">
        <f>IF($X89="","",IF(INDEX('HW Sets'!$F$7:$F$306,$X89)="","",INDEX('HW Sets'!$F$7:$F$306,$X89)))</f>
        <v/>
      </c>
      <c r="I89" s="176">
        <f>IF($X89="","",IF(INDEX('HW Sets'!$G$7:$G$306,$X89)="","",INDEX('HW Sets'!$G$7:$G$306,$X89)))</f>
        <v/>
      </c>
      <c r="J89" s="176">
        <f>IF($X89="","",IF(INDEX('HW Sets'!$H$7:$H$306,$X89)="","",INDEX('HW Sets'!$H$7:$H$306,$X89)))</f>
        <v/>
      </c>
      <c r="K89" s="175">
        <f t="array" ref="K89">IF($X89="","",N($E89)*SUM(IF(tk_HWSET&amp;""=$Y89,IFERROR(--tk_QTY,0),0)))</f>
        <v/>
      </c>
      <c r="L89" s="176">
        <f>IF($X89="","",IF(INDEX('HW Sets'!$I$7:$I$306,$X89)="","",INDEX('HW Sets'!$I$7:$I$306,$X89)))</f>
        <v/>
      </c>
      <c r="N89" s="176">
        <f>IF($W89="","",INDEX($G$7:$G$306,$W89)&amp;"")</f>
        <v/>
      </c>
      <c r="O89" s="176">
        <f>IF($W89="","",INDEX($H$7:$H$306,$W89)&amp;"")</f>
        <v/>
      </c>
      <c r="P89" s="176">
        <f>IF($W89="","",INDEX($I$7:$I$306,$W89)&amp;"")</f>
        <v/>
      </c>
      <c r="Q89" s="176">
        <f>IF($W89="","",INDEX($J$7:$J$306,$W89)&amp;"")</f>
        <v/>
      </c>
      <c r="R89" s="176">
        <f>IF($W89="","",INDEX($F$7:$F$306,$W89)&amp;"")</f>
        <v/>
      </c>
      <c r="S89" s="175">
        <f>IF($W89="","",SUMIF($U$7:$U$306,INDEX($U$7:$U$306,$W89),$K$7:$K$306))</f>
        <v/>
      </c>
      <c r="U89">
        <f>IF(OR($X89="",N($K89)=0),"",UPPER(TRIM($G89&amp;"|"&amp;$H89&amp;"|"&amp;$I89&amp;"|"&amp;$J89&amp;"|"&amp;$F89)))</f>
        <v/>
      </c>
      <c r="V89">
        <f>IF($U89="","",IF(COUNTIF($U$7:$U89,$U89)=1,MAX($V$6:$V88)+1,""))</f>
        <v/>
      </c>
      <c r="W89">
        <f>IFERROR(MATCH(83,$V$7:$V$306,0),"")</f>
        <v/>
      </c>
      <c r="X89">
        <f>IFERROR(MATCH(83,'HW Sets'!$S$7:$S$306,0),"")</f>
        <v/>
      </c>
      <c r="Y89">
        <f>IF($X89="","",INDEX('HW Sets'!$J$7:$J$306,$X89)&amp;"")</f>
        <v/>
      </c>
      <c r="Z89">
        <f>IF($Y89="","",IF(COUNTIF($Y$7:$Y89,$Y89)=1,1,""))</f>
        <v/>
      </c>
    </row>
    <row r="90">
      <c r="A90" s="175">
        <f>IF($Z90="","",$Y90)</f>
        <v/>
      </c>
      <c r="B90" s="176">
        <f>IF($Z90="","",IFERROR(INDEX('HW Sets'!$N$7:$N$306,MATCH($Y90,'HW Sets'!$M$7:$M$306,0)),""))</f>
        <v/>
      </c>
      <c r="C90" s="177">
        <f t="array" ref="C90">IF($Z90="","",_xlfn.TEXTJOIN(", ",TRUE,IF(tk_HWSET&amp;""=$Y90,tk_MARK,"")))</f>
        <v/>
      </c>
      <c r="D90" s="176">
        <f t="array" ref="D90">IF($Z90="","",SUM(IF(tk_HWSET&amp;""=$Y90,IFERROR(--tk_QTY,0),0)))</f>
        <v/>
      </c>
      <c r="E90" s="176">
        <f>IF($X90="","",IF(INDEX('HW Sets'!$C$7:$C$306,$X90)="","",INDEX('HW Sets'!$C$7:$C$306,$X90)))</f>
        <v/>
      </c>
      <c r="F90" s="176">
        <f>IF($X90="","",IF(INDEX('HW Sets'!$D$7:$D$306,$X90)="","",INDEX('HW Sets'!$D$7:$D$306,$X90)))</f>
        <v/>
      </c>
      <c r="G90" s="176">
        <f>IF($X90="","",IF(INDEX('HW Sets'!$E$7:$E$306,$X90)="","",INDEX('HW Sets'!$E$7:$E$306,$X90)))</f>
        <v/>
      </c>
      <c r="H90" s="176">
        <f>IF($X90="","",IF(INDEX('HW Sets'!$F$7:$F$306,$X90)="","",INDEX('HW Sets'!$F$7:$F$306,$X90)))</f>
        <v/>
      </c>
      <c r="I90" s="176">
        <f>IF($X90="","",IF(INDEX('HW Sets'!$G$7:$G$306,$X90)="","",INDEX('HW Sets'!$G$7:$G$306,$X90)))</f>
        <v/>
      </c>
      <c r="J90" s="176">
        <f>IF($X90="","",IF(INDEX('HW Sets'!$H$7:$H$306,$X90)="","",INDEX('HW Sets'!$H$7:$H$306,$X90)))</f>
        <v/>
      </c>
      <c r="K90" s="175">
        <f t="array" ref="K90">IF($X90="","",N($E90)*SUM(IF(tk_HWSET&amp;""=$Y90,IFERROR(--tk_QTY,0),0)))</f>
        <v/>
      </c>
      <c r="L90" s="176">
        <f>IF($X90="","",IF(INDEX('HW Sets'!$I$7:$I$306,$X90)="","",INDEX('HW Sets'!$I$7:$I$306,$X90)))</f>
        <v/>
      </c>
      <c r="N90" s="176">
        <f>IF($W90="","",INDEX($G$7:$G$306,$W90)&amp;"")</f>
        <v/>
      </c>
      <c r="O90" s="176">
        <f>IF($W90="","",INDEX($H$7:$H$306,$W90)&amp;"")</f>
        <v/>
      </c>
      <c r="P90" s="176">
        <f>IF($W90="","",INDEX($I$7:$I$306,$W90)&amp;"")</f>
        <v/>
      </c>
      <c r="Q90" s="176">
        <f>IF($W90="","",INDEX($J$7:$J$306,$W90)&amp;"")</f>
        <v/>
      </c>
      <c r="R90" s="176">
        <f>IF($W90="","",INDEX($F$7:$F$306,$W90)&amp;"")</f>
        <v/>
      </c>
      <c r="S90" s="175">
        <f>IF($W90="","",SUMIF($U$7:$U$306,INDEX($U$7:$U$306,$W90),$K$7:$K$306))</f>
        <v/>
      </c>
      <c r="U90">
        <f>IF(OR($X90="",N($K90)=0),"",UPPER(TRIM($G90&amp;"|"&amp;$H90&amp;"|"&amp;$I90&amp;"|"&amp;$J90&amp;"|"&amp;$F90)))</f>
        <v/>
      </c>
      <c r="V90">
        <f>IF($U90="","",IF(COUNTIF($U$7:$U90,$U90)=1,MAX($V$6:$V89)+1,""))</f>
        <v/>
      </c>
      <c r="W90">
        <f>IFERROR(MATCH(84,$V$7:$V$306,0),"")</f>
        <v/>
      </c>
      <c r="X90">
        <f>IFERROR(MATCH(84,'HW Sets'!$S$7:$S$306,0),"")</f>
        <v/>
      </c>
      <c r="Y90">
        <f>IF($X90="","",INDEX('HW Sets'!$J$7:$J$306,$X90)&amp;"")</f>
        <v/>
      </c>
      <c r="Z90">
        <f>IF($Y90="","",IF(COUNTIF($Y$7:$Y90,$Y90)=1,1,""))</f>
        <v/>
      </c>
    </row>
    <row r="91">
      <c r="A91" s="175">
        <f>IF($Z91="","",$Y91)</f>
        <v/>
      </c>
      <c r="B91" s="176">
        <f>IF($Z91="","",IFERROR(INDEX('HW Sets'!$N$7:$N$306,MATCH($Y91,'HW Sets'!$M$7:$M$306,0)),""))</f>
        <v/>
      </c>
      <c r="C91" s="177">
        <f t="array" ref="C91">IF($Z91="","",_xlfn.TEXTJOIN(", ",TRUE,IF(tk_HWSET&amp;""=$Y91,tk_MARK,"")))</f>
        <v/>
      </c>
      <c r="D91" s="176">
        <f t="array" ref="D91">IF($Z91="","",SUM(IF(tk_HWSET&amp;""=$Y91,IFERROR(--tk_QTY,0),0)))</f>
        <v/>
      </c>
      <c r="E91" s="176">
        <f>IF($X91="","",IF(INDEX('HW Sets'!$C$7:$C$306,$X91)="","",INDEX('HW Sets'!$C$7:$C$306,$X91)))</f>
        <v/>
      </c>
      <c r="F91" s="176">
        <f>IF($X91="","",IF(INDEX('HW Sets'!$D$7:$D$306,$X91)="","",INDEX('HW Sets'!$D$7:$D$306,$X91)))</f>
        <v/>
      </c>
      <c r="G91" s="176">
        <f>IF($X91="","",IF(INDEX('HW Sets'!$E$7:$E$306,$X91)="","",INDEX('HW Sets'!$E$7:$E$306,$X91)))</f>
        <v/>
      </c>
      <c r="H91" s="176">
        <f>IF($X91="","",IF(INDEX('HW Sets'!$F$7:$F$306,$X91)="","",INDEX('HW Sets'!$F$7:$F$306,$X91)))</f>
        <v/>
      </c>
      <c r="I91" s="176">
        <f>IF($X91="","",IF(INDEX('HW Sets'!$G$7:$G$306,$X91)="","",INDEX('HW Sets'!$G$7:$G$306,$X91)))</f>
        <v/>
      </c>
      <c r="J91" s="176">
        <f>IF($X91="","",IF(INDEX('HW Sets'!$H$7:$H$306,$X91)="","",INDEX('HW Sets'!$H$7:$H$306,$X91)))</f>
        <v/>
      </c>
      <c r="K91" s="175">
        <f t="array" ref="K91">IF($X91="","",N($E91)*SUM(IF(tk_HWSET&amp;""=$Y91,IFERROR(--tk_QTY,0),0)))</f>
        <v/>
      </c>
      <c r="L91" s="176">
        <f>IF($X91="","",IF(INDEX('HW Sets'!$I$7:$I$306,$X91)="","",INDEX('HW Sets'!$I$7:$I$306,$X91)))</f>
        <v/>
      </c>
      <c r="N91" s="176">
        <f>IF($W91="","",INDEX($G$7:$G$306,$W91)&amp;"")</f>
        <v/>
      </c>
      <c r="O91" s="176">
        <f>IF($W91="","",INDEX($H$7:$H$306,$W91)&amp;"")</f>
        <v/>
      </c>
      <c r="P91" s="176">
        <f>IF($W91="","",INDEX($I$7:$I$306,$W91)&amp;"")</f>
        <v/>
      </c>
      <c r="Q91" s="176">
        <f>IF($W91="","",INDEX($J$7:$J$306,$W91)&amp;"")</f>
        <v/>
      </c>
      <c r="R91" s="176">
        <f>IF($W91="","",INDEX($F$7:$F$306,$W91)&amp;"")</f>
        <v/>
      </c>
      <c r="S91" s="175">
        <f>IF($W91="","",SUMIF($U$7:$U$306,INDEX($U$7:$U$306,$W91),$K$7:$K$306))</f>
        <v/>
      </c>
      <c r="U91">
        <f>IF(OR($X91="",N($K91)=0),"",UPPER(TRIM($G91&amp;"|"&amp;$H91&amp;"|"&amp;$I91&amp;"|"&amp;$J91&amp;"|"&amp;$F91)))</f>
        <v/>
      </c>
      <c r="V91">
        <f>IF($U91="","",IF(COUNTIF($U$7:$U91,$U91)=1,MAX($V$6:$V90)+1,""))</f>
        <v/>
      </c>
      <c r="W91">
        <f>IFERROR(MATCH(85,$V$7:$V$306,0),"")</f>
        <v/>
      </c>
      <c r="X91">
        <f>IFERROR(MATCH(85,'HW Sets'!$S$7:$S$306,0),"")</f>
        <v/>
      </c>
      <c r="Y91">
        <f>IF($X91="","",INDEX('HW Sets'!$J$7:$J$306,$X91)&amp;"")</f>
        <v/>
      </c>
      <c r="Z91">
        <f>IF($Y91="","",IF(COUNTIF($Y$7:$Y91,$Y91)=1,1,""))</f>
        <v/>
      </c>
    </row>
    <row r="92">
      <c r="A92" s="175">
        <f>IF($Z92="","",$Y92)</f>
        <v/>
      </c>
      <c r="B92" s="176">
        <f>IF($Z92="","",IFERROR(INDEX('HW Sets'!$N$7:$N$306,MATCH($Y92,'HW Sets'!$M$7:$M$306,0)),""))</f>
        <v/>
      </c>
      <c r="C92" s="177">
        <f t="array" ref="C92">IF($Z92="","",_xlfn.TEXTJOIN(", ",TRUE,IF(tk_HWSET&amp;""=$Y92,tk_MARK,"")))</f>
        <v/>
      </c>
      <c r="D92" s="176">
        <f t="array" ref="D92">IF($Z92="","",SUM(IF(tk_HWSET&amp;""=$Y92,IFERROR(--tk_QTY,0),0)))</f>
        <v/>
      </c>
      <c r="E92" s="176">
        <f>IF($X92="","",IF(INDEX('HW Sets'!$C$7:$C$306,$X92)="","",INDEX('HW Sets'!$C$7:$C$306,$X92)))</f>
        <v/>
      </c>
      <c r="F92" s="176">
        <f>IF($X92="","",IF(INDEX('HW Sets'!$D$7:$D$306,$X92)="","",INDEX('HW Sets'!$D$7:$D$306,$X92)))</f>
        <v/>
      </c>
      <c r="G92" s="176">
        <f>IF($X92="","",IF(INDEX('HW Sets'!$E$7:$E$306,$X92)="","",INDEX('HW Sets'!$E$7:$E$306,$X92)))</f>
        <v/>
      </c>
      <c r="H92" s="176">
        <f>IF($X92="","",IF(INDEX('HW Sets'!$F$7:$F$306,$X92)="","",INDEX('HW Sets'!$F$7:$F$306,$X92)))</f>
        <v/>
      </c>
      <c r="I92" s="176">
        <f>IF($X92="","",IF(INDEX('HW Sets'!$G$7:$G$306,$X92)="","",INDEX('HW Sets'!$G$7:$G$306,$X92)))</f>
        <v/>
      </c>
      <c r="J92" s="176">
        <f>IF($X92="","",IF(INDEX('HW Sets'!$H$7:$H$306,$X92)="","",INDEX('HW Sets'!$H$7:$H$306,$X92)))</f>
        <v/>
      </c>
      <c r="K92" s="175">
        <f t="array" ref="K92">IF($X92="","",N($E92)*SUM(IF(tk_HWSET&amp;""=$Y92,IFERROR(--tk_QTY,0),0)))</f>
        <v/>
      </c>
      <c r="L92" s="176">
        <f>IF($X92="","",IF(INDEX('HW Sets'!$I$7:$I$306,$X92)="","",INDEX('HW Sets'!$I$7:$I$306,$X92)))</f>
        <v/>
      </c>
      <c r="N92" s="176">
        <f>IF($W92="","",INDEX($G$7:$G$306,$W92)&amp;"")</f>
        <v/>
      </c>
      <c r="O92" s="176">
        <f>IF($W92="","",INDEX($H$7:$H$306,$W92)&amp;"")</f>
        <v/>
      </c>
      <c r="P92" s="176">
        <f>IF($W92="","",INDEX($I$7:$I$306,$W92)&amp;"")</f>
        <v/>
      </c>
      <c r="Q92" s="176">
        <f>IF($W92="","",INDEX($J$7:$J$306,$W92)&amp;"")</f>
        <v/>
      </c>
      <c r="R92" s="176">
        <f>IF($W92="","",INDEX($F$7:$F$306,$W92)&amp;"")</f>
        <v/>
      </c>
      <c r="S92" s="175">
        <f>IF($W92="","",SUMIF($U$7:$U$306,INDEX($U$7:$U$306,$W92),$K$7:$K$306))</f>
        <v/>
      </c>
      <c r="U92">
        <f>IF(OR($X92="",N($K92)=0),"",UPPER(TRIM($G92&amp;"|"&amp;$H92&amp;"|"&amp;$I92&amp;"|"&amp;$J92&amp;"|"&amp;$F92)))</f>
        <v/>
      </c>
      <c r="V92">
        <f>IF($U92="","",IF(COUNTIF($U$7:$U92,$U92)=1,MAX($V$6:$V91)+1,""))</f>
        <v/>
      </c>
      <c r="W92">
        <f>IFERROR(MATCH(86,$V$7:$V$306,0),"")</f>
        <v/>
      </c>
      <c r="X92">
        <f>IFERROR(MATCH(86,'HW Sets'!$S$7:$S$306,0),"")</f>
        <v/>
      </c>
      <c r="Y92">
        <f>IF($X92="","",INDEX('HW Sets'!$J$7:$J$306,$X92)&amp;"")</f>
        <v/>
      </c>
      <c r="Z92">
        <f>IF($Y92="","",IF(COUNTIF($Y$7:$Y92,$Y92)=1,1,""))</f>
        <v/>
      </c>
    </row>
    <row r="93">
      <c r="A93" s="175">
        <f>IF($Z93="","",$Y93)</f>
        <v/>
      </c>
      <c r="B93" s="176">
        <f>IF($Z93="","",IFERROR(INDEX('HW Sets'!$N$7:$N$306,MATCH($Y93,'HW Sets'!$M$7:$M$306,0)),""))</f>
        <v/>
      </c>
      <c r="C93" s="177">
        <f t="array" ref="C93">IF($Z93="","",_xlfn.TEXTJOIN(", ",TRUE,IF(tk_HWSET&amp;""=$Y93,tk_MARK,"")))</f>
        <v/>
      </c>
      <c r="D93" s="176">
        <f t="array" ref="D93">IF($Z93="","",SUM(IF(tk_HWSET&amp;""=$Y93,IFERROR(--tk_QTY,0),0)))</f>
        <v/>
      </c>
      <c r="E93" s="176">
        <f>IF($X93="","",IF(INDEX('HW Sets'!$C$7:$C$306,$X93)="","",INDEX('HW Sets'!$C$7:$C$306,$X93)))</f>
        <v/>
      </c>
      <c r="F93" s="176">
        <f>IF($X93="","",IF(INDEX('HW Sets'!$D$7:$D$306,$X93)="","",INDEX('HW Sets'!$D$7:$D$306,$X93)))</f>
        <v/>
      </c>
      <c r="G93" s="176">
        <f>IF($X93="","",IF(INDEX('HW Sets'!$E$7:$E$306,$X93)="","",INDEX('HW Sets'!$E$7:$E$306,$X93)))</f>
        <v/>
      </c>
      <c r="H93" s="176">
        <f>IF($X93="","",IF(INDEX('HW Sets'!$F$7:$F$306,$X93)="","",INDEX('HW Sets'!$F$7:$F$306,$X93)))</f>
        <v/>
      </c>
      <c r="I93" s="176">
        <f>IF($X93="","",IF(INDEX('HW Sets'!$G$7:$G$306,$X93)="","",INDEX('HW Sets'!$G$7:$G$306,$X93)))</f>
        <v/>
      </c>
      <c r="J93" s="176">
        <f>IF($X93="","",IF(INDEX('HW Sets'!$H$7:$H$306,$X93)="","",INDEX('HW Sets'!$H$7:$H$306,$X93)))</f>
        <v/>
      </c>
      <c r="K93" s="175">
        <f t="array" ref="K93">IF($X93="","",N($E93)*SUM(IF(tk_HWSET&amp;""=$Y93,IFERROR(--tk_QTY,0),0)))</f>
        <v/>
      </c>
      <c r="L93" s="176">
        <f>IF($X93="","",IF(INDEX('HW Sets'!$I$7:$I$306,$X93)="","",INDEX('HW Sets'!$I$7:$I$306,$X93)))</f>
        <v/>
      </c>
      <c r="N93" s="176">
        <f>IF($W93="","",INDEX($G$7:$G$306,$W93)&amp;"")</f>
        <v/>
      </c>
      <c r="O93" s="176">
        <f>IF($W93="","",INDEX($H$7:$H$306,$W93)&amp;"")</f>
        <v/>
      </c>
      <c r="P93" s="176">
        <f>IF($W93="","",INDEX($I$7:$I$306,$W93)&amp;"")</f>
        <v/>
      </c>
      <c r="Q93" s="176">
        <f>IF($W93="","",INDEX($J$7:$J$306,$W93)&amp;"")</f>
        <v/>
      </c>
      <c r="R93" s="176">
        <f>IF($W93="","",INDEX($F$7:$F$306,$W93)&amp;"")</f>
        <v/>
      </c>
      <c r="S93" s="175">
        <f>IF($W93="","",SUMIF($U$7:$U$306,INDEX($U$7:$U$306,$W93),$K$7:$K$306))</f>
        <v/>
      </c>
      <c r="U93">
        <f>IF(OR($X93="",N($K93)=0),"",UPPER(TRIM($G93&amp;"|"&amp;$H93&amp;"|"&amp;$I93&amp;"|"&amp;$J93&amp;"|"&amp;$F93)))</f>
        <v/>
      </c>
      <c r="V93">
        <f>IF($U93="","",IF(COUNTIF($U$7:$U93,$U93)=1,MAX($V$6:$V92)+1,""))</f>
        <v/>
      </c>
      <c r="W93">
        <f>IFERROR(MATCH(87,$V$7:$V$306,0),"")</f>
        <v/>
      </c>
      <c r="X93">
        <f>IFERROR(MATCH(87,'HW Sets'!$S$7:$S$306,0),"")</f>
        <v/>
      </c>
      <c r="Y93">
        <f>IF($X93="","",INDEX('HW Sets'!$J$7:$J$306,$X93)&amp;"")</f>
        <v/>
      </c>
      <c r="Z93">
        <f>IF($Y93="","",IF(COUNTIF($Y$7:$Y93,$Y93)=1,1,""))</f>
        <v/>
      </c>
    </row>
    <row r="94">
      <c r="A94" s="175">
        <f>IF($Z94="","",$Y94)</f>
        <v/>
      </c>
      <c r="B94" s="176">
        <f>IF($Z94="","",IFERROR(INDEX('HW Sets'!$N$7:$N$306,MATCH($Y94,'HW Sets'!$M$7:$M$306,0)),""))</f>
        <v/>
      </c>
      <c r="C94" s="177">
        <f t="array" ref="C94">IF($Z94="","",_xlfn.TEXTJOIN(", ",TRUE,IF(tk_HWSET&amp;""=$Y94,tk_MARK,"")))</f>
        <v/>
      </c>
      <c r="D94" s="176">
        <f t="array" ref="D94">IF($Z94="","",SUM(IF(tk_HWSET&amp;""=$Y94,IFERROR(--tk_QTY,0),0)))</f>
        <v/>
      </c>
      <c r="E94" s="176">
        <f>IF($X94="","",IF(INDEX('HW Sets'!$C$7:$C$306,$X94)="","",INDEX('HW Sets'!$C$7:$C$306,$X94)))</f>
        <v/>
      </c>
      <c r="F94" s="176">
        <f>IF($X94="","",IF(INDEX('HW Sets'!$D$7:$D$306,$X94)="","",INDEX('HW Sets'!$D$7:$D$306,$X94)))</f>
        <v/>
      </c>
      <c r="G94" s="176">
        <f>IF($X94="","",IF(INDEX('HW Sets'!$E$7:$E$306,$X94)="","",INDEX('HW Sets'!$E$7:$E$306,$X94)))</f>
        <v/>
      </c>
      <c r="H94" s="176">
        <f>IF($X94="","",IF(INDEX('HW Sets'!$F$7:$F$306,$X94)="","",INDEX('HW Sets'!$F$7:$F$306,$X94)))</f>
        <v/>
      </c>
      <c r="I94" s="176">
        <f>IF($X94="","",IF(INDEX('HW Sets'!$G$7:$G$306,$X94)="","",INDEX('HW Sets'!$G$7:$G$306,$X94)))</f>
        <v/>
      </c>
      <c r="J94" s="176">
        <f>IF($X94="","",IF(INDEX('HW Sets'!$H$7:$H$306,$X94)="","",INDEX('HW Sets'!$H$7:$H$306,$X94)))</f>
        <v/>
      </c>
      <c r="K94" s="175">
        <f t="array" ref="K94">IF($X94="","",N($E94)*SUM(IF(tk_HWSET&amp;""=$Y94,IFERROR(--tk_QTY,0),0)))</f>
        <v/>
      </c>
      <c r="L94" s="176">
        <f>IF($X94="","",IF(INDEX('HW Sets'!$I$7:$I$306,$X94)="","",INDEX('HW Sets'!$I$7:$I$306,$X94)))</f>
        <v/>
      </c>
      <c r="N94" s="176">
        <f>IF($W94="","",INDEX($G$7:$G$306,$W94)&amp;"")</f>
        <v/>
      </c>
      <c r="O94" s="176">
        <f>IF($W94="","",INDEX($H$7:$H$306,$W94)&amp;"")</f>
        <v/>
      </c>
      <c r="P94" s="176">
        <f>IF($W94="","",INDEX($I$7:$I$306,$W94)&amp;"")</f>
        <v/>
      </c>
      <c r="Q94" s="176">
        <f>IF($W94="","",INDEX($J$7:$J$306,$W94)&amp;"")</f>
        <v/>
      </c>
      <c r="R94" s="176">
        <f>IF($W94="","",INDEX($F$7:$F$306,$W94)&amp;"")</f>
        <v/>
      </c>
      <c r="S94" s="175">
        <f>IF($W94="","",SUMIF($U$7:$U$306,INDEX($U$7:$U$306,$W94),$K$7:$K$306))</f>
        <v/>
      </c>
      <c r="U94">
        <f>IF(OR($X94="",N($K94)=0),"",UPPER(TRIM($G94&amp;"|"&amp;$H94&amp;"|"&amp;$I94&amp;"|"&amp;$J94&amp;"|"&amp;$F94)))</f>
        <v/>
      </c>
      <c r="V94">
        <f>IF($U94="","",IF(COUNTIF($U$7:$U94,$U94)=1,MAX($V$6:$V93)+1,""))</f>
        <v/>
      </c>
      <c r="W94">
        <f>IFERROR(MATCH(88,$V$7:$V$306,0),"")</f>
        <v/>
      </c>
      <c r="X94">
        <f>IFERROR(MATCH(88,'HW Sets'!$S$7:$S$306,0),"")</f>
        <v/>
      </c>
      <c r="Y94">
        <f>IF($X94="","",INDEX('HW Sets'!$J$7:$J$306,$X94)&amp;"")</f>
        <v/>
      </c>
      <c r="Z94">
        <f>IF($Y94="","",IF(COUNTIF($Y$7:$Y94,$Y94)=1,1,""))</f>
        <v/>
      </c>
    </row>
    <row r="95">
      <c r="A95" s="175">
        <f>IF($Z95="","",$Y95)</f>
        <v/>
      </c>
      <c r="B95" s="176">
        <f>IF($Z95="","",IFERROR(INDEX('HW Sets'!$N$7:$N$306,MATCH($Y95,'HW Sets'!$M$7:$M$306,0)),""))</f>
        <v/>
      </c>
      <c r="C95" s="177">
        <f t="array" ref="C95">IF($Z95="","",_xlfn.TEXTJOIN(", ",TRUE,IF(tk_HWSET&amp;""=$Y95,tk_MARK,"")))</f>
        <v/>
      </c>
      <c r="D95" s="176">
        <f t="array" ref="D95">IF($Z95="","",SUM(IF(tk_HWSET&amp;""=$Y95,IFERROR(--tk_QTY,0),0)))</f>
        <v/>
      </c>
      <c r="E95" s="176">
        <f>IF($X95="","",IF(INDEX('HW Sets'!$C$7:$C$306,$X95)="","",INDEX('HW Sets'!$C$7:$C$306,$X95)))</f>
        <v/>
      </c>
      <c r="F95" s="176">
        <f>IF($X95="","",IF(INDEX('HW Sets'!$D$7:$D$306,$X95)="","",INDEX('HW Sets'!$D$7:$D$306,$X95)))</f>
        <v/>
      </c>
      <c r="G95" s="176">
        <f>IF($X95="","",IF(INDEX('HW Sets'!$E$7:$E$306,$X95)="","",INDEX('HW Sets'!$E$7:$E$306,$X95)))</f>
        <v/>
      </c>
      <c r="H95" s="176">
        <f>IF($X95="","",IF(INDEX('HW Sets'!$F$7:$F$306,$X95)="","",INDEX('HW Sets'!$F$7:$F$306,$X95)))</f>
        <v/>
      </c>
      <c r="I95" s="176">
        <f>IF($X95="","",IF(INDEX('HW Sets'!$G$7:$G$306,$X95)="","",INDEX('HW Sets'!$G$7:$G$306,$X95)))</f>
        <v/>
      </c>
      <c r="J95" s="176">
        <f>IF($X95="","",IF(INDEX('HW Sets'!$H$7:$H$306,$X95)="","",INDEX('HW Sets'!$H$7:$H$306,$X95)))</f>
        <v/>
      </c>
      <c r="K95" s="175">
        <f t="array" ref="K95">IF($X95="","",N($E95)*SUM(IF(tk_HWSET&amp;""=$Y95,IFERROR(--tk_QTY,0),0)))</f>
        <v/>
      </c>
      <c r="L95" s="176">
        <f>IF($X95="","",IF(INDEX('HW Sets'!$I$7:$I$306,$X95)="","",INDEX('HW Sets'!$I$7:$I$306,$X95)))</f>
        <v/>
      </c>
      <c r="N95" s="176">
        <f>IF($W95="","",INDEX($G$7:$G$306,$W95)&amp;"")</f>
        <v/>
      </c>
      <c r="O95" s="176">
        <f>IF($W95="","",INDEX($H$7:$H$306,$W95)&amp;"")</f>
        <v/>
      </c>
      <c r="P95" s="176">
        <f>IF($W95="","",INDEX($I$7:$I$306,$W95)&amp;"")</f>
        <v/>
      </c>
      <c r="Q95" s="176">
        <f>IF($W95="","",INDEX($J$7:$J$306,$W95)&amp;"")</f>
        <v/>
      </c>
      <c r="R95" s="176">
        <f>IF($W95="","",INDEX($F$7:$F$306,$W95)&amp;"")</f>
        <v/>
      </c>
      <c r="S95" s="175">
        <f>IF($W95="","",SUMIF($U$7:$U$306,INDEX($U$7:$U$306,$W95),$K$7:$K$306))</f>
        <v/>
      </c>
      <c r="U95">
        <f>IF(OR($X95="",N($K95)=0),"",UPPER(TRIM($G95&amp;"|"&amp;$H95&amp;"|"&amp;$I95&amp;"|"&amp;$J95&amp;"|"&amp;$F95)))</f>
        <v/>
      </c>
      <c r="V95">
        <f>IF($U95="","",IF(COUNTIF($U$7:$U95,$U95)=1,MAX($V$6:$V94)+1,""))</f>
        <v/>
      </c>
      <c r="W95">
        <f>IFERROR(MATCH(89,$V$7:$V$306,0),"")</f>
        <v/>
      </c>
      <c r="X95">
        <f>IFERROR(MATCH(89,'HW Sets'!$S$7:$S$306,0),"")</f>
        <v/>
      </c>
      <c r="Y95">
        <f>IF($X95="","",INDEX('HW Sets'!$J$7:$J$306,$X95)&amp;"")</f>
        <v/>
      </c>
      <c r="Z95">
        <f>IF($Y95="","",IF(COUNTIF($Y$7:$Y95,$Y95)=1,1,""))</f>
        <v/>
      </c>
    </row>
    <row r="96">
      <c r="A96" s="175">
        <f>IF($Z96="","",$Y96)</f>
        <v/>
      </c>
      <c r="B96" s="176">
        <f>IF($Z96="","",IFERROR(INDEX('HW Sets'!$N$7:$N$306,MATCH($Y96,'HW Sets'!$M$7:$M$306,0)),""))</f>
        <v/>
      </c>
      <c r="C96" s="177">
        <f t="array" ref="C96">IF($Z96="","",_xlfn.TEXTJOIN(", ",TRUE,IF(tk_HWSET&amp;""=$Y96,tk_MARK,"")))</f>
        <v/>
      </c>
      <c r="D96" s="176">
        <f t="array" ref="D96">IF($Z96="","",SUM(IF(tk_HWSET&amp;""=$Y96,IFERROR(--tk_QTY,0),0)))</f>
        <v/>
      </c>
      <c r="E96" s="176">
        <f>IF($X96="","",IF(INDEX('HW Sets'!$C$7:$C$306,$X96)="","",INDEX('HW Sets'!$C$7:$C$306,$X96)))</f>
        <v/>
      </c>
      <c r="F96" s="176">
        <f>IF($X96="","",IF(INDEX('HW Sets'!$D$7:$D$306,$X96)="","",INDEX('HW Sets'!$D$7:$D$306,$X96)))</f>
        <v/>
      </c>
      <c r="G96" s="176">
        <f>IF($X96="","",IF(INDEX('HW Sets'!$E$7:$E$306,$X96)="","",INDEX('HW Sets'!$E$7:$E$306,$X96)))</f>
        <v/>
      </c>
      <c r="H96" s="176">
        <f>IF($X96="","",IF(INDEX('HW Sets'!$F$7:$F$306,$X96)="","",INDEX('HW Sets'!$F$7:$F$306,$X96)))</f>
        <v/>
      </c>
      <c r="I96" s="176">
        <f>IF($X96="","",IF(INDEX('HW Sets'!$G$7:$G$306,$X96)="","",INDEX('HW Sets'!$G$7:$G$306,$X96)))</f>
        <v/>
      </c>
      <c r="J96" s="176">
        <f>IF($X96="","",IF(INDEX('HW Sets'!$H$7:$H$306,$X96)="","",INDEX('HW Sets'!$H$7:$H$306,$X96)))</f>
        <v/>
      </c>
      <c r="K96" s="175">
        <f t="array" ref="K96">IF($X96="","",N($E96)*SUM(IF(tk_HWSET&amp;""=$Y96,IFERROR(--tk_QTY,0),0)))</f>
        <v/>
      </c>
      <c r="L96" s="176">
        <f>IF($X96="","",IF(INDEX('HW Sets'!$I$7:$I$306,$X96)="","",INDEX('HW Sets'!$I$7:$I$306,$X96)))</f>
        <v/>
      </c>
      <c r="N96" s="176">
        <f>IF($W96="","",INDEX($G$7:$G$306,$W96)&amp;"")</f>
        <v/>
      </c>
      <c r="O96" s="176">
        <f>IF($W96="","",INDEX($H$7:$H$306,$W96)&amp;"")</f>
        <v/>
      </c>
      <c r="P96" s="176">
        <f>IF($W96="","",INDEX($I$7:$I$306,$W96)&amp;"")</f>
        <v/>
      </c>
      <c r="Q96" s="176">
        <f>IF($W96="","",INDEX($J$7:$J$306,$W96)&amp;"")</f>
        <v/>
      </c>
      <c r="R96" s="176">
        <f>IF($W96="","",INDEX($F$7:$F$306,$W96)&amp;"")</f>
        <v/>
      </c>
      <c r="S96" s="175">
        <f>IF($W96="","",SUMIF($U$7:$U$306,INDEX($U$7:$U$306,$W96),$K$7:$K$306))</f>
        <v/>
      </c>
      <c r="U96">
        <f>IF(OR($X96="",N($K96)=0),"",UPPER(TRIM($G96&amp;"|"&amp;$H96&amp;"|"&amp;$I96&amp;"|"&amp;$J96&amp;"|"&amp;$F96)))</f>
        <v/>
      </c>
      <c r="V96">
        <f>IF($U96="","",IF(COUNTIF($U$7:$U96,$U96)=1,MAX($V$6:$V95)+1,""))</f>
        <v/>
      </c>
      <c r="W96">
        <f>IFERROR(MATCH(90,$V$7:$V$306,0),"")</f>
        <v/>
      </c>
      <c r="X96">
        <f>IFERROR(MATCH(90,'HW Sets'!$S$7:$S$306,0),"")</f>
        <v/>
      </c>
      <c r="Y96">
        <f>IF($X96="","",INDEX('HW Sets'!$J$7:$J$306,$X96)&amp;"")</f>
        <v/>
      </c>
      <c r="Z96">
        <f>IF($Y96="","",IF(COUNTIF($Y$7:$Y96,$Y96)=1,1,""))</f>
        <v/>
      </c>
    </row>
    <row r="97">
      <c r="A97" s="175">
        <f>IF($Z97="","",$Y97)</f>
        <v/>
      </c>
      <c r="B97" s="176">
        <f>IF($Z97="","",IFERROR(INDEX('HW Sets'!$N$7:$N$306,MATCH($Y97,'HW Sets'!$M$7:$M$306,0)),""))</f>
        <v/>
      </c>
      <c r="C97" s="177">
        <f t="array" ref="C97">IF($Z97="","",_xlfn.TEXTJOIN(", ",TRUE,IF(tk_HWSET&amp;""=$Y97,tk_MARK,"")))</f>
        <v/>
      </c>
      <c r="D97" s="176">
        <f t="array" ref="D97">IF($Z97="","",SUM(IF(tk_HWSET&amp;""=$Y97,IFERROR(--tk_QTY,0),0)))</f>
        <v/>
      </c>
      <c r="E97" s="176">
        <f>IF($X97="","",IF(INDEX('HW Sets'!$C$7:$C$306,$X97)="","",INDEX('HW Sets'!$C$7:$C$306,$X97)))</f>
        <v/>
      </c>
      <c r="F97" s="176">
        <f>IF($X97="","",IF(INDEX('HW Sets'!$D$7:$D$306,$X97)="","",INDEX('HW Sets'!$D$7:$D$306,$X97)))</f>
        <v/>
      </c>
      <c r="G97" s="176">
        <f>IF($X97="","",IF(INDEX('HW Sets'!$E$7:$E$306,$X97)="","",INDEX('HW Sets'!$E$7:$E$306,$X97)))</f>
        <v/>
      </c>
      <c r="H97" s="176">
        <f>IF($X97="","",IF(INDEX('HW Sets'!$F$7:$F$306,$X97)="","",INDEX('HW Sets'!$F$7:$F$306,$X97)))</f>
        <v/>
      </c>
      <c r="I97" s="176">
        <f>IF($X97="","",IF(INDEX('HW Sets'!$G$7:$G$306,$X97)="","",INDEX('HW Sets'!$G$7:$G$306,$X97)))</f>
        <v/>
      </c>
      <c r="J97" s="176">
        <f>IF($X97="","",IF(INDEX('HW Sets'!$H$7:$H$306,$X97)="","",INDEX('HW Sets'!$H$7:$H$306,$X97)))</f>
        <v/>
      </c>
      <c r="K97" s="175">
        <f t="array" ref="K97">IF($X97="","",N($E97)*SUM(IF(tk_HWSET&amp;""=$Y97,IFERROR(--tk_QTY,0),0)))</f>
        <v/>
      </c>
      <c r="L97" s="176">
        <f>IF($X97="","",IF(INDEX('HW Sets'!$I$7:$I$306,$X97)="","",INDEX('HW Sets'!$I$7:$I$306,$X97)))</f>
        <v/>
      </c>
      <c r="N97" s="176">
        <f>IF($W97="","",INDEX($G$7:$G$306,$W97)&amp;"")</f>
        <v/>
      </c>
      <c r="O97" s="176">
        <f>IF($W97="","",INDEX($H$7:$H$306,$W97)&amp;"")</f>
        <v/>
      </c>
      <c r="P97" s="176">
        <f>IF($W97="","",INDEX($I$7:$I$306,$W97)&amp;"")</f>
        <v/>
      </c>
      <c r="Q97" s="176">
        <f>IF($W97="","",INDEX($J$7:$J$306,$W97)&amp;"")</f>
        <v/>
      </c>
      <c r="R97" s="176">
        <f>IF($W97="","",INDEX($F$7:$F$306,$W97)&amp;"")</f>
        <v/>
      </c>
      <c r="S97" s="175">
        <f>IF($W97="","",SUMIF($U$7:$U$306,INDEX($U$7:$U$306,$W97),$K$7:$K$306))</f>
        <v/>
      </c>
      <c r="U97">
        <f>IF(OR($X97="",N($K97)=0),"",UPPER(TRIM($G97&amp;"|"&amp;$H97&amp;"|"&amp;$I97&amp;"|"&amp;$J97&amp;"|"&amp;$F97)))</f>
        <v/>
      </c>
      <c r="V97">
        <f>IF($U97="","",IF(COUNTIF($U$7:$U97,$U97)=1,MAX($V$6:$V96)+1,""))</f>
        <v/>
      </c>
      <c r="W97">
        <f>IFERROR(MATCH(91,$V$7:$V$306,0),"")</f>
        <v/>
      </c>
      <c r="X97">
        <f>IFERROR(MATCH(91,'HW Sets'!$S$7:$S$306,0),"")</f>
        <v/>
      </c>
      <c r="Y97">
        <f>IF($X97="","",INDEX('HW Sets'!$J$7:$J$306,$X97)&amp;"")</f>
        <v/>
      </c>
      <c r="Z97">
        <f>IF($Y97="","",IF(COUNTIF($Y$7:$Y97,$Y97)=1,1,""))</f>
        <v/>
      </c>
    </row>
    <row r="98">
      <c r="A98" s="175">
        <f>IF($Z98="","",$Y98)</f>
        <v/>
      </c>
      <c r="B98" s="176">
        <f>IF($Z98="","",IFERROR(INDEX('HW Sets'!$N$7:$N$306,MATCH($Y98,'HW Sets'!$M$7:$M$306,0)),""))</f>
        <v/>
      </c>
      <c r="C98" s="177">
        <f t="array" ref="C98">IF($Z98="","",_xlfn.TEXTJOIN(", ",TRUE,IF(tk_HWSET&amp;""=$Y98,tk_MARK,"")))</f>
        <v/>
      </c>
      <c r="D98" s="176">
        <f t="array" ref="D98">IF($Z98="","",SUM(IF(tk_HWSET&amp;""=$Y98,IFERROR(--tk_QTY,0),0)))</f>
        <v/>
      </c>
      <c r="E98" s="176">
        <f>IF($X98="","",IF(INDEX('HW Sets'!$C$7:$C$306,$X98)="","",INDEX('HW Sets'!$C$7:$C$306,$X98)))</f>
        <v/>
      </c>
      <c r="F98" s="176">
        <f>IF($X98="","",IF(INDEX('HW Sets'!$D$7:$D$306,$X98)="","",INDEX('HW Sets'!$D$7:$D$306,$X98)))</f>
        <v/>
      </c>
      <c r="G98" s="176">
        <f>IF($X98="","",IF(INDEX('HW Sets'!$E$7:$E$306,$X98)="","",INDEX('HW Sets'!$E$7:$E$306,$X98)))</f>
        <v/>
      </c>
      <c r="H98" s="176">
        <f>IF($X98="","",IF(INDEX('HW Sets'!$F$7:$F$306,$X98)="","",INDEX('HW Sets'!$F$7:$F$306,$X98)))</f>
        <v/>
      </c>
      <c r="I98" s="176">
        <f>IF($X98="","",IF(INDEX('HW Sets'!$G$7:$G$306,$X98)="","",INDEX('HW Sets'!$G$7:$G$306,$X98)))</f>
        <v/>
      </c>
      <c r="J98" s="176">
        <f>IF($X98="","",IF(INDEX('HW Sets'!$H$7:$H$306,$X98)="","",INDEX('HW Sets'!$H$7:$H$306,$X98)))</f>
        <v/>
      </c>
      <c r="K98" s="175">
        <f t="array" ref="K98">IF($X98="","",N($E98)*SUM(IF(tk_HWSET&amp;""=$Y98,IFERROR(--tk_QTY,0),0)))</f>
        <v/>
      </c>
      <c r="L98" s="176">
        <f>IF($X98="","",IF(INDEX('HW Sets'!$I$7:$I$306,$X98)="","",INDEX('HW Sets'!$I$7:$I$306,$X98)))</f>
        <v/>
      </c>
      <c r="N98" s="176">
        <f>IF($W98="","",INDEX($G$7:$G$306,$W98)&amp;"")</f>
        <v/>
      </c>
      <c r="O98" s="176">
        <f>IF($W98="","",INDEX($H$7:$H$306,$W98)&amp;"")</f>
        <v/>
      </c>
      <c r="P98" s="176">
        <f>IF($W98="","",INDEX($I$7:$I$306,$W98)&amp;"")</f>
        <v/>
      </c>
      <c r="Q98" s="176">
        <f>IF($W98="","",INDEX($J$7:$J$306,$W98)&amp;"")</f>
        <v/>
      </c>
      <c r="R98" s="176">
        <f>IF($W98="","",INDEX($F$7:$F$306,$W98)&amp;"")</f>
        <v/>
      </c>
      <c r="S98" s="175">
        <f>IF($W98="","",SUMIF($U$7:$U$306,INDEX($U$7:$U$306,$W98),$K$7:$K$306))</f>
        <v/>
      </c>
      <c r="U98">
        <f>IF(OR($X98="",N($K98)=0),"",UPPER(TRIM($G98&amp;"|"&amp;$H98&amp;"|"&amp;$I98&amp;"|"&amp;$J98&amp;"|"&amp;$F98)))</f>
        <v/>
      </c>
      <c r="V98">
        <f>IF($U98="","",IF(COUNTIF($U$7:$U98,$U98)=1,MAX($V$6:$V97)+1,""))</f>
        <v/>
      </c>
      <c r="W98">
        <f>IFERROR(MATCH(92,$V$7:$V$306,0),"")</f>
        <v/>
      </c>
      <c r="X98">
        <f>IFERROR(MATCH(92,'HW Sets'!$S$7:$S$306,0),"")</f>
        <v/>
      </c>
      <c r="Y98">
        <f>IF($X98="","",INDEX('HW Sets'!$J$7:$J$306,$X98)&amp;"")</f>
        <v/>
      </c>
      <c r="Z98">
        <f>IF($Y98="","",IF(COUNTIF($Y$7:$Y98,$Y98)=1,1,""))</f>
        <v/>
      </c>
    </row>
    <row r="99">
      <c r="A99" s="175">
        <f>IF($Z99="","",$Y99)</f>
        <v/>
      </c>
      <c r="B99" s="176">
        <f>IF($Z99="","",IFERROR(INDEX('HW Sets'!$N$7:$N$306,MATCH($Y99,'HW Sets'!$M$7:$M$306,0)),""))</f>
        <v/>
      </c>
      <c r="C99" s="177">
        <f t="array" ref="C99">IF($Z99="","",_xlfn.TEXTJOIN(", ",TRUE,IF(tk_HWSET&amp;""=$Y99,tk_MARK,"")))</f>
        <v/>
      </c>
      <c r="D99" s="176">
        <f t="array" ref="D99">IF($Z99="","",SUM(IF(tk_HWSET&amp;""=$Y99,IFERROR(--tk_QTY,0),0)))</f>
        <v/>
      </c>
      <c r="E99" s="176">
        <f>IF($X99="","",IF(INDEX('HW Sets'!$C$7:$C$306,$X99)="","",INDEX('HW Sets'!$C$7:$C$306,$X99)))</f>
        <v/>
      </c>
      <c r="F99" s="176">
        <f>IF($X99="","",IF(INDEX('HW Sets'!$D$7:$D$306,$X99)="","",INDEX('HW Sets'!$D$7:$D$306,$X99)))</f>
        <v/>
      </c>
      <c r="G99" s="176">
        <f>IF($X99="","",IF(INDEX('HW Sets'!$E$7:$E$306,$X99)="","",INDEX('HW Sets'!$E$7:$E$306,$X99)))</f>
        <v/>
      </c>
      <c r="H99" s="176">
        <f>IF($X99="","",IF(INDEX('HW Sets'!$F$7:$F$306,$X99)="","",INDEX('HW Sets'!$F$7:$F$306,$X99)))</f>
        <v/>
      </c>
      <c r="I99" s="176">
        <f>IF($X99="","",IF(INDEX('HW Sets'!$G$7:$G$306,$X99)="","",INDEX('HW Sets'!$G$7:$G$306,$X99)))</f>
        <v/>
      </c>
      <c r="J99" s="176">
        <f>IF($X99="","",IF(INDEX('HW Sets'!$H$7:$H$306,$X99)="","",INDEX('HW Sets'!$H$7:$H$306,$X99)))</f>
        <v/>
      </c>
      <c r="K99" s="175">
        <f t="array" ref="K99">IF($X99="","",N($E99)*SUM(IF(tk_HWSET&amp;""=$Y99,IFERROR(--tk_QTY,0),0)))</f>
        <v/>
      </c>
      <c r="L99" s="176">
        <f>IF($X99="","",IF(INDEX('HW Sets'!$I$7:$I$306,$X99)="","",INDEX('HW Sets'!$I$7:$I$306,$X99)))</f>
        <v/>
      </c>
      <c r="N99" s="176">
        <f>IF($W99="","",INDEX($G$7:$G$306,$W99)&amp;"")</f>
        <v/>
      </c>
      <c r="O99" s="176">
        <f>IF($W99="","",INDEX($H$7:$H$306,$W99)&amp;"")</f>
        <v/>
      </c>
      <c r="P99" s="176">
        <f>IF($W99="","",INDEX($I$7:$I$306,$W99)&amp;"")</f>
        <v/>
      </c>
      <c r="Q99" s="176">
        <f>IF($W99="","",INDEX($J$7:$J$306,$W99)&amp;"")</f>
        <v/>
      </c>
      <c r="R99" s="176">
        <f>IF($W99="","",INDEX($F$7:$F$306,$W99)&amp;"")</f>
        <v/>
      </c>
      <c r="S99" s="175">
        <f>IF($W99="","",SUMIF($U$7:$U$306,INDEX($U$7:$U$306,$W99),$K$7:$K$306))</f>
        <v/>
      </c>
      <c r="U99">
        <f>IF(OR($X99="",N($K99)=0),"",UPPER(TRIM($G99&amp;"|"&amp;$H99&amp;"|"&amp;$I99&amp;"|"&amp;$J99&amp;"|"&amp;$F99)))</f>
        <v/>
      </c>
      <c r="V99">
        <f>IF($U99="","",IF(COUNTIF($U$7:$U99,$U99)=1,MAX($V$6:$V98)+1,""))</f>
        <v/>
      </c>
      <c r="W99">
        <f>IFERROR(MATCH(93,$V$7:$V$306,0),"")</f>
        <v/>
      </c>
      <c r="X99">
        <f>IFERROR(MATCH(93,'HW Sets'!$S$7:$S$306,0),"")</f>
        <v/>
      </c>
      <c r="Y99">
        <f>IF($X99="","",INDEX('HW Sets'!$J$7:$J$306,$X99)&amp;"")</f>
        <v/>
      </c>
      <c r="Z99">
        <f>IF($Y99="","",IF(COUNTIF($Y$7:$Y99,$Y99)=1,1,""))</f>
        <v/>
      </c>
    </row>
    <row r="100">
      <c r="A100" s="175">
        <f>IF($Z100="","",$Y100)</f>
        <v/>
      </c>
      <c r="B100" s="176">
        <f>IF($Z100="","",IFERROR(INDEX('HW Sets'!$N$7:$N$306,MATCH($Y100,'HW Sets'!$M$7:$M$306,0)),""))</f>
        <v/>
      </c>
      <c r="C100" s="177">
        <f t="array" ref="C100">IF($Z100="","",_xlfn.TEXTJOIN(", ",TRUE,IF(tk_HWSET&amp;""=$Y100,tk_MARK,"")))</f>
        <v/>
      </c>
      <c r="D100" s="176">
        <f t="array" ref="D100">IF($Z100="","",SUM(IF(tk_HWSET&amp;""=$Y100,IFERROR(--tk_QTY,0),0)))</f>
        <v/>
      </c>
      <c r="E100" s="176">
        <f>IF($X100="","",IF(INDEX('HW Sets'!$C$7:$C$306,$X100)="","",INDEX('HW Sets'!$C$7:$C$306,$X100)))</f>
        <v/>
      </c>
      <c r="F100" s="176">
        <f>IF($X100="","",IF(INDEX('HW Sets'!$D$7:$D$306,$X100)="","",INDEX('HW Sets'!$D$7:$D$306,$X100)))</f>
        <v/>
      </c>
      <c r="G100" s="176">
        <f>IF($X100="","",IF(INDEX('HW Sets'!$E$7:$E$306,$X100)="","",INDEX('HW Sets'!$E$7:$E$306,$X100)))</f>
        <v/>
      </c>
      <c r="H100" s="176">
        <f>IF($X100="","",IF(INDEX('HW Sets'!$F$7:$F$306,$X100)="","",INDEX('HW Sets'!$F$7:$F$306,$X100)))</f>
        <v/>
      </c>
      <c r="I100" s="176">
        <f>IF($X100="","",IF(INDEX('HW Sets'!$G$7:$G$306,$X100)="","",INDEX('HW Sets'!$G$7:$G$306,$X100)))</f>
        <v/>
      </c>
      <c r="J100" s="176">
        <f>IF($X100="","",IF(INDEX('HW Sets'!$H$7:$H$306,$X100)="","",INDEX('HW Sets'!$H$7:$H$306,$X100)))</f>
        <v/>
      </c>
      <c r="K100" s="175">
        <f t="array" ref="K100">IF($X100="","",N($E100)*SUM(IF(tk_HWSET&amp;""=$Y100,IFERROR(--tk_QTY,0),0)))</f>
        <v/>
      </c>
      <c r="L100" s="176">
        <f>IF($X100="","",IF(INDEX('HW Sets'!$I$7:$I$306,$X100)="","",INDEX('HW Sets'!$I$7:$I$306,$X100)))</f>
        <v/>
      </c>
      <c r="N100" s="176">
        <f>IF($W100="","",INDEX($G$7:$G$306,$W100)&amp;"")</f>
        <v/>
      </c>
      <c r="O100" s="176">
        <f>IF($W100="","",INDEX($H$7:$H$306,$W100)&amp;"")</f>
        <v/>
      </c>
      <c r="P100" s="176">
        <f>IF($W100="","",INDEX($I$7:$I$306,$W100)&amp;"")</f>
        <v/>
      </c>
      <c r="Q100" s="176">
        <f>IF($W100="","",INDEX($J$7:$J$306,$W100)&amp;"")</f>
        <v/>
      </c>
      <c r="R100" s="176">
        <f>IF($W100="","",INDEX($F$7:$F$306,$W100)&amp;"")</f>
        <v/>
      </c>
      <c r="S100" s="175">
        <f>IF($W100="","",SUMIF($U$7:$U$306,INDEX($U$7:$U$306,$W100),$K$7:$K$306))</f>
        <v/>
      </c>
      <c r="U100">
        <f>IF(OR($X100="",N($K100)=0),"",UPPER(TRIM($G100&amp;"|"&amp;$H100&amp;"|"&amp;$I100&amp;"|"&amp;$J100&amp;"|"&amp;$F100)))</f>
        <v/>
      </c>
      <c r="V100">
        <f>IF($U100="","",IF(COUNTIF($U$7:$U100,$U100)=1,MAX($V$6:$V99)+1,""))</f>
        <v/>
      </c>
      <c r="W100">
        <f>IFERROR(MATCH(94,$V$7:$V$306,0),"")</f>
        <v/>
      </c>
      <c r="X100">
        <f>IFERROR(MATCH(94,'HW Sets'!$S$7:$S$306,0),"")</f>
        <v/>
      </c>
      <c r="Y100">
        <f>IF($X100="","",INDEX('HW Sets'!$J$7:$J$306,$X100)&amp;"")</f>
        <v/>
      </c>
      <c r="Z100">
        <f>IF($Y100="","",IF(COUNTIF($Y$7:$Y100,$Y100)=1,1,""))</f>
        <v/>
      </c>
    </row>
    <row r="101">
      <c r="A101" s="175">
        <f>IF($Z101="","",$Y101)</f>
        <v/>
      </c>
      <c r="B101" s="176">
        <f>IF($Z101="","",IFERROR(INDEX('HW Sets'!$N$7:$N$306,MATCH($Y101,'HW Sets'!$M$7:$M$306,0)),""))</f>
        <v/>
      </c>
      <c r="C101" s="177">
        <f t="array" ref="C101">IF($Z101="","",_xlfn.TEXTJOIN(", ",TRUE,IF(tk_HWSET&amp;""=$Y101,tk_MARK,"")))</f>
        <v/>
      </c>
      <c r="D101" s="176">
        <f t="array" ref="D101">IF($Z101="","",SUM(IF(tk_HWSET&amp;""=$Y101,IFERROR(--tk_QTY,0),0)))</f>
        <v/>
      </c>
      <c r="E101" s="176">
        <f>IF($X101="","",IF(INDEX('HW Sets'!$C$7:$C$306,$X101)="","",INDEX('HW Sets'!$C$7:$C$306,$X101)))</f>
        <v/>
      </c>
      <c r="F101" s="176">
        <f>IF($X101="","",IF(INDEX('HW Sets'!$D$7:$D$306,$X101)="","",INDEX('HW Sets'!$D$7:$D$306,$X101)))</f>
        <v/>
      </c>
      <c r="G101" s="176">
        <f>IF($X101="","",IF(INDEX('HW Sets'!$E$7:$E$306,$X101)="","",INDEX('HW Sets'!$E$7:$E$306,$X101)))</f>
        <v/>
      </c>
      <c r="H101" s="176">
        <f>IF($X101="","",IF(INDEX('HW Sets'!$F$7:$F$306,$X101)="","",INDEX('HW Sets'!$F$7:$F$306,$X101)))</f>
        <v/>
      </c>
      <c r="I101" s="176">
        <f>IF($X101="","",IF(INDEX('HW Sets'!$G$7:$G$306,$X101)="","",INDEX('HW Sets'!$G$7:$G$306,$X101)))</f>
        <v/>
      </c>
      <c r="J101" s="176">
        <f>IF($X101="","",IF(INDEX('HW Sets'!$H$7:$H$306,$X101)="","",INDEX('HW Sets'!$H$7:$H$306,$X101)))</f>
        <v/>
      </c>
      <c r="K101" s="175">
        <f t="array" ref="K101">IF($X101="","",N($E101)*SUM(IF(tk_HWSET&amp;""=$Y101,IFERROR(--tk_QTY,0),0)))</f>
        <v/>
      </c>
      <c r="L101" s="176">
        <f>IF($X101="","",IF(INDEX('HW Sets'!$I$7:$I$306,$X101)="","",INDEX('HW Sets'!$I$7:$I$306,$X101)))</f>
        <v/>
      </c>
      <c r="N101" s="176">
        <f>IF($W101="","",INDEX($G$7:$G$306,$W101)&amp;"")</f>
        <v/>
      </c>
      <c r="O101" s="176">
        <f>IF($W101="","",INDEX($H$7:$H$306,$W101)&amp;"")</f>
        <v/>
      </c>
      <c r="P101" s="176">
        <f>IF($W101="","",INDEX($I$7:$I$306,$W101)&amp;"")</f>
        <v/>
      </c>
      <c r="Q101" s="176">
        <f>IF($W101="","",INDEX($J$7:$J$306,$W101)&amp;"")</f>
        <v/>
      </c>
      <c r="R101" s="176">
        <f>IF($W101="","",INDEX($F$7:$F$306,$W101)&amp;"")</f>
        <v/>
      </c>
      <c r="S101" s="175">
        <f>IF($W101="","",SUMIF($U$7:$U$306,INDEX($U$7:$U$306,$W101),$K$7:$K$306))</f>
        <v/>
      </c>
      <c r="U101">
        <f>IF(OR($X101="",N($K101)=0),"",UPPER(TRIM($G101&amp;"|"&amp;$H101&amp;"|"&amp;$I101&amp;"|"&amp;$J101&amp;"|"&amp;$F101)))</f>
        <v/>
      </c>
      <c r="V101">
        <f>IF($U101="","",IF(COUNTIF($U$7:$U101,$U101)=1,MAX($V$6:$V100)+1,""))</f>
        <v/>
      </c>
      <c r="W101">
        <f>IFERROR(MATCH(95,$V$7:$V$306,0),"")</f>
        <v/>
      </c>
      <c r="X101">
        <f>IFERROR(MATCH(95,'HW Sets'!$S$7:$S$306,0),"")</f>
        <v/>
      </c>
      <c r="Y101">
        <f>IF($X101="","",INDEX('HW Sets'!$J$7:$J$306,$X101)&amp;"")</f>
        <v/>
      </c>
      <c r="Z101">
        <f>IF($Y101="","",IF(COUNTIF($Y$7:$Y101,$Y101)=1,1,""))</f>
        <v/>
      </c>
    </row>
    <row r="102">
      <c r="A102" s="175">
        <f>IF($Z102="","",$Y102)</f>
        <v/>
      </c>
      <c r="B102" s="176">
        <f>IF($Z102="","",IFERROR(INDEX('HW Sets'!$N$7:$N$306,MATCH($Y102,'HW Sets'!$M$7:$M$306,0)),""))</f>
        <v/>
      </c>
      <c r="C102" s="177">
        <f t="array" ref="C102">IF($Z102="","",_xlfn.TEXTJOIN(", ",TRUE,IF(tk_HWSET&amp;""=$Y102,tk_MARK,"")))</f>
        <v/>
      </c>
      <c r="D102" s="176">
        <f t="array" ref="D102">IF($Z102="","",SUM(IF(tk_HWSET&amp;""=$Y102,IFERROR(--tk_QTY,0),0)))</f>
        <v/>
      </c>
      <c r="E102" s="176">
        <f>IF($X102="","",IF(INDEX('HW Sets'!$C$7:$C$306,$X102)="","",INDEX('HW Sets'!$C$7:$C$306,$X102)))</f>
        <v/>
      </c>
      <c r="F102" s="176">
        <f>IF($X102="","",IF(INDEX('HW Sets'!$D$7:$D$306,$X102)="","",INDEX('HW Sets'!$D$7:$D$306,$X102)))</f>
        <v/>
      </c>
      <c r="G102" s="176">
        <f>IF($X102="","",IF(INDEX('HW Sets'!$E$7:$E$306,$X102)="","",INDEX('HW Sets'!$E$7:$E$306,$X102)))</f>
        <v/>
      </c>
      <c r="H102" s="176">
        <f>IF($X102="","",IF(INDEX('HW Sets'!$F$7:$F$306,$X102)="","",INDEX('HW Sets'!$F$7:$F$306,$X102)))</f>
        <v/>
      </c>
      <c r="I102" s="176">
        <f>IF($X102="","",IF(INDEX('HW Sets'!$G$7:$G$306,$X102)="","",INDEX('HW Sets'!$G$7:$G$306,$X102)))</f>
        <v/>
      </c>
      <c r="J102" s="176">
        <f>IF($X102="","",IF(INDEX('HW Sets'!$H$7:$H$306,$X102)="","",INDEX('HW Sets'!$H$7:$H$306,$X102)))</f>
        <v/>
      </c>
      <c r="K102" s="175">
        <f t="array" ref="K102">IF($X102="","",N($E102)*SUM(IF(tk_HWSET&amp;""=$Y102,IFERROR(--tk_QTY,0),0)))</f>
        <v/>
      </c>
      <c r="L102" s="176">
        <f>IF($X102="","",IF(INDEX('HW Sets'!$I$7:$I$306,$X102)="","",INDEX('HW Sets'!$I$7:$I$306,$X102)))</f>
        <v/>
      </c>
      <c r="N102" s="176">
        <f>IF($W102="","",INDEX($G$7:$G$306,$W102)&amp;"")</f>
        <v/>
      </c>
      <c r="O102" s="176">
        <f>IF($W102="","",INDEX($H$7:$H$306,$W102)&amp;"")</f>
        <v/>
      </c>
      <c r="P102" s="176">
        <f>IF($W102="","",INDEX($I$7:$I$306,$W102)&amp;"")</f>
        <v/>
      </c>
      <c r="Q102" s="176">
        <f>IF($W102="","",INDEX($J$7:$J$306,$W102)&amp;"")</f>
        <v/>
      </c>
      <c r="R102" s="176">
        <f>IF($W102="","",INDEX($F$7:$F$306,$W102)&amp;"")</f>
        <v/>
      </c>
      <c r="S102" s="175">
        <f>IF($W102="","",SUMIF($U$7:$U$306,INDEX($U$7:$U$306,$W102),$K$7:$K$306))</f>
        <v/>
      </c>
      <c r="U102">
        <f>IF(OR($X102="",N($K102)=0),"",UPPER(TRIM($G102&amp;"|"&amp;$H102&amp;"|"&amp;$I102&amp;"|"&amp;$J102&amp;"|"&amp;$F102)))</f>
        <v/>
      </c>
      <c r="V102">
        <f>IF($U102="","",IF(COUNTIF($U$7:$U102,$U102)=1,MAX($V$6:$V101)+1,""))</f>
        <v/>
      </c>
      <c r="W102">
        <f>IFERROR(MATCH(96,$V$7:$V$306,0),"")</f>
        <v/>
      </c>
      <c r="X102">
        <f>IFERROR(MATCH(96,'HW Sets'!$S$7:$S$306,0),"")</f>
        <v/>
      </c>
      <c r="Y102">
        <f>IF($X102="","",INDEX('HW Sets'!$J$7:$J$306,$X102)&amp;"")</f>
        <v/>
      </c>
      <c r="Z102">
        <f>IF($Y102="","",IF(COUNTIF($Y$7:$Y102,$Y102)=1,1,""))</f>
        <v/>
      </c>
    </row>
    <row r="103">
      <c r="A103" s="175">
        <f>IF($Z103="","",$Y103)</f>
        <v/>
      </c>
      <c r="B103" s="176">
        <f>IF($Z103="","",IFERROR(INDEX('HW Sets'!$N$7:$N$306,MATCH($Y103,'HW Sets'!$M$7:$M$306,0)),""))</f>
        <v/>
      </c>
      <c r="C103" s="177">
        <f t="array" ref="C103">IF($Z103="","",_xlfn.TEXTJOIN(", ",TRUE,IF(tk_HWSET&amp;""=$Y103,tk_MARK,"")))</f>
        <v/>
      </c>
      <c r="D103" s="176">
        <f t="array" ref="D103">IF($Z103="","",SUM(IF(tk_HWSET&amp;""=$Y103,IFERROR(--tk_QTY,0),0)))</f>
        <v/>
      </c>
      <c r="E103" s="176">
        <f>IF($X103="","",IF(INDEX('HW Sets'!$C$7:$C$306,$X103)="","",INDEX('HW Sets'!$C$7:$C$306,$X103)))</f>
        <v/>
      </c>
      <c r="F103" s="176">
        <f>IF($X103="","",IF(INDEX('HW Sets'!$D$7:$D$306,$X103)="","",INDEX('HW Sets'!$D$7:$D$306,$X103)))</f>
        <v/>
      </c>
      <c r="G103" s="176">
        <f>IF($X103="","",IF(INDEX('HW Sets'!$E$7:$E$306,$X103)="","",INDEX('HW Sets'!$E$7:$E$306,$X103)))</f>
        <v/>
      </c>
      <c r="H103" s="176">
        <f>IF($X103="","",IF(INDEX('HW Sets'!$F$7:$F$306,$X103)="","",INDEX('HW Sets'!$F$7:$F$306,$X103)))</f>
        <v/>
      </c>
      <c r="I103" s="176">
        <f>IF($X103="","",IF(INDEX('HW Sets'!$G$7:$G$306,$X103)="","",INDEX('HW Sets'!$G$7:$G$306,$X103)))</f>
        <v/>
      </c>
      <c r="J103" s="176">
        <f>IF($X103="","",IF(INDEX('HW Sets'!$H$7:$H$306,$X103)="","",INDEX('HW Sets'!$H$7:$H$306,$X103)))</f>
        <v/>
      </c>
      <c r="K103" s="175">
        <f t="array" ref="K103">IF($X103="","",N($E103)*SUM(IF(tk_HWSET&amp;""=$Y103,IFERROR(--tk_QTY,0),0)))</f>
        <v/>
      </c>
      <c r="L103" s="176">
        <f>IF($X103="","",IF(INDEX('HW Sets'!$I$7:$I$306,$X103)="","",INDEX('HW Sets'!$I$7:$I$306,$X103)))</f>
        <v/>
      </c>
      <c r="N103" s="176">
        <f>IF($W103="","",INDEX($G$7:$G$306,$W103)&amp;"")</f>
        <v/>
      </c>
      <c r="O103" s="176">
        <f>IF($W103="","",INDEX($H$7:$H$306,$W103)&amp;"")</f>
        <v/>
      </c>
      <c r="P103" s="176">
        <f>IF($W103="","",INDEX($I$7:$I$306,$W103)&amp;"")</f>
        <v/>
      </c>
      <c r="Q103" s="176">
        <f>IF($W103="","",INDEX($J$7:$J$306,$W103)&amp;"")</f>
        <v/>
      </c>
      <c r="R103" s="176">
        <f>IF($W103="","",INDEX($F$7:$F$306,$W103)&amp;"")</f>
        <v/>
      </c>
      <c r="S103" s="175">
        <f>IF($W103="","",SUMIF($U$7:$U$306,INDEX($U$7:$U$306,$W103),$K$7:$K$306))</f>
        <v/>
      </c>
      <c r="U103">
        <f>IF(OR($X103="",N($K103)=0),"",UPPER(TRIM($G103&amp;"|"&amp;$H103&amp;"|"&amp;$I103&amp;"|"&amp;$J103&amp;"|"&amp;$F103)))</f>
        <v/>
      </c>
      <c r="V103">
        <f>IF($U103="","",IF(COUNTIF($U$7:$U103,$U103)=1,MAX($V$6:$V102)+1,""))</f>
        <v/>
      </c>
      <c r="W103">
        <f>IFERROR(MATCH(97,$V$7:$V$306,0),"")</f>
        <v/>
      </c>
      <c r="X103">
        <f>IFERROR(MATCH(97,'HW Sets'!$S$7:$S$306,0),"")</f>
        <v/>
      </c>
      <c r="Y103">
        <f>IF($X103="","",INDEX('HW Sets'!$J$7:$J$306,$X103)&amp;"")</f>
        <v/>
      </c>
      <c r="Z103">
        <f>IF($Y103="","",IF(COUNTIF($Y$7:$Y103,$Y103)=1,1,""))</f>
        <v/>
      </c>
    </row>
    <row r="104">
      <c r="A104" s="175">
        <f>IF($Z104="","",$Y104)</f>
        <v/>
      </c>
      <c r="B104" s="176">
        <f>IF($Z104="","",IFERROR(INDEX('HW Sets'!$N$7:$N$306,MATCH($Y104,'HW Sets'!$M$7:$M$306,0)),""))</f>
        <v/>
      </c>
      <c r="C104" s="177">
        <f t="array" ref="C104">IF($Z104="","",_xlfn.TEXTJOIN(", ",TRUE,IF(tk_HWSET&amp;""=$Y104,tk_MARK,"")))</f>
        <v/>
      </c>
      <c r="D104" s="176">
        <f t="array" ref="D104">IF($Z104="","",SUM(IF(tk_HWSET&amp;""=$Y104,IFERROR(--tk_QTY,0),0)))</f>
        <v/>
      </c>
      <c r="E104" s="176">
        <f>IF($X104="","",IF(INDEX('HW Sets'!$C$7:$C$306,$X104)="","",INDEX('HW Sets'!$C$7:$C$306,$X104)))</f>
        <v/>
      </c>
      <c r="F104" s="176">
        <f>IF($X104="","",IF(INDEX('HW Sets'!$D$7:$D$306,$X104)="","",INDEX('HW Sets'!$D$7:$D$306,$X104)))</f>
        <v/>
      </c>
      <c r="G104" s="176">
        <f>IF($X104="","",IF(INDEX('HW Sets'!$E$7:$E$306,$X104)="","",INDEX('HW Sets'!$E$7:$E$306,$X104)))</f>
        <v/>
      </c>
      <c r="H104" s="176">
        <f>IF($X104="","",IF(INDEX('HW Sets'!$F$7:$F$306,$X104)="","",INDEX('HW Sets'!$F$7:$F$306,$X104)))</f>
        <v/>
      </c>
      <c r="I104" s="176">
        <f>IF($X104="","",IF(INDEX('HW Sets'!$G$7:$G$306,$X104)="","",INDEX('HW Sets'!$G$7:$G$306,$X104)))</f>
        <v/>
      </c>
      <c r="J104" s="176">
        <f>IF($X104="","",IF(INDEX('HW Sets'!$H$7:$H$306,$X104)="","",INDEX('HW Sets'!$H$7:$H$306,$X104)))</f>
        <v/>
      </c>
      <c r="K104" s="175">
        <f t="array" ref="K104">IF($X104="","",N($E104)*SUM(IF(tk_HWSET&amp;""=$Y104,IFERROR(--tk_QTY,0),0)))</f>
        <v/>
      </c>
      <c r="L104" s="176">
        <f>IF($X104="","",IF(INDEX('HW Sets'!$I$7:$I$306,$X104)="","",INDEX('HW Sets'!$I$7:$I$306,$X104)))</f>
        <v/>
      </c>
      <c r="N104" s="176">
        <f>IF($W104="","",INDEX($G$7:$G$306,$W104)&amp;"")</f>
        <v/>
      </c>
      <c r="O104" s="176">
        <f>IF($W104="","",INDEX($H$7:$H$306,$W104)&amp;"")</f>
        <v/>
      </c>
      <c r="P104" s="176">
        <f>IF($W104="","",INDEX($I$7:$I$306,$W104)&amp;"")</f>
        <v/>
      </c>
      <c r="Q104" s="176">
        <f>IF($W104="","",INDEX($J$7:$J$306,$W104)&amp;"")</f>
        <v/>
      </c>
      <c r="R104" s="176">
        <f>IF($W104="","",INDEX($F$7:$F$306,$W104)&amp;"")</f>
        <v/>
      </c>
      <c r="S104" s="175">
        <f>IF($W104="","",SUMIF($U$7:$U$306,INDEX($U$7:$U$306,$W104),$K$7:$K$306))</f>
        <v/>
      </c>
      <c r="U104">
        <f>IF(OR($X104="",N($K104)=0),"",UPPER(TRIM($G104&amp;"|"&amp;$H104&amp;"|"&amp;$I104&amp;"|"&amp;$J104&amp;"|"&amp;$F104)))</f>
        <v/>
      </c>
      <c r="V104">
        <f>IF($U104="","",IF(COUNTIF($U$7:$U104,$U104)=1,MAX($V$6:$V103)+1,""))</f>
        <v/>
      </c>
      <c r="W104">
        <f>IFERROR(MATCH(98,$V$7:$V$306,0),"")</f>
        <v/>
      </c>
      <c r="X104">
        <f>IFERROR(MATCH(98,'HW Sets'!$S$7:$S$306,0),"")</f>
        <v/>
      </c>
      <c r="Y104">
        <f>IF($X104="","",INDEX('HW Sets'!$J$7:$J$306,$X104)&amp;"")</f>
        <v/>
      </c>
      <c r="Z104">
        <f>IF($Y104="","",IF(COUNTIF($Y$7:$Y104,$Y104)=1,1,""))</f>
        <v/>
      </c>
    </row>
    <row r="105">
      <c r="A105" s="175">
        <f>IF($Z105="","",$Y105)</f>
        <v/>
      </c>
      <c r="B105" s="176">
        <f>IF($Z105="","",IFERROR(INDEX('HW Sets'!$N$7:$N$306,MATCH($Y105,'HW Sets'!$M$7:$M$306,0)),""))</f>
        <v/>
      </c>
      <c r="C105" s="177">
        <f t="array" ref="C105">IF($Z105="","",_xlfn.TEXTJOIN(", ",TRUE,IF(tk_HWSET&amp;""=$Y105,tk_MARK,"")))</f>
        <v/>
      </c>
      <c r="D105" s="176">
        <f t="array" ref="D105">IF($Z105="","",SUM(IF(tk_HWSET&amp;""=$Y105,IFERROR(--tk_QTY,0),0)))</f>
        <v/>
      </c>
      <c r="E105" s="176">
        <f>IF($X105="","",IF(INDEX('HW Sets'!$C$7:$C$306,$X105)="","",INDEX('HW Sets'!$C$7:$C$306,$X105)))</f>
        <v/>
      </c>
      <c r="F105" s="176">
        <f>IF($X105="","",IF(INDEX('HW Sets'!$D$7:$D$306,$X105)="","",INDEX('HW Sets'!$D$7:$D$306,$X105)))</f>
        <v/>
      </c>
      <c r="G105" s="176">
        <f>IF($X105="","",IF(INDEX('HW Sets'!$E$7:$E$306,$X105)="","",INDEX('HW Sets'!$E$7:$E$306,$X105)))</f>
        <v/>
      </c>
      <c r="H105" s="176">
        <f>IF($X105="","",IF(INDEX('HW Sets'!$F$7:$F$306,$X105)="","",INDEX('HW Sets'!$F$7:$F$306,$X105)))</f>
        <v/>
      </c>
      <c r="I105" s="176">
        <f>IF($X105="","",IF(INDEX('HW Sets'!$G$7:$G$306,$X105)="","",INDEX('HW Sets'!$G$7:$G$306,$X105)))</f>
        <v/>
      </c>
      <c r="J105" s="176">
        <f>IF($X105="","",IF(INDEX('HW Sets'!$H$7:$H$306,$X105)="","",INDEX('HW Sets'!$H$7:$H$306,$X105)))</f>
        <v/>
      </c>
      <c r="K105" s="175">
        <f t="array" ref="K105">IF($X105="","",N($E105)*SUM(IF(tk_HWSET&amp;""=$Y105,IFERROR(--tk_QTY,0),0)))</f>
        <v/>
      </c>
      <c r="L105" s="176">
        <f>IF($X105="","",IF(INDEX('HW Sets'!$I$7:$I$306,$X105)="","",INDEX('HW Sets'!$I$7:$I$306,$X105)))</f>
        <v/>
      </c>
      <c r="N105" s="176">
        <f>IF($W105="","",INDEX($G$7:$G$306,$W105)&amp;"")</f>
        <v/>
      </c>
      <c r="O105" s="176">
        <f>IF($W105="","",INDEX($H$7:$H$306,$W105)&amp;"")</f>
        <v/>
      </c>
      <c r="P105" s="176">
        <f>IF($W105="","",INDEX($I$7:$I$306,$W105)&amp;"")</f>
        <v/>
      </c>
      <c r="Q105" s="176">
        <f>IF($W105="","",INDEX($J$7:$J$306,$W105)&amp;"")</f>
        <v/>
      </c>
      <c r="R105" s="176">
        <f>IF($W105="","",INDEX($F$7:$F$306,$W105)&amp;"")</f>
        <v/>
      </c>
      <c r="S105" s="175">
        <f>IF($W105="","",SUMIF($U$7:$U$306,INDEX($U$7:$U$306,$W105),$K$7:$K$306))</f>
        <v/>
      </c>
      <c r="U105">
        <f>IF(OR($X105="",N($K105)=0),"",UPPER(TRIM($G105&amp;"|"&amp;$H105&amp;"|"&amp;$I105&amp;"|"&amp;$J105&amp;"|"&amp;$F105)))</f>
        <v/>
      </c>
      <c r="V105">
        <f>IF($U105="","",IF(COUNTIF($U$7:$U105,$U105)=1,MAX($V$6:$V104)+1,""))</f>
        <v/>
      </c>
      <c r="W105">
        <f>IFERROR(MATCH(99,$V$7:$V$306,0),"")</f>
        <v/>
      </c>
      <c r="X105">
        <f>IFERROR(MATCH(99,'HW Sets'!$S$7:$S$306,0),"")</f>
        <v/>
      </c>
      <c r="Y105">
        <f>IF($X105="","",INDEX('HW Sets'!$J$7:$J$306,$X105)&amp;"")</f>
        <v/>
      </c>
      <c r="Z105">
        <f>IF($Y105="","",IF(COUNTIF($Y$7:$Y105,$Y105)=1,1,""))</f>
        <v/>
      </c>
    </row>
    <row r="106">
      <c r="A106" s="175">
        <f>IF($Z106="","",$Y106)</f>
        <v/>
      </c>
      <c r="B106" s="176">
        <f>IF($Z106="","",IFERROR(INDEX('HW Sets'!$N$7:$N$306,MATCH($Y106,'HW Sets'!$M$7:$M$306,0)),""))</f>
        <v/>
      </c>
      <c r="C106" s="177">
        <f t="array" ref="C106">IF($Z106="","",_xlfn.TEXTJOIN(", ",TRUE,IF(tk_HWSET&amp;""=$Y106,tk_MARK,"")))</f>
        <v/>
      </c>
      <c r="D106" s="176">
        <f t="array" ref="D106">IF($Z106="","",SUM(IF(tk_HWSET&amp;""=$Y106,IFERROR(--tk_QTY,0),0)))</f>
        <v/>
      </c>
      <c r="E106" s="176">
        <f>IF($X106="","",IF(INDEX('HW Sets'!$C$7:$C$306,$X106)="","",INDEX('HW Sets'!$C$7:$C$306,$X106)))</f>
        <v/>
      </c>
      <c r="F106" s="176">
        <f>IF($X106="","",IF(INDEX('HW Sets'!$D$7:$D$306,$X106)="","",INDEX('HW Sets'!$D$7:$D$306,$X106)))</f>
        <v/>
      </c>
      <c r="G106" s="176">
        <f>IF($X106="","",IF(INDEX('HW Sets'!$E$7:$E$306,$X106)="","",INDEX('HW Sets'!$E$7:$E$306,$X106)))</f>
        <v/>
      </c>
      <c r="H106" s="176">
        <f>IF($X106="","",IF(INDEX('HW Sets'!$F$7:$F$306,$X106)="","",INDEX('HW Sets'!$F$7:$F$306,$X106)))</f>
        <v/>
      </c>
      <c r="I106" s="176">
        <f>IF($X106="","",IF(INDEX('HW Sets'!$G$7:$G$306,$X106)="","",INDEX('HW Sets'!$G$7:$G$306,$X106)))</f>
        <v/>
      </c>
      <c r="J106" s="176">
        <f>IF($X106="","",IF(INDEX('HW Sets'!$H$7:$H$306,$X106)="","",INDEX('HW Sets'!$H$7:$H$306,$X106)))</f>
        <v/>
      </c>
      <c r="K106" s="175">
        <f t="array" ref="K106">IF($X106="","",N($E106)*SUM(IF(tk_HWSET&amp;""=$Y106,IFERROR(--tk_QTY,0),0)))</f>
        <v/>
      </c>
      <c r="L106" s="176">
        <f>IF($X106="","",IF(INDEX('HW Sets'!$I$7:$I$306,$X106)="","",INDEX('HW Sets'!$I$7:$I$306,$X106)))</f>
        <v/>
      </c>
      <c r="N106" s="176">
        <f>IF($W106="","",INDEX($G$7:$G$306,$W106)&amp;"")</f>
        <v/>
      </c>
      <c r="O106" s="176">
        <f>IF($W106="","",INDEX($H$7:$H$306,$W106)&amp;"")</f>
        <v/>
      </c>
      <c r="P106" s="176">
        <f>IF($W106="","",INDEX($I$7:$I$306,$W106)&amp;"")</f>
        <v/>
      </c>
      <c r="Q106" s="176">
        <f>IF($W106="","",INDEX($J$7:$J$306,$W106)&amp;"")</f>
        <v/>
      </c>
      <c r="R106" s="176">
        <f>IF($W106="","",INDEX($F$7:$F$306,$W106)&amp;"")</f>
        <v/>
      </c>
      <c r="S106" s="175">
        <f>IF($W106="","",SUMIF($U$7:$U$306,INDEX($U$7:$U$306,$W106),$K$7:$K$306))</f>
        <v/>
      </c>
      <c r="U106">
        <f>IF(OR($X106="",N($K106)=0),"",UPPER(TRIM($G106&amp;"|"&amp;$H106&amp;"|"&amp;$I106&amp;"|"&amp;$J106&amp;"|"&amp;$F106)))</f>
        <v/>
      </c>
      <c r="V106">
        <f>IF($U106="","",IF(COUNTIF($U$7:$U106,$U106)=1,MAX($V$6:$V105)+1,""))</f>
        <v/>
      </c>
      <c r="W106">
        <f>IFERROR(MATCH(100,$V$7:$V$306,0),"")</f>
        <v/>
      </c>
      <c r="X106">
        <f>IFERROR(MATCH(100,'HW Sets'!$S$7:$S$306,0),"")</f>
        <v/>
      </c>
      <c r="Y106">
        <f>IF($X106="","",INDEX('HW Sets'!$J$7:$J$306,$X106)&amp;"")</f>
        <v/>
      </c>
      <c r="Z106">
        <f>IF($Y106="","",IF(COUNTIF($Y$7:$Y106,$Y106)=1,1,""))</f>
        <v/>
      </c>
    </row>
    <row r="107">
      <c r="A107" s="175">
        <f>IF($Z107="","",$Y107)</f>
        <v/>
      </c>
      <c r="B107" s="176">
        <f>IF($Z107="","",IFERROR(INDEX('HW Sets'!$N$7:$N$306,MATCH($Y107,'HW Sets'!$M$7:$M$306,0)),""))</f>
        <v/>
      </c>
      <c r="C107" s="177">
        <f t="array" ref="C107">IF($Z107="","",_xlfn.TEXTJOIN(", ",TRUE,IF(tk_HWSET&amp;""=$Y107,tk_MARK,"")))</f>
        <v/>
      </c>
      <c r="D107" s="176">
        <f t="array" ref="D107">IF($Z107="","",SUM(IF(tk_HWSET&amp;""=$Y107,IFERROR(--tk_QTY,0),0)))</f>
        <v/>
      </c>
      <c r="E107" s="176">
        <f>IF($X107="","",IF(INDEX('HW Sets'!$C$7:$C$306,$X107)="","",INDEX('HW Sets'!$C$7:$C$306,$X107)))</f>
        <v/>
      </c>
      <c r="F107" s="176">
        <f>IF($X107="","",IF(INDEX('HW Sets'!$D$7:$D$306,$X107)="","",INDEX('HW Sets'!$D$7:$D$306,$X107)))</f>
        <v/>
      </c>
      <c r="G107" s="176">
        <f>IF($X107="","",IF(INDEX('HW Sets'!$E$7:$E$306,$X107)="","",INDEX('HW Sets'!$E$7:$E$306,$X107)))</f>
        <v/>
      </c>
      <c r="H107" s="176">
        <f>IF($X107="","",IF(INDEX('HW Sets'!$F$7:$F$306,$X107)="","",INDEX('HW Sets'!$F$7:$F$306,$X107)))</f>
        <v/>
      </c>
      <c r="I107" s="176">
        <f>IF($X107="","",IF(INDEX('HW Sets'!$G$7:$G$306,$X107)="","",INDEX('HW Sets'!$G$7:$G$306,$X107)))</f>
        <v/>
      </c>
      <c r="J107" s="176">
        <f>IF($X107="","",IF(INDEX('HW Sets'!$H$7:$H$306,$X107)="","",INDEX('HW Sets'!$H$7:$H$306,$X107)))</f>
        <v/>
      </c>
      <c r="K107" s="175">
        <f t="array" ref="K107">IF($X107="","",N($E107)*SUM(IF(tk_HWSET&amp;""=$Y107,IFERROR(--tk_QTY,0),0)))</f>
        <v/>
      </c>
      <c r="L107" s="176">
        <f>IF($X107="","",IF(INDEX('HW Sets'!$I$7:$I$306,$X107)="","",INDEX('HW Sets'!$I$7:$I$306,$X107)))</f>
        <v/>
      </c>
      <c r="N107" s="176">
        <f>IF($W107="","",INDEX($G$7:$G$306,$W107)&amp;"")</f>
        <v/>
      </c>
      <c r="O107" s="176">
        <f>IF($W107="","",INDEX($H$7:$H$306,$W107)&amp;"")</f>
        <v/>
      </c>
      <c r="P107" s="176">
        <f>IF($W107="","",INDEX($I$7:$I$306,$W107)&amp;"")</f>
        <v/>
      </c>
      <c r="Q107" s="176">
        <f>IF($W107="","",INDEX($J$7:$J$306,$W107)&amp;"")</f>
        <v/>
      </c>
      <c r="R107" s="176">
        <f>IF($W107="","",INDEX($F$7:$F$306,$W107)&amp;"")</f>
        <v/>
      </c>
      <c r="S107" s="175">
        <f>IF($W107="","",SUMIF($U$7:$U$306,INDEX($U$7:$U$306,$W107),$K$7:$K$306))</f>
        <v/>
      </c>
      <c r="U107">
        <f>IF(OR($X107="",N($K107)=0),"",UPPER(TRIM($G107&amp;"|"&amp;$H107&amp;"|"&amp;$I107&amp;"|"&amp;$J107&amp;"|"&amp;$F107)))</f>
        <v/>
      </c>
      <c r="V107">
        <f>IF($U107="","",IF(COUNTIF($U$7:$U107,$U107)=1,MAX($V$6:$V106)+1,""))</f>
        <v/>
      </c>
      <c r="W107">
        <f>IFERROR(MATCH(101,$V$7:$V$306,0),"")</f>
        <v/>
      </c>
      <c r="X107">
        <f>IFERROR(MATCH(101,'HW Sets'!$S$7:$S$306,0),"")</f>
        <v/>
      </c>
      <c r="Y107">
        <f>IF($X107="","",INDEX('HW Sets'!$J$7:$J$306,$X107)&amp;"")</f>
        <v/>
      </c>
      <c r="Z107">
        <f>IF($Y107="","",IF(COUNTIF($Y$7:$Y107,$Y107)=1,1,""))</f>
        <v/>
      </c>
    </row>
    <row r="108">
      <c r="A108" s="175">
        <f>IF($Z108="","",$Y108)</f>
        <v/>
      </c>
      <c r="B108" s="176">
        <f>IF($Z108="","",IFERROR(INDEX('HW Sets'!$N$7:$N$306,MATCH($Y108,'HW Sets'!$M$7:$M$306,0)),""))</f>
        <v/>
      </c>
      <c r="C108" s="177">
        <f t="array" ref="C108">IF($Z108="","",_xlfn.TEXTJOIN(", ",TRUE,IF(tk_HWSET&amp;""=$Y108,tk_MARK,"")))</f>
        <v/>
      </c>
      <c r="D108" s="176">
        <f t="array" ref="D108">IF($Z108="","",SUM(IF(tk_HWSET&amp;""=$Y108,IFERROR(--tk_QTY,0),0)))</f>
        <v/>
      </c>
      <c r="E108" s="176">
        <f>IF($X108="","",IF(INDEX('HW Sets'!$C$7:$C$306,$X108)="","",INDEX('HW Sets'!$C$7:$C$306,$X108)))</f>
        <v/>
      </c>
      <c r="F108" s="176">
        <f>IF($X108="","",IF(INDEX('HW Sets'!$D$7:$D$306,$X108)="","",INDEX('HW Sets'!$D$7:$D$306,$X108)))</f>
        <v/>
      </c>
      <c r="G108" s="176">
        <f>IF($X108="","",IF(INDEX('HW Sets'!$E$7:$E$306,$X108)="","",INDEX('HW Sets'!$E$7:$E$306,$X108)))</f>
        <v/>
      </c>
      <c r="H108" s="176">
        <f>IF($X108="","",IF(INDEX('HW Sets'!$F$7:$F$306,$X108)="","",INDEX('HW Sets'!$F$7:$F$306,$X108)))</f>
        <v/>
      </c>
      <c r="I108" s="176">
        <f>IF($X108="","",IF(INDEX('HW Sets'!$G$7:$G$306,$X108)="","",INDEX('HW Sets'!$G$7:$G$306,$X108)))</f>
        <v/>
      </c>
      <c r="J108" s="176">
        <f>IF($X108="","",IF(INDEX('HW Sets'!$H$7:$H$306,$X108)="","",INDEX('HW Sets'!$H$7:$H$306,$X108)))</f>
        <v/>
      </c>
      <c r="K108" s="175">
        <f t="array" ref="K108">IF($X108="","",N($E108)*SUM(IF(tk_HWSET&amp;""=$Y108,IFERROR(--tk_QTY,0),0)))</f>
        <v/>
      </c>
      <c r="L108" s="176">
        <f>IF($X108="","",IF(INDEX('HW Sets'!$I$7:$I$306,$X108)="","",INDEX('HW Sets'!$I$7:$I$306,$X108)))</f>
        <v/>
      </c>
      <c r="N108" s="176">
        <f>IF($W108="","",INDEX($G$7:$G$306,$W108)&amp;"")</f>
        <v/>
      </c>
      <c r="O108" s="176">
        <f>IF($W108="","",INDEX($H$7:$H$306,$W108)&amp;"")</f>
        <v/>
      </c>
      <c r="P108" s="176">
        <f>IF($W108="","",INDEX($I$7:$I$306,$W108)&amp;"")</f>
        <v/>
      </c>
      <c r="Q108" s="176">
        <f>IF($W108="","",INDEX($J$7:$J$306,$W108)&amp;"")</f>
        <v/>
      </c>
      <c r="R108" s="176">
        <f>IF($W108="","",INDEX($F$7:$F$306,$W108)&amp;"")</f>
        <v/>
      </c>
      <c r="S108" s="175">
        <f>IF($W108="","",SUMIF($U$7:$U$306,INDEX($U$7:$U$306,$W108),$K$7:$K$306))</f>
        <v/>
      </c>
      <c r="U108">
        <f>IF(OR($X108="",N($K108)=0),"",UPPER(TRIM($G108&amp;"|"&amp;$H108&amp;"|"&amp;$I108&amp;"|"&amp;$J108&amp;"|"&amp;$F108)))</f>
        <v/>
      </c>
      <c r="V108">
        <f>IF($U108="","",IF(COUNTIF($U$7:$U108,$U108)=1,MAX($V$6:$V107)+1,""))</f>
        <v/>
      </c>
      <c r="W108">
        <f>IFERROR(MATCH(102,$V$7:$V$306,0),"")</f>
        <v/>
      </c>
      <c r="X108">
        <f>IFERROR(MATCH(102,'HW Sets'!$S$7:$S$306,0),"")</f>
        <v/>
      </c>
      <c r="Y108">
        <f>IF($X108="","",INDEX('HW Sets'!$J$7:$J$306,$X108)&amp;"")</f>
        <v/>
      </c>
      <c r="Z108">
        <f>IF($Y108="","",IF(COUNTIF($Y$7:$Y108,$Y108)=1,1,""))</f>
        <v/>
      </c>
    </row>
    <row r="109">
      <c r="A109" s="175">
        <f>IF($Z109="","",$Y109)</f>
        <v/>
      </c>
      <c r="B109" s="176">
        <f>IF($Z109="","",IFERROR(INDEX('HW Sets'!$N$7:$N$306,MATCH($Y109,'HW Sets'!$M$7:$M$306,0)),""))</f>
        <v/>
      </c>
      <c r="C109" s="177">
        <f t="array" ref="C109">IF($Z109="","",_xlfn.TEXTJOIN(", ",TRUE,IF(tk_HWSET&amp;""=$Y109,tk_MARK,"")))</f>
        <v/>
      </c>
      <c r="D109" s="176">
        <f t="array" ref="D109">IF($Z109="","",SUM(IF(tk_HWSET&amp;""=$Y109,IFERROR(--tk_QTY,0),0)))</f>
        <v/>
      </c>
      <c r="E109" s="176">
        <f>IF($X109="","",IF(INDEX('HW Sets'!$C$7:$C$306,$X109)="","",INDEX('HW Sets'!$C$7:$C$306,$X109)))</f>
        <v/>
      </c>
      <c r="F109" s="176">
        <f>IF($X109="","",IF(INDEX('HW Sets'!$D$7:$D$306,$X109)="","",INDEX('HW Sets'!$D$7:$D$306,$X109)))</f>
        <v/>
      </c>
      <c r="G109" s="176">
        <f>IF($X109="","",IF(INDEX('HW Sets'!$E$7:$E$306,$X109)="","",INDEX('HW Sets'!$E$7:$E$306,$X109)))</f>
        <v/>
      </c>
      <c r="H109" s="176">
        <f>IF($X109="","",IF(INDEX('HW Sets'!$F$7:$F$306,$X109)="","",INDEX('HW Sets'!$F$7:$F$306,$X109)))</f>
        <v/>
      </c>
      <c r="I109" s="176">
        <f>IF($X109="","",IF(INDEX('HW Sets'!$G$7:$G$306,$X109)="","",INDEX('HW Sets'!$G$7:$G$306,$X109)))</f>
        <v/>
      </c>
      <c r="J109" s="176">
        <f>IF($X109="","",IF(INDEX('HW Sets'!$H$7:$H$306,$X109)="","",INDEX('HW Sets'!$H$7:$H$306,$X109)))</f>
        <v/>
      </c>
      <c r="K109" s="175">
        <f t="array" ref="K109">IF($X109="","",N($E109)*SUM(IF(tk_HWSET&amp;""=$Y109,IFERROR(--tk_QTY,0),0)))</f>
        <v/>
      </c>
      <c r="L109" s="176">
        <f>IF($X109="","",IF(INDEX('HW Sets'!$I$7:$I$306,$X109)="","",INDEX('HW Sets'!$I$7:$I$306,$X109)))</f>
        <v/>
      </c>
      <c r="N109" s="176">
        <f>IF($W109="","",INDEX($G$7:$G$306,$W109)&amp;"")</f>
        <v/>
      </c>
      <c r="O109" s="176">
        <f>IF($W109="","",INDEX($H$7:$H$306,$W109)&amp;"")</f>
        <v/>
      </c>
      <c r="P109" s="176">
        <f>IF($W109="","",INDEX($I$7:$I$306,$W109)&amp;"")</f>
        <v/>
      </c>
      <c r="Q109" s="176">
        <f>IF($W109="","",INDEX($J$7:$J$306,$W109)&amp;"")</f>
        <v/>
      </c>
      <c r="R109" s="176">
        <f>IF($W109="","",INDEX($F$7:$F$306,$W109)&amp;"")</f>
        <v/>
      </c>
      <c r="S109" s="175">
        <f>IF($W109="","",SUMIF($U$7:$U$306,INDEX($U$7:$U$306,$W109),$K$7:$K$306))</f>
        <v/>
      </c>
      <c r="U109">
        <f>IF(OR($X109="",N($K109)=0),"",UPPER(TRIM($G109&amp;"|"&amp;$H109&amp;"|"&amp;$I109&amp;"|"&amp;$J109&amp;"|"&amp;$F109)))</f>
        <v/>
      </c>
      <c r="V109">
        <f>IF($U109="","",IF(COUNTIF($U$7:$U109,$U109)=1,MAX($V$6:$V108)+1,""))</f>
        <v/>
      </c>
      <c r="W109">
        <f>IFERROR(MATCH(103,$V$7:$V$306,0),"")</f>
        <v/>
      </c>
      <c r="X109">
        <f>IFERROR(MATCH(103,'HW Sets'!$S$7:$S$306,0),"")</f>
        <v/>
      </c>
      <c r="Y109">
        <f>IF($X109="","",INDEX('HW Sets'!$J$7:$J$306,$X109)&amp;"")</f>
        <v/>
      </c>
      <c r="Z109">
        <f>IF($Y109="","",IF(COUNTIF($Y$7:$Y109,$Y109)=1,1,""))</f>
        <v/>
      </c>
    </row>
    <row r="110">
      <c r="A110" s="175">
        <f>IF($Z110="","",$Y110)</f>
        <v/>
      </c>
      <c r="B110" s="176">
        <f>IF($Z110="","",IFERROR(INDEX('HW Sets'!$N$7:$N$306,MATCH($Y110,'HW Sets'!$M$7:$M$306,0)),""))</f>
        <v/>
      </c>
      <c r="C110" s="177">
        <f t="array" ref="C110">IF($Z110="","",_xlfn.TEXTJOIN(", ",TRUE,IF(tk_HWSET&amp;""=$Y110,tk_MARK,"")))</f>
        <v/>
      </c>
      <c r="D110" s="176">
        <f t="array" ref="D110">IF($Z110="","",SUM(IF(tk_HWSET&amp;""=$Y110,IFERROR(--tk_QTY,0),0)))</f>
        <v/>
      </c>
      <c r="E110" s="176">
        <f>IF($X110="","",IF(INDEX('HW Sets'!$C$7:$C$306,$X110)="","",INDEX('HW Sets'!$C$7:$C$306,$X110)))</f>
        <v/>
      </c>
      <c r="F110" s="176">
        <f>IF($X110="","",IF(INDEX('HW Sets'!$D$7:$D$306,$X110)="","",INDEX('HW Sets'!$D$7:$D$306,$X110)))</f>
        <v/>
      </c>
      <c r="G110" s="176">
        <f>IF($X110="","",IF(INDEX('HW Sets'!$E$7:$E$306,$X110)="","",INDEX('HW Sets'!$E$7:$E$306,$X110)))</f>
        <v/>
      </c>
      <c r="H110" s="176">
        <f>IF($X110="","",IF(INDEX('HW Sets'!$F$7:$F$306,$X110)="","",INDEX('HW Sets'!$F$7:$F$306,$X110)))</f>
        <v/>
      </c>
      <c r="I110" s="176">
        <f>IF($X110="","",IF(INDEX('HW Sets'!$G$7:$G$306,$X110)="","",INDEX('HW Sets'!$G$7:$G$306,$X110)))</f>
        <v/>
      </c>
      <c r="J110" s="176">
        <f>IF($X110="","",IF(INDEX('HW Sets'!$H$7:$H$306,$X110)="","",INDEX('HW Sets'!$H$7:$H$306,$X110)))</f>
        <v/>
      </c>
      <c r="K110" s="175">
        <f t="array" ref="K110">IF($X110="","",N($E110)*SUM(IF(tk_HWSET&amp;""=$Y110,IFERROR(--tk_QTY,0),0)))</f>
        <v/>
      </c>
      <c r="L110" s="176">
        <f>IF($X110="","",IF(INDEX('HW Sets'!$I$7:$I$306,$X110)="","",INDEX('HW Sets'!$I$7:$I$306,$X110)))</f>
        <v/>
      </c>
      <c r="N110" s="176">
        <f>IF($W110="","",INDEX($G$7:$G$306,$W110)&amp;"")</f>
        <v/>
      </c>
      <c r="O110" s="176">
        <f>IF($W110="","",INDEX($H$7:$H$306,$W110)&amp;"")</f>
        <v/>
      </c>
      <c r="P110" s="176">
        <f>IF($W110="","",INDEX($I$7:$I$306,$W110)&amp;"")</f>
        <v/>
      </c>
      <c r="Q110" s="176">
        <f>IF($W110="","",INDEX($J$7:$J$306,$W110)&amp;"")</f>
        <v/>
      </c>
      <c r="R110" s="176">
        <f>IF($W110="","",INDEX($F$7:$F$306,$W110)&amp;"")</f>
        <v/>
      </c>
      <c r="S110" s="175">
        <f>IF($W110="","",SUMIF($U$7:$U$306,INDEX($U$7:$U$306,$W110),$K$7:$K$306))</f>
        <v/>
      </c>
      <c r="U110">
        <f>IF(OR($X110="",N($K110)=0),"",UPPER(TRIM($G110&amp;"|"&amp;$H110&amp;"|"&amp;$I110&amp;"|"&amp;$J110&amp;"|"&amp;$F110)))</f>
        <v/>
      </c>
      <c r="V110">
        <f>IF($U110="","",IF(COUNTIF($U$7:$U110,$U110)=1,MAX($V$6:$V109)+1,""))</f>
        <v/>
      </c>
      <c r="W110">
        <f>IFERROR(MATCH(104,$V$7:$V$306,0),"")</f>
        <v/>
      </c>
      <c r="X110">
        <f>IFERROR(MATCH(104,'HW Sets'!$S$7:$S$306,0),"")</f>
        <v/>
      </c>
      <c r="Y110">
        <f>IF($X110="","",INDEX('HW Sets'!$J$7:$J$306,$X110)&amp;"")</f>
        <v/>
      </c>
      <c r="Z110">
        <f>IF($Y110="","",IF(COUNTIF($Y$7:$Y110,$Y110)=1,1,""))</f>
        <v/>
      </c>
    </row>
    <row r="111">
      <c r="A111" s="175">
        <f>IF($Z111="","",$Y111)</f>
        <v/>
      </c>
      <c r="B111" s="176">
        <f>IF($Z111="","",IFERROR(INDEX('HW Sets'!$N$7:$N$306,MATCH($Y111,'HW Sets'!$M$7:$M$306,0)),""))</f>
        <v/>
      </c>
      <c r="C111" s="177">
        <f t="array" ref="C111">IF($Z111="","",_xlfn.TEXTJOIN(", ",TRUE,IF(tk_HWSET&amp;""=$Y111,tk_MARK,"")))</f>
        <v/>
      </c>
      <c r="D111" s="176">
        <f t="array" ref="D111">IF($Z111="","",SUM(IF(tk_HWSET&amp;""=$Y111,IFERROR(--tk_QTY,0),0)))</f>
        <v/>
      </c>
      <c r="E111" s="176">
        <f>IF($X111="","",IF(INDEX('HW Sets'!$C$7:$C$306,$X111)="","",INDEX('HW Sets'!$C$7:$C$306,$X111)))</f>
        <v/>
      </c>
      <c r="F111" s="176">
        <f>IF($X111="","",IF(INDEX('HW Sets'!$D$7:$D$306,$X111)="","",INDEX('HW Sets'!$D$7:$D$306,$X111)))</f>
        <v/>
      </c>
      <c r="G111" s="176">
        <f>IF($X111="","",IF(INDEX('HW Sets'!$E$7:$E$306,$X111)="","",INDEX('HW Sets'!$E$7:$E$306,$X111)))</f>
        <v/>
      </c>
      <c r="H111" s="176">
        <f>IF($X111="","",IF(INDEX('HW Sets'!$F$7:$F$306,$X111)="","",INDEX('HW Sets'!$F$7:$F$306,$X111)))</f>
        <v/>
      </c>
      <c r="I111" s="176">
        <f>IF($X111="","",IF(INDEX('HW Sets'!$G$7:$G$306,$X111)="","",INDEX('HW Sets'!$G$7:$G$306,$X111)))</f>
        <v/>
      </c>
      <c r="J111" s="176">
        <f>IF($X111="","",IF(INDEX('HW Sets'!$H$7:$H$306,$X111)="","",INDEX('HW Sets'!$H$7:$H$306,$X111)))</f>
        <v/>
      </c>
      <c r="K111" s="175">
        <f t="array" ref="K111">IF($X111="","",N($E111)*SUM(IF(tk_HWSET&amp;""=$Y111,IFERROR(--tk_QTY,0),0)))</f>
        <v/>
      </c>
      <c r="L111" s="176">
        <f>IF($X111="","",IF(INDEX('HW Sets'!$I$7:$I$306,$X111)="","",INDEX('HW Sets'!$I$7:$I$306,$X111)))</f>
        <v/>
      </c>
      <c r="N111" s="176">
        <f>IF($W111="","",INDEX($G$7:$G$306,$W111)&amp;"")</f>
        <v/>
      </c>
      <c r="O111" s="176">
        <f>IF($W111="","",INDEX($H$7:$H$306,$W111)&amp;"")</f>
        <v/>
      </c>
      <c r="P111" s="176">
        <f>IF($W111="","",INDEX($I$7:$I$306,$W111)&amp;"")</f>
        <v/>
      </c>
      <c r="Q111" s="176">
        <f>IF($W111="","",INDEX($J$7:$J$306,$W111)&amp;"")</f>
        <v/>
      </c>
      <c r="R111" s="176">
        <f>IF($W111="","",INDEX($F$7:$F$306,$W111)&amp;"")</f>
        <v/>
      </c>
      <c r="S111" s="175">
        <f>IF($W111="","",SUMIF($U$7:$U$306,INDEX($U$7:$U$306,$W111),$K$7:$K$306))</f>
        <v/>
      </c>
      <c r="U111">
        <f>IF(OR($X111="",N($K111)=0),"",UPPER(TRIM($G111&amp;"|"&amp;$H111&amp;"|"&amp;$I111&amp;"|"&amp;$J111&amp;"|"&amp;$F111)))</f>
        <v/>
      </c>
      <c r="V111">
        <f>IF($U111="","",IF(COUNTIF($U$7:$U111,$U111)=1,MAX($V$6:$V110)+1,""))</f>
        <v/>
      </c>
      <c r="W111">
        <f>IFERROR(MATCH(105,$V$7:$V$306,0),"")</f>
        <v/>
      </c>
      <c r="X111">
        <f>IFERROR(MATCH(105,'HW Sets'!$S$7:$S$306,0),"")</f>
        <v/>
      </c>
      <c r="Y111">
        <f>IF($X111="","",INDEX('HW Sets'!$J$7:$J$306,$X111)&amp;"")</f>
        <v/>
      </c>
      <c r="Z111">
        <f>IF($Y111="","",IF(COUNTIF($Y$7:$Y111,$Y111)=1,1,""))</f>
        <v/>
      </c>
    </row>
    <row r="112">
      <c r="A112" s="175">
        <f>IF($Z112="","",$Y112)</f>
        <v/>
      </c>
      <c r="B112" s="176">
        <f>IF($Z112="","",IFERROR(INDEX('HW Sets'!$N$7:$N$306,MATCH($Y112,'HW Sets'!$M$7:$M$306,0)),""))</f>
        <v/>
      </c>
      <c r="C112" s="177">
        <f t="array" ref="C112">IF($Z112="","",_xlfn.TEXTJOIN(", ",TRUE,IF(tk_HWSET&amp;""=$Y112,tk_MARK,"")))</f>
        <v/>
      </c>
      <c r="D112" s="176">
        <f t="array" ref="D112">IF($Z112="","",SUM(IF(tk_HWSET&amp;""=$Y112,IFERROR(--tk_QTY,0),0)))</f>
        <v/>
      </c>
      <c r="E112" s="176">
        <f>IF($X112="","",IF(INDEX('HW Sets'!$C$7:$C$306,$X112)="","",INDEX('HW Sets'!$C$7:$C$306,$X112)))</f>
        <v/>
      </c>
      <c r="F112" s="176">
        <f>IF($X112="","",IF(INDEX('HW Sets'!$D$7:$D$306,$X112)="","",INDEX('HW Sets'!$D$7:$D$306,$X112)))</f>
        <v/>
      </c>
      <c r="G112" s="176">
        <f>IF($X112="","",IF(INDEX('HW Sets'!$E$7:$E$306,$X112)="","",INDEX('HW Sets'!$E$7:$E$306,$X112)))</f>
        <v/>
      </c>
      <c r="H112" s="176">
        <f>IF($X112="","",IF(INDEX('HW Sets'!$F$7:$F$306,$X112)="","",INDEX('HW Sets'!$F$7:$F$306,$X112)))</f>
        <v/>
      </c>
      <c r="I112" s="176">
        <f>IF($X112="","",IF(INDEX('HW Sets'!$G$7:$G$306,$X112)="","",INDEX('HW Sets'!$G$7:$G$306,$X112)))</f>
        <v/>
      </c>
      <c r="J112" s="176">
        <f>IF($X112="","",IF(INDEX('HW Sets'!$H$7:$H$306,$X112)="","",INDEX('HW Sets'!$H$7:$H$306,$X112)))</f>
        <v/>
      </c>
      <c r="K112" s="175">
        <f t="array" ref="K112">IF($X112="","",N($E112)*SUM(IF(tk_HWSET&amp;""=$Y112,IFERROR(--tk_QTY,0),0)))</f>
        <v/>
      </c>
      <c r="L112" s="176">
        <f>IF($X112="","",IF(INDEX('HW Sets'!$I$7:$I$306,$X112)="","",INDEX('HW Sets'!$I$7:$I$306,$X112)))</f>
        <v/>
      </c>
      <c r="N112" s="176">
        <f>IF($W112="","",INDEX($G$7:$G$306,$W112)&amp;"")</f>
        <v/>
      </c>
      <c r="O112" s="176">
        <f>IF($W112="","",INDEX($H$7:$H$306,$W112)&amp;"")</f>
        <v/>
      </c>
      <c r="P112" s="176">
        <f>IF($W112="","",INDEX($I$7:$I$306,$W112)&amp;"")</f>
        <v/>
      </c>
      <c r="Q112" s="176">
        <f>IF($W112="","",INDEX($J$7:$J$306,$W112)&amp;"")</f>
        <v/>
      </c>
      <c r="R112" s="176">
        <f>IF($W112="","",INDEX($F$7:$F$306,$W112)&amp;"")</f>
        <v/>
      </c>
      <c r="S112" s="175">
        <f>IF($W112="","",SUMIF($U$7:$U$306,INDEX($U$7:$U$306,$W112),$K$7:$K$306))</f>
        <v/>
      </c>
      <c r="U112">
        <f>IF(OR($X112="",N($K112)=0),"",UPPER(TRIM($G112&amp;"|"&amp;$H112&amp;"|"&amp;$I112&amp;"|"&amp;$J112&amp;"|"&amp;$F112)))</f>
        <v/>
      </c>
      <c r="V112">
        <f>IF($U112="","",IF(COUNTIF($U$7:$U112,$U112)=1,MAX($V$6:$V111)+1,""))</f>
        <v/>
      </c>
      <c r="W112">
        <f>IFERROR(MATCH(106,$V$7:$V$306,0),"")</f>
        <v/>
      </c>
      <c r="X112">
        <f>IFERROR(MATCH(106,'HW Sets'!$S$7:$S$306,0),"")</f>
        <v/>
      </c>
      <c r="Y112">
        <f>IF($X112="","",INDEX('HW Sets'!$J$7:$J$306,$X112)&amp;"")</f>
        <v/>
      </c>
      <c r="Z112">
        <f>IF($Y112="","",IF(COUNTIF($Y$7:$Y112,$Y112)=1,1,""))</f>
        <v/>
      </c>
    </row>
    <row r="113">
      <c r="A113" s="175">
        <f>IF($Z113="","",$Y113)</f>
        <v/>
      </c>
      <c r="B113" s="176">
        <f>IF($Z113="","",IFERROR(INDEX('HW Sets'!$N$7:$N$306,MATCH($Y113,'HW Sets'!$M$7:$M$306,0)),""))</f>
        <v/>
      </c>
      <c r="C113" s="177">
        <f t="array" ref="C113">IF($Z113="","",_xlfn.TEXTJOIN(", ",TRUE,IF(tk_HWSET&amp;""=$Y113,tk_MARK,"")))</f>
        <v/>
      </c>
      <c r="D113" s="176">
        <f t="array" ref="D113">IF($Z113="","",SUM(IF(tk_HWSET&amp;""=$Y113,IFERROR(--tk_QTY,0),0)))</f>
        <v/>
      </c>
      <c r="E113" s="176">
        <f>IF($X113="","",IF(INDEX('HW Sets'!$C$7:$C$306,$X113)="","",INDEX('HW Sets'!$C$7:$C$306,$X113)))</f>
        <v/>
      </c>
      <c r="F113" s="176">
        <f>IF($X113="","",IF(INDEX('HW Sets'!$D$7:$D$306,$X113)="","",INDEX('HW Sets'!$D$7:$D$306,$X113)))</f>
        <v/>
      </c>
      <c r="G113" s="176">
        <f>IF($X113="","",IF(INDEX('HW Sets'!$E$7:$E$306,$X113)="","",INDEX('HW Sets'!$E$7:$E$306,$X113)))</f>
        <v/>
      </c>
      <c r="H113" s="176">
        <f>IF($X113="","",IF(INDEX('HW Sets'!$F$7:$F$306,$X113)="","",INDEX('HW Sets'!$F$7:$F$306,$X113)))</f>
        <v/>
      </c>
      <c r="I113" s="176">
        <f>IF($X113="","",IF(INDEX('HW Sets'!$G$7:$G$306,$X113)="","",INDEX('HW Sets'!$G$7:$G$306,$X113)))</f>
        <v/>
      </c>
      <c r="J113" s="176">
        <f>IF($X113="","",IF(INDEX('HW Sets'!$H$7:$H$306,$X113)="","",INDEX('HW Sets'!$H$7:$H$306,$X113)))</f>
        <v/>
      </c>
      <c r="K113" s="175">
        <f t="array" ref="K113">IF($X113="","",N($E113)*SUM(IF(tk_HWSET&amp;""=$Y113,IFERROR(--tk_QTY,0),0)))</f>
        <v/>
      </c>
      <c r="L113" s="176">
        <f>IF($X113="","",IF(INDEX('HW Sets'!$I$7:$I$306,$X113)="","",INDEX('HW Sets'!$I$7:$I$306,$X113)))</f>
        <v/>
      </c>
      <c r="N113" s="176">
        <f>IF($W113="","",INDEX($G$7:$G$306,$W113)&amp;"")</f>
        <v/>
      </c>
      <c r="O113" s="176">
        <f>IF($W113="","",INDEX($H$7:$H$306,$W113)&amp;"")</f>
        <v/>
      </c>
      <c r="P113" s="176">
        <f>IF($W113="","",INDEX($I$7:$I$306,$W113)&amp;"")</f>
        <v/>
      </c>
      <c r="Q113" s="176">
        <f>IF($W113="","",INDEX($J$7:$J$306,$W113)&amp;"")</f>
        <v/>
      </c>
      <c r="R113" s="176">
        <f>IF($W113="","",INDEX($F$7:$F$306,$W113)&amp;"")</f>
        <v/>
      </c>
      <c r="S113" s="175">
        <f>IF($W113="","",SUMIF($U$7:$U$306,INDEX($U$7:$U$306,$W113),$K$7:$K$306))</f>
        <v/>
      </c>
      <c r="U113">
        <f>IF(OR($X113="",N($K113)=0),"",UPPER(TRIM($G113&amp;"|"&amp;$H113&amp;"|"&amp;$I113&amp;"|"&amp;$J113&amp;"|"&amp;$F113)))</f>
        <v/>
      </c>
      <c r="V113">
        <f>IF($U113="","",IF(COUNTIF($U$7:$U113,$U113)=1,MAX($V$6:$V112)+1,""))</f>
        <v/>
      </c>
      <c r="W113">
        <f>IFERROR(MATCH(107,$V$7:$V$306,0),"")</f>
        <v/>
      </c>
      <c r="X113">
        <f>IFERROR(MATCH(107,'HW Sets'!$S$7:$S$306,0),"")</f>
        <v/>
      </c>
      <c r="Y113">
        <f>IF($X113="","",INDEX('HW Sets'!$J$7:$J$306,$X113)&amp;"")</f>
        <v/>
      </c>
      <c r="Z113">
        <f>IF($Y113="","",IF(COUNTIF($Y$7:$Y113,$Y113)=1,1,""))</f>
        <v/>
      </c>
    </row>
    <row r="114">
      <c r="A114" s="175">
        <f>IF($Z114="","",$Y114)</f>
        <v/>
      </c>
      <c r="B114" s="176">
        <f>IF($Z114="","",IFERROR(INDEX('HW Sets'!$N$7:$N$306,MATCH($Y114,'HW Sets'!$M$7:$M$306,0)),""))</f>
        <v/>
      </c>
      <c r="C114" s="177">
        <f t="array" ref="C114">IF($Z114="","",_xlfn.TEXTJOIN(", ",TRUE,IF(tk_HWSET&amp;""=$Y114,tk_MARK,"")))</f>
        <v/>
      </c>
      <c r="D114" s="176">
        <f t="array" ref="D114">IF($Z114="","",SUM(IF(tk_HWSET&amp;""=$Y114,IFERROR(--tk_QTY,0),0)))</f>
        <v/>
      </c>
      <c r="E114" s="176">
        <f>IF($X114="","",IF(INDEX('HW Sets'!$C$7:$C$306,$X114)="","",INDEX('HW Sets'!$C$7:$C$306,$X114)))</f>
        <v/>
      </c>
      <c r="F114" s="176">
        <f>IF($X114="","",IF(INDEX('HW Sets'!$D$7:$D$306,$X114)="","",INDEX('HW Sets'!$D$7:$D$306,$X114)))</f>
        <v/>
      </c>
      <c r="G114" s="176">
        <f>IF($X114="","",IF(INDEX('HW Sets'!$E$7:$E$306,$X114)="","",INDEX('HW Sets'!$E$7:$E$306,$X114)))</f>
        <v/>
      </c>
      <c r="H114" s="176">
        <f>IF($X114="","",IF(INDEX('HW Sets'!$F$7:$F$306,$X114)="","",INDEX('HW Sets'!$F$7:$F$306,$X114)))</f>
        <v/>
      </c>
      <c r="I114" s="176">
        <f>IF($X114="","",IF(INDEX('HW Sets'!$G$7:$G$306,$X114)="","",INDEX('HW Sets'!$G$7:$G$306,$X114)))</f>
        <v/>
      </c>
      <c r="J114" s="176">
        <f>IF($X114="","",IF(INDEX('HW Sets'!$H$7:$H$306,$X114)="","",INDEX('HW Sets'!$H$7:$H$306,$X114)))</f>
        <v/>
      </c>
      <c r="K114" s="175">
        <f t="array" ref="K114">IF($X114="","",N($E114)*SUM(IF(tk_HWSET&amp;""=$Y114,IFERROR(--tk_QTY,0),0)))</f>
        <v/>
      </c>
      <c r="L114" s="176">
        <f>IF($X114="","",IF(INDEX('HW Sets'!$I$7:$I$306,$X114)="","",INDEX('HW Sets'!$I$7:$I$306,$X114)))</f>
        <v/>
      </c>
      <c r="N114" s="176">
        <f>IF($W114="","",INDEX($G$7:$G$306,$W114)&amp;"")</f>
        <v/>
      </c>
      <c r="O114" s="176">
        <f>IF($W114="","",INDEX($H$7:$H$306,$W114)&amp;"")</f>
        <v/>
      </c>
      <c r="P114" s="176">
        <f>IF($W114="","",INDEX($I$7:$I$306,$W114)&amp;"")</f>
        <v/>
      </c>
      <c r="Q114" s="176">
        <f>IF($W114="","",INDEX($J$7:$J$306,$W114)&amp;"")</f>
        <v/>
      </c>
      <c r="R114" s="176">
        <f>IF($W114="","",INDEX($F$7:$F$306,$W114)&amp;"")</f>
        <v/>
      </c>
      <c r="S114" s="175">
        <f>IF($W114="","",SUMIF($U$7:$U$306,INDEX($U$7:$U$306,$W114),$K$7:$K$306))</f>
        <v/>
      </c>
      <c r="U114">
        <f>IF(OR($X114="",N($K114)=0),"",UPPER(TRIM($G114&amp;"|"&amp;$H114&amp;"|"&amp;$I114&amp;"|"&amp;$J114&amp;"|"&amp;$F114)))</f>
        <v/>
      </c>
      <c r="V114">
        <f>IF($U114="","",IF(COUNTIF($U$7:$U114,$U114)=1,MAX($V$6:$V113)+1,""))</f>
        <v/>
      </c>
      <c r="W114">
        <f>IFERROR(MATCH(108,$V$7:$V$306,0),"")</f>
        <v/>
      </c>
      <c r="X114">
        <f>IFERROR(MATCH(108,'HW Sets'!$S$7:$S$306,0),"")</f>
        <v/>
      </c>
      <c r="Y114">
        <f>IF($X114="","",INDEX('HW Sets'!$J$7:$J$306,$X114)&amp;"")</f>
        <v/>
      </c>
      <c r="Z114">
        <f>IF($Y114="","",IF(COUNTIF($Y$7:$Y114,$Y114)=1,1,""))</f>
        <v/>
      </c>
    </row>
    <row r="115">
      <c r="A115" s="175">
        <f>IF($Z115="","",$Y115)</f>
        <v/>
      </c>
      <c r="B115" s="176">
        <f>IF($Z115="","",IFERROR(INDEX('HW Sets'!$N$7:$N$306,MATCH($Y115,'HW Sets'!$M$7:$M$306,0)),""))</f>
        <v/>
      </c>
      <c r="C115" s="177">
        <f t="array" ref="C115">IF($Z115="","",_xlfn.TEXTJOIN(", ",TRUE,IF(tk_HWSET&amp;""=$Y115,tk_MARK,"")))</f>
        <v/>
      </c>
      <c r="D115" s="176">
        <f t="array" ref="D115">IF($Z115="","",SUM(IF(tk_HWSET&amp;""=$Y115,IFERROR(--tk_QTY,0),0)))</f>
        <v/>
      </c>
      <c r="E115" s="176">
        <f>IF($X115="","",IF(INDEX('HW Sets'!$C$7:$C$306,$X115)="","",INDEX('HW Sets'!$C$7:$C$306,$X115)))</f>
        <v/>
      </c>
      <c r="F115" s="176">
        <f>IF($X115="","",IF(INDEX('HW Sets'!$D$7:$D$306,$X115)="","",INDEX('HW Sets'!$D$7:$D$306,$X115)))</f>
        <v/>
      </c>
      <c r="G115" s="176">
        <f>IF($X115="","",IF(INDEX('HW Sets'!$E$7:$E$306,$X115)="","",INDEX('HW Sets'!$E$7:$E$306,$X115)))</f>
        <v/>
      </c>
      <c r="H115" s="176">
        <f>IF($X115="","",IF(INDEX('HW Sets'!$F$7:$F$306,$X115)="","",INDEX('HW Sets'!$F$7:$F$306,$X115)))</f>
        <v/>
      </c>
      <c r="I115" s="176">
        <f>IF($X115="","",IF(INDEX('HW Sets'!$G$7:$G$306,$X115)="","",INDEX('HW Sets'!$G$7:$G$306,$X115)))</f>
        <v/>
      </c>
      <c r="J115" s="176">
        <f>IF($X115="","",IF(INDEX('HW Sets'!$H$7:$H$306,$X115)="","",INDEX('HW Sets'!$H$7:$H$306,$X115)))</f>
        <v/>
      </c>
      <c r="K115" s="175">
        <f t="array" ref="K115">IF($X115="","",N($E115)*SUM(IF(tk_HWSET&amp;""=$Y115,IFERROR(--tk_QTY,0),0)))</f>
        <v/>
      </c>
      <c r="L115" s="176">
        <f>IF($X115="","",IF(INDEX('HW Sets'!$I$7:$I$306,$X115)="","",INDEX('HW Sets'!$I$7:$I$306,$X115)))</f>
        <v/>
      </c>
      <c r="N115" s="176">
        <f>IF($W115="","",INDEX($G$7:$G$306,$W115)&amp;"")</f>
        <v/>
      </c>
      <c r="O115" s="176">
        <f>IF($W115="","",INDEX($H$7:$H$306,$W115)&amp;"")</f>
        <v/>
      </c>
      <c r="P115" s="176">
        <f>IF($W115="","",INDEX($I$7:$I$306,$W115)&amp;"")</f>
        <v/>
      </c>
      <c r="Q115" s="176">
        <f>IF($W115="","",INDEX($J$7:$J$306,$W115)&amp;"")</f>
        <v/>
      </c>
      <c r="R115" s="176">
        <f>IF($W115="","",INDEX($F$7:$F$306,$W115)&amp;"")</f>
        <v/>
      </c>
      <c r="S115" s="175">
        <f>IF($W115="","",SUMIF($U$7:$U$306,INDEX($U$7:$U$306,$W115),$K$7:$K$306))</f>
        <v/>
      </c>
      <c r="U115">
        <f>IF(OR($X115="",N($K115)=0),"",UPPER(TRIM($G115&amp;"|"&amp;$H115&amp;"|"&amp;$I115&amp;"|"&amp;$J115&amp;"|"&amp;$F115)))</f>
        <v/>
      </c>
      <c r="V115">
        <f>IF($U115="","",IF(COUNTIF($U$7:$U115,$U115)=1,MAX($V$6:$V114)+1,""))</f>
        <v/>
      </c>
      <c r="W115">
        <f>IFERROR(MATCH(109,$V$7:$V$306,0),"")</f>
        <v/>
      </c>
      <c r="X115">
        <f>IFERROR(MATCH(109,'HW Sets'!$S$7:$S$306,0),"")</f>
        <v/>
      </c>
      <c r="Y115">
        <f>IF($X115="","",INDEX('HW Sets'!$J$7:$J$306,$X115)&amp;"")</f>
        <v/>
      </c>
      <c r="Z115">
        <f>IF($Y115="","",IF(COUNTIF($Y$7:$Y115,$Y115)=1,1,""))</f>
        <v/>
      </c>
    </row>
    <row r="116">
      <c r="A116" s="175">
        <f>IF($Z116="","",$Y116)</f>
        <v/>
      </c>
      <c r="B116" s="176">
        <f>IF($Z116="","",IFERROR(INDEX('HW Sets'!$N$7:$N$306,MATCH($Y116,'HW Sets'!$M$7:$M$306,0)),""))</f>
        <v/>
      </c>
      <c r="C116" s="177">
        <f t="array" ref="C116">IF($Z116="","",_xlfn.TEXTJOIN(", ",TRUE,IF(tk_HWSET&amp;""=$Y116,tk_MARK,"")))</f>
        <v/>
      </c>
      <c r="D116" s="176">
        <f t="array" ref="D116">IF($Z116="","",SUM(IF(tk_HWSET&amp;""=$Y116,IFERROR(--tk_QTY,0),0)))</f>
        <v/>
      </c>
      <c r="E116" s="176">
        <f>IF($X116="","",IF(INDEX('HW Sets'!$C$7:$C$306,$X116)="","",INDEX('HW Sets'!$C$7:$C$306,$X116)))</f>
        <v/>
      </c>
      <c r="F116" s="176">
        <f>IF($X116="","",IF(INDEX('HW Sets'!$D$7:$D$306,$X116)="","",INDEX('HW Sets'!$D$7:$D$306,$X116)))</f>
        <v/>
      </c>
      <c r="G116" s="176">
        <f>IF($X116="","",IF(INDEX('HW Sets'!$E$7:$E$306,$X116)="","",INDEX('HW Sets'!$E$7:$E$306,$X116)))</f>
        <v/>
      </c>
      <c r="H116" s="176">
        <f>IF($X116="","",IF(INDEX('HW Sets'!$F$7:$F$306,$X116)="","",INDEX('HW Sets'!$F$7:$F$306,$X116)))</f>
        <v/>
      </c>
      <c r="I116" s="176">
        <f>IF($X116="","",IF(INDEX('HW Sets'!$G$7:$G$306,$X116)="","",INDEX('HW Sets'!$G$7:$G$306,$X116)))</f>
        <v/>
      </c>
      <c r="J116" s="176">
        <f>IF($X116="","",IF(INDEX('HW Sets'!$H$7:$H$306,$X116)="","",INDEX('HW Sets'!$H$7:$H$306,$X116)))</f>
        <v/>
      </c>
      <c r="K116" s="175">
        <f t="array" ref="K116">IF($X116="","",N($E116)*SUM(IF(tk_HWSET&amp;""=$Y116,IFERROR(--tk_QTY,0),0)))</f>
        <v/>
      </c>
      <c r="L116" s="176">
        <f>IF($X116="","",IF(INDEX('HW Sets'!$I$7:$I$306,$X116)="","",INDEX('HW Sets'!$I$7:$I$306,$X116)))</f>
        <v/>
      </c>
      <c r="N116" s="176">
        <f>IF($W116="","",INDEX($G$7:$G$306,$W116)&amp;"")</f>
        <v/>
      </c>
      <c r="O116" s="176">
        <f>IF($W116="","",INDEX($H$7:$H$306,$W116)&amp;"")</f>
        <v/>
      </c>
      <c r="P116" s="176">
        <f>IF($W116="","",INDEX($I$7:$I$306,$W116)&amp;"")</f>
        <v/>
      </c>
      <c r="Q116" s="176">
        <f>IF($W116="","",INDEX($J$7:$J$306,$W116)&amp;"")</f>
        <v/>
      </c>
      <c r="R116" s="176">
        <f>IF($W116="","",INDEX($F$7:$F$306,$W116)&amp;"")</f>
        <v/>
      </c>
      <c r="S116" s="175">
        <f>IF($W116="","",SUMIF($U$7:$U$306,INDEX($U$7:$U$306,$W116),$K$7:$K$306))</f>
        <v/>
      </c>
      <c r="U116">
        <f>IF(OR($X116="",N($K116)=0),"",UPPER(TRIM($G116&amp;"|"&amp;$H116&amp;"|"&amp;$I116&amp;"|"&amp;$J116&amp;"|"&amp;$F116)))</f>
        <v/>
      </c>
      <c r="V116">
        <f>IF($U116="","",IF(COUNTIF($U$7:$U116,$U116)=1,MAX($V$6:$V115)+1,""))</f>
        <v/>
      </c>
      <c r="W116">
        <f>IFERROR(MATCH(110,$V$7:$V$306,0),"")</f>
        <v/>
      </c>
      <c r="X116">
        <f>IFERROR(MATCH(110,'HW Sets'!$S$7:$S$306,0),"")</f>
        <v/>
      </c>
      <c r="Y116">
        <f>IF($X116="","",INDEX('HW Sets'!$J$7:$J$306,$X116)&amp;"")</f>
        <v/>
      </c>
      <c r="Z116">
        <f>IF($Y116="","",IF(COUNTIF($Y$7:$Y116,$Y116)=1,1,""))</f>
        <v/>
      </c>
    </row>
    <row r="117">
      <c r="A117" s="175">
        <f>IF($Z117="","",$Y117)</f>
        <v/>
      </c>
      <c r="B117" s="176">
        <f>IF($Z117="","",IFERROR(INDEX('HW Sets'!$N$7:$N$306,MATCH($Y117,'HW Sets'!$M$7:$M$306,0)),""))</f>
        <v/>
      </c>
      <c r="C117" s="177">
        <f t="array" ref="C117">IF($Z117="","",_xlfn.TEXTJOIN(", ",TRUE,IF(tk_HWSET&amp;""=$Y117,tk_MARK,"")))</f>
        <v/>
      </c>
      <c r="D117" s="176">
        <f t="array" ref="D117">IF($Z117="","",SUM(IF(tk_HWSET&amp;""=$Y117,IFERROR(--tk_QTY,0),0)))</f>
        <v/>
      </c>
      <c r="E117" s="176">
        <f>IF($X117="","",IF(INDEX('HW Sets'!$C$7:$C$306,$X117)="","",INDEX('HW Sets'!$C$7:$C$306,$X117)))</f>
        <v/>
      </c>
      <c r="F117" s="176">
        <f>IF($X117="","",IF(INDEX('HW Sets'!$D$7:$D$306,$X117)="","",INDEX('HW Sets'!$D$7:$D$306,$X117)))</f>
        <v/>
      </c>
      <c r="G117" s="176">
        <f>IF($X117="","",IF(INDEX('HW Sets'!$E$7:$E$306,$X117)="","",INDEX('HW Sets'!$E$7:$E$306,$X117)))</f>
        <v/>
      </c>
      <c r="H117" s="176">
        <f>IF($X117="","",IF(INDEX('HW Sets'!$F$7:$F$306,$X117)="","",INDEX('HW Sets'!$F$7:$F$306,$X117)))</f>
        <v/>
      </c>
      <c r="I117" s="176">
        <f>IF($X117="","",IF(INDEX('HW Sets'!$G$7:$G$306,$X117)="","",INDEX('HW Sets'!$G$7:$G$306,$X117)))</f>
        <v/>
      </c>
      <c r="J117" s="176">
        <f>IF($X117="","",IF(INDEX('HW Sets'!$H$7:$H$306,$X117)="","",INDEX('HW Sets'!$H$7:$H$306,$X117)))</f>
        <v/>
      </c>
      <c r="K117" s="175">
        <f t="array" ref="K117">IF($X117="","",N($E117)*SUM(IF(tk_HWSET&amp;""=$Y117,IFERROR(--tk_QTY,0),0)))</f>
        <v/>
      </c>
      <c r="L117" s="176">
        <f>IF($X117="","",IF(INDEX('HW Sets'!$I$7:$I$306,$X117)="","",INDEX('HW Sets'!$I$7:$I$306,$X117)))</f>
        <v/>
      </c>
      <c r="N117" s="176">
        <f>IF($W117="","",INDEX($G$7:$G$306,$W117)&amp;"")</f>
        <v/>
      </c>
      <c r="O117" s="176">
        <f>IF($W117="","",INDEX($H$7:$H$306,$W117)&amp;"")</f>
        <v/>
      </c>
      <c r="P117" s="176">
        <f>IF($W117="","",INDEX($I$7:$I$306,$W117)&amp;"")</f>
        <v/>
      </c>
      <c r="Q117" s="176">
        <f>IF($W117="","",INDEX($J$7:$J$306,$W117)&amp;"")</f>
        <v/>
      </c>
      <c r="R117" s="176">
        <f>IF($W117="","",INDEX($F$7:$F$306,$W117)&amp;"")</f>
        <v/>
      </c>
      <c r="S117" s="175">
        <f>IF($W117="","",SUMIF($U$7:$U$306,INDEX($U$7:$U$306,$W117),$K$7:$K$306))</f>
        <v/>
      </c>
      <c r="U117">
        <f>IF(OR($X117="",N($K117)=0),"",UPPER(TRIM($G117&amp;"|"&amp;$H117&amp;"|"&amp;$I117&amp;"|"&amp;$J117&amp;"|"&amp;$F117)))</f>
        <v/>
      </c>
      <c r="V117">
        <f>IF($U117="","",IF(COUNTIF($U$7:$U117,$U117)=1,MAX($V$6:$V116)+1,""))</f>
        <v/>
      </c>
      <c r="W117">
        <f>IFERROR(MATCH(111,$V$7:$V$306,0),"")</f>
        <v/>
      </c>
      <c r="X117">
        <f>IFERROR(MATCH(111,'HW Sets'!$S$7:$S$306,0),"")</f>
        <v/>
      </c>
      <c r="Y117">
        <f>IF($X117="","",INDEX('HW Sets'!$J$7:$J$306,$X117)&amp;"")</f>
        <v/>
      </c>
      <c r="Z117">
        <f>IF($Y117="","",IF(COUNTIF($Y$7:$Y117,$Y117)=1,1,""))</f>
        <v/>
      </c>
    </row>
    <row r="118">
      <c r="A118" s="175">
        <f>IF($Z118="","",$Y118)</f>
        <v/>
      </c>
      <c r="B118" s="176">
        <f>IF($Z118="","",IFERROR(INDEX('HW Sets'!$N$7:$N$306,MATCH($Y118,'HW Sets'!$M$7:$M$306,0)),""))</f>
        <v/>
      </c>
      <c r="C118" s="177">
        <f t="array" ref="C118">IF($Z118="","",_xlfn.TEXTJOIN(", ",TRUE,IF(tk_HWSET&amp;""=$Y118,tk_MARK,"")))</f>
        <v/>
      </c>
      <c r="D118" s="176">
        <f t="array" ref="D118">IF($Z118="","",SUM(IF(tk_HWSET&amp;""=$Y118,IFERROR(--tk_QTY,0),0)))</f>
        <v/>
      </c>
      <c r="E118" s="176">
        <f>IF($X118="","",IF(INDEX('HW Sets'!$C$7:$C$306,$X118)="","",INDEX('HW Sets'!$C$7:$C$306,$X118)))</f>
        <v/>
      </c>
      <c r="F118" s="176">
        <f>IF($X118="","",IF(INDEX('HW Sets'!$D$7:$D$306,$X118)="","",INDEX('HW Sets'!$D$7:$D$306,$X118)))</f>
        <v/>
      </c>
      <c r="G118" s="176">
        <f>IF($X118="","",IF(INDEX('HW Sets'!$E$7:$E$306,$X118)="","",INDEX('HW Sets'!$E$7:$E$306,$X118)))</f>
        <v/>
      </c>
      <c r="H118" s="176">
        <f>IF($X118="","",IF(INDEX('HW Sets'!$F$7:$F$306,$X118)="","",INDEX('HW Sets'!$F$7:$F$306,$X118)))</f>
        <v/>
      </c>
      <c r="I118" s="176">
        <f>IF($X118="","",IF(INDEX('HW Sets'!$G$7:$G$306,$X118)="","",INDEX('HW Sets'!$G$7:$G$306,$X118)))</f>
        <v/>
      </c>
      <c r="J118" s="176">
        <f>IF($X118="","",IF(INDEX('HW Sets'!$H$7:$H$306,$X118)="","",INDEX('HW Sets'!$H$7:$H$306,$X118)))</f>
        <v/>
      </c>
      <c r="K118" s="175">
        <f t="array" ref="K118">IF($X118="","",N($E118)*SUM(IF(tk_HWSET&amp;""=$Y118,IFERROR(--tk_QTY,0),0)))</f>
        <v/>
      </c>
      <c r="L118" s="176">
        <f>IF($X118="","",IF(INDEX('HW Sets'!$I$7:$I$306,$X118)="","",INDEX('HW Sets'!$I$7:$I$306,$X118)))</f>
        <v/>
      </c>
      <c r="N118" s="176">
        <f>IF($W118="","",INDEX($G$7:$G$306,$W118)&amp;"")</f>
        <v/>
      </c>
      <c r="O118" s="176">
        <f>IF($W118="","",INDEX($H$7:$H$306,$W118)&amp;"")</f>
        <v/>
      </c>
      <c r="P118" s="176">
        <f>IF($W118="","",INDEX($I$7:$I$306,$W118)&amp;"")</f>
        <v/>
      </c>
      <c r="Q118" s="176">
        <f>IF($W118="","",INDEX($J$7:$J$306,$W118)&amp;"")</f>
        <v/>
      </c>
      <c r="R118" s="176">
        <f>IF($W118="","",INDEX($F$7:$F$306,$W118)&amp;"")</f>
        <v/>
      </c>
      <c r="S118" s="175">
        <f>IF($W118="","",SUMIF($U$7:$U$306,INDEX($U$7:$U$306,$W118),$K$7:$K$306))</f>
        <v/>
      </c>
      <c r="U118">
        <f>IF(OR($X118="",N($K118)=0),"",UPPER(TRIM($G118&amp;"|"&amp;$H118&amp;"|"&amp;$I118&amp;"|"&amp;$J118&amp;"|"&amp;$F118)))</f>
        <v/>
      </c>
      <c r="V118">
        <f>IF($U118="","",IF(COUNTIF($U$7:$U118,$U118)=1,MAX($V$6:$V117)+1,""))</f>
        <v/>
      </c>
      <c r="W118">
        <f>IFERROR(MATCH(112,$V$7:$V$306,0),"")</f>
        <v/>
      </c>
      <c r="X118">
        <f>IFERROR(MATCH(112,'HW Sets'!$S$7:$S$306,0),"")</f>
        <v/>
      </c>
      <c r="Y118">
        <f>IF($X118="","",INDEX('HW Sets'!$J$7:$J$306,$X118)&amp;"")</f>
        <v/>
      </c>
      <c r="Z118">
        <f>IF($Y118="","",IF(COUNTIF($Y$7:$Y118,$Y118)=1,1,""))</f>
        <v/>
      </c>
    </row>
    <row r="119">
      <c r="A119" s="175">
        <f>IF($Z119="","",$Y119)</f>
        <v/>
      </c>
      <c r="B119" s="176">
        <f>IF($Z119="","",IFERROR(INDEX('HW Sets'!$N$7:$N$306,MATCH($Y119,'HW Sets'!$M$7:$M$306,0)),""))</f>
        <v/>
      </c>
      <c r="C119" s="177">
        <f t="array" ref="C119">IF($Z119="","",_xlfn.TEXTJOIN(", ",TRUE,IF(tk_HWSET&amp;""=$Y119,tk_MARK,"")))</f>
        <v/>
      </c>
      <c r="D119" s="176">
        <f t="array" ref="D119">IF($Z119="","",SUM(IF(tk_HWSET&amp;""=$Y119,IFERROR(--tk_QTY,0),0)))</f>
        <v/>
      </c>
      <c r="E119" s="176">
        <f>IF($X119="","",IF(INDEX('HW Sets'!$C$7:$C$306,$X119)="","",INDEX('HW Sets'!$C$7:$C$306,$X119)))</f>
        <v/>
      </c>
      <c r="F119" s="176">
        <f>IF($X119="","",IF(INDEX('HW Sets'!$D$7:$D$306,$X119)="","",INDEX('HW Sets'!$D$7:$D$306,$X119)))</f>
        <v/>
      </c>
      <c r="G119" s="176">
        <f>IF($X119="","",IF(INDEX('HW Sets'!$E$7:$E$306,$X119)="","",INDEX('HW Sets'!$E$7:$E$306,$X119)))</f>
        <v/>
      </c>
      <c r="H119" s="176">
        <f>IF($X119="","",IF(INDEX('HW Sets'!$F$7:$F$306,$X119)="","",INDEX('HW Sets'!$F$7:$F$306,$X119)))</f>
        <v/>
      </c>
      <c r="I119" s="176">
        <f>IF($X119="","",IF(INDEX('HW Sets'!$G$7:$G$306,$X119)="","",INDEX('HW Sets'!$G$7:$G$306,$X119)))</f>
        <v/>
      </c>
      <c r="J119" s="176">
        <f>IF($X119="","",IF(INDEX('HW Sets'!$H$7:$H$306,$X119)="","",INDEX('HW Sets'!$H$7:$H$306,$X119)))</f>
        <v/>
      </c>
      <c r="K119" s="175">
        <f t="array" ref="K119">IF($X119="","",N($E119)*SUM(IF(tk_HWSET&amp;""=$Y119,IFERROR(--tk_QTY,0),0)))</f>
        <v/>
      </c>
      <c r="L119" s="176">
        <f>IF($X119="","",IF(INDEX('HW Sets'!$I$7:$I$306,$X119)="","",INDEX('HW Sets'!$I$7:$I$306,$X119)))</f>
        <v/>
      </c>
      <c r="N119" s="176">
        <f>IF($W119="","",INDEX($G$7:$G$306,$W119)&amp;"")</f>
        <v/>
      </c>
      <c r="O119" s="176">
        <f>IF($W119="","",INDEX($H$7:$H$306,$W119)&amp;"")</f>
        <v/>
      </c>
      <c r="P119" s="176">
        <f>IF($W119="","",INDEX($I$7:$I$306,$W119)&amp;"")</f>
        <v/>
      </c>
      <c r="Q119" s="176">
        <f>IF($W119="","",INDEX($J$7:$J$306,$W119)&amp;"")</f>
        <v/>
      </c>
      <c r="R119" s="176">
        <f>IF($W119="","",INDEX($F$7:$F$306,$W119)&amp;"")</f>
        <v/>
      </c>
      <c r="S119" s="175">
        <f>IF($W119="","",SUMIF($U$7:$U$306,INDEX($U$7:$U$306,$W119),$K$7:$K$306))</f>
        <v/>
      </c>
      <c r="U119">
        <f>IF(OR($X119="",N($K119)=0),"",UPPER(TRIM($G119&amp;"|"&amp;$H119&amp;"|"&amp;$I119&amp;"|"&amp;$J119&amp;"|"&amp;$F119)))</f>
        <v/>
      </c>
      <c r="V119">
        <f>IF($U119="","",IF(COUNTIF($U$7:$U119,$U119)=1,MAX($V$6:$V118)+1,""))</f>
        <v/>
      </c>
      <c r="W119">
        <f>IFERROR(MATCH(113,$V$7:$V$306,0),"")</f>
        <v/>
      </c>
      <c r="X119">
        <f>IFERROR(MATCH(113,'HW Sets'!$S$7:$S$306,0),"")</f>
        <v/>
      </c>
      <c r="Y119">
        <f>IF($X119="","",INDEX('HW Sets'!$J$7:$J$306,$X119)&amp;"")</f>
        <v/>
      </c>
      <c r="Z119">
        <f>IF($Y119="","",IF(COUNTIF($Y$7:$Y119,$Y119)=1,1,""))</f>
        <v/>
      </c>
    </row>
    <row r="120">
      <c r="A120" s="175">
        <f>IF($Z120="","",$Y120)</f>
        <v/>
      </c>
      <c r="B120" s="176">
        <f>IF($Z120="","",IFERROR(INDEX('HW Sets'!$N$7:$N$306,MATCH($Y120,'HW Sets'!$M$7:$M$306,0)),""))</f>
        <v/>
      </c>
      <c r="C120" s="177">
        <f t="array" ref="C120">IF($Z120="","",_xlfn.TEXTJOIN(", ",TRUE,IF(tk_HWSET&amp;""=$Y120,tk_MARK,"")))</f>
        <v/>
      </c>
      <c r="D120" s="176">
        <f t="array" ref="D120">IF($Z120="","",SUM(IF(tk_HWSET&amp;""=$Y120,IFERROR(--tk_QTY,0),0)))</f>
        <v/>
      </c>
      <c r="E120" s="176">
        <f>IF($X120="","",IF(INDEX('HW Sets'!$C$7:$C$306,$X120)="","",INDEX('HW Sets'!$C$7:$C$306,$X120)))</f>
        <v/>
      </c>
      <c r="F120" s="176">
        <f>IF($X120="","",IF(INDEX('HW Sets'!$D$7:$D$306,$X120)="","",INDEX('HW Sets'!$D$7:$D$306,$X120)))</f>
        <v/>
      </c>
      <c r="G120" s="176">
        <f>IF($X120="","",IF(INDEX('HW Sets'!$E$7:$E$306,$X120)="","",INDEX('HW Sets'!$E$7:$E$306,$X120)))</f>
        <v/>
      </c>
      <c r="H120" s="176">
        <f>IF($X120="","",IF(INDEX('HW Sets'!$F$7:$F$306,$X120)="","",INDEX('HW Sets'!$F$7:$F$306,$X120)))</f>
        <v/>
      </c>
      <c r="I120" s="176">
        <f>IF($X120="","",IF(INDEX('HW Sets'!$G$7:$G$306,$X120)="","",INDEX('HW Sets'!$G$7:$G$306,$X120)))</f>
        <v/>
      </c>
      <c r="J120" s="176">
        <f>IF($X120="","",IF(INDEX('HW Sets'!$H$7:$H$306,$X120)="","",INDEX('HW Sets'!$H$7:$H$306,$X120)))</f>
        <v/>
      </c>
      <c r="K120" s="175">
        <f t="array" ref="K120">IF($X120="","",N($E120)*SUM(IF(tk_HWSET&amp;""=$Y120,IFERROR(--tk_QTY,0),0)))</f>
        <v/>
      </c>
      <c r="L120" s="176">
        <f>IF($X120="","",IF(INDEX('HW Sets'!$I$7:$I$306,$X120)="","",INDEX('HW Sets'!$I$7:$I$306,$X120)))</f>
        <v/>
      </c>
      <c r="N120" s="176">
        <f>IF($W120="","",INDEX($G$7:$G$306,$W120)&amp;"")</f>
        <v/>
      </c>
      <c r="O120" s="176">
        <f>IF($W120="","",INDEX($H$7:$H$306,$W120)&amp;"")</f>
        <v/>
      </c>
      <c r="P120" s="176">
        <f>IF($W120="","",INDEX($I$7:$I$306,$W120)&amp;"")</f>
        <v/>
      </c>
      <c r="Q120" s="176">
        <f>IF($W120="","",INDEX($J$7:$J$306,$W120)&amp;"")</f>
        <v/>
      </c>
      <c r="R120" s="176">
        <f>IF($W120="","",INDEX($F$7:$F$306,$W120)&amp;"")</f>
        <v/>
      </c>
      <c r="S120" s="175">
        <f>IF($W120="","",SUMIF($U$7:$U$306,INDEX($U$7:$U$306,$W120),$K$7:$K$306))</f>
        <v/>
      </c>
      <c r="U120">
        <f>IF(OR($X120="",N($K120)=0),"",UPPER(TRIM($G120&amp;"|"&amp;$H120&amp;"|"&amp;$I120&amp;"|"&amp;$J120&amp;"|"&amp;$F120)))</f>
        <v/>
      </c>
      <c r="V120">
        <f>IF($U120="","",IF(COUNTIF($U$7:$U120,$U120)=1,MAX($V$6:$V119)+1,""))</f>
        <v/>
      </c>
      <c r="W120">
        <f>IFERROR(MATCH(114,$V$7:$V$306,0),"")</f>
        <v/>
      </c>
      <c r="X120">
        <f>IFERROR(MATCH(114,'HW Sets'!$S$7:$S$306,0),"")</f>
        <v/>
      </c>
      <c r="Y120">
        <f>IF($X120="","",INDEX('HW Sets'!$J$7:$J$306,$X120)&amp;"")</f>
        <v/>
      </c>
      <c r="Z120">
        <f>IF($Y120="","",IF(COUNTIF($Y$7:$Y120,$Y120)=1,1,""))</f>
        <v/>
      </c>
    </row>
    <row r="121">
      <c r="A121" s="175">
        <f>IF($Z121="","",$Y121)</f>
        <v/>
      </c>
      <c r="B121" s="176">
        <f>IF($Z121="","",IFERROR(INDEX('HW Sets'!$N$7:$N$306,MATCH($Y121,'HW Sets'!$M$7:$M$306,0)),""))</f>
        <v/>
      </c>
      <c r="C121" s="177">
        <f t="array" ref="C121">IF($Z121="","",_xlfn.TEXTJOIN(", ",TRUE,IF(tk_HWSET&amp;""=$Y121,tk_MARK,"")))</f>
        <v/>
      </c>
      <c r="D121" s="176">
        <f t="array" ref="D121">IF($Z121="","",SUM(IF(tk_HWSET&amp;""=$Y121,IFERROR(--tk_QTY,0),0)))</f>
        <v/>
      </c>
      <c r="E121" s="176">
        <f>IF($X121="","",IF(INDEX('HW Sets'!$C$7:$C$306,$X121)="","",INDEX('HW Sets'!$C$7:$C$306,$X121)))</f>
        <v/>
      </c>
      <c r="F121" s="176">
        <f>IF($X121="","",IF(INDEX('HW Sets'!$D$7:$D$306,$X121)="","",INDEX('HW Sets'!$D$7:$D$306,$X121)))</f>
        <v/>
      </c>
      <c r="G121" s="176">
        <f>IF($X121="","",IF(INDEX('HW Sets'!$E$7:$E$306,$X121)="","",INDEX('HW Sets'!$E$7:$E$306,$X121)))</f>
        <v/>
      </c>
      <c r="H121" s="176">
        <f>IF($X121="","",IF(INDEX('HW Sets'!$F$7:$F$306,$X121)="","",INDEX('HW Sets'!$F$7:$F$306,$X121)))</f>
        <v/>
      </c>
      <c r="I121" s="176">
        <f>IF($X121="","",IF(INDEX('HW Sets'!$G$7:$G$306,$X121)="","",INDEX('HW Sets'!$G$7:$G$306,$X121)))</f>
        <v/>
      </c>
      <c r="J121" s="176">
        <f>IF($X121="","",IF(INDEX('HW Sets'!$H$7:$H$306,$X121)="","",INDEX('HW Sets'!$H$7:$H$306,$X121)))</f>
        <v/>
      </c>
      <c r="K121" s="175">
        <f t="array" ref="K121">IF($X121="","",N($E121)*SUM(IF(tk_HWSET&amp;""=$Y121,IFERROR(--tk_QTY,0),0)))</f>
        <v/>
      </c>
      <c r="L121" s="176">
        <f>IF($X121="","",IF(INDEX('HW Sets'!$I$7:$I$306,$X121)="","",INDEX('HW Sets'!$I$7:$I$306,$X121)))</f>
        <v/>
      </c>
      <c r="N121" s="176">
        <f>IF($W121="","",INDEX($G$7:$G$306,$W121)&amp;"")</f>
        <v/>
      </c>
      <c r="O121" s="176">
        <f>IF($W121="","",INDEX($H$7:$H$306,$W121)&amp;"")</f>
        <v/>
      </c>
      <c r="P121" s="176">
        <f>IF($W121="","",INDEX($I$7:$I$306,$W121)&amp;"")</f>
        <v/>
      </c>
      <c r="Q121" s="176">
        <f>IF($W121="","",INDEX($J$7:$J$306,$W121)&amp;"")</f>
        <v/>
      </c>
      <c r="R121" s="176">
        <f>IF($W121="","",INDEX($F$7:$F$306,$W121)&amp;"")</f>
        <v/>
      </c>
      <c r="S121" s="175">
        <f>IF($W121="","",SUMIF($U$7:$U$306,INDEX($U$7:$U$306,$W121),$K$7:$K$306))</f>
        <v/>
      </c>
      <c r="U121">
        <f>IF(OR($X121="",N($K121)=0),"",UPPER(TRIM($G121&amp;"|"&amp;$H121&amp;"|"&amp;$I121&amp;"|"&amp;$J121&amp;"|"&amp;$F121)))</f>
        <v/>
      </c>
      <c r="V121">
        <f>IF($U121="","",IF(COUNTIF($U$7:$U121,$U121)=1,MAX($V$6:$V120)+1,""))</f>
        <v/>
      </c>
      <c r="W121">
        <f>IFERROR(MATCH(115,$V$7:$V$306,0),"")</f>
        <v/>
      </c>
      <c r="X121">
        <f>IFERROR(MATCH(115,'HW Sets'!$S$7:$S$306,0),"")</f>
        <v/>
      </c>
      <c r="Y121">
        <f>IF($X121="","",INDEX('HW Sets'!$J$7:$J$306,$X121)&amp;"")</f>
        <v/>
      </c>
      <c r="Z121">
        <f>IF($Y121="","",IF(COUNTIF($Y$7:$Y121,$Y121)=1,1,""))</f>
        <v/>
      </c>
    </row>
    <row r="122">
      <c r="A122" s="175">
        <f>IF($Z122="","",$Y122)</f>
        <v/>
      </c>
      <c r="B122" s="176">
        <f>IF($Z122="","",IFERROR(INDEX('HW Sets'!$N$7:$N$306,MATCH($Y122,'HW Sets'!$M$7:$M$306,0)),""))</f>
        <v/>
      </c>
      <c r="C122" s="177">
        <f t="array" ref="C122">IF($Z122="","",_xlfn.TEXTJOIN(", ",TRUE,IF(tk_HWSET&amp;""=$Y122,tk_MARK,"")))</f>
        <v/>
      </c>
      <c r="D122" s="176">
        <f t="array" ref="D122">IF($Z122="","",SUM(IF(tk_HWSET&amp;""=$Y122,IFERROR(--tk_QTY,0),0)))</f>
        <v/>
      </c>
      <c r="E122" s="176">
        <f>IF($X122="","",IF(INDEX('HW Sets'!$C$7:$C$306,$X122)="","",INDEX('HW Sets'!$C$7:$C$306,$X122)))</f>
        <v/>
      </c>
      <c r="F122" s="176">
        <f>IF($X122="","",IF(INDEX('HW Sets'!$D$7:$D$306,$X122)="","",INDEX('HW Sets'!$D$7:$D$306,$X122)))</f>
        <v/>
      </c>
      <c r="G122" s="176">
        <f>IF($X122="","",IF(INDEX('HW Sets'!$E$7:$E$306,$X122)="","",INDEX('HW Sets'!$E$7:$E$306,$X122)))</f>
        <v/>
      </c>
      <c r="H122" s="176">
        <f>IF($X122="","",IF(INDEX('HW Sets'!$F$7:$F$306,$X122)="","",INDEX('HW Sets'!$F$7:$F$306,$X122)))</f>
        <v/>
      </c>
      <c r="I122" s="176">
        <f>IF($X122="","",IF(INDEX('HW Sets'!$G$7:$G$306,$X122)="","",INDEX('HW Sets'!$G$7:$G$306,$X122)))</f>
        <v/>
      </c>
      <c r="J122" s="176">
        <f>IF($X122="","",IF(INDEX('HW Sets'!$H$7:$H$306,$X122)="","",INDEX('HW Sets'!$H$7:$H$306,$X122)))</f>
        <v/>
      </c>
      <c r="K122" s="175">
        <f t="array" ref="K122">IF($X122="","",N($E122)*SUM(IF(tk_HWSET&amp;""=$Y122,IFERROR(--tk_QTY,0),0)))</f>
        <v/>
      </c>
      <c r="L122" s="176">
        <f>IF($X122="","",IF(INDEX('HW Sets'!$I$7:$I$306,$X122)="","",INDEX('HW Sets'!$I$7:$I$306,$X122)))</f>
        <v/>
      </c>
      <c r="N122" s="176">
        <f>IF($W122="","",INDEX($G$7:$G$306,$W122)&amp;"")</f>
        <v/>
      </c>
      <c r="O122" s="176">
        <f>IF($W122="","",INDEX($H$7:$H$306,$W122)&amp;"")</f>
        <v/>
      </c>
      <c r="P122" s="176">
        <f>IF($W122="","",INDEX($I$7:$I$306,$W122)&amp;"")</f>
        <v/>
      </c>
      <c r="Q122" s="176">
        <f>IF($W122="","",INDEX($J$7:$J$306,$W122)&amp;"")</f>
        <v/>
      </c>
      <c r="R122" s="176">
        <f>IF($W122="","",INDEX($F$7:$F$306,$W122)&amp;"")</f>
        <v/>
      </c>
      <c r="S122" s="175">
        <f>IF($W122="","",SUMIF($U$7:$U$306,INDEX($U$7:$U$306,$W122),$K$7:$K$306))</f>
        <v/>
      </c>
      <c r="U122">
        <f>IF(OR($X122="",N($K122)=0),"",UPPER(TRIM($G122&amp;"|"&amp;$H122&amp;"|"&amp;$I122&amp;"|"&amp;$J122&amp;"|"&amp;$F122)))</f>
        <v/>
      </c>
      <c r="V122">
        <f>IF($U122="","",IF(COUNTIF($U$7:$U122,$U122)=1,MAX($V$6:$V121)+1,""))</f>
        <v/>
      </c>
      <c r="W122">
        <f>IFERROR(MATCH(116,$V$7:$V$306,0),"")</f>
        <v/>
      </c>
      <c r="X122">
        <f>IFERROR(MATCH(116,'HW Sets'!$S$7:$S$306,0),"")</f>
        <v/>
      </c>
      <c r="Y122">
        <f>IF($X122="","",INDEX('HW Sets'!$J$7:$J$306,$X122)&amp;"")</f>
        <v/>
      </c>
      <c r="Z122">
        <f>IF($Y122="","",IF(COUNTIF($Y$7:$Y122,$Y122)=1,1,""))</f>
        <v/>
      </c>
    </row>
    <row r="123">
      <c r="A123" s="175">
        <f>IF($Z123="","",$Y123)</f>
        <v/>
      </c>
      <c r="B123" s="176">
        <f>IF($Z123="","",IFERROR(INDEX('HW Sets'!$N$7:$N$306,MATCH($Y123,'HW Sets'!$M$7:$M$306,0)),""))</f>
        <v/>
      </c>
      <c r="C123" s="177">
        <f t="array" ref="C123">IF($Z123="","",_xlfn.TEXTJOIN(", ",TRUE,IF(tk_HWSET&amp;""=$Y123,tk_MARK,"")))</f>
        <v/>
      </c>
      <c r="D123" s="176">
        <f t="array" ref="D123">IF($Z123="","",SUM(IF(tk_HWSET&amp;""=$Y123,IFERROR(--tk_QTY,0),0)))</f>
        <v/>
      </c>
      <c r="E123" s="176">
        <f>IF($X123="","",IF(INDEX('HW Sets'!$C$7:$C$306,$X123)="","",INDEX('HW Sets'!$C$7:$C$306,$X123)))</f>
        <v/>
      </c>
      <c r="F123" s="176">
        <f>IF($X123="","",IF(INDEX('HW Sets'!$D$7:$D$306,$X123)="","",INDEX('HW Sets'!$D$7:$D$306,$X123)))</f>
        <v/>
      </c>
      <c r="G123" s="176">
        <f>IF($X123="","",IF(INDEX('HW Sets'!$E$7:$E$306,$X123)="","",INDEX('HW Sets'!$E$7:$E$306,$X123)))</f>
        <v/>
      </c>
      <c r="H123" s="176">
        <f>IF($X123="","",IF(INDEX('HW Sets'!$F$7:$F$306,$X123)="","",INDEX('HW Sets'!$F$7:$F$306,$X123)))</f>
        <v/>
      </c>
      <c r="I123" s="176">
        <f>IF($X123="","",IF(INDEX('HW Sets'!$G$7:$G$306,$X123)="","",INDEX('HW Sets'!$G$7:$G$306,$X123)))</f>
        <v/>
      </c>
      <c r="J123" s="176">
        <f>IF($X123="","",IF(INDEX('HW Sets'!$H$7:$H$306,$X123)="","",INDEX('HW Sets'!$H$7:$H$306,$X123)))</f>
        <v/>
      </c>
      <c r="K123" s="175">
        <f t="array" ref="K123">IF($X123="","",N($E123)*SUM(IF(tk_HWSET&amp;""=$Y123,IFERROR(--tk_QTY,0),0)))</f>
        <v/>
      </c>
      <c r="L123" s="176">
        <f>IF($X123="","",IF(INDEX('HW Sets'!$I$7:$I$306,$X123)="","",INDEX('HW Sets'!$I$7:$I$306,$X123)))</f>
        <v/>
      </c>
      <c r="N123" s="176">
        <f>IF($W123="","",INDEX($G$7:$G$306,$W123)&amp;"")</f>
        <v/>
      </c>
      <c r="O123" s="176">
        <f>IF($W123="","",INDEX($H$7:$H$306,$W123)&amp;"")</f>
        <v/>
      </c>
      <c r="P123" s="176">
        <f>IF($W123="","",INDEX($I$7:$I$306,$W123)&amp;"")</f>
        <v/>
      </c>
      <c r="Q123" s="176">
        <f>IF($W123="","",INDEX($J$7:$J$306,$W123)&amp;"")</f>
        <v/>
      </c>
      <c r="R123" s="176">
        <f>IF($W123="","",INDEX($F$7:$F$306,$W123)&amp;"")</f>
        <v/>
      </c>
      <c r="S123" s="175">
        <f>IF($W123="","",SUMIF($U$7:$U$306,INDEX($U$7:$U$306,$W123),$K$7:$K$306))</f>
        <v/>
      </c>
      <c r="U123">
        <f>IF(OR($X123="",N($K123)=0),"",UPPER(TRIM($G123&amp;"|"&amp;$H123&amp;"|"&amp;$I123&amp;"|"&amp;$J123&amp;"|"&amp;$F123)))</f>
        <v/>
      </c>
      <c r="V123">
        <f>IF($U123="","",IF(COUNTIF($U$7:$U123,$U123)=1,MAX($V$6:$V122)+1,""))</f>
        <v/>
      </c>
      <c r="W123">
        <f>IFERROR(MATCH(117,$V$7:$V$306,0),"")</f>
        <v/>
      </c>
      <c r="X123">
        <f>IFERROR(MATCH(117,'HW Sets'!$S$7:$S$306,0),"")</f>
        <v/>
      </c>
      <c r="Y123">
        <f>IF($X123="","",INDEX('HW Sets'!$J$7:$J$306,$X123)&amp;"")</f>
        <v/>
      </c>
      <c r="Z123">
        <f>IF($Y123="","",IF(COUNTIF($Y$7:$Y123,$Y123)=1,1,""))</f>
        <v/>
      </c>
    </row>
    <row r="124">
      <c r="A124" s="175">
        <f>IF($Z124="","",$Y124)</f>
        <v/>
      </c>
      <c r="B124" s="176">
        <f>IF($Z124="","",IFERROR(INDEX('HW Sets'!$N$7:$N$306,MATCH($Y124,'HW Sets'!$M$7:$M$306,0)),""))</f>
        <v/>
      </c>
      <c r="C124" s="177">
        <f t="array" ref="C124">IF($Z124="","",_xlfn.TEXTJOIN(", ",TRUE,IF(tk_HWSET&amp;""=$Y124,tk_MARK,"")))</f>
        <v/>
      </c>
      <c r="D124" s="176">
        <f t="array" ref="D124">IF($Z124="","",SUM(IF(tk_HWSET&amp;""=$Y124,IFERROR(--tk_QTY,0),0)))</f>
        <v/>
      </c>
      <c r="E124" s="176">
        <f>IF($X124="","",IF(INDEX('HW Sets'!$C$7:$C$306,$X124)="","",INDEX('HW Sets'!$C$7:$C$306,$X124)))</f>
        <v/>
      </c>
      <c r="F124" s="176">
        <f>IF($X124="","",IF(INDEX('HW Sets'!$D$7:$D$306,$X124)="","",INDEX('HW Sets'!$D$7:$D$306,$X124)))</f>
        <v/>
      </c>
      <c r="G124" s="176">
        <f>IF($X124="","",IF(INDEX('HW Sets'!$E$7:$E$306,$X124)="","",INDEX('HW Sets'!$E$7:$E$306,$X124)))</f>
        <v/>
      </c>
      <c r="H124" s="176">
        <f>IF($X124="","",IF(INDEX('HW Sets'!$F$7:$F$306,$X124)="","",INDEX('HW Sets'!$F$7:$F$306,$X124)))</f>
        <v/>
      </c>
      <c r="I124" s="176">
        <f>IF($X124="","",IF(INDEX('HW Sets'!$G$7:$G$306,$X124)="","",INDEX('HW Sets'!$G$7:$G$306,$X124)))</f>
        <v/>
      </c>
      <c r="J124" s="176">
        <f>IF($X124="","",IF(INDEX('HW Sets'!$H$7:$H$306,$X124)="","",INDEX('HW Sets'!$H$7:$H$306,$X124)))</f>
        <v/>
      </c>
      <c r="K124" s="175">
        <f t="array" ref="K124">IF($X124="","",N($E124)*SUM(IF(tk_HWSET&amp;""=$Y124,IFERROR(--tk_QTY,0),0)))</f>
        <v/>
      </c>
      <c r="L124" s="176">
        <f>IF($X124="","",IF(INDEX('HW Sets'!$I$7:$I$306,$X124)="","",INDEX('HW Sets'!$I$7:$I$306,$X124)))</f>
        <v/>
      </c>
      <c r="N124" s="176">
        <f>IF($W124="","",INDEX($G$7:$G$306,$W124)&amp;"")</f>
        <v/>
      </c>
      <c r="O124" s="176">
        <f>IF($W124="","",INDEX($H$7:$H$306,$W124)&amp;"")</f>
        <v/>
      </c>
      <c r="P124" s="176">
        <f>IF($W124="","",INDEX($I$7:$I$306,$W124)&amp;"")</f>
        <v/>
      </c>
      <c r="Q124" s="176">
        <f>IF($W124="","",INDEX($J$7:$J$306,$W124)&amp;"")</f>
        <v/>
      </c>
      <c r="R124" s="176">
        <f>IF($W124="","",INDEX($F$7:$F$306,$W124)&amp;"")</f>
        <v/>
      </c>
      <c r="S124" s="175">
        <f>IF($W124="","",SUMIF($U$7:$U$306,INDEX($U$7:$U$306,$W124),$K$7:$K$306))</f>
        <v/>
      </c>
      <c r="U124">
        <f>IF(OR($X124="",N($K124)=0),"",UPPER(TRIM($G124&amp;"|"&amp;$H124&amp;"|"&amp;$I124&amp;"|"&amp;$J124&amp;"|"&amp;$F124)))</f>
        <v/>
      </c>
      <c r="V124">
        <f>IF($U124="","",IF(COUNTIF($U$7:$U124,$U124)=1,MAX($V$6:$V123)+1,""))</f>
        <v/>
      </c>
      <c r="W124">
        <f>IFERROR(MATCH(118,$V$7:$V$306,0),"")</f>
        <v/>
      </c>
      <c r="X124">
        <f>IFERROR(MATCH(118,'HW Sets'!$S$7:$S$306,0),"")</f>
        <v/>
      </c>
      <c r="Y124">
        <f>IF($X124="","",INDEX('HW Sets'!$J$7:$J$306,$X124)&amp;"")</f>
        <v/>
      </c>
      <c r="Z124">
        <f>IF($Y124="","",IF(COUNTIF($Y$7:$Y124,$Y124)=1,1,""))</f>
        <v/>
      </c>
    </row>
    <row r="125">
      <c r="A125" s="175">
        <f>IF($Z125="","",$Y125)</f>
        <v/>
      </c>
      <c r="B125" s="176">
        <f>IF($Z125="","",IFERROR(INDEX('HW Sets'!$N$7:$N$306,MATCH($Y125,'HW Sets'!$M$7:$M$306,0)),""))</f>
        <v/>
      </c>
      <c r="C125" s="177">
        <f t="array" ref="C125">IF($Z125="","",_xlfn.TEXTJOIN(", ",TRUE,IF(tk_HWSET&amp;""=$Y125,tk_MARK,"")))</f>
        <v/>
      </c>
      <c r="D125" s="176">
        <f t="array" ref="D125">IF($Z125="","",SUM(IF(tk_HWSET&amp;""=$Y125,IFERROR(--tk_QTY,0),0)))</f>
        <v/>
      </c>
      <c r="E125" s="176">
        <f>IF($X125="","",IF(INDEX('HW Sets'!$C$7:$C$306,$X125)="","",INDEX('HW Sets'!$C$7:$C$306,$X125)))</f>
        <v/>
      </c>
      <c r="F125" s="176">
        <f>IF($X125="","",IF(INDEX('HW Sets'!$D$7:$D$306,$X125)="","",INDEX('HW Sets'!$D$7:$D$306,$X125)))</f>
        <v/>
      </c>
      <c r="G125" s="176">
        <f>IF($X125="","",IF(INDEX('HW Sets'!$E$7:$E$306,$X125)="","",INDEX('HW Sets'!$E$7:$E$306,$X125)))</f>
        <v/>
      </c>
      <c r="H125" s="176">
        <f>IF($X125="","",IF(INDEX('HW Sets'!$F$7:$F$306,$X125)="","",INDEX('HW Sets'!$F$7:$F$306,$X125)))</f>
        <v/>
      </c>
      <c r="I125" s="176">
        <f>IF($X125="","",IF(INDEX('HW Sets'!$G$7:$G$306,$X125)="","",INDEX('HW Sets'!$G$7:$G$306,$X125)))</f>
        <v/>
      </c>
      <c r="J125" s="176">
        <f>IF($X125="","",IF(INDEX('HW Sets'!$H$7:$H$306,$X125)="","",INDEX('HW Sets'!$H$7:$H$306,$X125)))</f>
        <v/>
      </c>
      <c r="K125" s="175">
        <f t="array" ref="K125">IF($X125="","",N($E125)*SUM(IF(tk_HWSET&amp;""=$Y125,IFERROR(--tk_QTY,0),0)))</f>
        <v/>
      </c>
      <c r="L125" s="176">
        <f>IF($X125="","",IF(INDEX('HW Sets'!$I$7:$I$306,$X125)="","",INDEX('HW Sets'!$I$7:$I$306,$X125)))</f>
        <v/>
      </c>
      <c r="N125" s="176">
        <f>IF($W125="","",INDEX($G$7:$G$306,$W125)&amp;"")</f>
        <v/>
      </c>
      <c r="O125" s="176">
        <f>IF($W125="","",INDEX($H$7:$H$306,$W125)&amp;"")</f>
        <v/>
      </c>
      <c r="P125" s="176">
        <f>IF($W125="","",INDEX($I$7:$I$306,$W125)&amp;"")</f>
        <v/>
      </c>
      <c r="Q125" s="176">
        <f>IF($W125="","",INDEX($J$7:$J$306,$W125)&amp;"")</f>
        <v/>
      </c>
      <c r="R125" s="176">
        <f>IF($W125="","",INDEX($F$7:$F$306,$W125)&amp;"")</f>
        <v/>
      </c>
      <c r="S125" s="175">
        <f>IF($W125="","",SUMIF($U$7:$U$306,INDEX($U$7:$U$306,$W125),$K$7:$K$306))</f>
        <v/>
      </c>
      <c r="U125">
        <f>IF(OR($X125="",N($K125)=0),"",UPPER(TRIM($G125&amp;"|"&amp;$H125&amp;"|"&amp;$I125&amp;"|"&amp;$J125&amp;"|"&amp;$F125)))</f>
        <v/>
      </c>
      <c r="V125">
        <f>IF($U125="","",IF(COUNTIF($U$7:$U125,$U125)=1,MAX($V$6:$V124)+1,""))</f>
        <v/>
      </c>
      <c r="W125">
        <f>IFERROR(MATCH(119,$V$7:$V$306,0),"")</f>
        <v/>
      </c>
      <c r="X125">
        <f>IFERROR(MATCH(119,'HW Sets'!$S$7:$S$306,0),"")</f>
        <v/>
      </c>
      <c r="Y125">
        <f>IF($X125="","",INDEX('HW Sets'!$J$7:$J$306,$X125)&amp;"")</f>
        <v/>
      </c>
      <c r="Z125">
        <f>IF($Y125="","",IF(COUNTIF($Y$7:$Y125,$Y125)=1,1,""))</f>
        <v/>
      </c>
    </row>
    <row r="126">
      <c r="A126" s="175">
        <f>IF($Z126="","",$Y126)</f>
        <v/>
      </c>
      <c r="B126" s="176">
        <f>IF($Z126="","",IFERROR(INDEX('HW Sets'!$N$7:$N$306,MATCH($Y126,'HW Sets'!$M$7:$M$306,0)),""))</f>
        <v/>
      </c>
      <c r="C126" s="177">
        <f t="array" ref="C126">IF($Z126="","",_xlfn.TEXTJOIN(", ",TRUE,IF(tk_HWSET&amp;""=$Y126,tk_MARK,"")))</f>
        <v/>
      </c>
      <c r="D126" s="176">
        <f t="array" ref="D126">IF($Z126="","",SUM(IF(tk_HWSET&amp;""=$Y126,IFERROR(--tk_QTY,0),0)))</f>
        <v/>
      </c>
      <c r="E126" s="176">
        <f>IF($X126="","",IF(INDEX('HW Sets'!$C$7:$C$306,$X126)="","",INDEX('HW Sets'!$C$7:$C$306,$X126)))</f>
        <v/>
      </c>
      <c r="F126" s="176">
        <f>IF($X126="","",IF(INDEX('HW Sets'!$D$7:$D$306,$X126)="","",INDEX('HW Sets'!$D$7:$D$306,$X126)))</f>
        <v/>
      </c>
      <c r="G126" s="176">
        <f>IF($X126="","",IF(INDEX('HW Sets'!$E$7:$E$306,$X126)="","",INDEX('HW Sets'!$E$7:$E$306,$X126)))</f>
        <v/>
      </c>
      <c r="H126" s="176">
        <f>IF($X126="","",IF(INDEX('HW Sets'!$F$7:$F$306,$X126)="","",INDEX('HW Sets'!$F$7:$F$306,$X126)))</f>
        <v/>
      </c>
      <c r="I126" s="176">
        <f>IF($X126="","",IF(INDEX('HW Sets'!$G$7:$G$306,$X126)="","",INDEX('HW Sets'!$G$7:$G$306,$X126)))</f>
        <v/>
      </c>
      <c r="J126" s="176">
        <f>IF($X126="","",IF(INDEX('HW Sets'!$H$7:$H$306,$X126)="","",INDEX('HW Sets'!$H$7:$H$306,$X126)))</f>
        <v/>
      </c>
      <c r="K126" s="175">
        <f t="array" ref="K126">IF($X126="","",N($E126)*SUM(IF(tk_HWSET&amp;""=$Y126,IFERROR(--tk_QTY,0),0)))</f>
        <v/>
      </c>
      <c r="L126" s="176">
        <f>IF($X126="","",IF(INDEX('HW Sets'!$I$7:$I$306,$X126)="","",INDEX('HW Sets'!$I$7:$I$306,$X126)))</f>
        <v/>
      </c>
      <c r="N126" s="176">
        <f>IF($W126="","",INDEX($G$7:$G$306,$W126)&amp;"")</f>
        <v/>
      </c>
      <c r="O126" s="176">
        <f>IF($W126="","",INDEX($H$7:$H$306,$W126)&amp;"")</f>
        <v/>
      </c>
      <c r="P126" s="176">
        <f>IF($W126="","",INDEX($I$7:$I$306,$W126)&amp;"")</f>
        <v/>
      </c>
      <c r="Q126" s="176">
        <f>IF($W126="","",INDEX($J$7:$J$306,$W126)&amp;"")</f>
        <v/>
      </c>
      <c r="R126" s="176">
        <f>IF($W126="","",INDEX($F$7:$F$306,$W126)&amp;"")</f>
        <v/>
      </c>
      <c r="S126" s="175">
        <f>IF($W126="","",SUMIF($U$7:$U$306,INDEX($U$7:$U$306,$W126),$K$7:$K$306))</f>
        <v/>
      </c>
      <c r="U126">
        <f>IF(OR($X126="",N($K126)=0),"",UPPER(TRIM($G126&amp;"|"&amp;$H126&amp;"|"&amp;$I126&amp;"|"&amp;$J126&amp;"|"&amp;$F126)))</f>
        <v/>
      </c>
      <c r="V126">
        <f>IF($U126="","",IF(COUNTIF($U$7:$U126,$U126)=1,MAX($V$6:$V125)+1,""))</f>
        <v/>
      </c>
      <c r="W126">
        <f>IFERROR(MATCH(120,$V$7:$V$306,0),"")</f>
        <v/>
      </c>
      <c r="X126">
        <f>IFERROR(MATCH(120,'HW Sets'!$S$7:$S$306,0),"")</f>
        <v/>
      </c>
      <c r="Y126">
        <f>IF($X126="","",INDEX('HW Sets'!$J$7:$J$306,$X126)&amp;"")</f>
        <v/>
      </c>
      <c r="Z126">
        <f>IF($Y126="","",IF(COUNTIF($Y$7:$Y126,$Y126)=1,1,""))</f>
        <v/>
      </c>
    </row>
    <row r="127">
      <c r="A127" s="175">
        <f>IF($Z127="","",$Y127)</f>
        <v/>
      </c>
      <c r="B127" s="176">
        <f>IF($Z127="","",IFERROR(INDEX('HW Sets'!$N$7:$N$306,MATCH($Y127,'HW Sets'!$M$7:$M$306,0)),""))</f>
        <v/>
      </c>
      <c r="C127" s="177">
        <f t="array" ref="C127">IF($Z127="","",_xlfn.TEXTJOIN(", ",TRUE,IF(tk_HWSET&amp;""=$Y127,tk_MARK,"")))</f>
        <v/>
      </c>
      <c r="D127" s="176">
        <f t="array" ref="D127">IF($Z127="","",SUM(IF(tk_HWSET&amp;""=$Y127,IFERROR(--tk_QTY,0),0)))</f>
        <v/>
      </c>
      <c r="E127" s="176">
        <f>IF($X127="","",IF(INDEX('HW Sets'!$C$7:$C$306,$X127)="","",INDEX('HW Sets'!$C$7:$C$306,$X127)))</f>
        <v/>
      </c>
      <c r="F127" s="176">
        <f>IF($X127="","",IF(INDEX('HW Sets'!$D$7:$D$306,$X127)="","",INDEX('HW Sets'!$D$7:$D$306,$X127)))</f>
        <v/>
      </c>
      <c r="G127" s="176">
        <f>IF($X127="","",IF(INDEX('HW Sets'!$E$7:$E$306,$X127)="","",INDEX('HW Sets'!$E$7:$E$306,$X127)))</f>
        <v/>
      </c>
      <c r="H127" s="176">
        <f>IF($X127="","",IF(INDEX('HW Sets'!$F$7:$F$306,$X127)="","",INDEX('HW Sets'!$F$7:$F$306,$X127)))</f>
        <v/>
      </c>
      <c r="I127" s="176">
        <f>IF($X127="","",IF(INDEX('HW Sets'!$G$7:$G$306,$X127)="","",INDEX('HW Sets'!$G$7:$G$306,$X127)))</f>
        <v/>
      </c>
      <c r="J127" s="176">
        <f>IF($X127="","",IF(INDEX('HW Sets'!$H$7:$H$306,$X127)="","",INDEX('HW Sets'!$H$7:$H$306,$X127)))</f>
        <v/>
      </c>
      <c r="K127" s="175">
        <f t="array" ref="K127">IF($X127="","",N($E127)*SUM(IF(tk_HWSET&amp;""=$Y127,IFERROR(--tk_QTY,0),0)))</f>
        <v/>
      </c>
      <c r="L127" s="176">
        <f>IF($X127="","",IF(INDEX('HW Sets'!$I$7:$I$306,$X127)="","",INDEX('HW Sets'!$I$7:$I$306,$X127)))</f>
        <v/>
      </c>
      <c r="N127" s="176">
        <f>IF($W127="","",INDEX($G$7:$G$306,$W127)&amp;"")</f>
        <v/>
      </c>
      <c r="O127" s="176">
        <f>IF($W127="","",INDEX($H$7:$H$306,$W127)&amp;"")</f>
        <v/>
      </c>
      <c r="P127" s="176">
        <f>IF($W127="","",INDEX($I$7:$I$306,$W127)&amp;"")</f>
        <v/>
      </c>
      <c r="Q127" s="176">
        <f>IF($W127="","",INDEX($J$7:$J$306,$W127)&amp;"")</f>
        <v/>
      </c>
      <c r="R127" s="176">
        <f>IF($W127="","",INDEX($F$7:$F$306,$W127)&amp;"")</f>
        <v/>
      </c>
      <c r="S127" s="175">
        <f>IF($W127="","",SUMIF($U$7:$U$306,INDEX($U$7:$U$306,$W127),$K$7:$K$306))</f>
        <v/>
      </c>
      <c r="U127">
        <f>IF(OR($X127="",N($K127)=0),"",UPPER(TRIM($G127&amp;"|"&amp;$H127&amp;"|"&amp;$I127&amp;"|"&amp;$J127&amp;"|"&amp;$F127)))</f>
        <v/>
      </c>
      <c r="V127">
        <f>IF($U127="","",IF(COUNTIF($U$7:$U127,$U127)=1,MAX($V$6:$V126)+1,""))</f>
        <v/>
      </c>
      <c r="W127">
        <f>IFERROR(MATCH(121,$V$7:$V$306,0),"")</f>
        <v/>
      </c>
      <c r="X127">
        <f>IFERROR(MATCH(121,'HW Sets'!$S$7:$S$306,0),"")</f>
        <v/>
      </c>
      <c r="Y127">
        <f>IF($X127="","",INDEX('HW Sets'!$J$7:$J$306,$X127)&amp;"")</f>
        <v/>
      </c>
      <c r="Z127">
        <f>IF($Y127="","",IF(COUNTIF($Y$7:$Y127,$Y127)=1,1,""))</f>
        <v/>
      </c>
    </row>
    <row r="128">
      <c r="A128" s="175">
        <f>IF($Z128="","",$Y128)</f>
        <v/>
      </c>
      <c r="B128" s="176">
        <f>IF($Z128="","",IFERROR(INDEX('HW Sets'!$N$7:$N$306,MATCH($Y128,'HW Sets'!$M$7:$M$306,0)),""))</f>
        <v/>
      </c>
      <c r="C128" s="177">
        <f t="array" ref="C128">IF($Z128="","",_xlfn.TEXTJOIN(", ",TRUE,IF(tk_HWSET&amp;""=$Y128,tk_MARK,"")))</f>
        <v/>
      </c>
      <c r="D128" s="176">
        <f t="array" ref="D128">IF($Z128="","",SUM(IF(tk_HWSET&amp;""=$Y128,IFERROR(--tk_QTY,0),0)))</f>
        <v/>
      </c>
      <c r="E128" s="176">
        <f>IF($X128="","",IF(INDEX('HW Sets'!$C$7:$C$306,$X128)="","",INDEX('HW Sets'!$C$7:$C$306,$X128)))</f>
        <v/>
      </c>
      <c r="F128" s="176">
        <f>IF($X128="","",IF(INDEX('HW Sets'!$D$7:$D$306,$X128)="","",INDEX('HW Sets'!$D$7:$D$306,$X128)))</f>
        <v/>
      </c>
      <c r="G128" s="176">
        <f>IF($X128="","",IF(INDEX('HW Sets'!$E$7:$E$306,$X128)="","",INDEX('HW Sets'!$E$7:$E$306,$X128)))</f>
        <v/>
      </c>
      <c r="H128" s="176">
        <f>IF($X128="","",IF(INDEX('HW Sets'!$F$7:$F$306,$X128)="","",INDEX('HW Sets'!$F$7:$F$306,$X128)))</f>
        <v/>
      </c>
      <c r="I128" s="176">
        <f>IF($X128="","",IF(INDEX('HW Sets'!$G$7:$G$306,$X128)="","",INDEX('HW Sets'!$G$7:$G$306,$X128)))</f>
        <v/>
      </c>
      <c r="J128" s="176">
        <f>IF($X128="","",IF(INDEX('HW Sets'!$H$7:$H$306,$X128)="","",INDEX('HW Sets'!$H$7:$H$306,$X128)))</f>
        <v/>
      </c>
      <c r="K128" s="175">
        <f t="array" ref="K128">IF($X128="","",N($E128)*SUM(IF(tk_HWSET&amp;""=$Y128,IFERROR(--tk_QTY,0),0)))</f>
        <v/>
      </c>
      <c r="L128" s="176">
        <f>IF($X128="","",IF(INDEX('HW Sets'!$I$7:$I$306,$X128)="","",INDEX('HW Sets'!$I$7:$I$306,$X128)))</f>
        <v/>
      </c>
      <c r="N128" s="176">
        <f>IF($W128="","",INDEX($G$7:$G$306,$W128)&amp;"")</f>
        <v/>
      </c>
      <c r="O128" s="176">
        <f>IF($W128="","",INDEX($H$7:$H$306,$W128)&amp;"")</f>
        <v/>
      </c>
      <c r="P128" s="176">
        <f>IF($W128="","",INDEX($I$7:$I$306,$W128)&amp;"")</f>
        <v/>
      </c>
      <c r="Q128" s="176">
        <f>IF($W128="","",INDEX($J$7:$J$306,$W128)&amp;"")</f>
        <v/>
      </c>
      <c r="R128" s="176">
        <f>IF($W128="","",INDEX($F$7:$F$306,$W128)&amp;"")</f>
        <v/>
      </c>
      <c r="S128" s="175">
        <f>IF($W128="","",SUMIF($U$7:$U$306,INDEX($U$7:$U$306,$W128),$K$7:$K$306))</f>
        <v/>
      </c>
      <c r="U128">
        <f>IF(OR($X128="",N($K128)=0),"",UPPER(TRIM($G128&amp;"|"&amp;$H128&amp;"|"&amp;$I128&amp;"|"&amp;$J128&amp;"|"&amp;$F128)))</f>
        <v/>
      </c>
      <c r="V128">
        <f>IF($U128="","",IF(COUNTIF($U$7:$U128,$U128)=1,MAX($V$6:$V127)+1,""))</f>
        <v/>
      </c>
      <c r="W128">
        <f>IFERROR(MATCH(122,$V$7:$V$306,0),"")</f>
        <v/>
      </c>
      <c r="X128">
        <f>IFERROR(MATCH(122,'HW Sets'!$S$7:$S$306,0),"")</f>
        <v/>
      </c>
      <c r="Y128">
        <f>IF($X128="","",INDEX('HW Sets'!$J$7:$J$306,$X128)&amp;"")</f>
        <v/>
      </c>
      <c r="Z128">
        <f>IF($Y128="","",IF(COUNTIF($Y$7:$Y128,$Y128)=1,1,""))</f>
        <v/>
      </c>
    </row>
    <row r="129">
      <c r="A129" s="175">
        <f>IF($Z129="","",$Y129)</f>
        <v/>
      </c>
      <c r="B129" s="176">
        <f>IF($Z129="","",IFERROR(INDEX('HW Sets'!$N$7:$N$306,MATCH($Y129,'HW Sets'!$M$7:$M$306,0)),""))</f>
        <v/>
      </c>
      <c r="C129" s="177">
        <f t="array" ref="C129">IF($Z129="","",_xlfn.TEXTJOIN(", ",TRUE,IF(tk_HWSET&amp;""=$Y129,tk_MARK,"")))</f>
        <v/>
      </c>
      <c r="D129" s="176">
        <f t="array" ref="D129">IF($Z129="","",SUM(IF(tk_HWSET&amp;""=$Y129,IFERROR(--tk_QTY,0),0)))</f>
        <v/>
      </c>
      <c r="E129" s="176">
        <f>IF($X129="","",IF(INDEX('HW Sets'!$C$7:$C$306,$X129)="","",INDEX('HW Sets'!$C$7:$C$306,$X129)))</f>
        <v/>
      </c>
      <c r="F129" s="176">
        <f>IF($X129="","",IF(INDEX('HW Sets'!$D$7:$D$306,$X129)="","",INDEX('HW Sets'!$D$7:$D$306,$X129)))</f>
        <v/>
      </c>
      <c r="G129" s="176">
        <f>IF($X129="","",IF(INDEX('HW Sets'!$E$7:$E$306,$X129)="","",INDEX('HW Sets'!$E$7:$E$306,$X129)))</f>
        <v/>
      </c>
      <c r="H129" s="176">
        <f>IF($X129="","",IF(INDEX('HW Sets'!$F$7:$F$306,$X129)="","",INDEX('HW Sets'!$F$7:$F$306,$X129)))</f>
        <v/>
      </c>
      <c r="I129" s="176">
        <f>IF($X129="","",IF(INDEX('HW Sets'!$G$7:$G$306,$X129)="","",INDEX('HW Sets'!$G$7:$G$306,$X129)))</f>
        <v/>
      </c>
      <c r="J129" s="176">
        <f>IF($X129="","",IF(INDEX('HW Sets'!$H$7:$H$306,$X129)="","",INDEX('HW Sets'!$H$7:$H$306,$X129)))</f>
        <v/>
      </c>
      <c r="K129" s="175">
        <f t="array" ref="K129">IF($X129="","",N($E129)*SUM(IF(tk_HWSET&amp;""=$Y129,IFERROR(--tk_QTY,0),0)))</f>
        <v/>
      </c>
      <c r="L129" s="176">
        <f>IF($X129="","",IF(INDEX('HW Sets'!$I$7:$I$306,$X129)="","",INDEX('HW Sets'!$I$7:$I$306,$X129)))</f>
        <v/>
      </c>
      <c r="N129" s="176">
        <f>IF($W129="","",INDEX($G$7:$G$306,$W129)&amp;"")</f>
        <v/>
      </c>
      <c r="O129" s="176">
        <f>IF($W129="","",INDEX($H$7:$H$306,$W129)&amp;"")</f>
        <v/>
      </c>
      <c r="P129" s="176">
        <f>IF($W129="","",INDEX($I$7:$I$306,$W129)&amp;"")</f>
        <v/>
      </c>
      <c r="Q129" s="176">
        <f>IF($W129="","",INDEX($J$7:$J$306,$W129)&amp;"")</f>
        <v/>
      </c>
      <c r="R129" s="176">
        <f>IF($W129="","",INDEX($F$7:$F$306,$W129)&amp;"")</f>
        <v/>
      </c>
      <c r="S129" s="175">
        <f>IF($W129="","",SUMIF($U$7:$U$306,INDEX($U$7:$U$306,$W129),$K$7:$K$306))</f>
        <v/>
      </c>
      <c r="U129">
        <f>IF(OR($X129="",N($K129)=0),"",UPPER(TRIM($G129&amp;"|"&amp;$H129&amp;"|"&amp;$I129&amp;"|"&amp;$J129&amp;"|"&amp;$F129)))</f>
        <v/>
      </c>
      <c r="V129">
        <f>IF($U129="","",IF(COUNTIF($U$7:$U129,$U129)=1,MAX($V$6:$V128)+1,""))</f>
        <v/>
      </c>
      <c r="W129">
        <f>IFERROR(MATCH(123,$V$7:$V$306,0),"")</f>
        <v/>
      </c>
      <c r="X129">
        <f>IFERROR(MATCH(123,'HW Sets'!$S$7:$S$306,0),"")</f>
        <v/>
      </c>
      <c r="Y129">
        <f>IF($X129="","",INDEX('HW Sets'!$J$7:$J$306,$X129)&amp;"")</f>
        <v/>
      </c>
      <c r="Z129">
        <f>IF($Y129="","",IF(COUNTIF($Y$7:$Y129,$Y129)=1,1,""))</f>
        <v/>
      </c>
    </row>
    <row r="130">
      <c r="A130" s="175">
        <f>IF($Z130="","",$Y130)</f>
        <v/>
      </c>
      <c r="B130" s="176">
        <f>IF($Z130="","",IFERROR(INDEX('HW Sets'!$N$7:$N$306,MATCH($Y130,'HW Sets'!$M$7:$M$306,0)),""))</f>
        <v/>
      </c>
      <c r="C130" s="177">
        <f t="array" ref="C130">IF($Z130="","",_xlfn.TEXTJOIN(", ",TRUE,IF(tk_HWSET&amp;""=$Y130,tk_MARK,"")))</f>
        <v/>
      </c>
      <c r="D130" s="176">
        <f t="array" ref="D130">IF($Z130="","",SUM(IF(tk_HWSET&amp;""=$Y130,IFERROR(--tk_QTY,0),0)))</f>
        <v/>
      </c>
      <c r="E130" s="176">
        <f>IF($X130="","",IF(INDEX('HW Sets'!$C$7:$C$306,$X130)="","",INDEX('HW Sets'!$C$7:$C$306,$X130)))</f>
        <v/>
      </c>
      <c r="F130" s="176">
        <f>IF($X130="","",IF(INDEX('HW Sets'!$D$7:$D$306,$X130)="","",INDEX('HW Sets'!$D$7:$D$306,$X130)))</f>
        <v/>
      </c>
      <c r="G130" s="176">
        <f>IF($X130="","",IF(INDEX('HW Sets'!$E$7:$E$306,$X130)="","",INDEX('HW Sets'!$E$7:$E$306,$X130)))</f>
        <v/>
      </c>
      <c r="H130" s="176">
        <f>IF($X130="","",IF(INDEX('HW Sets'!$F$7:$F$306,$X130)="","",INDEX('HW Sets'!$F$7:$F$306,$X130)))</f>
        <v/>
      </c>
      <c r="I130" s="176">
        <f>IF($X130="","",IF(INDEX('HW Sets'!$G$7:$G$306,$X130)="","",INDEX('HW Sets'!$G$7:$G$306,$X130)))</f>
        <v/>
      </c>
      <c r="J130" s="176">
        <f>IF($X130="","",IF(INDEX('HW Sets'!$H$7:$H$306,$X130)="","",INDEX('HW Sets'!$H$7:$H$306,$X130)))</f>
        <v/>
      </c>
      <c r="K130" s="175">
        <f t="array" ref="K130">IF($X130="","",N($E130)*SUM(IF(tk_HWSET&amp;""=$Y130,IFERROR(--tk_QTY,0),0)))</f>
        <v/>
      </c>
      <c r="L130" s="176">
        <f>IF($X130="","",IF(INDEX('HW Sets'!$I$7:$I$306,$X130)="","",INDEX('HW Sets'!$I$7:$I$306,$X130)))</f>
        <v/>
      </c>
      <c r="N130" s="176">
        <f>IF($W130="","",INDEX($G$7:$G$306,$W130)&amp;"")</f>
        <v/>
      </c>
      <c r="O130" s="176">
        <f>IF($W130="","",INDEX($H$7:$H$306,$W130)&amp;"")</f>
        <v/>
      </c>
      <c r="P130" s="176">
        <f>IF($W130="","",INDEX($I$7:$I$306,$W130)&amp;"")</f>
        <v/>
      </c>
      <c r="Q130" s="176">
        <f>IF($W130="","",INDEX($J$7:$J$306,$W130)&amp;"")</f>
        <v/>
      </c>
      <c r="R130" s="176">
        <f>IF($W130="","",INDEX($F$7:$F$306,$W130)&amp;"")</f>
        <v/>
      </c>
      <c r="S130" s="175">
        <f>IF($W130="","",SUMIF($U$7:$U$306,INDEX($U$7:$U$306,$W130),$K$7:$K$306))</f>
        <v/>
      </c>
      <c r="U130">
        <f>IF(OR($X130="",N($K130)=0),"",UPPER(TRIM($G130&amp;"|"&amp;$H130&amp;"|"&amp;$I130&amp;"|"&amp;$J130&amp;"|"&amp;$F130)))</f>
        <v/>
      </c>
      <c r="V130">
        <f>IF($U130="","",IF(COUNTIF($U$7:$U130,$U130)=1,MAX($V$6:$V129)+1,""))</f>
        <v/>
      </c>
      <c r="W130">
        <f>IFERROR(MATCH(124,$V$7:$V$306,0),"")</f>
        <v/>
      </c>
      <c r="X130">
        <f>IFERROR(MATCH(124,'HW Sets'!$S$7:$S$306,0),"")</f>
        <v/>
      </c>
      <c r="Y130">
        <f>IF($X130="","",INDEX('HW Sets'!$J$7:$J$306,$X130)&amp;"")</f>
        <v/>
      </c>
      <c r="Z130">
        <f>IF($Y130="","",IF(COUNTIF($Y$7:$Y130,$Y130)=1,1,""))</f>
        <v/>
      </c>
    </row>
    <row r="131">
      <c r="A131" s="175">
        <f>IF($Z131="","",$Y131)</f>
        <v/>
      </c>
      <c r="B131" s="176">
        <f>IF($Z131="","",IFERROR(INDEX('HW Sets'!$N$7:$N$306,MATCH($Y131,'HW Sets'!$M$7:$M$306,0)),""))</f>
        <v/>
      </c>
      <c r="C131" s="177">
        <f t="array" ref="C131">IF($Z131="","",_xlfn.TEXTJOIN(", ",TRUE,IF(tk_HWSET&amp;""=$Y131,tk_MARK,"")))</f>
        <v/>
      </c>
      <c r="D131" s="176">
        <f t="array" ref="D131">IF($Z131="","",SUM(IF(tk_HWSET&amp;""=$Y131,IFERROR(--tk_QTY,0),0)))</f>
        <v/>
      </c>
      <c r="E131" s="176">
        <f>IF($X131="","",IF(INDEX('HW Sets'!$C$7:$C$306,$X131)="","",INDEX('HW Sets'!$C$7:$C$306,$X131)))</f>
        <v/>
      </c>
      <c r="F131" s="176">
        <f>IF($X131="","",IF(INDEX('HW Sets'!$D$7:$D$306,$X131)="","",INDEX('HW Sets'!$D$7:$D$306,$X131)))</f>
        <v/>
      </c>
      <c r="G131" s="176">
        <f>IF($X131="","",IF(INDEX('HW Sets'!$E$7:$E$306,$X131)="","",INDEX('HW Sets'!$E$7:$E$306,$X131)))</f>
        <v/>
      </c>
      <c r="H131" s="176">
        <f>IF($X131="","",IF(INDEX('HW Sets'!$F$7:$F$306,$X131)="","",INDEX('HW Sets'!$F$7:$F$306,$X131)))</f>
        <v/>
      </c>
      <c r="I131" s="176">
        <f>IF($X131="","",IF(INDEX('HW Sets'!$G$7:$G$306,$X131)="","",INDEX('HW Sets'!$G$7:$G$306,$X131)))</f>
        <v/>
      </c>
      <c r="J131" s="176">
        <f>IF($X131="","",IF(INDEX('HW Sets'!$H$7:$H$306,$X131)="","",INDEX('HW Sets'!$H$7:$H$306,$X131)))</f>
        <v/>
      </c>
      <c r="K131" s="175">
        <f t="array" ref="K131">IF($X131="","",N($E131)*SUM(IF(tk_HWSET&amp;""=$Y131,IFERROR(--tk_QTY,0),0)))</f>
        <v/>
      </c>
      <c r="L131" s="176">
        <f>IF($X131="","",IF(INDEX('HW Sets'!$I$7:$I$306,$X131)="","",INDEX('HW Sets'!$I$7:$I$306,$X131)))</f>
        <v/>
      </c>
      <c r="N131" s="176">
        <f>IF($W131="","",INDEX($G$7:$G$306,$W131)&amp;"")</f>
        <v/>
      </c>
      <c r="O131" s="176">
        <f>IF($W131="","",INDEX($H$7:$H$306,$W131)&amp;"")</f>
        <v/>
      </c>
      <c r="P131" s="176">
        <f>IF($W131="","",INDEX($I$7:$I$306,$W131)&amp;"")</f>
        <v/>
      </c>
      <c r="Q131" s="176">
        <f>IF($W131="","",INDEX($J$7:$J$306,$W131)&amp;"")</f>
        <v/>
      </c>
      <c r="R131" s="176">
        <f>IF($W131="","",INDEX($F$7:$F$306,$W131)&amp;"")</f>
        <v/>
      </c>
      <c r="S131" s="175">
        <f>IF($W131="","",SUMIF($U$7:$U$306,INDEX($U$7:$U$306,$W131),$K$7:$K$306))</f>
        <v/>
      </c>
      <c r="U131">
        <f>IF(OR($X131="",N($K131)=0),"",UPPER(TRIM($G131&amp;"|"&amp;$H131&amp;"|"&amp;$I131&amp;"|"&amp;$J131&amp;"|"&amp;$F131)))</f>
        <v/>
      </c>
      <c r="V131">
        <f>IF($U131="","",IF(COUNTIF($U$7:$U131,$U131)=1,MAX($V$6:$V130)+1,""))</f>
        <v/>
      </c>
      <c r="W131">
        <f>IFERROR(MATCH(125,$V$7:$V$306,0),"")</f>
        <v/>
      </c>
      <c r="X131">
        <f>IFERROR(MATCH(125,'HW Sets'!$S$7:$S$306,0),"")</f>
        <v/>
      </c>
      <c r="Y131">
        <f>IF($X131="","",INDEX('HW Sets'!$J$7:$J$306,$X131)&amp;"")</f>
        <v/>
      </c>
      <c r="Z131">
        <f>IF($Y131="","",IF(COUNTIF($Y$7:$Y131,$Y131)=1,1,""))</f>
        <v/>
      </c>
    </row>
    <row r="132">
      <c r="A132" s="175">
        <f>IF($Z132="","",$Y132)</f>
        <v/>
      </c>
      <c r="B132" s="176">
        <f>IF($Z132="","",IFERROR(INDEX('HW Sets'!$N$7:$N$306,MATCH($Y132,'HW Sets'!$M$7:$M$306,0)),""))</f>
        <v/>
      </c>
      <c r="C132" s="177">
        <f t="array" ref="C132">IF($Z132="","",_xlfn.TEXTJOIN(", ",TRUE,IF(tk_HWSET&amp;""=$Y132,tk_MARK,"")))</f>
        <v/>
      </c>
      <c r="D132" s="176">
        <f t="array" ref="D132">IF($Z132="","",SUM(IF(tk_HWSET&amp;""=$Y132,IFERROR(--tk_QTY,0),0)))</f>
        <v/>
      </c>
      <c r="E132" s="176">
        <f>IF($X132="","",IF(INDEX('HW Sets'!$C$7:$C$306,$X132)="","",INDEX('HW Sets'!$C$7:$C$306,$X132)))</f>
        <v/>
      </c>
      <c r="F132" s="176">
        <f>IF($X132="","",IF(INDEX('HW Sets'!$D$7:$D$306,$X132)="","",INDEX('HW Sets'!$D$7:$D$306,$X132)))</f>
        <v/>
      </c>
      <c r="G132" s="176">
        <f>IF($X132="","",IF(INDEX('HW Sets'!$E$7:$E$306,$X132)="","",INDEX('HW Sets'!$E$7:$E$306,$X132)))</f>
        <v/>
      </c>
      <c r="H132" s="176">
        <f>IF($X132="","",IF(INDEX('HW Sets'!$F$7:$F$306,$X132)="","",INDEX('HW Sets'!$F$7:$F$306,$X132)))</f>
        <v/>
      </c>
      <c r="I132" s="176">
        <f>IF($X132="","",IF(INDEX('HW Sets'!$G$7:$G$306,$X132)="","",INDEX('HW Sets'!$G$7:$G$306,$X132)))</f>
        <v/>
      </c>
      <c r="J132" s="176">
        <f>IF($X132="","",IF(INDEX('HW Sets'!$H$7:$H$306,$X132)="","",INDEX('HW Sets'!$H$7:$H$306,$X132)))</f>
        <v/>
      </c>
      <c r="K132" s="175">
        <f t="array" ref="K132">IF($X132="","",N($E132)*SUM(IF(tk_HWSET&amp;""=$Y132,IFERROR(--tk_QTY,0),0)))</f>
        <v/>
      </c>
      <c r="L132" s="176">
        <f>IF($X132="","",IF(INDEX('HW Sets'!$I$7:$I$306,$X132)="","",INDEX('HW Sets'!$I$7:$I$306,$X132)))</f>
        <v/>
      </c>
      <c r="N132" s="176">
        <f>IF($W132="","",INDEX($G$7:$G$306,$W132)&amp;"")</f>
        <v/>
      </c>
      <c r="O132" s="176">
        <f>IF($W132="","",INDEX($H$7:$H$306,$W132)&amp;"")</f>
        <v/>
      </c>
      <c r="P132" s="176">
        <f>IF($W132="","",INDEX($I$7:$I$306,$W132)&amp;"")</f>
        <v/>
      </c>
      <c r="Q132" s="176">
        <f>IF($W132="","",INDEX($J$7:$J$306,$W132)&amp;"")</f>
        <v/>
      </c>
      <c r="R132" s="176">
        <f>IF($W132="","",INDEX($F$7:$F$306,$W132)&amp;"")</f>
        <v/>
      </c>
      <c r="S132" s="175">
        <f>IF($W132="","",SUMIF($U$7:$U$306,INDEX($U$7:$U$306,$W132),$K$7:$K$306))</f>
        <v/>
      </c>
      <c r="U132">
        <f>IF(OR($X132="",N($K132)=0),"",UPPER(TRIM($G132&amp;"|"&amp;$H132&amp;"|"&amp;$I132&amp;"|"&amp;$J132&amp;"|"&amp;$F132)))</f>
        <v/>
      </c>
      <c r="V132">
        <f>IF($U132="","",IF(COUNTIF($U$7:$U132,$U132)=1,MAX($V$6:$V131)+1,""))</f>
        <v/>
      </c>
      <c r="W132">
        <f>IFERROR(MATCH(126,$V$7:$V$306,0),"")</f>
        <v/>
      </c>
      <c r="X132">
        <f>IFERROR(MATCH(126,'HW Sets'!$S$7:$S$306,0),"")</f>
        <v/>
      </c>
      <c r="Y132">
        <f>IF($X132="","",INDEX('HW Sets'!$J$7:$J$306,$X132)&amp;"")</f>
        <v/>
      </c>
      <c r="Z132">
        <f>IF($Y132="","",IF(COUNTIF($Y$7:$Y132,$Y132)=1,1,""))</f>
        <v/>
      </c>
    </row>
    <row r="133">
      <c r="A133" s="175">
        <f>IF($Z133="","",$Y133)</f>
        <v/>
      </c>
      <c r="B133" s="176">
        <f>IF($Z133="","",IFERROR(INDEX('HW Sets'!$N$7:$N$306,MATCH($Y133,'HW Sets'!$M$7:$M$306,0)),""))</f>
        <v/>
      </c>
      <c r="C133" s="177">
        <f t="array" ref="C133">IF($Z133="","",_xlfn.TEXTJOIN(", ",TRUE,IF(tk_HWSET&amp;""=$Y133,tk_MARK,"")))</f>
        <v/>
      </c>
      <c r="D133" s="176">
        <f t="array" ref="D133">IF($Z133="","",SUM(IF(tk_HWSET&amp;""=$Y133,IFERROR(--tk_QTY,0),0)))</f>
        <v/>
      </c>
      <c r="E133" s="176">
        <f>IF($X133="","",IF(INDEX('HW Sets'!$C$7:$C$306,$X133)="","",INDEX('HW Sets'!$C$7:$C$306,$X133)))</f>
        <v/>
      </c>
      <c r="F133" s="176">
        <f>IF($X133="","",IF(INDEX('HW Sets'!$D$7:$D$306,$X133)="","",INDEX('HW Sets'!$D$7:$D$306,$X133)))</f>
        <v/>
      </c>
      <c r="G133" s="176">
        <f>IF($X133="","",IF(INDEX('HW Sets'!$E$7:$E$306,$X133)="","",INDEX('HW Sets'!$E$7:$E$306,$X133)))</f>
        <v/>
      </c>
      <c r="H133" s="176">
        <f>IF($X133="","",IF(INDEX('HW Sets'!$F$7:$F$306,$X133)="","",INDEX('HW Sets'!$F$7:$F$306,$X133)))</f>
        <v/>
      </c>
      <c r="I133" s="176">
        <f>IF($X133="","",IF(INDEX('HW Sets'!$G$7:$G$306,$X133)="","",INDEX('HW Sets'!$G$7:$G$306,$X133)))</f>
        <v/>
      </c>
      <c r="J133" s="176">
        <f>IF($X133="","",IF(INDEX('HW Sets'!$H$7:$H$306,$X133)="","",INDEX('HW Sets'!$H$7:$H$306,$X133)))</f>
        <v/>
      </c>
      <c r="K133" s="175">
        <f t="array" ref="K133">IF($X133="","",N($E133)*SUM(IF(tk_HWSET&amp;""=$Y133,IFERROR(--tk_QTY,0),0)))</f>
        <v/>
      </c>
      <c r="L133" s="176">
        <f>IF($X133="","",IF(INDEX('HW Sets'!$I$7:$I$306,$X133)="","",INDEX('HW Sets'!$I$7:$I$306,$X133)))</f>
        <v/>
      </c>
      <c r="N133" s="176">
        <f>IF($W133="","",INDEX($G$7:$G$306,$W133)&amp;"")</f>
        <v/>
      </c>
      <c r="O133" s="176">
        <f>IF($W133="","",INDEX($H$7:$H$306,$W133)&amp;"")</f>
        <v/>
      </c>
      <c r="P133" s="176">
        <f>IF($W133="","",INDEX($I$7:$I$306,$W133)&amp;"")</f>
        <v/>
      </c>
      <c r="Q133" s="176">
        <f>IF($W133="","",INDEX($J$7:$J$306,$W133)&amp;"")</f>
        <v/>
      </c>
      <c r="R133" s="176">
        <f>IF($W133="","",INDEX($F$7:$F$306,$W133)&amp;"")</f>
        <v/>
      </c>
      <c r="S133" s="175">
        <f>IF($W133="","",SUMIF($U$7:$U$306,INDEX($U$7:$U$306,$W133),$K$7:$K$306))</f>
        <v/>
      </c>
      <c r="U133">
        <f>IF(OR($X133="",N($K133)=0),"",UPPER(TRIM($G133&amp;"|"&amp;$H133&amp;"|"&amp;$I133&amp;"|"&amp;$J133&amp;"|"&amp;$F133)))</f>
        <v/>
      </c>
      <c r="V133">
        <f>IF($U133="","",IF(COUNTIF($U$7:$U133,$U133)=1,MAX($V$6:$V132)+1,""))</f>
        <v/>
      </c>
      <c r="W133">
        <f>IFERROR(MATCH(127,$V$7:$V$306,0),"")</f>
        <v/>
      </c>
      <c r="X133">
        <f>IFERROR(MATCH(127,'HW Sets'!$S$7:$S$306,0),"")</f>
        <v/>
      </c>
      <c r="Y133">
        <f>IF($X133="","",INDEX('HW Sets'!$J$7:$J$306,$X133)&amp;"")</f>
        <v/>
      </c>
      <c r="Z133">
        <f>IF($Y133="","",IF(COUNTIF($Y$7:$Y133,$Y133)=1,1,""))</f>
        <v/>
      </c>
    </row>
    <row r="134">
      <c r="A134" s="175">
        <f>IF($Z134="","",$Y134)</f>
        <v/>
      </c>
      <c r="B134" s="176">
        <f>IF($Z134="","",IFERROR(INDEX('HW Sets'!$N$7:$N$306,MATCH($Y134,'HW Sets'!$M$7:$M$306,0)),""))</f>
        <v/>
      </c>
      <c r="C134" s="177">
        <f t="array" ref="C134">IF($Z134="","",_xlfn.TEXTJOIN(", ",TRUE,IF(tk_HWSET&amp;""=$Y134,tk_MARK,"")))</f>
        <v/>
      </c>
      <c r="D134" s="176">
        <f t="array" ref="D134">IF($Z134="","",SUM(IF(tk_HWSET&amp;""=$Y134,IFERROR(--tk_QTY,0),0)))</f>
        <v/>
      </c>
      <c r="E134" s="176">
        <f>IF($X134="","",IF(INDEX('HW Sets'!$C$7:$C$306,$X134)="","",INDEX('HW Sets'!$C$7:$C$306,$X134)))</f>
        <v/>
      </c>
      <c r="F134" s="176">
        <f>IF($X134="","",IF(INDEX('HW Sets'!$D$7:$D$306,$X134)="","",INDEX('HW Sets'!$D$7:$D$306,$X134)))</f>
        <v/>
      </c>
      <c r="G134" s="176">
        <f>IF($X134="","",IF(INDEX('HW Sets'!$E$7:$E$306,$X134)="","",INDEX('HW Sets'!$E$7:$E$306,$X134)))</f>
        <v/>
      </c>
      <c r="H134" s="176">
        <f>IF($X134="","",IF(INDEX('HW Sets'!$F$7:$F$306,$X134)="","",INDEX('HW Sets'!$F$7:$F$306,$X134)))</f>
        <v/>
      </c>
      <c r="I134" s="176">
        <f>IF($X134="","",IF(INDEX('HW Sets'!$G$7:$G$306,$X134)="","",INDEX('HW Sets'!$G$7:$G$306,$X134)))</f>
        <v/>
      </c>
      <c r="J134" s="176">
        <f>IF($X134="","",IF(INDEX('HW Sets'!$H$7:$H$306,$X134)="","",INDEX('HW Sets'!$H$7:$H$306,$X134)))</f>
        <v/>
      </c>
      <c r="K134" s="175">
        <f t="array" ref="K134">IF($X134="","",N($E134)*SUM(IF(tk_HWSET&amp;""=$Y134,IFERROR(--tk_QTY,0),0)))</f>
        <v/>
      </c>
      <c r="L134" s="176">
        <f>IF($X134="","",IF(INDEX('HW Sets'!$I$7:$I$306,$X134)="","",INDEX('HW Sets'!$I$7:$I$306,$X134)))</f>
        <v/>
      </c>
      <c r="N134" s="176">
        <f>IF($W134="","",INDEX($G$7:$G$306,$W134)&amp;"")</f>
        <v/>
      </c>
      <c r="O134" s="176">
        <f>IF($W134="","",INDEX($H$7:$H$306,$W134)&amp;"")</f>
        <v/>
      </c>
      <c r="P134" s="176">
        <f>IF($W134="","",INDEX($I$7:$I$306,$W134)&amp;"")</f>
        <v/>
      </c>
      <c r="Q134" s="176">
        <f>IF($W134="","",INDEX($J$7:$J$306,$W134)&amp;"")</f>
        <v/>
      </c>
      <c r="R134" s="176">
        <f>IF($W134="","",INDEX($F$7:$F$306,$W134)&amp;"")</f>
        <v/>
      </c>
      <c r="S134" s="175">
        <f>IF($W134="","",SUMIF($U$7:$U$306,INDEX($U$7:$U$306,$W134),$K$7:$K$306))</f>
        <v/>
      </c>
      <c r="U134">
        <f>IF(OR($X134="",N($K134)=0),"",UPPER(TRIM($G134&amp;"|"&amp;$H134&amp;"|"&amp;$I134&amp;"|"&amp;$J134&amp;"|"&amp;$F134)))</f>
        <v/>
      </c>
      <c r="V134">
        <f>IF($U134="","",IF(COUNTIF($U$7:$U134,$U134)=1,MAX($V$6:$V133)+1,""))</f>
        <v/>
      </c>
      <c r="W134">
        <f>IFERROR(MATCH(128,$V$7:$V$306,0),"")</f>
        <v/>
      </c>
      <c r="X134">
        <f>IFERROR(MATCH(128,'HW Sets'!$S$7:$S$306,0),"")</f>
        <v/>
      </c>
      <c r="Y134">
        <f>IF($X134="","",INDEX('HW Sets'!$J$7:$J$306,$X134)&amp;"")</f>
        <v/>
      </c>
      <c r="Z134">
        <f>IF($Y134="","",IF(COUNTIF($Y$7:$Y134,$Y134)=1,1,""))</f>
        <v/>
      </c>
    </row>
    <row r="135">
      <c r="A135" s="175">
        <f>IF($Z135="","",$Y135)</f>
        <v/>
      </c>
      <c r="B135" s="176">
        <f>IF($Z135="","",IFERROR(INDEX('HW Sets'!$N$7:$N$306,MATCH($Y135,'HW Sets'!$M$7:$M$306,0)),""))</f>
        <v/>
      </c>
      <c r="C135" s="177">
        <f t="array" ref="C135">IF($Z135="","",_xlfn.TEXTJOIN(", ",TRUE,IF(tk_HWSET&amp;""=$Y135,tk_MARK,"")))</f>
        <v/>
      </c>
      <c r="D135" s="176">
        <f t="array" ref="D135">IF($Z135="","",SUM(IF(tk_HWSET&amp;""=$Y135,IFERROR(--tk_QTY,0),0)))</f>
        <v/>
      </c>
      <c r="E135" s="176">
        <f>IF($X135="","",IF(INDEX('HW Sets'!$C$7:$C$306,$X135)="","",INDEX('HW Sets'!$C$7:$C$306,$X135)))</f>
        <v/>
      </c>
      <c r="F135" s="176">
        <f>IF($X135="","",IF(INDEX('HW Sets'!$D$7:$D$306,$X135)="","",INDEX('HW Sets'!$D$7:$D$306,$X135)))</f>
        <v/>
      </c>
      <c r="G135" s="176">
        <f>IF($X135="","",IF(INDEX('HW Sets'!$E$7:$E$306,$X135)="","",INDEX('HW Sets'!$E$7:$E$306,$X135)))</f>
        <v/>
      </c>
      <c r="H135" s="176">
        <f>IF($X135="","",IF(INDEX('HW Sets'!$F$7:$F$306,$X135)="","",INDEX('HW Sets'!$F$7:$F$306,$X135)))</f>
        <v/>
      </c>
      <c r="I135" s="176">
        <f>IF($X135="","",IF(INDEX('HW Sets'!$G$7:$G$306,$X135)="","",INDEX('HW Sets'!$G$7:$G$306,$X135)))</f>
        <v/>
      </c>
      <c r="J135" s="176">
        <f>IF($X135="","",IF(INDEX('HW Sets'!$H$7:$H$306,$X135)="","",INDEX('HW Sets'!$H$7:$H$306,$X135)))</f>
        <v/>
      </c>
      <c r="K135" s="175">
        <f t="array" ref="K135">IF($X135="","",N($E135)*SUM(IF(tk_HWSET&amp;""=$Y135,IFERROR(--tk_QTY,0),0)))</f>
        <v/>
      </c>
      <c r="L135" s="176">
        <f>IF($X135="","",IF(INDEX('HW Sets'!$I$7:$I$306,$X135)="","",INDEX('HW Sets'!$I$7:$I$306,$X135)))</f>
        <v/>
      </c>
      <c r="N135" s="176">
        <f>IF($W135="","",INDEX($G$7:$G$306,$W135)&amp;"")</f>
        <v/>
      </c>
      <c r="O135" s="176">
        <f>IF($W135="","",INDEX($H$7:$H$306,$W135)&amp;"")</f>
        <v/>
      </c>
      <c r="P135" s="176">
        <f>IF($W135="","",INDEX($I$7:$I$306,$W135)&amp;"")</f>
        <v/>
      </c>
      <c r="Q135" s="176">
        <f>IF($W135="","",INDEX($J$7:$J$306,$W135)&amp;"")</f>
        <v/>
      </c>
      <c r="R135" s="176">
        <f>IF($W135="","",INDEX($F$7:$F$306,$W135)&amp;"")</f>
        <v/>
      </c>
      <c r="S135" s="175">
        <f>IF($W135="","",SUMIF($U$7:$U$306,INDEX($U$7:$U$306,$W135),$K$7:$K$306))</f>
        <v/>
      </c>
      <c r="U135">
        <f>IF(OR($X135="",N($K135)=0),"",UPPER(TRIM($G135&amp;"|"&amp;$H135&amp;"|"&amp;$I135&amp;"|"&amp;$J135&amp;"|"&amp;$F135)))</f>
        <v/>
      </c>
      <c r="V135">
        <f>IF($U135="","",IF(COUNTIF($U$7:$U135,$U135)=1,MAX($V$6:$V134)+1,""))</f>
        <v/>
      </c>
      <c r="W135">
        <f>IFERROR(MATCH(129,$V$7:$V$306,0),"")</f>
        <v/>
      </c>
      <c r="X135">
        <f>IFERROR(MATCH(129,'HW Sets'!$S$7:$S$306,0),"")</f>
        <v/>
      </c>
      <c r="Y135">
        <f>IF($X135="","",INDEX('HW Sets'!$J$7:$J$306,$X135)&amp;"")</f>
        <v/>
      </c>
      <c r="Z135">
        <f>IF($Y135="","",IF(COUNTIF($Y$7:$Y135,$Y135)=1,1,""))</f>
        <v/>
      </c>
    </row>
    <row r="136">
      <c r="A136" s="175">
        <f>IF($Z136="","",$Y136)</f>
        <v/>
      </c>
      <c r="B136" s="176">
        <f>IF($Z136="","",IFERROR(INDEX('HW Sets'!$N$7:$N$306,MATCH($Y136,'HW Sets'!$M$7:$M$306,0)),""))</f>
        <v/>
      </c>
      <c r="C136" s="177">
        <f t="array" ref="C136">IF($Z136="","",_xlfn.TEXTJOIN(", ",TRUE,IF(tk_HWSET&amp;""=$Y136,tk_MARK,"")))</f>
        <v/>
      </c>
      <c r="D136" s="176">
        <f t="array" ref="D136">IF($Z136="","",SUM(IF(tk_HWSET&amp;""=$Y136,IFERROR(--tk_QTY,0),0)))</f>
        <v/>
      </c>
      <c r="E136" s="176">
        <f>IF($X136="","",IF(INDEX('HW Sets'!$C$7:$C$306,$X136)="","",INDEX('HW Sets'!$C$7:$C$306,$X136)))</f>
        <v/>
      </c>
      <c r="F136" s="176">
        <f>IF($X136="","",IF(INDEX('HW Sets'!$D$7:$D$306,$X136)="","",INDEX('HW Sets'!$D$7:$D$306,$X136)))</f>
        <v/>
      </c>
      <c r="G136" s="176">
        <f>IF($X136="","",IF(INDEX('HW Sets'!$E$7:$E$306,$X136)="","",INDEX('HW Sets'!$E$7:$E$306,$X136)))</f>
        <v/>
      </c>
      <c r="H136" s="176">
        <f>IF($X136="","",IF(INDEX('HW Sets'!$F$7:$F$306,$X136)="","",INDEX('HW Sets'!$F$7:$F$306,$X136)))</f>
        <v/>
      </c>
      <c r="I136" s="176">
        <f>IF($X136="","",IF(INDEX('HW Sets'!$G$7:$G$306,$X136)="","",INDEX('HW Sets'!$G$7:$G$306,$X136)))</f>
        <v/>
      </c>
      <c r="J136" s="176">
        <f>IF($X136="","",IF(INDEX('HW Sets'!$H$7:$H$306,$X136)="","",INDEX('HW Sets'!$H$7:$H$306,$X136)))</f>
        <v/>
      </c>
      <c r="K136" s="175">
        <f t="array" ref="K136">IF($X136="","",N($E136)*SUM(IF(tk_HWSET&amp;""=$Y136,IFERROR(--tk_QTY,0),0)))</f>
        <v/>
      </c>
      <c r="L136" s="176">
        <f>IF($X136="","",IF(INDEX('HW Sets'!$I$7:$I$306,$X136)="","",INDEX('HW Sets'!$I$7:$I$306,$X136)))</f>
        <v/>
      </c>
      <c r="N136" s="176">
        <f>IF($W136="","",INDEX($G$7:$G$306,$W136)&amp;"")</f>
        <v/>
      </c>
      <c r="O136" s="176">
        <f>IF($W136="","",INDEX($H$7:$H$306,$W136)&amp;"")</f>
        <v/>
      </c>
      <c r="P136" s="176">
        <f>IF($W136="","",INDEX($I$7:$I$306,$W136)&amp;"")</f>
        <v/>
      </c>
      <c r="Q136" s="176">
        <f>IF($W136="","",INDEX($J$7:$J$306,$W136)&amp;"")</f>
        <v/>
      </c>
      <c r="R136" s="176">
        <f>IF($W136="","",INDEX($F$7:$F$306,$W136)&amp;"")</f>
        <v/>
      </c>
      <c r="S136" s="175">
        <f>IF($W136="","",SUMIF($U$7:$U$306,INDEX($U$7:$U$306,$W136),$K$7:$K$306))</f>
        <v/>
      </c>
      <c r="U136">
        <f>IF(OR($X136="",N($K136)=0),"",UPPER(TRIM($G136&amp;"|"&amp;$H136&amp;"|"&amp;$I136&amp;"|"&amp;$J136&amp;"|"&amp;$F136)))</f>
        <v/>
      </c>
      <c r="V136">
        <f>IF($U136="","",IF(COUNTIF($U$7:$U136,$U136)=1,MAX($V$6:$V135)+1,""))</f>
        <v/>
      </c>
      <c r="W136">
        <f>IFERROR(MATCH(130,$V$7:$V$306,0),"")</f>
        <v/>
      </c>
      <c r="X136">
        <f>IFERROR(MATCH(130,'HW Sets'!$S$7:$S$306,0),"")</f>
        <v/>
      </c>
      <c r="Y136">
        <f>IF($X136="","",INDEX('HW Sets'!$J$7:$J$306,$X136)&amp;"")</f>
        <v/>
      </c>
      <c r="Z136">
        <f>IF($Y136="","",IF(COUNTIF($Y$7:$Y136,$Y136)=1,1,""))</f>
        <v/>
      </c>
    </row>
    <row r="137">
      <c r="A137" s="175">
        <f>IF($Z137="","",$Y137)</f>
        <v/>
      </c>
      <c r="B137" s="176">
        <f>IF($Z137="","",IFERROR(INDEX('HW Sets'!$N$7:$N$306,MATCH($Y137,'HW Sets'!$M$7:$M$306,0)),""))</f>
        <v/>
      </c>
      <c r="C137" s="177">
        <f t="array" ref="C137">IF($Z137="","",_xlfn.TEXTJOIN(", ",TRUE,IF(tk_HWSET&amp;""=$Y137,tk_MARK,"")))</f>
        <v/>
      </c>
      <c r="D137" s="176">
        <f t="array" ref="D137">IF($Z137="","",SUM(IF(tk_HWSET&amp;""=$Y137,IFERROR(--tk_QTY,0),0)))</f>
        <v/>
      </c>
      <c r="E137" s="176">
        <f>IF($X137="","",IF(INDEX('HW Sets'!$C$7:$C$306,$X137)="","",INDEX('HW Sets'!$C$7:$C$306,$X137)))</f>
        <v/>
      </c>
      <c r="F137" s="176">
        <f>IF($X137="","",IF(INDEX('HW Sets'!$D$7:$D$306,$X137)="","",INDEX('HW Sets'!$D$7:$D$306,$X137)))</f>
        <v/>
      </c>
      <c r="G137" s="176">
        <f>IF($X137="","",IF(INDEX('HW Sets'!$E$7:$E$306,$X137)="","",INDEX('HW Sets'!$E$7:$E$306,$X137)))</f>
        <v/>
      </c>
      <c r="H137" s="176">
        <f>IF($X137="","",IF(INDEX('HW Sets'!$F$7:$F$306,$X137)="","",INDEX('HW Sets'!$F$7:$F$306,$X137)))</f>
        <v/>
      </c>
      <c r="I137" s="176">
        <f>IF($X137="","",IF(INDEX('HW Sets'!$G$7:$G$306,$X137)="","",INDEX('HW Sets'!$G$7:$G$306,$X137)))</f>
        <v/>
      </c>
      <c r="J137" s="176">
        <f>IF($X137="","",IF(INDEX('HW Sets'!$H$7:$H$306,$X137)="","",INDEX('HW Sets'!$H$7:$H$306,$X137)))</f>
        <v/>
      </c>
      <c r="K137" s="175">
        <f t="array" ref="K137">IF($X137="","",N($E137)*SUM(IF(tk_HWSET&amp;""=$Y137,IFERROR(--tk_QTY,0),0)))</f>
        <v/>
      </c>
      <c r="L137" s="176">
        <f>IF($X137="","",IF(INDEX('HW Sets'!$I$7:$I$306,$X137)="","",INDEX('HW Sets'!$I$7:$I$306,$X137)))</f>
        <v/>
      </c>
      <c r="N137" s="176">
        <f>IF($W137="","",INDEX($G$7:$G$306,$W137)&amp;"")</f>
        <v/>
      </c>
      <c r="O137" s="176">
        <f>IF($W137="","",INDEX($H$7:$H$306,$W137)&amp;"")</f>
        <v/>
      </c>
      <c r="P137" s="176">
        <f>IF($W137="","",INDEX($I$7:$I$306,$W137)&amp;"")</f>
        <v/>
      </c>
      <c r="Q137" s="176">
        <f>IF($W137="","",INDEX($J$7:$J$306,$W137)&amp;"")</f>
        <v/>
      </c>
      <c r="R137" s="176">
        <f>IF($W137="","",INDEX($F$7:$F$306,$W137)&amp;"")</f>
        <v/>
      </c>
      <c r="S137" s="175">
        <f>IF($W137="","",SUMIF($U$7:$U$306,INDEX($U$7:$U$306,$W137),$K$7:$K$306))</f>
        <v/>
      </c>
      <c r="U137">
        <f>IF(OR($X137="",N($K137)=0),"",UPPER(TRIM($G137&amp;"|"&amp;$H137&amp;"|"&amp;$I137&amp;"|"&amp;$J137&amp;"|"&amp;$F137)))</f>
        <v/>
      </c>
      <c r="V137">
        <f>IF($U137="","",IF(COUNTIF($U$7:$U137,$U137)=1,MAX($V$6:$V136)+1,""))</f>
        <v/>
      </c>
      <c r="W137">
        <f>IFERROR(MATCH(131,$V$7:$V$306,0),"")</f>
        <v/>
      </c>
      <c r="X137">
        <f>IFERROR(MATCH(131,'HW Sets'!$S$7:$S$306,0),"")</f>
        <v/>
      </c>
      <c r="Y137">
        <f>IF($X137="","",INDEX('HW Sets'!$J$7:$J$306,$X137)&amp;"")</f>
        <v/>
      </c>
      <c r="Z137">
        <f>IF($Y137="","",IF(COUNTIF($Y$7:$Y137,$Y137)=1,1,""))</f>
        <v/>
      </c>
    </row>
    <row r="138">
      <c r="A138" s="175">
        <f>IF($Z138="","",$Y138)</f>
        <v/>
      </c>
      <c r="B138" s="176">
        <f>IF($Z138="","",IFERROR(INDEX('HW Sets'!$N$7:$N$306,MATCH($Y138,'HW Sets'!$M$7:$M$306,0)),""))</f>
        <v/>
      </c>
      <c r="C138" s="177">
        <f t="array" ref="C138">IF($Z138="","",_xlfn.TEXTJOIN(", ",TRUE,IF(tk_HWSET&amp;""=$Y138,tk_MARK,"")))</f>
        <v/>
      </c>
      <c r="D138" s="176">
        <f t="array" ref="D138">IF($Z138="","",SUM(IF(tk_HWSET&amp;""=$Y138,IFERROR(--tk_QTY,0),0)))</f>
        <v/>
      </c>
      <c r="E138" s="176">
        <f>IF($X138="","",IF(INDEX('HW Sets'!$C$7:$C$306,$X138)="","",INDEX('HW Sets'!$C$7:$C$306,$X138)))</f>
        <v/>
      </c>
      <c r="F138" s="176">
        <f>IF($X138="","",IF(INDEX('HW Sets'!$D$7:$D$306,$X138)="","",INDEX('HW Sets'!$D$7:$D$306,$X138)))</f>
        <v/>
      </c>
      <c r="G138" s="176">
        <f>IF($X138="","",IF(INDEX('HW Sets'!$E$7:$E$306,$X138)="","",INDEX('HW Sets'!$E$7:$E$306,$X138)))</f>
        <v/>
      </c>
      <c r="H138" s="176">
        <f>IF($X138="","",IF(INDEX('HW Sets'!$F$7:$F$306,$X138)="","",INDEX('HW Sets'!$F$7:$F$306,$X138)))</f>
        <v/>
      </c>
      <c r="I138" s="176">
        <f>IF($X138="","",IF(INDEX('HW Sets'!$G$7:$G$306,$X138)="","",INDEX('HW Sets'!$G$7:$G$306,$X138)))</f>
        <v/>
      </c>
      <c r="J138" s="176">
        <f>IF($X138="","",IF(INDEX('HW Sets'!$H$7:$H$306,$X138)="","",INDEX('HW Sets'!$H$7:$H$306,$X138)))</f>
        <v/>
      </c>
      <c r="K138" s="175">
        <f t="array" ref="K138">IF($X138="","",N($E138)*SUM(IF(tk_HWSET&amp;""=$Y138,IFERROR(--tk_QTY,0),0)))</f>
        <v/>
      </c>
      <c r="L138" s="176">
        <f>IF($X138="","",IF(INDEX('HW Sets'!$I$7:$I$306,$X138)="","",INDEX('HW Sets'!$I$7:$I$306,$X138)))</f>
        <v/>
      </c>
      <c r="N138" s="176">
        <f>IF($W138="","",INDEX($G$7:$G$306,$W138)&amp;"")</f>
        <v/>
      </c>
      <c r="O138" s="176">
        <f>IF($W138="","",INDEX($H$7:$H$306,$W138)&amp;"")</f>
        <v/>
      </c>
      <c r="P138" s="176">
        <f>IF($W138="","",INDEX($I$7:$I$306,$W138)&amp;"")</f>
        <v/>
      </c>
      <c r="Q138" s="176">
        <f>IF($W138="","",INDEX($J$7:$J$306,$W138)&amp;"")</f>
        <v/>
      </c>
      <c r="R138" s="176">
        <f>IF($W138="","",INDEX($F$7:$F$306,$W138)&amp;"")</f>
        <v/>
      </c>
      <c r="S138" s="175">
        <f>IF($W138="","",SUMIF($U$7:$U$306,INDEX($U$7:$U$306,$W138),$K$7:$K$306))</f>
        <v/>
      </c>
      <c r="U138">
        <f>IF(OR($X138="",N($K138)=0),"",UPPER(TRIM($G138&amp;"|"&amp;$H138&amp;"|"&amp;$I138&amp;"|"&amp;$J138&amp;"|"&amp;$F138)))</f>
        <v/>
      </c>
      <c r="V138">
        <f>IF($U138="","",IF(COUNTIF($U$7:$U138,$U138)=1,MAX($V$6:$V137)+1,""))</f>
        <v/>
      </c>
      <c r="W138">
        <f>IFERROR(MATCH(132,$V$7:$V$306,0),"")</f>
        <v/>
      </c>
      <c r="X138">
        <f>IFERROR(MATCH(132,'HW Sets'!$S$7:$S$306,0),"")</f>
        <v/>
      </c>
      <c r="Y138">
        <f>IF($X138="","",INDEX('HW Sets'!$J$7:$J$306,$X138)&amp;"")</f>
        <v/>
      </c>
      <c r="Z138">
        <f>IF($Y138="","",IF(COUNTIF($Y$7:$Y138,$Y138)=1,1,""))</f>
        <v/>
      </c>
    </row>
    <row r="139">
      <c r="A139" s="175">
        <f>IF($Z139="","",$Y139)</f>
        <v/>
      </c>
      <c r="B139" s="176">
        <f>IF($Z139="","",IFERROR(INDEX('HW Sets'!$N$7:$N$306,MATCH($Y139,'HW Sets'!$M$7:$M$306,0)),""))</f>
        <v/>
      </c>
      <c r="C139" s="177">
        <f t="array" ref="C139">IF($Z139="","",_xlfn.TEXTJOIN(", ",TRUE,IF(tk_HWSET&amp;""=$Y139,tk_MARK,"")))</f>
        <v/>
      </c>
      <c r="D139" s="176">
        <f t="array" ref="D139">IF($Z139="","",SUM(IF(tk_HWSET&amp;""=$Y139,IFERROR(--tk_QTY,0),0)))</f>
        <v/>
      </c>
      <c r="E139" s="176">
        <f>IF($X139="","",IF(INDEX('HW Sets'!$C$7:$C$306,$X139)="","",INDEX('HW Sets'!$C$7:$C$306,$X139)))</f>
        <v/>
      </c>
      <c r="F139" s="176">
        <f>IF($X139="","",IF(INDEX('HW Sets'!$D$7:$D$306,$X139)="","",INDEX('HW Sets'!$D$7:$D$306,$X139)))</f>
        <v/>
      </c>
      <c r="G139" s="176">
        <f>IF($X139="","",IF(INDEX('HW Sets'!$E$7:$E$306,$X139)="","",INDEX('HW Sets'!$E$7:$E$306,$X139)))</f>
        <v/>
      </c>
      <c r="H139" s="176">
        <f>IF($X139="","",IF(INDEX('HW Sets'!$F$7:$F$306,$X139)="","",INDEX('HW Sets'!$F$7:$F$306,$X139)))</f>
        <v/>
      </c>
      <c r="I139" s="176">
        <f>IF($X139="","",IF(INDEX('HW Sets'!$G$7:$G$306,$X139)="","",INDEX('HW Sets'!$G$7:$G$306,$X139)))</f>
        <v/>
      </c>
      <c r="J139" s="176">
        <f>IF($X139="","",IF(INDEX('HW Sets'!$H$7:$H$306,$X139)="","",INDEX('HW Sets'!$H$7:$H$306,$X139)))</f>
        <v/>
      </c>
      <c r="K139" s="175">
        <f t="array" ref="K139">IF($X139="","",N($E139)*SUM(IF(tk_HWSET&amp;""=$Y139,IFERROR(--tk_QTY,0),0)))</f>
        <v/>
      </c>
      <c r="L139" s="176">
        <f>IF($X139="","",IF(INDEX('HW Sets'!$I$7:$I$306,$X139)="","",INDEX('HW Sets'!$I$7:$I$306,$X139)))</f>
        <v/>
      </c>
      <c r="N139" s="176">
        <f>IF($W139="","",INDEX($G$7:$G$306,$W139)&amp;"")</f>
        <v/>
      </c>
      <c r="O139" s="176">
        <f>IF($W139="","",INDEX($H$7:$H$306,$W139)&amp;"")</f>
        <v/>
      </c>
      <c r="P139" s="176">
        <f>IF($W139="","",INDEX($I$7:$I$306,$W139)&amp;"")</f>
        <v/>
      </c>
      <c r="Q139" s="176">
        <f>IF($W139="","",INDEX($J$7:$J$306,$W139)&amp;"")</f>
        <v/>
      </c>
      <c r="R139" s="176">
        <f>IF($W139="","",INDEX($F$7:$F$306,$W139)&amp;"")</f>
        <v/>
      </c>
      <c r="S139" s="175">
        <f>IF($W139="","",SUMIF($U$7:$U$306,INDEX($U$7:$U$306,$W139),$K$7:$K$306))</f>
        <v/>
      </c>
      <c r="U139">
        <f>IF(OR($X139="",N($K139)=0),"",UPPER(TRIM($G139&amp;"|"&amp;$H139&amp;"|"&amp;$I139&amp;"|"&amp;$J139&amp;"|"&amp;$F139)))</f>
        <v/>
      </c>
      <c r="V139">
        <f>IF($U139="","",IF(COUNTIF($U$7:$U139,$U139)=1,MAX($V$6:$V138)+1,""))</f>
        <v/>
      </c>
      <c r="W139">
        <f>IFERROR(MATCH(133,$V$7:$V$306,0),"")</f>
        <v/>
      </c>
      <c r="X139">
        <f>IFERROR(MATCH(133,'HW Sets'!$S$7:$S$306,0),"")</f>
        <v/>
      </c>
      <c r="Y139">
        <f>IF($X139="","",INDEX('HW Sets'!$J$7:$J$306,$X139)&amp;"")</f>
        <v/>
      </c>
      <c r="Z139">
        <f>IF($Y139="","",IF(COUNTIF($Y$7:$Y139,$Y139)=1,1,""))</f>
        <v/>
      </c>
    </row>
    <row r="140">
      <c r="A140" s="175">
        <f>IF($Z140="","",$Y140)</f>
        <v/>
      </c>
      <c r="B140" s="176">
        <f>IF($Z140="","",IFERROR(INDEX('HW Sets'!$N$7:$N$306,MATCH($Y140,'HW Sets'!$M$7:$M$306,0)),""))</f>
        <v/>
      </c>
      <c r="C140" s="177">
        <f t="array" ref="C140">IF($Z140="","",_xlfn.TEXTJOIN(", ",TRUE,IF(tk_HWSET&amp;""=$Y140,tk_MARK,"")))</f>
        <v/>
      </c>
      <c r="D140" s="176">
        <f t="array" ref="D140">IF($Z140="","",SUM(IF(tk_HWSET&amp;""=$Y140,IFERROR(--tk_QTY,0),0)))</f>
        <v/>
      </c>
      <c r="E140" s="176">
        <f>IF($X140="","",IF(INDEX('HW Sets'!$C$7:$C$306,$X140)="","",INDEX('HW Sets'!$C$7:$C$306,$X140)))</f>
        <v/>
      </c>
      <c r="F140" s="176">
        <f>IF($X140="","",IF(INDEX('HW Sets'!$D$7:$D$306,$X140)="","",INDEX('HW Sets'!$D$7:$D$306,$X140)))</f>
        <v/>
      </c>
      <c r="G140" s="176">
        <f>IF($X140="","",IF(INDEX('HW Sets'!$E$7:$E$306,$X140)="","",INDEX('HW Sets'!$E$7:$E$306,$X140)))</f>
        <v/>
      </c>
      <c r="H140" s="176">
        <f>IF($X140="","",IF(INDEX('HW Sets'!$F$7:$F$306,$X140)="","",INDEX('HW Sets'!$F$7:$F$306,$X140)))</f>
        <v/>
      </c>
      <c r="I140" s="176">
        <f>IF($X140="","",IF(INDEX('HW Sets'!$G$7:$G$306,$X140)="","",INDEX('HW Sets'!$G$7:$G$306,$X140)))</f>
        <v/>
      </c>
      <c r="J140" s="176">
        <f>IF($X140="","",IF(INDEX('HW Sets'!$H$7:$H$306,$X140)="","",INDEX('HW Sets'!$H$7:$H$306,$X140)))</f>
        <v/>
      </c>
      <c r="K140" s="175">
        <f t="array" ref="K140">IF($X140="","",N($E140)*SUM(IF(tk_HWSET&amp;""=$Y140,IFERROR(--tk_QTY,0),0)))</f>
        <v/>
      </c>
      <c r="L140" s="176">
        <f>IF($X140="","",IF(INDEX('HW Sets'!$I$7:$I$306,$X140)="","",INDEX('HW Sets'!$I$7:$I$306,$X140)))</f>
        <v/>
      </c>
      <c r="N140" s="176">
        <f>IF($W140="","",INDEX($G$7:$G$306,$W140)&amp;"")</f>
        <v/>
      </c>
      <c r="O140" s="176">
        <f>IF($W140="","",INDEX($H$7:$H$306,$W140)&amp;"")</f>
        <v/>
      </c>
      <c r="P140" s="176">
        <f>IF($W140="","",INDEX($I$7:$I$306,$W140)&amp;"")</f>
        <v/>
      </c>
      <c r="Q140" s="176">
        <f>IF($W140="","",INDEX($J$7:$J$306,$W140)&amp;"")</f>
        <v/>
      </c>
      <c r="R140" s="176">
        <f>IF($W140="","",INDEX($F$7:$F$306,$W140)&amp;"")</f>
        <v/>
      </c>
      <c r="S140" s="175">
        <f>IF($W140="","",SUMIF($U$7:$U$306,INDEX($U$7:$U$306,$W140),$K$7:$K$306))</f>
        <v/>
      </c>
      <c r="U140">
        <f>IF(OR($X140="",N($K140)=0),"",UPPER(TRIM($G140&amp;"|"&amp;$H140&amp;"|"&amp;$I140&amp;"|"&amp;$J140&amp;"|"&amp;$F140)))</f>
        <v/>
      </c>
      <c r="V140">
        <f>IF($U140="","",IF(COUNTIF($U$7:$U140,$U140)=1,MAX($V$6:$V139)+1,""))</f>
        <v/>
      </c>
      <c r="W140">
        <f>IFERROR(MATCH(134,$V$7:$V$306,0),"")</f>
        <v/>
      </c>
      <c r="X140">
        <f>IFERROR(MATCH(134,'HW Sets'!$S$7:$S$306,0),"")</f>
        <v/>
      </c>
      <c r="Y140">
        <f>IF($X140="","",INDEX('HW Sets'!$J$7:$J$306,$X140)&amp;"")</f>
        <v/>
      </c>
      <c r="Z140">
        <f>IF($Y140="","",IF(COUNTIF($Y$7:$Y140,$Y140)=1,1,""))</f>
        <v/>
      </c>
    </row>
    <row r="141">
      <c r="A141" s="175">
        <f>IF($Z141="","",$Y141)</f>
        <v/>
      </c>
      <c r="B141" s="176">
        <f>IF($Z141="","",IFERROR(INDEX('HW Sets'!$N$7:$N$306,MATCH($Y141,'HW Sets'!$M$7:$M$306,0)),""))</f>
        <v/>
      </c>
      <c r="C141" s="177">
        <f t="array" ref="C141">IF($Z141="","",_xlfn.TEXTJOIN(", ",TRUE,IF(tk_HWSET&amp;""=$Y141,tk_MARK,"")))</f>
        <v/>
      </c>
      <c r="D141" s="176">
        <f t="array" ref="D141">IF($Z141="","",SUM(IF(tk_HWSET&amp;""=$Y141,IFERROR(--tk_QTY,0),0)))</f>
        <v/>
      </c>
      <c r="E141" s="176">
        <f>IF($X141="","",IF(INDEX('HW Sets'!$C$7:$C$306,$X141)="","",INDEX('HW Sets'!$C$7:$C$306,$X141)))</f>
        <v/>
      </c>
      <c r="F141" s="176">
        <f>IF($X141="","",IF(INDEX('HW Sets'!$D$7:$D$306,$X141)="","",INDEX('HW Sets'!$D$7:$D$306,$X141)))</f>
        <v/>
      </c>
      <c r="G141" s="176">
        <f>IF($X141="","",IF(INDEX('HW Sets'!$E$7:$E$306,$X141)="","",INDEX('HW Sets'!$E$7:$E$306,$X141)))</f>
        <v/>
      </c>
      <c r="H141" s="176">
        <f>IF($X141="","",IF(INDEX('HW Sets'!$F$7:$F$306,$X141)="","",INDEX('HW Sets'!$F$7:$F$306,$X141)))</f>
        <v/>
      </c>
      <c r="I141" s="176">
        <f>IF($X141="","",IF(INDEX('HW Sets'!$G$7:$G$306,$X141)="","",INDEX('HW Sets'!$G$7:$G$306,$X141)))</f>
        <v/>
      </c>
      <c r="J141" s="176">
        <f>IF($X141="","",IF(INDEX('HW Sets'!$H$7:$H$306,$X141)="","",INDEX('HW Sets'!$H$7:$H$306,$X141)))</f>
        <v/>
      </c>
      <c r="K141" s="175">
        <f t="array" ref="K141">IF($X141="","",N($E141)*SUM(IF(tk_HWSET&amp;""=$Y141,IFERROR(--tk_QTY,0),0)))</f>
        <v/>
      </c>
      <c r="L141" s="176">
        <f>IF($X141="","",IF(INDEX('HW Sets'!$I$7:$I$306,$X141)="","",INDEX('HW Sets'!$I$7:$I$306,$X141)))</f>
        <v/>
      </c>
      <c r="N141" s="176">
        <f>IF($W141="","",INDEX($G$7:$G$306,$W141)&amp;"")</f>
        <v/>
      </c>
      <c r="O141" s="176">
        <f>IF($W141="","",INDEX($H$7:$H$306,$W141)&amp;"")</f>
        <v/>
      </c>
      <c r="P141" s="176">
        <f>IF($W141="","",INDEX($I$7:$I$306,$W141)&amp;"")</f>
        <v/>
      </c>
      <c r="Q141" s="176">
        <f>IF($W141="","",INDEX($J$7:$J$306,$W141)&amp;"")</f>
        <v/>
      </c>
      <c r="R141" s="176">
        <f>IF($W141="","",INDEX($F$7:$F$306,$W141)&amp;"")</f>
        <v/>
      </c>
      <c r="S141" s="175">
        <f>IF($W141="","",SUMIF($U$7:$U$306,INDEX($U$7:$U$306,$W141),$K$7:$K$306))</f>
        <v/>
      </c>
      <c r="U141">
        <f>IF(OR($X141="",N($K141)=0),"",UPPER(TRIM($G141&amp;"|"&amp;$H141&amp;"|"&amp;$I141&amp;"|"&amp;$J141&amp;"|"&amp;$F141)))</f>
        <v/>
      </c>
      <c r="V141">
        <f>IF($U141="","",IF(COUNTIF($U$7:$U141,$U141)=1,MAX($V$6:$V140)+1,""))</f>
        <v/>
      </c>
      <c r="W141">
        <f>IFERROR(MATCH(135,$V$7:$V$306,0),"")</f>
        <v/>
      </c>
      <c r="X141">
        <f>IFERROR(MATCH(135,'HW Sets'!$S$7:$S$306,0),"")</f>
        <v/>
      </c>
      <c r="Y141">
        <f>IF($X141="","",INDEX('HW Sets'!$J$7:$J$306,$X141)&amp;"")</f>
        <v/>
      </c>
      <c r="Z141">
        <f>IF($Y141="","",IF(COUNTIF($Y$7:$Y141,$Y141)=1,1,""))</f>
        <v/>
      </c>
    </row>
    <row r="142">
      <c r="A142" s="175">
        <f>IF($Z142="","",$Y142)</f>
        <v/>
      </c>
      <c r="B142" s="176">
        <f>IF($Z142="","",IFERROR(INDEX('HW Sets'!$N$7:$N$306,MATCH($Y142,'HW Sets'!$M$7:$M$306,0)),""))</f>
        <v/>
      </c>
      <c r="C142" s="177">
        <f t="array" ref="C142">IF($Z142="","",_xlfn.TEXTJOIN(", ",TRUE,IF(tk_HWSET&amp;""=$Y142,tk_MARK,"")))</f>
        <v/>
      </c>
      <c r="D142" s="176">
        <f t="array" ref="D142">IF($Z142="","",SUM(IF(tk_HWSET&amp;""=$Y142,IFERROR(--tk_QTY,0),0)))</f>
        <v/>
      </c>
      <c r="E142" s="176">
        <f>IF($X142="","",IF(INDEX('HW Sets'!$C$7:$C$306,$X142)="","",INDEX('HW Sets'!$C$7:$C$306,$X142)))</f>
        <v/>
      </c>
      <c r="F142" s="176">
        <f>IF($X142="","",IF(INDEX('HW Sets'!$D$7:$D$306,$X142)="","",INDEX('HW Sets'!$D$7:$D$306,$X142)))</f>
        <v/>
      </c>
      <c r="G142" s="176">
        <f>IF($X142="","",IF(INDEX('HW Sets'!$E$7:$E$306,$X142)="","",INDEX('HW Sets'!$E$7:$E$306,$X142)))</f>
        <v/>
      </c>
      <c r="H142" s="176">
        <f>IF($X142="","",IF(INDEX('HW Sets'!$F$7:$F$306,$X142)="","",INDEX('HW Sets'!$F$7:$F$306,$X142)))</f>
        <v/>
      </c>
      <c r="I142" s="176">
        <f>IF($X142="","",IF(INDEX('HW Sets'!$G$7:$G$306,$X142)="","",INDEX('HW Sets'!$G$7:$G$306,$X142)))</f>
        <v/>
      </c>
      <c r="J142" s="176">
        <f>IF($X142="","",IF(INDEX('HW Sets'!$H$7:$H$306,$X142)="","",INDEX('HW Sets'!$H$7:$H$306,$X142)))</f>
        <v/>
      </c>
      <c r="K142" s="175">
        <f t="array" ref="K142">IF($X142="","",N($E142)*SUM(IF(tk_HWSET&amp;""=$Y142,IFERROR(--tk_QTY,0),0)))</f>
        <v/>
      </c>
      <c r="L142" s="176">
        <f>IF($X142="","",IF(INDEX('HW Sets'!$I$7:$I$306,$X142)="","",INDEX('HW Sets'!$I$7:$I$306,$X142)))</f>
        <v/>
      </c>
      <c r="N142" s="176">
        <f>IF($W142="","",INDEX($G$7:$G$306,$W142)&amp;"")</f>
        <v/>
      </c>
      <c r="O142" s="176">
        <f>IF($W142="","",INDEX($H$7:$H$306,$W142)&amp;"")</f>
        <v/>
      </c>
      <c r="P142" s="176">
        <f>IF($W142="","",INDEX($I$7:$I$306,$W142)&amp;"")</f>
        <v/>
      </c>
      <c r="Q142" s="176">
        <f>IF($W142="","",INDEX($J$7:$J$306,$W142)&amp;"")</f>
        <v/>
      </c>
      <c r="R142" s="176">
        <f>IF($W142="","",INDEX($F$7:$F$306,$W142)&amp;"")</f>
        <v/>
      </c>
      <c r="S142" s="175">
        <f>IF($W142="","",SUMIF($U$7:$U$306,INDEX($U$7:$U$306,$W142),$K$7:$K$306))</f>
        <v/>
      </c>
      <c r="U142">
        <f>IF(OR($X142="",N($K142)=0),"",UPPER(TRIM($G142&amp;"|"&amp;$H142&amp;"|"&amp;$I142&amp;"|"&amp;$J142&amp;"|"&amp;$F142)))</f>
        <v/>
      </c>
      <c r="V142">
        <f>IF($U142="","",IF(COUNTIF($U$7:$U142,$U142)=1,MAX($V$6:$V141)+1,""))</f>
        <v/>
      </c>
      <c r="W142">
        <f>IFERROR(MATCH(136,$V$7:$V$306,0),"")</f>
        <v/>
      </c>
      <c r="X142">
        <f>IFERROR(MATCH(136,'HW Sets'!$S$7:$S$306,0),"")</f>
        <v/>
      </c>
      <c r="Y142">
        <f>IF($X142="","",INDEX('HW Sets'!$J$7:$J$306,$X142)&amp;"")</f>
        <v/>
      </c>
      <c r="Z142">
        <f>IF($Y142="","",IF(COUNTIF($Y$7:$Y142,$Y142)=1,1,""))</f>
        <v/>
      </c>
    </row>
    <row r="143">
      <c r="A143" s="175">
        <f>IF($Z143="","",$Y143)</f>
        <v/>
      </c>
      <c r="B143" s="176">
        <f>IF($Z143="","",IFERROR(INDEX('HW Sets'!$N$7:$N$306,MATCH($Y143,'HW Sets'!$M$7:$M$306,0)),""))</f>
        <v/>
      </c>
      <c r="C143" s="177">
        <f t="array" ref="C143">IF($Z143="","",_xlfn.TEXTJOIN(", ",TRUE,IF(tk_HWSET&amp;""=$Y143,tk_MARK,"")))</f>
        <v/>
      </c>
      <c r="D143" s="176">
        <f t="array" ref="D143">IF($Z143="","",SUM(IF(tk_HWSET&amp;""=$Y143,IFERROR(--tk_QTY,0),0)))</f>
        <v/>
      </c>
      <c r="E143" s="176">
        <f>IF($X143="","",IF(INDEX('HW Sets'!$C$7:$C$306,$X143)="","",INDEX('HW Sets'!$C$7:$C$306,$X143)))</f>
        <v/>
      </c>
      <c r="F143" s="176">
        <f>IF($X143="","",IF(INDEX('HW Sets'!$D$7:$D$306,$X143)="","",INDEX('HW Sets'!$D$7:$D$306,$X143)))</f>
        <v/>
      </c>
      <c r="G143" s="176">
        <f>IF($X143="","",IF(INDEX('HW Sets'!$E$7:$E$306,$X143)="","",INDEX('HW Sets'!$E$7:$E$306,$X143)))</f>
        <v/>
      </c>
      <c r="H143" s="176">
        <f>IF($X143="","",IF(INDEX('HW Sets'!$F$7:$F$306,$X143)="","",INDEX('HW Sets'!$F$7:$F$306,$X143)))</f>
        <v/>
      </c>
      <c r="I143" s="176">
        <f>IF($X143="","",IF(INDEX('HW Sets'!$G$7:$G$306,$X143)="","",INDEX('HW Sets'!$G$7:$G$306,$X143)))</f>
        <v/>
      </c>
      <c r="J143" s="176">
        <f>IF($X143="","",IF(INDEX('HW Sets'!$H$7:$H$306,$X143)="","",INDEX('HW Sets'!$H$7:$H$306,$X143)))</f>
        <v/>
      </c>
      <c r="K143" s="175">
        <f t="array" ref="K143">IF($X143="","",N($E143)*SUM(IF(tk_HWSET&amp;""=$Y143,IFERROR(--tk_QTY,0),0)))</f>
        <v/>
      </c>
      <c r="L143" s="176">
        <f>IF($X143="","",IF(INDEX('HW Sets'!$I$7:$I$306,$X143)="","",INDEX('HW Sets'!$I$7:$I$306,$X143)))</f>
        <v/>
      </c>
      <c r="N143" s="176">
        <f>IF($W143="","",INDEX($G$7:$G$306,$W143)&amp;"")</f>
        <v/>
      </c>
      <c r="O143" s="176">
        <f>IF($W143="","",INDEX($H$7:$H$306,$W143)&amp;"")</f>
        <v/>
      </c>
      <c r="P143" s="176">
        <f>IF($W143="","",INDEX($I$7:$I$306,$W143)&amp;"")</f>
        <v/>
      </c>
      <c r="Q143" s="176">
        <f>IF($W143="","",INDEX($J$7:$J$306,$W143)&amp;"")</f>
        <v/>
      </c>
      <c r="R143" s="176">
        <f>IF($W143="","",INDEX($F$7:$F$306,$W143)&amp;"")</f>
        <v/>
      </c>
      <c r="S143" s="175">
        <f>IF($W143="","",SUMIF($U$7:$U$306,INDEX($U$7:$U$306,$W143),$K$7:$K$306))</f>
        <v/>
      </c>
      <c r="U143">
        <f>IF(OR($X143="",N($K143)=0),"",UPPER(TRIM($G143&amp;"|"&amp;$H143&amp;"|"&amp;$I143&amp;"|"&amp;$J143&amp;"|"&amp;$F143)))</f>
        <v/>
      </c>
      <c r="V143">
        <f>IF($U143="","",IF(COUNTIF($U$7:$U143,$U143)=1,MAX($V$6:$V142)+1,""))</f>
        <v/>
      </c>
      <c r="W143">
        <f>IFERROR(MATCH(137,$V$7:$V$306,0),"")</f>
        <v/>
      </c>
      <c r="X143">
        <f>IFERROR(MATCH(137,'HW Sets'!$S$7:$S$306,0),"")</f>
        <v/>
      </c>
      <c r="Y143">
        <f>IF($X143="","",INDEX('HW Sets'!$J$7:$J$306,$X143)&amp;"")</f>
        <v/>
      </c>
      <c r="Z143">
        <f>IF($Y143="","",IF(COUNTIF($Y$7:$Y143,$Y143)=1,1,""))</f>
        <v/>
      </c>
    </row>
    <row r="144">
      <c r="A144" s="175">
        <f>IF($Z144="","",$Y144)</f>
        <v/>
      </c>
      <c r="B144" s="176">
        <f>IF($Z144="","",IFERROR(INDEX('HW Sets'!$N$7:$N$306,MATCH($Y144,'HW Sets'!$M$7:$M$306,0)),""))</f>
        <v/>
      </c>
      <c r="C144" s="177">
        <f t="array" ref="C144">IF($Z144="","",_xlfn.TEXTJOIN(", ",TRUE,IF(tk_HWSET&amp;""=$Y144,tk_MARK,"")))</f>
        <v/>
      </c>
      <c r="D144" s="176">
        <f t="array" ref="D144">IF($Z144="","",SUM(IF(tk_HWSET&amp;""=$Y144,IFERROR(--tk_QTY,0),0)))</f>
        <v/>
      </c>
      <c r="E144" s="176">
        <f>IF($X144="","",IF(INDEX('HW Sets'!$C$7:$C$306,$X144)="","",INDEX('HW Sets'!$C$7:$C$306,$X144)))</f>
        <v/>
      </c>
      <c r="F144" s="176">
        <f>IF($X144="","",IF(INDEX('HW Sets'!$D$7:$D$306,$X144)="","",INDEX('HW Sets'!$D$7:$D$306,$X144)))</f>
        <v/>
      </c>
      <c r="G144" s="176">
        <f>IF($X144="","",IF(INDEX('HW Sets'!$E$7:$E$306,$X144)="","",INDEX('HW Sets'!$E$7:$E$306,$X144)))</f>
        <v/>
      </c>
      <c r="H144" s="176">
        <f>IF($X144="","",IF(INDEX('HW Sets'!$F$7:$F$306,$X144)="","",INDEX('HW Sets'!$F$7:$F$306,$X144)))</f>
        <v/>
      </c>
      <c r="I144" s="176">
        <f>IF($X144="","",IF(INDEX('HW Sets'!$G$7:$G$306,$X144)="","",INDEX('HW Sets'!$G$7:$G$306,$X144)))</f>
        <v/>
      </c>
      <c r="J144" s="176">
        <f>IF($X144="","",IF(INDEX('HW Sets'!$H$7:$H$306,$X144)="","",INDEX('HW Sets'!$H$7:$H$306,$X144)))</f>
        <v/>
      </c>
      <c r="K144" s="175">
        <f t="array" ref="K144">IF($X144="","",N($E144)*SUM(IF(tk_HWSET&amp;""=$Y144,IFERROR(--tk_QTY,0),0)))</f>
        <v/>
      </c>
      <c r="L144" s="176">
        <f>IF($X144="","",IF(INDEX('HW Sets'!$I$7:$I$306,$X144)="","",INDEX('HW Sets'!$I$7:$I$306,$X144)))</f>
        <v/>
      </c>
      <c r="N144" s="176">
        <f>IF($W144="","",INDEX($G$7:$G$306,$W144)&amp;"")</f>
        <v/>
      </c>
      <c r="O144" s="176">
        <f>IF($W144="","",INDEX($H$7:$H$306,$W144)&amp;"")</f>
        <v/>
      </c>
      <c r="P144" s="176">
        <f>IF($W144="","",INDEX($I$7:$I$306,$W144)&amp;"")</f>
        <v/>
      </c>
      <c r="Q144" s="176">
        <f>IF($W144="","",INDEX($J$7:$J$306,$W144)&amp;"")</f>
        <v/>
      </c>
      <c r="R144" s="176">
        <f>IF($W144="","",INDEX($F$7:$F$306,$W144)&amp;"")</f>
        <v/>
      </c>
      <c r="S144" s="175">
        <f>IF($W144="","",SUMIF($U$7:$U$306,INDEX($U$7:$U$306,$W144),$K$7:$K$306))</f>
        <v/>
      </c>
      <c r="U144">
        <f>IF(OR($X144="",N($K144)=0),"",UPPER(TRIM($G144&amp;"|"&amp;$H144&amp;"|"&amp;$I144&amp;"|"&amp;$J144&amp;"|"&amp;$F144)))</f>
        <v/>
      </c>
      <c r="V144">
        <f>IF($U144="","",IF(COUNTIF($U$7:$U144,$U144)=1,MAX($V$6:$V143)+1,""))</f>
        <v/>
      </c>
      <c r="W144">
        <f>IFERROR(MATCH(138,$V$7:$V$306,0),"")</f>
        <v/>
      </c>
      <c r="X144">
        <f>IFERROR(MATCH(138,'HW Sets'!$S$7:$S$306,0),"")</f>
        <v/>
      </c>
      <c r="Y144">
        <f>IF($X144="","",INDEX('HW Sets'!$J$7:$J$306,$X144)&amp;"")</f>
        <v/>
      </c>
      <c r="Z144">
        <f>IF($Y144="","",IF(COUNTIF($Y$7:$Y144,$Y144)=1,1,""))</f>
        <v/>
      </c>
    </row>
    <row r="145">
      <c r="A145" s="175">
        <f>IF($Z145="","",$Y145)</f>
        <v/>
      </c>
      <c r="B145" s="176">
        <f>IF($Z145="","",IFERROR(INDEX('HW Sets'!$N$7:$N$306,MATCH($Y145,'HW Sets'!$M$7:$M$306,0)),""))</f>
        <v/>
      </c>
      <c r="C145" s="177">
        <f t="array" ref="C145">IF($Z145="","",_xlfn.TEXTJOIN(", ",TRUE,IF(tk_HWSET&amp;""=$Y145,tk_MARK,"")))</f>
        <v/>
      </c>
      <c r="D145" s="176">
        <f t="array" ref="D145">IF($Z145="","",SUM(IF(tk_HWSET&amp;""=$Y145,IFERROR(--tk_QTY,0),0)))</f>
        <v/>
      </c>
      <c r="E145" s="176">
        <f>IF($X145="","",IF(INDEX('HW Sets'!$C$7:$C$306,$X145)="","",INDEX('HW Sets'!$C$7:$C$306,$X145)))</f>
        <v/>
      </c>
      <c r="F145" s="176">
        <f>IF($X145="","",IF(INDEX('HW Sets'!$D$7:$D$306,$X145)="","",INDEX('HW Sets'!$D$7:$D$306,$X145)))</f>
        <v/>
      </c>
      <c r="G145" s="176">
        <f>IF($X145="","",IF(INDEX('HW Sets'!$E$7:$E$306,$X145)="","",INDEX('HW Sets'!$E$7:$E$306,$X145)))</f>
        <v/>
      </c>
      <c r="H145" s="176">
        <f>IF($X145="","",IF(INDEX('HW Sets'!$F$7:$F$306,$X145)="","",INDEX('HW Sets'!$F$7:$F$306,$X145)))</f>
        <v/>
      </c>
      <c r="I145" s="176">
        <f>IF($X145="","",IF(INDEX('HW Sets'!$G$7:$G$306,$X145)="","",INDEX('HW Sets'!$G$7:$G$306,$X145)))</f>
        <v/>
      </c>
      <c r="J145" s="176">
        <f>IF($X145="","",IF(INDEX('HW Sets'!$H$7:$H$306,$X145)="","",INDEX('HW Sets'!$H$7:$H$306,$X145)))</f>
        <v/>
      </c>
      <c r="K145" s="175">
        <f t="array" ref="K145">IF($X145="","",N($E145)*SUM(IF(tk_HWSET&amp;""=$Y145,IFERROR(--tk_QTY,0),0)))</f>
        <v/>
      </c>
      <c r="L145" s="176">
        <f>IF($X145="","",IF(INDEX('HW Sets'!$I$7:$I$306,$X145)="","",INDEX('HW Sets'!$I$7:$I$306,$X145)))</f>
        <v/>
      </c>
      <c r="N145" s="176">
        <f>IF($W145="","",INDEX($G$7:$G$306,$W145)&amp;"")</f>
        <v/>
      </c>
      <c r="O145" s="176">
        <f>IF($W145="","",INDEX($H$7:$H$306,$W145)&amp;"")</f>
        <v/>
      </c>
      <c r="P145" s="176">
        <f>IF($W145="","",INDEX($I$7:$I$306,$W145)&amp;"")</f>
        <v/>
      </c>
      <c r="Q145" s="176">
        <f>IF($W145="","",INDEX($J$7:$J$306,$W145)&amp;"")</f>
        <v/>
      </c>
      <c r="R145" s="176">
        <f>IF($W145="","",INDEX($F$7:$F$306,$W145)&amp;"")</f>
        <v/>
      </c>
      <c r="S145" s="175">
        <f>IF($W145="","",SUMIF($U$7:$U$306,INDEX($U$7:$U$306,$W145),$K$7:$K$306))</f>
        <v/>
      </c>
      <c r="U145">
        <f>IF(OR($X145="",N($K145)=0),"",UPPER(TRIM($G145&amp;"|"&amp;$H145&amp;"|"&amp;$I145&amp;"|"&amp;$J145&amp;"|"&amp;$F145)))</f>
        <v/>
      </c>
      <c r="V145">
        <f>IF($U145="","",IF(COUNTIF($U$7:$U145,$U145)=1,MAX($V$6:$V144)+1,""))</f>
        <v/>
      </c>
      <c r="W145">
        <f>IFERROR(MATCH(139,$V$7:$V$306,0),"")</f>
        <v/>
      </c>
      <c r="X145">
        <f>IFERROR(MATCH(139,'HW Sets'!$S$7:$S$306,0),"")</f>
        <v/>
      </c>
      <c r="Y145">
        <f>IF($X145="","",INDEX('HW Sets'!$J$7:$J$306,$X145)&amp;"")</f>
        <v/>
      </c>
      <c r="Z145">
        <f>IF($Y145="","",IF(COUNTIF($Y$7:$Y145,$Y145)=1,1,""))</f>
        <v/>
      </c>
    </row>
    <row r="146">
      <c r="A146" s="175">
        <f>IF($Z146="","",$Y146)</f>
        <v/>
      </c>
      <c r="B146" s="176">
        <f>IF($Z146="","",IFERROR(INDEX('HW Sets'!$N$7:$N$306,MATCH($Y146,'HW Sets'!$M$7:$M$306,0)),""))</f>
        <v/>
      </c>
      <c r="C146" s="177">
        <f t="array" ref="C146">IF($Z146="","",_xlfn.TEXTJOIN(", ",TRUE,IF(tk_HWSET&amp;""=$Y146,tk_MARK,"")))</f>
        <v/>
      </c>
      <c r="D146" s="176">
        <f t="array" ref="D146">IF($Z146="","",SUM(IF(tk_HWSET&amp;""=$Y146,IFERROR(--tk_QTY,0),0)))</f>
        <v/>
      </c>
      <c r="E146" s="176">
        <f>IF($X146="","",IF(INDEX('HW Sets'!$C$7:$C$306,$X146)="","",INDEX('HW Sets'!$C$7:$C$306,$X146)))</f>
        <v/>
      </c>
      <c r="F146" s="176">
        <f>IF($X146="","",IF(INDEX('HW Sets'!$D$7:$D$306,$X146)="","",INDEX('HW Sets'!$D$7:$D$306,$X146)))</f>
        <v/>
      </c>
      <c r="G146" s="176">
        <f>IF($X146="","",IF(INDEX('HW Sets'!$E$7:$E$306,$X146)="","",INDEX('HW Sets'!$E$7:$E$306,$X146)))</f>
        <v/>
      </c>
      <c r="H146" s="176">
        <f>IF($X146="","",IF(INDEX('HW Sets'!$F$7:$F$306,$X146)="","",INDEX('HW Sets'!$F$7:$F$306,$X146)))</f>
        <v/>
      </c>
      <c r="I146" s="176">
        <f>IF($X146="","",IF(INDEX('HW Sets'!$G$7:$G$306,$X146)="","",INDEX('HW Sets'!$G$7:$G$306,$X146)))</f>
        <v/>
      </c>
      <c r="J146" s="176">
        <f>IF($X146="","",IF(INDEX('HW Sets'!$H$7:$H$306,$X146)="","",INDEX('HW Sets'!$H$7:$H$306,$X146)))</f>
        <v/>
      </c>
      <c r="K146" s="175">
        <f t="array" ref="K146">IF($X146="","",N($E146)*SUM(IF(tk_HWSET&amp;""=$Y146,IFERROR(--tk_QTY,0),0)))</f>
        <v/>
      </c>
      <c r="L146" s="176">
        <f>IF($X146="","",IF(INDEX('HW Sets'!$I$7:$I$306,$X146)="","",INDEX('HW Sets'!$I$7:$I$306,$X146)))</f>
        <v/>
      </c>
      <c r="N146" s="176">
        <f>IF($W146="","",INDEX($G$7:$G$306,$W146)&amp;"")</f>
        <v/>
      </c>
      <c r="O146" s="176">
        <f>IF($W146="","",INDEX($H$7:$H$306,$W146)&amp;"")</f>
        <v/>
      </c>
      <c r="P146" s="176">
        <f>IF($W146="","",INDEX($I$7:$I$306,$W146)&amp;"")</f>
        <v/>
      </c>
      <c r="Q146" s="176">
        <f>IF($W146="","",INDEX($J$7:$J$306,$W146)&amp;"")</f>
        <v/>
      </c>
      <c r="R146" s="176">
        <f>IF($W146="","",INDEX($F$7:$F$306,$W146)&amp;"")</f>
        <v/>
      </c>
      <c r="S146" s="175">
        <f>IF($W146="","",SUMIF($U$7:$U$306,INDEX($U$7:$U$306,$W146),$K$7:$K$306))</f>
        <v/>
      </c>
      <c r="U146">
        <f>IF(OR($X146="",N($K146)=0),"",UPPER(TRIM($G146&amp;"|"&amp;$H146&amp;"|"&amp;$I146&amp;"|"&amp;$J146&amp;"|"&amp;$F146)))</f>
        <v/>
      </c>
      <c r="V146">
        <f>IF($U146="","",IF(COUNTIF($U$7:$U146,$U146)=1,MAX($V$6:$V145)+1,""))</f>
        <v/>
      </c>
      <c r="W146">
        <f>IFERROR(MATCH(140,$V$7:$V$306,0),"")</f>
        <v/>
      </c>
      <c r="X146">
        <f>IFERROR(MATCH(140,'HW Sets'!$S$7:$S$306,0),"")</f>
        <v/>
      </c>
      <c r="Y146">
        <f>IF($X146="","",INDEX('HW Sets'!$J$7:$J$306,$X146)&amp;"")</f>
        <v/>
      </c>
      <c r="Z146">
        <f>IF($Y146="","",IF(COUNTIF($Y$7:$Y146,$Y146)=1,1,""))</f>
        <v/>
      </c>
    </row>
    <row r="147">
      <c r="A147" s="175">
        <f>IF($Z147="","",$Y147)</f>
        <v/>
      </c>
      <c r="B147" s="176">
        <f>IF($Z147="","",IFERROR(INDEX('HW Sets'!$N$7:$N$306,MATCH($Y147,'HW Sets'!$M$7:$M$306,0)),""))</f>
        <v/>
      </c>
      <c r="C147" s="177">
        <f t="array" ref="C147">IF($Z147="","",_xlfn.TEXTJOIN(", ",TRUE,IF(tk_HWSET&amp;""=$Y147,tk_MARK,"")))</f>
        <v/>
      </c>
      <c r="D147" s="176">
        <f t="array" ref="D147">IF($Z147="","",SUM(IF(tk_HWSET&amp;""=$Y147,IFERROR(--tk_QTY,0),0)))</f>
        <v/>
      </c>
      <c r="E147" s="176">
        <f>IF($X147="","",IF(INDEX('HW Sets'!$C$7:$C$306,$X147)="","",INDEX('HW Sets'!$C$7:$C$306,$X147)))</f>
        <v/>
      </c>
      <c r="F147" s="176">
        <f>IF($X147="","",IF(INDEX('HW Sets'!$D$7:$D$306,$X147)="","",INDEX('HW Sets'!$D$7:$D$306,$X147)))</f>
        <v/>
      </c>
      <c r="G147" s="176">
        <f>IF($X147="","",IF(INDEX('HW Sets'!$E$7:$E$306,$X147)="","",INDEX('HW Sets'!$E$7:$E$306,$X147)))</f>
        <v/>
      </c>
      <c r="H147" s="176">
        <f>IF($X147="","",IF(INDEX('HW Sets'!$F$7:$F$306,$X147)="","",INDEX('HW Sets'!$F$7:$F$306,$X147)))</f>
        <v/>
      </c>
      <c r="I147" s="176">
        <f>IF($X147="","",IF(INDEX('HW Sets'!$G$7:$G$306,$X147)="","",INDEX('HW Sets'!$G$7:$G$306,$X147)))</f>
        <v/>
      </c>
      <c r="J147" s="176">
        <f>IF($X147="","",IF(INDEX('HW Sets'!$H$7:$H$306,$X147)="","",INDEX('HW Sets'!$H$7:$H$306,$X147)))</f>
        <v/>
      </c>
      <c r="K147" s="175">
        <f t="array" ref="K147">IF($X147="","",N($E147)*SUM(IF(tk_HWSET&amp;""=$Y147,IFERROR(--tk_QTY,0),0)))</f>
        <v/>
      </c>
      <c r="L147" s="176">
        <f>IF($X147="","",IF(INDEX('HW Sets'!$I$7:$I$306,$X147)="","",INDEX('HW Sets'!$I$7:$I$306,$X147)))</f>
        <v/>
      </c>
      <c r="N147" s="176">
        <f>IF($W147="","",INDEX($G$7:$G$306,$W147)&amp;"")</f>
        <v/>
      </c>
      <c r="O147" s="176">
        <f>IF($W147="","",INDEX($H$7:$H$306,$W147)&amp;"")</f>
        <v/>
      </c>
      <c r="P147" s="176">
        <f>IF($W147="","",INDEX($I$7:$I$306,$W147)&amp;"")</f>
        <v/>
      </c>
      <c r="Q147" s="176">
        <f>IF($W147="","",INDEX($J$7:$J$306,$W147)&amp;"")</f>
        <v/>
      </c>
      <c r="R147" s="176">
        <f>IF($W147="","",INDEX($F$7:$F$306,$W147)&amp;"")</f>
        <v/>
      </c>
      <c r="S147" s="175">
        <f>IF($W147="","",SUMIF($U$7:$U$306,INDEX($U$7:$U$306,$W147),$K$7:$K$306))</f>
        <v/>
      </c>
      <c r="U147">
        <f>IF(OR($X147="",N($K147)=0),"",UPPER(TRIM($G147&amp;"|"&amp;$H147&amp;"|"&amp;$I147&amp;"|"&amp;$J147&amp;"|"&amp;$F147)))</f>
        <v/>
      </c>
      <c r="V147">
        <f>IF($U147="","",IF(COUNTIF($U$7:$U147,$U147)=1,MAX($V$6:$V146)+1,""))</f>
        <v/>
      </c>
      <c r="W147">
        <f>IFERROR(MATCH(141,$V$7:$V$306,0),"")</f>
        <v/>
      </c>
      <c r="X147">
        <f>IFERROR(MATCH(141,'HW Sets'!$S$7:$S$306,0),"")</f>
        <v/>
      </c>
      <c r="Y147">
        <f>IF($X147="","",INDEX('HW Sets'!$J$7:$J$306,$X147)&amp;"")</f>
        <v/>
      </c>
      <c r="Z147">
        <f>IF($Y147="","",IF(COUNTIF($Y$7:$Y147,$Y147)=1,1,""))</f>
        <v/>
      </c>
    </row>
    <row r="148">
      <c r="A148" s="175">
        <f>IF($Z148="","",$Y148)</f>
        <v/>
      </c>
      <c r="B148" s="176">
        <f>IF($Z148="","",IFERROR(INDEX('HW Sets'!$N$7:$N$306,MATCH($Y148,'HW Sets'!$M$7:$M$306,0)),""))</f>
        <v/>
      </c>
      <c r="C148" s="177">
        <f t="array" ref="C148">IF($Z148="","",_xlfn.TEXTJOIN(", ",TRUE,IF(tk_HWSET&amp;""=$Y148,tk_MARK,"")))</f>
        <v/>
      </c>
      <c r="D148" s="176">
        <f t="array" ref="D148">IF($Z148="","",SUM(IF(tk_HWSET&amp;""=$Y148,IFERROR(--tk_QTY,0),0)))</f>
        <v/>
      </c>
      <c r="E148" s="176">
        <f>IF($X148="","",IF(INDEX('HW Sets'!$C$7:$C$306,$X148)="","",INDEX('HW Sets'!$C$7:$C$306,$X148)))</f>
        <v/>
      </c>
      <c r="F148" s="176">
        <f>IF($X148="","",IF(INDEX('HW Sets'!$D$7:$D$306,$X148)="","",INDEX('HW Sets'!$D$7:$D$306,$X148)))</f>
        <v/>
      </c>
      <c r="G148" s="176">
        <f>IF($X148="","",IF(INDEX('HW Sets'!$E$7:$E$306,$X148)="","",INDEX('HW Sets'!$E$7:$E$306,$X148)))</f>
        <v/>
      </c>
      <c r="H148" s="176">
        <f>IF($X148="","",IF(INDEX('HW Sets'!$F$7:$F$306,$X148)="","",INDEX('HW Sets'!$F$7:$F$306,$X148)))</f>
        <v/>
      </c>
      <c r="I148" s="176">
        <f>IF($X148="","",IF(INDEX('HW Sets'!$G$7:$G$306,$X148)="","",INDEX('HW Sets'!$G$7:$G$306,$X148)))</f>
        <v/>
      </c>
      <c r="J148" s="176">
        <f>IF($X148="","",IF(INDEX('HW Sets'!$H$7:$H$306,$X148)="","",INDEX('HW Sets'!$H$7:$H$306,$X148)))</f>
        <v/>
      </c>
      <c r="K148" s="175">
        <f t="array" ref="K148">IF($X148="","",N($E148)*SUM(IF(tk_HWSET&amp;""=$Y148,IFERROR(--tk_QTY,0),0)))</f>
        <v/>
      </c>
      <c r="L148" s="176">
        <f>IF($X148="","",IF(INDEX('HW Sets'!$I$7:$I$306,$X148)="","",INDEX('HW Sets'!$I$7:$I$306,$X148)))</f>
        <v/>
      </c>
      <c r="N148" s="176">
        <f>IF($W148="","",INDEX($G$7:$G$306,$W148)&amp;"")</f>
        <v/>
      </c>
      <c r="O148" s="176">
        <f>IF($W148="","",INDEX($H$7:$H$306,$W148)&amp;"")</f>
        <v/>
      </c>
      <c r="P148" s="176">
        <f>IF($W148="","",INDEX($I$7:$I$306,$W148)&amp;"")</f>
        <v/>
      </c>
      <c r="Q148" s="176">
        <f>IF($W148="","",INDEX($J$7:$J$306,$W148)&amp;"")</f>
        <v/>
      </c>
      <c r="R148" s="176">
        <f>IF($W148="","",INDEX($F$7:$F$306,$W148)&amp;"")</f>
        <v/>
      </c>
      <c r="S148" s="175">
        <f>IF($W148="","",SUMIF($U$7:$U$306,INDEX($U$7:$U$306,$W148),$K$7:$K$306))</f>
        <v/>
      </c>
      <c r="U148">
        <f>IF(OR($X148="",N($K148)=0),"",UPPER(TRIM($G148&amp;"|"&amp;$H148&amp;"|"&amp;$I148&amp;"|"&amp;$J148&amp;"|"&amp;$F148)))</f>
        <v/>
      </c>
      <c r="V148">
        <f>IF($U148="","",IF(COUNTIF($U$7:$U148,$U148)=1,MAX($V$6:$V147)+1,""))</f>
        <v/>
      </c>
      <c r="W148">
        <f>IFERROR(MATCH(142,$V$7:$V$306,0),"")</f>
        <v/>
      </c>
      <c r="X148">
        <f>IFERROR(MATCH(142,'HW Sets'!$S$7:$S$306,0),"")</f>
        <v/>
      </c>
      <c r="Y148">
        <f>IF($X148="","",INDEX('HW Sets'!$J$7:$J$306,$X148)&amp;"")</f>
        <v/>
      </c>
      <c r="Z148">
        <f>IF($Y148="","",IF(COUNTIF($Y$7:$Y148,$Y148)=1,1,""))</f>
        <v/>
      </c>
    </row>
    <row r="149">
      <c r="A149" s="175">
        <f>IF($Z149="","",$Y149)</f>
        <v/>
      </c>
      <c r="B149" s="176">
        <f>IF($Z149="","",IFERROR(INDEX('HW Sets'!$N$7:$N$306,MATCH($Y149,'HW Sets'!$M$7:$M$306,0)),""))</f>
        <v/>
      </c>
      <c r="C149" s="177">
        <f t="array" ref="C149">IF($Z149="","",_xlfn.TEXTJOIN(", ",TRUE,IF(tk_HWSET&amp;""=$Y149,tk_MARK,"")))</f>
        <v/>
      </c>
      <c r="D149" s="176">
        <f t="array" ref="D149">IF($Z149="","",SUM(IF(tk_HWSET&amp;""=$Y149,IFERROR(--tk_QTY,0),0)))</f>
        <v/>
      </c>
      <c r="E149" s="176">
        <f>IF($X149="","",IF(INDEX('HW Sets'!$C$7:$C$306,$X149)="","",INDEX('HW Sets'!$C$7:$C$306,$X149)))</f>
        <v/>
      </c>
      <c r="F149" s="176">
        <f>IF($X149="","",IF(INDEX('HW Sets'!$D$7:$D$306,$X149)="","",INDEX('HW Sets'!$D$7:$D$306,$X149)))</f>
        <v/>
      </c>
      <c r="G149" s="176">
        <f>IF($X149="","",IF(INDEX('HW Sets'!$E$7:$E$306,$X149)="","",INDEX('HW Sets'!$E$7:$E$306,$X149)))</f>
        <v/>
      </c>
      <c r="H149" s="176">
        <f>IF($X149="","",IF(INDEX('HW Sets'!$F$7:$F$306,$X149)="","",INDEX('HW Sets'!$F$7:$F$306,$X149)))</f>
        <v/>
      </c>
      <c r="I149" s="176">
        <f>IF($X149="","",IF(INDEX('HW Sets'!$G$7:$G$306,$X149)="","",INDEX('HW Sets'!$G$7:$G$306,$X149)))</f>
        <v/>
      </c>
      <c r="J149" s="176">
        <f>IF($X149="","",IF(INDEX('HW Sets'!$H$7:$H$306,$X149)="","",INDEX('HW Sets'!$H$7:$H$306,$X149)))</f>
        <v/>
      </c>
      <c r="K149" s="175">
        <f t="array" ref="K149">IF($X149="","",N($E149)*SUM(IF(tk_HWSET&amp;""=$Y149,IFERROR(--tk_QTY,0),0)))</f>
        <v/>
      </c>
      <c r="L149" s="176">
        <f>IF($X149="","",IF(INDEX('HW Sets'!$I$7:$I$306,$X149)="","",INDEX('HW Sets'!$I$7:$I$306,$X149)))</f>
        <v/>
      </c>
      <c r="N149" s="176">
        <f>IF($W149="","",INDEX($G$7:$G$306,$W149)&amp;"")</f>
        <v/>
      </c>
      <c r="O149" s="176">
        <f>IF($W149="","",INDEX($H$7:$H$306,$W149)&amp;"")</f>
        <v/>
      </c>
      <c r="P149" s="176">
        <f>IF($W149="","",INDEX($I$7:$I$306,$W149)&amp;"")</f>
        <v/>
      </c>
      <c r="Q149" s="176">
        <f>IF($W149="","",INDEX($J$7:$J$306,$W149)&amp;"")</f>
        <v/>
      </c>
      <c r="R149" s="176">
        <f>IF($W149="","",INDEX($F$7:$F$306,$W149)&amp;"")</f>
        <v/>
      </c>
      <c r="S149" s="175">
        <f>IF($W149="","",SUMIF($U$7:$U$306,INDEX($U$7:$U$306,$W149),$K$7:$K$306))</f>
        <v/>
      </c>
      <c r="U149">
        <f>IF(OR($X149="",N($K149)=0),"",UPPER(TRIM($G149&amp;"|"&amp;$H149&amp;"|"&amp;$I149&amp;"|"&amp;$J149&amp;"|"&amp;$F149)))</f>
        <v/>
      </c>
      <c r="V149">
        <f>IF($U149="","",IF(COUNTIF($U$7:$U149,$U149)=1,MAX($V$6:$V148)+1,""))</f>
        <v/>
      </c>
      <c r="W149">
        <f>IFERROR(MATCH(143,$V$7:$V$306,0),"")</f>
        <v/>
      </c>
      <c r="X149">
        <f>IFERROR(MATCH(143,'HW Sets'!$S$7:$S$306,0),"")</f>
        <v/>
      </c>
      <c r="Y149">
        <f>IF($X149="","",INDEX('HW Sets'!$J$7:$J$306,$X149)&amp;"")</f>
        <v/>
      </c>
      <c r="Z149">
        <f>IF($Y149="","",IF(COUNTIF($Y$7:$Y149,$Y149)=1,1,""))</f>
        <v/>
      </c>
    </row>
    <row r="150">
      <c r="A150" s="175">
        <f>IF($Z150="","",$Y150)</f>
        <v/>
      </c>
      <c r="B150" s="176">
        <f>IF($Z150="","",IFERROR(INDEX('HW Sets'!$N$7:$N$306,MATCH($Y150,'HW Sets'!$M$7:$M$306,0)),""))</f>
        <v/>
      </c>
      <c r="C150" s="177">
        <f t="array" ref="C150">IF($Z150="","",_xlfn.TEXTJOIN(", ",TRUE,IF(tk_HWSET&amp;""=$Y150,tk_MARK,"")))</f>
        <v/>
      </c>
      <c r="D150" s="176">
        <f t="array" ref="D150">IF($Z150="","",SUM(IF(tk_HWSET&amp;""=$Y150,IFERROR(--tk_QTY,0),0)))</f>
        <v/>
      </c>
      <c r="E150" s="176">
        <f>IF($X150="","",IF(INDEX('HW Sets'!$C$7:$C$306,$X150)="","",INDEX('HW Sets'!$C$7:$C$306,$X150)))</f>
        <v/>
      </c>
      <c r="F150" s="176">
        <f>IF($X150="","",IF(INDEX('HW Sets'!$D$7:$D$306,$X150)="","",INDEX('HW Sets'!$D$7:$D$306,$X150)))</f>
        <v/>
      </c>
      <c r="G150" s="176">
        <f>IF($X150="","",IF(INDEX('HW Sets'!$E$7:$E$306,$X150)="","",INDEX('HW Sets'!$E$7:$E$306,$X150)))</f>
        <v/>
      </c>
      <c r="H150" s="176">
        <f>IF($X150="","",IF(INDEX('HW Sets'!$F$7:$F$306,$X150)="","",INDEX('HW Sets'!$F$7:$F$306,$X150)))</f>
        <v/>
      </c>
      <c r="I150" s="176">
        <f>IF($X150="","",IF(INDEX('HW Sets'!$G$7:$G$306,$X150)="","",INDEX('HW Sets'!$G$7:$G$306,$X150)))</f>
        <v/>
      </c>
      <c r="J150" s="176">
        <f>IF($X150="","",IF(INDEX('HW Sets'!$H$7:$H$306,$X150)="","",INDEX('HW Sets'!$H$7:$H$306,$X150)))</f>
        <v/>
      </c>
      <c r="K150" s="175">
        <f t="array" ref="K150">IF($X150="","",N($E150)*SUM(IF(tk_HWSET&amp;""=$Y150,IFERROR(--tk_QTY,0),0)))</f>
        <v/>
      </c>
      <c r="L150" s="176">
        <f>IF($X150="","",IF(INDEX('HW Sets'!$I$7:$I$306,$X150)="","",INDEX('HW Sets'!$I$7:$I$306,$X150)))</f>
        <v/>
      </c>
      <c r="N150" s="176">
        <f>IF($W150="","",INDEX($G$7:$G$306,$W150)&amp;"")</f>
        <v/>
      </c>
      <c r="O150" s="176">
        <f>IF($W150="","",INDEX($H$7:$H$306,$W150)&amp;"")</f>
        <v/>
      </c>
      <c r="P150" s="176">
        <f>IF($W150="","",INDEX($I$7:$I$306,$W150)&amp;"")</f>
        <v/>
      </c>
      <c r="Q150" s="176">
        <f>IF($W150="","",INDEX($J$7:$J$306,$W150)&amp;"")</f>
        <v/>
      </c>
      <c r="R150" s="176">
        <f>IF($W150="","",INDEX($F$7:$F$306,$W150)&amp;"")</f>
        <v/>
      </c>
      <c r="S150" s="175">
        <f>IF($W150="","",SUMIF($U$7:$U$306,INDEX($U$7:$U$306,$W150),$K$7:$K$306))</f>
        <v/>
      </c>
      <c r="U150">
        <f>IF(OR($X150="",N($K150)=0),"",UPPER(TRIM($G150&amp;"|"&amp;$H150&amp;"|"&amp;$I150&amp;"|"&amp;$J150&amp;"|"&amp;$F150)))</f>
        <v/>
      </c>
      <c r="V150">
        <f>IF($U150="","",IF(COUNTIF($U$7:$U150,$U150)=1,MAX($V$6:$V149)+1,""))</f>
        <v/>
      </c>
      <c r="W150">
        <f>IFERROR(MATCH(144,$V$7:$V$306,0),"")</f>
        <v/>
      </c>
      <c r="X150">
        <f>IFERROR(MATCH(144,'HW Sets'!$S$7:$S$306,0),"")</f>
        <v/>
      </c>
      <c r="Y150">
        <f>IF($X150="","",INDEX('HW Sets'!$J$7:$J$306,$X150)&amp;"")</f>
        <v/>
      </c>
      <c r="Z150">
        <f>IF($Y150="","",IF(COUNTIF($Y$7:$Y150,$Y150)=1,1,""))</f>
        <v/>
      </c>
    </row>
    <row r="151">
      <c r="A151" s="175">
        <f>IF($Z151="","",$Y151)</f>
        <v/>
      </c>
      <c r="B151" s="176">
        <f>IF($Z151="","",IFERROR(INDEX('HW Sets'!$N$7:$N$306,MATCH($Y151,'HW Sets'!$M$7:$M$306,0)),""))</f>
        <v/>
      </c>
      <c r="C151" s="177">
        <f t="array" ref="C151">IF($Z151="","",_xlfn.TEXTJOIN(", ",TRUE,IF(tk_HWSET&amp;""=$Y151,tk_MARK,"")))</f>
        <v/>
      </c>
      <c r="D151" s="176">
        <f t="array" ref="D151">IF($Z151="","",SUM(IF(tk_HWSET&amp;""=$Y151,IFERROR(--tk_QTY,0),0)))</f>
        <v/>
      </c>
      <c r="E151" s="176">
        <f>IF($X151="","",IF(INDEX('HW Sets'!$C$7:$C$306,$X151)="","",INDEX('HW Sets'!$C$7:$C$306,$X151)))</f>
        <v/>
      </c>
      <c r="F151" s="176">
        <f>IF($X151="","",IF(INDEX('HW Sets'!$D$7:$D$306,$X151)="","",INDEX('HW Sets'!$D$7:$D$306,$X151)))</f>
        <v/>
      </c>
      <c r="G151" s="176">
        <f>IF($X151="","",IF(INDEX('HW Sets'!$E$7:$E$306,$X151)="","",INDEX('HW Sets'!$E$7:$E$306,$X151)))</f>
        <v/>
      </c>
      <c r="H151" s="176">
        <f>IF($X151="","",IF(INDEX('HW Sets'!$F$7:$F$306,$X151)="","",INDEX('HW Sets'!$F$7:$F$306,$X151)))</f>
        <v/>
      </c>
      <c r="I151" s="176">
        <f>IF($X151="","",IF(INDEX('HW Sets'!$G$7:$G$306,$X151)="","",INDEX('HW Sets'!$G$7:$G$306,$X151)))</f>
        <v/>
      </c>
      <c r="J151" s="176">
        <f>IF($X151="","",IF(INDEX('HW Sets'!$H$7:$H$306,$X151)="","",INDEX('HW Sets'!$H$7:$H$306,$X151)))</f>
        <v/>
      </c>
      <c r="K151" s="175">
        <f t="array" ref="K151">IF($X151="","",N($E151)*SUM(IF(tk_HWSET&amp;""=$Y151,IFERROR(--tk_QTY,0),0)))</f>
        <v/>
      </c>
      <c r="L151" s="176">
        <f>IF($X151="","",IF(INDEX('HW Sets'!$I$7:$I$306,$X151)="","",INDEX('HW Sets'!$I$7:$I$306,$X151)))</f>
        <v/>
      </c>
      <c r="N151" s="176">
        <f>IF($W151="","",INDEX($G$7:$G$306,$W151)&amp;"")</f>
        <v/>
      </c>
      <c r="O151" s="176">
        <f>IF($W151="","",INDEX($H$7:$H$306,$W151)&amp;"")</f>
        <v/>
      </c>
      <c r="P151" s="176">
        <f>IF($W151="","",INDEX($I$7:$I$306,$W151)&amp;"")</f>
        <v/>
      </c>
      <c r="Q151" s="176">
        <f>IF($W151="","",INDEX($J$7:$J$306,$W151)&amp;"")</f>
        <v/>
      </c>
      <c r="R151" s="176">
        <f>IF($W151="","",INDEX($F$7:$F$306,$W151)&amp;"")</f>
        <v/>
      </c>
      <c r="S151" s="175">
        <f>IF($W151="","",SUMIF($U$7:$U$306,INDEX($U$7:$U$306,$W151),$K$7:$K$306))</f>
        <v/>
      </c>
      <c r="U151">
        <f>IF(OR($X151="",N($K151)=0),"",UPPER(TRIM($G151&amp;"|"&amp;$H151&amp;"|"&amp;$I151&amp;"|"&amp;$J151&amp;"|"&amp;$F151)))</f>
        <v/>
      </c>
      <c r="V151">
        <f>IF($U151="","",IF(COUNTIF($U$7:$U151,$U151)=1,MAX($V$6:$V150)+1,""))</f>
        <v/>
      </c>
      <c r="W151">
        <f>IFERROR(MATCH(145,$V$7:$V$306,0),"")</f>
        <v/>
      </c>
      <c r="X151">
        <f>IFERROR(MATCH(145,'HW Sets'!$S$7:$S$306,0),"")</f>
        <v/>
      </c>
      <c r="Y151">
        <f>IF($X151="","",INDEX('HW Sets'!$J$7:$J$306,$X151)&amp;"")</f>
        <v/>
      </c>
      <c r="Z151">
        <f>IF($Y151="","",IF(COUNTIF($Y$7:$Y151,$Y151)=1,1,""))</f>
        <v/>
      </c>
    </row>
    <row r="152">
      <c r="A152" s="175">
        <f>IF($Z152="","",$Y152)</f>
        <v/>
      </c>
      <c r="B152" s="176">
        <f>IF($Z152="","",IFERROR(INDEX('HW Sets'!$N$7:$N$306,MATCH($Y152,'HW Sets'!$M$7:$M$306,0)),""))</f>
        <v/>
      </c>
      <c r="C152" s="177">
        <f t="array" ref="C152">IF($Z152="","",_xlfn.TEXTJOIN(", ",TRUE,IF(tk_HWSET&amp;""=$Y152,tk_MARK,"")))</f>
        <v/>
      </c>
      <c r="D152" s="176">
        <f t="array" ref="D152">IF($Z152="","",SUM(IF(tk_HWSET&amp;""=$Y152,IFERROR(--tk_QTY,0),0)))</f>
        <v/>
      </c>
      <c r="E152" s="176">
        <f>IF($X152="","",IF(INDEX('HW Sets'!$C$7:$C$306,$X152)="","",INDEX('HW Sets'!$C$7:$C$306,$X152)))</f>
        <v/>
      </c>
      <c r="F152" s="176">
        <f>IF($X152="","",IF(INDEX('HW Sets'!$D$7:$D$306,$X152)="","",INDEX('HW Sets'!$D$7:$D$306,$X152)))</f>
        <v/>
      </c>
      <c r="G152" s="176">
        <f>IF($X152="","",IF(INDEX('HW Sets'!$E$7:$E$306,$X152)="","",INDEX('HW Sets'!$E$7:$E$306,$X152)))</f>
        <v/>
      </c>
      <c r="H152" s="176">
        <f>IF($X152="","",IF(INDEX('HW Sets'!$F$7:$F$306,$X152)="","",INDEX('HW Sets'!$F$7:$F$306,$X152)))</f>
        <v/>
      </c>
      <c r="I152" s="176">
        <f>IF($X152="","",IF(INDEX('HW Sets'!$G$7:$G$306,$X152)="","",INDEX('HW Sets'!$G$7:$G$306,$X152)))</f>
        <v/>
      </c>
      <c r="J152" s="176">
        <f>IF($X152="","",IF(INDEX('HW Sets'!$H$7:$H$306,$X152)="","",INDEX('HW Sets'!$H$7:$H$306,$X152)))</f>
        <v/>
      </c>
      <c r="K152" s="175">
        <f t="array" ref="K152">IF($X152="","",N($E152)*SUM(IF(tk_HWSET&amp;""=$Y152,IFERROR(--tk_QTY,0),0)))</f>
        <v/>
      </c>
      <c r="L152" s="176">
        <f>IF($X152="","",IF(INDEX('HW Sets'!$I$7:$I$306,$X152)="","",INDEX('HW Sets'!$I$7:$I$306,$X152)))</f>
        <v/>
      </c>
      <c r="N152" s="176">
        <f>IF($W152="","",INDEX($G$7:$G$306,$W152)&amp;"")</f>
        <v/>
      </c>
      <c r="O152" s="176">
        <f>IF($W152="","",INDEX($H$7:$H$306,$W152)&amp;"")</f>
        <v/>
      </c>
      <c r="P152" s="176">
        <f>IF($W152="","",INDEX($I$7:$I$306,$W152)&amp;"")</f>
        <v/>
      </c>
      <c r="Q152" s="176">
        <f>IF($W152="","",INDEX($J$7:$J$306,$W152)&amp;"")</f>
        <v/>
      </c>
      <c r="R152" s="176">
        <f>IF($W152="","",INDEX($F$7:$F$306,$W152)&amp;"")</f>
        <v/>
      </c>
      <c r="S152" s="175">
        <f>IF($W152="","",SUMIF($U$7:$U$306,INDEX($U$7:$U$306,$W152),$K$7:$K$306))</f>
        <v/>
      </c>
      <c r="U152">
        <f>IF(OR($X152="",N($K152)=0),"",UPPER(TRIM($G152&amp;"|"&amp;$H152&amp;"|"&amp;$I152&amp;"|"&amp;$J152&amp;"|"&amp;$F152)))</f>
        <v/>
      </c>
      <c r="V152">
        <f>IF($U152="","",IF(COUNTIF($U$7:$U152,$U152)=1,MAX($V$6:$V151)+1,""))</f>
        <v/>
      </c>
      <c r="W152">
        <f>IFERROR(MATCH(146,$V$7:$V$306,0),"")</f>
        <v/>
      </c>
      <c r="X152">
        <f>IFERROR(MATCH(146,'HW Sets'!$S$7:$S$306,0),"")</f>
        <v/>
      </c>
      <c r="Y152">
        <f>IF($X152="","",INDEX('HW Sets'!$J$7:$J$306,$X152)&amp;"")</f>
        <v/>
      </c>
      <c r="Z152">
        <f>IF($Y152="","",IF(COUNTIF($Y$7:$Y152,$Y152)=1,1,""))</f>
        <v/>
      </c>
    </row>
    <row r="153">
      <c r="A153" s="175">
        <f>IF($Z153="","",$Y153)</f>
        <v/>
      </c>
      <c r="B153" s="176">
        <f>IF($Z153="","",IFERROR(INDEX('HW Sets'!$N$7:$N$306,MATCH($Y153,'HW Sets'!$M$7:$M$306,0)),""))</f>
        <v/>
      </c>
      <c r="C153" s="177">
        <f t="array" ref="C153">IF($Z153="","",_xlfn.TEXTJOIN(", ",TRUE,IF(tk_HWSET&amp;""=$Y153,tk_MARK,"")))</f>
        <v/>
      </c>
      <c r="D153" s="176">
        <f t="array" ref="D153">IF($Z153="","",SUM(IF(tk_HWSET&amp;""=$Y153,IFERROR(--tk_QTY,0),0)))</f>
        <v/>
      </c>
      <c r="E153" s="176">
        <f>IF($X153="","",IF(INDEX('HW Sets'!$C$7:$C$306,$X153)="","",INDEX('HW Sets'!$C$7:$C$306,$X153)))</f>
        <v/>
      </c>
      <c r="F153" s="176">
        <f>IF($X153="","",IF(INDEX('HW Sets'!$D$7:$D$306,$X153)="","",INDEX('HW Sets'!$D$7:$D$306,$X153)))</f>
        <v/>
      </c>
      <c r="G153" s="176">
        <f>IF($X153="","",IF(INDEX('HW Sets'!$E$7:$E$306,$X153)="","",INDEX('HW Sets'!$E$7:$E$306,$X153)))</f>
        <v/>
      </c>
      <c r="H153" s="176">
        <f>IF($X153="","",IF(INDEX('HW Sets'!$F$7:$F$306,$X153)="","",INDEX('HW Sets'!$F$7:$F$306,$X153)))</f>
        <v/>
      </c>
      <c r="I153" s="176">
        <f>IF($X153="","",IF(INDEX('HW Sets'!$G$7:$G$306,$X153)="","",INDEX('HW Sets'!$G$7:$G$306,$X153)))</f>
        <v/>
      </c>
      <c r="J153" s="176">
        <f>IF($X153="","",IF(INDEX('HW Sets'!$H$7:$H$306,$X153)="","",INDEX('HW Sets'!$H$7:$H$306,$X153)))</f>
        <v/>
      </c>
      <c r="K153" s="175">
        <f t="array" ref="K153">IF($X153="","",N($E153)*SUM(IF(tk_HWSET&amp;""=$Y153,IFERROR(--tk_QTY,0),0)))</f>
        <v/>
      </c>
      <c r="L153" s="176">
        <f>IF($X153="","",IF(INDEX('HW Sets'!$I$7:$I$306,$X153)="","",INDEX('HW Sets'!$I$7:$I$306,$X153)))</f>
        <v/>
      </c>
      <c r="N153" s="176">
        <f>IF($W153="","",INDEX($G$7:$G$306,$W153)&amp;"")</f>
        <v/>
      </c>
      <c r="O153" s="176">
        <f>IF($W153="","",INDEX($H$7:$H$306,$W153)&amp;"")</f>
        <v/>
      </c>
      <c r="P153" s="176">
        <f>IF($W153="","",INDEX($I$7:$I$306,$W153)&amp;"")</f>
        <v/>
      </c>
      <c r="Q153" s="176">
        <f>IF($W153="","",INDEX($J$7:$J$306,$W153)&amp;"")</f>
        <v/>
      </c>
      <c r="R153" s="176">
        <f>IF($W153="","",INDEX($F$7:$F$306,$W153)&amp;"")</f>
        <v/>
      </c>
      <c r="S153" s="175">
        <f>IF($W153="","",SUMIF($U$7:$U$306,INDEX($U$7:$U$306,$W153),$K$7:$K$306))</f>
        <v/>
      </c>
      <c r="U153">
        <f>IF(OR($X153="",N($K153)=0),"",UPPER(TRIM($G153&amp;"|"&amp;$H153&amp;"|"&amp;$I153&amp;"|"&amp;$J153&amp;"|"&amp;$F153)))</f>
        <v/>
      </c>
      <c r="V153">
        <f>IF($U153="","",IF(COUNTIF($U$7:$U153,$U153)=1,MAX($V$6:$V152)+1,""))</f>
        <v/>
      </c>
      <c r="W153">
        <f>IFERROR(MATCH(147,$V$7:$V$306,0),"")</f>
        <v/>
      </c>
      <c r="X153">
        <f>IFERROR(MATCH(147,'HW Sets'!$S$7:$S$306,0),"")</f>
        <v/>
      </c>
      <c r="Y153">
        <f>IF($X153="","",INDEX('HW Sets'!$J$7:$J$306,$X153)&amp;"")</f>
        <v/>
      </c>
      <c r="Z153">
        <f>IF($Y153="","",IF(COUNTIF($Y$7:$Y153,$Y153)=1,1,""))</f>
        <v/>
      </c>
    </row>
    <row r="154">
      <c r="A154" s="175">
        <f>IF($Z154="","",$Y154)</f>
        <v/>
      </c>
      <c r="B154" s="176">
        <f>IF($Z154="","",IFERROR(INDEX('HW Sets'!$N$7:$N$306,MATCH($Y154,'HW Sets'!$M$7:$M$306,0)),""))</f>
        <v/>
      </c>
      <c r="C154" s="177">
        <f t="array" ref="C154">IF($Z154="","",_xlfn.TEXTJOIN(", ",TRUE,IF(tk_HWSET&amp;""=$Y154,tk_MARK,"")))</f>
        <v/>
      </c>
      <c r="D154" s="176">
        <f t="array" ref="D154">IF($Z154="","",SUM(IF(tk_HWSET&amp;""=$Y154,IFERROR(--tk_QTY,0),0)))</f>
        <v/>
      </c>
      <c r="E154" s="176">
        <f>IF($X154="","",IF(INDEX('HW Sets'!$C$7:$C$306,$X154)="","",INDEX('HW Sets'!$C$7:$C$306,$X154)))</f>
        <v/>
      </c>
      <c r="F154" s="176">
        <f>IF($X154="","",IF(INDEX('HW Sets'!$D$7:$D$306,$X154)="","",INDEX('HW Sets'!$D$7:$D$306,$X154)))</f>
        <v/>
      </c>
      <c r="G154" s="176">
        <f>IF($X154="","",IF(INDEX('HW Sets'!$E$7:$E$306,$X154)="","",INDEX('HW Sets'!$E$7:$E$306,$X154)))</f>
        <v/>
      </c>
      <c r="H154" s="176">
        <f>IF($X154="","",IF(INDEX('HW Sets'!$F$7:$F$306,$X154)="","",INDEX('HW Sets'!$F$7:$F$306,$X154)))</f>
        <v/>
      </c>
      <c r="I154" s="176">
        <f>IF($X154="","",IF(INDEX('HW Sets'!$G$7:$G$306,$X154)="","",INDEX('HW Sets'!$G$7:$G$306,$X154)))</f>
        <v/>
      </c>
      <c r="J154" s="176">
        <f>IF($X154="","",IF(INDEX('HW Sets'!$H$7:$H$306,$X154)="","",INDEX('HW Sets'!$H$7:$H$306,$X154)))</f>
        <v/>
      </c>
      <c r="K154" s="175">
        <f t="array" ref="K154">IF($X154="","",N($E154)*SUM(IF(tk_HWSET&amp;""=$Y154,IFERROR(--tk_QTY,0),0)))</f>
        <v/>
      </c>
      <c r="L154" s="176">
        <f>IF($X154="","",IF(INDEX('HW Sets'!$I$7:$I$306,$X154)="","",INDEX('HW Sets'!$I$7:$I$306,$X154)))</f>
        <v/>
      </c>
      <c r="N154" s="176">
        <f>IF($W154="","",INDEX($G$7:$G$306,$W154)&amp;"")</f>
        <v/>
      </c>
      <c r="O154" s="176">
        <f>IF($W154="","",INDEX($H$7:$H$306,$W154)&amp;"")</f>
        <v/>
      </c>
      <c r="P154" s="176">
        <f>IF($W154="","",INDEX($I$7:$I$306,$W154)&amp;"")</f>
        <v/>
      </c>
      <c r="Q154" s="176">
        <f>IF($W154="","",INDEX($J$7:$J$306,$W154)&amp;"")</f>
        <v/>
      </c>
      <c r="R154" s="176">
        <f>IF($W154="","",INDEX($F$7:$F$306,$W154)&amp;"")</f>
        <v/>
      </c>
      <c r="S154" s="175">
        <f>IF($W154="","",SUMIF($U$7:$U$306,INDEX($U$7:$U$306,$W154),$K$7:$K$306))</f>
        <v/>
      </c>
      <c r="U154">
        <f>IF(OR($X154="",N($K154)=0),"",UPPER(TRIM($G154&amp;"|"&amp;$H154&amp;"|"&amp;$I154&amp;"|"&amp;$J154&amp;"|"&amp;$F154)))</f>
        <v/>
      </c>
      <c r="V154">
        <f>IF($U154="","",IF(COUNTIF($U$7:$U154,$U154)=1,MAX($V$6:$V153)+1,""))</f>
        <v/>
      </c>
      <c r="W154">
        <f>IFERROR(MATCH(148,$V$7:$V$306,0),"")</f>
        <v/>
      </c>
      <c r="X154">
        <f>IFERROR(MATCH(148,'HW Sets'!$S$7:$S$306,0),"")</f>
        <v/>
      </c>
      <c r="Y154">
        <f>IF($X154="","",INDEX('HW Sets'!$J$7:$J$306,$X154)&amp;"")</f>
        <v/>
      </c>
      <c r="Z154">
        <f>IF($Y154="","",IF(COUNTIF($Y$7:$Y154,$Y154)=1,1,""))</f>
        <v/>
      </c>
    </row>
    <row r="155">
      <c r="A155" s="175">
        <f>IF($Z155="","",$Y155)</f>
        <v/>
      </c>
      <c r="B155" s="176">
        <f>IF($Z155="","",IFERROR(INDEX('HW Sets'!$N$7:$N$306,MATCH($Y155,'HW Sets'!$M$7:$M$306,0)),""))</f>
        <v/>
      </c>
      <c r="C155" s="177">
        <f t="array" ref="C155">IF($Z155="","",_xlfn.TEXTJOIN(", ",TRUE,IF(tk_HWSET&amp;""=$Y155,tk_MARK,"")))</f>
        <v/>
      </c>
      <c r="D155" s="176">
        <f t="array" ref="D155">IF($Z155="","",SUM(IF(tk_HWSET&amp;""=$Y155,IFERROR(--tk_QTY,0),0)))</f>
        <v/>
      </c>
      <c r="E155" s="176">
        <f>IF($X155="","",IF(INDEX('HW Sets'!$C$7:$C$306,$X155)="","",INDEX('HW Sets'!$C$7:$C$306,$X155)))</f>
        <v/>
      </c>
      <c r="F155" s="176">
        <f>IF($X155="","",IF(INDEX('HW Sets'!$D$7:$D$306,$X155)="","",INDEX('HW Sets'!$D$7:$D$306,$X155)))</f>
        <v/>
      </c>
      <c r="G155" s="176">
        <f>IF($X155="","",IF(INDEX('HW Sets'!$E$7:$E$306,$X155)="","",INDEX('HW Sets'!$E$7:$E$306,$X155)))</f>
        <v/>
      </c>
      <c r="H155" s="176">
        <f>IF($X155="","",IF(INDEX('HW Sets'!$F$7:$F$306,$X155)="","",INDEX('HW Sets'!$F$7:$F$306,$X155)))</f>
        <v/>
      </c>
      <c r="I155" s="176">
        <f>IF($X155="","",IF(INDEX('HW Sets'!$G$7:$G$306,$X155)="","",INDEX('HW Sets'!$G$7:$G$306,$X155)))</f>
        <v/>
      </c>
      <c r="J155" s="176">
        <f>IF($X155="","",IF(INDEX('HW Sets'!$H$7:$H$306,$X155)="","",INDEX('HW Sets'!$H$7:$H$306,$X155)))</f>
        <v/>
      </c>
      <c r="K155" s="175">
        <f t="array" ref="K155">IF($X155="","",N($E155)*SUM(IF(tk_HWSET&amp;""=$Y155,IFERROR(--tk_QTY,0),0)))</f>
        <v/>
      </c>
      <c r="L155" s="176">
        <f>IF($X155="","",IF(INDEX('HW Sets'!$I$7:$I$306,$X155)="","",INDEX('HW Sets'!$I$7:$I$306,$X155)))</f>
        <v/>
      </c>
      <c r="N155" s="176">
        <f>IF($W155="","",INDEX($G$7:$G$306,$W155)&amp;"")</f>
        <v/>
      </c>
      <c r="O155" s="176">
        <f>IF($W155="","",INDEX($H$7:$H$306,$W155)&amp;"")</f>
        <v/>
      </c>
      <c r="P155" s="176">
        <f>IF($W155="","",INDEX($I$7:$I$306,$W155)&amp;"")</f>
        <v/>
      </c>
      <c r="Q155" s="176">
        <f>IF($W155="","",INDEX($J$7:$J$306,$W155)&amp;"")</f>
        <v/>
      </c>
      <c r="R155" s="176">
        <f>IF($W155="","",INDEX($F$7:$F$306,$W155)&amp;"")</f>
        <v/>
      </c>
      <c r="S155" s="175">
        <f>IF($W155="","",SUMIF($U$7:$U$306,INDEX($U$7:$U$306,$W155),$K$7:$K$306))</f>
        <v/>
      </c>
      <c r="U155">
        <f>IF(OR($X155="",N($K155)=0),"",UPPER(TRIM($G155&amp;"|"&amp;$H155&amp;"|"&amp;$I155&amp;"|"&amp;$J155&amp;"|"&amp;$F155)))</f>
        <v/>
      </c>
      <c r="V155">
        <f>IF($U155="","",IF(COUNTIF($U$7:$U155,$U155)=1,MAX($V$6:$V154)+1,""))</f>
        <v/>
      </c>
      <c r="W155">
        <f>IFERROR(MATCH(149,$V$7:$V$306,0),"")</f>
        <v/>
      </c>
      <c r="X155">
        <f>IFERROR(MATCH(149,'HW Sets'!$S$7:$S$306,0),"")</f>
        <v/>
      </c>
      <c r="Y155">
        <f>IF($X155="","",INDEX('HW Sets'!$J$7:$J$306,$X155)&amp;"")</f>
        <v/>
      </c>
      <c r="Z155">
        <f>IF($Y155="","",IF(COUNTIF($Y$7:$Y155,$Y155)=1,1,""))</f>
        <v/>
      </c>
    </row>
    <row r="156">
      <c r="A156" s="175">
        <f>IF($Z156="","",$Y156)</f>
        <v/>
      </c>
      <c r="B156" s="176">
        <f>IF($Z156="","",IFERROR(INDEX('HW Sets'!$N$7:$N$306,MATCH($Y156,'HW Sets'!$M$7:$M$306,0)),""))</f>
        <v/>
      </c>
      <c r="C156" s="177">
        <f t="array" ref="C156">IF($Z156="","",_xlfn.TEXTJOIN(", ",TRUE,IF(tk_HWSET&amp;""=$Y156,tk_MARK,"")))</f>
        <v/>
      </c>
      <c r="D156" s="176">
        <f t="array" ref="D156">IF($Z156="","",SUM(IF(tk_HWSET&amp;""=$Y156,IFERROR(--tk_QTY,0),0)))</f>
        <v/>
      </c>
      <c r="E156" s="176">
        <f>IF($X156="","",IF(INDEX('HW Sets'!$C$7:$C$306,$X156)="","",INDEX('HW Sets'!$C$7:$C$306,$X156)))</f>
        <v/>
      </c>
      <c r="F156" s="176">
        <f>IF($X156="","",IF(INDEX('HW Sets'!$D$7:$D$306,$X156)="","",INDEX('HW Sets'!$D$7:$D$306,$X156)))</f>
        <v/>
      </c>
      <c r="G156" s="176">
        <f>IF($X156="","",IF(INDEX('HW Sets'!$E$7:$E$306,$X156)="","",INDEX('HW Sets'!$E$7:$E$306,$X156)))</f>
        <v/>
      </c>
      <c r="H156" s="176">
        <f>IF($X156="","",IF(INDEX('HW Sets'!$F$7:$F$306,$X156)="","",INDEX('HW Sets'!$F$7:$F$306,$X156)))</f>
        <v/>
      </c>
      <c r="I156" s="176">
        <f>IF($X156="","",IF(INDEX('HW Sets'!$G$7:$G$306,$X156)="","",INDEX('HW Sets'!$G$7:$G$306,$X156)))</f>
        <v/>
      </c>
      <c r="J156" s="176">
        <f>IF($X156="","",IF(INDEX('HW Sets'!$H$7:$H$306,$X156)="","",INDEX('HW Sets'!$H$7:$H$306,$X156)))</f>
        <v/>
      </c>
      <c r="K156" s="175">
        <f t="array" ref="K156">IF($X156="","",N($E156)*SUM(IF(tk_HWSET&amp;""=$Y156,IFERROR(--tk_QTY,0),0)))</f>
        <v/>
      </c>
      <c r="L156" s="176">
        <f>IF($X156="","",IF(INDEX('HW Sets'!$I$7:$I$306,$X156)="","",INDEX('HW Sets'!$I$7:$I$306,$X156)))</f>
        <v/>
      </c>
      <c r="N156" s="176">
        <f>IF($W156="","",INDEX($G$7:$G$306,$W156)&amp;"")</f>
        <v/>
      </c>
      <c r="O156" s="176">
        <f>IF($W156="","",INDEX($H$7:$H$306,$W156)&amp;"")</f>
        <v/>
      </c>
      <c r="P156" s="176">
        <f>IF($W156="","",INDEX($I$7:$I$306,$W156)&amp;"")</f>
        <v/>
      </c>
      <c r="Q156" s="176">
        <f>IF($W156="","",INDEX($J$7:$J$306,$W156)&amp;"")</f>
        <v/>
      </c>
      <c r="R156" s="176">
        <f>IF($W156="","",INDEX($F$7:$F$306,$W156)&amp;"")</f>
        <v/>
      </c>
      <c r="S156" s="175">
        <f>IF($W156="","",SUMIF($U$7:$U$306,INDEX($U$7:$U$306,$W156),$K$7:$K$306))</f>
        <v/>
      </c>
      <c r="U156">
        <f>IF(OR($X156="",N($K156)=0),"",UPPER(TRIM($G156&amp;"|"&amp;$H156&amp;"|"&amp;$I156&amp;"|"&amp;$J156&amp;"|"&amp;$F156)))</f>
        <v/>
      </c>
      <c r="V156">
        <f>IF($U156="","",IF(COUNTIF($U$7:$U156,$U156)=1,MAX($V$6:$V155)+1,""))</f>
        <v/>
      </c>
      <c r="W156">
        <f>IFERROR(MATCH(150,$V$7:$V$306,0),"")</f>
        <v/>
      </c>
      <c r="X156">
        <f>IFERROR(MATCH(150,'HW Sets'!$S$7:$S$306,0),"")</f>
        <v/>
      </c>
      <c r="Y156">
        <f>IF($X156="","",INDEX('HW Sets'!$J$7:$J$306,$X156)&amp;"")</f>
        <v/>
      </c>
      <c r="Z156">
        <f>IF($Y156="","",IF(COUNTIF($Y$7:$Y156,$Y156)=1,1,""))</f>
        <v/>
      </c>
    </row>
    <row r="157">
      <c r="A157" s="175">
        <f>IF($Z157="","",$Y157)</f>
        <v/>
      </c>
      <c r="B157" s="176">
        <f>IF($Z157="","",IFERROR(INDEX('HW Sets'!$N$7:$N$306,MATCH($Y157,'HW Sets'!$M$7:$M$306,0)),""))</f>
        <v/>
      </c>
      <c r="C157" s="177">
        <f t="array" ref="C157">IF($Z157="","",_xlfn.TEXTJOIN(", ",TRUE,IF(tk_HWSET&amp;""=$Y157,tk_MARK,"")))</f>
        <v/>
      </c>
      <c r="D157" s="176">
        <f t="array" ref="D157">IF($Z157="","",SUM(IF(tk_HWSET&amp;""=$Y157,IFERROR(--tk_QTY,0),0)))</f>
        <v/>
      </c>
      <c r="E157" s="176">
        <f>IF($X157="","",IF(INDEX('HW Sets'!$C$7:$C$306,$X157)="","",INDEX('HW Sets'!$C$7:$C$306,$X157)))</f>
        <v/>
      </c>
      <c r="F157" s="176">
        <f>IF($X157="","",IF(INDEX('HW Sets'!$D$7:$D$306,$X157)="","",INDEX('HW Sets'!$D$7:$D$306,$X157)))</f>
        <v/>
      </c>
      <c r="G157" s="176">
        <f>IF($X157="","",IF(INDEX('HW Sets'!$E$7:$E$306,$X157)="","",INDEX('HW Sets'!$E$7:$E$306,$X157)))</f>
        <v/>
      </c>
      <c r="H157" s="176">
        <f>IF($X157="","",IF(INDEX('HW Sets'!$F$7:$F$306,$X157)="","",INDEX('HW Sets'!$F$7:$F$306,$X157)))</f>
        <v/>
      </c>
      <c r="I157" s="176">
        <f>IF($X157="","",IF(INDEX('HW Sets'!$G$7:$G$306,$X157)="","",INDEX('HW Sets'!$G$7:$G$306,$X157)))</f>
        <v/>
      </c>
      <c r="J157" s="176">
        <f>IF($X157="","",IF(INDEX('HW Sets'!$H$7:$H$306,$X157)="","",INDEX('HW Sets'!$H$7:$H$306,$X157)))</f>
        <v/>
      </c>
      <c r="K157" s="175">
        <f t="array" ref="K157">IF($X157="","",N($E157)*SUM(IF(tk_HWSET&amp;""=$Y157,IFERROR(--tk_QTY,0),0)))</f>
        <v/>
      </c>
      <c r="L157" s="176">
        <f>IF($X157="","",IF(INDEX('HW Sets'!$I$7:$I$306,$X157)="","",INDEX('HW Sets'!$I$7:$I$306,$X157)))</f>
        <v/>
      </c>
      <c r="N157" s="176">
        <f>IF($W157="","",INDEX($G$7:$G$306,$W157)&amp;"")</f>
        <v/>
      </c>
      <c r="O157" s="176">
        <f>IF($W157="","",INDEX($H$7:$H$306,$W157)&amp;"")</f>
        <v/>
      </c>
      <c r="P157" s="176">
        <f>IF($W157="","",INDEX($I$7:$I$306,$W157)&amp;"")</f>
        <v/>
      </c>
      <c r="Q157" s="176">
        <f>IF($W157="","",INDEX($J$7:$J$306,$W157)&amp;"")</f>
        <v/>
      </c>
      <c r="R157" s="176">
        <f>IF($W157="","",INDEX($F$7:$F$306,$W157)&amp;"")</f>
        <v/>
      </c>
      <c r="S157" s="175">
        <f>IF($W157="","",SUMIF($U$7:$U$306,INDEX($U$7:$U$306,$W157),$K$7:$K$306))</f>
        <v/>
      </c>
      <c r="U157">
        <f>IF(OR($X157="",N($K157)=0),"",UPPER(TRIM($G157&amp;"|"&amp;$H157&amp;"|"&amp;$I157&amp;"|"&amp;$J157&amp;"|"&amp;$F157)))</f>
        <v/>
      </c>
      <c r="V157">
        <f>IF($U157="","",IF(COUNTIF($U$7:$U157,$U157)=1,MAX($V$6:$V156)+1,""))</f>
        <v/>
      </c>
      <c r="W157">
        <f>IFERROR(MATCH(151,$V$7:$V$306,0),"")</f>
        <v/>
      </c>
      <c r="X157">
        <f>IFERROR(MATCH(151,'HW Sets'!$S$7:$S$306,0),"")</f>
        <v/>
      </c>
      <c r="Y157">
        <f>IF($X157="","",INDEX('HW Sets'!$J$7:$J$306,$X157)&amp;"")</f>
        <v/>
      </c>
      <c r="Z157">
        <f>IF($Y157="","",IF(COUNTIF($Y$7:$Y157,$Y157)=1,1,""))</f>
        <v/>
      </c>
    </row>
    <row r="158">
      <c r="A158" s="175">
        <f>IF($Z158="","",$Y158)</f>
        <v/>
      </c>
      <c r="B158" s="176">
        <f>IF($Z158="","",IFERROR(INDEX('HW Sets'!$N$7:$N$306,MATCH($Y158,'HW Sets'!$M$7:$M$306,0)),""))</f>
        <v/>
      </c>
      <c r="C158" s="177">
        <f t="array" ref="C158">IF($Z158="","",_xlfn.TEXTJOIN(", ",TRUE,IF(tk_HWSET&amp;""=$Y158,tk_MARK,"")))</f>
        <v/>
      </c>
      <c r="D158" s="176">
        <f t="array" ref="D158">IF($Z158="","",SUM(IF(tk_HWSET&amp;""=$Y158,IFERROR(--tk_QTY,0),0)))</f>
        <v/>
      </c>
      <c r="E158" s="176">
        <f>IF($X158="","",IF(INDEX('HW Sets'!$C$7:$C$306,$X158)="","",INDEX('HW Sets'!$C$7:$C$306,$X158)))</f>
        <v/>
      </c>
      <c r="F158" s="176">
        <f>IF($X158="","",IF(INDEX('HW Sets'!$D$7:$D$306,$X158)="","",INDEX('HW Sets'!$D$7:$D$306,$X158)))</f>
        <v/>
      </c>
      <c r="G158" s="176">
        <f>IF($X158="","",IF(INDEX('HW Sets'!$E$7:$E$306,$X158)="","",INDEX('HW Sets'!$E$7:$E$306,$X158)))</f>
        <v/>
      </c>
      <c r="H158" s="176">
        <f>IF($X158="","",IF(INDEX('HW Sets'!$F$7:$F$306,$X158)="","",INDEX('HW Sets'!$F$7:$F$306,$X158)))</f>
        <v/>
      </c>
      <c r="I158" s="176">
        <f>IF($X158="","",IF(INDEX('HW Sets'!$G$7:$G$306,$X158)="","",INDEX('HW Sets'!$G$7:$G$306,$X158)))</f>
        <v/>
      </c>
      <c r="J158" s="176">
        <f>IF($X158="","",IF(INDEX('HW Sets'!$H$7:$H$306,$X158)="","",INDEX('HW Sets'!$H$7:$H$306,$X158)))</f>
        <v/>
      </c>
      <c r="K158" s="175">
        <f t="array" ref="K158">IF($X158="","",N($E158)*SUM(IF(tk_HWSET&amp;""=$Y158,IFERROR(--tk_QTY,0),0)))</f>
        <v/>
      </c>
      <c r="L158" s="176">
        <f>IF($X158="","",IF(INDEX('HW Sets'!$I$7:$I$306,$X158)="","",INDEX('HW Sets'!$I$7:$I$306,$X158)))</f>
        <v/>
      </c>
      <c r="N158" s="176">
        <f>IF($W158="","",INDEX($G$7:$G$306,$W158)&amp;"")</f>
        <v/>
      </c>
      <c r="O158" s="176">
        <f>IF($W158="","",INDEX($H$7:$H$306,$W158)&amp;"")</f>
        <v/>
      </c>
      <c r="P158" s="176">
        <f>IF($W158="","",INDEX($I$7:$I$306,$W158)&amp;"")</f>
        <v/>
      </c>
      <c r="Q158" s="176">
        <f>IF($W158="","",INDEX($J$7:$J$306,$W158)&amp;"")</f>
        <v/>
      </c>
      <c r="R158" s="176">
        <f>IF($W158="","",INDEX($F$7:$F$306,$W158)&amp;"")</f>
        <v/>
      </c>
      <c r="S158" s="175">
        <f>IF($W158="","",SUMIF($U$7:$U$306,INDEX($U$7:$U$306,$W158),$K$7:$K$306))</f>
        <v/>
      </c>
      <c r="U158">
        <f>IF(OR($X158="",N($K158)=0),"",UPPER(TRIM($G158&amp;"|"&amp;$H158&amp;"|"&amp;$I158&amp;"|"&amp;$J158&amp;"|"&amp;$F158)))</f>
        <v/>
      </c>
      <c r="V158">
        <f>IF($U158="","",IF(COUNTIF($U$7:$U158,$U158)=1,MAX($V$6:$V157)+1,""))</f>
        <v/>
      </c>
      <c r="W158">
        <f>IFERROR(MATCH(152,$V$7:$V$306,0),"")</f>
        <v/>
      </c>
      <c r="X158">
        <f>IFERROR(MATCH(152,'HW Sets'!$S$7:$S$306,0),"")</f>
        <v/>
      </c>
      <c r="Y158">
        <f>IF($X158="","",INDEX('HW Sets'!$J$7:$J$306,$X158)&amp;"")</f>
        <v/>
      </c>
      <c r="Z158">
        <f>IF($Y158="","",IF(COUNTIF($Y$7:$Y158,$Y158)=1,1,""))</f>
        <v/>
      </c>
    </row>
    <row r="159">
      <c r="A159" s="175">
        <f>IF($Z159="","",$Y159)</f>
        <v/>
      </c>
      <c r="B159" s="176">
        <f>IF($Z159="","",IFERROR(INDEX('HW Sets'!$N$7:$N$306,MATCH($Y159,'HW Sets'!$M$7:$M$306,0)),""))</f>
        <v/>
      </c>
      <c r="C159" s="177">
        <f t="array" ref="C159">IF($Z159="","",_xlfn.TEXTJOIN(", ",TRUE,IF(tk_HWSET&amp;""=$Y159,tk_MARK,"")))</f>
        <v/>
      </c>
      <c r="D159" s="176">
        <f t="array" ref="D159">IF($Z159="","",SUM(IF(tk_HWSET&amp;""=$Y159,IFERROR(--tk_QTY,0),0)))</f>
        <v/>
      </c>
      <c r="E159" s="176">
        <f>IF($X159="","",IF(INDEX('HW Sets'!$C$7:$C$306,$X159)="","",INDEX('HW Sets'!$C$7:$C$306,$X159)))</f>
        <v/>
      </c>
      <c r="F159" s="176">
        <f>IF($X159="","",IF(INDEX('HW Sets'!$D$7:$D$306,$X159)="","",INDEX('HW Sets'!$D$7:$D$306,$X159)))</f>
        <v/>
      </c>
      <c r="G159" s="176">
        <f>IF($X159="","",IF(INDEX('HW Sets'!$E$7:$E$306,$X159)="","",INDEX('HW Sets'!$E$7:$E$306,$X159)))</f>
        <v/>
      </c>
      <c r="H159" s="176">
        <f>IF($X159="","",IF(INDEX('HW Sets'!$F$7:$F$306,$X159)="","",INDEX('HW Sets'!$F$7:$F$306,$X159)))</f>
        <v/>
      </c>
      <c r="I159" s="176">
        <f>IF($X159="","",IF(INDEX('HW Sets'!$G$7:$G$306,$X159)="","",INDEX('HW Sets'!$G$7:$G$306,$X159)))</f>
        <v/>
      </c>
      <c r="J159" s="176">
        <f>IF($X159="","",IF(INDEX('HW Sets'!$H$7:$H$306,$X159)="","",INDEX('HW Sets'!$H$7:$H$306,$X159)))</f>
        <v/>
      </c>
      <c r="K159" s="175">
        <f t="array" ref="K159">IF($X159="","",N($E159)*SUM(IF(tk_HWSET&amp;""=$Y159,IFERROR(--tk_QTY,0),0)))</f>
        <v/>
      </c>
      <c r="L159" s="176">
        <f>IF($X159="","",IF(INDEX('HW Sets'!$I$7:$I$306,$X159)="","",INDEX('HW Sets'!$I$7:$I$306,$X159)))</f>
        <v/>
      </c>
      <c r="N159" s="176">
        <f>IF($W159="","",INDEX($G$7:$G$306,$W159)&amp;"")</f>
        <v/>
      </c>
      <c r="O159" s="176">
        <f>IF($W159="","",INDEX($H$7:$H$306,$W159)&amp;"")</f>
        <v/>
      </c>
      <c r="P159" s="176">
        <f>IF($W159="","",INDEX($I$7:$I$306,$W159)&amp;"")</f>
        <v/>
      </c>
      <c r="Q159" s="176">
        <f>IF($W159="","",INDEX($J$7:$J$306,$W159)&amp;"")</f>
        <v/>
      </c>
      <c r="R159" s="176">
        <f>IF($W159="","",INDEX($F$7:$F$306,$W159)&amp;"")</f>
        <v/>
      </c>
      <c r="S159" s="175">
        <f>IF($W159="","",SUMIF($U$7:$U$306,INDEX($U$7:$U$306,$W159),$K$7:$K$306))</f>
        <v/>
      </c>
      <c r="U159">
        <f>IF(OR($X159="",N($K159)=0),"",UPPER(TRIM($G159&amp;"|"&amp;$H159&amp;"|"&amp;$I159&amp;"|"&amp;$J159&amp;"|"&amp;$F159)))</f>
        <v/>
      </c>
      <c r="V159">
        <f>IF($U159="","",IF(COUNTIF($U$7:$U159,$U159)=1,MAX($V$6:$V158)+1,""))</f>
        <v/>
      </c>
      <c r="W159">
        <f>IFERROR(MATCH(153,$V$7:$V$306,0),"")</f>
        <v/>
      </c>
      <c r="X159">
        <f>IFERROR(MATCH(153,'HW Sets'!$S$7:$S$306,0),"")</f>
        <v/>
      </c>
      <c r="Y159">
        <f>IF($X159="","",INDEX('HW Sets'!$J$7:$J$306,$X159)&amp;"")</f>
        <v/>
      </c>
      <c r="Z159">
        <f>IF($Y159="","",IF(COUNTIF($Y$7:$Y159,$Y159)=1,1,""))</f>
        <v/>
      </c>
    </row>
    <row r="160">
      <c r="A160" s="175">
        <f>IF($Z160="","",$Y160)</f>
        <v/>
      </c>
      <c r="B160" s="176">
        <f>IF($Z160="","",IFERROR(INDEX('HW Sets'!$N$7:$N$306,MATCH($Y160,'HW Sets'!$M$7:$M$306,0)),""))</f>
        <v/>
      </c>
      <c r="C160" s="177">
        <f t="array" ref="C160">IF($Z160="","",_xlfn.TEXTJOIN(", ",TRUE,IF(tk_HWSET&amp;""=$Y160,tk_MARK,"")))</f>
        <v/>
      </c>
      <c r="D160" s="176">
        <f t="array" ref="D160">IF($Z160="","",SUM(IF(tk_HWSET&amp;""=$Y160,IFERROR(--tk_QTY,0),0)))</f>
        <v/>
      </c>
      <c r="E160" s="176">
        <f>IF($X160="","",IF(INDEX('HW Sets'!$C$7:$C$306,$X160)="","",INDEX('HW Sets'!$C$7:$C$306,$X160)))</f>
        <v/>
      </c>
      <c r="F160" s="176">
        <f>IF($X160="","",IF(INDEX('HW Sets'!$D$7:$D$306,$X160)="","",INDEX('HW Sets'!$D$7:$D$306,$X160)))</f>
        <v/>
      </c>
      <c r="G160" s="176">
        <f>IF($X160="","",IF(INDEX('HW Sets'!$E$7:$E$306,$X160)="","",INDEX('HW Sets'!$E$7:$E$306,$X160)))</f>
        <v/>
      </c>
      <c r="H160" s="176">
        <f>IF($X160="","",IF(INDEX('HW Sets'!$F$7:$F$306,$X160)="","",INDEX('HW Sets'!$F$7:$F$306,$X160)))</f>
        <v/>
      </c>
      <c r="I160" s="176">
        <f>IF($X160="","",IF(INDEX('HW Sets'!$G$7:$G$306,$X160)="","",INDEX('HW Sets'!$G$7:$G$306,$X160)))</f>
        <v/>
      </c>
      <c r="J160" s="176">
        <f>IF($X160="","",IF(INDEX('HW Sets'!$H$7:$H$306,$X160)="","",INDEX('HW Sets'!$H$7:$H$306,$X160)))</f>
        <v/>
      </c>
      <c r="K160" s="175">
        <f t="array" ref="K160">IF($X160="","",N($E160)*SUM(IF(tk_HWSET&amp;""=$Y160,IFERROR(--tk_QTY,0),0)))</f>
        <v/>
      </c>
      <c r="L160" s="176">
        <f>IF($X160="","",IF(INDEX('HW Sets'!$I$7:$I$306,$X160)="","",INDEX('HW Sets'!$I$7:$I$306,$X160)))</f>
        <v/>
      </c>
      <c r="N160" s="176">
        <f>IF($W160="","",INDEX($G$7:$G$306,$W160)&amp;"")</f>
        <v/>
      </c>
      <c r="O160" s="176">
        <f>IF($W160="","",INDEX($H$7:$H$306,$W160)&amp;"")</f>
        <v/>
      </c>
      <c r="P160" s="176">
        <f>IF($W160="","",INDEX($I$7:$I$306,$W160)&amp;"")</f>
        <v/>
      </c>
      <c r="Q160" s="176">
        <f>IF($W160="","",INDEX($J$7:$J$306,$W160)&amp;"")</f>
        <v/>
      </c>
      <c r="R160" s="176">
        <f>IF($W160="","",INDEX($F$7:$F$306,$W160)&amp;"")</f>
        <v/>
      </c>
      <c r="S160" s="175">
        <f>IF($W160="","",SUMIF($U$7:$U$306,INDEX($U$7:$U$306,$W160),$K$7:$K$306))</f>
        <v/>
      </c>
      <c r="U160">
        <f>IF(OR($X160="",N($K160)=0),"",UPPER(TRIM($G160&amp;"|"&amp;$H160&amp;"|"&amp;$I160&amp;"|"&amp;$J160&amp;"|"&amp;$F160)))</f>
        <v/>
      </c>
      <c r="V160">
        <f>IF($U160="","",IF(COUNTIF($U$7:$U160,$U160)=1,MAX($V$6:$V159)+1,""))</f>
        <v/>
      </c>
      <c r="W160">
        <f>IFERROR(MATCH(154,$V$7:$V$306,0),"")</f>
        <v/>
      </c>
      <c r="X160">
        <f>IFERROR(MATCH(154,'HW Sets'!$S$7:$S$306,0),"")</f>
        <v/>
      </c>
      <c r="Y160">
        <f>IF($X160="","",INDEX('HW Sets'!$J$7:$J$306,$X160)&amp;"")</f>
        <v/>
      </c>
      <c r="Z160">
        <f>IF($Y160="","",IF(COUNTIF($Y$7:$Y160,$Y160)=1,1,""))</f>
        <v/>
      </c>
    </row>
    <row r="161">
      <c r="A161" s="175">
        <f>IF($Z161="","",$Y161)</f>
        <v/>
      </c>
      <c r="B161" s="176">
        <f>IF($Z161="","",IFERROR(INDEX('HW Sets'!$N$7:$N$306,MATCH($Y161,'HW Sets'!$M$7:$M$306,0)),""))</f>
        <v/>
      </c>
      <c r="C161" s="177">
        <f t="array" ref="C161">IF($Z161="","",_xlfn.TEXTJOIN(", ",TRUE,IF(tk_HWSET&amp;""=$Y161,tk_MARK,"")))</f>
        <v/>
      </c>
      <c r="D161" s="176">
        <f t="array" ref="D161">IF($Z161="","",SUM(IF(tk_HWSET&amp;""=$Y161,IFERROR(--tk_QTY,0),0)))</f>
        <v/>
      </c>
      <c r="E161" s="176">
        <f>IF($X161="","",IF(INDEX('HW Sets'!$C$7:$C$306,$X161)="","",INDEX('HW Sets'!$C$7:$C$306,$X161)))</f>
        <v/>
      </c>
      <c r="F161" s="176">
        <f>IF($X161="","",IF(INDEX('HW Sets'!$D$7:$D$306,$X161)="","",INDEX('HW Sets'!$D$7:$D$306,$X161)))</f>
        <v/>
      </c>
      <c r="G161" s="176">
        <f>IF($X161="","",IF(INDEX('HW Sets'!$E$7:$E$306,$X161)="","",INDEX('HW Sets'!$E$7:$E$306,$X161)))</f>
        <v/>
      </c>
      <c r="H161" s="176">
        <f>IF($X161="","",IF(INDEX('HW Sets'!$F$7:$F$306,$X161)="","",INDEX('HW Sets'!$F$7:$F$306,$X161)))</f>
        <v/>
      </c>
      <c r="I161" s="176">
        <f>IF($X161="","",IF(INDEX('HW Sets'!$G$7:$G$306,$X161)="","",INDEX('HW Sets'!$G$7:$G$306,$X161)))</f>
        <v/>
      </c>
      <c r="J161" s="176">
        <f>IF($X161="","",IF(INDEX('HW Sets'!$H$7:$H$306,$X161)="","",INDEX('HW Sets'!$H$7:$H$306,$X161)))</f>
        <v/>
      </c>
      <c r="K161" s="175">
        <f t="array" ref="K161">IF($X161="","",N($E161)*SUM(IF(tk_HWSET&amp;""=$Y161,IFERROR(--tk_QTY,0),0)))</f>
        <v/>
      </c>
      <c r="L161" s="176">
        <f>IF($X161="","",IF(INDEX('HW Sets'!$I$7:$I$306,$X161)="","",INDEX('HW Sets'!$I$7:$I$306,$X161)))</f>
        <v/>
      </c>
      <c r="N161" s="176">
        <f>IF($W161="","",INDEX($G$7:$G$306,$W161)&amp;"")</f>
        <v/>
      </c>
      <c r="O161" s="176">
        <f>IF($W161="","",INDEX($H$7:$H$306,$W161)&amp;"")</f>
        <v/>
      </c>
      <c r="P161" s="176">
        <f>IF($W161="","",INDEX($I$7:$I$306,$W161)&amp;"")</f>
        <v/>
      </c>
      <c r="Q161" s="176">
        <f>IF($W161="","",INDEX($J$7:$J$306,$W161)&amp;"")</f>
        <v/>
      </c>
      <c r="R161" s="176">
        <f>IF($W161="","",INDEX($F$7:$F$306,$W161)&amp;"")</f>
        <v/>
      </c>
      <c r="S161" s="175">
        <f>IF($W161="","",SUMIF($U$7:$U$306,INDEX($U$7:$U$306,$W161),$K$7:$K$306))</f>
        <v/>
      </c>
      <c r="U161">
        <f>IF(OR($X161="",N($K161)=0),"",UPPER(TRIM($G161&amp;"|"&amp;$H161&amp;"|"&amp;$I161&amp;"|"&amp;$J161&amp;"|"&amp;$F161)))</f>
        <v/>
      </c>
      <c r="V161">
        <f>IF($U161="","",IF(COUNTIF($U$7:$U161,$U161)=1,MAX($V$6:$V160)+1,""))</f>
        <v/>
      </c>
      <c r="W161">
        <f>IFERROR(MATCH(155,$V$7:$V$306,0),"")</f>
        <v/>
      </c>
      <c r="X161">
        <f>IFERROR(MATCH(155,'HW Sets'!$S$7:$S$306,0),"")</f>
        <v/>
      </c>
      <c r="Y161">
        <f>IF($X161="","",INDEX('HW Sets'!$J$7:$J$306,$X161)&amp;"")</f>
        <v/>
      </c>
      <c r="Z161">
        <f>IF($Y161="","",IF(COUNTIF($Y$7:$Y161,$Y161)=1,1,""))</f>
        <v/>
      </c>
    </row>
    <row r="162">
      <c r="A162" s="175">
        <f>IF($Z162="","",$Y162)</f>
        <v/>
      </c>
      <c r="B162" s="176">
        <f>IF($Z162="","",IFERROR(INDEX('HW Sets'!$N$7:$N$306,MATCH($Y162,'HW Sets'!$M$7:$M$306,0)),""))</f>
        <v/>
      </c>
      <c r="C162" s="177">
        <f t="array" ref="C162">IF($Z162="","",_xlfn.TEXTJOIN(", ",TRUE,IF(tk_HWSET&amp;""=$Y162,tk_MARK,"")))</f>
        <v/>
      </c>
      <c r="D162" s="176">
        <f t="array" ref="D162">IF($Z162="","",SUM(IF(tk_HWSET&amp;""=$Y162,IFERROR(--tk_QTY,0),0)))</f>
        <v/>
      </c>
      <c r="E162" s="176">
        <f>IF($X162="","",IF(INDEX('HW Sets'!$C$7:$C$306,$X162)="","",INDEX('HW Sets'!$C$7:$C$306,$X162)))</f>
        <v/>
      </c>
      <c r="F162" s="176">
        <f>IF($X162="","",IF(INDEX('HW Sets'!$D$7:$D$306,$X162)="","",INDEX('HW Sets'!$D$7:$D$306,$X162)))</f>
        <v/>
      </c>
      <c r="G162" s="176">
        <f>IF($X162="","",IF(INDEX('HW Sets'!$E$7:$E$306,$X162)="","",INDEX('HW Sets'!$E$7:$E$306,$X162)))</f>
        <v/>
      </c>
      <c r="H162" s="176">
        <f>IF($X162="","",IF(INDEX('HW Sets'!$F$7:$F$306,$X162)="","",INDEX('HW Sets'!$F$7:$F$306,$X162)))</f>
        <v/>
      </c>
      <c r="I162" s="176">
        <f>IF($X162="","",IF(INDEX('HW Sets'!$G$7:$G$306,$X162)="","",INDEX('HW Sets'!$G$7:$G$306,$X162)))</f>
        <v/>
      </c>
      <c r="J162" s="176">
        <f>IF($X162="","",IF(INDEX('HW Sets'!$H$7:$H$306,$X162)="","",INDEX('HW Sets'!$H$7:$H$306,$X162)))</f>
        <v/>
      </c>
      <c r="K162" s="175">
        <f t="array" ref="K162">IF($X162="","",N($E162)*SUM(IF(tk_HWSET&amp;""=$Y162,IFERROR(--tk_QTY,0),0)))</f>
        <v/>
      </c>
      <c r="L162" s="176">
        <f>IF($X162="","",IF(INDEX('HW Sets'!$I$7:$I$306,$X162)="","",INDEX('HW Sets'!$I$7:$I$306,$X162)))</f>
        <v/>
      </c>
      <c r="N162" s="176">
        <f>IF($W162="","",INDEX($G$7:$G$306,$W162)&amp;"")</f>
        <v/>
      </c>
      <c r="O162" s="176">
        <f>IF($W162="","",INDEX($H$7:$H$306,$W162)&amp;"")</f>
        <v/>
      </c>
      <c r="P162" s="176">
        <f>IF($W162="","",INDEX($I$7:$I$306,$W162)&amp;"")</f>
        <v/>
      </c>
      <c r="Q162" s="176">
        <f>IF($W162="","",INDEX($J$7:$J$306,$W162)&amp;"")</f>
        <v/>
      </c>
      <c r="R162" s="176">
        <f>IF($W162="","",INDEX($F$7:$F$306,$W162)&amp;"")</f>
        <v/>
      </c>
      <c r="S162" s="175">
        <f>IF($W162="","",SUMIF($U$7:$U$306,INDEX($U$7:$U$306,$W162),$K$7:$K$306))</f>
        <v/>
      </c>
      <c r="U162">
        <f>IF(OR($X162="",N($K162)=0),"",UPPER(TRIM($G162&amp;"|"&amp;$H162&amp;"|"&amp;$I162&amp;"|"&amp;$J162&amp;"|"&amp;$F162)))</f>
        <v/>
      </c>
      <c r="V162">
        <f>IF($U162="","",IF(COUNTIF($U$7:$U162,$U162)=1,MAX($V$6:$V161)+1,""))</f>
        <v/>
      </c>
      <c r="W162">
        <f>IFERROR(MATCH(156,$V$7:$V$306,0),"")</f>
        <v/>
      </c>
      <c r="X162">
        <f>IFERROR(MATCH(156,'HW Sets'!$S$7:$S$306,0),"")</f>
        <v/>
      </c>
      <c r="Y162">
        <f>IF($X162="","",INDEX('HW Sets'!$J$7:$J$306,$X162)&amp;"")</f>
        <v/>
      </c>
      <c r="Z162">
        <f>IF($Y162="","",IF(COUNTIF($Y$7:$Y162,$Y162)=1,1,""))</f>
        <v/>
      </c>
    </row>
    <row r="163">
      <c r="A163" s="175">
        <f>IF($Z163="","",$Y163)</f>
        <v/>
      </c>
      <c r="B163" s="176">
        <f>IF($Z163="","",IFERROR(INDEX('HW Sets'!$N$7:$N$306,MATCH($Y163,'HW Sets'!$M$7:$M$306,0)),""))</f>
        <v/>
      </c>
      <c r="C163" s="177">
        <f t="array" ref="C163">IF($Z163="","",_xlfn.TEXTJOIN(", ",TRUE,IF(tk_HWSET&amp;""=$Y163,tk_MARK,"")))</f>
        <v/>
      </c>
      <c r="D163" s="176">
        <f t="array" ref="D163">IF($Z163="","",SUM(IF(tk_HWSET&amp;""=$Y163,IFERROR(--tk_QTY,0),0)))</f>
        <v/>
      </c>
      <c r="E163" s="176">
        <f>IF($X163="","",IF(INDEX('HW Sets'!$C$7:$C$306,$X163)="","",INDEX('HW Sets'!$C$7:$C$306,$X163)))</f>
        <v/>
      </c>
      <c r="F163" s="176">
        <f>IF($X163="","",IF(INDEX('HW Sets'!$D$7:$D$306,$X163)="","",INDEX('HW Sets'!$D$7:$D$306,$X163)))</f>
        <v/>
      </c>
      <c r="G163" s="176">
        <f>IF($X163="","",IF(INDEX('HW Sets'!$E$7:$E$306,$X163)="","",INDEX('HW Sets'!$E$7:$E$306,$X163)))</f>
        <v/>
      </c>
      <c r="H163" s="176">
        <f>IF($X163="","",IF(INDEX('HW Sets'!$F$7:$F$306,$X163)="","",INDEX('HW Sets'!$F$7:$F$306,$X163)))</f>
        <v/>
      </c>
      <c r="I163" s="176">
        <f>IF($X163="","",IF(INDEX('HW Sets'!$G$7:$G$306,$X163)="","",INDEX('HW Sets'!$G$7:$G$306,$X163)))</f>
        <v/>
      </c>
      <c r="J163" s="176">
        <f>IF($X163="","",IF(INDEX('HW Sets'!$H$7:$H$306,$X163)="","",INDEX('HW Sets'!$H$7:$H$306,$X163)))</f>
        <v/>
      </c>
      <c r="K163" s="175">
        <f t="array" ref="K163">IF($X163="","",N($E163)*SUM(IF(tk_HWSET&amp;""=$Y163,IFERROR(--tk_QTY,0),0)))</f>
        <v/>
      </c>
      <c r="L163" s="176">
        <f>IF($X163="","",IF(INDEX('HW Sets'!$I$7:$I$306,$X163)="","",INDEX('HW Sets'!$I$7:$I$306,$X163)))</f>
        <v/>
      </c>
      <c r="N163" s="176">
        <f>IF($W163="","",INDEX($G$7:$G$306,$W163)&amp;"")</f>
        <v/>
      </c>
      <c r="O163" s="176">
        <f>IF($W163="","",INDEX($H$7:$H$306,$W163)&amp;"")</f>
        <v/>
      </c>
      <c r="P163" s="176">
        <f>IF($W163="","",INDEX($I$7:$I$306,$W163)&amp;"")</f>
        <v/>
      </c>
      <c r="Q163" s="176">
        <f>IF($W163="","",INDEX($J$7:$J$306,$W163)&amp;"")</f>
        <v/>
      </c>
      <c r="R163" s="176">
        <f>IF($W163="","",INDEX($F$7:$F$306,$W163)&amp;"")</f>
        <v/>
      </c>
      <c r="S163" s="175">
        <f>IF($W163="","",SUMIF($U$7:$U$306,INDEX($U$7:$U$306,$W163),$K$7:$K$306))</f>
        <v/>
      </c>
      <c r="U163">
        <f>IF(OR($X163="",N($K163)=0),"",UPPER(TRIM($G163&amp;"|"&amp;$H163&amp;"|"&amp;$I163&amp;"|"&amp;$J163&amp;"|"&amp;$F163)))</f>
        <v/>
      </c>
      <c r="V163">
        <f>IF($U163="","",IF(COUNTIF($U$7:$U163,$U163)=1,MAX($V$6:$V162)+1,""))</f>
        <v/>
      </c>
      <c r="W163">
        <f>IFERROR(MATCH(157,$V$7:$V$306,0),"")</f>
        <v/>
      </c>
      <c r="X163">
        <f>IFERROR(MATCH(157,'HW Sets'!$S$7:$S$306,0),"")</f>
        <v/>
      </c>
      <c r="Y163">
        <f>IF($X163="","",INDEX('HW Sets'!$J$7:$J$306,$X163)&amp;"")</f>
        <v/>
      </c>
      <c r="Z163">
        <f>IF($Y163="","",IF(COUNTIF($Y$7:$Y163,$Y163)=1,1,""))</f>
        <v/>
      </c>
    </row>
    <row r="164">
      <c r="A164" s="175">
        <f>IF($Z164="","",$Y164)</f>
        <v/>
      </c>
      <c r="B164" s="176">
        <f>IF($Z164="","",IFERROR(INDEX('HW Sets'!$N$7:$N$306,MATCH($Y164,'HW Sets'!$M$7:$M$306,0)),""))</f>
        <v/>
      </c>
      <c r="C164" s="177">
        <f t="array" ref="C164">IF($Z164="","",_xlfn.TEXTJOIN(", ",TRUE,IF(tk_HWSET&amp;""=$Y164,tk_MARK,"")))</f>
        <v/>
      </c>
      <c r="D164" s="176">
        <f t="array" ref="D164">IF($Z164="","",SUM(IF(tk_HWSET&amp;""=$Y164,IFERROR(--tk_QTY,0),0)))</f>
        <v/>
      </c>
      <c r="E164" s="176">
        <f>IF($X164="","",IF(INDEX('HW Sets'!$C$7:$C$306,$X164)="","",INDEX('HW Sets'!$C$7:$C$306,$X164)))</f>
        <v/>
      </c>
      <c r="F164" s="176">
        <f>IF($X164="","",IF(INDEX('HW Sets'!$D$7:$D$306,$X164)="","",INDEX('HW Sets'!$D$7:$D$306,$X164)))</f>
        <v/>
      </c>
      <c r="G164" s="176">
        <f>IF($X164="","",IF(INDEX('HW Sets'!$E$7:$E$306,$X164)="","",INDEX('HW Sets'!$E$7:$E$306,$X164)))</f>
        <v/>
      </c>
      <c r="H164" s="176">
        <f>IF($X164="","",IF(INDEX('HW Sets'!$F$7:$F$306,$X164)="","",INDEX('HW Sets'!$F$7:$F$306,$X164)))</f>
        <v/>
      </c>
      <c r="I164" s="176">
        <f>IF($X164="","",IF(INDEX('HW Sets'!$G$7:$G$306,$X164)="","",INDEX('HW Sets'!$G$7:$G$306,$X164)))</f>
        <v/>
      </c>
      <c r="J164" s="176">
        <f>IF($X164="","",IF(INDEX('HW Sets'!$H$7:$H$306,$X164)="","",INDEX('HW Sets'!$H$7:$H$306,$X164)))</f>
        <v/>
      </c>
      <c r="K164" s="175">
        <f t="array" ref="K164">IF($X164="","",N($E164)*SUM(IF(tk_HWSET&amp;""=$Y164,IFERROR(--tk_QTY,0),0)))</f>
        <v/>
      </c>
      <c r="L164" s="176">
        <f>IF($X164="","",IF(INDEX('HW Sets'!$I$7:$I$306,$X164)="","",INDEX('HW Sets'!$I$7:$I$306,$X164)))</f>
        <v/>
      </c>
      <c r="N164" s="176">
        <f>IF($W164="","",INDEX($G$7:$G$306,$W164)&amp;"")</f>
        <v/>
      </c>
      <c r="O164" s="176">
        <f>IF($W164="","",INDEX($H$7:$H$306,$W164)&amp;"")</f>
        <v/>
      </c>
      <c r="P164" s="176">
        <f>IF($W164="","",INDEX($I$7:$I$306,$W164)&amp;"")</f>
        <v/>
      </c>
      <c r="Q164" s="176">
        <f>IF($W164="","",INDEX($J$7:$J$306,$W164)&amp;"")</f>
        <v/>
      </c>
      <c r="R164" s="176">
        <f>IF($W164="","",INDEX($F$7:$F$306,$W164)&amp;"")</f>
        <v/>
      </c>
      <c r="S164" s="175">
        <f>IF($W164="","",SUMIF($U$7:$U$306,INDEX($U$7:$U$306,$W164),$K$7:$K$306))</f>
        <v/>
      </c>
      <c r="U164">
        <f>IF(OR($X164="",N($K164)=0),"",UPPER(TRIM($G164&amp;"|"&amp;$H164&amp;"|"&amp;$I164&amp;"|"&amp;$J164&amp;"|"&amp;$F164)))</f>
        <v/>
      </c>
      <c r="V164">
        <f>IF($U164="","",IF(COUNTIF($U$7:$U164,$U164)=1,MAX($V$6:$V163)+1,""))</f>
        <v/>
      </c>
      <c r="W164">
        <f>IFERROR(MATCH(158,$V$7:$V$306,0),"")</f>
        <v/>
      </c>
      <c r="X164">
        <f>IFERROR(MATCH(158,'HW Sets'!$S$7:$S$306,0),"")</f>
        <v/>
      </c>
      <c r="Y164">
        <f>IF($X164="","",INDEX('HW Sets'!$J$7:$J$306,$X164)&amp;"")</f>
        <v/>
      </c>
      <c r="Z164">
        <f>IF($Y164="","",IF(COUNTIF($Y$7:$Y164,$Y164)=1,1,""))</f>
        <v/>
      </c>
    </row>
    <row r="165">
      <c r="A165" s="175">
        <f>IF($Z165="","",$Y165)</f>
        <v/>
      </c>
      <c r="B165" s="176">
        <f>IF($Z165="","",IFERROR(INDEX('HW Sets'!$N$7:$N$306,MATCH($Y165,'HW Sets'!$M$7:$M$306,0)),""))</f>
        <v/>
      </c>
      <c r="C165" s="177">
        <f t="array" ref="C165">IF($Z165="","",_xlfn.TEXTJOIN(", ",TRUE,IF(tk_HWSET&amp;""=$Y165,tk_MARK,"")))</f>
        <v/>
      </c>
      <c r="D165" s="176">
        <f t="array" ref="D165">IF($Z165="","",SUM(IF(tk_HWSET&amp;""=$Y165,IFERROR(--tk_QTY,0),0)))</f>
        <v/>
      </c>
      <c r="E165" s="176">
        <f>IF($X165="","",IF(INDEX('HW Sets'!$C$7:$C$306,$X165)="","",INDEX('HW Sets'!$C$7:$C$306,$X165)))</f>
        <v/>
      </c>
      <c r="F165" s="176">
        <f>IF($X165="","",IF(INDEX('HW Sets'!$D$7:$D$306,$X165)="","",INDEX('HW Sets'!$D$7:$D$306,$X165)))</f>
        <v/>
      </c>
      <c r="G165" s="176">
        <f>IF($X165="","",IF(INDEX('HW Sets'!$E$7:$E$306,$X165)="","",INDEX('HW Sets'!$E$7:$E$306,$X165)))</f>
        <v/>
      </c>
      <c r="H165" s="176">
        <f>IF($X165="","",IF(INDEX('HW Sets'!$F$7:$F$306,$X165)="","",INDEX('HW Sets'!$F$7:$F$306,$X165)))</f>
        <v/>
      </c>
      <c r="I165" s="176">
        <f>IF($X165="","",IF(INDEX('HW Sets'!$G$7:$G$306,$X165)="","",INDEX('HW Sets'!$G$7:$G$306,$X165)))</f>
        <v/>
      </c>
      <c r="J165" s="176">
        <f>IF($X165="","",IF(INDEX('HW Sets'!$H$7:$H$306,$X165)="","",INDEX('HW Sets'!$H$7:$H$306,$X165)))</f>
        <v/>
      </c>
      <c r="K165" s="175">
        <f t="array" ref="K165">IF($X165="","",N($E165)*SUM(IF(tk_HWSET&amp;""=$Y165,IFERROR(--tk_QTY,0),0)))</f>
        <v/>
      </c>
      <c r="L165" s="176">
        <f>IF($X165="","",IF(INDEX('HW Sets'!$I$7:$I$306,$X165)="","",INDEX('HW Sets'!$I$7:$I$306,$X165)))</f>
        <v/>
      </c>
      <c r="N165" s="176">
        <f>IF($W165="","",INDEX($G$7:$G$306,$W165)&amp;"")</f>
        <v/>
      </c>
      <c r="O165" s="176">
        <f>IF($W165="","",INDEX($H$7:$H$306,$W165)&amp;"")</f>
        <v/>
      </c>
      <c r="P165" s="176">
        <f>IF($W165="","",INDEX($I$7:$I$306,$W165)&amp;"")</f>
        <v/>
      </c>
      <c r="Q165" s="176">
        <f>IF($W165="","",INDEX($J$7:$J$306,$W165)&amp;"")</f>
        <v/>
      </c>
      <c r="R165" s="176">
        <f>IF($W165="","",INDEX($F$7:$F$306,$W165)&amp;"")</f>
        <v/>
      </c>
      <c r="S165" s="175">
        <f>IF($W165="","",SUMIF($U$7:$U$306,INDEX($U$7:$U$306,$W165),$K$7:$K$306))</f>
        <v/>
      </c>
      <c r="U165">
        <f>IF(OR($X165="",N($K165)=0),"",UPPER(TRIM($G165&amp;"|"&amp;$H165&amp;"|"&amp;$I165&amp;"|"&amp;$J165&amp;"|"&amp;$F165)))</f>
        <v/>
      </c>
      <c r="V165">
        <f>IF($U165="","",IF(COUNTIF($U$7:$U165,$U165)=1,MAX($V$6:$V164)+1,""))</f>
        <v/>
      </c>
      <c r="W165">
        <f>IFERROR(MATCH(159,$V$7:$V$306,0),"")</f>
        <v/>
      </c>
      <c r="X165">
        <f>IFERROR(MATCH(159,'HW Sets'!$S$7:$S$306,0),"")</f>
        <v/>
      </c>
      <c r="Y165">
        <f>IF($X165="","",INDEX('HW Sets'!$J$7:$J$306,$X165)&amp;"")</f>
        <v/>
      </c>
      <c r="Z165">
        <f>IF($Y165="","",IF(COUNTIF($Y$7:$Y165,$Y165)=1,1,""))</f>
        <v/>
      </c>
    </row>
    <row r="166">
      <c r="A166" s="175">
        <f>IF($Z166="","",$Y166)</f>
        <v/>
      </c>
      <c r="B166" s="176">
        <f>IF($Z166="","",IFERROR(INDEX('HW Sets'!$N$7:$N$306,MATCH($Y166,'HW Sets'!$M$7:$M$306,0)),""))</f>
        <v/>
      </c>
      <c r="C166" s="177">
        <f t="array" ref="C166">IF($Z166="","",_xlfn.TEXTJOIN(", ",TRUE,IF(tk_HWSET&amp;""=$Y166,tk_MARK,"")))</f>
        <v/>
      </c>
      <c r="D166" s="176">
        <f t="array" ref="D166">IF($Z166="","",SUM(IF(tk_HWSET&amp;""=$Y166,IFERROR(--tk_QTY,0),0)))</f>
        <v/>
      </c>
      <c r="E166" s="176">
        <f>IF($X166="","",IF(INDEX('HW Sets'!$C$7:$C$306,$X166)="","",INDEX('HW Sets'!$C$7:$C$306,$X166)))</f>
        <v/>
      </c>
      <c r="F166" s="176">
        <f>IF($X166="","",IF(INDEX('HW Sets'!$D$7:$D$306,$X166)="","",INDEX('HW Sets'!$D$7:$D$306,$X166)))</f>
        <v/>
      </c>
      <c r="G166" s="176">
        <f>IF($X166="","",IF(INDEX('HW Sets'!$E$7:$E$306,$X166)="","",INDEX('HW Sets'!$E$7:$E$306,$X166)))</f>
        <v/>
      </c>
      <c r="H166" s="176">
        <f>IF($X166="","",IF(INDEX('HW Sets'!$F$7:$F$306,$X166)="","",INDEX('HW Sets'!$F$7:$F$306,$X166)))</f>
        <v/>
      </c>
      <c r="I166" s="176">
        <f>IF($X166="","",IF(INDEX('HW Sets'!$G$7:$G$306,$X166)="","",INDEX('HW Sets'!$G$7:$G$306,$X166)))</f>
        <v/>
      </c>
      <c r="J166" s="176">
        <f>IF($X166="","",IF(INDEX('HW Sets'!$H$7:$H$306,$X166)="","",INDEX('HW Sets'!$H$7:$H$306,$X166)))</f>
        <v/>
      </c>
      <c r="K166" s="175">
        <f t="array" ref="K166">IF($X166="","",N($E166)*SUM(IF(tk_HWSET&amp;""=$Y166,IFERROR(--tk_QTY,0),0)))</f>
        <v/>
      </c>
      <c r="L166" s="176">
        <f>IF($X166="","",IF(INDEX('HW Sets'!$I$7:$I$306,$X166)="","",INDEX('HW Sets'!$I$7:$I$306,$X166)))</f>
        <v/>
      </c>
      <c r="N166" s="176">
        <f>IF($W166="","",INDEX($G$7:$G$306,$W166)&amp;"")</f>
        <v/>
      </c>
      <c r="O166" s="176">
        <f>IF($W166="","",INDEX($H$7:$H$306,$W166)&amp;"")</f>
        <v/>
      </c>
      <c r="P166" s="176">
        <f>IF($W166="","",INDEX($I$7:$I$306,$W166)&amp;"")</f>
        <v/>
      </c>
      <c r="Q166" s="176">
        <f>IF($W166="","",INDEX($J$7:$J$306,$W166)&amp;"")</f>
        <v/>
      </c>
      <c r="R166" s="176">
        <f>IF($W166="","",INDEX($F$7:$F$306,$W166)&amp;"")</f>
        <v/>
      </c>
      <c r="S166" s="175">
        <f>IF($W166="","",SUMIF($U$7:$U$306,INDEX($U$7:$U$306,$W166),$K$7:$K$306))</f>
        <v/>
      </c>
      <c r="U166">
        <f>IF(OR($X166="",N($K166)=0),"",UPPER(TRIM($G166&amp;"|"&amp;$H166&amp;"|"&amp;$I166&amp;"|"&amp;$J166&amp;"|"&amp;$F166)))</f>
        <v/>
      </c>
      <c r="V166">
        <f>IF($U166="","",IF(COUNTIF($U$7:$U166,$U166)=1,MAX($V$6:$V165)+1,""))</f>
        <v/>
      </c>
      <c r="W166">
        <f>IFERROR(MATCH(160,$V$7:$V$306,0),"")</f>
        <v/>
      </c>
      <c r="X166">
        <f>IFERROR(MATCH(160,'HW Sets'!$S$7:$S$306,0),"")</f>
        <v/>
      </c>
      <c r="Y166">
        <f>IF($X166="","",INDEX('HW Sets'!$J$7:$J$306,$X166)&amp;"")</f>
        <v/>
      </c>
      <c r="Z166">
        <f>IF($Y166="","",IF(COUNTIF($Y$7:$Y166,$Y166)=1,1,""))</f>
        <v/>
      </c>
    </row>
    <row r="167">
      <c r="A167" s="175">
        <f>IF($Z167="","",$Y167)</f>
        <v/>
      </c>
      <c r="B167" s="176">
        <f>IF($Z167="","",IFERROR(INDEX('HW Sets'!$N$7:$N$306,MATCH($Y167,'HW Sets'!$M$7:$M$306,0)),""))</f>
        <v/>
      </c>
      <c r="C167" s="177">
        <f t="array" ref="C167">IF($Z167="","",_xlfn.TEXTJOIN(", ",TRUE,IF(tk_HWSET&amp;""=$Y167,tk_MARK,"")))</f>
        <v/>
      </c>
      <c r="D167" s="176">
        <f t="array" ref="D167">IF($Z167="","",SUM(IF(tk_HWSET&amp;""=$Y167,IFERROR(--tk_QTY,0),0)))</f>
        <v/>
      </c>
      <c r="E167" s="176">
        <f>IF($X167="","",IF(INDEX('HW Sets'!$C$7:$C$306,$X167)="","",INDEX('HW Sets'!$C$7:$C$306,$X167)))</f>
        <v/>
      </c>
      <c r="F167" s="176">
        <f>IF($X167="","",IF(INDEX('HW Sets'!$D$7:$D$306,$X167)="","",INDEX('HW Sets'!$D$7:$D$306,$X167)))</f>
        <v/>
      </c>
      <c r="G167" s="176">
        <f>IF($X167="","",IF(INDEX('HW Sets'!$E$7:$E$306,$X167)="","",INDEX('HW Sets'!$E$7:$E$306,$X167)))</f>
        <v/>
      </c>
      <c r="H167" s="176">
        <f>IF($X167="","",IF(INDEX('HW Sets'!$F$7:$F$306,$X167)="","",INDEX('HW Sets'!$F$7:$F$306,$X167)))</f>
        <v/>
      </c>
      <c r="I167" s="176">
        <f>IF($X167="","",IF(INDEX('HW Sets'!$G$7:$G$306,$X167)="","",INDEX('HW Sets'!$G$7:$G$306,$X167)))</f>
        <v/>
      </c>
      <c r="J167" s="176">
        <f>IF($X167="","",IF(INDEX('HW Sets'!$H$7:$H$306,$X167)="","",INDEX('HW Sets'!$H$7:$H$306,$X167)))</f>
        <v/>
      </c>
      <c r="K167" s="175">
        <f t="array" ref="K167">IF($X167="","",N($E167)*SUM(IF(tk_HWSET&amp;""=$Y167,IFERROR(--tk_QTY,0),0)))</f>
        <v/>
      </c>
      <c r="L167" s="176">
        <f>IF($X167="","",IF(INDEX('HW Sets'!$I$7:$I$306,$X167)="","",INDEX('HW Sets'!$I$7:$I$306,$X167)))</f>
        <v/>
      </c>
      <c r="N167" s="176">
        <f>IF($W167="","",INDEX($G$7:$G$306,$W167)&amp;"")</f>
        <v/>
      </c>
      <c r="O167" s="176">
        <f>IF($W167="","",INDEX($H$7:$H$306,$W167)&amp;"")</f>
        <v/>
      </c>
      <c r="P167" s="176">
        <f>IF($W167="","",INDEX($I$7:$I$306,$W167)&amp;"")</f>
        <v/>
      </c>
      <c r="Q167" s="176">
        <f>IF($W167="","",INDEX($J$7:$J$306,$W167)&amp;"")</f>
        <v/>
      </c>
      <c r="R167" s="176">
        <f>IF($W167="","",INDEX($F$7:$F$306,$W167)&amp;"")</f>
        <v/>
      </c>
      <c r="S167" s="175">
        <f>IF($W167="","",SUMIF($U$7:$U$306,INDEX($U$7:$U$306,$W167),$K$7:$K$306))</f>
        <v/>
      </c>
      <c r="U167">
        <f>IF(OR($X167="",N($K167)=0),"",UPPER(TRIM($G167&amp;"|"&amp;$H167&amp;"|"&amp;$I167&amp;"|"&amp;$J167&amp;"|"&amp;$F167)))</f>
        <v/>
      </c>
      <c r="V167">
        <f>IF($U167="","",IF(COUNTIF($U$7:$U167,$U167)=1,MAX($V$6:$V166)+1,""))</f>
        <v/>
      </c>
      <c r="W167">
        <f>IFERROR(MATCH(161,$V$7:$V$306,0),"")</f>
        <v/>
      </c>
      <c r="X167">
        <f>IFERROR(MATCH(161,'HW Sets'!$S$7:$S$306,0),"")</f>
        <v/>
      </c>
      <c r="Y167">
        <f>IF($X167="","",INDEX('HW Sets'!$J$7:$J$306,$X167)&amp;"")</f>
        <v/>
      </c>
      <c r="Z167">
        <f>IF($Y167="","",IF(COUNTIF($Y$7:$Y167,$Y167)=1,1,""))</f>
        <v/>
      </c>
    </row>
    <row r="168">
      <c r="A168" s="175">
        <f>IF($Z168="","",$Y168)</f>
        <v/>
      </c>
      <c r="B168" s="176">
        <f>IF($Z168="","",IFERROR(INDEX('HW Sets'!$N$7:$N$306,MATCH($Y168,'HW Sets'!$M$7:$M$306,0)),""))</f>
        <v/>
      </c>
      <c r="C168" s="177">
        <f t="array" ref="C168">IF($Z168="","",_xlfn.TEXTJOIN(", ",TRUE,IF(tk_HWSET&amp;""=$Y168,tk_MARK,"")))</f>
        <v/>
      </c>
      <c r="D168" s="176">
        <f t="array" ref="D168">IF($Z168="","",SUM(IF(tk_HWSET&amp;""=$Y168,IFERROR(--tk_QTY,0),0)))</f>
        <v/>
      </c>
      <c r="E168" s="176">
        <f>IF($X168="","",IF(INDEX('HW Sets'!$C$7:$C$306,$X168)="","",INDEX('HW Sets'!$C$7:$C$306,$X168)))</f>
        <v/>
      </c>
      <c r="F168" s="176">
        <f>IF($X168="","",IF(INDEX('HW Sets'!$D$7:$D$306,$X168)="","",INDEX('HW Sets'!$D$7:$D$306,$X168)))</f>
        <v/>
      </c>
      <c r="G168" s="176">
        <f>IF($X168="","",IF(INDEX('HW Sets'!$E$7:$E$306,$X168)="","",INDEX('HW Sets'!$E$7:$E$306,$X168)))</f>
        <v/>
      </c>
      <c r="H168" s="176">
        <f>IF($X168="","",IF(INDEX('HW Sets'!$F$7:$F$306,$X168)="","",INDEX('HW Sets'!$F$7:$F$306,$X168)))</f>
        <v/>
      </c>
      <c r="I168" s="176">
        <f>IF($X168="","",IF(INDEX('HW Sets'!$G$7:$G$306,$X168)="","",INDEX('HW Sets'!$G$7:$G$306,$X168)))</f>
        <v/>
      </c>
      <c r="J168" s="176">
        <f>IF($X168="","",IF(INDEX('HW Sets'!$H$7:$H$306,$X168)="","",INDEX('HW Sets'!$H$7:$H$306,$X168)))</f>
        <v/>
      </c>
      <c r="K168" s="175">
        <f t="array" ref="K168">IF($X168="","",N($E168)*SUM(IF(tk_HWSET&amp;""=$Y168,IFERROR(--tk_QTY,0),0)))</f>
        <v/>
      </c>
      <c r="L168" s="176">
        <f>IF($X168="","",IF(INDEX('HW Sets'!$I$7:$I$306,$X168)="","",INDEX('HW Sets'!$I$7:$I$306,$X168)))</f>
        <v/>
      </c>
      <c r="N168" s="176">
        <f>IF($W168="","",INDEX($G$7:$G$306,$W168)&amp;"")</f>
        <v/>
      </c>
      <c r="O168" s="176">
        <f>IF($W168="","",INDEX($H$7:$H$306,$W168)&amp;"")</f>
        <v/>
      </c>
      <c r="P168" s="176">
        <f>IF($W168="","",INDEX($I$7:$I$306,$W168)&amp;"")</f>
        <v/>
      </c>
      <c r="Q168" s="176">
        <f>IF($W168="","",INDEX($J$7:$J$306,$W168)&amp;"")</f>
        <v/>
      </c>
      <c r="R168" s="176">
        <f>IF($W168="","",INDEX($F$7:$F$306,$W168)&amp;"")</f>
        <v/>
      </c>
      <c r="S168" s="175">
        <f>IF($W168="","",SUMIF($U$7:$U$306,INDEX($U$7:$U$306,$W168),$K$7:$K$306))</f>
        <v/>
      </c>
      <c r="U168">
        <f>IF(OR($X168="",N($K168)=0),"",UPPER(TRIM($G168&amp;"|"&amp;$H168&amp;"|"&amp;$I168&amp;"|"&amp;$J168&amp;"|"&amp;$F168)))</f>
        <v/>
      </c>
      <c r="V168">
        <f>IF($U168="","",IF(COUNTIF($U$7:$U168,$U168)=1,MAX($V$6:$V167)+1,""))</f>
        <v/>
      </c>
      <c r="W168">
        <f>IFERROR(MATCH(162,$V$7:$V$306,0),"")</f>
        <v/>
      </c>
      <c r="X168">
        <f>IFERROR(MATCH(162,'HW Sets'!$S$7:$S$306,0),"")</f>
        <v/>
      </c>
      <c r="Y168">
        <f>IF($X168="","",INDEX('HW Sets'!$J$7:$J$306,$X168)&amp;"")</f>
        <v/>
      </c>
      <c r="Z168">
        <f>IF($Y168="","",IF(COUNTIF($Y$7:$Y168,$Y168)=1,1,""))</f>
        <v/>
      </c>
    </row>
    <row r="169">
      <c r="A169" s="175">
        <f>IF($Z169="","",$Y169)</f>
        <v/>
      </c>
      <c r="B169" s="176">
        <f>IF($Z169="","",IFERROR(INDEX('HW Sets'!$N$7:$N$306,MATCH($Y169,'HW Sets'!$M$7:$M$306,0)),""))</f>
        <v/>
      </c>
      <c r="C169" s="177">
        <f t="array" ref="C169">IF($Z169="","",_xlfn.TEXTJOIN(", ",TRUE,IF(tk_HWSET&amp;""=$Y169,tk_MARK,"")))</f>
        <v/>
      </c>
      <c r="D169" s="176">
        <f t="array" ref="D169">IF($Z169="","",SUM(IF(tk_HWSET&amp;""=$Y169,IFERROR(--tk_QTY,0),0)))</f>
        <v/>
      </c>
      <c r="E169" s="176">
        <f>IF($X169="","",IF(INDEX('HW Sets'!$C$7:$C$306,$X169)="","",INDEX('HW Sets'!$C$7:$C$306,$X169)))</f>
        <v/>
      </c>
      <c r="F169" s="176">
        <f>IF($X169="","",IF(INDEX('HW Sets'!$D$7:$D$306,$X169)="","",INDEX('HW Sets'!$D$7:$D$306,$X169)))</f>
        <v/>
      </c>
      <c r="G169" s="176">
        <f>IF($X169="","",IF(INDEX('HW Sets'!$E$7:$E$306,$X169)="","",INDEX('HW Sets'!$E$7:$E$306,$X169)))</f>
        <v/>
      </c>
      <c r="H169" s="176">
        <f>IF($X169="","",IF(INDEX('HW Sets'!$F$7:$F$306,$X169)="","",INDEX('HW Sets'!$F$7:$F$306,$X169)))</f>
        <v/>
      </c>
      <c r="I169" s="176">
        <f>IF($X169="","",IF(INDEX('HW Sets'!$G$7:$G$306,$X169)="","",INDEX('HW Sets'!$G$7:$G$306,$X169)))</f>
        <v/>
      </c>
      <c r="J169" s="176">
        <f>IF($X169="","",IF(INDEX('HW Sets'!$H$7:$H$306,$X169)="","",INDEX('HW Sets'!$H$7:$H$306,$X169)))</f>
        <v/>
      </c>
      <c r="K169" s="175">
        <f t="array" ref="K169">IF($X169="","",N($E169)*SUM(IF(tk_HWSET&amp;""=$Y169,IFERROR(--tk_QTY,0),0)))</f>
        <v/>
      </c>
      <c r="L169" s="176">
        <f>IF($X169="","",IF(INDEX('HW Sets'!$I$7:$I$306,$X169)="","",INDEX('HW Sets'!$I$7:$I$306,$X169)))</f>
        <v/>
      </c>
      <c r="N169" s="176">
        <f>IF($W169="","",INDEX($G$7:$G$306,$W169)&amp;"")</f>
        <v/>
      </c>
      <c r="O169" s="176">
        <f>IF($W169="","",INDEX($H$7:$H$306,$W169)&amp;"")</f>
        <v/>
      </c>
      <c r="P169" s="176">
        <f>IF($W169="","",INDEX($I$7:$I$306,$W169)&amp;"")</f>
        <v/>
      </c>
      <c r="Q169" s="176">
        <f>IF($W169="","",INDEX($J$7:$J$306,$W169)&amp;"")</f>
        <v/>
      </c>
      <c r="R169" s="176">
        <f>IF($W169="","",INDEX($F$7:$F$306,$W169)&amp;"")</f>
        <v/>
      </c>
      <c r="S169" s="175">
        <f>IF($W169="","",SUMIF($U$7:$U$306,INDEX($U$7:$U$306,$W169),$K$7:$K$306))</f>
        <v/>
      </c>
      <c r="U169">
        <f>IF(OR($X169="",N($K169)=0),"",UPPER(TRIM($G169&amp;"|"&amp;$H169&amp;"|"&amp;$I169&amp;"|"&amp;$J169&amp;"|"&amp;$F169)))</f>
        <v/>
      </c>
      <c r="V169">
        <f>IF($U169="","",IF(COUNTIF($U$7:$U169,$U169)=1,MAX($V$6:$V168)+1,""))</f>
        <v/>
      </c>
      <c r="W169">
        <f>IFERROR(MATCH(163,$V$7:$V$306,0),"")</f>
        <v/>
      </c>
      <c r="X169">
        <f>IFERROR(MATCH(163,'HW Sets'!$S$7:$S$306,0),"")</f>
        <v/>
      </c>
      <c r="Y169">
        <f>IF($X169="","",INDEX('HW Sets'!$J$7:$J$306,$X169)&amp;"")</f>
        <v/>
      </c>
      <c r="Z169">
        <f>IF($Y169="","",IF(COUNTIF($Y$7:$Y169,$Y169)=1,1,""))</f>
        <v/>
      </c>
    </row>
    <row r="170">
      <c r="A170" s="175">
        <f>IF($Z170="","",$Y170)</f>
        <v/>
      </c>
      <c r="B170" s="176">
        <f>IF($Z170="","",IFERROR(INDEX('HW Sets'!$N$7:$N$306,MATCH($Y170,'HW Sets'!$M$7:$M$306,0)),""))</f>
        <v/>
      </c>
      <c r="C170" s="177">
        <f t="array" ref="C170">IF($Z170="","",_xlfn.TEXTJOIN(", ",TRUE,IF(tk_HWSET&amp;""=$Y170,tk_MARK,"")))</f>
        <v/>
      </c>
      <c r="D170" s="176">
        <f t="array" ref="D170">IF($Z170="","",SUM(IF(tk_HWSET&amp;""=$Y170,IFERROR(--tk_QTY,0),0)))</f>
        <v/>
      </c>
      <c r="E170" s="176">
        <f>IF($X170="","",IF(INDEX('HW Sets'!$C$7:$C$306,$X170)="","",INDEX('HW Sets'!$C$7:$C$306,$X170)))</f>
        <v/>
      </c>
      <c r="F170" s="176">
        <f>IF($X170="","",IF(INDEX('HW Sets'!$D$7:$D$306,$X170)="","",INDEX('HW Sets'!$D$7:$D$306,$X170)))</f>
        <v/>
      </c>
      <c r="G170" s="176">
        <f>IF($X170="","",IF(INDEX('HW Sets'!$E$7:$E$306,$X170)="","",INDEX('HW Sets'!$E$7:$E$306,$X170)))</f>
        <v/>
      </c>
      <c r="H170" s="176">
        <f>IF($X170="","",IF(INDEX('HW Sets'!$F$7:$F$306,$X170)="","",INDEX('HW Sets'!$F$7:$F$306,$X170)))</f>
        <v/>
      </c>
      <c r="I170" s="176">
        <f>IF($X170="","",IF(INDEX('HW Sets'!$G$7:$G$306,$X170)="","",INDEX('HW Sets'!$G$7:$G$306,$X170)))</f>
        <v/>
      </c>
      <c r="J170" s="176">
        <f>IF($X170="","",IF(INDEX('HW Sets'!$H$7:$H$306,$X170)="","",INDEX('HW Sets'!$H$7:$H$306,$X170)))</f>
        <v/>
      </c>
      <c r="K170" s="175">
        <f t="array" ref="K170">IF($X170="","",N($E170)*SUM(IF(tk_HWSET&amp;""=$Y170,IFERROR(--tk_QTY,0),0)))</f>
        <v/>
      </c>
      <c r="L170" s="176">
        <f>IF($X170="","",IF(INDEX('HW Sets'!$I$7:$I$306,$X170)="","",INDEX('HW Sets'!$I$7:$I$306,$X170)))</f>
        <v/>
      </c>
      <c r="N170" s="176">
        <f>IF($W170="","",INDEX($G$7:$G$306,$W170)&amp;"")</f>
        <v/>
      </c>
      <c r="O170" s="176">
        <f>IF($W170="","",INDEX($H$7:$H$306,$W170)&amp;"")</f>
        <v/>
      </c>
      <c r="P170" s="176">
        <f>IF($W170="","",INDEX($I$7:$I$306,$W170)&amp;"")</f>
        <v/>
      </c>
      <c r="Q170" s="176">
        <f>IF($W170="","",INDEX($J$7:$J$306,$W170)&amp;"")</f>
        <v/>
      </c>
      <c r="R170" s="176">
        <f>IF($W170="","",INDEX($F$7:$F$306,$W170)&amp;"")</f>
        <v/>
      </c>
      <c r="S170" s="175">
        <f>IF($W170="","",SUMIF($U$7:$U$306,INDEX($U$7:$U$306,$W170),$K$7:$K$306))</f>
        <v/>
      </c>
      <c r="U170">
        <f>IF(OR($X170="",N($K170)=0),"",UPPER(TRIM($G170&amp;"|"&amp;$H170&amp;"|"&amp;$I170&amp;"|"&amp;$J170&amp;"|"&amp;$F170)))</f>
        <v/>
      </c>
      <c r="V170">
        <f>IF($U170="","",IF(COUNTIF($U$7:$U170,$U170)=1,MAX($V$6:$V169)+1,""))</f>
        <v/>
      </c>
      <c r="W170">
        <f>IFERROR(MATCH(164,$V$7:$V$306,0),"")</f>
        <v/>
      </c>
      <c r="X170">
        <f>IFERROR(MATCH(164,'HW Sets'!$S$7:$S$306,0),"")</f>
        <v/>
      </c>
      <c r="Y170">
        <f>IF($X170="","",INDEX('HW Sets'!$J$7:$J$306,$X170)&amp;"")</f>
        <v/>
      </c>
      <c r="Z170">
        <f>IF($Y170="","",IF(COUNTIF($Y$7:$Y170,$Y170)=1,1,""))</f>
        <v/>
      </c>
    </row>
    <row r="171">
      <c r="A171" s="175">
        <f>IF($Z171="","",$Y171)</f>
        <v/>
      </c>
      <c r="B171" s="176">
        <f>IF($Z171="","",IFERROR(INDEX('HW Sets'!$N$7:$N$306,MATCH($Y171,'HW Sets'!$M$7:$M$306,0)),""))</f>
        <v/>
      </c>
      <c r="C171" s="177">
        <f t="array" ref="C171">IF($Z171="","",_xlfn.TEXTJOIN(", ",TRUE,IF(tk_HWSET&amp;""=$Y171,tk_MARK,"")))</f>
        <v/>
      </c>
      <c r="D171" s="176">
        <f t="array" ref="D171">IF($Z171="","",SUM(IF(tk_HWSET&amp;""=$Y171,IFERROR(--tk_QTY,0),0)))</f>
        <v/>
      </c>
      <c r="E171" s="176">
        <f>IF($X171="","",IF(INDEX('HW Sets'!$C$7:$C$306,$X171)="","",INDEX('HW Sets'!$C$7:$C$306,$X171)))</f>
        <v/>
      </c>
      <c r="F171" s="176">
        <f>IF($X171="","",IF(INDEX('HW Sets'!$D$7:$D$306,$X171)="","",INDEX('HW Sets'!$D$7:$D$306,$X171)))</f>
        <v/>
      </c>
      <c r="G171" s="176">
        <f>IF($X171="","",IF(INDEX('HW Sets'!$E$7:$E$306,$X171)="","",INDEX('HW Sets'!$E$7:$E$306,$X171)))</f>
        <v/>
      </c>
      <c r="H171" s="176">
        <f>IF($X171="","",IF(INDEX('HW Sets'!$F$7:$F$306,$X171)="","",INDEX('HW Sets'!$F$7:$F$306,$X171)))</f>
        <v/>
      </c>
      <c r="I171" s="176">
        <f>IF($X171="","",IF(INDEX('HW Sets'!$G$7:$G$306,$X171)="","",INDEX('HW Sets'!$G$7:$G$306,$X171)))</f>
        <v/>
      </c>
      <c r="J171" s="176">
        <f>IF($X171="","",IF(INDEX('HW Sets'!$H$7:$H$306,$X171)="","",INDEX('HW Sets'!$H$7:$H$306,$X171)))</f>
        <v/>
      </c>
      <c r="K171" s="175">
        <f t="array" ref="K171">IF($X171="","",N($E171)*SUM(IF(tk_HWSET&amp;""=$Y171,IFERROR(--tk_QTY,0),0)))</f>
        <v/>
      </c>
      <c r="L171" s="176">
        <f>IF($X171="","",IF(INDEX('HW Sets'!$I$7:$I$306,$X171)="","",INDEX('HW Sets'!$I$7:$I$306,$X171)))</f>
        <v/>
      </c>
      <c r="N171" s="176">
        <f>IF($W171="","",INDEX($G$7:$G$306,$W171)&amp;"")</f>
        <v/>
      </c>
      <c r="O171" s="176">
        <f>IF($W171="","",INDEX($H$7:$H$306,$W171)&amp;"")</f>
        <v/>
      </c>
      <c r="P171" s="176">
        <f>IF($W171="","",INDEX($I$7:$I$306,$W171)&amp;"")</f>
        <v/>
      </c>
      <c r="Q171" s="176">
        <f>IF($W171="","",INDEX($J$7:$J$306,$W171)&amp;"")</f>
        <v/>
      </c>
      <c r="R171" s="176">
        <f>IF($W171="","",INDEX($F$7:$F$306,$W171)&amp;"")</f>
        <v/>
      </c>
      <c r="S171" s="175">
        <f>IF($W171="","",SUMIF($U$7:$U$306,INDEX($U$7:$U$306,$W171),$K$7:$K$306))</f>
        <v/>
      </c>
      <c r="U171">
        <f>IF(OR($X171="",N($K171)=0),"",UPPER(TRIM($G171&amp;"|"&amp;$H171&amp;"|"&amp;$I171&amp;"|"&amp;$J171&amp;"|"&amp;$F171)))</f>
        <v/>
      </c>
      <c r="V171">
        <f>IF($U171="","",IF(COUNTIF($U$7:$U171,$U171)=1,MAX($V$6:$V170)+1,""))</f>
        <v/>
      </c>
      <c r="W171">
        <f>IFERROR(MATCH(165,$V$7:$V$306,0),"")</f>
        <v/>
      </c>
      <c r="X171">
        <f>IFERROR(MATCH(165,'HW Sets'!$S$7:$S$306,0),"")</f>
        <v/>
      </c>
      <c r="Y171">
        <f>IF($X171="","",INDEX('HW Sets'!$J$7:$J$306,$X171)&amp;"")</f>
        <v/>
      </c>
      <c r="Z171">
        <f>IF($Y171="","",IF(COUNTIF($Y$7:$Y171,$Y171)=1,1,""))</f>
        <v/>
      </c>
    </row>
    <row r="172">
      <c r="A172" s="175">
        <f>IF($Z172="","",$Y172)</f>
        <v/>
      </c>
      <c r="B172" s="176">
        <f>IF($Z172="","",IFERROR(INDEX('HW Sets'!$N$7:$N$306,MATCH($Y172,'HW Sets'!$M$7:$M$306,0)),""))</f>
        <v/>
      </c>
      <c r="C172" s="177">
        <f t="array" ref="C172">IF($Z172="","",_xlfn.TEXTJOIN(", ",TRUE,IF(tk_HWSET&amp;""=$Y172,tk_MARK,"")))</f>
        <v/>
      </c>
      <c r="D172" s="176">
        <f t="array" ref="D172">IF($Z172="","",SUM(IF(tk_HWSET&amp;""=$Y172,IFERROR(--tk_QTY,0),0)))</f>
        <v/>
      </c>
      <c r="E172" s="176">
        <f>IF($X172="","",IF(INDEX('HW Sets'!$C$7:$C$306,$X172)="","",INDEX('HW Sets'!$C$7:$C$306,$X172)))</f>
        <v/>
      </c>
      <c r="F172" s="176">
        <f>IF($X172="","",IF(INDEX('HW Sets'!$D$7:$D$306,$X172)="","",INDEX('HW Sets'!$D$7:$D$306,$X172)))</f>
        <v/>
      </c>
      <c r="G172" s="176">
        <f>IF($X172="","",IF(INDEX('HW Sets'!$E$7:$E$306,$X172)="","",INDEX('HW Sets'!$E$7:$E$306,$X172)))</f>
        <v/>
      </c>
      <c r="H172" s="176">
        <f>IF($X172="","",IF(INDEX('HW Sets'!$F$7:$F$306,$X172)="","",INDEX('HW Sets'!$F$7:$F$306,$X172)))</f>
        <v/>
      </c>
      <c r="I172" s="176">
        <f>IF($X172="","",IF(INDEX('HW Sets'!$G$7:$G$306,$X172)="","",INDEX('HW Sets'!$G$7:$G$306,$X172)))</f>
        <v/>
      </c>
      <c r="J172" s="176">
        <f>IF($X172="","",IF(INDEX('HW Sets'!$H$7:$H$306,$X172)="","",INDEX('HW Sets'!$H$7:$H$306,$X172)))</f>
        <v/>
      </c>
      <c r="K172" s="175">
        <f t="array" ref="K172">IF($X172="","",N($E172)*SUM(IF(tk_HWSET&amp;""=$Y172,IFERROR(--tk_QTY,0),0)))</f>
        <v/>
      </c>
      <c r="L172" s="176">
        <f>IF($X172="","",IF(INDEX('HW Sets'!$I$7:$I$306,$X172)="","",INDEX('HW Sets'!$I$7:$I$306,$X172)))</f>
        <v/>
      </c>
      <c r="N172" s="176">
        <f>IF($W172="","",INDEX($G$7:$G$306,$W172)&amp;"")</f>
        <v/>
      </c>
      <c r="O172" s="176">
        <f>IF($W172="","",INDEX($H$7:$H$306,$W172)&amp;"")</f>
        <v/>
      </c>
      <c r="P172" s="176">
        <f>IF($W172="","",INDEX($I$7:$I$306,$W172)&amp;"")</f>
        <v/>
      </c>
      <c r="Q172" s="176">
        <f>IF($W172="","",INDEX($J$7:$J$306,$W172)&amp;"")</f>
        <v/>
      </c>
      <c r="R172" s="176">
        <f>IF($W172="","",INDEX($F$7:$F$306,$W172)&amp;"")</f>
        <v/>
      </c>
      <c r="S172" s="175">
        <f>IF($W172="","",SUMIF($U$7:$U$306,INDEX($U$7:$U$306,$W172),$K$7:$K$306))</f>
        <v/>
      </c>
      <c r="U172">
        <f>IF(OR($X172="",N($K172)=0),"",UPPER(TRIM($G172&amp;"|"&amp;$H172&amp;"|"&amp;$I172&amp;"|"&amp;$J172&amp;"|"&amp;$F172)))</f>
        <v/>
      </c>
      <c r="V172">
        <f>IF($U172="","",IF(COUNTIF($U$7:$U172,$U172)=1,MAX($V$6:$V171)+1,""))</f>
        <v/>
      </c>
      <c r="W172">
        <f>IFERROR(MATCH(166,$V$7:$V$306,0),"")</f>
        <v/>
      </c>
      <c r="X172">
        <f>IFERROR(MATCH(166,'HW Sets'!$S$7:$S$306,0),"")</f>
        <v/>
      </c>
      <c r="Y172">
        <f>IF($X172="","",INDEX('HW Sets'!$J$7:$J$306,$X172)&amp;"")</f>
        <v/>
      </c>
      <c r="Z172">
        <f>IF($Y172="","",IF(COUNTIF($Y$7:$Y172,$Y172)=1,1,""))</f>
        <v/>
      </c>
    </row>
    <row r="173">
      <c r="A173" s="175">
        <f>IF($Z173="","",$Y173)</f>
        <v/>
      </c>
      <c r="B173" s="176">
        <f>IF($Z173="","",IFERROR(INDEX('HW Sets'!$N$7:$N$306,MATCH($Y173,'HW Sets'!$M$7:$M$306,0)),""))</f>
        <v/>
      </c>
      <c r="C173" s="177">
        <f t="array" ref="C173">IF($Z173="","",_xlfn.TEXTJOIN(", ",TRUE,IF(tk_HWSET&amp;""=$Y173,tk_MARK,"")))</f>
        <v/>
      </c>
      <c r="D173" s="176">
        <f t="array" ref="D173">IF($Z173="","",SUM(IF(tk_HWSET&amp;""=$Y173,IFERROR(--tk_QTY,0),0)))</f>
        <v/>
      </c>
      <c r="E173" s="176">
        <f>IF($X173="","",IF(INDEX('HW Sets'!$C$7:$C$306,$X173)="","",INDEX('HW Sets'!$C$7:$C$306,$X173)))</f>
        <v/>
      </c>
      <c r="F173" s="176">
        <f>IF($X173="","",IF(INDEX('HW Sets'!$D$7:$D$306,$X173)="","",INDEX('HW Sets'!$D$7:$D$306,$X173)))</f>
        <v/>
      </c>
      <c r="G173" s="176">
        <f>IF($X173="","",IF(INDEX('HW Sets'!$E$7:$E$306,$X173)="","",INDEX('HW Sets'!$E$7:$E$306,$X173)))</f>
        <v/>
      </c>
      <c r="H173" s="176">
        <f>IF($X173="","",IF(INDEX('HW Sets'!$F$7:$F$306,$X173)="","",INDEX('HW Sets'!$F$7:$F$306,$X173)))</f>
        <v/>
      </c>
      <c r="I173" s="176">
        <f>IF($X173="","",IF(INDEX('HW Sets'!$G$7:$G$306,$X173)="","",INDEX('HW Sets'!$G$7:$G$306,$X173)))</f>
        <v/>
      </c>
      <c r="J173" s="176">
        <f>IF($X173="","",IF(INDEX('HW Sets'!$H$7:$H$306,$X173)="","",INDEX('HW Sets'!$H$7:$H$306,$X173)))</f>
        <v/>
      </c>
      <c r="K173" s="175">
        <f t="array" ref="K173">IF($X173="","",N($E173)*SUM(IF(tk_HWSET&amp;""=$Y173,IFERROR(--tk_QTY,0),0)))</f>
        <v/>
      </c>
      <c r="L173" s="176">
        <f>IF($X173="","",IF(INDEX('HW Sets'!$I$7:$I$306,$X173)="","",INDEX('HW Sets'!$I$7:$I$306,$X173)))</f>
        <v/>
      </c>
      <c r="N173" s="176">
        <f>IF($W173="","",INDEX($G$7:$G$306,$W173)&amp;"")</f>
        <v/>
      </c>
      <c r="O173" s="176">
        <f>IF($W173="","",INDEX($H$7:$H$306,$W173)&amp;"")</f>
        <v/>
      </c>
      <c r="P173" s="176">
        <f>IF($W173="","",INDEX($I$7:$I$306,$W173)&amp;"")</f>
        <v/>
      </c>
      <c r="Q173" s="176">
        <f>IF($W173="","",INDEX($J$7:$J$306,$W173)&amp;"")</f>
        <v/>
      </c>
      <c r="R173" s="176">
        <f>IF($W173="","",INDEX($F$7:$F$306,$W173)&amp;"")</f>
        <v/>
      </c>
      <c r="S173" s="175">
        <f>IF($W173="","",SUMIF($U$7:$U$306,INDEX($U$7:$U$306,$W173),$K$7:$K$306))</f>
        <v/>
      </c>
      <c r="U173">
        <f>IF(OR($X173="",N($K173)=0),"",UPPER(TRIM($G173&amp;"|"&amp;$H173&amp;"|"&amp;$I173&amp;"|"&amp;$J173&amp;"|"&amp;$F173)))</f>
        <v/>
      </c>
      <c r="V173">
        <f>IF($U173="","",IF(COUNTIF($U$7:$U173,$U173)=1,MAX($V$6:$V172)+1,""))</f>
        <v/>
      </c>
      <c r="W173">
        <f>IFERROR(MATCH(167,$V$7:$V$306,0),"")</f>
        <v/>
      </c>
      <c r="X173">
        <f>IFERROR(MATCH(167,'HW Sets'!$S$7:$S$306,0),"")</f>
        <v/>
      </c>
      <c r="Y173">
        <f>IF($X173="","",INDEX('HW Sets'!$J$7:$J$306,$X173)&amp;"")</f>
        <v/>
      </c>
      <c r="Z173">
        <f>IF($Y173="","",IF(COUNTIF($Y$7:$Y173,$Y173)=1,1,""))</f>
        <v/>
      </c>
    </row>
    <row r="174">
      <c r="A174" s="175">
        <f>IF($Z174="","",$Y174)</f>
        <v/>
      </c>
      <c r="B174" s="176">
        <f>IF($Z174="","",IFERROR(INDEX('HW Sets'!$N$7:$N$306,MATCH($Y174,'HW Sets'!$M$7:$M$306,0)),""))</f>
        <v/>
      </c>
      <c r="C174" s="177">
        <f t="array" ref="C174">IF($Z174="","",_xlfn.TEXTJOIN(", ",TRUE,IF(tk_HWSET&amp;""=$Y174,tk_MARK,"")))</f>
        <v/>
      </c>
      <c r="D174" s="176">
        <f t="array" ref="D174">IF($Z174="","",SUM(IF(tk_HWSET&amp;""=$Y174,IFERROR(--tk_QTY,0),0)))</f>
        <v/>
      </c>
      <c r="E174" s="176">
        <f>IF($X174="","",IF(INDEX('HW Sets'!$C$7:$C$306,$X174)="","",INDEX('HW Sets'!$C$7:$C$306,$X174)))</f>
        <v/>
      </c>
      <c r="F174" s="176">
        <f>IF($X174="","",IF(INDEX('HW Sets'!$D$7:$D$306,$X174)="","",INDEX('HW Sets'!$D$7:$D$306,$X174)))</f>
        <v/>
      </c>
      <c r="G174" s="176">
        <f>IF($X174="","",IF(INDEX('HW Sets'!$E$7:$E$306,$X174)="","",INDEX('HW Sets'!$E$7:$E$306,$X174)))</f>
        <v/>
      </c>
      <c r="H174" s="176">
        <f>IF($X174="","",IF(INDEX('HW Sets'!$F$7:$F$306,$X174)="","",INDEX('HW Sets'!$F$7:$F$306,$X174)))</f>
        <v/>
      </c>
      <c r="I174" s="176">
        <f>IF($X174="","",IF(INDEX('HW Sets'!$G$7:$G$306,$X174)="","",INDEX('HW Sets'!$G$7:$G$306,$X174)))</f>
        <v/>
      </c>
      <c r="J174" s="176">
        <f>IF($X174="","",IF(INDEX('HW Sets'!$H$7:$H$306,$X174)="","",INDEX('HW Sets'!$H$7:$H$306,$X174)))</f>
        <v/>
      </c>
      <c r="K174" s="175">
        <f t="array" ref="K174">IF($X174="","",N($E174)*SUM(IF(tk_HWSET&amp;""=$Y174,IFERROR(--tk_QTY,0),0)))</f>
        <v/>
      </c>
      <c r="L174" s="176">
        <f>IF($X174="","",IF(INDEX('HW Sets'!$I$7:$I$306,$X174)="","",INDEX('HW Sets'!$I$7:$I$306,$X174)))</f>
        <v/>
      </c>
      <c r="N174" s="176">
        <f>IF($W174="","",INDEX($G$7:$G$306,$W174)&amp;"")</f>
        <v/>
      </c>
      <c r="O174" s="176">
        <f>IF($W174="","",INDEX($H$7:$H$306,$W174)&amp;"")</f>
        <v/>
      </c>
      <c r="P174" s="176">
        <f>IF($W174="","",INDEX($I$7:$I$306,$W174)&amp;"")</f>
        <v/>
      </c>
      <c r="Q174" s="176">
        <f>IF($W174="","",INDEX($J$7:$J$306,$W174)&amp;"")</f>
        <v/>
      </c>
      <c r="R174" s="176">
        <f>IF($W174="","",INDEX($F$7:$F$306,$W174)&amp;"")</f>
        <v/>
      </c>
      <c r="S174" s="175">
        <f>IF($W174="","",SUMIF($U$7:$U$306,INDEX($U$7:$U$306,$W174),$K$7:$K$306))</f>
        <v/>
      </c>
      <c r="U174">
        <f>IF(OR($X174="",N($K174)=0),"",UPPER(TRIM($G174&amp;"|"&amp;$H174&amp;"|"&amp;$I174&amp;"|"&amp;$J174&amp;"|"&amp;$F174)))</f>
        <v/>
      </c>
      <c r="V174">
        <f>IF($U174="","",IF(COUNTIF($U$7:$U174,$U174)=1,MAX($V$6:$V173)+1,""))</f>
        <v/>
      </c>
      <c r="W174">
        <f>IFERROR(MATCH(168,$V$7:$V$306,0),"")</f>
        <v/>
      </c>
      <c r="X174">
        <f>IFERROR(MATCH(168,'HW Sets'!$S$7:$S$306,0),"")</f>
        <v/>
      </c>
      <c r="Y174">
        <f>IF($X174="","",INDEX('HW Sets'!$J$7:$J$306,$X174)&amp;"")</f>
        <v/>
      </c>
      <c r="Z174">
        <f>IF($Y174="","",IF(COUNTIF($Y$7:$Y174,$Y174)=1,1,""))</f>
        <v/>
      </c>
    </row>
    <row r="175">
      <c r="A175" s="175">
        <f>IF($Z175="","",$Y175)</f>
        <v/>
      </c>
      <c r="B175" s="176">
        <f>IF($Z175="","",IFERROR(INDEX('HW Sets'!$N$7:$N$306,MATCH($Y175,'HW Sets'!$M$7:$M$306,0)),""))</f>
        <v/>
      </c>
      <c r="C175" s="177">
        <f t="array" ref="C175">IF($Z175="","",_xlfn.TEXTJOIN(", ",TRUE,IF(tk_HWSET&amp;""=$Y175,tk_MARK,"")))</f>
        <v/>
      </c>
      <c r="D175" s="176">
        <f t="array" ref="D175">IF($Z175="","",SUM(IF(tk_HWSET&amp;""=$Y175,IFERROR(--tk_QTY,0),0)))</f>
        <v/>
      </c>
      <c r="E175" s="176">
        <f>IF($X175="","",IF(INDEX('HW Sets'!$C$7:$C$306,$X175)="","",INDEX('HW Sets'!$C$7:$C$306,$X175)))</f>
        <v/>
      </c>
      <c r="F175" s="176">
        <f>IF($X175="","",IF(INDEX('HW Sets'!$D$7:$D$306,$X175)="","",INDEX('HW Sets'!$D$7:$D$306,$X175)))</f>
        <v/>
      </c>
      <c r="G175" s="176">
        <f>IF($X175="","",IF(INDEX('HW Sets'!$E$7:$E$306,$X175)="","",INDEX('HW Sets'!$E$7:$E$306,$X175)))</f>
        <v/>
      </c>
      <c r="H175" s="176">
        <f>IF($X175="","",IF(INDEX('HW Sets'!$F$7:$F$306,$X175)="","",INDEX('HW Sets'!$F$7:$F$306,$X175)))</f>
        <v/>
      </c>
      <c r="I175" s="176">
        <f>IF($X175="","",IF(INDEX('HW Sets'!$G$7:$G$306,$X175)="","",INDEX('HW Sets'!$G$7:$G$306,$X175)))</f>
        <v/>
      </c>
      <c r="J175" s="176">
        <f>IF($X175="","",IF(INDEX('HW Sets'!$H$7:$H$306,$X175)="","",INDEX('HW Sets'!$H$7:$H$306,$X175)))</f>
        <v/>
      </c>
      <c r="K175" s="175">
        <f t="array" ref="K175">IF($X175="","",N($E175)*SUM(IF(tk_HWSET&amp;""=$Y175,IFERROR(--tk_QTY,0),0)))</f>
        <v/>
      </c>
      <c r="L175" s="176">
        <f>IF($X175="","",IF(INDEX('HW Sets'!$I$7:$I$306,$X175)="","",INDEX('HW Sets'!$I$7:$I$306,$X175)))</f>
        <v/>
      </c>
      <c r="N175" s="176">
        <f>IF($W175="","",INDEX($G$7:$G$306,$W175)&amp;"")</f>
        <v/>
      </c>
      <c r="O175" s="176">
        <f>IF($W175="","",INDEX($H$7:$H$306,$W175)&amp;"")</f>
        <v/>
      </c>
      <c r="P175" s="176">
        <f>IF($W175="","",INDEX($I$7:$I$306,$W175)&amp;"")</f>
        <v/>
      </c>
      <c r="Q175" s="176">
        <f>IF($W175="","",INDEX($J$7:$J$306,$W175)&amp;"")</f>
        <v/>
      </c>
      <c r="R175" s="176">
        <f>IF($W175="","",INDEX($F$7:$F$306,$W175)&amp;"")</f>
        <v/>
      </c>
      <c r="S175" s="175">
        <f>IF($W175="","",SUMIF($U$7:$U$306,INDEX($U$7:$U$306,$W175),$K$7:$K$306))</f>
        <v/>
      </c>
      <c r="U175">
        <f>IF(OR($X175="",N($K175)=0),"",UPPER(TRIM($G175&amp;"|"&amp;$H175&amp;"|"&amp;$I175&amp;"|"&amp;$J175&amp;"|"&amp;$F175)))</f>
        <v/>
      </c>
      <c r="V175">
        <f>IF($U175="","",IF(COUNTIF($U$7:$U175,$U175)=1,MAX($V$6:$V174)+1,""))</f>
        <v/>
      </c>
      <c r="W175">
        <f>IFERROR(MATCH(169,$V$7:$V$306,0),"")</f>
        <v/>
      </c>
      <c r="X175">
        <f>IFERROR(MATCH(169,'HW Sets'!$S$7:$S$306,0),"")</f>
        <v/>
      </c>
      <c r="Y175">
        <f>IF($X175="","",INDEX('HW Sets'!$J$7:$J$306,$X175)&amp;"")</f>
        <v/>
      </c>
      <c r="Z175">
        <f>IF($Y175="","",IF(COUNTIF($Y$7:$Y175,$Y175)=1,1,""))</f>
        <v/>
      </c>
    </row>
    <row r="176">
      <c r="A176" s="175">
        <f>IF($Z176="","",$Y176)</f>
        <v/>
      </c>
      <c r="B176" s="176">
        <f>IF($Z176="","",IFERROR(INDEX('HW Sets'!$N$7:$N$306,MATCH($Y176,'HW Sets'!$M$7:$M$306,0)),""))</f>
        <v/>
      </c>
      <c r="C176" s="177">
        <f t="array" ref="C176">IF($Z176="","",_xlfn.TEXTJOIN(", ",TRUE,IF(tk_HWSET&amp;""=$Y176,tk_MARK,"")))</f>
        <v/>
      </c>
      <c r="D176" s="176">
        <f t="array" ref="D176">IF($Z176="","",SUM(IF(tk_HWSET&amp;""=$Y176,IFERROR(--tk_QTY,0),0)))</f>
        <v/>
      </c>
      <c r="E176" s="176">
        <f>IF($X176="","",IF(INDEX('HW Sets'!$C$7:$C$306,$X176)="","",INDEX('HW Sets'!$C$7:$C$306,$X176)))</f>
        <v/>
      </c>
      <c r="F176" s="176">
        <f>IF($X176="","",IF(INDEX('HW Sets'!$D$7:$D$306,$X176)="","",INDEX('HW Sets'!$D$7:$D$306,$X176)))</f>
        <v/>
      </c>
      <c r="G176" s="176">
        <f>IF($X176="","",IF(INDEX('HW Sets'!$E$7:$E$306,$X176)="","",INDEX('HW Sets'!$E$7:$E$306,$X176)))</f>
        <v/>
      </c>
      <c r="H176" s="176">
        <f>IF($X176="","",IF(INDEX('HW Sets'!$F$7:$F$306,$X176)="","",INDEX('HW Sets'!$F$7:$F$306,$X176)))</f>
        <v/>
      </c>
      <c r="I176" s="176">
        <f>IF($X176="","",IF(INDEX('HW Sets'!$G$7:$G$306,$X176)="","",INDEX('HW Sets'!$G$7:$G$306,$X176)))</f>
        <v/>
      </c>
      <c r="J176" s="176">
        <f>IF($X176="","",IF(INDEX('HW Sets'!$H$7:$H$306,$X176)="","",INDEX('HW Sets'!$H$7:$H$306,$X176)))</f>
        <v/>
      </c>
      <c r="K176" s="175">
        <f t="array" ref="K176">IF($X176="","",N($E176)*SUM(IF(tk_HWSET&amp;""=$Y176,IFERROR(--tk_QTY,0),0)))</f>
        <v/>
      </c>
      <c r="L176" s="176">
        <f>IF($X176="","",IF(INDEX('HW Sets'!$I$7:$I$306,$X176)="","",INDEX('HW Sets'!$I$7:$I$306,$X176)))</f>
        <v/>
      </c>
      <c r="N176" s="176">
        <f>IF($W176="","",INDEX($G$7:$G$306,$W176)&amp;"")</f>
        <v/>
      </c>
      <c r="O176" s="176">
        <f>IF($W176="","",INDEX($H$7:$H$306,$W176)&amp;"")</f>
        <v/>
      </c>
      <c r="P176" s="176">
        <f>IF($W176="","",INDEX($I$7:$I$306,$W176)&amp;"")</f>
        <v/>
      </c>
      <c r="Q176" s="176">
        <f>IF($W176="","",INDEX($J$7:$J$306,$W176)&amp;"")</f>
        <v/>
      </c>
      <c r="R176" s="176">
        <f>IF($W176="","",INDEX($F$7:$F$306,$W176)&amp;"")</f>
        <v/>
      </c>
      <c r="S176" s="175">
        <f>IF($W176="","",SUMIF($U$7:$U$306,INDEX($U$7:$U$306,$W176),$K$7:$K$306))</f>
        <v/>
      </c>
      <c r="U176">
        <f>IF(OR($X176="",N($K176)=0),"",UPPER(TRIM($G176&amp;"|"&amp;$H176&amp;"|"&amp;$I176&amp;"|"&amp;$J176&amp;"|"&amp;$F176)))</f>
        <v/>
      </c>
      <c r="V176">
        <f>IF($U176="","",IF(COUNTIF($U$7:$U176,$U176)=1,MAX($V$6:$V175)+1,""))</f>
        <v/>
      </c>
      <c r="W176">
        <f>IFERROR(MATCH(170,$V$7:$V$306,0),"")</f>
        <v/>
      </c>
      <c r="X176">
        <f>IFERROR(MATCH(170,'HW Sets'!$S$7:$S$306,0),"")</f>
        <v/>
      </c>
      <c r="Y176">
        <f>IF($X176="","",INDEX('HW Sets'!$J$7:$J$306,$X176)&amp;"")</f>
        <v/>
      </c>
      <c r="Z176">
        <f>IF($Y176="","",IF(COUNTIF($Y$7:$Y176,$Y176)=1,1,""))</f>
        <v/>
      </c>
    </row>
    <row r="177">
      <c r="A177" s="175">
        <f>IF($Z177="","",$Y177)</f>
        <v/>
      </c>
      <c r="B177" s="176">
        <f>IF($Z177="","",IFERROR(INDEX('HW Sets'!$N$7:$N$306,MATCH($Y177,'HW Sets'!$M$7:$M$306,0)),""))</f>
        <v/>
      </c>
      <c r="C177" s="177">
        <f t="array" ref="C177">IF($Z177="","",_xlfn.TEXTJOIN(", ",TRUE,IF(tk_HWSET&amp;""=$Y177,tk_MARK,"")))</f>
        <v/>
      </c>
      <c r="D177" s="176">
        <f t="array" ref="D177">IF($Z177="","",SUM(IF(tk_HWSET&amp;""=$Y177,IFERROR(--tk_QTY,0),0)))</f>
        <v/>
      </c>
      <c r="E177" s="176">
        <f>IF($X177="","",IF(INDEX('HW Sets'!$C$7:$C$306,$X177)="","",INDEX('HW Sets'!$C$7:$C$306,$X177)))</f>
        <v/>
      </c>
      <c r="F177" s="176">
        <f>IF($X177="","",IF(INDEX('HW Sets'!$D$7:$D$306,$X177)="","",INDEX('HW Sets'!$D$7:$D$306,$X177)))</f>
        <v/>
      </c>
      <c r="G177" s="176">
        <f>IF($X177="","",IF(INDEX('HW Sets'!$E$7:$E$306,$X177)="","",INDEX('HW Sets'!$E$7:$E$306,$X177)))</f>
        <v/>
      </c>
      <c r="H177" s="176">
        <f>IF($X177="","",IF(INDEX('HW Sets'!$F$7:$F$306,$X177)="","",INDEX('HW Sets'!$F$7:$F$306,$X177)))</f>
        <v/>
      </c>
      <c r="I177" s="176">
        <f>IF($X177="","",IF(INDEX('HW Sets'!$G$7:$G$306,$X177)="","",INDEX('HW Sets'!$G$7:$G$306,$X177)))</f>
        <v/>
      </c>
      <c r="J177" s="176">
        <f>IF($X177="","",IF(INDEX('HW Sets'!$H$7:$H$306,$X177)="","",INDEX('HW Sets'!$H$7:$H$306,$X177)))</f>
        <v/>
      </c>
      <c r="K177" s="175">
        <f t="array" ref="K177">IF($X177="","",N($E177)*SUM(IF(tk_HWSET&amp;""=$Y177,IFERROR(--tk_QTY,0),0)))</f>
        <v/>
      </c>
      <c r="L177" s="176">
        <f>IF($X177="","",IF(INDEX('HW Sets'!$I$7:$I$306,$X177)="","",INDEX('HW Sets'!$I$7:$I$306,$X177)))</f>
        <v/>
      </c>
      <c r="N177" s="176">
        <f>IF($W177="","",INDEX($G$7:$G$306,$W177)&amp;"")</f>
        <v/>
      </c>
      <c r="O177" s="176">
        <f>IF($W177="","",INDEX($H$7:$H$306,$W177)&amp;"")</f>
        <v/>
      </c>
      <c r="P177" s="176">
        <f>IF($W177="","",INDEX($I$7:$I$306,$W177)&amp;"")</f>
        <v/>
      </c>
      <c r="Q177" s="176">
        <f>IF($W177="","",INDEX($J$7:$J$306,$W177)&amp;"")</f>
        <v/>
      </c>
      <c r="R177" s="176">
        <f>IF($W177="","",INDEX($F$7:$F$306,$W177)&amp;"")</f>
        <v/>
      </c>
      <c r="S177" s="175">
        <f>IF($W177="","",SUMIF($U$7:$U$306,INDEX($U$7:$U$306,$W177),$K$7:$K$306))</f>
        <v/>
      </c>
      <c r="U177">
        <f>IF(OR($X177="",N($K177)=0),"",UPPER(TRIM($G177&amp;"|"&amp;$H177&amp;"|"&amp;$I177&amp;"|"&amp;$J177&amp;"|"&amp;$F177)))</f>
        <v/>
      </c>
      <c r="V177">
        <f>IF($U177="","",IF(COUNTIF($U$7:$U177,$U177)=1,MAX($V$6:$V176)+1,""))</f>
        <v/>
      </c>
      <c r="W177">
        <f>IFERROR(MATCH(171,$V$7:$V$306,0),"")</f>
        <v/>
      </c>
      <c r="X177">
        <f>IFERROR(MATCH(171,'HW Sets'!$S$7:$S$306,0),"")</f>
        <v/>
      </c>
      <c r="Y177">
        <f>IF($X177="","",INDEX('HW Sets'!$J$7:$J$306,$X177)&amp;"")</f>
        <v/>
      </c>
      <c r="Z177">
        <f>IF($Y177="","",IF(COUNTIF($Y$7:$Y177,$Y177)=1,1,""))</f>
        <v/>
      </c>
    </row>
    <row r="178">
      <c r="A178" s="175">
        <f>IF($Z178="","",$Y178)</f>
        <v/>
      </c>
      <c r="B178" s="176">
        <f>IF($Z178="","",IFERROR(INDEX('HW Sets'!$N$7:$N$306,MATCH($Y178,'HW Sets'!$M$7:$M$306,0)),""))</f>
        <v/>
      </c>
      <c r="C178" s="177">
        <f t="array" ref="C178">IF($Z178="","",_xlfn.TEXTJOIN(", ",TRUE,IF(tk_HWSET&amp;""=$Y178,tk_MARK,"")))</f>
        <v/>
      </c>
      <c r="D178" s="176">
        <f t="array" ref="D178">IF($Z178="","",SUM(IF(tk_HWSET&amp;""=$Y178,IFERROR(--tk_QTY,0),0)))</f>
        <v/>
      </c>
      <c r="E178" s="176">
        <f>IF($X178="","",IF(INDEX('HW Sets'!$C$7:$C$306,$X178)="","",INDEX('HW Sets'!$C$7:$C$306,$X178)))</f>
        <v/>
      </c>
      <c r="F178" s="176">
        <f>IF($X178="","",IF(INDEX('HW Sets'!$D$7:$D$306,$X178)="","",INDEX('HW Sets'!$D$7:$D$306,$X178)))</f>
        <v/>
      </c>
      <c r="G178" s="176">
        <f>IF($X178="","",IF(INDEX('HW Sets'!$E$7:$E$306,$X178)="","",INDEX('HW Sets'!$E$7:$E$306,$X178)))</f>
        <v/>
      </c>
      <c r="H178" s="176">
        <f>IF($X178="","",IF(INDEX('HW Sets'!$F$7:$F$306,$X178)="","",INDEX('HW Sets'!$F$7:$F$306,$X178)))</f>
        <v/>
      </c>
      <c r="I178" s="176">
        <f>IF($X178="","",IF(INDEX('HW Sets'!$G$7:$G$306,$X178)="","",INDEX('HW Sets'!$G$7:$G$306,$X178)))</f>
        <v/>
      </c>
      <c r="J178" s="176">
        <f>IF($X178="","",IF(INDEX('HW Sets'!$H$7:$H$306,$X178)="","",INDEX('HW Sets'!$H$7:$H$306,$X178)))</f>
        <v/>
      </c>
      <c r="K178" s="175">
        <f t="array" ref="K178">IF($X178="","",N($E178)*SUM(IF(tk_HWSET&amp;""=$Y178,IFERROR(--tk_QTY,0),0)))</f>
        <v/>
      </c>
      <c r="L178" s="176">
        <f>IF($X178="","",IF(INDEX('HW Sets'!$I$7:$I$306,$X178)="","",INDEX('HW Sets'!$I$7:$I$306,$X178)))</f>
        <v/>
      </c>
      <c r="N178" s="176">
        <f>IF($W178="","",INDEX($G$7:$G$306,$W178)&amp;"")</f>
        <v/>
      </c>
      <c r="O178" s="176">
        <f>IF($W178="","",INDEX($H$7:$H$306,$W178)&amp;"")</f>
        <v/>
      </c>
      <c r="P178" s="176">
        <f>IF($W178="","",INDEX($I$7:$I$306,$W178)&amp;"")</f>
        <v/>
      </c>
      <c r="Q178" s="176">
        <f>IF($W178="","",INDEX($J$7:$J$306,$W178)&amp;"")</f>
        <v/>
      </c>
      <c r="R178" s="176">
        <f>IF($W178="","",INDEX($F$7:$F$306,$W178)&amp;"")</f>
        <v/>
      </c>
      <c r="S178" s="175">
        <f>IF($W178="","",SUMIF($U$7:$U$306,INDEX($U$7:$U$306,$W178),$K$7:$K$306))</f>
        <v/>
      </c>
      <c r="U178">
        <f>IF(OR($X178="",N($K178)=0),"",UPPER(TRIM($G178&amp;"|"&amp;$H178&amp;"|"&amp;$I178&amp;"|"&amp;$J178&amp;"|"&amp;$F178)))</f>
        <v/>
      </c>
      <c r="V178">
        <f>IF($U178="","",IF(COUNTIF($U$7:$U178,$U178)=1,MAX($V$6:$V177)+1,""))</f>
        <v/>
      </c>
      <c r="W178">
        <f>IFERROR(MATCH(172,$V$7:$V$306,0),"")</f>
        <v/>
      </c>
      <c r="X178">
        <f>IFERROR(MATCH(172,'HW Sets'!$S$7:$S$306,0),"")</f>
        <v/>
      </c>
      <c r="Y178">
        <f>IF($X178="","",INDEX('HW Sets'!$J$7:$J$306,$X178)&amp;"")</f>
        <v/>
      </c>
      <c r="Z178">
        <f>IF($Y178="","",IF(COUNTIF($Y$7:$Y178,$Y178)=1,1,""))</f>
        <v/>
      </c>
    </row>
    <row r="179">
      <c r="A179" s="175">
        <f>IF($Z179="","",$Y179)</f>
        <v/>
      </c>
      <c r="B179" s="176">
        <f>IF($Z179="","",IFERROR(INDEX('HW Sets'!$N$7:$N$306,MATCH($Y179,'HW Sets'!$M$7:$M$306,0)),""))</f>
        <v/>
      </c>
      <c r="C179" s="177">
        <f t="array" ref="C179">IF($Z179="","",_xlfn.TEXTJOIN(", ",TRUE,IF(tk_HWSET&amp;""=$Y179,tk_MARK,"")))</f>
        <v/>
      </c>
      <c r="D179" s="176">
        <f t="array" ref="D179">IF($Z179="","",SUM(IF(tk_HWSET&amp;""=$Y179,IFERROR(--tk_QTY,0),0)))</f>
        <v/>
      </c>
      <c r="E179" s="176">
        <f>IF($X179="","",IF(INDEX('HW Sets'!$C$7:$C$306,$X179)="","",INDEX('HW Sets'!$C$7:$C$306,$X179)))</f>
        <v/>
      </c>
      <c r="F179" s="176">
        <f>IF($X179="","",IF(INDEX('HW Sets'!$D$7:$D$306,$X179)="","",INDEX('HW Sets'!$D$7:$D$306,$X179)))</f>
        <v/>
      </c>
      <c r="G179" s="176">
        <f>IF($X179="","",IF(INDEX('HW Sets'!$E$7:$E$306,$X179)="","",INDEX('HW Sets'!$E$7:$E$306,$X179)))</f>
        <v/>
      </c>
      <c r="H179" s="176">
        <f>IF($X179="","",IF(INDEX('HW Sets'!$F$7:$F$306,$X179)="","",INDEX('HW Sets'!$F$7:$F$306,$X179)))</f>
        <v/>
      </c>
      <c r="I179" s="176">
        <f>IF($X179="","",IF(INDEX('HW Sets'!$G$7:$G$306,$X179)="","",INDEX('HW Sets'!$G$7:$G$306,$X179)))</f>
        <v/>
      </c>
      <c r="J179" s="176">
        <f>IF($X179="","",IF(INDEX('HW Sets'!$H$7:$H$306,$X179)="","",INDEX('HW Sets'!$H$7:$H$306,$X179)))</f>
        <v/>
      </c>
      <c r="K179" s="175">
        <f t="array" ref="K179">IF($X179="","",N($E179)*SUM(IF(tk_HWSET&amp;""=$Y179,IFERROR(--tk_QTY,0),0)))</f>
        <v/>
      </c>
      <c r="L179" s="176">
        <f>IF($X179="","",IF(INDEX('HW Sets'!$I$7:$I$306,$X179)="","",INDEX('HW Sets'!$I$7:$I$306,$X179)))</f>
        <v/>
      </c>
      <c r="N179" s="176">
        <f>IF($W179="","",INDEX($G$7:$G$306,$W179)&amp;"")</f>
        <v/>
      </c>
      <c r="O179" s="176">
        <f>IF($W179="","",INDEX($H$7:$H$306,$W179)&amp;"")</f>
        <v/>
      </c>
      <c r="P179" s="176">
        <f>IF($W179="","",INDEX($I$7:$I$306,$W179)&amp;"")</f>
        <v/>
      </c>
      <c r="Q179" s="176">
        <f>IF($W179="","",INDEX($J$7:$J$306,$W179)&amp;"")</f>
        <v/>
      </c>
      <c r="R179" s="176">
        <f>IF($W179="","",INDEX($F$7:$F$306,$W179)&amp;"")</f>
        <v/>
      </c>
      <c r="S179" s="175">
        <f>IF($W179="","",SUMIF($U$7:$U$306,INDEX($U$7:$U$306,$W179),$K$7:$K$306))</f>
        <v/>
      </c>
      <c r="U179">
        <f>IF(OR($X179="",N($K179)=0),"",UPPER(TRIM($G179&amp;"|"&amp;$H179&amp;"|"&amp;$I179&amp;"|"&amp;$J179&amp;"|"&amp;$F179)))</f>
        <v/>
      </c>
      <c r="V179">
        <f>IF($U179="","",IF(COUNTIF($U$7:$U179,$U179)=1,MAX($V$6:$V178)+1,""))</f>
        <v/>
      </c>
      <c r="W179">
        <f>IFERROR(MATCH(173,$V$7:$V$306,0),"")</f>
        <v/>
      </c>
      <c r="X179">
        <f>IFERROR(MATCH(173,'HW Sets'!$S$7:$S$306,0),"")</f>
        <v/>
      </c>
      <c r="Y179">
        <f>IF($X179="","",INDEX('HW Sets'!$J$7:$J$306,$X179)&amp;"")</f>
        <v/>
      </c>
      <c r="Z179">
        <f>IF($Y179="","",IF(COUNTIF($Y$7:$Y179,$Y179)=1,1,""))</f>
        <v/>
      </c>
    </row>
    <row r="180">
      <c r="A180" s="175">
        <f>IF($Z180="","",$Y180)</f>
        <v/>
      </c>
      <c r="B180" s="176">
        <f>IF($Z180="","",IFERROR(INDEX('HW Sets'!$N$7:$N$306,MATCH($Y180,'HW Sets'!$M$7:$M$306,0)),""))</f>
        <v/>
      </c>
      <c r="C180" s="177">
        <f t="array" ref="C180">IF($Z180="","",_xlfn.TEXTJOIN(", ",TRUE,IF(tk_HWSET&amp;""=$Y180,tk_MARK,"")))</f>
        <v/>
      </c>
      <c r="D180" s="176">
        <f t="array" ref="D180">IF($Z180="","",SUM(IF(tk_HWSET&amp;""=$Y180,IFERROR(--tk_QTY,0),0)))</f>
        <v/>
      </c>
      <c r="E180" s="176">
        <f>IF($X180="","",IF(INDEX('HW Sets'!$C$7:$C$306,$X180)="","",INDEX('HW Sets'!$C$7:$C$306,$X180)))</f>
        <v/>
      </c>
      <c r="F180" s="176">
        <f>IF($X180="","",IF(INDEX('HW Sets'!$D$7:$D$306,$X180)="","",INDEX('HW Sets'!$D$7:$D$306,$X180)))</f>
        <v/>
      </c>
      <c r="G180" s="176">
        <f>IF($X180="","",IF(INDEX('HW Sets'!$E$7:$E$306,$X180)="","",INDEX('HW Sets'!$E$7:$E$306,$X180)))</f>
        <v/>
      </c>
      <c r="H180" s="176">
        <f>IF($X180="","",IF(INDEX('HW Sets'!$F$7:$F$306,$X180)="","",INDEX('HW Sets'!$F$7:$F$306,$X180)))</f>
        <v/>
      </c>
      <c r="I180" s="176">
        <f>IF($X180="","",IF(INDEX('HW Sets'!$G$7:$G$306,$X180)="","",INDEX('HW Sets'!$G$7:$G$306,$X180)))</f>
        <v/>
      </c>
      <c r="J180" s="176">
        <f>IF($X180="","",IF(INDEX('HW Sets'!$H$7:$H$306,$X180)="","",INDEX('HW Sets'!$H$7:$H$306,$X180)))</f>
        <v/>
      </c>
      <c r="K180" s="175">
        <f t="array" ref="K180">IF($X180="","",N($E180)*SUM(IF(tk_HWSET&amp;""=$Y180,IFERROR(--tk_QTY,0),0)))</f>
        <v/>
      </c>
      <c r="L180" s="176">
        <f>IF($X180="","",IF(INDEX('HW Sets'!$I$7:$I$306,$X180)="","",INDEX('HW Sets'!$I$7:$I$306,$X180)))</f>
        <v/>
      </c>
      <c r="N180" s="176">
        <f>IF($W180="","",INDEX($G$7:$G$306,$W180)&amp;"")</f>
        <v/>
      </c>
      <c r="O180" s="176">
        <f>IF($W180="","",INDEX($H$7:$H$306,$W180)&amp;"")</f>
        <v/>
      </c>
      <c r="P180" s="176">
        <f>IF($W180="","",INDEX($I$7:$I$306,$W180)&amp;"")</f>
        <v/>
      </c>
      <c r="Q180" s="176">
        <f>IF($W180="","",INDEX($J$7:$J$306,$W180)&amp;"")</f>
        <v/>
      </c>
      <c r="R180" s="176">
        <f>IF($W180="","",INDEX($F$7:$F$306,$W180)&amp;"")</f>
        <v/>
      </c>
      <c r="S180" s="175">
        <f>IF($W180="","",SUMIF($U$7:$U$306,INDEX($U$7:$U$306,$W180),$K$7:$K$306))</f>
        <v/>
      </c>
      <c r="U180">
        <f>IF(OR($X180="",N($K180)=0),"",UPPER(TRIM($G180&amp;"|"&amp;$H180&amp;"|"&amp;$I180&amp;"|"&amp;$J180&amp;"|"&amp;$F180)))</f>
        <v/>
      </c>
      <c r="V180">
        <f>IF($U180="","",IF(COUNTIF($U$7:$U180,$U180)=1,MAX($V$6:$V179)+1,""))</f>
        <v/>
      </c>
      <c r="W180">
        <f>IFERROR(MATCH(174,$V$7:$V$306,0),"")</f>
        <v/>
      </c>
      <c r="X180">
        <f>IFERROR(MATCH(174,'HW Sets'!$S$7:$S$306,0),"")</f>
        <v/>
      </c>
      <c r="Y180">
        <f>IF($X180="","",INDEX('HW Sets'!$J$7:$J$306,$X180)&amp;"")</f>
        <v/>
      </c>
      <c r="Z180">
        <f>IF($Y180="","",IF(COUNTIF($Y$7:$Y180,$Y180)=1,1,""))</f>
        <v/>
      </c>
    </row>
    <row r="181">
      <c r="A181" s="175">
        <f>IF($Z181="","",$Y181)</f>
        <v/>
      </c>
      <c r="B181" s="176">
        <f>IF($Z181="","",IFERROR(INDEX('HW Sets'!$N$7:$N$306,MATCH($Y181,'HW Sets'!$M$7:$M$306,0)),""))</f>
        <v/>
      </c>
      <c r="C181" s="177">
        <f t="array" ref="C181">IF($Z181="","",_xlfn.TEXTJOIN(", ",TRUE,IF(tk_HWSET&amp;""=$Y181,tk_MARK,"")))</f>
        <v/>
      </c>
      <c r="D181" s="176">
        <f t="array" ref="D181">IF($Z181="","",SUM(IF(tk_HWSET&amp;""=$Y181,IFERROR(--tk_QTY,0),0)))</f>
        <v/>
      </c>
      <c r="E181" s="176">
        <f>IF($X181="","",IF(INDEX('HW Sets'!$C$7:$C$306,$X181)="","",INDEX('HW Sets'!$C$7:$C$306,$X181)))</f>
        <v/>
      </c>
      <c r="F181" s="176">
        <f>IF($X181="","",IF(INDEX('HW Sets'!$D$7:$D$306,$X181)="","",INDEX('HW Sets'!$D$7:$D$306,$X181)))</f>
        <v/>
      </c>
      <c r="G181" s="176">
        <f>IF($X181="","",IF(INDEX('HW Sets'!$E$7:$E$306,$X181)="","",INDEX('HW Sets'!$E$7:$E$306,$X181)))</f>
        <v/>
      </c>
      <c r="H181" s="176">
        <f>IF($X181="","",IF(INDEX('HW Sets'!$F$7:$F$306,$X181)="","",INDEX('HW Sets'!$F$7:$F$306,$X181)))</f>
        <v/>
      </c>
      <c r="I181" s="176">
        <f>IF($X181="","",IF(INDEX('HW Sets'!$G$7:$G$306,$X181)="","",INDEX('HW Sets'!$G$7:$G$306,$X181)))</f>
        <v/>
      </c>
      <c r="J181" s="176">
        <f>IF($X181="","",IF(INDEX('HW Sets'!$H$7:$H$306,$X181)="","",INDEX('HW Sets'!$H$7:$H$306,$X181)))</f>
        <v/>
      </c>
      <c r="K181" s="175">
        <f t="array" ref="K181">IF($X181="","",N($E181)*SUM(IF(tk_HWSET&amp;""=$Y181,IFERROR(--tk_QTY,0),0)))</f>
        <v/>
      </c>
      <c r="L181" s="176">
        <f>IF($X181="","",IF(INDEX('HW Sets'!$I$7:$I$306,$X181)="","",INDEX('HW Sets'!$I$7:$I$306,$X181)))</f>
        <v/>
      </c>
      <c r="N181" s="176">
        <f>IF($W181="","",INDEX($G$7:$G$306,$W181)&amp;"")</f>
        <v/>
      </c>
      <c r="O181" s="176">
        <f>IF($W181="","",INDEX($H$7:$H$306,$W181)&amp;"")</f>
        <v/>
      </c>
      <c r="P181" s="176">
        <f>IF($W181="","",INDEX($I$7:$I$306,$W181)&amp;"")</f>
        <v/>
      </c>
      <c r="Q181" s="176">
        <f>IF($W181="","",INDEX($J$7:$J$306,$W181)&amp;"")</f>
        <v/>
      </c>
      <c r="R181" s="176">
        <f>IF($W181="","",INDEX($F$7:$F$306,$W181)&amp;"")</f>
        <v/>
      </c>
      <c r="S181" s="175">
        <f>IF($W181="","",SUMIF($U$7:$U$306,INDEX($U$7:$U$306,$W181),$K$7:$K$306))</f>
        <v/>
      </c>
      <c r="U181">
        <f>IF(OR($X181="",N($K181)=0),"",UPPER(TRIM($G181&amp;"|"&amp;$H181&amp;"|"&amp;$I181&amp;"|"&amp;$J181&amp;"|"&amp;$F181)))</f>
        <v/>
      </c>
      <c r="V181">
        <f>IF($U181="","",IF(COUNTIF($U$7:$U181,$U181)=1,MAX($V$6:$V180)+1,""))</f>
        <v/>
      </c>
      <c r="W181">
        <f>IFERROR(MATCH(175,$V$7:$V$306,0),"")</f>
        <v/>
      </c>
      <c r="X181">
        <f>IFERROR(MATCH(175,'HW Sets'!$S$7:$S$306,0),"")</f>
        <v/>
      </c>
      <c r="Y181">
        <f>IF($X181="","",INDEX('HW Sets'!$J$7:$J$306,$X181)&amp;"")</f>
        <v/>
      </c>
      <c r="Z181">
        <f>IF($Y181="","",IF(COUNTIF($Y$7:$Y181,$Y181)=1,1,""))</f>
        <v/>
      </c>
    </row>
    <row r="182">
      <c r="A182" s="175">
        <f>IF($Z182="","",$Y182)</f>
        <v/>
      </c>
      <c r="B182" s="176">
        <f>IF($Z182="","",IFERROR(INDEX('HW Sets'!$N$7:$N$306,MATCH($Y182,'HW Sets'!$M$7:$M$306,0)),""))</f>
        <v/>
      </c>
      <c r="C182" s="177">
        <f t="array" ref="C182">IF($Z182="","",_xlfn.TEXTJOIN(", ",TRUE,IF(tk_HWSET&amp;""=$Y182,tk_MARK,"")))</f>
        <v/>
      </c>
      <c r="D182" s="176">
        <f t="array" ref="D182">IF($Z182="","",SUM(IF(tk_HWSET&amp;""=$Y182,IFERROR(--tk_QTY,0),0)))</f>
        <v/>
      </c>
      <c r="E182" s="176">
        <f>IF($X182="","",IF(INDEX('HW Sets'!$C$7:$C$306,$X182)="","",INDEX('HW Sets'!$C$7:$C$306,$X182)))</f>
        <v/>
      </c>
      <c r="F182" s="176">
        <f>IF($X182="","",IF(INDEX('HW Sets'!$D$7:$D$306,$X182)="","",INDEX('HW Sets'!$D$7:$D$306,$X182)))</f>
        <v/>
      </c>
      <c r="G182" s="176">
        <f>IF($X182="","",IF(INDEX('HW Sets'!$E$7:$E$306,$X182)="","",INDEX('HW Sets'!$E$7:$E$306,$X182)))</f>
        <v/>
      </c>
      <c r="H182" s="176">
        <f>IF($X182="","",IF(INDEX('HW Sets'!$F$7:$F$306,$X182)="","",INDEX('HW Sets'!$F$7:$F$306,$X182)))</f>
        <v/>
      </c>
      <c r="I182" s="176">
        <f>IF($X182="","",IF(INDEX('HW Sets'!$G$7:$G$306,$X182)="","",INDEX('HW Sets'!$G$7:$G$306,$X182)))</f>
        <v/>
      </c>
      <c r="J182" s="176">
        <f>IF($X182="","",IF(INDEX('HW Sets'!$H$7:$H$306,$X182)="","",INDEX('HW Sets'!$H$7:$H$306,$X182)))</f>
        <v/>
      </c>
      <c r="K182" s="175">
        <f t="array" ref="K182">IF($X182="","",N($E182)*SUM(IF(tk_HWSET&amp;""=$Y182,IFERROR(--tk_QTY,0),0)))</f>
        <v/>
      </c>
      <c r="L182" s="176">
        <f>IF($X182="","",IF(INDEX('HW Sets'!$I$7:$I$306,$X182)="","",INDEX('HW Sets'!$I$7:$I$306,$X182)))</f>
        <v/>
      </c>
      <c r="N182" s="176">
        <f>IF($W182="","",INDEX($G$7:$G$306,$W182)&amp;"")</f>
        <v/>
      </c>
      <c r="O182" s="176">
        <f>IF($W182="","",INDEX($H$7:$H$306,$W182)&amp;"")</f>
        <v/>
      </c>
      <c r="P182" s="176">
        <f>IF($W182="","",INDEX($I$7:$I$306,$W182)&amp;"")</f>
        <v/>
      </c>
      <c r="Q182" s="176">
        <f>IF($W182="","",INDEX($J$7:$J$306,$W182)&amp;"")</f>
        <v/>
      </c>
      <c r="R182" s="176">
        <f>IF($W182="","",INDEX($F$7:$F$306,$W182)&amp;"")</f>
        <v/>
      </c>
      <c r="S182" s="175">
        <f>IF($W182="","",SUMIF($U$7:$U$306,INDEX($U$7:$U$306,$W182),$K$7:$K$306))</f>
        <v/>
      </c>
      <c r="U182">
        <f>IF(OR($X182="",N($K182)=0),"",UPPER(TRIM($G182&amp;"|"&amp;$H182&amp;"|"&amp;$I182&amp;"|"&amp;$J182&amp;"|"&amp;$F182)))</f>
        <v/>
      </c>
      <c r="V182">
        <f>IF($U182="","",IF(COUNTIF($U$7:$U182,$U182)=1,MAX($V$6:$V181)+1,""))</f>
        <v/>
      </c>
      <c r="W182">
        <f>IFERROR(MATCH(176,$V$7:$V$306,0),"")</f>
        <v/>
      </c>
      <c r="X182">
        <f>IFERROR(MATCH(176,'HW Sets'!$S$7:$S$306,0),"")</f>
        <v/>
      </c>
      <c r="Y182">
        <f>IF($X182="","",INDEX('HW Sets'!$J$7:$J$306,$X182)&amp;"")</f>
        <v/>
      </c>
      <c r="Z182">
        <f>IF($Y182="","",IF(COUNTIF($Y$7:$Y182,$Y182)=1,1,""))</f>
        <v/>
      </c>
    </row>
    <row r="183">
      <c r="A183" s="175">
        <f>IF($Z183="","",$Y183)</f>
        <v/>
      </c>
      <c r="B183" s="176">
        <f>IF($Z183="","",IFERROR(INDEX('HW Sets'!$N$7:$N$306,MATCH($Y183,'HW Sets'!$M$7:$M$306,0)),""))</f>
        <v/>
      </c>
      <c r="C183" s="177">
        <f t="array" ref="C183">IF($Z183="","",_xlfn.TEXTJOIN(", ",TRUE,IF(tk_HWSET&amp;""=$Y183,tk_MARK,"")))</f>
        <v/>
      </c>
      <c r="D183" s="176">
        <f t="array" ref="D183">IF($Z183="","",SUM(IF(tk_HWSET&amp;""=$Y183,IFERROR(--tk_QTY,0),0)))</f>
        <v/>
      </c>
      <c r="E183" s="176">
        <f>IF($X183="","",IF(INDEX('HW Sets'!$C$7:$C$306,$X183)="","",INDEX('HW Sets'!$C$7:$C$306,$X183)))</f>
        <v/>
      </c>
      <c r="F183" s="176">
        <f>IF($X183="","",IF(INDEX('HW Sets'!$D$7:$D$306,$X183)="","",INDEX('HW Sets'!$D$7:$D$306,$X183)))</f>
        <v/>
      </c>
      <c r="G183" s="176">
        <f>IF($X183="","",IF(INDEX('HW Sets'!$E$7:$E$306,$X183)="","",INDEX('HW Sets'!$E$7:$E$306,$X183)))</f>
        <v/>
      </c>
      <c r="H183" s="176">
        <f>IF($X183="","",IF(INDEX('HW Sets'!$F$7:$F$306,$X183)="","",INDEX('HW Sets'!$F$7:$F$306,$X183)))</f>
        <v/>
      </c>
      <c r="I183" s="176">
        <f>IF($X183="","",IF(INDEX('HW Sets'!$G$7:$G$306,$X183)="","",INDEX('HW Sets'!$G$7:$G$306,$X183)))</f>
        <v/>
      </c>
      <c r="J183" s="176">
        <f>IF($X183="","",IF(INDEX('HW Sets'!$H$7:$H$306,$X183)="","",INDEX('HW Sets'!$H$7:$H$306,$X183)))</f>
        <v/>
      </c>
      <c r="K183" s="175">
        <f t="array" ref="K183">IF($X183="","",N($E183)*SUM(IF(tk_HWSET&amp;""=$Y183,IFERROR(--tk_QTY,0),0)))</f>
        <v/>
      </c>
      <c r="L183" s="176">
        <f>IF($X183="","",IF(INDEX('HW Sets'!$I$7:$I$306,$X183)="","",INDEX('HW Sets'!$I$7:$I$306,$X183)))</f>
        <v/>
      </c>
      <c r="N183" s="176">
        <f>IF($W183="","",INDEX($G$7:$G$306,$W183)&amp;"")</f>
        <v/>
      </c>
      <c r="O183" s="176">
        <f>IF($W183="","",INDEX($H$7:$H$306,$W183)&amp;"")</f>
        <v/>
      </c>
      <c r="P183" s="176">
        <f>IF($W183="","",INDEX($I$7:$I$306,$W183)&amp;"")</f>
        <v/>
      </c>
      <c r="Q183" s="176">
        <f>IF($W183="","",INDEX($J$7:$J$306,$W183)&amp;"")</f>
        <v/>
      </c>
      <c r="R183" s="176">
        <f>IF($W183="","",INDEX($F$7:$F$306,$W183)&amp;"")</f>
        <v/>
      </c>
      <c r="S183" s="175">
        <f>IF($W183="","",SUMIF($U$7:$U$306,INDEX($U$7:$U$306,$W183),$K$7:$K$306))</f>
        <v/>
      </c>
      <c r="U183">
        <f>IF(OR($X183="",N($K183)=0),"",UPPER(TRIM($G183&amp;"|"&amp;$H183&amp;"|"&amp;$I183&amp;"|"&amp;$J183&amp;"|"&amp;$F183)))</f>
        <v/>
      </c>
      <c r="V183">
        <f>IF($U183="","",IF(COUNTIF($U$7:$U183,$U183)=1,MAX($V$6:$V182)+1,""))</f>
        <v/>
      </c>
      <c r="W183">
        <f>IFERROR(MATCH(177,$V$7:$V$306,0),"")</f>
        <v/>
      </c>
      <c r="X183">
        <f>IFERROR(MATCH(177,'HW Sets'!$S$7:$S$306,0),"")</f>
        <v/>
      </c>
      <c r="Y183">
        <f>IF($X183="","",INDEX('HW Sets'!$J$7:$J$306,$X183)&amp;"")</f>
        <v/>
      </c>
      <c r="Z183">
        <f>IF($Y183="","",IF(COUNTIF($Y$7:$Y183,$Y183)=1,1,""))</f>
        <v/>
      </c>
    </row>
    <row r="184">
      <c r="A184" s="175">
        <f>IF($Z184="","",$Y184)</f>
        <v/>
      </c>
      <c r="B184" s="176">
        <f>IF($Z184="","",IFERROR(INDEX('HW Sets'!$N$7:$N$306,MATCH($Y184,'HW Sets'!$M$7:$M$306,0)),""))</f>
        <v/>
      </c>
      <c r="C184" s="177">
        <f t="array" ref="C184">IF($Z184="","",_xlfn.TEXTJOIN(", ",TRUE,IF(tk_HWSET&amp;""=$Y184,tk_MARK,"")))</f>
        <v/>
      </c>
      <c r="D184" s="176">
        <f t="array" ref="D184">IF($Z184="","",SUM(IF(tk_HWSET&amp;""=$Y184,IFERROR(--tk_QTY,0),0)))</f>
        <v/>
      </c>
      <c r="E184" s="176">
        <f>IF($X184="","",IF(INDEX('HW Sets'!$C$7:$C$306,$X184)="","",INDEX('HW Sets'!$C$7:$C$306,$X184)))</f>
        <v/>
      </c>
      <c r="F184" s="176">
        <f>IF($X184="","",IF(INDEX('HW Sets'!$D$7:$D$306,$X184)="","",INDEX('HW Sets'!$D$7:$D$306,$X184)))</f>
        <v/>
      </c>
      <c r="G184" s="176">
        <f>IF($X184="","",IF(INDEX('HW Sets'!$E$7:$E$306,$X184)="","",INDEX('HW Sets'!$E$7:$E$306,$X184)))</f>
        <v/>
      </c>
      <c r="H184" s="176">
        <f>IF($X184="","",IF(INDEX('HW Sets'!$F$7:$F$306,$X184)="","",INDEX('HW Sets'!$F$7:$F$306,$X184)))</f>
        <v/>
      </c>
      <c r="I184" s="176">
        <f>IF($X184="","",IF(INDEX('HW Sets'!$G$7:$G$306,$X184)="","",INDEX('HW Sets'!$G$7:$G$306,$X184)))</f>
        <v/>
      </c>
      <c r="J184" s="176">
        <f>IF($X184="","",IF(INDEX('HW Sets'!$H$7:$H$306,$X184)="","",INDEX('HW Sets'!$H$7:$H$306,$X184)))</f>
        <v/>
      </c>
      <c r="K184" s="175">
        <f t="array" ref="K184">IF($X184="","",N($E184)*SUM(IF(tk_HWSET&amp;""=$Y184,IFERROR(--tk_QTY,0),0)))</f>
        <v/>
      </c>
      <c r="L184" s="176">
        <f>IF($X184="","",IF(INDEX('HW Sets'!$I$7:$I$306,$X184)="","",INDEX('HW Sets'!$I$7:$I$306,$X184)))</f>
        <v/>
      </c>
      <c r="N184" s="176">
        <f>IF($W184="","",INDEX($G$7:$G$306,$W184)&amp;"")</f>
        <v/>
      </c>
      <c r="O184" s="176">
        <f>IF($W184="","",INDEX($H$7:$H$306,$W184)&amp;"")</f>
        <v/>
      </c>
      <c r="P184" s="176">
        <f>IF($W184="","",INDEX($I$7:$I$306,$W184)&amp;"")</f>
        <v/>
      </c>
      <c r="Q184" s="176">
        <f>IF($W184="","",INDEX($J$7:$J$306,$W184)&amp;"")</f>
        <v/>
      </c>
      <c r="R184" s="176">
        <f>IF($W184="","",INDEX($F$7:$F$306,$W184)&amp;"")</f>
        <v/>
      </c>
      <c r="S184" s="175">
        <f>IF($W184="","",SUMIF($U$7:$U$306,INDEX($U$7:$U$306,$W184),$K$7:$K$306))</f>
        <v/>
      </c>
      <c r="U184">
        <f>IF(OR($X184="",N($K184)=0),"",UPPER(TRIM($G184&amp;"|"&amp;$H184&amp;"|"&amp;$I184&amp;"|"&amp;$J184&amp;"|"&amp;$F184)))</f>
        <v/>
      </c>
      <c r="V184">
        <f>IF($U184="","",IF(COUNTIF($U$7:$U184,$U184)=1,MAX($V$6:$V183)+1,""))</f>
        <v/>
      </c>
      <c r="W184">
        <f>IFERROR(MATCH(178,$V$7:$V$306,0),"")</f>
        <v/>
      </c>
      <c r="X184">
        <f>IFERROR(MATCH(178,'HW Sets'!$S$7:$S$306,0),"")</f>
        <v/>
      </c>
      <c r="Y184">
        <f>IF($X184="","",INDEX('HW Sets'!$J$7:$J$306,$X184)&amp;"")</f>
        <v/>
      </c>
      <c r="Z184">
        <f>IF($Y184="","",IF(COUNTIF($Y$7:$Y184,$Y184)=1,1,""))</f>
        <v/>
      </c>
    </row>
    <row r="185">
      <c r="A185" s="175">
        <f>IF($Z185="","",$Y185)</f>
        <v/>
      </c>
      <c r="B185" s="176">
        <f>IF($Z185="","",IFERROR(INDEX('HW Sets'!$N$7:$N$306,MATCH($Y185,'HW Sets'!$M$7:$M$306,0)),""))</f>
        <v/>
      </c>
      <c r="C185" s="177">
        <f t="array" ref="C185">IF($Z185="","",_xlfn.TEXTJOIN(", ",TRUE,IF(tk_HWSET&amp;""=$Y185,tk_MARK,"")))</f>
        <v/>
      </c>
      <c r="D185" s="176">
        <f t="array" ref="D185">IF($Z185="","",SUM(IF(tk_HWSET&amp;""=$Y185,IFERROR(--tk_QTY,0),0)))</f>
        <v/>
      </c>
      <c r="E185" s="176">
        <f>IF($X185="","",IF(INDEX('HW Sets'!$C$7:$C$306,$X185)="","",INDEX('HW Sets'!$C$7:$C$306,$X185)))</f>
        <v/>
      </c>
      <c r="F185" s="176">
        <f>IF($X185="","",IF(INDEX('HW Sets'!$D$7:$D$306,$X185)="","",INDEX('HW Sets'!$D$7:$D$306,$X185)))</f>
        <v/>
      </c>
      <c r="G185" s="176">
        <f>IF($X185="","",IF(INDEX('HW Sets'!$E$7:$E$306,$X185)="","",INDEX('HW Sets'!$E$7:$E$306,$X185)))</f>
        <v/>
      </c>
      <c r="H185" s="176">
        <f>IF($X185="","",IF(INDEX('HW Sets'!$F$7:$F$306,$X185)="","",INDEX('HW Sets'!$F$7:$F$306,$X185)))</f>
        <v/>
      </c>
      <c r="I185" s="176">
        <f>IF($X185="","",IF(INDEX('HW Sets'!$G$7:$G$306,$X185)="","",INDEX('HW Sets'!$G$7:$G$306,$X185)))</f>
        <v/>
      </c>
      <c r="J185" s="176">
        <f>IF($X185="","",IF(INDEX('HW Sets'!$H$7:$H$306,$X185)="","",INDEX('HW Sets'!$H$7:$H$306,$X185)))</f>
        <v/>
      </c>
      <c r="K185" s="175">
        <f t="array" ref="K185">IF($X185="","",N($E185)*SUM(IF(tk_HWSET&amp;""=$Y185,IFERROR(--tk_QTY,0),0)))</f>
        <v/>
      </c>
      <c r="L185" s="176">
        <f>IF($X185="","",IF(INDEX('HW Sets'!$I$7:$I$306,$X185)="","",INDEX('HW Sets'!$I$7:$I$306,$X185)))</f>
        <v/>
      </c>
      <c r="N185" s="176">
        <f>IF($W185="","",INDEX($G$7:$G$306,$W185)&amp;"")</f>
        <v/>
      </c>
      <c r="O185" s="176">
        <f>IF($W185="","",INDEX($H$7:$H$306,$W185)&amp;"")</f>
        <v/>
      </c>
      <c r="P185" s="176">
        <f>IF($W185="","",INDEX($I$7:$I$306,$W185)&amp;"")</f>
        <v/>
      </c>
      <c r="Q185" s="176">
        <f>IF($W185="","",INDEX($J$7:$J$306,$W185)&amp;"")</f>
        <v/>
      </c>
      <c r="R185" s="176">
        <f>IF($W185="","",INDEX($F$7:$F$306,$W185)&amp;"")</f>
        <v/>
      </c>
      <c r="S185" s="175">
        <f>IF($W185="","",SUMIF($U$7:$U$306,INDEX($U$7:$U$306,$W185),$K$7:$K$306))</f>
        <v/>
      </c>
      <c r="U185">
        <f>IF(OR($X185="",N($K185)=0),"",UPPER(TRIM($G185&amp;"|"&amp;$H185&amp;"|"&amp;$I185&amp;"|"&amp;$J185&amp;"|"&amp;$F185)))</f>
        <v/>
      </c>
      <c r="V185">
        <f>IF($U185="","",IF(COUNTIF($U$7:$U185,$U185)=1,MAX($V$6:$V184)+1,""))</f>
        <v/>
      </c>
      <c r="W185">
        <f>IFERROR(MATCH(179,$V$7:$V$306,0),"")</f>
        <v/>
      </c>
      <c r="X185">
        <f>IFERROR(MATCH(179,'HW Sets'!$S$7:$S$306,0),"")</f>
        <v/>
      </c>
      <c r="Y185">
        <f>IF($X185="","",INDEX('HW Sets'!$J$7:$J$306,$X185)&amp;"")</f>
        <v/>
      </c>
      <c r="Z185">
        <f>IF($Y185="","",IF(COUNTIF($Y$7:$Y185,$Y185)=1,1,""))</f>
        <v/>
      </c>
    </row>
    <row r="186">
      <c r="A186" s="175">
        <f>IF($Z186="","",$Y186)</f>
        <v/>
      </c>
      <c r="B186" s="176">
        <f>IF($Z186="","",IFERROR(INDEX('HW Sets'!$N$7:$N$306,MATCH($Y186,'HW Sets'!$M$7:$M$306,0)),""))</f>
        <v/>
      </c>
      <c r="C186" s="177">
        <f t="array" ref="C186">IF($Z186="","",_xlfn.TEXTJOIN(", ",TRUE,IF(tk_HWSET&amp;""=$Y186,tk_MARK,"")))</f>
        <v/>
      </c>
      <c r="D186" s="176">
        <f t="array" ref="D186">IF($Z186="","",SUM(IF(tk_HWSET&amp;""=$Y186,IFERROR(--tk_QTY,0),0)))</f>
        <v/>
      </c>
      <c r="E186" s="176">
        <f>IF($X186="","",IF(INDEX('HW Sets'!$C$7:$C$306,$X186)="","",INDEX('HW Sets'!$C$7:$C$306,$X186)))</f>
        <v/>
      </c>
      <c r="F186" s="176">
        <f>IF($X186="","",IF(INDEX('HW Sets'!$D$7:$D$306,$X186)="","",INDEX('HW Sets'!$D$7:$D$306,$X186)))</f>
        <v/>
      </c>
      <c r="G186" s="176">
        <f>IF($X186="","",IF(INDEX('HW Sets'!$E$7:$E$306,$X186)="","",INDEX('HW Sets'!$E$7:$E$306,$X186)))</f>
        <v/>
      </c>
      <c r="H186" s="176">
        <f>IF($X186="","",IF(INDEX('HW Sets'!$F$7:$F$306,$X186)="","",INDEX('HW Sets'!$F$7:$F$306,$X186)))</f>
        <v/>
      </c>
      <c r="I186" s="176">
        <f>IF($X186="","",IF(INDEX('HW Sets'!$G$7:$G$306,$X186)="","",INDEX('HW Sets'!$G$7:$G$306,$X186)))</f>
        <v/>
      </c>
      <c r="J186" s="176">
        <f>IF($X186="","",IF(INDEX('HW Sets'!$H$7:$H$306,$X186)="","",INDEX('HW Sets'!$H$7:$H$306,$X186)))</f>
        <v/>
      </c>
      <c r="K186" s="175">
        <f t="array" ref="K186">IF($X186="","",N($E186)*SUM(IF(tk_HWSET&amp;""=$Y186,IFERROR(--tk_QTY,0),0)))</f>
        <v/>
      </c>
      <c r="L186" s="176">
        <f>IF($X186="","",IF(INDEX('HW Sets'!$I$7:$I$306,$X186)="","",INDEX('HW Sets'!$I$7:$I$306,$X186)))</f>
        <v/>
      </c>
      <c r="N186" s="176">
        <f>IF($W186="","",INDEX($G$7:$G$306,$W186)&amp;"")</f>
        <v/>
      </c>
      <c r="O186" s="176">
        <f>IF($W186="","",INDEX($H$7:$H$306,$W186)&amp;"")</f>
        <v/>
      </c>
      <c r="P186" s="176">
        <f>IF($W186="","",INDEX($I$7:$I$306,$W186)&amp;"")</f>
        <v/>
      </c>
      <c r="Q186" s="176">
        <f>IF($W186="","",INDEX($J$7:$J$306,$W186)&amp;"")</f>
        <v/>
      </c>
      <c r="R186" s="176">
        <f>IF($W186="","",INDEX($F$7:$F$306,$W186)&amp;"")</f>
        <v/>
      </c>
      <c r="S186" s="175">
        <f>IF($W186="","",SUMIF($U$7:$U$306,INDEX($U$7:$U$306,$W186),$K$7:$K$306))</f>
        <v/>
      </c>
      <c r="U186">
        <f>IF(OR($X186="",N($K186)=0),"",UPPER(TRIM($G186&amp;"|"&amp;$H186&amp;"|"&amp;$I186&amp;"|"&amp;$J186&amp;"|"&amp;$F186)))</f>
        <v/>
      </c>
      <c r="V186">
        <f>IF($U186="","",IF(COUNTIF($U$7:$U186,$U186)=1,MAX($V$6:$V185)+1,""))</f>
        <v/>
      </c>
      <c r="W186">
        <f>IFERROR(MATCH(180,$V$7:$V$306,0),"")</f>
        <v/>
      </c>
      <c r="X186">
        <f>IFERROR(MATCH(180,'HW Sets'!$S$7:$S$306,0),"")</f>
        <v/>
      </c>
      <c r="Y186">
        <f>IF($X186="","",INDEX('HW Sets'!$J$7:$J$306,$X186)&amp;"")</f>
        <v/>
      </c>
      <c r="Z186">
        <f>IF($Y186="","",IF(COUNTIF($Y$7:$Y186,$Y186)=1,1,""))</f>
        <v/>
      </c>
    </row>
    <row r="187">
      <c r="A187" s="175">
        <f>IF($Z187="","",$Y187)</f>
        <v/>
      </c>
      <c r="B187" s="176">
        <f>IF($Z187="","",IFERROR(INDEX('HW Sets'!$N$7:$N$306,MATCH($Y187,'HW Sets'!$M$7:$M$306,0)),""))</f>
        <v/>
      </c>
      <c r="C187" s="177">
        <f t="array" ref="C187">IF($Z187="","",_xlfn.TEXTJOIN(", ",TRUE,IF(tk_HWSET&amp;""=$Y187,tk_MARK,"")))</f>
        <v/>
      </c>
      <c r="D187" s="176">
        <f t="array" ref="D187">IF($Z187="","",SUM(IF(tk_HWSET&amp;""=$Y187,IFERROR(--tk_QTY,0),0)))</f>
        <v/>
      </c>
      <c r="E187" s="176">
        <f>IF($X187="","",IF(INDEX('HW Sets'!$C$7:$C$306,$X187)="","",INDEX('HW Sets'!$C$7:$C$306,$X187)))</f>
        <v/>
      </c>
      <c r="F187" s="176">
        <f>IF($X187="","",IF(INDEX('HW Sets'!$D$7:$D$306,$X187)="","",INDEX('HW Sets'!$D$7:$D$306,$X187)))</f>
        <v/>
      </c>
      <c r="G187" s="176">
        <f>IF($X187="","",IF(INDEX('HW Sets'!$E$7:$E$306,$X187)="","",INDEX('HW Sets'!$E$7:$E$306,$X187)))</f>
        <v/>
      </c>
      <c r="H187" s="176">
        <f>IF($X187="","",IF(INDEX('HW Sets'!$F$7:$F$306,$X187)="","",INDEX('HW Sets'!$F$7:$F$306,$X187)))</f>
        <v/>
      </c>
      <c r="I187" s="176">
        <f>IF($X187="","",IF(INDEX('HW Sets'!$G$7:$G$306,$X187)="","",INDEX('HW Sets'!$G$7:$G$306,$X187)))</f>
        <v/>
      </c>
      <c r="J187" s="176">
        <f>IF($X187="","",IF(INDEX('HW Sets'!$H$7:$H$306,$X187)="","",INDEX('HW Sets'!$H$7:$H$306,$X187)))</f>
        <v/>
      </c>
      <c r="K187" s="175">
        <f t="array" ref="K187">IF($X187="","",N($E187)*SUM(IF(tk_HWSET&amp;""=$Y187,IFERROR(--tk_QTY,0),0)))</f>
        <v/>
      </c>
      <c r="L187" s="176">
        <f>IF($X187="","",IF(INDEX('HW Sets'!$I$7:$I$306,$X187)="","",INDEX('HW Sets'!$I$7:$I$306,$X187)))</f>
        <v/>
      </c>
      <c r="N187" s="176">
        <f>IF($W187="","",INDEX($G$7:$G$306,$W187)&amp;"")</f>
        <v/>
      </c>
      <c r="O187" s="176">
        <f>IF($W187="","",INDEX($H$7:$H$306,$W187)&amp;"")</f>
        <v/>
      </c>
      <c r="P187" s="176">
        <f>IF($W187="","",INDEX($I$7:$I$306,$W187)&amp;"")</f>
        <v/>
      </c>
      <c r="Q187" s="176">
        <f>IF($W187="","",INDEX($J$7:$J$306,$W187)&amp;"")</f>
        <v/>
      </c>
      <c r="R187" s="176">
        <f>IF($W187="","",INDEX($F$7:$F$306,$W187)&amp;"")</f>
        <v/>
      </c>
      <c r="S187" s="175">
        <f>IF($W187="","",SUMIF($U$7:$U$306,INDEX($U$7:$U$306,$W187),$K$7:$K$306))</f>
        <v/>
      </c>
      <c r="U187">
        <f>IF(OR($X187="",N($K187)=0),"",UPPER(TRIM($G187&amp;"|"&amp;$H187&amp;"|"&amp;$I187&amp;"|"&amp;$J187&amp;"|"&amp;$F187)))</f>
        <v/>
      </c>
      <c r="V187">
        <f>IF($U187="","",IF(COUNTIF($U$7:$U187,$U187)=1,MAX($V$6:$V186)+1,""))</f>
        <v/>
      </c>
      <c r="W187">
        <f>IFERROR(MATCH(181,$V$7:$V$306,0),"")</f>
        <v/>
      </c>
      <c r="X187">
        <f>IFERROR(MATCH(181,'HW Sets'!$S$7:$S$306,0),"")</f>
        <v/>
      </c>
      <c r="Y187">
        <f>IF($X187="","",INDEX('HW Sets'!$J$7:$J$306,$X187)&amp;"")</f>
        <v/>
      </c>
      <c r="Z187">
        <f>IF($Y187="","",IF(COUNTIF($Y$7:$Y187,$Y187)=1,1,""))</f>
        <v/>
      </c>
    </row>
    <row r="188">
      <c r="A188" s="175">
        <f>IF($Z188="","",$Y188)</f>
        <v/>
      </c>
      <c r="B188" s="176">
        <f>IF($Z188="","",IFERROR(INDEX('HW Sets'!$N$7:$N$306,MATCH($Y188,'HW Sets'!$M$7:$M$306,0)),""))</f>
        <v/>
      </c>
      <c r="C188" s="177">
        <f t="array" ref="C188">IF($Z188="","",_xlfn.TEXTJOIN(", ",TRUE,IF(tk_HWSET&amp;""=$Y188,tk_MARK,"")))</f>
        <v/>
      </c>
      <c r="D188" s="176">
        <f t="array" ref="D188">IF($Z188="","",SUM(IF(tk_HWSET&amp;""=$Y188,IFERROR(--tk_QTY,0),0)))</f>
        <v/>
      </c>
      <c r="E188" s="176">
        <f>IF($X188="","",IF(INDEX('HW Sets'!$C$7:$C$306,$X188)="","",INDEX('HW Sets'!$C$7:$C$306,$X188)))</f>
        <v/>
      </c>
      <c r="F188" s="176">
        <f>IF($X188="","",IF(INDEX('HW Sets'!$D$7:$D$306,$X188)="","",INDEX('HW Sets'!$D$7:$D$306,$X188)))</f>
        <v/>
      </c>
      <c r="G188" s="176">
        <f>IF($X188="","",IF(INDEX('HW Sets'!$E$7:$E$306,$X188)="","",INDEX('HW Sets'!$E$7:$E$306,$X188)))</f>
        <v/>
      </c>
      <c r="H188" s="176">
        <f>IF($X188="","",IF(INDEX('HW Sets'!$F$7:$F$306,$X188)="","",INDEX('HW Sets'!$F$7:$F$306,$X188)))</f>
        <v/>
      </c>
      <c r="I188" s="176">
        <f>IF($X188="","",IF(INDEX('HW Sets'!$G$7:$G$306,$X188)="","",INDEX('HW Sets'!$G$7:$G$306,$X188)))</f>
        <v/>
      </c>
      <c r="J188" s="176">
        <f>IF($X188="","",IF(INDEX('HW Sets'!$H$7:$H$306,$X188)="","",INDEX('HW Sets'!$H$7:$H$306,$X188)))</f>
        <v/>
      </c>
      <c r="K188" s="175">
        <f t="array" ref="K188">IF($X188="","",N($E188)*SUM(IF(tk_HWSET&amp;""=$Y188,IFERROR(--tk_QTY,0),0)))</f>
        <v/>
      </c>
      <c r="L188" s="176">
        <f>IF($X188="","",IF(INDEX('HW Sets'!$I$7:$I$306,$X188)="","",INDEX('HW Sets'!$I$7:$I$306,$X188)))</f>
        <v/>
      </c>
      <c r="N188" s="176">
        <f>IF($W188="","",INDEX($G$7:$G$306,$W188)&amp;"")</f>
        <v/>
      </c>
      <c r="O188" s="176">
        <f>IF($W188="","",INDEX($H$7:$H$306,$W188)&amp;"")</f>
        <v/>
      </c>
      <c r="P188" s="176">
        <f>IF($W188="","",INDEX($I$7:$I$306,$W188)&amp;"")</f>
        <v/>
      </c>
      <c r="Q188" s="176">
        <f>IF($W188="","",INDEX($J$7:$J$306,$W188)&amp;"")</f>
        <v/>
      </c>
      <c r="R188" s="176">
        <f>IF($W188="","",INDEX($F$7:$F$306,$W188)&amp;"")</f>
        <v/>
      </c>
      <c r="S188" s="175">
        <f>IF($W188="","",SUMIF($U$7:$U$306,INDEX($U$7:$U$306,$W188),$K$7:$K$306))</f>
        <v/>
      </c>
      <c r="U188">
        <f>IF(OR($X188="",N($K188)=0),"",UPPER(TRIM($G188&amp;"|"&amp;$H188&amp;"|"&amp;$I188&amp;"|"&amp;$J188&amp;"|"&amp;$F188)))</f>
        <v/>
      </c>
      <c r="V188">
        <f>IF($U188="","",IF(COUNTIF($U$7:$U188,$U188)=1,MAX($V$6:$V187)+1,""))</f>
        <v/>
      </c>
      <c r="W188">
        <f>IFERROR(MATCH(182,$V$7:$V$306,0),"")</f>
        <v/>
      </c>
      <c r="X188">
        <f>IFERROR(MATCH(182,'HW Sets'!$S$7:$S$306,0),"")</f>
        <v/>
      </c>
      <c r="Y188">
        <f>IF($X188="","",INDEX('HW Sets'!$J$7:$J$306,$X188)&amp;"")</f>
        <v/>
      </c>
      <c r="Z188">
        <f>IF($Y188="","",IF(COUNTIF($Y$7:$Y188,$Y188)=1,1,""))</f>
        <v/>
      </c>
    </row>
    <row r="189">
      <c r="A189" s="175">
        <f>IF($Z189="","",$Y189)</f>
        <v/>
      </c>
      <c r="B189" s="176">
        <f>IF($Z189="","",IFERROR(INDEX('HW Sets'!$N$7:$N$306,MATCH($Y189,'HW Sets'!$M$7:$M$306,0)),""))</f>
        <v/>
      </c>
      <c r="C189" s="177">
        <f t="array" ref="C189">IF($Z189="","",_xlfn.TEXTJOIN(", ",TRUE,IF(tk_HWSET&amp;""=$Y189,tk_MARK,"")))</f>
        <v/>
      </c>
      <c r="D189" s="176">
        <f t="array" ref="D189">IF($Z189="","",SUM(IF(tk_HWSET&amp;""=$Y189,IFERROR(--tk_QTY,0),0)))</f>
        <v/>
      </c>
      <c r="E189" s="176">
        <f>IF($X189="","",IF(INDEX('HW Sets'!$C$7:$C$306,$X189)="","",INDEX('HW Sets'!$C$7:$C$306,$X189)))</f>
        <v/>
      </c>
      <c r="F189" s="176">
        <f>IF($X189="","",IF(INDEX('HW Sets'!$D$7:$D$306,$X189)="","",INDEX('HW Sets'!$D$7:$D$306,$X189)))</f>
        <v/>
      </c>
      <c r="G189" s="176">
        <f>IF($X189="","",IF(INDEX('HW Sets'!$E$7:$E$306,$X189)="","",INDEX('HW Sets'!$E$7:$E$306,$X189)))</f>
        <v/>
      </c>
      <c r="H189" s="176">
        <f>IF($X189="","",IF(INDEX('HW Sets'!$F$7:$F$306,$X189)="","",INDEX('HW Sets'!$F$7:$F$306,$X189)))</f>
        <v/>
      </c>
      <c r="I189" s="176">
        <f>IF($X189="","",IF(INDEX('HW Sets'!$G$7:$G$306,$X189)="","",INDEX('HW Sets'!$G$7:$G$306,$X189)))</f>
        <v/>
      </c>
      <c r="J189" s="176">
        <f>IF($X189="","",IF(INDEX('HW Sets'!$H$7:$H$306,$X189)="","",INDEX('HW Sets'!$H$7:$H$306,$X189)))</f>
        <v/>
      </c>
      <c r="K189" s="175">
        <f t="array" ref="K189">IF($X189="","",N($E189)*SUM(IF(tk_HWSET&amp;""=$Y189,IFERROR(--tk_QTY,0),0)))</f>
        <v/>
      </c>
      <c r="L189" s="176">
        <f>IF($X189="","",IF(INDEX('HW Sets'!$I$7:$I$306,$X189)="","",INDEX('HW Sets'!$I$7:$I$306,$X189)))</f>
        <v/>
      </c>
      <c r="N189" s="176">
        <f>IF($W189="","",INDEX($G$7:$G$306,$W189)&amp;"")</f>
        <v/>
      </c>
      <c r="O189" s="176">
        <f>IF($W189="","",INDEX($H$7:$H$306,$W189)&amp;"")</f>
        <v/>
      </c>
      <c r="P189" s="176">
        <f>IF($W189="","",INDEX($I$7:$I$306,$W189)&amp;"")</f>
        <v/>
      </c>
      <c r="Q189" s="176">
        <f>IF($W189="","",INDEX($J$7:$J$306,$W189)&amp;"")</f>
        <v/>
      </c>
      <c r="R189" s="176">
        <f>IF($W189="","",INDEX($F$7:$F$306,$W189)&amp;"")</f>
        <v/>
      </c>
      <c r="S189" s="175">
        <f>IF($W189="","",SUMIF($U$7:$U$306,INDEX($U$7:$U$306,$W189),$K$7:$K$306))</f>
        <v/>
      </c>
      <c r="U189">
        <f>IF(OR($X189="",N($K189)=0),"",UPPER(TRIM($G189&amp;"|"&amp;$H189&amp;"|"&amp;$I189&amp;"|"&amp;$J189&amp;"|"&amp;$F189)))</f>
        <v/>
      </c>
      <c r="V189">
        <f>IF($U189="","",IF(COUNTIF($U$7:$U189,$U189)=1,MAX($V$6:$V188)+1,""))</f>
        <v/>
      </c>
      <c r="W189">
        <f>IFERROR(MATCH(183,$V$7:$V$306,0),"")</f>
        <v/>
      </c>
      <c r="X189">
        <f>IFERROR(MATCH(183,'HW Sets'!$S$7:$S$306,0),"")</f>
        <v/>
      </c>
      <c r="Y189">
        <f>IF($X189="","",INDEX('HW Sets'!$J$7:$J$306,$X189)&amp;"")</f>
        <v/>
      </c>
      <c r="Z189">
        <f>IF($Y189="","",IF(COUNTIF($Y$7:$Y189,$Y189)=1,1,""))</f>
        <v/>
      </c>
    </row>
    <row r="190">
      <c r="A190" s="175">
        <f>IF($Z190="","",$Y190)</f>
        <v/>
      </c>
      <c r="B190" s="176">
        <f>IF($Z190="","",IFERROR(INDEX('HW Sets'!$N$7:$N$306,MATCH($Y190,'HW Sets'!$M$7:$M$306,0)),""))</f>
        <v/>
      </c>
      <c r="C190" s="177">
        <f t="array" ref="C190">IF($Z190="","",_xlfn.TEXTJOIN(", ",TRUE,IF(tk_HWSET&amp;""=$Y190,tk_MARK,"")))</f>
        <v/>
      </c>
      <c r="D190" s="176">
        <f t="array" ref="D190">IF($Z190="","",SUM(IF(tk_HWSET&amp;""=$Y190,IFERROR(--tk_QTY,0),0)))</f>
        <v/>
      </c>
      <c r="E190" s="176">
        <f>IF($X190="","",IF(INDEX('HW Sets'!$C$7:$C$306,$X190)="","",INDEX('HW Sets'!$C$7:$C$306,$X190)))</f>
        <v/>
      </c>
      <c r="F190" s="176">
        <f>IF($X190="","",IF(INDEX('HW Sets'!$D$7:$D$306,$X190)="","",INDEX('HW Sets'!$D$7:$D$306,$X190)))</f>
        <v/>
      </c>
      <c r="G190" s="176">
        <f>IF($X190="","",IF(INDEX('HW Sets'!$E$7:$E$306,$X190)="","",INDEX('HW Sets'!$E$7:$E$306,$X190)))</f>
        <v/>
      </c>
      <c r="H190" s="176">
        <f>IF($X190="","",IF(INDEX('HW Sets'!$F$7:$F$306,$X190)="","",INDEX('HW Sets'!$F$7:$F$306,$X190)))</f>
        <v/>
      </c>
      <c r="I190" s="176">
        <f>IF($X190="","",IF(INDEX('HW Sets'!$G$7:$G$306,$X190)="","",INDEX('HW Sets'!$G$7:$G$306,$X190)))</f>
        <v/>
      </c>
      <c r="J190" s="176">
        <f>IF($X190="","",IF(INDEX('HW Sets'!$H$7:$H$306,$X190)="","",INDEX('HW Sets'!$H$7:$H$306,$X190)))</f>
        <v/>
      </c>
      <c r="K190" s="175">
        <f t="array" ref="K190">IF($X190="","",N($E190)*SUM(IF(tk_HWSET&amp;""=$Y190,IFERROR(--tk_QTY,0),0)))</f>
        <v/>
      </c>
      <c r="L190" s="176">
        <f>IF($X190="","",IF(INDEX('HW Sets'!$I$7:$I$306,$X190)="","",INDEX('HW Sets'!$I$7:$I$306,$X190)))</f>
        <v/>
      </c>
      <c r="N190" s="176">
        <f>IF($W190="","",INDEX($G$7:$G$306,$W190)&amp;"")</f>
        <v/>
      </c>
      <c r="O190" s="176">
        <f>IF($W190="","",INDEX($H$7:$H$306,$W190)&amp;"")</f>
        <v/>
      </c>
      <c r="P190" s="176">
        <f>IF($W190="","",INDEX($I$7:$I$306,$W190)&amp;"")</f>
        <v/>
      </c>
      <c r="Q190" s="176">
        <f>IF($W190="","",INDEX($J$7:$J$306,$W190)&amp;"")</f>
        <v/>
      </c>
      <c r="R190" s="176">
        <f>IF($W190="","",INDEX($F$7:$F$306,$W190)&amp;"")</f>
        <v/>
      </c>
      <c r="S190" s="175">
        <f>IF($W190="","",SUMIF($U$7:$U$306,INDEX($U$7:$U$306,$W190),$K$7:$K$306))</f>
        <v/>
      </c>
      <c r="U190">
        <f>IF(OR($X190="",N($K190)=0),"",UPPER(TRIM($G190&amp;"|"&amp;$H190&amp;"|"&amp;$I190&amp;"|"&amp;$J190&amp;"|"&amp;$F190)))</f>
        <v/>
      </c>
      <c r="V190">
        <f>IF($U190="","",IF(COUNTIF($U$7:$U190,$U190)=1,MAX($V$6:$V189)+1,""))</f>
        <v/>
      </c>
      <c r="W190">
        <f>IFERROR(MATCH(184,$V$7:$V$306,0),"")</f>
        <v/>
      </c>
      <c r="X190">
        <f>IFERROR(MATCH(184,'HW Sets'!$S$7:$S$306,0),"")</f>
        <v/>
      </c>
      <c r="Y190">
        <f>IF($X190="","",INDEX('HW Sets'!$J$7:$J$306,$X190)&amp;"")</f>
        <v/>
      </c>
      <c r="Z190">
        <f>IF($Y190="","",IF(COUNTIF($Y$7:$Y190,$Y190)=1,1,""))</f>
        <v/>
      </c>
    </row>
    <row r="191">
      <c r="A191" s="175">
        <f>IF($Z191="","",$Y191)</f>
        <v/>
      </c>
      <c r="B191" s="176">
        <f>IF($Z191="","",IFERROR(INDEX('HW Sets'!$N$7:$N$306,MATCH($Y191,'HW Sets'!$M$7:$M$306,0)),""))</f>
        <v/>
      </c>
      <c r="C191" s="177">
        <f t="array" ref="C191">IF($Z191="","",_xlfn.TEXTJOIN(", ",TRUE,IF(tk_HWSET&amp;""=$Y191,tk_MARK,"")))</f>
        <v/>
      </c>
      <c r="D191" s="176">
        <f t="array" ref="D191">IF($Z191="","",SUM(IF(tk_HWSET&amp;""=$Y191,IFERROR(--tk_QTY,0),0)))</f>
        <v/>
      </c>
      <c r="E191" s="176">
        <f>IF($X191="","",IF(INDEX('HW Sets'!$C$7:$C$306,$X191)="","",INDEX('HW Sets'!$C$7:$C$306,$X191)))</f>
        <v/>
      </c>
      <c r="F191" s="176">
        <f>IF($X191="","",IF(INDEX('HW Sets'!$D$7:$D$306,$X191)="","",INDEX('HW Sets'!$D$7:$D$306,$X191)))</f>
        <v/>
      </c>
      <c r="G191" s="176">
        <f>IF($X191="","",IF(INDEX('HW Sets'!$E$7:$E$306,$X191)="","",INDEX('HW Sets'!$E$7:$E$306,$X191)))</f>
        <v/>
      </c>
      <c r="H191" s="176">
        <f>IF($X191="","",IF(INDEX('HW Sets'!$F$7:$F$306,$X191)="","",INDEX('HW Sets'!$F$7:$F$306,$X191)))</f>
        <v/>
      </c>
      <c r="I191" s="176">
        <f>IF($X191="","",IF(INDEX('HW Sets'!$G$7:$G$306,$X191)="","",INDEX('HW Sets'!$G$7:$G$306,$X191)))</f>
        <v/>
      </c>
      <c r="J191" s="176">
        <f>IF($X191="","",IF(INDEX('HW Sets'!$H$7:$H$306,$X191)="","",INDEX('HW Sets'!$H$7:$H$306,$X191)))</f>
        <v/>
      </c>
      <c r="K191" s="175">
        <f t="array" ref="K191">IF($X191="","",N($E191)*SUM(IF(tk_HWSET&amp;""=$Y191,IFERROR(--tk_QTY,0),0)))</f>
        <v/>
      </c>
      <c r="L191" s="176">
        <f>IF($X191="","",IF(INDEX('HW Sets'!$I$7:$I$306,$X191)="","",INDEX('HW Sets'!$I$7:$I$306,$X191)))</f>
        <v/>
      </c>
      <c r="N191" s="176">
        <f>IF($W191="","",INDEX($G$7:$G$306,$W191)&amp;"")</f>
        <v/>
      </c>
      <c r="O191" s="176">
        <f>IF($W191="","",INDEX($H$7:$H$306,$W191)&amp;"")</f>
        <v/>
      </c>
      <c r="P191" s="176">
        <f>IF($W191="","",INDEX($I$7:$I$306,$W191)&amp;"")</f>
        <v/>
      </c>
      <c r="Q191" s="176">
        <f>IF($W191="","",INDEX($J$7:$J$306,$W191)&amp;"")</f>
        <v/>
      </c>
      <c r="R191" s="176">
        <f>IF($W191="","",INDEX($F$7:$F$306,$W191)&amp;"")</f>
        <v/>
      </c>
      <c r="S191" s="175">
        <f>IF($W191="","",SUMIF($U$7:$U$306,INDEX($U$7:$U$306,$W191),$K$7:$K$306))</f>
        <v/>
      </c>
      <c r="U191">
        <f>IF(OR($X191="",N($K191)=0),"",UPPER(TRIM($G191&amp;"|"&amp;$H191&amp;"|"&amp;$I191&amp;"|"&amp;$J191&amp;"|"&amp;$F191)))</f>
        <v/>
      </c>
      <c r="V191">
        <f>IF($U191="","",IF(COUNTIF($U$7:$U191,$U191)=1,MAX($V$6:$V190)+1,""))</f>
        <v/>
      </c>
      <c r="W191">
        <f>IFERROR(MATCH(185,$V$7:$V$306,0),"")</f>
        <v/>
      </c>
      <c r="X191">
        <f>IFERROR(MATCH(185,'HW Sets'!$S$7:$S$306,0),"")</f>
        <v/>
      </c>
      <c r="Y191">
        <f>IF($X191="","",INDEX('HW Sets'!$J$7:$J$306,$X191)&amp;"")</f>
        <v/>
      </c>
      <c r="Z191">
        <f>IF($Y191="","",IF(COUNTIF($Y$7:$Y191,$Y191)=1,1,""))</f>
        <v/>
      </c>
    </row>
    <row r="192">
      <c r="A192" s="175">
        <f>IF($Z192="","",$Y192)</f>
        <v/>
      </c>
      <c r="B192" s="176">
        <f>IF($Z192="","",IFERROR(INDEX('HW Sets'!$N$7:$N$306,MATCH($Y192,'HW Sets'!$M$7:$M$306,0)),""))</f>
        <v/>
      </c>
      <c r="C192" s="177">
        <f t="array" ref="C192">IF($Z192="","",_xlfn.TEXTJOIN(", ",TRUE,IF(tk_HWSET&amp;""=$Y192,tk_MARK,"")))</f>
        <v/>
      </c>
      <c r="D192" s="176">
        <f t="array" ref="D192">IF($Z192="","",SUM(IF(tk_HWSET&amp;""=$Y192,IFERROR(--tk_QTY,0),0)))</f>
        <v/>
      </c>
      <c r="E192" s="176">
        <f>IF($X192="","",IF(INDEX('HW Sets'!$C$7:$C$306,$X192)="","",INDEX('HW Sets'!$C$7:$C$306,$X192)))</f>
        <v/>
      </c>
      <c r="F192" s="176">
        <f>IF($X192="","",IF(INDEX('HW Sets'!$D$7:$D$306,$X192)="","",INDEX('HW Sets'!$D$7:$D$306,$X192)))</f>
        <v/>
      </c>
      <c r="G192" s="176">
        <f>IF($X192="","",IF(INDEX('HW Sets'!$E$7:$E$306,$X192)="","",INDEX('HW Sets'!$E$7:$E$306,$X192)))</f>
        <v/>
      </c>
      <c r="H192" s="176">
        <f>IF($X192="","",IF(INDEX('HW Sets'!$F$7:$F$306,$X192)="","",INDEX('HW Sets'!$F$7:$F$306,$X192)))</f>
        <v/>
      </c>
      <c r="I192" s="176">
        <f>IF($X192="","",IF(INDEX('HW Sets'!$G$7:$G$306,$X192)="","",INDEX('HW Sets'!$G$7:$G$306,$X192)))</f>
        <v/>
      </c>
      <c r="J192" s="176">
        <f>IF($X192="","",IF(INDEX('HW Sets'!$H$7:$H$306,$X192)="","",INDEX('HW Sets'!$H$7:$H$306,$X192)))</f>
        <v/>
      </c>
      <c r="K192" s="175">
        <f t="array" ref="K192">IF($X192="","",N($E192)*SUM(IF(tk_HWSET&amp;""=$Y192,IFERROR(--tk_QTY,0),0)))</f>
        <v/>
      </c>
      <c r="L192" s="176">
        <f>IF($X192="","",IF(INDEX('HW Sets'!$I$7:$I$306,$X192)="","",INDEX('HW Sets'!$I$7:$I$306,$X192)))</f>
        <v/>
      </c>
      <c r="N192" s="176">
        <f>IF($W192="","",INDEX($G$7:$G$306,$W192)&amp;"")</f>
        <v/>
      </c>
      <c r="O192" s="176">
        <f>IF($W192="","",INDEX($H$7:$H$306,$W192)&amp;"")</f>
        <v/>
      </c>
      <c r="P192" s="176">
        <f>IF($W192="","",INDEX($I$7:$I$306,$W192)&amp;"")</f>
        <v/>
      </c>
      <c r="Q192" s="176">
        <f>IF($W192="","",INDEX($J$7:$J$306,$W192)&amp;"")</f>
        <v/>
      </c>
      <c r="R192" s="176">
        <f>IF($W192="","",INDEX($F$7:$F$306,$W192)&amp;"")</f>
        <v/>
      </c>
      <c r="S192" s="175">
        <f>IF($W192="","",SUMIF($U$7:$U$306,INDEX($U$7:$U$306,$W192),$K$7:$K$306))</f>
        <v/>
      </c>
      <c r="U192">
        <f>IF(OR($X192="",N($K192)=0),"",UPPER(TRIM($G192&amp;"|"&amp;$H192&amp;"|"&amp;$I192&amp;"|"&amp;$J192&amp;"|"&amp;$F192)))</f>
        <v/>
      </c>
      <c r="V192">
        <f>IF($U192="","",IF(COUNTIF($U$7:$U192,$U192)=1,MAX($V$6:$V191)+1,""))</f>
        <v/>
      </c>
      <c r="W192">
        <f>IFERROR(MATCH(186,$V$7:$V$306,0),"")</f>
        <v/>
      </c>
      <c r="X192">
        <f>IFERROR(MATCH(186,'HW Sets'!$S$7:$S$306,0),"")</f>
        <v/>
      </c>
      <c r="Y192">
        <f>IF($X192="","",INDEX('HW Sets'!$J$7:$J$306,$X192)&amp;"")</f>
        <v/>
      </c>
      <c r="Z192">
        <f>IF($Y192="","",IF(COUNTIF($Y$7:$Y192,$Y192)=1,1,""))</f>
        <v/>
      </c>
    </row>
    <row r="193">
      <c r="A193" s="175">
        <f>IF($Z193="","",$Y193)</f>
        <v/>
      </c>
      <c r="B193" s="176">
        <f>IF($Z193="","",IFERROR(INDEX('HW Sets'!$N$7:$N$306,MATCH($Y193,'HW Sets'!$M$7:$M$306,0)),""))</f>
        <v/>
      </c>
      <c r="C193" s="177">
        <f t="array" ref="C193">IF($Z193="","",_xlfn.TEXTJOIN(", ",TRUE,IF(tk_HWSET&amp;""=$Y193,tk_MARK,"")))</f>
        <v/>
      </c>
      <c r="D193" s="176">
        <f t="array" ref="D193">IF($Z193="","",SUM(IF(tk_HWSET&amp;""=$Y193,IFERROR(--tk_QTY,0),0)))</f>
        <v/>
      </c>
      <c r="E193" s="176">
        <f>IF($X193="","",IF(INDEX('HW Sets'!$C$7:$C$306,$X193)="","",INDEX('HW Sets'!$C$7:$C$306,$X193)))</f>
        <v/>
      </c>
      <c r="F193" s="176">
        <f>IF($X193="","",IF(INDEX('HW Sets'!$D$7:$D$306,$X193)="","",INDEX('HW Sets'!$D$7:$D$306,$X193)))</f>
        <v/>
      </c>
      <c r="G193" s="176">
        <f>IF($X193="","",IF(INDEX('HW Sets'!$E$7:$E$306,$X193)="","",INDEX('HW Sets'!$E$7:$E$306,$X193)))</f>
        <v/>
      </c>
      <c r="H193" s="176">
        <f>IF($X193="","",IF(INDEX('HW Sets'!$F$7:$F$306,$X193)="","",INDEX('HW Sets'!$F$7:$F$306,$X193)))</f>
        <v/>
      </c>
      <c r="I193" s="176">
        <f>IF($X193="","",IF(INDEX('HW Sets'!$G$7:$G$306,$X193)="","",INDEX('HW Sets'!$G$7:$G$306,$X193)))</f>
        <v/>
      </c>
      <c r="J193" s="176">
        <f>IF($X193="","",IF(INDEX('HW Sets'!$H$7:$H$306,$X193)="","",INDEX('HW Sets'!$H$7:$H$306,$X193)))</f>
        <v/>
      </c>
      <c r="K193" s="175">
        <f t="array" ref="K193">IF($X193="","",N($E193)*SUM(IF(tk_HWSET&amp;""=$Y193,IFERROR(--tk_QTY,0),0)))</f>
        <v/>
      </c>
      <c r="L193" s="176">
        <f>IF($X193="","",IF(INDEX('HW Sets'!$I$7:$I$306,$X193)="","",INDEX('HW Sets'!$I$7:$I$306,$X193)))</f>
        <v/>
      </c>
      <c r="N193" s="176">
        <f>IF($W193="","",INDEX($G$7:$G$306,$W193)&amp;"")</f>
        <v/>
      </c>
      <c r="O193" s="176">
        <f>IF($W193="","",INDEX($H$7:$H$306,$W193)&amp;"")</f>
        <v/>
      </c>
      <c r="P193" s="176">
        <f>IF($W193="","",INDEX($I$7:$I$306,$W193)&amp;"")</f>
        <v/>
      </c>
      <c r="Q193" s="176">
        <f>IF($W193="","",INDEX($J$7:$J$306,$W193)&amp;"")</f>
        <v/>
      </c>
      <c r="R193" s="176">
        <f>IF($W193="","",INDEX($F$7:$F$306,$W193)&amp;"")</f>
        <v/>
      </c>
      <c r="S193" s="175">
        <f>IF($W193="","",SUMIF($U$7:$U$306,INDEX($U$7:$U$306,$W193),$K$7:$K$306))</f>
        <v/>
      </c>
      <c r="U193">
        <f>IF(OR($X193="",N($K193)=0),"",UPPER(TRIM($G193&amp;"|"&amp;$H193&amp;"|"&amp;$I193&amp;"|"&amp;$J193&amp;"|"&amp;$F193)))</f>
        <v/>
      </c>
      <c r="V193">
        <f>IF($U193="","",IF(COUNTIF($U$7:$U193,$U193)=1,MAX($V$6:$V192)+1,""))</f>
        <v/>
      </c>
      <c r="W193">
        <f>IFERROR(MATCH(187,$V$7:$V$306,0),"")</f>
        <v/>
      </c>
      <c r="X193">
        <f>IFERROR(MATCH(187,'HW Sets'!$S$7:$S$306,0),"")</f>
        <v/>
      </c>
      <c r="Y193">
        <f>IF($X193="","",INDEX('HW Sets'!$J$7:$J$306,$X193)&amp;"")</f>
        <v/>
      </c>
      <c r="Z193">
        <f>IF($Y193="","",IF(COUNTIF($Y$7:$Y193,$Y193)=1,1,""))</f>
        <v/>
      </c>
    </row>
    <row r="194">
      <c r="A194" s="175">
        <f>IF($Z194="","",$Y194)</f>
        <v/>
      </c>
      <c r="B194" s="176">
        <f>IF($Z194="","",IFERROR(INDEX('HW Sets'!$N$7:$N$306,MATCH($Y194,'HW Sets'!$M$7:$M$306,0)),""))</f>
        <v/>
      </c>
      <c r="C194" s="177">
        <f t="array" ref="C194">IF($Z194="","",_xlfn.TEXTJOIN(", ",TRUE,IF(tk_HWSET&amp;""=$Y194,tk_MARK,"")))</f>
        <v/>
      </c>
      <c r="D194" s="176">
        <f t="array" ref="D194">IF($Z194="","",SUM(IF(tk_HWSET&amp;""=$Y194,IFERROR(--tk_QTY,0),0)))</f>
        <v/>
      </c>
      <c r="E194" s="176">
        <f>IF($X194="","",IF(INDEX('HW Sets'!$C$7:$C$306,$X194)="","",INDEX('HW Sets'!$C$7:$C$306,$X194)))</f>
        <v/>
      </c>
      <c r="F194" s="176">
        <f>IF($X194="","",IF(INDEX('HW Sets'!$D$7:$D$306,$X194)="","",INDEX('HW Sets'!$D$7:$D$306,$X194)))</f>
        <v/>
      </c>
      <c r="G194" s="176">
        <f>IF($X194="","",IF(INDEX('HW Sets'!$E$7:$E$306,$X194)="","",INDEX('HW Sets'!$E$7:$E$306,$X194)))</f>
        <v/>
      </c>
      <c r="H194" s="176">
        <f>IF($X194="","",IF(INDEX('HW Sets'!$F$7:$F$306,$X194)="","",INDEX('HW Sets'!$F$7:$F$306,$X194)))</f>
        <v/>
      </c>
      <c r="I194" s="176">
        <f>IF($X194="","",IF(INDEX('HW Sets'!$G$7:$G$306,$X194)="","",INDEX('HW Sets'!$G$7:$G$306,$X194)))</f>
        <v/>
      </c>
      <c r="J194" s="176">
        <f>IF($X194="","",IF(INDEX('HW Sets'!$H$7:$H$306,$X194)="","",INDEX('HW Sets'!$H$7:$H$306,$X194)))</f>
        <v/>
      </c>
      <c r="K194" s="175">
        <f t="array" ref="K194">IF($X194="","",N($E194)*SUM(IF(tk_HWSET&amp;""=$Y194,IFERROR(--tk_QTY,0),0)))</f>
        <v/>
      </c>
      <c r="L194" s="176">
        <f>IF($X194="","",IF(INDEX('HW Sets'!$I$7:$I$306,$X194)="","",INDEX('HW Sets'!$I$7:$I$306,$X194)))</f>
        <v/>
      </c>
      <c r="N194" s="176">
        <f>IF($W194="","",INDEX($G$7:$G$306,$W194)&amp;"")</f>
        <v/>
      </c>
      <c r="O194" s="176">
        <f>IF($W194="","",INDEX($H$7:$H$306,$W194)&amp;"")</f>
        <v/>
      </c>
      <c r="P194" s="176">
        <f>IF($W194="","",INDEX($I$7:$I$306,$W194)&amp;"")</f>
        <v/>
      </c>
      <c r="Q194" s="176">
        <f>IF($W194="","",INDEX($J$7:$J$306,$W194)&amp;"")</f>
        <v/>
      </c>
      <c r="R194" s="176">
        <f>IF($W194="","",INDEX($F$7:$F$306,$W194)&amp;"")</f>
        <v/>
      </c>
      <c r="S194" s="175">
        <f>IF($W194="","",SUMIF($U$7:$U$306,INDEX($U$7:$U$306,$W194),$K$7:$K$306))</f>
        <v/>
      </c>
      <c r="U194">
        <f>IF(OR($X194="",N($K194)=0),"",UPPER(TRIM($G194&amp;"|"&amp;$H194&amp;"|"&amp;$I194&amp;"|"&amp;$J194&amp;"|"&amp;$F194)))</f>
        <v/>
      </c>
      <c r="V194">
        <f>IF($U194="","",IF(COUNTIF($U$7:$U194,$U194)=1,MAX($V$6:$V193)+1,""))</f>
        <v/>
      </c>
      <c r="W194">
        <f>IFERROR(MATCH(188,$V$7:$V$306,0),"")</f>
        <v/>
      </c>
      <c r="X194">
        <f>IFERROR(MATCH(188,'HW Sets'!$S$7:$S$306,0),"")</f>
        <v/>
      </c>
      <c r="Y194">
        <f>IF($X194="","",INDEX('HW Sets'!$J$7:$J$306,$X194)&amp;"")</f>
        <v/>
      </c>
      <c r="Z194">
        <f>IF($Y194="","",IF(COUNTIF($Y$7:$Y194,$Y194)=1,1,""))</f>
        <v/>
      </c>
    </row>
    <row r="195">
      <c r="A195" s="175">
        <f>IF($Z195="","",$Y195)</f>
        <v/>
      </c>
      <c r="B195" s="176">
        <f>IF($Z195="","",IFERROR(INDEX('HW Sets'!$N$7:$N$306,MATCH($Y195,'HW Sets'!$M$7:$M$306,0)),""))</f>
        <v/>
      </c>
      <c r="C195" s="177">
        <f t="array" ref="C195">IF($Z195="","",_xlfn.TEXTJOIN(", ",TRUE,IF(tk_HWSET&amp;""=$Y195,tk_MARK,"")))</f>
        <v/>
      </c>
      <c r="D195" s="176">
        <f t="array" ref="D195">IF($Z195="","",SUM(IF(tk_HWSET&amp;""=$Y195,IFERROR(--tk_QTY,0),0)))</f>
        <v/>
      </c>
      <c r="E195" s="176">
        <f>IF($X195="","",IF(INDEX('HW Sets'!$C$7:$C$306,$X195)="","",INDEX('HW Sets'!$C$7:$C$306,$X195)))</f>
        <v/>
      </c>
      <c r="F195" s="176">
        <f>IF($X195="","",IF(INDEX('HW Sets'!$D$7:$D$306,$X195)="","",INDEX('HW Sets'!$D$7:$D$306,$X195)))</f>
        <v/>
      </c>
      <c r="G195" s="176">
        <f>IF($X195="","",IF(INDEX('HW Sets'!$E$7:$E$306,$X195)="","",INDEX('HW Sets'!$E$7:$E$306,$X195)))</f>
        <v/>
      </c>
      <c r="H195" s="176">
        <f>IF($X195="","",IF(INDEX('HW Sets'!$F$7:$F$306,$X195)="","",INDEX('HW Sets'!$F$7:$F$306,$X195)))</f>
        <v/>
      </c>
      <c r="I195" s="176">
        <f>IF($X195="","",IF(INDEX('HW Sets'!$G$7:$G$306,$X195)="","",INDEX('HW Sets'!$G$7:$G$306,$X195)))</f>
        <v/>
      </c>
      <c r="J195" s="176">
        <f>IF($X195="","",IF(INDEX('HW Sets'!$H$7:$H$306,$X195)="","",INDEX('HW Sets'!$H$7:$H$306,$X195)))</f>
        <v/>
      </c>
      <c r="K195" s="175">
        <f t="array" ref="K195">IF($X195="","",N($E195)*SUM(IF(tk_HWSET&amp;""=$Y195,IFERROR(--tk_QTY,0),0)))</f>
        <v/>
      </c>
      <c r="L195" s="176">
        <f>IF($X195="","",IF(INDEX('HW Sets'!$I$7:$I$306,$X195)="","",INDEX('HW Sets'!$I$7:$I$306,$X195)))</f>
        <v/>
      </c>
      <c r="N195" s="176">
        <f>IF($W195="","",INDEX($G$7:$G$306,$W195)&amp;"")</f>
        <v/>
      </c>
      <c r="O195" s="176">
        <f>IF($W195="","",INDEX($H$7:$H$306,$W195)&amp;"")</f>
        <v/>
      </c>
      <c r="P195" s="176">
        <f>IF($W195="","",INDEX($I$7:$I$306,$W195)&amp;"")</f>
        <v/>
      </c>
      <c r="Q195" s="176">
        <f>IF($W195="","",INDEX($J$7:$J$306,$W195)&amp;"")</f>
        <v/>
      </c>
      <c r="R195" s="176">
        <f>IF($W195="","",INDEX($F$7:$F$306,$W195)&amp;"")</f>
        <v/>
      </c>
      <c r="S195" s="175">
        <f>IF($W195="","",SUMIF($U$7:$U$306,INDEX($U$7:$U$306,$W195),$K$7:$K$306))</f>
        <v/>
      </c>
      <c r="U195">
        <f>IF(OR($X195="",N($K195)=0),"",UPPER(TRIM($G195&amp;"|"&amp;$H195&amp;"|"&amp;$I195&amp;"|"&amp;$J195&amp;"|"&amp;$F195)))</f>
        <v/>
      </c>
      <c r="V195">
        <f>IF($U195="","",IF(COUNTIF($U$7:$U195,$U195)=1,MAX($V$6:$V194)+1,""))</f>
        <v/>
      </c>
      <c r="W195">
        <f>IFERROR(MATCH(189,$V$7:$V$306,0),"")</f>
        <v/>
      </c>
      <c r="X195">
        <f>IFERROR(MATCH(189,'HW Sets'!$S$7:$S$306,0),"")</f>
        <v/>
      </c>
      <c r="Y195">
        <f>IF($X195="","",INDEX('HW Sets'!$J$7:$J$306,$X195)&amp;"")</f>
        <v/>
      </c>
      <c r="Z195">
        <f>IF($Y195="","",IF(COUNTIF($Y$7:$Y195,$Y195)=1,1,""))</f>
        <v/>
      </c>
    </row>
    <row r="196">
      <c r="A196" s="175">
        <f>IF($Z196="","",$Y196)</f>
        <v/>
      </c>
      <c r="B196" s="176">
        <f>IF($Z196="","",IFERROR(INDEX('HW Sets'!$N$7:$N$306,MATCH($Y196,'HW Sets'!$M$7:$M$306,0)),""))</f>
        <v/>
      </c>
      <c r="C196" s="177">
        <f t="array" ref="C196">IF($Z196="","",_xlfn.TEXTJOIN(", ",TRUE,IF(tk_HWSET&amp;""=$Y196,tk_MARK,"")))</f>
        <v/>
      </c>
      <c r="D196" s="176">
        <f t="array" ref="D196">IF($Z196="","",SUM(IF(tk_HWSET&amp;""=$Y196,IFERROR(--tk_QTY,0),0)))</f>
        <v/>
      </c>
      <c r="E196" s="176">
        <f>IF($X196="","",IF(INDEX('HW Sets'!$C$7:$C$306,$X196)="","",INDEX('HW Sets'!$C$7:$C$306,$X196)))</f>
        <v/>
      </c>
      <c r="F196" s="176">
        <f>IF($X196="","",IF(INDEX('HW Sets'!$D$7:$D$306,$X196)="","",INDEX('HW Sets'!$D$7:$D$306,$X196)))</f>
        <v/>
      </c>
      <c r="G196" s="176">
        <f>IF($X196="","",IF(INDEX('HW Sets'!$E$7:$E$306,$X196)="","",INDEX('HW Sets'!$E$7:$E$306,$X196)))</f>
        <v/>
      </c>
      <c r="H196" s="176">
        <f>IF($X196="","",IF(INDEX('HW Sets'!$F$7:$F$306,$X196)="","",INDEX('HW Sets'!$F$7:$F$306,$X196)))</f>
        <v/>
      </c>
      <c r="I196" s="176">
        <f>IF($X196="","",IF(INDEX('HW Sets'!$G$7:$G$306,$X196)="","",INDEX('HW Sets'!$G$7:$G$306,$X196)))</f>
        <v/>
      </c>
      <c r="J196" s="176">
        <f>IF($X196="","",IF(INDEX('HW Sets'!$H$7:$H$306,$X196)="","",INDEX('HW Sets'!$H$7:$H$306,$X196)))</f>
        <v/>
      </c>
      <c r="K196" s="175">
        <f t="array" ref="K196">IF($X196="","",N($E196)*SUM(IF(tk_HWSET&amp;""=$Y196,IFERROR(--tk_QTY,0),0)))</f>
        <v/>
      </c>
      <c r="L196" s="176">
        <f>IF($X196="","",IF(INDEX('HW Sets'!$I$7:$I$306,$X196)="","",INDEX('HW Sets'!$I$7:$I$306,$X196)))</f>
        <v/>
      </c>
      <c r="N196" s="176">
        <f>IF($W196="","",INDEX($G$7:$G$306,$W196)&amp;"")</f>
        <v/>
      </c>
      <c r="O196" s="176">
        <f>IF($W196="","",INDEX($H$7:$H$306,$W196)&amp;"")</f>
        <v/>
      </c>
      <c r="P196" s="176">
        <f>IF($W196="","",INDEX($I$7:$I$306,$W196)&amp;"")</f>
        <v/>
      </c>
      <c r="Q196" s="176">
        <f>IF($W196="","",INDEX($J$7:$J$306,$W196)&amp;"")</f>
        <v/>
      </c>
      <c r="R196" s="176">
        <f>IF($W196="","",INDEX($F$7:$F$306,$W196)&amp;"")</f>
        <v/>
      </c>
      <c r="S196" s="175">
        <f>IF($W196="","",SUMIF($U$7:$U$306,INDEX($U$7:$U$306,$W196),$K$7:$K$306))</f>
        <v/>
      </c>
      <c r="U196">
        <f>IF(OR($X196="",N($K196)=0),"",UPPER(TRIM($G196&amp;"|"&amp;$H196&amp;"|"&amp;$I196&amp;"|"&amp;$J196&amp;"|"&amp;$F196)))</f>
        <v/>
      </c>
      <c r="V196">
        <f>IF($U196="","",IF(COUNTIF($U$7:$U196,$U196)=1,MAX($V$6:$V195)+1,""))</f>
        <v/>
      </c>
      <c r="W196">
        <f>IFERROR(MATCH(190,$V$7:$V$306,0),"")</f>
        <v/>
      </c>
      <c r="X196">
        <f>IFERROR(MATCH(190,'HW Sets'!$S$7:$S$306,0),"")</f>
        <v/>
      </c>
      <c r="Y196">
        <f>IF($X196="","",INDEX('HW Sets'!$J$7:$J$306,$X196)&amp;"")</f>
        <v/>
      </c>
      <c r="Z196">
        <f>IF($Y196="","",IF(COUNTIF($Y$7:$Y196,$Y196)=1,1,""))</f>
        <v/>
      </c>
    </row>
    <row r="197">
      <c r="A197" s="175">
        <f>IF($Z197="","",$Y197)</f>
        <v/>
      </c>
      <c r="B197" s="176">
        <f>IF($Z197="","",IFERROR(INDEX('HW Sets'!$N$7:$N$306,MATCH($Y197,'HW Sets'!$M$7:$M$306,0)),""))</f>
        <v/>
      </c>
      <c r="C197" s="177">
        <f t="array" ref="C197">IF($Z197="","",_xlfn.TEXTJOIN(", ",TRUE,IF(tk_HWSET&amp;""=$Y197,tk_MARK,"")))</f>
        <v/>
      </c>
      <c r="D197" s="176">
        <f t="array" ref="D197">IF($Z197="","",SUM(IF(tk_HWSET&amp;""=$Y197,IFERROR(--tk_QTY,0),0)))</f>
        <v/>
      </c>
      <c r="E197" s="176">
        <f>IF($X197="","",IF(INDEX('HW Sets'!$C$7:$C$306,$X197)="","",INDEX('HW Sets'!$C$7:$C$306,$X197)))</f>
        <v/>
      </c>
      <c r="F197" s="176">
        <f>IF($X197="","",IF(INDEX('HW Sets'!$D$7:$D$306,$X197)="","",INDEX('HW Sets'!$D$7:$D$306,$X197)))</f>
        <v/>
      </c>
      <c r="G197" s="176">
        <f>IF($X197="","",IF(INDEX('HW Sets'!$E$7:$E$306,$X197)="","",INDEX('HW Sets'!$E$7:$E$306,$X197)))</f>
        <v/>
      </c>
      <c r="H197" s="176">
        <f>IF($X197="","",IF(INDEX('HW Sets'!$F$7:$F$306,$X197)="","",INDEX('HW Sets'!$F$7:$F$306,$X197)))</f>
        <v/>
      </c>
      <c r="I197" s="176">
        <f>IF($X197="","",IF(INDEX('HW Sets'!$G$7:$G$306,$X197)="","",INDEX('HW Sets'!$G$7:$G$306,$X197)))</f>
        <v/>
      </c>
      <c r="J197" s="176">
        <f>IF($X197="","",IF(INDEX('HW Sets'!$H$7:$H$306,$X197)="","",INDEX('HW Sets'!$H$7:$H$306,$X197)))</f>
        <v/>
      </c>
      <c r="K197" s="175">
        <f t="array" ref="K197">IF($X197="","",N($E197)*SUM(IF(tk_HWSET&amp;""=$Y197,IFERROR(--tk_QTY,0),0)))</f>
        <v/>
      </c>
      <c r="L197" s="176">
        <f>IF($X197="","",IF(INDEX('HW Sets'!$I$7:$I$306,$X197)="","",INDEX('HW Sets'!$I$7:$I$306,$X197)))</f>
        <v/>
      </c>
      <c r="N197" s="176">
        <f>IF($W197="","",INDEX($G$7:$G$306,$W197)&amp;"")</f>
        <v/>
      </c>
      <c r="O197" s="176">
        <f>IF($W197="","",INDEX($H$7:$H$306,$W197)&amp;"")</f>
        <v/>
      </c>
      <c r="P197" s="176">
        <f>IF($W197="","",INDEX($I$7:$I$306,$W197)&amp;"")</f>
        <v/>
      </c>
      <c r="Q197" s="176">
        <f>IF($W197="","",INDEX($J$7:$J$306,$W197)&amp;"")</f>
        <v/>
      </c>
      <c r="R197" s="176">
        <f>IF($W197="","",INDEX($F$7:$F$306,$W197)&amp;"")</f>
        <v/>
      </c>
      <c r="S197" s="175">
        <f>IF($W197="","",SUMIF($U$7:$U$306,INDEX($U$7:$U$306,$W197),$K$7:$K$306))</f>
        <v/>
      </c>
      <c r="U197">
        <f>IF(OR($X197="",N($K197)=0),"",UPPER(TRIM($G197&amp;"|"&amp;$H197&amp;"|"&amp;$I197&amp;"|"&amp;$J197&amp;"|"&amp;$F197)))</f>
        <v/>
      </c>
      <c r="V197">
        <f>IF($U197="","",IF(COUNTIF($U$7:$U197,$U197)=1,MAX($V$6:$V196)+1,""))</f>
        <v/>
      </c>
      <c r="W197">
        <f>IFERROR(MATCH(191,$V$7:$V$306,0),"")</f>
        <v/>
      </c>
      <c r="X197">
        <f>IFERROR(MATCH(191,'HW Sets'!$S$7:$S$306,0),"")</f>
        <v/>
      </c>
      <c r="Y197">
        <f>IF($X197="","",INDEX('HW Sets'!$J$7:$J$306,$X197)&amp;"")</f>
        <v/>
      </c>
      <c r="Z197">
        <f>IF($Y197="","",IF(COUNTIF($Y$7:$Y197,$Y197)=1,1,""))</f>
        <v/>
      </c>
    </row>
    <row r="198">
      <c r="A198" s="175">
        <f>IF($Z198="","",$Y198)</f>
        <v/>
      </c>
      <c r="B198" s="176">
        <f>IF($Z198="","",IFERROR(INDEX('HW Sets'!$N$7:$N$306,MATCH($Y198,'HW Sets'!$M$7:$M$306,0)),""))</f>
        <v/>
      </c>
      <c r="C198" s="177">
        <f t="array" ref="C198">IF($Z198="","",_xlfn.TEXTJOIN(", ",TRUE,IF(tk_HWSET&amp;""=$Y198,tk_MARK,"")))</f>
        <v/>
      </c>
      <c r="D198" s="176">
        <f t="array" ref="D198">IF($Z198="","",SUM(IF(tk_HWSET&amp;""=$Y198,IFERROR(--tk_QTY,0),0)))</f>
        <v/>
      </c>
      <c r="E198" s="176">
        <f>IF($X198="","",IF(INDEX('HW Sets'!$C$7:$C$306,$X198)="","",INDEX('HW Sets'!$C$7:$C$306,$X198)))</f>
        <v/>
      </c>
      <c r="F198" s="176">
        <f>IF($X198="","",IF(INDEX('HW Sets'!$D$7:$D$306,$X198)="","",INDEX('HW Sets'!$D$7:$D$306,$X198)))</f>
        <v/>
      </c>
      <c r="G198" s="176">
        <f>IF($X198="","",IF(INDEX('HW Sets'!$E$7:$E$306,$X198)="","",INDEX('HW Sets'!$E$7:$E$306,$X198)))</f>
        <v/>
      </c>
      <c r="H198" s="176">
        <f>IF($X198="","",IF(INDEX('HW Sets'!$F$7:$F$306,$X198)="","",INDEX('HW Sets'!$F$7:$F$306,$X198)))</f>
        <v/>
      </c>
      <c r="I198" s="176">
        <f>IF($X198="","",IF(INDEX('HW Sets'!$G$7:$G$306,$X198)="","",INDEX('HW Sets'!$G$7:$G$306,$X198)))</f>
        <v/>
      </c>
      <c r="J198" s="176">
        <f>IF($X198="","",IF(INDEX('HW Sets'!$H$7:$H$306,$X198)="","",INDEX('HW Sets'!$H$7:$H$306,$X198)))</f>
        <v/>
      </c>
      <c r="K198" s="175">
        <f t="array" ref="K198">IF($X198="","",N($E198)*SUM(IF(tk_HWSET&amp;""=$Y198,IFERROR(--tk_QTY,0),0)))</f>
        <v/>
      </c>
      <c r="L198" s="176">
        <f>IF($X198="","",IF(INDEX('HW Sets'!$I$7:$I$306,$X198)="","",INDEX('HW Sets'!$I$7:$I$306,$X198)))</f>
        <v/>
      </c>
      <c r="N198" s="176">
        <f>IF($W198="","",INDEX($G$7:$G$306,$W198)&amp;"")</f>
        <v/>
      </c>
      <c r="O198" s="176">
        <f>IF($W198="","",INDEX($H$7:$H$306,$W198)&amp;"")</f>
        <v/>
      </c>
      <c r="P198" s="176">
        <f>IF($W198="","",INDEX($I$7:$I$306,$W198)&amp;"")</f>
        <v/>
      </c>
      <c r="Q198" s="176">
        <f>IF($W198="","",INDEX($J$7:$J$306,$W198)&amp;"")</f>
        <v/>
      </c>
      <c r="R198" s="176">
        <f>IF($W198="","",INDEX($F$7:$F$306,$W198)&amp;"")</f>
        <v/>
      </c>
      <c r="S198" s="175">
        <f>IF($W198="","",SUMIF($U$7:$U$306,INDEX($U$7:$U$306,$W198),$K$7:$K$306))</f>
        <v/>
      </c>
      <c r="U198">
        <f>IF(OR($X198="",N($K198)=0),"",UPPER(TRIM($G198&amp;"|"&amp;$H198&amp;"|"&amp;$I198&amp;"|"&amp;$J198&amp;"|"&amp;$F198)))</f>
        <v/>
      </c>
      <c r="V198">
        <f>IF($U198="","",IF(COUNTIF($U$7:$U198,$U198)=1,MAX($V$6:$V197)+1,""))</f>
        <v/>
      </c>
      <c r="W198">
        <f>IFERROR(MATCH(192,$V$7:$V$306,0),"")</f>
        <v/>
      </c>
      <c r="X198">
        <f>IFERROR(MATCH(192,'HW Sets'!$S$7:$S$306,0),"")</f>
        <v/>
      </c>
      <c r="Y198">
        <f>IF($X198="","",INDEX('HW Sets'!$J$7:$J$306,$X198)&amp;"")</f>
        <v/>
      </c>
      <c r="Z198">
        <f>IF($Y198="","",IF(COUNTIF($Y$7:$Y198,$Y198)=1,1,""))</f>
        <v/>
      </c>
    </row>
    <row r="199">
      <c r="A199" s="175">
        <f>IF($Z199="","",$Y199)</f>
        <v/>
      </c>
      <c r="B199" s="176">
        <f>IF($Z199="","",IFERROR(INDEX('HW Sets'!$N$7:$N$306,MATCH($Y199,'HW Sets'!$M$7:$M$306,0)),""))</f>
        <v/>
      </c>
      <c r="C199" s="177">
        <f t="array" ref="C199">IF($Z199="","",_xlfn.TEXTJOIN(", ",TRUE,IF(tk_HWSET&amp;""=$Y199,tk_MARK,"")))</f>
        <v/>
      </c>
      <c r="D199" s="176">
        <f t="array" ref="D199">IF($Z199="","",SUM(IF(tk_HWSET&amp;""=$Y199,IFERROR(--tk_QTY,0),0)))</f>
        <v/>
      </c>
      <c r="E199" s="176">
        <f>IF($X199="","",IF(INDEX('HW Sets'!$C$7:$C$306,$X199)="","",INDEX('HW Sets'!$C$7:$C$306,$X199)))</f>
        <v/>
      </c>
      <c r="F199" s="176">
        <f>IF($X199="","",IF(INDEX('HW Sets'!$D$7:$D$306,$X199)="","",INDEX('HW Sets'!$D$7:$D$306,$X199)))</f>
        <v/>
      </c>
      <c r="G199" s="176">
        <f>IF($X199="","",IF(INDEX('HW Sets'!$E$7:$E$306,$X199)="","",INDEX('HW Sets'!$E$7:$E$306,$X199)))</f>
        <v/>
      </c>
      <c r="H199" s="176">
        <f>IF($X199="","",IF(INDEX('HW Sets'!$F$7:$F$306,$X199)="","",INDEX('HW Sets'!$F$7:$F$306,$X199)))</f>
        <v/>
      </c>
      <c r="I199" s="176">
        <f>IF($X199="","",IF(INDEX('HW Sets'!$G$7:$G$306,$X199)="","",INDEX('HW Sets'!$G$7:$G$306,$X199)))</f>
        <v/>
      </c>
      <c r="J199" s="176">
        <f>IF($X199="","",IF(INDEX('HW Sets'!$H$7:$H$306,$X199)="","",INDEX('HW Sets'!$H$7:$H$306,$X199)))</f>
        <v/>
      </c>
      <c r="K199" s="175">
        <f t="array" ref="K199">IF($X199="","",N($E199)*SUM(IF(tk_HWSET&amp;""=$Y199,IFERROR(--tk_QTY,0),0)))</f>
        <v/>
      </c>
      <c r="L199" s="176">
        <f>IF($X199="","",IF(INDEX('HW Sets'!$I$7:$I$306,$X199)="","",INDEX('HW Sets'!$I$7:$I$306,$X199)))</f>
        <v/>
      </c>
      <c r="N199" s="176">
        <f>IF($W199="","",INDEX($G$7:$G$306,$W199)&amp;"")</f>
        <v/>
      </c>
      <c r="O199" s="176">
        <f>IF($W199="","",INDEX($H$7:$H$306,$W199)&amp;"")</f>
        <v/>
      </c>
      <c r="P199" s="176">
        <f>IF($W199="","",INDEX($I$7:$I$306,$W199)&amp;"")</f>
        <v/>
      </c>
      <c r="Q199" s="176">
        <f>IF($W199="","",INDEX($J$7:$J$306,$W199)&amp;"")</f>
        <v/>
      </c>
      <c r="R199" s="176">
        <f>IF($W199="","",INDEX($F$7:$F$306,$W199)&amp;"")</f>
        <v/>
      </c>
      <c r="S199" s="175">
        <f>IF($W199="","",SUMIF($U$7:$U$306,INDEX($U$7:$U$306,$W199),$K$7:$K$306))</f>
        <v/>
      </c>
      <c r="U199">
        <f>IF(OR($X199="",N($K199)=0),"",UPPER(TRIM($G199&amp;"|"&amp;$H199&amp;"|"&amp;$I199&amp;"|"&amp;$J199&amp;"|"&amp;$F199)))</f>
        <v/>
      </c>
      <c r="V199">
        <f>IF($U199="","",IF(COUNTIF($U$7:$U199,$U199)=1,MAX($V$6:$V198)+1,""))</f>
        <v/>
      </c>
      <c r="W199">
        <f>IFERROR(MATCH(193,$V$7:$V$306,0),"")</f>
        <v/>
      </c>
      <c r="X199">
        <f>IFERROR(MATCH(193,'HW Sets'!$S$7:$S$306,0),"")</f>
        <v/>
      </c>
      <c r="Y199">
        <f>IF($X199="","",INDEX('HW Sets'!$J$7:$J$306,$X199)&amp;"")</f>
        <v/>
      </c>
      <c r="Z199">
        <f>IF($Y199="","",IF(COUNTIF($Y$7:$Y199,$Y199)=1,1,""))</f>
        <v/>
      </c>
    </row>
    <row r="200">
      <c r="A200" s="175">
        <f>IF($Z200="","",$Y200)</f>
        <v/>
      </c>
      <c r="B200" s="176">
        <f>IF($Z200="","",IFERROR(INDEX('HW Sets'!$N$7:$N$306,MATCH($Y200,'HW Sets'!$M$7:$M$306,0)),""))</f>
        <v/>
      </c>
      <c r="C200" s="177">
        <f t="array" ref="C200">IF($Z200="","",_xlfn.TEXTJOIN(", ",TRUE,IF(tk_HWSET&amp;""=$Y200,tk_MARK,"")))</f>
        <v/>
      </c>
      <c r="D200" s="176">
        <f t="array" ref="D200">IF($Z200="","",SUM(IF(tk_HWSET&amp;""=$Y200,IFERROR(--tk_QTY,0),0)))</f>
        <v/>
      </c>
      <c r="E200" s="176">
        <f>IF($X200="","",IF(INDEX('HW Sets'!$C$7:$C$306,$X200)="","",INDEX('HW Sets'!$C$7:$C$306,$X200)))</f>
        <v/>
      </c>
      <c r="F200" s="176">
        <f>IF($X200="","",IF(INDEX('HW Sets'!$D$7:$D$306,$X200)="","",INDEX('HW Sets'!$D$7:$D$306,$X200)))</f>
        <v/>
      </c>
      <c r="G200" s="176">
        <f>IF($X200="","",IF(INDEX('HW Sets'!$E$7:$E$306,$X200)="","",INDEX('HW Sets'!$E$7:$E$306,$X200)))</f>
        <v/>
      </c>
      <c r="H200" s="176">
        <f>IF($X200="","",IF(INDEX('HW Sets'!$F$7:$F$306,$X200)="","",INDEX('HW Sets'!$F$7:$F$306,$X200)))</f>
        <v/>
      </c>
      <c r="I200" s="176">
        <f>IF($X200="","",IF(INDEX('HW Sets'!$G$7:$G$306,$X200)="","",INDEX('HW Sets'!$G$7:$G$306,$X200)))</f>
        <v/>
      </c>
      <c r="J200" s="176">
        <f>IF($X200="","",IF(INDEX('HW Sets'!$H$7:$H$306,$X200)="","",INDEX('HW Sets'!$H$7:$H$306,$X200)))</f>
        <v/>
      </c>
      <c r="K200" s="175">
        <f t="array" ref="K200">IF($X200="","",N($E200)*SUM(IF(tk_HWSET&amp;""=$Y200,IFERROR(--tk_QTY,0),0)))</f>
        <v/>
      </c>
      <c r="L200" s="176">
        <f>IF($X200="","",IF(INDEX('HW Sets'!$I$7:$I$306,$X200)="","",INDEX('HW Sets'!$I$7:$I$306,$X200)))</f>
        <v/>
      </c>
      <c r="N200" s="176">
        <f>IF($W200="","",INDEX($G$7:$G$306,$W200)&amp;"")</f>
        <v/>
      </c>
      <c r="O200" s="176">
        <f>IF($W200="","",INDEX($H$7:$H$306,$W200)&amp;"")</f>
        <v/>
      </c>
      <c r="P200" s="176">
        <f>IF($W200="","",INDEX($I$7:$I$306,$W200)&amp;"")</f>
        <v/>
      </c>
      <c r="Q200" s="176">
        <f>IF($W200="","",INDEX($J$7:$J$306,$W200)&amp;"")</f>
        <v/>
      </c>
      <c r="R200" s="176">
        <f>IF($W200="","",INDEX($F$7:$F$306,$W200)&amp;"")</f>
        <v/>
      </c>
      <c r="S200" s="175">
        <f>IF($W200="","",SUMIF($U$7:$U$306,INDEX($U$7:$U$306,$W200),$K$7:$K$306))</f>
        <v/>
      </c>
      <c r="U200">
        <f>IF(OR($X200="",N($K200)=0),"",UPPER(TRIM($G200&amp;"|"&amp;$H200&amp;"|"&amp;$I200&amp;"|"&amp;$J200&amp;"|"&amp;$F200)))</f>
        <v/>
      </c>
      <c r="V200">
        <f>IF($U200="","",IF(COUNTIF($U$7:$U200,$U200)=1,MAX($V$6:$V199)+1,""))</f>
        <v/>
      </c>
      <c r="W200">
        <f>IFERROR(MATCH(194,$V$7:$V$306,0),"")</f>
        <v/>
      </c>
      <c r="X200">
        <f>IFERROR(MATCH(194,'HW Sets'!$S$7:$S$306,0),"")</f>
        <v/>
      </c>
      <c r="Y200">
        <f>IF($X200="","",INDEX('HW Sets'!$J$7:$J$306,$X200)&amp;"")</f>
        <v/>
      </c>
      <c r="Z200">
        <f>IF($Y200="","",IF(COUNTIF($Y$7:$Y200,$Y200)=1,1,""))</f>
        <v/>
      </c>
    </row>
    <row r="201">
      <c r="A201" s="175">
        <f>IF($Z201="","",$Y201)</f>
        <v/>
      </c>
      <c r="B201" s="176">
        <f>IF($Z201="","",IFERROR(INDEX('HW Sets'!$N$7:$N$306,MATCH($Y201,'HW Sets'!$M$7:$M$306,0)),""))</f>
        <v/>
      </c>
      <c r="C201" s="177">
        <f t="array" ref="C201">IF($Z201="","",_xlfn.TEXTJOIN(", ",TRUE,IF(tk_HWSET&amp;""=$Y201,tk_MARK,"")))</f>
        <v/>
      </c>
      <c r="D201" s="176">
        <f t="array" ref="D201">IF($Z201="","",SUM(IF(tk_HWSET&amp;""=$Y201,IFERROR(--tk_QTY,0),0)))</f>
        <v/>
      </c>
      <c r="E201" s="176">
        <f>IF($X201="","",IF(INDEX('HW Sets'!$C$7:$C$306,$X201)="","",INDEX('HW Sets'!$C$7:$C$306,$X201)))</f>
        <v/>
      </c>
      <c r="F201" s="176">
        <f>IF($X201="","",IF(INDEX('HW Sets'!$D$7:$D$306,$X201)="","",INDEX('HW Sets'!$D$7:$D$306,$X201)))</f>
        <v/>
      </c>
      <c r="G201" s="176">
        <f>IF($X201="","",IF(INDEX('HW Sets'!$E$7:$E$306,$X201)="","",INDEX('HW Sets'!$E$7:$E$306,$X201)))</f>
        <v/>
      </c>
      <c r="H201" s="176">
        <f>IF($X201="","",IF(INDEX('HW Sets'!$F$7:$F$306,$X201)="","",INDEX('HW Sets'!$F$7:$F$306,$X201)))</f>
        <v/>
      </c>
      <c r="I201" s="176">
        <f>IF($X201="","",IF(INDEX('HW Sets'!$G$7:$G$306,$X201)="","",INDEX('HW Sets'!$G$7:$G$306,$X201)))</f>
        <v/>
      </c>
      <c r="J201" s="176">
        <f>IF($X201="","",IF(INDEX('HW Sets'!$H$7:$H$306,$X201)="","",INDEX('HW Sets'!$H$7:$H$306,$X201)))</f>
        <v/>
      </c>
      <c r="K201" s="175">
        <f t="array" ref="K201">IF($X201="","",N($E201)*SUM(IF(tk_HWSET&amp;""=$Y201,IFERROR(--tk_QTY,0),0)))</f>
        <v/>
      </c>
      <c r="L201" s="176">
        <f>IF($X201="","",IF(INDEX('HW Sets'!$I$7:$I$306,$X201)="","",INDEX('HW Sets'!$I$7:$I$306,$X201)))</f>
        <v/>
      </c>
      <c r="N201" s="176">
        <f>IF($W201="","",INDEX($G$7:$G$306,$W201)&amp;"")</f>
        <v/>
      </c>
      <c r="O201" s="176">
        <f>IF($W201="","",INDEX($H$7:$H$306,$W201)&amp;"")</f>
        <v/>
      </c>
      <c r="P201" s="176">
        <f>IF($W201="","",INDEX($I$7:$I$306,$W201)&amp;"")</f>
        <v/>
      </c>
      <c r="Q201" s="176">
        <f>IF($W201="","",INDEX($J$7:$J$306,$W201)&amp;"")</f>
        <v/>
      </c>
      <c r="R201" s="176">
        <f>IF($W201="","",INDEX($F$7:$F$306,$W201)&amp;"")</f>
        <v/>
      </c>
      <c r="S201" s="175">
        <f>IF($W201="","",SUMIF($U$7:$U$306,INDEX($U$7:$U$306,$W201),$K$7:$K$306))</f>
        <v/>
      </c>
      <c r="U201">
        <f>IF(OR($X201="",N($K201)=0),"",UPPER(TRIM($G201&amp;"|"&amp;$H201&amp;"|"&amp;$I201&amp;"|"&amp;$J201&amp;"|"&amp;$F201)))</f>
        <v/>
      </c>
      <c r="V201">
        <f>IF($U201="","",IF(COUNTIF($U$7:$U201,$U201)=1,MAX($V$6:$V200)+1,""))</f>
        <v/>
      </c>
      <c r="W201">
        <f>IFERROR(MATCH(195,$V$7:$V$306,0),"")</f>
        <v/>
      </c>
      <c r="X201">
        <f>IFERROR(MATCH(195,'HW Sets'!$S$7:$S$306,0),"")</f>
        <v/>
      </c>
      <c r="Y201">
        <f>IF($X201="","",INDEX('HW Sets'!$J$7:$J$306,$X201)&amp;"")</f>
        <v/>
      </c>
      <c r="Z201">
        <f>IF($Y201="","",IF(COUNTIF($Y$7:$Y201,$Y201)=1,1,""))</f>
        <v/>
      </c>
    </row>
    <row r="202">
      <c r="A202" s="175">
        <f>IF($Z202="","",$Y202)</f>
        <v/>
      </c>
      <c r="B202" s="176">
        <f>IF($Z202="","",IFERROR(INDEX('HW Sets'!$N$7:$N$306,MATCH($Y202,'HW Sets'!$M$7:$M$306,0)),""))</f>
        <v/>
      </c>
      <c r="C202" s="177">
        <f t="array" ref="C202">IF($Z202="","",_xlfn.TEXTJOIN(", ",TRUE,IF(tk_HWSET&amp;""=$Y202,tk_MARK,"")))</f>
        <v/>
      </c>
      <c r="D202" s="176">
        <f t="array" ref="D202">IF($Z202="","",SUM(IF(tk_HWSET&amp;""=$Y202,IFERROR(--tk_QTY,0),0)))</f>
        <v/>
      </c>
      <c r="E202" s="176">
        <f>IF($X202="","",IF(INDEX('HW Sets'!$C$7:$C$306,$X202)="","",INDEX('HW Sets'!$C$7:$C$306,$X202)))</f>
        <v/>
      </c>
      <c r="F202" s="176">
        <f>IF($X202="","",IF(INDEX('HW Sets'!$D$7:$D$306,$X202)="","",INDEX('HW Sets'!$D$7:$D$306,$X202)))</f>
        <v/>
      </c>
      <c r="G202" s="176">
        <f>IF($X202="","",IF(INDEX('HW Sets'!$E$7:$E$306,$X202)="","",INDEX('HW Sets'!$E$7:$E$306,$X202)))</f>
        <v/>
      </c>
      <c r="H202" s="176">
        <f>IF($X202="","",IF(INDEX('HW Sets'!$F$7:$F$306,$X202)="","",INDEX('HW Sets'!$F$7:$F$306,$X202)))</f>
        <v/>
      </c>
      <c r="I202" s="176">
        <f>IF($X202="","",IF(INDEX('HW Sets'!$G$7:$G$306,$X202)="","",INDEX('HW Sets'!$G$7:$G$306,$X202)))</f>
        <v/>
      </c>
      <c r="J202" s="176">
        <f>IF($X202="","",IF(INDEX('HW Sets'!$H$7:$H$306,$X202)="","",INDEX('HW Sets'!$H$7:$H$306,$X202)))</f>
        <v/>
      </c>
      <c r="K202" s="175">
        <f t="array" ref="K202">IF($X202="","",N($E202)*SUM(IF(tk_HWSET&amp;""=$Y202,IFERROR(--tk_QTY,0),0)))</f>
        <v/>
      </c>
      <c r="L202" s="176">
        <f>IF($X202="","",IF(INDEX('HW Sets'!$I$7:$I$306,$X202)="","",INDEX('HW Sets'!$I$7:$I$306,$X202)))</f>
        <v/>
      </c>
      <c r="N202" s="176">
        <f>IF($W202="","",INDEX($G$7:$G$306,$W202)&amp;"")</f>
        <v/>
      </c>
      <c r="O202" s="176">
        <f>IF($W202="","",INDEX($H$7:$H$306,$W202)&amp;"")</f>
        <v/>
      </c>
      <c r="P202" s="176">
        <f>IF($W202="","",INDEX($I$7:$I$306,$W202)&amp;"")</f>
        <v/>
      </c>
      <c r="Q202" s="176">
        <f>IF($W202="","",INDEX($J$7:$J$306,$W202)&amp;"")</f>
        <v/>
      </c>
      <c r="R202" s="176">
        <f>IF($W202="","",INDEX($F$7:$F$306,$W202)&amp;"")</f>
        <v/>
      </c>
      <c r="S202" s="175">
        <f>IF($W202="","",SUMIF($U$7:$U$306,INDEX($U$7:$U$306,$W202),$K$7:$K$306))</f>
        <v/>
      </c>
      <c r="U202">
        <f>IF(OR($X202="",N($K202)=0),"",UPPER(TRIM($G202&amp;"|"&amp;$H202&amp;"|"&amp;$I202&amp;"|"&amp;$J202&amp;"|"&amp;$F202)))</f>
        <v/>
      </c>
      <c r="V202">
        <f>IF($U202="","",IF(COUNTIF($U$7:$U202,$U202)=1,MAX($V$6:$V201)+1,""))</f>
        <v/>
      </c>
      <c r="W202">
        <f>IFERROR(MATCH(196,$V$7:$V$306,0),"")</f>
        <v/>
      </c>
      <c r="X202">
        <f>IFERROR(MATCH(196,'HW Sets'!$S$7:$S$306,0),"")</f>
        <v/>
      </c>
      <c r="Y202">
        <f>IF($X202="","",INDEX('HW Sets'!$J$7:$J$306,$X202)&amp;"")</f>
        <v/>
      </c>
      <c r="Z202">
        <f>IF($Y202="","",IF(COUNTIF($Y$7:$Y202,$Y202)=1,1,""))</f>
        <v/>
      </c>
    </row>
    <row r="203">
      <c r="A203" s="175">
        <f>IF($Z203="","",$Y203)</f>
        <v/>
      </c>
      <c r="B203" s="176">
        <f>IF($Z203="","",IFERROR(INDEX('HW Sets'!$N$7:$N$306,MATCH($Y203,'HW Sets'!$M$7:$M$306,0)),""))</f>
        <v/>
      </c>
      <c r="C203" s="177">
        <f t="array" ref="C203">IF($Z203="","",_xlfn.TEXTJOIN(", ",TRUE,IF(tk_HWSET&amp;""=$Y203,tk_MARK,"")))</f>
        <v/>
      </c>
      <c r="D203" s="176">
        <f t="array" ref="D203">IF($Z203="","",SUM(IF(tk_HWSET&amp;""=$Y203,IFERROR(--tk_QTY,0),0)))</f>
        <v/>
      </c>
      <c r="E203" s="176">
        <f>IF($X203="","",IF(INDEX('HW Sets'!$C$7:$C$306,$X203)="","",INDEX('HW Sets'!$C$7:$C$306,$X203)))</f>
        <v/>
      </c>
      <c r="F203" s="176">
        <f>IF($X203="","",IF(INDEX('HW Sets'!$D$7:$D$306,$X203)="","",INDEX('HW Sets'!$D$7:$D$306,$X203)))</f>
        <v/>
      </c>
      <c r="G203" s="176">
        <f>IF($X203="","",IF(INDEX('HW Sets'!$E$7:$E$306,$X203)="","",INDEX('HW Sets'!$E$7:$E$306,$X203)))</f>
        <v/>
      </c>
      <c r="H203" s="176">
        <f>IF($X203="","",IF(INDEX('HW Sets'!$F$7:$F$306,$X203)="","",INDEX('HW Sets'!$F$7:$F$306,$X203)))</f>
        <v/>
      </c>
      <c r="I203" s="176">
        <f>IF($X203="","",IF(INDEX('HW Sets'!$G$7:$G$306,$X203)="","",INDEX('HW Sets'!$G$7:$G$306,$X203)))</f>
        <v/>
      </c>
      <c r="J203" s="176">
        <f>IF($X203="","",IF(INDEX('HW Sets'!$H$7:$H$306,$X203)="","",INDEX('HW Sets'!$H$7:$H$306,$X203)))</f>
        <v/>
      </c>
      <c r="K203" s="175">
        <f t="array" ref="K203">IF($X203="","",N($E203)*SUM(IF(tk_HWSET&amp;""=$Y203,IFERROR(--tk_QTY,0),0)))</f>
        <v/>
      </c>
      <c r="L203" s="176">
        <f>IF($X203="","",IF(INDEX('HW Sets'!$I$7:$I$306,$X203)="","",INDEX('HW Sets'!$I$7:$I$306,$X203)))</f>
        <v/>
      </c>
      <c r="N203" s="176">
        <f>IF($W203="","",INDEX($G$7:$G$306,$W203)&amp;"")</f>
        <v/>
      </c>
      <c r="O203" s="176">
        <f>IF($W203="","",INDEX($H$7:$H$306,$W203)&amp;"")</f>
        <v/>
      </c>
      <c r="P203" s="176">
        <f>IF($W203="","",INDEX($I$7:$I$306,$W203)&amp;"")</f>
        <v/>
      </c>
      <c r="Q203" s="176">
        <f>IF($W203="","",INDEX($J$7:$J$306,$W203)&amp;"")</f>
        <v/>
      </c>
      <c r="R203" s="176">
        <f>IF($W203="","",INDEX($F$7:$F$306,$W203)&amp;"")</f>
        <v/>
      </c>
      <c r="S203" s="175">
        <f>IF($W203="","",SUMIF($U$7:$U$306,INDEX($U$7:$U$306,$W203),$K$7:$K$306))</f>
        <v/>
      </c>
      <c r="U203">
        <f>IF(OR($X203="",N($K203)=0),"",UPPER(TRIM($G203&amp;"|"&amp;$H203&amp;"|"&amp;$I203&amp;"|"&amp;$J203&amp;"|"&amp;$F203)))</f>
        <v/>
      </c>
      <c r="V203">
        <f>IF($U203="","",IF(COUNTIF($U$7:$U203,$U203)=1,MAX($V$6:$V202)+1,""))</f>
        <v/>
      </c>
      <c r="W203">
        <f>IFERROR(MATCH(197,$V$7:$V$306,0),"")</f>
        <v/>
      </c>
      <c r="X203">
        <f>IFERROR(MATCH(197,'HW Sets'!$S$7:$S$306,0),"")</f>
        <v/>
      </c>
      <c r="Y203">
        <f>IF($X203="","",INDEX('HW Sets'!$J$7:$J$306,$X203)&amp;"")</f>
        <v/>
      </c>
      <c r="Z203">
        <f>IF($Y203="","",IF(COUNTIF($Y$7:$Y203,$Y203)=1,1,""))</f>
        <v/>
      </c>
    </row>
    <row r="204">
      <c r="A204" s="175">
        <f>IF($Z204="","",$Y204)</f>
        <v/>
      </c>
      <c r="B204" s="176">
        <f>IF($Z204="","",IFERROR(INDEX('HW Sets'!$N$7:$N$306,MATCH($Y204,'HW Sets'!$M$7:$M$306,0)),""))</f>
        <v/>
      </c>
      <c r="C204" s="177">
        <f t="array" ref="C204">IF($Z204="","",_xlfn.TEXTJOIN(", ",TRUE,IF(tk_HWSET&amp;""=$Y204,tk_MARK,"")))</f>
        <v/>
      </c>
      <c r="D204" s="176">
        <f t="array" ref="D204">IF($Z204="","",SUM(IF(tk_HWSET&amp;""=$Y204,IFERROR(--tk_QTY,0),0)))</f>
        <v/>
      </c>
      <c r="E204" s="176">
        <f>IF($X204="","",IF(INDEX('HW Sets'!$C$7:$C$306,$X204)="","",INDEX('HW Sets'!$C$7:$C$306,$X204)))</f>
        <v/>
      </c>
      <c r="F204" s="176">
        <f>IF($X204="","",IF(INDEX('HW Sets'!$D$7:$D$306,$X204)="","",INDEX('HW Sets'!$D$7:$D$306,$X204)))</f>
        <v/>
      </c>
      <c r="G204" s="176">
        <f>IF($X204="","",IF(INDEX('HW Sets'!$E$7:$E$306,$X204)="","",INDEX('HW Sets'!$E$7:$E$306,$X204)))</f>
        <v/>
      </c>
      <c r="H204" s="176">
        <f>IF($X204="","",IF(INDEX('HW Sets'!$F$7:$F$306,$X204)="","",INDEX('HW Sets'!$F$7:$F$306,$X204)))</f>
        <v/>
      </c>
      <c r="I204" s="176">
        <f>IF($X204="","",IF(INDEX('HW Sets'!$G$7:$G$306,$X204)="","",INDEX('HW Sets'!$G$7:$G$306,$X204)))</f>
        <v/>
      </c>
      <c r="J204" s="176">
        <f>IF($X204="","",IF(INDEX('HW Sets'!$H$7:$H$306,$X204)="","",INDEX('HW Sets'!$H$7:$H$306,$X204)))</f>
        <v/>
      </c>
      <c r="K204" s="175">
        <f t="array" ref="K204">IF($X204="","",N($E204)*SUM(IF(tk_HWSET&amp;""=$Y204,IFERROR(--tk_QTY,0),0)))</f>
        <v/>
      </c>
      <c r="L204" s="176">
        <f>IF($X204="","",IF(INDEX('HW Sets'!$I$7:$I$306,$X204)="","",INDEX('HW Sets'!$I$7:$I$306,$X204)))</f>
        <v/>
      </c>
      <c r="N204" s="176">
        <f>IF($W204="","",INDEX($G$7:$G$306,$W204)&amp;"")</f>
        <v/>
      </c>
      <c r="O204" s="176">
        <f>IF($W204="","",INDEX($H$7:$H$306,$W204)&amp;"")</f>
        <v/>
      </c>
      <c r="P204" s="176">
        <f>IF($W204="","",INDEX($I$7:$I$306,$W204)&amp;"")</f>
        <v/>
      </c>
      <c r="Q204" s="176">
        <f>IF($W204="","",INDEX($J$7:$J$306,$W204)&amp;"")</f>
        <v/>
      </c>
      <c r="R204" s="176">
        <f>IF($W204="","",INDEX($F$7:$F$306,$W204)&amp;"")</f>
        <v/>
      </c>
      <c r="S204" s="175">
        <f>IF($W204="","",SUMIF($U$7:$U$306,INDEX($U$7:$U$306,$W204),$K$7:$K$306))</f>
        <v/>
      </c>
      <c r="U204">
        <f>IF(OR($X204="",N($K204)=0),"",UPPER(TRIM($G204&amp;"|"&amp;$H204&amp;"|"&amp;$I204&amp;"|"&amp;$J204&amp;"|"&amp;$F204)))</f>
        <v/>
      </c>
      <c r="V204">
        <f>IF($U204="","",IF(COUNTIF($U$7:$U204,$U204)=1,MAX($V$6:$V203)+1,""))</f>
        <v/>
      </c>
      <c r="W204">
        <f>IFERROR(MATCH(198,$V$7:$V$306,0),"")</f>
        <v/>
      </c>
      <c r="X204">
        <f>IFERROR(MATCH(198,'HW Sets'!$S$7:$S$306,0),"")</f>
        <v/>
      </c>
      <c r="Y204">
        <f>IF($X204="","",INDEX('HW Sets'!$J$7:$J$306,$X204)&amp;"")</f>
        <v/>
      </c>
      <c r="Z204">
        <f>IF($Y204="","",IF(COUNTIF($Y$7:$Y204,$Y204)=1,1,""))</f>
        <v/>
      </c>
    </row>
    <row r="205">
      <c r="A205" s="175">
        <f>IF($Z205="","",$Y205)</f>
        <v/>
      </c>
      <c r="B205" s="176">
        <f>IF($Z205="","",IFERROR(INDEX('HW Sets'!$N$7:$N$306,MATCH($Y205,'HW Sets'!$M$7:$M$306,0)),""))</f>
        <v/>
      </c>
      <c r="C205" s="177">
        <f t="array" ref="C205">IF($Z205="","",_xlfn.TEXTJOIN(", ",TRUE,IF(tk_HWSET&amp;""=$Y205,tk_MARK,"")))</f>
        <v/>
      </c>
      <c r="D205" s="176">
        <f t="array" ref="D205">IF($Z205="","",SUM(IF(tk_HWSET&amp;""=$Y205,IFERROR(--tk_QTY,0),0)))</f>
        <v/>
      </c>
      <c r="E205" s="176">
        <f>IF($X205="","",IF(INDEX('HW Sets'!$C$7:$C$306,$X205)="","",INDEX('HW Sets'!$C$7:$C$306,$X205)))</f>
        <v/>
      </c>
      <c r="F205" s="176">
        <f>IF($X205="","",IF(INDEX('HW Sets'!$D$7:$D$306,$X205)="","",INDEX('HW Sets'!$D$7:$D$306,$X205)))</f>
        <v/>
      </c>
      <c r="G205" s="176">
        <f>IF($X205="","",IF(INDEX('HW Sets'!$E$7:$E$306,$X205)="","",INDEX('HW Sets'!$E$7:$E$306,$X205)))</f>
        <v/>
      </c>
      <c r="H205" s="176">
        <f>IF($X205="","",IF(INDEX('HW Sets'!$F$7:$F$306,$X205)="","",INDEX('HW Sets'!$F$7:$F$306,$X205)))</f>
        <v/>
      </c>
      <c r="I205" s="176">
        <f>IF($X205="","",IF(INDEX('HW Sets'!$G$7:$G$306,$X205)="","",INDEX('HW Sets'!$G$7:$G$306,$X205)))</f>
        <v/>
      </c>
      <c r="J205" s="176">
        <f>IF($X205="","",IF(INDEX('HW Sets'!$H$7:$H$306,$X205)="","",INDEX('HW Sets'!$H$7:$H$306,$X205)))</f>
        <v/>
      </c>
      <c r="K205" s="175">
        <f t="array" ref="K205">IF($X205="","",N($E205)*SUM(IF(tk_HWSET&amp;""=$Y205,IFERROR(--tk_QTY,0),0)))</f>
        <v/>
      </c>
      <c r="L205" s="176">
        <f>IF($X205="","",IF(INDEX('HW Sets'!$I$7:$I$306,$X205)="","",INDEX('HW Sets'!$I$7:$I$306,$X205)))</f>
        <v/>
      </c>
      <c r="N205" s="176">
        <f>IF($W205="","",INDEX($G$7:$G$306,$W205)&amp;"")</f>
        <v/>
      </c>
      <c r="O205" s="176">
        <f>IF($W205="","",INDEX($H$7:$H$306,$W205)&amp;"")</f>
        <v/>
      </c>
      <c r="P205" s="176">
        <f>IF($W205="","",INDEX($I$7:$I$306,$W205)&amp;"")</f>
        <v/>
      </c>
      <c r="Q205" s="176">
        <f>IF($W205="","",INDEX($J$7:$J$306,$W205)&amp;"")</f>
        <v/>
      </c>
      <c r="R205" s="176">
        <f>IF($W205="","",INDEX($F$7:$F$306,$W205)&amp;"")</f>
        <v/>
      </c>
      <c r="S205" s="175">
        <f>IF($W205="","",SUMIF($U$7:$U$306,INDEX($U$7:$U$306,$W205),$K$7:$K$306))</f>
        <v/>
      </c>
      <c r="U205">
        <f>IF(OR($X205="",N($K205)=0),"",UPPER(TRIM($G205&amp;"|"&amp;$H205&amp;"|"&amp;$I205&amp;"|"&amp;$J205&amp;"|"&amp;$F205)))</f>
        <v/>
      </c>
      <c r="V205">
        <f>IF($U205="","",IF(COUNTIF($U$7:$U205,$U205)=1,MAX($V$6:$V204)+1,""))</f>
        <v/>
      </c>
      <c r="W205">
        <f>IFERROR(MATCH(199,$V$7:$V$306,0),"")</f>
        <v/>
      </c>
      <c r="X205">
        <f>IFERROR(MATCH(199,'HW Sets'!$S$7:$S$306,0),"")</f>
        <v/>
      </c>
      <c r="Y205">
        <f>IF($X205="","",INDEX('HW Sets'!$J$7:$J$306,$X205)&amp;"")</f>
        <v/>
      </c>
      <c r="Z205">
        <f>IF($Y205="","",IF(COUNTIF($Y$7:$Y205,$Y205)=1,1,""))</f>
        <v/>
      </c>
    </row>
    <row r="206">
      <c r="A206" s="175">
        <f>IF($Z206="","",$Y206)</f>
        <v/>
      </c>
      <c r="B206" s="176">
        <f>IF($Z206="","",IFERROR(INDEX('HW Sets'!$N$7:$N$306,MATCH($Y206,'HW Sets'!$M$7:$M$306,0)),""))</f>
        <v/>
      </c>
      <c r="C206" s="177">
        <f t="array" ref="C206">IF($Z206="","",_xlfn.TEXTJOIN(", ",TRUE,IF(tk_HWSET&amp;""=$Y206,tk_MARK,"")))</f>
        <v/>
      </c>
      <c r="D206" s="176">
        <f t="array" ref="D206">IF($Z206="","",SUM(IF(tk_HWSET&amp;""=$Y206,IFERROR(--tk_QTY,0),0)))</f>
        <v/>
      </c>
      <c r="E206" s="176">
        <f>IF($X206="","",IF(INDEX('HW Sets'!$C$7:$C$306,$X206)="","",INDEX('HW Sets'!$C$7:$C$306,$X206)))</f>
        <v/>
      </c>
      <c r="F206" s="176">
        <f>IF($X206="","",IF(INDEX('HW Sets'!$D$7:$D$306,$X206)="","",INDEX('HW Sets'!$D$7:$D$306,$X206)))</f>
        <v/>
      </c>
      <c r="G206" s="176">
        <f>IF($X206="","",IF(INDEX('HW Sets'!$E$7:$E$306,$X206)="","",INDEX('HW Sets'!$E$7:$E$306,$X206)))</f>
        <v/>
      </c>
      <c r="H206" s="176">
        <f>IF($X206="","",IF(INDEX('HW Sets'!$F$7:$F$306,$X206)="","",INDEX('HW Sets'!$F$7:$F$306,$X206)))</f>
        <v/>
      </c>
      <c r="I206" s="176">
        <f>IF($X206="","",IF(INDEX('HW Sets'!$G$7:$G$306,$X206)="","",INDEX('HW Sets'!$G$7:$G$306,$X206)))</f>
        <v/>
      </c>
      <c r="J206" s="176">
        <f>IF($X206="","",IF(INDEX('HW Sets'!$H$7:$H$306,$X206)="","",INDEX('HW Sets'!$H$7:$H$306,$X206)))</f>
        <v/>
      </c>
      <c r="K206" s="175">
        <f t="array" ref="K206">IF($X206="","",N($E206)*SUM(IF(tk_HWSET&amp;""=$Y206,IFERROR(--tk_QTY,0),0)))</f>
        <v/>
      </c>
      <c r="L206" s="176">
        <f>IF($X206="","",IF(INDEX('HW Sets'!$I$7:$I$306,$X206)="","",INDEX('HW Sets'!$I$7:$I$306,$X206)))</f>
        <v/>
      </c>
      <c r="N206" s="176">
        <f>IF($W206="","",INDEX($G$7:$G$306,$W206)&amp;"")</f>
        <v/>
      </c>
      <c r="O206" s="176">
        <f>IF($W206="","",INDEX($H$7:$H$306,$W206)&amp;"")</f>
        <v/>
      </c>
      <c r="P206" s="176">
        <f>IF($W206="","",INDEX($I$7:$I$306,$W206)&amp;"")</f>
        <v/>
      </c>
      <c r="Q206" s="176">
        <f>IF($W206="","",INDEX($J$7:$J$306,$W206)&amp;"")</f>
        <v/>
      </c>
      <c r="R206" s="176">
        <f>IF($W206="","",INDEX($F$7:$F$306,$W206)&amp;"")</f>
        <v/>
      </c>
      <c r="S206" s="175">
        <f>IF($W206="","",SUMIF($U$7:$U$306,INDEX($U$7:$U$306,$W206),$K$7:$K$306))</f>
        <v/>
      </c>
      <c r="U206">
        <f>IF(OR($X206="",N($K206)=0),"",UPPER(TRIM($G206&amp;"|"&amp;$H206&amp;"|"&amp;$I206&amp;"|"&amp;$J206&amp;"|"&amp;$F206)))</f>
        <v/>
      </c>
      <c r="V206">
        <f>IF($U206="","",IF(COUNTIF($U$7:$U206,$U206)=1,MAX($V$6:$V205)+1,""))</f>
        <v/>
      </c>
      <c r="W206">
        <f>IFERROR(MATCH(200,$V$7:$V$306,0),"")</f>
        <v/>
      </c>
      <c r="X206">
        <f>IFERROR(MATCH(200,'HW Sets'!$S$7:$S$306,0),"")</f>
        <v/>
      </c>
      <c r="Y206">
        <f>IF($X206="","",INDEX('HW Sets'!$J$7:$J$306,$X206)&amp;"")</f>
        <v/>
      </c>
      <c r="Z206">
        <f>IF($Y206="","",IF(COUNTIF($Y$7:$Y206,$Y206)=1,1,""))</f>
        <v/>
      </c>
    </row>
    <row r="207">
      <c r="A207" s="175">
        <f>IF($Z207="","",$Y207)</f>
        <v/>
      </c>
      <c r="B207" s="176">
        <f>IF($Z207="","",IFERROR(INDEX('HW Sets'!$N$7:$N$306,MATCH($Y207,'HW Sets'!$M$7:$M$306,0)),""))</f>
        <v/>
      </c>
      <c r="C207" s="177">
        <f t="array" ref="C207">IF($Z207="","",_xlfn.TEXTJOIN(", ",TRUE,IF(tk_HWSET&amp;""=$Y207,tk_MARK,"")))</f>
        <v/>
      </c>
      <c r="D207" s="176">
        <f t="array" ref="D207">IF($Z207="","",SUM(IF(tk_HWSET&amp;""=$Y207,IFERROR(--tk_QTY,0),0)))</f>
        <v/>
      </c>
      <c r="E207" s="176">
        <f>IF($X207="","",IF(INDEX('HW Sets'!$C$7:$C$306,$X207)="","",INDEX('HW Sets'!$C$7:$C$306,$X207)))</f>
        <v/>
      </c>
      <c r="F207" s="176">
        <f>IF($X207="","",IF(INDEX('HW Sets'!$D$7:$D$306,$X207)="","",INDEX('HW Sets'!$D$7:$D$306,$X207)))</f>
        <v/>
      </c>
      <c r="G207" s="176">
        <f>IF($X207="","",IF(INDEX('HW Sets'!$E$7:$E$306,$X207)="","",INDEX('HW Sets'!$E$7:$E$306,$X207)))</f>
        <v/>
      </c>
      <c r="H207" s="176">
        <f>IF($X207="","",IF(INDEX('HW Sets'!$F$7:$F$306,$X207)="","",INDEX('HW Sets'!$F$7:$F$306,$X207)))</f>
        <v/>
      </c>
      <c r="I207" s="176">
        <f>IF($X207="","",IF(INDEX('HW Sets'!$G$7:$G$306,$X207)="","",INDEX('HW Sets'!$G$7:$G$306,$X207)))</f>
        <v/>
      </c>
      <c r="J207" s="176">
        <f>IF($X207="","",IF(INDEX('HW Sets'!$H$7:$H$306,$X207)="","",INDEX('HW Sets'!$H$7:$H$306,$X207)))</f>
        <v/>
      </c>
      <c r="K207" s="175">
        <f t="array" ref="K207">IF($X207="","",N($E207)*SUM(IF(tk_HWSET&amp;""=$Y207,IFERROR(--tk_QTY,0),0)))</f>
        <v/>
      </c>
      <c r="L207" s="176">
        <f>IF($X207="","",IF(INDEX('HW Sets'!$I$7:$I$306,$X207)="","",INDEX('HW Sets'!$I$7:$I$306,$X207)))</f>
        <v/>
      </c>
      <c r="N207" s="176">
        <f>IF($W207="","",INDEX($G$7:$G$306,$W207)&amp;"")</f>
        <v/>
      </c>
      <c r="O207" s="176">
        <f>IF($W207="","",INDEX($H$7:$H$306,$W207)&amp;"")</f>
        <v/>
      </c>
      <c r="P207" s="176">
        <f>IF($W207="","",INDEX($I$7:$I$306,$W207)&amp;"")</f>
        <v/>
      </c>
      <c r="Q207" s="176">
        <f>IF($W207="","",INDEX($J$7:$J$306,$W207)&amp;"")</f>
        <v/>
      </c>
      <c r="R207" s="176">
        <f>IF($W207="","",INDEX($F$7:$F$306,$W207)&amp;"")</f>
        <v/>
      </c>
      <c r="S207" s="175">
        <f>IF($W207="","",SUMIF($U$7:$U$306,INDEX($U$7:$U$306,$W207),$K$7:$K$306))</f>
        <v/>
      </c>
      <c r="U207">
        <f>IF(OR($X207="",N($K207)=0),"",UPPER(TRIM($G207&amp;"|"&amp;$H207&amp;"|"&amp;$I207&amp;"|"&amp;$J207&amp;"|"&amp;$F207)))</f>
        <v/>
      </c>
      <c r="V207">
        <f>IF($U207="","",IF(COUNTIF($U$7:$U207,$U207)=1,MAX($V$6:$V206)+1,""))</f>
        <v/>
      </c>
      <c r="W207">
        <f>IFERROR(MATCH(201,$V$7:$V$306,0),"")</f>
        <v/>
      </c>
      <c r="X207">
        <f>IFERROR(MATCH(201,'HW Sets'!$S$7:$S$306,0),"")</f>
        <v/>
      </c>
      <c r="Y207">
        <f>IF($X207="","",INDEX('HW Sets'!$J$7:$J$306,$X207)&amp;"")</f>
        <v/>
      </c>
      <c r="Z207">
        <f>IF($Y207="","",IF(COUNTIF($Y$7:$Y207,$Y207)=1,1,""))</f>
        <v/>
      </c>
    </row>
    <row r="208">
      <c r="A208" s="175">
        <f>IF($Z208="","",$Y208)</f>
        <v/>
      </c>
      <c r="B208" s="176">
        <f>IF($Z208="","",IFERROR(INDEX('HW Sets'!$N$7:$N$306,MATCH($Y208,'HW Sets'!$M$7:$M$306,0)),""))</f>
        <v/>
      </c>
      <c r="C208" s="177">
        <f t="array" ref="C208">IF($Z208="","",_xlfn.TEXTJOIN(", ",TRUE,IF(tk_HWSET&amp;""=$Y208,tk_MARK,"")))</f>
        <v/>
      </c>
      <c r="D208" s="176">
        <f t="array" ref="D208">IF($Z208="","",SUM(IF(tk_HWSET&amp;""=$Y208,IFERROR(--tk_QTY,0),0)))</f>
        <v/>
      </c>
      <c r="E208" s="176">
        <f>IF($X208="","",IF(INDEX('HW Sets'!$C$7:$C$306,$X208)="","",INDEX('HW Sets'!$C$7:$C$306,$X208)))</f>
        <v/>
      </c>
      <c r="F208" s="176">
        <f>IF($X208="","",IF(INDEX('HW Sets'!$D$7:$D$306,$X208)="","",INDEX('HW Sets'!$D$7:$D$306,$X208)))</f>
        <v/>
      </c>
      <c r="G208" s="176">
        <f>IF($X208="","",IF(INDEX('HW Sets'!$E$7:$E$306,$X208)="","",INDEX('HW Sets'!$E$7:$E$306,$X208)))</f>
        <v/>
      </c>
      <c r="H208" s="176">
        <f>IF($X208="","",IF(INDEX('HW Sets'!$F$7:$F$306,$X208)="","",INDEX('HW Sets'!$F$7:$F$306,$X208)))</f>
        <v/>
      </c>
      <c r="I208" s="176">
        <f>IF($X208="","",IF(INDEX('HW Sets'!$G$7:$G$306,$X208)="","",INDEX('HW Sets'!$G$7:$G$306,$X208)))</f>
        <v/>
      </c>
      <c r="J208" s="176">
        <f>IF($X208="","",IF(INDEX('HW Sets'!$H$7:$H$306,$X208)="","",INDEX('HW Sets'!$H$7:$H$306,$X208)))</f>
        <v/>
      </c>
      <c r="K208" s="175">
        <f t="array" ref="K208">IF($X208="","",N($E208)*SUM(IF(tk_HWSET&amp;""=$Y208,IFERROR(--tk_QTY,0),0)))</f>
        <v/>
      </c>
      <c r="L208" s="176">
        <f>IF($X208="","",IF(INDEX('HW Sets'!$I$7:$I$306,$X208)="","",INDEX('HW Sets'!$I$7:$I$306,$X208)))</f>
        <v/>
      </c>
      <c r="N208" s="176">
        <f>IF($W208="","",INDEX($G$7:$G$306,$W208)&amp;"")</f>
        <v/>
      </c>
      <c r="O208" s="176">
        <f>IF($W208="","",INDEX($H$7:$H$306,$W208)&amp;"")</f>
        <v/>
      </c>
      <c r="P208" s="176">
        <f>IF($W208="","",INDEX($I$7:$I$306,$W208)&amp;"")</f>
        <v/>
      </c>
      <c r="Q208" s="176">
        <f>IF($W208="","",INDEX($J$7:$J$306,$W208)&amp;"")</f>
        <v/>
      </c>
      <c r="R208" s="176">
        <f>IF($W208="","",INDEX($F$7:$F$306,$W208)&amp;"")</f>
        <v/>
      </c>
      <c r="S208" s="175">
        <f>IF($W208="","",SUMIF($U$7:$U$306,INDEX($U$7:$U$306,$W208),$K$7:$K$306))</f>
        <v/>
      </c>
      <c r="U208">
        <f>IF(OR($X208="",N($K208)=0),"",UPPER(TRIM($G208&amp;"|"&amp;$H208&amp;"|"&amp;$I208&amp;"|"&amp;$J208&amp;"|"&amp;$F208)))</f>
        <v/>
      </c>
      <c r="V208">
        <f>IF($U208="","",IF(COUNTIF($U$7:$U208,$U208)=1,MAX($V$6:$V207)+1,""))</f>
        <v/>
      </c>
      <c r="W208">
        <f>IFERROR(MATCH(202,$V$7:$V$306,0),"")</f>
        <v/>
      </c>
      <c r="X208">
        <f>IFERROR(MATCH(202,'HW Sets'!$S$7:$S$306,0),"")</f>
        <v/>
      </c>
      <c r="Y208">
        <f>IF($X208="","",INDEX('HW Sets'!$J$7:$J$306,$X208)&amp;"")</f>
        <v/>
      </c>
      <c r="Z208">
        <f>IF($Y208="","",IF(COUNTIF($Y$7:$Y208,$Y208)=1,1,""))</f>
        <v/>
      </c>
    </row>
    <row r="209">
      <c r="A209" s="175">
        <f>IF($Z209="","",$Y209)</f>
        <v/>
      </c>
      <c r="B209" s="176">
        <f>IF($Z209="","",IFERROR(INDEX('HW Sets'!$N$7:$N$306,MATCH($Y209,'HW Sets'!$M$7:$M$306,0)),""))</f>
        <v/>
      </c>
      <c r="C209" s="177">
        <f t="array" ref="C209">IF($Z209="","",_xlfn.TEXTJOIN(", ",TRUE,IF(tk_HWSET&amp;""=$Y209,tk_MARK,"")))</f>
        <v/>
      </c>
      <c r="D209" s="176">
        <f t="array" ref="D209">IF($Z209="","",SUM(IF(tk_HWSET&amp;""=$Y209,IFERROR(--tk_QTY,0),0)))</f>
        <v/>
      </c>
      <c r="E209" s="176">
        <f>IF($X209="","",IF(INDEX('HW Sets'!$C$7:$C$306,$X209)="","",INDEX('HW Sets'!$C$7:$C$306,$X209)))</f>
        <v/>
      </c>
      <c r="F209" s="176">
        <f>IF($X209="","",IF(INDEX('HW Sets'!$D$7:$D$306,$X209)="","",INDEX('HW Sets'!$D$7:$D$306,$X209)))</f>
        <v/>
      </c>
      <c r="G209" s="176">
        <f>IF($X209="","",IF(INDEX('HW Sets'!$E$7:$E$306,$X209)="","",INDEX('HW Sets'!$E$7:$E$306,$X209)))</f>
        <v/>
      </c>
      <c r="H209" s="176">
        <f>IF($X209="","",IF(INDEX('HW Sets'!$F$7:$F$306,$X209)="","",INDEX('HW Sets'!$F$7:$F$306,$X209)))</f>
        <v/>
      </c>
      <c r="I209" s="176">
        <f>IF($X209="","",IF(INDEX('HW Sets'!$G$7:$G$306,$X209)="","",INDEX('HW Sets'!$G$7:$G$306,$X209)))</f>
        <v/>
      </c>
      <c r="J209" s="176">
        <f>IF($X209="","",IF(INDEX('HW Sets'!$H$7:$H$306,$X209)="","",INDEX('HW Sets'!$H$7:$H$306,$X209)))</f>
        <v/>
      </c>
      <c r="K209" s="175">
        <f t="array" ref="K209">IF($X209="","",N($E209)*SUM(IF(tk_HWSET&amp;""=$Y209,IFERROR(--tk_QTY,0),0)))</f>
        <v/>
      </c>
      <c r="L209" s="176">
        <f>IF($X209="","",IF(INDEX('HW Sets'!$I$7:$I$306,$X209)="","",INDEX('HW Sets'!$I$7:$I$306,$X209)))</f>
        <v/>
      </c>
      <c r="N209" s="176">
        <f>IF($W209="","",INDEX($G$7:$G$306,$W209)&amp;"")</f>
        <v/>
      </c>
      <c r="O209" s="176">
        <f>IF($W209="","",INDEX($H$7:$H$306,$W209)&amp;"")</f>
        <v/>
      </c>
      <c r="P209" s="176">
        <f>IF($W209="","",INDEX($I$7:$I$306,$W209)&amp;"")</f>
        <v/>
      </c>
      <c r="Q209" s="176">
        <f>IF($W209="","",INDEX($J$7:$J$306,$W209)&amp;"")</f>
        <v/>
      </c>
      <c r="R209" s="176">
        <f>IF($W209="","",INDEX($F$7:$F$306,$W209)&amp;"")</f>
        <v/>
      </c>
      <c r="S209" s="175">
        <f>IF($W209="","",SUMIF($U$7:$U$306,INDEX($U$7:$U$306,$W209),$K$7:$K$306))</f>
        <v/>
      </c>
      <c r="U209">
        <f>IF(OR($X209="",N($K209)=0),"",UPPER(TRIM($G209&amp;"|"&amp;$H209&amp;"|"&amp;$I209&amp;"|"&amp;$J209&amp;"|"&amp;$F209)))</f>
        <v/>
      </c>
      <c r="V209">
        <f>IF($U209="","",IF(COUNTIF($U$7:$U209,$U209)=1,MAX($V$6:$V208)+1,""))</f>
        <v/>
      </c>
      <c r="W209">
        <f>IFERROR(MATCH(203,$V$7:$V$306,0),"")</f>
        <v/>
      </c>
      <c r="X209">
        <f>IFERROR(MATCH(203,'HW Sets'!$S$7:$S$306,0),"")</f>
        <v/>
      </c>
      <c r="Y209">
        <f>IF($X209="","",INDEX('HW Sets'!$J$7:$J$306,$X209)&amp;"")</f>
        <v/>
      </c>
      <c r="Z209">
        <f>IF($Y209="","",IF(COUNTIF($Y$7:$Y209,$Y209)=1,1,""))</f>
        <v/>
      </c>
    </row>
    <row r="210">
      <c r="A210" s="175">
        <f>IF($Z210="","",$Y210)</f>
        <v/>
      </c>
      <c r="B210" s="176">
        <f>IF($Z210="","",IFERROR(INDEX('HW Sets'!$N$7:$N$306,MATCH($Y210,'HW Sets'!$M$7:$M$306,0)),""))</f>
        <v/>
      </c>
      <c r="C210" s="177">
        <f t="array" ref="C210">IF($Z210="","",_xlfn.TEXTJOIN(", ",TRUE,IF(tk_HWSET&amp;""=$Y210,tk_MARK,"")))</f>
        <v/>
      </c>
      <c r="D210" s="176">
        <f t="array" ref="D210">IF($Z210="","",SUM(IF(tk_HWSET&amp;""=$Y210,IFERROR(--tk_QTY,0),0)))</f>
        <v/>
      </c>
      <c r="E210" s="176">
        <f>IF($X210="","",IF(INDEX('HW Sets'!$C$7:$C$306,$X210)="","",INDEX('HW Sets'!$C$7:$C$306,$X210)))</f>
        <v/>
      </c>
      <c r="F210" s="176">
        <f>IF($X210="","",IF(INDEX('HW Sets'!$D$7:$D$306,$X210)="","",INDEX('HW Sets'!$D$7:$D$306,$X210)))</f>
        <v/>
      </c>
      <c r="G210" s="176">
        <f>IF($X210="","",IF(INDEX('HW Sets'!$E$7:$E$306,$X210)="","",INDEX('HW Sets'!$E$7:$E$306,$X210)))</f>
        <v/>
      </c>
      <c r="H210" s="176">
        <f>IF($X210="","",IF(INDEX('HW Sets'!$F$7:$F$306,$X210)="","",INDEX('HW Sets'!$F$7:$F$306,$X210)))</f>
        <v/>
      </c>
      <c r="I210" s="176">
        <f>IF($X210="","",IF(INDEX('HW Sets'!$G$7:$G$306,$X210)="","",INDEX('HW Sets'!$G$7:$G$306,$X210)))</f>
        <v/>
      </c>
      <c r="J210" s="176">
        <f>IF($X210="","",IF(INDEX('HW Sets'!$H$7:$H$306,$X210)="","",INDEX('HW Sets'!$H$7:$H$306,$X210)))</f>
        <v/>
      </c>
      <c r="K210" s="175">
        <f t="array" ref="K210">IF($X210="","",N($E210)*SUM(IF(tk_HWSET&amp;""=$Y210,IFERROR(--tk_QTY,0),0)))</f>
        <v/>
      </c>
      <c r="L210" s="176">
        <f>IF($X210="","",IF(INDEX('HW Sets'!$I$7:$I$306,$X210)="","",INDEX('HW Sets'!$I$7:$I$306,$X210)))</f>
        <v/>
      </c>
      <c r="N210" s="176">
        <f>IF($W210="","",INDEX($G$7:$G$306,$W210)&amp;"")</f>
        <v/>
      </c>
      <c r="O210" s="176">
        <f>IF($W210="","",INDEX($H$7:$H$306,$W210)&amp;"")</f>
        <v/>
      </c>
      <c r="P210" s="176">
        <f>IF($W210="","",INDEX($I$7:$I$306,$W210)&amp;"")</f>
        <v/>
      </c>
      <c r="Q210" s="176">
        <f>IF($W210="","",INDEX($J$7:$J$306,$W210)&amp;"")</f>
        <v/>
      </c>
      <c r="R210" s="176">
        <f>IF($W210="","",INDEX($F$7:$F$306,$W210)&amp;"")</f>
        <v/>
      </c>
      <c r="S210" s="175">
        <f>IF($W210="","",SUMIF($U$7:$U$306,INDEX($U$7:$U$306,$W210),$K$7:$K$306))</f>
        <v/>
      </c>
      <c r="U210">
        <f>IF(OR($X210="",N($K210)=0),"",UPPER(TRIM($G210&amp;"|"&amp;$H210&amp;"|"&amp;$I210&amp;"|"&amp;$J210&amp;"|"&amp;$F210)))</f>
        <v/>
      </c>
      <c r="V210">
        <f>IF($U210="","",IF(COUNTIF($U$7:$U210,$U210)=1,MAX($V$6:$V209)+1,""))</f>
        <v/>
      </c>
      <c r="W210">
        <f>IFERROR(MATCH(204,$V$7:$V$306,0),"")</f>
        <v/>
      </c>
      <c r="X210">
        <f>IFERROR(MATCH(204,'HW Sets'!$S$7:$S$306,0),"")</f>
        <v/>
      </c>
      <c r="Y210">
        <f>IF($X210="","",INDEX('HW Sets'!$J$7:$J$306,$X210)&amp;"")</f>
        <v/>
      </c>
      <c r="Z210">
        <f>IF($Y210="","",IF(COUNTIF($Y$7:$Y210,$Y210)=1,1,""))</f>
        <v/>
      </c>
    </row>
    <row r="211">
      <c r="A211" s="175">
        <f>IF($Z211="","",$Y211)</f>
        <v/>
      </c>
      <c r="B211" s="176">
        <f>IF($Z211="","",IFERROR(INDEX('HW Sets'!$N$7:$N$306,MATCH($Y211,'HW Sets'!$M$7:$M$306,0)),""))</f>
        <v/>
      </c>
      <c r="C211" s="177">
        <f t="array" ref="C211">IF($Z211="","",_xlfn.TEXTJOIN(", ",TRUE,IF(tk_HWSET&amp;""=$Y211,tk_MARK,"")))</f>
        <v/>
      </c>
      <c r="D211" s="176">
        <f t="array" ref="D211">IF($Z211="","",SUM(IF(tk_HWSET&amp;""=$Y211,IFERROR(--tk_QTY,0),0)))</f>
        <v/>
      </c>
      <c r="E211" s="176">
        <f>IF($X211="","",IF(INDEX('HW Sets'!$C$7:$C$306,$X211)="","",INDEX('HW Sets'!$C$7:$C$306,$X211)))</f>
        <v/>
      </c>
      <c r="F211" s="176">
        <f>IF($X211="","",IF(INDEX('HW Sets'!$D$7:$D$306,$X211)="","",INDEX('HW Sets'!$D$7:$D$306,$X211)))</f>
        <v/>
      </c>
      <c r="G211" s="176">
        <f>IF($X211="","",IF(INDEX('HW Sets'!$E$7:$E$306,$X211)="","",INDEX('HW Sets'!$E$7:$E$306,$X211)))</f>
        <v/>
      </c>
      <c r="H211" s="176">
        <f>IF($X211="","",IF(INDEX('HW Sets'!$F$7:$F$306,$X211)="","",INDEX('HW Sets'!$F$7:$F$306,$X211)))</f>
        <v/>
      </c>
      <c r="I211" s="176">
        <f>IF($X211="","",IF(INDEX('HW Sets'!$G$7:$G$306,$X211)="","",INDEX('HW Sets'!$G$7:$G$306,$X211)))</f>
        <v/>
      </c>
      <c r="J211" s="176">
        <f>IF($X211="","",IF(INDEX('HW Sets'!$H$7:$H$306,$X211)="","",INDEX('HW Sets'!$H$7:$H$306,$X211)))</f>
        <v/>
      </c>
      <c r="K211" s="175">
        <f t="array" ref="K211">IF($X211="","",N($E211)*SUM(IF(tk_HWSET&amp;""=$Y211,IFERROR(--tk_QTY,0),0)))</f>
        <v/>
      </c>
      <c r="L211" s="176">
        <f>IF($X211="","",IF(INDEX('HW Sets'!$I$7:$I$306,$X211)="","",INDEX('HW Sets'!$I$7:$I$306,$X211)))</f>
        <v/>
      </c>
      <c r="N211" s="176">
        <f>IF($W211="","",INDEX($G$7:$G$306,$W211)&amp;"")</f>
        <v/>
      </c>
      <c r="O211" s="176">
        <f>IF($W211="","",INDEX($H$7:$H$306,$W211)&amp;"")</f>
        <v/>
      </c>
      <c r="P211" s="176">
        <f>IF($W211="","",INDEX($I$7:$I$306,$W211)&amp;"")</f>
        <v/>
      </c>
      <c r="Q211" s="176">
        <f>IF($W211="","",INDEX($J$7:$J$306,$W211)&amp;"")</f>
        <v/>
      </c>
      <c r="R211" s="176">
        <f>IF($W211="","",INDEX($F$7:$F$306,$W211)&amp;"")</f>
        <v/>
      </c>
      <c r="S211" s="175">
        <f>IF($W211="","",SUMIF($U$7:$U$306,INDEX($U$7:$U$306,$W211),$K$7:$K$306))</f>
        <v/>
      </c>
      <c r="U211">
        <f>IF(OR($X211="",N($K211)=0),"",UPPER(TRIM($G211&amp;"|"&amp;$H211&amp;"|"&amp;$I211&amp;"|"&amp;$J211&amp;"|"&amp;$F211)))</f>
        <v/>
      </c>
      <c r="V211">
        <f>IF($U211="","",IF(COUNTIF($U$7:$U211,$U211)=1,MAX($V$6:$V210)+1,""))</f>
        <v/>
      </c>
      <c r="W211">
        <f>IFERROR(MATCH(205,$V$7:$V$306,0),"")</f>
        <v/>
      </c>
      <c r="X211">
        <f>IFERROR(MATCH(205,'HW Sets'!$S$7:$S$306,0),"")</f>
        <v/>
      </c>
      <c r="Y211">
        <f>IF($X211="","",INDEX('HW Sets'!$J$7:$J$306,$X211)&amp;"")</f>
        <v/>
      </c>
      <c r="Z211">
        <f>IF($Y211="","",IF(COUNTIF($Y$7:$Y211,$Y211)=1,1,""))</f>
        <v/>
      </c>
    </row>
    <row r="212">
      <c r="A212" s="175">
        <f>IF($Z212="","",$Y212)</f>
        <v/>
      </c>
      <c r="B212" s="176">
        <f>IF($Z212="","",IFERROR(INDEX('HW Sets'!$N$7:$N$306,MATCH($Y212,'HW Sets'!$M$7:$M$306,0)),""))</f>
        <v/>
      </c>
      <c r="C212" s="177">
        <f t="array" ref="C212">IF($Z212="","",_xlfn.TEXTJOIN(", ",TRUE,IF(tk_HWSET&amp;""=$Y212,tk_MARK,"")))</f>
        <v/>
      </c>
      <c r="D212" s="176">
        <f t="array" ref="D212">IF($Z212="","",SUM(IF(tk_HWSET&amp;""=$Y212,IFERROR(--tk_QTY,0),0)))</f>
        <v/>
      </c>
      <c r="E212" s="176">
        <f>IF($X212="","",IF(INDEX('HW Sets'!$C$7:$C$306,$X212)="","",INDEX('HW Sets'!$C$7:$C$306,$X212)))</f>
        <v/>
      </c>
      <c r="F212" s="176">
        <f>IF($X212="","",IF(INDEX('HW Sets'!$D$7:$D$306,$X212)="","",INDEX('HW Sets'!$D$7:$D$306,$X212)))</f>
        <v/>
      </c>
      <c r="G212" s="176">
        <f>IF($X212="","",IF(INDEX('HW Sets'!$E$7:$E$306,$X212)="","",INDEX('HW Sets'!$E$7:$E$306,$X212)))</f>
        <v/>
      </c>
      <c r="H212" s="176">
        <f>IF($X212="","",IF(INDEX('HW Sets'!$F$7:$F$306,$X212)="","",INDEX('HW Sets'!$F$7:$F$306,$X212)))</f>
        <v/>
      </c>
      <c r="I212" s="176">
        <f>IF($X212="","",IF(INDEX('HW Sets'!$G$7:$G$306,$X212)="","",INDEX('HW Sets'!$G$7:$G$306,$X212)))</f>
        <v/>
      </c>
      <c r="J212" s="176">
        <f>IF($X212="","",IF(INDEX('HW Sets'!$H$7:$H$306,$X212)="","",INDEX('HW Sets'!$H$7:$H$306,$X212)))</f>
        <v/>
      </c>
      <c r="K212" s="175">
        <f t="array" ref="K212">IF($X212="","",N($E212)*SUM(IF(tk_HWSET&amp;""=$Y212,IFERROR(--tk_QTY,0),0)))</f>
        <v/>
      </c>
      <c r="L212" s="176">
        <f>IF($X212="","",IF(INDEX('HW Sets'!$I$7:$I$306,$X212)="","",INDEX('HW Sets'!$I$7:$I$306,$X212)))</f>
        <v/>
      </c>
      <c r="N212" s="176">
        <f>IF($W212="","",INDEX($G$7:$G$306,$W212)&amp;"")</f>
        <v/>
      </c>
      <c r="O212" s="176">
        <f>IF($W212="","",INDEX($H$7:$H$306,$W212)&amp;"")</f>
        <v/>
      </c>
      <c r="P212" s="176">
        <f>IF($W212="","",INDEX($I$7:$I$306,$W212)&amp;"")</f>
        <v/>
      </c>
      <c r="Q212" s="176">
        <f>IF($W212="","",INDEX($J$7:$J$306,$W212)&amp;"")</f>
        <v/>
      </c>
      <c r="R212" s="176">
        <f>IF($W212="","",INDEX($F$7:$F$306,$W212)&amp;"")</f>
        <v/>
      </c>
      <c r="S212" s="175">
        <f>IF($W212="","",SUMIF($U$7:$U$306,INDEX($U$7:$U$306,$W212),$K$7:$K$306))</f>
        <v/>
      </c>
      <c r="U212">
        <f>IF(OR($X212="",N($K212)=0),"",UPPER(TRIM($G212&amp;"|"&amp;$H212&amp;"|"&amp;$I212&amp;"|"&amp;$J212&amp;"|"&amp;$F212)))</f>
        <v/>
      </c>
      <c r="V212">
        <f>IF($U212="","",IF(COUNTIF($U$7:$U212,$U212)=1,MAX($V$6:$V211)+1,""))</f>
        <v/>
      </c>
      <c r="W212">
        <f>IFERROR(MATCH(206,$V$7:$V$306,0),"")</f>
        <v/>
      </c>
      <c r="X212">
        <f>IFERROR(MATCH(206,'HW Sets'!$S$7:$S$306,0),"")</f>
        <v/>
      </c>
      <c r="Y212">
        <f>IF($X212="","",INDEX('HW Sets'!$J$7:$J$306,$X212)&amp;"")</f>
        <v/>
      </c>
      <c r="Z212">
        <f>IF($Y212="","",IF(COUNTIF($Y$7:$Y212,$Y212)=1,1,""))</f>
        <v/>
      </c>
    </row>
    <row r="213">
      <c r="A213" s="175">
        <f>IF($Z213="","",$Y213)</f>
        <v/>
      </c>
      <c r="B213" s="176">
        <f>IF($Z213="","",IFERROR(INDEX('HW Sets'!$N$7:$N$306,MATCH($Y213,'HW Sets'!$M$7:$M$306,0)),""))</f>
        <v/>
      </c>
      <c r="C213" s="177">
        <f t="array" ref="C213">IF($Z213="","",_xlfn.TEXTJOIN(", ",TRUE,IF(tk_HWSET&amp;""=$Y213,tk_MARK,"")))</f>
        <v/>
      </c>
      <c r="D213" s="176">
        <f t="array" ref="D213">IF($Z213="","",SUM(IF(tk_HWSET&amp;""=$Y213,IFERROR(--tk_QTY,0),0)))</f>
        <v/>
      </c>
      <c r="E213" s="176">
        <f>IF($X213="","",IF(INDEX('HW Sets'!$C$7:$C$306,$X213)="","",INDEX('HW Sets'!$C$7:$C$306,$X213)))</f>
        <v/>
      </c>
      <c r="F213" s="176">
        <f>IF($X213="","",IF(INDEX('HW Sets'!$D$7:$D$306,$X213)="","",INDEX('HW Sets'!$D$7:$D$306,$X213)))</f>
        <v/>
      </c>
      <c r="G213" s="176">
        <f>IF($X213="","",IF(INDEX('HW Sets'!$E$7:$E$306,$X213)="","",INDEX('HW Sets'!$E$7:$E$306,$X213)))</f>
        <v/>
      </c>
      <c r="H213" s="176">
        <f>IF($X213="","",IF(INDEX('HW Sets'!$F$7:$F$306,$X213)="","",INDEX('HW Sets'!$F$7:$F$306,$X213)))</f>
        <v/>
      </c>
      <c r="I213" s="176">
        <f>IF($X213="","",IF(INDEX('HW Sets'!$G$7:$G$306,$X213)="","",INDEX('HW Sets'!$G$7:$G$306,$X213)))</f>
        <v/>
      </c>
      <c r="J213" s="176">
        <f>IF($X213="","",IF(INDEX('HW Sets'!$H$7:$H$306,$X213)="","",INDEX('HW Sets'!$H$7:$H$306,$X213)))</f>
        <v/>
      </c>
      <c r="K213" s="175">
        <f t="array" ref="K213">IF($X213="","",N($E213)*SUM(IF(tk_HWSET&amp;""=$Y213,IFERROR(--tk_QTY,0),0)))</f>
        <v/>
      </c>
      <c r="L213" s="176">
        <f>IF($X213="","",IF(INDEX('HW Sets'!$I$7:$I$306,$X213)="","",INDEX('HW Sets'!$I$7:$I$306,$X213)))</f>
        <v/>
      </c>
      <c r="N213" s="176">
        <f>IF($W213="","",INDEX($G$7:$G$306,$W213)&amp;"")</f>
        <v/>
      </c>
      <c r="O213" s="176">
        <f>IF($W213="","",INDEX($H$7:$H$306,$W213)&amp;"")</f>
        <v/>
      </c>
      <c r="P213" s="176">
        <f>IF($W213="","",INDEX($I$7:$I$306,$W213)&amp;"")</f>
        <v/>
      </c>
      <c r="Q213" s="176">
        <f>IF($W213="","",INDEX($J$7:$J$306,$W213)&amp;"")</f>
        <v/>
      </c>
      <c r="R213" s="176">
        <f>IF($W213="","",INDEX($F$7:$F$306,$W213)&amp;"")</f>
        <v/>
      </c>
      <c r="S213" s="175">
        <f>IF($W213="","",SUMIF($U$7:$U$306,INDEX($U$7:$U$306,$W213),$K$7:$K$306))</f>
        <v/>
      </c>
      <c r="U213">
        <f>IF(OR($X213="",N($K213)=0),"",UPPER(TRIM($G213&amp;"|"&amp;$H213&amp;"|"&amp;$I213&amp;"|"&amp;$J213&amp;"|"&amp;$F213)))</f>
        <v/>
      </c>
      <c r="V213">
        <f>IF($U213="","",IF(COUNTIF($U$7:$U213,$U213)=1,MAX($V$6:$V212)+1,""))</f>
        <v/>
      </c>
      <c r="W213">
        <f>IFERROR(MATCH(207,$V$7:$V$306,0),"")</f>
        <v/>
      </c>
      <c r="X213">
        <f>IFERROR(MATCH(207,'HW Sets'!$S$7:$S$306,0),"")</f>
        <v/>
      </c>
      <c r="Y213">
        <f>IF($X213="","",INDEX('HW Sets'!$J$7:$J$306,$X213)&amp;"")</f>
        <v/>
      </c>
      <c r="Z213">
        <f>IF($Y213="","",IF(COUNTIF($Y$7:$Y213,$Y213)=1,1,""))</f>
        <v/>
      </c>
    </row>
    <row r="214">
      <c r="A214" s="175">
        <f>IF($Z214="","",$Y214)</f>
        <v/>
      </c>
      <c r="B214" s="176">
        <f>IF($Z214="","",IFERROR(INDEX('HW Sets'!$N$7:$N$306,MATCH($Y214,'HW Sets'!$M$7:$M$306,0)),""))</f>
        <v/>
      </c>
      <c r="C214" s="177">
        <f t="array" ref="C214">IF($Z214="","",_xlfn.TEXTJOIN(", ",TRUE,IF(tk_HWSET&amp;""=$Y214,tk_MARK,"")))</f>
        <v/>
      </c>
      <c r="D214" s="176">
        <f t="array" ref="D214">IF($Z214="","",SUM(IF(tk_HWSET&amp;""=$Y214,IFERROR(--tk_QTY,0),0)))</f>
        <v/>
      </c>
      <c r="E214" s="176">
        <f>IF($X214="","",IF(INDEX('HW Sets'!$C$7:$C$306,$X214)="","",INDEX('HW Sets'!$C$7:$C$306,$X214)))</f>
        <v/>
      </c>
      <c r="F214" s="176">
        <f>IF($X214="","",IF(INDEX('HW Sets'!$D$7:$D$306,$X214)="","",INDEX('HW Sets'!$D$7:$D$306,$X214)))</f>
        <v/>
      </c>
      <c r="G214" s="176">
        <f>IF($X214="","",IF(INDEX('HW Sets'!$E$7:$E$306,$X214)="","",INDEX('HW Sets'!$E$7:$E$306,$X214)))</f>
        <v/>
      </c>
      <c r="H214" s="176">
        <f>IF($X214="","",IF(INDEX('HW Sets'!$F$7:$F$306,$X214)="","",INDEX('HW Sets'!$F$7:$F$306,$X214)))</f>
        <v/>
      </c>
      <c r="I214" s="176">
        <f>IF($X214="","",IF(INDEX('HW Sets'!$G$7:$G$306,$X214)="","",INDEX('HW Sets'!$G$7:$G$306,$X214)))</f>
        <v/>
      </c>
      <c r="J214" s="176">
        <f>IF($X214="","",IF(INDEX('HW Sets'!$H$7:$H$306,$X214)="","",INDEX('HW Sets'!$H$7:$H$306,$X214)))</f>
        <v/>
      </c>
      <c r="K214" s="175">
        <f t="array" ref="K214">IF($X214="","",N($E214)*SUM(IF(tk_HWSET&amp;""=$Y214,IFERROR(--tk_QTY,0),0)))</f>
        <v/>
      </c>
      <c r="L214" s="176">
        <f>IF($X214="","",IF(INDEX('HW Sets'!$I$7:$I$306,$X214)="","",INDEX('HW Sets'!$I$7:$I$306,$X214)))</f>
        <v/>
      </c>
      <c r="N214" s="176">
        <f>IF($W214="","",INDEX($G$7:$G$306,$W214)&amp;"")</f>
        <v/>
      </c>
      <c r="O214" s="176">
        <f>IF($W214="","",INDEX($H$7:$H$306,$W214)&amp;"")</f>
        <v/>
      </c>
      <c r="P214" s="176">
        <f>IF($W214="","",INDEX($I$7:$I$306,$W214)&amp;"")</f>
        <v/>
      </c>
      <c r="Q214" s="176">
        <f>IF($W214="","",INDEX($J$7:$J$306,$W214)&amp;"")</f>
        <v/>
      </c>
      <c r="R214" s="176">
        <f>IF($W214="","",INDEX($F$7:$F$306,$W214)&amp;"")</f>
        <v/>
      </c>
      <c r="S214" s="175">
        <f>IF($W214="","",SUMIF($U$7:$U$306,INDEX($U$7:$U$306,$W214),$K$7:$K$306))</f>
        <v/>
      </c>
      <c r="U214">
        <f>IF(OR($X214="",N($K214)=0),"",UPPER(TRIM($G214&amp;"|"&amp;$H214&amp;"|"&amp;$I214&amp;"|"&amp;$J214&amp;"|"&amp;$F214)))</f>
        <v/>
      </c>
      <c r="V214">
        <f>IF($U214="","",IF(COUNTIF($U$7:$U214,$U214)=1,MAX($V$6:$V213)+1,""))</f>
        <v/>
      </c>
      <c r="W214">
        <f>IFERROR(MATCH(208,$V$7:$V$306,0),"")</f>
        <v/>
      </c>
      <c r="X214">
        <f>IFERROR(MATCH(208,'HW Sets'!$S$7:$S$306,0),"")</f>
        <v/>
      </c>
      <c r="Y214">
        <f>IF($X214="","",INDEX('HW Sets'!$J$7:$J$306,$X214)&amp;"")</f>
        <v/>
      </c>
      <c r="Z214">
        <f>IF($Y214="","",IF(COUNTIF($Y$7:$Y214,$Y214)=1,1,""))</f>
        <v/>
      </c>
    </row>
    <row r="215">
      <c r="A215" s="175">
        <f>IF($Z215="","",$Y215)</f>
        <v/>
      </c>
      <c r="B215" s="176">
        <f>IF($Z215="","",IFERROR(INDEX('HW Sets'!$N$7:$N$306,MATCH($Y215,'HW Sets'!$M$7:$M$306,0)),""))</f>
        <v/>
      </c>
      <c r="C215" s="177">
        <f t="array" ref="C215">IF($Z215="","",_xlfn.TEXTJOIN(", ",TRUE,IF(tk_HWSET&amp;""=$Y215,tk_MARK,"")))</f>
        <v/>
      </c>
      <c r="D215" s="176">
        <f t="array" ref="D215">IF($Z215="","",SUM(IF(tk_HWSET&amp;""=$Y215,IFERROR(--tk_QTY,0),0)))</f>
        <v/>
      </c>
      <c r="E215" s="176">
        <f>IF($X215="","",IF(INDEX('HW Sets'!$C$7:$C$306,$X215)="","",INDEX('HW Sets'!$C$7:$C$306,$X215)))</f>
        <v/>
      </c>
      <c r="F215" s="176">
        <f>IF($X215="","",IF(INDEX('HW Sets'!$D$7:$D$306,$X215)="","",INDEX('HW Sets'!$D$7:$D$306,$X215)))</f>
        <v/>
      </c>
      <c r="G215" s="176">
        <f>IF($X215="","",IF(INDEX('HW Sets'!$E$7:$E$306,$X215)="","",INDEX('HW Sets'!$E$7:$E$306,$X215)))</f>
        <v/>
      </c>
      <c r="H215" s="176">
        <f>IF($X215="","",IF(INDEX('HW Sets'!$F$7:$F$306,$X215)="","",INDEX('HW Sets'!$F$7:$F$306,$X215)))</f>
        <v/>
      </c>
      <c r="I215" s="176">
        <f>IF($X215="","",IF(INDEX('HW Sets'!$G$7:$G$306,$X215)="","",INDEX('HW Sets'!$G$7:$G$306,$X215)))</f>
        <v/>
      </c>
      <c r="J215" s="176">
        <f>IF($X215="","",IF(INDEX('HW Sets'!$H$7:$H$306,$X215)="","",INDEX('HW Sets'!$H$7:$H$306,$X215)))</f>
        <v/>
      </c>
      <c r="K215" s="175">
        <f t="array" ref="K215">IF($X215="","",N($E215)*SUM(IF(tk_HWSET&amp;""=$Y215,IFERROR(--tk_QTY,0),0)))</f>
        <v/>
      </c>
      <c r="L215" s="176">
        <f>IF($X215="","",IF(INDEX('HW Sets'!$I$7:$I$306,$X215)="","",INDEX('HW Sets'!$I$7:$I$306,$X215)))</f>
        <v/>
      </c>
      <c r="N215" s="176">
        <f>IF($W215="","",INDEX($G$7:$G$306,$W215)&amp;"")</f>
        <v/>
      </c>
      <c r="O215" s="176">
        <f>IF($W215="","",INDEX($H$7:$H$306,$W215)&amp;"")</f>
        <v/>
      </c>
      <c r="P215" s="176">
        <f>IF($W215="","",INDEX($I$7:$I$306,$W215)&amp;"")</f>
        <v/>
      </c>
      <c r="Q215" s="176">
        <f>IF($W215="","",INDEX($J$7:$J$306,$W215)&amp;"")</f>
        <v/>
      </c>
      <c r="R215" s="176">
        <f>IF($W215="","",INDEX($F$7:$F$306,$W215)&amp;"")</f>
        <v/>
      </c>
      <c r="S215" s="175">
        <f>IF($W215="","",SUMIF($U$7:$U$306,INDEX($U$7:$U$306,$W215),$K$7:$K$306))</f>
        <v/>
      </c>
      <c r="U215">
        <f>IF(OR($X215="",N($K215)=0),"",UPPER(TRIM($G215&amp;"|"&amp;$H215&amp;"|"&amp;$I215&amp;"|"&amp;$J215&amp;"|"&amp;$F215)))</f>
        <v/>
      </c>
      <c r="V215">
        <f>IF($U215="","",IF(COUNTIF($U$7:$U215,$U215)=1,MAX($V$6:$V214)+1,""))</f>
        <v/>
      </c>
      <c r="W215">
        <f>IFERROR(MATCH(209,$V$7:$V$306,0),"")</f>
        <v/>
      </c>
      <c r="X215">
        <f>IFERROR(MATCH(209,'HW Sets'!$S$7:$S$306,0),"")</f>
        <v/>
      </c>
      <c r="Y215">
        <f>IF($X215="","",INDEX('HW Sets'!$J$7:$J$306,$X215)&amp;"")</f>
        <v/>
      </c>
      <c r="Z215">
        <f>IF($Y215="","",IF(COUNTIF($Y$7:$Y215,$Y215)=1,1,""))</f>
        <v/>
      </c>
    </row>
    <row r="216">
      <c r="A216" s="175">
        <f>IF($Z216="","",$Y216)</f>
        <v/>
      </c>
      <c r="B216" s="176">
        <f>IF($Z216="","",IFERROR(INDEX('HW Sets'!$N$7:$N$306,MATCH($Y216,'HW Sets'!$M$7:$M$306,0)),""))</f>
        <v/>
      </c>
      <c r="C216" s="177">
        <f t="array" ref="C216">IF($Z216="","",_xlfn.TEXTJOIN(", ",TRUE,IF(tk_HWSET&amp;""=$Y216,tk_MARK,"")))</f>
        <v/>
      </c>
      <c r="D216" s="176">
        <f t="array" ref="D216">IF($Z216="","",SUM(IF(tk_HWSET&amp;""=$Y216,IFERROR(--tk_QTY,0),0)))</f>
        <v/>
      </c>
      <c r="E216" s="176">
        <f>IF($X216="","",IF(INDEX('HW Sets'!$C$7:$C$306,$X216)="","",INDEX('HW Sets'!$C$7:$C$306,$X216)))</f>
        <v/>
      </c>
      <c r="F216" s="176">
        <f>IF($X216="","",IF(INDEX('HW Sets'!$D$7:$D$306,$X216)="","",INDEX('HW Sets'!$D$7:$D$306,$X216)))</f>
        <v/>
      </c>
      <c r="G216" s="176">
        <f>IF($X216="","",IF(INDEX('HW Sets'!$E$7:$E$306,$X216)="","",INDEX('HW Sets'!$E$7:$E$306,$X216)))</f>
        <v/>
      </c>
      <c r="H216" s="176">
        <f>IF($X216="","",IF(INDEX('HW Sets'!$F$7:$F$306,$X216)="","",INDEX('HW Sets'!$F$7:$F$306,$X216)))</f>
        <v/>
      </c>
      <c r="I216" s="176">
        <f>IF($X216="","",IF(INDEX('HW Sets'!$G$7:$G$306,$X216)="","",INDEX('HW Sets'!$G$7:$G$306,$X216)))</f>
        <v/>
      </c>
      <c r="J216" s="176">
        <f>IF($X216="","",IF(INDEX('HW Sets'!$H$7:$H$306,$X216)="","",INDEX('HW Sets'!$H$7:$H$306,$X216)))</f>
        <v/>
      </c>
      <c r="K216" s="175">
        <f t="array" ref="K216">IF($X216="","",N($E216)*SUM(IF(tk_HWSET&amp;""=$Y216,IFERROR(--tk_QTY,0),0)))</f>
        <v/>
      </c>
      <c r="L216" s="176">
        <f>IF($X216="","",IF(INDEX('HW Sets'!$I$7:$I$306,$X216)="","",INDEX('HW Sets'!$I$7:$I$306,$X216)))</f>
        <v/>
      </c>
      <c r="N216" s="176">
        <f>IF($W216="","",INDEX($G$7:$G$306,$W216)&amp;"")</f>
        <v/>
      </c>
      <c r="O216" s="176">
        <f>IF($W216="","",INDEX($H$7:$H$306,$W216)&amp;"")</f>
        <v/>
      </c>
      <c r="P216" s="176">
        <f>IF($W216="","",INDEX($I$7:$I$306,$W216)&amp;"")</f>
        <v/>
      </c>
      <c r="Q216" s="176">
        <f>IF($W216="","",INDEX($J$7:$J$306,$W216)&amp;"")</f>
        <v/>
      </c>
      <c r="R216" s="176">
        <f>IF($W216="","",INDEX($F$7:$F$306,$W216)&amp;"")</f>
        <v/>
      </c>
      <c r="S216" s="175">
        <f>IF($W216="","",SUMIF($U$7:$U$306,INDEX($U$7:$U$306,$W216),$K$7:$K$306))</f>
        <v/>
      </c>
      <c r="U216">
        <f>IF(OR($X216="",N($K216)=0),"",UPPER(TRIM($G216&amp;"|"&amp;$H216&amp;"|"&amp;$I216&amp;"|"&amp;$J216&amp;"|"&amp;$F216)))</f>
        <v/>
      </c>
      <c r="V216">
        <f>IF($U216="","",IF(COUNTIF($U$7:$U216,$U216)=1,MAX($V$6:$V215)+1,""))</f>
        <v/>
      </c>
      <c r="W216">
        <f>IFERROR(MATCH(210,$V$7:$V$306,0),"")</f>
        <v/>
      </c>
      <c r="X216">
        <f>IFERROR(MATCH(210,'HW Sets'!$S$7:$S$306,0),"")</f>
        <v/>
      </c>
      <c r="Y216">
        <f>IF($X216="","",INDEX('HW Sets'!$J$7:$J$306,$X216)&amp;"")</f>
        <v/>
      </c>
      <c r="Z216">
        <f>IF($Y216="","",IF(COUNTIF($Y$7:$Y216,$Y216)=1,1,""))</f>
        <v/>
      </c>
    </row>
    <row r="217">
      <c r="A217" s="175">
        <f>IF($Z217="","",$Y217)</f>
        <v/>
      </c>
      <c r="B217" s="176">
        <f>IF($Z217="","",IFERROR(INDEX('HW Sets'!$N$7:$N$306,MATCH($Y217,'HW Sets'!$M$7:$M$306,0)),""))</f>
        <v/>
      </c>
      <c r="C217" s="177">
        <f t="array" ref="C217">IF($Z217="","",_xlfn.TEXTJOIN(", ",TRUE,IF(tk_HWSET&amp;""=$Y217,tk_MARK,"")))</f>
        <v/>
      </c>
      <c r="D217" s="176">
        <f t="array" ref="D217">IF($Z217="","",SUM(IF(tk_HWSET&amp;""=$Y217,IFERROR(--tk_QTY,0),0)))</f>
        <v/>
      </c>
      <c r="E217" s="176">
        <f>IF($X217="","",IF(INDEX('HW Sets'!$C$7:$C$306,$X217)="","",INDEX('HW Sets'!$C$7:$C$306,$X217)))</f>
        <v/>
      </c>
      <c r="F217" s="176">
        <f>IF($X217="","",IF(INDEX('HW Sets'!$D$7:$D$306,$X217)="","",INDEX('HW Sets'!$D$7:$D$306,$X217)))</f>
        <v/>
      </c>
      <c r="G217" s="176">
        <f>IF($X217="","",IF(INDEX('HW Sets'!$E$7:$E$306,$X217)="","",INDEX('HW Sets'!$E$7:$E$306,$X217)))</f>
        <v/>
      </c>
      <c r="H217" s="176">
        <f>IF($X217="","",IF(INDEX('HW Sets'!$F$7:$F$306,$X217)="","",INDEX('HW Sets'!$F$7:$F$306,$X217)))</f>
        <v/>
      </c>
      <c r="I217" s="176">
        <f>IF($X217="","",IF(INDEX('HW Sets'!$G$7:$G$306,$X217)="","",INDEX('HW Sets'!$G$7:$G$306,$X217)))</f>
        <v/>
      </c>
      <c r="J217" s="176">
        <f>IF($X217="","",IF(INDEX('HW Sets'!$H$7:$H$306,$X217)="","",INDEX('HW Sets'!$H$7:$H$306,$X217)))</f>
        <v/>
      </c>
      <c r="K217" s="175">
        <f t="array" ref="K217">IF($X217="","",N($E217)*SUM(IF(tk_HWSET&amp;""=$Y217,IFERROR(--tk_QTY,0),0)))</f>
        <v/>
      </c>
      <c r="L217" s="176">
        <f>IF($X217="","",IF(INDEX('HW Sets'!$I$7:$I$306,$X217)="","",INDEX('HW Sets'!$I$7:$I$306,$X217)))</f>
        <v/>
      </c>
      <c r="N217" s="176">
        <f>IF($W217="","",INDEX($G$7:$G$306,$W217)&amp;"")</f>
        <v/>
      </c>
      <c r="O217" s="176">
        <f>IF($W217="","",INDEX($H$7:$H$306,$W217)&amp;"")</f>
        <v/>
      </c>
      <c r="P217" s="176">
        <f>IF($W217="","",INDEX($I$7:$I$306,$W217)&amp;"")</f>
        <v/>
      </c>
      <c r="Q217" s="176">
        <f>IF($W217="","",INDEX($J$7:$J$306,$W217)&amp;"")</f>
        <v/>
      </c>
      <c r="R217" s="176">
        <f>IF($W217="","",INDEX($F$7:$F$306,$W217)&amp;"")</f>
        <v/>
      </c>
      <c r="S217" s="175">
        <f>IF($W217="","",SUMIF($U$7:$U$306,INDEX($U$7:$U$306,$W217),$K$7:$K$306))</f>
        <v/>
      </c>
      <c r="U217">
        <f>IF(OR($X217="",N($K217)=0),"",UPPER(TRIM($G217&amp;"|"&amp;$H217&amp;"|"&amp;$I217&amp;"|"&amp;$J217&amp;"|"&amp;$F217)))</f>
        <v/>
      </c>
      <c r="V217">
        <f>IF($U217="","",IF(COUNTIF($U$7:$U217,$U217)=1,MAX($V$6:$V216)+1,""))</f>
        <v/>
      </c>
      <c r="W217">
        <f>IFERROR(MATCH(211,$V$7:$V$306,0),"")</f>
        <v/>
      </c>
      <c r="X217">
        <f>IFERROR(MATCH(211,'HW Sets'!$S$7:$S$306,0),"")</f>
        <v/>
      </c>
      <c r="Y217">
        <f>IF($X217="","",INDEX('HW Sets'!$J$7:$J$306,$X217)&amp;"")</f>
        <v/>
      </c>
      <c r="Z217">
        <f>IF($Y217="","",IF(COUNTIF($Y$7:$Y217,$Y217)=1,1,""))</f>
        <v/>
      </c>
    </row>
    <row r="218">
      <c r="A218" s="175">
        <f>IF($Z218="","",$Y218)</f>
        <v/>
      </c>
      <c r="B218" s="176">
        <f>IF($Z218="","",IFERROR(INDEX('HW Sets'!$N$7:$N$306,MATCH($Y218,'HW Sets'!$M$7:$M$306,0)),""))</f>
        <v/>
      </c>
      <c r="C218" s="177">
        <f t="array" ref="C218">IF($Z218="","",_xlfn.TEXTJOIN(", ",TRUE,IF(tk_HWSET&amp;""=$Y218,tk_MARK,"")))</f>
        <v/>
      </c>
      <c r="D218" s="176">
        <f t="array" ref="D218">IF($Z218="","",SUM(IF(tk_HWSET&amp;""=$Y218,IFERROR(--tk_QTY,0),0)))</f>
        <v/>
      </c>
      <c r="E218" s="176">
        <f>IF($X218="","",IF(INDEX('HW Sets'!$C$7:$C$306,$X218)="","",INDEX('HW Sets'!$C$7:$C$306,$X218)))</f>
        <v/>
      </c>
      <c r="F218" s="176">
        <f>IF($X218="","",IF(INDEX('HW Sets'!$D$7:$D$306,$X218)="","",INDEX('HW Sets'!$D$7:$D$306,$X218)))</f>
        <v/>
      </c>
      <c r="G218" s="176">
        <f>IF($X218="","",IF(INDEX('HW Sets'!$E$7:$E$306,$X218)="","",INDEX('HW Sets'!$E$7:$E$306,$X218)))</f>
        <v/>
      </c>
      <c r="H218" s="176">
        <f>IF($X218="","",IF(INDEX('HW Sets'!$F$7:$F$306,$X218)="","",INDEX('HW Sets'!$F$7:$F$306,$X218)))</f>
        <v/>
      </c>
      <c r="I218" s="176">
        <f>IF($X218="","",IF(INDEX('HW Sets'!$G$7:$G$306,$X218)="","",INDEX('HW Sets'!$G$7:$G$306,$X218)))</f>
        <v/>
      </c>
      <c r="J218" s="176">
        <f>IF($X218="","",IF(INDEX('HW Sets'!$H$7:$H$306,$X218)="","",INDEX('HW Sets'!$H$7:$H$306,$X218)))</f>
        <v/>
      </c>
      <c r="K218" s="175">
        <f t="array" ref="K218">IF($X218="","",N($E218)*SUM(IF(tk_HWSET&amp;""=$Y218,IFERROR(--tk_QTY,0),0)))</f>
        <v/>
      </c>
      <c r="L218" s="176">
        <f>IF($X218="","",IF(INDEX('HW Sets'!$I$7:$I$306,$X218)="","",INDEX('HW Sets'!$I$7:$I$306,$X218)))</f>
        <v/>
      </c>
      <c r="N218" s="176">
        <f>IF($W218="","",INDEX($G$7:$G$306,$W218)&amp;"")</f>
        <v/>
      </c>
      <c r="O218" s="176">
        <f>IF($W218="","",INDEX($H$7:$H$306,$W218)&amp;"")</f>
        <v/>
      </c>
      <c r="P218" s="176">
        <f>IF($W218="","",INDEX($I$7:$I$306,$W218)&amp;"")</f>
        <v/>
      </c>
      <c r="Q218" s="176">
        <f>IF($W218="","",INDEX($J$7:$J$306,$W218)&amp;"")</f>
        <v/>
      </c>
      <c r="R218" s="176">
        <f>IF($W218="","",INDEX($F$7:$F$306,$W218)&amp;"")</f>
        <v/>
      </c>
      <c r="S218" s="175">
        <f>IF($W218="","",SUMIF($U$7:$U$306,INDEX($U$7:$U$306,$W218),$K$7:$K$306))</f>
        <v/>
      </c>
      <c r="U218">
        <f>IF(OR($X218="",N($K218)=0),"",UPPER(TRIM($G218&amp;"|"&amp;$H218&amp;"|"&amp;$I218&amp;"|"&amp;$J218&amp;"|"&amp;$F218)))</f>
        <v/>
      </c>
      <c r="V218">
        <f>IF($U218="","",IF(COUNTIF($U$7:$U218,$U218)=1,MAX($V$6:$V217)+1,""))</f>
        <v/>
      </c>
      <c r="W218">
        <f>IFERROR(MATCH(212,$V$7:$V$306,0),"")</f>
        <v/>
      </c>
      <c r="X218">
        <f>IFERROR(MATCH(212,'HW Sets'!$S$7:$S$306,0),"")</f>
        <v/>
      </c>
      <c r="Y218">
        <f>IF($X218="","",INDEX('HW Sets'!$J$7:$J$306,$X218)&amp;"")</f>
        <v/>
      </c>
      <c r="Z218">
        <f>IF($Y218="","",IF(COUNTIF($Y$7:$Y218,$Y218)=1,1,""))</f>
        <v/>
      </c>
    </row>
    <row r="219">
      <c r="A219" s="175">
        <f>IF($Z219="","",$Y219)</f>
        <v/>
      </c>
      <c r="B219" s="176">
        <f>IF($Z219="","",IFERROR(INDEX('HW Sets'!$N$7:$N$306,MATCH($Y219,'HW Sets'!$M$7:$M$306,0)),""))</f>
        <v/>
      </c>
      <c r="C219" s="177">
        <f t="array" ref="C219">IF($Z219="","",_xlfn.TEXTJOIN(", ",TRUE,IF(tk_HWSET&amp;""=$Y219,tk_MARK,"")))</f>
        <v/>
      </c>
      <c r="D219" s="176">
        <f t="array" ref="D219">IF($Z219="","",SUM(IF(tk_HWSET&amp;""=$Y219,IFERROR(--tk_QTY,0),0)))</f>
        <v/>
      </c>
      <c r="E219" s="176">
        <f>IF($X219="","",IF(INDEX('HW Sets'!$C$7:$C$306,$X219)="","",INDEX('HW Sets'!$C$7:$C$306,$X219)))</f>
        <v/>
      </c>
      <c r="F219" s="176">
        <f>IF($X219="","",IF(INDEX('HW Sets'!$D$7:$D$306,$X219)="","",INDEX('HW Sets'!$D$7:$D$306,$X219)))</f>
        <v/>
      </c>
      <c r="G219" s="176">
        <f>IF($X219="","",IF(INDEX('HW Sets'!$E$7:$E$306,$X219)="","",INDEX('HW Sets'!$E$7:$E$306,$X219)))</f>
        <v/>
      </c>
      <c r="H219" s="176">
        <f>IF($X219="","",IF(INDEX('HW Sets'!$F$7:$F$306,$X219)="","",INDEX('HW Sets'!$F$7:$F$306,$X219)))</f>
        <v/>
      </c>
      <c r="I219" s="176">
        <f>IF($X219="","",IF(INDEX('HW Sets'!$G$7:$G$306,$X219)="","",INDEX('HW Sets'!$G$7:$G$306,$X219)))</f>
        <v/>
      </c>
      <c r="J219" s="176">
        <f>IF($X219="","",IF(INDEX('HW Sets'!$H$7:$H$306,$X219)="","",INDEX('HW Sets'!$H$7:$H$306,$X219)))</f>
        <v/>
      </c>
      <c r="K219" s="175">
        <f t="array" ref="K219">IF($X219="","",N($E219)*SUM(IF(tk_HWSET&amp;""=$Y219,IFERROR(--tk_QTY,0),0)))</f>
        <v/>
      </c>
      <c r="L219" s="176">
        <f>IF($X219="","",IF(INDEX('HW Sets'!$I$7:$I$306,$X219)="","",INDEX('HW Sets'!$I$7:$I$306,$X219)))</f>
        <v/>
      </c>
      <c r="N219" s="176">
        <f>IF($W219="","",INDEX($G$7:$G$306,$W219)&amp;"")</f>
        <v/>
      </c>
      <c r="O219" s="176">
        <f>IF($W219="","",INDEX($H$7:$H$306,$W219)&amp;"")</f>
        <v/>
      </c>
      <c r="P219" s="176">
        <f>IF($W219="","",INDEX($I$7:$I$306,$W219)&amp;"")</f>
        <v/>
      </c>
      <c r="Q219" s="176">
        <f>IF($W219="","",INDEX($J$7:$J$306,$W219)&amp;"")</f>
        <v/>
      </c>
      <c r="R219" s="176">
        <f>IF($W219="","",INDEX($F$7:$F$306,$W219)&amp;"")</f>
        <v/>
      </c>
      <c r="S219" s="175">
        <f>IF($W219="","",SUMIF($U$7:$U$306,INDEX($U$7:$U$306,$W219),$K$7:$K$306))</f>
        <v/>
      </c>
      <c r="U219">
        <f>IF(OR($X219="",N($K219)=0),"",UPPER(TRIM($G219&amp;"|"&amp;$H219&amp;"|"&amp;$I219&amp;"|"&amp;$J219&amp;"|"&amp;$F219)))</f>
        <v/>
      </c>
      <c r="V219">
        <f>IF($U219="","",IF(COUNTIF($U$7:$U219,$U219)=1,MAX($V$6:$V218)+1,""))</f>
        <v/>
      </c>
      <c r="W219">
        <f>IFERROR(MATCH(213,$V$7:$V$306,0),"")</f>
        <v/>
      </c>
      <c r="X219">
        <f>IFERROR(MATCH(213,'HW Sets'!$S$7:$S$306,0),"")</f>
        <v/>
      </c>
      <c r="Y219">
        <f>IF($X219="","",INDEX('HW Sets'!$J$7:$J$306,$X219)&amp;"")</f>
        <v/>
      </c>
      <c r="Z219">
        <f>IF($Y219="","",IF(COUNTIF($Y$7:$Y219,$Y219)=1,1,""))</f>
        <v/>
      </c>
    </row>
    <row r="220">
      <c r="A220" s="175">
        <f>IF($Z220="","",$Y220)</f>
        <v/>
      </c>
      <c r="B220" s="176">
        <f>IF($Z220="","",IFERROR(INDEX('HW Sets'!$N$7:$N$306,MATCH($Y220,'HW Sets'!$M$7:$M$306,0)),""))</f>
        <v/>
      </c>
      <c r="C220" s="177">
        <f t="array" ref="C220">IF($Z220="","",_xlfn.TEXTJOIN(", ",TRUE,IF(tk_HWSET&amp;""=$Y220,tk_MARK,"")))</f>
        <v/>
      </c>
      <c r="D220" s="176">
        <f t="array" ref="D220">IF($Z220="","",SUM(IF(tk_HWSET&amp;""=$Y220,IFERROR(--tk_QTY,0),0)))</f>
        <v/>
      </c>
      <c r="E220" s="176">
        <f>IF($X220="","",IF(INDEX('HW Sets'!$C$7:$C$306,$X220)="","",INDEX('HW Sets'!$C$7:$C$306,$X220)))</f>
        <v/>
      </c>
      <c r="F220" s="176">
        <f>IF($X220="","",IF(INDEX('HW Sets'!$D$7:$D$306,$X220)="","",INDEX('HW Sets'!$D$7:$D$306,$X220)))</f>
        <v/>
      </c>
      <c r="G220" s="176">
        <f>IF($X220="","",IF(INDEX('HW Sets'!$E$7:$E$306,$X220)="","",INDEX('HW Sets'!$E$7:$E$306,$X220)))</f>
        <v/>
      </c>
      <c r="H220" s="176">
        <f>IF($X220="","",IF(INDEX('HW Sets'!$F$7:$F$306,$X220)="","",INDEX('HW Sets'!$F$7:$F$306,$X220)))</f>
        <v/>
      </c>
      <c r="I220" s="176">
        <f>IF($X220="","",IF(INDEX('HW Sets'!$G$7:$G$306,$X220)="","",INDEX('HW Sets'!$G$7:$G$306,$X220)))</f>
        <v/>
      </c>
      <c r="J220" s="176">
        <f>IF($X220="","",IF(INDEX('HW Sets'!$H$7:$H$306,$X220)="","",INDEX('HW Sets'!$H$7:$H$306,$X220)))</f>
        <v/>
      </c>
      <c r="K220" s="175">
        <f t="array" ref="K220">IF($X220="","",N($E220)*SUM(IF(tk_HWSET&amp;""=$Y220,IFERROR(--tk_QTY,0),0)))</f>
        <v/>
      </c>
      <c r="L220" s="176">
        <f>IF($X220="","",IF(INDEX('HW Sets'!$I$7:$I$306,$X220)="","",INDEX('HW Sets'!$I$7:$I$306,$X220)))</f>
        <v/>
      </c>
      <c r="N220" s="176">
        <f>IF($W220="","",INDEX($G$7:$G$306,$W220)&amp;"")</f>
        <v/>
      </c>
      <c r="O220" s="176">
        <f>IF($W220="","",INDEX($H$7:$H$306,$W220)&amp;"")</f>
        <v/>
      </c>
      <c r="P220" s="176">
        <f>IF($W220="","",INDEX($I$7:$I$306,$W220)&amp;"")</f>
        <v/>
      </c>
      <c r="Q220" s="176">
        <f>IF($W220="","",INDEX($J$7:$J$306,$W220)&amp;"")</f>
        <v/>
      </c>
      <c r="R220" s="176">
        <f>IF($W220="","",INDEX($F$7:$F$306,$W220)&amp;"")</f>
        <v/>
      </c>
      <c r="S220" s="175">
        <f>IF($W220="","",SUMIF($U$7:$U$306,INDEX($U$7:$U$306,$W220),$K$7:$K$306))</f>
        <v/>
      </c>
      <c r="U220">
        <f>IF(OR($X220="",N($K220)=0),"",UPPER(TRIM($G220&amp;"|"&amp;$H220&amp;"|"&amp;$I220&amp;"|"&amp;$J220&amp;"|"&amp;$F220)))</f>
        <v/>
      </c>
      <c r="V220">
        <f>IF($U220="","",IF(COUNTIF($U$7:$U220,$U220)=1,MAX($V$6:$V219)+1,""))</f>
        <v/>
      </c>
      <c r="W220">
        <f>IFERROR(MATCH(214,$V$7:$V$306,0),"")</f>
        <v/>
      </c>
      <c r="X220">
        <f>IFERROR(MATCH(214,'HW Sets'!$S$7:$S$306,0),"")</f>
        <v/>
      </c>
      <c r="Y220">
        <f>IF($X220="","",INDEX('HW Sets'!$J$7:$J$306,$X220)&amp;"")</f>
        <v/>
      </c>
      <c r="Z220">
        <f>IF($Y220="","",IF(COUNTIF($Y$7:$Y220,$Y220)=1,1,""))</f>
        <v/>
      </c>
    </row>
    <row r="221">
      <c r="A221" s="175">
        <f>IF($Z221="","",$Y221)</f>
        <v/>
      </c>
      <c r="B221" s="176">
        <f>IF($Z221="","",IFERROR(INDEX('HW Sets'!$N$7:$N$306,MATCH($Y221,'HW Sets'!$M$7:$M$306,0)),""))</f>
        <v/>
      </c>
      <c r="C221" s="177">
        <f t="array" ref="C221">IF($Z221="","",_xlfn.TEXTJOIN(", ",TRUE,IF(tk_HWSET&amp;""=$Y221,tk_MARK,"")))</f>
        <v/>
      </c>
      <c r="D221" s="176">
        <f t="array" ref="D221">IF($Z221="","",SUM(IF(tk_HWSET&amp;""=$Y221,IFERROR(--tk_QTY,0),0)))</f>
        <v/>
      </c>
      <c r="E221" s="176">
        <f>IF($X221="","",IF(INDEX('HW Sets'!$C$7:$C$306,$X221)="","",INDEX('HW Sets'!$C$7:$C$306,$X221)))</f>
        <v/>
      </c>
      <c r="F221" s="176">
        <f>IF($X221="","",IF(INDEX('HW Sets'!$D$7:$D$306,$X221)="","",INDEX('HW Sets'!$D$7:$D$306,$X221)))</f>
        <v/>
      </c>
      <c r="G221" s="176">
        <f>IF($X221="","",IF(INDEX('HW Sets'!$E$7:$E$306,$X221)="","",INDEX('HW Sets'!$E$7:$E$306,$X221)))</f>
        <v/>
      </c>
      <c r="H221" s="176">
        <f>IF($X221="","",IF(INDEX('HW Sets'!$F$7:$F$306,$X221)="","",INDEX('HW Sets'!$F$7:$F$306,$X221)))</f>
        <v/>
      </c>
      <c r="I221" s="176">
        <f>IF($X221="","",IF(INDEX('HW Sets'!$G$7:$G$306,$X221)="","",INDEX('HW Sets'!$G$7:$G$306,$X221)))</f>
        <v/>
      </c>
      <c r="J221" s="176">
        <f>IF($X221="","",IF(INDEX('HW Sets'!$H$7:$H$306,$X221)="","",INDEX('HW Sets'!$H$7:$H$306,$X221)))</f>
        <v/>
      </c>
      <c r="K221" s="175">
        <f t="array" ref="K221">IF($X221="","",N($E221)*SUM(IF(tk_HWSET&amp;""=$Y221,IFERROR(--tk_QTY,0),0)))</f>
        <v/>
      </c>
      <c r="L221" s="176">
        <f>IF($X221="","",IF(INDEX('HW Sets'!$I$7:$I$306,$X221)="","",INDEX('HW Sets'!$I$7:$I$306,$X221)))</f>
        <v/>
      </c>
      <c r="N221" s="176">
        <f>IF($W221="","",INDEX($G$7:$G$306,$W221)&amp;"")</f>
        <v/>
      </c>
      <c r="O221" s="176">
        <f>IF($W221="","",INDEX($H$7:$H$306,$W221)&amp;"")</f>
        <v/>
      </c>
      <c r="P221" s="176">
        <f>IF($W221="","",INDEX($I$7:$I$306,$W221)&amp;"")</f>
        <v/>
      </c>
      <c r="Q221" s="176">
        <f>IF($W221="","",INDEX($J$7:$J$306,$W221)&amp;"")</f>
        <v/>
      </c>
      <c r="R221" s="176">
        <f>IF($W221="","",INDEX($F$7:$F$306,$W221)&amp;"")</f>
        <v/>
      </c>
      <c r="S221" s="175">
        <f>IF($W221="","",SUMIF($U$7:$U$306,INDEX($U$7:$U$306,$W221),$K$7:$K$306))</f>
        <v/>
      </c>
      <c r="U221">
        <f>IF(OR($X221="",N($K221)=0),"",UPPER(TRIM($G221&amp;"|"&amp;$H221&amp;"|"&amp;$I221&amp;"|"&amp;$J221&amp;"|"&amp;$F221)))</f>
        <v/>
      </c>
      <c r="V221">
        <f>IF($U221="","",IF(COUNTIF($U$7:$U221,$U221)=1,MAX($V$6:$V220)+1,""))</f>
        <v/>
      </c>
      <c r="W221">
        <f>IFERROR(MATCH(215,$V$7:$V$306,0),"")</f>
        <v/>
      </c>
      <c r="X221">
        <f>IFERROR(MATCH(215,'HW Sets'!$S$7:$S$306,0),"")</f>
        <v/>
      </c>
      <c r="Y221">
        <f>IF($X221="","",INDEX('HW Sets'!$J$7:$J$306,$X221)&amp;"")</f>
        <v/>
      </c>
      <c r="Z221">
        <f>IF($Y221="","",IF(COUNTIF($Y$7:$Y221,$Y221)=1,1,""))</f>
        <v/>
      </c>
    </row>
    <row r="222">
      <c r="A222" s="175">
        <f>IF($Z222="","",$Y222)</f>
        <v/>
      </c>
      <c r="B222" s="176">
        <f>IF($Z222="","",IFERROR(INDEX('HW Sets'!$N$7:$N$306,MATCH($Y222,'HW Sets'!$M$7:$M$306,0)),""))</f>
        <v/>
      </c>
      <c r="C222" s="177">
        <f t="array" ref="C222">IF($Z222="","",_xlfn.TEXTJOIN(", ",TRUE,IF(tk_HWSET&amp;""=$Y222,tk_MARK,"")))</f>
        <v/>
      </c>
      <c r="D222" s="176">
        <f t="array" ref="D222">IF($Z222="","",SUM(IF(tk_HWSET&amp;""=$Y222,IFERROR(--tk_QTY,0),0)))</f>
        <v/>
      </c>
      <c r="E222" s="176">
        <f>IF($X222="","",IF(INDEX('HW Sets'!$C$7:$C$306,$X222)="","",INDEX('HW Sets'!$C$7:$C$306,$X222)))</f>
        <v/>
      </c>
      <c r="F222" s="176">
        <f>IF($X222="","",IF(INDEX('HW Sets'!$D$7:$D$306,$X222)="","",INDEX('HW Sets'!$D$7:$D$306,$X222)))</f>
        <v/>
      </c>
      <c r="G222" s="176">
        <f>IF($X222="","",IF(INDEX('HW Sets'!$E$7:$E$306,$X222)="","",INDEX('HW Sets'!$E$7:$E$306,$X222)))</f>
        <v/>
      </c>
      <c r="H222" s="176">
        <f>IF($X222="","",IF(INDEX('HW Sets'!$F$7:$F$306,$X222)="","",INDEX('HW Sets'!$F$7:$F$306,$X222)))</f>
        <v/>
      </c>
      <c r="I222" s="176">
        <f>IF($X222="","",IF(INDEX('HW Sets'!$G$7:$G$306,$X222)="","",INDEX('HW Sets'!$G$7:$G$306,$X222)))</f>
        <v/>
      </c>
      <c r="J222" s="176">
        <f>IF($X222="","",IF(INDEX('HW Sets'!$H$7:$H$306,$X222)="","",INDEX('HW Sets'!$H$7:$H$306,$X222)))</f>
        <v/>
      </c>
      <c r="K222" s="175">
        <f t="array" ref="K222">IF($X222="","",N($E222)*SUM(IF(tk_HWSET&amp;""=$Y222,IFERROR(--tk_QTY,0),0)))</f>
        <v/>
      </c>
      <c r="L222" s="176">
        <f>IF($X222="","",IF(INDEX('HW Sets'!$I$7:$I$306,$X222)="","",INDEX('HW Sets'!$I$7:$I$306,$X222)))</f>
        <v/>
      </c>
      <c r="N222" s="176">
        <f>IF($W222="","",INDEX($G$7:$G$306,$W222)&amp;"")</f>
        <v/>
      </c>
      <c r="O222" s="176">
        <f>IF($W222="","",INDEX($H$7:$H$306,$W222)&amp;"")</f>
        <v/>
      </c>
      <c r="P222" s="176">
        <f>IF($W222="","",INDEX($I$7:$I$306,$W222)&amp;"")</f>
        <v/>
      </c>
      <c r="Q222" s="176">
        <f>IF($W222="","",INDEX($J$7:$J$306,$W222)&amp;"")</f>
        <v/>
      </c>
      <c r="R222" s="176">
        <f>IF($W222="","",INDEX($F$7:$F$306,$W222)&amp;"")</f>
        <v/>
      </c>
      <c r="S222" s="175">
        <f>IF($W222="","",SUMIF($U$7:$U$306,INDEX($U$7:$U$306,$W222),$K$7:$K$306))</f>
        <v/>
      </c>
      <c r="U222">
        <f>IF(OR($X222="",N($K222)=0),"",UPPER(TRIM($G222&amp;"|"&amp;$H222&amp;"|"&amp;$I222&amp;"|"&amp;$J222&amp;"|"&amp;$F222)))</f>
        <v/>
      </c>
      <c r="V222">
        <f>IF($U222="","",IF(COUNTIF($U$7:$U222,$U222)=1,MAX($V$6:$V221)+1,""))</f>
        <v/>
      </c>
      <c r="W222">
        <f>IFERROR(MATCH(216,$V$7:$V$306,0),"")</f>
        <v/>
      </c>
      <c r="X222">
        <f>IFERROR(MATCH(216,'HW Sets'!$S$7:$S$306,0),"")</f>
        <v/>
      </c>
      <c r="Y222">
        <f>IF($X222="","",INDEX('HW Sets'!$J$7:$J$306,$X222)&amp;"")</f>
        <v/>
      </c>
      <c r="Z222">
        <f>IF($Y222="","",IF(COUNTIF($Y$7:$Y222,$Y222)=1,1,""))</f>
        <v/>
      </c>
    </row>
    <row r="223">
      <c r="A223" s="175">
        <f>IF($Z223="","",$Y223)</f>
        <v/>
      </c>
      <c r="B223" s="176">
        <f>IF($Z223="","",IFERROR(INDEX('HW Sets'!$N$7:$N$306,MATCH($Y223,'HW Sets'!$M$7:$M$306,0)),""))</f>
        <v/>
      </c>
      <c r="C223" s="177">
        <f t="array" ref="C223">IF($Z223="","",_xlfn.TEXTJOIN(", ",TRUE,IF(tk_HWSET&amp;""=$Y223,tk_MARK,"")))</f>
        <v/>
      </c>
      <c r="D223" s="176">
        <f t="array" ref="D223">IF($Z223="","",SUM(IF(tk_HWSET&amp;""=$Y223,IFERROR(--tk_QTY,0),0)))</f>
        <v/>
      </c>
      <c r="E223" s="176">
        <f>IF($X223="","",IF(INDEX('HW Sets'!$C$7:$C$306,$X223)="","",INDEX('HW Sets'!$C$7:$C$306,$X223)))</f>
        <v/>
      </c>
      <c r="F223" s="176">
        <f>IF($X223="","",IF(INDEX('HW Sets'!$D$7:$D$306,$X223)="","",INDEX('HW Sets'!$D$7:$D$306,$X223)))</f>
        <v/>
      </c>
      <c r="G223" s="176">
        <f>IF($X223="","",IF(INDEX('HW Sets'!$E$7:$E$306,$X223)="","",INDEX('HW Sets'!$E$7:$E$306,$X223)))</f>
        <v/>
      </c>
      <c r="H223" s="176">
        <f>IF($X223="","",IF(INDEX('HW Sets'!$F$7:$F$306,$X223)="","",INDEX('HW Sets'!$F$7:$F$306,$X223)))</f>
        <v/>
      </c>
      <c r="I223" s="176">
        <f>IF($X223="","",IF(INDEX('HW Sets'!$G$7:$G$306,$X223)="","",INDEX('HW Sets'!$G$7:$G$306,$X223)))</f>
        <v/>
      </c>
      <c r="J223" s="176">
        <f>IF($X223="","",IF(INDEX('HW Sets'!$H$7:$H$306,$X223)="","",INDEX('HW Sets'!$H$7:$H$306,$X223)))</f>
        <v/>
      </c>
      <c r="K223" s="175">
        <f t="array" ref="K223">IF($X223="","",N($E223)*SUM(IF(tk_HWSET&amp;""=$Y223,IFERROR(--tk_QTY,0),0)))</f>
        <v/>
      </c>
      <c r="L223" s="176">
        <f>IF($X223="","",IF(INDEX('HW Sets'!$I$7:$I$306,$X223)="","",INDEX('HW Sets'!$I$7:$I$306,$X223)))</f>
        <v/>
      </c>
      <c r="N223" s="176">
        <f>IF($W223="","",INDEX($G$7:$G$306,$W223)&amp;"")</f>
        <v/>
      </c>
      <c r="O223" s="176">
        <f>IF($W223="","",INDEX($H$7:$H$306,$W223)&amp;"")</f>
        <v/>
      </c>
      <c r="P223" s="176">
        <f>IF($W223="","",INDEX($I$7:$I$306,$W223)&amp;"")</f>
        <v/>
      </c>
      <c r="Q223" s="176">
        <f>IF($W223="","",INDEX($J$7:$J$306,$W223)&amp;"")</f>
        <v/>
      </c>
      <c r="R223" s="176">
        <f>IF($W223="","",INDEX($F$7:$F$306,$W223)&amp;"")</f>
        <v/>
      </c>
      <c r="S223" s="175">
        <f>IF($W223="","",SUMIF($U$7:$U$306,INDEX($U$7:$U$306,$W223),$K$7:$K$306))</f>
        <v/>
      </c>
      <c r="U223">
        <f>IF(OR($X223="",N($K223)=0),"",UPPER(TRIM($G223&amp;"|"&amp;$H223&amp;"|"&amp;$I223&amp;"|"&amp;$J223&amp;"|"&amp;$F223)))</f>
        <v/>
      </c>
      <c r="V223">
        <f>IF($U223="","",IF(COUNTIF($U$7:$U223,$U223)=1,MAX($V$6:$V222)+1,""))</f>
        <v/>
      </c>
      <c r="W223">
        <f>IFERROR(MATCH(217,$V$7:$V$306,0),"")</f>
        <v/>
      </c>
      <c r="X223">
        <f>IFERROR(MATCH(217,'HW Sets'!$S$7:$S$306,0),"")</f>
        <v/>
      </c>
      <c r="Y223">
        <f>IF($X223="","",INDEX('HW Sets'!$J$7:$J$306,$X223)&amp;"")</f>
        <v/>
      </c>
      <c r="Z223">
        <f>IF($Y223="","",IF(COUNTIF($Y$7:$Y223,$Y223)=1,1,""))</f>
        <v/>
      </c>
    </row>
    <row r="224">
      <c r="A224" s="175">
        <f>IF($Z224="","",$Y224)</f>
        <v/>
      </c>
      <c r="B224" s="176">
        <f>IF($Z224="","",IFERROR(INDEX('HW Sets'!$N$7:$N$306,MATCH($Y224,'HW Sets'!$M$7:$M$306,0)),""))</f>
        <v/>
      </c>
      <c r="C224" s="177">
        <f t="array" ref="C224">IF($Z224="","",_xlfn.TEXTJOIN(", ",TRUE,IF(tk_HWSET&amp;""=$Y224,tk_MARK,"")))</f>
        <v/>
      </c>
      <c r="D224" s="176">
        <f t="array" ref="D224">IF($Z224="","",SUM(IF(tk_HWSET&amp;""=$Y224,IFERROR(--tk_QTY,0),0)))</f>
        <v/>
      </c>
      <c r="E224" s="176">
        <f>IF($X224="","",IF(INDEX('HW Sets'!$C$7:$C$306,$X224)="","",INDEX('HW Sets'!$C$7:$C$306,$X224)))</f>
        <v/>
      </c>
      <c r="F224" s="176">
        <f>IF($X224="","",IF(INDEX('HW Sets'!$D$7:$D$306,$X224)="","",INDEX('HW Sets'!$D$7:$D$306,$X224)))</f>
        <v/>
      </c>
      <c r="G224" s="176">
        <f>IF($X224="","",IF(INDEX('HW Sets'!$E$7:$E$306,$X224)="","",INDEX('HW Sets'!$E$7:$E$306,$X224)))</f>
        <v/>
      </c>
      <c r="H224" s="176">
        <f>IF($X224="","",IF(INDEX('HW Sets'!$F$7:$F$306,$X224)="","",INDEX('HW Sets'!$F$7:$F$306,$X224)))</f>
        <v/>
      </c>
      <c r="I224" s="176">
        <f>IF($X224="","",IF(INDEX('HW Sets'!$G$7:$G$306,$X224)="","",INDEX('HW Sets'!$G$7:$G$306,$X224)))</f>
        <v/>
      </c>
      <c r="J224" s="176">
        <f>IF($X224="","",IF(INDEX('HW Sets'!$H$7:$H$306,$X224)="","",INDEX('HW Sets'!$H$7:$H$306,$X224)))</f>
        <v/>
      </c>
      <c r="K224" s="175">
        <f t="array" ref="K224">IF($X224="","",N($E224)*SUM(IF(tk_HWSET&amp;""=$Y224,IFERROR(--tk_QTY,0),0)))</f>
        <v/>
      </c>
      <c r="L224" s="176">
        <f>IF($X224="","",IF(INDEX('HW Sets'!$I$7:$I$306,$X224)="","",INDEX('HW Sets'!$I$7:$I$306,$X224)))</f>
        <v/>
      </c>
      <c r="N224" s="176">
        <f>IF($W224="","",INDEX($G$7:$G$306,$W224)&amp;"")</f>
        <v/>
      </c>
      <c r="O224" s="176">
        <f>IF($W224="","",INDEX($H$7:$H$306,$W224)&amp;"")</f>
        <v/>
      </c>
      <c r="P224" s="176">
        <f>IF($W224="","",INDEX($I$7:$I$306,$W224)&amp;"")</f>
        <v/>
      </c>
      <c r="Q224" s="176">
        <f>IF($W224="","",INDEX($J$7:$J$306,$W224)&amp;"")</f>
        <v/>
      </c>
      <c r="R224" s="176">
        <f>IF($W224="","",INDEX($F$7:$F$306,$W224)&amp;"")</f>
        <v/>
      </c>
      <c r="S224" s="175">
        <f>IF($W224="","",SUMIF($U$7:$U$306,INDEX($U$7:$U$306,$W224),$K$7:$K$306))</f>
        <v/>
      </c>
      <c r="U224">
        <f>IF(OR($X224="",N($K224)=0),"",UPPER(TRIM($G224&amp;"|"&amp;$H224&amp;"|"&amp;$I224&amp;"|"&amp;$J224&amp;"|"&amp;$F224)))</f>
        <v/>
      </c>
      <c r="V224">
        <f>IF($U224="","",IF(COUNTIF($U$7:$U224,$U224)=1,MAX($V$6:$V223)+1,""))</f>
        <v/>
      </c>
      <c r="W224">
        <f>IFERROR(MATCH(218,$V$7:$V$306,0),"")</f>
        <v/>
      </c>
      <c r="X224">
        <f>IFERROR(MATCH(218,'HW Sets'!$S$7:$S$306,0),"")</f>
        <v/>
      </c>
      <c r="Y224">
        <f>IF($X224="","",INDEX('HW Sets'!$J$7:$J$306,$X224)&amp;"")</f>
        <v/>
      </c>
      <c r="Z224">
        <f>IF($Y224="","",IF(COUNTIF($Y$7:$Y224,$Y224)=1,1,""))</f>
        <v/>
      </c>
    </row>
    <row r="225">
      <c r="A225" s="175">
        <f>IF($Z225="","",$Y225)</f>
        <v/>
      </c>
      <c r="B225" s="176">
        <f>IF($Z225="","",IFERROR(INDEX('HW Sets'!$N$7:$N$306,MATCH($Y225,'HW Sets'!$M$7:$M$306,0)),""))</f>
        <v/>
      </c>
      <c r="C225" s="177">
        <f t="array" ref="C225">IF($Z225="","",_xlfn.TEXTJOIN(", ",TRUE,IF(tk_HWSET&amp;""=$Y225,tk_MARK,"")))</f>
        <v/>
      </c>
      <c r="D225" s="176">
        <f t="array" ref="D225">IF($Z225="","",SUM(IF(tk_HWSET&amp;""=$Y225,IFERROR(--tk_QTY,0),0)))</f>
        <v/>
      </c>
      <c r="E225" s="176">
        <f>IF($X225="","",IF(INDEX('HW Sets'!$C$7:$C$306,$X225)="","",INDEX('HW Sets'!$C$7:$C$306,$X225)))</f>
        <v/>
      </c>
      <c r="F225" s="176">
        <f>IF($X225="","",IF(INDEX('HW Sets'!$D$7:$D$306,$X225)="","",INDEX('HW Sets'!$D$7:$D$306,$X225)))</f>
        <v/>
      </c>
      <c r="G225" s="176">
        <f>IF($X225="","",IF(INDEX('HW Sets'!$E$7:$E$306,$X225)="","",INDEX('HW Sets'!$E$7:$E$306,$X225)))</f>
        <v/>
      </c>
      <c r="H225" s="176">
        <f>IF($X225="","",IF(INDEX('HW Sets'!$F$7:$F$306,$X225)="","",INDEX('HW Sets'!$F$7:$F$306,$X225)))</f>
        <v/>
      </c>
      <c r="I225" s="176">
        <f>IF($X225="","",IF(INDEX('HW Sets'!$G$7:$G$306,$X225)="","",INDEX('HW Sets'!$G$7:$G$306,$X225)))</f>
        <v/>
      </c>
      <c r="J225" s="176">
        <f>IF($X225="","",IF(INDEX('HW Sets'!$H$7:$H$306,$X225)="","",INDEX('HW Sets'!$H$7:$H$306,$X225)))</f>
        <v/>
      </c>
      <c r="K225" s="175">
        <f t="array" ref="K225">IF($X225="","",N($E225)*SUM(IF(tk_HWSET&amp;""=$Y225,IFERROR(--tk_QTY,0),0)))</f>
        <v/>
      </c>
      <c r="L225" s="176">
        <f>IF($X225="","",IF(INDEX('HW Sets'!$I$7:$I$306,$X225)="","",INDEX('HW Sets'!$I$7:$I$306,$X225)))</f>
        <v/>
      </c>
      <c r="N225" s="176">
        <f>IF($W225="","",INDEX($G$7:$G$306,$W225)&amp;"")</f>
        <v/>
      </c>
      <c r="O225" s="176">
        <f>IF($W225="","",INDEX($H$7:$H$306,$W225)&amp;"")</f>
        <v/>
      </c>
      <c r="P225" s="176">
        <f>IF($W225="","",INDEX($I$7:$I$306,$W225)&amp;"")</f>
        <v/>
      </c>
      <c r="Q225" s="176">
        <f>IF($W225="","",INDEX($J$7:$J$306,$W225)&amp;"")</f>
        <v/>
      </c>
      <c r="R225" s="176">
        <f>IF($W225="","",INDEX($F$7:$F$306,$W225)&amp;"")</f>
        <v/>
      </c>
      <c r="S225" s="175">
        <f>IF($W225="","",SUMIF($U$7:$U$306,INDEX($U$7:$U$306,$W225),$K$7:$K$306))</f>
        <v/>
      </c>
      <c r="U225">
        <f>IF(OR($X225="",N($K225)=0),"",UPPER(TRIM($G225&amp;"|"&amp;$H225&amp;"|"&amp;$I225&amp;"|"&amp;$J225&amp;"|"&amp;$F225)))</f>
        <v/>
      </c>
      <c r="V225">
        <f>IF($U225="","",IF(COUNTIF($U$7:$U225,$U225)=1,MAX($V$6:$V224)+1,""))</f>
        <v/>
      </c>
      <c r="W225">
        <f>IFERROR(MATCH(219,$V$7:$V$306,0),"")</f>
        <v/>
      </c>
      <c r="X225">
        <f>IFERROR(MATCH(219,'HW Sets'!$S$7:$S$306,0),"")</f>
        <v/>
      </c>
      <c r="Y225">
        <f>IF($X225="","",INDEX('HW Sets'!$J$7:$J$306,$X225)&amp;"")</f>
        <v/>
      </c>
      <c r="Z225">
        <f>IF($Y225="","",IF(COUNTIF($Y$7:$Y225,$Y225)=1,1,""))</f>
        <v/>
      </c>
    </row>
    <row r="226">
      <c r="A226" s="175">
        <f>IF($Z226="","",$Y226)</f>
        <v/>
      </c>
      <c r="B226" s="176">
        <f>IF($Z226="","",IFERROR(INDEX('HW Sets'!$N$7:$N$306,MATCH($Y226,'HW Sets'!$M$7:$M$306,0)),""))</f>
        <v/>
      </c>
      <c r="C226" s="177">
        <f t="array" ref="C226">IF($Z226="","",_xlfn.TEXTJOIN(", ",TRUE,IF(tk_HWSET&amp;""=$Y226,tk_MARK,"")))</f>
        <v/>
      </c>
      <c r="D226" s="176">
        <f t="array" ref="D226">IF($Z226="","",SUM(IF(tk_HWSET&amp;""=$Y226,IFERROR(--tk_QTY,0),0)))</f>
        <v/>
      </c>
      <c r="E226" s="176">
        <f>IF($X226="","",IF(INDEX('HW Sets'!$C$7:$C$306,$X226)="","",INDEX('HW Sets'!$C$7:$C$306,$X226)))</f>
        <v/>
      </c>
      <c r="F226" s="176">
        <f>IF($X226="","",IF(INDEX('HW Sets'!$D$7:$D$306,$X226)="","",INDEX('HW Sets'!$D$7:$D$306,$X226)))</f>
        <v/>
      </c>
      <c r="G226" s="176">
        <f>IF($X226="","",IF(INDEX('HW Sets'!$E$7:$E$306,$X226)="","",INDEX('HW Sets'!$E$7:$E$306,$X226)))</f>
        <v/>
      </c>
      <c r="H226" s="176">
        <f>IF($X226="","",IF(INDEX('HW Sets'!$F$7:$F$306,$X226)="","",INDEX('HW Sets'!$F$7:$F$306,$X226)))</f>
        <v/>
      </c>
      <c r="I226" s="176">
        <f>IF($X226="","",IF(INDEX('HW Sets'!$G$7:$G$306,$X226)="","",INDEX('HW Sets'!$G$7:$G$306,$X226)))</f>
        <v/>
      </c>
      <c r="J226" s="176">
        <f>IF($X226="","",IF(INDEX('HW Sets'!$H$7:$H$306,$X226)="","",INDEX('HW Sets'!$H$7:$H$306,$X226)))</f>
        <v/>
      </c>
      <c r="K226" s="175">
        <f t="array" ref="K226">IF($X226="","",N($E226)*SUM(IF(tk_HWSET&amp;""=$Y226,IFERROR(--tk_QTY,0),0)))</f>
        <v/>
      </c>
      <c r="L226" s="176">
        <f>IF($X226="","",IF(INDEX('HW Sets'!$I$7:$I$306,$X226)="","",INDEX('HW Sets'!$I$7:$I$306,$X226)))</f>
        <v/>
      </c>
      <c r="N226" s="176">
        <f>IF($W226="","",INDEX($G$7:$G$306,$W226)&amp;"")</f>
        <v/>
      </c>
      <c r="O226" s="176">
        <f>IF($W226="","",INDEX($H$7:$H$306,$W226)&amp;"")</f>
        <v/>
      </c>
      <c r="P226" s="176">
        <f>IF($W226="","",INDEX($I$7:$I$306,$W226)&amp;"")</f>
        <v/>
      </c>
      <c r="Q226" s="176">
        <f>IF($W226="","",INDEX($J$7:$J$306,$W226)&amp;"")</f>
        <v/>
      </c>
      <c r="R226" s="176">
        <f>IF($W226="","",INDEX($F$7:$F$306,$W226)&amp;"")</f>
        <v/>
      </c>
      <c r="S226" s="175">
        <f>IF($W226="","",SUMIF($U$7:$U$306,INDEX($U$7:$U$306,$W226),$K$7:$K$306))</f>
        <v/>
      </c>
      <c r="U226">
        <f>IF(OR($X226="",N($K226)=0),"",UPPER(TRIM($G226&amp;"|"&amp;$H226&amp;"|"&amp;$I226&amp;"|"&amp;$J226&amp;"|"&amp;$F226)))</f>
        <v/>
      </c>
      <c r="V226">
        <f>IF($U226="","",IF(COUNTIF($U$7:$U226,$U226)=1,MAX($V$6:$V225)+1,""))</f>
        <v/>
      </c>
      <c r="W226">
        <f>IFERROR(MATCH(220,$V$7:$V$306,0),"")</f>
        <v/>
      </c>
      <c r="X226">
        <f>IFERROR(MATCH(220,'HW Sets'!$S$7:$S$306,0),"")</f>
        <v/>
      </c>
      <c r="Y226">
        <f>IF($X226="","",INDEX('HW Sets'!$J$7:$J$306,$X226)&amp;"")</f>
        <v/>
      </c>
      <c r="Z226">
        <f>IF($Y226="","",IF(COUNTIF($Y$7:$Y226,$Y226)=1,1,""))</f>
        <v/>
      </c>
    </row>
    <row r="227">
      <c r="A227" s="175">
        <f>IF($Z227="","",$Y227)</f>
        <v/>
      </c>
      <c r="B227" s="176">
        <f>IF($Z227="","",IFERROR(INDEX('HW Sets'!$N$7:$N$306,MATCH($Y227,'HW Sets'!$M$7:$M$306,0)),""))</f>
        <v/>
      </c>
      <c r="C227" s="177">
        <f t="array" ref="C227">IF($Z227="","",_xlfn.TEXTJOIN(", ",TRUE,IF(tk_HWSET&amp;""=$Y227,tk_MARK,"")))</f>
        <v/>
      </c>
      <c r="D227" s="176">
        <f t="array" ref="D227">IF($Z227="","",SUM(IF(tk_HWSET&amp;""=$Y227,IFERROR(--tk_QTY,0),0)))</f>
        <v/>
      </c>
      <c r="E227" s="176">
        <f>IF($X227="","",IF(INDEX('HW Sets'!$C$7:$C$306,$X227)="","",INDEX('HW Sets'!$C$7:$C$306,$X227)))</f>
        <v/>
      </c>
      <c r="F227" s="176">
        <f>IF($X227="","",IF(INDEX('HW Sets'!$D$7:$D$306,$X227)="","",INDEX('HW Sets'!$D$7:$D$306,$X227)))</f>
        <v/>
      </c>
      <c r="G227" s="176">
        <f>IF($X227="","",IF(INDEX('HW Sets'!$E$7:$E$306,$X227)="","",INDEX('HW Sets'!$E$7:$E$306,$X227)))</f>
        <v/>
      </c>
      <c r="H227" s="176">
        <f>IF($X227="","",IF(INDEX('HW Sets'!$F$7:$F$306,$X227)="","",INDEX('HW Sets'!$F$7:$F$306,$X227)))</f>
        <v/>
      </c>
      <c r="I227" s="176">
        <f>IF($X227="","",IF(INDEX('HW Sets'!$G$7:$G$306,$X227)="","",INDEX('HW Sets'!$G$7:$G$306,$X227)))</f>
        <v/>
      </c>
      <c r="J227" s="176">
        <f>IF($X227="","",IF(INDEX('HW Sets'!$H$7:$H$306,$X227)="","",INDEX('HW Sets'!$H$7:$H$306,$X227)))</f>
        <v/>
      </c>
      <c r="K227" s="175">
        <f t="array" ref="K227">IF($X227="","",N($E227)*SUM(IF(tk_HWSET&amp;""=$Y227,IFERROR(--tk_QTY,0),0)))</f>
        <v/>
      </c>
      <c r="L227" s="176">
        <f>IF($X227="","",IF(INDEX('HW Sets'!$I$7:$I$306,$X227)="","",INDEX('HW Sets'!$I$7:$I$306,$X227)))</f>
        <v/>
      </c>
      <c r="N227" s="176">
        <f>IF($W227="","",INDEX($G$7:$G$306,$W227)&amp;"")</f>
        <v/>
      </c>
      <c r="O227" s="176">
        <f>IF($W227="","",INDEX($H$7:$H$306,$W227)&amp;"")</f>
        <v/>
      </c>
      <c r="P227" s="176">
        <f>IF($W227="","",INDEX($I$7:$I$306,$W227)&amp;"")</f>
        <v/>
      </c>
      <c r="Q227" s="176">
        <f>IF($W227="","",INDEX($J$7:$J$306,$W227)&amp;"")</f>
        <v/>
      </c>
      <c r="R227" s="176">
        <f>IF($W227="","",INDEX($F$7:$F$306,$W227)&amp;"")</f>
        <v/>
      </c>
      <c r="S227" s="175">
        <f>IF($W227="","",SUMIF($U$7:$U$306,INDEX($U$7:$U$306,$W227),$K$7:$K$306))</f>
        <v/>
      </c>
      <c r="U227">
        <f>IF(OR($X227="",N($K227)=0),"",UPPER(TRIM($G227&amp;"|"&amp;$H227&amp;"|"&amp;$I227&amp;"|"&amp;$J227&amp;"|"&amp;$F227)))</f>
        <v/>
      </c>
      <c r="V227">
        <f>IF($U227="","",IF(COUNTIF($U$7:$U227,$U227)=1,MAX($V$6:$V226)+1,""))</f>
        <v/>
      </c>
      <c r="W227">
        <f>IFERROR(MATCH(221,$V$7:$V$306,0),"")</f>
        <v/>
      </c>
      <c r="X227">
        <f>IFERROR(MATCH(221,'HW Sets'!$S$7:$S$306,0),"")</f>
        <v/>
      </c>
      <c r="Y227">
        <f>IF($X227="","",INDEX('HW Sets'!$J$7:$J$306,$X227)&amp;"")</f>
        <v/>
      </c>
      <c r="Z227">
        <f>IF($Y227="","",IF(COUNTIF($Y$7:$Y227,$Y227)=1,1,""))</f>
        <v/>
      </c>
    </row>
    <row r="228">
      <c r="A228" s="175">
        <f>IF($Z228="","",$Y228)</f>
        <v/>
      </c>
      <c r="B228" s="176">
        <f>IF($Z228="","",IFERROR(INDEX('HW Sets'!$N$7:$N$306,MATCH($Y228,'HW Sets'!$M$7:$M$306,0)),""))</f>
        <v/>
      </c>
      <c r="C228" s="177">
        <f t="array" ref="C228">IF($Z228="","",_xlfn.TEXTJOIN(", ",TRUE,IF(tk_HWSET&amp;""=$Y228,tk_MARK,"")))</f>
        <v/>
      </c>
      <c r="D228" s="176">
        <f t="array" ref="D228">IF($Z228="","",SUM(IF(tk_HWSET&amp;""=$Y228,IFERROR(--tk_QTY,0),0)))</f>
        <v/>
      </c>
      <c r="E228" s="176">
        <f>IF($X228="","",IF(INDEX('HW Sets'!$C$7:$C$306,$X228)="","",INDEX('HW Sets'!$C$7:$C$306,$X228)))</f>
        <v/>
      </c>
      <c r="F228" s="176">
        <f>IF($X228="","",IF(INDEX('HW Sets'!$D$7:$D$306,$X228)="","",INDEX('HW Sets'!$D$7:$D$306,$X228)))</f>
        <v/>
      </c>
      <c r="G228" s="176">
        <f>IF($X228="","",IF(INDEX('HW Sets'!$E$7:$E$306,$X228)="","",INDEX('HW Sets'!$E$7:$E$306,$X228)))</f>
        <v/>
      </c>
      <c r="H228" s="176">
        <f>IF($X228="","",IF(INDEX('HW Sets'!$F$7:$F$306,$X228)="","",INDEX('HW Sets'!$F$7:$F$306,$X228)))</f>
        <v/>
      </c>
      <c r="I228" s="176">
        <f>IF($X228="","",IF(INDEX('HW Sets'!$G$7:$G$306,$X228)="","",INDEX('HW Sets'!$G$7:$G$306,$X228)))</f>
        <v/>
      </c>
      <c r="J228" s="176">
        <f>IF($X228="","",IF(INDEX('HW Sets'!$H$7:$H$306,$X228)="","",INDEX('HW Sets'!$H$7:$H$306,$X228)))</f>
        <v/>
      </c>
      <c r="K228" s="175">
        <f t="array" ref="K228">IF($X228="","",N($E228)*SUM(IF(tk_HWSET&amp;""=$Y228,IFERROR(--tk_QTY,0),0)))</f>
        <v/>
      </c>
      <c r="L228" s="176">
        <f>IF($X228="","",IF(INDEX('HW Sets'!$I$7:$I$306,$X228)="","",INDEX('HW Sets'!$I$7:$I$306,$X228)))</f>
        <v/>
      </c>
      <c r="N228" s="176">
        <f>IF($W228="","",INDEX($G$7:$G$306,$W228)&amp;"")</f>
        <v/>
      </c>
      <c r="O228" s="176">
        <f>IF($W228="","",INDEX($H$7:$H$306,$W228)&amp;"")</f>
        <v/>
      </c>
      <c r="P228" s="176">
        <f>IF($W228="","",INDEX($I$7:$I$306,$W228)&amp;"")</f>
        <v/>
      </c>
      <c r="Q228" s="176">
        <f>IF($W228="","",INDEX($J$7:$J$306,$W228)&amp;"")</f>
        <v/>
      </c>
      <c r="R228" s="176">
        <f>IF($W228="","",INDEX($F$7:$F$306,$W228)&amp;"")</f>
        <v/>
      </c>
      <c r="S228" s="175">
        <f>IF($W228="","",SUMIF($U$7:$U$306,INDEX($U$7:$U$306,$W228),$K$7:$K$306))</f>
        <v/>
      </c>
      <c r="U228">
        <f>IF(OR($X228="",N($K228)=0),"",UPPER(TRIM($G228&amp;"|"&amp;$H228&amp;"|"&amp;$I228&amp;"|"&amp;$J228&amp;"|"&amp;$F228)))</f>
        <v/>
      </c>
      <c r="V228">
        <f>IF($U228="","",IF(COUNTIF($U$7:$U228,$U228)=1,MAX($V$6:$V227)+1,""))</f>
        <v/>
      </c>
      <c r="W228">
        <f>IFERROR(MATCH(222,$V$7:$V$306,0),"")</f>
        <v/>
      </c>
      <c r="X228">
        <f>IFERROR(MATCH(222,'HW Sets'!$S$7:$S$306,0),"")</f>
        <v/>
      </c>
      <c r="Y228">
        <f>IF($X228="","",INDEX('HW Sets'!$J$7:$J$306,$X228)&amp;"")</f>
        <v/>
      </c>
      <c r="Z228">
        <f>IF($Y228="","",IF(COUNTIF($Y$7:$Y228,$Y228)=1,1,""))</f>
        <v/>
      </c>
    </row>
    <row r="229">
      <c r="A229" s="175">
        <f>IF($Z229="","",$Y229)</f>
        <v/>
      </c>
      <c r="B229" s="176">
        <f>IF($Z229="","",IFERROR(INDEX('HW Sets'!$N$7:$N$306,MATCH($Y229,'HW Sets'!$M$7:$M$306,0)),""))</f>
        <v/>
      </c>
      <c r="C229" s="177">
        <f t="array" ref="C229">IF($Z229="","",_xlfn.TEXTJOIN(", ",TRUE,IF(tk_HWSET&amp;""=$Y229,tk_MARK,"")))</f>
        <v/>
      </c>
      <c r="D229" s="176">
        <f t="array" ref="D229">IF($Z229="","",SUM(IF(tk_HWSET&amp;""=$Y229,IFERROR(--tk_QTY,0),0)))</f>
        <v/>
      </c>
      <c r="E229" s="176">
        <f>IF($X229="","",IF(INDEX('HW Sets'!$C$7:$C$306,$X229)="","",INDEX('HW Sets'!$C$7:$C$306,$X229)))</f>
        <v/>
      </c>
      <c r="F229" s="176">
        <f>IF($X229="","",IF(INDEX('HW Sets'!$D$7:$D$306,$X229)="","",INDEX('HW Sets'!$D$7:$D$306,$X229)))</f>
        <v/>
      </c>
      <c r="G229" s="176">
        <f>IF($X229="","",IF(INDEX('HW Sets'!$E$7:$E$306,$X229)="","",INDEX('HW Sets'!$E$7:$E$306,$X229)))</f>
        <v/>
      </c>
      <c r="H229" s="176">
        <f>IF($X229="","",IF(INDEX('HW Sets'!$F$7:$F$306,$X229)="","",INDEX('HW Sets'!$F$7:$F$306,$X229)))</f>
        <v/>
      </c>
      <c r="I229" s="176">
        <f>IF($X229="","",IF(INDEX('HW Sets'!$G$7:$G$306,$X229)="","",INDEX('HW Sets'!$G$7:$G$306,$X229)))</f>
        <v/>
      </c>
      <c r="J229" s="176">
        <f>IF($X229="","",IF(INDEX('HW Sets'!$H$7:$H$306,$X229)="","",INDEX('HW Sets'!$H$7:$H$306,$X229)))</f>
        <v/>
      </c>
      <c r="K229" s="175">
        <f t="array" ref="K229">IF($X229="","",N($E229)*SUM(IF(tk_HWSET&amp;""=$Y229,IFERROR(--tk_QTY,0),0)))</f>
        <v/>
      </c>
      <c r="L229" s="176">
        <f>IF($X229="","",IF(INDEX('HW Sets'!$I$7:$I$306,$X229)="","",INDEX('HW Sets'!$I$7:$I$306,$X229)))</f>
        <v/>
      </c>
      <c r="N229" s="176">
        <f>IF($W229="","",INDEX($G$7:$G$306,$W229)&amp;"")</f>
        <v/>
      </c>
      <c r="O229" s="176">
        <f>IF($W229="","",INDEX($H$7:$H$306,$W229)&amp;"")</f>
        <v/>
      </c>
      <c r="P229" s="176">
        <f>IF($W229="","",INDEX($I$7:$I$306,$W229)&amp;"")</f>
        <v/>
      </c>
      <c r="Q229" s="176">
        <f>IF($W229="","",INDEX($J$7:$J$306,$W229)&amp;"")</f>
        <v/>
      </c>
      <c r="R229" s="176">
        <f>IF($W229="","",INDEX($F$7:$F$306,$W229)&amp;"")</f>
        <v/>
      </c>
      <c r="S229" s="175">
        <f>IF($W229="","",SUMIF($U$7:$U$306,INDEX($U$7:$U$306,$W229),$K$7:$K$306))</f>
        <v/>
      </c>
      <c r="U229">
        <f>IF(OR($X229="",N($K229)=0),"",UPPER(TRIM($G229&amp;"|"&amp;$H229&amp;"|"&amp;$I229&amp;"|"&amp;$J229&amp;"|"&amp;$F229)))</f>
        <v/>
      </c>
      <c r="V229">
        <f>IF($U229="","",IF(COUNTIF($U$7:$U229,$U229)=1,MAX($V$6:$V228)+1,""))</f>
        <v/>
      </c>
      <c r="W229">
        <f>IFERROR(MATCH(223,$V$7:$V$306,0),"")</f>
        <v/>
      </c>
      <c r="X229">
        <f>IFERROR(MATCH(223,'HW Sets'!$S$7:$S$306,0),"")</f>
        <v/>
      </c>
      <c r="Y229">
        <f>IF($X229="","",INDEX('HW Sets'!$J$7:$J$306,$X229)&amp;"")</f>
        <v/>
      </c>
      <c r="Z229">
        <f>IF($Y229="","",IF(COUNTIF($Y$7:$Y229,$Y229)=1,1,""))</f>
        <v/>
      </c>
    </row>
    <row r="230">
      <c r="A230" s="175">
        <f>IF($Z230="","",$Y230)</f>
        <v/>
      </c>
      <c r="B230" s="176">
        <f>IF($Z230="","",IFERROR(INDEX('HW Sets'!$N$7:$N$306,MATCH($Y230,'HW Sets'!$M$7:$M$306,0)),""))</f>
        <v/>
      </c>
      <c r="C230" s="177">
        <f t="array" ref="C230">IF($Z230="","",_xlfn.TEXTJOIN(", ",TRUE,IF(tk_HWSET&amp;""=$Y230,tk_MARK,"")))</f>
        <v/>
      </c>
      <c r="D230" s="176">
        <f t="array" ref="D230">IF($Z230="","",SUM(IF(tk_HWSET&amp;""=$Y230,IFERROR(--tk_QTY,0),0)))</f>
        <v/>
      </c>
      <c r="E230" s="176">
        <f>IF($X230="","",IF(INDEX('HW Sets'!$C$7:$C$306,$X230)="","",INDEX('HW Sets'!$C$7:$C$306,$X230)))</f>
        <v/>
      </c>
      <c r="F230" s="176">
        <f>IF($X230="","",IF(INDEX('HW Sets'!$D$7:$D$306,$X230)="","",INDEX('HW Sets'!$D$7:$D$306,$X230)))</f>
        <v/>
      </c>
      <c r="G230" s="176">
        <f>IF($X230="","",IF(INDEX('HW Sets'!$E$7:$E$306,$X230)="","",INDEX('HW Sets'!$E$7:$E$306,$X230)))</f>
        <v/>
      </c>
      <c r="H230" s="176">
        <f>IF($X230="","",IF(INDEX('HW Sets'!$F$7:$F$306,$X230)="","",INDEX('HW Sets'!$F$7:$F$306,$X230)))</f>
        <v/>
      </c>
      <c r="I230" s="176">
        <f>IF($X230="","",IF(INDEX('HW Sets'!$G$7:$G$306,$X230)="","",INDEX('HW Sets'!$G$7:$G$306,$X230)))</f>
        <v/>
      </c>
      <c r="J230" s="176">
        <f>IF($X230="","",IF(INDEX('HW Sets'!$H$7:$H$306,$X230)="","",INDEX('HW Sets'!$H$7:$H$306,$X230)))</f>
        <v/>
      </c>
      <c r="K230" s="175">
        <f t="array" ref="K230">IF($X230="","",N($E230)*SUM(IF(tk_HWSET&amp;""=$Y230,IFERROR(--tk_QTY,0),0)))</f>
        <v/>
      </c>
      <c r="L230" s="176">
        <f>IF($X230="","",IF(INDEX('HW Sets'!$I$7:$I$306,$X230)="","",INDEX('HW Sets'!$I$7:$I$306,$X230)))</f>
        <v/>
      </c>
      <c r="N230" s="176">
        <f>IF($W230="","",INDEX($G$7:$G$306,$W230)&amp;"")</f>
        <v/>
      </c>
      <c r="O230" s="176">
        <f>IF($W230="","",INDEX($H$7:$H$306,$W230)&amp;"")</f>
        <v/>
      </c>
      <c r="P230" s="176">
        <f>IF($W230="","",INDEX($I$7:$I$306,$W230)&amp;"")</f>
        <v/>
      </c>
      <c r="Q230" s="176">
        <f>IF($W230="","",INDEX($J$7:$J$306,$W230)&amp;"")</f>
        <v/>
      </c>
      <c r="R230" s="176">
        <f>IF($W230="","",INDEX($F$7:$F$306,$W230)&amp;"")</f>
        <v/>
      </c>
      <c r="S230" s="175">
        <f>IF($W230="","",SUMIF($U$7:$U$306,INDEX($U$7:$U$306,$W230),$K$7:$K$306))</f>
        <v/>
      </c>
      <c r="U230">
        <f>IF(OR($X230="",N($K230)=0),"",UPPER(TRIM($G230&amp;"|"&amp;$H230&amp;"|"&amp;$I230&amp;"|"&amp;$J230&amp;"|"&amp;$F230)))</f>
        <v/>
      </c>
      <c r="V230">
        <f>IF($U230="","",IF(COUNTIF($U$7:$U230,$U230)=1,MAX($V$6:$V229)+1,""))</f>
        <v/>
      </c>
      <c r="W230">
        <f>IFERROR(MATCH(224,$V$7:$V$306,0),"")</f>
        <v/>
      </c>
      <c r="X230">
        <f>IFERROR(MATCH(224,'HW Sets'!$S$7:$S$306,0),"")</f>
        <v/>
      </c>
      <c r="Y230">
        <f>IF($X230="","",INDEX('HW Sets'!$J$7:$J$306,$X230)&amp;"")</f>
        <v/>
      </c>
      <c r="Z230">
        <f>IF($Y230="","",IF(COUNTIF($Y$7:$Y230,$Y230)=1,1,""))</f>
        <v/>
      </c>
    </row>
    <row r="231">
      <c r="A231" s="175">
        <f>IF($Z231="","",$Y231)</f>
        <v/>
      </c>
      <c r="B231" s="176">
        <f>IF($Z231="","",IFERROR(INDEX('HW Sets'!$N$7:$N$306,MATCH($Y231,'HW Sets'!$M$7:$M$306,0)),""))</f>
        <v/>
      </c>
      <c r="C231" s="177">
        <f t="array" ref="C231">IF($Z231="","",_xlfn.TEXTJOIN(", ",TRUE,IF(tk_HWSET&amp;""=$Y231,tk_MARK,"")))</f>
        <v/>
      </c>
      <c r="D231" s="176">
        <f t="array" ref="D231">IF($Z231="","",SUM(IF(tk_HWSET&amp;""=$Y231,IFERROR(--tk_QTY,0),0)))</f>
        <v/>
      </c>
      <c r="E231" s="176">
        <f>IF($X231="","",IF(INDEX('HW Sets'!$C$7:$C$306,$X231)="","",INDEX('HW Sets'!$C$7:$C$306,$X231)))</f>
        <v/>
      </c>
      <c r="F231" s="176">
        <f>IF($X231="","",IF(INDEX('HW Sets'!$D$7:$D$306,$X231)="","",INDEX('HW Sets'!$D$7:$D$306,$X231)))</f>
        <v/>
      </c>
      <c r="G231" s="176">
        <f>IF($X231="","",IF(INDEX('HW Sets'!$E$7:$E$306,$X231)="","",INDEX('HW Sets'!$E$7:$E$306,$X231)))</f>
        <v/>
      </c>
      <c r="H231" s="176">
        <f>IF($X231="","",IF(INDEX('HW Sets'!$F$7:$F$306,$X231)="","",INDEX('HW Sets'!$F$7:$F$306,$X231)))</f>
        <v/>
      </c>
      <c r="I231" s="176">
        <f>IF($X231="","",IF(INDEX('HW Sets'!$G$7:$G$306,$X231)="","",INDEX('HW Sets'!$G$7:$G$306,$X231)))</f>
        <v/>
      </c>
      <c r="J231" s="176">
        <f>IF($X231="","",IF(INDEX('HW Sets'!$H$7:$H$306,$X231)="","",INDEX('HW Sets'!$H$7:$H$306,$X231)))</f>
        <v/>
      </c>
      <c r="K231" s="175">
        <f t="array" ref="K231">IF($X231="","",N($E231)*SUM(IF(tk_HWSET&amp;""=$Y231,IFERROR(--tk_QTY,0),0)))</f>
        <v/>
      </c>
      <c r="L231" s="176">
        <f>IF($X231="","",IF(INDEX('HW Sets'!$I$7:$I$306,$X231)="","",INDEX('HW Sets'!$I$7:$I$306,$X231)))</f>
        <v/>
      </c>
      <c r="N231" s="176">
        <f>IF($W231="","",INDEX($G$7:$G$306,$W231)&amp;"")</f>
        <v/>
      </c>
      <c r="O231" s="176">
        <f>IF($W231="","",INDEX($H$7:$H$306,$W231)&amp;"")</f>
        <v/>
      </c>
      <c r="P231" s="176">
        <f>IF($W231="","",INDEX($I$7:$I$306,$W231)&amp;"")</f>
        <v/>
      </c>
      <c r="Q231" s="176">
        <f>IF($W231="","",INDEX($J$7:$J$306,$W231)&amp;"")</f>
        <v/>
      </c>
      <c r="R231" s="176">
        <f>IF($W231="","",INDEX($F$7:$F$306,$W231)&amp;"")</f>
        <v/>
      </c>
      <c r="S231" s="175">
        <f>IF($W231="","",SUMIF($U$7:$U$306,INDEX($U$7:$U$306,$W231),$K$7:$K$306))</f>
        <v/>
      </c>
      <c r="U231">
        <f>IF(OR($X231="",N($K231)=0),"",UPPER(TRIM($G231&amp;"|"&amp;$H231&amp;"|"&amp;$I231&amp;"|"&amp;$J231&amp;"|"&amp;$F231)))</f>
        <v/>
      </c>
      <c r="V231">
        <f>IF($U231="","",IF(COUNTIF($U$7:$U231,$U231)=1,MAX($V$6:$V230)+1,""))</f>
        <v/>
      </c>
      <c r="W231">
        <f>IFERROR(MATCH(225,$V$7:$V$306,0),"")</f>
        <v/>
      </c>
      <c r="X231">
        <f>IFERROR(MATCH(225,'HW Sets'!$S$7:$S$306,0),"")</f>
        <v/>
      </c>
      <c r="Y231">
        <f>IF($X231="","",INDEX('HW Sets'!$J$7:$J$306,$X231)&amp;"")</f>
        <v/>
      </c>
      <c r="Z231">
        <f>IF($Y231="","",IF(COUNTIF($Y$7:$Y231,$Y231)=1,1,""))</f>
        <v/>
      </c>
    </row>
    <row r="232">
      <c r="A232" s="175">
        <f>IF($Z232="","",$Y232)</f>
        <v/>
      </c>
      <c r="B232" s="176">
        <f>IF($Z232="","",IFERROR(INDEX('HW Sets'!$N$7:$N$306,MATCH($Y232,'HW Sets'!$M$7:$M$306,0)),""))</f>
        <v/>
      </c>
      <c r="C232" s="177">
        <f t="array" ref="C232">IF($Z232="","",_xlfn.TEXTJOIN(", ",TRUE,IF(tk_HWSET&amp;""=$Y232,tk_MARK,"")))</f>
        <v/>
      </c>
      <c r="D232" s="176">
        <f t="array" ref="D232">IF($Z232="","",SUM(IF(tk_HWSET&amp;""=$Y232,IFERROR(--tk_QTY,0),0)))</f>
        <v/>
      </c>
      <c r="E232" s="176">
        <f>IF($X232="","",IF(INDEX('HW Sets'!$C$7:$C$306,$X232)="","",INDEX('HW Sets'!$C$7:$C$306,$X232)))</f>
        <v/>
      </c>
      <c r="F232" s="176">
        <f>IF($X232="","",IF(INDEX('HW Sets'!$D$7:$D$306,$X232)="","",INDEX('HW Sets'!$D$7:$D$306,$X232)))</f>
        <v/>
      </c>
      <c r="G232" s="176">
        <f>IF($X232="","",IF(INDEX('HW Sets'!$E$7:$E$306,$X232)="","",INDEX('HW Sets'!$E$7:$E$306,$X232)))</f>
        <v/>
      </c>
      <c r="H232" s="176">
        <f>IF($X232="","",IF(INDEX('HW Sets'!$F$7:$F$306,$X232)="","",INDEX('HW Sets'!$F$7:$F$306,$X232)))</f>
        <v/>
      </c>
      <c r="I232" s="176">
        <f>IF($X232="","",IF(INDEX('HW Sets'!$G$7:$G$306,$X232)="","",INDEX('HW Sets'!$G$7:$G$306,$X232)))</f>
        <v/>
      </c>
      <c r="J232" s="176">
        <f>IF($X232="","",IF(INDEX('HW Sets'!$H$7:$H$306,$X232)="","",INDEX('HW Sets'!$H$7:$H$306,$X232)))</f>
        <v/>
      </c>
      <c r="K232" s="175">
        <f t="array" ref="K232">IF($X232="","",N($E232)*SUM(IF(tk_HWSET&amp;""=$Y232,IFERROR(--tk_QTY,0),0)))</f>
        <v/>
      </c>
      <c r="L232" s="176">
        <f>IF($X232="","",IF(INDEX('HW Sets'!$I$7:$I$306,$X232)="","",INDEX('HW Sets'!$I$7:$I$306,$X232)))</f>
        <v/>
      </c>
      <c r="N232" s="176">
        <f>IF($W232="","",INDEX($G$7:$G$306,$W232)&amp;"")</f>
        <v/>
      </c>
      <c r="O232" s="176">
        <f>IF($W232="","",INDEX($H$7:$H$306,$W232)&amp;"")</f>
        <v/>
      </c>
      <c r="P232" s="176">
        <f>IF($W232="","",INDEX($I$7:$I$306,$W232)&amp;"")</f>
        <v/>
      </c>
      <c r="Q232" s="176">
        <f>IF($W232="","",INDEX($J$7:$J$306,$W232)&amp;"")</f>
        <v/>
      </c>
      <c r="R232" s="176">
        <f>IF($W232="","",INDEX($F$7:$F$306,$W232)&amp;"")</f>
        <v/>
      </c>
      <c r="S232" s="175">
        <f>IF($W232="","",SUMIF($U$7:$U$306,INDEX($U$7:$U$306,$W232),$K$7:$K$306))</f>
        <v/>
      </c>
      <c r="U232">
        <f>IF(OR($X232="",N($K232)=0),"",UPPER(TRIM($G232&amp;"|"&amp;$H232&amp;"|"&amp;$I232&amp;"|"&amp;$J232&amp;"|"&amp;$F232)))</f>
        <v/>
      </c>
      <c r="V232">
        <f>IF($U232="","",IF(COUNTIF($U$7:$U232,$U232)=1,MAX($V$6:$V231)+1,""))</f>
        <v/>
      </c>
      <c r="W232">
        <f>IFERROR(MATCH(226,$V$7:$V$306,0),"")</f>
        <v/>
      </c>
      <c r="X232">
        <f>IFERROR(MATCH(226,'HW Sets'!$S$7:$S$306,0),"")</f>
        <v/>
      </c>
      <c r="Y232">
        <f>IF($X232="","",INDEX('HW Sets'!$J$7:$J$306,$X232)&amp;"")</f>
        <v/>
      </c>
      <c r="Z232">
        <f>IF($Y232="","",IF(COUNTIF($Y$7:$Y232,$Y232)=1,1,""))</f>
        <v/>
      </c>
    </row>
    <row r="233">
      <c r="A233" s="175">
        <f>IF($Z233="","",$Y233)</f>
        <v/>
      </c>
      <c r="B233" s="176">
        <f>IF($Z233="","",IFERROR(INDEX('HW Sets'!$N$7:$N$306,MATCH($Y233,'HW Sets'!$M$7:$M$306,0)),""))</f>
        <v/>
      </c>
      <c r="C233" s="177">
        <f t="array" ref="C233">IF($Z233="","",_xlfn.TEXTJOIN(", ",TRUE,IF(tk_HWSET&amp;""=$Y233,tk_MARK,"")))</f>
        <v/>
      </c>
      <c r="D233" s="176">
        <f t="array" ref="D233">IF($Z233="","",SUM(IF(tk_HWSET&amp;""=$Y233,IFERROR(--tk_QTY,0),0)))</f>
        <v/>
      </c>
      <c r="E233" s="176">
        <f>IF($X233="","",IF(INDEX('HW Sets'!$C$7:$C$306,$X233)="","",INDEX('HW Sets'!$C$7:$C$306,$X233)))</f>
        <v/>
      </c>
      <c r="F233" s="176">
        <f>IF($X233="","",IF(INDEX('HW Sets'!$D$7:$D$306,$X233)="","",INDEX('HW Sets'!$D$7:$D$306,$X233)))</f>
        <v/>
      </c>
      <c r="G233" s="176">
        <f>IF($X233="","",IF(INDEX('HW Sets'!$E$7:$E$306,$X233)="","",INDEX('HW Sets'!$E$7:$E$306,$X233)))</f>
        <v/>
      </c>
      <c r="H233" s="176">
        <f>IF($X233="","",IF(INDEX('HW Sets'!$F$7:$F$306,$X233)="","",INDEX('HW Sets'!$F$7:$F$306,$X233)))</f>
        <v/>
      </c>
      <c r="I233" s="176">
        <f>IF($X233="","",IF(INDEX('HW Sets'!$G$7:$G$306,$X233)="","",INDEX('HW Sets'!$G$7:$G$306,$X233)))</f>
        <v/>
      </c>
      <c r="J233" s="176">
        <f>IF($X233="","",IF(INDEX('HW Sets'!$H$7:$H$306,$X233)="","",INDEX('HW Sets'!$H$7:$H$306,$X233)))</f>
        <v/>
      </c>
      <c r="K233" s="175">
        <f t="array" ref="K233">IF($X233="","",N($E233)*SUM(IF(tk_HWSET&amp;""=$Y233,IFERROR(--tk_QTY,0),0)))</f>
        <v/>
      </c>
      <c r="L233" s="176">
        <f>IF($X233="","",IF(INDEX('HW Sets'!$I$7:$I$306,$X233)="","",INDEX('HW Sets'!$I$7:$I$306,$X233)))</f>
        <v/>
      </c>
      <c r="N233" s="176">
        <f>IF($W233="","",INDEX($G$7:$G$306,$W233)&amp;"")</f>
        <v/>
      </c>
      <c r="O233" s="176">
        <f>IF($W233="","",INDEX($H$7:$H$306,$W233)&amp;"")</f>
        <v/>
      </c>
      <c r="P233" s="176">
        <f>IF($W233="","",INDEX($I$7:$I$306,$W233)&amp;"")</f>
        <v/>
      </c>
      <c r="Q233" s="176">
        <f>IF($W233="","",INDEX($J$7:$J$306,$W233)&amp;"")</f>
        <v/>
      </c>
      <c r="R233" s="176">
        <f>IF($W233="","",INDEX($F$7:$F$306,$W233)&amp;"")</f>
        <v/>
      </c>
      <c r="S233" s="175">
        <f>IF($W233="","",SUMIF($U$7:$U$306,INDEX($U$7:$U$306,$W233),$K$7:$K$306))</f>
        <v/>
      </c>
      <c r="U233">
        <f>IF(OR($X233="",N($K233)=0),"",UPPER(TRIM($G233&amp;"|"&amp;$H233&amp;"|"&amp;$I233&amp;"|"&amp;$J233&amp;"|"&amp;$F233)))</f>
        <v/>
      </c>
      <c r="V233">
        <f>IF($U233="","",IF(COUNTIF($U$7:$U233,$U233)=1,MAX($V$6:$V232)+1,""))</f>
        <v/>
      </c>
      <c r="W233">
        <f>IFERROR(MATCH(227,$V$7:$V$306,0),"")</f>
        <v/>
      </c>
      <c r="X233">
        <f>IFERROR(MATCH(227,'HW Sets'!$S$7:$S$306,0),"")</f>
        <v/>
      </c>
      <c r="Y233">
        <f>IF($X233="","",INDEX('HW Sets'!$J$7:$J$306,$X233)&amp;"")</f>
        <v/>
      </c>
      <c r="Z233">
        <f>IF($Y233="","",IF(COUNTIF($Y$7:$Y233,$Y233)=1,1,""))</f>
        <v/>
      </c>
    </row>
    <row r="234">
      <c r="A234" s="175">
        <f>IF($Z234="","",$Y234)</f>
        <v/>
      </c>
      <c r="B234" s="176">
        <f>IF($Z234="","",IFERROR(INDEX('HW Sets'!$N$7:$N$306,MATCH($Y234,'HW Sets'!$M$7:$M$306,0)),""))</f>
        <v/>
      </c>
      <c r="C234" s="177">
        <f t="array" ref="C234">IF($Z234="","",_xlfn.TEXTJOIN(", ",TRUE,IF(tk_HWSET&amp;""=$Y234,tk_MARK,"")))</f>
        <v/>
      </c>
      <c r="D234" s="176">
        <f t="array" ref="D234">IF($Z234="","",SUM(IF(tk_HWSET&amp;""=$Y234,IFERROR(--tk_QTY,0),0)))</f>
        <v/>
      </c>
      <c r="E234" s="176">
        <f>IF($X234="","",IF(INDEX('HW Sets'!$C$7:$C$306,$X234)="","",INDEX('HW Sets'!$C$7:$C$306,$X234)))</f>
        <v/>
      </c>
      <c r="F234" s="176">
        <f>IF($X234="","",IF(INDEX('HW Sets'!$D$7:$D$306,$X234)="","",INDEX('HW Sets'!$D$7:$D$306,$X234)))</f>
        <v/>
      </c>
      <c r="G234" s="176">
        <f>IF($X234="","",IF(INDEX('HW Sets'!$E$7:$E$306,$X234)="","",INDEX('HW Sets'!$E$7:$E$306,$X234)))</f>
        <v/>
      </c>
      <c r="H234" s="176">
        <f>IF($X234="","",IF(INDEX('HW Sets'!$F$7:$F$306,$X234)="","",INDEX('HW Sets'!$F$7:$F$306,$X234)))</f>
        <v/>
      </c>
      <c r="I234" s="176">
        <f>IF($X234="","",IF(INDEX('HW Sets'!$G$7:$G$306,$X234)="","",INDEX('HW Sets'!$G$7:$G$306,$X234)))</f>
        <v/>
      </c>
      <c r="J234" s="176">
        <f>IF($X234="","",IF(INDEX('HW Sets'!$H$7:$H$306,$X234)="","",INDEX('HW Sets'!$H$7:$H$306,$X234)))</f>
        <v/>
      </c>
      <c r="K234" s="175">
        <f t="array" ref="K234">IF($X234="","",N($E234)*SUM(IF(tk_HWSET&amp;""=$Y234,IFERROR(--tk_QTY,0),0)))</f>
        <v/>
      </c>
      <c r="L234" s="176">
        <f>IF($X234="","",IF(INDEX('HW Sets'!$I$7:$I$306,$X234)="","",INDEX('HW Sets'!$I$7:$I$306,$X234)))</f>
        <v/>
      </c>
      <c r="N234" s="176">
        <f>IF($W234="","",INDEX($G$7:$G$306,$W234)&amp;"")</f>
        <v/>
      </c>
      <c r="O234" s="176">
        <f>IF($W234="","",INDEX($H$7:$H$306,$W234)&amp;"")</f>
        <v/>
      </c>
      <c r="P234" s="176">
        <f>IF($W234="","",INDEX($I$7:$I$306,$W234)&amp;"")</f>
        <v/>
      </c>
      <c r="Q234" s="176">
        <f>IF($W234="","",INDEX($J$7:$J$306,$W234)&amp;"")</f>
        <v/>
      </c>
      <c r="R234" s="176">
        <f>IF($W234="","",INDEX($F$7:$F$306,$W234)&amp;"")</f>
        <v/>
      </c>
      <c r="S234" s="175">
        <f>IF($W234="","",SUMIF($U$7:$U$306,INDEX($U$7:$U$306,$W234),$K$7:$K$306))</f>
        <v/>
      </c>
      <c r="U234">
        <f>IF(OR($X234="",N($K234)=0),"",UPPER(TRIM($G234&amp;"|"&amp;$H234&amp;"|"&amp;$I234&amp;"|"&amp;$J234&amp;"|"&amp;$F234)))</f>
        <v/>
      </c>
      <c r="V234">
        <f>IF($U234="","",IF(COUNTIF($U$7:$U234,$U234)=1,MAX($V$6:$V233)+1,""))</f>
        <v/>
      </c>
      <c r="W234">
        <f>IFERROR(MATCH(228,$V$7:$V$306,0),"")</f>
        <v/>
      </c>
      <c r="X234">
        <f>IFERROR(MATCH(228,'HW Sets'!$S$7:$S$306,0),"")</f>
        <v/>
      </c>
      <c r="Y234">
        <f>IF($X234="","",INDEX('HW Sets'!$J$7:$J$306,$X234)&amp;"")</f>
        <v/>
      </c>
      <c r="Z234">
        <f>IF($Y234="","",IF(COUNTIF($Y$7:$Y234,$Y234)=1,1,""))</f>
        <v/>
      </c>
    </row>
    <row r="235">
      <c r="A235" s="175">
        <f>IF($Z235="","",$Y235)</f>
        <v/>
      </c>
      <c r="B235" s="176">
        <f>IF($Z235="","",IFERROR(INDEX('HW Sets'!$N$7:$N$306,MATCH($Y235,'HW Sets'!$M$7:$M$306,0)),""))</f>
        <v/>
      </c>
      <c r="C235" s="177">
        <f t="array" ref="C235">IF($Z235="","",_xlfn.TEXTJOIN(", ",TRUE,IF(tk_HWSET&amp;""=$Y235,tk_MARK,"")))</f>
        <v/>
      </c>
      <c r="D235" s="176">
        <f t="array" ref="D235">IF($Z235="","",SUM(IF(tk_HWSET&amp;""=$Y235,IFERROR(--tk_QTY,0),0)))</f>
        <v/>
      </c>
      <c r="E235" s="176">
        <f>IF($X235="","",IF(INDEX('HW Sets'!$C$7:$C$306,$X235)="","",INDEX('HW Sets'!$C$7:$C$306,$X235)))</f>
        <v/>
      </c>
      <c r="F235" s="176">
        <f>IF($X235="","",IF(INDEX('HW Sets'!$D$7:$D$306,$X235)="","",INDEX('HW Sets'!$D$7:$D$306,$X235)))</f>
        <v/>
      </c>
      <c r="G235" s="176">
        <f>IF($X235="","",IF(INDEX('HW Sets'!$E$7:$E$306,$X235)="","",INDEX('HW Sets'!$E$7:$E$306,$X235)))</f>
        <v/>
      </c>
      <c r="H235" s="176">
        <f>IF($X235="","",IF(INDEX('HW Sets'!$F$7:$F$306,$X235)="","",INDEX('HW Sets'!$F$7:$F$306,$X235)))</f>
        <v/>
      </c>
      <c r="I235" s="176">
        <f>IF($X235="","",IF(INDEX('HW Sets'!$G$7:$G$306,$X235)="","",INDEX('HW Sets'!$G$7:$G$306,$X235)))</f>
        <v/>
      </c>
      <c r="J235" s="176">
        <f>IF($X235="","",IF(INDEX('HW Sets'!$H$7:$H$306,$X235)="","",INDEX('HW Sets'!$H$7:$H$306,$X235)))</f>
        <v/>
      </c>
      <c r="K235" s="175">
        <f t="array" ref="K235">IF($X235="","",N($E235)*SUM(IF(tk_HWSET&amp;""=$Y235,IFERROR(--tk_QTY,0),0)))</f>
        <v/>
      </c>
      <c r="L235" s="176">
        <f>IF($X235="","",IF(INDEX('HW Sets'!$I$7:$I$306,$X235)="","",INDEX('HW Sets'!$I$7:$I$306,$X235)))</f>
        <v/>
      </c>
      <c r="N235" s="176">
        <f>IF($W235="","",INDEX($G$7:$G$306,$W235)&amp;"")</f>
        <v/>
      </c>
      <c r="O235" s="176">
        <f>IF($W235="","",INDEX($H$7:$H$306,$W235)&amp;"")</f>
        <v/>
      </c>
      <c r="P235" s="176">
        <f>IF($W235="","",INDEX($I$7:$I$306,$W235)&amp;"")</f>
        <v/>
      </c>
      <c r="Q235" s="176">
        <f>IF($W235="","",INDEX($J$7:$J$306,$W235)&amp;"")</f>
        <v/>
      </c>
      <c r="R235" s="176">
        <f>IF($W235="","",INDEX($F$7:$F$306,$W235)&amp;"")</f>
        <v/>
      </c>
      <c r="S235" s="175">
        <f>IF($W235="","",SUMIF($U$7:$U$306,INDEX($U$7:$U$306,$W235),$K$7:$K$306))</f>
        <v/>
      </c>
      <c r="U235">
        <f>IF(OR($X235="",N($K235)=0),"",UPPER(TRIM($G235&amp;"|"&amp;$H235&amp;"|"&amp;$I235&amp;"|"&amp;$J235&amp;"|"&amp;$F235)))</f>
        <v/>
      </c>
      <c r="V235">
        <f>IF($U235="","",IF(COUNTIF($U$7:$U235,$U235)=1,MAX($V$6:$V234)+1,""))</f>
        <v/>
      </c>
      <c r="W235">
        <f>IFERROR(MATCH(229,$V$7:$V$306,0),"")</f>
        <v/>
      </c>
      <c r="X235">
        <f>IFERROR(MATCH(229,'HW Sets'!$S$7:$S$306,0),"")</f>
        <v/>
      </c>
      <c r="Y235">
        <f>IF($X235="","",INDEX('HW Sets'!$J$7:$J$306,$X235)&amp;"")</f>
        <v/>
      </c>
      <c r="Z235">
        <f>IF($Y235="","",IF(COUNTIF($Y$7:$Y235,$Y235)=1,1,""))</f>
        <v/>
      </c>
    </row>
    <row r="236">
      <c r="A236" s="175">
        <f>IF($Z236="","",$Y236)</f>
        <v/>
      </c>
      <c r="B236" s="176">
        <f>IF($Z236="","",IFERROR(INDEX('HW Sets'!$N$7:$N$306,MATCH($Y236,'HW Sets'!$M$7:$M$306,0)),""))</f>
        <v/>
      </c>
      <c r="C236" s="177">
        <f t="array" ref="C236">IF($Z236="","",_xlfn.TEXTJOIN(", ",TRUE,IF(tk_HWSET&amp;""=$Y236,tk_MARK,"")))</f>
        <v/>
      </c>
      <c r="D236" s="176">
        <f t="array" ref="D236">IF($Z236="","",SUM(IF(tk_HWSET&amp;""=$Y236,IFERROR(--tk_QTY,0),0)))</f>
        <v/>
      </c>
      <c r="E236" s="176">
        <f>IF($X236="","",IF(INDEX('HW Sets'!$C$7:$C$306,$X236)="","",INDEX('HW Sets'!$C$7:$C$306,$X236)))</f>
        <v/>
      </c>
      <c r="F236" s="176">
        <f>IF($X236="","",IF(INDEX('HW Sets'!$D$7:$D$306,$X236)="","",INDEX('HW Sets'!$D$7:$D$306,$X236)))</f>
        <v/>
      </c>
      <c r="G236" s="176">
        <f>IF($X236="","",IF(INDEX('HW Sets'!$E$7:$E$306,$X236)="","",INDEX('HW Sets'!$E$7:$E$306,$X236)))</f>
        <v/>
      </c>
      <c r="H236" s="176">
        <f>IF($X236="","",IF(INDEX('HW Sets'!$F$7:$F$306,$X236)="","",INDEX('HW Sets'!$F$7:$F$306,$X236)))</f>
        <v/>
      </c>
      <c r="I236" s="176">
        <f>IF($X236="","",IF(INDEX('HW Sets'!$G$7:$G$306,$X236)="","",INDEX('HW Sets'!$G$7:$G$306,$X236)))</f>
        <v/>
      </c>
      <c r="J236" s="176">
        <f>IF($X236="","",IF(INDEX('HW Sets'!$H$7:$H$306,$X236)="","",INDEX('HW Sets'!$H$7:$H$306,$X236)))</f>
        <v/>
      </c>
      <c r="K236" s="175">
        <f t="array" ref="K236">IF($X236="","",N($E236)*SUM(IF(tk_HWSET&amp;""=$Y236,IFERROR(--tk_QTY,0),0)))</f>
        <v/>
      </c>
      <c r="L236" s="176">
        <f>IF($X236="","",IF(INDEX('HW Sets'!$I$7:$I$306,$X236)="","",INDEX('HW Sets'!$I$7:$I$306,$X236)))</f>
        <v/>
      </c>
      <c r="N236" s="176">
        <f>IF($W236="","",INDEX($G$7:$G$306,$W236)&amp;"")</f>
        <v/>
      </c>
      <c r="O236" s="176">
        <f>IF($W236="","",INDEX($H$7:$H$306,$W236)&amp;"")</f>
        <v/>
      </c>
      <c r="P236" s="176">
        <f>IF($W236="","",INDEX($I$7:$I$306,$W236)&amp;"")</f>
        <v/>
      </c>
      <c r="Q236" s="176">
        <f>IF($W236="","",INDEX($J$7:$J$306,$W236)&amp;"")</f>
        <v/>
      </c>
      <c r="R236" s="176">
        <f>IF($W236="","",INDEX($F$7:$F$306,$W236)&amp;"")</f>
        <v/>
      </c>
      <c r="S236" s="175">
        <f>IF($W236="","",SUMIF($U$7:$U$306,INDEX($U$7:$U$306,$W236),$K$7:$K$306))</f>
        <v/>
      </c>
      <c r="U236">
        <f>IF(OR($X236="",N($K236)=0),"",UPPER(TRIM($G236&amp;"|"&amp;$H236&amp;"|"&amp;$I236&amp;"|"&amp;$J236&amp;"|"&amp;$F236)))</f>
        <v/>
      </c>
      <c r="V236">
        <f>IF($U236="","",IF(COUNTIF($U$7:$U236,$U236)=1,MAX($V$6:$V235)+1,""))</f>
        <v/>
      </c>
      <c r="W236">
        <f>IFERROR(MATCH(230,$V$7:$V$306,0),"")</f>
        <v/>
      </c>
      <c r="X236">
        <f>IFERROR(MATCH(230,'HW Sets'!$S$7:$S$306,0),"")</f>
        <v/>
      </c>
      <c r="Y236">
        <f>IF($X236="","",INDEX('HW Sets'!$J$7:$J$306,$X236)&amp;"")</f>
        <v/>
      </c>
      <c r="Z236">
        <f>IF($Y236="","",IF(COUNTIF($Y$7:$Y236,$Y236)=1,1,""))</f>
        <v/>
      </c>
    </row>
    <row r="237">
      <c r="A237" s="175">
        <f>IF($Z237="","",$Y237)</f>
        <v/>
      </c>
      <c r="B237" s="176">
        <f>IF($Z237="","",IFERROR(INDEX('HW Sets'!$N$7:$N$306,MATCH($Y237,'HW Sets'!$M$7:$M$306,0)),""))</f>
        <v/>
      </c>
      <c r="C237" s="177">
        <f t="array" ref="C237">IF($Z237="","",_xlfn.TEXTJOIN(", ",TRUE,IF(tk_HWSET&amp;""=$Y237,tk_MARK,"")))</f>
        <v/>
      </c>
      <c r="D237" s="176">
        <f t="array" ref="D237">IF($Z237="","",SUM(IF(tk_HWSET&amp;""=$Y237,IFERROR(--tk_QTY,0),0)))</f>
        <v/>
      </c>
      <c r="E237" s="176">
        <f>IF($X237="","",IF(INDEX('HW Sets'!$C$7:$C$306,$X237)="","",INDEX('HW Sets'!$C$7:$C$306,$X237)))</f>
        <v/>
      </c>
      <c r="F237" s="176">
        <f>IF($X237="","",IF(INDEX('HW Sets'!$D$7:$D$306,$X237)="","",INDEX('HW Sets'!$D$7:$D$306,$X237)))</f>
        <v/>
      </c>
      <c r="G237" s="176">
        <f>IF($X237="","",IF(INDEX('HW Sets'!$E$7:$E$306,$X237)="","",INDEX('HW Sets'!$E$7:$E$306,$X237)))</f>
        <v/>
      </c>
      <c r="H237" s="176">
        <f>IF($X237="","",IF(INDEX('HW Sets'!$F$7:$F$306,$X237)="","",INDEX('HW Sets'!$F$7:$F$306,$X237)))</f>
        <v/>
      </c>
      <c r="I237" s="176">
        <f>IF($X237="","",IF(INDEX('HW Sets'!$G$7:$G$306,$X237)="","",INDEX('HW Sets'!$G$7:$G$306,$X237)))</f>
        <v/>
      </c>
      <c r="J237" s="176">
        <f>IF($X237="","",IF(INDEX('HW Sets'!$H$7:$H$306,$X237)="","",INDEX('HW Sets'!$H$7:$H$306,$X237)))</f>
        <v/>
      </c>
      <c r="K237" s="175">
        <f t="array" ref="K237">IF($X237="","",N($E237)*SUM(IF(tk_HWSET&amp;""=$Y237,IFERROR(--tk_QTY,0),0)))</f>
        <v/>
      </c>
      <c r="L237" s="176">
        <f>IF($X237="","",IF(INDEX('HW Sets'!$I$7:$I$306,$X237)="","",INDEX('HW Sets'!$I$7:$I$306,$X237)))</f>
        <v/>
      </c>
      <c r="N237" s="176">
        <f>IF($W237="","",INDEX($G$7:$G$306,$W237)&amp;"")</f>
        <v/>
      </c>
      <c r="O237" s="176">
        <f>IF($W237="","",INDEX($H$7:$H$306,$W237)&amp;"")</f>
        <v/>
      </c>
      <c r="P237" s="176">
        <f>IF($W237="","",INDEX($I$7:$I$306,$W237)&amp;"")</f>
        <v/>
      </c>
      <c r="Q237" s="176">
        <f>IF($W237="","",INDEX($J$7:$J$306,$W237)&amp;"")</f>
        <v/>
      </c>
      <c r="R237" s="176">
        <f>IF($W237="","",INDEX($F$7:$F$306,$W237)&amp;"")</f>
        <v/>
      </c>
      <c r="S237" s="175">
        <f>IF($W237="","",SUMIF($U$7:$U$306,INDEX($U$7:$U$306,$W237),$K$7:$K$306))</f>
        <v/>
      </c>
      <c r="U237">
        <f>IF(OR($X237="",N($K237)=0),"",UPPER(TRIM($G237&amp;"|"&amp;$H237&amp;"|"&amp;$I237&amp;"|"&amp;$J237&amp;"|"&amp;$F237)))</f>
        <v/>
      </c>
      <c r="V237">
        <f>IF($U237="","",IF(COUNTIF($U$7:$U237,$U237)=1,MAX($V$6:$V236)+1,""))</f>
        <v/>
      </c>
      <c r="W237">
        <f>IFERROR(MATCH(231,$V$7:$V$306,0),"")</f>
        <v/>
      </c>
      <c r="X237">
        <f>IFERROR(MATCH(231,'HW Sets'!$S$7:$S$306,0),"")</f>
        <v/>
      </c>
      <c r="Y237">
        <f>IF($X237="","",INDEX('HW Sets'!$J$7:$J$306,$X237)&amp;"")</f>
        <v/>
      </c>
      <c r="Z237">
        <f>IF($Y237="","",IF(COUNTIF($Y$7:$Y237,$Y237)=1,1,""))</f>
        <v/>
      </c>
    </row>
    <row r="238">
      <c r="A238" s="175">
        <f>IF($Z238="","",$Y238)</f>
        <v/>
      </c>
      <c r="B238" s="176">
        <f>IF($Z238="","",IFERROR(INDEX('HW Sets'!$N$7:$N$306,MATCH($Y238,'HW Sets'!$M$7:$M$306,0)),""))</f>
        <v/>
      </c>
      <c r="C238" s="177">
        <f t="array" ref="C238">IF($Z238="","",_xlfn.TEXTJOIN(", ",TRUE,IF(tk_HWSET&amp;""=$Y238,tk_MARK,"")))</f>
        <v/>
      </c>
      <c r="D238" s="176">
        <f t="array" ref="D238">IF($Z238="","",SUM(IF(tk_HWSET&amp;""=$Y238,IFERROR(--tk_QTY,0),0)))</f>
        <v/>
      </c>
      <c r="E238" s="176">
        <f>IF($X238="","",IF(INDEX('HW Sets'!$C$7:$C$306,$X238)="","",INDEX('HW Sets'!$C$7:$C$306,$X238)))</f>
        <v/>
      </c>
      <c r="F238" s="176">
        <f>IF($X238="","",IF(INDEX('HW Sets'!$D$7:$D$306,$X238)="","",INDEX('HW Sets'!$D$7:$D$306,$X238)))</f>
        <v/>
      </c>
      <c r="G238" s="176">
        <f>IF($X238="","",IF(INDEX('HW Sets'!$E$7:$E$306,$X238)="","",INDEX('HW Sets'!$E$7:$E$306,$X238)))</f>
        <v/>
      </c>
      <c r="H238" s="176">
        <f>IF($X238="","",IF(INDEX('HW Sets'!$F$7:$F$306,$X238)="","",INDEX('HW Sets'!$F$7:$F$306,$X238)))</f>
        <v/>
      </c>
      <c r="I238" s="176">
        <f>IF($X238="","",IF(INDEX('HW Sets'!$G$7:$G$306,$X238)="","",INDEX('HW Sets'!$G$7:$G$306,$X238)))</f>
        <v/>
      </c>
      <c r="J238" s="176">
        <f>IF($X238="","",IF(INDEX('HW Sets'!$H$7:$H$306,$X238)="","",INDEX('HW Sets'!$H$7:$H$306,$X238)))</f>
        <v/>
      </c>
      <c r="K238" s="175">
        <f t="array" ref="K238">IF($X238="","",N($E238)*SUM(IF(tk_HWSET&amp;""=$Y238,IFERROR(--tk_QTY,0),0)))</f>
        <v/>
      </c>
      <c r="L238" s="176">
        <f>IF($X238="","",IF(INDEX('HW Sets'!$I$7:$I$306,$X238)="","",INDEX('HW Sets'!$I$7:$I$306,$X238)))</f>
        <v/>
      </c>
      <c r="N238" s="176">
        <f>IF($W238="","",INDEX($G$7:$G$306,$W238)&amp;"")</f>
        <v/>
      </c>
      <c r="O238" s="176">
        <f>IF($W238="","",INDEX($H$7:$H$306,$W238)&amp;"")</f>
        <v/>
      </c>
      <c r="P238" s="176">
        <f>IF($W238="","",INDEX($I$7:$I$306,$W238)&amp;"")</f>
        <v/>
      </c>
      <c r="Q238" s="176">
        <f>IF($W238="","",INDEX($J$7:$J$306,$W238)&amp;"")</f>
        <v/>
      </c>
      <c r="R238" s="176">
        <f>IF($W238="","",INDEX($F$7:$F$306,$W238)&amp;"")</f>
        <v/>
      </c>
      <c r="S238" s="175">
        <f>IF($W238="","",SUMIF($U$7:$U$306,INDEX($U$7:$U$306,$W238),$K$7:$K$306))</f>
        <v/>
      </c>
      <c r="U238">
        <f>IF(OR($X238="",N($K238)=0),"",UPPER(TRIM($G238&amp;"|"&amp;$H238&amp;"|"&amp;$I238&amp;"|"&amp;$J238&amp;"|"&amp;$F238)))</f>
        <v/>
      </c>
      <c r="V238">
        <f>IF($U238="","",IF(COUNTIF($U$7:$U238,$U238)=1,MAX($V$6:$V237)+1,""))</f>
        <v/>
      </c>
      <c r="W238">
        <f>IFERROR(MATCH(232,$V$7:$V$306,0),"")</f>
        <v/>
      </c>
      <c r="X238">
        <f>IFERROR(MATCH(232,'HW Sets'!$S$7:$S$306,0),"")</f>
        <v/>
      </c>
      <c r="Y238">
        <f>IF($X238="","",INDEX('HW Sets'!$J$7:$J$306,$X238)&amp;"")</f>
        <v/>
      </c>
      <c r="Z238">
        <f>IF($Y238="","",IF(COUNTIF($Y$7:$Y238,$Y238)=1,1,""))</f>
        <v/>
      </c>
    </row>
    <row r="239">
      <c r="A239" s="175">
        <f>IF($Z239="","",$Y239)</f>
        <v/>
      </c>
      <c r="B239" s="176">
        <f>IF($Z239="","",IFERROR(INDEX('HW Sets'!$N$7:$N$306,MATCH($Y239,'HW Sets'!$M$7:$M$306,0)),""))</f>
        <v/>
      </c>
      <c r="C239" s="177">
        <f t="array" ref="C239">IF($Z239="","",_xlfn.TEXTJOIN(", ",TRUE,IF(tk_HWSET&amp;""=$Y239,tk_MARK,"")))</f>
        <v/>
      </c>
      <c r="D239" s="176">
        <f t="array" ref="D239">IF($Z239="","",SUM(IF(tk_HWSET&amp;""=$Y239,IFERROR(--tk_QTY,0),0)))</f>
        <v/>
      </c>
      <c r="E239" s="176">
        <f>IF($X239="","",IF(INDEX('HW Sets'!$C$7:$C$306,$X239)="","",INDEX('HW Sets'!$C$7:$C$306,$X239)))</f>
        <v/>
      </c>
      <c r="F239" s="176">
        <f>IF($X239="","",IF(INDEX('HW Sets'!$D$7:$D$306,$X239)="","",INDEX('HW Sets'!$D$7:$D$306,$X239)))</f>
        <v/>
      </c>
      <c r="G239" s="176">
        <f>IF($X239="","",IF(INDEX('HW Sets'!$E$7:$E$306,$X239)="","",INDEX('HW Sets'!$E$7:$E$306,$X239)))</f>
        <v/>
      </c>
      <c r="H239" s="176">
        <f>IF($X239="","",IF(INDEX('HW Sets'!$F$7:$F$306,$X239)="","",INDEX('HW Sets'!$F$7:$F$306,$X239)))</f>
        <v/>
      </c>
      <c r="I239" s="176">
        <f>IF($X239="","",IF(INDEX('HW Sets'!$G$7:$G$306,$X239)="","",INDEX('HW Sets'!$G$7:$G$306,$X239)))</f>
        <v/>
      </c>
      <c r="J239" s="176">
        <f>IF($X239="","",IF(INDEX('HW Sets'!$H$7:$H$306,$X239)="","",INDEX('HW Sets'!$H$7:$H$306,$X239)))</f>
        <v/>
      </c>
      <c r="K239" s="175">
        <f t="array" ref="K239">IF($X239="","",N($E239)*SUM(IF(tk_HWSET&amp;""=$Y239,IFERROR(--tk_QTY,0),0)))</f>
        <v/>
      </c>
      <c r="L239" s="176">
        <f>IF($X239="","",IF(INDEX('HW Sets'!$I$7:$I$306,$X239)="","",INDEX('HW Sets'!$I$7:$I$306,$X239)))</f>
        <v/>
      </c>
      <c r="N239" s="176">
        <f>IF($W239="","",INDEX($G$7:$G$306,$W239)&amp;"")</f>
        <v/>
      </c>
      <c r="O239" s="176">
        <f>IF($W239="","",INDEX($H$7:$H$306,$W239)&amp;"")</f>
        <v/>
      </c>
      <c r="P239" s="176">
        <f>IF($W239="","",INDEX($I$7:$I$306,$W239)&amp;"")</f>
        <v/>
      </c>
      <c r="Q239" s="176">
        <f>IF($W239="","",INDEX($J$7:$J$306,$W239)&amp;"")</f>
        <v/>
      </c>
      <c r="R239" s="176">
        <f>IF($W239="","",INDEX($F$7:$F$306,$W239)&amp;"")</f>
        <v/>
      </c>
      <c r="S239" s="175">
        <f>IF($W239="","",SUMIF($U$7:$U$306,INDEX($U$7:$U$306,$W239),$K$7:$K$306))</f>
        <v/>
      </c>
      <c r="U239">
        <f>IF(OR($X239="",N($K239)=0),"",UPPER(TRIM($G239&amp;"|"&amp;$H239&amp;"|"&amp;$I239&amp;"|"&amp;$J239&amp;"|"&amp;$F239)))</f>
        <v/>
      </c>
      <c r="V239">
        <f>IF($U239="","",IF(COUNTIF($U$7:$U239,$U239)=1,MAX($V$6:$V238)+1,""))</f>
        <v/>
      </c>
      <c r="W239">
        <f>IFERROR(MATCH(233,$V$7:$V$306,0),"")</f>
        <v/>
      </c>
      <c r="X239">
        <f>IFERROR(MATCH(233,'HW Sets'!$S$7:$S$306,0),"")</f>
        <v/>
      </c>
      <c r="Y239">
        <f>IF($X239="","",INDEX('HW Sets'!$J$7:$J$306,$X239)&amp;"")</f>
        <v/>
      </c>
      <c r="Z239">
        <f>IF($Y239="","",IF(COUNTIF($Y$7:$Y239,$Y239)=1,1,""))</f>
        <v/>
      </c>
    </row>
    <row r="240">
      <c r="A240" s="175">
        <f>IF($Z240="","",$Y240)</f>
        <v/>
      </c>
      <c r="B240" s="176">
        <f>IF($Z240="","",IFERROR(INDEX('HW Sets'!$N$7:$N$306,MATCH($Y240,'HW Sets'!$M$7:$M$306,0)),""))</f>
        <v/>
      </c>
      <c r="C240" s="177">
        <f t="array" ref="C240">IF($Z240="","",_xlfn.TEXTJOIN(", ",TRUE,IF(tk_HWSET&amp;""=$Y240,tk_MARK,"")))</f>
        <v/>
      </c>
      <c r="D240" s="176">
        <f t="array" ref="D240">IF($Z240="","",SUM(IF(tk_HWSET&amp;""=$Y240,IFERROR(--tk_QTY,0),0)))</f>
        <v/>
      </c>
      <c r="E240" s="176">
        <f>IF($X240="","",IF(INDEX('HW Sets'!$C$7:$C$306,$X240)="","",INDEX('HW Sets'!$C$7:$C$306,$X240)))</f>
        <v/>
      </c>
      <c r="F240" s="176">
        <f>IF($X240="","",IF(INDEX('HW Sets'!$D$7:$D$306,$X240)="","",INDEX('HW Sets'!$D$7:$D$306,$X240)))</f>
        <v/>
      </c>
      <c r="G240" s="176">
        <f>IF($X240="","",IF(INDEX('HW Sets'!$E$7:$E$306,$X240)="","",INDEX('HW Sets'!$E$7:$E$306,$X240)))</f>
        <v/>
      </c>
      <c r="H240" s="176">
        <f>IF($X240="","",IF(INDEX('HW Sets'!$F$7:$F$306,$X240)="","",INDEX('HW Sets'!$F$7:$F$306,$X240)))</f>
        <v/>
      </c>
      <c r="I240" s="176">
        <f>IF($X240="","",IF(INDEX('HW Sets'!$G$7:$G$306,$X240)="","",INDEX('HW Sets'!$G$7:$G$306,$X240)))</f>
        <v/>
      </c>
      <c r="J240" s="176">
        <f>IF($X240="","",IF(INDEX('HW Sets'!$H$7:$H$306,$X240)="","",INDEX('HW Sets'!$H$7:$H$306,$X240)))</f>
        <v/>
      </c>
      <c r="K240" s="175">
        <f t="array" ref="K240">IF($X240="","",N($E240)*SUM(IF(tk_HWSET&amp;""=$Y240,IFERROR(--tk_QTY,0),0)))</f>
        <v/>
      </c>
      <c r="L240" s="176">
        <f>IF($X240="","",IF(INDEX('HW Sets'!$I$7:$I$306,$X240)="","",INDEX('HW Sets'!$I$7:$I$306,$X240)))</f>
        <v/>
      </c>
      <c r="N240" s="176">
        <f>IF($W240="","",INDEX($G$7:$G$306,$W240)&amp;"")</f>
        <v/>
      </c>
      <c r="O240" s="176">
        <f>IF($W240="","",INDEX($H$7:$H$306,$W240)&amp;"")</f>
        <v/>
      </c>
      <c r="P240" s="176">
        <f>IF($W240="","",INDEX($I$7:$I$306,$W240)&amp;"")</f>
        <v/>
      </c>
      <c r="Q240" s="176">
        <f>IF($W240="","",INDEX($J$7:$J$306,$W240)&amp;"")</f>
        <v/>
      </c>
      <c r="R240" s="176">
        <f>IF($W240="","",INDEX($F$7:$F$306,$W240)&amp;"")</f>
        <v/>
      </c>
      <c r="S240" s="175">
        <f>IF($W240="","",SUMIF($U$7:$U$306,INDEX($U$7:$U$306,$W240),$K$7:$K$306))</f>
        <v/>
      </c>
      <c r="U240">
        <f>IF(OR($X240="",N($K240)=0),"",UPPER(TRIM($G240&amp;"|"&amp;$H240&amp;"|"&amp;$I240&amp;"|"&amp;$J240&amp;"|"&amp;$F240)))</f>
        <v/>
      </c>
      <c r="V240">
        <f>IF($U240="","",IF(COUNTIF($U$7:$U240,$U240)=1,MAX($V$6:$V239)+1,""))</f>
        <v/>
      </c>
      <c r="W240">
        <f>IFERROR(MATCH(234,$V$7:$V$306,0),"")</f>
        <v/>
      </c>
      <c r="X240">
        <f>IFERROR(MATCH(234,'HW Sets'!$S$7:$S$306,0),"")</f>
        <v/>
      </c>
      <c r="Y240">
        <f>IF($X240="","",INDEX('HW Sets'!$J$7:$J$306,$X240)&amp;"")</f>
        <v/>
      </c>
      <c r="Z240">
        <f>IF($Y240="","",IF(COUNTIF($Y$7:$Y240,$Y240)=1,1,""))</f>
        <v/>
      </c>
    </row>
    <row r="241">
      <c r="A241" s="175">
        <f>IF($Z241="","",$Y241)</f>
        <v/>
      </c>
      <c r="B241" s="176">
        <f>IF($Z241="","",IFERROR(INDEX('HW Sets'!$N$7:$N$306,MATCH($Y241,'HW Sets'!$M$7:$M$306,0)),""))</f>
        <v/>
      </c>
      <c r="C241" s="177">
        <f t="array" ref="C241">IF($Z241="","",_xlfn.TEXTJOIN(", ",TRUE,IF(tk_HWSET&amp;""=$Y241,tk_MARK,"")))</f>
        <v/>
      </c>
      <c r="D241" s="176">
        <f t="array" ref="D241">IF($Z241="","",SUM(IF(tk_HWSET&amp;""=$Y241,IFERROR(--tk_QTY,0),0)))</f>
        <v/>
      </c>
      <c r="E241" s="176">
        <f>IF($X241="","",IF(INDEX('HW Sets'!$C$7:$C$306,$X241)="","",INDEX('HW Sets'!$C$7:$C$306,$X241)))</f>
        <v/>
      </c>
      <c r="F241" s="176">
        <f>IF($X241="","",IF(INDEX('HW Sets'!$D$7:$D$306,$X241)="","",INDEX('HW Sets'!$D$7:$D$306,$X241)))</f>
        <v/>
      </c>
      <c r="G241" s="176">
        <f>IF($X241="","",IF(INDEX('HW Sets'!$E$7:$E$306,$X241)="","",INDEX('HW Sets'!$E$7:$E$306,$X241)))</f>
        <v/>
      </c>
      <c r="H241" s="176">
        <f>IF($X241="","",IF(INDEX('HW Sets'!$F$7:$F$306,$X241)="","",INDEX('HW Sets'!$F$7:$F$306,$X241)))</f>
        <v/>
      </c>
      <c r="I241" s="176">
        <f>IF($X241="","",IF(INDEX('HW Sets'!$G$7:$G$306,$X241)="","",INDEX('HW Sets'!$G$7:$G$306,$X241)))</f>
        <v/>
      </c>
      <c r="J241" s="176">
        <f>IF($X241="","",IF(INDEX('HW Sets'!$H$7:$H$306,$X241)="","",INDEX('HW Sets'!$H$7:$H$306,$X241)))</f>
        <v/>
      </c>
      <c r="K241" s="175">
        <f t="array" ref="K241">IF($X241="","",N($E241)*SUM(IF(tk_HWSET&amp;""=$Y241,IFERROR(--tk_QTY,0),0)))</f>
        <v/>
      </c>
      <c r="L241" s="176">
        <f>IF($X241="","",IF(INDEX('HW Sets'!$I$7:$I$306,$X241)="","",INDEX('HW Sets'!$I$7:$I$306,$X241)))</f>
        <v/>
      </c>
      <c r="N241" s="176">
        <f>IF($W241="","",INDEX($G$7:$G$306,$W241)&amp;"")</f>
        <v/>
      </c>
      <c r="O241" s="176">
        <f>IF($W241="","",INDEX($H$7:$H$306,$W241)&amp;"")</f>
        <v/>
      </c>
      <c r="P241" s="176">
        <f>IF($W241="","",INDEX($I$7:$I$306,$W241)&amp;"")</f>
        <v/>
      </c>
      <c r="Q241" s="176">
        <f>IF($W241="","",INDEX($J$7:$J$306,$W241)&amp;"")</f>
        <v/>
      </c>
      <c r="R241" s="176">
        <f>IF($W241="","",INDEX($F$7:$F$306,$W241)&amp;"")</f>
        <v/>
      </c>
      <c r="S241" s="175">
        <f>IF($W241="","",SUMIF($U$7:$U$306,INDEX($U$7:$U$306,$W241),$K$7:$K$306))</f>
        <v/>
      </c>
      <c r="U241">
        <f>IF(OR($X241="",N($K241)=0),"",UPPER(TRIM($G241&amp;"|"&amp;$H241&amp;"|"&amp;$I241&amp;"|"&amp;$J241&amp;"|"&amp;$F241)))</f>
        <v/>
      </c>
      <c r="V241">
        <f>IF($U241="","",IF(COUNTIF($U$7:$U241,$U241)=1,MAX($V$6:$V240)+1,""))</f>
        <v/>
      </c>
      <c r="W241">
        <f>IFERROR(MATCH(235,$V$7:$V$306,0),"")</f>
        <v/>
      </c>
      <c r="X241">
        <f>IFERROR(MATCH(235,'HW Sets'!$S$7:$S$306,0),"")</f>
        <v/>
      </c>
      <c r="Y241">
        <f>IF($X241="","",INDEX('HW Sets'!$J$7:$J$306,$X241)&amp;"")</f>
        <v/>
      </c>
      <c r="Z241">
        <f>IF($Y241="","",IF(COUNTIF($Y$7:$Y241,$Y241)=1,1,""))</f>
        <v/>
      </c>
    </row>
    <row r="242">
      <c r="A242" s="175">
        <f>IF($Z242="","",$Y242)</f>
        <v/>
      </c>
      <c r="B242" s="176">
        <f>IF($Z242="","",IFERROR(INDEX('HW Sets'!$N$7:$N$306,MATCH($Y242,'HW Sets'!$M$7:$M$306,0)),""))</f>
        <v/>
      </c>
      <c r="C242" s="177">
        <f t="array" ref="C242">IF($Z242="","",_xlfn.TEXTJOIN(", ",TRUE,IF(tk_HWSET&amp;""=$Y242,tk_MARK,"")))</f>
        <v/>
      </c>
      <c r="D242" s="176">
        <f t="array" ref="D242">IF($Z242="","",SUM(IF(tk_HWSET&amp;""=$Y242,IFERROR(--tk_QTY,0),0)))</f>
        <v/>
      </c>
      <c r="E242" s="176">
        <f>IF($X242="","",IF(INDEX('HW Sets'!$C$7:$C$306,$X242)="","",INDEX('HW Sets'!$C$7:$C$306,$X242)))</f>
        <v/>
      </c>
      <c r="F242" s="176">
        <f>IF($X242="","",IF(INDEX('HW Sets'!$D$7:$D$306,$X242)="","",INDEX('HW Sets'!$D$7:$D$306,$X242)))</f>
        <v/>
      </c>
      <c r="G242" s="176">
        <f>IF($X242="","",IF(INDEX('HW Sets'!$E$7:$E$306,$X242)="","",INDEX('HW Sets'!$E$7:$E$306,$X242)))</f>
        <v/>
      </c>
      <c r="H242" s="176">
        <f>IF($X242="","",IF(INDEX('HW Sets'!$F$7:$F$306,$X242)="","",INDEX('HW Sets'!$F$7:$F$306,$X242)))</f>
        <v/>
      </c>
      <c r="I242" s="176">
        <f>IF($X242="","",IF(INDEX('HW Sets'!$G$7:$G$306,$X242)="","",INDEX('HW Sets'!$G$7:$G$306,$X242)))</f>
        <v/>
      </c>
      <c r="J242" s="176">
        <f>IF($X242="","",IF(INDEX('HW Sets'!$H$7:$H$306,$X242)="","",INDEX('HW Sets'!$H$7:$H$306,$X242)))</f>
        <v/>
      </c>
      <c r="K242" s="175">
        <f t="array" ref="K242">IF($X242="","",N($E242)*SUM(IF(tk_HWSET&amp;""=$Y242,IFERROR(--tk_QTY,0),0)))</f>
        <v/>
      </c>
      <c r="L242" s="176">
        <f>IF($X242="","",IF(INDEX('HW Sets'!$I$7:$I$306,$X242)="","",INDEX('HW Sets'!$I$7:$I$306,$X242)))</f>
        <v/>
      </c>
      <c r="N242" s="176">
        <f>IF($W242="","",INDEX($G$7:$G$306,$W242)&amp;"")</f>
        <v/>
      </c>
      <c r="O242" s="176">
        <f>IF($W242="","",INDEX($H$7:$H$306,$W242)&amp;"")</f>
        <v/>
      </c>
      <c r="P242" s="176">
        <f>IF($W242="","",INDEX($I$7:$I$306,$W242)&amp;"")</f>
        <v/>
      </c>
      <c r="Q242" s="176">
        <f>IF($W242="","",INDEX($J$7:$J$306,$W242)&amp;"")</f>
        <v/>
      </c>
      <c r="R242" s="176">
        <f>IF($W242="","",INDEX($F$7:$F$306,$W242)&amp;"")</f>
        <v/>
      </c>
      <c r="S242" s="175">
        <f>IF($W242="","",SUMIF($U$7:$U$306,INDEX($U$7:$U$306,$W242),$K$7:$K$306))</f>
        <v/>
      </c>
      <c r="U242">
        <f>IF(OR($X242="",N($K242)=0),"",UPPER(TRIM($G242&amp;"|"&amp;$H242&amp;"|"&amp;$I242&amp;"|"&amp;$J242&amp;"|"&amp;$F242)))</f>
        <v/>
      </c>
      <c r="V242">
        <f>IF($U242="","",IF(COUNTIF($U$7:$U242,$U242)=1,MAX($V$6:$V241)+1,""))</f>
        <v/>
      </c>
      <c r="W242">
        <f>IFERROR(MATCH(236,$V$7:$V$306,0),"")</f>
        <v/>
      </c>
      <c r="X242">
        <f>IFERROR(MATCH(236,'HW Sets'!$S$7:$S$306,0),"")</f>
        <v/>
      </c>
      <c r="Y242">
        <f>IF($X242="","",INDEX('HW Sets'!$J$7:$J$306,$X242)&amp;"")</f>
        <v/>
      </c>
      <c r="Z242">
        <f>IF($Y242="","",IF(COUNTIF($Y$7:$Y242,$Y242)=1,1,""))</f>
        <v/>
      </c>
    </row>
    <row r="243">
      <c r="A243" s="175">
        <f>IF($Z243="","",$Y243)</f>
        <v/>
      </c>
      <c r="B243" s="176">
        <f>IF($Z243="","",IFERROR(INDEX('HW Sets'!$N$7:$N$306,MATCH($Y243,'HW Sets'!$M$7:$M$306,0)),""))</f>
        <v/>
      </c>
      <c r="C243" s="177">
        <f t="array" ref="C243">IF($Z243="","",_xlfn.TEXTJOIN(", ",TRUE,IF(tk_HWSET&amp;""=$Y243,tk_MARK,"")))</f>
        <v/>
      </c>
      <c r="D243" s="176">
        <f t="array" ref="D243">IF($Z243="","",SUM(IF(tk_HWSET&amp;""=$Y243,IFERROR(--tk_QTY,0),0)))</f>
        <v/>
      </c>
      <c r="E243" s="176">
        <f>IF($X243="","",IF(INDEX('HW Sets'!$C$7:$C$306,$X243)="","",INDEX('HW Sets'!$C$7:$C$306,$X243)))</f>
        <v/>
      </c>
      <c r="F243" s="176">
        <f>IF($X243="","",IF(INDEX('HW Sets'!$D$7:$D$306,$X243)="","",INDEX('HW Sets'!$D$7:$D$306,$X243)))</f>
        <v/>
      </c>
      <c r="G243" s="176">
        <f>IF($X243="","",IF(INDEX('HW Sets'!$E$7:$E$306,$X243)="","",INDEX('HW Sets'!$E$7:$E$306,$X243)))</f>
        <v/>
      </c>
      <c r="H243" s="176">
        <f>IF($X243="","",IF(INDEX('HW Sets'!$F$7:$F$306,$X243)="","",INDEX('HW Sets'!$F$7:$F$306,$X243)))</f>
        <v/>
      </c>
      <c r="I243" s="176">
        <f>IF($X243="","",IF(INDEX('HW Sets'!$G$7:$G$306,$X243)="","",INDEX('HW Sets'!$G$7:$G$306,$X243)))</f>
        <v/>
      </c>
      <c r="J243" s="176">
        <f>IF($X243="","",IF(INDEX('HW Sets'!$H$7:$H$306,$X243)="","",INDEX('HW Sets'!$H$7:$H$306,$X243)))</f>
        <v/>
      </c>
      <c r="K243" s="175">
        <f t="array" ref="K243">IF($X243="","",N($E243)*SUM(IF(tk_HWSET&amp;""=$Y243,IFERROR(--tk_QTY,0),0)))</f>
        <v/>
      </c>
      <c r="L243" s="176">
        <f>IF($X243="","",IF(INDEX('HW Sets'!$I$7:$I$306,$X243)="","",INDEX('HW Sets'!$I$7:$I$306,$X243)))</f>
        <v/>
      </c>
      <c r="N243" s="176">
        <f>IF($W243="","",INDEX($G$7:$G$306,$W243)&amp;"")</f>
        <v/>
      </c>
      <c r="O243" s="176">
        <f>IF($W243="","",INDEX($H$7:$H$306,$W243)&amp;"")</f>
        <v/>
      </c>
      <c r="P243" s="176">
        <f>IF($W243="","",INDEX($I$7:$I$306,$W243)&amp;"")</f>
        <v/>
      </c>
      <c r="Q243" s="176">
        <f>IF($W243="","",INDEX($J$7:$J$306,$W243)&amp;"")</f>
        <v/>
      </c>
      <c r="R243" s="176">
        <f>IF($W243="","",INDEX($F$7:$F$306,$W243)&amp;"")</f>
        <v/>
      </c>
      <c r="S243" s="175">
        <f>IF($W243="","",SUMIF($U$7:$U$306,INDEX($U$7:$U$306,$W243),$K$7:$K$306))</f>
        <v/>
      </c>
      <c r="U243">
        <f>IF(OR($X243="",N($K243)=0),"",UPPER(TRIM($G243&amp;"|"&amp;$H243&amp;"|"&amp;$I243&amp;"|"&amp;$J243&amp;"|"&amp;$F243)))</f>
        <v/>
      </c>
      <c r="V243">
        <f>IF($U243="","",IF(COUNTIF($U$7:$U243,$U243)=1,MAX($V$6:$V242)+1,""))</f>
        <v/>
      </c>
      <c r="W243">
        <f>IFERROR(MATCH(237,$V$7:$V$306,0),"")</f>
        <v/>
      </c>
      <c r="X243">
        <f>IFERROR(MATCH(237,'HW Sets'!$S$7:$S$306,0),"")</f>
        <v/>
      </c>
      <c r="Y243">
        <f>IF($X243="","",INDEX('HW Sets'!$J$7:$J$306,$X243)&amp;"")</f>
        <v/>
      </c>
      <c r="Z243">
        <f>IF($Y243="","",IF(COUNTIF($Y$7:$Y243,$Y243)=1,1,""))</f>
        <v/>
      </c>
    </row>
    <row r="244">
      <c r="A244" s="175">
        <f>IF($Z244="","",$Y244)</f>
        <v/>
      </c>
      <c r="B244" s="176">
        <f>IF($Z244="","",IFERROR(INDEX('HW Sets'!$N$7:$N$306,MATCH($Y244,'HW Sets'!$M$7:$M$306,0)),""))</f>
        <v/>
      </c>
      <c r="C244" s="177">
        <f t="array" ref="C244">IF($Z244="","",_xlfn.TEXTJOIN(", ",TRUE,IF(tk_HWSET&amp;""=$Y244,tk_MARK,"")))</f>
        <v/>
      </c>
      <c r="D244" s="176">
        <f t="array" ref="D244">IF($Z244="","",SUM(IF(tk_HWSET&amp;""=$Y244,IFERROR(--tk_QTY,0),0)))</f>
        <v/>
      </c>
      <c r="E244" s="176">
        <f>IF($X244="","",IF(INDEX('HW Sets'!$C$7:$C$306,$X244)="","",INDEX('HW Sets'!$C$7:$C$306,$X244)))</f>
        <v/>
      </c>
      <c r="F244" s="176">
        <f>IF($X244="","",IF(INDEX('HW Sets'!$D$7:$D$306,$X244)="","",INDEX('HW Sets'!$D$7:$D$306,$X244)))</f>
        <v/>
      </c>
      <c r="G244" s="176">
        <f>IF($X244="","",IF(INDEX('HW Sets'!$E$7:$E$306,$X244)="","",INDEX('HW Sets'!$E$7:$E$306,$X244)))</f>
        <v/>
      </c>
      <c r="H244" s="176">
        <f>IF($X244="","",IF(INDEX('HW Sets'!$F$7:$F$306,$X244)="","",INDEX('HW Sets'!$F$7:$F$306,$X244)))</f>
        <v/>
      </c>
      <c r="I244" s="176">
        <f>IF($X244="","",IF(INDEX('HW Sets'!$G$7:$G$306,$X244)="","",INDEX('HW Sets'!$G$7:$G$306,$X244)))</f>
        <v/>
      </c>
      <c r="J244" s="176">
        <f>IF($X244="","",IF(INDEX('HW Sets'!$H$7:$H$306,$X244)="","",INDEX('HW Sets'!$H$7:$H$306,$X244)))</f>
        <v/>
      </c>
      <c r="K244" s="175">
        <f t="array" ref="K244">IF($X244="","",N($E244)*SUM(IF(tk_HWSET&amp;""=$Y244,IFERROR(--tk_QTY,0),0)))</f>
        <v/>
      </c>
      <c r="L244" s="176">
        <f>IF($X244="","",IF(INDEX('HW Sets'!$I$7:$I$306,$X244)="","",INDEX('HW Sets'!$I$7:$I$306,$X244)))</f>
        <v/>
      </c>
      <c r="N244" s="176">
        <f>IF($W244="","",INDEX($G$7:$G$306,$W244)&amp;"")</f>
        <v/>
      </c>
      <c r="O244" s="176">
        <f>IF($W244="","",INDEX($H$7:$H$306,$W244)&amp;"")</f>
        <v/>
      </c>
      <c r="P244" s="176">
        <f>IF($W244="","",INDEX($I$7:$I$306,$W244)&amp;"")</f>
        <v/>
      </c>
      <c r="Q244" s="176">
        <f>IF($W244="","",INDEX($J$7:$J$306,$W244)&amp;"")</f>
        <v/>
      </c>
      <c r="R244" s="176">
        <f>IF($W244="","",INDEX($F$7:$F$306,$W244)&amp;"")</f>
        <v/>
      </c>
      <c r="S244" s="175">
        <f>IF($W244="","",SUMIF($U$7:$U$306,INDEX($U$7:$U$306,$W244),$K$7:$K$306))</f>
        <v/>
      </c>
      <c r="U244">
        <f>IF(OR($X244="",N($K244)=0),"",UPPER(TRIM($G244&amp;"|"&amp;$H244&amp;"|"&amp;$I244&amp;"|"&amp;$J244&amp;"|"&amp;$F244)))</f>
        <v/>
      </c>
      <c r="V244">
        <f>IF($U244="","",IF(COUNTIF($U$7:$U244,$U244)=1,MAX($V$6:$V243)+1,""))</f>
        <v/>
      </c>
      <c r="W244">
        <f>IFERROR(MATCH(238,$V$7:$V$306,0),"")</f>
        <v/>
      </c>
      <c r="X244">
        <f>IFERROR(MATCH(238,'HW Sets'!$S$7:$S$306,0),"")</f>
        <v/>
      </c>
      <c r="Y244">
        <f>IF($X244="","",INDEX('HW Sets'!$J$7:$J$306,$X244)&amp;"")</f>
        <v/>
      </c>
      <c r="Z244">
        <f>IF($Y244="","",IF(COUNTIF($Y$7:$Y244,$Y244)=1,1,""))</f>
        <v/>
      </c>
    </row>
    <row r="245">
      <c r="A245" s="175">
        <f>IF($Z245="","",$Y245)</f>
        <v/>
      </c>
      <c r="B245" s="176">
        <f>IF($Z245="","",IFERROR(INDEX('HW Sets'!$N$7:$N$306,MATCH($Y245,'HW Sets'!$M$7:$M$306,0)),""))</f>
        <v/>
      </c>
      <c r="C245" s="177">
        <f t="array" ref="C245">IF($Z245="","",_xlfn.TEXTJOIN(", ",TRUE,IF(tk_HWSET&amp;""=$Y245,tk_MARK,"")))</f>
        <v/>
      </c>
      <c r="D245" s="176">
        <f t="array" ref="D245">IF($Z245="","",SUM(IF(tk_HWSET&amp;""=$Y245,IFERROR(--tk_QTY,0),0)))</f>
        <v/>
      </c>
      <c r="E245" s="176">
        <f>IF($X245="","",IF(INDEX('HW Sets'!$C$7:$C$306,$X245)="","",INDEX('HW Sets'!$C$7:$C$306,$X245)))</f>
        <v/>
      </c>
      <c r="F245" s="176">
        <f>IF($X245="","",IF(INDEX('HW Sets'!$D$7:$D$306,$X245)="","",INDEX('HW Sets'!$D$7:$D$306,$X245)))</f>
        <v/>
      </c>
      <c r="G245" s="176">
        <f>IF($X245="","",IF(INDEX('HW Sets'!$E$7:$E$306,$X245)="","",INDEX('HW Sets'!$E$7:$E$306,$X245)))</f>
        <v/>
      </c>
      <c r="H245" s="176">
        <f>IF($X245="","",IF(INDEX('HW Sets'!$F$7:$F$306,$X245)="","",INDEX('HW Sets'!$F$7:$F$306,$X245)))</f>
        <v/>
      </c>
      <c r="I245" s="176">
        <f>IF($X245="","",IF(INDEX('HW Sets'!$G$7:$G$306,$X245)="","",INDEX('HW Sets'!$G$7:$G$306,$X245)))</f>
        <v/>
      </c>
      <c r="J245" s="176">
        <f>IF($X245="","",IF(INDEX('HW Sets'!$H$7:$H$306,$X245)="","",INDEX('HW Sets'!$H$7:$H$306,$X245)))</f>
        <v/>
      </c>
      <c r="K245" s="175">
        <f t="array" ref="K245">IF($X245="","",N($E245)*SUM(IF(tk_HWSET&amp;""=$Y245,IFERROR(--tk_QTY,0),0)))</f>
        <v/>
      </c>
      <c r="L245" s="176">
        <f>IF($X245="","",IF(INDEX('HW Sets'!$I$7:$I$306,$X245)="","",INDEX('HW Sets'!$I$7:$I$306,$X245)))</f>
        <v/>
      </c>
      <c r="N245" s="176">
        <f>IF($W245="","",INDEX($G$7:$G$306,$W245)&amp;"")</f>
        <v/>
      </c>
      <c r="O245" s="176">
        <f>IF($W245="","",INDEX($H$7:$H$306,$W245)&amp;"")</f>
        <v/>
      </c>
      <c r="P245" s="176">
        <f>IF($W245="","",INDEX($I$7:$I$306,$W245)&amp;"")</f>
        <v/>
      </c>
      <c r="Q245" s="176">
        <f>IF($W245="","",INDEX($J$7:$J$306,$W245)&amp;"")</f>
        <v/>
      </c>
      <c r="R245" s="176">
        <f>IF($W245="","",INDEX($F$7:$F$306,$W245)&amp;"")</f>
        <v/>
      </c>
      <c r="S245" s="175">
        <f>IF($W245="","",SUMIF($U$7:$U$306,INDEX($U$7:$U$306,$W245),$K$7:$K$306))</f>
        <v/>
      </c>
      <c r="U245">
        <f>IF(OR($X245="",N($K245)=0),"",UPPER(TRIM($G245&amp;"|"&amp;$H245&amp;"|"&amp;$I245&amp;"|"&amp;$J245&amp;"|"&amp;$F245)))</f>
        <v/>
      </c>
      <c r="V245">
        <f>IF($U245="","",IF(COUNTIF($U$7:$U245,$U245)=1,MAX($V$6:$V244)+1,""))</f>
        <v/>
      </c>
      <c r="W245">
        <f>IFERROR(MATCH(239,$V$7:$V$306,0),"")</f>
        <v/>
      </c>
      <c r="X245">
        <f>IFERROR(MATCH(239,'HW Sets'!$S$7:$S$306,0),"")</f>
        <v/>
      </c>
      <c r="Y245">
        <f>IF($X245="","",INDEX('HW Sets'!$J$7:$J$306,$X245)&amp;"")</f>
        <v/>
      </c>
      <c r="Z245">
        <f>IF($Y245="","",IF(COUNTIF($Y$7:$Y245,$Y245)=1,1,""))</f>
        <v/>
      </c>
    </row>
    <row r="246">
      <c r="A246" s="175">
        <f>IF($Z246="","",$Y246)</f>
        <v/>
      </c>
      <c r="B246" s="176">
        <f>IF($Z246="","",IFERROR(INDEX('HW Sets'!$N$7:$N$306,MATCH($Y246,'HW Sets'!$M$7:$M$306,0)),""))</f>
        <v/>
      </c>
      <c r="C246" s="177">
        <f t="array" ref="C246">IF($Z246="","",_xlfn.TEXTJOIN(", ",TRUE,IF(tk_HWSET&amp;""=$Y246,tk_MARK,"")))</f>
        <v/>
      </c>
      <c r="D246" s="176">
        <f t="array" ref="D246">IF($Z246="","",SUM(IF(tk_HWSET&amp;""=$Y246,IFERROR(--tk_QTY,0),0)))</f>
        <v/>
      </c>
      <c r="E246" s="176">
        <f>IF($X246="","",IF(INDEX('HW Sets'!$C$7:$C$306,$X246)="","",INDEX('HW Sets'!$C$7:$C$306,$X246)))</f>
        <v/>
      </c>
      <c r="F246" s="176">
        <f>IF($X246="","",IF(INDEX('HW Sets'!$D$7:$D$306,$X246)="","",INDEX('HW Sets'!$D$7:$D$306,$X246)))</f>
        <v/>
      </c>
      <c r="G246" s="176">
        <f>IF($X246="","",IF(INDEX('HW Sets'!$E$7:$E$306,$X246)="","",INDEX('HW Sets'!$E$7:$E$306,$X246)))</f>
        <v/>
      </c>
      <c r="H246" s="176">
        <f>IF($X246="","",IF(INDEX('HW Sets'!$F$7:$F$306,$X246)="","",INDEX('HW Sets'!$F$7:$F$306,$X246)))</f>
        <v/>
      </c>
      <c r="I246" s="176">
        <f>IF($X246="","",IF(INDEX('HW Sets'!$G$7:$G$306,$X246)="","",INDEX('HW Sets'!$G$7:$G$306,$X246)))</f>
        <v/>
      </c>
      <c r="J246" s="176">
        <f>IF($X246="","",IF(INDEX('HW Sets'!$H$7:$H$306,$X246)="","",INDEX('HW Sets'!$H$7:$H$306,$X246)))</f>
        <v/>
      </c>
      <c r="K246" s="175">
        <f t="array" ref="K246">IF($X246="","",N($E246)*SUM(IF(tk_HWSET&amp;""=$Y246,IFERROR(--tk_QTY,0),0)))</f>
        <v/>
      </c>
      <c r="L246" s="176">
        <f>IF($X246="","",IF(INDEX('HW Sets'!$I$7:$I$306,$X246)="","",INDEX('HW Sets'!$I$7:$I$306,$X246)))</f>
        <v/>
      </c>
      <c r="N246" s="176">
        <f>IF($W246="","",INDEX($G$7:$G$306,$W246)&amp;"")</f>
        <v/>
      </c>
      <c r="O246" s="176">
        <f>IF($W246="","",INDEX($H$7:$H$306,$W246)&amp;"")</f>
        <v/>
      </c>
      <c r="P246" s="176">
        <f>IF($W246="","",INDEX($I$7:$I$306,$W246)&amp;"")</f>
        <v/>
      </c>
      <c r="Q246" s="176">
        <f>IF($W246="","",INDEX($J$7:$J$306,$W246)&amp;"")</f>
        <v/>
      </c>
      <c r="R246" s="176">
        <f>IF($W246="","",INDEX($F$7:$F$306,$W246)&amp;"")</f>
        <v/>
      </c>
      <c r="S246" s="175">
        <f>IF($W246="","",SUMIF($U$7:$U$306,INDEX($U$7:$U$306,$W246),$K$7:$K$306))</f>
        <v/>
      </c>
      <c r="U246">
        <f>IF(OR($X246="",N($K246)=0),"",UPPER(TRIM($G246&amp;"|"&amp;$H246&amp;"|"&amp;$I246&amp;"|"&amp;$J246&amp;"|"&amp;$F246)))</f>
        <v/>
      </c>
      <c r="V246">
        <f>IF($U246="","",IF(COUNTIF($U$7:$U246,$U246)=1,MAX($V$6:$V245)+1,""))</f>
        <v/>
      </c>
      <c r="W246">
        <f>IFERROR(MATCH(240,$V$7:$V$306,0),"")</f>
        <v/>
      </c>
      <c r="X246">
        <f>IFERROR(MATCH(240,'HW Sets'!$S$7:$S$306,0),"")</f>
        <v/>
      </c>
      <c r="Y246">
        <f>IF($X246="","",INDEX('HW Sets'!$J$7:$J$306,$X246)&amp;"")</f>
        <v/>
      </c>
      <c r="Z246">
        <f>IF($Y246="","",IF(COUNTIF($Y$7:$Y246,$Y246)=1,1,""))</f>
        <v/>
      </c>
    </row>
    <row r="247">
      <c r="A247" s="175">
        <f>IF($Z247="","",$Y247)</f>
        <v/>
      </c>
      <c r="B247" s="176">
        <f>IF($Z247="","",IFERROR(INDEX('HW Sets'!$N$7:$N$306,MATCH($Y247,'HW Sets'!$M$7:$M$306,0)),""))</f>
        <v/>
      </c>
      <c r="C247" s="177">
        <f t="array" ref="C247">IF($Z247="","",_xlfn.TEXTJOIN(", ",TRUE,IF(tk_HWSET&amp;""=$Y247,tk_MARK,"")))</f>
        <v/>
      </c>
      <c r="D247" s="176">
        <f t="array" ref="D247">IF($Z247="","",SUM(IF(tk_HWSET&amp;""=$Y247,IFERROR(--tk_QTY,0),0)))</f>
        <v/>
      </c>
      <c r="E247" s="176">
        <f>IF($X247="","",IF(INDEX('HW Sets'!$C$7:$C$306,$X247)="","",INDEX('HW Sets'!$C$7:$C$306,$X247)))</f>
        <v/>
      </c>
      <c r="F247" s="176">
        <f>IF($X247="","",IF(INDEX('HW Sets'!$D$7:$D$306,$X247)="","",INDEX('HW Sets'!$D$7:$D$306,$X247)))</f>
        <v/>
      </c>
      <c r="G247" s="176">
        <f>IF($X247="","",IF(INDEX('HW Sets'!$E$7:$E$306,$X247)="","",INDEX('HW Sets'!$E$7:$E$306,$X247)))</f>
        <v/>
      </c>
      <c r="H247" s="176">
        <f>IF($X247="","",IF(INDEX('HW Sets'!$F$7:$F$306,$X247)="","",INDEX('HW Sets'!$F$7:$F$306,$X247)))</f>
        <v/>
      </c>
      <c r="I247" s="176">
        <f>IF($X247="","",IF(INDEX('HW Sets'!$G$7:$G$306,$X247)="","",INDEX('HW Sets'!$G$7:$G$306,$X247)))</f>
        <v/>
      </c>
      <c r="J247" s="176">
        <f>IF($X247="","",IF(INDEX('HW Sets'!$H$7:$H$306,$X247)="","",INDEX('HW Sets'!$H$7:$H$306,$X247)))</f>
        <v/>
      </c>
      <c r="K247" s="175">
        <f t="array" ref="K247">IF($X247="","",N($E247)*SUM(IF(tk_HWSET&amp;""=$Y247,IFERROR(--tk_QTY,0),0)))</f>
        <v/>
      </c>
      <c r="L247" s="176">
        <f>IF($X247="","",IF(INDEX('HW Sets'!$I$7:$I$306,$X247)="","",INDEX('HW Sets'!$I$7:$I$306,$X247)))</f>
        <v/>
      </c>
      <c r="N247" s="176">
        <f>IF($W247="","",INDEX($G$7:$G$306,$W247)&amp;"")</f>
        <v/>
      </c>
      <c r="O247" s="176">
        <f>IF($W247="","",INDEX($H$7:$H$306,$W247)&amp;"")</f>
        <v/>
      </c>
      <c r="P247" s="176">
        <f>IF($W247="","",INDEX($I$7:$I$306,$W247)&amp;"")</f>
        <v/>
      </c>
      <c r="Q247" s="176">
        <f>IF($W247="","",INDEX($J$7:$J$306,$W247)&amp;"")</f>
        <v/>
      </c>
      <c r="R247" s="176">
        <f>IF($W247="","",INDEX($F$7:$F$306,$W247)&amp;"")</f>
        <v/>
      </c>
      <c r="S247" s="175">
        <f>IF($W247="","",SUMIF($U$7:$U$306,INDEX($U$7:$U$306,$W247),$K$7:$K$306))</f>
        <v/>
      </c>
      <c r="U247">
        <f>IF(OR($X247="",N($K247)=0),"",UPPER(TRIM($G247&amp;"|"&amp;$H247&amp;"|"&amp;$I247&amp;"|"&amp;$J247&amp;"|"&amp;$F247)))</f>
        <v/>
      </c>
      <c r="V247">
        <f>IF($U247="","",IF(COUNTIF($U$7:$U247,$U247)=1,MAX($V$6:$V246)+1,""))</f>
        <v/>
      </c>
      <c r="W247">
        <f>IFERROR(MATCH(241,$V$7:$V$306,0),"")</f>
        <v/>
      </c>
      <c r="X247">
        <f>IFERROR(MATCH(241,'HW Sets'!$S$7:$S$306,0),"")</f>
        <v/>
      </c>
      <c r="Y247">
        <f>IF($X247="","",INDEX('HW Sets'!$J$7:$J$306,$X247)&amp;"")</f>
        <v/>
      </c>
      <c r="Z247">
        <f>IF($Y247="","",IF(COUNTIF($Y$7:$Y247,$Y247)=1,1,""))</f>
        <v/>
      </c>
    </row>
    <row r="248">
      <c r="A248" s="175">
        <f>IF($Z248="","",$Y248)</f>
        <v/>
      </c>
      <c r="B248" s="176">
        <f>IF($Z248="","",IFERROR(INDEX('HW Sets'!$N$7:$N$306,MATCH($Y248,'HW Sets'!$M$7:$M$306,0)),""))</f>
        <v/>
      </c>
      <c r="C248" s="177">
        <f t="array" ref="C248">IF($Z248="","",_xlfn.TEXTJOIN(", ",TRUE,IF(tk_HWSET&amp;""=$Y248,tk_MARK,"")))</f>
        <v/>
      </c>
      <c r="D248" s="176">
        <f t="array" ref="D248">IF($Z248="","",SUM(IF(tk_HWSET&amp;""=$Y248,IFERROR(--tk_QTY,0),0)))</f>
        <v/>
      </c>
      <c r="E248" s="176">
        <f>IF($X248="","",IF(INDEX('HW Sets'!$C$7:$C$306,$X248)="","",INDEX('HW Sets'!$C$7:$C$306,$X248)))</f>
        <v/>
      </c>
      <c r="F248" s="176">
        <f>IF($X248="","",IF(INDEX('HW Sets'!$D$7:$D$306,$X248)="","",INDEX('HW Sets'!$D$7:$D$306,$X248)))</f>
        <v/>
      </c>
      <c r="G248" s="176">
        <f>IF($X248="","",IF(INDEX('HW Sets'!$E$7:$E$306,$X248)="","",INDEX('HW Sets'!$E$7:$E$306,$X248)))</f>
        <v/>
      </c>
      <c r="H248" s="176">
        <f>IF($X248="","",IF(INDEX('HW Sets'!$F$7:$F$306,$X248)="","",INDEX('HW Sets'!$F$7:$F$306,$X248)))</f>
        <v/>
      </c>
      <c r="I248" s="176">
        <f>IF($X248="","",IF(INDEX('HW Sets'!$G$7:$G$306,$X248)="","",INDEX('HW Sets'!$G$7:$G$306,$X248)))</f>
        <v/>
      </c>
      <c r="J248" s="176">
        <f>IF($X248="","",IF(INDEX('HW Sets'!$H$7:$H$306,$X248)="","",INDEX('HW Sets'!$H$7:$H$306,$X248)))</f>
        <v/>
      </c>
      <c r="K248" s="175">
        <f t="array" ref="K248">IF($X248="","",N($E248)*SUM(IF(tk_HWSET&amp;""=$Y248,IFERROR(--tk_QTY,0),0)))</f>
        <v/>
      </c>
      <c r="L248" s="176">
        <f>IF($X248="","",IF(INDEX('HW Sets'!$I$7:$I$306,$X248)="","",INDEX('HW Sets'!$I$7:$I$306,$X248)))</f>
        <v/>
      </c>
      <c r="N248" s="176">
        <f>IF($W248="","",INDEX($G$7:$G$306,$W248)&amp;"")</f>
        <v/>
      </c>
      <c r="O248" s="176">
        <f>IF($W248="","",INDEX($H$7:$H$306,$W248)&amp;"")</f>
        <v/>
      </c>
      <c r="P248" s="176">
        <f>IF($W248="","",INDEX($I$7:$I$306,$W248)&amp;"")</f>
        <v/>
      </c>
      <c r="Q248" s="176">
        <f>IF($W248="","",INDEX($J$7:$J$306,$W248)&amp;"")</f>
        <v/>
      </c>
      <c r="R248" s="176">
        <f>IF($W248="","",INDEX($F$7:$F$306,$W248)&amp;"")</f>
        <v/>
      </c>
      <c r="S248" s="175">
        <f>IF($W248="","",SUMIF($U$7:$U$306,INDEX($U$7:$U$306,$W248),$K$7:$K$306))</f>
        <v/>
      </c>
      <c r="U248">
        <f>IF(OR($X248="",N($K248)=0),"",UPPER(TRIM($G248&amp;"|"&amp;$H248&amp;"|"&amp;$I248&amp;"|"&amp;$J248&amp;"|"&amp;$F248)))</f>
        <v/>
      </c>
      <c r="V248">
        <f>IF($U248="","",IF(COUNTIF($U$7:$U248,$U248)=1,MAX($V$6:$V247)+1,""))</f>
        <v/>
      </c>
      <c r="W248">
        <f>IFERROR(MATCH(242,$V$7:$V$306,0),"")</f>
        <v/>
      </c>
      <c r="X248">
        <f>IFERROR(MATCH(242,'HW Sets'!$S$7:$S$306,0),"")</f>
        <v/>
      </c>
      <c r="Y248">
        <f>IF($X248="","",INDEX('HW Sets'!$J$7:$J$306,$X248)&amp;"")</f>
        <v/>
      </c>
      <c r="Z248">
        <f>IF($Y248="","",IF(COUNTIF($Y$7:$Y248,$Y248)=1,1,""))</f>
        <v/>
      </c>
    </row>
    <row r="249">
      <c r="A249" s="175">
        <f>IF($Z249="","",$Y249)</f>
        <v/>
      </c>
      <c r="B249" s="176">
        <f>IF($Z249="","",IFERROR(INDEX('HW Sets'!$N$7:$N$306,MATCH($Y249,'HW Sets'!$M$7:$M$306,0)),""))</f>
        <v/>
      </c>
      <c r="C249" s="177">
        <f t="array" ref="C249">IF($Z249="","",_xlfn.TEXTJOIN(", ",TRUE,IF(tk_HWSET&amp;""=$Y249,tk_MARK,"")))</f>
        <v/>
      </c>
      <c r="D249" s="176">
        <f t="array" ref="D249">IF($Z249="","",SUM(IF(tk_HWSET&amp;""=$Y249,IFERROR(--tk_QTY,0),0)))</f>
        <v/>
      </c>
      <c r="E249" s="176">
        <f>IF($X249="","",IF(INDEX('HW Sets'!$C$7:$C$306,$X249)="","",INDEX('HW Sets'!$C$7:$C$306,$X249)))</f>
        <v/>
      </c>
      <c r="F249" s="176">
        <f>IF($X249="","",IF(INDEX('HW Sets'!$D$7:$D$306,$X249)="","",INDEX('HW Sets'!$D$7:$D$306,$X249)))</f>
        <v/>
      </c>
      <c r="G249" s="176">
        <f>IF($X249="","",IF(INDEX('HW Sets'!$E$7:$E$306,$X249)="","",INDEX('HW Sets'!$E$7:$E$306,$X249)))</f>
        <v/>
      </c>
      <c r="H249" s="176">
        <f>IF($X249="","",IF(INDEX('HW Sets'!$F$7:$F$306,$X249)="","",INDEX('HW Sets'!$F$7:$F$306,$X249)))</f>
        <v/>
      </c>
      <c r="I249" s="176">
        <f>IF($X249="","",IF(INDEX('HW Sets'!$G$7:$G$306,$X249)="","",INDEX('HW Sets'!$G$7:$G$306,$X249)))</f>
        <v/>
      </c>
      <c r="J249" s="176">
        <f>IF($X249="","",IF(INDEX('HW Sets'!$H$7:$H$306,$X249)="","",INDEX('HW Sets'!$H$7:$H$306,$X249)))</f>
        <v/>
      </c>
      <c r="K249" s="175">
        <f t="array" ref="K249">IF($X249="","",N($E249)*SUM(IF(tk_HWSET&amp;""=$Y249,IFERROR(--tk_QTY,0),0)))</f>
        <v/>
      </c>
      <c r="L249" s="176">
        <f>IF($X249="","",IF(INDEX('HW Sets'!$I$7:$I$306,$X249)="","",INDEX('HW Sets'!$I$7:$I$306,$X249)))</f>
        <v/>
      </c>
      <c r="N249" s="176">
        <f>IF($W249="","",INDEX($G$7:$G$306,$W249)&amp;"")</f>
        <v/>
      </c>
      <c r="O249" s="176">
        <f>IF($W249="","",INDEX($H$7:$H$306,$W249)&amp;"")</f>
        <v/>
      </c>
      <c r="P249" s="176">
        <f>IF($W249="","",INDEX($I$7:$I$306,$W249)&amp;"")</f>
        <v/>
      </c>
      <c r="Q249" s="176">
        <f>IF($W249="","",INDEX($J$7:$J$306,$W249)&amp;"")</f>
        <v/>
      </c>
      <c r="R249" s="176">
        <f>IF($W249="","",INDEX($F$7:$F$306,$W249)&amp;"")</f>
        <v/>
      </c>
      <c r="S249" s="175">
        <f>IF($W249="","",SUMIF($U$7:$U$306,INDEX($U$7:$U$306,$W249),$K$7:$K$306))</f>
        <v/>
      </c>
      <c r="U249">
        <f>IF(OR($X249="",N($K249)=0),"",UPPER(TRIM($G249&amp;"|"&amp;$H249&amp;"|"&amp;$I249&amp;"|"&amp;$J249&amp;"|"&amp;$F249)))</f>
        <v/>
      </c>
      <c r="V249">
        <f>IF($U249="","",IF(COUNTIF($U$7:$U249,$U249)=1,MAX($V$6:$V248)+1,""))</f>
        <v/>
      </c>
      <c r="W249">
        <f>IFERROR(MATCH(243,$V$7:$V$306,0),"")</f>
        <v/>
      </c>
      <c r="X249">
        <f>IFERROR(MATCH(243,'HW Sets'!$S$7:$S$306,0),"")</f>
        <v/>
      </c>
      <c r="Y249">
        <f>IF($X249="","",INDEX('HW Sets'!$J$7:$J$306,$X249)&amp;"")</f>
        <v/>
      </c>
      <c r="Z249">
        <f>IF($Y249="","",IF(COUNTIF($Y$7:$Y249,$Y249)=1,1,""))</f>
        <v/>
      </c>
    </row>
    <row r="250">
      <c r="A250" s="175">
        <f>IF($Z250="","",$Y250)</f>
        <v/>
      </c>
      <c r="B250" s="176">
        <f>IF($Z250="","",IFERROR(INDEX('HW Sets'!$N$7:$N$306,MATCH($Y250,'HW Sets'!$M$7:$M$306,0)),""))</f>
        <v/>
      </c>
      <c r="C250" s="177">
        <f t="array" ref="C250">IF($Z250="","",_xlfn.TEXTJOIN(", ",TRUE,IF(tk_HWSET&amp;""=$Y250,tk_MARK,"")))</f>
        <v/>
      </c>
      <c r="D250" s="176">
        <f t="array" ref="D250">IF($Z250="","",SUM(IF(tk_HWSET&amp;""=$Y250,IFERROR(--tk_QTY,0),0)))</f>
        <v/>
      </c>
      <c r="E250" s="176">
        <f>IF($X250="","",IF(INDEX('HW Sets'!$C$7:$C$306,$X250)="","",INDEX('HW Sets'!$C$7:$C$306,$X250)))</f>
        <v/>
      </c>
      <c r="F250" s="176">
        <f>IF($X250="","",IF(INDEX('HW Sets'!$D$7:$D$306,$X250)="","",INDEX('HW Sets'!$D$7:$D$306,$X250)))</f>
        <v/>
      </c>
      <c r="G250" s="176">
        <f>IF($X250="","",IF(INDEX('HW Sets'!$E$7:$E$306,$X250)="","",INDEX('HW Sets'!$E$7:$E$306,$X250)))</f>
        <v/>
      </c>
      <c r="H250" s="176">
        <f>IF($X250="","",IF(INDEX('HW Sets'!$F$7:$F$306,$X250)="","",INDEX('HW Sets'!$F$7:$F$306,$X250)))</f>
        <v/>
      </c>
      <c r="I250" s="176">
        <f>IF($X250="","",IF(INDEX('HW Sets'!$G$7:$G$306,$X250)="","",INDEX('HW Sets'!$G$7:$G$306,$X250)))</f>
        <v/>
      </c>
      <c r="J250" s="176">
        <f>IF($X250="","",IF(INDEX('HW Sets'!$H$7:$H$306,$X250)="","",INDEX('HW Sets'!$H$7:$H$306,$X250)))</f>
        <v/>
      </c>
      <c r="K250" s="175">
        <f t="array" ref="K250">IF($X250="","",N($E250)*SUM(IF(tk_HWSET&amp;""=$Y250,IFERROR(--tk_QTY,0),0)))</f>
        <v/>
      </c>
      <c r="L250" s="176">
        <f>IF($X250="","",IF(INDEX('HW Sets'!$I$7:$I$306,$X250)="","",INDEX('HW Sets'!$I$7:$I$306,$X250)))</f>
        <v/>
      </c>
      <c r="N250" s="176">
        <f>IF($W250="","",INDEX($G$7:$G$306,$W250)&amp;"")</f>
        <v/>
      </c>
      <c r="O250" s="176">
        <f>IF($W250="","",INDEX($H$7:$H$306,$W250)&amp;"")</f>
        <v/>
      </c>
      <c r="P250" s="176">
        <f>IF($W250="","",INDEX($I$7:$I$306,$W250)&amp;"")</f>
        <v/>
      </c>
      <c r="Q250" s="176">
        <f>IF($W250="","",INDEX($J$7:$J$306,$W250)&amp;"")</f>
        <v/>
      </c>
      <c r="R250" s="176">
        <f>IF($W250="","",INDEX($F$7:$F$306,$W250)&amp;"")</f>
        <v/>
      </c>
      <c r="S250" s="175">
        <f>IF($W250="","",SUMIF($U$7:$U$306,INDEX($U$7:$U$306,$W250),$K$7:$K$306))</f>
        <v/>
      </c>
      <c r="U250">
        <f>IF(OR($X250="",N($K250)=0),"",UPPER(TRIM($G250&amp;"|"&amp;$H250&amp;"|"&amp;$I250&amp;"|"&amp;$J250&amp;"|"&amp;$F250)))</f>
        <v/>
      </c>
      <c r="V250">
        <f>IF($U250="","",IF(COUNTIF($U$7:$U250,$U250)=1,MAX($V$6:$V249)+1,""))</f>
        <v/>
      </c>
      <c r="W250">
        <f>IFERROR(MATCH(244,$V$7:$V$306,0),"")</f>
        <v/>
      </c>
      <c r="X250">
        <f>IFERROR(MATCH(244,'HW Sets'!$S$7:$S$306,0),"")</f>
        <v/>
      </c>
      <c r="Y250">
        <f>IF($X250="","",INDEX('HW Sets'!$J$7:$J$306,$X250)&amp;"")</f>
        <v/>
      </c>
      <c r="Z250">
        <f>IF($Y250="","",IF(COUNTIF($Y$7:$Y250,$Y250)=1,1,""))</f>
        <v/>
      </c>
    </row>
    <row r="251">
      <c r="A251" s="175">
        <f>IF($Z251="","",$Y251)</f>
        <v/>
      </c>
      <c r="B251" s="176">
        <f>IF($Z251="","",IFERROR(INDEX('HW Sets'!$N$7:$N$306,MATCH($Y251,'HW Sets'!$M$7:$M$306,0)),""))</f>
        <v/>
      </c>
      <c r="C251" s="177">
        <f t="array" ref="C251">IF($Z251="","",_xlfn.TEXTJOIN(", ",TRUE,IF(tk_HWSET&amp;""=$Y251,tk_MARK,"")))</f>
        <v/>
      </c>
      <c r="D251" s="176">
        <f t="array" ref="D251">IF($Z251="","",SUM(IF(tk_HWSET&amp;""=$Y251,IFERROR(--tk_QTY,0),0)))</f>
        <v/>
      </c>
      <c r="E251" s="176">
        <f>IF($X251="","",IF(INDEX('HW Sets'!$C$7:$C$306,$X251)="","",INDEX('HW Sets'!$C$7:$C$306,$X251)))</f>
        <v/>
      </c>
      <c r="F251" s="176">
        <f>IF($X251="","",IF(INDEX('HW Sets'!$D$7:$D$306,$X251)="","",INDEX('HW Sets'!$D$7:$D$306,$X251)))</f>
        <v/>
      </c>
      <c r="G251" s="176">
        <f>IF($X251="","",IF(INDEX('HW Sets'!$E$7:$E$306,$X251)="","",INDEX('HW Sets'!$E$7:$E$306,$X251)))</f>
        <v/>
      </c>
      <c r="H251" s="176">
        <f>IF($X251="","",IF(INDEX('HW Sets'!$F$7:$F$306,$X251)="","",INDEX('HW Sets'!$F$7:$F$306,$X251)))</f>
        <v/>
      </c>
      <c r="I251" s="176">
        <f>IF($X251="","",IF(INDEX('HW Sets'!$G$7:$G$306,$X251)="","",INDEX('HW Sets'!$G$7:$G$306,$X251)))</f>
        <v/>
      </c>
      <c r="J251" s="176">
        <f>IF($X251="","",IF(INDEX('HW Sets'!$H$7:$H$306,$X251)="","",INDEX('HW Sets'!$H$7:$H$306,$X251)))</f>
        <v/>
      </c>
      <c r="K251" s="175">
        <f t="array" ref="K251">IF($X251="","",N($E251)*SUM(IF(tk_HWSET&amp;""=$Y251,IFERROR(--tk_QTY,0),0)))</f>
        <v/>
      </c>
      <c r="L251" s="176">
        <f>IF($X251="","",IF(INDEX('HW Sets'!$I$7:$I$306,$X251)="","",INDEX('HW Sets'!$I$7:$I$306,$X251)))</f>
        <v/>
      </c>
      <c r="N251" s="176">
        <f>IF($W251="","",INDEX($G$7:$G$306,$W251)&amp;"")</f>
        <v/>
      </c>
      <c r="O251" s="176">
        <f>IF($W251="","",INDEX($H$7:$H$306,$W251)&amp;"")</f>
        <v/>
      </c>
      <c r="P251" s="176">
        <f>IF($W251="","",INDEX($I$7:$I$306,$W251)&amp;"")</f>
        <v/>
      </c>
      <c r="Q251" s="176">
        <f>IF($W251="","",INDEX($J$7:$J$306,$W251)&amp;"")</f>
        <v/>
      </c>
      <c r="R251" s="176">
        <f>IF($W251="","",INDEX($F$7:$F$306,$W251)&amp;"")</f>
        <v/>
      </c>
      <c r="S251" s="175">
        <f>IF($W251="","",SUMIF($U$7:$U$306,INDEX($U$7:$U$306,$W251),$K$7:$K$306))</f>
        <v/>
      </c>
      <c r="U251">
        <f>IF(OR($X251="",N($K251)=0),"",UPPER(TRIM($G251&amp;"|"&amp;$H251&amp;"|"&amp;$I251&amp;"|"&amp;$J251&amp;"|"&amp;$F251)))</f>
        <v/>
      </c>
      <c r="V251">
        <f>IF($U251="","",IF(COUNTIF($U$7:$U251,$U251)=1,MAX($V$6:$V250)+1,""))</f>
        <v/>
      </c>
      <c r="W251">
        <f>IFERROR(MATCH(245,$V$7:$V$306,0),"")</f>
        <v/>
      </c>
      <c r="X251">
        <f>IFERROR(MATCH(245,'HW Sets'!$S$7:$S$306,0),"")</f>
        <v/>
      </c>
      <c r="Y251">
        <f>IF($X251="","",INDEX('HW Sets'!$J$7:$J$306,$X251)&amp;"")</f>
        <v/>
      </c>
      <c r="Z251">
        <f>IF($Y251="","",IF(COUNTIF($Y$7:$Y251,$Y251)=1,1,""))</f>
        <v/>
      </c>
    </row>
    <row r="252">
      <c r="A252" s="175">
        <f>IF($Z252="","",$Y252)</f>
        <v/>
      </c>
      <c r="B252" s="176">
        <f>IF($Z252="","",IFERROR(INDEX('HW Sets'!$N$7:$N$306,MATCH($Y252,'HW Sets'!$M$7:$M$306,0)),""))</f>
        <v/>
      </c>
      <c r="C252" s="177">
        <f t="array" ref="C252">IF($Z252="","",_xlfn.TEXTJOIN(", ",TRUE,IF(tk_HWSET&amp;""=$Y252,tk_MARK,"")))</f>
        <v/>
      </c>
      <c r="D252" s="176">
        <f t="array" ref="D252">IF($Z252="","",SUM(IF(tk_HWSET&amp;""=$Y252,IFERROR(--tk_QTY,0),0)))</f>
        <v/>
      </c>
      <c r="E252" s="176">
        <f>IF($X252="","",IF(INDEX('HW Sets'!$C$7:$C$306,$X252)="","",INDEX('HW Sets'!$C$7:$C$306,$X252)))</f>
        <v/>
      </c>
      <c r="F252" s="176">
        <f>IF($X252="","",IF(INDEX('HW Sets'!$D$7:$D$306,$X252)="","",INDEX('HW Sets'!$D$7:$D$306,$X252)))</f>
        <v/>
      </c>
      <c r="G252" s="176">
        <f>IF($X252="","",IF(INDEX('HW Sets'!$E$7:$E$306,$X252)="","",INDEX('HW Sets'!$E$7:$E$306,$X252)))</f>
        <v/>
      </c>
      <c r="H252" s="176">
        <f>IF($X252="","",IF(INDEX('HW Sets'!$F$7:$F$306,$X252)="","",INDEX('HW Sets'!$F$7:$F$306,$X252)))</f>
        <v/>
      </c>
      <c r="I252" s="176">
        <f>IF($X252="","",IF(INDEX('HW Sets'!$G$7:$G$306,$X252)="","",INDEX('HW Sets'!$G$7:$G$306,$X252)))</f>
        <v/>
      </c>
      <c r="J252" s="176">
        <f>IF($X252="","",IF(INDEX('HW Sets'!$H$7:$H$306,$X252)="","",INDEX('HW Sets'!$H$7:$H$306,$X252)))</f>
        <v/>
      </c>
      <c r="K252" s="175">
        <f t="array" ref="K252">IF($X252="","",N($E252)*SUM(IF(tk_HWSET&amp;""=$Y252,IFERROR(--tk_QTY,0),0)))</f>
        <v/>
      </c>
      <c r="L252" s="176">
        <f>IF($X252="","",IF(INDEX('HW Sets'!$I$7:$I$306,$X252)="","",INDEX('HW Sets'!$I$7:$I$306,$X252)))</f>
        <v/>
      </c>
      <c r="N252" s="176">
        <f>IF($W252="","",INDEX($G$7:$G$306,$W252)&amp;"")</f>
        <v/>
      </c>
      <c r="O252" s="176">
        <f>IF($W252="","",INDEX($H$7:$H$306,$W252)&amp;"")</f>
        <v/>
      </c>
      <c r="P252" s="176">
        <f>IF($W252="","",INDEX($I$7:$I$306,$W252)&amp;"")</f>
        <v/>
      </c>
      <c r="Q252" s="176">
        <f>IF($W252="","",INDEX($J$7:$J$306,$W252)&amp;"")</f>
        <v/>
      </c>
      <c r="R252" s="176">
        <f>IF($W252="","",INDEX($F$7:$F$306,$W252)&amp;"")</f>
        <v/>
      </c>
      <c r="S252" s="175">
        <f>IF($W252="","",SUMIF($U$7:$U$306,INDEX($U$7:$U$306,$W252),$K$7:$K$306))</f>
        <v/>
      </c>
      <c r="U252">
        <f>IF(OR($X252="",N($K252)=0),"",UPPER(TRIM($G252&amp;"|"&amp;$H252&amp;"|"&amp;$I252&amp;"|"&amp;$J252&amp;"|"&amp;$F252)))</f>
        <v/>
      </c>
      <c r="V252">
        <f>IF($U252="","",IF(COUNTIF($U$7:$U252,$U252)=1,MAX($V$6:$V251)+1,""))</f>
        <v/>
      </c>
      <c r="W252">
        <f>IFERROR(MATCH(246,$V$7:$V$306,0),"")</f>
        <v/>
      </c>
      <c r="X252">
        <f>IFERROR(MATCH(246,'HW Sets'!$S$7:$S$306,0),"")</f>
        <v/>
      </c>
      <c r="Y252">
        <f>IF($X252="","",INDEX('HW Sets'!$J$7:$J$306,$X252)&amp;"")</f>
        <v/>
      </c>
      <c r="Z252">
        <f>IF($Y252="","",IF(COUNTIF($Y$7:$Y252,$Y252)=1,1,""))</f>
        <v/>
      </c>
    </row>
    <row r="253">
      <c r="A253" s="175">
        <f>IF($Z253="","",$Y253)</f>
        <v/>
      </c>
      <c r="B253" s="176">
        <f>IF($Z253="","",IFERROR(INDEX('HW Sets'!$N$7:$N$306,MATCH($Y253,'HW Sets'!$M$7:$M$306,0)),""))</f>
        <v/>
      </c>
      <c r="C253" s="177">
        <f t="array" ref="C253">IF($Z253="","",_xlfn.TEXTJOIN(", ",TRUE,IF(tk_HWSET&amp;""=$Y253,tk_MARK,"")))</f>
        <v/>
      </c>
      <c r="D253" s="176">
        <f t="array" ref="D253">IF($Z253="","",SUM(IF(tk_HWSET&amp;""=$Y253,IFERROR(--tk_QTY,0),0)))</f>
        <v/>
      </c>
      <c r="E253" s="176">
        <f>IF($X253="","",IF(INDEX('HW Sets'!$C$7:$C$306,$X253)="","",INDEX('HW Sets'!$C$7:$C$306,$X253)))</f>
        <v/>
      </c>
      <c r="F253" s="176">
        <f>IF($X253="","",IF(INDEX('HW Sets'!$D$7:$D$306,$X253)="","",INDEX('HW Sets'!$D$7:$D$306,$X253)))</f>
        <v/>
      </c>
      <c r="G253" s="176">
        <f>IF($X253="","",IF(INDEX('HW Sets'!$E$7:$E$306,$X253)="","",INDEX('HW Sets'!$E$7:$E$306,$X253)))</f>
        <v/>
      </c>
      <c r="H253" s="176">
        <f>IF($X253="","",IF(INDEX('HW Sets'!$F$7:$F$306,$X253)="","",INDEX('HW Sets'!$F$7:$F$306,$X253)))</f>
        <v/>
      </c>
      <c r="I253" s="176">
        <f>IF($X253="","",IF(INDEX('HW Sets'!$G$7:$G$306,$X253)="","",INDEX('HW Sets'!$G$7:$G$306,$X253)))</f>
        <v/>
      </c>
      <c r="J253" s="176">
        <f>IF($X253="","",IF(INDEX('HW Sets'!$H$7:$H$306,$X253)="","",INDEX('HW Sets'!$H$7:$H$306,$X253)))</f>
        <v/>
      </c>
      <c r="K253" s="175">
        <f t="array" ref="K253">IF($X253="","",N($E253)*SUM(IF(tk_HWSET&amp;""=$Y253,IFERROR(--tk_QTY,0),0)))</f>
        <v/>
      </c>
      <c r="L253" s="176">
        <f>IF($X253="","",IF(INDEX('HW Sets'!$I$7:$I$306,$X253)="","",INDEX('HW Sets'!$I$7:$I$306,$X253)))</f>
        <v/>
      </c>
      <c r="N253" s="176">
        <f>IF($W253="","",INDEX($G$7:$G$306,$W253)&amp;"")</f>
        <v/>
      </c>
      <c r="O253" s="176">
        <f>IF($W253="","",INDEX($H$7:$H$306,$W253)&amp;"")</f>
        <v/>
      </c>
      <c r="P253" s="176">
        <f>IF($W253="","",INDEX($I$7:$I$306,$W253)&amp;"")</f>
        <v/>
      </c>
      <c r="Q253" s="176">
        <f>IF($W253="","",INDEX($J$7:$J$306,$W253)&amp;"")</f>
        <v/>
      </c>
      <c r="R253" s="176">
        <f>IF($W253="","",INDEX($F$7:$F$306,$W253)&amp;"")</f>
        <v/>
      </c>
      <c r="S253" s="175">
        <f>IF($W253="","",SUMIF($U$7:$U$306,INDEX($U$7:$U$306,$W253),$K$7:$K$306))</f>
        <v/>
      </c>
      <c r="U253">
        <f>IF(OR($X253="",N($K253)=0),"",UPPER(TRIM($G253&amp;"|"&amp;$H253&amp;"|"&amp;$I253&amp;"|"&amp;$J253&amp;"|"&amp;$F253)))</f>
        <v/>
      </c>
      <c r="V253">
        <f>IF($U253="","",IF(COUNTIF($U$7:$U253,$U253)=1,MAX($V$6:$V252)+1,""))</f>
        <v/>
      </c>
      <c r="W253">
        <f>IFERROR(MATCH(247,$V$7:$V$306,0),"")</f>
        <v/>
      </c>
      <c r="X253">
        <f>IFERROR(MATCH(247,'HW Sets'!$S$7:$S$306,0),"")</f>
        <v/>
      </c>
      <c r="Y253">
        <f>IF($X253="","",INDEX('HW Sets'!$J$7:$J$306,$X253)&amp;"")</f>
        <v/>
      </c>
      <c r="Z253">
        <f>IF($Y253="","",IF(COUNTIF($Y$7:$Y253,$Y253)=1,1,""))</f>
        <v/>
      </c>
    </row>
    <row r="254">
      <c r="A254" s="175">
        <f>IF($Z254="","",$Y254)</f>
        <v/>
      </c>
      <c r="B254" s="176">
        <f>IF($Z254="","",IFERROR(INDEX('HW Sets'!$N$7:$N$306,MATCH($Y254,'HW Sets'!$M$7:$M$306,0)),""))</f>
        <v/>
      </c>
      <c r="C254" s="177">
        <f t="array" ref="C254">IF($Z254="","",_xlfn.TEXTJOIN(", ",TRUE,IF(tk_HWSET&amp;""=$Y254,tk_MARK,"")))</f>
        <v/>
      </c>
      <c r="D254" s="176">
        <f t="array" ref="D254">IF($Z254="","",SUM(IF(tk_HWSET&amp;""=$Y254,IFERROR(--tk_QTY,0),0)))</f>
        <v/>
      </c>
      <c r="E254" s="176">
        <f>IF($X254="","",IF(INDEX('HW Sets'!$C$7:$C$306,$X254)="","",INDEX('HW Sets'!$C$7:$C$306,$X254)))</f>
        <v/>
      </c>
      <c r="F254" s="176">
        <f>IF($X254="","",IF(INDEX('HW Sets'!$D$7:$D$306,$X254)="","",INDEX('HW Sets'!$D$7:$D$306,$X254)))</f>
        <v/>
      </c>
      <c r="G254" s="176">
        <f>IF($X254="","",IF(INDEX('HW Sets'!$E$7:$E$306,$X254)="","",INDEX('HW Sets'!$E$7:$E$306,$X254)))</f>
        <v/>
      </c>
      <c r="H254" s="176">
        <f>IF($X254="","",IF(INDEX('HW Sets'!$F$7:$F$306,$X254)="","",INDEX('HW Sets'!$F$7:$F$306,$X254)))</f>
        <v/>
      </c>
      <c r="I254" s="176">
        <f>IF($X254="","",IF(INDEX('HW Sets'!$G$7:$G$306,$X254)="","",INDEX('HW Sets'!$G$7:$G$306,$X254)))</f>
        <v/>
      </c>
      <c r="J254" s="176">
        <f>IF($X254="","",IF(INDEX('HW Sets'!$H$7:$H$306,$X254)="","",INDEX('HW Sets'!$H$7:$H$306,$X254)))</f>
        <v/>
      </c>
      <c r="K254" s="175">
        <f t="array" ref="K254">IF($X254="","",N($E254)*SUM(IF(tk_HWSET&amp;""=$Y254,IFERROR(--tk_QTY,0),0)))</f>
        <v/>
      </c>
      <c r="L254" s="176">
        <f>IF($X254="","",IF(INDEX('HW Sets'!$I$7:$I$306,$X254)="","",INDEX('HW Sets'!$I$7:$I$306,$X254)))</f>
        <v/>
      </c>
      <c r="N254" s="176">
        <f>IF($W254="","",INDEX($G$7:$G$306,$W254)&amp;"")</f>
        <v/>
      </c>
      <c r="O254" s="176">
        <f>IF($W254="","",INDEX($H$7:$H$306,$W254)&amp;"")</f>
        <v/>
      </c>
      <c r="P254" s="176">
        <f>IF($W254="","",INDEX($I$7:$I$306,$W254)&amp;"")</f>
        <v/>
      </c>
      <c r="Q254" s="176">
        <f>IF($W254="","",INDEX($J$7:$J$306,$W254)&amp;"")</f>
        <v/>
      </c>
      <c r="R254" s="176">
        <f>IF($W254="","",INDEX($F$7:$F$306,$W254)&amp;"")</f>
        <v/>
      </c>
      <c r="S254" s="175">
        <f>IF($W254="","",SUMIF($U$7:$U$306,INDEX($U$7:$U$306,$W254),$K$7:$K$306))</f>
        <v/>
      </c>
      <c r="U254">
        <f>IF(OR($X254="",N($K254)=0),"",UPPER(TRIM($G254&amp;"|"&amp;$H254&amp;"|"&amp;$I254&amp;"|"&amp;$J254&amp;"|"&amp;$F254)))</f>
        <v/>
      </c>
      <c r="V254">
        <f>IF($U254="","",IF(COUNTIF($U$7:$U254,$U254)=1,MAX($V$6:$V253)+1,""))</f>
        <v/>
      </c>
      <c r="W254">
        <f>IFERROR(MATCH(248,$V$7:$V$306,0),"")</f>
        <v/>
      </c>
      <c r="X254">
        <f>IFERROR(MATCH(248,'HW Sets'!$S$7:$S$306,0),"")</f>
        <v/>
      </c>
      <c r="Y254">
        <f>IF($X254="","",INDEX('HW Sets'!$J$7:$J$306,$X254)&amp;"")</f>
        <v/>
      </c>
      <c r="Z254">
        <f>IF($Y254="","",IF(COUNTIF($Y$7:$Y254,$Y254)=1,1,""))</f>
        <v/>
      </c>
    </row>
    <row r="255">
      <c r="A255" s="175">
        <f>IF($Z255="","",$Y255)</f>
        <v/>
      </c>
      <c r="B255" s="176">
        <f>IF($Z255="","",IFERROR(INDEX('HW Sets'!$N$7:$N$306,MATCH($Y255,'HW Sets'!$M$7:$M$306,0)),""))</f>
        <v/>
      </c>
      <c r="C255" s="177">
        <f t="array" ref="C255">IF($Z255="","",_xlfn.TEXTJOIN(", ",TRUE,IF(tk_HWSET&amp;""=$Y255,tk_MARK,"")))</f>
        <v/>
      </c>
      <c r="D255" s="176">
        <f t="array" ref="D255">IF($Z255="","",SUM(IF(tk_HWSET&amp;""=$Y255,IFERROR(--tk_QTY,0),0)))</f>
        <v/>
      </c>
      <c r="E255" s="176">
        <f>IF($X255="","",IF(INDEX('HW Sets'!$C$7:$C$306,$X255)="","",INDEX('HW Sets'!$C$7:$C$306,$X255)))</f>
        <v/>
      </c>
      <c r="F255" s="176">
        <f>IF($X255="","",IF(INDEX('HW Sets'!$D$7:$D$306,$X255)="","",INDEX('HW Sets'!$D$7:$D$306,$X255)))</f>
        <v/>
      </c>
      <c r="G255" s="176">
        <f>IF($X255="","",IF(INDEX('HW Sets'!$E$7:$E$306,$X255)="","",INDEX('HW Sets'!$E$7:$E$306,$X255)))</f>
        <v/>
      </c>
      <c r="H255" s="176">
        <f>IF($X255="","",IF(INDEX('HW Sets'!$F$7:$F$306,$X255)="","",INDEX('HW Sets'!$F$7:$F$306,$X255)))</f>
        <v/>
      </c>
      <c r="I255" s="176">
        <f>IF($X255="","",IF(INDEX('HW Sets'!$G$7:$G$306,$X255)="","",INDEX('HW Sets'!$G$7:$G$306,$X255)))</f>
        <v/>
      </c>
      <c r="J255" s="176">
        <f>IF($X255="","",IF(INDEX('HW Sets'!$H$7:$H$306,$X255)="","",INDEX('HW Sets'!$H$7:$H$306,$X255)))</f>
        <v/>
      </c>
      <c r="K255" s="175">
        <f t="array" ref="K255">IF($X255="","",N($E255)*SUM(IF(tk_HWSET&amp;""=$Y255,IFERROR(--tk_QTY,0),0)))</f>
        <v/>
      </c>
      <c r="L255" s="176">
        <f>IF($X255="","",IF(INDEX('HW Sets'!$I$7:$I$306,$X255)="","",INDEX('HW Sets'!$I$7:$I$306,$X255)))</f>
        <v/>
      </c>
      <c r="N255" s="176">
        <f>IF($W255="","",INDEX($G$7:$G$306,$W255)&amp;"")</f>
        <v/>
      </c>
      <c r="O255" s="176">
        <f>IF($W255="","",INDEX($H$7:$H$306,$W255)&amp;"")</f>
        <v/>
      </c>
      <c r="P255" s="176">
        <f>IF($W255="","",INDEX($I$7:$I$306,$W255)&amp;"")</f>
        <v/>
      </c>
      <c r="Q255" s="176">
        <f>IF($W255="","",INDEX($J$7:$J$306,$W255)&amp;"")</f>
        <v/>
      </c>
      <c r="R255" s="176">
        <f>IF($W255="","",INDEX($F$7:$F$306,$W255)&amp;"")</f>
        <v/>
      </c>
      <c r="S255" s="175">
        <f>IF($W255="","",SUMIF($U$7:$U$306,INDEX($U$7:$U$306,$W255),$K$7:$K$306))</f>
        <v/>
      </c>
      <c r="U255">
        <f>IF(OR($X255="",N($K255)=0),"",UPPER(TRIM($G255&amp;"|"&amp;$H255&amp;"|"&amp;$I255&amp;"|"&amp;$J255&amp;"|"&amp;$F255)))</f>
        <v/>
      </c>
      <c r="V255">
        <f>IF($U255="","",IF(COUNTIF($U$7:$U255,$U255)=1,MAX($V$6:$V254)+1,""))</f>
        <v/>
      </c>
      <c r="W255">
        <f>IFERROR(MATCH(249,$V$7:$V$306,0),"")</f>
        <v/>
      </c>
      <c r="X255">
        <f>IFERROR(MATCH(249,'HW Sets'!$S$7:$S$306,0),"")</f>
        <v/>
      </c>
      <c r="Y255">
        <f>IF($X255="","",INDEX('HW Sets'!$J$7:$J$306,$X255)&amp;"")</f>
        <v/>
      </c>
      <c r="Z255">
        <f>IF($Y255="","",IF(COUNTIF($Y$7:$Y255,$Y255)=1,1,""))</f>
        <v/>
      </c>
    </row>
    <row r="256">
      <c r="A256" s="175">
        <f>IF($Z256="","",$Y256)</f>
        <v/>
      </c>
      <c r="B256" s="176">
        <f>IF($Z256="","",IFERROR(INDEX('HW Sets'!$N$7:$N$306,MATCH($Y256,'HW Sets'!$M$7:$M$306,0)),""))</f>
        <v/>
      </c>
      <c r="C256" s="177">
        <f t="array" ref="C256">IF($Z256="","",_xlfn.TEXTJOIN(", ",TRUE,IF(tk_HWSET&amp;""=$Y256,tk_MARK,"")))</f>
        <v/>
      </c>
      <c r="D256" s="176">
        <f t="array" ref="D256">IF($Z256="","",SUM(IF(tk_HWSET&amp;""=$Y256,IFERROR(--tk_QTY,0),0)))</f>
        <v/>
      </c>
      <c r="E256" s="176">
        <f>IF($X256="","",IF(INDEX('HW Sets'!$C$7:$C$306,$X256)="","",INDEX('HW Sets'!$C$7:$C$306,$X256)))</f>
        <v/>
      </c>
      <c r="F256" s="176">
        <f>IF($X256="","",IF(INDEX('HW Sets'!$D$7:$D$306,$X256)="","",INDEX('HW Sets'!$D$7:$D$306,$X256)))</f>
        <v/>
      </c>
      <c r="G256" s="176">
        <f>IF($X256="","",IF(INDEX('HW Sets'!$E$7:$E$306,$X256)="","",INDEX('HW Sets'!$E$7:$E$306,$X256)))</f>
        <v/>
      </c>
      <c r="H256" s="176">
        <f>IF($X256="","",IF(INDEX('HW Sets'!$F$7:$F$306,$X256)="","",INDEX('HW Sets'!$F$7:$F$306,$X256)))</f>
        <v/>
      </c>
      <c r="I256" s="176">
        <f>IF($X256="","",IF(INDEX('HW Sets'!$G$7:$G$306,$X256)="","",INDEX('HW Sets'!$G$7:$G$306,$X256)))</f>
        <v/>
      </c>
      <c r="J256" s="176">
        <f>IF($X256="","",IF(INDEX('HW Sets'!$H$7:$H$306,$X256)="","",INDEX('HW Sets'!$H$7:$H$306,$X256)))</f>
        <v/>
      </c>
      <c r="K256" s="175">
        <f t="array" ref="K256">IF($X256="","",N($E256)*SUM(IF(tk_HWSET&amp;""=$Y256,IFERROR(--tk_QTY,0),0)))</f>
        <v/>
      </c>
      <c r="L256" s="176">
        <f>IF($X256="","",IF(INDEX('HW Sets'!$I$7:$I$306,$X256)="","",INDEX('HW Sets'!$I$7:$I$306,$X256)))</f>
        <v/>
      </c>
      <c r="N256" s="176">
        <f>IF($W256="","",INDEX($G$7:$G$306,$W256)&amp;"")</f>
        <v/>
      </c>
      <c r="O256" s="176">
        <f>IF($W256="","",INDEX($H$7:$H$306,$W256)&amp;"")</f>
        <v/>
      </c>
      <c r="P256" s="176">
        <f>IF($W256="","",INDEX($I$7:$I$306,$W256)&amp;"")</f>
        <v/>
      </c>
      <c r="Q256" s="176">
        <f>IF($W256="","",INDEX($J$7:$J$306,$W256)&amp;"")</f>
        <v/>
      </c>
      <c r="R256" s="176">
        <f>IF($W256="","",INDEX($F$7:$F$306,$W256)&amp;"")</f>
        <v/>
      </c>
      <c r="S256" s="175">
        <f>IF($W256="","",SUMIF($U$7:$U$306,INDEX($U$7:$U$306,$W256),$K$7:$K$306))</f>
        <v/>
      </c>
      <c r="U256">
        <f>IF(OR($X256="",N($K256)=0),"",UPPER(TRIM($G256&amp;"|"&amp;$H256&amp;"|"&amp;$I256&amp;"|"&amp;$J256&amp;"|"&amp;$F256)))</f>
        <v/>
      </c>
      <c r="V256">
        <f>IF($U256="","",IF(COUNTIF($U$7:$U256,$U256)=1,MAX($V$6:$V255)+1,""))</f>
        <v/>
      </c>
      <c r="W256">
        <f>IFERROR(MATCH(250,$V$7:$V$306,0),"")</f>
        <v/>
      </c>
      <c r="X256">
        <f>IFERROR(MATCH(250,'HW Sets'!$S$7:$S$306,0),"")</f>
        <v/>
      </c>
      <c r="Y256">
        <f>IF($X256="","",INDEX('HW Sets'!$J$7:$J$306,$X256)&amp;"")</f>
        <v/>
      </c>
      <c r="Z256">
        <f>IF($Y256="","",IF(COUNTIF($Y$7:$Y256,$Y256)=1,1,""))</f>
        <v/>
      </c>
    </row>
    <row r="257">
      <c r="A257" s="175">
        <f>IF($Z257="","",$Y257)</f>
        <v/>
      </c>
      <c r="B257" s="176">
        <f>IF($Z257="","",IFERROR(INDEX('HW Sets'!$N$7:$N$306,MATCH($Y257,'HW Sets'!$M$7:$M$306,0)),""))</f>
        <v/>
      </c>
      <c r="C257" s="177">
        <f t="array" ref="C257">IF($Z257="","",_xlfn.TEXTJOIN(", ",TRUE,IF(tk_HWSET&amp;""=$Y257,tk_MARK,"")))</f>
        <v/>
      </c>
      <c r="D257" s="176">
        <f t="array" ref="D257">IF($Z257="","",SUM(IF(tk_HWSET&amp;""=$Y257,IFERROR(--tk_QTY,0),0)))</f>
        <v/>
      </c>
      <c r="E257" s="176">
        <f>IF($X257="","",IF(INDEX('HW Sets'!$C$7:$C$306,$X257)="","",INDEX('HW Sets'!$C$7:$C$306,$X257)))</f>
        <v/>
      </c>
      <c r="F257" s="176">
        <f>IF($X257="","",IF(INDEX('HW Sets'!$D$7:$D$306,$X257)="","",INDEX('HW Sets'!$D$7:$D$306,$X257)))</f>
        <v/>
      </c>
      <c r="G257" s="176">
        <f>IF($X257="","",IF(INDEX('HW Sets'!$E$7:$E$306,$X257)="","",INDEX('HW Sets'!$E$7:$E$306,$X257)))</f>
        <v/>
      </c>
      <c r="H257" s="176">
        <f>IF($X257="","",IF(INDEX('HW Sets'!$F$7:$F$306,$X257)="","",INDEX('HW Sets'!$F$7:$F$306,$X257)))</f>
        <v/>
      </c>
      <c r="I257" s="176">
        <f>IF($X257="","",IF(INDEX('HW Sets'!$G$7:$G$306,$X257)="","",INDEX('HW Sets'!$G$7:$G$306,$X257)))</f>
        <v/>
      </c>
      <c r="J257" s="176">
        <f>IF($X257="","",IF(INDEX('HW Sets'!$H$7:$H$306,$X257)="","",INDEX('HW Sets'!$H$7:$H$306,$X257)))</f>
        <v/>
      </c>
      <c r="K257" s="175">
        <f t="array" ref="K257">IF($X257="","",N($E257)*SUM(IF(tk_HWSET&amp;""=$Y257,IFERROR(--tk_QTY,0),0)))</f>
        <v/>
      </c>
      <c r="L257" s="176">
        <f>IF($X257="","",IF(INDEX('HW Sets'!$I$7:$I$306,$X257)="","",INDEX('HW Sets'!$I$7:$I$306,$X257)))</f>
        <v/>
      </c>
      <c r="N257" s="176">
        <f>IF($W257="","",INDEX($G$7:$G$306,$W257)&amp;"")</f>
        <v/>
      </c>
      <c r="O257" s="176">
        <f>IF($W257="","",INDEX($H$7:$H$306,$W257)&amp;"")</f>
        <v/>
      </c>
      <c r="P257" s="176">
        <f>IF($W257="","",INDEX($I$7:$I$306,$W257)&amp;"")</f>
        <v/>
      </c>
      <c r="Q257" s="176">
        <f>IF($W257="","",INDEX($J$7:$J$306,$W257)&amp;"")</f>
        <v/>
      </c>
      <c r="R257" s="176">
        <f>IF($W257="","",INDEX($F$7:$F$306,$W257)&amp;"")</f>
        <v/>
      </c>
      <c r="S257" s="175">
        <f>IF($W257="","",SUMIF($U$7:$U$306,INDEX($U$7:$U$306,$W257),$K$7:$K$306))</f>
        <v/>
      </c>
      <c r="U257">
        <f>IF(OR($X257="",N($K257)=0),"",UPPER(TRIM($G257&amp;"|"&amp;$H257&amp;"|"&amp;$I257&amp;"|"&amp;$J257&amp;"|"&amp;$F257)))</f>
        <v/>
      </c>
      <c r="V257">
        <f>IF($U257="","",IF(COUNTIF($U$7:$U257,$U257)=1,MAX($V$6:$V256)+1,""))</f>
        <v/>
      </c>
      <c r="W257">
        <f>IFERROR(MATCH(251,$V$7:$V$306,0),"")</f>
        <v/>
      </c>
      <c r="X257">
        <f>IFERROR(MATCH(251,'HW Sets'!$S$7:$S$306,0),"")</f>
        <v/>
      </c>
      <c r="Y257">
        <f>IF($X257="","",INDEX('HW Sets'!$J$7:$J$306,$X257)&amp;"")</f>
        <v/>
      </c>
      <c r="Z257">
        <f>IF($Y257="","",IF(COUNTIF($Y$7:$Y257,$Y257)=1,1,""))</f>
        <v/>
      </c>
    </row>
    <row r="258">
      <c r="A258" s="175">
        <f>IF($Z258="","",$Y258)</f>
        <v/>
      </c>
      <c r="B258" s="176">
        <f>IF($Z258="","",IFERROR(INDEX('HW Sets'!$N$7:$N$306,MATCH($Y258,'HW Sets'!$M$7:$M$306,0)),""))</f>
        <v/>
      </c>
      <c r="C258" s="177">
        <f t="array" ref="C258">IF($Z258="","",_xlfn.TEXTJOIN(", ",TRUE,IF(tk_HWSET&amp;""=$Y258,tk_MARK,"")))</f>
        <v/>
      </c>
      <c r="D258" s="176">
        <f t="array" ref="D258">IF($Z258="","",SUM(IF(tk_HWSET&amp;""=$Y258,IFERROR(--tk_QTY,0),0)))</f>
        <v/>
      </c>
      <c r="E258" s="176">
        <f>IF($X258="","",IF(INDEX('HW Sets'!$C$7:$C$306,$X258)="","",INDEX('HW Sets'!$C$7:$C$306,$X258)))</f>
        <v/>
      </c>
      <c r="F258" s="176">
        <f>IF($X258="","",IF(INDEX('HW Sets'!$D$7:$D$306,$X258)="","",INDEX('HW Sets'!$D$7:$D$306,$X258)))</f>
        <v/>
      </c>
      <c r="G258" s="176">
        <f>IF($X258="","",IF(INDEX('HW Sets'!$E$7:$E$306,$X258)="","",INDEX('HW Sets'!$E$7:$E$306,$X258)))</f>
        <v/>
      </c>
      <c r="H258" s="176">
        <f>IF($X258="","",IF(INDEX('HW Sets'!$F$7:$F$306,$X258)="","",INDEX('HW Sets'!$F$7:$F$306,$X258)))</f>
        <v/>
      </c>
      <c r="I258" s="176">
        <f>IF($X258="","",IF(INDEX('HW Sets'!$G$7:$G$306,$X258)="","",INDEX('HW Sets'!$G$7:$G$306,$X258)))</f>
        <v/>
      </c>
      <c r="J258" s="176">
        <f>IF($X258="","",IF(INDEX('HW Sets'!$H$7:$H$306,$X258)="","",INDEX('HW Sets'!$H$7:$H$306,$X258)))</f>
        <v/>
      </c>
      <c r="K258" s="175">
        <f t="array" ref="K258">IF($X258="","",N($E258)*SUM(IF(tk_HWSET&amp;""=$Y258,IFERROR(--tk_QTY,0),0)))</f>
        <v/>
      </c>
      <c r="L258" s="176">
        <f>IF($X258="","",IF(INDEX('HW Sets'!$I$7:$I$306,$X258)="","",INDEX('HW Sets'!$I$7:$I$306,$X258)))</f>
        <v/>
      </c>
      <c r="N258" s="176">
        <f>IF($W258="","",INDEX($G$7:$G$306,$W258)&amp;"")</f>
        <v/>
      </c>
      <c r="O258" s="176">
        <f>IF($W258="","",INDEX($H$7:$H$306,$W258)&amp;"")</f>
        <v/>
      </c>
      <c r="P258" s="176">
        <f>IF($W258="","",INDEX($I$7:$I$306,$W258)&amp;"")</f>
        <v/>
      </c>
      <c r="Q258" s="176">
        <f>IF($W258="","",INDEX($J$7:$J$306,$W258)&amp;"")</f>
        <v/>
      </c>
      <c r="R258" s="176">
        <f>IF($W258="","",INDEX($F$7:$F$306,$W258)&amp;"")</f>
        <v/>
      </c>
      <c r="S258" s="175">
        <f>IF($W258="","",SUMIF($U$7:$U$306,INDEX($U$7:$U$306,$W258),$K$7:$K$306))</f>
        <v/>
      </c>
      <c r="U258">
        <f>IF(OR($X258="",N($K258)=0),"",UPPER(TRIM($G258&amp;"|"&amp;$H258&amp;"|"&amp;$I258&amp;"|"&amp;$J258&amp;"|"&amp;$F258)))</f>
        <v/>
      </c>
      <c r="V258">
        <f>IF($U258="","",IF(COUNTIF($U$7:$U258,$U258)=1,MAX($V$6:$V257)+1,""))</f>
        <v/>
      </c>
      <c r="W258">
        <f>IFERROR(MATCH(252,$V$7:$V$306,0),"")</f>
        <v/>
      </c>
      <c r="X258">
        <f>IFERROR(MATCH(252,'HW Sets'!$S$7:$S$306,0),"")</f>
        <v/>
      </c>
      <c r="Y258">
        <f>IF($X258="","",INDEX('HW Sets'!$J$7:$J$306,$X258)&amp;"")</f>
        <v/>
      </c>
      <c r="Z258">
        <f>IF($Y258="","",IF(COUNTIF($Y$7:$Y258,$Y258)=1,1,""))</f>
        <v/>
      </c>
    </row>
    <row r="259">
      <c r="A259" s="175">
        <f>IF($Z259="","",$Y259)</f>
        <v/>
      </c>
      <c r="B259" s="176">
        <f>IF($Z259="","",IFERROR(INDEX('HW Sets'!$N$7:$N$306,MATCH($Y259,'HW Sets'!$M$7:$M$306,0)),""))</f>
        <v/>
      </c>
      <c r="C259" s="177">
        <f t="array" ref="C259">IF($Z259="","",_xlfn.TEXTJOIN(", ",TRUE,IF(tk_HWSET&amp;""=$Y259,tk_MARK,"")))</f>
        <v/>
      </c>
      <c r="D259" s="176">
        <f t="array" ref="D259">IF($Z259="","",SUM(IF(tk_HWSET&amp;""=$Y259,IFERROR(--tk_QTY,0),0)))</f>
        <v/>
      </c>
      <c r="E259" s="176">
        <f>IF($X259="","",IF(INDEX('HW Sets'!$C$7:$C$306,$X259)="","",INDEX('HW Sets'!$C$7:$C$306,$X259)))</f>
        <v/>
      </c>
      <c r="F259" s="176">
        <f>IF($X259="","",IF(INDEX('HW Sets'!$D$7:$D$306,$X259)="","",INDEX('HW Sets'!$D$7:$D$306,$X259)))</f>
        <v/>
      </c>
      <c r="G259" s="176">
        <f>IF($X259="","",IF(INDEX('HW Sets'!$E$7:$E$306,$X259)="","",INDEX('HW Sets'!$E$7:$E$306,$X259)))</f>
        <v/>
      </c>
      <c r="H259" s="176">
        <f>IF($X259="","",IF(INDEX('HW Sets'!$F$7:$F$306,$X259)="","",INDEX('HW Sets'!$F$7:$F$306,$X259)))</f>
        <v/>
      </c>
      <c r="I259" s="176">
        <f>IF($X259="","",IF(INDEX('HW Sets'!$G$7:$G$306,$X259)="","",INDEX('HW Sets'!$G$7:$G$306,$X259)))</f>
        <v/>
      </c>
      <c r="J259" s="176">
        <f>IF($X259="","",IF(INDEX('HW Sets'!$H$7:$H$306,$X259)="","",INDEX('HW Sets'!$H$7:$H$306,$X259)))</f>
        <v/>
      </c>
      <c r="K259" s="175">
        <f t="array" ref="K259">IF($X259="","",N($E259)*SUM(IF(tk_HWSET&amp;""=$Y259,IFERROR(--tk_QTY,0),0)))</f>
        <v/>
      </c>
      <c r="L259" s="176">
        <f>IF($X259="","",IF(INDEX('HW Sets'!$I$7:$I$306,$X259)="","",INDEX('HW Sets'!$I$7:$I$306,$X259)))</f>
        <v/>
      </c>
      <c r="N259" s="176">
        <f>IF($W259="","",INDEX($G$7:$G$306,$W259)&amp;"")</f>
        <v/>
      </c>
      <c r="O259" s="176">
        <f>IF($W259="","",INDEX($H$7:$H$306,$W259)&amp;"")</f>
        <v/>
      </c>
      <c r="P259" s="176">
        <f>IF($W259="","",INDEX($I$7:$I$306,$W259)&amp;"")</f>
        <v/>
      </c>
      <c r="Q259" s="176">
        <f>IF($W259="","",INDEX($J$7:$J$306,$W259)&amp;"")</f>
        <v/>
      </c>
      <c r="R259" s="176">
        <f>IF($W259="","",INDEX($F$7:$F$306,$W259)&amp;"")</f>
        <v/>
      </c>
      <c r="S259" s="175">
        <f>IF($W259="","",SUMIF($U$7:$U$306,INDEX($U$7:$U$306,$W259),$K$7:$K$306))</f>
        <v/>
      </c>
      <c r="U259">
        <f>IF(OR($X259="",N($K259)=0),"",UPPER(TRIM($G259&amp;"|"&amp;$H259&amp;"|"&amp;$I259&amp;"|"&amp;$J259&amp;"|"&amp;$F259)))</f>
        <v/>
      </c>
      <c r="V259">
        <f>IF($U259="","",IF(COUNTIF($U$7:$U259,$U259)=1,MAX($V$6:$V258)+1,""))</f>
        <v/>
      </c>
      <c r="W259">
        <f>IFERROR(MATCH(253,$V$7:$V$306,0),"")</f>
        <v/>
      </c>
      <c r="X259">
        <f>IFERROR(MATCH(253,'HW Sets'!$S$7:$S$306,0),"")</f>
        <v/>
      </c>
      <c r="Y259">
        <f>IF($X259="","",INDEX('HW Sets'!$J$7:$J$306,$X259)&amp;"")</f>
        <v/>
      </c>
      <c r="Z259">
        <f>IF($Y259="","",IF(COUNTIF($Y$7:$Y259,$Y259)=1,1,""))</f>
        <v/>
      </c>
    </row>
    <row r="260">
      <c r="A260" s="175">
        <f>IF($Z260="","",$Y260)</f>
        <v/>
      </c>
      <c r="B260" s="176">
        <f>IF($Z260="","",IFERROR(INDEX('HW Sets'!$N$7:$N$306,MATCH($Y260,'HW Sets'!$M$7:$M$306,0)),""))</f>
        <v/>
      </c>
      <c r="C260" s="177">
        <f t="array" ref="C260">IF($Z260="","",_xlfn.TEXTJOIN(", ",TRUE,IF(tk_HWSET&amp;""=$Y260,tk_MARK,"")))</f>
        <v/>
      </c>
      <c r="D260" s="176">
        <f t="array" ref="D260">IF($Z260="","",SUM(IF(tk_HWSET&amp;""=$Y260,IFERROR(--tk_QTY,0),0)))</f>
        <v/>
      </c>
      <c r="E260" s="176">
        <f>IF($X260="","",IF(INDEX('HW Sets'!$C$7:$C$306,$X260)="","",INDEX('HW Sets'!$C$7:$C$306,$X260)))</f>
        <v/>
      </c>
      <c r="F260" s="176">
        <f>IF($X260="","",IF(INDEX('HW Sets'!$D$7:$D$306,$X260)="","",INDEX('HW Sets'!$D$7:$D$306,$X260)))</f>
        <v/>
      </c>
      <c r="G260" s="176">
        <f>IF($X260="","",IF(INDEX('HW Sets'!$E$7:$E$306,$X260)="","",INDEX('HW Sets'!$E$7:$E$306,$X260)))</f>
        <v/>
      </c>
      <c r="H260" s="176">
        <f>IF($X260="","",IF(INDEX('HW Sets'!$F$7:$F$306,$X260)="","",INDEX('HW Sets'!$F$7:$F$306,$X260)))</f>
        <v/>
      </c>
      <c r="I260" s="176">
        <f>IF($X260="","",IF(INDEX('HW Sets'!$G$7:$G$306,$X260)="","",INDEX('HW Sets'!$G$7:$G$306,$X260)))</f>
        <v/>
      </c>
      <c r="J260" s="176">
        <f>IF($X260="","",IF(INDEX('HW Sets'!$H$7:$H$306,$X260)="","",INDEX('HW Sets'!$H$7:$H$306,$X260)))</f>
        <v/>
      </c>
      <c r="K260" s="175">
        <f t="array" ref="K260">IF($X260="","",N($E260)*SUM(IF(tk_HWSET&amp;""=$Y260,IFERROR(--tk_QTY,0),0)))</f>
        <v/>
      </c>
      <c r="L260" s="176">
        <f>IF($X260="","",IF(INDEX('HW Sets'!$I$7:$I$306,$X260)="","",INDEX('HW Sets'!$I$7:$I$306,$X260)))</f>
        <v/>
      </c>
      <c r="N260" s="176">
        <f>IF($W260="","",INDEX($G$7:$G$306,$W260)&amp;"")</f>
        <v/>
      </c>
      <c r="O260" s="176">
        <f>IF($W260="","",INDEX($H$7:$H$306,$W260)&amp;"")</f>
        <v/>
      </c>
      <c r="P260" s="176">
        <f>IF($W260="","",INDEX($I$7:$I$306,$W260)&amp;"")</f>
        <v/>
      </c>
      <c r="Q260" s="176">
        <f>IF($W260="","",INDEX($J$7:$J$306,$W260)&amp;"")</f>
        <v/>
      </c>
      <c r="R260" s="176">
        <f>IF($W260="","",INDEX($F$7:$F$306,$W260)&amp;"")</f>
        <v/>
      </c>
      <c r="S260" s="175">
        <f>IF($W260="","",SUMIF($U$7:$U$306,INDEX($U$7:$U$306,$W260),$K$7:$K$306))</f>
        <v/>
      </c>
      <c r="U260">
        <f>IF(OR($X260="",N($K260)=0),"",UPPER(TRIM($G260&amp;"|"&amp;$H260&amp;"|"&amp;$I260&amp;"|"&amp;$J260&amp;"|"&amp;$F260)))</f>
        <v/>
      </c>
      <c r="V260">
        <f>IF($U260="","",IF(COUNTIF($U$7:$U260,$U260)=1,MAX($V$6:$V259)+1,""))</f>
        <v/>
      </c>
      <c r="W260">
        <f>IFERROR(MATCH(254,$V$7:$V$306,0),"")</f>
        <v/>
      </c>
      <c r="X260">
        <f>IFERROR(MATCH(254,'HW Sets'!$S$7:$S$306,0),"")</f>
        <v/>
      </c>
      <c r="Y260">
        <f>IF($X260="","",INDEX('HW Sets'!$J$7:$J$306,$X260)&amp;"")</f>
        <v/>
      </c>
      <c r="Z260">
        <f>IF($Y260="","",IF(COUNTIF($Y$7:$Y260,$Y260)=1,1,""))</f>
        <v/>
      </c>
    </row>
    <row r="261">
      <c r="A261" s="175">
        <f>IF($Z261="","",$Y261)</f>
        <v/>
      </c>
      <c r="B261" s="176">
        <f>IF($Z261="","",IFERROR(INDEX('HW Sets'!$N$7:$N$306,MATCH($Y261,'HW Sets'!$M$7:$M$306,0)),""))</f>
        <v/>
      </c>
      <c r="C261" s="177">
        <f t="array" ref="C261">IF($Z261="","",_xlfn.TEXTJOIN(", ",TRUE,IF(tk_HWSET&amp;""=$Y261,tk_MARK,"")))</f>
        <v/>
      </c>
      <c r="D261" s="176">
        <f t="array" ref="D261">IF($Z261="","",SUM(IF(tk_HWSET&amp;""=$Y261,IFERROR(--tk_QTY,0),0)))</f>
        <v/>
      </c>
      <c r="E261" s="176">
        <f>IF($X261="","",IF(INDEX('HW Sets'!$C$7:$C$306,$X261)="","",INDEX('HW Sets'!$C$7:$C$306,$X261)))</f>
        <v/>
      </c>
      <c r="F261" s="176">
        <f>IF($X261="","",IF(INDEX('HW Sets'!$D$7:$D$306,$X261)="","",INDEX('HW Sets'!$D$7:$D$306,$X261)))</f>
        <v/>
      </c>
      <c r="G261" s="176">
        <f>IF($X261="","",IF(INDEX('HW Sets'!$E$7:$E$306,$X261)="","",INDEX('HW Sets'!$E$7:$E$306,$X261)))</f>
        <v/>
      </c>
      <c r="H261" s="176">
        <f>IF($X261="","",IF(INDEX('HW Sets'!$F$7:$F$306,$X261)="","",INDEX('HW Sets'!$F$7:$F$306,$X261)))</f>
        <v/>
      </c>
      <c r="I261" s="176">
        <f>IF($X261="","",IF(INDEX('HW Sets'!$G$7:$G$306,$X261)="","",INDEX('HW Sets'!$G$7:$G$306,$X261)))</f>
        <v/>
      </c>
      <c r="J261" s="176">
        <f>IF($X261="","",IF(INDEX('HW Sets'!$H$7:$H$306,$X261)="","",INDEX('HW Sets'!$H$7:$H$306,$X261)))</f>
        <v/>
      </c>
      <c r="K261" s="175">
        <f t="array" ref="K261">IF($X261="","",N($E261)*SUM(IF(tk_HWSET&amp;""=$Y261,IFERROR(--tk_QTY,0),0)))</f>
        <v/>
      </c>
      <c r="L261" s="176">
        <f>IF($X261="","",IF(INDEX('HW Sets'!$I$7:$I$306,$X261)="","",INDEX('HW Sets'!$I$7:$I$306,$X261)))</f>
        <v/>
      </c>
      <c r="N261" s="176">
        <f>IF($W261="","",INDEX($G$7:$G$306,$W261)&amp;"")</f>
        <v/>
      </c>
      <c r="O261" s="176">
        <f>IF($W261="","",INDEX($H$7:$H$306,$W261)&amp;"")</f>
        <v/>
      </c>
      <c r="P261" s="176">
        <f>IF($W261="","",INDEX($I$7:$I$306,$W261)&amp;"")</f>
        <v/>
      </c>
      <c r="Q261" s="176">
        <f>IF($W261="","",INDEX($J$7:$J$306,$W261)&amp;"")</f>
        <v/>
      </c>
      <c r="R261" s="176">
        <f>IF($W261="","",INDEX($F$7:$F$306,$W261)&amp;"")</f>
        <v/>
      </c>
      <c r="S261" s="175">
        <f>IF($W261="","",SUMIF($U$7:$U$306,INDEX($U$7:$U$306,$W261),$K$7:$K$306))</f>
        <v/>
      </c>
      <c r="U261">
        <f>IF(OR($X261="",N($K261)=0),"",UPPER(TRIM($G261&amp;"|"&amp;$H261&amp;"|"&amp;$I261&amp;"|"&amp;$J261&amp;"|"&amp;$F261)))</f>
        <v/>
      </c>
      <c r="V261">
        <f>IF($U261="","",IF(COUNTIF($U$7:$U261,$U261)=1,MAX($V$6:$V260)+1,""))</f>
        <v/>
      </c>
      <c r="W261">
        <f>IFERROR(MATCH(255,$V$7:$V$306,0),"")</f>
        <v/>
      </c>
      <c r="X261">
        <f>IFERROR(MATCH(255,'HW Sets'!$S$7:$S$306,0),"")</f>
        <v/>
      </c>
      <c r="Y261">
        <f>IF($X261="","",INDEX('HW Sets'!$J$7:$J$306,$X261)&amp;"")</f>
        <v/>
      </c>
      <c r="Z261">
        <f>IF($Y261="","",IF(COUNTIF($Y$7:$Y261,$Y261)=1,1,""))</f>
        <v/>
      </c>
    </row>
    <row r="262">
      <c r="A262" s="175">
        <f>IF($Z262="","",$Y262)</f>
        <v/>
      </c>
      <c r="B262" s="176">
        <f>IF($Z262="","",IFERROR(INDEX('HW Sets'!$N$7:$N$306,MATCH($Y262,'HW Sets'!$M$7:$M$306,0)),""))</f>
        <v/>
      </c>
      <c r="C262" s="177">
        <f t="array" ref="C262">IF($Z262="","",_xlfn.TEXTJOIN(", ",TRUE,IF(tk_HWSET&amp;""=$Y262,tk_MARK,"")))</f>
        <v/>
      </c>
      <c r="D262" s="176">
        <f t="array" ref="D262">IF($Z262="","",SUM(IF(tk_HWSET&amp;""=$Y262,IFERROR(--tk_QTY,0),0)))</f>
        <v/>
      </c>
      <c r="E262" s="176">
        <f>IF($X262="","",IF(INDEX('HW Sets'!$C$7:$C$306,$X262)="","",INDEX('HW Sets'!$C$7:$C$306,$X262)))</f>
        <v/>
      </c>
      <c r="F262" s="176">
        <f>IF($X262="","",IF(INDEX('HW Sets'!$D$7:$D$306,$X262)="","",INDEX('HW Sets'!$D$7:$D$306,$X262)))</f>
        <v/>
      </c>
      <c r="G262" s="176">
        <f>IF($X262="","",IF(INDEX('HW Sets'!$E$7:$E$306,$X262)="","",INDEX('HW Sets'!$E$7:$E$306,$X262)))</f>
        <v/>
      </c>
      <c r="H262" s="176">
        <f>IF($X262="","",IF(INDEX('HW Sets'!$F$7:$F$306,$X262)="","",INDEX('HW Sets'!$F$7:$F$306,$X262)))</f>
        <v/>
      </c>
      <c r="I262" s="176">
        <f>IF($X262="","",IF(INDEX('HW Sets'!$G$7:$G$306,$X262)="","",INDEX('HW Sets'!$G$7:$G$306,$X262)))</f>
        <v/>
      </c>
      <c r="J262" s="176">
        <f>IF($X262="","",IF(INDEX('HW Sets'!$H$7:$H$306,$X262)="","",INDEX('HW Sets'!$H$7:$H$306,$X262)))</f>
        <v/>
      </c>
      <c r="K262" s="175">
        <f t="array" ref="K262">IF($X262="","",N($E262)*SUM(IF(tk_HWSET&amp;""=$Y262,IFERROR(--tk_QTY,0),0)))</f>
        <v/>
      </c>
      <c r="L262" s="176">
        <f>IF($X262="","",IF(INDEX('HW Sets'!$I$7:$I$306,$X262)="","",INDEX('HW Sets'!$I$7:$I$306,$X262)))</f>
        <v/>
      </c>
      <c r="N262" s="176">
        <f>IF($W262="","",INDEX($G$7:$G$306,$W262)&amp;"")</f>
        <v/>
      </c>
      <c r="O262" s="176">
        <f>IF($W262="","",INDEX($H$7:$H$306,$W262)&amp;"")</f>
        <v/>
      </c>
      <c r="P262" s="176">
        <f>IF($W262="","",INDEX($I$7:$I$306,$W262)&amp;"")</f>
        <v/>
      </c>
      <c r="Q262" s="176">
        <f>IF($W262="","",INDEX($J$7:$J$306,$W262)&amp;"")</f>
        <v/>
      </c>
      <c r="R262" s="176">
        <f>IF($W262="","",INDEX($F$7:$F$306,$W262)&amp;"")</f>
        <v/>
      </c>
      <c r="S262" s="175">
        <f>IF($W262="","",SUMIF($U$7:$U$306,INDEX($U$7:$U$306,$W262),$K$7:$K$306))</f>
        <v/>
      </c>
      <c r="U262">
        <f>IF(OR($X262="",N($K262)=0),"",UPPER(TRIM($G262&amp;"|"&amp;$H262&amp;"|"&amp;$I262&amp;"|"&amp;$J262&amp;"|"&amp;$F262)))</f>
        <v/>
      </c>
      <c r="V262">
        <f>IF($U262="","",IF(COUNTIF($U$7:$U262,$U262)=1,MAX($V$6:$V261)+1,""))</f>
        <v/>
      </c>
      <c r="W262">
        <f>IFERROR(MATCH(256,$V$7:$V$306,0),"")</f>
        <v/>
      </c>
      <c r="X262">
        <f>IFERROR(MATCH(256,'HW Sets'!$S$7:$S$306,0),"")</f>
        <v/>
      </c>
      <c r="Y262">
        <f>IF($X262="","",INDEX('HW Sets'!$J$7:$J$306,$X262)&amp;"")</f>
        <v/>
      </c>
      <c r="Z262">
        <f>IF($Y262="","",IF(COUNTIF($Y$7:$Y262,$Y262)=1,1,""))</f>
        <v/>
      </c>
    </row>
    <row r="263">
      <c r="A263" s="175">
        <f>IF($Z263="","",$Y263)</f>
        <v/>
      </c>
      <c r="B263" s="176">
        <f>IF($Z263="","",IFERROR(INDEX('HW Sets'!$N$7:$N$306,MATCH($Y263,'HW Sets'!$M$7:$M$306,0)),""))</f>
        <v/>
      </c>
      <c r="C263" s="177">
        <f t="array" ref="C263">IF($Z263="","",_xlfn.TEXTJOIN(", ",TRUE,IF(tk_HWSET&amp;""=$Y263,tk_MARK,"")))</f>
        <v/>
      </c>
      <c r="D263" s="176">
        <f t="array" ref="D263">IF($Z263="","",SUM(IF(tk_HWSET&amp;""=$Y263,IFERROR(--tk_QTY,0),0)))</f>
        <v/>
      </c>
      <c r="E263" s="176">
        <f>IF($X263="","",IF(INDEX('HW Sets'!$C$7:$C$306,$X263)="","",INDEX('HW Sets'!$C$7:$C$306,$X263)))</f>
        <v/>
      </c>
      <c r="F263" s="176">
        <f>IF($X263="","",IF(INDEX('HW Sets'!$D$7:$D$306,$X263)="","",INDEX('HW Sets'!$D$7:$D$306,$X263)))</f>
        <v/>
      </c>
      <c r="G263" s="176">
        <f>IF($X263="","",IF(INDEX('HW Sets'!$E$7:$E$306,$X263)="","",INDEX('HW Sets'!$E$7:$E$306,$X263)))</f>
        <v/>
      </c>
      <c r="H263" s="176">
        <f>IF($X263="","",IF(INDEX('HW Sets'!$F$7:$F$306,$X263)="","",INDEX('HW Sets'!$F$7:$F$306,$X263)))</f>
        <v/>
      </c>
      <c r="I263" s="176">
        <f>IF($X263="","",IF(INDEX('HW Sets'!$G$7:$G$306,$X263)="","",INDEX('HW Sets'!$G$7:$G$306,$X263)))</f>
        <v/>
      </c>
      <c r="J263" s="176">
        <f>IF($X263="","",IF(INDEX('HW Sets'!$H$7:$H$306,$X263)="","",INDEX('HW Sets'!$H$7:$H$306,$X263)))</f>
        <v/>
      </c>
      <c r="K263" s="175">
        <f t="array" ref="K263">IF($X263="","",N($E263)*SUM(IF(tk_HWSET&amp;""=$Y263,IFERROR(--tk_QTY,0),0)))</f>
        <v/>
      </c>
      <c r="L263" s="176">
        <f>IF($X263="","",IF(INDEX('HW Sets'!$I$7:$I$306,$X263)="","",INDEX('HW Sets'!$I$7:$I$306,$X263)))</f>
        <v/>
      </c>
      <c r="N263" s="176">
        <f>IF($W263="","",INDEX($G$7:$G$306,$W263)&amp;"")</f>
        <v/>
      </c>
      <c r="O263" s="176">
        <f>IF($W263="","",INDEX($H$7:$H$306,$W263)&amp;"")</f>
        <v/>
      </c>
      <c r="P263" s="176">
        <f>IF($W263="","",INDEX($I$7:$I$306,$W263)&amp;"")</f>
        <v/>
      </c>
      <c r="Q263" s="176">
        <f>IF($W263="","",INDEX($J$7:$J$306,$W263)&amp;"")</f>
        <v/>
      </c>
      <c r="R263" s="176">
        <f>IF($W263="","",INDEX($F$7:$F$306,$W263)&amp;"")</f>
        <v/>
      </c>
      <c r="S263" s="175">
        <f>IF($W263="","",SUMIF($U$7:$U$306,INDEX($U$7:$U$306,$W263),$K$7:$K$306))</f>
        <v/>
      </c>
      <c r="U263">
        <f>IF(OR($X263="",N($K263)=0),"",UPPER(TRIM($G263&amp;"|"&amp;$H263&amp;"|"&amp;$I263&amp;"|"&amp;$J263&amp;"|"&amp;$F263)))</f>
        <v/>
      </c>
      <c r="V263">
        <f>IF($U263="","",IF(COUNTIF($U$7:$U263,$U263)=1,MAX($V$6:$V262)+1,""))</f>
        <v/>
      </c>
      <c r="W263">
        <f>IFERROR(MATCH(257,$V$7:$V$306,0),"")</f>
        <v/>
      </c>
      <c r="X263">
        <f>IFERROR(MATCH(257,'HW Sets'!$S$7:$S$306,0),"")</f>
        <v/>
      </c>
      <c r="Y263">
        <f>IF($X263="","",INDEX('HW Sets'!$J$7:$J$306,$X263)&amp;"")</f>
        <v/>
      </c>
      <c r="Z263">
        <f>IF($Y263="","",IF(COUNTIF($Y$7:$Y263,$Y263)=1,1,""))</f>
        <v/>
      </c>
    </row>
    <row r="264">
      <c r="A264" s="175">
        <f>IF($Z264="","",$Y264)</f>
        <v/>
      </c>
      <c r="B264" s="176">
        <f>IF($Z264="","",IFERROR(INDEX('HW Sets'!$N$7:$N$306,MATCH($Y264,'HW Sets'!$M$7:$M$306,0)),""))</f>
        <v/>
      </c>
      <c r="C264" s="177">
        <f t="array" ref="C264">IF($Z264="","",_xlfn.TEXTJOIN(", ",TRUE,IF(tk_HWSET&amp;""=$Y264,tk_MARK,"")))</f>
        <v/>
      </c>
      <c r="D264" s="176">
        <f t="array" ref="D264">IF($Z264="","",SUM(IF(tk_HWSET&amp;""=$Y264,IFERROR(--tk_QTY,0),0)))</f>
        <v/>
      </c>
      <c r="E264" s="176">
        <f>IF($X264="","",IF(INDEX('HW Sets'!$C$7:$C$306,$X264)="","",INDEX('HW Sets'!$C$7:$C$306,$X264)))</f>
        <v/>
      </c>
      <c r="F264" s="176">
        <f>IF($X264="","",IF(INDEX('HW Sets'!$D$7:$D$306,$X264)="","",INDEX('HW Sets'!$D$7:$D$306,$X264)))</f>
        <v/>
      </c>
      <c r="G264" s="176">
        <f>IF($X264="","",IF(INDEX('HW Sets'!$E$7:$E$306,$X264)="","",INDEX('HW Sets'!$E$7:$E$306,$X264)))</f>
        <v/>
      </c>
      <c r="H264" s="176">
        <f>IF($X264="","",IF(INDEX('HW Sets'!$F$7:$F$306,$X264)="","",INDEX('HW Sets'!$F$7:$F$306,$X264)))</f>
        <v/>
      </c>
      <c r="I264" s="176">
        <f>IF($X264="","",IF(INDEX('HW Sets'!$G$7:$G$306,$X264)="","",INDEX('HW Sets'!$G$7:$G$306,$X264)))</f>
        <v/>
      </c>
      <c r="J264" s="176">
        <f>IF($X264="","",IF(INDEX('HW Sets'!$H$7:$H$306,$X264)="","",INDEX('HW Sets'!$H$7:$H$306,$X264)))</f>
        <v/>
      </c>
      <c r="K264" s="175">
        <f t="array" ref="K264">IF($X264="","",N($E264)*SUM(IF(tk_HWSET&amp;""=$Y264,IFERROR(--tk_QTY,0),0)))</f>
        <v/>
      </c>
      <c r="L264" s="176">
        <f>IF($X264="","",IF(INDEX('HW Sets'!$I$7:$I$306,$X264)="","",INDEX('HW Sets'!$I$7:$I$306,$X264)))</f>
        <v/>
      </c>
      <c r="N264" s="176">
        <f>IF($W264="","",INDEX($G$7:$G$306,$W264)&amp;"")</f>
        <v/>
      </c>
      <c r="O264" s="176">
        <f>IF($W264="","",INDEX($H$7:$H$306,$W264)&amp;"")</f>
        <v/>
      </c>
      <c r="P264" s="176">
        <f>IF($W264="","",INDEX($I$7:$I$306,$W264)&amp;"")</f>
        <v/>
      </c>
      <c r="Q264" s="176">
        <f>IF($W264="","",INDEX($J$7:$J$306,$W264)&amp;"")</f>
        <v/>
      </c>
      <c r="R264" s="176">
        <f>IF($W264="","",INDEX($F$7:$F$306,$W264)&amp;"")</f>
        <v/>
      </c>
      <c r="S264" s="175">
        <f>IF($W264="","",SUMIF($U$7:$U$306,INDEX($U$7:$U$306,$W264),$K$7:$K$306))</f>
        <v/>
      </c>
      <c r="U264">
        <f>IF(OR($X264="",N($K264)=0),"",UPPER(TRIM($G264&amp;"|"&amp;$H264&amp;"|"&amp;$I264&amp;"|"&amp;$J264&amp;"|"&amp;$F264)))</f>
        <v/>
      </c>
      <c r="V264">
        <f>IF($U264="","",IF(COUNTIF($U$7:$U264,$U264)=1,MAX($V$6:$V263)+1,""))</f>
        <v/>
      </c>
      <c r="W264">
        <f>IFERROR(MATCH(258,$V$7:$V$306,0),"")</f>
        <v/>
      </c>
      <c r="X264">
        <f>IFERROR(MATCH(258,'HW Sets'!$S$7:$S$306,0),"")</f>
        <v/>
      </c>
      <c r="Y264">
        <f>IF($X264="","",INDEX('HW Sets'!$J$7:$J$306,$X264)&amp;"")</f>
        <v/>
      </c>
      <c r="Z264">
        <f>IF($Y264="","",IF(COUNTIF($Y$7:$Y264,$Y264)=1,1,""))</f>
        <v/>
      </c>
    </row>
    <row r="265">
      <c r="A265" s="175">
        <f>IF($Z265="","",$Y265)</f>
        <v/>
      </c>
      <c r="B265" s="176">
        <f>IF($Z265="","",IFERROR(INDEX('HW Sets'!$N$7:$N$306,MATCH($Y265,'HW Sets'!$M$7:$M$306,0)),""))</f>
        <v/>
      </c>
      <c r="C265" s="177">
        <f t="array" ref="C265">IF($Z265="","",_xlfn.TEXTJOIN(", ",TRUE,IF(tk_HWSET&amp;""=$Y265,tk_MARK,"")))</f>
        <v/>
      </c>
      <c r="D265" s="176">
        <f t="array" ref="D265">IF($Z265="","",SUM(IF(tk_HWSET&amp;""=$Y265,IFERROR(--tk_QTY,0),0)))</f>
        <v/>
      </c>
      <c r="E265" s="176">
        <f>IF($X265="","",IF(INDEX('HW Sets'!$C$7:$C$306,$X265)="","",INDEX('HW Sets'!$C$7:$C$306,$X265)))</f>
        <v/>
      </c>
      <c r="F265" s="176">
        <f>IF($X265="","",IF(INDEX('HW Sets'!$D$7:$D$306,$X265)="","",INDEX('HW Sets'!$D$7:$D$306,$X265)))</f>
        <v/>
      </c>
      <c r="G265" s="176">
        <f>IF($X265="","",IF(INDEX('HW Sets'!$E$7:$E$306,$X265)="","",INDEX('HW Sets'!$E$7:$E$306,$X265)))</f>
        <v/>
      </c>
      <c r="H265" s="176">
        <f>IF($X265="","",IF(INDEX('HW Sets'!$F$7:$F$306,$X265)="","",INDEX('HW Sets'!$F$7:$F$306,$X265)))</f>
        <v/>
      </c>
      <c r="I265" s="176">
        <f>IF($X265="","",IF(INDEX('HW Sets'!$G$7:$G$306,$X265)="","",INDEX('HW Sets'!$G$7:$G$306,$X265)))</f>
        <v/>
      </c>
      <c r="J265" s="176">
        <f>IF($X265="","",IF(INDEX('HW Sets'!$H$7:$H$306,$X265)="","",INDEX('HW Sets'!$H$7:$H$306,$X265)))</f>
        <v/>
      </c>
      <c r="K265" s="175">
        <f t="array" ref="K265">IF($X265="","",N($E265)*SUM(IF(tk_HWSET&amp;""=$Y265,IFERROR(--tk_QTY,0),0)))</f>
        <v/>
      </c>
      <c r="L265" s="176">
        <f>IF($X265="","",IF(INDEX('HW Sets'!$I$7:$I$306,$X265)="","",INDEX('HW Sets'!$I$7:$I$306,$X265)))</f>
        <v/>
      </c>
      <c r="N265" s="176">
        <f>IF($W265="","",INDEX($G$7:$G$306,$W265)&amp;"")</f>
        <v/>
      </c>
      <c r="O265" s="176">
        <f>IF($W265="","",INDEX($H$7:$H$306,$W265)&amp;"")</f>
        <v/>
      </c>
      <c r="P265" s="176">
        <f>IF($W265="","",INDEX($I$7:$I$306,$W265)&amp;"")</f>
        <v/>
      </c>
      <c r="Q265" s="176">
        <f>IF($W265="","",INDEX($J$7:$J$306,$W265)&amp;"")</f>
        <v/>
      </c>
      <c r="R265" s="176">
        <f>IF($W265="","",INDEX($F$7:$F$306,$W265)&amp;"")</f>
        <v/>
      </c>
      <c r="S265" s="175">
        <f>IF($W265="","",SUMIF($U$7:$U$306,INDEX($U$7:$U$306,$W265),$K$7:$K$306))</f>
        <v/>
      </c>
      <c r="U265">
        <f>IF(OR($X265="",N($K265)=0),"",UPPER(TRIM($G265&amp;"|"&amp;$H265&amp;"|"&amp;$I265&amp;"|"&amp;$J265&amp;"|"&amp;$F265)))</f>
        <v/>
      </c>
      <c r="V265">
        <f>IF($U265="","",IF(COUNTIF($U$7:$U265,$U265)=1,MAX($V$6:$V264)+1,""))</f>
        <v/>
      </c>
      <c r="W265">
        <f>IFERROR(MATCH(259,$V$7:$V$306,0),"")</f>
        <v/>
      </c>
      <c r="X265">
        <f>IFERROR(MATCH(259,'HW Sets'!$S$7:$S$306,0),"")</f>
        <v/>
      </c>
      <c r="Y265">
        <f>IF($X265="","",INDEX('HW Sets'!$J$7:$J$306,$X265)&amp;"")</f>
        <v/>
      </c>
      <c r="Z265">
        <f>IF($Y265="","",IF(COUNTIF($Y$7:$Y265,$Y265)=1,1,""))</f>
        <v/>
      </c>
    </row>
    <row r="266">
      <c r="A266" s="175">
        <f>IF($Z266="","",$Y266)</f>
        <v/>
      </c>
      <c r="B266" s="176">
        <f>IF($Z266="","",IFERROR(INDEX('HW Sets'!$N$7:$N$306,MATCH($Y266,'HW Sets'!$M$7:$M$306,0)),""))</f>
        <v/>
      </c>
      <c r="C266" s="177">
        <f t="array" ref="C266">IF($Z266="","",_xlfn.TEXTJOIN(", ",TRUE,IF(tk_HWSET&amp;""=$Y266,tk_MARK,"")))</f>
        <v/>
      </c>
      <c r="D266" s="176">
        <f t="array" ref="D266">IF($Z266="","",SUM(IF(tk_HWSET&amp;""=$Y266,IFERROR(--tk_QTY,0),0)))</f>
        <v/>
      </c>
      <c r="E266" s="176">
        <f>IF($X266="","",IF(INDEX('HW Sets'!$C$7:$C$306,$X266)="","",INDEX('HW Sets'!$C$7:$C$306,$X266)))</f>
        <v/>
      </c>
      <c r="F266" s="176">
        <f>IF($X266="","",IF(INDEX('HW Sets'!$D$7:$D$306,$X266)="","",INDEX('HW Sets'!$D$7:$D$306,$X266)))</f>
        <v/>
      </c>
      <c r="G266" s="176">
        <f>IF($X266="","",IF(INDEX('HW Sets'!$E$7:$E$306,$X266)="","",INDEX('HW Sets'!$E$7:$E$306,$X266)))</f>
        <v/>
      </c>
      <c r="H266" s="176">
        <f>IF($X266="","",IF(INDEX('HW Sets'!$F$7:$F$306,$X266)="","",INDEX('HW Sets'!$F$7:$F$306,$X266)))</f>
        <v/>
      </c>
      <c r="I266" s="176">
        <f>IF($X266="","",IF(INDEX('HW Sets'!$G$7:$G$306,$X266)="","",INDEX('HW Sets'!$G$7:$G$306,$X266)))</f>
        <v/>
      </c>
      <c r="J266" s="176">
        <f>IF($X266="","",IF(INDEX('HW Sets'!$H$7:$H$306,$X266)="","",INDEX('HW Sets'!$H$7:$H$306,$X266)))</f>
        <v/>
      </c>
      <c r="K266" s="175">
        <f t="array" ref="K266">IF($X266="","",N($E266)*SUM(IF(tk_HWSET&amp;""=$Y266,IFERROR(--tk_QTY,0),0)))</f>
        <v/>
      </c>
      <c r="L266" s="176">
        <f>IF($X266="","",IF(INDEX('HW Sets'!$I$7:$I$306,$X266)="","",INDEX('HW Sets'!$I$7:$I$306,$X266)))</f>
        <v/>
      </c>
      <c r="N266" s="176">
        <f>IF($W266="","",INDEX($G$7:$G$306,$W266)&amp;"")</f>
        <v/>
      </c>
      <c r="O266" s="176">
        <f>IF($W266="","",INDEX($H$7:$H$306,$W266)&amp;"")</f>
        <v/>
      </c>
      <c r="P266" s="176">
        <f>IF($W266="","",INDEX($I$7:$I$306,$W266)&amp;"")</f>
        <v/>
      </c>
      <c r="Q266" s="176">
        <f>IF($W266="","",INDEX($J$7:$J$306,$W266)&amp;"")</f>
        <v/>
      </c>
      <c r="R266" s="176">
        <f>IF($W266="","",INDEX($F$7:$F$306,$W266)&amp;"")</f>
        <v/>
      </c>
      <c r="S266" s="175">
        <f>IF($W266="","",SUMIF($U$7:$U$306,INDEX($U$7:$U$306,$W266),$K$7:$K$306))</f>
        <v/>
      </c>
      <c r="U266">
        <f>IF(OR($X266="",N($K266)=0),"",UPPER(TRIM($G266&amp;"|"&amp;$H266&amp;"|"&amp;$I266&amp;"|"&amp;$J266&amp;"|"&amp;$F266)))</f>
        <v/>
      </c>
      <c r="V266">
        <f>IF($U266="","",IF(COUNTIF($U$7:$U266,$U266)=1,MAX($V$6:$V265)+1,""))</f>
        <v/>
      </c>
      <c r="W266">
        <f>IFERROR(MATCH(260,$V$7:$V$306,0),"")</f>
        <v/>
      </c>
      <c r="X266">
        <f>IFERROR(MATCH(260,'HW Sets'!$S$7:$S$306,0),"")</f>
        <v/>
      </c>
      <c r="Y266">
        <f>IF($X266="","",INDEX('HW Sets'!$J$7:$J$306,$X266)&amp;"")</f>
        <v/>
      </c>
      <c r="Z266">
        <f>IF($Y266="","",IF(COUNTIF($Y$7:$Y266,$Y266)=1,1,""))</f>
        <v/>
      </c>
    </row>
    <row r="267">
      <c r="A267" s="175">
        <f>IF($Z267="","",$Y267)</f>
        <v/>
      </c>
      <c r="B267" s="176">
        <f>IF($Z267="","",IFERROR(INDEX('HW Sets'!$N$7:$N$306,MATCH($Y267,'HW Sets'!$M$7:$M$306,0)),""))</f>
        <v/>
      </c>
      <c r="C267" s="177">
        <f t="array" ref="C267">IF($Z267="","",_xlfn.TEXTJOIN(", ",TRUE,IF(tk_HWSET&amp;""=$Y267,tk_MARK,"")))</f>
        <v/>
      </c>
      <c r="D267" s="176">
        <f t="array" ref="D267">IF($Z267="","",SUM(IF(tk_HWSET&amp;""=$Y267,IFERROR(--tk_QTY,0),0)))</f>
        <v/>
      </c>
      <c r="E267" s="176">
        <f>IF($X267="","",IF(INDEX('HW Sets'!$C$7:$C$306,$X267)="","",INDEX('HW Sets'!$C$7:$C$306,$X267)))</f>
        <v/>
      </c>
      <c r="F267" s="176">
        <f>IF($X267="","",IF(INDEX('HW Sets'!$D$7:$D$306,$X267)="","",INDEX('HW Sets'!$D$7:$D$306,$X267)))</f>
        <v/>
      </c>
      <c r="G267" s="176">
        <f>IF($X267="","",IF(INDEX('HW Sets'!$E$7:$E$306,$X267)="","",INDEX('HW Sets'!$E$7:$E$306,$X267)))</f>
        <v/>
      </c>
      <c r="H267" s="176">
        <f>IF($X267="","",IF(INDEX('HW Sets'!$F$7:$F$306,$X267)="","",INDEX('HW Sets'!$F$7:$F$306,$X267)))</f>
        <v/>
      </c>
      <c r="I267" s="176">
        <f>IF($X267="","",IF(INDEX('HW Sets'!$G$7:$G$306,$X267)="","",INDEX('HW Sets'!$G$7:$G$306,$X267)))</f>
        <v/>
      </c>
      <c r="J267" s="176">
        <f>IF($X267="","",IF(INDEX('HW Sets'!$H$7:$H$306,$X267)="","",INDEX('HW Sets'!$H$7:$H$306,$X267)))</f>
        <v/>
      </c>
      <c r="K267" s="175">
        <f t="array" ref="K267">IF($X267="","",N($E267)*SUM(IF(tk_HWSET&amp;""=$Y267,IFERROR(--tk_QTY,0),0)))</f>
        <v/>
      </c>
      <c r="L267" s="176">
        <f>IF($X267="","",IF(INDEX('HW Sets'!$I$7:$I$306,$X267)="","",INDEX('HW Sets'!$I$7:$I$306,$X267)))</f>
        <v/>
      </c>
      <c r="N267" s="176">
        <f>IF($W267="","",INDEX($G$7:$G$306,$W267)&amp;"")</f>
        <v/>
      </c>
      <c r="O267" s="176">
        <f>IF($W267="","",INDEX($H$7:$H$306,$W267)&amp;"")</f>
        <v/>
      </c>
      <c r="P267" s="176">
        <f>IF($W267="","",INDEX($I$7:$I$306,$W267)&amp;"")</f>
        <v/>
      </c>
      <c r="Q267" s="176">
        <f>IF($W267="","",INDEX($J$7:$J$306,$W267)&amp;"")</f>
        <v/>
      </c>
      <c r="R267" s="176">
        <f>IF($W267="","",INDEX($F$7:$F$306,$W267)&amp;"")</f>
        <v/>
      </c>
      <c r="S267" s="175">
        <f>IF($W267="","",SUMIF($U$7:$U$306,INDEX($U$7:$U$306,$W267),$K$7:$K$306))</f>
        <v/>
      </c>
      <c r="U267">
        <f>IF(OR($X267="",N($K267)=0),"",UPPER(TRIM($G267&amp;"|"&amp;$H267&amp;"|"&amp;$I267&amp;"|"&amp;$J267&amp;"|"&amp;$F267)))</f>
        <v/>
      </c>
      <c r="V267">
        <f>IF($U267="","",IF(COUNTIF($U$7:$U267,$U267)=1,MAX($V$6:$V266)+1,""))</f>
        <v/>
      </c>
      <c r="W267">
        <f>IFERROR(MATCH(261,$V$7:$V$306,0),"")</f>
        <v/>
      </c>
      <c r="X267">
        <f>IFERROR(MATCH(261,'HW Sets'!$S$7:$S$306,0),"")</f>
        <v/>
      </c>
      <c r="Y267">
        <f>IF($X267="","",INDEX('HW Sets'!$J$7:$J$306,$X267)&amp;"")</f>
        <v/>
      </c>
      <c r="Z267">
        <f>IF($Y267="","",IF(COUNTIF($Y$7:$Y267,$Y267)=1,1,""))</f>
        <v/>
      </c>
    </row>
    <row r="268">
      <c r="A268" s="175">
        <f>IF($Z268="","",$Y268)</f>
        <v/>
      </c>
      <c r="B268" s="176">
        <f>IF($Z268="","",IFERROR(INDEX('HW Sets'!$N$7:$N$306,MATCH($Y268,'HW Sets'!$M$7:$M$306,0)),""))</f>
        <v/>
      </c>
      <c r="C268" s="177">
        <f t="array" ref="C268">IF($Z268="","",_xlfn.TEXTJOIN(", ",TRUE,IF(tk_HWSET&amp;""=$Y268,tk_MARK,"")))</f>
        <v/>
      </c>
      <c r="D268" s="176">
        <f t="array" ref="D268">IF($Z268="","",SUM(IF(tk_HWSET&amp;""=$Y268,IFERROR(--tk_QTY,0),0)))</f>
        <v/>
      </c>
      <c r="E268" s="176">
        <f>IF($X268="","",IF(INDEX('HW Sets'!$C$7:$C$306,$X268)="","",INDEX('HW Sets'!$C$7:$C$306,$X268)))</f>
        <v/>
      </c>
      <c r="F268" s="176">
        <f>IF($X268="","",IF(INDEX('HW Sets'!$D$7:$D$306,$X268)="","",INDEX('HW Sets'!$D$7:$D$306,$X268)))</f>
        <v/>
      </c>
      <c r="G268" s="176">
        <f>IF($X268="","",IF(INDEX('HW Sets'!$E$7:$E$306,$X268)="","",INDEX('HW Sets'!$E$7:$E$306,$X268)))</f>
        <v/>
      </c>
      <c r="H268" s="176">
        <f>IF($X268="","",IF(INDEX('HW Sets'!$F$7:$F$306,$X268)="","",INDEX('HW Sets'!$F$7:$F$306,$X268)))</f>
        <v/>
      </c>
      <c r="I268" s="176">
        <f>IF($X268="","",IF(INDEX('HW Sets'!$G$7:$G$306,$X268)="","",INDEX('HW Sets'!$G$7:$G$306,$X268)))</f>
        <v/>
      </c>
      <c r="J268" s="176">
        <f>IF($X268="","",IF(INDEX('HW Sets'!$H$7:$H$306,$X268)="","",INDEX('HW Sets'!$H$7:$H$306,$X268)))</f>
        <v/>
      </c>
      <c r="K268" s="175">
        <f t="array" ref="K268">IF($X268="","",N($E268)*SUM(IF(tk_HWSET&amp;""=$Y268,IFERROR(--tk_QTY,0),0)))</f>
        <v/>
      </c>
      <c r="L268" s="176">
        <f>IF($X268="","",IF(INDEX('HW Sets'!$I$7:$I$306,$X268)="","",INDEX('HW Sets'!$I$7:$I$306,$X268)))</f>
        <v/>
      </c>
      <c r="N268" s="176">
        <f>IF($W268="","",INDEX($G$7:$G$306,$W268)&amp;"")</f>
        <v/>
      </c>
      <c r="O268" s="176">
        <f>IF($W268="","",INDEX($H$7:$H$306,$W268)&amp;"")</f>
        <v/>
      </c>
      <c r="P268" s="176">
        <f>IF($W268="","",INDEX($I$7:$I$306,$W268)&amp;"")</f>
        <v/>
      </c>
      <c r="Q268" s="176">
        <f>IF($W268="","",INDEX($J$7:$J$306,$W268)&amp;"")</f>
        <v/>
      </c>
      <c r="R268" s="176">
        <f>IF($W268="","",INDEX($F$7:$F$306,$W268)&amp;"")</f>
        <v/>
      </c>
      <c r="S268" s="175">
        <f>IF($W268="","",SUMIF($U$7:$U$306,INDEX($U$7:$U$306,$W268),$K$7:$K$306))</f>
        <v/>
      </c>
      <c r="U268">
        <f>IF(OR($X268="",N($K268)=0),"",UPPER(TRIM($G268&amp;"|"&amp;$H268&amp;"|"&amp;$I268&amp;"|"&amp;$J268&amp;"|"&amp;$F268)))</f>
        <v/>
      </c>
      <c r="V268">
        <f>IF($U268="","",IF(COUNTIF($U$7:$U268,$U268)=1,MAX($V$6:$V267)+1,""))</f>
        <v/>
      </c>
      <c r="W268">
        <f>IFERROR(MATCH(262,$V$7:$V$306,0),"")</f>
        <v/>
      </c>
      <c r="X268">
        <f>IFERROR(MATCH(262,'HW Sets'!$S$7:$S$306,0),"")</f>
        <v/>
      </c>
      <c r="Y268">
        <f>IF($X268="","",INDEX('HW Sets'!$J$7:$J$306,$X268)&amp;"")</f>
        <v/>
      </c>
      <c r="Z268">
        <f>IF($Y268="","",IF(COUNTIF($Y$7:$Y268,$Y268)=1,1,""))</f>
        <v/>
      </c>
    </row>
    <row r="269">
      <c r="A269" s="175">
        <f>IF($Z269="","",$Y269)</f>
        <v/>
      </c>
      <c r="B269" s="176">
        <f>IF($Z269="","",IFERROR(INDEX('HW Sets'!$N$7:$N$306,MATCH($Y269,'HW Sets'!$M$7:$M$306,0)),""))</f>
        <v/>
      </c>
      <c r="C269" s="177">
        <f t="array" ref="C269">IF($Z269="","",_xlfn.TEXTJOIN(", ",TRUE,IF(tk_HWSET&amp;""=$Y269,tk_MARK,"")))</f>
        <v/>
      </c>
      <c r="D269" s="176">
        <f t="array" ref="D269">IF($Z269="","",SUM(IF(tk_HWSET&amp;""=$Y269,IFERROR(--tk_QTY,0),0)))</f>
        <v/>
      </c>
      <c r="E269" s="176">
        <f>IF($X269="","",IF(INDEX('HW Sets'!$C$7:$C$306,$X269)="","",INDEX('HW Sets'!$C$7:$C$306,$X269)))</f>
        <v/>
      </c>
      <c r="F269" s="176">
        <f>IF($X269="","",IF(INDEX('HW Sets'!$D$7:$D$306,$X269)="","",INDEX('HW Sets'!$D$7:$D$306,$X269)))</f>
        <v/>
      </c>
      <c r="G269" s="176">
        <f>IF($X269="","",IF(INDEX('HW Sets'!$E$7:$E$306,$X269)="","",INDEX('HW Sets'!$E$7:$E$306,$X269)))</f>
        <v/>
      </c>
      <c r="H269" s="176">
        <f>IF($X269="","",IF(INDEX('HW Sets'!$F$7:$F$306,$X269)="","",INDEX('HW Sets'!$F$7:$F$306,$X269)))</f>
        <v/>
      </c>
      <c r="I269" s="176">
        <f>IF($X269="","",IF(INDEX('HW Sets'!$G$7:$G$306,$X269)="","",INDEX('HW Sets'!$G$7:$G$306,$X269)))</f>
        <v/>
      </c>
      <c r="J269" s="176">
        <f>IF($X269="","",IF(INDEX('HW Sets'!$H$7:$H$306,$X269)="","",INDEX('HW Sets'!$H$7:$H$306,$X269)))</f>
        <v/>
      </c>
      <c r="K269" s="175">
        <f t="array" ref="K269">IF($X269="","",N($E269)*SUM(IF(tk_HWSET&amp;""=$Y269,IFERROR(--tk_QTY,0),0)))</f>
        <v/>
      </c>
      <c r="L269" s="176">
        <f>IF($X269="","",IF(INDEX('HW Sets'!$I$7:$I$306,$X269)="","",INDEX('HW Sets'!$I$7:$I$306,$X269)))</f>
        <v/>
      </c>
      <c r="N269" s="176">
        <f>IF($W269="","",INDEX($G$7:$G$306,$W269)&amp;"")</f>
        <v/>
      </c>
      <c r="O269" s="176">
        <f>IF($W269="","",INDEX($H$7:$H$306,$W269)&amp;"")</f>
        <v/>
      </c>
      <c r="P269" s="176">
        <f>IF($W269="","",INDEX($I$7:$I$306,$W269)&amp;"")</f>
        <v/>
      </c>
      <c r="Q269" s="176">
        <f>IF($W269="","",INDEX($J$7:$J$306,$W269)&amp;"")</f>
        <v/>
      </c>
      <c r="R269" s="176">
        <f>IF($W269="","",INDEX($F$7:$F$306,$W269)&amp;"")</f>
        <v/>
      </c>
      <c r="S269" s="175">
        <f>IF($W269="","",SUMIF($U$7:$U$306,INDEX($U$7:$U$306,$W269),$K$7:$K$306))</f>
        <v/>
      </c>
      <c r="U269">
        <f>IF(OR($X269="",N($K269)=0),"",UPPER(TRIM($G269&amp;"|"&amp;$H269&amp;"|"&amp;$I269&amp;"|"&amp;$J269&amp;"|"&amp;$F269)))</f>
        <v/>
      </c>
      <c r="V269">
        <f>IF($U269="","",IF(COUNTIF($U$7:$U269,$U269)=1,MAX($V$6:$V268)+1,""))</f>
        <v/>
      </c>
      <c r="W269">
        <f>IFERROR(MATCH(263,$V$7:$V$306,0),"")</f>
        <v/>
      </c>
      <c r="X269">
        <f>IFERROR(MATCH(263,'HW Sets'!$S$7:$S$306,0),"")</f>
        <v/>
      </c>
      <c r="Y269">
        <f>IF($X269="","",INDEX('HW Sets'!$J$7:$J$306,$X269)&amp;"")</f>
        <v/>
      </c>
      <c r="Z269">
        <f>IF($Y269="","",IF(COUNTIF($Y$7:$Y269,$Y269)=1,1,""))</f>
        <v/>
      </c>
    </row>
    <row r="270">
      <c r="A270" s="175">
        <f>IF($Z270="","",$Y270)</f>
        <v/>
      </c>
      <c r="B270" s="176">
        <f>IF($Z270="","",IFERROR(INDEX('HW Sets'!$N$7:$N$306,MATCH($Y270,'HW Sets'!$M$7:$M$306,0)),""))</f>
        <v/>
      </c>
      <c r="C270" s="177">
        <f t="array" ref="C270">IF($Z270="","",_xlfn.TEXTJOIN(", ",TRUE,IF(tk_HWSET&amp;""=$Y270,tk_MARK,"")))</f>
        <v/>
      </c>
      <c r="D270" s="176">
        <f t="array" ref="D270">IF($Z270="","",SUM(IF(tk_HWSET&amp;""=$Y270,IFERROR(--tk_QTY,0),0)))</f>
        <v/>
      </c>
      <c r="E270" s="176">
        <f>IF($X270="","",IF(INDEX('HW Sets'!$C$7:$C$306,$X270)="","",INDEX('HW Sets'!$C$7:$C$306,$X270)))</f>
        <v/>
      </c>
      <c r="F270" s="176">
        <f>IF($X270="","",IF(INDEX('HW Sets'!$D$7:$D$306,$X270)="","",INDEX('HW Sets'!$D$7:$D$306,$X270)))</f>
        <v/>
      </c>
      <c r="G270" s="176">
        <f>IF($X270="","",IF(INDEX('HW Sets'!$E$7:$E$306,$X270)="","",INDEX('HW Sets'!$E$7:$E$306,$X270)))</f>
        <v/>
      </c>
      <c r="H270" s="176">
        <f>IF($X270="","",IF(INDEX('HW Sets'!$F$7:$F$306,$X270)="","",INDEX('HW Sets'!$F$7:$F$306,$X270)))</f>
        <v/>
      </c>
      <c r="I270" s="176">
        <f>IF($X270="","",IF(INDEX('HW Sets'!$G$7:$G$306,$X270)="","",INDEX('HW Sets'!$G$7:$G$306,$X270)))</f>
        <v/>
      </c>
      <c r="J270" s="176">
        <f>IF($X270="","",IF(INDEX('HW Sets'!$H$7:$H$306,$X270)="","",INDEX('HW Sets'!$H$7:$H$306,$X270)))</f>
        <v/>
      </c>
      <c r="K270" s="175">
        <f t="array" ref="K270">IF($X270="","",N($E270)*SUM(IF(tk_HWSET&amp;""=$Y270,IFERROR(--tk_QTY,0),0)))</f>
        <v/>
      </c>
      <c r="L270" s="176">
        <f>IF($X270="","",IF(INDEX('HW Sets'!$I$7:$I$306,$X270)="","",INDEX('HW Sets'!$I$7:$I$306,$X270)))</f>
        <v/>
      </c>
      <c r="N270" s="176">
        <f>IF($W270="","",INDEX($G$7:$G$306,$W270)&amp;"")</f>
        <v/>
      </c>
      <c r="O270" s="176">
        <f>IF($W270="","",INDEX($H$7:$H$306,$W270)&amp;"")</f>
        <v/>
      </c>
      <c r="P270" s="176">
        <f>IF($W270="","",INDEX($I$7:$I$306,$W270)&amp;"")</f>
        <v/>
      </c>
      <c r="Q270" s="176">
        <f>IF($W270="","",INDEX($J$7:$J$306,$W270)&amp;"")</f>
        <v/>
      </c>
      <c r="R270" s="176">
        <f>IF($W270="","",INDEX($F$7:$F$306,$W270)&amp;"")</f>
        <v/>
      </c>
      <c r="S270" s="175">
        <f>IF($W270="","",SUMIF($U$7:$U$306,INDEX($U$7:$U$306,$W270),$K$7:$K$306))</f>
        <v/>
      </c>
      <c r="U270">
        <f>IF(OR($X270="",N($K270)=0),"",UPPER(TRIM($G270&amp;"|"&amp;$H270&amp;"|"&amp;$I270&amp;"|"&amp;$J270&amp;"|"&amp;$F270)))</f>
        <v/>
      </c>
      <c r="V270">
        <f>IF($U270="","",IF(COUNTIF($U$7:$U270,$U270)=1,MAX($V$6:$V269)+1,""))</f>
        <v/>
      </c>
      <c r="W270">
        <f>IFERROR(MATCH(264,$V$7:$V$306,0),"")</f>
        <v/>
      </c>
      <c r="X270">
        <f>IFERROR(MATCH(264,'HW Sets'!$S$7:$S$306,0),"")</f>
        <v/>
      </c>
      <c r="Y270">
        <f>IF($X270="","",INDEX('HW Sets'!$J$7:$J$306,$X270)&amp;"")</f>
        <v/>
      </c>
      <c r="Z270">
        <f>IF($Y270="","",IF(COUNTIF($Y$7:$Y270,$Y270)=1,1,""))</f>
        <v/>
      </c>
    </row>
    <row r="271">
      <c r="A271" s="175">
        <f>IF($Z271="","",$Y271)</f>
        <v/>
      </c>
      <c r="B271" s="176">
        <f>IF($Z271="","",IFERROR(INDEX('HW Sets'!$N$7:$N$306,MATCH($Y271,'HW Sets'!$M$7:$M$306,0)),""))</f>
        <v/>
      </c>
      <c r="C271" s="177">
        <f t="array" ref="C271">IF($Z271="","",_xlfn.TEXTJOIN(", ",TRUE,IF(tk_HWSET&amp;""=$Y271,tk_MARK,"")))</f>
        <v/>
      </c>
      <c r="D271" s="176">
        <f t="array" ref="D271">IF($Z271="","",SUM(IF(tk_HWSET&amp;""=$Y271,IFERROR(--tk_QTY,0),0)))</f>
        <v/>
      </c>
      <c r="E271" s="176">
        <f>IF($X271="","",IF(INDEX('HW Sets'!$C$7:$C$306,$X271)="","",INDEX('HW Sets'!$C$7:$C$306,$X271)))</f>
        <v/>
      </c>
      <c r="F271" s="176">
        <f>IF($X271="","",IF(INDEX('HW Sets'!$D$7:$D$306,$X271)="","",INDEX('HW Sets'!$D$7:$D$306,$X271)))</f>
        <v/>
      </c>
      <c r="G271" s="176">
        <f>IF($X271="","",IF(INDEX('HW Sets'!$E$7:$E$306,$X271)="","",INDEX('HW Sets'!$E$7:$E$306,$X271)))</f>
        <v/>
      </c>
      <c r="H271" s="176">
        <f>IF($X271="","",IF(INDEX('HW Sets'!$F$7:$F$306,$X271)="","",INDEX('HW Sets'!$F$7:$F$306,$X271)))</f>
        <v/>
      </c>
      <c r="I271" s="176">
        <f>IF($X271="","",IF(INDEX('HW Sets'!$G$7:$G$306,$X271)="","",INDEX('HW Sets'!$G$7:$G$306,$X271)))</f>
        <v/>
      </c>
      <c r="J271" s="176">
        <f>IF($X271="","",IF(INDEX('HW Sets'!$H$7:$H$306,$X271)="","",INDEX('HW Sets'!$H$7:$H$306,$X271)))</f>
        <v/>
      </c>
      <c r="K271" s="175">
        <f t="array" ref="K271">IF($X271="","",N($E271)*SUM(IF(tk_HWSET&amp;""=$Y271,IFERROR(--tk_QTY,0),0)))</f>
        <v/>
      </c>
      <c r="L271" s="176">
        <f>IF($X271="","",IF(INDEX('HW Sets'!$I$7:$I$306,$X271)="","",INDEX('HW Sets'!$I$7:$I$306,$X271)))</f>
        <v/>
      </c>
      <c r="N271" s="176">
        <f>IF($W271="","",INDEX($G$7:$G$306,$W271)&amp;"")</f>
        <v/>
      </c>
      <c r="O271" s="176">
        <f>IF($W271="","",INDEX($H$7:$H$306,$W271)&amp;"")</f>
        <v/>
      </c>
      <c r="P271" s="176">
        <f>IF($W271="","",INDEX($I$7:$I$306,$W271)&amp;"")</f>
        <v/>
      </c>
      <c r="Q271" s="176">
        <f>IF($W271="","",INDEX($J$7:$J$306,$W271)&amp;"")</f>
        <v/>
      </c>
      <c r="R271" s="176">
        <f>IF($W271="","",INDEX($F$7:$F$306,$W271)&amp;"")</f>
        <v/>
      </c>
      <c r="S271" s="175">
        <f>IF($W271="","",SUMIF($U$7:$U$306,INDEX($U$7:$U$306,$W271),$K$7:$K$306))</f>
        <v/>
      </c>
      <c r="U271">
        <f>IF(OR($X271="",N($K271)=0),"",UPPER(TRIM($G271&amp;"|"&amp;$H271&amp;"|"&amp;$I271&amp;"|"&amp;$J271&amp;"|"&amp;$F271)))</f>
        <v/>
      </c>
      <c r="V271">
        <f>IF($U271="","",IF(COUNTIF($U$7:$U271,$U271)=1,MAX($V$6:$V270)+1,""))</f>
        <v/>
      </c>
      <c r="W271">
        <f>IFERROR(MATCH(265,$V$7:$V$306,0),"")</f>
        <v/>
      </c>
      <c r="X271">
        <f>IFERROR(MATCH(265,'HW Sets'!$S$7:$S$306,0),"")</f>
        <v/>
      </c>
      <c r="Y271">
        <f>IF($X271="","",INDEX('HW Sets'!$J$7:$J$306,$X271)&amp;"")</f>
        <v/>
      </c>
      <c r="Z271">
        <f>IF($Y271="","",IF(COUNTIF($Y$7:$Y271,$Y271)=1,1,""))</f>
        <v/>
      </c>
    </row>
    <row r="272">
      <c r="A272" s="175">
        <f>IF($Z272="","",$Y272)</f>
        <v/>
      </c>
      <c r="B272" s="176">
        <f>IF($Z272="","",IFERROR(INDEX('HW Sets'!$N$7:$N$306,MATCH($Y272,'HW Sets'!$M$7:$M$306,0)),""))</f>
        <v/>
      </c>
      <c r="C272" s="177">
        <f t="array" ref="C272">IF($Z272="","",_xlfn.TEXTJOIN(", ",TRUE,IF(tk_HWSET&amp;""=$Y272,tk_MARK,"")))</f>
        <v/>
      </c>
      <c r="D272" s="176">
        <f t="array" ref="D272">IF($Z272="","",SUM(IF(tk_HWSET&amp;""=$Y272,IFERROR(--tk_QTY,0),0)))</f>
        <v/>
      </c>
      <c r="E272" s="176">
        <f>IF($X272="","",IF(INDEX('HW Sets'!$C$7:$C$306,$X272)="","",INDEX('HW Sets'!$C$7:$C$306,$X272)))</f>
        <v/>
      </c>
      <c r="F272" s="176">
        <f>IF($X272="","",IF(INDEX('HW Sets'!$D$7:$D$306,$X272)="","",INDEX('HW Sets'!$D$7:$D$306,$X272)))</f>
        <v/>
      </c>
      <c r="G272" s="176">
        <f>IF($X272="","",IF(INDEX('HW Sets'!$E$7:$E$306,$X272)="","",INDEX('HW Sets'!$E$7:$E$306,$X272)))</f>
        <v/>
      </c>
      <c r="H272" s="176">
        <f>IF($X272="","",IF(INDEX('HW Sets'!$F$7:$F$306,$X272)="","",INDEX('HW Sets'!$F$7:$F$306,$X272)))</f>
        <v/>
      </c>
      <c r="I272" s="176">
        <f>IF($X272="","",IF(INDEX('HW Sets'!$G$7:$G$306,$X272)="","",INDEX('HW Sets'!$G$7:$G$306,$X272)))</f>
        <v/>
      </c>
      <c r="J272" s="176">
        <f>IF($X272="","",IF(INDEX('HW Sets'!$H$7:$H$306,$X272)="","",INDEX('HW Sets'!$H$7:$H$306,$X272)))</f>
        <v/>
      </c>
      <c r="K272" s="175">
        <f t="array" ref="K272">IF($X272="","",N($E272)*SUM(IF(tk_HWSET&amp;""=$Y272,IFERROR(--tk_QTY,0),0)))</f>
        <v/>
      </c>
      <c r="L272" s="176">
        <f>IF($X272="","",IF(INDEX('HW Sets'!$I$7:$I$306,$X272)="","",INDEX('HW Sets'!$I$7:$I$306,$X272)))</f>
        <v/>
      </c>
      <c r="N272" s="176">
        <f>IF($W272="","",INDEX($G$7:$G$306,$W272)&amp;"")</f>
        <v/>
      </c>
      <c r="O272" s="176">
        <f>IF($W272="","",INDEX($H$7:$H$306,$W272)&amp;"")</f>
        <v/>
      </c>
      <c r="P272" s="176">
        <f>IF($W272="","",INDEX($I$7:$I$306,$W272)&amp;"")</f>
        <v/>
      </c>
      <c r="Q272" s="176">
        <f>IF($W272="","",INDEX($J$7:$J$306,$W272)&amp;"")</f>
        <v/>
      </c>
      <c r="R272" s="176">
        <f>IF($W272="","",INDEX($F$7:$F$306,$W272)&amp;"")</f>
        <v/>
      </c>
      <c r="S272" s="175">
        <f>IF($W272="","",SUMIF($U$7:$U$306,INDEX($U$7:$U$306,$W272),$K$7:$K$306))</f>
        <v/>
      </c>
      <c r="U272">
        <f>IF(OR($X272="",N($K272)=0),"",UPPER(TRIM($G272&amp;"|"&amp;$H272&amp;"|"&amp;$I272&amp;"|"&amp;$J272&amp;"|"&amp;$F272)))</f>
        <v/>
      </c>
      <c r="V272">
        <f>IF($U272="","",IF(COUNTIF($U$7:$U272,$U272)=1,MAX($V$6:$V271)+1,""))</f>
        <v/>
      </c>
      <c r="W272">
        <f>IFERROR(MATCH(266,$V$7:$V$306,0),"")</f>
        <v/>
      </c>
      <c r="X272">
        <f>IFERROR(MATCH(266,'HW Sets'!$S$7:$S$306,0),"")</f>
        <v/>
      </c>
      <c r="Y272">
        <f>IF($X272="","",INDEX('HW Sets'!$J$7:$J$306,$X272)&amp;"")</f>
        <v/>
      </c>
      <c r="Z272">
        <f>IF($Y272="","",IF(COUNTIF($Y$7:$Y272,$Y272)=1,1,""))</f>
        <v/>
      </c>
    </row>
    <row r="273">
      <c r="A273" s="175">
        <f>IF($Z273="","",$Y273)</f>
        <v/>
      </c>
      <c r="B273" s="176">
        <f>IF($Z273="","",IFERROR(INDEX('HW Sets'!$N$7:$N$306,MATCH($Y273,'HW Sets'!$M$7:$M$306,0)),""))</f>
        <v/>
      </c>
      <c r="C273" s="177">
        <f t="array" ref="C273">IF($Z273="","",_xlfn.TEXTJOIN(", ",TRUE,IF(tk_HWSET&amp;""=$Y273,tk_MARK,"")))</f>
        <v/>
      </c>
      <c r="D273" s="176">
        <f t="array" ref="D273">IF($Z273="","",SUM(IF(tk_HWSET&amp;""=$Y273,IFERROR(--tk_QTY,0),0)))</f>
        <v/>
      </c>
      <c r="E273" s="176">
        <f>IF($X273="","",IF(INDEX('HW Sets'!$C$7:$C$306,$X273)="","",INDEX('HW Sets'!$C$7:$C$306,$X273)))</f>
        <v/>
      </c>
      <c r="F273" s="176">
        <f>IF($X273="","",IF(INDEX('HW Sets'!$D$7:$D$306,$X273)="","",INDEX('HW Sets'!$D$7:$D$306,$X273)))</f>
        <v/>
      </c>
      <c r="G273" s="176">
        <f>IF($X273="","",IF(INDEX('HW Sets'!$E$7:$E$306,$X273)="","",INDEX('HW Sets'!$E$7:$E$306,$X273)))</f>
        <v/>
      </c>
      <c r="H273" s="176">
        <f>IF($X273="","",IF(INDEX('HW Sets'!$F$7:$F$306,$X273)="","",INDEX('HW Sets'!$F$7:$F$306,$X273)))</f>
        <v/>
      </c>
      <c r="I273" s="176">
        <f>IF($X273="","",IF(INDEX('HW Sets'!$G$7:$G$306,$X273)="","",INDEX('HW Sets'!$G$7:$G$306,$X273)))</f>
        <v/>
      </c>
      <c r="J273" s="176">
        <f>IF($X273="","",IF(INDEX('HW Sets'!$H$7:$H$306,$X273)="","",INDEX('HW Sets'!$H$7:$H$306,$X273)))</f>
        <v/>
      </c>
      <c r="K273" s="175">
        <f t="array" ref="K273">IF($X273="","",N($E273)*SUM(IF(tk_HWSET&amp;""=$Y273,IFERROR(--tk_QTY,0),0)))</f>
        <v/>
      </c>
      <c r="L273" s="176">
        <f>IF($X273="","",IF(INDEX('HW Sets'!$I$7:$I$306,$X273)="","",INDEX('HW Sets'!$I$7:$I$306,$X273)))</f>
        <v/>
      </c>
      <c r="N273" s="176">
        <f>IF($W273="","",INDEX($G$7:$G$306,$W273)&amp;"")</f>
        <v/>
      </c>
      <c r="O273" s="176">
        <f>IF($W273="","",INDEX($H$7:$H$306,$W273)&amp;"")</f>
        <v/>
      </c>
      <c r="P273" s="176">
        <f>IF($W273="","",INDEX($I$7:$I$306,$W273)&amp;"")</f>
        <v/>
      </c>
      <c r="Q273" s="176">
        <f>IF($W273="","",INDEX($J$7:$J$306,$W273)&amp;"")</f>
        <v/>
      </c>
      <c r="R273" s="176">
        <f>IF($W273="","",INDEX($F$7:$F$306,$W273)&amp;"")</f>
        <v/>
      </c>
      <c r="S273" s="175">
        <f>IF($W273="","",SUMIF($U$7:$U$306,INDEX($U$7:$U$306,$W273),$K$7:$K$306))</f>
        <v/>
      </c>
      <c r="U273">
        <f>IF(OR($X273="",N($K273)=0),"",UPPER(TRIM($G273&amp;"|"&amp;$H273&amp;"|"&amp;$I273&amp;"|"&amp;$J273&amp;"|"&amp;$F273)))</f>
        <v/>
      </c>
      <c r="V273">
        <f>IF($U273="","",IF(COUNTIF($U$7:$U273,$U273)=1,MAX($V$6:$V272)+1,""))</f>
        <v/>
      </c>
      <c r="W273">
        <f>IFERROR(MATCH(267,$V$7:$V$306,0),"")</f>
        <v/>
      </c>
      <c r="X273">
        <f>IFERROR(MATCH(267,'HW Sets'!$S$7:$S$306,0),"")</f>
        <v/>
      </c>
      <c r="Y273">
        <f>IF($X273="","",INDEX('HW Sets'!$J$7:$J$306,$X273)&amp;"")</f>
        <v/>
      </c>
      <c r="Z273">
        <f>IF($Y273="","",IF(COUNTIF($Y$7:$Y273,$Y273)=1,1,""))</f>
        <v/>
      </c>
    </row>
    <row r="274">
      <c r="A274" s="175">
        <f>IF($Z274="","",$Y274)</f>
        <v/>
      </c>
      <c r="B274" s="176">
        <f>IF($Z274="","",IFERROR(INDEX('HW Sets'!$N$7:$N$306,MATCH($Y274,'HW Sets'!$M$7:$M$306,0)),""))</f>
        <v/>
      </c>
      <c r="C274" s="177">
        <f t="array" ref="C274">IF($Z274="","",_xlfn.TEXTJOIN(", ",TRUE,IF(tk_HWSET&amp;""=$Y274,tk_MARK,"")))</f>
        <v/>
      </c>
      <c r="D274" s="176">
        <f t="array" ref="D274">IF($Z274="","",SUM(IF(tk_HWSET&amp;""=$Y274,IFERROR(--tk_QTY,0),0)))</f>
        <v/>
      </c>
      <c r="E274" s="176">
        <f>IF($X274="","",IF(INDEX('HW Sets'!$C$7:$C$306,$X274)="","",INDEX('HW Sets'!$C$7:$C$306,$X274)))</f>
        <v/>
      </c>
      <c r="F274" s="176">
        <f>IF($X274="","",IF(INDEX('HW Sets'!$D$7:$D$306,$X274)="","",INDEX('HW Sets'!$D$7:$D$306,$X274)))</f>
        <v/>
      </c>
      <c r="G274" s="176">
        <f>IF($X274="","",IF(INDEX('HW Sets'!$E$7:$E$306,$X274)="","",INDEX('HW Sets'!$E$7:$E$306,$X274)))</f>
        <v/>
      </c>
      <c r="H274" s="176">
        <f>IF($X274="","",IF(INDEX('HW Sets'!$F$7:$F$306,$X274)="","",INDEX('HW Sets'!$F$7:$F$306,$X274)))</f>
        <v/>
      </c>
      <c r="I274" s="176">
        <f>IF($X274="","",IF(INDEX('HW Sets'!$G$7:$G$306,$X274)="","",INDEX('HW Sets'!$G$7:$G$306,$X274)))</f>
        <v/>
      </c>
      <c r="J274" s="176">
        <f>IF($X274="","",IF(INDEX('HW Sets'!$H$7:$H$306,$X274)="","",INDEX('HW Sets'!$H$7:$H$306,$X274)))</f>
        <v/>
      </c>
      <c r="K274" s="175">
        <f t="array" ref="K274">IF($X274="","",N($E274)*SUM(IF(tk_HWSET&amp;""=$Y274,IFERROR(--tk_QTY,0),0)))</f>
        <v/>
      </c>
      <c r="L274" s="176">
        <f>IF($X274="","",IF(INDEX('HW Sets'!$I$7:$I$306,$X274)="","",INDEX('HW Sets'!$I$7:$I$306,$X274)))</f>
        <v/>
      </c>
      <c r="N274" s="176">
        <f>IF($W274="","",INDEX($G$7:$G$306,$W274)&amp;"")</f>
        <v/>
      </c>
      <c r="O274" s="176">
        <f>IF($W274="","",INDEX($H$7:$H$306,$W274)&amp;"")</f>
        <v/>
      </c>
      <c r="P274" s="176">
        <f>IF($W274="","",INDEX($I$7:$I$306,$W274)&amp;"")</f>
        <v/>
      </c>
      <c r="Q274" s="176">
        <f>IF($W274="","",INDEX($J$7:$J$306,$W274)&amp;"")</f>
        <v/>
      </c>
      <c r="R274" s="176">
        <f>IF($W274="","",INDEX($F$7:$F$306,$W274)&amp;"")</f>
        <v/>
      </c>
      <c r="S274" s="175">
        <f>IF($W274="","",SUMIF($U$7:$U$306,INDEX($U$7:$U$306,$W274),$K$7:$K$306))</f>
        <v/>
      </c>
      <c r="U274">
        <f>IF(OR($X274="",N($K274)=0),"",UPPER(TRIM($G274&amp;"|"&amp;$H274&amp;"|"&amp;$I274&amp;"|"&amp;$J274&amp;"|"&amp;$F274)))</f>
        <v/>
      </c>
      <c r="V274">
        <f>IF($U274="","",IF(COUNTIF($U$7:$U274,$U274)=1,MAX($V$6:$V273)+1,""))</f>
        <v/>
      </c>
      <c r="W274">
        <f>IFERROR(MATCH(268,$V$7:$V$306,0),"")</f>
        <v/>
      </c>
      <c r="X274">
        <f>IFERROR(MATCH(268,'HW Sets'!$S$7:$S$306,0),"")</f>
        <v/>
      </c>
      <c r="Y274">
        <f>IF($X274="","",INDEX('HW Sets'!$J$7:$J$306,$X274)&amp;"")</f>
        <v/>
      </c>
      <c r="Z274">
        <f>IF($Y274="","",IF(COUNTIF($Y$7:$Y274,$Y274)=1,1,""))</f>
        <v/>
      </c>
    </row>
    <row r="275">
      <c r="A275" s="175">
        <f>IF($Z275="","",$Y275)</f>
        <v/>
      </c>
      <c r="B275" s="176">
        <f>IF($Z275="","",IFERROR(INDEX('HW Sets'!$N$7:$N$306,MATCH($Y275,'HW Sets'!$M$7:$M$306,0)),""))</f>
        <v/>
      </c>
      <c r="C275" s="177">
        <f t="array" ref="C275">IF($Z275="","",_xlfn.TEXTJOIN(", ",TRUE,IF(tk_HWSET&amp;""=$Y275,tk_MARK,"")))</f>
        <v/>
      </c>
      <c r="D275" s="176">
        <f t="array" ref="D275">IF($Z275="","",SUM(IF(tk_HWSET&amp;""=$Y275,IFERROR(--tk_QTY,0),0)))</f>
        <v/>
      </c>
      <c r="E275" s="176">
        <f>IF($X275="","",IF(INDEX('HW Sets'!$C$7:$C$306,$X275)="","",INDEX('HW Sets'!$C$7:$C$306,$X275)))</f>
        <v/>
      </c>
      <c r="F275" s="176">
        <f>IF($X275="","",IF(INDEX('HW Sets'!$D$7:$D$306,$X275)="","",INDEX('HW Sets'!$D$7:$D$306,$X275)))</f>
        <v/>
      </c>
      <c r="G275" s="176">
        <f>IF($X275="","",IF(INDEX('HW Sets'!$E$7:$E$306,$X275)="","",INDEX('HW Sets'!$E$7:$E$306,$X275)))</f>
        <v/>
      </c>
      <c r="H275" s="176">
        <f>IF($X275="","",IF(INDEX('HW Sets'!$F$7:$F$306,$X275)="","",INDEX('HW Sets'!$F$7:$F$306,$X275)))</f>
        <v/>
      </c>
      <c r="I275" s="176">
        <f>IF($X275="","",IF(INDEX('HW Sets'!$G$7:$G$306,$X275)="","",INDEX('HW Sets'!$G$7:$G$306,$X275)))</f>
        <v/>
      </c>
      <c r="J275" s="176">
        <f>IF($X275="","",IF(INDEX('HW Sets'!$H$7:$H$306,$X275)="","",INDEX('HW Sets'!$H$7:$H$306,$X275)))</f>
        <v/>
      </c>
      <c r="K275" s="175">
        <f t="array" ref="K275">IF($X275="","",N($E275)*SUM(IF(tk_HWSET&amp;""=$Y275,IFERROR(--tk_QTY,0),0)))</f>
        <v/>
      </c>
      <c r="L275" s="176">
        <f>IF($X275="","",IF(INDEX('HW Sets'!$I$7:$I$306,$X275)="","",INDEX('HW Sets'!$I$7:$I$306,$X275)))</f>
        <v/>
      </c>
      <c r="N275" s="176">
        <f>IF($W275="","",INDEX($G$7:$G$306,$W275)&amp;"")</f>
        <v/>
      </c>
      <c r="O275" s="176">
        <f>IF($W275="","",INDEX($H$7:$H$306,$W275)&amp;"")</f>
        <v/>
      </c>
      <c r="P275" s="176">
        <f>IF($W275="","",INDEX($I$7:$I$306,$W275)&amp;"")</f>
        <v/>
      </c>
      <c r="Q275" s="176">
        <f>IF($W275="","",INDEX($J$7:$J$306,$W275)&amp;"")</f>
        <v/>
      </c>
      <c r="R275" s="176">
        <f>IF($W275="","",INDEX($F$7:$F$306,$W275)&amp;"")</f>
        <v/>
      </c>
      <c r="S275" s="175">
        <f>IF($W275="","",SUMIF($U$7:$U$306,INDEX($U$7:$U$306,$W275),$K$7:$K$306))</f>
        <v/>
      </c>
      <c r="U275">
        <f>IF(OR($X275="",N($K275)=0),"",UPPER(TRIM($G275&amp;"|"&amp;$H275&amp;"|"&amp;$I275&amp;"|"&amp;$J275&amp;"|"&amp;$F275)))</f>
        <v/>
      </c>
      <c r="V275">
        <f>IF($U275="","",IF(COUNTIF($U$7:$U275,$U275)=1,MAX($V$6:$V274)+1,""))</f>
        <v/>
      </c>
      <c r="W275">
        <f>IFERROR(MATCH(269,$V$7:$V$306,0),"")</f>
        <v/>
      </c>
      <c r="X275">
        <f>IFERROR(MATCH(269,'HW Sets'!$S$7:$S$306,0),"")</f>
        <v/>
      </c>
      <c r="Y275">
        <f>IF($X275="","",INDEX('HW Sets'!$J$7:$J$306,$X275)&amp;"")</f>
        <v/>
      </c>
      <c r="Z275">
        <f>IF($Y275="","",IF(COUNTIF($Y$7:$Y275,$Y275)=1,1,""))</f>
        <v/>
      </c>
    </row>
    <row r="276">
      <c r="A276" s="175">
        <f>IF($Z276="","",$Y276)</f>
        <v/>
      </c>
      <c r="B276" s="176">
        <f>IF($Z276="","",IFERROR(INDEX('HW Sets'!$N$7:$N$306,MATCH($Y276,'HW Sets'!$M$7:$M$306,0)),""))</f>
        <v/>
      </c>
      <c r="C276" s="177">
        <f t="array" ref="C276">IF($Z276="","",_xlfn.TEXTJOIN(", ",TRUE,IF(tk_HWSET&amp;""=$Y276,tk_MARK,"")))</f>
        <v/>
      </c>
      <c r="D276" s="176">
        <f t="array" ref="D276">IF($Z276="","",SUM(IF(tk_HWSET&amp;""=$Y276,IFERROR(--tk_QTY,0),0)))</f>
        <v/>
      </c>
      <c r="E276" s="176">
        <f>IF($X276="","",IF(INDEX('HW Sets'!$C$7:$C$306,$X276)="","",INDEX('HW Sets'!$C$7:$C$306,$X276)))</f>
        <v/>
      </c>
      <c r="F276" s="176">
        <f>IF($X276="","",IF(INDEX('HW Sets'!$D$7:$D$306,$X276)="","",INDEX('HW Sets'!$D$7:$D$306,$X276)))</f>
        <v/>
      </c>
      <c r="G276" s="176">
        <f>IF($X276="","",IF(INDEX('HW Sets'!$E$7:$E$306,$X276)="","",INDEX('HW Sets'!$E$7:$E$306,$X276)))</f>
        <v/>
      </c>
      <c r="H276" s="176">
        <f>IF($X276="","",IF(INDEX('HW Sets'!$F$7:$F$306,$X276)="","",INDEX('HW Sets'!$F$7:$F$306,$X276)))</f>
        <v/>
      </c>
      <c r="I276" s="176">
        <f>IF($X276="","",IF(INDEX('HW Sets'!$G$7:$G$306,$X276)="","",INDEX('HW Sets'!$G$7:$G$306,$X276)))</f>
        <v/>
      </c>
      <c r="J276" s="176">
        <f>IF($X276="","",IF(INDEX('HW Sets'!$H$7:$H$306,$X276)="","",INDEX('HW Sets'!$H$7:$H$306,$X276)))</f>
        <v/>
      </c>
      <c r="K276" s="175">
        <f t="array" ref="K276">IF($X276="","",N($E276)*SUM(IF(tk_HWSET&amp;""=$Y276,IFERROR(--tk_QTY,0),0)))</f>
        <v/>
      </c>
      <c r="L276" s="176">
        <f>IF($X276="","",IF(INDEX('HW Sets'!$I$7:$I$306,$X276)="","",INDEX('HW Sets'!$I$7:$I$306,$X276)))</f>
        <v/>
      </c>
      <c r="N276" s="176">
        <f>IF($W276="","",INDEX($G$7:$G$306,$W276)&amp;"")</f>
        <v/>
      </c>
      <c r="O276" s="176">
        <f>IF($W276="","",INDEX($H$7:$H$306,$W276)&amp;"")</f>
        <v/>
      </c>
      <c r="P276" s="176">
        <f>IF($W276="","",INDEX($I$7:$I$306,$W276)&amp;"")</f>
        <v/>
      </c>
      <c r="Q276" s="176">
        <f>IF($W276="","",INDEX($J$7:$J$306,$W276)&amp;"")</f>
        <v/>
      </c>
      <c r="R276" s="176">
        <f>IF($W276="","",INDEX($F$7:$F$306,$W276)&amp;"")</f>
        <v/>
      </c>
      <c r="S276" s="175">
        <f>IF($W276="","",SUMIF($U$7:$U$306,INDEX($U$7:$U$306,$W276),$K$7:$K$306))</f>
        <v/>
      </c>
      <c r="U276">
        <f>IF(OR($X276="",N($K276)=0),"",UPPER(TRIM($G276&amp;"|"&amp;$H276&amp;"|"&amp;$I276&amp;"|"&amp;$J276&amp;"|"&amp;$F276)))</f>
        <v/>
      </c>
      <c r="V276">
        <f>IF($U276="","",IF(COUNTIF($U$7:$U276,$U276)=1,MAX($V$6:$V275)+1,""))</f>
        <v/>
      </c>
      <c r="W276">
        <f>IFERROR(MATCH(270,$V$7:$V$306,0),"")</f>
        <v/>
      </c>
      <c r="X276">
        <f>IFERROR(MATCH(270,'HW Sets'!$S$7:$S$306,0),"")</f>
        <v/>
      </c>
      <c r="Y276">
        <f>IF($X276="","",INDEX('HW Sets'!$J$7:$J$306,$X276)&amp;"")</f>
        <v/>
      </c>
      <c r="Z276">
        <f>IF($Y276="","",IF(COUNTIF($Y$7:$Y276,$Y276)=1,1,""))</f>
        <v/>
      </c>
    </row>
    <row r="277">
      <c r="A277" s="175">
        <f>IF($Z277="","",$Y277)</f>
        <v/>
      </c>
      <c r="B277" s="176">
        <f>IF($Z277="","",IFERROR(INDEX('HW Sets'!$N$7:$N$306,MATCH($Y277,'HW Sets'!$M$7:$M$306,0)),""))</f>
        <v/>
      </c>
      <c r="C277" s="177">
        <f t="array" ref="C277">IF($Z277="","",_xlfn.TEXTJOIN(", ",TRUE,IF(tk_HWSET&amp;""=$Y277,tk_MARK,"")))</f>
        <v/>
      </c>
      <c r="D277" s="176">
        <f t="array" ref="D277">IF($Z277="","",SUM(IF(tk_HWSET&amp;""=$Y277,IFERROR(--tk_QTY,0),0)))</f>
        <v/>
      </c>
      <c r="E277" s="176">
        <f>IF($X277="","",IF(INDEX('HW Sets'!$C$7:$C$306,$X277)="","",INDEX('HW Sets'!$C$7:$C$306,$X277)))</f>
        <v/>
      </c>
      <c r="F277" s="176">
        <f>IF($X277="","",IF(INDEX('HW Sets'!$D$7:$D$306,$X277)="","",INDEX('HW Sets'!$D$7:$D$306,$X277)))</f>
        <v/>
      </c>
      <c r="G277" s="176">
        <f>IF($X277="","",IF(INDEX('HW Sets'!$E$7:$E$306,$X277)="","",INDEX('HW Sets'!$E$7:$E$306,$X277)))</f>
        <v/>
      </c>
      <c r="H277" s="176">
        <f>IF($X277="","",IF(INDEX('HW Sets'!$F$7:$F$306,$X277)="","",INDEX('HW Sets'!$F$7:$F$306,$X277)))</f>
        <v/>
      </c>
      <c r="I277" s="176">
        <f>IF($X277="","",IF(INDEX('HW Sets'!$G$7:$G$306,$X277)="","",INDEX('HW Sets'!$G$7:$G$306,$X277)))</f>
        <v/>
      </c>
      <c r="J277" s="176">
        <f>IF($X277="","",IF(INDEX('HW Sets'!$H$7:$H$306,$X277)="","",INDEX('HW Sets'!$H$7:$H$306,$X277)))</f>
        <v/>
      </c>
      <c r="K277" s="175">
        <f t="array" ref="K277">IF($X277="","",N($E277)*SUM(IF(tk_HWSET&amp;""=$Y277,IFERROR(--tk_QTY,0),0)))</f>
        <v/>
      </c>
      <c r="L277" s="176">
        <f>IF($X277="","",IF(INDEX('HW Sets'!$I$7:$I$306,$X277)="","",INDEX('HW Sets'!$I$7:$I$306,$X277)))</f>
        <v/>
      </c>
      <c r="N277" s="176">
        <f>IF($W277="","",INDEX($G$7:$G$306,$W277)&amp;"")</f>
        <v/>
      </c>
      <c r="O277" s="176">
        <f>IF($W277="","",INDEX($H$7:$H$306,$W277)&amp;"")</f>
        <v/>
      </c>
      <c r="P277" s="176">
        <f>IF($W277="","",INDEX($I$7:$I$306,$W277)&amp;"")</f>
        <v/>
      </c>
      <c r="Q277" s="176">
        <f>IF($W277="","",INDEX($J$7:$J$306,$W277)&amp;"")</f>
        <v/>
      </c>
      <c r="R277" s="176">
        <f>IF($W277="","",INDEX($F$7:$F$306,$W277)&amp;"")</f>
        <v/>
      </c>
      <c r="S277" s="175">
        <f>IF($W277="","",SUMIF($U$7:$U$306,INDEX($U$7:$U$306,$W277),$K$7:$K$306))</f>
        <v/>
      </c>
      <c r="U277">
        <f>IF(OR($X277="",N($K277)=0),"",UPPER(TRIM($G277&amp;"|"&amp;$H277&amp;"|"&amp;$I277&amp;"|"&amp;$J277&amp;"|"&amp;$F277)))</f>
        <v/>
      </c>
      <c r="V277">
        <f>IF($U277="","",IF(COUNTIF($U$7:$U277,$U277)=1,MAX($V$6:$V276)+1,""))</f>
        <v/>
      </c>
      <c r="W277">
        <f>IFERROR(MATCH(271,$V$7:$V$306,0),"")</f>
        <v/>
      </c>
      <c r="X277">
        <f>IFERROR(MATCH(271,'HW Sets'!$S$7:$S$306,0),"")</f>
        <v/>
      </c>
      <c r="Y277">
        <f>IF($X277="","",INDEX('HW Sets'!$J$7:$J$306,$X277)&amp;"")</f>
        <v/>
      </c>
      <c r="Z277">
        <f>IF($Y277="","",IF(COUNTIF($Y$7:$Y277,$Y277)=1,1,""))</f>
        <v/>
      </c>
    </row>
    <row r="278">
      <c r="A278" s="175">
        <f>IF($Z278="","",$Y278)</f>
        <v/>
      </c>
      <c r="B278" s="176">
        <f>IF($Z278="","",IFERROR(INDEX('HW Sets'!$N$7:$N$306,MATCH($Y278,'HW Sets'!$M$7:$M$306,0)),""))</f>
        <v/>
      </c>
      <c r="C278" s="177">
        <f t="array" ref="C278">IF($Z278="","",_xlfn.TEXTJOIN(", ",TRUE,IF(tk_HWSET&amp;""=$Y278,tk_MARK,"")))</f>
        <v/>
      </c>
      <c r="D278" s="176">
        <f t="array" ref="D278">IF($Z278="","",SUM(IF(tk_HWSET&amp;""=$Y278,IFERROR(--tk_QTY,0),0)))</f>
        <v/>
      </c>
      <c r="E278" s="176">
        <f>IF($X278="","",IF(INDEX('HW Sets'!$C$7:$C$306,$X278)="","",INDEX('HW Sets'!$C$7:$C$306,$X278)))</f>
        <v/>
      </c>
      <c r="F278" s="176">
        <f>IF($X278="","",IF(INDEX('HW Sets'!$D$7:$D$306,$X278)="","",INDEX('HW Sets'!$D$7:$D$306,$X278)))</f>
        <v/>
      </c>
      <c r="G278" s="176">
        <f>IF($X278="","",IF(INDEX('HW Sets'!$E$7:$E$306,$X278)="","",INDEX('HW Sets'!$E$7:$E$306,$X278)))</f>
        <v/>
      </c>
      <c r="H278" s="176">
        <f>IF($X278="","",IF(INDEX('HW Sets'!$F$7:$F$306,$X278)="","",INDEX('HW Sets'!$F$7:$F$306,$X278)))</f>
        <v/>
      </c>
      <c r="I278" s="176">
        <f>IF($X278="","",IF(INDEX('HW Sets'!$G$7:$G$306,$X278)="","",INDEX('HW Sets'!$G$7:$G$306,$X278)))</f>
        <v/>
      </c>
      <c r="J278" s="176">
        <f>IF($X278="","",IF(INDEX('HW Sets'!$H$7:$H$306,$X278)="","",INDEX('HW Sets'!$H$7:$H$306,$X278)))</f>
        <v/>
      </c>
      <c r="K278" s="175">
        <f t="array" ref="K278">IF($X278="","",N($E278)*SUM(IF(tk_HWSET&amp;""=$Y278,IFERROR(--tk_QTY,0),0)))</f>
        <v/>
      </c>
      <c r="L278" s="176">
        <f>IF($X278="","",IF(INDEX('HW Sets'!$I$7:$I$306,$X278)="","",INDEX('HW Sets'!$I$7:$I$306,$X278)))</f>
        <v/>
      </c>
      <c r="N278" s="176">
        <f>IF($W278="","",INDEX($G$7:$G$306,$W278)&amp;"")</f>
        <v/>
      </c>
      <c r="O278" s="176">
        <f>IF($W278="","",INDEX($H$7:$H$306,$W278)&amp;"")</f>
        <v/>
      </c>
      <c r="P278" s="176">
        <f>IF($W278="","",INDEX($I$7:$I$306,$W278)&amp;"")</f>
        <v/>
      </c>
      <c r="Q278" s="176">
        <f>IF($W278="","",INDEX($J$7:$J$306,$W278)&amp;"")</f>
        <v/>
      </c>
      <c r="R278" s="176">
        <f>IF($W278="","",INDEX($F$7:$F$306,$W278)&amp;"")</f>
        <v/>
      </c>
      <c r="S278" s="175">
        <f>IF($W278="","",SUMIF($U$7:$U$306,INDEX($U$7:$U$306,$W278),$K$7:$K$306))</f>
        <v/>
      </c>
      <c r="U278">
        <f>IF(OR($X278="",N($K278)=0),"",UPPER(TRIM($G278&amp;"|"&amp;$H278&amp;"|"&amp;$I278&amp;"|"&amp;$J278&amp;"|"&amp;$F278)))</f>
        <v/>
      </c>
      <c r="V278">
        <f>IF($U278="","",IF(COUNTIF($U$7:$U278,$U278)=1,MAX($V$6:$V277)+1,""))</f>
        <v/>
      </c>
      <c r="W278">
        <f>IFERROR(MATCH(272,$V$7:$V$306,0),"")</f>
        <v/>
      </c>
      <c r="X278">
        <f>IFERROR(MATCH(272,'HW Sets'!$S$7:$S$306,0),"")</f>
        <v/>
      </c>
      <c r="Y278">
        <f>IF($X278="","",INDEX('HW Sets'!$J$7:$J$306,$X278)&amp;"")</f>
        <v/>
      </c>
      <c r="Z278">
        <f>IF($Y278="","",IF(COUNTIF($Y$7:$Y278,$Y278)=1,1,""))</f>
        <v/>
      </c>
    </row>
    <row r="279">
      <c r="A279" s="175">
        <f>IF($Z279="","",$Y279)</f>
        <v/>
      </c>
      <c r="B279" s="176">
        <f>IF($Z279="","",IFERROR(INDEX('HW Sets'!$N$7:$N$306,MATCH($Y279,'HW Sets'!$M$7:$M$306,0)),""))</f>
        <v/>
      </c>
      <c r="C279" s="177">
        <f t="array" ref="C279">IF($Z279="","",_xlfn.TEXTJOIN(", ",TRUE,IF(tk_HWSET&amp;""=$Y279,tk_MARK,"")))</f>
        <v/>
      </c>
      <c r="D279" s="176">
        <f t="array" ref="D279">IF($Z279="","",SUM(IF(tk_HWSET&amp;""=$Y279,IFERROR(--tk_QTY,0),0)))</f>
        <v/>
      </c>
      <c r="E279" s="176">
        <f>IF($X279="","",IF(INDEX('HW Sets'!$C$7:$C$306,$X279)="","",INDEX('HW Sets'!$C$7:$C$306,$X279)))</f>
        <v/>
      </c>
      <c r="F279" s="176">
        <f>IF($X279="","",IF(INDEX('HW Sets'!$D$7:$D$306,$X279)="","",INDEX('HW Sets'!$D$7:$D$306,$X279)))</f>
        <v/>
      </c>
      <c r="G279" s="176">
        <f>IF($X279="","",IF(INDEX('HW Sets'!$E$7:$E$306,$X279)="","",INDEX('HW Sets'!$E$7:$E$306,$X279)))</f>
        <v/>
      </c>
      <c r="H279" s="176">
        <f>IF($X279="","",IF(INDEX('HW Sets'!$F$7:$F$306,$X279)="","",INDEX('HW Sets'!$F$7:$F$306,$X279)))</f>
        <v/>
      </c>
      <c r="I279" s="176">
        <f>IF($X279="","",IF(INDEX('HW Sets'!$G$7:$G$306,$X279)="","",INDEX('HW Sets'!$G$7:$G$306,$X279)))</f>
        <v/>
      </c>
      <c r="J279" s="176">
        <f>IF($X279="","",IF(INDEX('HW Sets'!$H$7:$H$306,$X279)="","",INDEX('HW Sets'!$H$7:$H$306,$X279)))</f>
        <v/>
      </c>
      <c r="K279" s="175">
        <f t="array" ref="K279">IF($X279="","",N($E279)*SUM(IF(tk_HWSET&amp;""=$Y279,IFERROR(--tk_QTY,0),0)))</f>
        <v/>
      </c>
      <c r="L279" s="176">
        <f>IF($X279="","",IF(INDEX('HW Sets'!$I$7:$I$306,$X279)="","",INDEX('HW Sets'!$I$7:$I$306,$X279)))</f>
        <v/>
      </c>
      <c r="N279" s="176">
        <f>IF($W279="","",INDEX($G$7:$G$306,$W279)&amp;"")</f>
        <v/>
      </c>
      <c r="O279" s="176">
        <f>IF($W279="","",INDEX($H$7:$H$306,$W279)&amp;"")</f>
        <v/>
      </c>
      <c r="P279" s="176">
        <f>IF($W279="","",INDEX($I$7:$I$306,$W279)&amp;"")</f>
        <v/>
      </c>
      <c r="Q279" s="176">
        <f>IF($W279="","",INDEX($J$7:$J$306,$W279)&amp;"")</f>
        <v/>
      </c>
      <c r="R279" s="176">
        <f>IF($W279="","",INDEX($F$7:$F$306,$W279)&amp;"")</f>
        <v/>
      </c>
      <c r="S279" s="175">
        <f>IF($W279="","",SUMIF($U$7:$U$306,INDEX($U$7:$U$306,$W279),$K$7:$K$306))</f>
        <v/>
      </c>
      <c r="U279">
        <f>IF(OR($X279="",N($K279)=0),"",UPPER(TRIM($G279&amp;"|"&amp;$H279&amp;"|"&amp;$I279&amp;"|"&amp;$J279&amp;"|"&amp;$F279)))</f>
        <v/>
      </c>
      <c r="V279">
        <f>IF($U279="","",IF(COUNTIF($U$7:$U279,$U279)=1,MAX($V$6:$V278)+1,""))</f>
        <v/>
      </c>
      <c r="W279">
        <f>IFERROR(MATCH(273,$V$7:$V$306,0),"")</f>
        <v/>
      </c>
      <c r="X279">
        <f>IFERROR(MATCH(273,'HW Sets'!$S$7:$S$306,0),"")</f>
        <v/>
      </c>
      <c r="Y279">
        <f>IF($X279="","",INDEX('HW Sets'!$J$7:$J$306,$X279)&amp;"")</f>
        <v/>
      </c>
      <c r="Z279">
        <f>IF($Y279="","",IF(COUNTIF($Y$7:$Y279,$Y279)=1,1,""))</f>
        <v/>
      </c>
    </row>
    <row r="280">
      <c r="A280" s="175">
        <f>IF($Z280="","",$Y280)</f>
        <v/>
      </c>
      <c r="B280" s="176">
        <f>IF($Z280="","",IFERROR(INDEX('HW Sets'!$N$7:$N$306,MATCH($Y280,'HW Sets'!$M$7:$M$306,0)),""))</f>
        <v/>
      </c>
      <c r="C280" s="177">
        <f t="array" ref="C280">IF($Z280="","",_xlfn.TEXTJOIN(", ",TRUE,IF(tk_HWSET&amp;""=$Y280,tk_MARK,"")))</f>
        <v/>
      </c>
      <c r="D280" s="176">
        <f t="array" ref="D280">IF($Z280="","",SUM(IF(tk_HWSET&amp;""=$Y280,IFERROR(--tk_QTY,0),0)))</f>
        <v/>
      </c>
      <c r="E280" s="176">
        <f>IF($X280="","",IF(INDEX('HW Sets'!$C$7:$C$306,$X280)="","",INDEX('HW Sets'!$C$7:$C$306,$X280)))</f>
        <v/>
      </c>
      <c r="F280" s="176">
        <f>IF($X280="","",IF(INDEX('HW Sets'!$D$7:$D$306,$X280)="","",INDEX('HW Sets'!$D$7:$D$306,$X280)))</f>
        <v/>
      </c>
      <c r="G280" s="176">
        <f>IF($X280="","",IF(INDEX('HW Sets'!$E$7:$E$306,$X280)="","",INDEX('HW Sets'!$E$7:$E$306,$X280)))</f>
        <v/>
      </c>
      <c r="H280" s="176">
        <f>IF($X280="","",IF(INDEX('HW Sets'!$F$7:$F$306,$X280)="","",INDEX('HW Sets'!$F$7:$F$306,$X280)))</f>
        <v/>
      </c>
      <c r="I280" s="176">
        <f>IF($X280="","",IF(INDEX('HW Sets'!$G$7:$G$306,$X280)="","",INDEX('HW Sets'!$G$7:$G$306,$X280)))</f>
        <v/>
      </c>
      <c r="J280" s="176">
        <f>IF($X280="","",IF(INDEX('HW Sets'!$H$7:$H$306,$X280)="","",INDEX('HW Sets'!$H$7:$H$306,$X280)))</f>
        <v/>
      </c>
      <c r="K280" s="175">
        <f t="array" ref="K280">IF($X280="","",N($E280)*SUM(IF(tk_HWSET&amp;""=$Y280,IFERROR(--tk_QTY,0),0)))</f>
        <v/>
      </c>
      <c r="L280" s="176">
        <f>IF($X280="","",IF(INDEX('HW Sets'!$I$7:$I$306,$X280)="","",INDEX('HW Sets'!$I$7:$I$306,$X280)))</f>
        <v/>
      </c>
      <c r="N280" s="176">
        <f>IF($W280="","",INDEX($G$7:$G$306,$W280)&amp;"")</f>
        <v/>
      </c>
      <c r="O280" s="176">
        <f>IF($W280="","",INDEX($H$7:$H$306,$W280)&amp;"")</f>
        <v/>
      </c>
      <c r="P280" s="176">
        <f>IF($W280="","",INDEX($I$7:$I$306,$W280)&amp;"")</f>
        <v/>
      </c>
      <c r="Q280" s="176">
        <f>IF($W280="","",INDEX($J$7:$J$306,$W280)&amp;"")</f>
        <v/>
      </c>
      <c r="R280" s="176">
        <f>IF($W280="","",INDEX($F$7:$F$306,$W280)&amp;"")</f>
        <v/>
      </c>
      <c r="S280" s="175">
        <f>IF($W280="","",SUMIF($U$7:$U$306,INDEX($U$7:$U$306,$W280),$K$7:$K$306))</f>
        <v/>
      </c>
      <c r="U280">
        <f>IF(OR($X280="",N($K280)=0),"",UPPER(TRIM($G280&amp;"|"&amp;$H280&amp;"|"&amp;$I280&amp;"|"&amp;$J280&amp;"|"&amp;$F280)))</f>
        <v/>
      </c>
      <c r="V280">
        <f>IF($U280="","",IF(COUNTIF($U$7:$U280,$U280)=1,MAX($V$6:$V279)+1,""))</f>
        <v/>
      </c>
      <c r="W280">
        <f>IFERROR(MATCH(274,$V$7:$V$306,0),"")</f>
        <v/>
      </c>
      <c r="X280">
        <f>IFERROR(MATCH(274,'HW Sets'!$S$7:$S$306,0),"")</f>
        <v/>
      </c>
      <c r="Y280">
        <f>IF($X280="","",INDEX('HW Sets'!$J$7:$J$306,$X280)&amp;"")</f>
        <v/>
      </c>
      <c r="Z280">
        <f>IF($Y280="","",IF(COUNTIF($Y$7:$Y280,$Y280)=1,1,""))</f>
        <v/>
      </c>
    </row>
    <row r="281">
      <c r="A281" s="175">
        <f>IF($Z281="","",$Y281)</f>
        <v/>
      </c>
      <c r="B281" s="176">
        <f>IF($Z281="","",IFERROR(INDEX('HW Sets'!$N$7:$N$306,MATCH($Y281,'HW Sets'!$M$7:$M$306,0)),""))</f>
        <v/>
      </c>
      <c r="C281" s="177">
        <f t="array" ref="C281">IF($Z281="","",_xlfn.TEXTJOIN(", ",TRUE,IF(tk_HWSET&amp;""=$Y281,tk_MARK,"")))</f>
        <v/>
      </c>
      <c r="D281" s="176">
        <f t="array" ref="D281">IF($Z281="","",SUM(IF(tk_HWSET&amp;""=$Y281,IFERROR(--tk_QTY,0),0)))</f>
        <v/>
      </c>
      <c r="E281" s="176">
        <f>IF($X281="","",IF(INDEX('HW Sets'!$C$7:$C$306,$X281)="","",INDEX('HW Sets'!$C$7:$C$306,$X281)))</f>
        <v/>
      </c>
      <c r="F281" s="176">
        <f>IF($X281="","",IF(INDEX('HW Sets'!$D$7:$D$306,$X281)="","",INDEX('HW Sets'!$D$7:$D$306,$X281)))</f>
        <v/>
      </c>
      <c r="G281" s="176">
        <f>IF($X281="","",IF(INDEX('HW Sets'!$E$7:$E$306,$X281)="","",INDEX('HW Sets'!$E$7:$E$306,$X281)))</f>
        <v/>
      </c>
      <c r="H281" s="176">
        <f>IF($X281="","",IF(INDEX('HW Sets'!$F$7:$F$306,$X281)="","",INDEX('HW Sets'!$F$7:$F$306,$X281)))</f>
        <v/>
      </c>
      <c r="I281" s="176">
        <f>IF($X281="","",IF(INDEX('HW Sets'!$G$7:$G$306,$X281)="","",INDEX('HW Sets'!$G$7:$G$306,$X281)))</f>
        <v/>
      </c>
      <c r="J281" s="176">
        <f>IF($X281="","",IF(INDEX('HW Sets'!$H$7:$H$306,$X281)="","",INDEX('HW Sets'!$H$7:$H$306,$X281)))</f>
        <v/>
      </c>
      <c r="K281" s="175">
        <f t="array" ref="K281">IF($X281="","",N($E281)*SUM(IF(tk_HWSET&amp;""=$Y281,IFERROR(--tk_QTY,0),0)))</f>
        <v/>
      </c>
      <c r="L281" s="176">
        <f>IF($X281="","",IF(INDEX('HW Sets'!$I$7:$I$306,$X281)="","",INDEX('HW Sets'!$I$7:$I$306,$X281)))</f>
        <v/>
      </c>
      <c r="N281" s="176">
        <f>IF($W281="","",INDEX($G$7:$G$306,$W281)&amp;"")</f>
        <v/>
      </c>
      <c r="O281" s="176">
        <f>IF($W281="","",INDEX($H$7:$H$306,$W281)&amp;"")</f>
        <v/>
      </c>
      <c r="P281" s="176">
        <f>IF($W281="","",INDEX($I$7:$I$306,$W281)&amp;"")</f>
        <v/>
      </c>
      <c r="Q281" s="176">
        <f>IF($W281="","",INDEX($J$7:$J$306,$W281)&amp;"")</f>
        <v/>
      </c>
      <c r="R281" s="176">
        <f>IF($W281="","",INDEX($F$7:$F$306,$W281)&amp;"")</f>
        <v/>
      </c>
      <c r="S281" s="175">
        <f>IF($W281="","",SUMIF($U$7:$U$306,INDEX($U$7:$U$306,$W281),$K$7:$K$306))</f>
        <v/>
      </c>
      <c r="U281">
        <f>IF(OR($X281="",N($K281)=0),"",UPPER(TRIM($G281&amp;"|"&amp;$H281&amp;"|"&amp;$I281&amp;"|"&amp;$J281&amp;"|"&amp;$F281)))</f>
        <v/>
      </c>
      <c r="V281">
        <f>IF($U281="","",IF(COUNTIF($U$7:$U281,$U281)=1,MAX($V$6:$V280)+1,""))</f>
        <v/>
      </c>
      <c r="W281">
        <f>IFERROR(MATCH(275,$V$7:$V$306,0),"")</f>
        <v/>
      </c>
      <c r="X281">
        <f>IFERROR(MATCH(275,'HW Sets'!$S$7:$S$306,0),"")</f>
        <v/>
      </c>
      <c r="Y281">
        <f>IF($X281="","",INDEX('HW Sets'!$J$7:$J$306,$X281)&amp;"")</f>
        <v/>
      </c>
      <c r="Z281">
        <f>IF($Y281="","",IF(COUNTIF($Y$7:$Y281,$Y281)=1,1,""))</f>
        <v/>
      </c>
    </row>
    <row r="282">
      <c r="A282" s="175">
        <f>IF($Z282="","",$Y282)</f>
        <v/>
      </c>
      <c r="B282" s="176">
        <f>IF($Z282="","",IFERROR(INDEX('HW Sets'!$N$7:$N$306,MATCH($Y282,'HW Sets'!$M$7:$M$306,0)),""))</f>
        <v/>
      </c>
      <c r="C282" s="177">
        <f t="array" ref="C282">IF($Z282="","",_xlfn.TEXTJOIN(", ",TRUE,IF(tk_HWSET&amp;""=$Y282,tk_MARK,"")))</f>
        <v/>
      </c>
      <c r="D282" s="176">
        <f t="array" ref="D282">IF($Z282="","",SUM(IF(tk_HWSET&amp;""=$Y282,IFERROR(--tk_QTY,0),0)))</f>
        <v/>
      </c>
      <c r="E282" s="176">
        <f>IF($X282="","",IF(INDEX('HW Sets'!$C$7:$C$306,$X282)="","",INDEX('HW Sets'!$C$7:$C$306,$X282)))</f>
        <v/>
      </c>
      <c r="F282" s="176">
        <f>IF($X282="","",IF(INDEX('HW Sets'!$D$7:$D$306,$X282)="","",INDEX('HW Sets'!$D$7:$D$306,$X282)))</f>
        <v/>
      </c>
      <c r="G282" s="176">
        <f>IF($X282="","",IF(INDEX('HW Sets'!$E$7:$E$306,$X282)="","",INDEX('HW Sets'!$E$7:$E$306,$X282)))</f>
        <v/>
      </c>
      <c r="H282" s="176">
        <f>IF($X282="","",IF(INDEX('HW Sets'!$F$7:$F$306,$X282)="","",INDEX('HW Sets'!$F$7:$F$306,$X282)))</f>
        <v/>
      </c>
      <c r="I282" s="176">
        <f>IF($X282="","",IF(INDEX('HW Sets'!$G$7:$G$306,$X282)="","",INDEX('HW Sets'!$G$7:$G$306,$X282)))</f>
        <v/>
      </c>
      <c r="J282" s="176">
        <f>IF($X282="","",IF(INDEX('HW Sets'!$H$7:$H$306,$X282)="","",INDEX('HW Sets'!$H$7:$H$306,$X282)))</f>
        <v/>
      </c>
      <c r="K282" s="175">
        <f t="array" ref="K282">IF($X282="","",N($E282)*SUM(IF(tk_HWSET&amp;""=$Y282,IFERROR(--tk_QTY,0),0)))</f>
        <v/>
      </c>
      <c r="L282" s="176">
        <f>IF($X282="","",IF(INDEX('HW Sets'!$I$7:$I$306,$X282)="","",INDEX('HW Sets'!$I$7:$I$306,$X282)))</f>
        <v/>
      </c>
      <c r="N282" s="176">
        <f>IF($W282="","",INDEX($G$7:$G$306,$W282)&amp;"")</f>
        <v/>
      </c>
      <c r="O282" s="176">
        <f>IF($W282="","",INDEX($H$7:$H$306,$W282)&amp;"")</f>
        <v/>
      </c>
      <c r="P282" s="176">
        <f>IF($W282="","",INDEX($I$7:$I$306,$W282)&amp;"")</f>
        <v/>
      </c>
      <c r="Q282" s="176">
        <f>IF($W282="","",INDEX($J$7:$J$306,$W282)&amp;"")</f>
        <v/>
      </c>
      <c r="R282" s="176">
        <f>IF($W282="","",INDEX($F$7:$F$306,$W282)&amp;"")</f>
        <v/>
      </c>
      <c r="S282" s="175">
        <f>IF($W282="","",SUMIF($U$7:$U$306,INDEX($U$7:$U$306,$W282),$K$7:$K$306))</f>
        <v/>
      </c>
      <c r="U282">
        <f>IF(OR($X282="",N($K282)=0),"",UPPER(TRIM($G282&amp;"|"&amp;$H282&amp;"|"&amp;$I282&amp;"|"&amp;$J282&amp;"|"&amp;$F282)))</f>
        <v/>
      </c>
      <c r="V282">
        <f>IF($U282="","",IF(COUNTIF($U$7:$U282,$U282)=1,MAX($V$6:$V281)+1,""))</f>
        <v/>
      </c>
      <c r="W282">
        <f>IFERROR(MATCH(276,$V$7:$V$306,0),"")</f>
        <v/>
      </c>
      <c r="X282">
        <f>IFERROR(MATCH(276,'HW Sets'!$S$7:$S$306,0),"")</f>
        <v/>
      </c>
      <c r="Y282">
        <f>IF($X282="","",INDEX('HW Sets'!$J$7:$J$306,$X282)&amp;"")</f>
        <v/>
      </c>
      <c r="Z282">
        <f>IF($Y282="","",IF(COUNTIF($Y$7:$Y282,$Y282)=1,1,""))</f>
        <v/>
      </c>
    </row>
    <row r="283">
      <c r="A283" s="175">
        <f>IF($Z283="","",$Y283)</f>
        <v/>
      </c>
      <c r="B283" s="176">
        <f>IF($Z283="","",IFERROR(INDEX('HW Sets'!$N$7:$N$306,MATCH($Y283,'HW Sets'!$M$7:$M$306,0)),""))</f>
        <v/>
      </c>
      <c r="C283" s="177">
        <f t="array" ref="C283">IF($Z283="","",_xlfn.TEXTJOIN(", ",TRUE,IF(tk_HWSET&amp;""=$Y283,tk_MARK,"")))</f>
        <v/>
      </c>
      <c r="D283" s="176">
        <f t="array" ref="D283">IF($Z283="","",SUM(IF(tk_HWSET&amp;""=$Y283,IFERROR(--tk_QTY,0),0)))</f>
        <v/>
      </c>
      <c r="E283" s="176">
        <f>IF($X283="","",IF(INDEX('HW Sets'!$C$7:$C$306,$X283)="","",INDEX('HW Sets'!$C$7:$C$306,$X283)))</f>
        <v/>
      </c>
      <c r="F283" s="176">
        <f>IF($X283="","",IF(INDEX('HW Sets'!$D$7:$D$306,$X283)="","",INDEX('HW Sets'!$D$7:$D$306,$X283)))</f>
        <v/>
      </c>
      <c r="G283" s="176">
        <f>IF($X283="","",IF(INDEX('HW Sets'!$E$7:$E$306,$X283)="","",INDEX('HW Sets'!$E$7:$E$306,$X283)))</f>
        <v/>
      </c>
      <c r="H283" s="176">
        <f>IF($X283="","",IF(INDEX('HW Sets'!$F$7:$F$306,$X283)="","",INDEX('HW Sets'!$F$7:$F$306,$X283)))</f>
        <v/>
      </c>
      <c r="I283" s="176">
        <f>IF($X283="","",IF(INDEX('HW Sets'!$G$7:$G$306,$X283)="","",INDEX('HW Sets'!$G$7:$G$306,$X283)))</f>
        <v/>
      </c>
      <c r="J283" s="176">
        <f>IF($X283="","",IF(INDEX('HW Sets'!$H$7:$H$306,$X283)="","",INDEX('HW Sets'!$H$7:$H$306,$X283)))</f>
        <v/>
      </c>
      <c r="K283" s="175">
        <f t="array" ref="K283">IF($X283="","",N($E283)*SUM(IF(tk_HWSET&amp;""=$Y283,IFERROR(--tk_QTY,0),0)))</f>
        <v/>
      </c>
      <c r="L283" s="176">
        <f>IF($X283="","",IF(INDEX('HW Sets'!$I$7:$I$306,$X283)="","",INDEX('HW Sets'!$I$7:$I$306,$X283)))</f>
        <v/>
      </c>
      <c r="N283" s="176">
        <f>IF($W283="","",INDEX($G$7:$G$306,$W283)&amp;"")</f>
        <v/>
      </c>
      <c r="O283" s="176">
        <f>IF($W283="","",INDEX($H$7:$H$306,$W283)&amp;"")</f>
        <v/>
      </c>
      <c r="P283" s="176">
        <f>IF($W283="","",INDEX($I$7:$I$306,$W283)&amp;"")</f>
        <v/>
      </c>
      <c r="Q283" s="176">
        <f>IF($W283="","",INDEX($J$7:$J$306,$W283)&amp;"")</f>
        <v/>
      </c>
      <c r="R283" s="176">
        <f>IF($W283="","",INDEX($F$7:$F$306,$W283)&amp;"")</f>
        <v/>
      </c>
      <c r="S283" s="175">
        <f>IF($W283="","",SUMIF($U$7:$U$306,INDEX($U$7:$U$306,$W283),$K$7:$K$306))</f>
        <v/>
      </c>
      <c r="U283">
        <f>IF(OR($X283="",N($K283)=0),"",UPPER(TRIM($G283&amp;"|"&amp;$H283&amp;"|"&amp;$I283&amp;"|"&amp;$J283&amp;"|"&amp;$F283)))</f>
        <v/>
      </c>
      <c r="V283">
        <f>IF($U283="","",IF(COUNTIF($U$7:$U283,$U283)=1,MAX($V$6:$V282)+1,""))</f>
        <v/>
      </c>
      <c r="W283">
        <f>IFERROR(MATCH(277,$V$7:$V$306,0),"")</f>
        <v/>
      </c>
      <c r="X283">
        <f>IFERROR(MATCH(277,'HW Sets'!$S$7:$S$306,0),"")</f>
        <v/>
      </c>
      <c r="Y283">
        <f>IF($X283="","",INDEX('HW Sets'!$J$7:$J$306,$X283)&amp;"")</f>
        <v/>
      </c>
      <c r="Z283">
        <f>IF($Y283="","",IF(COUNTIF($Y$7:$Y283,$Y283)=1,1,""))</f>
        <v/>
      </c>
    </row>
    <row r="284">
      <c r="A284" s="175">
        <f>IF($Z284="","",$Y284)</f>
        <v/>
      </c>
      <c r="B284" s="176">
        <f>IF($Z284="","",IFERROR(INDEX('HW Sets'!$N$7:$N$306,MATCH($Y284,'HW Sets'!$M$7:$M$306,0)),""))</f>
        <v/>
      </c>
      <c r="C284" s="177">
        <f t="array" ref="C284">IF($Z284="","",_xlfn.TEXTJOIN(", ",TRUE,IF(tk_HWSET&amp;""=$Y284,tk_MARK,"")))</f>
        <v/>
      </c>
      <c r="D284" s="176">
        <f t="array" ref="D284">IF($Z284="","",SUM(IF(tk_HWSET&amp;""=$Y284,IFERROR(--tk_QTY,0),0)))</f>
        <v/>
      </c>
      <c r="E284" s="176">
        <f>IF($X284="","",IF(INDEX('HW Sets'!$C$7:$C$306,$X284)="","",INDEX('HW Sets'!$C$7:$C$306,$X284)))</f>
        <v/>
      </c>
      <c r="F284" s="176">
        <f>IF($X284="","",IF(INDEX('HW Sets'!$D$7:$D$306,$X284)="","",INDEX('HW Sets'!$D$7:$D$306,$X284)))</f>
        <v/>
      </c>
      <c r="G284" s="176">
        <f>IF($X284="","",IF(INDEX('HW Sets'!$E$7:$E$306,$X284)="","",INDEX('HW Sets'!$E$7:$E$306,$X284)))</f>
        <v/>
      </c>
      <c r="H284" s="176">
        <f>IF($X284="","",IF(INDEX('HW Sets'!$F$7:$F$306,$X284)="","",INDEX('HW Sets'!$F$7:$F$306,$X284)))</f>
        <v/>
      </c>
      <c r="I284" s="176">
        <f>IF($X284="","",IF(INDEX('HW Sets'!$G$7:$G$306,$X284)="","",INDEX('HW Sets'!$G$7:$G$306,$X284)))</f>
        <v/>
      </c>
      <c r="J284" s="176">
        <f>IF($X284="","",IF(INDEX('HW Sets'!$H$7:$H$306,$X284)="","",INDEX('HW Sets'!$H$7:$H$306,$X284)))</f>
        <v/>
      </c>
      <c r="K284" s="175">
        <f t="array" ref="K284">IF($X284="","",N($E284)*SUM(IF(tk_HWSET&amp;""=$Y284,IFERROR(--tk_QTY,0),0)))</f>
        <v/>
      </c>
      <c r="L284" s="176">
        <f>IF($X284="","",IF(INDEX('HW Sets'!$I$7:$I$306,$X284)="","",INDEX('HW Sets'!$I$7:$I$306,$X284)))</f>
        <v/>
      </c>
      <c r="N284" s="176">
        <f>IF($W284="","",INDEX($G$7:$G$306,$W284)&amp;"")</f>
        <v/>
      </c>
      <c r="O284" s="176">
        <f>IF($W284="","",INDEX($H$7:$H$306,$W284)&amp;"")</f>
        <v/>
      </c>
      <c r="P284" s="176">
        <f>IF($W284="","",INDEX($I$7:$I$306,$W284)&amp;"")</f>
        <v/>
      </c>
      <c r="Q284" s="176">
        <f>IF($W284="","",INDEX($J$7:$J$306,$W284)&amp;"")</f>
        <v/>
      </c>
      <c r="R284" s="176">
        <f>IF($W284="","",INDEX($F$7:$F$306,$W284)&amp;"")</f>
        <v/>
      </c>
      <c r="S284" s="175">
        <f>IF($W284="","",SUMIF($U$7:$U$306,INDEX($U$7:$U$306,$W284),$K$7:$K$306))</f>
        <v/>
      </c>
      <c r="U284">
        <f>IF(OR($X284="",N($K284)=0),"",UPPER(TRIM($G284&amp;"|"&amp;$H284&amp;"|"&amp;$I284&amp;"|"&amp;$J284&amp;"|"&amp;$F284)))</f>
        <v/>
      </c>
      <c r="V284">
        <f>IF($U284="","",IF(COUNTIF($U$7:$U284,$U284)=1,MAX($V$6:$V283)+1,""))</f>
        <v/>
      </c>
      <c r="W284">
        <f>IFERROR(MATCH(278,$V$7:$V$306,0),"")</f>
        <v/>
      </c>
      <c r="X284">
        <f>IFERROR(MATCH(278,'HW Sets'!$S$7:$S$306,0),"")</f>
        <v/>
      </c>
      <c r="Y284">
        <f>IF($X284="","",INDEX('HW Sets'!$J$7:$J$306,$X284)&amp;"")</f>
        <v/>
      </c>
      <c r="Z284">
        <f>IF($Y284="","",IF(COUNTIF($Y$7:$Y284,$Y284)=1,1,""))</f>
        <v/>
      </c>
    </row>
    <row r="285">
      <c r="A285" s="175">
        <f>IF($Z285="","",$Y285)</f>
        <v/>
      </c>
      <c r="B285" s="176">
        <f>IF($Z285="","",IFERROR(INDEX('HW Sets'!$N$7:$N$306,MATCH($Y285,'HW Sets'!$M$7:$M$306,0)),""))</f>
        <v/>
      </c>
      <c r="C285" s="177">
        <f t="array" ref="C285">IF($Z285="","",_xlfn.TEXTJOIN(", ",TRUE,IF(tk_HWSET&amp;""=$Y285,tk_MARK,"")))</f>
        <v/>
      </c>
      <c r="D285" s="176">
        <f t="array" ref="D285">IF($Z285="","",SUM(IF(tk_HWSET&amp;""=$Y285,IFERROR(--tk_QTY,0),0)))</f>
        <v/>
      </c>
      <c r="E285" s="176">
        <f>IF($X285="","",IF(INDEX('HW Sets'!$C$7:$C$306,$X285)="","",INDEX('HW Sets'!$C$7:$C$306,$X285)))</f>
        <v/>
      </c>
      <c r="F285" s="176">
        <f>IF($X285="","",IF(INDEX('HW Sets'!$D$7:$D$306,$X285)="","",INDEX('HW Sets'!$D$7:$D$306,$X285)))</f>
        <v/>
      </c>
      <c r="G285" s="176">
        <f>IF($X285="","",IF(INDEX('HW Sets'!$E$7:$E$306,$X285)="","",INDEX('HW Sets'!$E$7:$E$306,$X285)))</f>
        <v/>
      </c>
      <c r="H285" s="176">
        <f>IF($X285="","",IF(INDEX('HW Sets'!$F$7:$F$306,$X285)="","",INDEX('HW Sets'!$F$7:$F$306,$X285)))</f>
        <v/>
      </c>
      <c r="I285" s="176">
        <f>IF($X285="","",IF(INDEX('HW Sets'!$G$7:$G$306,$X285)="","",INDEX('HW Sets'!$G$7:$G$306,$X285)))</f>
        <v/>
      </c>
      <c r="J285" s="176">
        <f>IF($X285="","",IF(INDEX('HW Sets'!$H$7:$H$306,$X285)="","",INDEX('HW Sets'!$H$7:$H$306,$X285)))</f>
        <v/>
      </c>
      <c r="K285" s="175">
        <f t="array" ref="K285">IF($X285="","",N($E285)*SUM(IF(tk_HWSET&amp;""=$Y285,IFERROR(--tk_QTY,0),0)))</f>
        <v/>
      </c>
      <c r="L285" s="176">
        <f>IF($X285="","",IF(INDEX('HW Sets'!$I$7:$I$306,$X285)="","",INDEX('HW Sets'!$I$7:$I$306,$X285)))</f>
        <v/>
      </c>
      <c r="N285" s="176">
        <f>IF($W285="","",INDEX($G$7:$G$306,$W285)&amp;"")</f>
        <v/>
      </c>
      <c r="O285" s="176">
        <f>IF($W285="","",INDEX($H$7:$H$306,$W285)&amp;"")</f>
        <v/>
      </c>
      <c r="P285" s="176">
        <f>IF($W285="","",INDEX($I$7:$I$306,$W285)&amp;"")</f>
        <v/>
      </c>
      <c r="Q285" s="176">
        <f>IF($W285="","",INDEX($J$7:$J$306,$W285)&amp;"")</f>
        <v/>
      </c>
      <c r="R285" s="176">
        <f>IF($W285="","",INDEX($F$7:$F$306,$W285)&amp;"")</f>
        <v/>
      </c>
      <c r="S285" s="175">
        <f>IF($W285="","",SUMIF($U$7:$U$306,INDEX($U$7:$U$306,$W285),$K$7:$K$306))</f>
        <v/>
      </c>
      <c r="U285">
        <f>IF(OR($X285="",N($K285)=0),"",UPPER(TRIM($G285&amp;"|"&amp;$H285&amp;"|"&amp;$I285&amp;"|"&amp;$J285&amp;"|"&amp;$F285)))</f>
        <v/>
      </c>
      <c r="V285">
        <f>IF($U285="","",IF(COUNTIF($U$7:$U285,$U285)=1,MAX($V$6:$V284)+1,""))</f>
        <v/>
      </c>
      <c r="W285">
        <f>IFERROR(MATCH(279,$V$7:$V$306,0),"")</f>
        <v/>
      </c>
      <c r="X285">
        <f>IFERROR(MATCH(279,'HW Sets'!$S$7:$S$306,0),"")</f>
        <v/>
      </c>
      <c r="Y285">
        <f>IF($X285="","",INDEX('HW Sets'!$J$7:$J$306,$X285)&amp;"")</f>
        <v/>
      </c>
      <c r="Z285">
        <f>IF($Y285="","",IF(COUNTIF($Y$7:$Y285,$Y285)=1,1,""))</f>
        <v/>
      </c>
    </row>
    <row r="286">
      <c r="A286" s="175">
        <f>IF($Z286="","",$Y286)</f>
        <v/>
      </c>
      <c r="B286" s="176">
        <f>IF($Z286="","",IFERROR(INDEX('HW Sets'!$N$7:$N$306,MATCH($Y286,'HW Sets'!$M$7:$M$306,0)),""))</f>
        <v/>
      </c>
      <c r="C286" s="177">
        <f t="array" ref="C286">IF($Z286="","",_xlfn.TEXTJOIN(", ",TRUE,IF(tk_HWSET&amp;""=$Y286,tk_MARK,"")))</f>
        <v/>
      </c>
      <c r="D286" s="176">
        <f t="array" ref="D286">IF($Z286="","",SUM(IF(tk_HWSET&amp;""=$Y286,IFERROR(--tk_QTY,0),0)))</f>
        <v/>
      </c>
      <c r="E286" s="176">
        <f>IF($X286="","",IF(INDEX('HW Sets'!$C$7:$C$306,$X286)="","",INDEX('HW Sets'!$C$7:$C$306,$X286)))</f>
        <v/>
      </c>
      <c r="F286" s="176">
        <f>IF($X286="","",IF(INDEX('HW Sets'!$D$7:$D$306,$X286)="","",INDEX('HW Sets'!$D$7:$D$306,$X286)))</f>
        <v/>
      </c>
      <c r="G286" s="176">
        <f>IF($X286="","",IF(INDEX('HW Sets'!$E$7:$E$306,$X286)="","",INDEX('HW Sets'!$E$7:$E$306,$X286)))</f>
        <v/>
      </c>
      <c r="H286" s="176">
        <f>IF($X286="","",IF(INDEX('HW Sets'!$F$7:$F$306,$X286)="","",INDEX('HW Sets'!$F$7:$F$306,$X286)))</f>
        <v/>
      </c>
      <c r="I286" s="176">
        <f>IF($X286="","",IF(INDEX('HW Sets'!$G$7:$G$306,$X286)="","",INDEX('HW Sets'!$G$7:$G$306,$X286)))</f>
        <v/>
      </c>
      <c r="J286" s="176">
        <f>IF($X286="","",IF(INDEX('HW Sets'!$H$7:$H$306,$X286)="","",INDEX('HW Sets'!$H$7:$H$306,$X286)))</f>
        <v/>
      </c>
      <c r="K286" s="175">
        <f t="array" ref="K286">IF($X286="","",N($E286)*SUM(IF(tk_HWSET&amp;""=$Y286,IFERROR(--tk_QTY,0),0)))</f>
        <v/>
      </c>
      <c r="L286" s="176">
        <f>IF($X286="","",IF(INDEX('HW Sets'!$I$7:$I$306,$X286)="","",INDEX('HW Sets'!$I$7:$I$306,$X286)))</f>
        <v/>
      </c>
      <c r="N286" s="176">
        <f>IF($W286="","",INDEX($G$7:$G$306,$W286)&amp;"")</f>
        <v/>
      </c>
      <c r="O286" s="176">
        <f>IF($W286="","",INDEX($H$7:$H$306,$W286)&amp;"")</f>
        <v/>
      </c>
      <c r="P286" s="176">
        <f>IF($W286="","",INDEX($I$7:$I$306,$W286)&amp;"")</f>
        <v/>
      </c>
      <c r="Q286" s="176">
        <f>IF($W286="","",INDEX($J$7:$J$306,$W286)&amp;"")</f>
        <v/>
      </c>
      <c r="R286" s="176">
        <f>IF($W286="","",INDEX($F$7:$F$306,$W286)&amp;"")</f>
        <v/>
      </c>
      <c r="S286" s="175">
        <f>IF($W286="","",SUMIF($U$7:$U$306,INDEX($U$7:$U$306,$W286),$K$7:$K$306))</f>
        <v/>
      </c>
      <c r="U286">
        <f>IF(OR($X286="",N($K286)=0),"",UPPER(TRIM($G286&amp;"|"&amp;$H286&amp;"|"&amp;$I286&amp;"|"&amp;$J286&amp;"|"&amp;$F286)))</f>
        <v/>
      </c>
      <c r="V286">
        <f>IF($U286="","",IF(COUNTIF($U$7:$U286,$U286)=1,MAX($V$6:$V285)+1,""))</f>
        <v/>
      </c>
      <c r="W286">
        <f>IFERROR(MATCH(280,$V$7:$V$306,0),"")</f>
        <v/>
      </c>
      <c r="X286">
        <f>IFERROR(MATCH(280,'HW Sets'!$S$7:$S$306,0),"")</f>
        <v/>
      </c>
      <c r="Y286">
        <f>IF($X286="","",INDEX('HW Sets'!$J$7:$J$306,$X286)&amp;"")</f>
        <v/>
      </c>
      <c r="Z286">
        <f>IF($Y286="","",IF(COUNTIF($Y$7:$Y286,$Y286)=1,1,""))</f>
        <v/>
      </c>
    </row>
    <row r="287">
      <c r="A287" s="175">
        <f>IF($Z287="","",$Y287)</f>
        <v/>
      </c>
      <c r="B287" s="176">
        <f>IF($Z287="","",IFERROR(INDEX('HW Sets'!$N$7:$N$306,MATCH($Y287,'HW Sets'!$M$7:$M$306,0)),""))</f>
        <v/>
      </c>
      <c r="C287" s="177">
        <f t="array" ref="C287">IF($Z287="","",_xlfn.TEXTJOIN(", ",TRUE,IF(tk_HWSET&amp;""=$Y287,tk_MARK,"")))</f>
        <v/>
      </c>
      <c r="D287" s="176">
        <f t="array" ref="D287">IF($Z287="","",SUM(IF(tk_HWSET&amp;""=$Y287,IFERROR(--tk_QTY,0),0)))</f>
        <v/>
      </c>
      <c r="E287" s="176">
        <f>IF($X287="","",IF(INDEX('HW Sets'!$C$7:$C$306,$X287)="","",INDEX('HW Sets'!$C$7:$C$306,$X287)))</f>
        <v/>
      </c>
      <c r="F287" s="176">
        <f>IF($X287="","",IF(INDEX('HW Sets'!$D$7:$D$306,$X287)="","",INDEX('HW Sets'!$D$7:$D$306,$X287)))</f>
        <v/>
      </c>
      <c r="G287" s="176">
        <f>IF($X287="","",IF(INDEX('HW Sets'!$E$7:$E$306,$X287)="","",INDEX('HW Sets'!$E$7:$E$306,$X287)))</f>
        <v/>
      </c>
      <c r="H287" s="176">
        <f>IF($X287="","",IF(INDEX('HW Sets'!$F$7:$F$306,$X287)="","",INDEX('HW Sets'!$F$7:$F$306,$X287)))</f>
        <v/>
      </c>
      <c r="I287" s="176">
        <f>IF($X287="","",IF(INDEX('HW Sets'!$G$7:$G$306,$X287)="","",INDEX('HW Sets'!$G$7:$G$306,$X287)))</f>
        <v/>
      </c>
      <c r="J287" s="176">
        <f>IF($X287="","",IF(INDEX('HW Sets'!$H$7:$H$306,$X287)="","",INDEX('HW Sets'!$H$7:$H$306,$X287)))</f>
        <v/>
      </c>
      <c r="K287" s="175">
        <f t="array" ref="K287">IF($X287="","",N($E287)*SUM(IF(tk_HWSET&amp;""=$Y287,IFERROR(--tk_QTY,0),0)))</f>
        <v/>
      </c>
      <c r="L287" s="176">
        <f>IF($X287="","",IF(INDEX('HW Sets'!$I$7:$I$306,$X287)="","",INDEX('HW Sets'!$I$7:$I$306,$X287)))</f>
        <v/>
      </c>
      <c r="N287" s="176">
        <f>IF($W287="","",INDEX($G$7:$G$306,$W287)&amp;"")</f>
        <v/>
      </c>
      <c r="O287" s="176">
        <f>IF($W287="","",INDEX($H$7:$H$306,$W287)&amp;"")</f>
        <v/>
      </c>
      <c r="P287" s="176">
        <f>IF($W287="","",INDEX($I$7:$I$306,$W287)&amp;"")</f>
        <v/>
      </c>
      <c r="Q287" s="176">
        <f>IF($W287="","",INDEX($J$7:$J$306,$W287)&amp;"")</f>
        <v/>
      </c>
      <c r="R287" s="176">
        <f>IF($W287="","",INDEX($F$7:$F$306,$W287)&amp;"")</f>
        <v/>
      </c>
      <c r="S287" s="175">
        <f>IF($W287="","",SUMIF($U$7:$U$306,INDEX($U$7:$U$306,$W287),$K$7:$K$306))</f>
        <v/>
      </c>
      <c r="U287">
        <f>IF(OR($X287="",N($K287)=0),"",UPPER(TRIM($G287&amp;"|"&amp;$H287&amp;"|"&amp;$I287&amp;"|"&amp;$J287&amp;"|"&amp;$F287)))</f>
        <v/>
      </c>
      <c r="V287">
        <f>IF($U287="","",IF(COUNTIF($U$7:$U287,$U287)=1,MAX($V$6:$V286)+1,""))</f>
        <v/>
      </c>
      <c r="W287">
        <f>IFERROR(MATCH(281,$V$7:$V$306,0),"")</f>
        <v/>
      </c>
      <c r="X287">
        <f>IFERROR(MATCH(281,'HW Sets'!$S$7:$S$306,0),"")</f>
        <v/>
      </c>
      <c r="Y287">
        <f>IF($X287="","",INDEX('HW Sets'!$J$7:$J$306,$X287)&amp;"")</f>
        <v/>
      </c>
      <c r="Z287">
        <f>IF($Y287="","",IF(COUNTIF($Y$7:$Y287,$Y287)=1,1,""))</f>
        <v/>
      </c>
    </row>
    <row r="288">
      <c r="A288" s="175">
        <f>IF($Z288="","",$Y288)</f>
        <v/>
      </c>
      <c r="B288" s="176">
        <f>IF($Z288="","",IFERROR(INDEX('HW Sets'!$N$7:$N$306,MATCH($Y288,'HW Sets'!$M$7:$M$306,0)),""))</f>
        <v/>
      </c>
      <c r="C288" s="177">
        <f t="array" ref="C288">IF($Z288="","",_xlfn.TEXTJOIN(", ",TRUE,IF(tk_HWSET&amp;""=$Y288,tk_MARK,"")))</f>
        <v/>
      </c>
      <c r="D288" s="176">
        <f t="array" ref="D288">IF($Z288="","",SUM(IF(tk_HWSET&amp;""=$Y288,IFERROR(--tk_QTY,0),0)))</f>
        <v/>
      </c>
      <c r="E288" s="176">
        <f>IF($X288="","",IF(INDEX('HW Sets'!$C$7:$C$306,$X288)="","",INDEX('HW Sets'!$C$7:$C$306,$X288)))</f>
        <v/>
      </c>
      <c r="F288" s="176">
        <f>IF($X288="","",IF(INDEX('HW Sets'!$D$7:$D$306,$X288)="","",INDEX('HW Sets'!$D$7:$D$306,$X288)))</f>
        <v/>
      </c>
      <c r="G288" s="176">
        <f>IF($X288="","",IF(INDEX('HW Sets'!$E$7:$E$306,$X288)="","",INDEX('HW Sets'!$E$7:$E$306,$X288)))</f>
        <v/>
      </c>
      <c r="H288" s="176">
        <f>IF($X288="","",IF(INDEX('HW Sets'!$F$7:$F$306,$X288)="","",INDEX('HW Sets'!$F$7:$F$306,$X288)))</f>
        <v/>
      </c>
      <c r="I288" s="176">
        <f>IF($X288="","",IF(INDEX('HW Sets'!$G$7:$G$306,$X288)="","",INDEX('HW Sets'!$G$7:$G$306,$X288)))</f>
        <v/>
      </c>
      <c r="J288" s="176">
        <f>IF($X288="","",IF(INDEX('HW Sets'!$H$7:$H$306,$X288)="","",INDEX('HW Sets'!$H$7:$H$306,$X288)))</f>
        <v/>
      </c>
      <c r="K288" s="175">
        <f t="array" ref="K288">IF($X288="","",N($E288)*SUM(IF(tk_HWSET&amp;""=$Y288,IFERROR(--tk_QTY,0),0)))</f>
        <v/>
      </c>
      <c r="L288" s="176">
        <f>IF($X288="","",IF(INDEX('HW Sets'!$I$7:$I$306,$X288)="","",INDEX('HW Sets'!$I$7:$I$306,$X288)))</f>
        <v/>
      </c>
      <c r="N288" s="176">
        <f>IF($W288="","",INDEX($G$7:$G$306,$W288)&amp;"")</f>
        <v/>
      </c>
      <c r="O288" s="176">
        <f>IF($W288="","",INDEX($H$7:$H$306,$W288)&amp;"")</f>
        <v/>
      </c>
      <c r="P288" s="176">
        <f>IF($W288="","",INDEX($I$7:$I$306,$W288)&amp;"")</f>
        <v/>
      </c>
      <c r="Q288" s="176">
        <f>IF($W288="","",INDEX($J$7:$J$306,$W288)&amp;"")</f>
        <v/>
      </c>
      <c r="R288" s="176">
        <f>IF($W288="","",INDEX($F$7:$F$306,$W288)&amp;"")</f>
        <v/>
      </c>
      <c r="S288" s="175">
        <f>IF($W288="","",SUMIF($U$7:$U$306,INDEX($U$7:$U$306,$W288),$K$7:$K$306))</f>
        <v/>
      </c>
      <c r="U288">
        <f>IF(OR($X288="",N($K288)=0),"",UPPER(TRIM($G288&amp;"|"&amp;$H288&amp;"|"&amp;$I288&amp;"|"&amp;$J288&amp;"|"&amp;$F288)))</f>
        <v/>
      </c>
      <c r="V288">
        <f>IF($U288="","",IF(COUNTIF($U$7:$U288,$U288)=1,MAX($V$6:$V287)+1,""))</f>
        <v/>
      </c>
      <c r="W288">
        <f>IFERROR(MATCH(282,$V$7:$V$306,0),"")</f>
        <v/>
      </c>
      <c r="X288">
        <f>IFERROR(MATCH(282,'HW Sets'!$S$7:$S$306,0),"")</f>
        <v/>
      </c>
      <c r="Y288">
        <f>IF($X288="","",INDEX('HW Sets'!$J$7:$J$306,$X288)&amp;"")</f>
        <v/>
      </c>
      <c r="Z288">
        <f>IF($Y288="","",IF(COUNTIF($Y$7:$Y288,$Y288)=1,1,""))</f>
        <v/>
      </c>
    </row>
    <row r="289">
      <c r="A289" s="175">
        <f>IF($Z289="","",$Y289)</f>
        <v/>
      </c>
      <c r="B289" s="176">
        <f>IF($Z289="","",IFERROR(INDEX('HW Sets'!$N$7:$N$306,MATCH($Y289,'HW Sets'!$M$7:$M$306,0)),""))</f>
        <v/>
      </c>
      <c r="C289" s="177">
        <f t="array" ref="C289">IF($Z289="","",_xlfn.TEXTJOIN(", ",TRUE,IF(tk_HWSET&amp;""=$Y289,tk_MARK,"")))</f>
        <v/>
      </c>
      <c r="D289" s="176">
        <f t="array" ref="D289">IF($Z289="","",SUM(IF(tk_HWSET&amp;""=$Y289,IFERROR(--tk_QTY,0),0)))</f>
        <v/>
      </c>
      <c r="E289" s="176">
        <f>IF($X289="","",IF(INDEX('HW Sets'!$C$7:$C$306,$X289)="","",INDEX('HW Sets'!$C$7:$C$306,$X289)))</f>
        <v/>
      </c>
      <c r="F289" s="176">
        <f>IF($X289="","",IF(INDEX('HW Sets'!$D$7:$D$306,$X289)="","",INDEX('HW Sets'!$D$7:$D$306,$X289)))</f>
        <v/>
      </c>
      <c r="G289" s="176">
        <f>IF($X289="","",IF(INDEX('HW Sets'!$E$7:$E$306,$X289)="","",INDEX('HW Sets'!$E$7:$E$306,$X289)))</f>
        <v/>
      </c>
      <c r="H289" s="176">
        <f>IF($X289="","",IF(INDEX('HW Sets'!$F$7:$F$306,$X289)="","",INDEX('HW Sets'!$F$7:$F$306,$X289)))</f>
        <v/>
      </c>
      <c r="I289" s="176">
        <f>IF($X289="","",IF(INDEX('HW Sets'!$G$7:$G$306,$X289)="","",INDEX('HW Sets'!$G$7:$G$306,$X289)))</f>
        <v/>
      </c>
      <c r="J289" s="176">
        <f>IF($X289="","",IF(INDEX('HW Sets'!$H$7:$H$306,$X289)="","",INDEX('HW Sets'!$H$7:$H$306,$X289)))</f>
        <v/>
      </c>
      <c r="K289" s="175">
        <f t="array" ref="K289">IF($X289="","",N($E289)*SUM(IF(tk_HWSET&amp;""=$Y289,IFERROR(--tk_QTY,0),0)))</f>
        <v/>
      </c>
      <c r="L289" s="176">
        <f>IF($X289="","",IF(INDEX('HW Sets'!$I$7:$I$306,$X289)="","",INDEX('HW Sets'!$I$7:$I$306,$X289)))</f>
        <v/>
      </c>
      <c r="N289" s="176">
        <f>IF($W289="","",INDEX($G$7:$G$306,$W289)&amp;"")</f>
        <v/>
      </c>
      <c r="O289" s="176">
        <f>IF($W289="","",INDEX($H$7:$H$306,$W289)&amp;"")</f>
        <v/>
      </c>
      <c r="P289" s="176">
        <f>IF($W289="","",INDEX($I$7:$I$306,$W289)&amp;"")</f>
        <v/>
      </c>
      <c r="Q289" s="176">
        <f>IF($W289="","",INDEX($J$7:$J$306,$W289)&amp;"")</f>
        <v/>
      </c>
      <c r="R289" s="176">
        <f>IF($W289="","",INDEX($F$7:$F$306,$W289)&amp;"")</f>
        <v/>
      </c>
      <c r="S289" s="175">
        <f>IF($W289="","",SUMIF($U$7:$U$306,INDEX($U$7:$U$306,$W289),$K$7:$K$306))</f>
        <v/>
      </c>
      <c r="U289">
        <f>IF(OR($X289="",N($K289)=0),"",UPPER(TRIM($G289&amp;"|"&amp;$H289&amp;"|"&amp;$I289&amp;"|"&amp;$J289&amp;"|"&amp;$F289)))</f>
        <v/>
      </c>
      <c r="V289">
        <f>IF($U289="","",IF(COUNTIF($U$7:$U289,$U289)=1,MAX($V$6:$V288)+1,""))</f>
        <v/>
      </c>
      <c r="W289">
        <f>IFERROR(MATCH(283,$V$7:$V$306,0),"")</f>
        <v/>
      </c>
      <c r="X289">
        <f>IFERROR(MATCH(283,'HW Sets'!$S$7:$S$306,0),"")</f>
        <v/>
      </c>
      <c r="Y289">
        <f>IF($X289="","",INDEX('HW Sets'!$J$7:$J$306,$X289)&amp;"")</f>
        <v/>
      </c>
      <c r="Z289">
        <f>IF($Y289="","",IF(COUNTIF($Y$7:$Y289,$Y289)=1,1,""))</f>
        <v/>
      </c>
    </row>
    <row r="290">
      <c r="A290" s="175">
        <f>IF($Z290="","",$Y290)</f>
        <v/>
      </c>
      <c r="B290" s="176">
        <f>IF($Z290="","",IFERROR(INDEX('HW Sets'!$N$7:$N$306,MATCH($Y290,'HW Sets'!$M$7:$M$306,0)),""))</f>
        <v/>
      </c>
      <c r="C290" s="177">
        <f t="array" ref="C290">IF($Z290="","",_xlfn.TEXTJOIN(", ",TRUE,IF(tk_HWSET&amp;""=$Y290,tk_MARK,"")))</f>
        <v/>
      </c>
      <c r="D290" s="176">
        <f t="array" ref="D290">IF($Z290="","",SUM(IF(tk_HWSET&amp;""=$Y290,IFERROR(--tk_QTY,0),0)))</f>
        <v/>
      </c>
      <c r="E290" s="176">
        <f>IF($X290="","",IF(INDEX('HW Sets'!$C$7:$C$306,$X290)="","",INDEX('HW Sets'!$C$7:$C$306,$X290)))</f>
        <v/>
      </c>
      <c r="F290" s="176">
        <f>IF($X290="","",IF(INDEX('HW Sets'!$D$7:$D$306,$X290)="","",INDEX('HW Sets'!$D$7:$D$306,$X290)))</f>
        <v/>
      </c>
      <c r="G290" s="176">
        <f>IF($X290="","",IF(INDEX('HW Sets'!$E$7:$E$306,$X290)="","",INDEX('HW Sets'!$E$7:$E$306,$X290)))</f>
        <v/>
      </c>
      <c r="H290" s="176">
        <f>IF($X290="","",IF(INDEX('HW Sets'!$F$7:$F$306,$X290)="","",INDEX('HW Sets'!$F$7:$F$306,$X290)))</f>
        <v/>
      </c>
      <c r="I290" s="176">
        <f>IF($X290="","",IF(INDEX('HW Sets'!$G$7:$G$306,$X290)="","",INDEX('HW Sets'!$G$7:$G$306,$X290)))</f>
        <v/>
      </c>
      <c r="J290" s="176">
        <f>IF($X290="","",IF(INDEX('HW Sets'!$H$7:$H$306,$X290)="","",INDEX('HW Sets'!$H$7:$H$306,$X290)))</f>
        <v/>
      </c>
      <c r="K290" s="175">
        <f t="array" ref="K290">IF($X290="","",N($E290)*SUM(IF(tk_HWSET&amp;""=$Y290,IFERROR(--tk_QTY,0),0)))</f>
        <v/>
      </c>
      <c r="L290" s="176">
        <f>IF($X290="","",IF(INDEX('HW Sets'!$I$7:$I$306,$X290)="","",INDEX('HW Sets'!$I$7:$I$306,$X290)))</f>
        <v/>
      </c>
      <c r="N290" s="176">
        <f>IF($W290="","",INDEX($G$7:$G$306,$W290)&amp;"")</f>
        <v/>
      </c>
      <c r="O290" s="176">
        <f>IF($W290="","",INDEX($H$7:$H$306,$W290)&amp;"")</f>
        <v/>
      </c>
      <c r="P290" s="176">
        <f>IF($W290="","",INDEX($I$7:$I$306,$W290)&amp;"")</f>
        <v/>
      </c>
      <c r="Q290" s="176">
        <f>IF($W290="","",INDEX($J$7:$J$306,$W290)&amp;"")</f>
        <v/>
      </c>
      <c r="R290" s="176">
        <f>IF($W290="","",INDEX($F$7:$F$306,$W290)&amp;"")</f>
        <v/>
      </c>
      <c r="S290" s="175">
        <f>IF($W290="","",SUMIF($U$7:$U$306,INDEX($U$7:$U$306,$W290),$K$7:$K$306))</f>
        <v/>
      </c>
      <c r="U290">
        <f>IF(OR($X290="",N($K290)=0),"",UPPER(TRIM($G290&amp;"|"&amp;$H290&amp;"|"&amp;$I290&amp;"|"&amp;$J290&amp;"|"&amp;$F290)))</f>
        <v/>
      </c>
      <c r="V290">
        <f>IF($U290="","",IF(COUNTIF($U$7:$U290,$U290)=1,MAX($V$6:$V289)+1,""))</f>
        <v/>
      </c>
      <c r="W290">
        <f>IFERROR(MATCH(284,$V$7:$V$306,0),"")</f>
        <v/>
      </c>
      <c r="X290">
        <f>IFERROR(MATCH(284,'HW Sets'!$S$7:$S$306,0),"")</f>
        <v/>
      </c>
      <c r="Y290">
        <f>IF($X290="","",INDEX('HW Sets'!$J$7:$J$306,$X290)&amp;"")</f>
        <v/>
      </c>
      <c r="Z290">
        <f>IF($Y290="","",IF(COUNTIF($Y$7:$Y290,$Y290)=1,1,""))</f>
        <v/>
      </c>
    </row>
    <row r="291">
      <c r="A291" s="175">
        <f>IF($Z291="","",$Y291)</f>
        <v/>
      </c>
      <c r="B291" s="176">
        <f>IF($Z291="","",IFERROR(INDEX('HW Sets'!$N$7:$N$306,MATCH($Y291,'HW Sets'!$M$7:$M$306,0)),""))</f>
        <v/>
      </c>
      <c r="C291" s="177">
        <f t="array" ref="C291">IF($Z291="","",_xlfn.TEXTJOIN(", ",TRUE,IF(tk_HWSET&amp;""=$Y291,tk_MARK,"")))</f>
        <v/>
      </c>
      <c r="D291" s="176">
        <f t="array" ref="D291">IF($Z291="","",SUM(IF(tk_HWSET&amp;""=$Y291,IFERROR(--tk_QTY,0),0)))</f>
        <v/>
      </c>
      <c r="E291" s="176">
        <f>IF($X291="","",IF(INDEX('HW Sets'!$C$7:$C$306,$X291)="","",INDEX('HW Sets'!$C$7:$C$306,$X291)))</f>
        <v/>
      </c>
      <c r="F291" s="176">
        <f>IF($X291="","",IF(INDEX('HW Sets'!$D$7:$D$306,$X291)="","",INDEX('HW Sets'!$D$7:$D$306,$X291)))</f>
        <v/>
      </c>
      <c r="G291" s="176">
        <f>IF($X291="","",IF(INDEX('HW Sets'!$E$7:$E$306,$X291)="","",INDEX('HW Sets'!$E$7:$E$306,$X291)))</f>
        <v/>
      </c>
      <c r="H291" s="176">
        <f>IF($X291="","",IF(INDEX('HW Sets'!$F$7:$F$306,$X291)="","",INDEX('HW Sets'!$F$7:$F$306,$X291)))</f>
        <v/>
      </c>
      <c r="I291" s="176">
        <f>IF($X291="","",IF(INDEX('HW Sets'!$G$7:$G$306,$X291)="","",INDEX('HW Sets'!$G$7:$G$306,$X291)))</f>
        <v/>
      </c>
      <c r="J291" s="176">
        <f>IF($X291="","",IF(INDEX('HW Sets'!$H$7:$H$306,$X291)="","",INDEX('HW Sets'!$H$7:$H$306,$X291)))</f>
        <v/>
      </c>
      <c r="K291" s="175">
        <f t="array" ref="K291">IF($X291="","",N($E291)*SUM(IF(tk_HWSET&amp;""=$Y291,IFERROR(--tk_QTY,0),0)))</f>
        <v/>
      </c>
      <c r="L291" s="176">
        <f>IF($X291="","",IF(INDEX('HW Sets'!$I$7:$I$306,$X291)="","",INDEX('HW Sets'!$I$7:$I$306,$X291)))</f>
        <v/>
      </c>
      <c r="N291" s="176">
        <f>IF($W291="","",INDEX($G$7:$G$306,$W291)&amp;"")</f>
        <v/>
      </c>
      <c r="O291" s="176">
        <f>IF($W291="","",INDEX($H$7:$H$306,$W291)&amp;"")</f>
        <v/>
      </c>
      <c r="P291" s="176">
        <f>IF($W291="","",INDEX($I$7:$I$306,$W291)&amp;"")</f>
        <v/>
      </c>
      <c r="Q291" s="176">
        <f>IF($W291="","",INDEX($J$7:$J$306,$W291)&amp;"")</f>
        <v/>
      </c>
      <c r="R291" s="176">
        <f>IF($W291="","",INDEX($F$7:$F$306,$W291)&amp;"")</f>
        <v/>
      </c>
      <c r="S291" s="175">
        <f>IF($W291="","",SUMIF($U$7:$U$306,INDEX($U$7:$U$306,$W291),$K$7:$K$306))</f>
        <v/>
      </c>
      <c r="U291">
        <f>IF(OR($X291="",N($K291)=0),"",UPPER(TRIM($G291&amp;"|"&amp;$H291&amp;"|"&amp;$I291&amp;"|"&amp;$J291&amp;"|"&amp;$F291)))</f>
        <v/>
      </c>
      <c r="V291">
        <f>IF($U291="","",IF(COUNTIF($U$7:$U291,$U291)=1,MAX($V$6:$V290)+1,""))</f>
        <v/>
      </c>
      <c r="W291">
        <f>IFERROR(MATCH(285,$V$7:$V$306,0),"")</f>
        <v/>
      </c>
      <c r="X291">
        <f>IFERROR(MATCH(285,'HW Sets'!$S$7:$S$306,0),"")</f>
        <v/>
      </c>
      <c r="Y291">
        <f>IF($X291="","",INDEX('HW Sets'!$J$7:$J$306,$X291)&amp;"")</f>
        <v/>
      </c>
      <c r="Z291">
        <f>IF($Y291="","",IF(COUNTIF($Y$7:$Y291,$Y291)=1,1,""))</f>
        <v/>
      </c>
    </row>
    <row r="292">
      <c r="A292" s="175">
        <f>IF($Z292="","",$Y292)</f>
        <v/>
      </c>
      <c r="B292" s="176">
        <f>IF($Z292="","",IFERROR(INDEX('HW Sets'!$N$7:$N$306,MATCH($Y292,'HW Sets'!$M$7:$M$306,0)),""))</f>
        <v/>
      </c>
      <c r="C292" s="177">
        <f t="array" ref="C292">IF($Z292="","",_xlfn.TEXTJOIN(", ",TRUE,IF(tk_HWSET&amp;""=$Y292,tk_MARK,"")))</f>
        <v/>
      </c>
      <c r="D292" s="176">
        <f t="array" ref="D292">IF($Z292="","",SUM(IF(tk_HWSET&amp;""=$Y292,IFERROR(--tk_QTY,0),0)))</f>
        <v/>
      </c>
      <c r="E292" s="176">
        <f>IF($X292="","",IF(INDEX('HW Sets'!$C$7:$C$306,$X292)="","",INDEX('HW Sets'!$C$7:$C$306,$X292)))</f>
        <v/>
      </c>
      <c r="F292" s="176">
        <f>IF($X292="","",IF(INDEX('HW Sets'!$D$7:$D$306,$X292)="","",INDEX('HW Sets'!$D$7:$D$306,$X292)))</f>
        <v/>
      </c>
      <c r="G292" s="176">
        <f>IF($X292="","",IF(INDEX('HW Sets'!$E$7:$E$306,$X292)="","",INDEX('HW Sets'!$E$7:$E$306,$X292)))</f>
        <v/>
      </c>
      <c r="H292" s="176">
        <f>IF($X292="","",IF(INDEX('HW Sets'!$F$7:$F$306,$X292)="","",INDEX('HW Sets'!$F$7:$F$306,$X292)))</f>
        <v/>
      </c>
      <c r="I292" s="176">
        <f>IF($X292="","",IF(INDEX('HW Sets'!$G$7:$G$306,$X292)="","",INDEX('HW Sets'!$G$7:$G$306,$X292)))</f>
        <v/>
      </c>
      <c r="J292" s="176">
        <f>IF($X292="","",IF(INDEX('HW Sets'!$H$7:$H$306,$X292)="","",INDEX('HW Sets'!$H$7:$H$306,$X292)))</f>
        <v/>
      </c>
      <c r="K292" s="175">
        <f t="array" ref="K292">IF($X292="","",N($E292)*SUM(IF(tk_HWSET&amp;""=$Y292,IFERROR(--tk_QTY,0),0)))</f>
        <v/>
      </c>
      <c r="L292" s="176">
        <f>IF($X292="","",IF(INDEX('HW Sets'!$I$7:$I$306,$X292)="","",INDEX('HW Sets'!$I$7:$I$306,$X292)))</f>
        <v/>
      </c>
      <c r="N292" s="176">
        <f>IF($W292="","",INDEX($G$7:$G$306,$W292)&amp;"")</f>
        <v/>
      </c>
      <c r="O292" s="176">
        <f>IF($W292="","",INDEX($H$7:$H$306,$W292)&amp;"")</f>
        <v/>
      </c>
      <c r="P292" s="176">
        <f>IF($W292="","",INDEX($I$7:$I$306,$W292)&amp;"")</f>
        <v/>
      </c>
      <c r="Q292" s="176">
        <f>IF($W292="","",INDEX($J$7:$J$306,$W292)&amp;"")</f>
        <v/>
      </c>
      <c r="R292" s="176">
        <f>IF($W292="","",INDEX($F$7:$F$306,$W292)&amp;"")</f>
        <v/>
      </c>
      <c r="S292" s="175">
        <f>IF($W292="","",SUMIF($U$7:$U$306,INDEX($U$7:$U$306,$W292),$K$7:$K$306))</f>
        <v/>
      </c>
      <c r="U292">
        <f>IF(OR($X292="",N($K292)=0),"",UPPER(TRIM($G292&amp;"|"&amp;$H292&amp;"|"&amp;$I292&amp;"|"&amp;$J292&amp;"|"&amp;$F292)))</f>
        <v/>
      </c>
      <c r="V292">
        <f>IF($U292="","",IF(COUNTIF($U$7:$U292,$U292)=1,MAX($V$6:$V291)+1,""))</f>
        <v/>
      </c>
      <c r="W292">
        <f>IFERROR(MATCH(286,$V$7:$V$306,0),"")</f>
        <v/>
      </c>
      <c r="X292">
        <f>IFERROR(MATCH(286,'HW Sets'!$S$7:$S$306,0),"")</f>
        <v/>
      </c>
      <c r="Y292">
        <f>IF($X292="","",INDEX('HW Sets'!$J$7:$J$306,$X292)&amp;"")</f>
        <v/>
      </c>
      <c r="Z292">
        <f>IF($Y292="","",IF(COUNTIF($Y$7:$Y292,$Y292)=1,1,""))</f>
        <v/>
      </c>
    </row>
    <row r="293">
      <c r="A293" s="175">
        <f>IF($Z293="","",$Y293)</f>
        <v/>
      </c>
      <c r="B293" s="176">
        <f>IF($Z293="","",IFERROR(INDEX('HW Sets'!$N$7:$N$306,MATCH($Y293,'HW Sets'!$M$7:$M$306,0)),""))</f>
        <v/>
      </c>
      <c r="C293" s="177">
        <f t="array" ref="C293">IF($Z293="","",_xlfn.TEXTJOIN(", ",TRUE,IF(tk_HWSET&amp;""=$Y293,tk_MARK,"")))</f>
        <v/>
      </c>
      <c r="D293" s="176">
        <f t="array" ref="D293">IF($Z293="","",SUM(IF(tk_HWSET&amp;""=$Y293,IFERROR(--tk_QTY,0),0)))</f>
        <v/>
      </c>
      <c r="E293" s="176">
        <f>IF($X293="","",IF(INDEX('HW Sets'!$C$7:$C$306,$X293)="","",INDEX('HW Sets'!$C$7:$C$306,$X293)))</f>
        <v/>
      </c>
      <c r="F293" s="176">
        <f>IF($X293="","",IF(INDEX('HW Sets'!$D$7:$D$306,$X293)="","",INDEX('HW Sets'!$D$7:$D$306,$X293)))</f>
        <v/>
      </c>
      <c r="G293" s="176">
        <f>IF($X293="","",IF(INDEX('HW Sets'!$E$7:$E$306,$X293)="","",INDEX('HW Sets'!$E$7:$E$306,$X293)))</f>
        <v/>
      </c>
      <c r="H293" s="176">
        <f>IF($X293="","",IF(INDEX('HW Sets'!$F$7:$F$306,$X293)="","",INDEX('HW Sets'!$F$7:$F$306,$X293)))</f>
        <v/>
      </c>
      <c r="I293" s="176">
        <f>IF($X293="","",IF(INDEX('HW Sets'!$G$7:$G$306,$X293)="","",INDEX('HW Sets'!$G$7:$G$306,$X293)))</f>
        <v/>
      </c>
      <c r="J293" s="176">
        <f>IF($X293="","",IF(INDEX('HW Sets'!$H$7:$H$306,$X293)="","",INDEX('HW Sets'!$H$7:$H$306,$X293)))</f>
        <v/>
      </c>
      <c r="K293" s="175">
        <f t="array" ref="K293">IF($X293="","",N($E293)*SUM(IF(tk_HWSET&amp;""=$Y293,IFERROR(--tk_QTY,0),0)))</f>
        <v/>
      </c>
      <c r="L293" s="176">
        <f>IF($X293="","",IF(INDEX('HW Sets'!$I$7:$I$306,$X293)="","",INDEX('HW Sets'!$I$7:$I$306,$X293)))</f>
        <v/>
      </c>
      <c r="N293" s="176">
        <f>IF($W293="","",INDEX($G$7:$G$306,$W293)&amp;"")</f>
        <v/>
      </c>
      <c r="O293" s="176">
        <f>IF($W293="","",INDEX($H$7:$H$306,$W293)&amp;"")</f>
        <v/>
      </c>
      <c r="P293" s="176">
        <f>IF($W293="","",INDEX($I$7:$I$306,$W293)&amp;"")</f>
        <v/>
      </c>
      <c r="Q293" s="176">
        <f>IF($W293="","",INDEX($J$7:$J$306,$W293)&amp;"")</f>
        <v/>
      </c>
      <c r="R293" s="176">
        <f>IF($W293="","",INDEX($F$7:$F$306,$W293)&amp;"")</f>
        <v/>
      </c>
      <c r="S293" s="175">
        <f>IF($W293="","",SUMIF($U$7:$U$306,INDEX($U$7:$U$306,$W293),$K$7:$K$306))</f>
        <v/>
      </c>
      <c r="U293">
        <f>IF(OR($X293="",N($K293)=0),"",UPPER(TRIM($G293&amp;"|"&amp;$H293&amp;"|"&amp;$I293&amp;"|"&amp;$J293&amp;"|"&amp;$F293)))</f>
        <v/>
      </c>
      <c r="V293">
        <f>IF($U293="","",IF(COUNTIF($U$7:$U293,$U293)=1,MAX($V$6:$V292)+1,""))</f>
        <v/>
      </c>
      <c r="W293">
        <f>IFERROR(MATCH(287,$V$7:$V$306,0),"")</f>
        <v/>
      </c>
      <c r="X293">
        <f>IFERROR(MATCH(287,'HW Sets'!$S$7:$S$306,0),"")</f>
        <v/>
      </c>
      <c r="Y293">
        <f>IF($X293="","",INDEX('HW Sets'!$J$7:$J$306,$X293)&amp;"")</f>
        <v/>
      </c>
      <c r="Z293">
        <f>IF($Y293="","",IF(COUNTIF($Y$7:$Y293,$Y293)=1,1,""))</f>
        <v/>
      </c>
    </row>
    <row r="294">
      <c r="A294" s="175">
        <f>IF($Z294="","",$Y294)</f>
        <v/>
      </c>
      <c r="B294" s="176">
        <f>IF($Z294="","",IFERROR(INDEX('HW Sets'!$N$7:$N$306,MATCH($Y294,'HW Sets'!$M$7:$M$306,0)),""))</f>
        <v/>
      </c>
      <c r="C294" s="177">
        <f t="array" ref="C294">IF($Z294="","",_xlfn.TEXTJOIN(", ",TRUE,IF(tk_HWSET&amp;""=$Y294,tk_MARK,"")))</f>
        <v/>
      </c>
      <c r="D294" s="176">
        <f t="array" ref="D294">IF($Z294="","",SUM(IF(tk_HWSET&amp;""=$Y294,IFERROR(--tk_QTY,0),0)))</f>
        <v/>
      </c>
      <c r="E294" s="176">
        <f>IF($X294="","",IF(INDEX('HW Sets'!$C$7:$C$306,$X294)="","",INDEX('HW Sets'!$C$7:$C$306,$X294)))</f>
        <v/>
      </c>
      <c r="F294" s="176">
        <f>IF($X294="","",IF(INDEX('HW Sets'!$D$7:$D$306,$X294)="","",INDEX('HW Sets'!$D$7:$D$306,$X294)))</f>
        <v/>
      </c>
      <c r="G294" s="176">
        <f>IF($X294="","",IF(INDEX('HW Sets'!$E$7:$E$306,$X294)="","",INDEX('HW Sets'!$E$7:$E$306,$X294)))</f>
        <v/>
      </c>
      <c r="H294" s="176">
        <f>IF($X294="","",IF(INDEX('HW Sets'!$F$7:$F$306,$X294)="","",INDEX('HW Sets'!$F$7:$F$306,$X294)))</f>
        <v/>
      </c>
      <c r="I294" s="176">
        <f>IF($X294="","",IF(INDEX('HW Sets'!$G$7:$G$306,$X294)="","",INDEX('HW Sets'!$G$7:$G$306,$X294)))</f>
        <v/>
      </c>
      <c r="J294" s="176">
        <f>IF($X294="","",IF(INDEX('HW Sets'!$H$7:$H$306,$X294)="","",INDEX('HW Sets'!$H$7:$H$306,$X294)))</f>
        <v/>
      </c>
      <c r="K294" s="175">
        <f t="array" ref="K294">IF($X294="","",N($E294)*SUM(IF(tk_HWSET&amp;""=$Y294,IFERROR(--tk_QTY,0),0)))</f>
        <v/>
      </c>
      <c r="L294" s="176">
        <f>IF($X294="","",IF(INDEX('HW Sets'!$I$7:$I$306,$X294)="","",INDEX('HW Sets'!$I$7:$I$306,$X294)))</f>
        <v/>
      </c>
      <c r="N294" s="176">
        <f>IF($W294="","",INDEX($G$7:$G$306,$W294)&amp;"")</f>
        <v/>
      </c>
      <c r="O294" s="176">
        <f>IF($W294="","",INDEX($H$7:$H$306,$W294)&amp;"")</f>
        <v/>
      </c>
      <c r="P294" s="176">
        <f>IF($W294="","",INDEX($I$7:$I$306,$W294)&amp;"")</f>
        <v/>
      </c>
      <c r="Q294" s="176">
        <f>IF($W294="","",INDEX($J$7:$J$306,$W294)&amp;"")</f>
        <v/>
      </c>
      <c r="R294" s="176">
        <f>IF($W294="","",INDEX($F$7:$F$306,$W294)&amp;"")</f>
        <v/>
      </c>
      <c r="S294" s="175">
        <f>IF($W294="","",SUMIF($U$7:$U$306,INDEX($U$7:$U$306,$W294),$K$7:$K$306))</f>
        <v/>
      </c>
      <c r="U294">
        <f>IF(OR($X294="",N($K294)=0),"",UPPER(TRIM($G294&amp;"|"&amp;$H294&amp;"|"&amp;$I294&amp;"|"&amp;$J294&amp;"|"&amp;$F294)))</f>
        <v/>
      </c>
      <c r="V294">
        <f>IF($U294="","",IF(COUNTIF($U$7:$U294,$U294)=1,MAX($V$6:$V293)+1,""))</f>
        <v/>
      </c>
      <c r="W294">
        <f>IFERROR(MATCH(288,$V$7:$V$306,0),"")</f>
        <v/>
      </c>
      <c r="X294">
        <f>IFERROR(MATCH(288,'HW Sets'!$S$7:$S$306,0),"")</f>
        <v/>
      </c>
      <c r="Y294">
        <f>IF($X294="","",INDEX('HW Sets'!$J$7:$J$306,$X294)&amp;"")</f>
        <v/>
      </c>
      <c r="Z294">
        <f>IF($Y294="","",IF(COUNTIF($Y$7:$Y294,$Y294)=1,1,""))</f>
        <v/>
      </c>
    </row>
    <row r="295">
      <c r="A295" s="175">
        <f>IF($Z295="","",$Y295)</f>
        <v/>
      </c>
      <c r="B295" s="176">
        <f>IF($Z295="","",IFERROR(INDEX('HW Sets'!$N$7:$N$306,MATCH($Y295,'HW Sets'!$M$7:$M$306,0)),""))</f>
        <v/>
      </c>
      <c r="C295" s="177">
        <f t="array" ref="C295">IF($Z295="","",_xlfn.TEXTJOIN(", ",TRUE,IF(tk_HWSET&amp;""=$Y295,tk_MARK,"")))</f>
        <v/>
      </c>
      <c r="D295" s="176">
        <f t="array" ref="D295">IF($Z295="","",SUM(IF(tk_HWSET&amp;""=$Y295,IFERROR(--tk_QTY,0),0)))</f>
        <v/>
      </c>
      <c r="E295" s="176">
        <f>IF($X295="","",IF(INDEX('HW Sets'!$C$7:$C$306,$X295)="","",INDEX('HW Sets'!$C$7:$C$306,$X295)))</f>
        <v/>
      </c>
      <c r="F295" s="176">
        <f>IF($X295="","",IF(INDEX('HW Sets'!$D$7:$D$306,$X295)="","",INDEX('HW Sets'!$D$7:$D$306,$X295)))</f>
        <v/>
      </c>
      <c r="G295" s="176">
        <f>IF($X295="","",IF(INDEX('HW Sets'!$E$7:$E$306,$X295)="","",INDEX('HW Sets'!$E$7:$E$306,$X295)))</f>
        <v/>
      </c>
      <c r="H295" s="176">
        <f>IF($X295="","",IF(INDEX('HW Sets'!$F$7:$F$306,$X295)="","",INDEX('HW Sets'!$F$7:$F$306,$X295)))</f>
        <v/>
      </c>
      <c r="I295" s="176">
        <f>IF($X295="","",IF(INDEX('HW Sets'!$G$7:$G$306,$X295)="","",INDEX('HW Sets'!$G$7:$G$306,$X295)))</f>
        <v/>
      </c>
      <c r="J295" s="176">
        <f>IF($X295="","",IF(INDEX('HW Sets'!$H$7:$H$306,$X295)="","",INDEX('HW Sets'!$H$7:$H$306,$X295)))</f>
        <v/>
      </c>
      <c r="K295" s="175">
        <f t="array" ref="K295">IF($X295="","",N($E295)*SUM(IF(tk_HWSET&amp;""=$Y295,IFERROR(--tk_QTY,0),0)))</f>
        <v/>
      </c>
      <c r="L295" s="176">
        <f>IF($X295="","",IF(INDEX('HW Sets'!$I$7:$I$306,$X295)="","",INDEX('HW Sets'!$I$7:$I$306,$X295)))</f>
        <v/>
      </c>
      <c r="N295" s="176">
        <f>IF($W295="","",INDEX($G$7:$G$306,$W295)&amp;"")</f>
        <v/>
      </c>
      <c r="O295" s="176">
        <f>IF($W295="","",INDEX($H$7:$H$306,$W295)&amp;"")</f>
        <v/>
      </c>
      <c r="P295" s="176">
        <f>IF($W295="","",INDEX($I$7:$I$306,$W295)&amp;"")</f>
        <v/>
      </c>
      <c r="Q295" s="176">
        <f>IF($W295="","",INDEX($J$7:$J$306,$W295)&amp;"")</f>
        <v/>
      </c>
      <c r="R295" s="176">
        <f>IF($W295="","",INDEX($F$7:$F$306,$W295)&amp;"")</f>
        <v/>
      </c>
      <c r="S295" s="175">
        <f>IF($W295="","",SUMIF($U$7:$U$306,INDEX($U$7:$U$306,$W295),$K$7:$K$306))</f>
        <v/>
      </c>
      <c r="U295">
        <f>IF(OR($X295="",N($K295)=0),"",UPPER(TRIM($G295&amp;"|"&amp;$H295&amp;"|"&amp;$I295&amp;"|"&amp;$J295&amp;"|"&amp;$F295)))</f>
        <v/>
      </c>
      <c r="V295">
        <f>IF($U295="","",IF(COUNTIF($U$7:$U295,$U295)=1,MAX($V$6:$V294)+1,""))</f>
        <v/>
      </c>
      <c r="W295">
        <f>IFERROR(MATCH(289,$V$7:$V$306,0),"")</f>
        <v/>
      </c>
      <c r="X295">
        <f>IFERROR(MATCH(289,'HW Sets'!$S$7:$S$306,0),"")</f>
        <v/>
      </c>
      <c r="Y295">
        <f>IF($X295="","",INDEX('HW Sets'!$J$7:$J$306,$X295)&amp;"")</f>
        <v/>
      </c>
      <c r="Z295">
        <f>IF($Y295="","",IF(COUNTIF($Y$7:$Y295,$Y295)=1,1,""))</f>
        <v/>
      </c>
    </row>
    <row r="296">
      <c r="A296" s="175">
        <f>IF($Z296="","",$Y296)</f>
        <v/>
      </c>
      <c r="B296" s="176">
        <f>IF($Z296="","",IFERROR(INDEX('HW Sets'!$N$7:$N$306,MATCH($Y296,'HW Sets'!$M$7:$M$306,0)),""))</f>
        <v/>
      </c>
      <c r="C296" s="177">
        <f t="array" ref="C296">IF($Z296="","",_xlfn.TEXTJOIN(", ",TRUE,IF(tk_HWSET&amp;""=$Y296,tk_MARK,"")))</f>
        <v/>
      </c>
      <c r="D296" s="176">
        <f t="array" ref="D296">IF($Z296="","",SUM(IF(tk_HWSET&amp;""=$Y296,IFERROR(--tk_QTY,0),0)))</f>
        <v/>
      </c>
      <c r="E296" s="176">
        <f>IF($X296="","",IF(INDEX('HW Sets'!$C$7:$C$306,$X296)="","",INDEX('HW Sets'!$C$7:$C$306,$X296)))</f>
        <v/>
      </c>
      <c r="F296" s="176">
        <f>IF($X296="","",IF(INDEX('HW Sets'!$D$7:$D$306,$X296)="","",INDEX('HW Sets'!$D$7:$D$306,$X296)))</f>
        <v/>
      </c>
      <c r="G296" s="176">
        <f>IF($X296="","",IF(INDEX('HW Sets'!$E$7:$E$306,$X296)="","",INDEX('HW Sets'!$E$7:$E$306,$X296)))</f>
        <v/>
      </c>
      <c r="H296" s="176">
        <f>IF($X296="","",IF(INDEX('HW Sets'!$F$7:$F$306,$X296)="","",INDEX('HW Sets'!$F$7:$F$306,$X296)))</f>
        <v/>
      </c>
      <c r="I296" s="176">
        <f>IF($X296="","",IF(INDEX('HW Sets'!$G$7:$G$306,$X296)="","",INDEX('HW Sets'!$G$7:$G$306,$X296)))</f>
        <v/>
      </c>
      <c r="J296" s="176">
        <f>IF($X296="","",IF(INDEX('HW Sets'!$H$7:$H$306,$X296)="","",INDEX('HW Sets'!$H$7:$H$306,$X296)))</f>
        <v/>
      </c>
      <c r="K296" s="175">
        <f t="array" ref="K296">IF($X296="","",N($E296)*SUM(IF(tk_HWSET&amp;""=$Y296,IFERROR(--tk_QTY,0),0)))</f>
        <v/>
      </c>
      <c r="L296" s="176">
        <f>IF($X296="","",IF(INDEX('HW Sets'!$I$7:$I$306,$X296)="","",INDEX('HW Sets'!$I$7:$I$306,$X296)))</f>
        <v/>
      </c>
      <c r="N296" s="176">
        <f>IF($W296="","",INDEX($G$7:$G$306,$W296)&amp;"")</f>
        <v/>
      </c>
      <c r="O296" s="176">
        <f>IF($W296="","",INDEX($H$7:$H$306,$W296)&amp;"")</f>
        <v/>
      </c>
      <c r="P296" s="176">
        <f>IF($W296="","",INDEX($I$7:$I$306,$W296)&amp;"")</f>
        <v/>
      </c>
      <c r="Q296" s="176">
        <f>IF($W296="","",INDEX($J$7:$J$306,$W296)&amp;"")</f>
        <v/>
      </c>
      <c r="R296" s="176">
        <f>IF($W296="","",INDEX($F$7:$F$306,$W296)&amp;"")</f>
        <v/>
      </c>
      <c r="S296" s="175">
        <f>IF($W296="","",SUMIF($U$7:$U$306,INDEX($U$7:$U$306,$W296),$K$7:$K$306))</f>
        <v/>
      </c>
      <c r="U296">
        <f>IF(OR($X296="",N($K296)=0),"",UPPER(TRIM($G296&amp;"|"&amp;$H296&amp;"|"&amp;$I296&amp;"|"&amp;$J296&amp;"|"&amp;$F296)))</f>
        <v/>
      </c>
      <c r="V296">
        <f>IF($U296="","",IF(COUNTIF($U$7:$U296,$U296)=1,MAX($V$6:$V295)+1,""))</f>
        <v/>
      </c>
      <c r="W296">
        <f>IFERROR(MATCH(290,$V$7:$V$306,0),"")</f>
        <v/>
      </c>
      <c r="X296">
        <f>IFERROR(MATCH(290,'HW Sets'!$S$7:$S$306,0),"")</f>
        <v/>
      </c>
      <c r="Y296">
        <f>IF($X296="","",INDEX('HW Sets'!$J$7:$J$306,$X296)&amp;"")</f>
        <v/>
      </c>
      <c r="Z296">
        <f>IF($Y296="","",IF(COUNTIF($Y$7:$Y296,$Y296)=1,1,""))</f>
        <v/>
      </c>
    </row>
    <row r="297">
      <c r="A297" s="175">
        <f>IF($Z297="","",$Y297)</f>
        <v/>
      </c>
      <c r="B297" s="176">
        <f>IF($Z297="","",IFERROR(INDEX('HW Sets'!$N$7:$N$306,MATCH($Y297,'HW Sets'!$M$7:$M$306,0)),""))</f>
        <v/>
      </c>
      <c r="C297" s="177">
        <f t="array" ref="C297">IF($Z297="","",_xlfn.TEXTJOIN(", ",TRUE,IF(tk_HWSET&amp;""=$Y297,tk_MARK,"")))</f>
        <v/>
      </c>
      <c r="D297" s="176">
        <f t="array" ref="D297">IF($Z297="","",SUM(IF(tk_HWSET&amp;""=$Y297,IFERROR(--tk_QTY,0),0)))</f>
        <v/>
      </c>
      <c r="E297" s="176">
        <f>IF($X297="","",IF(INDEX('HW Sets'!$C$7:$C$306,$X297)="","",INDEX('HW Sets'!$C$7:$C$306,$X297)))</f>
        <v/>
      </c>
      <c r="F297" s="176">
        <f>IF($X297="","",IF(INDEX('HW Sets'!$D$7:$D$306,$X297)="","",INDEX('HW Sets'!$D$7:$D$306,$X297)))</f>
        <v/>
      </c>
      <c r="G297" s="176">
        <f>IF($X297="","",IF(INDEX('HW Sets'!$E$7:$E$306,$X297)="","",INDEX('HW Sets'!$E$7:$E$306,$X297)))</f>
        <v/>
      </c>
      <c r="H297" s="176">
        <f>IF($X297="","",IF(INDEX('HW Sets'!$F$7:$F$306,$X297)="","",INDEX('HW Sets'!$F$7:$F$306,$X297)))</f>
        <v/>
      </c>
      <c r="I297" s="176">
        <f>IF($X297="","",IF(INDEX('HW Sets'!$G$7:$G$306,$X297)="","",INDEX('HW Sets'!$G$7:$G$306,$X297)))</f>
        <v/>
      </c>
      <c r="J297" s="176">
        <f>IF($X297="","",IF(INDEX('HW Sets'!$H$7:$H$306,$X297)="","",INDEX('HW Sets'!$H$7:$H$306,$X297)))</f>
        <v/>
      </c>
      <c r="K297" s="175">
        <f t="array" ref="K297">IF($X297="","",N($E297)*SUM(IF(tk_HWSET&amp;""=$Y297,IFERROR(--tk_QTY,0),0)))</f>
        <v/>
      </c>
      <c r="L297" s="176">
        <f>IF($X297="","",IF(INDEX('HW Sets'!$I$7:$I$306,$X297)="","",INDEX('HW Sets'!$I$7:$I$306,$X297)))</f>
        <v/>
      </c>
      <c r="N297" s="176">
        <f>IF($W297="","",INDEX($G$7:$G$306,$W297)&amp;"")</f>
        <v/>
      </c>
      <c r="O297" s="176">
        <f>IF($W297="","",INDEX($H$7:$H$306,$W297)&amp;"")</f>
        <v/>
      </c>
      <c r="P297" s="176">
        <f>IF($W297="","",INDEX($I$7:$I$306,$W297)&amp;"")</f>
        <v/>
      </c>
      <c r="Q297" s="176">
        <f>IF($W297="","",INDEX($J$7:$J$306,$W297)&amp;"")</f>
        <v/>
      </c>
      <c r="R297" s="176">
        <f>IF($W297="","",INDEX($F$7:$F$306,$W297)&amp;"")</f>
        <v/>
      </c>
      <c r="S297" s="175">
        <f>IF($W297="","",SUMIF($U$7:$U$306,INDEX($U$7:$U$306,$W297),$K$7:$K$306))</f>
        <v/>
      </c>
      <c r="U297">
        <f>IF(OR($X297="",N($K297)=0),"",UPPER(TRIM($G297&amp;"|"&amp;$H297&amp;"|"&amp;$I297&amp;"|"&amp;$J297&amp;"|"&amp;$F297)))</f>
        <v/>
      </c>
      <c r="V297">
        <f>IF($U297="","",IF(COUNTIF($U$7:$U297,$U297)=1,MAX($V$6:$V296)+1,""))</f>
        <v/>
      </c>
      <c r="W297">
        <f>IFERROR(MATCH(291,$V$7:$V$306,0),"")</f>
        <v/>
      </c>
      <c r="X297">
        <f>IFERROR(MATCH(291,'HW Sets'!$S$7:$S$306,0),"")</f>
        <v/>
      </c>
      <c r="Y297">
        <f>IF($X297="","",INDEX('HW Sets'!$J$7:$J$306,$X297)&amp;"")</f>
        <v/>
      </c>
      <c r="Z297">
        <f>IF($Y297="","",IF(COUNTIF($Y$7:$Y297,$Y297)=1,1,""))</f>
        <v/>
      </c>
    </row>
    <row r="298">
      <c r="A298" s="175">
        <f>IF($Z298="","",$Y298)</f>
        <v/>
      </c>
      <c r="B298" s="176">
        <f>IF($Z298="","",IFERROR(INDEX('HW Sets'!$N$7:$N$306,MATCH($Y298,'HW Sets'!$M$7:$M$306,0)),""))</f>
        <v/>
      </c>
      <c r="C298" s="177">
        <f t="array" ref="C298">IF($Z298="","",_xlfn.TEXTJOIN(", ",TRUE,IF(tk_HWSET&amp;""=$Y298,tk_MARK,"")))</f>
        <v/>
      </c>
      <c r="D298" s="176">
        <f t="array" ref="D298">IF($Z298="","",SUM(IF(tk_HWSET&amp;""=$Y298,IFERROR(--tk_QTY,0),0)))</f>
        <v/>
      </c>
      <c r="E298" s="176">
        <f>IF($X298="","",IF(INDEX('HW Sets'!$C$7:$C$306,$X298)="","",INDEX('HW Sets'!$C$7:$C$306,$X298)))</f>
        <v/>
      </c>
      <c r="F298" s="176">
        <f>IF($X298="","",IF(INDEX('HW Sets'!$D$7:$D$306,$X298)="","",INDEX('HW Sets'!$D$7:$D$306,$X298)))</f>
        <v/>
      </c>
      <c r="G298" s="176">
        <f>IF($X298="","",IF(INDEX('HW Sets'!$E$7:$E$306,$X298)="","",INDEX('HW Sets'!$E$7:$E$306,$X298)))</f>
        <v/>
      </c>
      <c r="H298" s="176">
        <f>IF($X298="","",IF(INDEX('HW Sets'!$F$7:$F$306,$X298)="","",INDEX('HW Sets'!$F$7:$F$306,$X298)))</f>
        <v/>
      </c>
      <c r="I298" s="176">
        <f>IF($X298="","",IF(INDEX('HW Sets'!$G$7:$G$306,$X298)="","",INDEX('HW Sets'!$G$7:$G$306,$X298)))</f>
        <v/>
      </c>
      <c r="J298" s="176">
        <f>IF($X298="","",IF(INDEX('HW Sets'!$H$7:$H$306,$X298)="","",INDEX('HW Sets'!$H$7:$H$306,$X298)))</f>
        <v/>
      </c>
      <c r="K298" s="175">
        <f t="array" ref="K298">IF($X298="","",N($E298)*SUM(IF(tk_HWSET&amp;""=$Y298,IFERROR(--tk_QTY,0),0)))</f>
        <v/>
      </c>
      <c r="L298" s="176">
        <f>IF($X298="","",IF(INDEX('HW Sets'!$I$7:$I$306,$X298)="","",INDEX('HW Sets'!$I$7:$I$306,$X298)))</f>
        <v/>
      </c>
      <c r="N298" s="176">
        <f>IF($W298="","",INDEX($G$7:$G$306,$W298)&amp;"")</f>
        <v/>
      </c>
      <c r="O298" s="176">
        <f>IF($W298="","",INDEX($H$7:$H$306,$W298)&amp;"")</f>
        <v/>
      </c>
      <c r="P298" s="176">
        <f>IF($W298="","",INDEX($I$7:$I$306,$W298)&amp;"")</f>
        <v/>
      </c>
      <c r="Q298" s="176">
        <f>IF($W298="","",INDEX($J$7:$J$306,$W298)&amp;"")</f>
        <v/>
      </c>
      <c r="R298" s="176">
        <f>IF($W298="","",INDEX($F$7:$F$306,$W298)&amp;"")</f>
        <v/>
      </c>
      <c r="S298" s="175">
        <f>IF($W298="","",SUMIF($U$7:$U$306,INDEX($U$7:$U$306,$W298),$K$7:$K$306))</f>
        <v/>
      </c>
      <c r="U298">
        <f>IF(OR($X298="",N($K298)=0),"",UPPER(TRIM($G298&amp;"|"&amp;$H298&amp;"|"&amp;$I298&amp;"|"&amp;$J298&amp;"|"&amp;$F298)))</f>
        <v/>
      </c>
      <c r="V298">
        <f>IF($U298="","",IF(COUNTIF($U$7:$U298,$U298)=1,MAX($V$6:$V297)+1,""))</f>
        <v/>
      </c>
      <c r="W298">
        <f>IFERROR(MATCH(292,$V$7:$V$306,0),"")</f>
        <v/>
      </c>
      <c r="X298">
        <f>IFERROR(MATCH(292,'HW Sets'!$S$7:$S$306,0),"")</f>
        <v/>
      </c>
      <c r="Y298">
        <f>IF($X298="","",INDEX('HW Sets'!$J$7:$J$306,$X298)&amp;"")</f>
        <v/>
      </c>
      <c r="Z298">
        <f>IF($Y298="","",IF(COUNTIF($Y$7:$Y298,$Y298)=1,1,""))</f>
        <v/>
      </c>
    </row>
    <row r="299">
      <c r="A299" s="175">
        <f>IF($Z299="","",$Y299)</f>
        <v/>
      </c>
      <c r="B299" s="176">
        <f>IF($Z299="","",IFERROR(INDEX('HW Sets'!$N$7:$N$306,MATCH($Y299,'HW Sets'!$M$7:$M$306,0)),""))</f>
        <v/>
      </c>
      <c r="C299" s="177">
        <f t="array" ref="C299">IF($Z299="","",_xlfn.TEXTJOIN(", ",TRUE,IF(tk_HWSET&amp;""=$Y299,tk_MARK,"")))</f>
        <v/>
      </c>
      <c r="D299" s="176">
        <f t="array" ref="D299">IF($Z299="","",SUM(IF(tk_HWSET&amp;""=$Y299,IFERROR(--tk_QTY,0),0)))</f>
        <v/>
      </c>
      <c r="E299" s="176">
        <f>IF($X299="","",IF(INDEX('HW Sets'!$C$7:$C$306,$X299)="","",INDEX('HW Sets'!$C$7:$C$306,$X299)))</f>
        <v/>
      </c>
      <c r="F299" s="176">
        <f>IF($X299="","",IF(INDEX('HW Sets'!$D$7:$D$306,$X299)="","",INDEX('HW Sets'!$D$7:$D$306,$X299)))</f>
        <v/>
      </c>
      <c r="G299" s="176">
        <f>IF($X299="","",IF(INDEX('HW Sets'!$E$7:$E$306,$X299)="","",INDEX('HW Sets'!$E$7:$E$306,$X299)))</f>
        <v/>
      </c>
      <c r="H299" s="176">
        <f>IF($X299="","",IF(INDEX('HW Sets'!$F$7:$F$306,$X299)="","",INDEX('HW Sets'!$F$7:$F$306,$X299)))</f>
        <v/>
      </c>
      <c r="I299" s="176">
        <f>IF($X299="","",IF(INDEX('HW Sets'!$G$7:$G$306,$X299)="","",INDEX('HW Sets'!$G$7:$G$306,$X299)))</f>
        <v/>
      </c>
      <c r="J299" s="176">
        <f>IF($X299="","",IF(INDEX('HW Sets'!$H$7:$H$306,$X299)="","",INDEX('HW Sets'!$H$7:$H$306,$X299)))</f>
        <v/>
      </c>
      <c r="K299" s="175">
        <f t="array" ref="K299">IF($X299="","",N($E299)*SUM(IF(tk_HWSET&amp;""=$Y299,IFERROR(--tk_QTY,0),0)))</f>
        <v/>
      </c>
      <c r="L299" s="176">
        <f>IF($X299="","",IF(INDEX('HW Sets'!$I$7:$I$306,$X299)="","",INDEX('HW Sets'!$I$7:$I$306,$X299)))</f>
        <v/>
      </c>
      <c r="N299" s="176">
        <f>IF($W299="","",INDEX($G$7:$G$306,$W299)&amp;"")</f>
        <v/>
      </c>
      <c r="O299" s="176">
        <f>IF($W299="","",INDEX($H$7:$H$306,$W299)&amp;"")</f>
        <v/>
      </c>
      <c r="P299" s="176">
        <f>IF($W299="","",INDEX($I$7:$I$306,$W299)&amp;"")</f>
        <v/>
      </c>
      <c r="Q299" s="176">
        <f>IF($W299="","",INDEX($J$7:$J$306,$W299)&amp;"")</f>
        <v/>
      </c>
      <c r="R299" s="176">
        <f>IF($W299="","",INDEX($F$7:$F$306,$W299)&amp;"")</f>
        <v/>
      </c>
      <c r="S299" s="175">
        <f>IF($W299="","",SUMIF($U$7:$U$306,INDEX($U$7:$U$306,$W299),$K$7:$K$306))</f>
        <v/>
      </c>
      <c r="U299">
        <f>IF(OR($X299="",N($K299)=0),"",UPPER(TRIM($G299&amp;"|"&amp;$H299&amp;"|"&amp;$I299&amp;"|"&amp;$J299&amp;"|"&amp;$F299)))</f>
        <v/>
      </c>
      <c r="V299">
        <f>IF($U299="","",IF(COUNTIF($U$7:$U299,$U299)=1,MAX($V$6:$V298)+1,""))</f>
        <v/>
      </c>
      <c r="W299">
        <f>IFERROR(MATCH(293,$V$7:$V$306,0),"")</f>
        <v/>
      </c>
      <c r="X299">
        <f>IFERROR(MATCH(293,'HW Sets'!$S$7:$S$306,0),"")</f>
        <v/>
      </c>
      <c r="Y299">
        <f>IF($X299="","",INDEX('HW Sets'!$J$7:$J$306,$X299)&amp;"")</f>
        <v/>
      </c>
      <c r="Z299">
        <f>IF($Y299="","",IF(COUNTIF($Y$7:$Y299,$Y299)=1,1,""))</f>
        <v/>
      </c>
    </row>
    <row r="300">
      <c r="A300" s="175">
        <f>IF($Z300="","",$Y300)</f>
        <v/>
      </c>
      <c r="B300" s="176">
        <f>IF($Z300="","",IFERROR(INDEX('HW Sets'!$N$7:$N$306,MATCH($Y300,'HW Sets'!$M$7:$M$306,0)),""))</f>
        <v/>
      </c>
      <c r="C300" s="177">
        <f t="array" ref="C300">IF($Z300="","",_xlfn.TEXTJOIN(", ",TRUE,IF(tk_HWSET&amp;""=$Y300,tk_MARK,"")))</f>
        <v/>
      </c>
      <c r="D300" s="176">
        <f t="array" ref="D300">IF($Z300="","",SUM(IF(tk_HWSET&amp;""=$Y300,IFERROR(--tk_QTY,0),0)))</f>
        <v/>
      </c>
      <c r="E300" s="176">
        <f>IF($X300="","",IF(INDEX('HW Sets'!$C$7:$C$306,$X300)="","",INDEX('HW Sets'!$C$7:$C$306,$X300)))</f>
        <v/>
      </c>
      <c r="F300" s="176">
        <f>IF($X300="","",IF(INDEX('HW Sets'!$D$7:$D$306,$X300)="","",INDEX('HW Sets'!$D$7:$D$306,$X300)))</f>
        <v/>
      </c>
      <c r="G300" s="176">
        <f>IF($X300="","",IF(INDEX('HW Sets'!$E$7:$E$306,$X300)="","",INDEX('HW Sets'!$E$7:$E$306,$X300)))</f>
        <v/>
      </c>
      <c r="H300" s="176">
        <f>IF($X300="","",IF(INDEX('HW Sets'!$F$7:$F$306,$X300)="","",INDEX('HW Sets'!$F$7:$F$306,$X300)))</f>
        <v/>
      </c>
      <c r="I300" s="176">
        <f>IF($X300="","",IF(INDEX('HW Sets'!$G$7:$G$306,$X300)="","",INDEX('HW Sets'!$G$7:$G$306,$X300)))</f>
        <v/>
      </c>
      <c r="J300" s="176">
        <f>IF($X300="","",IF(INDEX('HW Sets'!$H$7:$H$306,$X300)="","",INDEX('HW Sets'!$H$7:$H$306,$X300)))</f>
        <v/>
      </c>
      <c r="K300" s="175">
        <f t="array" ref="K300">IF($X300="","",N($E300)*SUM(IF(tk_HWSET&amp;""=$Y300,IFERROR(--tk_QTY,0),0)))</f>
        <v/>
      </c>
      <c r="L300" s="176">
        <f>IF($X300="","",IF(INDEX('HW Sets'!$I$7:$I$306,$X300)="","",INDEX('HW Sets'!$I$7:$I$306,$X300)))</f>
        <v/>
      </c>
      <c r="N300" s="176">
        <f>IF($W300="","",INDEX($G$7:$G$306,$W300)&amp;"")</f>
        <v/>
      </c>
      <c r="O300" s="176">
        <f>IF($W300="","",INDEX($H$7:$H$306,$W300)&amp;"")</f>
        <v/>
      </c>
      <c r="P300" s="176">
        <f>IF($W300="","",INDEX($I$7:$I$306,$W300)&amp;"")</f>
        <v/>
      </c>
      <c r="Q300" s="176">
        <f>IF($W300="","",INDEX($J$7:$J$306,$W300)&amp;"")</f>
        <v/>
      </c>
      <c r="R300" s="176">
        <f>IF($W300="","",INDEX($F$7:$F$306,$W300)&amp;"")</f>
        <v/>
      </c>
      <c r="S300" s="175">
        <f>IF($W300="","",SUMIF($U$7:$U$306,INDEX($U$7:$U$306,$W300),$K$7:$K$306))</f>
        <v/>
      </c>
      <c r="U300">
        <f>IF(OR($X300="",N($K300)=0),"",UPPER(TRIM($G300&amp;"|"&amp;$H300&amp;"|"&amp;$I300&amp;"|"&amp;$J300&amp;"|"&amp;$F300)))</f>
        <v/>
      </c>
      <c r="V300">
        <f>IF($U300="","",IF(COUNTIF($U$7:$U300,$U300)=1,MAX($V$6:$V299)+1,""))</f>
        <v/>
      </c>
      <c r="W300">
        <f>IFERROR(MATCH(294,$V$7:$V$306,0),"")</f>
        <v/>
      </c>
      <c r="X300">
        <f>IFERROR(MATCH(294,'HW Sets'!$S$7:$S$306,0),"")</f>
        <v/>
      </c>
      <c r="Y300">
        <f>IF($X300="","",INDEX('HW Sets'!$J$7:$J$306,$X300)&amp;"")</f>
        <v/>
      </c>
      <c r="Z300">
        <f>IF($Y300="","",IF(COUNTIF($Y$7:$Y300,$Y300)=1,1,""))</f>
        <v/>
      </c>
    </row>
    <row r="301">
      <c r="A301" s="175">
        <f>IF($Z301="","",$Y301)</f>
        <v/>
      </c>
      <c r="B301" s="176">
        <f>IF($Z301="","",IFERROR(INDEX('HW Sets'!$N$7:$N$306,MATCH($Y301,'HW Sets'!$M$7:$M$306,0)),""))</f>
        <v/>
      </c>
      <c r="C301" s="177">
        <f t="array" ref="C301">IF($Z301="","",_xlfn.TEXTJOIN(", ",TRUE,IF(tk_HWSET&amp;""=$Y301,tk_MARK,"")))</f>
        <v/>
      </c>
      <c r="D301" s="176">
        <f t="array" ref="D301">IF($Z301="","",SUM(IF(tk_HWSET&amp;""=$Y301,IFERROR(--tk_QTY,0),0)))</f>
        <v/>
      </c>
      <c r="E301" s="176">
        <f>IF($X301="","",IF(INDEX('HW Sets'!$C$7:$C$306,$X301)="","",INDEX('HW Sets'!$C$7:$C$306,$X301)))</f>
        <v/>
      </c>
      <c r="F301" s="176">
        <f>IF($X301="","",IF(INDEX('HW Sets'!$D$7:$D$306,$X301)="","",INDEX('HW Sets'!$D$7:$D$306,$X301)))</f>
        <v/>
      </c>
      <c r="G301" s="176">
        <f>IF($X301="","",IF(INDEX('HW Sets'!$E$7:$E$306,$X301)="","",INDEX('HW Sets'!$E$7:$E$306,$X301)))</f>
        <v/>
      </c>
      <c r="H301" s="176">
        <f>IF($X301="","",IF(INDEX('HW Sets'!$F$7:$F$306,$X301)="","",INDEX('HW Sets'!$F$7:$F$306,$X301)))</f>
        <v/>
      </c>
      <c r="I301" s="176">
        <f>IF($X301="","",IF(INDEX('HW Sets'!$G$7:$G$306,$X301)="","",INDEX('HW Sets'!$G$7:$G$306,$X301)))</f>
        <v/>
      </c>
      <c r="J301" s="176">
        <f>IF($X301="","",IF(INDEX('HW Sets'!$H$7:$H$306,$X301)="","",INDEX('HW Sets'!$H$7:$H$306,$X301)))</f>
        <v/>
      </c>
      <c r="K301" s="175">
        <f t="array" ref="K301">IF($X301="","",N($E301)*SUM(IF(tk_HWSET&amp;""=$Y301,IFERROR(--tk_QTY,0),0)))</f>
        <v/>
      </c>
      <c r="L301" s="176">
        <f>IF($X301="","",IF(INDEX('HW Sets'!$I$7:$I$306,$X301)="","",INDEX('HW Sets'!$I$7:$I$306,$X301)))</f>
        <v/>
      </c>
      <c r="N301" s="176">
        <f>IF($W301="","",INDEX($G$7:$G$306,$W301)&amp;"")</f>
        <v/>
      </c>
      <c r="O301" s="176">
        <f>IF($W301="","",INDEX($H$7:$H$306,$W301)&amp;"")</f>
        <v/>
      </c>
      <c r="P301" s="176">
        <f>IF($W301="","",INDEX($I$7:$I$306,$W301)&amp;"")</f>
        <v/>
      </c>
      <c r="Q301" s="176">
        <f>IF($W301="","",INDEX($J$7:$J$306,$W301)&amp;"")</f>
        <v/>
      </c>
      <c r="R301" s="176">
        <f>IF($W301="","",INDEX($F$7:$F$306,$W301)&amp;"")</f>
        <v/>
      </c>
      <c r="S301" s="175">
        <f>IF($W301="","",SUMIF($U$7:$U$306,INDEX($U$7:$U$306,$W301),$K$7:$K$306))</f>
        <v/>
      </c>
      <c r="U301">
        <f>IF(OR($X301="",N($K301)=0),"",UPPER(TRIM($G301&amp;"|"&amp;$H301&amp;"|"&amp;$I301&amp;"|"&amp;$J301&amp;"|"&amp;$F301)))</f>
        <v/>
      </c>
      <c r="V301">
        <f>IF($U301="","",IF(COUNTIF($U$7:$U301,$U301)=1,MAX($V$6:$V300)+1,""))</f>
        <v/>
      </c>
      <c r="W301">
        <f>IFERROR(MATCH(295,$V$7:$V$306,0),"")</f>
        <v/>
      </c>
      <c r="X301">
        <f>IFERROR(MATCH(295,'HW Sets'!$S$7:$S$306,0),"")</f>
        <v/>
      </c>
      <c r="Y301">
        <f>IF($X301="","",INDEX('HW Sets'!$J$7:$J$306,$X301)&amp;"")</f>
        <v/>
      </c>
      <c r="Z301">
        <f>IF($Y301="","",IF(COUNTIF($Y$7:$Y301,$Y301)=1,1,""))</f>
        <v/>
      </c>
    </row>
    <row r="302">
      <c r="A302" s="175">
        <f>IF($Z302="","",$Y302)</f>
        <v/>
      </c>
      <c r="B302" s="176">
        <f>IF($Z302="","",IFERROR(INDEX('HW Sets'!$N$7:$N$306,MATCH($Y302,'HW Sets'!$M$7:$M$306,0)),""))</f>
        <v/>
      </c>
      <c r="C302" s="177">
        <f t="array" ref="C302">IF($Z302="","",_xlfn.TEXTJOIN(", ",TRUE,IF(tk_HWSET&amp;""=$Y302,tk_MARK,"")))</f>
        <v/>
      </c>
      <c r="D302" s="176">
        <f t="array" ref="D302">IF($Z302="","",SUM(IF(tk_HWSET&amp;""=$Y302,IFERROR(--tk_QTY,0),0)))</f>
        <v/>
      </c>
      <c r="E302" s="176">
        <f>IF($X302="","",IF(INDEX('HW Sets'!$C$7:$C$306,$X302)="","",INDEX('HW Sets'!$C$7:$C$306,$X302)))</f>
        <v/>
      </c>
      <c r="F302" s="176">
        <f>IF($X302="","",IF(INDEX('HW Sets'!$D$7:$D$306,$X302)="","",INDEX('HW Sets'!$D$7:$D$306,$X302)))</f>
        <v/>
      </c>
      <c r="G302" s="176">
        <f>IF($X302="","",IF(INDEX('HW Sets'!$E$7:$E$306,$X302)="","",INDEX('HW Sets'!$E$7:$E$306,$X302)))</f>
        <v/>
      </c>
      <c r="H302" s="176">
        <f>IF($X302="","",IF(INDEX('HW Sets'!$F$7:$F$306,$X302)="","",INDEX('HW Sets'!$F$7:$F$306,$X302)))</f>
        <v/>
      </c>
      <c r="I302" s="176">
        <f>IF($X302="","",IF(INDEX('HW Sets'!$G$7:$G$306,$X302)="","",INDEX('HW Sets'!$G$7:$G$306,$X302)))</f>
        <v/>
      </c>
      <c r="J302" s="176">
        <f>IF($X302="","",IF(INDEX('HW Sets'!$H$7:$H$306,$X302)="","",INDEX('HW Sets'!$H$7:$H$306,$X302)))</f>
        <v/>
      </c>
      <c r="K302" s="175">
        <f t="array" ref="K302">IF($X302="","",N($E302)*SUM(IF(tk_HWSET&amp;""=$Y302,IFERROR(--tk_QTY,0),0)))</f>
        <v/>
      </c>
      <c r="L302" s="176">
        <f>IF($X302="","",IF(INDEX('HW Sets'!$I$7:$I$306,$X302)="","",INDEX('HW Sets'!$I$7:$I$306,$X302)))</f>
        <v/>
      </c>
      <c r="N302" s="176">
        <f>IF($W302="","",INDEX($G$7:$G$306,$W302)&amp;"")</f>
        <v/>
      </c>
      <c r="O302" s="176">
        <f>IF($W302="","",INDEX($H$7:$H$306,$W302)&amp;"")</f>
        <v/>
      </c>
      <c r="P302" s="176">
        <f>IF($W302="","",INDEX($I$7:$I$306,$W302)&amp;"")</f>
        <v/>
      </c>
      <c r="Q302" s="176">
        <f>IF($W302="","",INDEX($J$7:$J$306,$W302)&amp;"")</f>
        <v/>
      </c>
      <c r="R302" s="176">
        <f>IF($W302="","",INDEX($F$7:$F$306,$W302)&amp;"")</f>
        <v/>
      </c>
      <c r="S302" s="175">
        <f>IF($W302="","",SUMIF($U$7:$U$306,INDEX($U$7:$U$306,$W302),$K$7:$K$306))</f>
        <v/>
      </c>
      <c r="U302">
        <f>IF(OR($X302="",N($K302)=0),"",UPPER(TRIM($G302&amp;"|"&amp;$H302&amp;"|"&amp;$I302&amp;"|"&amp;$J302&amp;"|"&amp;$F302)))</f>
        <v/>
      </c>
      <c r="V302">
        <f>IF($U302="","",IF(COUNTIF($U$7:$U302,$U302)=1,MAX($V$6:$V301)+1,""))</f>
        <v/>
      </c>
      <c r="W302">
        <f>IFERROR(MATCH(296,$V$7:$V$306,0),"")</f>
        <v/>
      </c>
      <c r="X302">
        <f>IFERROR(MATCH(296,'HW Sets'!$S$7:$S$306,0),"")</f>
        <v/>
      </c>
      <c r="Y302">
        <f>IF($X302="","",INDEX('HW Sets'!$J$7:$J$306,$X302)&amp;"")</f>
        <v/>
      </c>
      <c r="Z302">
        <f>IF($Y302="","",IF(COUNTIF($Y$7:$Y302,$Y302)=1,1,""))</f>
        <v/>
      </c>
    </row>
    <row r="303">
      <c r="A303" s="175">
        <f>IF($Z303="","",$Y303)</f>
        <v/>
      </c>
      <c r="B303" s="176">
        <f>IF($Z303="","",IFERROR(INDEX('HW Sets'!$N$7:$N$306,MATCH($Y303,'HW Sets'!$M$7:$M$306,0)),""))</f>
        <v/>
      </c>
      <c r="C303" s="177">
        <f t="array" ref="C303">IF($Z303="","",_xlfn.TEXTJOIN(", ",TRUE,IF(tk_HWSET&amp;""=$Y303,tk_MARK,"")))</f>
        <v/>
      </c>
      <c r="D303" s="176">
        <f t="array" ref="D303">IF($Z303="","",SUM(IF(tk_HWSET&amp;""=$Y303,IFERROR(--tk_QTY,0),0)))</f>
        <v/>
      </c>
      <c r="E303" s="176">
        <f>IF($X303="","",IF(INDEX('HW Sets'!$C$7:$C$306,$X303)="","",INDEX('HW Sets'!$C$7:$C$306,$X303)))</f>
        <v/>
      </c>
      <c r="F303" s="176">
        <f>IF($X303="","",IF(INDEX('HW Sets'!$D$7:$D$306,$X303)="","",INDEX('HW Sets'!$D$7:$D$306,$X303)))</f>
        <v/>
      </c>
      <c r="G303" s="176">
        <f>IF($X303="","",IF(INDEX('HW Sets'!$E$7:$E$306,$X303)="","",INDEX('HW Sets'!$E$7:$E$306,$X303)))</f>
        <v/>
      </c>
      <c r="H303" s="176">
        <f>IF($X303="","",IF(INDEX('HW Sets'!$F$7:$F$306,$X303)="","",INDEX('HW Sets'!$F$7:$F$306,$X303)))</f>
        <v/>
      </c>
      <c r="I303" s="176">
        <f>IF($X303="","",IF(INDEX('HW Sets'!$G$7:$G$306,$X303)="","",INDEX('HW Sets'!$G$7:$G$306,$X303)))</f>
        <v/>
      </c>
      <c r="J303" s="176">
        <f>IF($X303="","",IF(INDEX('HW Sets'!$H$7:$H$306,$X303)="","",INDEX('HW Sets'!$H$7:$H$306,$X303)))</f>
        <v/>
      </c>
      <c r="K303" s="175">
        <f t="array" ref="K303">IF($X303="","",N($E303)*SUM(IF(tk_HWSET&amp;""=$Y303,IFERROR(--tk_QTY,0),0)))</f>
        <v/>
      </c>
      <c r="L303" s="176">
        <f>IF($X303="","",IF(INDEX('HW Sets'!$I$7:$I$306,$X303)="","",INDEX('HW Sets'!$I$7:$I$306,$X303)))</f>
        <v/>
      </c>
      <c r="N303" s="176">
        <f>IF($W303="","",INDEX($G$7:$G$306,$W303)&amp;"")</f>
        <v/>
      </c>
      <c r="O303" s="176">
        <f>IF($W303="","",INDEX($H$7:$H$306,$W303)&amp;"")</f>
        <v/>
      </c>
      <c r="P303" s="176">
        <f>IF($W303="","",INDEX($I$7:$I$306,$W303)&amp;"")</f>
        <v/>
      </c>
      <c r="Q303" s="176">
        <f>IF($W303="","",INDEX($J$7:$J$306,$W303)&amp;"")</f>
        <v/>
      </c>
      <c r="R303" s="176">
        <f>IF($W303="","",INDEX($F$7:$F$306,$W303)&amp;"")</f>
        <v/>
      </c>
      <c r="S303" s="175">
        <f>IF($W303="","",SUMIF($U$7:$U$306,INDEX($U$7:$U$306,$W303),$K$7:$K$306))</f>
        <v/>
      </c>
      <c r="U303">
        <f>IF(OR($X303="",N($K303)=0),"",UPPER(TRIM($G303&amp;"|"&amp;$H303&amp;"|"&amp;$I303&amp;"|"&amp;$J303&amp;"|"&amp;$F303)))</f>
        <v/>
      </c>
      <c r="V303">
        <f>IF($U303="","",IF(COUNTIF($U$7:$U303,$U303)=1,MAX($V$6:$V302)+1,""))</f>
        <v/>
      </c>
      <c r="W303">
        <f>IFERROR(MATCH(297,$V$7:$V$306,0),"")</f>
        <v/>
      </c>
      <c r="X303">
        <f>IFERROR(MATCH(297,'HW Sets'!$S$7:$S$306,0),"")</f>
        <v/>
      </c>
      <c r="Y303">
        <f>IF($X303="","",INDEX('HW Sets'!$J$7:$J$306,$X303)&amp;"")</f>
        <v/>
      </c>
      <c r="Z303">
        <f>IF($Y303="","",IF(COUNTIF($Y$7:$Y303,$Y303)=1,1,""))</f>
        <v/>
      </c>
    </row>
    <row r="304">
      <c r="A304" s="175">
        <f>IF($Z304="","",$Y304)</f>
        <v/>
      </c>
      <c r="B304" s="176">
        <f>IF($Z304="","",IFERROR(INDEX('HW Sets'!$N$7:$N$306,MATCH($Y304,'HW Sets'!$M$7:$M$306,0)),""))</f>
        <v/>
      </c>
      <c r="C304" s="177">
        <f t="array" ref="C304">IF($Z304="","",_xlfn.TEXTJOIN(", ",TRUE,IF(tk_HWSET&amp;""=$Y304,tk_MARK,"")))</f>
        <v/>
      </c>
      <c r="D304" s="176">
        <f t="array" ref="D304">IF($Z304="","",SUM(IF(tk_HWSET&amp;""=$Y304,IFERROR(--tk_QTY,0),0)))</f>
        <v/>
      </c>
      <c r="E304" s="176">
        <f>IF($X304="","",IF(INDEX('HW Sets'!$C$7:$C$306,$X304)="","",INDEX('HW Sets'!$C$7:$C$306,$X304)))</f>
        <v/>
      </c>
      <c r="F304" s="176">
        <f>IF($X304="","",IF(INDEX('HW Sets'!$D$7:$D$306,$X304)="","",INDEX('HW Sets'!$D$7:$D$306,$X304)))</f>
        <v/>
      </c>
      <c r="G304" s="176">
        <f>IF($X304="","",IF(INDEX('HW Sets'!$E$7:$E$306,$X304)="","",INDEX('HW Sets'!$E$7:$E$306,$X304)))</f>
        <v/>
      </c>
      <c r="H304" s="176">
        <f>IF($X304="","",IF(INDEX('HW Sets'!$F$7:$F$306,$X304)="","",INDEX('HW Sets'!$F$7:$F$306,$X304)))</f>
        <v/>
      </c>
      <c r="I304" s="176">
        <f>IF($X304="","",IF(INDEX('HW Sets'!$G$7:$G$306,$X304)="","",INDEX('HW Sets'!$G$7:$G$306,$X304)))</f>
        <v/>
      </c>
      <c r="J304" s="176">
        <f>IF($X304="","",IF(INDEX('HW Sets'!$H$7:$H$306,$X304)="","",INDEX('HW Sets'!$H$7:$H$306,$X304)))</f>
        <v/>
      </c>
      <c r="K304" s="175">
        <f t="array" ref="K304">IF($X304="","",N($E304)*SUM(IF(tk_HWSET&amp;""=$Y304,IFERROR(--tk_QTY,0),0)))</f>
        <v/>
      </c>
      <c r="L304" s="176">
        <f>IF($X304="","",IF(INDEX('HW Sets'!$I$7:$I$306,$X304)="","",INDEX('HW Sets'!$I$7:$I$306,$X304)))</f>
        <v/>
      </c>
      <c r="N304" s="176">
        <f>IF($W304="","",INDEX($G$7:$G$306,$W304)&amp;"")</f>
        <v/>
      </c>
      <c r="O304" s="176">
        <f>IF($W304="","",INDEX($H$7:$H$306,$W304)&amp;"")</f>
        <v/>
      </c>
      <c r="P304" s="176">
        <f>IF($W304="","",INDEX($I$7:$I$306,$W304)&amp;"")</f>
        <v/>
      </c>
      <c r="Q304" s="176">
        <f>IF($W304="","",INDEX($J$7:$J$306,$W304)&amp;"")</f>
        <v/>
      </c>
      <c r="R304" s="176">
        <f>IF($W304="","",INDEX($F$7:$F$306,$W304)&amp;"")</f>
        <v/>
      </c>
      <c r="S304" s="175">
        <f>IF($W304="","",SUMIF($U$7:$U$306,INDEX($U$7:$U$306,$W304),$K$7:$K$306))</f>
        <v/>
      </c>
      <c r="U304">
        <f>IF(OR($X304="",N($K304)=0),"",UPPER(TRIM($G304&amp;"|"&amp;$H304&amp;"|"&amp;$I304&amp;"|"&amp;$J304&amp;"|"&amp;$F304)))</f>
        <v/>
      </c>
      <c r="V304">
        <f>IF($U304="","",IF(COUNTIF($U$7:$U304,$U304)=1,MAX($V$6:$V303)+1,""))</f>
        <v/>
      </c>
      <c r="W304">
        <f>IFERROR(MATCH(298,$V$7:$V$306,0),"")</f>
        <v/>
      </c>
      <c r="X304">
        <f>IFERROR(MATCH(298,'HW Sets'!$S$7:$S$306,0),"")</f>
        <v/>
      </c>
      <c r="Y304">
        <f>IF($X304="","",INDEX('HW Sets'!$J$7:$J$306,$X304)&amp;"")</f>
        <v/>
      </c>
      <c r="Z304">
        <f>IF($Y304="","",IF(COUNTIF($Y$7:$Y304,$Y304)=1,1,""))</f>
        <v/>
      </c>
    </row>
    <row r="305">
      <c r="A305" s="175">
        <f>IF($Z305="","",$Y305)</f>
        <v/>
      </c>
      <c r="B305" s="176">
        <f>IF($Z305="","",IFERROR(INDEX('HW Sets'!$N$7:$N$306,MATCH($Y305,'HW Sets'!$M$7:$M$306,0)),""))</f>
        <v/>
      </c>
      <c r="C305" s="177">
        <f t="array" ref="C305">IF($Z305="","",_xlfn.TEXTJOIN(", ",TRUE,IF(tk_HWSET&amp;""=$Y305,tk_MARK,"")))</f>
        <v/>
      </c>
      <c r="D305" s="176">
        <f t="array" ref="D305">IF($Z305="","",SUM(IF(tk_HWSET&amp;""=$Y305,IFERROR(--tk_QTY,0),0)))</f>
        <v/>
      </c>
      <c r="E305" s="176">
        <f>IF($X305="","",IF(INDEX('HW Sets'!$C$7:$C$306,$X305)="","",INDEX('HW Sets'!$C$7:$C$306,$X305)))</f>
        <v/>
      </c>
      <c r="F305" s="176">
        <f>IF($X305="","",IF(INDEX('HW Sets'!$D$7:$D$306,$X305)="","",INDEX('HW Sets'!$D$7:$D$306,$X305)))</f>
        <v/>
      </c>
      <c r="G305" s="176">
        <f>IF($X305="","",IF(INDEX('HW Sets'!$E$7:$E$306,$X305)="","",INDEX('HW Sets'!$E$7:$E$306,$X305)))</f>
        <v/>
      </c>
      <c r="H305" s="176">
        <f>IF($X305="","",IF(INDEX('HW Sets'!$F$7:$F$306,$X305)="","",INDEX('HW Sets'!$F$7:$F$306,$X305)))</f>
        <v/>
      </c>
      <c r="I305" s="176">
        <f>IF($X305="","",IF(INDEX('HW Sets'!$G$7:$G$306,$X305)="","",INDEX('HW Sets'!$G$7:$G$306,$X305)))</f>
        <v/>
      </c>
      <c r="J305" s="176">
        <f>IF($X305="","",IF(INDEX('HW Sets'!$H$7:$H$306,$X305)="","",INDEX('HW Sets'!$H$7:$H$306,$X305)))</f>
        <v/>
      </c>
      <c r="K305" s="175">
        <f t="array" ref="K305">IF($X305="","",N($E305)*SUM(IF(tk_HWSET&amp;""=$Y305,IFERROR(--tk_QTY,0),0)))</f>
        <v/>
      </c>
      <c r="L305" s="176">
        <f>IF($X305="","",IF(INDEX('HW Sets'!$I$7:$I$306,$X305)="","",INDEX('HW Sets'!$I$7:$I$306,$X305)))</f>
        <v/>
      </c>
      <c r="N305" s="176">
        <f>IF($W305="","",INDEX($G$7:$G$306,$W305)&amp;"")</f>
        <v/>
      </c>
      <c r="O305" s="176">
        <f>IF($W305="","",INDEX($H$7:$H$306,$W305)&amp;"")</f>
        <v/>
      </c>
      <c r="P305" s="176">
        <f>IF($W305="","",INDEX($I$7:$I$306,$W305)&amp;"")</f>
        <v/>
      </c>
      <c r="Q305" s="176">
        <f>IF($W305="","",INDEX($J$7:$J$306,$W305)&amp;"")</f>
        <v/>
      </c>
      <c r="R305" s="176">
        <f>IF($W305="","",INDEX($F$7:$F$306,$W305)&amp;"")</f>
        <v/>
      </c>
      <c r="S305" s="175">
        <f>IF($W305="","",SUMIF($U$7:$U$306,INDEX($U$7:$U$306,$W305),$K$7:$K$306))</f>
        <v/>
      </c>
      <c r="U305">
        <f>IF(OR($X305="",N($K305)=0),"",UPPER(TRIM($G305&amp;"|"&amp;$H305&amp;"|"&amp;$I305&amp;"|"&amp;$J305&amp;"|"&amp;$F305)))</f>
        <v/>
      </c>
      <c r="V305">
        <f>IF($U305="","",IF(COUNTIF($U$7:$U305,$U305)=1,MAX($V$6:$V304)+1,""))</f>
        <v/>
      </c>
      <c r="W305">
        <f>IFERROR(MATCH(299,$V$7:$V$306,0),"")</f>
        <v/>
      </c>
      <c r="X305">
        <f>IFERROR(MATCH(299,'HW Sets'!$S$7:$S$306,0),"")</f>
        <v/>
      </c>
      <c r="Y305">
        <f>IF($X305="","",INDEX('HW Sets'!$J$7:$J$306,$X305)&amp;"")</f>
        <v/>
      </c>
      <c r="Z305">
        <f>IF($Y305="","",IF(COUNTIF($Y$7:$Y305,$Y305)=1,1,""))</f>
        <v/>
      </c>
    </row>
    <row r="306">
      <c r="A306" s="175">
        <f>IF($Z306="","",$Y306)</f>
        <v/>
      </c>
      <c r="B306" s="176">
        <f>IF($Z306="","",IFERROR(INDEX('HW Sets'!$N$7:$N$306,MATCH($Y306,'HW Sets'!$M$7:$M$306,0)),""))</f>
        <v/>
      </c>
      <c r="C306" s="177">
        <f t="array" ref="C306">IF($Z306="","",_xlfn.TEXTJOIN(", ",TRUE,IF(tk_HWSET&amp;""=$Y306,tk_MARK,"")))</f>
        <v/>
      </c>
      <c r="D306" s="176">
        <f t="array" ref="D306">IF($Z306="","",SUM(IF(tk_HWSET&amp;""=$Y306,IFERROR(--tk_QTY,0),0)))</f>
        <v/>
      </c>
      <c r="E306" s="176">
        <f>IF($X306="","",IF(INDEX('HW Sets'!$C$7:$C$306,$X306)="","",INDEX('HW Sets'!$C$7:$C$306,$X306)))</f>
        <v/>
      </c>
      <c r="F306" s="176">
        <f>IF($X306="","",IF(INDEX('HW Sets'!$D$7:$D$306,$X306)="","",INDEX('HW Sets'!$D$7:$D$306,$X306)))</f>
        <v/>
      </c>
      <c r="G306" s="176">
        <f>IF($X306="","",IF(INDEX('HW Sets'!$E$7:$E$306,$X306)="","",INDEX('HW Sets'!$E$7:$E$306,$X306)))</f>
        <v/>
      </c>
      <c r="H306" s="176">
        <f>IF($X306="","",IF(INDEX('HW Sets'!$F$7:$F$306,$X306)="","",INDEX('HW Sets'!$F$7:$F$306,$X306)))</f>
        <v/>
      </c>
      <c r="I306" s="176">
        <f>IF($X306="","",IF(INDEX('HW Sets'!$G$7:$G$306,$X306)="","",INDEX('HW Sets'!$G$7:$G$306,$X306)))</f>
        <v/>
      </c>
      <c r="J306" s="176">
        <f>IF($X306="","",IF(INDEX('HW Sets'!$H$7:$H$306,$X306)="","",INDEX('HW Sets'!$H$7:$H$306,$X306)))</f>
        <v/>
      </c>
      <c r="K306" s="175">
        <f t="array" ref="K306">IF($X306="","",N($E306)*SUM(IF(tk_HWSET&amp;""=$Y306,IFERROR(--tk_QTY,0),0)))</f>
        <v/>
      </c>
      <c r="L306" s="176">
        <f>IF($X306="","",IF(INDEX('HW Sets'!$I$7:$I$306,$X306)="","",INDEX('HW Sets'!$I$7:$I$306,$X306)))</f>
        <v/>
      </c>
      <c r="N306" s="176">
        <f>IF($W306="","",INDEX($G$7:$G$306,$W306)&amp;"")</f>
        <v/>
      </c>
      <c r="O306" s="176">
        <f>IF($W306="","",INDEX($H$7:$H$306,$W306)&amp;"")</f>
        <v/>
      </c>
      <c r="P306" s="176">
        <f>IF($W306="","",INDEX($I$7:$I$306,$W306)&amp;"")</f>
        <v/>
      </c>
      <c r="Q306" s="176">
        <f>IF($W306="","",INDEX($J$7:$J$306,$W306)&amp;"")</f>
        <v/>
      </c>
      <c r="R306" s="176">
        <f>IF($W306="","",INDEX($F$7:$F$306,$W306)&amp;"")</f>
        <v/>
      </c>
      <c r="S306" s="175">
        <f>IF($W306="","",SUMIF($U$7:$U$306,INDEX($U$7:$U$306,$W306),$K$7:$K$306))</f>
        <v/>
      </c>
      <c r="U306">
        <f>IF(OR($X306="",N($K306)=0),"",UPPER(TRIM($G306&amp;"|"&amp;$H306&amp;"|"&amp;$I306&amp;"|"&amp;$J306&amp;"|"&amp;$F306)))</f>
        <v/>
      </c>
      <c r="V306">
        <f>IF($U306="","",IF(COUNTIF($U$7:$U306,$U306)=1,MAX($V$6:$V305)+1,""))</f>
        <v/>
      </c>
      <c r="W306">
        <f>IFERROR(MATCH(300,$V$7:$V$306,0),"")</f>
        <v/>
      </c>
      <c r="X306">
        <f>IFERROR(MATCH(300,'HW Sets'!$S$7:$S$306,0),"")</f>
        <v/>
      </c>
      <c r="Y306">
        <f>IF($X306="","",INDEX('HW Sets'!$J$7:$J$306,$X306)&amp;"")</f>
        <v/>
      </c>
      <c r="Z306">
        <f>IF($Y306="","",IF(COUNTIF($Y$7:$Y306,$Y306)=1,1,""))</f>
        <v/>
      </c>
    </row>
  </sheetData>
  <conditionalFormatting sqref="A7:L306">
    <cfRule type="expression" priority="1" dxfId="15">
      <formula>$A7&lt;&gt;""</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tabColor rgb="001B6E3A"/>
    <outlinePr summaryBelow="1" summaryRight="1"/>
    <pageSetUpPr fitToPage="1"/>
  </sheetPr>
  <dimension ref="A1:CA1449"/>
  <sheetViews>
    <sheetView showGridLines="0" workbookViewId="0">
      <pane ySplit="6" topLeftCell="A7" activePane="bottomLeft" state="frozen"/>
      <selection pane="bottomLeft" activeCell="A1" sqref="A1"/>
    </sheetView>
  </sheetViews>
  <sheetFormatPr baseColWidth="8" defaultRowHeight="15"/>
  <cols>
    <col width="24" customWidth="1" min="1" max="1"/>
    <col width="6" customWidth="1" min="2" max="2"/>
    <col width="92" customWidth="1" min="3" max="3"/>
    <col width="30" customWidth="1" min="4" max="4"/>
    <col width="50" customWidth="1" min="5" max="5"/>
    <col hidden="1" outlineLevel="1" width="13" customWidth="1" min="30" max="110"/>
  </cols>
  <sheetData>
    <row r="1" ht="30" customHeight="1">
      <c r="A1" s="1" t="n"/>
      <c r="B1" s="38" t="inlineStr">
        <is>
          <t>SUPPLIER ORDER — COUNTER FORMAT</t>
        </is>
      </c>
      <c r="C1" s="1" t="n"/>
      <c r="D1" s="1" t="n"/>
      <c r="E1" s="1" t="n"/>
      <c r="F1" s="39">
        <f>IF(JobName="","OPENING TAKEOFF  ·  FORM 3.2",JobName&amp;IF(JobNo="",""," · JOB "&amp;JobNo))</f>
        <v/>
      </c>
    </row>
    <row r="2" ht="18" customHeight="1">
      <c r="A2" s="1" t="n"/>
      <c r="B2" s="40" t="inlineStr">
        <is>
          <t>Identical openings roll into one item: the order line numbered by quantity, the marks with their hands, then every part. Quantities only.</t>
        </is>
      </c>
      <c r="C2" s="1" t="n"/>
      <c r="D2" s="1" t="n"/>
      <c r="E2" s="1" t="n"/>
      <c r="F2" s="41">
        <f>TEXT(JobDate,"mmm d, yyyy")&amp;IF(JobRev="",""," · "&amp;JobRev)</f>
        <v/>
      </c>
    </row>
    <row r="3" ht="4" customHeight="1">
      <c r="A3" s="6" t="n"/>
      <c r="B3" s="6" t="n"/>
      <c r="C3" s="6" t="n"/>
      <c r="D3" s="6" t="n"/>
      <c r="E3" s="6" t="n"/>
      <c r="F3" s="6" t="n"/>
    </row>
    <row r="4">
      <c r="A4" s="155">
        <f>MAX(tk_SOFG)&amp;" frame items  ·  "&amp;MAX(tk_SODG)&amp;" door items (door groups)  ·  "&amp;SUM(tk_QTY)&amp;" openings"</f>
        <v/>
      </c>
    </row>
    <row r="6">
      <c r="A6" s="173" t="inlineStr">
        <is>
          <t>ITEM #</t>
        </is>
      </c>
      <c r="B6" s="173" t="inlineStr">
        <is>
          <t>QTY</t>
        </is>
      </c>
      <c r="C6" s="173" t="inlineStr">
        <is>
          <t>DESCRIPTION / PART</t>
        </is>
      </c>
      <c r="D6" s="173" t="inlineStr">
        <is>
          <t>NOTE</t>
        </is>
      </c>
      <c r="E6" s="173" t="inlineStr">
        <is>
          <t>MARKS</t>
        </is>
      </c>
    </row>
    <row r="7" ht="18" customHeight="1">
      <c r="A7" s="62" t="inlineStr">
        <is>
          <t>FRAMES</t>
        </is>
      </c>
      <c r="B7" s="23" t="n"/>
      <c r="C7" s="23" t="n"/>
      <c r="D7" s="23" t="n"/>
      <c r="E7" s="23" t="n"/>
    </row>
    <row r="8">
      <c r="A8" s="178">
        <f>IF($AD$8=0,"",$BK$8)</f>
        <v/>
      </c>
      <c r="B8" s="178">
        <f>IF($AD$8=0,"",$AE$8)</f>
        <v/>
      </c>
      <c r="C8" s="178">
        <f>IF($AD$8=0,"",$AE$8&amp;") "&amp;IF(COUNTIFS(tk_SOFG,1,tk_HLEG,"&lt;&gt;"&amp;$BJ$8)=0,INDEX(tk_FLINE,$AD$8),INDEX(tk_FLINEN,$AD$8))&amp;IF($AJ$8="KD"," ( R.O. "&amp;TRIM(TEXT(N($AQ$8)+2.25,"# ?/??"))&amp;CHAR(34)&amp;" x "&amp;TRIM(TEXT(N($AR$8)+1,"# ?/??"))&amp;CHAR(34)&amp;" )",""))</f>
        <v/>
      </c>
      <c r="D8" s="178" t="n"/>
      <c r="E8" s="179">
        <f t="array" ref="E8">IF($AD$8=0,"",_xlfn.TEXTJOIN(", ",TRUE,IF(tk_SOFG=1,"#"&amp;tk_MARK&amp;IF(tk_HLEG="","","("&amp;tk_HLEG&amp;")")&amp;IF(tk_QTY&gt;1," ×"&amp;tk_QTY,""),"")))</f>
        <v/>
      </c>
      <c r="AD8">
        <f>IFERROR(MATCH(1,tk_SOFG,0),0)</f>
        <v/>
      </c>
      <c r="AE8">
        <f>IF($AD$8=0,0,SUMIF(tk_SOFG,1,tk_QTY))</f>
        <v/>
      </c>
      <c r="AF8">
        <f>IF($AD$8=0,"",INDEX(tk_JAMB,$AD$8))</f>
        <v/>
      </c>
      <c r="AG8">
        <f>IF($AD$8=0,"",INDEX(tk_ANCHOR,$AD$8))</f>
        <v/>
      </c>
      <c r="AH8">
        <f>IF($AD$8=0,"",INDEX(tk_ANCH,$AD$8))</f>
        <v/>
      </c>
      <c r="AI8">
        <f>IF($AD$8=0,"",INDEX(tk_BASEA,$AD$8))</f>
        <v/>
      </c>
      <c r="AJ8">
        <f>IF($AD$8=0,"",INDEX(tk_CONSTR,$AD$8))</f>
        <v/>
      </c>
      <c r="AK8">
        <f>IF($AD$8=0,"",INDEX(tk_CLOSER,$AD$8))</f>
        <v/>
      </c>
      <c r="AL8">
        <f>IF($AD$8=0,"",INDEX(tk_STRIKE,$AD$8))</f>
        <v/>
      </c>
      <c r="AM8">
        <f>IF($AD$8=0,"",INDEX(tk_HDRPREP,$AD$8))</f>
        <v/>
      </c>
      <c r="AN8">
        <f>IF($AD$8=0,"",INDEX(tk_DMIN,$AD$8))</f>
        <v/>
      </c>
      <c r="AO8">
        <f>IF($AD$8=0,"",INDEX(tk_PAIR,$AD$8))</f>
        <v/>
      </c>
      <c r="AP8">
        <f>IF($AD$8=0,"",INDEX(tk_FGA,$AD$8))</f>
        <v/>
      </c>
      <c r="AQ8">
        <f>IF($AD$8=0,"",INDEX(tk_WI,$AD$8))</f>
        <v/>
      </c>
      <c r="AR8">
        <f>IF($AD$8=0,"",INDEX(tk_HI,$AD$8))</f>
        <v/>
      </c>
      <c r="AS8">
        <f>IF($AD$8=0,"",INDEX(tk_FHINGE,$AD$8))</f>
        <v/>
      </c>
      <c r="AT8">
        <f>IF($AD$8=0,"",INDEX(tk_DHINGE,$AD$8))</f>
        <v/>
      </c>
      <c r="AU8">
        <f>IF($AD$8=0,"",INDEX(tk_HWLOC,$AD$8))</f>
        <v/>
      </c>
      <c r="AV8">
        <f>IF($AD$8=0,"",INDEX(tk_MANUF,$AD$8))</f>
        <v/>
      </c>
      <c r="AW8">
        <f>IF($AD$8=0,"",INDEX(tk_JH,$AD$8))</f>
        <v/>
      </c>
      <c r="AX8">
        <f>IF($AD$8=0,"",INDEX(tk_FDESC,$AD$8))</f>
        <v/>
      </c>
      <c r="AY8">
        <f>IF($AD$8=0,"",INDEX(tk_TRANS,$AD$8))</f>
        <v/>
      </c>
      <c r="AZ8">
        <f>IF($AD$8=0,"",INDEX(tk_SLW,$AD$8))</f>
        <v/>
      </c>
      <c r="BA8">
        <f>IF($AD$8=0,"",INDEX(tk_LEAVES,$AD$8))</f>
        <v/>
      </c>
      <c r="BB8">
        <f>IF($AD$8=0,"",INDEX(tk_LEAFW,$AD$8))</f>
        <v/>
      </c>
      <c r="BC8">
        <f>IF($AD$8=0,"",INDEX(tk_LEAFH,$AD$8))</f>
        <v/>
      </c>
      <c r="BD8">
        <f>IF($AD$8=0,"",INDEX(tk_DMAT,$AD$8))</f>
        <v/>
      </c>
      <c r="BE8">
        <f>IF($AD$8=0,"",INDEX(tk_DGA,$AD$8))</f>
        <v/>
      </c>
      <c r="BF8">
        <f>IF($AD$8=0,"",INDEX(tk_SERIES,$AD$8))</f>
        <v/>
      </c>
      <c r="BG8">
        <f>IF($AD$8=0,"",INDEX(tk_LOCK,$AD$8))</f>
        <v/>
      </c>
      <c r="BH8">
        <f>IF($AD$8=0,"",INDEX(tk_LITEKIT,$AD$8))</f>
        <v/>
      </c>
      <c r="BI8">
        <f>IF($AD$8=0,"",INDEX(tk_FACE,$AD$8))</f>
        <v/>
      </c>
      <c r="BJ8">
        <f>IF($AD$8=0,"",INDEX(tk_HLEG,$AD$8))</f>
        <v/>
      </c>
      <c r="BK8">
        <f>IF($AD$8=0,"",INDEX(tk_SOITEM,$AD$8))</f>
        <v/>
      </c>
      <c r="BL8">
        <f>IFERROR(VLOOKUP($AF$8,CODES,2,FALSE),"")</f>
        <v/>
      </c>
      <c r="BM8">
        <f>IF($AJ$8="KD","C","M")</f>
        <v/>
      </c>
      <c r="BN8">
        <f>IF(N($AR$8)&lt;=80,80,IF(N($AR$8)&lt;=84,84,IF(N($AR$8)&lt;=96,96,N($AR$8))))</f>
        <v/>
      </c>
      <c r="BO8">
        <f>INT($BN$8/12)&amp;MOD($BN$8,12)</f>
        <v/>
      </c>
      <c r="BP8">
        <f>INT(N($AQ$8)/12)&amp;MOD(N($AQ$8),12)</f>
        <v/>
      </c>
      <c r="BQ8">
        <f>IF(OR($AU$8="",$AU$8="ANSI/SDI",$AU$8="CUSTOM LOC"),IF($AV$8="CU","CURRIES","STEELCRAFT"),$AU$8)</f>
        <v/>
      </c>
      <c r="BR8">
        <f>$AO$8="Y"</f>
        <v/>
      </c>
      <c r="BS8">
        <f>"~"</f>
        <v/>
      </c>
      <c r="BT8">
        <f>N($AH$8)*N($AI$8)</f>
        <v/>
      </c>
      <c r="BU8">
        <f>IF(OR($AL$8="",$AL$8="-",$AL$8="E8"),"G18",$AL$8)</f>
        <v/>
      </c>
      <c r="BV8">
        <f>IF(OR($AS$8="",$AS$8="-"),"BLK",$AS$8)</f>
        <v/>
      </c>
      <c r="BW8">
        <f>" "&amp;$BM$8&amp;$AP$8&amp;" "</f>
        <v/>
      </c>
      <c r="BX8">
        <f>IF($AD$8=0,"",IF(OR($AG$8="SSA",$AG$8="SC"),$AE$8*$BT$8&amp;"|"&amp;$BL$8&amp;" STEEL STUD ANCHOR 2"&amp;CHAR(34)&amp;"||"&amp;$BS$8,"")&amp;IF($AG$8="WEWA-M",$AE$8*(N($AH$8)+1)*N($AI$8)&amp;"|FR101F 690 "&amp;$BL$8&amp;" MASONRY TUBE ANCHOR 16 GA||"&amp;$BS$8&amp;$AE$8*(N($AH$8)+1)*N($AI$8)&amp;"|3/8X5 SF3850 DYNO BOLTS||"&amp;$BS$8,"")&amp;IF($AG$8="WMA",$AE$8*$BT$8&amp;"|WIRE MASONRY ANCHOR||"&amp;$BS$8,"")&amp;IF($AG$8="T",$AE$8*$BT$8&amp;"|T-STRAP MASONRY ANCHOR||"&amp;$BS$8,"")&amp;IF($AG$8="WEWA-W",$AE$8*$BT$8&amp;"|P/D + WOOD SCREWS||"&amp;$BS$8,"")&amp;IF($AJ$8="WGS",$AE$8&amp;"|WELD &amp; GROUND SMOOTH||"&amp;$BS$8,"")&amp;IF(OR($AK$8="",$AK$8="-"),"",$AE$8*IF($BR$8,4,2)&amp;"|RACL/PACL-CLOSER REINF. 14GAx1-3/4x16 HRPO|"&amp;$AK$8&amp;IF($BR$8," BOTH SIDES","")&amp;"|"&amp;$BS$8)&amp;IF($AL$8="E8",$AE$8&amp;"|E8-STRIKE REINF. RIM EXIT||"&amp;$BS$8,"")&amp;IF(ISNUMBER(SEARCH("E4",$AL$8)),$AE$8&amp;"|FRAME DEADLOCK PREP||"&amp;$BS$8,"")&amp;IF($AL$8="E9",$AE$8&amp;"|ELECTRIC STRIKE PREP||"&amp;$BS$8,"")&amp;IF($AM$8="H5",$AE$8&amp;"|H5 STRIKE PREP IN HEADER||"&amp;$BS$8,IF(OR($AM$8="",$AM$8="-"),"",$AE$8&amp;"|HEADER PREP "&amp;$AM$8&amp;"||"&amp;$BS$8))&amp;IF(N($AN$8)&gt;0,$AE$8&amp;"|"&amp;$AN$8&amp;" MINUTE STEEL FRAME LABEL "&amp;IF(OR(N($AY$8)&gt;0,N($AZ$8)&gt;0),"W/TRANSOM PANEL/SIDELIGHT","CAT. C PP")&amp;"||"&amp;$BS$8,"")&amp;IF($AX$8="BL","",$AE$8&amp;"|HD "&amp;$AF$8&amp;$BW$8&amp;$BP$8&amp;" BSC||"&amp;$BS$8&amp;IF($BR$8,$AE$8&amp;"|HJ "&amp;$AF$8&amp;$BW$8&amp;"LH "&amp;$BO$8&amp;" "&amp;$BV$8&amp;" BSC "&amp;CHAR(34)&amp;$BQ$8&amp;CHAR(34)&amp;"||"&amp;$BS$8&amp;$AE$8&amp;"|HJ "&amp;$AF$8&amp;$BW$8&amp;"RH "&amp;$BO$8&amp;" "&amp;$BV$8&amp;" BSC "&amp;CHAR(34)&amp;$BQ$8&amp;CHAR(34)&amp;"||"&amp;$BS$8,$AE$8&amp;"|HJ "&amp;$AF$8&amp;$BW$8&amp;$AW$8&amp;" "&amp;$BO$8&amp;" "&amp;$BV$8&amp;" BSC "&amp;CHAR(34)&amp;$BQ$8&amp;CHAR(34)&amp;"||"&amp;$BS$8&amp;$AE$8&amp;"|SJ "&amp;$AF$8&amp;$BW$8&amp;$AW$8&amp;" "&amp;$BO$8&amp;" "&amp;$BU$8&amp;IF($BU$8="G18"," BLANK"," Y")&amp;" BSC "&amp;CHAR(34)&amp;$BQ$8&amp;CHAR(34)&amp;"||"&amp;$BS$8))&amp;IF(AND($BN$8&gt;N($AR$8),$AX$8&lt;&gt;"BL",N($AR$8)&gt;=60),$AE$8&amp;"|FRAME CUT DOWN (BOTTOM)|Cut "&amp;TRIM(TEXT($BN$8-N($AR$8),"# ?/??"))&amp;CHAR(34)&amp;" OFF THE BOTTOM|"&amp;$BS$8,""))</f>
        <v/>
      </c>
    </row>
    <row r="9">
      <c r="B9" s="180">
        <f>IF($AD9="","",VALUE(LEFT($AD9,FIND("|",$AD9)-1)))</f>
        <v/>
      </c>
      <c r="C9" s="180">
        <f>IF($AD9="","","    "&amp;MID($AD9,FIND("|",$AD9)+1,FIND("|",$AD9,FIND("|",$AD9)+1)-FIND("|",$AD9)-1))</f>
        <v/>
      </c>
      <c r="D9" s="180">
        <f>IF($AD9="","",MID($AD9,FIND("|",$AD9,FIND("|",$AD9)+1)+1,FIND("|",$AD9&amp;"|",FIND("|",$AD9,FIND("|",$AD9)+1)+1)-FIND("|",$AD9,FIND("|",$AD9)+1)-1))</f>
        <v/>
      </c>
      <c r="AD9">
        <f>TRIM(MID(SUBSTITUTE($BX$8,"~",REPT(" ",600)),1,600))</f>
        <v/>
      </c>
    </row>
    <row r="10">
      <c r="B10" s="180">
        <f>IF($AD10="","",VALUE(LEFT($AD10,FIND("|",$AD10)-1)))</f>
        <v/>
      </c>
      <c r="C10" s="180">
        <f>IF($AD10="","","    "&amp;MID($AD10,FIND("|",$AD10)+1,FIND("|",$AD10,FIND("|",$AD10)+1)-FIND("|",$AD10)-1))</f>
        <v/>
      </c>
      <c r="D10" s="180">
        <f>IF($AD10="","",MID($AD10,FIND("|",$AD10,FIND("|",$AD10)+1)+1,FIND("|",$AD10&amp;"|",FIND("|",$AD10,FIND("|",$AD10)+1)+1)-FIND("|",$AD10,FIND("|",$AD10)+1)-1))</f>
        <v/>
      </c>
      <c r="AD10">
        <f>TRIM(MID(SUBSTITUTE($BX$8,"~",REPT(" ",600)),601,600))</f>
        <v/>
      </c>
    </row>
    <row r="11">
      <c r="B11" s="180">
        <f>IF($AD11="","",VALUE(LEFT($AD11,FIND("|",$AD11)-1)))</f>
        <v/>
      </c>
      <c r="C11" s="180">
        <f>IF($AD11="","","    "&amp;MID($AD11,FIND("|",$AD11)+1,FIND("|",$AD11,FIND("|",$AD11)+1)-FIND("|",$AD11)-1))</f>
        <v/>
      </c>
      <c r="D11" s="180">
        <f>IF($AD11="","",MID($AD11,FIND("|",$AD11,FIND("|",$AD11)+1)+1,FIND("|",$AD11&amp;"|",FIND("|",$AD11,FIND("|",$AD11)+1)+1)-FIND("|",$AD11,FIND("|",$AD11)+1)-1))</f>
        <v/>
      </c>
      <c r="AD11">
        <f>TRIM(MID(SUBSTITUTE($BX$8,"~",REPT(" ",600)),1201,600))</f>
        <v/>
      </c>
    </row>
    <row r="12">
      <c r="B12" s="180">
        <f>IF($AD12="","",VALUE(LEFT($AD12,FIND("|",$AD12)-1)))</f>
        <v/>
      </c>
      <c r="C12" s="180">
        <f>IF($AD12="","","    "&amp;MID($AD12,FIND("|",$AD12)+1,FIND("|",$AD12,FIND("|",$AD12)+1)-FIND("|",$AD12)-1))</f>
        <v/>
      </c>
      <c r="D12" s="180">
        <f>IF($AD12="","",MID($AD12,FIND("|",$AD12,FIND("|",$AD12)+1)+1,FIND("|",$AD12&amp;"|",FIND("|",$AD12,FIND("|",$AD12)+1)+1)-FIND("|",$AD12,FIND("|",$AD12)+1)-1))</f>
        <v/>
      </c>
      <c r="AD12">
        <f>TRIM(MID(SUBSTITUTE($BX$8,"~",REPT(" ",600)),1801,600))</f>
        <v/>
      </c>
    </row>
    <row r="13">
      <c r="B13" s="180">
        <f>IF($AD13="","",VALUE(LEFT($AD13,FIND("|",$AD13)-1)))</f>
        <v/>
      </c>
      <c r="C13" s="180">
        <f>IF($AD13="","","    "&amp;MID($AD13,FIND("|",$AD13)+1,FIND("|",$AD13,FIND("|",$AD13)+1)-FIND("|",$AD13)-1))</f>
        <v/>
      </c>
      <c r="D13" s="180">
        <f>IF($AD13="","",MID($AD13,FIND("|",$AD13,FIND("|",$AD13)+1)+1,FIND("|",$AD13&amp;"|",FIND("|",$AD13,FIND("|",$AD13)+1)+1)-FIND("|",$AD13,FIND("|",$AD13)+1)-1))</f>
        <v/>
      </c>
      <c r="AD13">
        <f>TRIM(MID(SUBSTITUTE($BX$8,"~",REPT(" ",600)),2401,600))</f>
        <v/>
      </c>
    </row>
    <row r="14">
      <c r="B14" s="180">
        <f>IF($AD14="","",VALUE(LEFT($AD14,FIND("|",$AD14)-1)))</f>
        <v/>
      </c>
      <c r="C14" s="180">
        <f>IF($AD14="","","    "&amp;MID($AD14,FIND("|",$AD14)+1,FIND("|",$AD14,FIND("|",$AD14)+1)-FIND("|",$AD14)-1))</f>
        <v/>
      </c>
      <c r="D14" s="180">
        <f>IF($AD14="","",MID($AD14,FIND("|",$AD14,FIND("|",$AD14)+1)+1,FIND("|",$AD14&amp;"|",FIND("|",$AD14,FIND("|",$AD14)+1)+1)-FIND("|",$AD14,FIND("|",$AD14)+1)-1))</f>
        <v/>
      </c>
      <c r="AD14">
        <f>TRIM(MID(SUBSTITUTE($BX$8,"~",REPT(" ",600)),3001,600))</f>
        <v/>
      </c>
    </row>
    <row r="15">
      <c r="B15" s="180">
        <f>IF($AD15="","",VALUE(LEFT($AD15,FIND("|",$AD15)-1)))</f>
        <v/>
      </c>
      <c r="C15" s="180">
        <f>IF($AD15="","","    "&amp;MID($AD15,FIND("|",$AD15)+1,FIND("|",$AD15,FIND("|",$AD15)+1)-FIND("|",$AD15)-1))</f>
        <v/>
      </c>
      <c r="D15" s="180">
        <f>IF($AD15="","",MID($AD15,FIND("|",$AD15,FIND("|",$AD15)+1)+1,FIND("|",$AD15&amp;"|",FIND("|",$AD15,FIND("|",$AD15)+1)+1)-FIND("|",$AD15,FIND("|",$AD15)+1)-1))</f>
        <v/>
      </c>
      <c r="AD15">
        <f>TRIM(MID(SUBSTITUTE($BX$8,"~",REPT(" ",600)),3601,600))</f>
        <v/>
      </c>
    </row>
    <row r="16">
      <c r="B16" s="180">
        <f>IF($AD16="","",VALUE(LEFT($AD16,FIND("|",$AD16)-1)))</f>
        <v/>
      </c>
      <c r="C16" s="180">
        <f>IF($AD16="","","    "&amp;MID($AD16,FIND("|",$AD16)+1,FIND("|",$AD16,FIND("|",$AD16)+1)-FIND("|",$AD16)-1))</f>
        <v/>
      </c>
      <c r="D16" s="180">
        <f>IF($AD16="","",MID($AD16,FIND("|",$AD16,FIND("|",$AD16)+1)+1,FIND("|",$AD16&amp;"|",FIND("|",$AD16,FIND("|",$AD16)+1)+1)-FIND("|",$AD16,FIND("|",$AD16)+1)-1))</f>
        <v/>
      </c>
      <c r="AD16">
        <f>TRIM(MID(SUBSTITUTE($BX$8,"~",REPT(" ",600)),4201,600))</f>
        <v/>
      </c>
    </row>
    <row r="17">
      <c r="B17" s="180">
        <f>IF($AD17="","",VALUE(LEFT($AD17,FIND("|",$AD17)-1)))</f>
        <v/>
      </c>
      <c r="C17" s="180">
        <f>IF($AD17="","","    "&amp;MID($AD17,FIND("|",$AD17)+1,FIND("|",$AD17,FIND("|",$AD17)+1)-FIND("|",$AD17)-1))</f>
        <v/>
      </c>
      <c r="D17" s="180">
        <f>IF($AD17="","",MID($AD17,FIND("|",$AD17,FIND("|",$AD17)+1)+1,FIND("|",$AD17&amp;"|",FIND("|",$AD17,FIND("|",$AD17)+1)+1)-FIND("|",$AD17,FIND("|",$AD17)+1)-1))</f>
        <v/>
      </c>
      <c r="AD17">
        <f>TRIM(MID(SUBSTITUTE($BX$8,"~",REPT(" ",600)),4801,600))</f>
        <v/>
      </c>
    </row>
    <row r="18">
      <c r="B18" s="180">
        <f>IF($AD18="","",VALUE(LEFT($AD18,FIND("|",$AD18)-1)))</f>
        <v/>
      </c>
      <c r="C18" s="180">
        <f>IF($AD18="","","    "&amp;MID($AD18,FIND("|",$AD18)+1,FIND("|",$AD18,FIND("|",$AD18)+1)-FIND("|",$AD18)-1))</f>
        <v/>
      </c>
      <c r="D18" s="180">
        <f>IF($AD18="","",MID($AD18,FIND("|",$AD18,FIND("|",$AD18)+1)+1,FIND("|",$AD18&amp;"|",FIND("|",$AD18,FIND("|",$AD18)+1)+1)-FIND("|",$AD18,FIND("|",$AD18)+1)-1))</f>
        <v/>
      </c>
      <c r="AD18">
        <f>TRIM(MID(SUBSTITUTE($BX$8,"~",REPT(" ",600)),5401,600))</f>
        <v/>
      </c>
    </row>
    <row r="19">
      <c r="B19" s="180">
        <f>IF($AD19="","",VALUE(LEFT($AD19,FIND("|",$AD19)-1)))</f>
        <v/>
      </c>
      <c r="C19" s="180">
        <f>IF($AD19="","","    "&amp;MID($AD19,FIND("|",$AD19)+1,FIND("|",$AD19,FIND("|",$AD19)+1)-FIND("|",$AD19)-1))</f>
        <v/>
      </c>
      <c r="D19" s="180">
        <f>IF($AD19="","",MID($AD19,FIND("|",$AD19,FIND("|",$AD19)+1)+1,FIND("|",$AD19&amp;"|",FIND("|",$AD19,FIND("|",$AD19)+1)+1)-FIND("|",$AD19,FIND("|",$AD19)+1)-1))</f>
        <v/>
      </c>
      <c r="AD19">
        <f>TRIM(MID(SUBSTITUTE($BX$8,"~",REPT(" ",600)),6001,600))</f>
        <v/>
      </c>
    </row>
    <row r="20">
      <c r="A20" s="178">
        <f>IF($AD$20=0,"",$BK$20)</f>
        <v/>
      </c>
      <c r="B20" s="178">
        <f>IF($AD$20=0,"",$AE$20)</f>
        <v/>
      </c>
      <c r="C20" s="178">
        <f>IF($AD$20=0,"",$AE$20&amp;") "&amp;IF(COUNTIFS(tk_SOFG,2,tk_HLEG,"&lt;&gt;"&amp;$BJ$20)=0,INDEX(tk_FLINE,$AD$20),INDEX(tk_FLINEN,$AD$20))&amp;IF($AJ$20="KD"," ( R.O. "&amp;TRIM(TEXT(N($AQ$20)+2.25,"# ?/??"))&amp;CHAR(34)&amp;" x "&amp;TRIM(TEXT(N($AR$20)+1,"# ?/??"))&amp;CHAR(34)&amp;" )",""))</f>
        <v/>
      </c>
      <c r="D20" s="178" t="n"/>
      <c r="E20" s="179">
        <f t="array" ref="E20">IF($AD$20=0,"",_xlfn.TEXTJOIN(", ",TRUE,IF(tk_SOFG=2,"#"&amp;tk_MARK&amp;IF(tk_HLEG="","","("&amp;tk_HLEG&amp;")")&amp;IF(tk_QTY&gt;1," ×"&amp;tk_QTY,""),"")))</f>
        <v/>
      </c>
      <c r="AD20">
        <f>IFERROR(MATCH(2,tk_SOFG,0),0)</f>
        <v/>
      </c>
      <c r="AE20">
        <f>IF($AD$20=0,0,SUMIF(tk_SOFG,2,tk_QTY))</f>
        <v/>
      </c>
      <c r="AF20">
        <f>IF($AD$20=0,"",INDEX(tk_JAMB,$AD$20))</f>
        <v/>
      </c>
      <c r="AG20">
        <f>IF($AD$20=0,"",INDEX(tk_ANCHOR,$AD$20))</f>
        <v/>
      </c>
      <c r="AH20">
        <f>IF($AD$20=0,"",INDEX(tk_ANCH,$AD$20))</f>
        <v/>
      </c>
      <c r="AI20">
        <f>IF($AD$20=0,"",INDEX(tk_BASEA,$AD$20))</f>
        <v/>
      </c>
      <c r="AJ20">
        <f>IF($AD$20=0,"",INDEX(tk_CONSTR,$AD$20))</f>
        <v/>
      </c>
      <c r="AK20">
        <f>IF($AD$20=0,"",INDEX(tk_CLOSER,$AD$20))</f>
        <v/>
      </c>
      <c r="AL20">
        <f>IF($AD$20=0,"",INDEX(tk_STRIKE,$AD$20))</f>
        <v/>
      </c>
      <c r="AM20">
        <f>IF($AD$20=0,"",INDEX(tk_HDRPREP,$AD$20))</f>
        <v/>
      </c>
      <c r="AN20">
        <f>IF($AD$20=0,"",INDEX(tk_DMIN,$AD$20))</f>
        <v/>
      </c>
      <c r="AO20">
        <f>IF($AD$20=0,"",INDEX(tk_PAIR,$AD$20))</f>
        <v/>
      </c>
      <c r="AP20">
        <f>IF($AD$20=0,"",INDEX(tk_FGA,$AD$20))</f>
        <v/>
      </c>
      <c r="AQ20">
        <f>IF($AD$20=0,"",INDEX(tk_WI,$AD$20))</f>
        <v/>
      </c>
      <c r="AR20">
        <f>IF($AD$20=0,"",INDEX(tk_HI,$AD$20))</f>
        <v/>
      </c>
      <c r="AS20">
        <f>IF($AD$20=0,"",INDEX(tk_FHINGE,$AD$20))</f>
        <v/>
      </c>
      <c r="AT20">
        <f>IF($AD$20=0,"",INDEX(tk_DHINGE,$AD$20))</f>
        <v/>
      </c>
      <c r="AU20">
        <f>IF($AD$20=0,"",INDEX(tk_HWLOC,$AD$20))</f>
        <v/>
      </c>
      <c r="AV20">
        <f>IF($AD$20=0,"",INDEX(tk_MANUF,$AD$20))</f>
        <v/>
      </c>
      <c r="AW20">
        <f>IF($AD$20=0,"",INDEX(tk_JH,$AD$20))</f>
        <v/>
      </c>
      <c r="AX20">
        <f>IF($AD$20=0,"",INDEX(tk_FDESC,$AD$20))</f>
        <v/>
      </c>
      <c r="AY20">
        <f>IF($AD$20=0,"",INDEX(tk_TRANS,$AD$20))</f>
        <v/>
      </c>
      <c r="AZ20">
        <f>IF($AD$20=0,"",INDEX(tk_SLW,$AD$20))</f>
        <v/>
      </c>
      <c r="BA20">
        <f>IF($AD$20=0,"",INDEX(tk_LEAVES,$AD$20))</f>
        <v/>
      </c>
      <c r="BB20">
        <f>IF($AD$20=0,"",INDEX(tk_LEAFW,$AD$20))</f>
        <v/>
      </c>
      <c r="BC20">
        <f>IF($AD$20=0,"",INDEX(tk_LEAFH,$AD$20))</f>
        <v/>
      </c>
      <c r="BD20">
        <f>IF($AD$20=0,"",INDEX(tk_DMAT,$AD$20))</f>
        <v/>
      </c>
      <c r="BE20">
        <f>IF($AD$20=0,"",INDEX(tk_DGA,$AD$20))</f>
        <v/>
      </c>
      <c r="BF20">
        <f>IF($AD$20=0,"",INDEX(tk_SERIES,$AD$20))</f>
        <v/>
      </c>
      <c r="BG20">
        <f>IF($AD$20=0,"",INDEX(tk_LOCK,$AD$20))</f>
        <v/>
      </c>
      <c r="BH20">
        <f>IF($AD$20=0,"",INDEX(tk_LITEKIT,$AD$20))</f>
        <v/>
      </c>
      <c r="BI20">
        <f>IF($AD$20=0,"",INDEX(tk_FACE,$AD$20))</f>
        <v/>
      </c>
      <c r="BJ20">
        <f>IF($AD$20=0,"",INDEX(tk_HLEG,$AD$20))</f>
        <v/>
      </c>
      <c r="BK20">
        <f>IF($AD$20=0,"",INDEX(tk_SOITEM,$AD$20))</f>
        <v/>
      </c>
      <c r="BL20">
        <f>IFERROR(VLOOKUP($AF$20,CODES,2,FALSE),"")</f>
        <v/>
      </c>
      <c r="BM20">
        <f>IF($AJ$20="KD","C","M")</f>
        <v/>
      </c>
      <c r="BN20">
        <f>IF(N($AR$20)&lt;=80,80,IF(N($AR$20)&lt;=84,84,IF(N($AR$20)&lt;=96,96,N($AR$20))))</f>
        <v/>
      </c>
      <c r="BO20">
        <f>INT($BN$20/12)&amp;MOD($BN$20,12)</f>
        <v/>
      </c>
      <c r="BP20">
        <f>INT(N($AQ$20)/12)&amp;MOD(N($AQ$20),12)</f>
        <v/>
      </c>
      <c r="BQ20">
        <f>IF(OR($AU$20="",$AU$20="ANSI/SDI",$AU$20="CUSTOM LOC"),IF($AV$20="CU","CURRIES","STEELCRAFT"),$AU$20)</f>
        <v/>
      </c>
      <c r="BR20">
        <f>$AO$20="Y"</f>
        <v/>
      </c>
      <c r="BS20">
        <f>"~"</f>
        <v/>
      </c>
      <c r="BT20">
        <f>N($AH$20)*N($AI$20)</f>
        <v/>
      </c>
      <c r="BU20">
        <f>IF(OR($AL$20="",$AL$20="-",$AL$20="E8"),"G18",$AL$20)</f>
        <v/>
      </c>
      <c r="BV20">
        <f>IF(OR($AS$20="",$AS$20="-"),"BLK",$AS$20)</f>
        <v/>
      </c>
      <c r="BW20">
        <f>" "&amp;$BM$20&amp;$AP$20&amp;" "</f>
        <v/>
      </c>
      <c r="BX20">
        <f>IF($AD$20=0,"",IF(OR($AG$20="SSA",$AG$20="SC"),$AE$20*$BT$20&amp;"|"&amp;$BL$20&amp;" STEEL STUD ANCHOR 2"&amp;CHAR(34)&amp;"||"&amp;$BS$20,"")&amp;IF($AG$20="WEWA-M",$AE$20*(N($AH$20)+1)*N($AI$20)&amp;"|FR101F 690 "&amp;$BL$20&amp;" MASONRY TUBE ANCHOR 16 GA||"&amp;$BS$20&amp;$AE$20*(N($AH$20)+1)*N($AI$20)&amp;"|3/8X5 SF3850 DYNO BOLTS||"&amp;$BS$20,"")&amp;IF($AG$20="WMA",$AE$20*$BT$20&amp;"|WIRE MASONRY ANCHOR||"&amp;$BS$20,"")&amp;IF($AG$20="T",$AE$20*$BT$20&amp;"|T-STRAP MASONRY ANCHOR||"&amp;$BS$20,"")&amp;IF($AG$20="WEWA-W",$AE$20*$BT$20&amp;"|P/D + WOOD SCREWS||"&amp;$BS$20,"")&amp;IF($AJ$20="WGS",$AE$20&amp;"|WELD &amp; GROUND SMOOTH||"&amp;$BS$20,"")&amp;IF(OR($AK$20="",$AK$20="-"),"",$AE$20*IF($BR$20,4,2)&amp;"|RACL/PACL-CLOSER REINF. 14GAx1-3/4x16 HRPO|"&amp;$AK$20&amp;IF($BR$20," BOTH SIDES","")&amp;"|"&amp;$BS$20)&amp;IF($AL$20="E8",$AE$20&amp;"|E8-STRIKE REINF. RIM EXIT||"&amp;$BS$20,"")&amp;IF(ISNUMBER(SEARCH("E4",$AL$20)),$AE$20&amp;"|FRAME DEADLOCK PREP||"&amp;$BS$20,"")&amp;IF($AL$20="E9",$AE$20&amp;"|ELECTRIC STRIKE PREP||"&amp;$BS$20,"")&amp;IF($AM$20="H5",$AE$20&amp;"|H5 STRIKE PREP IN HEADER||"&amp;$BS$20,IF(OR($AM$20="",$AM$20="-"),"",$AE$20&amp;"|HEADER PREP "&amp;$AM$20&amp;"||"&amp;$BS$20))&amp;IF(N($AN$20)&gt;0,$AE$20&amp;"|"&amp;$AN$20&amp;" MINUTE STEEL FRAME LABEL "&amp;IF(OR(N($AY$20)&gt;0,N($AZ$20)&gt;0),"W/TRANSOM PANEL/SIDELIGHT","CAT. C PP")&amp;"||"&amp;$BS$20,"")&amp;IF($AX$20="BL","",$AE$20&amp;"|HD "&amp;$AF$20&amp;$BW$20&amp;$BP$20&amp;" BSC||"&amp;$BS$20&amp;IF($BR$20,$AE$20&amp;"|HJ "&amp;$AF$20&amp;$BW$20&amp;"LH "&amp;$BO$20&amp;" "&amp;$BV$20&amp;" BSC "&amp;CHAR(34)&amp;$BQ$20&amp;CHAR(34)&amp;"||"&amp;$BS$20&amp;$AE$20&amp;"|HJ "&amp;$AF$20&amp;$BW$20&amp;"RH "&amp;$BO$20&amp;" "&amp;$BV$20&amp;" BSC "&amp;CHAR(34)&amp;$BQ$20&amp;CHAR(34)&amp;"||"&amp;$BS$20,$AE$20&amp;"|HJ "&amp;$AF$20&amp;$BW$20&amp;$AW$20&amp;" "&amp;$BO$20&amp;" "&amp;$BV$20&amp;" BSC "&amp;CHAR(34)&amp;$BQ$20&amp;CHAR(34)&amp;"||"&amp;$BS$20&amp;$AE$20&amp;"|SJ "&amp;$AF$20&amp;$BW$20&amp;$AW$20&amp;" "&amp;$BO$20&amp;" "&amp;$BU$20&amp;IF($BU$20="G18"," BLANK"," Y")&amp;" BSC "&amp;CHAR(34)&amp;$BQ$20&amp;CHAR(34)&amp;"||"&amp;$BS$20))&amp;IF(AND($BN$20&gt;N($AR$20),$AX$20&lt;&gt;"BL",N($AR$20)&gt;=60),$AE$20&amp;"|FRAME CUT DOWN (BOTTOM)|Cut "&amp;TRIM(TEXT($BN$20-N($AR$20),"# ?/??"))&amp;CHAR(34)&amp;" OFF THE BOTTOM|"&amp;$BS$20,""))</f>
        <v/>
      </c>
    </row>
    <row r="21">
      <c r="B21" s="180">
        <f>IF($AD21="","",VALUE(LEFT($AD21,FIND("|",$AD21)-1)))</f>
        <v/>
      </c>
      <c r="C21" s="180">
        <f>IF($AD21="","","    "&amp;MID($AD21,FIND("|",$AD21)+1,FIND("|",$AD21,FIND("|",$AD21)+1)-FIND("|",$AD21)-1))</f>
        <v/>
      </c>
      <c r="D21" s="180">
        <f>IF($AD21="","",MID($AD21,FIND("|",$AD21,FIND("|",$AD21)+1)+1,FIND("|",$AD21&amp;"|",FIND("|",$AD21,FIND("|",$AD21)+1)+1)-FIND("|",$AD21,FIND("|",$AD21)+1)-1))</f>
        <v/>
      </c>
      <c r="AD21">
        <f>TRIM(MID(SUBSTITUTE($BX$20,"~",REPT(" ",600)),1,600))</f>
        <v/>
      </c>
    </row>
    <row r="22">
      <c r="B22" s="180">
        <f>IF($AD22="","",VALUE(LEFT($AD22,FIND("|",$AD22)-1)))</f>
        <v/>
      </c>
      <c r="C22" s="180">
        <f>IF($AD22="","","    "&amp;MID($AD22,FIND("|",$AD22)+1,FIND("|",$AD22,FIND("|",$AD22)+1)-FIND("|",$AD22)-1))</f>
        <v/>
      </c>
      <c r="D22" s="180">
        <f>IF($AD22="","",MID($AD22,FIND("|",$AD22,FIND("|",$AD22)+1)+1,FIND("|",$AD22&amp;"|",FIND("|",$AD22,FIND("|",$AD22)+1)+1)-FIND("|",$AD22,FIND("|",$AD22)+1)-1))</f>
        <v/>
      </c>
      <c r="AD22">
        <f>TRIM(MID(SUBSTITUTE($BX$20,"~",REPT(" ",600)),601,600))</f>
        <v/>
      </c>
    </row>
    <row r="23">
      <c r="B23" s="180">
        <f>IF($AD23="","",VALUE(LEFT($AD23,FIND("|",$AD23)-1)))</f>
        <v/>
      </c>
      <c r="C23" s="180">
        <f>IF($AD23="","","    "&amp;MID($AD23,FIND("|",$AD23)+1,FIND("|",$AD23,FIND("|",$AD23)+1)-FIND("|",$AD23)-1))</f>
        <v/>
      </c>
      <c r="D23" s="180">
        <f>IF($AD23="","",MID($AD23,FIND("|",$AD23,FIND("|",$AD23)+1)+1,FIND("|",$AD23&amp;"|",FIND("|",$AD23,FIND("|",$AD23)+1)+1)-FIND("|",$AD23,FIND("|",$AD23)+1)-1))</f>
        <v/>
      </c>
      <c r="AD23">
        <f>TRIM(MID(SUBSTITUTE($BX$20,"~",REPT(" ",600)),1201,600))</f>
        <v/>
      </c>
    </row>
    <row r="24">
      <c r="B24" s="180">
        <f>IF($AD24="","",VALUE(LEFT($AD24,FIND("|",$AD24)-1)))</f>
        <v/>
      </c>
      <c r="C24" s="180">
        <f>IF($AD24="","","    "&amp;MID($AD24,FIND("|",$AD24)+1,FIND("|",$AD24,FIND("|",$AD24)+1)-FIND("|",$AD24)-1))</f>
        <v/>
      </c>
      <c r="D24" s="180">
        <f>IF($AD24="","",MID($AD24,FIND("|",$AD24,FIND("|",$AD24)+1)+1,FIND("|",$AD24&amp;"|",FIND("|",$AD24,FIND("|",$AD24)+1)+1)-FIND("|",$AD24,FIND("|",$AD24)+1)-1))</f>
        <v/>
      </c>
      <c r="AD24">
        <f>TRIM(MID(SUBSTITUTE($BX$20,"~",REPT(" ",600)),1801,600))</f>
        <v/>
      </c>
    </row>
    <row r="25">
      <c r="B25" s="180">
        <f>IF($AD25="","",VALUE(LEFT($AD25,FIND("|",$AD25)-1)))</f>
        <v/>
      </c>
      <c r="C25" s="180">
        <f>IF($AD25="","","    "&amp;MID($AD25,FIND("|",$AD25)+1,FIND("|",$AD25,FIND("|",$AD25)+1)-FIND("|",$AD25)-1))</f>
        <v/>
      </c>
      <c r="D25" s="180">
        <f>IF($AD25="","",MID($AD25,FIND("|",$AD25,FIND("|",$AD25)+1)+1,FIND("|",$AD25&amp;"|",FIND("|",$AD25,FIND("|",$AD25)+1)+1)-FIND("|",$AD25,FIND("|",$AD25)+1)-1))</f>
        <v/>
      </c>
      <c r="AD25">
        <f>TRIM(MID(SUBSTITUTE($BX$20,"~",REPT(" ",600)),2401,600))</f>
        <v/>
      </c>
    </row>
    <row r="26">
      <c r="B26" s="180">
        <f>IF($AD26="","",VALUE(LEFT($AD26,FIND("|",$AD26)-1)))</f>
        <v/>
      </c>
      <c r="C26" s="180">
        <f>IF($AD26="","","    "&amp;MID($AD26,FIND("|",$AD26)+1,FIND("|",$AD26,FIND("|",$AD26)+1)-FIND("|",$AD26)-1))</f>
        <v/>
      </c>
      <c r="D26" s="180">
        <f>IF($AD26="","",MID($AD26,FIND("|",$AD26,FIND("|",$AD26)+1)+1,FIND("|",$AD26&amp;"|",FIND("|",$AD26,FIND("|",$AD26)+1)+1)-FIND("|",$AD26,FIND("|",$AD26)+1)-1))</f>
        <v/>
      </c>
      <c r="AD26">
        <f>TRIM(MID(SUBSTITUTE($BX$20,"~",REPT(" ",600)),3001,600))</f>
        <v/>
      </c>
    </row>
    <row r="27">
      <c r="B27" s="180">
        <f>IF($AD27="","",VALUE(LEFT($AD27,FIND("|",$AD27)-1)))</f>
        <v/>
      </c>
      <c r="C27" s="180">
        <f>IF($AD27="","","    "&amp;MID($AD27,FIND("|",$AD27)+1,FIND("|",$AD27,FIND("|",$AD27)+1)-FIND("|",$AD27)-1))</f>
        <v/>
      </c>
      <c r="D27" s="180">
        <f>IF($AD27="","",MID($AD27,FIND("|",$AD27,FIND("|",$AD27)+1)+1,FIND("|",$AD27&amp;"|",FIND("|",$AD27,FIND("|",$AD27)+1)+1)-FIND("|",$AD27,FIND("|",$AD27)+1)-1))</f>
        <v/>
      </c>
      <c r="AD27">
        <f>TRIM(MID(SUBSTITUTE($BX$20,"~",REPT(" ",600)),3601,600))</f>
        <v/>
      </c>
    </row>
    <row r="28">
      <c r="B28" s="180">
        <f>IF($AD28="","",VALUE(LEFT($AD28,FIND("|",$AD28)-1)))</f>
        <v/>
      </c>
      <c r="C28" s="180">
        <f>IF($AD28="","","    "&amp;MID($AD28,FIND("|",$AD28)+1,FIND("|",$AD28,FIND("|",$AD28)+1)-FIND("|",$AD28)-1))</f>
        <v/>
      </c>
      <c r="D28" s="180">
        <f>IF($AD28="","",MID($AD28,FIND("|",$AD28,FIND("|",$AD28)+1)+1,FIND("|",$AD28&amp;"|",FIND("|",$AD28,FIND("|",$AD28)+1)+1)-FIND("|",$AD28,FIND("|",$AD28)+1)-1))</f>
        <v/>
      </c>
      <c r="AD28">
        <f>TRIM(MID(SUBSTITUTE($BX$20,"~",REPT(" ",600)),4201,600))</f>
        <v/>
      </c>
    </row>
    <row r="29">
      <c r="B29" s="180">
        <f>IF($AD29="","",VALUE(LEFT($AD29,FIND("|",$AD29)-1)))</f>
        <v/>
      </c>
      <c r="C29" s="180">
        <f>IF($AD29="","","    "&amp;MID($AD29,FIND("|",$AD29)+1,FIND("|",$AD29,FIND("|",$AD29)+1)-FIND("|",$AD29)-1))</f>
        <v/>
      </c>
      <c r="D29" s="180">
        <f>IF($AD29="","",MID($AD29,FIND("|",$AD29,FIND("|",$AD29)+1)+1,FIND("|",$AD29&amp;"|",FIND("|",$AD29,FIND("|",$AD29)+1)+1)-FIND("|",$AD29,FIND("|",$AD29)+1)-1))</f>
        <v/>
      </c>
      <c r="AD29">
        <f>TRIM(MID(SUBSTITUTE($BX$20,"~",REPT(" ",600)),4801,600))</f>
        <v/>
      </c>
    </row>
    <row r="30">
      <c r="B30" s="180">
        <f>IF($AD30="","",VALUE(LEFT($AD30,FIND("|",$AD30)-1)))</f>
        <v/>
      </c>
      <c r="C30" s="180">
        <f>IF($AD30="","","    "&amp;MID($AD30,FIND("|",$AD30)+1,FIND("|",$AD30,FIND("|",$AD30)+1)-FIND("|",$AD30)-1))</f>
        <v/>
      </c>
      <c r="D30" s="180">
        <f>IF($AD30="","",MID($AD30,FIND("|",$AD30,FIND("|",$AD30)+1)+1,FIND("|",$AD30&amp;"|",FIND("|",$AD30,FIND("|",$AD30)+1)+1)-FIND("|",$AD30,FIND("|",$AD30)+1)-1))</f>
        <v/>
      </c>
      <c r="AD30">
        <f>TRIM(MID(SUBSTITUTE($BX$20,"~",REPT(" ",600)),5401,600))</f>
        <v/>
      </c>
    </row>
    <row r="31">
      <c r="B31" s="180">
        <f>IF($AD31="","",VALUE(LEFT($AD31,FIND("|",$AD31)-1)))</f>
        <v/>
      </c>
      <c r="C31" s="180">
        <f>IF($AD31="","","    "&amp;MID($AD31,FIND("|",$AD31)+1,FIND("|",$AD31,FIND("|",$AD31)+1)-FIND("|",$AD31)-1))</f>
        <v/>
      </c>
      <c r="D31" s="180">
        <f>IF($AD31="","",MID($AD31,FIND("|",$AD31,FIND("|",$AD31)+1)+1,FIND("|",$AD31&amp;"|",FIND("|",$AD31,FIND("|",$AD31)+1)+1)-FIND("|",$AD31,FIND("|",$AD31)+1)-1))</f>
        <v/>
      </c>
      <c r="AD31">
        <f>TRIM(MID(SUBSTITUTE($BX$20,"~",REPT(" ",600)),6001,600))</f>
        <v/>
      </c>
    </row>
    <row r="32">
      <c r="A32" s="178">
        <f>IF($AD$32=0,"",$BK$32)</f>
        <v/>
      </c>
      <c r="B32" s="178">
        <f>IF($AD$32=0,"",$AE$32)</f>
        <v/>
      </c>
      <c r="C32" s="178">
        <f>IF($AD$32=0,"",$AE$32&amp;") "&amp;IF(COUNTIFS(tk_SOFG,3,tk_HLEG,"&lt;&gt;"&amp;$BJ$32)=0,INDEX(tk_FLINE,$AD$32),INDEX(tk_FLINEN,$AD$32))&amp;IF($AJ$32="KD"," ( R.O. "&amp;TRIM(TEXT(N($AQ$32)+2.25,"# ?/??"))&amp;CHAR(34)&amp;" x "&amp;TRIM(TEXT(N($AR$32)+1,"# ?/??"))&amp;CHAR(34)&amp;" )",""))</f>
        <v/>
      </c>
      <c r="D32" s="178" t="n"/>
      <c r="E32" s="179">
        <f t="array" ref="E32">IF($AD$32=0,"",_xlfn.TEXTJOIN(", ",TRUE,IF(tk_SOFG=3,"#"&amp;tk_MARK&amp;IF(tk_HLEG="","","("&amp;tk_HLEG&amp;")")&amp;IF(tk_QTY&gt;1," ×"&amp;tk_QTY,""),"")))</f>
        <v/>
      </c>
      <c r="AD32">
        <f>IFERROR(MATCH(3,tk_SOFG,0),0)</f>
        <v/>
      </c>
      <c r="AE32">
        <f>IF($AD$32=0,0,SUMIF(tk_SOFG,3,tk_QTY))</f>
        <v/>
      </c>
      <c r="AF32">
        <f>IF($AD$32=0,"",INDEX(tk_JAMB,$AD$32))</f>
        <v/>
      </c>
      <c r="AG32">
        <f>IF($AD$32=0,"",INDEX(tk_ANCHOR,$AD$32))</f>
        <v/>
      </c>
      <c r="AH32">
        <f>IF($AD$32=0,"",INDEX(tk_ANCH,$AD$32))</f>
        <v/>
      </c>
      <c r="AI32">
        <f>IF($AD$32=0,"",INDEX(tk_BASEA,$AD$32))</f>
        <v/>
      </c>
      <c r="AJ32">
        <f>IF($AD$32=0,"",INDEX(tk_CONSTR,$AD$32))</f>
        <v/>
      </c>
      <c r="AK32">
        <f>IF($AD$32=0,"",INDEX(tk_CLOSER,$AD$32))</f>
        <v/>
      </c>
      <c r="AL32">
        <f>IF($AD$32=0,"",INDEX(tk_STRIKE,$AD$32))</f>
        <v/>
      </c>
      <c r="AM32">
        <f>IF($AD$32=0,"",INDEX(tk_HDRPREP,$AD$32))</f>
        <v/>
      </c>
      <c r="AN32">
        <f>IF($AD$32=0,"",INDEX(tk_DMIN,$AD$32))</f>
        <v/>
      </c>
      <c r="AO32">
        <f>IF($AD$32=0,"",INDEX(tk_PAIR,$AD$32))</f>
        <v/>
      </c>
      <c r="AP32">
        <f>IF($AD$32=0,"",INDEX(tk_FGA,$AD$32))</f>
        <v/>
      </c>
      <c r="AQ32">
        <f>IF($AD$32=0,"",INDEX(tk_WI,$AD$32))</f>
        <v/>
      </c>
      <c r="AR32">
        <f>IF($AD$32=0,"",INDEX(tk_HI,$AD$32))</f>
        <v/>
      </c>
      <c r="AS32">
        <f>IF($AD$32=0,"",INDEX(tk_FHINGE,$AD$32))</f>
        <v/>
      </c>
      <c r="AT32">
        <f>IF($AD$32=0,"",INDEX(tk_DHINGE,$AD$32))</f>
        <v/>
      </c>
      <c r="AU32">
        <f>IF($AD$32=0,"",INDEX(tk_HWLOC,$AD$32))</f>
        <v/>
      </c>
      <c r="AV32">
        <f>IF($AD$32=0,"",INDEX(tk_MANUF,$AD$32))</f>
        <v/>
      </c>
      <c r="AW32">
        <f>IF($AD$32=0,"",INDEX(tk_JH,$AD$32))</f>
        <v/>
      </c>
      <c r="AX32">
        <f>IF($AD$32=0,"",INDEX(tk_FDESC,$AD$32))</f>
        <v/>
      </c>
      <c r="AY32">
        <f>IF($AD$32=0,"",INDEX(tk_TRANS,$AD$32))</f>
        <v/>
      </c>
      <c r="AZ32">
        <f>IF($AD$32=0,"",INDEX(tk_SLW,$AD$32))</f>
        <v/>
      </c>
      <c r="BA32">
        <f>IF($AD$32=0,"",INDEX(tk_LEAVES,$AD$32))</f>
        <v/>
      </c>
      <c r="BB32">
        <f>IF($AD$32=0,"",INDEX(tk_LEAFW,$AD$32))</f>
        <v/>
      </c>
      <c r="BC32">
        <f>IF($AD$32=0,"",INDEX(tk_LEAFH,$AD$32))</f>
        <v/>
      </c>
      <c r="BD32">
        <f>IF($AD$32=0,"",INDEX(tk_DMAT,$AD$32))</f>
        <v/>
      </c>
      <c r="BE32">
        <f>IF($AD$32=0,"",INDEX(tk_DGA,$AD$32))</f>
        <v/>
      </c>
      <c r="BF32">
        <f>IF($AD$32=0,"",INDEX(tk_SERIES,$AD$32))</f>
        <v/>
      </c>
      <c r="BG32">
        <f>IF($AD$32=0,"",INDEX(tk_LOCK,$AD$32))</f>
        <v/>
      </c>
      <c r="BH32">
        <f>IF($AD$32=0,"",INDEX(tk_LITEKIT,$AD$32))</f>
        <v/>
      </c>
      <c r="BI32">
        <f>IF($AD$32=0,"",INDEX(tk_FACE,$AD$32))</f>
        <v/>
      </c>
      <c r="BJ32">
        <f>IF($AD$32=0,"",INDEX(tk_HLEG,$AD$32))</f>
        <v/>
      </c>
      <c r="BK32">
        <f>IF($AD$32=0,"",INDEX(tk_SOITEM,$AD$32))</f>
        <v/>
      </c>
      <c r="BL32">
        <f>IFERROR(VLOOKUP($AF$32,CODES,2,FALSE),"")</f>
        <v/>
      </c>
      <c r="BM32">
        <f>IF($AJ$32="KD","C","M")</f>
        <v/>
      </c>
      <c r="BN32">
        <f>IF(N($AR$32)&lt;=80,80,IF(N($AR$32)&lt;=84,84,IF(N($AR$32)&lt;=96,96,N($AR$32))))</f>
        <v/>
      </c>
      <c r="BO32">
        <f>INT($BN$32/12)&amp;MOD($BN$32,12)</f>
        <v/>
      </c>
      <c r="BP32">
        <f>INT(N($AQ$32)/12)&amp;MOD(N($AQ$32),12)</f>
        <v/>
      </c>
      <c r="BQ32">
        <f>IF(OR($AU$32="",$AU$32="ANSI/SDI",$AU$32="CUSTOM LOC"),IF($AV$32="CU","CURRIES","STEELCRAFT"),$AU$32)</f>
        <v/>
      </c>
      <c r="BR32">
        <f>$AO$32="Y"</f>
        <v/>
      </c>
      <c r="BS32">
        <f>"~"</f>
        <v/>
      </c>
      <c r="BT32">
        <f>N($AH$32)*N($AI$32)</f>
        <v/>
      </c>
      <c r="BU32">
        <f>IF(OR($AL$32="",$AL$32="-",$AL$32="E8"),"G18",$AL$32)</f>
        <v/>
      </c>
      <c r="BV32">
        <f>IF(OR($AS$32="",$AS$32="-"),"BLK",$AS$32)</f>
        <v/>
      </c>
      <c r="BW32">
        <f>" "&amp;$BM$32&amp;$AP$32&amp;" "</f>
        <v/>
      </c>
      <c r="BX32">
        <f>IF($AD$32=0,"",IF(OR($AG$32="SSA",$AG$32="SC"),$AE$32*$BT$32&amp;"|"&amp;$BL$32&amp;" STEEL STUD ANCHOR 2"&amp;CHAR(34)&amp;"||"&amp;$BS$32,"")&amp;IF($AG$32="WEWA-M",$AE$32*(N($AH$32)+1)*N($AI$32)&amp;"|FR101F 690 "&amp;$BL$32&amp;" MASONRY TUBE ANCHOR 16 GA||"&amp;$BS$32&amp;$AE$32*(N($AH$32)+1)*N($AI$32)&amp;"|3/8X5 SF3850 DYNO BOLTS||"&amp;$BS$32,"")&amp;IF($AG$32="WMA",$AE$32*$BT$32&amp;"|WIRE MASONRY ANCHOR||"&amp;$BS$32,"")&amp;IF($AG$32="T",$AE$32*$BT$32&amp;"|T-STRAP MASONRY ANCHOR||"&amp;$BS$32,"")&amp;IF($AG$32="WEWA-W",$AE$32*$BT$32&amp;"|P/D + WOOD SCREWS||"&amp;$BS$32,"")&amp;IF($AJ$32="WGS",$AE$32&amp;"|WELD &amp; GROUND SMOOTH||"&amp;$BS$32,"")&amp;IF(OR($AK$32="",$AK$32="-"),"",$AE$32*IF($BR$32,4,2)&amp;"|RACL/PACL-CLOSER REINF. 14GAx1-3/4x16 HRPO|"&amp;$AK$32&amp;IF($BR$32," BOTH SIDES","")&amp;"|"&amp;$BS$32)&amp;IF($AL$32="E8",$AE$32&amp;"|E8-STRIKE REINF. RIM EXIT||"&amp;$BS$32,"")&amp;IF(ISNUMBER(SEARCH("E4",$AL$32)),$AE$32&amp;"|FRAME DEADLOCK PREP||"&amp;$BS$32,"")&amp;IF($AL$32="E9",$AE$32&amp;"|ELECTRIC STRIKE PREP||"&amp;$BS$32,"")&amp;IF($AM$32="H5",$AE$32&amp;"|H5 STRIKE PREP IN HEADER||"&amp;$BS$32,IF(OR($AM$32="",$AM$32="-"),"",$AE$32&amp;"|HEADER PREP "&amp;$AM$32&amp;"||"&amp;$BS$32))&amp;IF(N($AN$32)&gt;0,$AE$32&amp;"|"&amp;$AN$32&amp;" MINUTE STEEL FRAME LABEL "&amp;IF(OR(N($AY$32)&gt;0,N($AZ$32)&gt;0),"W/TRANSOM PANEL/SIDELIGHT","CAT. C PP")&amp;"||"&amp;$BS$32,"")&amp;IF($AX$32="BL","",$AE$32&amp;"|HD "&amp;$AF$32&amp;$BW$32&amp;$BP$32&amp;" BSC||"&amp;$BS$32&amp;IF($BR$32,$AE$32&amp;"|HJ "&amp;$AF$32&amp;$BW$32&amp;"LH "&amp;$BO$32&amp;" "&amp;$BV$32&amp;" BSC "&amp;CHAR(34)&amp;$BQ$32&amp;CHAR(34)&amp;"||"&amp;$BS$32&amp;$AE$32&amp;"|HJ "&amp;$AF$32&amp;$BW$32&amp;"RH "&amp;$BO$32&amp;" "&amp;$BV$32&amp;" BSC "&amp;CHAR(34)&amp;$BQ$32&amp;CHAR(34)&amp;"||"&amp;$BS$32,$AE$32&amp;"|HJ "&amp;$AF$32&amp;$BW$32&amp;$AW$32&amp;" "&amp;$BO$32&amp;" "&amp;$BV$32&amp;" BSC "&amp;CHAR(34)&amp;$BQ$32&amp;CHAR(34)&amp;"||"&amp;$BS$32&amp;$AE$32&amp;"|SJ "&amp;$AF$32&amp;$BW$32&amp;$AW$32&amp;" "&amp;$BO$32&amp;" "&amp;$BU$32&amp;IF($BU$32="G18"," BLANK"," Y")&amp;" BSC "&amp;CHAR(34)&amp;$BQ$32&amp;CHAR(34)&amp;"||"&amp;$BS$32))&amp;IF(AND($BN$32&gt;N($AR$32),$AX$32&lt;&gt;"BL",N($AR$32)&gt;=60),$AE$32&amp;"|FRAME CUT DOWN (BOTTOM)|Cut "&amp;TRIM(TEXT($BN$32-N($AR$32),"# ?/??"))&amp;CHAR(34)&amp;" OFF THE BOTTOM|"&amp;$BS$32,""))</f>
        <v/>
      </c>
    </row>
    <row r="33">
      <c r="B33" s="180">
        <f>IF($AD33="","",VALUE(LEFT($AD33,FIND("|",$AD33)-1)))</f>
        <v/>
      </c>
      <c r="C33" s="180">
        <f>IF($AD33="","","    "&amp;MID($AD33,FIND("|",$AD33)+1,FIND("|",$AD33,FIND("|",$AD33)+1)-FIND("|",$AD33)-1))</f>
        <v/>
      </c>
      <c r="D33" s="180">
        <f>IF($AD33="","",MID($AD33,FIND("|",$AD33,FIND("|",$AD33)+1)+1,FIND("|",$AD33&amp;"|",FIND("|",$AD33,FIND("|",$AD33)+1)+1)-FIND("|",$AD33,FIND("|",$AD33)+1)-1))</f>
        <v/>
      </c>
      <c r="AD33">
        <f>TRIM(MID(SUBSTITUTE($BX$32,"~",REPT(" ",600)),1,600))</f>
        <v/>
      </c>
    </row>
    <row r="34">
      <c r="B34" s="180">
        <f>IF($AD34="","",VALUE(LEFT($AD34,FIND("|",$AD34)-1)))</f>
        <v/>
      </c>
      <c r="C34" s="180">
        <f>IF($AD34="","","    "&amp;MID($AD34,FIND("|",$AD34)+1,FIND("|",$AD34,FIND("|",$AD34)+1)-FIND("|",$AD34)-1))</f>
        <v/>
      </c>
      <c r="D34" s="180">
        <f>IF($AD34="","",MID($AD34,FIND("|",$AD34,FIND("|",$AD34)+1)+1,FIND("|",$AD34&amp;"|",FIND("|",$AD34,FIND("|",$AD34)+1)+1)-FIND("|",$AD34,FIND("|",$AD34)+1)-1))</f>
        <v/>
      </c>
      <c r="AD34">
        <f>TRIM(MID(SUBSTITUTE($BX$32,"~",REPT(" ",600)),601,600))</f>
        <v/>
      </c>
    </row>
    <row r="35">
      <c r="B35" s="180">
        <f>IF($AD35="","",VALUE(LEFT($AD35,FIND("|",$AD35)-1)))</f>
        <v/>
      </c>
      <c r="C35" s="180">
        <f>IF($AD35="","","    "&amp;MID($AD35,FIND("|",$AD35)+1,FIND("|",$AD35,FIND("|",$AD35)+1)-FIND("|",$AD35)-1))</f>
        <v/>
      </c>
      <c r="D35" s="180">
        <f>IF($AD35="","",MID($AD35,FIND("|",$AD35,FIND("|",$AD35)+1)+1,FIND("|",$AD35&amp;"|",FIND("|",$AD35,FIND("|",$AD35)+1)+1)-FIND("|",$AD35,FIND("|",$AD35)+1)-1))</f>
        <v/>
      </c>
      <c r="AD35">
        <f>TRIM(MID(SUBSTITUTE($BX$32,"~",REPT(" ",600)),1201,600))</f>
        <v/>
      </c>
    </row>
    <row r="36">
      <c r="B36" s="180">
        <f>IF($AD36="","",VALUE(LEFT($AD36,FIND("|",$AD36)-1)))</f>
        <v/>
      </c>
      <c r="C36" s="180">
        <f>IF($AD36="","","    "&amp;MID($AD36,FIND("|",$AD36)+1,FIND("|",$AD36,FIND("|",$AD36)+1)-FIND("|",$AD36)-1))</f>
        <v/>
      </c>
      <c r="D36" s="180">
        <f>IF($AD36="","",MID($AD36,FIND("|",$AD36,FIND("|",$AD36)+1)+1,FIND("|",$AD36&amp;"|",FIND("|",$AD36,FIND("|",$AD36)+1)+1)-FIND("|",$AD36,FIND("|",$AD36)+1)-1))</f>
        <v/>
      </c>
      <c r="AD36">
        <f>TRIM(MID(SUBSTITUTE($BX$32,"~",REPT(" ",600)),1801,600))</f>
        <v/>
      </c>
    </row>
    <row r="37">
      <c r="B37" s="180">
        <f>IF($AD37="","",VALUE(LEFT($AD37,FIND("|",$AD37)-1)))</f>
        <v/>
      </c>
      <c r="C37" s="180">
        <f>IF($AD37="","","    "&amp;MID($AD37,FIND("|",$AD37)+1,FIND("|",$AD37,FIND("|",$AD37)+1)-FIND("|",$AD37)-1))</f>
        <v/>
      </c>
      <c r="D37" s="180">
        <f>IF($AD37="","",MID($AD37,FIND("|",$AD37,FIND("|",$AD37)+1)+1,FIND("|",$AD37&amp;"|",FIND("|",$AD37,FIND("|",$AD37)+1)+1)-FIND("|",$AD37,FIND("|",$AD37)+1)-1))</f>
        <v/>
      </c>
      <c r="AD37">
        <f>TRIM(MID(SUBSTITUTE($BX$32,"~",REPT(" ",600)),2401,600))</f>
        <v/>
      </c>
    </row>
    <row r="38">
      <c r="B38" s="180">
        <f>IF($AD38="","",VALUE(LEFT($AD38,FIND("|",$AD38)-1)))</f>
        <v/>
      </c>
      <c r="C38" s="180">
        <f>IF($AD38="","","    "&amp;MID($AD38,FIND("|",$AD38)+1,FIND("|",$AD38,FIND("|",$AD38)+1)-FIND("|",$AD38)-1))</f>
        <v/>
      </c>
      <c r="D38" s="180">
        <f>IF($AD38="","",MID($AD38,FIND("|",$AD38,FIND("|",$AD38)+1)+1,FIND("|",$AD38&amp;"|",FIND("|",$AD38,FIND("|",$AD38)+1)+1)-FIND("|",$AD38,FIND("|",$AD38)+1)-1))</f>
        <v/>
      </c>
      <c r="AD38">
        <f>TRIM(MID(SUBSTITUTE($BX$32,"~",REPT(" ",600)),3001,600))</f>
        <v/>
      </c>
    </row>
    <row r="39">
      <c r="B39" s="180">
        <f>IF($AD39="","",VALUE(LEFT($AD39,FIND("|",$AD39)-1)))</f>
        <v/>
      </c>
      <c r="C39" s="180">
        <f>IF($AD39="","","    "&amp;MID($AD39,FIND("|",$AD39)+1,FIND("|",$AD39,FIND("|",$AD39)+1)-FIND("|",$AD39)-1))</f>
        <v/>
      </c>
      <c r="D39" s="180">
        <f>IF($AD39="","",MID($AD39,FIND("|",$AD39,FIND("|",$AD39)+1)+1,FIND("|",$AD39&amp;"|",FIND("|",$AD39,FIND("|",$AD39)+1)+1)-FIND("|",$AD39,FIND("|",$AD39)+1)-1))</f>
        <v/>
      </c>
      <c r="AD39">
        <f>TRIM(MID(SUBSTITUTE($BX$32,"~",REPT(" ",600)),3601,600))</f>
        <v/>
      </c>
    </row>
    <row r="40">
      <c r="B40" s="180">
        <f>IF($AD40="","",VALUE(LEFT($AD40,FIND("|",$AD40)-1)))</f>
        <v/>
      </c>
      <c r="C40" s="180">
        <f>IF($AD40="","","    "&amp;MID($AD40,FIND("|",$AD40)+1,FIND("|",$AD40,FIND("|",$AD40)+1)-FIND("|",$AD40)-1))</f>
        <v/>
      </c>
      <c r="D40" s="180">
        <f>IF($AD40="","",MID($AD40,FIND("|",$AD40,FIND("|",$AD40)+1)+1,FIND("|",$AD40&amp;"|",FIND("|",$AD40,FIND("|",$AD40)+1)+1)-FIND("|",$AD40,FIND("|",$AD40)+1)-1))</f>
        <v/>
      </c>
      <c r="AD40">
        <f>TRIM(MID(SUBSTITUTE($BX$32,"~",REPT(" ",600)),4201,600))</f>
        <v/>
      </c>
    </row>
    <row r="41">
      <c r="B41" s="180">
        <f>IF($AD41="","",VALUE(LEFT($AD41,FIND("|",$AD41)-1)))</f>
        <v/>
      </c>
      <c r="C41" s="180">
        <f>IF($AD41="","","    "&amp;MID($AD41,FIND("|",$AD41)+1,FIND("|",$AD41,FIND("|",$AD41)+1)-FIND("|",$AD41)-1))</f>
        <v/>
      </c>
      <c r="D41" s="180">
        <f>IF($AD41="","",MID($AD41,FIND("|",$AD41,FIND("|",$AD41)+1)+1,FIND("|",$AD41&amp;"|",FIND("|",$AD41,FIND("|",$AD41)+1)+1)-FIND("|",$AD41,FIND("|",$AD41)+1)-1))</f>
        <v/>
      </c>
      <c r="AD41">
        <f>TRIM(MID(SUBSTITUTE($BX$32,"~",REPT(" ",600)),4801,600))</f>
        <v/>
      </c>
    </row>
    <row r="42">
      <c r="B42" s="180">
        <f>IF($AD42="","",VALUE(LEFT($AD42,FIND("|",$AD42)-1)))</f>
        <v/>
      </c>
      <c r="C42" s="180">
        <f>IF($AD42="","","    "&amp;MID($AD42,FIND("|",$AD42)+1,FIND("|",$AD42,FIND("|",$AD42)+1)-FIND("|",$AD42)-1))</f>
        <v/>
      </c>
      <c r="D42" s="180">
        <f>IF($AD42="","",MID($AD42,FIND("|",$AD42,FIND("|",$AD42)+1)+1,FIND("|",$AD42&amp;"|",FIND("|",$AD42,FIND("|",$AD42)+1)+1)-FIND("|",$AD42,FIND("|",$AD42)+1)-1))</f>
        <v/>
      </c>
      <c r="AD42">
        <f>TRIM(MID(SUBSTITUTE($BX$32,"~",REPT(" ",600)),5401,600))</f>
        <v/>
      </c>
    </row>
    <row r="43">
      <c r="B43" s="180">
        <f>IF($AD43="","",VALUE(LEFT($AD43,FIND("|",$AD43)-1)))</f>
        <v/>
      </c>
      <c r="C43" s="180">
        <f>IF($AD43="","","    "&amp;MID($AD43,FIND("|",$AD43)+1,FIND("|",$AD43,FIND("|",$AD43)+1)-FIND("|",$AD43)-1))</f>
        <v/>
      </c>
      <c r="D43" s="180">
        <f>IF($AD43="","",MID($AD43,FIND("|",$AD43,FIND("|",$AD43)+1)+1,FIND("|",$AD43&amp;"|",FIND("|",$AD43,FIND("|",$AD43)+1)+1)-FIND("|",$AD43,FIND("|",$AD43)+1)-1))</f>
        <v/>
      </c>
      <c r="AD43">
        <f>TRIM(MID(SUBSTITUTE($BX$32,"~",REPT(" ",600)),6001,600))</f>
        <v/>
      </c>
    </row>
    <row r="44">
      <c r="A44" s="178">
        <f>IF($AD$44=0,"",$BK$44)</f>
        <v/>
      </c>
      <c r="B44" s="178">
        <f>IF($AD$44=0,"",$AE$44)</f>
        <v/>
      </c>
      <c r="C44" s="178">
        <f>IF($AD$44=0,"",$AE$44&amp;") "&amp;IF(COUNTIFS(tk_SOFG,4,tk_HLEG,"&lt;&gt;"&amp;$BJ$44)=0,INDEX(tk_FLINE,$AD$44),INDEX(tk_FLINEN,$AD$44))&amp;IF($AJ$44="KD"," ( R.O. "&amp;TRIM(TEXT(N($AQ$44)+2.25,"# ?/??"))&amp;CHAR(34)&amp;" x "&amp;TRIM(TEXT(N($AR$44)+1,"# ?/??"))&amp;CHAR(34)&amp;" )",""))</f>
        <v/>
      </c>
      <c r="D44" s="178" t="n"/>
      <c r="E44" s="179">
        <f t="array" ref="E44">IF($AD$44=0,"",_xlfn.TEXTJOIN(", ",TRUE,IF(tk_SOFG=4,"#"&amp;tk_MARK&amp;IF(tk_HLEG="","","("&amp;tk_HLEG&amp;")")&amp;IF(tk_QTY&gt;1," ×"&amp;tk_QTY,""),"")))</f>
        <v/>
      </c>
      <c r="AD44">
        <f>IFERROR(MATCH(4,tk_SOFG,0),0)</f>
        <v/>
      </c>
      <c r="AE44">
        <f>IF($AD$44=0,0,SUMIF(tk_SOFG,4,tk_QTY))</f>
        <v/>
      </c>
      <c r="AF44">
        <f>IF($AD$44=0,"",INDEX(tk_JAMB,$AD$44))</f>
        <v/>
      </c>
      <c r="AG44">
        <f>IF($AD$44=0,"",INDEX(tk_ANCHOR,$AD$44))</f>
        <v/>
      </c>
      <c r="AH44">
        <f>IF($AD$44=0,"",INDEX(tk_ANCH,$AD$44))</f>
        <v/>
      </c>
      <c r="AI44">
        <f>IF($AD$44=0,"",INDEX(tk_BASEA,$AD$44))</f>
        <v/>
      </c>
      <c r="AJ44">
        <f>IF($AD$44=0,"",INDEX(tk_CONSTR,$AD$44))</f>
        <v/>
      </c>
      <c r="AK44">
        <f>IF($AD$44=0,"",INDEX(tk_CLOSER,$AD$44))</f>
        <v/>
      </c>
      <c r="AL44">
        <f>IF($AD$44=0,"",INDEX(tk_STRIKE,$AD$44))</f>
        <v/>
      </c>
      <c r="AM44">
        <f>IF($AD$44=0,"",INDEX(tk_HDRPREP,$AD$44))</f>
        <v/>
      </c>
      <c r="AN44">
        <f>IF($AD$44=0,"",INDEX(tk_DMIN,$AD$44))</f>
        <v/>
      </c>
      <c r="AO44">
        <f>IF($AD$44=0,"",INDEX(tk_PAIR,$AD$44))</f>
        <v/>
      </c>
      <c r="AP44">
        <f>IF($AD$44=0,"",INDEX(tk_FGA,$AD$44))</f>
        <v/>
      </c>
      <c r="AQ44">
        <f>IF($AD$44=0,"",INDEX(tk_WI,$AD$44))</f>
        <v/>
      </c>
      <c r="AR44">
        <f>IF($AD$44=0,"",INDEX(tk_HI,$AD$44))</f>
        <v/>
      </c>
      <c r="AS44">
        <f>IF($AD$44=0,"",INDEX(tk_FHINGE,$AD$44))</f>
        <v/>
      </c>
      <c r="AT44">
        <f>IF($AD$44=0,"",INDEX(tk_DHINGE,$AD$44))</f>
        <v/>
      </c>
      <c r="AU44">
        <f>IF($AD$44=0,"",INDEX(tk_HWLOC,$AD$44))</f>
        <v/>
      </c>
      <c r="AV44">
        <f>IF($AD$44=0,"",INDEX(tk_MANUF,$AD$44))</f>
        <v/>
      </c>
      <c r="AW44">
        <f>IF($AD$44=0,"",INDEX(tk_JH,$AD$44))</f>
        <v/>
      </c>
      <c r="AX44">
        <f>IF($AD$44=0,"",INDEX(tk_FDESC,$AD$44))</f>
        <v/>
      </c>
      <c r="AY44">
        <f>IF($AD$44=0,"",INDEX(tk_TRANS,$AD$44))</f>
        <v/>
      </c>
      <c r="AZ44">
        <f>IF($AD$44=0,"",INDEX(tk_SLW,$AD$44))</f>
        <v/>
      </c>
      <c r="BA44">
        <f>IF($AD$44=0,"",INDEX(tk_LEAVES,$AD$44))</f>
        <v/>
      </c>
      <c r="BB44">
        <f>IF($AD$44=0,"",INDEX(tk_LEAFW,$AD$44))</f>
        <v/>
      </c>
      <c r="BC44">
        <f>IF($AD$44=0,"",INDEX(tk_LEAFH,$AD$44))</f>
        <v/>
      </c>
      <c r="BD44">
        <f>IF($AD$44=0,"",INDEX(tk_DMAT,$AD$44))</f>
        <v/>
      </c>
      <c r="BE44">
        <f>IF($AD$44=0,"",INDEX(tk_DGA,$AD$44))</f>
        <v/>
      </c>
      <c r="BF44">
        <f>IF($AD$44=0,"",INDEX(tk_SERIES,$AD$44))</f>
        <v/>
      </c>
      <c r="BG44">
        <f>IF($AD$44=0,"",INDEX(tk_LOCK,$AD$44))</f>
        <v/>
      </c>
      <c r="BH44">
        <f>IF($AD$44=0,"",INDEX(tk_LITEKIT,$AD$44))</f>
        <v/>
      </c>
      <c r="BI44">
        <f>IF($AD$44=0,"",INDEX(tk_FACE,$AD$44))</f>
        <v/>
      </c>
      <c r="BJ44">
        <f>IF($AD$44=0,"",INDEX(tk_HLEG,$AD$44))</f>
        <v/>
      </c>
      <c r="BK44">
        <f>IF($AD$44=0,"",INDEX(tk_SOITEM,$AD$44))</f>
        <v/>
      </c>
      <c r="BL44">
        <f>IFERROR(VLOOKUP($AF$44,CODES,2,FALSE),"")</f>
        <v/>
      </c>
      <c r="BM44">
        <f>IF($AJ$44="KD","C","M")</f>
        <v/>
      </c>
      <c r="BN44">
        <f>IF(N($AR$44)&lt;=80,80,IF(N($AR$44)&lt;=84,84,IF(N($AR$44)&lt;=96,96,N($AR$44))))</f>
        <v/>
      </c>
      <c r="BO44">
        <f>INT($BN$44/12)&amp;MOD($BN$44,12)</f>
        <v/>
      </c>
      <c r="BP44">
        <f>INT(N($AQ$44)/12)&amp;MOD(N($AQ$44),12)</f>
        <v/>
      </c>
      <c r="BQ44">
        <f>IF(OR($AU$44="",$AU$44="ANSI/SDI",$AU$44="CUSTOM LOC"),IF($AV$44="CU","CURRIES","STEELCRAFT"),$AU$44)</f>
        <v/>
      </c>
      <c r="BR44">
        <f>$AO$44="Y"</f>
        <v/>
      </c>
      <c r="BS44">
        <f>"~"</f>
        <v/>
      </c>
      <c r="BT44">
        <f>N($AH$44)*N($AI$44)</f>
        <v/>
      </c>
      <c r="BU44">
        <f>IF(OR($AL$44="",$AL$44="-",$AL$44="E8"),"G18",$AL$44)</f>
        <v/>
      </c>
      <c r="BV44">
        <f>IF(OR($AS$44="",$AS$44="-"),"BLK",$AS$44)</f>
        <v/>
      </c>
      <c r="BW44">
        <f>" "&amp;$BM$44&amp;$AP$44&amp;" "</f>
        <v/>
      </c>
      <c r="BX44">
        <f>IF($AD$44=0,"",IF(OR($AG$44="SSA",$AG$44="SC"),$AE$44*$BT$44&amp;"|"&amp;$BL$44&amp;" STEEL STUD ANCHOR 2"&amp;CHAR(34)&amp;"||"&amp;$BS$44,"")&amp;IF($AG$44="WEWA-M",$AE$44*(N($AH$44)+1)*N($AI$44)&amp;"|FR101F 690 "&amp;$BL$44&amp;" MASONRY TUBE ANCHOR 16 GA||"&amp;$BS$44&amp;$AE$44*(N($AH$44)+1)*N($AI$44)&amp;"|3/8X5 SF3850 DYNO BOLTS||"&amp;$BS$44,"")&amp;IF($AG$44="WMA",$AE$44*$BT$44&amp;"|WIRE MASONRY ANCHOR||"&amp;$BS$44,"")&amp;IF($AG$44="T",$AE$44*$BT$44&amp;"|T-STRAP MASONRY ANCHOR||"&amp;$BS$44,"")&amp;IF($AG$44="WEWA-W",$AE$44*$BT$44&amp;"|P/D + WOOD SCREWS||"&amp;$BS$44,"")&amp;IF($AJ$44="WGS",$AE$44&amp;"|WELD &amp; GROUND SMOOTH||"&amp;$BS$44,"")&amp;IF(OR($AK$44="",$AK$44="-"),"",$AE$44*IF($BR$44,4,2)&amp;"|RACL/PACL-CLOSER REINF. 14GAx1-3/4x16 HRPO|"&amp;$AK$44&amp;IF($BR$44," BOTH SIDES","")&amp;"|"&amp;$BS$44)&amp;IF($AL$44="E8",$AE$44&amp;"|E8-STRIKE REINF. RIM EXIT||"&amp;$BS$44,"")&amp;IF(ISNUMBER(SEARCH("E4",$AL$44)),$AE$44&amp;"|FRAME DEADLOCK PREP||"&amp;$BS$44,"")&amp;IF($AL$44="E9",$AE$44&amp;"|ELECTRIC STRIKE PREP||"&amp;$BS$44,"")&amp;IF($AM$44="H5",$AE$44&amp;"|H5 STRIKE PREP IN HEADER||"&amp;$BS$44,IF(OR($AM$44="",$AM$44="-"),"",$AE$44&amp;"|HEADER PREP "&amp;$AM$44&amp;"||"&amp;$BS$44))&amp;IF(N($AN$44)&gt;0,$AE$44&amp;"|"&amp;$AN$44&amp;" MINUTE STEEL FRAME LABEL "&amp;IF(OR(N($AY$44)&gt;0,N($AZ$44)&gt;0),"W/TRANSOM PANEL/SIDELIGHT","CAT. C PP")&amp;"||"&amp;$BS$44,"")&amp;IF($AX$44="BL","",$AE$44&amp;"|HD "&amp;$AF$44&amp;$BW$44&amp;$BP$44&amp;" BSC||"&amp;$BS$44&amp;IF($BR$44,$AE$44&amp;"|HJ "&amp;$AF$44&amp;$BW$44&amp;"LH "&amp;$BO$44&amp;" "&amp;$BV$44&amp;" BSC "&amp;CHAR(34)&amp;$BQ$44&amp;CHAR(34)&amp;"||"&amp;$BS$44&amp;$AE$44&amp;"|HJ "&amp;$AF$44&amp;$BW$44&amp;"RH "&amp;$BO$44&amp;" "&amp;$BV$44&amp;" BSC "&amp;CHAR(34)&amp;$BQ$44&amp;CHAR(34)&amp;"||"&amp;$BS$44,$AE$44&amp;"|HJ "&amp;$AF$44&amp;$BW$44&amp;$AW$44&amp;" "&amp;$BO$44&amp;" "&amp;$BV$44&amp;" BSC "&amp;CHAR(34)&amp;$BQ$44&amp;CHAR(34)&amp;"||"&amp;$BS$44&amp;$AE$44&amp;"|SJ "&amp;$AF$44&amp;$BW$44&amp;$AW$44&amp;" "&amp;$BO$44&amp;" "&amp;$BU$44&amp;IF($BU$44="G18"," BLANK"," Y")&amp;" BSC "&amp;CHAR(34)&amp;$BQ$44&amp;CHAR(34)&amp;"||"&amp;$BS$44))&amp;IF(AND($BN$44&gt;N($AR$44),$AX$44&lt;&gt;"BL",N($AR$44)&gt;=60),$AE$44&amp;"|FRAME CUT DOWN (BOTTOM)|Cut "&amp;TRIM(TEXT($BN$44-N($AR$44),"# ?/??"))&amp;CHAR(34)&amp;" OFF THE BOTTOM|"&amp;$BS$44,""))</f>
        <v/>
      </c>
    </row>
    <row r="45">
      <c r="B45" s="180">
        <f>IF($AD45="","",VALUE(LEFT($AD45,FIND("|",$AD45)-1)))</f>
        <v/>
      </c>
      <c r="C45" s="180">
        <f>IF($AD45="","","    "&amp;MID($AD45,FIND("|",$AD45)+1,FIND("|",$AD45,FIND("|",$AD45)+1)-FIND("|",$AD45)-1))</f>
        <v/>
      </c>
      <c r="D45" s="180">
        <f>IF($AD45="","",MID($AD45,FIND("|",$AD45,FIND("|",$AD45)+1)+1,FIND("|",$AD45&amp;"|",FIND("|",$AD45,FIND("|",$AD45)+1)+1)-FIND("|",$AD45,FIND("|",$AD45)+1)-1))</f>
        <v/>
      </c>
      <c r="AD45">
        <f>TRIM(MID(SUBSTITUTE($BX$44,"~",REPT(" ",600)),1,600))</f>
        <v/>
      </c>
    </row>
    <row r="46">
      <c r="B46" s="180">
        <f>IF($AD46="","",VALUE(LEFT($AD46,FIND("|",$AD46)-1)))</f>
        <v/>
      </c>
      <c r="C46" s="180">
        <f>IF($AD46="","","    "&amp;MID($AD46,FIND("|",$AD46)+1,FIND("|",$AD46,FIND("|",$AD46)+1)-FIND("|",$AD46)-1))</f>
        <v/>
      </c>
      <c r="D46" s="180">
        <f>IF($AD46="","",MID($AD46,FIND("|",$AD46,FIND("|",$AD46)+1)+1,FIND("|",$AD46&amp;"|",FIND("|",$AD46,FIND("|",$AD46)+1)+1)-FIND("|",$AD46,FIND("|",$AD46)+1)-1))</f>
        <v/>
      </c>
      <c r="AD46">
        <f>TRIM(MID(SUBSTITUTE($BX$44,"~",REPT(" ",600)),601,600))</f>
        <v/>
      </c>
    </row>
    <row r="47">
      <c r="B47" s="180">
        <f>IF($AD47="","",VALUE(LEFT($AD47,FIND("|",$AD47)-1)))</f>
        <v/>
      </c>
      <c r="C47" s="180">
        <f>IF($AD47="","","    "&amp;MID($AD47,FIND("|",$AD47)+1,FIND("|",$AD47,FIND("|",$AD47)+1)-FIND("|",$AD47)-1))</f>
        <v/>
      </c>
      <c r="D47" s="180">
        <f>IF($AD47="","",MID($AD47,FIND("|",$AD47,FIND("|",$AD47)+1)+1,FIND("|",$AD47&amp;"|",FIND("|",$AD47,FIND("|",$AD47)+1)+1)-FIND("|",$AD47,FIND("|",$AD47)+1)-1))</f>
        <v/>
      </c>
      <c r="AD47">
        <f>TRIM(MID(SUBSTITUTE($BX$44,"~",REPT(" ",600)),1201,600))</f>
        <v/>
      </c>
    </row>
    <row r="48">
      <c r="B48" s="180">
        <f>IF($AD48="","",VALUE(LEFT($AD48,FIND("|",$AD48)-1)))</f>
        <v/>
      </c>
      <c r="C48" s="180">
        <f>IF($AD48="","","    "&amp;MID($AD48,FIND("|",$AD48)+1,FIND("|",$AD48,FIND("|",$AD48)+1)-FIND("|",$AD48)-1))</f>
        <v/>
      </c>
      <c r="D48" s="180">
        <f>IF($AD48="","",MID($AD48,FIND("|",$AD48,FIND("|",$AD48)+1)+1,FIND("|",$AD48&amp;"|",FIND("|",$AD48,FIND("|",$AD48)+1)+1)-FIND("|",$AD48,FIND("|",$AD48)+1)-1))</f>
        <v/>
      </c>
      <c r="AD48">
        <f>TRIM(MID(SUBSTITUTE($BX$44,"~",REPT(" ",600)),1801,600))</f>
        <v/>
      </c>
    </row>
    <row r="49">
      <c r="B49" s="180">
        <f>IF($AD49="","",VALUE(LEFT($AD49,FIND("|",$AD49)-1)))</f>
        <v/>
      </c>
      <c r="C49" s="180">
        <f>IF($AD49="","","    "&amp;MID($AD49,FIND("|",$AD49)+1,FIND("|",$AD49,FIND("|",$AD49)+1)-FIND("|",$AD49)-1))</f>
        <v/>
      </c>
      <c r="D49" s="180">
        <f>IF($AD49="","",MID($AD49,FIND("|",$AD49,FIND("|",$AD49)+1)+1,FIND("|",$AD49&amp;"|",FIND("|",$AD49,FIND("|",$AD49)+1)+1)-FIND("|",$AD49,FIND("|",$AD49)+1)-1))</f>
        <v/>
      </c>
      <c r="AD49">
        <f>TRIM(MID(SUBSTITUTE($BX$44,"~",REPT(" ",600)),2401,600))</f>
        <v/>
      </c>
    </row>
    <row r="50">
      <c r="B50" s="180">
        <f>IF($AD50="","",VALUE(LEFT($AD50,FIND("|",$AD50)-1)))</f>
        <v/>
      </c>
      <c r="C50" s="180">
        <f>IF($AD50="","","    "&amp;MID($AD50,FIND("|",$AD50)+1,FIND("|",$AD50,FIND("|",$AD50)+1)-FIND("|",$AD50)-1))</f>
        <v/>
      </c>
      <c r="D50" s="180">
        <f>IF($AD50="","",MID($AD50,FIND("|",$AD50,FIND("|",$AD50)+1)+1,FIND("|",$AD50&amp;"|",FIND("|",$AD50,FIND("|",$AD50)+1)+1)-FIND("|",$AD50,FIND("|",$AD50)+1)-1))</f>
        <v/>
      </c>
      <c r="AD50">
        <f>TRIM(MID(SUBSTITUTE($BX$44,"~",REPT(" ",600)),3001,600))</f>
        <v/>
      </c>
    </row>
    <row r="51">
      <c r="B51" s="180">
        <f>IF($AD51="","",VALUE(LEFT($AD51,FIND("|",$AD51)-1)))</f>
        <v/>
      </c>
      <c r="C51" s="180">
        <f>IF($AD51="","","    "&amp;MID($AD51,FIND("|",$AD51)+1,FIND("|",$AD51,FIND("|",$AD51)+1)-FIND("|",$AD51)-1))</f>
        <v/>
      </c>
      <c r="D51" s="180">
        <f>IF($AD51="","",MID($AD51,FIND("|",$AD51,FIND("|",$AD51)+1)+1,FIND("|",$AD51&amp;"|",FIND("|",$AD51,FIND("|",$AD51)+1)+1)-FIND("|",$AD51,FIND("|",$AD51)+1)-1))</f>
        <v/>
      </c>
      <c r="AD51">
        <f>TRIM(MID(SUBSTITUTE($BX$44,"~",REPT(" ",600)),3601,600))</f>
        <v/>
      </c>
    </row>
    <row r="52">
      <c r="B52" s="180">
        <f>IF($AD52="","",VALUE(LEFT($AD52,FIND("|",$AD52)-1)))</f>
        <v/>
      </c>
      <c r="C52" s="180">
        <f>IF($AD52="","","    "&amp;MID($AD52,FIND("|",$AD52)+1,FIND("|",$AD52,FIND("|",$AD52)+1)-FIND("|",$AD52)-1))</f>
        <v/>
      </c>
      <c r="D52" s="180">
        <f>IF($AD52="","",MID($AD52,FIND("|",$AD52,FIND("|",$AD52)+1)+1,FIND("|",$AD52&amp;"|",FIND("|",$AD52,FIND("|",$AD52)+1)+1)-FIND("|",$AD52,FIND("|",$AD52)+1)-1))</f>
        <v/>
      </c>
      <c r="AD52">
        <f>TRIM(MID(SUBSTITUTE($BX$44,"~",REPT(" ",600)),4201,600))</f>
        <v/>
      </c>
    </row>
    <row r="53">
      <c r="B53" s="180">
        <f>IF($AD53="","",VALUE(LEFT($AD53,FIND("|",$AD53)-1)))</f>
        <v/>
      </c>
      <c r="C53" s="180">
        <f>IF($AD53="","","    "&amp;MID($AD53,FIND("|",$AD53)+1,FIND("|",$AD53,FIND("|",$AD53)+1)-FIND("|",$AD53)-1))</f>
        <v/>
      </c>
      <c r="D53" s="180">
        <f>IF($AD53="","",MID($AD53,FIND("|",$AD53,FIND("|",$AD53)+1)+1,FIND("|",$AD53&amp;"|",FIND("|",$AD53,FIND("|",$AD53)+1)+1)-FIND("|",$AD53,FIND("|",$AD53)+1)-1))</f>
        <v/>
      </c>
      <c r="AD53">
        <f>TRIM(MID(SUBSTITUTE($BX$44,"~",REPT(" ",600)),4801,600))</f>
        <v/>
      </c>
    </row>
    <row r="54">
      <c r="B54" s="180">
        <f>IF($AD54="","",VALUE(LEFT($AD54,FIND("|",$AD54)-1)))</f>
        <v/>
      </c>
      <c r="C54" s="180">
        <f>IF($AD54="","","    "&amp;MID($AD54,FIND("|",$AD54)+1,FIND("|",$AD54,FIND("|",$AD54)+1)-FIND("|",$AD54)-1))</f>
        <v/>
      </c>
      <c r="D54" s="180">
        <f>IF($AD54="","",MID($AD54,FIND("|",$AD54,FIND("|",$AD54)+1)+1,FIND("|",$AD54&amp;"|",FIND("|",$AD54,FIND("|",$AD54)+1)+1)-FIND("|",$AD54,FIND("|",$AD54)+1)-1))</f>
        <v/>
      </c>
      <c r="AD54">
        <f>TRIM(MID(SUBSTITUTE($BX$44,"~",REPT(" ",600)),5401,600))</f>
        <v/>
      </c>
    </row>
    <row r="55">
      <c r="B55" s="180">
        <f>IF($AD55="","",VALUE(LEFT($AD55,FIND("|",$AD55)-1)))</f>
        <v/>
      </c>
      <c r="C55" s="180">
        <f>IF($AD55="","","    "&amp;MID($AD55,FIND("|",$AD55)+1,FIND("|",$AD55,FIND("|",$AD55)+1)-FIND("|",$AD55)-1))</f>
        <v/>
      </c>
      <c r="D55" s="180">
        <f>IF($AD55="","",MID($AD55,FIND("|",$AD55,FIND("|",$AD55)+1)+1,FIND("|",$AD55&amp;"|",FIND("|",$AD55,FIND("|",$AD55)+1)+1)-FIND("|",$AD55,FIND("|",$AD55)+1)-1))</f>
        <v/>
      </c>
      <c r="AD55">
        <f>TRIM(MID(SUBSTITUTE($BX$44,"~",REPT(" ",600)),6001,600))</f>
        <v/>
      </c>
    </row>
    <row r="56">
      <c r="A56" s="178">
        <f>IF($AD$56=0,"",$BK$56)</f>
        <v/>
      </c>
      <c r="B56" s="178">
        <f>IF($AD$56=0,"",$AE$56)</f>
        <v/>
      </c>
      <c r="C56" s="178">
        <f>IF($AD$56=0,"",$AE$56&amp;") "&amp;IF(COUNTIFS(tk_SOFG,5,tk_HLEG,"&lt;&gt;"&amp;$BJ$56)=0,INDEX(tk_FLINE,$AD$56),INDEX(tk_FLINEN,$AD$56))&amp;IF($AJ$56="KD"," ( R.O. "&amp;TRIM(TEXT(N($AQ$56)+2.25,"# ?/??"))&amp;CHAR(34)&amp;" x "&amp;TRIM(TEXT(N($AR$56)+1,"# ?/??"))&amp;CHAR(34)&amp;" )",""))</f>
        <v/>
      </c>
      <c r="D56" s="178" t="n"/>
      <c r="E56" s="179">
        <f t="array" ref="E56">IF($AD$56=0,"",_xlfn.TEXTJOIN(", ",TRUE,IF(tk_SOFG=5,"#"&amp;tk_MARK&amp;IF(tk_HLEG="","","("&amp;tk_HLEG&amp;")")&amp;IF(tk_QTY&gt;1," ×"&amp;tk_QTY,""),"")))</f>
        <v/>
      </c>
      <c r="AD56">
        <f>IFERROR(MATCH(5,tk_SOFG,0),0)</f>
        <v/>
      </c>
      <c r="AE56">
        <f>IF($AD$56=0,0,SUMIF(tk_SOFG,5,tk_QTY))</f>
        <v/>
      </c>
      <c r="AF56">
        <f>IF($AD$56=0,"",INDEX(tk_JAMB,$AD$56))</f>
        <v/>
      </c>
      <c r="AG56">
        <f>IF($AD$56=0,"",INDEX(tk_ANCHOR,$AD$56))</f>
        <v/>
      </c>
      <c r="AH56">
        <f>IF($AD$56=0,"",INDEX(tk_ANCH,$AD$56))</f>
        <v/>
      </c>
      <c r="AI56">
        <f>IF($AD$56=0,"",INDEX(tk_BASEA,$AD$56))</f>
        <v/>
      </c>
      <c r="AJ56">
        <f>IF($AD$56=0,"",INDEX(tk_CONSTR,$AD$56))</f>
        <v/>
      </c>
      <c r="AK56">
        <f>IF($AD$56=0,"",INDEX(tk_CLOSER,$AD$56))</f>
        <v/>
      </c>
      <c r="AL56">
        <f>IF($AD$56=0,"",INDEX(tk_STRIKE,$AD$56))</f>
        <v/>
      </c>
      <c r="AM56">
        <f>IF($AD$56=0,"",INDEX(tk_HDRPREP,$AD$56))</f>
        <v/>
      </c>
      <c r="AN56">
        <f>IF($AD$56=0,"",INDEX(tk_DMIN,$AD$56))</f>
        <v/>
      </c>
      <c r="AO56">
        <f>IF($AD$56=0,"",INDEX(tk_PAIR,$AD$56))</f>
        <v/>
      </c>
      <c r="AP56">
        <f>IF($AD$56=0,"",INDEX(tk_FGA,$AD$56))</f>
        <v/>
      </c>
      <c r="AQ56">
        <f>IF($AD$56=0,"",INDEX(tk_WI,$AD$56))</f>
        <v/>
      </c>
      <c r="AR56">
        <f>IF($AD$56=0,"",INDEX(tk_HI,$AD$56))</f>
        <v/>
      </c>
      <c r="AS56">
        <f>IF($AD$56=0,"",INDEX(tk_FHINGE,$AD$56))</f>
        <v/>
      </c>
      <c r="AT56">
        <f>IF($AD$56=0,"",INDEX(tk_DHINGE,$AD$56))</f>
        <v/>
      </c>
      <c r="AU56">
        <f>IF($AD$56=0,"",INDEX(tk_HWLOC,$AD$56))</f>
        <v/>
      </c>
      <c r="AV56">
        <f>IF($AD$56=0,"",INDEX(tk_MANUF,$AD$56))</f>
        <v/>
      </c>
      <c r="AW56">
        <f>IF($AD$56=0,"",INDEX(tk_JH,$AD$56))</f>
        <v/>
      </c>
      <c r="AX56">
        <f>IF($AD$56=0,"",INDEX(tk_FDESC,$AD$56))</f>
        <v/>
      </c>
      <c r="AY56">
        <f>IF($AD$56=0,"",INDEX(tk_TRANS,$AD$56))</f>
        <v/>
      </c>
      <c r="AZ56">
        <f>IF($AD$56=0,"",INDEX(tk_SLW,$AD$56))</f>
        <v/>
      </c>
      <c r="BA56">
        <f>IF($AD$56=0,"",INDEX(tk_LEAVES,$AD$56))</f>
        <v/>
      </c>
      <c r="BB56">
        <f>IF($AD$56=0,"",INDEX(tk_LEAFW,$AD$56))</f>
        <v/>
      </c>
      <c r="BC56">
        <f>IF($AD$56=0,"",INDEX(tk_LEAFH,$AD$56))</f>
        <v/>
      </c>
      <c r="BD56">
        <f>IF($AD$56=0,"",INDEX(tk_DMAT,$AD$56))</f>
        <v/>
      </c>
      <c r="BE56">
        <f>IF($AD$56=0,"",INDEX(tk_DGA,$AD$56))</f>
        <v/>
      </c>
      <c r="BF56">
        <f>IF($AD$56=0,"",INDEX(tk_SERIES,$AD$56))</f>
        <v/>
      </c>
      <c r="BG56">
        <f>IF($AD$56=0,"",INDEX(tk_LOCK,$AD$56))</f>
        <v/>
      </c>
      <c r="BH56">
        <f>IF($AD$56=0,"",INDEX(tk_LITEKIT,$AD$56))</f>
        <v/>
      </c>
      <c r="BI56">
        <f>IF($AD$56=0,"",INDEX(tk_FACE,$AD$56))</f>
        <v/>
      </c>
      <c r="BJ56">
        <f>IF($AD$56=0,"",INDEX(tk_HLEG,$AD$56))</f>
        <v/>
      </c>
      <c r="BK56">
        <f>IF($AD$56=0,"",INDEX(tk_SOITEM,$AD$56))</f>
        <v/>
      </c>
      <c r="BL56">
        <f>IFERROR(VLOOKUP($AF$56,CODES,2,FALSE),"")</f>
        <v/>
      </c>
      <c r="BM56">
        <f>IF($AJ$56="KD","C","M")</f>
        <v/>
      </c>
      <c r="BN56">
        <f>IF(N($AR$56)&lt;=80,80,IF(N($AR$56)&lt;=84,84,IF(N($AR$56)&lt;=96,96,N($AR$56))))</f>
        <v/>
      </c>
      <c r="BO56">
        <f>INT($BN$56/12)&amp;MOD($BN$56,12)</f>
        <v/>
      </c>
      <c r="BP56">
        <f>INT(N($AQ$56)/12)&amp;MOD(N($AQ$56),12)</f>
        <v/>
      </c>
      <c r="BQ56">
        <f>IF(OR($AU$56="",$AU$56="ANSI/SDI",$AU$56="CUSTOM LOC"),IF($AV$56="CU","CURRIES","STEELCRAFT"),$AU$56)</f>
        <v/>
      </c>
      <c r="BR56">
        <f>$AO$56="Y"</f>
        <v/>
      </c>
      <c r="BS56">
        <f>"~"</f>
        <v/>
      </c>
      <c r="BT56">
        <f>N($AH$56)*N($AI$56)</f>
        <v/>
      </c>
      <c r="BU56">
        <f>IF(OR($AL$56="",$AL$56="-",$AL$56="E8"),"G18",$AL$56)</f>
        <v/>
      </c>
      <c r="BV56">
        <f>IF(OR($AS$56="",$AS$56="-"),"BLK",$AS$56)</f>
        <v/>
      </c>
      <c r="BW56">
        <f>" "&amp;$BM$56&amp;$AP$56&amp;" "</f>
        <v/>
      </c>
      <c r="BX56">
        <f>IF($AD$56=0,"",IF(OR($AG$56="SSA",$AG$56="SC"),$AE$56*$BT$56&amp;"|"&amp;$BL$56&amp;" STEEL STUD ANCHOR 2"&amp;CHAR(34)&amp;"||"&amp;$BS$56,"")&amp;IF($AG$56="WEWA-M",$AE$56*(N($AH$56)+1)*N($AI$56)&amp;"|FR101F 690 "&amp;$BL$56&amp;" MASONRY TUBE ANCHOR 16 GA||"&amp;$BS$56&amp;$AE$56*(N($AH$56)+1)*N($AI$56)&amp;"|3/8X5 SF3850 DYNO BOLTS||"&amp;$BS$56,"")&amp;IF($AG$56="WMA",$AE$56*$BT$56&amp;"|WIRE MASONRY ANCHOR||"&amp;$BS$56,"")&amp;IF($AG$56="T",$AE$56*$BT$56&amp;"|T-STRAP MASONRY ANCHOR||"&amp;$BS$56,"")&amp;IF($AG$56="WEWA-W",$AE$56*$BT$56&amp;"|P/D + WOOD SCREWS||"&amp;$BS$56,"")&amp;IF($AJ$56="WGS",$AE$56&amp;"|WELD &amp; GROUND SMOOTH||"&amp;$BS$56,"")&amp;IF(OR($AK$56="",$AK$56="-"),"",$AE$56*IF($BR$56,4,2)&amp;"|RACL/PACL-CLOSER REINF. 14GAx1-3/4x16 HRPO|"&amp;$AK$56&amp;IF($BR$56," BOTH SIDES","")&amp;"|"&amp;$BS$56)&amp;IF($AL$56="E8",$AE$56&amp;"|E8-STRIKE REINF. RIM EXIT||"&amp;$BS$56,"")&amp;IF(ISNUMBER(SEARCH("E4",$AL$56)),$AE$56&amp;"|FRAME DEADLOCK PREP||"&amp;$BS$56,"")&amp;IF($AL$56="E9",$AE$56&amp;"|ELECTRIC STRIKE PREP||"&amp;$BS$56,"")&amp;IF($AM$56="H5",$AE$56&amp;"|H5 STRIKE PREP IN HEADER||"&amp;$BS$56,IF(OR($AM$56="",$AM$56="-"),"",$AE$56&amp;"|HEADER PREP "&amp;$AM$56&amp;"||"&amp;$BS$56))&amp;IF(N($AN$56)&gt;0,$AE$56&amp;"|"&amp;$AN$56&amp;" MINUTE STEEL FRAME LABEL "&amp;IF(OR(N($AY$56)&gt;0,N($AZ$56)&gt;0),"W/TRANSOM PANEL/SIDELIGHT","CAT. C PP")&amp;"||"&amp;$BS$56,"")&amp;IF($AX$56="BL","",$AE$56&amp;"|HD "&amp;$AF$56&amp;$BW$56&amp;$BP$56&amp;" BSC||"&amp;$BS$56&amp;IF($BR$56,$AE$56&amp;"|HJ "&amp;$AF$56&amp;$BW$56&amp;"LH "&amp;$BO$56&amp;" "&amp;$BV$56&amp;" BSC "&amp;CHAR(34)&amp;$BQ$56&amp;CHAR(34)&amp;"||"&amp;$BS$56&amp;$AE$56&amp;"|HJ "&amp;$AF$56&amp;$BW$56&amp;"RH "&amp;$BO$56&amp;" "&amp;$BV$56&amp;" BSC "&amp;CHAR(34)&amp;$BQ$56&amp;CHAR(34)&amp;"||"&amp;$BS$56,$AE$56&amp;"|HJ "&amp;$AF$56&amp;$BW$56&amp;$AW$56&amp;" "&amp;$BO$56&amp;" "&amp;$BV$56&amp;" BSC "&amp;CHAR(34)&amp;$BQ$56&amp;CHAR(34)&amp;"||"&amp;$BS$56&amp;$AE$56&amp;"|SJ "&amp;$AF$56&amp;$BW$56&amp;$AW$56&amp;" "&amp;$BO$56&amp;" "&amp;$BU$56&amp;IF($BU$56="G18"," BLANK"," Y")&amp;" BSC "&amp;CHAR(34)&amp;$BQ$56&amp;CHAR(34)&amp;"||"&amp;$BS$56))&amp;IF(AND($BN$56&gt;N($AR$56),$AX$56&lt;&gt;"BL",N($AR$56)&gt;=60),$AE$56&amp;"|FRAME CUT DOWN (BOTTOM)|Cut "&amp;TRIM(TEXT($BN$56-N($AR$56),"# ?/??"))&amp;CHAR(34)&amp;" OFF THE BOTTOM|"&amp;$BS$56,""))</f>
        <v/>
      </c>
    </row>
    <row r="57">
      <c r="B57" s="180">
        <f>IF($AD57="","",VALUE(LEFT($AD57,FIND("|",$AD57)-1)))</f>
        <v/>
      </c>
      <c r="C57" s="180">
        <f>IF($AD57="","","    "&amp;MID($AD57,FIND("|",$AD57)+1,FIND("|",$AD57,FIND("|",$AD57)+1)-FIND("|",$AD57)-1))</f>
        <v/>
      </c>
      <c r="D57" s="180">
        <f>IF($AD57="","",MID($AD57,FIND("|",$AD57,FIND("|",$AD57)+1)+1,FIND("|",$AD57&amp;"|",FIND("|",$AD57,FIND("|",$AD57)+1)+1)-FIND("|",$AD57,FIND("|",$AD57)+1)-1))</f>
        <v/>
      </c>
      <c r="AD57">
        <f>TRIM(MID(SUBSTITUTE($BX$56,"~",REPT(" ",600)),1,600))</f>
        <v/>
      </c>
    </row>
    <row r="58">
      <c r="B58" s="180">
        <f>IF($AD58="","",VALUE(LEFT($AD58,FIND("|",$AD58)-1)))</f>
        <v/>
      </c>
      <c r="C58" s="180">
        <f>IF($AD58="","","    "&amp;MID($AD58,FIND("|",$AD58)+1,FIND("|",$AD58,FIND("|",$AD58)+1)-FIND("|",$AD58)-1))</f>
        <v/>
      </c>
      <c r="D58" s="180">
        <f>IF($AD58="","",MID($AD58,FIND("|",$AD58,FIND("|",$AD58)+1)+1,FIND("|",$AD58&amp;"|",FIND("|",$AD58,FIND("|",$AD58)+1)+1)-FIND("|",$AD58,FIND("|",$AD58)+1)-1))</f>
        <v/>
      </c>
      <c r="AD58">
        <f>TRIM(MID(SUBSTITUTE($BX$56,"~",REPT(" ",600)),601,600))</f>
        <v/>
      </c>
    </row>
    <row r="59">
      <c r="B59" s="180">
        <f>IF($AD59="","",VALUE(LEFT($AD59,FIND("|",$AD59)-1)))</f>
        <v/>
      </c>
      <c r="C59" s="180">
        <f>IF($AD59="","","    "&amp;MID($AD59,FIND("|",$AD59)+1,FIND("|",$AD59,FIND("|",$AD59)+1)-FIND("|",$AD59)-1))</f>
        <v/>
      </c>
      <c r="D59" s="180">
        <f>IF($AD59="","",MID($AD59,FIND("|",$AD59,FIND("|",$AD59)+1)+1,FIND("|",$AD59&amp;"|",FIND("|",$AD59,FIND("|",$AD59)+1)+1)-FIND("|",$AD59,FIND("|",$AD59)+1)-1))</f>
        <v/>
      </c>
      <c r="AD59">
        <f>TRIM(MID(SUBSTITUTE($BX$56,"~",REPT(" ",600)),1201,600))</f>
        <v/>
      </c>
    </row>
    <row r="60">
      <c r="B60" s="180">
        <f>IF($AD60="","",VALUE(LEFT($AD60,FIND("|",$AD60)-1)))</f>
        <v/>
      </c>
      <c r="C60" s="180">
        <f>IF($AD60="","","    "&amp;MID($AD60,FIND("|",$AD60)+1,FIND("|",$AD60,FIND("|",$AD60)+1)-FIND("|",$AD60)-1))</f>
        <v/>
      </c>
      <c r="D60" s="180">
        <f>IF($AD60="","",MID($AD60,FIND("|",$AD60,FIND("|",$AD60)+1)+1,FIND("|",$AD60&amp;"|",FIND("|",$AD60,FIND("|",$AD60)+1)+1)-FIND("|",$AD60,FIND("|",$AD60)+1)-1))</f>
        <v/>
      </c>
      <c r="AD60">
        <f>TRIM(MID(SUBSTITUTE($BX$56,"~",REPT(" ",600)),1801,600))</f>
        <v/>
      </c>
    </row>
    <row r="61">
      <c r="B61" s="180">
        <f>IF($AD61="","",VALUE(LEFT($AD61,FIND("|",$AD61)-1)))</f>
        <v/>
      </c>
      <c r="C61" s="180">
        <f>IF($AD61="","","    "&amp;MID($AD61,FIND("|",$AD61)+1,FIND("|",$AD61,FIND("|",$AD61)+1)-FIND("|",$AD61)-1))</f>
        <v/>
      </c>
      <c r="D61" s="180">
        <f>IF($AD61="","",MID($AD61,FIND("|",$AD61,FIND("|",$AD61)+1)+1,FIND("|",$AD61&amp;"|",FIND("|",$AD61,FIND("|",$AD61)+1)+1)-FIND("|",$AD61,FIND("|",$AD61)+1)-1))</f>
        <v/>
      </c>
      <c r="AD61">
        <f>TRIM(MID(SUBSTITUTE($BX$56,"~",REPT(" ",600)),2401,600))</f>
        <v/>
      </c>
    </row>
    <row r="62">
      <c r="B62" s="180">
        <f>IF($AD62="","",VALUE(LEFT($AD62,FIND("|",$AD62)-1)))</f>
        <v/>
      </c>
      <c r="C62" s="180">
        <f>IF($AD62="","","    "&amp;MID($AD62,FIND("|",$AD62)+1,FIND("|",$AD62,FIND("|",$AD62)+1)-FIND("|",$AD62)-1))</f>
        <v/>
      </c>
      <c r="D62" s="180">
        <f>IF($AD62="","",MID($AD62,FIND("|",$AD62,FIND("|",$AD62)+1)+1,FIND("|",$AD62&amp;"|",FIND("|",$AD62,FIND("|",$AD62)+1)+1)-FIND("|",$AD62,FIND("|",$AD62)+1)-1))</f>
        <v/>
      </c>
      <c r="AD62">
        <f>TRIM(MID(SUBSTITUTE($BX$56,"~",REPT(" ",600)),3001,600))</f>
        <v/>
      </c>
    </row>
    <row r="63">
      <c r="B63" s="180">
        <f>IF($AD63="","",VALUE(LEFT($AD63,FIND("|",$AD63)-1)))</f>
        <v/>
      </c>
      <c r="C63" s="180">
        <f>IF($AD63="","","    "&amp;MID($AD63,FIND("|",$AD63)+1,FIND("|",$AD63,FIND("|",$AD63)+1)-FIND("|",$AD63)-1))</f>
        <v/>
      </c>
      <c r="D63" s="180">
        <f>IF($AD63="","",MID($AD63,FIND("|",$AD63,FIND("|",$AD63)+1)+1,FIND("|",$AD63&amp;"|",FIND("|",$AD63,FIND("|",$AD63)+1)+1)-FIND("|",$AD63,FIND("|",$AD63)+1)-1))</f>
        <v/>
      </c>
      <c r="AD63">
        <f>TRIM(MID(SUBSTITUTE($BX$56,"~",REPT(" ",600)),3601,600))</f>
        <v/>
      </c>
    </row>
    <row r="64">
      <c r="B64" s="180">
        <f>IF($AD64="","",VALUE(LEFT($AD64,FIND("|",$AD64)-1)))</f>
        <v/>
      </c>
      <c r="C64" s="180">
        <f>IF($AD64="","","    "&amp;MID($AD64,FIND("|",$AD64)+1,FIND("|",$AD64,FIND("|",$AD64)+1)-FIND("|",$AD64)-1))</f>
        <v/>
      </c>
      <c r="D64" s="180">
        <f>IF($AD64="","",MID($AD64,FIND("|",$AD64,FIND("|",$AD64)+1)+1,FIND("|",$AD64&amp;"|",FIND("|",$AD64,FIND("|",$AD64)+1)+1)-FIND("|",$AD64,FIND("|",$AD64)+1)-1))</f>
        <v/>
      </c>
      <c r="AD64">
        <f>TRIM(MID(SUBSTITUTE($BX$56,"~",REPT(" ",600)),4201,600))</f>
        <v/>
      </c>
    </row>
    <row r="65">
      <c r="B65" s="180">
        <f>IF($AD65="","",VALUE(LEFT($AD65,FIND("|",$AD65)-1)))</f>
        <v/>
      </c>
      <c r="C65" s="180">
        <f>IF($AD65="","","    "&amp;MID($AD65,FIND("|",$AD65)+1,FIND("|",$AD65,FIND("|",$AD65)+1)-FIND("|",$AD65)-1))</f>
        <v/>
      </c>
      <c r="D65" s="180">
        <f>IF($AD65="","",MID($AD65,FIND("|",$AD65,FIND("|",$AD65)+1)+1,FIND("|",$AD65&amp;"|",FIND("|",$AD65,FIND("|",$AD65)+1)+1)-FIND("|",$AD65,FIND("|",$AD65)+1)-1))</f>
        <v/>
      </c>
      <c r="AD65">
        <f>TRIM(MID(SUBSTITUTE($BX$56,"~",REPT(" ",600)),4801,600))</f>
        <v/>
      </c>
    </row>
    <row r="66">
      <c r="B66" s="180">
        <f>IF($AD66="","",VALUE(LEFT($AD66,FIND("|",$AD66)-1)))</f>
        <v/>
      </c>
      <c r="C66" s="180">
        <f>IF($AD66="","","    "&amp;MID($AD66,FIND("|",$AD66)+1,FIND("|",$AD66,FIND("|",$AD66)+1)-FIND("|",$AD66)-1))</f>
        <v/>
      </c>
      <c r="D66" s="180">
        <f>IF($AD66="","",MID($AD66,FIND("|",$AD66,FIND("|",$AD66)+1)+1,FIND("|",$AD66&amp;"|",FIND("|",$AD66,FIND("|",$AD66)+1)+1)-FIND("|",$AD66,FIND("|",$AD66)+1)-1))</f>
        <v/>
      </c>
      <c r="AD66">
        <f>TRIM(MID(SUBSTITUTE($BX$56,"~",REPT(" ",600)),5401,600))</f>
        <v/>
      </c>
    </row>
    <row r="67">
      <c r="B67" s="180">
        <f>IF($AD67="","",VALUE(LEFT($AD67,FIND("|",$AD67)-1)))</f>
        <v/>
      </c>
      <c r="C67" s="180">
        <f>IF($AD67="","","    "&amp;MID($AD67,FIND("|",$AD67)+1,FIND("|",$AD67,FIND("|",$AD67)+1)-FIND("|",$AD67)-1))</f>
        <v/>
      </c>
      <c r="D67" s="180">
        <f>IF($AD67="","",MID($AD67,FIND("|",$AD67,FIND("|",$AD67)+1)+1,FIND("|",$AD67&amp;"|",FIND("|",$AD67,FIND("|",$AD67)+1)+1)-FIND("|",$AD67,FIND("|",$AD67)+1)-1))</f>
        <v/>
      </c>
      <c r="AD67">
        <f>TRIM(MID(SUBSTITUTE($BX$56,"~",REPT(" ",600)),6001,600))</f>
        <v/>
      </c>
    </row>
    <row r="68">
      <c r="A68" s="178">
        <f>IF($AD$68=0,"",$BK$68)</f>
        <v/>
      </c>
      <c r="B68" s="178">
        <f>IF($AD$68=0,"",$AE$68)</f>
        <v/>
      </c>
      <c r="C68" s="178">
        <f>IF($AD$68=0,"",$AE$68&amp;") "&amp;IF(COUNTIFS(tk_SOFG,6,tk_HLEG,"&lt;&gt;"&amp;$BJ$68)=0,INDEX(tk_FLINE,$AD$68),INDEX(tk_FLINEN,$AD$68))&amp;IF($AJ$68="KD"," ( R.O. "&amp;TRIM(TEXT(N($AQ$68)+2.25,"# ?/??"))&amp;CHAR(34)&amp;" x "&amp;TRIM(TEXT(N($AR$68)+1,"# ?/??"))&amp;CHAR(34)&amp;" )",""))</f>
        <v/>
      </c>
      <c r="D68" s="178" t="n"/>
      <c r="E68" s="179">
        <f t="array" ref="E68">IF($AD$68=0,"",_xlfn.TEXTJOIN(", ",TRUE,IF(tk_SOFG=6,"#"&amp;tk_MARK&amp;IF(tk_HLEG="","","("&amp;tk_HLEG&amp;")")&amp;IF(tk_QTY&gt;1," ×"&amp;tk_QTY,""),"")))</f>
        <v/>
      </c>
      <c r="AD68">
        <f>IFERROR(MATCH(6,tk_SOFG,0),0)</f>
        <v/>
      </c>
      <c r="AE68">
        <f>IF($AD$68=0,0,SUMIF(tk_SOFG,6,tk_QTY))</f>
        <v/>
      </c>
      <c r="AF68">
        <f>IF($AD$68=0,"",INDEX(tk_JAMB,$AD$68))</f>
        <v/>
      </c>
      <c r="AG68">
        <f>IF($AD$68=0,"",INDEX(tk_ANCHOR,$AD$68))</f>
        <v/>
      </c>
      <c r="AH68">
        <f>IF($AD$68=0,"",INDEX(tk_ANCH,$AD$68))</f>
        <v/>
      </c>
      <c r="AI68">
        <f>IF($AD$68=0,"",INDEX(tk_BASEA,$AD$68))</f>
        <v/>
      </c>
      <c r="AJ68">
        <f>IF($AD$68=0,"",INDEX(tk_CONSTR,$AD$68))</f>
        <v/>
      </c>
      <c r="AK68">
        <f>IF($AD$68=0,"",INDEX(tk_CLOSER,$AD$68))</f>
        <v/>
      </c>
      <c r="AL68">
        <f>IF($AD$68=0,"",INDEX(tk_STRIKE,$AD$68))</f>
        <v/>
      </c>
      <c r="AM68">
        <f>IF($AD$68=0,"",INDEX(tk_HDRPREP,$AD$68))</f>
        <v/>
      </c>
      <c r="AN68">
        <f>IF($AD$68=0,"",INDEX(tk_DMIN,$AD$68))</f>
        <v/>
      </c>
      <c r="AO68">
        <f>IF($AD$68=0,"",INDEX(tk_PAIR,$AD$68))</f>
        <v/>
      </c>
      <c r="AP68">
        <f>IF($AD$68=0,"",INDEX(tk_FGA,$AD$68))</f>
        <v/>
      </c>
      <c r="AQ68">
        <f>IF($AD$68=0,"",INDEX(tk_WI,$AD$68))</f>
        <v/>
      </c>
      <c r="AR68">
        <f>IF($AD$68=0,"",INDEX(tk_HI,$AD$68))</f>
        <v/>
      </c>
      <c r="AS68">
        <f>IF($AD$68=0,"",INDEX(tk_FHINGE,$AD$68))</f>
        <v/>
      </c>
      <c r="AT68">
        <f>IF($AD$68=0,"",INDEX(tk_DHINGE,$AD$68))</f>
        <v/>
      </c>
      <c r="AU68">
        <f>IF($AD$68=0,"",INDEX(tk_HWLOC,$AD$68))</f>
        <v/>
      </c>
      <c r="AV68">
        <f>IF($AD$68=0,"",INDEX(tk_MANUF,$AD$68))</f>
        <v/>
      </c>
      <c r="AW68">
        <f>IF($AD$68=0,"",INDEX(tk_JH,$AD$68))</f>
        <v/>
      </c>
      <c r="AX68">
        <f>IF($AD$68=0,"",INDEX(tk_FDESC,$AD$68))</f>
        <v/>
      </c>
      <c r="AY68">
        <f>IF($AD$68=0,"",INDEX(tk_TRANS,$AD$68))</f>
        <v/>
      </c>
      <c r="AZ68">
        <f>IF($AD$68=0,"",INDEX(tk_SLW,$AD$68))</f>
        <v/>
      </c>
      <c r="BA68">
        <f>IF($AD$68=0,"",INDEX(tk_LEAVES,$AD$68))</f>
        <v/>
      </c>
      <c r="BB68">
        <f>IF($AD$68=0,"",INDEX(tk_LEAFW,$AD$68))</f>
        <v/>
      </c>
      <c r="BC68">
        <f>IF($AD$68=0,"",INDEX(tk_LEAFH,$AD$68))</f>
        <v/>
      </c>
      <c r="BD68">
        <f>IF($AD$68=0,"",INDEX(tk_DMAT,$AD$68))</f>
        <v/>
      </c>
      <c r="BE68">
        <f>IF($AD$68=0,"",INDEX(tk_DGA,$AD$68))</f>
        <v/>
      </c>
      <c r="BF68">
        <f>IF($AD$68=0,"",INDEX(tk_SERIES,$AD$68))</f>
        <v/>
      </c>
      <c r="BG68">
        <f>IF($AD$68=0,"",INDEX(tk_LOCK,$AD$68))</f>
        <v/>
      </c>
      <c r="BH68">
        <f>IF($AD$68=0,"",INDEX(tk_LITEKIT,$AD$68))</f>
        <v/>
      </c>
      <c r="BI68">
        <f>IF($AD$68=0,"",INDEX(tk_FACE,$AD$68))</f>
        <v/>
      </c>
      <c r="BJ68">
        <f>IF($AD$68=0,"",INDEX(tk_HLEG,$AD$68))</f>
        <v/>
      </c>
      <c r="BK68">
        <f>IF($AD$68=0,"",INDEX(tk_SOITEM,$AD$68))</f>
        <v/>
      </c>
      <c r="BL68">
        <f>IFERROR(VLOOKUP($AF$68,CODES,2,FALSE),"")</f>
        <v/>
      </c>
      <c r="BM68">
        <f>IF($AJ$68="KD","C","M")</f>
        <v/>
      </c>
      <c r="BN68">
        <f>IF(N($AR$68)&lt;=80,80,IF(N($AR$68)&lt;=84,84,IF(N($AR$68)&lt;=96,96,N($AR$68))))</f>
        <v/>
      </c>
      <c r="BO68">
        <f>INT($BN$68/12)&amp;MOD($BN$68,12)</f>
        <v/>
      </c>
      <c r="BP68">
        <f>INT(N($AQ$68)/12)&amp;MOD(N($AQ$68),12)</f>
        <v/>
      </c>
      <c r="BQ68">
        <f>IF(OR($AU$68="",$AU$68="ANSI/SDI",$AU$68="CUSTOM LOC"),IF($AV$68="CU","CURRIES","STEELCRAFT"),$AU$68)</f>
        <v/>
      </c>
      <c r="BR68">
        <f>$AO$68="Y"</f>
        <v/>
      </c>
      <c r="BS68">
        <f>"~"</f>
        <v/>
      </c>
      <c r="BT68">
        <f>N($AH$68)*N($AI$68)</f>
        <v/>
      </c>
      <c r="BU68">
        <f>IF(OR($AL$68="",$AL$68="-",$AL$68="E8"),"G18",$AL$68)</f>
        <v/>
      </c>
      <c r="BV68">
        <f>IF(OR($AS$68="",$AS$68="-"),"BLK",$AS$68)</f>
        <v/>
      </c>
      <c r="BW68">
        <f>" "&amp;$BM$68&amp;$AP$68&amp;" "</f>
        <v/>
      </c>
      <c r="BX68">
        <f>IF($AD$68=0,"",IF(OR($AG$68="SSA",$AG$68="SC"),$AE$68*$BT$68&amp;"|"&amp;$BL$68&amp;" STEEL STUD ANCHOR 2"&amp;CHAR(34)&amp;"||"&amp;$BS$68,"")&amp;IF($AG$68="WEWA-M",$AE$68*(N($AH$68)+1)*N($AI$68)&amp;"|FR101F 690 "&amp;$BL$68&amp;" MASONRY TUBE ANCHOR 16 GA||"&amp;$BS$68&amp;$AE$68*(N($AH$68)+1)*N($AI$68)&amp;"|3/8X5 SF3850 DYNO BOLTS||"&amp;$BS$68,"")&amp;IF($AG$68="WMA",$AE$68*$BT$68&amp;"|WIRE MASONRY ANCHOR||"&amp;$BS$68,"")&amp;IF($AG$68="T",$AE$68*$BT$68&amp;"|T-STRAP MASONRY ANCHOR||"&amp;$BS$68,"")&amp;IF($AG$68="WEWA-W",$AE$68*$BT$68&amp;"|P/D + WOOD SCREWS||"&amp;$BS$68,"")&amp;IF($AJ$68="WGS",$AE$68&amp;"|WELD &amp; GROUND SMOOTH||"&amp;$BS$68,"")&amp;IF(OR($AK$68="",$AK$68="-"),"",$AE$68*IF($BR$68,4,2)&amp;"|RACL/PACL-CLOSER REINF. 14GAx1-3/4x16 HRPO|"&amp;$AK$68&amp;IF($BR$68," BOTH SIDES","")&amp;"|"&amp;$BS$68)&amp;IF($AL$68="E8",$AE$68&amp;"|E8-STRIKE REINF. RIM EXIT||"&amp;$BS$68,"")&amp;IF(ISNUMBER(SEARCH("E4",$AL$68)),$AE$68&amp;"|FRAME DEADLOCK PREP||"&amp;$BS$68,"")&amp;IF($AL$68="E9",$AE$68&amp;"|ELECTRIC STRIKE PREP||"&amp;$BS$68,"")&amp;IF($AM$68="H5",$AE$68&amp;"|H5 STRIKE PREP IN HEADER||"&amp;$BS$68,IF(OR($AM$68="",$AM$68="-"),"",$AE$68&amp;"|HEADER PREP "&amp;$AM$68&amp;"||"&amp;$BS$68))&amp;IF(N($AN$68)&gt;0,$AE$68&amp;"|"&amp;$AN$68&amp;" MINUTE STEEL FRAME LABEL "&amp;IF(OR(N($AY$68)&gt;0,N($AZ$68)&gt;0),"W/TRANSOM PANEL/SIDELIGHT","CAT. C PP")&amp;"||"&amp;$BS$68,"")&amp;IF($AX$68="BL","",$AE$68&amp;"|HD "&amp;$AF$68&amp;$BW$68&amp;$BP$68&amp;" BSC||"&amp;$BS$68&amp;IF($BR$68,$AE$68&amp;"|HJ "&amp;$AF$68&amp;$BW$68&amp;"LH "&amp;$BO$68&amp;" "&amp;$BV$68&amp;" BSC "&amp;CHAR(34)&amp;$BQ$68&amp;CHAR(34)&amp;"||"&amp;$BS$68&amp;$AE$68&amp;"|HJ "&amp;$AF$68&amp;$BW$68&amp;"RH "&amp;$BO$68&amp;" "&amp;$BV$68&amp;" BSC "&amp;CHAR(34)&amp;$BQ$68&amp;CHAR(34)&amp;"||"&amp;$BS$68,$AE$68&amp;"|HJ "&amp;$AF$68&amp;$BW$68&amp;$AW$68&amp;" "&amp;$BO$68&amp;" "&amp;$BV$68&amp;" BSC "&amp;CHAR(34)&amp;$BQ$68&amp;CHAR(34)&amp;"||"&amp;$BS$68&amp;$AE$68&amp;"|SJ "&amp;$AF$68&amp;$BW$68&amp;$AW$68&amp;" "&amp;$BO$68&amp;" "&amp;$BU$68&amp;IF($BU$68="G18"," BLANK"," Y")&amp;" BSC "&amp;CHAR(34)&amp;$BQ$68&amp;CHAR(34)&amp;"||"&amp;$BS$68))&amp;IF(AND($BN$68&gt;N($AR$68),$AX$68&lt;&gt;"BL",N($AR$68)&gt;=60),$AE$68&amp;"|FRAME CUT DOWN (BOTTOM)|Cut "&amp;TRIM(TEXT($BN$68-N($AR$68),"# ?/??"))&amp;CHAR(34)&amp;" OFF THE BOTTOM|"&amp;$BS$68,""))</f>
        <v/>
      </c>
    </row>
    <row r="69">
      <c r="B69" s="180">
        <f>IF($AD69="","",VALUE(LEFT($AD69,FIND("|",$AD69)-1)))</f>
        <v/>
      </c>
      <c r="C69" s="180">
        <f>IF($AD69="","","    "&amp;MID($AD69,FIND("|",$AD69)+1,FIND("|",$AD69,FIND("|",$AD69)+1)-FIND("|",$AD69)-1))</f>
        <v/>
      </c>
      <c r="D69" s="180">
        <f>IF($AD69="","",MID($AD69,FIND("|",$AD69,FIND("|",$AD69)+1)+1,FIND("|",$AD69&amp;"|",FIND("|",$AD69,FIND("|",$AD69)+1)+1)-FIND("|",$AD69,FIND("|",$AD69)+1)-1))</f>
        <v/>
      </c>
      <c r="AD69">
        <f>TRIM(MID(SUBSTITUTE($BX$68,"~",REPT(" ",600)),1,600))</f>
        <v/>
      </c>
    </row>
    <row r="70">
      <c r="B70" s="180">
        <f>IF($AD70="","",VALUE(LEFT($AD70,FIND("|",$AD70)-1)))</f>
        <v/>
      </c>
      <c r="C70" s="180">
        <f>IF($AD70="","","    "&amp;MID($AD70,FIND("|",$AD70)+1,FIND("|",$AD70,FIND("|",$AD70)+1)-FIND("|",$AD70)-1))</f>
        <v/>
      </c>
      <c r="D70" s="180">
        <f>IF($AD70="","",MID($AD70,FIND("|",$AD70,FIND("|",$AD70)+1)+1,FIND("|",$AD70&amp;"|",FIND("|",$AD70,FIND("|",$AD70)+1)+1)-FIND("|",$AD70,FIND("|",$AD70)+1)-1))</f>
        <v/>
      </c>
      <c r="AD70">
        <f>TRIM(MID(SUBSTITUTE($BX$68,"~",REPT(" ",600)),601,600))</f>
        <v/>
      </c>
    </row>
    <row r="71">
      <c r="B71" s="180">
        <f>IF($AD71="","",VALUE(LEFT($AD71,FIND("|",$AD71)-1)))</f>
        <v/>
      </c>
      <c r="C71" s="180">
        <f>IF($AD71="","","    "&amp;MID($AD71,FIND("|",$AD71)+1,FIND("|",$AD71,FIND("|",$AD71)+1)-FIND("|",$AD71)-1))</f>
        <v/>
      </c>
      <c r="D71" s="180">
        <f>IF($AD71="","",MID($AD71,FIND("|",$AD71,FIND("|",$AD71)+1)+1,FIND("|",$AD71&amp;"|",FIND("|",$AD71,FIND("|",$AD71)+1)+1)-FIND("|",$AD71,FIND("|",$AD71)+1)-1))</f>
        <v/>
      </c>
      <c r="AD71">
        <f>TRIM(MID(SUBSTITUTE($BX$68,"~",REPT(" ",600)),1201,600))</f>
        <v/>
      </c>
    </row>
    <row r="72">
      <c r="B72" s="180">
        <f>IF($AD72="","",VALUE(LEFT($AD72,FIND("|",$AD72)-1)))</f>
        <v/>
      </c>
      <c r="C72" s="180">
        <f>IF($AD72="","","    "&amp;MID($AD72,FIND("|",$AD72)+1,FIND("|",$AD72,FIND("|",$AD72)+1)-FIND("|",$AD72)-1))</f>
        <v/>
      </c>
      <c r="D72" s="180">
        <f>IF($AD72="","",MID($AD72,FIND("|",$AD72,FIND("|",$AD72)+1)+1,FIND("|",$AD72&amp;"|",FIND("|",$AD72,FIND("|",$AD72)+1)+1)-FIND("|",$AD72,FIND("|",$AD72)+1)-1))</f>
        <v/>
      </c>
      <c r="AD72">
        <f>TRIM(MID(SUBSTITUTE($BX$68,"~",REPT(" ",600)),1801,600))</f>
        <v/>
      </c>
    </row>
    <row r="73">
      <c r="B73" s="180">
        <f>IF($AD73="","",VALUE(LEFT($AD73,FIND("|",$AD73)-1)))</f>
        <v/>
      </c>
      <c r="C73" s="180">
        <f>IF($AD73="","","    "&amp;MID($AD73,FIND("|",$AD73)+1,FIND("|",$AD73,FIND("|",$AD73)+1)-FIND("|",$AD73)-1))</f>
        <v/>
      </c>
      <c r="D73" s="180">
        <f>IF($AD73="","",MID($AD73,FIND("|",$AD73,FIND("|",$AD73)+1)+1,FIND("|",$AD73&amp;"|",FIND("|",$AD73,FIND("|",$AD73)+1)+1)-FIND("|",$AD73,FIND("|",$AD73)+1)-1))</f>
        <v/>
      </c>
      <c r="AD73">
        <f>TRIM(MID(SUBSTITUTE($BX$68,"~",REPT(" ",600)),2401,600))</f>
        <v/>
      </c>
    </row>
    <row r="74">
      <c r="B74" s="180">
        <f>IF($AD74="","",VALUE(LEFT($AD74,FIND("|",$AD74)-1)))</f>
        <v/>
      </c>
      <c r="C74" s="180">
        <f>IF($AD74="","","    "&amp;MID($AD74,FIND("|",$AD74)+1,FIND("|",$AD74,FIND("|",$AD74)+1)-FIND("|",$AD74)-1))</f>
        <v/>
      </c>
      <c r="D74" s="180">
        <f>IF($AD74="","",MID($AD74,FIND("|",$AD74,FIND("|",$AD74)+1)+1,FIND("|",$AD74&amp;"|",FIND("|",$AD74,FIND("|",$AD74)+1)+1)-FIND("|",$AD74,FIND("|",$AD74)+1)-1))</f>
        <v/>
      </c>
      <c r="AD74">
        <f>TRIM(MID(SUBSTITUTE($BX$68,"~",REPT(" ",600)),3001,600))</f>
        <v/>
      </c>
    </row>
    <row r="75">
      <c r="B75" s="180">
        <f>IF($AD75="","",VALUE(LEFT($AD75,FIND("|",$AD75)-1)))</f>
        <v/>
      </c>
      <c r="C75" s="180">
        <f>IF($AD75="","","    "&amp;MID($AD75,FIND("|",$AD75)+1,FIND("|",$AD75,FIND("|",$AD75)+1)-FIND("|",$AD75)-1))</f>
        <v/>
      </c>
      <c r="D75" s="180">
        <f>IF($AD75="","",MID($AD75,FIND("|",$AD75,FIND("|",$AD75)+1)+1,FIND("|",$AD75&amp;"|",FIND("|",$AD75,FIND("|",$AD75)+1)+1)-FIND("|",$AD75,FIND("|",$AD75)+1)-1))</f>
        <v/>
      </c>
      <c r="AD75">
        <f>TRIM(MID(SUBSTITUTE($BX$68,"~",REPT(" ",600)),3601,600))</f>
        <v/>
      </c>
    </row>
    <row r="76">
      <c r="B76" s="180">
        <f>IF($AD76="","",VALUE(LEFT($AD76,FIND("|",$AD76)-1)))</f>
        <v/>
      </c>
      <c r="C76" s="180">
        <f>IF($AD76="","","    "&amp;MID($AD76,FIND("|",$AD76)+1,FIND("|",$AD76,FIND("|",$AD76)+1)-FIND("|",$AD76)-1))</f>
        <v/>
      </c>
      <c r="D76" s="180">
        <f>IF($AD76="","",MID($AD76,FIND("|",$AD76,FIND("|",$AD76)+1)+1,FIND("|",$AD76&amp;"|",FIND("|",$AD76,FIND("|",$AD76)+1)+1)-FIND("|",$AD76,FIND("|",$AD76)+1)-1))</f>
        <v/>
      </c>
      <c r="AD76">
        <f>TRIM(MID(SUBSTITUTE($BX$68,"~",REPT(" ",600)),4201,600))</f>
        <v/>
      </c>
    </row>
    <row r="77">
      <c r="B77" s="180">
        <f>IF($AD77="","",VALUE(LEFT($AD77,FIND("|",$AD77)-1)))</f>
        <v/>
      </c>
      <c r="C77" s="180">
        <f>IF($AD77="","","    "&amp;MID($AD77,FIND("|",$AD77)+1,FIND("|",$AD77,FIND("|",$AD77)+1)-FIND("|",$AD77)-1))</f>
        <v/>
      </c>
      <c r="D77" s="180">
        <f>IF($AD77="","",MID($AD77,FIND("|",$AD77,FIND("|",$AD77)+1)+1,FIND("|",$AD77&amp;"|",FIND("|",$AD77,FIND("|",$AD77)+1)+1)-FIND("|",$AD77,FIND("|",$AD77)+1)-1))</f>
        <v/>
      </c>
      <c r="AD77">
        <f>TRIM(MID(SUBSTITUTE($BX$68,"~",REPT(" ",600)),4801,600))</f>
        <v/>
      </c>
    </row>
    <row r="78">
      <c r="B78" s="180">
        <f>IF($AD78="","",VALUE(LEFT($AD78,FIND("|",$AD78)-1)))</f>
        <v/>
      </c>
      <c r="C78" s="180">
        <f>IF($AD78="","","    "&amp;MID($AD78,FIND("|",$AD78)+1,FIND("|",$AD78,FIND("|",$AD78)+1)-FIND("|",$AD78)-1))</f>
        <v/>
      </c>
      <c r="D78" s="180">
        <f>IF($AD78="","",MID($AD78,FIND("|",$AD78,FIND("|",$AD78)+1)+1,FIND("|",$AD78&amp;"|",FIND("|",$AD78,FIND("|",$AD78)+1)+1)-FIND("|",$AD78,FIND("|",$AD78)+1)-1))</f>
        <v/>
      </c>
      <c r="AD78">
        <f>TRIM(MID(SUBSTITUTE($BX$68,"~",REPT(" ",600)),5401,600))</f>
        <v/>
      </c>
    </row>
    <row r="79">
      <c r="B79" s="180">
        <f>IF($AD79="","",VALUE(LEFT($AD79,FIND("|",$AD79)-1)))</f>
        <v/>
      </c>
      <c r="C79" s="180">
        <f>IF($AD79="","","    "&amp;MID($AD79,FIND("|",$AD79)+1,FIND("|",$AD79,FIND("|",$AD79)+1)-FIND("|",$AD79)-1))</f>
        <v/>
      </c>
      <c r="D79" s="180">
        <f>IF($AD79="","",MID($AD79,FIND("|",$AD79,FIND("|",$AD79)+1)+1,FIND("|",$AD79&amp;"|",FIND("|",$AD79,FIND("|",$AD79)+1)+1)-FIND("|",$AD79,FIND("|",$AD79)+1)-1))</f>
        <v/>
      </c>
      <c r="AD79">
        <f>TRIM(MID(SUBSTITUTE($BX$68,"~",REPT(" ",600)),6001,600))</f>
        <v/>
      </c>
    </row>
    <row r="80">
      <c r="A80" s="178">
        <f>IF($AD$80=0,"",$BK$80)</f>
        <v/>
      </c>
      <c r="B80" s="178">
        <f>IF($AD$80=0,"",$AE$80)</f>
        <v/>
      </c>
      <c r="C80" s="178">
        <f>IF($AD$80=0,"",$AE$80&amp;") "&amp;IF(COUNTIFS(tk_SOFG,7,tk_HLEG,"&lt;&gt;"&amp;$BJ$80)=0,INDEX(tk_FLINE,$AD$80),INDEX(tk_FLINEN,$AD$80))&amp;IF($AJ$80="KD"," ( R.O. "&amp;TRIM(TEXT(N($AQ$80)+2.25,"# ?/??"))&amp;CHAR(34)&amp;" x "&amp;TRIM(TEXT(N($AR$80)+1,"# ?/??"))&amp;CHAR(34)&amp;" )",""))</f>
        <v/>
      </c>
      <c r="D80" s="178" t="n"/>
      <c r="E80" s="179">
        <f t="array" ref="E80">IF($AD$80=0,"",_xlfn.TEXTJOIN(", ",TRUE,IF(tk_SOFG=7,"#"&amp;tk_MARK&amp;IF(tk_HLEG="","","("&amp;tk_HLEG&amp;")")&amp;IF(tk_QTY&gt;1," ×"&amp;tk_QTY,""),"")))</f>
        <v/>
      </c>
      <c r="AD80">
        <f>IFERROR(MATCH(7,tk_SOFG,0),0)</f>
        <v/>
      </c>
      <c r="AE80">
        <f>IF($AD$80=0,0,SUMIF(tk_SOFG,7,tk_QTY))</f>
        <v/>
      </c>
      <c r="AF80">
        <f>IF($AD$80=0,"",INDEX(tk_JAMB,$AD$80))</f>
        <v/>
      </c>
      <c r="AG80">
        <f>IF($AD$80=0,"",INDEX(tk_ANCHOR,$AD$80))</f>
        <v/>
      </c>
      <c r="AH80">
        <f>IF($AD$80=0,"",INDEX(tk_ANCH,$AD$80))</f>
        <v/>
      </c>
      <c r="AI80">
        <f>IF($AD$80=0,"",INDEX(tk_BASEA,$AD$80))</f>
        <v/>
      </c>
      <c r="AJ80">
        <f>IF($AD$80=0,"",INDEX(tk_CONSTR,$AD$80))</f>
        <v/>
      </c>
      <c r="AK80">
        <f>IF($AD$80=0,"",INDEX(tk_CLOSER,$AD$80))</f>
        <v/>
      </c>
      <c r="AL80">
        <f>IF($AD$80=0,"",INDEX(tk_STRIKE,$AD$80))</f>
        <v/>
      </c>
      <c r="AM80">
        <f>IF($AD$80=0,"",INDEX(tk_HDRPREP,$AD$80))</f>
        <v/>
      </c>
      <c r="AN80">
        <f>IF($AD$80=0,"",INDEX(tk_DMIN,$AD$80))</f>
        <v/>
      </c>
      <c r="AO80">
        <f>IF($AD$80=0,"",INDEX(tk_PAIR,$AD$80))</f>
        <v/>
      </c>
      <c r="AP80">
        <f>IF($AD$80=0,"",INDEX(tk_FGA,$AD$80))</f>
        <v/>
      </c>
      <c r="AQ80">
        <f>IF($AD$80=0,"",INDEX(tk_WI,$AD$80))</f>
        <v/>
      </c>
      <c r="AR80">
        <f>IF($AD$80=0,"",INDEX(tk_HI,$AD$80))</f>
        <v/>
      </c>
      <c r="AS80">
        <f>IF($AD$80=0,"",INDEX(tk_FHINGE,$AD$80))</f>
        <v/>
      </c>
      <c r="AT80">
        <f>IF($AD$80=0,"",INDEX(tk_DHINGE,$AD$80))</f>
        <v/>
      </c>
      <c r="AU80">
        <f>IF($AD$80=0,"",INDEX(tk_HWLOC,$AD$80))</f>
        <v/>
      </c>
      <c r="AV80">
        <f>IF($AD$80=0,"",INDEX(tk_MANUF,$AD$80))</f>
        <v/>
      </c>
      <c r="AW80">
        <f>IF($AD$80=0,"",INDEX(tk_JH,$AD$80))</f>
        <v/>
      </c>
      <c r="AX80">
        <f>IF($AD$80=0,"",INDEX(tk_FDESC,$AD$80))</f>
        <v/>
      </c>
      <c r="AY80">
        <f>IF($AD$80=0,"",INDEX(tk_TRANS,$AD$80))</f>
        <v/>
      </c>
      <c r="AZ80">
        <f>IF($AD$80=0,"",INDEX(tk_SLW,$AD$80))</f>
        <v/>
      </c>
      <c r="BA80">
        <f>IF($AD$80=0,"",INDEX(tk_LEAVES,$AD$80))</f>
        <v/>
      </c>
      <c r="BB80">
        <f>IF($AD$80=0,"",INDEX(tk_LEAFW,$AD$80))</f>
        <v/>
      </c>
      <c r="BC80">
        <f>IF($AD$80=0,"",INDEX(tk_LEAFH,$AD$80))</f>
        <v/>
      </c>
      <c r="BD80">
        <f>IF($AD$80=0,"",INDEX(tk_DMAT,$AD$80))</f>
        <v/>
      </c>
      <c r="BE80">
        <f>IF($AD$80=0,"",INDEX(tk_DGA,$AD$80))</f>
        <v/>
      </c>
      <c r="BF80">
        <f>IF($AD$80=0,"",INDEX(tk_SERIES,$AD$80))</f>
        <v/>
      </c>
      <c r="BG80">
        <f>IF($AD$80=0,"",INDEX(tk_LOCK,$AD$80))</f>
        <v/>
      </c>
      <c r="BH80">
        <f>IF($AD$80=0,"",INDEX(tk_LITEKIT,$AD$80))</f>
        <v/>
      </c>
      <c r="BI80">
        <f>IF($AD$80=0,"",INDEX(tk_FACE,$AD$80))</f>
        <v/>
      </c>
      <c r="BJ80">
        <f>IF($AD$80=0,"",INDEX(tk_HLEG,$AD$80))</f>
        <v/>
      </c>
      <c r="BK80">
        <f>IF($AD$80=0,"",INDEX(tk_SOITEM,$AD$80))</f>
        <v/>
      </c>
      <c r="BL80">
        <f>IFERROR(VLOOKUP($AF$80,CODES,2,FALSE),"")</f>
        <v/>
      </c>
      <c r="BM80">
        <f>IF($AJ$80="KD","C","M")</f>
        <v/>
      </c>
      <c r="BN80">
        <f>IF(N($AR$80)&lt;=80,80,IF(N($AR$80)&lt;=84,84,IF(N($AR$80)&lt;=96,96,N($AR$80))))</f>
        <v/>
      </c>
      <c r="BO80">
        <f>INT($BN$80/12)&amp;MOD($BN$80,12)</f>
        <v/>
      </c>
      <c r="BP80">
        <f>INT(N($AQ$80)/12)&amp;MOD(N($AQ$80),12)</f>
        <v/>
      </c>
      <c r="BQ80">
        <f>IF(OR($AU$80="",$AU$80="ANSI/SDI",$AU$80="CUSTOM LOC"),IF($AV$80="CU","CURRIES","STEELCRAFT"),$AU$80)</f>
        <v/>
      </c>
      <c r="BR80">
        <f>$AO$80="Y"</f>
        <v/>
      </c>
      <c r="BS80">
        <f>"~"</f>
        <v/>
      </c>
      <c r="BT80">
        <f>N($AH$80)*N($AI$80)</f>
        <v/>
      </c>
      <c r="BU80">
        <f>IF(OR($AL$80="",$AL$80="-",$AL$80="E8"),"G18",$AL$80)</f>
        <v/>
      </c>
      <c r="BV80">
        <f>IF(OR($AS$80="",$AS$80="-"),"BLK",$AS$80)</f>
        <v/>
      </c>
      <c r="BW80">
        <f>" "&amp;$BM$80&amp;$AP$80&amp;" "</f>
        <v/>
      </c>
      <c r="BX80">
        <f>IF($AD$80=0,"",IF(OR($AG$80="SSA",$AG$80="SC"),$AE$80*$BT$80&amp;"|"&amp;$BL$80&amp;" STEEL STUD ANCHOR 2"&amp;CHAR(34)&amp;"||"&amp;$BS$80,"")&amp;IF($AG$80="WEWA-M",$AE$80*(N($AH$80)+1)*N($AI$80)&amp;"|FR101F 690 "&amp;$BL$80&amp;" MASONRY TUBE ANCHOR 16 GA||"&amp;$BS$80&amp;$AE$80*(N($AH$80)+1)*N($AI$80)&amp;"|3/8X5 SF3850 DYNO BOLTS||"&amp;$BS$80,"")&amp;IF($AG$80="WMA",$AE$80*$BT$80&amp;"|WIRE MASONRY ANCHOR||"&amp;$BS$80,"")&amp;IF($AG$80="T",$AE$80*$BT$80&amp;"|T-STRAP MASONRY ANCHOR||"&amp;$BS$80,"")&amp;IF($AG$80="WEWA-W",$AE$80*$BT$80&amp;"|P/D + WOOD SCREWS||"&amp;$BS$80,"")&amp;IF($AJ$80="WGS",$AE$80&amp;"|WELD &amp; GROUND SMOOTH||"&amp;$BS$80,"")&amp;IF(OR($AK$80="",$AK$80="-"),"",$AE$80*IF($BR$80,4,2)&amp;"|RACL/PACL-CLOSER REINF. 14GAx1-3/4x16 HRPO|"&amp;$AK$80&amp;IF($BR$80," BOTH SIDES","")&amp;"|"&amp;$BS$80)&amp;IF($AL$80="E8",$AE$80&amp;"|E8-STRIKE REINF. RIM EXIT||"&amp;$BS$80,"")&amp;IF(ISNUMBER(SEARCH("E4",$AL$80)),$AE$80&amp;"|FRAME DEADLOCK PREP||"&amp;$BS$80,"")&amp;IF($AL$80="E9",$AE$80&amp;"|ELECTRIC STRIKE PREP||"&amp;$BS$80,"")&amp;IF($AM$80="H5",$AE$80&amp;"|H5 STRIKE PREP IN HEADER||"&amp;$BS$80,IF(OR($AM$80="",$AM$80="-"),"",$AE$80&amp;"|HEADER PREP "&amp;$AM$80&amp;"||"&amp;$BS$80))&amp;IF(N($AN$80)&gt;0,$AE$80&amp;"|"&amp;$AN$80&amp;" MINUTE STEEL FRAME LABEL "&amp;IF(OR(N($AY$80)&gt;0,N($AZ$80)&gt;0),"W/TRANSOM PANEL/SIDELIGHT","CAT. C PP")&amp;"||"&amp;$BS$80,"")&amp;IF($AX$80="BL","",$AE$80&amp;"|HD "&amp;$AF$80&amp;$BW$80&amp;$BP$80&amp;" BSC||"&amp;$BS$80&amp;IF($BR$80,$AE$80&amp;"|HJ "&amp;$AF$80&amp;$BW$80&amp;"LH "&amp;$BO$80&amp;" "&amp;$BV$80&amp;" BSC "&amp;CHAR(34)&amp;$BQ$80&amp;CHAR(34)&amp;"||"&amp;$BS$80&amp;$AE$80&amp;"|HJ "&amp;$AF$80&amp;$BW$80&amp;"RH "&amp;$BO$80&amp;" "&amp;$BV$80&amp;" BSC "&amp;CHAR(34)&amp;$BQ$80&amp;CHAR(34)&amp;"||"&amp;$BS$80,$AE$80&amp;"|HJ "&amp;$AF$80&amp;$BW$80&amp;$AW$80&amp;" "&amp;$BO$80&amp;" "&amp;$BV$80&amp;" BSC "&amp;CHAR(34)&amp;$BQ$80&amp;CHAR(34)&amp;"||"&amp;$BS$80&amp;$AE$80&amp;"|SJ "&amp;$AF$80&amp;$BW$80&amp;$AW$80&amp;" "&amp;$BO$80&amp;" "&amp;$BU$80&amp;IF($BU$80="G18"," BLANK"," Y")&amp;" BSC "&amp;CHAR(34)&amp;$BQ$80&amp;CHAR(34)&amp;"||"&amp;$BS$80))&amp;IF(AND($BN$80&gt;N($AR$80),$AX$80&lt;&gt;"BL",N($AR$80)&gt;=60),$AE$80&amp;"|FRAME CUT DOWN (BOTTOM)|Cut "&amp;TRIM(TEXT($BN$80-N($AR$80),"# ?/??"))&amp;CHAR(34)&amp;" OFF THE BOTTOM|"&amp;$BS$80,""))</f>
        <v/>
      </c>
    </row>
    <row r="81">
      <c r="B81" s="180">
        <f>IF($AD81="","",VALUE(LEFT($AD81,FIND("|",$AD81)-1)))</f>
        <v/>
      </c>
      <c r="C81" s="180">
        <f>IF($AD81="","","    "&amp;MID($AD81,FIND("|",$AD81)+1,FIND("|",$AD81,FIND("|",$AD81)+1)-FIND("|",$AD81)-1))</f>
        <v/>
      </c>
      <c r="D81" s="180">
        <f>IF($AD81="","",MID($AD81,FIND("|",$AD81,FIND("|",$AD81)+1)+1,FIND("|",$AD81&amp;"|",FIND("|",$AD81,FIND("|",$AD81)+1)+1)-FIND("|",$AD81,FIND("|",$AD81)+1)-1))</f>
        <v/>
      </c>
      <c r="AD81">
        <f>TRIM(MID(SUBSTITUTE($BX$80,"~",REPT(" ",600)),1,600))</f>
        <v/>
      </c>
    </row>
    <row r="82">
      <c r="B82" s="180">
        <f>IF($AD82="","",VALUE(LEFT($AD82,FIND("|",$AD82)-1)))</f>
        <v/>
      </c>
      <c r="C82" s="180">
        <f>IF($AD82="","","    "&amp;MID($AD82,FIND("|",$AD82)+1,FIND("|",$AD82,FIND("|",$AD82)+1)-FIND("|",$AD82)-1))</f>
        <v/>
      </c>
      <c r="D82" s="180">
        <f>IF($AD82="","",MID($AD82,FIND("|",$AD82,FIND("|",$AD82)+1)+1,FIND("|",$AD82&amp;"|",FIND("|",$AD82,FIND("|",$AD82)+1)+1)-FIND("|",$AD82,FIND("|",$AD82)+1)-1))</f>
        <v/>
      </c>
      <c r="AD82">
        <f>TRIM(MID(SUBSTITUTE($BX$80,"~",REPT(" ",600)),601,600))</f>
        <v/>
      </c>
    </row>
    <row r="83">
      <c r="B83" s="180">
        <f>IF($AD83="","",VALUE(LEFT($AD83,FIND("|",$AD83)-1)))</f>
        <v/>
      </c>
      <c r="C83" s="180">
        <f>IF($AD83="","","    "&amp;MID($AD83,FIND("|",$AD83)+1,FIND("|",$AD83,FIND("|",$AD83)+1)-FIND("|",$AD83)-1))</f>
        <v/>
      </c>
      <c r="D83" s="180">
        <f>IF($AD83="","",MID($AD83,FIND("|",$AD83,FIND("|",$AD83)+1)+1,FIND("|",$AD83&amp;"|",FIND("|",$AD83,FIND("|",$AD83)+1)+1)-FIND("|",$AD83,FIND("|",$AD83)+1)-1))</f>
        <v/>
      </c>
      <c r="AD83">
        <f>TRIM(MID(SUBSTITUTE($BX$80,"~",REPT(" ",600)),1201,600))</f>
        <v/>
      </c>
    </row>
    <row r="84">
      <c r="B84" s="180">
        <f>IF($AD84="","",VALUE(LEFT($AD84,FIND("|",$AD84)-1)))</f>
        <v/>
      </c>
      <c r="C84" s="180">
        <f>IF($AD84="","","    "&amp;MID($AD84,FIND("|",$AD84)+1,FIND("|",$AD84,FIND("|",$AD84)+1)-FIND("|",$AD84)-1))</f>
        <v/>
      </c>
      <c r="D84" s="180">
        <f>IF($AD84="","",MID($AD84,FIND("|",$AD84,FIND("|",$AD84)+1)+1,FIND("|",$AD84&amp;"|",FIND("|",$AD84,FIND("|",$AD84)+1)+1)-FIND("|",$AD84,FIND("|",$AD84)+1)-1))</f>
        <v/>
      </c>
      <c r="AD84">
        <f>TRIM(MID(SUBSTITUTE($BX$80,"~",REPT(" ",600)),1801,600))</f>
        <v/>
      </c>
    </row>
    <row r="85">
      <c r="B85" s="180">
        <f>IF($AD85="","",VALUE(LEFT($AD85,FIND("|",$AD85)-1)))</f>
        <v/>
      </c>
      <c r="C85" s="180">
        <f>IF($AD85="","","    "&amp;MID($AD85,FIND("|",$AD85)+1,FIND("|",$AD85,FIND("|",$AD85)+1)-FIND("|",$AD85)-1))</f>
        <v/>
      </c>
      <c r="D85" s="180">
        <f>IF($AD85="","",MID($AD85,FIND("|",$AD85,FIND("|",$AD85)+1)+1,FIND("|",$AD85&amp;"|",FIND("|",$AD85,FIND("|",$AD85)+1)+1)-FIND("|",$AD85,FIND("|",$AD85)+1)-1))</f>
        <v/>
      </c>
      <c r="AD85">
        <f>TRIM(MID(SUBSTITUTE($BX$80,"~",REPT(" ",600)),2401,600))</f>
        <v/>
      </c>
    </row>
    <row r="86">
      <c r="B86" s="180">
        <f>IF($AD86="","",VALUE(LEFT($AD86,FIND("|",$AD86)-1)))</f>
        <v/>
      </c>
      <c r="C86" s="180">
        <f>IF($AD86="","","    "&amp;MID($AD86,FIND("|",$AD86)+1,FIND("|",$AD86,FIND("|",$AD86)+1)-FIND("|",$AD86)-1))</f>
        <v/>
      </c>
      <c r="D86" s="180">
        <f>IF($AD86="","",MID($AD86,FIND("|",$AD86,FIND("|",$AD86)+1)+1,FIND("|",$AD86&amp;"|",FIND("|",$AD86,FIND("|",$AD86)+1)+1)-FIND("|",$AD86,FIND("|",$AD86)+1)-1))</f>
        <v/>
      </c>
      <c r="AD86">
        <f>TRIM(MID(SUBSTITUTE($BX$80,"~",REPT(" ",600)),3001,600))</f>
        <v/>
      </c>
    </row>
    <row r="87">
      <c r="B87" s="180">
        <f>IF($AD87="","",VALUE(LEFT($AD87,FIND("|",$AD87)-1)))</f>
        <v/>
      </c>
      <c r="C87" s="180">
        <f>IF($AD87="","","    "&amp;MID($AD87,FIND("|",$AD87)+1,FIND("|",$AD87,FIND("|",$AD87)+1)-FIND("|",$AD87)-1))</f>
        <v/>
      </c>
      <c r="D87" s="180">
        <f>IF($AD87="","",MID($AD87,FIND("|",$AD87,FIND("|",$AD87)+1)+1,FIND("|",$AD87&amp;"|",FIND("|",$AD87,FIND("|",$AD87)+1)+1)-FIND("|",$AD87,FIND("|",$AD87)+1)-1))</f>
        <v/>
      </c>
      <c r="AD87">
        <f>TRIM(MID(SUBSTITUTE($BX$80,"~",REPT(" ",600)),3601,600))</f>
        <v/>
      </c>
    </row>
    <row r="88">
      <c r="B88" s="180">
        <f>IF($AD88="","",VALUE(LEFT($AD88,FIND("|",$AD88)-1)))</f>
        <v/>
      </c>
      <c r="C88" s="180">
        <f>IF($AD88="","","    "&amp;MID($AD88,FIND("|",$AD88)+1,FIND("|",$AD88,FIND("|",$AD88)+1)-FIND("|",$AD88)-1))</f>
        <v/>
      </c>
      <c r="D88" s="180">
        <f>IF($AD88="","",MID($AD88,FIND("|",$AD88,FIND("|",$AD88)+1)+1,FIND("|",$AD88&amp;"|",FIND("|",$AD88,FIND("|",$AD88)+1)+1)-FIND("|",$AD88,FIND("|",$AD88)+1)-1))</f>
        <v/>
      </c>
      <c r="AD88">
        <f>TRIM(MID(SUBSTITUTE($BX$80,"~",REPT(" ",600)),4201,600))</f>
        <v/>
      </c>
    </row>
    <row r="89">
      <c r="B89" s="180">
        <f>IF($AD89="","",VALUE(LEFT($AD89,FIND("|",$AD89)-1)))</f>
        <v/>
      </c>
      <c r="C89" s="180">
        <f>IF($AD89="","","    "&amp;MID($AD89,FIND("|",$AD89)+1,FIND("|",$AD89,FIND("|",$AD89)+1)-FIND("|",$AD89)-1))</f>
        <v/>
      </c>
      <c r="D89" s="180">
        <f>IF($AD89="","",MID($AD89,FIND("|",$AD89,FIND("|",$AD89)+1)+1,FIND("|",$AD89&amp;"|",FIND("|",$AD89,FIND("|",$AD89)+1)+1)-FIND("|",$AD89,FIND("|",$AD89)+1)-1))</f>
        <v/>
      </c>
      <c r="AD89">
        <f>TRIM(MID(SUBSTITUTE($BX$80,"~",REPT(" ",600)),4801,600))</f>
        <v/>
      </c>
    </row>
    <row r="90">
      <c r="B90" s="180">
        <f>IF($AD90="","",VALUE(LEFT($AD90,FIND("|",$AD90)-1)))</f>
        <v/>
      </c>
      <c r="C90" s="180">
        <f>IF($AD90="","","    "&amp;MID($AD90,FIND("|",$AD90)+1,FIND("|",$AD90,FIND("|",$AD90)+1)-FIND("|",$AD90)-1))</f>
        <v/>
      </c>
      <c r="D90" s="180">
        <f>IF($AD90="","",MID($AD90,FIND("|",$AD90,FIND("|",$AD90)+1)+1,FIND("|",$AD90&amp;"|",FIND("|",$AD90,FIND("|",$AD90)+1)+1)-FIND("|",$AD90,FIND("|",$AD90)+1)-1))</f>
        <v/>
      </c>
      <c r="AD90">
        <f>TRIM(MID(SUBSTITUTE($BX$80,"~",REPT(" ",600)),5401,600))</f>
        <v/>
      </c>
    </row>
    <row r="91">
      <c r="B91" s="180">
        <f>IF($AD91="","",VALUE(LEFT($AD91,FIND("|",$AD91)-1)))</f>
        <v/>
      </c>
      <c r="C91" s="180">
        <f>IF($AD91="","","    "&amp;MID($AD91,FIND("|",$AD91)+1,FIND("|",$AD91,FIND("|",$AD91)+1)-FIND("|",$AD91)-1))</f>
        <v/>
      </c>
      <c r="D91" s="180">
        <f>IF($AD91="","",MID($AD91,FIND("|",$AD91,FIND("|",$AD91)+1)+1,FIND("|",$AD91&amp;"|",FIND("|",$AD91,FIND("|",$AD91)+1)+1)-FIND("|",$AD91,FIND("|",$AD91)+1)-1))</f>
        <v/>
      </c>
      <c r="AD91">
        <f>TRIM(MID(SUBSTITUTE($BX$80,"~",REPT(" ",600)),6001,600))</f>
        <v/>
      </c>
    </row>
    <row r="92">
      <c r="A92" s="178">
        <f>IF($AD$92=0,"",$BK$92)</f>
        <v/>
      </c>
      <c r="B92" s="178">
        <f>IF($AD$92=0,"",$AE$92)</f>
        <v/>
      </c>
      <c r="C92" s="178">
        <f>IF($AD$92=0,"",$AE$92&amp;") "&amp;IF(COUNTIFS(tk_SOFG,8,tk_HLEG,"&lt;&gt;"&amp;$BJ$92)=0,INDEX(tk_FLINE,$AD$92),INDEX(tk_FLINEN,$AD$92))&amp;IF($AJ$92="KD"," ( R.O. "&amp;TRIM(TEXT(N($AQ$92)+2.25,"# ?/??"))&amp;CHAR(34)&amp;" x "&amp;TRIM(TEXT(N($AR$92)+1,"# ?/??"))&amp;CHAR(34)&amp;" )",""))</f>
        <v/>
      </c>
      <c r="D92" s="178" t="n"/>
      <c r="E92" s="179">
        <f t="array" ref="E92">IF($AD$92=0,"",_xlfn.TEXTJOIN(", ",TRUE,IF(tk_SOFG=8,"#"&amp;tk_MARK&amp;IF(tk_HLEG="","","("&amp;tk_HLEG&amp;")")&amp;IF(tk_QTY&gt;1," ×"&amp;tk_QTY,""),"")))</f>
        <v/>
      </c>
      <c r="AD92">
        <f>IFERROR(MATCH(8,tk_SOFG,0),0)</f>
        <v/>
      </c>
      <c r="AE92">
        <f>IF($AD$92=0,0,SUMIF(tk_SOFG,8,tk_QTY))</f>
        <v/>
      </c>
      <c r="AF92">
        <f>IF($AD$92=0,"",INDEX(tk_JAMB,$AD$92))</f>
        <v/>
      </c>
      <c r="AG92">
        <f>IF($AD$92=0,"",INDEX(tk_ANCHOR,$AD$92))</f>
        <v/>
      </c>
      <c r="AH92">
        <f>IF($AD$92=0,"",INDEX(tk_ANCH,$AD$92))</f>
        <v/>
      </c>
      <c r="AI92">
        <f>IF($AD$92=0,"",INDEX(tk_BASEA,$AD$92))</f>
        <v/>
      </c>
      <c r="AJ92">
        <f>IF($AD$92=0,"",INDEX(tk_CONSTR,$AD$92))</f>
        <v/>
      </c>
      <c r="AK92">
        <f>IF($AD$92=0,"",INDEX(tk_CLOSER,$AD$92))</f>
        <v/>
      </c>
      <c r="AL92">
        <f>IF($AD$92=0,"",INDEX(tk_STRIKE,$AD$92))</f>
        <v/>
      </c>
      <c r="AM92">
        <f>IF($AD$92=0,"",INDEX(tk_HDRPREP,$AD$92))</f>
        <v/>
      </c>
      <c r="AN92">
        <f>IF($AD$92=0,"",INDEX(tk_DMIN,$AD$92))</f>
        <v/>
      </c>
      <c r="AO92">
        <f>IF($AD$92=0,"",INDEX(tk_PAIR,$AD$92))</f>
        <v/>
      </c>
      <c r="AP92">
        <f>IF($AD$92=0,"",INDEX(tk_FGA,$AD$92))</f>
        <v/>
      </c>
      <c r="AQ92">
        <f>IF($AD$92=0,"",INDEX(tk_WI,$AD$92))</f>
        <v/>
      </c>
      <c r="AR92">
        <f>IF($AD$92=0,"",INDEX(tk_HI,$AD$92))</f>
        <v/>
      </c>
      <c r="AS92">
        <f>IF($AD$92=0,"",INDEX(tk_FHINGE,$AD$92))</f>
        <v/>
      </c>
      <c r="AT92">
        <f>IF($AD$92=0,"",INDEX(tk_DHINGE,$AD$92))</f>
        <v/>
      </c>
      <c r="AU92">
        <f>IF($AD$92=0,"",INDEX(tk_HWLOC,$AD$92))</f>
        <v/>
      </c>
      <c r="AV92">
        <f>IF($AD$92=0,"",INDEX(tk_MANUF,$AD$92))</f>
        <v/>
      </c>
      <c r="AW92">
        <f>IF($AD$92=0,"",INDEX(tk_JH,$AD$92))</f>
        <v/>
      </c>
      <c r="AX92">
        <f>IF($AD$92=0,"",INDEX(tk_FDESC,$AD$92))</f>
        <v/>
      </c>
      <c r="AY92">
        <f>IF($AD$92=0,"",INDEX(tk_TRANS,$AD$92))</f>
        <v/>
      </c>
      <c r="AZ92">
        <f>IF($AD$92=0,"",INDEX(tk_SLW,$AD$92))</f>
        <v/>
      </c>
      <c r="BA92">
        <f>IF($AD$92=0,"",INDEX(tk_LEAVES,$AD$92))</f>
        <v/>
      </c>
      <c r="BB92">
        <f>IF($AD$92=0,"",INDEX(tk_LEAFW,$AD$92))</f>
        <v/>
      </c>
      <c r="BC92">
        <f>IF($AD$92=0,"",INDEX(tk_LEAFH,$AD$92))</f>
        <v/>
      </c>
      <c r="BD92">
        <f>IF($AD$92=0,"",INDEX(tk_DMAT,$AD$92))</f>
        <v/>
      </c>
      <c r="BE92">
        <f>IF($AD$92=0,"",INDEX(tk_DGA,$AD$92))</f>
        <v/>
      </c>
      <c r="BF92">
        <f>IF($AD$92=0,"",INDEX(tk_SERIES,$AD$92))</f>
        <v/>
      </c>
      <c r="BG92">
        <f>IF($AD$92=0,"",INDEX(tk_LOCK,$AD$92))</f>
        <v/>
      </c>
      <c r="BH92">
        <f>IF($AD$92=0,"",INDEX(tk_LITEKIT,$AD$92))</f>
        <v/>
      </c>
      <c r="BI92">
        <f>IF($AD$92=0,"",INDEX(tk_FACE,$AD$92))</f>
        <v/>
      </c>
      <c r="BJ92">
        <f>IF($AD$92=0,"",INDEX(tk_HLEG,$AD$92))</f>
        <v/>
      </c>
      <c r="BK92">
        <f>IF($AD$92=0,"",INDEX(tk_SOITEM,$AD$92))</f>
        <v/>
      </c>
      <c r="BL92">
        <f>IFERROR(VLOOKUP($AF$92,CODES,2,FALSE),"")</f>
        <v/>
      </c>
      <c r="BM92">
        <f>IF($AJ$92="KD","C","M")</f>
        <v/>
      </c>
      <c r="BN92">
        <f>IF(N($AR$92)&lt;=80,80,IF(N($AR$92)&lt;=84,84,IF(N($AR$92)&lt;=96,96,N($AR$92))))</f>
        <v/>
      </c>
      <c r="BO92">
        <f>INT($BN$92/12)&amp;MOD($BN$92,12)</f>
        <v/>
      </c>
      <c r="BP92">
        <f>INT(N($AQ$92)/12)&amp;MOD(N($AQ$92),12)</f>
        <v/>
      </c>
      <c r="BQ92">
        <f>IF(OR($AU$92="",$AU$92="ANSI/SDI",$AU$92="CUSTOM LOC"),IF($AV$92="CU","CURRIES","STEELCRAFT"),$AU$92)</f>
        <v/>
      </c>
      <c r="BR92">
        <f>$AO$92="Y"</f>
        <v/>
      </c>
      <c r="BS92">
        <f>"~"</f>
        <v/>
      </c>
      <c r="BT92">
        <f>N($AH$92)*N($AI$92)</f>
        <v/>
      </c>
      <c r="BU92">
        <f>IF(OR($AL$92="",$AL$92="-",$AL$92="E8"),"G18",$AL$92)</f>
        <v/>
      </c>
      <c r="BV92">
        <f>IF(OR($AS$92="",$AS$92="-"),"BLK",$AS$92)</f>
        <v/>
      </c>
      <c r="BW92">
        <f>" "&amp;$BM$92&amp;$AP$92&amp;" "</f>
        <v/>
      </c>
      <c r="BX92">
        <f>IF($AD$92=0,"",IF(OR($AG$92="SSA",$AG$92="SC"),$AE$92*$BT$92&amp;"|"&amp;$BL$92&amp;" STEEL STUD ANCHOR 2"&amp;CHAR(34)&amp;"||"&amp;$BS$92,"")&amp;IF($AG$92="WEWA-M",$AE$92*(N($AH$92)+1)*N($AI$92)&amp;"|FR101F 690 "&amp;$BL$92&amp;" MASONRY TUBE ANCHOR 16 GA||"&amp;$BS$92&amp;$AE$92*(N($AH$92)+1)*N($AI$92)&amp;"|3/8X5 SF3850 DYNO BOLTS||"&amp;$BS$92,"")&amp;IF($AG$92="WMA",$AE$92*$BT$92&amp;"|WIRE MASONRY ANCHOR||"&amp;$BS$92,"")&amp;IF($AG$92="T",$AE$92*$BT$92&amp;"|T-STRAP MASONRY ANCHOR||"&amp;$BS$92,"")&amp;IF($AG$92="WEWA-W",$AE$92*$BT$92&amp;"|P/D + WOOD SCREWS||"&amp;$BS$92,"")&amp;IF($AJ$92="WGS",$AE$92&amp;"|WELD &amp; GROUND SMOOTH||"&amp;$BS$92,"")&amp;IF(OR($AK$92="",$AK$92="-"),"",$AE$92*IF($BR$92,4,2)&amp;"|RACL/PACL-CLOSER REINF. 14GAx1-3/4x16 HRPO|"&amp;$AK$92&amp;IF($BR$92," BOTH SIDES","")&amp;"|"&amp;$BS$92)&amp;IF($AL$92="E8",$AE$92&amp;"|E8-STRIKE REINF. RIM EXIT||"&amp;$BS$92,"")&amp;IF(ISNUMBER(SEARCH("E4",$AL$92)),$AE$92&amp;"|FRAME DEADLOCK PREP||"&amp;$BS$92,"")&amp;IF($AL$92="E9",$AE$92&amp;"|ELECTRIC STRIKE PREP||"&amp;$BS$92,"")&amp;IF($AM$92="H5",$AE$92&amp;"|H5 STRIKE PREP IN HEADER||"&amp;$BS$92,IF(OR($AM$92="",$AM$92="-"),"",$AE$92&amp;"|HEADER PREP "&amp;$AM$92&amp;"||"&amp;$BS$92))&amp;IF(N($AN$92)&gt;0,$AE$92&amp;"|"&amp;$AN$92&amp;" MINUTE STEEL FRAME LABEL "&amp;IF(OR(N($AY$92)&gt;0,N($AZ$92)&gt;0),"W/TRANSOM PANEL/SIDELIGHT","CAT. C PP")&amp;"||"&amp;$BS$92,"")&amp;IF($AX$92="BL","",$AE$92&amp;"|HD "&amp;$AF$92&amp;$BW$92&amp;$BP$92&amp;" BSC||"&amp;$BS$92&amp;IF($BR$92,$AE$92&amp;"|HJ "&amp;$AF$92&amp;$BW$92&amp;"LH "&amp;$BO$92&amp;" "&amp;$BV$92&amp;" BSC "&amp;CHAR(34)&amp;$BQ$92&amp;CHAR(34)&amp;"||"&amp;$BS$92&amp;$AE$92&amp;"|HJ "&amp;$AF$92&amp;$BW$92&amp;"RH "&amp;$BO$92&amp;" "&amp;$BV$92&amp;" BSC "&amp;CHAR(34)&amp;$BQ$92&amp;CHAR(34)&amp;"||"&amp;$BS$92,$AE$92&amp;"|HJ "&amp;$AF$92&amp;$BW$92&amp;$AW$92&amp;" "&amp;$BO$92&amp;" "&amp;$BV$92&amp;" BSC "&amp;CHAR(34)&amp;$BQ$92&amp;CHAR(34)&amp;"||"&amp;$BS$92&amp;$AE$92&amp;"|SJ "&amp;$AF$92&amp;$BW$92&amp;$AW$92&amp;" "&amp;$BO$92&amp;" "&amp;$BU$92&amp;IF($BU$92="G18"," BLANK"," Y")&amp;" BSC "&amp;CHAR(34)&amp;$BQ$92&amp;CHAR(34)&amp;"||"&amp;$BS$92))&amp;IF(AND($BN$92&gt;N($AR$92),$AX$92&lt;&gt;"BL",N($AR$92)&gt;=60),$AE$92&amp;"|FRAME CUT DOWN (BOTTOM)|Cut "&amp;TRIM(TEXT($BN$92-N($AR$92),"# ?/??"))&amp;CHAR(34)&amp;" OFF THE BOTTOM|"&amp;$BS$92,""))</f>
        <v/>
      </c>
    </row>
    <row r="93">
      <c r="B93" s="180">
        <f>IF($AD93="","",VALUE(LEFT($AD93,FIND("|",$AD93)-1)))</f>
        <v/>
      </c>
      <c r="C93" s="180">
        <f>IF($AD93="","","    "&amp;MID($AD93,FIND("|",$AD93)+1,FIND("|",$AD93,FIND("|",$AD93)+1)-FIND("|",$AD93)-1))</f>
        <v/>
      </c>
      <c r="D93" s="180">
        <f>IF($AD93="","",MID($AD93,FIND("|",$AD93,FIND("|",$AD93)+1)+1,FIND("|",$AD93&amp;"|",FIND("|",$AD93,FIND("|",$AD93)+1)+1)-FIND("|",$AD93,FIND("|",$AD93)+1)-1))</f>
        <v/>
      </c>
      <c r="AD93">
        <f>TRIM(MID(SUBSTITUTE($BX$92,"~",REPT(" ",600)),1,600))</f>
        <v/>
      </c>
    </row>
    <row r="94">
      <c r="B94" s="180">
        <f>IF($AD94="","",VALUE(LEFT($AD94,FIND("|",$AD94)-1)))</f>
        <v/>
      </c>
      <c r="C94" s="180">
        <f>IF($AD94="","","    "&amp;MID($AD94,FIND("|",$AD94)+1,FIND("|",$AD94,FIND("|",$AD94)+1)-FIND("|",$AD94)-1))</f>
        <v/>
      </c>
      <c r="D94" s="180">
        <f>IF($AD94="","",MID($AD94,FIND("|",$AD94,FIND("|",$AD94)+1)+1,FIND("|",$AD94&amp;"|",FIND("|",$AD94,FIND("|",$AD94)+1)+1)-FIND("|",$AD94,FIND("|",$AD94)+1)-1))</f>
        <v/>
      </c>
      <c r="AD94">
        <f>TRIM(MID(SUBSTITUTE($BX$92,"~",REPT(" ",600)),601,600))</f>
        <v/>
      </c>
    </row>
    <row r="95">
      <c r="B95" s="180">
        <f>IF($AD95="","",VALUE(LEFT($AD95,FIND("|",$AD95)-1)))</f>
        <v/>
      </c>
      <c r="C95" s="180">
        <f>IF($AD95="","","    "&amp;MID($AD95,FIND("|",$AD95)+1,FIND("|",$AD95,FIND("|",$AD95)+1)-FIND("|",$AD95)-1))</f>
        <v/>
      </c>
      <c r="D95" s="180">
        <f>IF($AD95="","",MID($AD95,FIND("|",$AD95,FIND("|",$AD95)+1)+1,FIND("|",$AD95&amp;"|",FIND("|",$AD95,FIND("|",$AD95)+1)+1)-FIND("|",$AD95,FIND("|",$AD95)+1)-1))</f>
        <v/>
      </c>
      <c r="AD95">
        <f>TRIM(MID(SUBSTITUTE($BX$92,"~",REPT(" ",600)),1201,600))</f>
        <v/>
      </c>
    </row>
    <row r="96">
      <c r="B96" s="180">
        <f>IF($AD96="","",VALUE(LEFT($AD96,FIND("|",$AD96)-1)))</f>
        <v/>
      </c>
      <c r="C96" s="180">
        <f>IF($AD96="","","    "&amp;MID($AD96,FIND("|",$AD96)+1,FIND("|",$AD96,FIND("|",$AD96)+1)-FIND("|",$AD96)-1))</f>
        <v/>
      </c>
      <c r="D96" s="180">
        <f>IF($AD96="","",MID($AD96,FIND("|",$AD96,FIND("|",$AD96)+1)+1,FIND("|",$AD96&amp;"|",FIND("|",$AD96,FIND("|",$AD96)+1)+1)-FIND("|",$AD96,FIND("|",$AD96)+1)-1))</f>
        <v/>
      </c>
      <c r="AD96">
        <f>TRIM(MID(SUBSTITUTE($BX$92,"~",REPT(" ",600)),1801,600))</f>
        <v/>
      </c>
    </row>
    <row r="97">
      <c r="B97" s="180">
        <f>IF($AD97="","",VALUE(LEFT($AD97,FIND("|",$AD97)-1)))</f>
        <v/>
      </c>
      <c r="C97" s="180">
        <f>IF($AD97="","","    "&amp;MID($AD97,FIND("|",$AD97)+1,FIND("|",$AD97,FIND("|",$AD97)+1)-FIND("|",$AD97)-1))</f>
        <v/>
      </c>
      <c r="D97" s="180">
        <f>IF($AD97="","",MID($AD97,FIND("|",$AD97,FIND("|",$AD97)+1)+1,FIND("|",$AD97&amp;"|",FIND("|",$AD97,FIND("|",$AD97)+1)+1)-FIND("|",$AD97,FIND("|",$AD97)+1)-1))</f>
        <v/>
      </c>
      <c r="AD97">
        <f>TRIM(MID(SUBSTITUTE($BX$92,"~",REPT(" ",600)),2401,600))</f>
        <v/>
      </c>
    </row>
    <row r="98">
      <c r="B98" s="180">
        <f>IF($AD98="","",VALUE(LEFT($AD98,FIND("|",$AD98)-1)))</f>
        <v/>
      </c>
      <c r="C98" s="180">
        <f>IF($AD98="","","    "&amp;MID($AD98,FIND("|",$AD98)+1,FIND("|",$AD98,FIND("|",$AD98)+1)-FIND("|",$AD98)-1))</f>
        <v/>
      </c>
      <c r="D98" s="180">
        <f>IF($AD98="","",MID($AD98,FIND("|",$AD98,FIND("|",$AD98)+1)+1,FIND("|",$AD98&amp;"|",FIND("|",$AD98,FIND("|",$AD98)+1)+1)-FIND("|",$AD98,FIND("|",$AD98)+1)-1))</f>
        <v/>
      </c>
      <c r="AD98">
        <f>TRIM(MID(SUBSTITUTE($BX$92,"~",REPT(" ",600)),3001,600))</f>
        <v/>
      </c>
    </row>
    <row r="99">
      <c r="B99" s="180">
        <f>IF($AD99="","",VALUE(LEFT($AD99,FIND("|",$AD99)-1)))</f>
        <v/>
      </c>
      <c r="C99" s="180">
        <f>IF($AD99="","","    "&amp;MID($AD99,FIND("|",$AD99)+1,FIND("|",$AD99,FIND("|",$AD99)+1)-FIND("|",$AD99)-1))</f>
        <v/>
      </c>
      <c r="D99" s="180">
        <f>IF($AD99="","",MID($AD99,FIND("|",$AD99,FIND("|",$AD99)+1)+1,FIND("|",$AD99&amp;"|",FIND("|",$AD99,FIND("|",$AD99)+1)+1)-FIND("|",$AD99,FIND("|",$AD99)+1)-1))</f>
        <v/>
      </c>
      <c r="AD99">
        <f>TRIM(MID(SUBSTITUTE($BX$92,"~",REPT(" ",600)),3601,600))</f>
        <v/>
      </c>
    </row>
    <row r="100">
      <c r="B100" s="180">
        <f>IF($AD100="","",VALUE(LEFT($AD100,FIND("|",$AD100)-1)))</f>
        <v/>
      </c>
      <c r="C100" s="180">
        <f>IF($AD100="","","    "&amp;MID($AD100,FIND("|",$AD100)+1,FIND("|",$AD100,FIND("|",$AD100)+1)-FIND("|",$AD100)-1))</f>
        <v/>
      </c>
      <c r="D100" s="180">
        <f>IF($AD100="","",MID($AD100,FIND("|",$AD100,FIND("|",$AD100)+1)+1,FIND("|",$AD100&amp;"|",FIND("|",$AD100,FIND("|",$AD100)+1)+1)-FIND("|",$AD100,FIND("|",$AD100)+1)-1))</f>
        <v/>
      </c>
      <c r="AD100">
        <f>TRIM(MID(SUBSTITUTE($BX$92,"~",REPT(" ",600)),4201,600))</f>
        <v/>
      </c>
    </row>
    <row r="101">
      <c r="B101" s="180">
        <f>IF($AD101="","",VALUE(LEFT($AD101,FIND("|",$AD101)-1)))</f>
        <v/>
      </c>
      <c r="C101" s="180">
        <f>IF($AD101="","","    "&amp;MID($AD101,FIND("|",$AD101)+1,FIND("|",$AD101,FIND("|",$AD101)+1)-FIND("|",$AD101)-1))</f>
        <v/>
      </c>
      <c r="D101" s="180">
        <f>IF($AD101="","",MID($AD101,FIND("|",$AD101,FIND("|",$AD101)+1)+1,FIND("|",$AD101&amp;"|",FIND("|",$AD101,FIND("|",$AD101)+1)+1)-FIND("|",$AD101,FIND("|",$AD101)+1)-1))</f>
        <v/>
      </c>
      <c r="AD101">
        <f>TRIM(MID(SUBSTITUTE($BX$92,"~",REPT(" ",600)),4801,600))</f>
        <v/>
      </c>
    </row>
    <row r="102">
      <c r="B102" s="180">
        <f>IF($AD102="","",VALUE(LEFT($AD102,FIND("|",$AD102)-1)))</f>
        <v/>
      </c>
      <c r="C102" s="180">
        <f>IF($AD102="","","    "&amp;MID($AD102,FIND("|",$AD102)+1,FIND("|",$AD102,FIND("|",$AD102)+1)-FIND("|",$AD102)-1))</f>
        <v/>
      </c>
      <c r="D102" s="180">
        <f>IF($AD102="","",MID($AD102,FIND("|",$AD102,FIND("|",$AD102)+1)+1,FIND("|",$AD102&amp;"|",FIND("|",$AD102,FIND("|",$AD102)+1)+1)-FIND("|",$AD102,FIND("|",$AD102)+1)-1))</f>
        <v/>
      </c>
      <c r="AD102">
        <f>TRIM(MID(SUBSTITUTE($BX$92,"~",REPT(" ",600)),5401,600))</f>
        <v/>
      </c>
    </row>
    <row r="103">
      <c r="B103" s="180">
        <f>IF($AD103="","",VALUE(LEFT($AD103,FIND("|",$AD103)-1)))</f>
        <v/>
      </c>
      <c r="C103" s="180">
        <f>IF($AD103="","","    "&amp;MID($AD103,FIND("|",$AD103)+1,FIND("|",$AD103,FIND("|",$AD103)+1)-FIND("|",$AD103)-1))</f>
        <v/>
      </c>
      <c r="D103" s="180">
        <f>IF($AD103="","",MID($AD103,FIND("|",$AD103,FIND("|",$AD103)+1)+1,FIND("|",$AD103&amp;"|",FIND("|",$AD103,FIND("|",$AD103)+1)+1)-FIND("|",$AD103,FIND("|",$AD103)+1)-1))</f>
        <v/>
      </c>
      <c r="AD103">
        <f>TRIM(MID(SUBSTITUTE($BX$92,"~",REPT(" ",600)),6001,600))</f>
        <v/>
      </c>
    </row>
    <row r="104">
      <c r="A104" s="178">
        <f>IF($AD$104=0,"",$BK$104)</f>
        <v/>
      </c>
      <c r="B104" s="178">
        <f>IF($AD$104=0,"",$AE$104)</f>
        <v/>
      </c>
      <c r="C104" s="178">
        <f>IF($AD$104=0,"",$AE$104&amp;") "&amp;IF(COUNTIFS(tk_SOFG,9,tk_HLEG,"&lt;&gt;"&amp;$BJ$104)=0,INDEX(tk_FLINE,$AD$104),INDEX(tk_FLINEN,$AD$104))&amp;IF($AJ$104="KD"," ( R.O. "&amp;TRIM(TEXT(N($AQ$104)+2.25,"# ?/??"))&amp;CHAR(34)&amp;" x "&amp;TRIM(TEXT(N($AR$104)+1,"# ?/??"))&amp;CHAR(34)&amp;" )",""))</f>
        <v/>
      </c>
      <c r="D104" s="178" t="n"/>
      <c r="E104" s="179">
        <f t="array" ref="E104">IF($AD$104=0,"",_xlfn.TEXTJOIN(", ",TRUE,IF(tk_SOFG=9,"#"&amp;tk_MARK&amp;IF(tk_HLEG="","","("&amp;tk_HLEG&amp;")")&amp;IF(tk_QTY&gt;1," ×"&amp;tk_QTY,""),"")))</f>
        <v/>
      </c>
      <c r="AD104">
        <f>IFERROR(MATCH(9,tk_SOFG,0),0)</f>
        <v/>
      </c>
      <c r="AE104">
        <f>IF($AD$104=0,0,SUMIF(tk_SOFG,9,tk_QTY))</f>
        <v/>
      </c>
      <c r="AF104">
        <f>IF($AD$104=0,"",INDEX(tk_JAMB,$AD$104))</f>
        <v/>
      </c>
      <c r="AG104">
        <f>IF($AD$104=0,"",INDEX(tk_ANCHOR,$AD$104))</f>
        <v/>
      </c>
      <c r="AH104">
        <f>IF($AD$104=0,"",INDEX(tk_ANCH,$AD$104))</f>
        <v/>
      </c>
      <c r="AI104">
        <f>IF($AD$104=0,"",INDEX(tk_BASEA,$AD$104))</f>
        <v/>
      </c>
      <c r="AJ104">
        <f>IF($AD$104=0,"",INDEX(tk_CONSTR,$AD$104))</f>
        <v/>
      </c>
      <c r="AK104">
        <f>IF($AD$104=0,"",INDEX(tk_CLOSER,$AD$104))</f>
        <v/>
      </c>
      <c r="AL104">
        <f>IF($AD$104=0,"",INDEX(tk_STRIKE,$AD$104))</f>
        <v/>
      </c>
      <c r="AM104">
        <f>IF($AD$104=0,"",INDEX(tk_HDRPREP,$AD$104))</f>
        <v/>
      </c>
      <c r="AN104">
        <f>IF($AD$104=0,"",INDEX(tk_DMIN,$AD$104))</f>
        <v/>
      </c>
      <c r="AO104">
        <f>IF($AD$104=0,"",INDEX(tk_PAIR,$AD$104))</f>
        <v/>
      </c>
      <c r="AP104">
        <f>IF($AD$104=0,"",INDEX(tk_FGA,$AD$104))</f>
        <v/>
      </c>
      <c r="AQ104">
        <f>IF($AD$104=0,"",INDEX(tk_WI,$AD$104))</f>
        <v/>
      </c>
      <c r="AR104">
        <f>IF($AD$104=0,"",INDEX(tk_HI,$AD$104))</f>
        <v/>
      </c>
      <c r="AS104">
        <f>IF($AD$104=0,"",INDEX(tk_FHINGE,$AD$104))</f>
        <v/>
      </c>
      <c r="AT104">
        <f>IF($AD$104=0,"",INDEX(tk_DHINGE,$AD$104))</f>
        <v/>
      </c>
      <c r="AU104">
        <f>IF($AD$104=0,"",INDEX(tk_HWLOC,$AD$104))</f>
        <v/>
      </c>
      <c r="AV104">
        <f>IF($AD$104=0,"",INDEX(tk_MANUF,$AD$104))</f>
        <v/>
      </c>
      <c r="AW104">
        <f>IF($AD$104=0,"",INDEX(tk_JH,$AD$104))</f>
        <v/>
      </c>
      <c r="AX104">
        <f>IF($AD$104=0,"",INDEX(tk_FDESC,$AD$104))</f>
        <v/>
      </c>
      <c r="AY104">
        <f>IF($AD$104=0,"",INDEX(tk_TRANS,$AD$104))</f>
        <v/>
      </c>
      <c r="AZ104">
        <f>IF($AD$104=0,"",INDEX(tk_SLW,$AD$104))</f>
        <v/>
      </c>
      <c r="BA104">
        <f>IF($AD$104=0,"",INDEX(tk_LEAVES,$AD$104))</f>
        <v/>
      </c>
      <c r="BB104">
        <f>IF($AD$104=0,"",INDEX(tk_LEAFW,$AD$104))</f>
        <v/>
      </c>
      <c r="BC104">
        <f>IF($AD$104=0,"",INDEX(tk_LEAFH,$AD$104))</f>
        <v/>
      </c>
      <c r="BD104">
        <f>IF($AD$104=0,"",INDEX(tk_DMAT,$AD$104))</f>
        <v/>
      </c>
      <c r="BE104">
        <f>IF($AD$104=0,"",INDEX(tk_DGA,$AD$104))</f>
        <v/>
      </c>
      <c r="BF104">
        <f>IF($AD$104=0,"",INDEX(tk_SERIES,$AD$104))</f>
        <v/>
      </c>
      <c r="BG104">
        <f>IF($AD$104=0,"",INDEX(tk_LOCK,$AD$104))</f>
        <v/>
      </c>
      <c r="BH104">
        <f>IF($AD$104=0,"",INDEX(tk_LITEKIT,$AD$104))</f>
        <v/>
      </c>
      <c r="BI104">
        <f>IF($AD$104=0,"",INDEX(tk_FACE,$AD$104))</f>
        <v/>
      </c>
      <c r="BJ104">
        <f>IF($AD$104=0,"",INDEX(tk_HLEG,$AD$104))</f>
        <v/>
      </c>
      <c r="BK104">
        <f>IF($AD$104=0,"",INDEX(tk_SOITEM,$AD$104))</f>
        <v/>
      </c>
      <c r="BL104">
        <f>IFERROR(VLOOKUP($AF$104,CODES,2,FALSE),"")</f>
        <v/>
      </c>
      <c r="BM104">
        <f>IF($AJ$104="KD","C","M")</f>
        <v/>
      </c>
      <c r="BN104">
        <f>IF(N($AR$104)&lt;=80,80,IF(N($AR$104)&lt;=84,84,IF(N($AR$104)&lt;=96,96,N($AR$104))))</f>
        <v/>
      </c>
      <c r="BO104">
        <f>INT($BN$104/12)&amp;MOD($BN$104,12)</f>
        <v/>
      </c>
      <c r="BP104">
        <f>INT(N($AQ$104)/12)&amp;MOD(N($AQ$104),12)</f>
        <v/>
      </c>
      <c r="BQ104">
        <f>IF(OR($AU$104="",$AU$104="ANSI/SDI",$AU$104="CUSTOM LOC"),IF($AV$104="CU","CURRIES","STEELCRAFT"),$AU$104)</f>
        <v/>
      </c>
      <c r="BR104">
        <f>$AO$104="Y"</f>
        <v/>
      </c>
      <c r="BS104">
        <f>"~"</f>
        <v/>
      </c>
      <c r="BT104">
        <f>N($AH$104)*N($AI$104)</f>
        <v/>
      </c>
      <c r="BU104">
        <f>IF(OR($AL$104="",$AL$104="-",$AL$104="E8"),"G18",$AL$104)</f>
        <v/>
      </c>
      <c r="BV104">
        <f>IF(OR($AS$104="",$AS$104="-"),"BLK",$AS$104)</f>
        <v/>
      </c>
      <c r="BW104">
        <f>" "&amp;$BM$104&amp;$AP$104&amp;" "</f>
        <v/>
      </c>
      <c r="BX104">
        <f>IF($AD$104=0,"",IF(OR($AG$104="SSA",$AG$104="SC"),$AE$104*$BT$104&amp;"|"&amp;$BL$104&amp;" STEEL STUD ANCHOR 2"&amp;CHAR(34)&amp;"||"&amp;$BS$104,"")&amp;IF($AG$104="WEWA-M",$AE$104*(N($AH$104)+1)*N($AI$104)&amp;"|FR101F 690 "&amp;$BL$104&amp;" MASONRY TUBE ANCHOR 16 GA||"&amp;$BS$104&amp;$AE$104*(N($AH$104)+1)*N($AI$104)&amp;"|3/8X5 SF3850 DYNO BOLTS||"&amp;$BS$104,"")&amp;IF($AG$104="WMA",$AE$104*$BT$104&amp;"|WIRE MASONRY ANCHOR||"&amp;$BS$104,"")&amp;IF($AG$104="T",$AE$104*$BT$104&amp;"|T-STRAP MASONRY ANCHOR||"&amp;$BS$104,"")&amp;IF($AG$104="WEWA-W",$AE$104*$BT$104&amp;"|P/D + WOOD SCREWS||"&amp;$BS$104,"")&amp;IF($AJ$104="WGS",$AE$104&amp;"|WELD &amp; GROUND SMOOTH||"&amp;$BS$104,"")&amp;IF(OR($AK$104="",$AK$104="-"),"",$AE$104*IF($BR$104,4,2)&amp;"|RACL/PACL-CLOSER REINF. 14GAx1-3/4x16 HRPO|"&amp;$AK$104&amp;IF($BR$104," BOTH SIDES","")&amp;"|"&amp;$BS$104)&amp;IF($AL$104="E8",$AE$104&amp;"|E8-STRIKE REINF. RIM EXIT||"&amp;$BS$104,"")&amp;IF(ISNUMBER(SEARCH("E4",$AL$104)),$AE$104&amp;"|FRAME DEADLOCK PREP||"&amp;$BS$104,"")&amp;IF($AL$104="E9",$AE$104&amp;"|ELECTRIC STRIKE PREP||"&amp;$BS$104,"")&amp;IF($AM$104="H5",$AE$104&amp;"|H5 STRIKE PREP IN HEADER||"&amp;$BS$104,IF(OR($AM$104="",$AM$104="-"),"",$AE$104&amp;"|HEADER PREP "&amp;$AM$104&amp;"||"&amp;$BS$104))&amp;IF(N($AN$104)&gt;0,$AE$104&amp;"|"&amp;$AN$104&amp;" MINUTE STEEL FRAME LABEL "&amp;IF(OR(N($AY$104)&gt;0,N($AZ$104)&gt;0),"W/TRANSOM PANEL/SIDELIGHT","CAT. C PP")&amp;"||"&amp;$BS$104,"")&amp;IF($AX$104="BL","",$AE$104&amp;"|HD "&amp;$AF$104&amp;$BW$104&amp;$BP$104&amp;" BSC||"&amp;$BS$104&amp;IF($BR$104,$AE$104&amp;"|HJ "&amp;$AF$104&amp;$BW$104&amp;"LH "&amp;$BO$104&amp;" "&amp;$BV$104&amp;" BSC "&amp;CHAR(34)&amp;$BQ$104&amp;CHAR(34)&amp;"||"&amp;$BS$104&amp;$AE$104&amp;"|HJ "&amp;$AF$104&amp;$BW$104&amp;"RH "&amp;$BO$104&amp;" "&amp;$BV$104&amp;" BSC "&amp;CHAR(34)&amp;$BQ$104&amp;CHAR(34)&amp;"||"&amp;$BS$104,$AE$104&amp;"|HJ "&amp;$AF$104&amp;$BW$104&amp;$AW$104&amp;" "&amp;$BO$104&amp;" "&amp;$BV$104&amp;" BSC "&amp;CHAR(34)&amp;$BQ$104&amp;CHAR(34)&amp;"||"&amp;$BS$104&amp;$AE$104&amp;"|SJ "&amp;$AF$104&amp;$BW$104&amp;$AW$104&amp;" "&amp;$BO$104&amp;" "&amp;$BU$104&amp;IF($BU$104="G18"," BLANK"," Y")&amp;" BSC "&amp;CHAR(34)&amp;$BQ$104&amp;CHAR(34)&amp;"||"&amp;$BS$104))&amp;IF(AND($BN$104&gt;N($AR$104),$AX$104&lt;&gt;"BL",N($AR$104)&gt;=60),$AE$104&amp;"|FRAME CUT DOWN (BOTTOM)|Cut "&amp;TRIM(TEXT($BN$104-N($AR$104),"# ?/??"))&amp;CHAR(34)&amp;" OFF THE BOTTOM|"&amp;$BS$104,""))</f>
        <v/>
      </c>
    </row>
    <row r="105">
      <c r="B105" s="180">
        <f>IF($AD105="","",VALUE(LEFT($AD105,FIND("|",$AD105)-1)))</f>
        <v/>
      </c>
      <c r="C105" s="180">
        <f>IF($AD105="","","    "&amp;MID($AD105,FIND("|",$AD105)+1,FIND("|",$AD105,FIND("|",$AD105)+1)-FIND("|",$AD105)-1))</f>
        <v/>
      </c>
      <c r="D105" s="180">
        <f>IF($AD105="","",MID($AD105,FIND("|",$AD105,FIND("|",$AD105)+1)+1,FIND("|",$AD105&amp;"|",FIND("|",$AD105,FIND("|",$AD105)+1)+1)-FIND("|",$AD105,FIND("|",$AD105)+1)-1))</f>
        <v/>
      </c>
      <c r="AD105">
        <f>TRIM(MID(SUBSTITUTE($BX$104,"~",REPT(" ",600)),1,600))</f>
        <v/>
      </c>
    </row>
    <row r="106">
      <c r="B106" s="180">
        <f>IF($AD106="","",VALUE(LEFT($AD106,FIND("|",$AD106)-1)))</f>
        <v/>
      </c>
      <c r="C106" s="180">
        <f>IF($AD106="","","    "&amp;MID($AD106,FIND("|",$AD106)+1,FIND("|",$AD106,FIND("|",$AD106)+1)-FIND("|",$AD106)-1))</f>
        <v/>
      </c>
      <c r="D106" s="180">
        <f>IF($AD106="","",MID($AD106,FIND("|",$AD106,FIND("|",$AD106)+1)+1,FIND("|",$AD106&amp;"|",FIND("|",$AD106,FIND("|",$AD106)+1)+1)-FIND("|",$AD106,FIND("|",$AD106)+1)-1))</f>
        <v/>
      </c>
      <c r="AD106">
        <f>TRIM(MID(SUBSTITUTE($BX$104,"~",REPT(" ",600)),601,600))</f>
        <v/>
      </c>
    </row>
    <row r="107">
      <c r="B107" s="180">
        <f>IF($AD107="","",VALUE(LEFT($AD107,FIND("|",$AD107)-1)))</f>
        <v/>
      </c>
      <c r="C107" s="180">
        <f>IF($AD107="","","    "&amp;MID($AD107,FIND("|",$AD107)+1,FIND("|",$AD107,FIND("|",$AD107)+1)-FIND("|",$AD107)-1))</f>
        <v/>
      </c>
      <c r="D107" s="180">
        <f>IF($AD107="","",MID($AD107,FIND("|",$AD107,FIND("|",$AD107)+1)+1,FIND("|",$AD107&amp;"|",FIND("|",$AD107,FIND("|",$AD107)+1)+1)-FIND("|",$AD107,FIND("|",$AD107)+1)-1))</f>
        <v/>
      </c>
      <c r="AD107">
        <f>TRIM(MID(SUBSTITUTE($BX$104,"~",REPT(" ",600)),1201,600))</f>
        <v/>
      </c>
    </row>
    <row r="108">
      <c r="B108" s="180">
        <f>IF($AD108="","",VALUE(LEFT($AD108,FIND("|",$AD108)-1)))</f>
        <v/>
      </c>
      <c r="C108" s="180">
        <f>IF($AD108="","","    "&amp;MID($AD108,FIND("|",$AD108)+1,FIND("|",$AD108,FIND("|",$AD108)+1)-FIND("|",$AD108)-1))</f>
        <v/>
      </c>
      <c r="D108" s="180">
        <f>IF($AD108="","",MID($AD108,FIND("|",$AD108,FIND("|",$AD108)+1)+1,FIND("|",$AD108&amp;"|",FIND("|",$AD108,FIND("|",$AD108)+1)+1)-FIND("|",$AD108,FIND("|",$AD108)+1)-1))</f>
        <v/>
      </c>
      <c r="AD108">
        <f>TRIM(MID(SUBSTITUTE($BX$104,"~",REPT(" ",600)),1801,600))</f>
        <v/>
      </c>
    </row>
    <row r="109">
      <c r="B109" s="180">
        <f>IF($AD109="","",VALUE(LEFT($AD109,FIND("|",$AD109)-1)))</f>
        <v/>
      </c>
      <c r="C109" s="180">
        <f>IF($AD109="","","    "&amp;MID($AD109,FIND("|",$AD109)+1,FIND("|",$AD109,FIND("|",$AD109)+1)-FIND("|",$AD109)-1))</f>
        <v/>
      </c>
      <c r="D109" s="180">
        <f>IF($AD109="","",MID($AD109,FIND("|",$AD109,FIND("|",$AD109)+1)+1,FIND("|",$AD109&amp;"|",FIND("|",$AD109,FIND("|",$AD109)+1)+1)-FIND("|",$AD109,FIND("|",$AD109)+1)-1))</f>
        <v/>
      </c>
      <c r="AD109">
        <f>TRIM(MID(SUBSTITUTE($BX$104,"~",REPT(" ",600)),2401,600))</f>
        <v/>
      </c>
    </row>
    <row r="110">
      <c r="B110" s="180">
        <f>IF($AD110="","",VALUE(LEFT($AD110,FIND("|",$AD110)-1)))</f>
        <v/>
      </c>
      <c r="C110" s="180">
        <f>IF($AD110="","","    "&amp;MID($AD110,FIND("|",$AD110)+1,FIND("|",$AD110,FIND("|",$AD110)+1)-FIND("|",$AD110)-1))</f>
        <v/>
      </c>
      <c r="D110" s="180">
        <f>IF($AD110="","",MID($AD110,FIND("|",$AD110,FIND("|",$AD110)+1)+1,FIND("|",$AD110&amp;"|",FIND("|",$AD110,FIND("|",$AD110)+1)+1)-FIND("|",$AD110,FIND("|",$AD110)+1)-1))</f>
        <v/>
      </c>
      <c r="AD110">
        <f>TRIM(MID(SUBSTITUTE($BX$104,"~",REPT(" ",600)),3001,600))</f>
        <v/>
      </c>
    </row>
    <row r="111">
      <c r="B111" s="180">
        <f>IF($AD111="","",VALUE(LEFT($AD111,FIND("|",$AD111)-1)))</f>
        <v/>
      </c>
      <c r="C111" s="180">
        <f>IF($AD111="","","    "&amp;MID($AD111,FIND("|",$AD111)+1,FIND("|",$AD111,FIND("|",$AD111)+1)-FIND("|",$AD111)-1))</f>
        <v/>
      </c>
      <c r="D111" s="180">
        <f>IF($AD111="","",MID($AD111,FIND("|",$AD111,FIND("|",$AD111)+1)+1,FIND("|",$AD111&amp;"|",FIND("|",$AD111,FIND("|",$AD111)+1)+1)-FIND("|",$AD111,FIND("|",$AD111)+1)-1))</f>
        <v/>
      </c>
      <c r="AD111">
        <f>TRIM(MID(SUBSTITUTE($BX$104,"~",REPT(" ",600)),3601,600))</f>
        <v/>
      </c>
    </row>
    <row r="112">
      <c r="B112" s="180">
        <f>IF($AD112="","",VALUE(LEFT($AD112,FIND("|",$AD112)-1)))</f>
        <v/>
      </c>
      <c r="C112" s="180">
        <f>IF($AD112="","","    "&amp;MID($AD112,FIND("|",$AD112)+1,FIND("|",$AD112,FIND("|",$AD112)+1)-FIND("|",$AD112)-1))</f>
        <v/>
      </c>
      <c r="D112" s="180">
        <f>IF($AD112="","",MID($AD112,FIND("|",$AD112,FIND("|",$AD112)+1)+1,FIND("|",$AD112&amp;"|",FIND("|",$AD112,FIND("|",$AD112)+1)+1)-FIND("|",$AD112,FIND("|",$AD112)+1)-1))</f>
        <v/>
      </c>
      <c r="AD112">
        <f>TRIM(MID(SUBSTITUTE($BX$104,"~",REPT(" ",600)),4201,600))</f>
        <v/>
      </c>
    </row>
    <row r="113">
      <c r="B113" s="180">
        <f>IF($AD113="","",VALUE(LEFT($AD113,FIND("|",$AD113)-1)))</f>
        <v/>
      </c>
      <c r="C113" s="180">
        <f>IF($AD113="","","    "&amp;MID($AD113,FIND("|",$AD113)+1,FIND("|",$AD113,FIND("|",$AD113)+1)-FIND("|",$AD113)-1))</f>
        <v/>
      </c>
      <c r="D113" s="180">
        <f>IF($AD113="","",MID($AD113,FIND("|",$AD113,FIND("|",$AD113)+1)+1,FIND("|",$AD113&amp;"|",FIND("|",$AD113,FIND("|",$AD113)+1)+1)-FIND("|",$AD113,FIND("|",$AD113)+1)-1))</f>
        <v/>
      </c>
      <c r="AD113">
        <f>TRIM(MID(SUBSTITUTE($BX$104,"~",REPT(" ",600)),4801,600))</f>
        <v/>
      </c>
    </row>
    <row r="114">
      <c r="B114" s="180">
        <f>IF($AD114="","",VALUE(LEFT($AD114,FIND("|",$AD114)-1)))</f>
        <v/>
      </c>
      <c r="C114" s="180">
        <f>IF($AD114="","","    "&amp;MID($AD114,FIND("|",$AD114)+1,FIND("|",$AD114,FIND("|",$AD114)+1)-FIND("|",$AD114)-1))</f>
        <v/>
      </c>
      <c r="D114" s="180">
        <f>IF($AD114="","",MID($AD114,FIND("|",$AD114,FIND("|",$AD114)+1)+1,FIND("|",$AD114&amp;"|",FIND("|",$AD114,FIND("|",$AD114)+1)+1)-FIND("|",$AD114,FIND("|",$AD114)+1)-1))</f>
        <v/>
      </c>
      <c r="AD114">
        <f>TRIM(MID(SUBSTITUTE($BX$104,"~",REPT(" ",600)),5401,600))</f>
        <v/>
      </c>
    </row>
    <row r="115">
      <c r="B115" s="180">
        <f>IF($AD115="","",VALUE(LEFT($AD115,FIND("|",$AD115)-1)))</f>
        <v/>
      </c>
      <c r="C115" s="180">
        <f>IF($AD115="","","    "&amp;MID($AD115,FIND("|",$AD115)+1,FIND("|",$AD115,FIND("|",$AD115)+1)-FIND("|",$AD115)-1))</f>
        <v/>
      </c>
      <c r="D115" s="180">
        <f>IF($AD115="","",MID($AD115,FIND("|",$AD115,FIND("|",$AD115)+1)+1,FIND("|",$AD115&amp;"|",FIND("|",$AD115,FIND("|",$AD115)+1)+1)-FIND("|",$AD115,FIND("|",$AD115)+1)-1))</f>
        <v/>
      </c>
      <c r="AD115">
        <f>TRIM(MID(SUBSTITUTE($BX$104,"~",REPT(" ",600)),6001,600))</f>
        <v/>
      </c>
    </row>
    <row r="116">
      <c r="A116" s="178">
        <f>IF($AD$116=0,"",$BK$116)</f>
        <v/>
      </c>
      <c r="B116" s="178">
        <f>IF($AD$116=0,"",$AE$116)</f>
        <v/>
      </c>
      <c r="C116" s="178">
        <f>IF($AD$116=0,"",$AE$116&amp;") "&amp;IF(COUNTIFS(tk_SOFG,10,tk_HLEG,"&lt;&gt;"&amp;$BJ$116)=0,INDEX(tk_FLINE,$AD$116),INDEX(tk_FLINEN,$AD$116))&amp;IF($AJ$116="KD"," ( R.O. "&amp;TRIM(TEXT(N($AQ$116)+2.25,"# ?/??"))&amp;CHAR(34)&amp;" x "&amp;TRIM(TEXT(N($AR$116)+1,"# ?/??"))&amp;CHAR(34)&amp;" )",""))</f>
        <v/>
      </c>
      <c r="D116" s="178" t="n"/>
      <c r="E116" s="179">
        <f t="array" ref="E116">IF($AD$116=0,"",_xlfn.TEXTJOIN(", ",TRUE,IF(tk_SOFG=10,"#"&amp;tk_MARK&amp;IF(tk_HLEG="","","("&amp;tk_HLEG&amp;")")&amp;IF(tk_QTY&gt;1," ×"&amp;tk_QTY,""),"")))</f>
        <v/>
      </c>
      <c r="AD116">
        <f>IFERROR(MATCH(10,tk_SOFG,0),0)</f>
        <v/>
      </c>
      <c r="AE116">
        <f>IF($AD$116=0,0,SUMIF(tk_SOFG,10,tk_QTY))</f>
        <v/>
      </c>
      <c r="AF116">
        <f>IF($AD$116=0,"",INDEX(tk_JAMB,$AD$116))</f>
        <v/>
      </c>
      <c r="AG116">
        <f>IF($AD$116=0,"",INDEX(tk_ANCHOR,$AD$116))</f>
        <v/>
      </c>
      <c r="AH116">
        <f>IF($AD$116=0,"",INDEX(tk_ANCH,$AD$116))</f>
        <v/>
      </c>
      <c r="AI116">
        <f>IF($AD$116=0,"",INDEX(tk_BASEA,$AD$116))</f>
        <v/>
      </c>
      <c r="AJ116">
        <f>IF($AD$116=0,"",INDEX(tk_CONSTR,$AD$116))</f>
        <v/>
      </c>
      <c r="AK116">
        <f>IF($AD$116=0,"",INDEX(tk_CLOSER,$AD$116))</f>
        <v/>
      </c>
      <c r="AL116">
        <f>IF($AD$116=0,"",INDEX(tk_STRIKE,$AD$116))</f>
        <v/>
      </c>
      <c r="AM116">
        <f>IF($AD$116=0,"",INDEX(tk_HDRPREP,$AD$116))</f>
        <v/>
      </c>
      <c r="AN116">
        <f>IF($AD$116=0,"",INDEX(tk_DMIN,$AD$116))</f>
        <v/>
      </c>
      <c r="AO116">
        <f>IF($AD$116=0,"",INDEX(tk_PAIR,$AD$116))</f>
        <v/>
      </c>
      <c r="AP116">
        <f>IF($AD$116=0,"",INDEX(tk_FGA,$AD$116))</f>
        <v/>
      </c>
      <c r="AQ116">
        <f>IF($AD$116=0,"",INDEX(tk_WI,$AD$116))</f>
        <v/>
      </c>
      <c r="AR116">
        <f>IF($AD$116=0,"",INDEX(tk_HI,$AD$116))</f>
        <v/>
      </c>
      <c r="AS116">
        <f>IF($AD$116=0,"",INDEX(tk_FHINGE,$AD$116))</f>
        <v/>
      </c>
      <c r="AT116">
        <f>IF($AD$116=0,"",INDEX(tk_DHINGE,$AD$116))</f>
        <v/>
      </c>
      <c r="AU116">
        <f>IF($AD$116=0,"",INDEX(tk_HWLOC,$AD$116))</f>
        <v/>
      </c>
      <c r="AV116">
        <f>IF($AD$116=0,"",INDEX(tk_MANUF,$AD$116))</f>
        <v/>
      </c>
      <c r="AW116">
        <f>IF($AD$116=0,"",INDEX(tk_JH,$AD$116))</f>
        <v/>
      </c>
      <c r="AX116">
        <f>IF($AD$116=0,"",INDEX(tk_FDESC,$AD$116))</f>
        <v/>
      </c>
      <c r="AY116">
        <f>IF($AD$116=0,"",INDEX(tk_TRANS,$AD$116))</f>
        <v/>
      </c>
      <c r="AZ116">
        <f>IF($AD$116=0,"",INDEX(tk_SLW,$AD$116))</f>
        <v/>
      </c>
      <c r="BA116">
        <f>IF($AD$116=0,"",INDEX(tk_LEAVES,$AD$116))</f>
        <v/>
      </c>
      <c r="BB116">
        <f>IF($AD$116=0,"",INDEX(tk_LEAFW,$AD$116))</f>
        <v/>
      </c>
      <c r="BC116">
        <f>IF($AD$116=0,"",INDEX(tk_LEAFH,$AD$116))</f>
        <v/>
      </c>
      <c r="BD116">
        <f>IF($AD$116=0,"",INDEX(tk_DMAT,$AD$116))</f>
        <v/>
      </c>
      <c r="BE116">
        <f>IF($AD$116=0,"",INDEX(tk_DGA,$AD$116))</f>
        <v/>
      </c>
      <c r="BF116">
        <f>IF($AD$116=0,"",INDEX(tk_SERIES,$AD$116))</f>
        <v/>
      </c>
      <c r="BG116">
        <f>IF($AD$116=0,"",INDEX(tk_LOCK,$AD$116))</f>
        <v/>
      </c>
      <c r="BH116">
        <f>IF($AD$116=0,"",INDEX(tk_LITEKIT,$AD$116))</f>
        <v/>
      </c>
      <c r="BI116">
        <f>IF($AD$116=0,"",INDEX(tk_FACE,$AD$116))</f>
        <v/>
      </c>
      <c r="BJ116">
        <f>IF($AD$116=0,"",INDEX(tk_HLEG,$AD$116))</f>
        <v/>
      </c>
      <c r="BK116">
        <f>IF($AD$116=0,"",INDEX(tk_SOITEM,$AD$116))</f>
        <v/>
      </c>
      <c r="BL116">
        <f>IFERROR(VLOOKUP($AF$116,CODES,2,FALSE),"")</f>
        <v/>
      </c>
      <c r="BM116">
        <f>IF($AJ$116="KD","C","M")</f>
        <v/>
      </c>
      <c r="BN116">
        <f>IF(N($AR$116)&lt;=80,80,IF(N($AR$116)&lt;=84,84,IF(N($AR$116)&lt;=96,96,N($AR$116))))</f>
        <v/>
      </c>
      <c r="BO116">
        <f>INT($BN$116/12)&amp;MOD($BN$116,12)</f>
        <v/>
      </c>
      <c r="BP116">
        <f>INT(N($AQ$116)/12)&amp;MOD(N($AQ$116),12)</f>
        <v/>
      </c>
      <c r="BQ116">
        <f>IF(OR($AU$116="",$AU$116="ANSI/SDI",$AU$116="CUSTOM LOC"),IF($AV$116="CU","CURRIES","STEELCRAFT"),$AU$116)</f>
        <v/>
      </c>
      <c r="BR116">
        <f>$AO$116="Y"</f>
        <v/>
      </c>
      <c r="BS116">
        <f>"~"</f>
        <v/>
      </c>
      <c r="BT116">
        <f>N($AH$116)*N($AI$116)</f>
        <v/>
      </c>
      <c r="BU116">
        <f>IF(OR($AL$116="",$AL$116="-",$AL$116="E8"),"G18",$AL$116)</f>
        <v/>
      </c>
      <c r="BV116">
        <f>IF(OR($AS$116="",$AS$116="-"),"BLK",$AS$116)</f>
        <v/>
      </c>
      <c r="BW116">
        <f>" "&amp;$BM$116&amp;$AP$116&amp;" "</f>
        <v/>
      </c>
      <c r="BX116">
        <f>IF($AD$116=0,"",IF(OR($AG$116="SSA",$AG$116="SC"),$AE$116*$BT$116&amp;"|"&amp;$BL$116&amp;" STEEL STUD ANCHOR 2"&amp;CHAR(34)&amp;"||"&amp;$BS$116,"")&amp;IF($AG$116="WEWA-M",$AE$116*(N($AH$116)+1)*N($AI$116)&amp;"|FR101F 690 "&amp;$BL$116&amp;" MASONRY TUBE ANCHOR 16 GA||"&amp;$BS$116&amp;$AE$116*(N($AH$116)+1)*N($AI$116)&amp;"|3/8X5 SF3850 DYNO BOLTS||"&amp;$BS$116,"")&amp;IF($AG$116="WMA",$AE$116*$BT$116&amp;"|WIRE MASONRY ANCHOR||"&amp;$BS$116,"")&amp;IF($AG$116="T",$AE$116*$BT$116&amp;"|T-STRAP MASONRY ANCHOR||"&amp;$BS$116,"")&amp;IF($AG$116="WEWA-W",$AE$116*$BT$116&amp;"|P/D + WOOD SCREWS||"&amp;$BS$116,"")&amp;IF($AJ$116="WGS",$AE$116&amp;"|WELD &amp; GROUND SMOOTH||"&amp;$BS$116,"")&amp;IF(OR($AK$116="",$AK$116="-"),"",$AE$116*IF($BR$116,4,2)&amp;"|RACL/PACL-CLOSER REINF. 14GAx1-3/4x16 HRPO|"&amp;$AK$116&amp;IF($BR$116," BOTH SIDES","")&amp;"|"&amp;$BS$116)&amp;IF($AL$116="E8",$AE$116&amp;"|E8-STRIKE REINF. RIM EXIT||"&amp;$BS$116,"")&amp;IF(ISNUMBER(SEARCH("E4",$AL$116)),$AE$116&amp;"|FRAME DEADLOCK PREP||"&amp;$BS$116,"")&amp;IF($AL$116="E9",$AE$116&amp;"|ELECTRIC STRIKE PREP||"&amp;$BS$116,"")&amp;IF($AM$116="H5",$AE$116&amp;"|H5 STRIKE PREP IN HEADER||"&amp;$BS$116,IF(OR($AM$116="",$AM$116="-"),"",$AE$116&amp;"|HEADER PREP "&amp;$AM$116&amp;"||"&amp;$BS$116))&amp;IF(N($AN$116)&gt;0,$AE$116&amp;"|"&amp;$AN$116&amp;" MINUTE STEEL FRAME LABEL "&amp;IF(OR(N($AY$116)&gt;0,N($AZ$116)&gt;0),"W/TRANSOM PANEL/SIDELIGHT","CAT. C PP")&amp;"||"&amp;$BS$116,"")&amp;IF($AX$116="BL","",$AE$116&amp;"|HD "&amp;$AF$116&amp;$BW$116&amp;$BP$116&amp;" BSC||"&amp;$BS$116&amp;IF($BR$116,$AE$116&amp;"|HJ "&amp;$AF$116&amp;$BW$116&amp;"LH "&amp;$BO$116&amp;" "&amp;$BV$116&amp;" BSC "&amp;CHAR(34)&amp;$BQ$116&amp;CHAR(34)&amp;"||"&amp;$BS$116&amp;$AE$116&amp;"|HJ "&amp;$AF$116&amp;$BW$116&amp;"RH "&amp;$BO$116&amp;" "&amp;$BV$116&amp;" BSC "&amp;CHAR(34)&amp;$BQ$116&amp;CHAR(34)&amp;"||"&amp;$BS$116,$AE$116&amp;"|HJ "&amp;$AF$116&amp;$BW$116&amp;$AW$116&amp;" "&amp;$BO$116&amp;" "&amp;$BV$116&amp;" BSC "&amp;CHAR(34)&amp;$BQ$116&amp;CHAR(34)&amp;"||"&amp;$BS$116&amp;$AE$116&amp;"|SJ "&amp;$AF$116&amp;$BW$116&amp;$AW$116&amp;" "&amp;$BO$116&amp;" "&amp;$BU$116&amp;IF($BU$116="G18"," BLANK"," Y")&amp;" BSC "&amp;CHAR(34)&amp;$BQ$116&amp;CHAR(34)&amp;"||"&amp;$BS$116))&amp;IF(AND($BN$116&gt;N($AR$116),$AX$116&lt;&gt;"BL",N($AR$116)&gt;=60),$AE$116&amp;"|FRAME CUT DOWN (BOTTOM)|Cut "&amp;TRIM(TEXT($BN$116-N($AR$116),"# ?/??"))&amp;CHAR(34)&amp;" OFF THE BOTTOM|"&amp;$BS$116,""))</f>
        <v/>
      </c>
    </row>
    <row r="117">
      <c r="B117" s="180">
        <f>IF($AD117="","",VALUE(LEFT($AD117,FIND("|",$AD117)-1)))</f>
        <v/>
      </c>
      <c r="C117" s="180">
        <f>IF($AD117="","","    "&amp;MID($AD117,FIND("|",$AD117)+1,FIND("|",$AD117,FIND("|",$AD117)+1)-FIND("|",$AD117)-1))</f>
        <v/>
      </c>
      <c r="D117" s="180">
        <f>IF($AD117="","",MID($AD117,FIND("|",$AD117,FIND("|",$AD117)+1)+1,FIND("|",$AD117&amp;"|",FIND("|",$AD117,FIND("|",$AD117)+1)+1)-FIND("|",$AD117,FIND("|",$AD117)+1)-1))</f>
        <v/>
      </c>
      <c r="AD117">
        <f>TRIM(MID(SUBSTITUTE($BX$116,"~",REPT(" ",600)),1,600))</f>
        <v/>
      </c>
    </row>
    <row r="118">
      <c r="B118" s="180">
        <f>IF($AD118="","",VALUE(LEFT($AD118,FIND("|",$AD118)-1)))</f>
        <v/>
      </c>
      <c r="C118" s="180">
        <f>IF($AD118="","","    "&amp;MID($AD118,FIND("|",$AD118)+1,FIND("|",$AD118,FIND("|",$AD118)+1)-FIND("|",$AD118)-1))</f>
        <v/>
      </c>
      <c r="D118" s="180">
        <f>IF($AD118="","",MID($AD118,FIND("|",$AD118,FIND("|",$AD118)+1)+1,FIND("|",$AD118&amp;"|",FIND("|",$AD118,FIND("|",$AD118)+1)+1)-FIND("|",$AD118,FIND("|",$AD118)+1)-1))</f>
        <v/>
      </c>
      <c r="AD118">
        <f>TRIM(MID(SUBSTITUTE($BX$116,"~",REPT(" ",600)),601,600))</f>
        <v/>
      </c>
    </row>
    <row r="119">
      <c r="B119" s="180">
        <f>IF($AD119="","",VALUE(LEFT($AD119,FIND("|",$AD119)-1)))</f>
        <v/>
      </c>
      <c r="C119" s="180">
        <f>IF($AD119="","","    "&amp;MID($AD119,FIND("|",$AD119)+1,FIND("|",$AD119,FIND("|",$AD119)+1)-FIND("|",$AD119)-1))</f>
        <v/>
      </c>
      <c r="D119" s="180">
        <f>IF($AD119="","",MID($AD119,FIND("|",$AD119,FIND("|",$AD119)+1)+1,FIND("|",$AD119&amp;"|",FIND("|",$AD119,FIND("|",$AD119)+1)+1)-FIND("|",$AD119,FIND("|",$AD119)+1)-1))</f>
        <v/>
      </c>
      <c r="AD119">
        <f>TRIM(MID(SUBSTITUTE($BX$116,"~",REPT(" ",600)),1201,600))</f>
        <v/>
      </c>
    </row>
    <row r="120">
      <c r="B120" s="180">
        <f>IF($AD120="","",VALUE(LEFT($AD120,FIND("|",$AD120)-1)))</f>
        <v/>
      </c>
      <c r="C120" s="180">
        <f>IF($AD120="","","    "&amp;MID($AD120,FIND("|",$AD120)+1,FIND("|",$AD120,FIND("|",$AD120)+1)-FIND("|",$AD120)-1))</f>
        <v/>
      </c>
      <c r="D120" s="180">
        <f>IF($AD120="","",MID($AD120,FIND("|",$AD120,FIND("|",$AD120)+1)+1,FIND("|",$AD120&amp;"|",FIND("|",$AD120,FIND("|",$AD120)+1)+1)-FIND("|",$AD120,FIND("|",$AD120)+1)-1))</f>
        <v/>
      </c>
      <c r="AD120">
        <f>TRIM(MID(SUBSTITUTE($BX$116,"~",REPT(" ",600)),1801,600))</f>
        <v/>
      </c>
    </row>
    <row r="121">
      <c r="B121" s="180">
        <f>IF($AD121="","",VALUE(LEFT($AD121,FIND("|",$AD121)-1)))</f>
        <v/>
      </c>
      <c r="C121" s="180">
        <f>IF($AD121="","","    "&amp;MID($AD121,FIND("|",$AD121)+1,FIND("|",$AD121,FIND("|",$AD121)+1)-FIND("|",$AD121)-1))</f>
        <v/>
      </c>
      <c r="D121" s="180">
        <f>IF($AD121="","",MID($AD121,FIND("|",$AD121,FIND("|",$AD121)+1)+1,FIND("|",$AD121&amp;"|",FIND("|",$AD121,FIND("|",$AD121)+1)+1)-FIND("|",$AD121,FIND("|",$AD121)+1)-1))</f>
        <v/>
      </c>
      <c r="AD121">
        <f>TRIM(MID(SUBSTITUTE($BX$116,"~",REPT(" ",600)),2401,600))</f>
        <v/>
      </c>
    </row>
    <row r="122">
      <c r="B122" s="180">
        <f>IF($AD122="","",VALUE(LEFT($AD122,FIND("|",$AD122)-1)))</f>
        <v/>
      </c>
      <c r="C122" s="180">
        <f>IF($AD122="","","    "&amp;MID($AD122,FIND("|",$AD122)+1,FIND("|",$AD122,FIND("|",$AD122)+1)-FIND("|",$AD122)-1))</f>
        <v/>
      </c>
      <c r="D122" s="180">
        <f>IF($AD122="","",MID($AD122,FIND("|",$AD122,FIND("|",$AD122)+1)+1,FIND("|",$AD122&amp;"|",FIND("|",$AD122,FIND("|",$AD122)+1)+1)-FIND("|",$AD122,FIND("|",$AD122)+1)-1))</f>
        <v/>
      </c>
      <c r="AD122">
        <f>TRIM(MID(SUBSTITUTE($BX$116,"~",REPT(" ",600)),3001,600))</f>
        <v/>
      </c>
    </row>
    <row r="123">
      <c r="B123" s="180">
        <f>IF($AD123="","",VALUE(LEFT($AD123,FIND("|",$AD123)-1)))</f>
        <v/>
      </c>
      <c r="C123" s="180">
        <f>IF($AD123="","","    "&amp;MID($AD123,FIND("|",$AD123)+1,FIND("|",$AD123,FIND("|",$AD123)+1)-FIND("|",$AD123)-1))</f>
        <v/>
      </c>
      <c r="D123" s="180">
        <f>IF($AD123="","",MID($AD123,FIND("|",$AD123,FIND("|",$AD123)+1)+1,FIND("|",$AD123&amp;"|",FIND("|",$AD123,FIND("|",$AD123)+1)+1)-FIND("|",$AD123,FIND("|",$AD123)+1)-1))</f>
        <v/>
      </c>
      <c r="AD123">
        <f>TRIM(MID(SUBSTITUTE($BX$116,"~",REPT(" ",600)),3601,600))</f>
        <v/>
      </c>
    </row>
    <row r="124">
      <c r="B124" s="180">
        <f>IF($AD124="","",VALUE(LEFT($AD124,FIND("|",$AD124)-1)))</f>
        <v/>
      </c>
      <c r="C124" s="180">
        <f>IF($AD124="","","    "&amp;MID($AD124,FIND("|",$AD124)+1,FIND("|",$AD124,FIND("|",$AD124)+1)-FIND("|",$AD124)-1))</f>
        <v/>
      </c>
      <c r="D124" s="180">
        <f>IF($AD124="","",MID($AD124,FIND("|",$AD124,FIND("|",$AD124)+1)+1,FIND("|",$AD124&amp;"|",FIND("|",$AD124,FIND("|",$AD124)+1)+1)-FIND("|",$AD124,FIND("|",$AD124)+1)-1))</f>
        <v/>
      </c>
      <c r="AD124">
        <f>TRIM(MID(SUBSTITUTE($BX$116,"~",REPT(" ",600)),4201,600))</f>
        <v/>
      </c>
    </row>
    <row r="125">
      <c r="B125" s="180">
        <f>IF($AD125="","",VALUE(LEFT($AD125,FIND("|",$AD125)-1)))</f>
        <v/>
      </c>
      <c r="C125" s="180">
        <f>IF($AD125="","","    "&amp;MID($AD125,FIND("|",$AD125)+1,FIND("|",$AD125,FIND("|",$AD125)+1)-FIND("|",$AD125)-1))</f>
        <v/>
      </c>
      <c r="D125" s="180">
        <f>IF($AD125="","",MID($AD125,FIND("|",$AD125,FIND("|",$AD125)+1)+1,FIND("|",$AD125&amp;"|",FIND("|",$AD125,FIND("|",$AD125)+1)+1)-FIND("|",$AD125,FIND("|",$AD125)+1)-1))</f>
        <v/>
      </c>
      <c r="AD125">
        <f>TRIM(MID(SUBSTITUTE($BX$116,"~",REPT(" ",600)),4801,600))</f>
        <v/>
      </c>
    </row>
    <row r="126">
      <c r="B126" s="180">
        <f>IF($AD126="","",VALUE(LEFT($AD126,FIND("|",$AD126)-1)))</f>
        <v/>
      </c>
      <c r="C126" s="180">
        <f>IF($AD126="","","    "&amp;MID($AD126,FIND("|",$AD126)+1,FIND("|",$AD126,FIND("|",$AD126)+1)-FIND("|",$AD126)-1))</f>
        <v/>
      </c>
      <c r="D126" s="180">
        <f>IF($AD126="","",MID($AD126,FIND("|",$AD126,FIND("|",$AD126)+1)+1,FIND("|",$AD126&amp;"|",FIND("|",$AD126,FIND("|",$AD126)+1)+1)-FIND("|",$AD126,FIND("|",$AD126)+1)-1))</f>
        <v/>
      </c>
      <c r="AD126">
        <f>TRIM(MID(SUBSTITUTE($BX$116,"~",REPT(" ",600)),5401,600))</f>
        <v/>
      </c>
    </row>
    <row r="127">
      <c r="B127" s="180">
        <f>IF($AD127="","",VALUE(LEFT($AD127,FIND("|",$AD127)-1)))</f>
        <v/>
      </c>
      <c r="C127" s="180">
        <f>IF($AD127="","","    "&amp;MID($AD127,FIND("|",$AD127)+1,FIND("|",$AD127,FIND("|",$AD127)+1)-FIND("|",$AD127)-1))</f>
        <v/>
      </c>
      <c r="D127" s="180">
        <f>IF($AD127="","",MID($AD127,FIND("|",$AD127,FIND("|",$AD127)+1)+1,FIND("|",$AD127&amp;"|",FIND("|",$AD127,FIND("|",$AD127)+1)+1)-FIND("|",$AD127,FIND("|",$AD127)+1)-1))</f>
        <v/>
      </c>
      <c r="AD127">
        <f>TRIM(MID(SUBSTITUTE($BX$116,"~",REPT(" ",600)),6001,600))</f>
        <v/>
      </c>
    </row>
    <row r="128">
      <c r="A128" s="178">
        <f>IF($AD$128=0,"",$BK$128)</f>
        <v/>
      </c>
      <c r="B128" s="178">
        <f>IF($AD$128=0,"",$AE$128)</f>
        <v/>
      </c>
      <c r="C128" s="178">
        <f>IF($AD$128=0,"",$AE$128&amp;") "&amp;IF(COUNTIFS(tk_SOFG,11,tk_HLEG,"&lt;&gt;"&amp;$BJ$128)=0,INDEX(tk_FLINE,$AD$128),INDEX(tk_FLINEN,$AD$128))&amp;IF($AJ$128="KD"," ( R.O. "&amp;TRIM(TEXT(N($AQ$128)+2.25,"# ?/??"))&amp;CHAR(34)&amp;" x "&amp;TRIM(TEXT(N($AR$128)+1,"# ?/??"))&amp;CHAR(34)&amp;" )",""))</f>
        <v/>
      </c>
      <c r="D128" s="178" t="n"/>
      <c r="E128" s="179">
        <f t="array" ref="E128">IF($AD$128=0,"",_xlfn.TEXTJOIN(", ",TRUE,IF(tk_SOFG=11,"#"&amp;tk_MARK&amp;IF(tk_HLEG="","","("&amp;tk_HLEG&amp;")")&amp;IF(tk_QTY&gt;1," ×"&amp;tk_QTY,""),"")))</f>
        <v/>
      </c>
      <c r="AD128">
        <f>IFERROR(MATCH(11,tk_SOFG,0),0)</f>
        <v/>
      </c>
      <c r="AE128">
        <f>IF($AD$128=0,0,SUMIF(tk_SOFG,11,tk_QTY))</f>
        <v/>
      </c>
      <c r="AF128">
        <f>IF($AD$128=0,"",INDEX(tk_JAMB,$AD$128))</f>
        <v/>
      </c>
      <c r="AG128">
        <f>IF($AD$128=0,"",INDEX(tk_ANCHOR,$AD$128))</f>
        <v/>
      </c>
      <c r="AH128">
        <f>IF($AD$128=0,"",INDEX(tk_ANCH,$AD$128))</f>
        <v/>
      </c>
      <c r="AI128">
        <f>IF($AD$128=0,"",INDEX(tk_BASEA,$AD$128))</f>
        <v/>
      </c>
      <c r="AJ128">
        <f>IF($AD$128=0,"",INDEX(tk_CONSTR,$AD$128))</f>
        <v/>
      </c>
      <c r="AK128">
        <f>IF($AD$128=0,"",INDEX(tk_CLOSER,$AD$128))</f>
        <v/>
      </c>
      <c r="AL128">
        <f>IF($AD$128=0,"",INDEX(tk_STRIKE,$AD$128))</f>
        <v/>
      </c>
      <c r="AM128">
        <f>IF($AD$128=0,"",INDEX(tk_HDRPREP,$AD$128))</f>
        <v/>
      </c>
      <c r="AN128">
        <f>IF($AD$128=0,"",INDEX(tk_DMIN,$AD$128))</f>
        <v/>
      </c>
      <c r="AO128">
        <f>IF($AD$128=0,"",INDEX(tk_PAIR,$AD$128))</f>
        <v/>
      </c>
      <c r="AP128">
        <f>IF($AD$128=0,"",INDEX(tk_FGA,$AD$128))</f>
        <v/>
      </c>
      <c r="AQ128">
        <f>IF($AD$128=0,"",INDEX(tk_WI,$AD$128))</f>
        <v/>
      </c>
      <c r="AR128">
        <f>IF($AD$128=0,"",INDEX(tk_HI,$AD$128))</f>
        <v/>
      </c>
      <c r="AS128">
        <f>IF($AD$128=0,"",INDEX(tk_FHINGE,$AD$128))</f>
        <v/>
      </c>
      <c r="AT128">
        <f>IF($AD$128=0,"",INDEX(tk_DHINGE,$AD$128))</f>
        <v/>
      </c>
      <c r="AU128">
        <f>IF($AD$128=0,"",INDEX(tk_HWLOC,$AD$128))</f>
        <v/>
      </c>
      <c r="AV128">
        <f>IF($AD$128=0,"",INDEX(tk_MANUF,$AD$128))</f>
        <v/>
      </c>
      <c r="AW128">
        <f>IF($AD$128=0,"",INDEX(tk_JH,$AD$128))</f>
        <v/>
      </c>
      <c r="AX128">
        <f>IF($AD$128=0,"",INDEX(tk_FDESC,$AD$128))</f>
        <v/>
      </c>
      <c r="AY128">
        <f>IF($AD$128=0,"",INDEX(tk_TRANS,$AD$128))</f>
        <v/>
      </c>
      <c r="AZ128">
        <f>IF($AD$128=0,"",INDEX(tk_SLW,$AD$128))</f>
        <v/>
      </c>
      <c r="BA128">
        <f>IF($AD$128=0,"",INDEX(tk_LEAVES,$AD$128))</f>
        <v/>
      </c>
      <c r="BB128">
        <f>IF($AD$128=0,"",INDEX(tk_LEAFW,$AD$128))</f>
        <v/>
      </c>
      <c r="BC128">
        <f>IF($AD$128=0,"",INDEX(tk_LEAFH,$AD$128))</f>
        <v/>
      </c>
      <c r="BD128">
        <f>IF($AD$128=0,"",INDEX(tk_DMAT,$AD$128))</f>
        <v/>
      </c>
      <c r="BE128">
        <f>IF($AD$128=0,"",INDEX(tk_DGA,$AD$128))</f>
        <v/>
      </c>
      <c r="BF128">
        <f>IF($AD$128=0,"",INDEX(tk_SERIES,$AD$128))</f>
        <v/>
      </c>
      <c r="BG128">
        <f>IF($AD$128=0,"",INDEX(tk_LOCK,$AD$128))</f>
        <v/>
      </c>
      <c r="BH128">
        <f>IF($AD$128=0,"",INDEX(tk_LITEKIT,$AD$128))</f>
        <v/>
      </c>
      <c r="BI128">
        <f>IF($AD$128=0,"",INDEX(tk_FACE,$AD$128))</f>
        <v/>
      </c>
      <c r="BJ128">
        <f>IF($AD$128=0,"",INDEX(tk_HLEG,$AD$128))</f>
        <v/>
      </c>
      <c r="BK128">
        <f>IF($AD$128=0,"",INDEX(tk_SOITEM,$AD$128))</f>
        <v/>
      </c>
      <c r="BL128">
        <f>IFERROR(VLOOKUP($AF$128,CODES,2,FALSE),"")</f>
        <v/>
      </c>
      <c r="BM128">
        <f>IF($AJ$128="KD","C","M")</f>
        <v/>
      </c>
      <c r="BN128">
        <f>IF(N($AR$128)&lt;=80,80,IF(N($AR$128)&lt;=84,84,IF(N($AR$128)&lt;=96,96,N($AR$128))))</f>
        <v/>
      </c>
      <c r="BO128">
        <f>INT($BN$128/12)&amp;MOD($BN$128,12)</f>
        <v/>
      </c>
      <c r="BP128">
        <f>INT(N($AQ$128)/12)&amp;MOD(N($AQ$128),12)</f>
        <v/>
      </c>
      <c r="BQ128">
        <f>IF(OR($AU$128="",$AU$128="ANSI/SDI",$AU$128="CUSTOM LOC"),IF($AV$128="CU","CURRIES","STEELCRAFT"),$AU$128)</f>
        <v/>
      </c>
      <c r="BR128">
        <f>$AO$128="Y"</f>
        <v/>
      </c>
      <c r="BS128">
        <f>"~"</f>
        <v/>
      </c>
      <c r="BT128">
        <f>N($AH$128)*N($AI$128)</f>
        <v/>
      </c>
      <c r="BU128">
        <f>IF(OR($AL$128="",$AL$128="-",$AL$128="E8"),"G18",$AL$128)</f>
        <v/>
      </c>
      <c r="BV128">
        <f>IF(OR($AS$128="",$AS$128="-"),"BLK",$AS$128)</f>
        <v/>
      </c>
      <c r="BW128">
        <f>" "&amp;$BM$128&amp;$AP$128&amp;" "</f>
        <v/>
      </c>
      <c r="BX128">
        <f>IF($AD$128=0,"",IF(OR($AG$128="SSA",$AG$128="SC"),$AE$128*$BT$128&amp;"|"&amp;$BL$128&amp;" STEEL STUD ANCHOR 2"&amp;CHAR(34)&amp;"||"&amp;$BS$128,"")&amp;IF($AG$128="WEWA-M",$AE$128*(N($AH$128)+1)*N($AI$128)&amp;"|FR101F 690 "&amp;$BL$128&amp;" MASONRY TUBE ANCHOR 16 GA||"&amp;$BS$128&amp;$AE$128*(N($AH$128)+1)*N($AI$128)&amp;"|3/8X5 SF3850 DYNO BOLTS||"&amp;$BS$128,"")&amp;IF($AG$128="WMA",$AE$128*$BT$128&amp;"|WIRE MASONRY ANCHOR||"&amp;$BS$128,"")&amp;IF($AG$128="T",$AE$128*$BT$128&amp;"|T-STRAP MASONRY ANCHOR||"&amp;$BS$128,"")&amp;IF($AG$128="WEWA-W",$AE$128*$BT$128&amp;"|P/D + WOOD SCREWS||"&amp;$BS$128,"")&amp;IF($AJ$128="WGS",$AE$128&amp;"|WELD &amp; GROUND SMOOTH||"&amp;$BS$128,"")&amp;IF(OR($AK$128="",$AK$128="-"),"",$AE$128*IF($BR$128,4,2)&amp;"|RACL/PACL-CLOSER REINF. 14GAx1-3/4x16 HRPO|"&amp;$AK$128&amp;IF($BR$128," BOTH SIDES","")&amp;"|"&amp;$BS$128)&amp;IF($AL$128="E8",$AE$128&amp;"|E8-STRIKE REINF. RIM EXIT||"&amp;$BS$128,"")&amp;IF(ISNUMBER(SEARCH("E4",$AL$128)),$AE$128&amp;"|FRAME DEADLOCK PREP||"&amp;$BS$128,"")&amp;IF($AL$128="E9",$AE$128&amp;"|ELECTRIC STRIKE PREP||"&amp;$BS$128,"")&amp;IF($AM$128="H5",$AE$128&amp;"|H5 STRIKE PREP IN HEADER||"&amp;$BS$128,IF(OR($AM$128="",$AM$128="-"),"",$AE$128&amp;"|HEADER PREP "&amp;$AM$128&amp;"||"&amp;$BS$128))&amp;IF(N($AN$128)&gt;0,$AE$128&amp;"|"&amp;$AN$128&amp;" MINUTE STEEL FRAME LABEL "&amp;IF(OR(N($AY$128)&gt;0,N($AZ$128)&gt;0),"W/TRANSOM PANEL/SIDELIGHT","CAT. C PP")&amp;"||"&amp;$BS$128,"")&amp;IF($AX$128="BL","",$AE$128&amp;"|HD "&amp;$AF$128&amp;$BW$128&amp;$BP$128&amp;" BSC||"&amp;$BS$128&amp;IF($BR$128,$AE$128&amp;"|HJ "&amp;$AF$128&amp;$BW$128&amp;"LH "&amp;$BO$128&amp;" "&amp;$BV$128&amp;" BSC "&amp;CHAR(34)&amp;$BQ$128&amp;CHAR(34)&amp;"||"&amp;$BS$128&amp;$AE$128&amp;"|HJ "&amp;$AF$128&amp;$BW$128&amp;"RH "&amp;$BO$128&amp;" "&amp;$BV$128&amp;" BSC "&amp;CHAR(34)&amp;$BQ$128&amp;CHAR(34)&amp;"||"&amp;$BS$128,$AE$128&amp;"|HJ "&amp;$AF$128&amp;$BW$128&amp;$AW$128&amp;" "&amp;$BO$128&amp;" "&amp;$BV$128&amp;" BSC "&amp;CHAR(34)&amp;$BQ$128&amp;CHAR(34)&amp;"||"&amp;$BS$128&amp;$AE$128&amp;"|SJ "&amp;$AF$128&amp;$BW$128&amp;$AW$128&amp;" "&amp;$BO$128&amp;" "&amp;$BU$128&amp;IF($BU$128="G18"," BLANK"," Y")&amp;" BSC "&amp;CHAR(34)&amp;$BQ$128&amp;CHAR(34)&amp;"||"&amp;$BS$128))&amp;IF(AND($BN$128&gt;N($AR$128),$AX$128&lt;&gt;"BL",N($AR$128)&gt;=60),$AE$128&amp;"|FRAME CUT DOWN (BOTTOM)|Cut "&amp;TRIM(TEXT($BN$128-N($AR$128),"# ?/??"))&amp;CHAR(34)&amp;" OFF THE BOTTOM|"&amp;$BS$128,""))</f>
        <v/>
      </c>
    </row>
    <row r="129">
      <c r="B129" s="180">
        <f>IF($AD129="","",VALUE(LEFT($AD129,FIND("|",$AD129)-1)))</f>
        <v/>
      </c>
      <c r="C129" s="180">
        <f>IF($AD129="","","    "&amp;MID($AD129,FIND("|",$AD129)+1,FIND("|",$AD129,FIND("|",$AD129)+1)-FIND("|",$AD129)-1))</f>
        <v/>
      </c>
      <c r="D129" s="180">
        <f>IF($AD129="","",MID($AD129,FIND("|",$AD129,FIND("|",$AD129)+1)+1,FIND("|",$AD129&amp;"|",FIND("|",$AD129,FIND("|",$AD129)+1)+1)-FIND("|",$AD129,FIND("|",$AD129)+1)-1))</f>
        <v/>
      </c>
      <c r="AD129">
        <f>TRIM(MID(SUBSTITUTE($BX$128,"~",REPT(" ",600)),1,600))</f>
        <v/>
      </c>
    </row>
    <row r="130">
      <c r="B130" s="180">
        <f>IF($AD130="","",VALUE(LEFT($AD130,FIND("|",$AD130)-1)))</f>
        <v/>
      </c>
      <c r="C130" s="180">
        <f>IF($AD130="","","    "&amp;MID($AD130,FIND("|",$AD130)+1,FIND("|",$AD130,FIND("|",$AD130)+1)-FIND("|",$AD130)-1))</f>
        <v/>
      </c>
      <c r="D130" s="180">
        <f>IF($AD130="","",MID($AD130,FIND("|",$AD130,FIND("|",$AD130)+1)+1,FIND("|",$AD130&amp;"|",FIND("|",$AD130,FIND("|",$AD130)+1)+1)-FIND("|",$AD130,FIND("|",$AD130)+1)-1))</f>
        <v/>
      </c>
      <c r="AD130">
        <f>TRIM(MID(SUBSTITUTE($BX$128,"~",REPT(" ",600)),601,600))</f>
        <v/>
      </c>
    </row>
    <row r="131">
      <c r="B131" s="180">
        <f>IF($AD131="","",VALUE(LEFT($AD131,FIND("|",$AD131)-1)))</f>
        <v/>
      </c>
      <c r="C131" s="180">
        <f>IF($AD131="","","    "&amp;MID($AD131,FIND("|",$AD131)+1,FIND("|",$AD131,FIND("|",$AD131)+1)-FIND("|",$AD131)-1))</f>
        <v/>
      </c>
      <c r="D131" s="180">
        <f>IF($AD131="","",MID($AD131,FIND("|",$AD131,FIND("|",$AD131)+1)+1,FIND("|",$AD131&amp;"|",FIND("|",$AD131,FIND("|",$AD131)+1)+1)-FIND("|",$AD131,FIND("|",$AD131)+1)-1))</f>
        <v/>
      </c>
      <c r="AD131">
        <f>TRIM(MID(SUBSTITUTE($BX$128,"~",REPT(" ",600)),1201,600))</f>
        <v/>
      </c>
    </row>
    <row r="132">
      <c r="B132" s="180">
        <f>IF($AD132="","",VALUE(LEFT($AD132,FIND("|",$AD132)-1)))</f>
        <v/>
      </c>
      <c r="C132" s="180">
        <f>IF($AD132="","","    "&amp;MID($AD132,FIND("|",$AD132)+1,FIND("|",$AD132,FIND("|",$AD132)+1)-FIND("|",$AD132)-1))</f>
        <v/>
      </c>
      <c r="D132" s="180">
        <f>IF($AD132="","",MID($AD132,FIND("|",$AD132,FIND("|",$AD132)+1)+1,FIND("|",$AD132&amp;"|",FIND("|",$AD132,FIND("|",$AD132)+1)+1)-FIND("|",$AD132,FIND("|",$AD132)+1)-1))</f>
        <v/>
      </c>
      <c r="AD132">
        <f>TRIM(MID(SUBSTITUTE($BX$128,"~",REPT(" ",600)),1801,600))</f>
        <v/>
      </c>
    </row>
    <row r="133">
      <c r="B133" s="180">
        <f>IF($AD133="","",VALUE(LEFT($AD133,FIND("|",$AD133)-1)))</f>
        <v/>
      </c>
      <c r="C133" s="180">
        <f>IF($AD133="","","    "&amp;MID($AD133,FIND("|",$AD133)+1,FIND("|",$AD133,FIND("|",$AD133)+1)-FIND("|",$AD133)-1))</f>
        <v/>
      </c>
      <c r="D133" s="180">
        <f>IF($AD133="","",MID($AD133,FIND("|",$AD133,FIND("|",$AD133)+1)+1,FIND("|",$AD133&amp;"|",FIND("|",$AD133,FIND("|",$AD133)+1)+1)-FIND("|",$AD133,FIND("|",$AD133)+1)-1))</f>
        <v/>
      </c>
      <c r="AD133">
        <f>TRIM(MID(SUBSTITUTE($BX$128,"~",REPT(" ",600)),2401,600))</f>
        <v/>
      </c>
    </row>
    <row r="134">
      <c r="B134" s="180">
        <f>IF($AD134="","",VALUE(LEFT($AD134,FIND("|",$AD134)-1)))</f>
        <v/>
      </c>
      <c r="C134" s="180">
        <f>IF($AD134="","","    "&amp;MID($AD134,FIND("|",$AD134)+1,FIND("|",$AD134,FIND("|",$AD134)+1)-FIND("|",$AD134)-1))</f>
        <v/>
      </c>
      <c r="D134" s="180">
        <f>IF($AD134="","",MID($AD134,FIND("|",$AD134,FIND("|",$AD134)+1)+1,FIND("|",$AD134&amp;"|",FIND("|",$AD134,FIND("|",$AD134)+1)+1)-FIND("|",$AD134,FIND("|",$AD134)+1)-1))</f>
        <v/>
      </c>
      <c r="AD134">
        <f>TRIM(MID(SUBSTITUTE($BX$128,"~",REPT(" ",600)),3001,600))</f>
        <v/>
      </c>
    </row>
    <row r="135">
      <c r="B135" s="180">
        <f>IF($AD135="","",VALUE(LEFT($AD135,FIND("|",$AD135)-1)))</f>
        <v/>
      </c>
      <c r="C135" s="180">
        <f>IF($AD135="","","    "&amp;MID($AD135,FIND("|",$AD135)+1,FIND("|",$AD135,FIND("|",$AD135)+1)-FIND("|",$AD135)-1))</f>
        <v/>
      </c>
      <c r="D135" s="180">
        <f>IF($AD135="","",MID($AD135,FIND("|",$AD135,FIND("|",$AD135)+1)+1,FIND("|",$AD135&amp;"|",FIND("|",$AD135,FIND("|",$AD135)+1)+1)-FIND("|",$AD135,FIND("|",$AD135)+1)-1))</f>
        <v/>
      </c>
      <c r="AD135">
        <f>TRIM(MID(SUBSTITUTE($BX$128,"~",REPT(" ",600)),3601,600))</f>
        <v/>
      </c>
    </row>
    <row r="136">
      <c r="B136" s="180">
        <f>IF($AD136="","",VALUE(LEFT($AD136,FIND("|",$AD136)-1)))</f>
        <v/>
      </c>
      <c r="C136" s="180">
        <f>IF($AD136="","","    "&amp;MID($AD136,FIND("|",$AD136)+1,FIND("|",$AD136,FIND("|",$AD136)+1)-FIND("|",$AD136)-1))</f>
        <v/>
      </c>
      <c r="D136" s="180">
        <f>IF($AD136="","",MID($AD136,FIND("|",$AD136,FIND("|",$AD136)+1)+1,FIND("|",$AD136&amp;"|",FIND("|",$AD136,FIND("|",$AD136)+1)+1)-FIND("|",$AD136,FIND("|",$AD136)+1)-1))</f>
        <v/>
      </c>
      <c r="AD136">
        <f>TRIM(MID(SUBSTITUTE($BX$128,"~",REPT(" ",600)),4201,600))</f>
        <v/>
      </c>
    </row>
    <row r="137">
      <c r="B137" s="180">
        <f>IF($AD137="","",VALUE(LEFT($AD137,FIND("|",$AD137)-1)))</f>
        <v/>
      </c>
      <c r="C137" s="180">
        <f>IF($AD137="","","    "&amp;MID($AD137,FIND("|",$AD137)+1,FIND("|",$AD137,FIND("|",$AD137)+1)-FIND("|",$AD137)-1))</f>
        <v/>
      </c>
      <c r="D137" s="180">
        <f>IF($AD137="","",MID($AD137,FIND("|",$AD137,FIND("|",$AD137)+1)+1,FIND("|",$AD137&amp;"|",FIND("|",$AD137,FIND("|",$AD137)+1)+1)-FIND("|",$AD137,FIND("|",$AD137)+1)-1))</f>
        <v/>
      </c>
      <c r="AD137">
        <f>TRIM(MID(SUBSTITUTE($BX$128,"~",REPT(" ",600)),4801,600))</f>
        <v/>
      </c>
    </row>
    <row r="138">
      <c r="B138" s="180">
        <f>IF($AD138="","",VALUE(LEFT($AD138,FIND("|",$AD138)-1)))</f>
        <v/>
      </c>
      <c r="C138" s="180">
        <f>IF($AD138="","","    "&amp;MID($AD138,FIND("|",$AD138)+1,FIND("|",$AD138,FIND("|",$AD138)+1)-FIND("|",$AD138)-1))</f>
        <v/>
      </c>
      <c r="D138" s="180">
        <f>IF($AD138="","",MID($AD138,FIND("|",$AD138,FIND("|",$AD138)+1)+1,FIND("|",$AD138&amp;"|",FIND("|",$AD138,FIND("|",$AD138)+1)+1)-FIND("|",$AD138,FIND("|",$AD138)+1)-1))</f>
        <v/>
      </c>
      <c r="AD138">
        <f>TRIM(MID(SUBSTITUTE($BX$128,"~",REPT(" ",600)),5401,600))</f>
        <v/>
      </c>
    </row>
    <row r="139">
      <c r="B139" s="180">
        <f>IF($AD139="","",VALUE(LEFT($AD139,FIND("|",$AD139)-1)))</f>
        <v/>
      </c>
      <c r="C139" s="180">
        <f>IF($AD139="","","    "&amp;MID($AD139,FIND("|",$AD139)+1,FIND("|",$AD139,FIND("|",$AD139)+1)-FIND("|",$AD139)-1))</f>
        <v/>
      </c>
      <c r="D139" s="180">
        <f>IF($AD139="","",MID($AD139,FIND("|",$AD139,FIND("|",$AD139)+1)+1,FIND("|",$AD139&amp;"|",FIND("|",$AD139,FIND("|",$AD139)+1)+1)-FIND("|",$AD139,FIND("|",$AD139)+1)-1))</f>
        <v/>
      </c>
      <c r="AD139">
        <f>TRIM(MID(SUBSTITUTE($BX$128,"~",REPT(" ",600)),6001,600))</f>
        <v/>
      </c>
    </row>
    <row r="140">
      <c r="A140" s="178">
        <f>IF($AD$140=0,"",$BK$140)</f>
        <v/>
      </c>
      <c r="B140" s="178">
        <f>IF($AD$140=0,"",$AE$140)</f>
        <v/>
      </c>
      <c r="C140" s="178">
        <f>IF($AD$140=0,"",$AE$140&amp;") "&amp;IF(COUNTIFS(tk_SOFG,12,tk_HLEG,"&lt;&gt;"&amp;$BJ$140)=0,INDEX(tk_FLINE,$AD$140),INDEX(tk_FLINEN,$AD$140))&amp;IF($AJ$140="KD"," ( R.O. "&amp;TRIM(TEXT(N($AQ$140)+2.25,"# ?/??"))&amp;CHAR(34)&amp;" x "&amp;TRIM(TEXT(N($AR$140)+1,"# ?/??"))&amp;CHAR(34)&amp;" )",""))</f>
        <v/>
      </c>
      <c r="D140" s="178" t="n"/>
      <c r="E140" s="179">
        <f t="array" ref="E140">IF($AD$140=0,"",_xlfn.TEXTJOIN(", ",TRUE,IF(tk_SOFG=12,"#"&amp;tk_MARK&amp;IF(tk_HLEG="","","("&amp;tk_HLEG&amp;")")&amp;IF(tk_QTY&gt;1," ×"&amp;tk_QTY,""),"")))</f>
        <v/>
      </c>
      <c r="AD140">
        <f>IFERROR(MATCH(12,tk_SOFG,0),0)</f>
        <v/>
      </c>
      <c r="AE140">
        <f>IF($AD$140=0,0,SUMIF(tk_SOFG,12,tk_QTY))</f>
        <v/>
      </c>
      <c r="AF140">
        <f>IF($AD$140=0,"",INDEX(tk_JAMB,$AD$140))</f>
        <v/>
      </c>
      <c r="AG140">
        <f>IF($AD$140=0,"",INDEX(tk_ANCHOR,$AD$140))</f>
        <v/>
      </c>
      <c r="AH140">
        <f>IF($AD$140=0,"",INDEX(tk_ANCH,$AD$140))</f>
        <v/>
      </c>
      <c r="AI140">
        <f>IF($AD$140=0,"",INDEX(tk_BASEA,$AD$140))</f>
        <v/>
      </c>
      <c r="AJ140">
        <f>IF($AD$140=0,"",INDEX(tk_CONSTR,$AD$140))</f>
        <v/>
      </c>
      <c r="AK140">
        <f>IF($AD$140=0,"",INDEX(tk_CLOSER,$AD$140))</f>
        <v/>
      </c>
      <c r="AL140">
        <f>IF($AD$140=0,"",INDEX(tk_STRIKE,$AD$140))</f>
        <v/>
      </c>
      <c r="AM140">
        <f>IF($AD$140=0,"",INDEX(tk_HDRPREP,$AD$140))</f>
        <v/>
      </c>
      <c r="AN140">
        <f>IF($AD$140=0,"",INDEX(tk_DMIN,$AD$140))</f>
        <v/>
      </c>
      <c r="AO140">
        <f>IF($AD$140=0,"",INDEX(tk_PAIR,$AD$140))</f>
        <v/>
      </c>
      <c r="AP140">
        <f>IF($AD$140=0,"",INDEX(tk_FGA,$AD$140))</f>
        <v/>
      </c>
      <c r="AQ140">
        <f>IF($AD$140=0,"",INDEX(tk_WI,$AD$140))</f>
        <v/>
      </c>
      <c r="AR140">
        <f>IF($AD$140=0,"",INDEX(tk_HI,$AD$140))</f>
        <v/>
      </c>
      <c r="AS140">
        <f>IF($AD$140=0,"",INDEX(tk_FHINGE,$AD$140))</f>
        <v/>
      </c>
      <c r="AT140">
        <f>IF($AD$140=0,"",INDEX(tk_DHINGE,$AD$140))</f>
        <v/>
      </c>
      <c r="AU140">
        <f>IF($AD$140=0,"",INDEX(tk_HWLOC,$AD$140))</f>
        <v/>
      </c>
      <c r="AV140">
        <f>IF($AD$140=0,"",INDEX(tk_MANUF,$AD$140))</f>
        <v/>
      </c>
      <c r="AW140">
        <f>IF($AD$140=0,"",INDEX(tk_JH,$AD$140))</f>
        <v/>
      </c>
      <c r="AX140">
        <f>IF($AD$140=0,"",INDEX(tk_FDESC,$AD$140))</f>
        <v/>
      </c>
      <c r="AY140">
        <f>IF($AD$140=0,"",INDEX(tk_TRANS,$AD$140))</f>
        <v/>
      </c>
      <c r="AZ140">
        <f>IF($AD$140=0,"",INDEX(tk_SLW,$AD$140))</f>
        <v/>
      </c>
      <c r="BA140">
        <f>IF($AD$140=0,"",INDEX(tk_LEAVES,$AD$140))</f>
        <v/>
      </c>
      <c r="BB140">
        <f>IF($AD$140=0,"",INDEX(tk_LEAFW,$AD$140))</f>
        <v/>
      </c>
      <c r="BC140">
        <f>IF($AD$140=0,"",INDEX(tk_LEAFH,$AD$140))</f>
        <v/>
      </c>
      <c r="BD140">
        <f>IF($AD$140=0,"",INDEX(tk_DMAT,$AD$140))</f>
        <v/>
      </c>
      <c r="BE140">
        <f>IF($AD$140=0,"",INDEX(tk_DGA,$AD$140))</f>
        <v/>
      </c>
      <c r="BF140">
        <f>IF($AD$140=0,"",INDEX(tk_SERIES,$AD$140))</f>
        <v/>
      </c>
      <c r="BG140">
        <f>IF($AD$140=0,"",INDEX(tk_LOCK,$AD$140))</f>
        <v/>
      </c>
      <c r="BH140">
        <f>IF($AD$140=0,"",INDEX(tk_LITEKIT,$AD$140))</f>
        <v/>
      </c>
      <c r="BI140">
        <f>IF($AD$140=0,"",INDEX(tk_FACE,$AD$140))</f>
        <v/>
      </c>
      <c r="BJ140">
        <f>IF($AD$140=0,"",INDEX(tk_HLEG,$AD$140))</f>
        <v/>
      </c>
      <c r="BK140">
        <f>IF($AD$140=0,"",INDEX(tk_SOITEM,$AD$140))</f>
        <v/>
      </c>
      <c r="BL140">
        <f>IFERROR(VLOOKUP($AF$140,CODES,2,FALSE),"")</f>
        <v/>
      </c>
      <c r="BM140">
        <f>IF($AJ$140="KD","C","M")</f>
        <v/>
      </c>
      <c r="BN140">
        <f>IF(N($AR$140)&lt;=80,80,IF(N($AR$140)&lt;=84,84,IF(N($AR$140)&lt;=96,96,N($AR$140))))</f>
        <v/>
      </c>
      <c r="BO140">
        <f>INT($BN$140/12)&amp;MOD($BN$140,12)</f>
        <v/>
      </c>
      <c r="BP140">
        <f>INT(N($AQ$140)/12)&amp;MOD(N($AQ$140),12)</f>
        <v/>
      </c>
      <c r="BQ140">
        <f>IF(OR($AU$140="",$AU$140="ANSI/SDI",$AU$140="CUSTOM LOC"),IF($AV$140="CU","CURRIES","STEELCRAFT"),$AU$140)</f>
        <v/>
      </c>
      <c r="BR140">
        <f>$AO$140="Y"</f>
        <v/>
      </c>
      <c r="BS140">
        <f>"~"</f>
        <v/>
      </c>
      <c r="BT140">
        <f>N($AH$140)*N($AI$140)</f>
        <v/>
      </c>
      <c r="BU140">
        <f>IF(OR($AL$140="",$AL$140="-",$AL$140="E8"),"G18",$AL$140)</f>
        <v/>
      </c>
      <c r="BV140">
        <f>IF(OR($AS$140="",$AS$140="-"),"BLK",$AS$140)</f>
        <v/>
      </c>
      <c r="BW140">
        <f>" "&amp;$BM$140&amp;$AP$140&amp;" "</f>
        <v/>
      </c>
      <c r="BX140">
        <f>IF($AD$140=0,"",IF(OR($AG$140="SSA",$AG$140="SC"),$AE$140*$BT$140&amp;"|"&amp;$BL$140&amp;" STEEL STUD ANCHOR 2"&amp;CHAR(34)&amp;"||"&amp;$BS$140,"")&amp;IF($AG$140="WEWA-M",$AE$140*(N($AH$140)+1)*N($AI$140)&amp;"|FR101F 690 "&amp;$BL$140&amp;" MASONRY TUBE ANCHOR 16 GA||"&amp;$BS$140&amp;$AE$140*(N($AH$140)+1)*N($AI$140)&amp;"|3/8X5 SF3850 DYNO BOLTS||"&amp;$BS$140,"")&amp;IF($AG$140="WMA",$AE$140*$BT$140&amp;"|WIRE MASONRY ANCHOR||"&amp;$BS$140,"")&amp;IF($AG$140="T",$AE$140*$BT$140&amp;"|T-STRAP MASONRY ANCHOR||"&amp;$BS$140,"")&amp;IF($AG$140="WEWA-W",$AE$140*$BT$140&amp;"|P/D + WOOD SCREWS||"&amp;$BS$140,"")&amp;IF($AJ$140="WGS",$AE$140&amp;"|WELD &amp; GROUND SMOOTH||"&amp;$BS$140,"")&amp;IF(OR($AK$140="",$AK$140="-"),"",$AE$140*IF($BR$140,4,2)&amp;"|RACL/PACL-CLOSER REINF. 14GAx1-3/4x16 HRPO|"&amp;$AK$140&amp;IF($BR$140," BOTH SIDES","")&amp;"|"&amp;$BS$140)&amp;IF($AL$140="E8",$AE$140&amp;"|E8-STRIKE REINF. RIM EXIT||"&amp;$BS$140,"")&amp;IF(ISNUMBER(SEARCH("E4",$AL$140)),$AE$140&amp;"|FRAME DEADLOCK PREP||"&amp;$BS$140,"")&amp;IF($AL$140="E9",$AE$140&amp;"|ELECTRIC STRIKE PREP||"&amp;$BS$140,"")&amp;IF($AM$140="H5",$AE$140&amp;"|H5 STRIKE PREP IN HEADER||"&amp;$BS$140,IF(OR($AM$140="",$AM$140="-"),"",$AE$140&amp;"|HEADER PREP "&amp;$AM$140&amp;"||"&amp;$BS$140))&amp;IF(N($AN$140)&gt;0,$AE$140&amp;"|"&amp;$AN$140&amp;" MINUTE STEEL FRAME LABEL "&amp;IF(OR(N($AY$140)&gt;0,N($AZ$140)&gt;0),"W/TRANSOM PANEL/SIDELIGHT","CAT. C PP")&amp;"||"&amp;$BS$140,"")&amp;IF($AX$140="BL","",$AE$140&amp;"|HD "&amp;$AF$140&amp;$BW$140&amp;$BP$140&amp;" BSC||"&amp;$BS$140&amp;IF($BR$140,$AE$140&amp;"|HJ "&amp;$AF$140&amp;$BW$140&amp;"LH "&amp;$BO$140&amp;" "&amp;$BV$140&amp;" BSC "&amp;CHAR(34)&amp;$BQ$140&amp;CHAR(34)&amp;"||"&amp;$BS$140&amp;$AE$140&amp;"|HJ "&amp;$AF$140&amp;$BW$140&amp;"RH "&amp;$BO$140&amp;" "&amp;$BV$140&amp;" BSC "&amp;CHAR(34)&amp;$BQ$140&amp;CHAR(34)&amp;"||"&amp;$BS$140,$AE$140&amp;"|HJ "&amp;$AF$140&amp;$BW$140&amp;$AW$140&amp;" "&amp;$BO$140&amp;" "&amp;$BV$140&amp;" BSC "&amp;CHAR(34)&amp;$BQ$140&amp;CHAR(34)&amp;"||"&amp;$BS$140&amp;$AE$140&amp;"|SJ "&amp;$AF$140&amp;$BW$140&amp;$AW$140&amp;" "&amp;$BO$140&amp;" "&amp;$BU$140&amp;IF($BU$140="G18"," BLANK"," Y")&amp;" BSC "&amp;CHAR(34)&amp;$BQ$140&amp;CHAR(34)&amp;"||"&amp;$BS$140))&amp;IF(AND($BN$140&gt;N($AR$140),$AX$140&lt;&gt;"BL",N($AR$140)&gt;=60),$AE$140&amp;"|FRAME CUT DOWN (BOTTOM)|Cut "&amp;TRIM(TEXT($BN$140-N($AR$140),"# ?/??"))&amp;CHAR(34)&amp;" OFF THE BOTTOM|"&amp;$BS$140,""))</f>
        <v/>
      </c>
    </row>
    <row r="141">
      <c r="B141" s="180">
        <f>IF($AD141="","",VALUE(LEFT($AD141,FIND("|",$AD141)-1)))</f>
        <v/>
      </c>
      <c r="C141" s="180">
        <f>IF($AD141="","","    "&amp;MID($AD141,FIND("|",$AD141)+1,FIND("|",$AD141,FIND("|",$AD141)+1)-FIND("|",$AD141)-1))</f>
        <v/>
      </c>
      <c r="D141" s="180">
        <f>IF($AD141="","",MID($AD141,FIND("|",$AD141,FIND("|",$AD141)+1)+1,FIND("|",$AD141&amp;"|",FIND("|",$AD141,FIND("|",$AD141)+1)+1)-FIND("|",$AD141,FIND("|",$AD141)+1)-1))</f>
        <v/>
      </c>
      <c r="AD141">
        <f>TRIM(MID(SUBSTITUTE($BX$140,"~",REPT(" ",600)),1,600))</f>
        <v/>
      </c>
    </row>
    <row r="142">
      <c r="B142" s="180">
        <f>IF($AD142="","",VALUE(LEFT($AD142,FIND("|",$AD142)-1)))</f>
        <v/>
      </c>
      <c r="C142" s="180">
        <f>IF($AD142="","","    "&amp;MID($AD142,FIND("|",$AD142)+1,FIND("|",$AD142,FIND("|",$AD142)+1)-FIND("|",$AD142)-1))</f>
        <v/>
      </c>
      <c r="D142" s="180">
        <f>IF($AD142="","",MID($AD142,FIND("|",$AD142,FIND("|",$AD142)+1)+1,FIND("|",$AD142&amp;"|",FIND("|",$AD142,FIND("|",$AD142)+1)+1)-FIND("|",$AD142,FIND("|",$AD142)+1)-1))</f>
        <v/>
      </c>
      <c r="AD142">
        <f>TRIM(MID(SUBSTITUTE($BX$140,"~",REPT(" ",600)),601,600))</f>
        <v/>
      </c>
    </row>
    <row r="143">
      <c r="B143" s="180">
        <f>IF($AD143="","",VALUE(LEFT($AD143,FIND("|",$AD143)-1)))</f>
        <v/>
      </c>
      <c r="C143" s="180">
        <f>IF($AD143="","","    "&amp;MID($AD143,FIND("|",$AD143)+1,FIND("|",$AD143,FIND("|",$AD143)+1)-FIND("|",$AD143)-1))</f>
        <v/>
      </c>
      <c r="D143" s="180">
        <f>IF($AD143="","",MID($AD143,FIND("|",$AD143,FIND("|",$AD143)+1)+1,FIND("|",$AD143&amp;"|",FIND("|",$AD143,FIND("|",$AD143)+1)+1)-FIND("|",$AD143,FIND("|",$AD143)+1)-1))</f>
        <v/>
      </c>
      <c r="AD143">
        <f>TRIM(MID(SUBSTITUTE($BX$140,"~",REPT(" ",600)),1201,600))</f>
        <v/>
      </c>
    </row>
    <row r="144">
      <c r="B144" s="180">
        <f>IF($AD144="","",VALUE(LEFT($AD144,FIND("|",$AD144)-1)))</f>
        <v/>
      </c>
      <c r="C144" s="180">
        <f>IF($AD144="","","    "&amp;MID($AD144,FIND("|",$AD144)+1,FIND("|",$AD144,FIND("|",$AD144)+1)-FIND("|",$AD144)-1))</f>
        <v/>
      </c>
      <c r="D144" s="180">
        <f>IF($AD144="","",MID($AD144,FIND("|",$AD144,FIND("|",$AD144)+1)+1,FIND("|",$AD144&amp;"|",FIND("|",$AD144,FIND("|",$AD144)+1)+1)-FIND("|",$AD144,FIND("|",$AD144)+1)-1))</f>
        <v/>
      </c>
      <c r="AD144">
        <f>TRIM(MID(SUBSTITUTE($BX$140,"~",REPT(" ",600)),1801,600))</f>
        <v/>
      </c>
    </row>
    <row r="145">
      <c r="B145" s="180">
        <f>IF($AD145="","",VALUE(LEFT($AD145,FIND("|",$AD145)-1)))</f>
        <v/>
      </c>
      <c r="C145" s="180">
        <f>IF($AD145="","","    "&amp;MID($AD145,FIND("|",$AD145)+1,FIND("|",$AD145,FIND("|",$AD145)+1)-FIND("|",$AD145)-1))</f>
        <v/>
      </c>
      <c r="D145" s="180">
        <f>IF($AD145="","",MID($AD145,FIND("|",$AD145,FIND("|",$AD145)+1)+1,FIND("|",$AD145&amp;"|",FIND("|",$AD145,FIND("|",$AD145)+1)+1)-FIND("|",$AD145,FIND("|",$AD145)+1)-1))</f>
        <v/>
      </c>
      <c r="AD145">
        <f>TRIM(MID(SUBSTITUTE($BX$140,"~",REPT(" ",600)),2401,600))</f>
        <v/>
      </c>
    </row>
    <row r="146">
      <c r="B146" s="180">
        <f>IF($AD146="","",VALUE(LEFT($AD146,FIND("|",$AD146)-1)))</f>
        <v/>
      </c>
      <c r="C146" s="180">
        <f>IF($AD146="","","    "&amp;MID($AD146,FIND("|",$AD146)+1,FIND("|",$AD146,FIND("|",$AD146)+1)-FIND("|",$AD146)-1))</f>
        <v/>
      </c>
      <c r="D146" s="180">
        <f>IF($AD146="","",MID($AD146,FIND("|",$AD146,FIND("|",$AD146)+1)+1,FIND("|",$AD146&amp;"|",FIND("|",$AD146,FIND("|",$AD146)+1)+1)-FIND("|",$AD146,FIND("|",$AD146)+1)-1))</f>
        <v/>
      </c>
      <c r="AD146">
        <f>TRIM(MID(SUBSTITUTE($BX$140,"~",REPT(" ",600)),3001,600))</f>
        <v/>
      </c>
    </row>
    <row r="147">
      <c r="B147" s="180">
        <f>IF($AD147="","",VALUE(LEFT($AD147,FIND("|",$AD147)-1)))</f>
        <v/>
      </c>
      <c r="C147" s="180">
        <f>IF($AD147="","","    "&amp;MID($AD147,FIND("|",$AD147)+1,FIND("|",$AD147,FIND("|",$AD147)+1)-FIND("|",$AD147)-1))</f>
        <v/>
      </c>
      <c r="D147" s="180">
        <f>IF($AD147="","",MID($AD147,FIND("|",$AD147,FIND("|",$AD147)+1)+1,FIND("|",$AD147&amp;"|",FIND("|",$AD147,FIND("|",$AD147)+1)+1)-FIND("|",$AD147,FIND("|",$AD147)+1)-1))</f>
        <v/>
      </c>
      <c r="AD147">
        <f>TRIM(MID(SUBSTITUTE($BX$140,"~",REPT(" ",600)),3601,600))</f>
        <v/>
      </c>
    </row>
    <row r="148">
      <c r="B148" s="180">
        <f>IF($AD148="","",VALUE(LEFT($AD148,FIND("|",$AD148)-1)))</f>
        <v/>
      </c>
      <c r="C148" s="180">
        <f>IF($AD148="","","    "&amp;MID($AD148,FIND("|",$AD148)+1,FIND("|",$AD148,FIND("|",$AD148)+1)-FIND("|",$AD148)-1))</f>
        <v/>
      </c>
      <c r="D148" s="180">
        <f>IF($AD148="","",MID($AD148,FIND("|",$AD148,FIND("|",$AD148)+1)+1,FIND("|",$AD148&amp;"|",FIND("|",$AD148,FIND("|",$AD148)+1)+1)-FIND("|",$AD148,FIND("|",$AD148)+1)-1))</f>
        <v/>
      </c>
      <c r="AD148">
        <f>TRIM(MID(SUBSTITUTE($BX$140,"~",REPT(" ",600)),4201,600))</f>
        <v/>
      </c>
    </row>
    <row r="149">
      <c r="B149" s="180">
        <f>IF($AD149="","",VALUE(LEFT($AD149,FIND("|",$AD149)-1)))</f>
        <v/>
      </c>
      <c r="C149" s="180">
        <f>IF($AD149="","","    "&amp;MID($AD149,FIND("|",$AD149)+1,FIND("|",$AD149,FIND("|",$AD149)+1)-FIND("|",$AD149)-1))</f>
        <v/>
      </c>
      <c r="D149" s="180">
        <f>IF($AD149="","",MID($AD149,FIND("|",$AD149,FIND("|",$AD149)+1)+1,FIND("|",$AD149&amp;"|",FIND("|",$AD149,FIND("|",$AD149)+1)+1)-FIND("|",$AD149,FIND("|",$AD149)+1)-1))</f>
        <v/>
      </c>
      <c r="AD149">
        <f>TRIM(MID(SUBSTITUTE($BX$140,"~",REPT(" ",600)),4801,600))</f>
        <v/>
      </c>
    </row>
    <row r="150">
      <c r="B150" s="180">
        <f>IF($AD150="","",VALUE(LEFT($AD150,FIND("|",$AD150)-1)))</f>
        <v/>
      </c>
      <c r="C150" s="180">
        <f>IF($AD150="","","    "&amp;MID($AD150,FIND("|",$AD150)+1,FIND("|",$AD150,FIND("|",$AD150)+1)-FIND("|",$AD150)-1))</f>
        <v/>
      </c>
      <c r="D150" s="180">
        <f>IF($AD150="","",MID($AD150,FIND("|",$AD150,FIND("|",$AD150)+1)+1,FIND("|",$AD150&amp;"|",FIND("|",$AD150,FIND("|",$AD150)+1)+1)-FIND("|",$AD150,FIND("|",$AD150)+1)-1))</f>
        <v/>
      </c>
      <c r="AD150">
        <f>TRIM(MID(SUBSTITUTE($BX$140,"~",REPT(" ",600)),5401,600))</f>
        <v/>
      </c>
    </row>
    <row r="151">
      <c r="B151" s="180">
        <f>IF($AD151="","",VALUE(LEFT($AD151,FIND("|",$AD151)-1)))</f>
        <v/>
      </c>
      <c r="C151" s="180">
        <f>IF($AD151="","","    "&amp;MID($AD151,FIND("|",$AD151)+1,FIND("|",$AD151,FIND("|",$AD151)+1)-FIND("|",$AD151)-1))</f>
        <v/>
      </c>
      <c r="D151" s="180">
        <f>IF($AD151="","",MID($AD151,FIND("|",$AD151,FIND("|",$AD151)+1)+1,FIND("|",$AD151&amp;"|",FIND("|",$AD151,FIND("|",$AD151)+1)+1)-FIND("|",$AD151,FIND("|",$AD151)+1)-1))</f>
        <v/>
      </c>
      <c r="AD151">
        <f>TRIM(MID(SUBSTITUTE($BX$140,"~",REPT(" ",600)),6001,600))</f>
        <v/>
      </c>
    </row>
    <row r="152">
      <c r="A152" s="178">
        <f>IF($AD$152=0,"",$BK$152)</f>
        <v/>
      </c>
      <c r="B152" s="178">
        <f>IF($AD$152=0,"",$AE$152)</f>
        <v/>
      </c>
      <c r="C152" s="178">
        <f>IF($AD$152=0,"",$AE$152&amp;") "&amp;IF(COUNTIFS(tk_SOFG,13,tk_HLEG,"&lt;&gt;"&amp;$BJ$152)=0,INDEX(tk_FLINE,$AD$152),INDEX(tk_FLINEN,$AD$152))&amp;IF($AJ$152="KD"," ( R.O. "&amp;TRIM(TEXT(N($AQ$152)+2.25,"# ?/??"))&amp;CHAR(34)&amp;" x "&amp;TRIM(TEXT(N($AR$152)+1,"# ?/??"))&amp;CHAR(34)&amp;" )",""))</f>
        <v/>
      </c>
      <c r="D152" s="178" t="n"/>
      <c r="E152" s="179">
        <f t="array" ref="E152">IF($AD$152=0,"",_xlfn.TEXTJOIN(", ",TRUE,IF(tk_SOFG=13,"#"&amp;tk_MARK&amp;IF(tk_HLEG="","","("&amp;tk_HLEG&amp;")")&amp;IF(tk_QTY&gt;1," ×"&amp;tk_QTY,""),"")))</f>
        <v/>
      </c>
      <c r="AD152">
        <f>IFERROR(MATCH(13,tk_SOFG,0),0)</f>
        <v/>
      </c>
      <c r="AE152">
        <f>IF($AD$152=0,0,SUMIF(tk_SOFG,13,tk_QTY))</f>
        <v/>
      </c>
      <c r="AF152">
        <f>IF($AD$152=0,"",INDEX(tk_JAMB,$AD$152))</f>
        <v/>
      </c>
      <c r="AG152">
        <f>IF($AD$152=0,"",INDEX(tk_ANCHOR,$AD$152))</f>
        <v/>
      </c>
      <c r="AH152">
        <f>IF($AD$152=0,"",INDEX(tk_ANCH,$AD$152))</f>
        <v/>
      </c>
      <c r="AI152">
        <f>IF($AD$152=0,"",INDEX(tk_BASEA,$AD$152))</f>
        <v/>
      </c>
      <c r="AJ152">
        <f>IF($AD$152=0,"",INDEX(tk_CONSTR,$AD$152))</f>
        <v/>
      </c>
      <c r="AK152">
        <f>IF($AD$152=0,"",INDEX(tk_CLOSER,$AD$152))</f>
        <v/>
      </c>
      <c r="AL152">
        <f>IF($AD$152=0,"",INDEX(tk_STRIKE,$AD$152))</f>
        <v/>
      </c>
      <c r="AM152">
        <f>IF($AD$152=0,"",INDEX(tk_HDRPREP,$AD$152))</f>
        <v/>
      </c>
      <c r="AN152">
        <f>IF($AD$152=0,"",INDEX(tk_DMIN,$AD$152))</f>
        <v/>
      </c>
      <c r="AO152">
        <f>IF($AD$152=0,"",INDEX(tk_PAIR,$AD$152))</f>
        <v/>
      </c>
      <c r="AP152">
        <f>IF($AD$152=0,"",INDEX(tk_FGA,$AD$152))</f>
        <v/>
      </c>
      <c r="AQ152">
        <f>IF($AD$152=0,"",INDEX(tk_WI,$AD$152))</f>
        <v/>
      </c>
      <c r="AR152">
        <f>IF($AD$152=0,"",INDEX(tk_HI,$AD$152))</f>
        <v/>
      </c>
      <c r="AS152">
        <f>IF($AD$152=0,"",INDEX(tk_FHINGE,$AD$152))</f>
        <v/>
      </c>
      <c r="AT152">
        <f>IF($AD$152=0,"",INDEX(tk_DHINGE,$AD$152))</f>
        <v/>
      </c>
      <c r="AU152">
        <f>IF($AD$152=0,"",INDEX(tk_HWLOC,$AD$152))</f>
        <v/>
      </c>
      <c r="AV152">
        <f>IF($AD$152=0,"",INDEX(tk_MANUF,$AD$152))</f>
        <v/>
      </c>
      <c r="AW152">
        <f>IF($AD$152=0,"",INDEX(tk_JH,$AD$152))</f>
        <v/>
      </c>
      <c r="AX152">
        <f>IF($AD$152=0,"",INDEX(tk_FDESC,$AD$152))</f>
        <v/>
      </c>
      <c r="AY152">
        <f>IF($AD$152=0,"",INDEX(tk_TRANS,$AD$152))</f>
        <v/>
      </c>
      <c r="AZ152">
        <f>IF($AD$152=0,"",INDEX(tk_SLW,$AD$152))</f>
        <v/>
      </c>
      <c r="BA152">
        <f>IF($AD$152=0,"",INDEX(tk_LEAVES,$AD$152))</f>
        <v/>
      </c>
      <c r="BB152">
        <f>IF($AD$152=0,"",INDEX(tk_LEAFW,$AD$152))</f>
        <v/>
      </c>
      <c r="BC152">
        <f>IF($AD$152=0,"",INDEX(tk_LEAFH,$AD$152))</f>
        <v/>
      </c>
      <c r="BD152">
        <f>IF($AD$152=0,"",INDEX(tk_DMAT,$AD$152))</f>
        <v/>
      </c>
      <c r="BE152">
        <f>IF($AD$152=0,"",INDEX(tk_DGA,$AD$152))</f>
        <v/>
      </c>
      <c r="BF152">
        <f>IF($AD$152=0,"",INDEX(tk_SERIES,$AD$152))</f>
        <v/>
      </c>
      <c r="BG152">
        <f>IF($AD$152=0,"",INDEX(tk_LOCK,$AD$152))</f>
        <v/>
      </c>
      <c r="BH152">
        <f>IF($AD$152=0,"",INDEX(tk_LITEKIT,$AD$152))</f>
        <v/>
      </c>
      <c r="BI152">
        <f>IF($AD$152=0,"",INDEX(tk_FACE,$AD$152))</f>
        <v/>
      </c>
      <c r="BJ152">
        <f>IF($AD$152=0,"",INDEX(tk_HLEG,$AD$152))</f>
        <v/>
      </c>
      <c r="BK152">
        <f>IF($AD$152=0,"",INDEX(tk_SOITEM,$AD$152))</f>
        <v/>
      </c>
      <c r="BL152">
        <f>IFERROR(VLOOKUP($AF$152,CODES,2,FALSE),"")</f>
        <v/>
      </c>
      <c r="BM152">
        <f>IF($AJ$152="KD","C","M")</f>
        <v/>
      </c>
      <c r="BN152">
        <f>IF(N($AR$152)&lt;=80,80,IF(N($AR$152)&lt;=84,84,IF(N($AR$152)&lt;=96,96,N($AR$152))))</f>
        <v/>
      </c>
      <c r="BO152">
        <f>INT($BN$152/12)&amp;MOD($BN$152,12)</f>
        <v/>
      </c>
      <c r="BP152">
        <f>INT(N($AQ$152)/12)&amp;MOD(N($AQ$152),12)</f>
        <v/>
      </c>
      <c r="BQ152">
        <f>IF(OR($AU$152="",$AU$152="ANSI/SDI",$AU$152="CUSTOM LOC"),IF($AV$152="CU","CURRIES","STEELCRAFT"),$AU$152)</f>
        <v/>
      </c>
      <c r="BR152">
        <f>$AO$152="Y"</f>
        <v/>
      </c>
      <c r="BS152">
        <f>"~"</f>
        <v/>
      </c>
      <c r="BT152">
        <f>N($AH$152)*N($AI$152)</f>
        <v/>
      </c>
      <c r="BU152">
        <f>IF(OR($AL$152="",$AL$152="-",$AL$152="E8"),"G18",$AL$152)</f>
        <v/>
      </c>
      <c r="BV152">
        <f>IF(OR($AS$152="",$AS$152="-"),"BLK",$AS$152)</f>
        <v/>
      </c>
      <c r="BW152">
        <f>" "&amp;$BM$152&amp;$AP$152&amp;" "</f>
        <v/>
      </c>
      <c r="BX152">
        <f>IF($AD$152=0,"",IF(OR($AG$152="SSA",$AG$152="SC"),$AE$152*$BT$152&amp;"|"&amp;$BL$152&amp;" STEEL STUD ANCHOR 2"&amp;CHAR(34)&amp;"||"&amp;$BS$152,"")&amp;IF($AG$152="WEWA-M",$AE$152*(N($AH$152)+1)*N($AI$152)&amp;"|FR101F 690 "&amp;$BL$152&amp;" MASONRY TUBE ANCHOR 16 GA||"&amp;$BS$152&amp;$AE$152*(N($AH$152)+1)*N($AI$152)&amp;"|3/8X5 SF3850 DYNO BOLTS||"&amp;$BS$152,"")&amp;IF($AG$152="WMA",$AE$152*$BT$152&amp;"|WIRE MASONRY ANCHOR||"&amp;$BS$152,"")&amp;IF($AG$152="T",$AE$152*$BT$152&amp;"|T-STRAP MASONRY ANCHOR||"&amp;$BS$152,"")&amp;IF($AG$152="WEWA-W",$AE$152*$BT$152&amp;"|P/D + WOOD SCREWS||"&amp;$BS$152,"")&amp;IF($AJ$152="WGS",$AE$152&amp;"|WELD &amp; GROUND SMOOTH||"&amp;$BS$152,"")&amp;IF(OR($AK$152="",$AK$152="-"),"",$AE$152*IF($BR$152,4,2)&amp;"|RACL/PACL-CLOSER REINF. 14GAx1-3/4x16 HRPO|"&amp;$AK$152&amp;IF($BR$152," BOTH SIDES","")&amp;"|"&amp;$BS$152)&amp;IF($AL$152="E8",$AE$152&amp;"|E8-STRIKE REINF. RIM EXIT||"&amp;$BS$152,"")&amp;IF(ISNUMBER(SEARCH("E4",$AL$152)),$AE$152&amp;"|FRAME DEADLOCK PREP||"&amp;$BS$152,"")&amp;IF($AL$152="E9",$AE$152&amp;"|ELECTRIC STRIKE PREP||"&amp;$BS$152,"")&amp;IF($AM$152="H5",$AE$152&amp;"|H5 STRIKE PREP IN HEADER||"&amp;$BS$152,IF(OR($AM$152="",$AM$152="-"),"",$AE$152&amp;"|HEADER PREP "&amp;$AM$152&amp;"||"&amp;$BS$152))&amp;IF(N($AN$152)&gt;0,$AE$152&amp;"|"&amp;$AN$152&amp;" MINUTE STEEL FRAME LABEL "&amp;IF(OR(N($AY$152)&gt;0,N($AZ$152)&gt;0),"W/TRANSOM PANEL/SIDELIGHT","CAT. C PP")&amp;"||"&amp;$BS$152,"")&amp;IF($AX$152="BL","",$AE$152&amp;"|HD "&amp;$AF$152&amp;$BW$152&amp;$BP$152&amp;" BSC||"&amp;$BS$152&amp;IF($BR$152,$AE$152&amp;"|HJ "&amp;$AF$152&amp;$BW$152&amp;"LH "&amp;$BO$152&amp;" "&amp;$BV$152&amp;" BSC "&amp;CHAR(34)&amp;$BQ$152&amp;CHAR(34)&amp;"||"&amp;$BS$152&amp;$AE$152&amp;"|HJ "&amp;$AF$152&amp;$BW$152&amp;"RH "&amp;$BO$152&amp;" "&amp;$BV$152&amp;" BSC "&amp;CHAR(34)&amp;$BQ$152&amp;CHAR(34)&amp;"||"&amp;$BS$152,$AE$152&amp;"|HJ "&amp;$AF$152&amp;$BW$152&amp;$AW$152&amp;" "&amp;$BO$152&amp;" "&amp;$BV$152&amp;" BSC "&amp;CHAR(34)&amp;$BQ$152&amp;CHAR(34)&amp;"||"&amp;$BS$152&amp;$AE$152&amp;"|SJ "&amp;$AF$152&amp;$BW$152&amp;$AW$152&amp;" "&amp;$BO$152&amp;" "&amp;$BU$152&amp;IF($BU$152="G18"," BLANK"," Y")&amp;" BSC "&amp;CHAR(34)&amp;$BQ$152&amp;CHAR(34)&amp;"||"&amp;$BS$152))&amp;IF(AND($BN$152&gt;N($AR$152),$AX$152&lt;&gt;"BL",N($AR$152)&gt;=60),$AE$152&amp;"|FRAME CUT DOWN (BOTTOM)|Cut "&amp;TRIM(TEXT($BN$152-N($AR$152),"# ?/??"))&amp;CHAR(34)&amp;" OFF THE BOTTOM|"&amp;$BS$152,""))</f>
        <v/>
      </c>
    </row>
    <row r="153">
      <c r="B153" s="180">
        <f>IF($AD153="","",VALUE(LEFT($AD153,FIND("|",$AD153)-1)))</f>
        <v/>
      </c>
      <c r="C153" s="180">
        <f>IF($AD153="","","    "&amp;MID($AD153,FIND("|",$AD153)+1,FIND("|",$AD153,FIND("|",$AD153)+1)-FIND("|",$AD153)-1))</f>
        <v/>
      </c>
      <c r="D153" s="180">
        <f>IF($AD153="","",MID($AD153,FIND("|",$AD153,FIND("|",$AD153)+1)+1,FIND("|",$AD153&amp;"|",FIND("|",$AD153,FIND("|",$AD153)+1)+1)-FIND("|",$AD153,FIND("|",$AD153)+1)-1))</f>
        <v/>
      </c>
      <c r="AD153">
        <f>TRIM(MID(SUBSTITUTE($BX$152,"~",REPT(" ",600)),1,600))</f>
        <v/>
      </c>
    </row>
    <row r="154">
      <c r="B154" s="180">
        <f>IF($AD154="","",VALUE(LEFT($AD154,FIND("|",$AD154)-1)))</f>
        <v/>
      </c>
      <c r="C154" s="180">
        <f>IF($AD154="","","    "&amp;MID($AD154,FIND("|",$AD154)+1,FIND("|",$AD154,FIND("|",$AD154)+1)-FIND("|",$AD154)-1))</f>
        <v/>
      </c>
      <c r="D154" s="180">
        <f>IF($AD154="","",MID($AD154,FIND("|",$AD154,FIND("|",$AD154)+1)+1,FIND("|",$AD154&amp;"|",FIND("|",$AD154,FIND("|",$AD154)+1)+1)-FIND("|",$AD154,FIND("|",$AD154)+1)-1))</f>
        <v/>
      </c>
      <c r="AD154">
        <f>TRIM(MID(SUBSTITUTE($BX$152,"~",REPT(" ",600)),601,600))</f>
        <v/>
      </c>
    </row>
    <row r="155">
      <c r="B155" s="180">
        <f>IF($AD155="","",VALUE(LEFT($AD155,FIND("|",$AD155)-1)))</f>
        <v/>
      </c>
      <c r="C155" s="180">
        <f>IF($AD155="","","    "&amp;MID($AD155,FIND("|",$AD155)+1,FIND("|",$AD155,FIND("|",$AD155)+1)-FIND("|",$AD155)-1))</f>
        <v/>
      </c>
      <c r="D155" s="180">
        <f>IF($AD155="","",MID($AD155,FIND("|",$AD155,FIND("|",$AD155)+1)+1,FIND("|",$AD155&amp;"|",FIND("|",$AD155,FIND("|",$AD155)+1)+1)-FIND("|",$AD155,FIND("|",$AD155)+1)-1))</f>
        <v/>
      </c>
      <c r="AD155">
        <f>TRIM(MID(SUBSTITUTE($BX$152,"~",REPT(" ",600)),1201,600))</f>
        <v/>
      </c>
    </row>
    <row r="156">
      <c r="B156" s="180">
        <f>IF($AD156="","",VALUE(LEFT($AD156,FIND("|",$AD156)-1)))</f>
        <v/>
      </c>
      <c r="C156" s="180">
        <f>IF($AD156="","","    "&amp;MID($AD156,FIND("|",$AD156)+1,FIND("|",$AD156,FIND("|",$AD156)+1)-FIND("|",$AD156)-1))</f>
        <v/>
      </c>
      <c r="D156" s="180">
        <f>IF($AD156="","",MID($AD156,FIND("|",$AD156,FIND("|",$AD156)+1)+1,FIND("|",$AD156&amp;"|",FIND("|",$AD156,FIND("|",$AD156)+1)+1)-FIND("|",$AD156,FIND("|",$AD156)+1)-1))</f>
        <v/>
      </c>
      <c r="AD156">
        <f>TRIM(MID(SUBSTITUTE($BX$152,"~",REPT(" ",600)),1801,600))</f>
        <v/>
      </c>
    </row>
    <row r="157">
      <c r="B157" s="180">
        <f>IF($AD157="","",VALUE(LEFT($AD157,FIND("|",$AD157)-1)))</f>
        <v/>
      </c>
      <c r="C157" s="180">
        <f>IF($AD157="","","    "&amp;MID($AD157,FIND("|",$AD157)+1,FIND("|",$AD157,FIND("|",$AD157)+1)-FIND("|",$AD157)-1))</f>
        <v/>
      </c>
      <c r="D157" s="180">
        <f>IF($AD157="","",MID($AD157,FIND("|",$AD157,FIND("|",$AD157)+1)+1,FIND("|",$AD157&amp;"|",FIND("|",$AD157,FIND("|",$AD157)+1)+1)-FIND("|",$AD157,FIND("|",$AD157)+1)-1))</f>
        <v/>
      </c>
      <c r="AD157">
        <f>TRIM(MID(SUBSTITUTE($BX$152,"~",REPT(" ",600)),2401,600))</f>
        <v/>
      </c>
    </row>
    <row r="158">
      <c r="B158" s="180">
        <f>IF($AD158="","",VALUE(LEFT($AD158,FIND("|",$AD158)-1)))</f>
        <v/>
      </c>
      <c r="C158" s="180">
        <f>IF($AD158="","","    "&amp;MID($AD158,FIND("|",$AD158)+1,FIND("|",$AD158,FIND("|",$AD158)+1)-FIND("|",$AD158)-1))</f>
        <v/>
      </c>
      <c r="D158" s="180">
        <f>IF($AD158="","",MID($AD158,FIND("|",$AD158,FIND("|",$AD158)+1)+1,FIND("|",$AD158&amp;"|",FIND("|",$AD158,FIND("|",$AD158)+1)+1)-FIND("|",$AD158,FIND("|",$AD158)+1)-1))</f>
        <v/>
      </c>
      <c r="AD158">
        <f>TRIM(MID(SUBSTITUTE($BX$152,"~",REPT(" ",600)),3001,600))</f>
        <v/>
      </c>
    </row>
    <row r="159">
      <c r="B159" s="180">
        <f>IF($AD159="","",VALUE(LEFT($AD159,FIND("|",$AD159)-1)))</f>
        <v/>
      </c>
      <c r="C159" s="180">
        <f>IF($AD159="","","    "&amp;MID($AD159,FIND("|",$AD159)+1,FIND("|",$AD159,FIND("|",$AD159)+1)-FIND("|",$AD159)-1))</f>
        <v/>
      </c>
      <c r="D159" s="180">
        <f>IF($AD159="","",MID($AD159,FIND("|",$AD159,FIND("|",$AD159)+1)+1,FIND("|",$AD159&amp;"|",FIND("|",$AD159,FIND("|",$AD159)+1)+1)-FIND("|",$AD159,FIND("|",$AD159)+1)-1))</f>
        <v/>
      </c>
      <c r="AD159">
        <f>TRIM(MID(SUBSTITUTE($BX$152,"~",REPT(" ",600)),3601,600))</f>
        <v/>
      </c>
    </row>
    <row r="160">
      <c r="B160" s="180">
        <f>IF($AD160="","",VALUE(LEFT($AD160,FIND("|",$AD160)-1)))</f>
        <v/>
      </c>
      <c r="C160" s="180">
        <f>IF($AD160="","","    "&amp;MID($AD160,FIND("|",$AD160)+1,FIND("|",$AD160,FIND("|",$AD160)+1)-FIND("|",$AD160)-1))</f>
        <v/>
      </c>
      <c r="D160" s="180">
        <f>IF($AD160="","",MID($AD160,FIND("|",$AD160,FIND("|",$AD160)+1)+1,FIND("|",$AD160&amp;"|",FIND("|",$AD160,FIND("|",$AD160)+1)+1)-FIND("|",$AD160,FIND("|",$AD160)+1)-1))</f>
        <v/>
      </c>
      <c r="AD160">
        <f>TRIM(MID(SUBSTITUTE($BX$152,"~",REPT(" ",600)),4201,600))</f>
        <v/>
      </c>
    </row>
    <row r="161">
      <c r="B161" s="180">
        <f>IF($AD161="","",VALUE(LEFT($AD161,FIND("|",$AD161)-1)))</f>
        <v/>
      </c>
      <c r="C161" s="180">
        <f>IF($AD161="","","    "&amp;MID($AD161,FIND("|",$AD161)+1,FIND("|",$AD161,FIND("|",$AD161)+1)-FIND("|",$AD161)-1))</f>
        <v/>
      </c>
      <c r="D161" s="180">
        <f>IF($AD161="","",MID($AD161,FIND("|",$AD161,FIND("|",$AD161)+1)+1,FIND("|",$AD161&amp;"|",FIND("|",$AD161,FIND("|",$AD161)+1)+1)-FIND("|",$AD161,FIND("|",$AD161)+1)-1))</f>
        <v/>
      </c>
      <c r="AD161">
        <f>TRIM(MID(SUBSTITUTE($BX$152,"~",REPT(" ",600)),4801,600))</f>
        <v/>
      </c>
    </row>
    <row r="162">
      <c r="B162" s="180">
        <f>IF($AD162="","",VALUE(LEFT($AD162,FIND("|",$AD162)-1)))</f>
        <v/>
      </c>
      <c r="C162" s="180">
        <f>IF($AD162="","","    "&amp;MID($AD162,FIND("|",$AD162)+1,FIND("|",$AD162,FIND("|",$AD162)+1)-FIND("|",$AD162)-1))</f>
        <v/>
      </c>
      <c r="D162" s="180">
        <f>IF($AD162="","",MID($AD162,FIND("|",$AD162,FIND("|",$AD162)+1)+1,FIND("|",$AD162&amp;"|",FIND("|",$AD162,FIND("|",$AD162)+1)+1)-FIND("|",$AD162,FIND("|",$AD162)+1)-1))</f>
        <v/>
      </c>
      <c r="AD162">
        <f>TRIM(MID(SUBSTITUTE($BX$152,"~",REPT(" ",600)),5401,600))</f>
        <v/>
      </c>
    </row>
    <row r="163">
      <c r="B163" s="180">
        <f>IF($AD163="","",VALUE(LEFT($AD163,FIND("|",$AD163)-1)))</f>
        <v/>
      </c>
      <c r="C163" s="180">
        <f>IF($AD163="","","    "&amp;MID($AD163,FIND("|",$AD163)+1,FIND("|",$AD163,FIND("|",$AD163)+1)-FIND("|",$AD163)-1))</f>
        <v/>
      </c>
      <c r="D163" s="180">
        <f>IF($AD163="","",MID($AD163,FIND("|",$AD163,FIND("|",$AD163)+1)+1,FIND("|",$AD163&amp;"|",FIND("|",$AD163,FIND("|",$AD163)+1)+1)-FIND("|",$AD163,FIND("|",$AD163)+1)-1))</f>
        <v/>
      </c>
      <c r="AD163">
        <f>TRIM(MID(SUBSTITUTE($BX$152,"~",REPT(" ",600)),6001,600))</f>
        <v/>
      </c>
    </row>
    <row r="164">
      <c r="A164" s="178">
        <f>IF($AD$164=0,"",$BK$164)</f>
        <v/>
      </c>
      <c r="B164" s="178">
        <f>IF($AD$164=0,"",$AE$164)</f>
        <v/>
      </c>
      <c r="C164" s="178">
        <f>IF($AD$164=0,"",$AE$164&amp;") "&amp;IF(COUNTIFS(tk_SOFG,14,tk_HLEG,"&lt;&gt;"&amp;$BJ$164)=0,INDEX(tk_FLINE,$AD$164),INDEX(tk_FLINEN,$AD$164))&amp;IF($AJ$164="KD"," ( R.O. "&amp;TRIM(TEXT(N($AQ$164)+2.25,"# ?/??"))&amp;CHAR(34)&amp;" x "&amp;TRIM(TEXT(N($AR$164)+1,"# ?/??"))&amp;CHAR(34)&amp;" )",""))</f>
        <v/>
      </c>
      <c r="D164" s="178" t="n"/>
      <c r="E164" s="179">
        <f t="array" ref="E164">IF($AD$164=0,"",_xlfn.TEXTJOIN(", ",TRUE,IF(tk_SOFG=14,"#"&amp;tk_MARK&amp;IF(tk_HLEG="","","("&amp;tk_HLEG&amp;")")&amp;IF(tk_QTY&gt;1," ×"&amp;tk_QTY,""),"")))</f>
        <v/>
      </c>
      <c r="AD164">
        <f>IFERROR(MATCH(14,tk_SOFG,0),0)</f>
        <v/>
      </c>
      <c r="AE164">
        <f>IF($AD$164=0,0,SUMIF(tk_SOFG,14,tk_QTY))</f>
        <v/>
      </c>
      <c r="AF164">
        <f>IF($AD$164=0,"",INDEX(tk_JAMB,$AD$164))</f>
        <v/>
      </c>
      <c r="AG164">
        <f>IF($AD$164=0,"",INDEX(tk_ANCHOR,$AD$164))</f>
        <v/>
      </c>
      <c r="AH164">
        <f>IF($AD$164=0,"",INDEX(tk_ANCH,$AD$164))</f>
        <v/>
      </c>
      <c r="AI164">
        <f>IF($AD$164=0,"",INDEX(tk_BASEA,$AD$164))</f>
        <v/>
      </c>
      <c r="AJ164">
        <f>IF($AD$164=0,"",INDEX(tk_CONSTR,$AD$164))</f>
        <v/>
      </c>
      <c r="AK164">
        <f>IF($AD$164=0,"",INDEX(tk_CLOSER,$AD$164))</f>
        <v/>
      </c>
      <c r="AL164">
        <f>IF($AD$164=0,"",INDEX(tk_STRIKE,$AD$164))</f>
        <v/>
      </c>
      <c r="AM164">
        <f>IF($AD$164=0,"",INDEX(tk_HDRPREP,$AD$164))</f>
        <v/>
      </c>
      <c r="AN164">
        <f>IF($AD$164=0,"",INDEX(tk_DMIN,$AD$164))</f>
        <v/>
      </c>
      <c r="AO164">
        <f>IF($AD$164=0,"",INDEX(tk_PAIR,$AD$164))</f>
        <v/>
      </c>
      <c r="AP164">
        <f>IF($AD$164=0,"",INDEX(tk_FGA,$AD$164))</f>
        <v/>
      </c>
      <c r="AQ164">
        <f>IF($AD$164=0,"",INDEX(tk_WI,$AD$164))</f>
        <v/>
      </c>
      <c r="AR164">
        <f>IF($AD$164=0,"",INDEX(tk_HI,$AD$164))</f>
        <v/>
      </c>
      <c r="AS164">
        <f>IF($AD$164=0,"",INDEX(tk_FHINGE,$AD$164))</f>
        <v/>
      </c>
      <c r="AT164">
        <f>IF($AD$164=0,"",INDEX(tk_DHINGE,$AD$164))</f>
        <v/>
      </c>
      <c r="AU164">
        <f>IF($AD$164=0,"",INDEX(tk_HWLOC,$AD$164))</f>
        <v/>
      </c>
      <c r="AV164">
        <f>IF($AD$164=0,"",INDEX(tk_MANUF,$AD$164))</f>
        <v/>
      </c>
      <c r="AW164">
        <f>IF($AD$164=0,"",INDEX(tk_JH,$AD$164))</f>
        <v/>
      </c>
      <c r="AX164">
        <f>IF($AD$164=0,"",INDEX(tk_FDESC,$AD$164))</f>
        <v/>
      </c>
      <c r="AY164">
        <f>IF($AD$164=0,"",INDEX(tk_TRANS,$AD$164))</f>
        <v/>
      </c>
      <c r="AZ164">
        <f>IF($AD$164=0,"",INDEX(tk_SLW,$AD$164))</f>
        <v/>
      </c>
      <c r="BA164">
        <f>IF($AD$164=0,"",INDEX(tk_LEAVES,$AD$164))</f>
        <v/>
      </c>
      <c r="BB164">
        <f>IF($AD$164=0,"",INDEX(tk_LEAFW,$AD$164))</f>
        <v/>
      </c>
      <c r="BC164">
        <f>IF($AD$164=0,"",INDEX(tk_LEAFH,$AD$164))</f>
        <v/>
      </c>
      <c r="BD164">
        <f>IF($AD$164=0,"",INDEX(tk_DMAT,$AD$164))</f>
        <v/>
      </c>
      <c r="BE164">
        <f>IF($AD$164=0,"",INDEX(tk_DGA,$AD$164))</f>
        <v/>
      </c>
      <c r="BF164">
        <f>IF($AD$164=0,"",INDEX(tk_SERIES,$AD$164))</f>
        <v/>
      </c>
      <c r="BG164">
        <f>IF($AD$164=0,"",INDEX(tk_LOCK,$AD$164))</f>
        <v/>
      </c>
      <c r="BH164">
        <f>IF($AD$164=0,"",INDEX(tk_LITEKIT,$AD$164))</f>
        <v/>
      </c>
      <c r="BI164">
        <f>IF($AD$164=0,"",INDEX(tk_FACE,$AD$164))</f>
        <v/>
      </c>
      <c r="BJ164">
        <f>IF($AD$164=0,"",INDEX(tk_HLEG,$AD$164))</f>
        <v/>
      </c>
      <c r="BK164">
        <f>IF($AD$164=0,"",INDEX(tk_SOITEM,$AD$164))</f>
        <v/>
      </c>
      <c r="BL164">
        <f>IFERROR(VLOOKUP($AF$164,CODES,2,FALSE),"")</f>
        <v/>
      </c>
      <c r="BM164">
        <f>IF($AJ$164="KD","C","M")</f>
        <v/>
      </c>
      <c r="BN164">
        <f>IF(N($AR$164)&lt;=80,80,IF(N($AR$164)&lt;=84,84,IF(N($AR$164)&lt;=96,96,N($AR$164))))</f>
        <v/>
      </c>
      <c r="BO164">
        <f>INT($BN$164/12)&amp;MOD($BN$164,12)</f>
        <v/>
      </c>
      <c r="BP164">
        <f>INT(N($AQ$164)/12)&amp;MOD(N($AQ$164),12)</f>
        <v/>
      </c>
      <c r="BQ164">
        <f>IF(OR($AU$164="",$AU$164="ANSI/SDI",$AU$164="CUSTOM LOC"),IF($AV$164="CU","CURRIES","STEELCRAFT"),$AU$164)</f>
        <v/>
      </c>
      <c r="BR164">
        <f>$AO$164="Y"</f>
        <v/>
      </c>
      <c r="BS164">
        <f>"~"</f>
        <v/>
      </c>
      <c r="BT164">
        <f>N($AH$164)*N($AI$164)</f>
        <v/>
      </c>
      <c r="BU164">
        <f>IF(OR($AL$164="",$AL$164="-",$AL$164="E8"),"G18",$AL$164)</f>
        <v/>
      </c>
      <c r="BV164">
        <f>IF(OR($AS$164="",$AS$164="-"),"BLK",$AS$164)</f>
        <v/>
      </c>
      <c r="BW164">
        <f>" "&amp;$BM$164&amp;$AP$164&amp;" "</f>
        <v/>
      </c>
      <c r="BX164">
        <f>IF($AD$164=0,"",IF(OR($AG$164="SSA",$AG$164="SC"),$AE$164*$BT$164&amp;"|"&amp;$BL$164&amp;" STEEL STUD ANCHOR 2"&amp;CHAR(34)&amp;"||"&amp;$BS$164,"")&amp;IF($AG$164="WEWA-M",$AE$164*(N($AH$164)+1)*N($AI$164)&amp;"|FR101F 690 "&amp;$BL$164&amp;" MASONRY TUBE ANCHOR 16 GA||"&amp;$BS$164&amp;$AE$164*(N($AH$164)+1)*N($AI$164)&amp;"|3/8X5 SF3850 DYNO BOLTS||"&amp;$BS$164,"")&amp;IF($AG$164="WMA",$AE$164*$BT$164&amp;"|WIRE MASONRY ANCHOR||"&amp;$BS$164,"")&amp;IF($AG$164="T",$AE$164*$BT$164&amp;"|T-STRAP MASONRY ANCHOR||"&amp;$BS$164,"")&amp;IF($AG$164="WEWA-W",$AE$164*$BT$164&amp;"|P/D + WOOD SCREWS||"&amp;$BS$164,"")&amp;IF($AJ$164="WGS",$AE$164&amp;"|WELD &amp; GROUND SMOOTH||"&amp;$BS$164,"")&amp;IF(OR($AK$164="",$AK$164="-"),"",$AE$164*IF($BR$164,4,2)&amp;"|RACL/PACL-CLOSER REINF. 14GAx1-3/4x16 HRPO|"&amp;$AK$164&amp;IF($BR$164," BOTH SIDES","")&amp;"|"&amp;$BS$164)&amp;IF($AL$164="E8",$AE$164&amp;"|E8-STRIKE REINF. RIM EXIT||"&amp;$BS$164,"")&amp;IF(ISNUMBER(SEARCH("E4",$AL$164)),$AE$164&amp;"|FRAME DEADLOCK PREP||"&amp;$BS$164,"")&amp;IF($AL$164="E9",$AE$164&amp;"|ELECTRIC STRIKE PREP||"&amp;$BS$164,"")&amp;IF($AM$164="H5",$AE$164&amp;"|H5 STRIKE PREP IN HEADER||"&amp;$BS$164,IF(OR($AM$164="",$AM$164="-"),"",$AE$164&amp;"|HEADER PREP "&amp;$AM$164&amp;"||"&amp;$BS$164))&amp;IF(N($AN$164)&gt;0,$AE$164&amp;"|"&amp;$AN$164&amp;" MINUTE STEEL FRAME LABEL "&amp;IF(OR(N($AY$164)&gt;0,N($AZ$164)&gt;0),"W/TRANSOM PANEL/SIDELIGHT","CAT. C PP")&amp;"||"&amp;$BS$164,"")&amp;IF($AX$164="BL","",$AE$164&amp;"|HD "&amp;$AF$164&amp;$BW$164&amp;$BP$164&amp;" BSC||"&amp;$BS$164&amp;IF($BR$164,$AE$164&amp;"|HJ "&amp;$AF$164&amp;$BW$164&amp;"LH "&amp;$BO$164&amp;" "&amp;$BV$164&amp;" BSC "&amp;CHAR(34)&amp;$BQ$164&amp;CHAR(34)&amp;"||"&amp;$BS$164&amp;$AE$164&amp;"|HJ "&amp;$AF$164&amp;$BW$164&amp;"RH "&amp;$BO$164&amp;" "&amp;$BV$164&amp;" BSC "&amp;CHAR(34)&amp;$BQ$164&amp;CHAR(34)&amp;"||"&amp;$BS$164,$AE$164&amp;"|HJ "&amp;$AF$164&amp;$BW$164&amp;$AW$164&amp;" "&amp;$BO$164&amp;" "&amp;$BV$164&amp;" BSC "&amp;CHAR(34)&amp;$BQ$164&amp;CHAR(34)&amp;"||"&amp;$BS$164&amp;$AE$164&amp;"|SJ "&amp;$AF$164&amp;$BW$164&amp;$AW$164&amp;" "&amp;$BO$164&amp;" "&amp;$BU$164&amp;IF($BU$164="G18"," BLANK"," Y")&amp;" BSC "&amp;CHAR(34)&amp;$BQ$164&amp;CHAR(34)&amp;"||"&amp;$BS$164))&amp;IF(AND($BN$164&gt;N($AR$164),$AX$164&lt;&gt;"BL",N($AR$164)&gt;=60),$AE$164&amp;"|FRAME CUT DOWN (BOTTOM)|Cut "&amp;TRIM(TEXT($BN$164-N($AR$164),"# ?/??"))&amp;CHAR(34)&amp;" OFF THE BOTTOM|"&amp;$BS$164,""))</f>
        <v/>
      </c>
    </row>
    <row r="165">
      <c r="B165" s="180">
        <f>IF($AD165="","",VALUE(LEFT($AD165,FIND("|",$AD165)-1)))</f>
        <v/>
      </c>
      <c r="C165" s="180">
        <f>IF($AD165="","","    "&amp;MID($AD165,FIND("|",$AD165)+1,FIND("|",$AD165,FIND("|",$AD165)+1)-FIND("|",$AD165)-1))</f>
        <v/>
      </c>
      <c r="D165" s="180">
        <f>IF($AD165="","",MID($AD165,FIND("|",$AD165,FIND("|",$AD165)+1)+1,FIND("|",$AD165&amp;"|",FIND("|",$AD165,FIND("|",$AD165)+1)+1)-FIND("|",$AD165,FIND("|",$AD165)+1)-1))</f>
        <v/>
      </c>
      <c r="AD165">
        <f>TRIM(MID(SUBSTITUTE($BX$164,"~",REPT(" ",600)),1,600))</f>
        <v/>
      </c>
    </row>
    <row r="166">
      <c r="B166" s="180">
        <f>IF($AD166="","",VALUE(LEFT($AD166,FIND("|",$AD166)-1)))</f>
        <v/>
      </c>
      <c r="C166" s="180">
        <f>IF($AD166="","","    "&amp;MID($AD166,FIND("|",$AD166)+1,FIND("|",$AD166,FIND("|",$AD166)+1)-FIND("|",$AD166)-1))</f>
        <v/>
      </c>
      <c r="D166" s="180">
        <f>IF($AD166="","",MID($AD166,FIND("|",$AD166,FIND("|",$AD166)+1)+1,FIND("|",$AD166&amp;"|",FIND("|",$AD166,FIND("|",$AD166)+1)+1)-FIND("|",$AD166,FIND("|",$AD166)+1)-1))</f>
        <v/>
      </c>
      <c r="AD166">
        <f>TRIM(MID(SUBSTITUTE($BX$164,"~",REPT(" ",600)),601,600))</f>
        <v/>
      </c>
    </row>
    <row r="167">
      <c r="B167" s="180">
        <f>IF($AD167="","",VALUE(LEFT($AD167,FIND("|",$AD167)-1)))</f>
        <v/>
      </c>
      <c r="C167" s="180">
        <f>IF($AD167="","","    "&amp;MID($AD167,FIND("|",$AD167)+1,FIND("|",$AD167,FIND("|",$AD167)+1)-FIND("|",$AD167)-1))</f>
        <v/>
      </c>
      <c r="D167" s="180">
        <f>IF($AD167="","",MID($AD167,FIND("|",$AD167,FIND("|",$AD167)+1)+1,FIND("|",$AD167&amp;"|",FIND("|",$AD167,FIND("|",$AD167)+1)+1)-FIND("|",$AD167,FIND("|",$AD167)+1)-1))</f>
        <v/>
      </c>
      <c r="AD167">
        <f>TRIM(MID(SUBSTITUTE($BX$164,"~",REPT(" ",600)),1201,600))</f>
        <v/>
      </c>
    </row>
    <row r="168">
      <c r="B168" s="180">
        <f>IF($AD168="","",VALUE(LEFT($AD168,FIND("|",$AD168)-1)))</f>
        <v/>
      </c>
      <c r="C168" s="180">
        <f>IF($AD168="","","    "&amp;MID($AD168,FIND("|",$AD168)+1,FIND("|",$AD168,FIND("|",$AD168)+1)-FIND("|",$AD168)-1))</f>
        <v/>
      </c>
      <c r="D168" s="180">
        <f>IF($AD168="","",MID($AD168,FIND("|",$AD168,FIND("|",$AD168)+1)+1,FIND("|",$AD168&amp;"|",FIND("|",$AD168,FIND("|",$AD168)+1)+1)-FIND("|",$AD168,FIND("|",$AD168)+1)-1))</f>
        <v/>
      </c>
      <c r="AD168">
        <f>TRIM(MID(SUBSTITUTE($BX$164,"~",REPT(" ",600)),1801,600))</f>
        <v/>
      </c>
    </row>
    <row r="169">
      <c r="B169" s="180">
        <f>IF($AD169="","",VALUE(LEFT($AD169,FIND("|",$AD169)-1)))</f>
        <v/>
      </c>
      <c r="C169" s="180">
        <f>IF($AD169="","","    "&amp;MID($AD169,FIND("|",$AD169)+1,FIND("|",$AD169,FIND("|",$AD169)+1)-FIND("|",$AD169)-1))</f>
        <v/>
      </c>
      <c r="D169" s="180">
        <f>IF($AD169="","",MID($AD169,FIND("|",$AD169,FIND("|",$AD169)+1)+1,FIND("|",$AD169&amp;"|",FIND("|",$AD169,FIND("|",$AD169)+1)+1)-FIND("|",$AD169,FIND("|",$AD169)+1)-1))</f>
        <v/>
      </c>
      <c r="AD169">
        <f>TRIM(MID(SUBSTITUTE($BX$164,"~",REPT(" ",600)),2401,600))</f>
        <v/>
      </c>
    </row>
    <row r="170">
      <c r="B170" s="180">
        <f>IF($AD170="","",VALUE(LEFT($AD170,FIND("|",$AD170)-1)))</f>
        <v/>
      </c>
      <c r="C170" s="180">
        <f>IF($AD170="","","    "&amp;MID($AD170,FIND("|",$AD170)+1,FIND("|",$AD170,FIND("|",$AD170)+1)-FIND("|",$AD170)-1))</f>
        <v/>
      </c>
      <c r="D170" s="180">
        <f>IF($AD170="","",MID($AD170,FIND("|",$AD170,FIND("|",$AD170)+1)+1,FIND("|",$AD170&amp;"|",FIND("|",$AD170,FIND("|",$AD170)+1)+1)-FIND("|",$AD170,FIND("|",$AD170)+1)-1))</f>
        <v/>
      </c>
      <c r="AD170">
        <f>TRIM(MID(SUBSTITUTE($BX$164,"~",REPT(" ",600)),3001,600))</f>
        <v/>
      </c>
    </row>
    <row r="171">
      <c r="B171" s="180">
        <f>IF($AD171="","",VALUE(LEFT($AD171,FIND("|",$AD171)-1)))</f>
        <v/>
      </c>
      <c r="C171" s="180">
        <f>IF($AD171="","","    "&amp;MID($AD171,FIND("|",$AD171)+1,FIND("|",$AD171,FIND("|",$AD171)+1)-FIND("|",$AD171)-1))</f>
        <v/>
      </c>
      <c r="D171" s="180">
        <f>IF($AD171="","",MID($AD171,FIND("|",$AD171,FIND("|",$AD171)+1)+1,FIND("|",$AD171&amp;"|",FIND("|",$AD171,FIND("|",$AD171)+1)+1)-FIND("|",$AD171,FIND("|",$AD171)+1)-1))</f>
        <v/>
      </c>
      <c r="AD171">
        <f>TRIM(MID(SUBSTITUTE($BX$164,"~",REPT(" ",600)),3601,600))</f>
        <v/>
      </c>
    </row>
    <row r="172">
      <c r="B172" s="180">
        <f>IF($AD172="","",VALUE(LEFT($AD172,FIND("|",$AD172)-1)))</f>
        <v/>
      </c>
      <c r="C172" s="180">
        <f>IF($AD172="","","    "&amp;MID($AD172,FIND("|",$AD172)+1,FIND("|",$AD172,FIND("|",$AD172)+1)-FIND("|",$AD172)-1))</f>
        <v/>
      </c>
      <c r="D172" s="180">
        <f>IF($AD172="","",MID($AD172,FIND("|",$AD172,FIND("|",$AD172)+1)+1,FIND("|",$AD172&amp;"|",FIND("|",$AD172,FIND("|",$AD172)+1)+1)-FIND("|",$AD172,FIND("|",$AD172)+1)-1))</f>
        <v/>
      </c>
      <c r="AD172">
        <f>TRIM(MID(SUBSTITUTE($BX$164,"~",REPT(" ",600)),4201,600))</f>
        <v/>
      </c>
    </row>
    <row r="173">
      <c r="B173" s="180">
        <f>IF($AD173="","",VALUE(LEFT($AD173,FIND("|",$AD173)-1)))</f>
        <v/>
      </c>
      <c r="C173" s="180">
        <f>IF($AD173="","","    "&amp;MID($AD173,FIND("|",$AD173)+1,FIND("|",$AD173,FIND("|",$AD173)+1)-FIND("|",$AD173)-1))</f>
        <v/>
      </c>
      <c r="D173" s="180">
        <f>IF($AD173="","",MID($AD173,FIND("|",$AD173,FIND("|",$AD173)+1)+1,FIND("|",$AD173&amp;"|",FIND("|",$AD173,FIND("|",$AD173)+1)+1)-FIND("|",$AD173,FIND("|",$AD173)+1)-1))</f>
        <v/>
      </c>
      <c r="AD173">
        <f>TRIM(MID(SUBSTITUTE($BX$164,"~",REPT(" ",600)),4801,600))</f>
        <v/>
      </c>
    </row>
    <row r="174">
      <c r="B174" s="180">
        <f>IF($AD174="","",VALUE(LEFT($AD174,FIND("|",$AD174)-1)))</f>
        <v/>
      </c>
      <c r="C174" s="180">
        <f>IF($AD174="","","    "&amp;MID($AD174,FIND("|",$AD174)+1,FIND("|",$AD174,FIND("|",$AD174)+1)-FIND("|",$AD174)-1))</f>
        <v/>
      </c>
      <c r="D174" s="180">
        <f>IF($AD174="","",MID($AD174,FIND("|",$AD174,FIND("|",$AD174)+1)+1,FIND("|",$AD174&amp;"|",FIND("|",$AD174,FIND("|",$AD174)+1)+1)-FIND("|",$AD174,FIND("|",$AD174)+1)-1))</f>
        <v/>
      </c>
      <c r="AD174">
        <f>TRIM(MID(SUBSTITUTE($BX$164,"~",REPT(" ",600)),5401,600))</f>
        <v/>
      </c>
    </row>
    <row r="175">
      <c r="B175" s="180">
        <f>IF($AD175="","",VALUE(LEFT($AD175,FIND("|",$AD175)-1)))</f>
        <v/>
      </c>
      <c r="C175" s="180">
        <f>IF($AD175="","","    "&amp;MID($AD175,FIND("|",$AD175)+1,FIND("|",$AD175,FIND("|",$AD175)+1)-FIND("|",$AD175)-1))</f>
        <v/>
      </c>
      <c r="D175" s="180">
        <f>IF($AD175="","",MID($AD175,FIND("|",$AD175,FIND("|",$AD175)+1)+1,FIND("|",$AD175&amp;"|",FIND("|",$AD175,FIND("|",$AD175)+1)+1)-FIND("|",$AD175,FIND("|",$AD175)+1)-1))</f>
        <v/>
      </c>
      <c r="AD175">
        <f>TRIM(MID(SUBSTITUTE($BX$164,"~",REPT(" ",600)),6001,600))</f>
        <v/>
      </c>
    </row>
    <row r="176">
      <c r="A176" s="178">
        <f>IF($AD$176=0,"",$BK$176)</f>
        <v/>
      </c>
      <c r="B176" s="178">
        <f>IF($AD$176=0,"",$AE$176)</f>
        <v/>
      </c>
      <c r="C176" s="178">
        <f>IF($AD$176=0,"",$AE$176&amp;") "&amp;IF(COUNTIFS(tk_SOFG,15,tk_HLEG,"&lt;&gt;"&amp;$BJ$176)=0,INDEX(tk_FLINE,$AD$176),INDEX(tk_FLINEN,$AD$176))&amp;IF($AJ$176="KD"," ( R.O. "&amp;TRIM(TEXT(N($AQ$176)+2.25,"# ?/??"))&amp;CHAR(34)&amp;" x "&amp;TRIM(TEXT(N($AR$176)+1,"# ?/??"))&amp;CHAR(34)&amp;" )",""))</f>
        <v/>
      </c>
      <c r="D176" s="178" t="n"/>
      <c r="E176" s="179">
        <f t="array" ref="E176">IF($AD$176=0,"",_xlfn.TEXTJOIN(", ",TRUE,IF(tk_SOFG=15,"#"&amp;tk_MARK&amp;IF(tk_HLEG="","","("&amp;tk_HLEG&amp;")")&amp;IF(tk_QTY&gt;1," ×"&amp;tk_QTY,""),"")))</f>
        <v/>
      </c>
      <c r="AD176">
        <f>IFERROR(MATCH(15,tk_SOFG,0),0)</f>
        <v/>
      </c>
      <c r="AE176">
        <f>IF($AD$176=0,0,SUMIF(tk_SOFG,15,tk_QTY))</f>
        <v/>
      </c>
      <c r="AF176">
        <f>IF($AD$176=0,"",INDEX(tk_JAMB,$AD$176))</f>
        <v/>
      </c>
      <c r="AG176">
        <f>IF($AD$176=0,"",INDEX(tk_ANCHOR,$AD$176))</f>
        <v/>
      </c>
      <c r="AH176">
        <f>IF($AD$176=0,"",INDEX(tk_ANCH,$AD$176))</f>
        <v/>
      </c>
      <c r="AI176">
        <f>IF($AD$176=0,"",INDEX(tk_BASEA,$AD$176))</f>
        <v/>
      </c>
      <c r="AJ176">
        <f>IF($AD$176=0,"",INDEX(tk_CONSTR,$AD$176))</f>
        <v/>
      </c>
      <c r="AK176">
        <f>IF($AD$176=0,"",INDEX(tk_CLOSER,$AD$176))</f>
        <v/>
      </c>
      <c r="AL176">
        <f>IF($AD$176=0,"",INDEX(tk_STRIKE,$AD$176))</f>
        <v/>
      </c>
      <c r="AM176">
        <f>IF($AD$176=0,"",INDEX(tk_HDRPREP,$AD$176))</f>
        <v/>
      </c>
      <c r="AN176">
        <f>IF($AD$176=0,"",INDEX(tk_DMIN,$AD$176))</f>
        <v/>
      </c>
      <c r="AO176">
        <f>IF($AD$176=0,"",INDEX(tk_PAIR,$AD$176))</f>
        <v/>
      </c>
      <c r="AP176">
        <f>IF($AD$176=0,"",INDEX(tk_FGA,$AD$176))</f>
        <v/>
      </c>
      <c r="AQ176">
        <f>IF($AD$176=0,"",INDEX(tk_WI,$AD$176))</f>
        <v/>
      </c>
      <c r="AR176">
        <f>IF($AD$176=0,"",INDEX(tk_HI,$AD$176))</f>
        <v/>
      </c>
      <c r="AS176">
        <f>IF($AD$176=0,"",INDEX(tk_FHINGE,$AD$176))</f>
        <v/>
      </c>
      <c r="AT176">
        <f>IF($AD$176=0,"",INDEX(tk_DHINGE,$AD$176))</f>
        <v/>
      </c>
      <c r="AU176">
        <f>IF($AD$176=0,"",INDEX(tk_HWLOC,$AD$176))</f>
        <v/>
      </c>
      <c r="AV176">
        <f>IF($AD$176=0,"",INDEX(tk_MANUF,$AD$176))</f>
        <v/>
      </c>
      <c r="AW176">
        <f>IF($AD$176=0,"",INDEX(tk_JH,$AD$176))</f>
        <v/>
      </c>
      <c r="AX176">
        <f>IF($AD$176=0,"",INDEX(tk_FDESC,$AD$176))</f>
        <v/>
      </c>
      <c r="AY176">
        <f>IF($AD$176=0,"",INDEX(tk_TRANS,$AD$176))</f>
        <v/>
      </c>
      <c r="AZ176">
        <f>IF($AD$176=0,"",INDEX(tk_SLW,$AD$176))</f>
        <v/>
      </c>
      <c r="BA176">
        <f>IF($AD$176=0,"",INDEX(tk_LEAVES,$AD$176))</f>
        <v/>
      </c>
      <c r="BB176">
        <f>IF($AD$176=0,"",INDEX(tk_LEAFW,$AD$176))</f>
        <v/>
      </c>
      <c r="BC176">
        <f>IF($AD$176=0,"",INDEX(tk_LEAFH,$AD$176))</f>
        <v/>
      </c>
      <c r="BD176">
        <f>IF($AD$176=0,"",INDEX(tk_DMAT,$AD$176))</f>
        <v/>
      </c>
      <c r="BE176">
        <f>IF($AD$176=0,"",INDEX(tk_DGA,$AD$176))</f>
        <v/>
      </c>
      <c r="BF176">
        <f>IF($AD$176=0,"",INDEX(tk_SERIES,$AD$176))</f>
        <v/>
      </c>
      <c r="BG176">
        <f>IF($AD$176=0,"",INDEX(tk_LOCK,$AD$176))</f>
        <v/>
      </c>
      <c r="BH176">
        <f>IF($AD$176=0,"",INDEX(tk_LITEKIT,$AD$176))</f>
        <v/>
      </c>
      <c r="BI176">
        <f>IF($AD$176=0,"",INDEX(tk_FACE,$AD$176))</f>
        <v/>
      </c>
      <c r="BJ176">
        <f>IF($AD$176=0,"",INDEX(tk_HLEG,$AD$176))</f>
        <v/>
      </c>
      <c r="BK176">
        <f>IF($AD$176=0,"",INDEX(tk_SOITEM,$AD$176))</f>
        <v/>
      </c>
      <c r="BL176">
        <f>IFERROR(VLOOKUP($AF$176,CODES,2,FALSE),"")</f>
        <v/>
      </c>
      <c r="BM176">
        <f>IF($AJ$176="KD","C","M")</f>
        <v/>
      </c>
      <c r="BN176">
        <f>IF(N($AR$176)&lt;=80,80,IF(N($AR$176)&lt;=84,84,IF(N($AR$176)&lt;=96,96,N($AR$176))))</f>
        <v/>
      </c>
      <c r="BO176">
        <f>INT($BN$176/12)&amp;MOD($BN$176,12)</f>
        <v/>
      </c>
      <c r="BP176">
        <f>INT(N($AQ$176)/12)&amp;MOD(N($AQ$176),12)</f>
        <v/>
      </c>
      <c r="BQ176">
        <f>IF(OR($AU$176="",$AU$176="ANSI/SDI",$AU$176="CUSTOM LOC"),IF($AV$176="CU","CURRIES","STEELCRAFT"),$AU$176)</f>
        <v/>
      </c>
      <c r="BR176">
        <f>$AO$176="Y"</f>
        <v/>
      </c>
      <c r="BS176">
        <f>"~"</f>
        <v/>
      </c>
      <c r="BT176">
        <f>N($AH$176)*N($AI$176)</f>
        <v/>
      </c>
      <c r="BU176">
        <f>IF(OR($AL$176="",$AL$176="-",$AL$176="E8"),"G18",$AL$176)</f>
        <v/>
      </c>
      <c r="BV176">
        <f>IF(OR($AS$176="",$AS$176="-"),"BLK",$AS$176)</f>
        <v/>
      </c>
      <c r="BW176">
        <f>" "&amp;$BM$176&amp;$AP$176&amp;" "</f>
        <v/>
      </c>
      <c r="BX176">
        <f>IF($AD$176=0,"",IF(OR($AG$176="SSA",$AG$176="SC"),$AE$176*$BT$176&amp;"|"&amp;$BL$176&amp;" STEEL STUD ANCHOR 2"&amp;CHAR(34)&amp;"||"&amp;$BS$176,"")&amp;IF($AG$176="WEWA-M",$AE$176*(N($AH$176)+1)*N($AI$176)&amp;"|FR101F 690 "&amp;$BL$176&amp;" MASONRY TUBE ANCHOR 16 GA||"&amp;$BS$176&amp;$AE$176*(N($AH$176)+1)*N($AI$176)&amp;"|3/8X5 SF3850 DYNO BOLTS||"&amp;$BS$176,"")&amp;IF($AG$176="WMA",$AE$176*$BT$176&amp;"|WIRE MASONRY ANCHOR||"&amp;$BS$176,"")&amp;IF($AG$176="T",$AE$176*$BT$176&amp;"|T-STRAP MASONRY ANCHOR||"&amp;$BS$176,"")&amp;IF($AG$176="WEWA-W",$AE$176*$BT$176&amp;"|P/D + WOOD SCREWS||"&amp;$BS$176,"")&amp;IF($AJ$176="WGS",$AE$176&amp;"|WELD &amp; GROUND SMOOTH||"&amp;$BS$176,"")&amp;IF(OR($AK$176="",$AK$176="-"),"",$AE$176*IF($BR$176,4,2)&amp;"|RACL/PACL-CLOSER REINF. 14GAx1-3/4x16 HRPO|"&amp;$AK$176&amp;IF($BR$176," BOTH SIDES","")&amp;"|"&amp;$BS$176)&amp;IF($AL$176="E8",$AE$176&amp;"|E8-STRIKE REINF. RIM EXIT||"&amp;$BS$176,"")&amp;IF(ISNUMBER(SEARCH("E4",$AL$176)),$AE$176&amp;"|FRAME DEADLOCK PREP||"&amp;$BS$176,"")&amp;IF($AL$176="E9",$AE$176&amp;"|ELECTRIC STRIKE PREP||"&amp;$BS$176,"")&amp;IF($AM$176="H5",$AE$176&amp;"|H5 STRIKE PREP IN HEADER||"&amp;$BS$176,IF(OR($AM$176="",$AM$176="-"),"",$AE$176&amp;"|HEADER PREP "&amp;$AM$176&amp;"||"&amp;$BS$176))&amp;IF(N($AN$176)&gt;0,$AE$176&amp;"|"&amp;$AN$176&amp;" MINUTE STEEL FRAME LABEL "&amp;IF(OR(N($AY$176)&gt;0,N($AZ$176)&gt;0),"W/TRANSOM PANEL/SIDELIGHT","CAT. C PP")&amp;"||"&amp;$BS$176,"")&amp;IF($AX$176="BL","",$AE$176&amp;"|HD "&amp;$AF$176&amp;$BW$176&amp;$BP$176&amp;" BSC||"&amp;$BS$176&amp;IF($BR$176,$AE$176&amp;"|HJ "&amp;$AF$176&amp;$BW$176&amp;"LH "&amp;$BO$176&amp;" "&amp;$BV$176&amp;" BSC "&amp;CHAR(34)&amp;$BQ$176&amp;CHAR(34)&amp;"||"&amp;$BS$176&amp;$AE$176&amp;"|HJ "&amp;$AF$176&amp;$BW$176&amp;"RH "&amp;$BO$176&amp;" "&amp;$BV$176&amp;" BSC "&amp;CHAR(34)&amp;$BQ$176&amp;CHAR(34)&amp;"||"&amp;$BS$176,$AE$176&amp;"|HJ "&amp;$AF$176&amp;$BW$176&amp;$AW$176&amp;" "&amp;$BO$176&amp;" "&amp;$BV$176&amp;" BSC "&amp;CHAR(34)&amp;$BQ$176&amp;CHAR(34)&amp;"||"&amp;$BS$176&amp;$AE$176&amp;"|SJ "&amp;$AF$176&amp;$BW$176&amp;$AW$176&amp;" "&amp;$BO$176&amp;" "&amp;$BU$176&amp;IF($BU$176="G18"," BLANK"," Y")&amp;" BSC "&amp;CHAR(34)&amp;$BQ$176&amp;CHAR(34)&amp;"||"&amp;$BS$176))&amp;IF(AND($BN$176&gt;N($AR$176),$AX$176&lt;&gt;"BL",N($AR$176)&gt;=60),$AE$176&amp;"|FRAME CUT DOWN (BOTTOM)|Cut "&amp;TRIM(TEXT($BN$176-N($AR$176),"# ?/??"))&amp;CHAR(34)&amp;" OFF THE BOTTOM|"&amp;$BS$176,""))</f>
        <v/>
      </c>
    </row>
    <row r="177">
      <c r="B177" s="180">
        <f>IF($AD177="","",VALUE(LEFT($AD177,FIND("|",$AD177)-1)))</f>
        <v/>
      </c>
      <c r="C177" s="180">
        <f>IF($AD177="","","    "&amp;MID($AD177,FIND("|",$AD177)+1,FIND("|",$AD177,FIND("|",$AD177)+1)-FIND("|",$AD177)-1))</f>
        <v/>
      </c>
      <c r="D177" s="180">
        <f>IF($AD177="","",MID($AD177,FIND("|",$AD177,FIND("|",$AD177)+1)+1,FIND("|",$AD177&amp;"|",FIND("|",$AD177,FIND("|",$AD177)+1)+1)-FIND("|",$AD177,FIND("|",$AD177)+1)-1))</f>
        <v/>
      </c>
      <c r="AD177">
        <f>TRIM(MID(SUBSTITUTE($BX$176,"~",REPT(" ",600)),1,600))</f>
        <v/>
      </c>
    </row>
    <row r="178">
      <c r="B178" s="180">
        <f>IF($AD178="","",VALUE(LEFT($AD178,FIND("|",$AD178)-1)))</f>
        <v/>
      </c>
      <c r="C178" s="180">
        <f>IF($AD178="","","    "&amp;MID($AD178,FIND("|",$AD178)+1,FIND("|",$AD178,FIND("|",$AD178)+1)-FIND("|",$AD178)-1))</f>
        <v/>
      </c>
      <c r="D178" s="180">
        <f>IF($AD178="","",MID($AD178,FIND("|",$AD178,FIND("|",$AD178)+1)+1,FIND("|",$AD178&amp;"|",FIND("|",$AD178,FIND("|",$AD178)+1)+1)-FIND("|",$AD178,FIND("|",$AD178)+1)-1))</f>
        <v/>
      </c>
      <c r="AD178">
        <f>TRIM(MID(SUBSTITUTE($BX$176,"~",REPT(" ",600)),601,600))</f>
        <v/>
      </c>
    </row>
    <row r="179">
      <c r="B179" s="180">
        <f>IF($AD179="","",VALUE(LEFT($AD179,FIND("|",$AD179)-1)))</f>
        <v/>
      </c>
      <c r="C179" s="180">
        <f>IF($AD179="","","    "&amp;MID($AD179,FIND("|",$AD179)+1,FIND("|",$AD179,FIND("|",$AD179)+1)-FIND("|",$AD179)-1))</f>
        <v/>
      </c>
      <c r="D179" s="180">
        <f>IF($AD179="","",MID($AD179,FIND("|",$AD179,FIND("|",$AD179)+1)+1,FIND("|",$AD179&amp;"|",FIND("|",$AD179,FIND("|",$AD179)+1)+1)-FIND("|",$AD179,FIND("|",$AD179)+1)-1))</f>
        <v/>
      </c>
      <c r="AD179">
        <f>TRIM(MID(SUBSTITUTE($BX$176,"~",REPT(" ",600)),1201,600))</f>
        <v/>
      </c>
    </row>
    <row r="180">
      <c r="B180" s="180">
        <f>IF($AD180="","",VALUE(LEFT($AD180,FIND("|",$AD180)-1)))</f>
        <v/>
      </c>
      <c r="C180" s="180">
        <f>IF($AD180="","","    "&amp;MID($AD180,FIND("|",$AD180)+1,FIND("|",$AD180,FIND("|",$AD180)+1)-FIND("|",$AD180)-1))</f>
        <v/>
      </c>
      <c r="D180" s="180">
        <f>IF($AD180="","",MID($AD180,FIND("|",$AD180,FIND("|",$AD180)+1)+1,FIND("|",$AD180&amp;"|",FIND("|",$AD180,FIND("|",$AD180)+1)+1)-FIND("|",$AD180,FIND("|",$AD180)+1)-1))</f>
        <v/>
      </c>
      <c r="AD180">
        <f>TRIM(MID(SUBSTITUTE($BX$176,"~",REPT(" ",600)),1801,600))</f>
        <v/>
      </c>
    </row>
    <row r="181">
      <c r="B181" s="180">
        <f>IF($AD181="","",VALUE(LEFT($AD181,FIND("|",$AD181)-1)))</f>
        <v/>
      </c>
      <c r="C181" s="180">
        <f>IF($AD181="","","    "&amp;MID($AD181,FIND("|",$AD181)+1,FIND("|",$AD181,FIND("|",$AD181)+1)-FIND("|",$AD181)-1))</f>
        <v/>
      </c>
      <c r="D181" s="180">
        <f>IF($AD181="","",MID($AD181,FIND("|",$AD181,FIND("|",$AD181)+1)+1,FIND("|",$AD181&amp;"|",FIND("|",$AD181,FIND("|",$AD181)+1)+1)-FIND("|",$AD181,FIND("|",$AD181)+1)-1))</f>
        <v/>
      </c>
      <c r="AD181">
        <f>TRIM(MID(SUBSTITUTE($BX$176,"~",REPT(" ",600)),2401,600))</f>
        <v/>
      </c>
    </row>
    <row r="182">
      <c r="B182" s="180">
        <f>IF($AD182="","",VALUE(LEFT($AD182,FIND("|",$AD182)-1)))</f>
        <v/>
      </c>
      <c r="C182" s="180">
        <f>IF($AD182="","","    "&amp;MID($AD182,FIND("|",$AD182)+1,FIND("|",$AD182,FIND("|",$AD182)+1)-FIND("|",$AD182)-1))</f>
        <v/>
      </c>
      <c r="D182" s="180">
        <f>IF($AD182="","",MID($AD182,FIND("|",$AD182,FIND("|",$AD182)+1)+1,FIND("|",$AD182&amp;"|",FIND("|",$AD182,FIND("|",$AD182)+1)+1)-FIND("|",$AD182,FIND("|",$AD182)+1)-1))</f>
        <v/>
      </c>
      <c r="AD182">
        <f>TRIM(MID(SUBSTITUTE($BX$176,"~",REPT(" ",600)),3001,600))</f>
        <v/>
      </c>
    </row>
    <row r="183">
      <c r="B183" s="180">
        <f>IF($AD183="","",VALUE(LEFT($AD183,FIND("|",$AD183)-1)))</f>
        <v/>
      </c>
      <c r="C183" s="180">
        <f>IF($AD183="","","    "&amp;MID($AD183,FIND("|",$AD183)+1,FIND("|",$AD183,FIND("|",$AD183)+1)-FIND("|",$AD183)-1))</f>
        <v/>
      </c>
      <c r="D183" s="180">
        <f>IF($AD183="","",MID($AD183,FIND("|",$AD183,FIND("|",$AD183)+1)+1,FIND("|",$AD183&amp;"|",FIND("|",$AD183,FIND("|",$AD183)+1)+1)-FIND("|",$AD183,FIND("|",$AD183)+1)-1))</f>
        <v/>
      </c>
      <c r="AD183">
        <f>TRIM(MID(SUBSTITUTE($BX$176,"~",REPT(" ",600)),3601,600))</f>
        <v/>
      </c>
    </row>
    <row r="184">
      <c r="B184" s="180">
        <f>IF($AD184="","",VALUE(LEFT($AD184,FIND("|",$AD184)-1)))</f>
        <v/>
      </c>
      <c r="C184" s="180">
        <f>IF($AD184="","","    "&amp;MID($AD184,FIND("|",$AD184)+1,FIND("|",$AD184,FIND("|",$AD184)+1)-FIND("|",$AD184)-1))</f>
        <v/>
      </c>
      <c r="D184" s="180">
        <f>IF($AD184="","",MID($AD184,FIND("|",$AD184,FIND("|",$AD184)+1)+1,FIND("|",$AD184&amp;"|",FIND("|",$AD184,FIND("|",$AD184)+1)+1)-FIND("|",$AD184,FIND("|",$AD184)+1)-1))</f>
        <v/>
      </c>
      <c r="AD184">
        <f>TRIM(MID(SUBSTITUTE($BX$176,"~",REPT(" ",600)),4201,600))</f>
        <v/>
      </c>
    </row>
    <row r="185">
      <c r="B185" s="180">
        <f>IF($AD185="","",VALUE(LEFT($AD185,FIND("|",$AD185)-1)))</f>
        <v/>
      </c>
      <c r="C185" s="180">
        <f>IF($AD185="","","    "&amp;MID($AD185,FIND("|",$AD185)+1,FIND("|",$AD185,FIND("|",$AD185)+1)-FIND("|",$AD185)-1))</f>
        <v/>
      </c>
      <c r="D185" s="180">
        <f>IF($AD185="","",MID($AD185,FIND("|",$AD185,FIND("|",$AD185)+1)+1,FIND("|",$AD185&amp;"|",FIND("|",$AD185,FIND("|",$AD185)+1)+1)-FIND("|",$AD185,FIND("|",$AD185)+1)-1))</f>
        <v/>
      </c>
      <c r="AD185">
        <f>TRIM(MID(SUBSTITUTE($BX$176,"~",REPT(" ",600)),4801,600))</f>
        <v/>
      </c>
    </row>
    <row r="186">
      <c r="B186" s="180">
        <f>IF($AD186="","",VALUE(LEFT($AD186,FIND("|",$AD186)-1)))</f>
        <v/>
      </c>
      <c r="C186" s="180">
        <f>IF($AD186="","","    "&amp;MID($AD186,FIND("|",$AD186)+1,FIND("|",$AD186,FIND("|",$AD186)+1)-FIND("|",$AD186)-1))</f>
        <v/>
      </c>
      <c r="D186" s="180">
        <f>IF($AD186="","",MID($AD186,FIND("|",$AD186,FIND("|",$AD186)+1)+1,FIND("|",$AD186&amp;"|",FIND("|",$AD186,FIND("|",$AD186)+1)+1)-FIND("|",$AD186,FIND("|",$AD186)+1)-1))</f>
        <v/>
      </c>
      <c r="AD186">
        <f>TRIM(MID(SUBSTITUTE($BX$176,"~",REPT(" ",600)),5401,600))</f>
        <v/>
      </c>
    </row>
    <row r="187">
      <c r="B187" s="180">
        <f>IF($AD187="","",VALUE(LEFT($AD187,FIND("|",$AD187)-1)))</f>
        <v/>
      </c>
      <c r="C187" s="180">
        <f>IF($AD187="","","    "&amp;MID($AD187,FIND("|",$AD187)+1,FIND("|",$AD187,FIND("|",$AD187)+1)-FIND("|",$AD187)-1))</f>
        <v/>
      </c>
      <c r="D187" s="180">
        <f>IF($AD187="","",MID($AD187,FIND("|",$AD187,FIND("|",$AD187)+1)+1,FIND("|",$AD187&amp;"|",FIND("|",$AD187,FIND("|",$AD187)+1)+1)-FIND("|",$AD187,FIND("|",$AD187)+1)-1))</f>
        <v/>
      </c>
      <c r="AD187">
        <f>TRIM(MID(SUBSTITUTE($BX$176,"~",REPT(" ",600)),6001,600))</f>
        <v/>
      </c>
    </row>
    <row r="188">
      <c r="A188" s="178">
        <f>IF($AD$188=0,"",$BK$188)</f>
        <v/>
      </c>
      <c r="B188" s="178">
        <f>IF($AD$188=0,"",$AE$188)</f>
        <v/>
      </c>
      <c r="C188" s="178">
        <f>IF($AD$188=0,"",$AE$188&amp;") "&amp;IF(COUNTIFS(tk_SOFG,16,tk_HLEG,"&lt;&gt;"&amp;$BJ$188)=0,INDEX(tk_FLINE,$AD$188),INDEX(tk_FLINEN,$AD$188))&amp;IF($AJ$188="KD"," ( R.O. "&amp;TRIM(TEXT(N($AQ$188)+2.25,"# ?/??"))&amp;CHAR(34)&amp;" x "&amp;TRIM(TEXT(N($AR$188)+1,"# ?/??"))&amp;CHAR(34)&amp;" )",""))</f>
        <v/>
      </c>
      <c r="D188" s="178" t="n"/>
      <c r="E188" s="179">
        <f t="array" ref="E188">IF($AD$188=0,"",_xlfn.TEXTJOIN(", ",TRUE,IF(tk_SOFG=16,"#"&amp;tk_MARK&amp;IF(tk_HLEG="","","("&amp;tk_HLEG&amp;")")&amp;IF(tk_QTY&gt;1," ×"&amp;tk_QTY,""),"")))</f>
        <v/>
      </c>
      <c r="AD188">
        <f>IFERROR(MATCH(16,tk_SOFG,0),0)</f>
        <v/>
      </c>
      <c r="AE188">
        <f>IF($AD$188=0,0,SUMIF(tk_SOFG,16,tk_QTY))</f>
        <v/>
      </c>
      <c r="AF188">
        <f>IF($AD$188=0,"",INDEX(tk_JAMB,$AD$188))</f>
        <v/>
      </c>
      <c r="AG188">
        <f>IF($AD$188=0,"",INDEX(tk_ANCHOR,$AD$188))</f>
        <v/>
      </c>
      <c r="AH188">
        <f>IF($AD$188=0,"",INDEX(tk_ANCH,$AD$188))</f>
        <v/>
      </c>
      <c r="AI188">
        <f>IF($AD$188=0,"",INDEX(tk_BASEA,$AD$188))</f>
        <v/>
      </c>
      <c r="AJ188">
        <f>IF($AD$188=0,"",INDEX(tk_CONSTR,$AD$188))</f>
        <v/>
      </c>
      <c r="AK188">
        <f>IF($AD$188=0,"",INDEX(tk_CLOSER,$AD$188))</f>
        <v/>
      </c>
      <c r="AL188">
        <f>IF($AD$188=0,"",INDEX(tk_STRIKE,$AD$188))</f>
        <v/>
      </c>
      <c r="AM188">
        <f>IF($AD$188=0,"",INDEX(tk_HDRPREP,$AD$188))</f>
        <v/>
      </c>
      <c r="AN188">
        <f>IF($AD$188=0,"",INDEX(tk_DMIN,$AD$188))</f>
        <v/>
      </c>
      <c r="AO188">
        <f>IF($AD$188=0,"",INDEX(tk_PAIR,$AD$188))</f>
        <v/>
      </c>
      <c r="AP188">
        <f>IF($AD$188=0,"",INDEX(tk_FGA,$AD$188))</f>
        <v/>
      </c>
      <c r="AQ188">
        <f>IF($AD$188=0,"",INDEX(tk_WI,$AD$188))</f>
        <v/>
      </c>
      <c r="AR188">
        <f>IF($AD$188=0,"",INDEX(tk_HI,$AD$188))</f>
        <v/>
      </c>
      <c r="AS188">
        <f>IF($AD$188=0,"",INDEX(tk_FHINGE,$AD$188))</f>
        <v/>
      </c>
      <c r="AT188">
        <f>IF($AD$188=0,"",INDEX(tk_DHINGE,$AD$188))</f>
        <v/>
      </c>
      <c r="AU188">
        <f>IF($AD$188=0,"",INDEX(tk_HWLOC,$AD$188))</f>
        <v/>
      </c>
      <c r="AV188">
        <f>IF($AD$188=0,"",INDEX(tk_MANUF,$AD$188))</f>
        <v/>
      </c>
      <c r="AW188">
        <f>IF($AD$188=0,"",INDEX(tk_JH,$AD$188))</f>
        <v/>
      </c>
      <c r="AX188">
        <f>IF($AD$188=0,"",INDEX(tk_FDESC,$AD$188))</f>
        <v/>
      </c>
      <c r="AY188">
        <f>IF($AD$188=0,"",INDEX(tk_TRANS,$AD$188))</f>
        <v/>
      </c>
      <c r="AZ188">
        <f>IF($AD$188=0,"",INDEX(tk_SLW,$AD$188))</f>
        <v/>
      </c>
      <c r="BA188">
        <f>IF($AD$188=0,"",INDEX(tk_LEAVES,$AD$188))</f>
        <v/>
      </c>
      <c r="BB188">
        <f>IF($AD$188=0,"",INDEX(tk_LEAFW,$AD$188))</f>
        <v/>
      </c>
      <c r="BC188">
        <f>IF($AD$188=0,"",INDEX(tk_LEAFH,$AD$188))</f>
        <v/>
      </c>
      <c r="BD188">
        <f>IF($AD$188=0,"",INDEX(tk_DMAT,$AD$188))</f>
        <v/>
      </c>
      <c r="BE188">
        <f>IF($AD$188=0,"",INDEX(tk_DGA,$AD$188))</f>
        <v/>
      </c>
      <c r="BF188">
        <f>IF($AD$188=0,"",INDEX(tk_SERIES,$AD$188))</f>
        <v/>
      </c>
      <c r="BG188">
        <f>IF($AD$188=0,"",INDEX(tk_LOCK,$AD$188))</f>
        <v/>
      </c>
      <c r="BH188">
        <f>IF($AD$188=0,"",INDEX(tk_LITEKIT,$AD$188))</f>
        <v/>
      </c>
      <c r="BI188">
        <f>IF($AD$188=0,"",INDEX(tk_FACE,$AD$188))</f>
        <v/>
      </c>
      <c r="BJ188">
        <f>IF($AD$188=0,"",INDEX(tk_HLEG,$AD$188))</f>
        <v/>
      </c>
      <c r="BK188">
        <f>IF($AD$188=0,"",INDEX(tk_SOITEM,$AD$188))</f>
        <v/>
      </c>
      <c r="BL188">
        <f>IFERROR(VLOOKUP($AF$188,CODES,2,FALSE),"")</f>
        <v/>
      </c>
      <c r="BM188">
        <f>IF($AJ$188="KD","C","M")</f>
        <v/>
      </c>
      <c r="BN188">
        <f>IF(N($AR$188)&lt;=80,80,IF(N($AR$188)&lt;=84,84,IF(N($AR$188)&lt;=96,96,N($AR$188))))</f>
        <v/>
      </c>
      <c r="BO188">
        <f>INT($BN$188/12)&amp;MOD($BN$188,12)</f>
        <v/>
      </c>
      <c r="BP188">
        <f>INT(N($AQ$188)/12)&amp;MOD(N($AQ$188),12)</f>
        <v/>
      </c>
      <c r="BQ188">
        <f>IF(OR($AU$188="",$AU$188="ANSI/SDI",$AU$188="CUSTOM LOC"),IF($AV$188="CU","CURRIES","STEELCRAFT"),$AU$188)</f>
        <v/>
      </c>
      <c r="BR188">
        <f>$AO$188="Y"</f>
        <v/>
      </c>
      <c r="BS188">
        <f>"~"</f>
        <v/>
      </c>
      <c r="BT188">
        <f>N($AH$188)*N($AI$188)</f>
        <v/>
      </c>
      <c r="BU188">
        <f>IF(OR($AL$188="",$AL$188="-",$AL$188="E8"),"G18",$AL$188)</f>
        <v/>
      </c>
      <c r="BV188">
        <f>IF(OR($AS$188="",$AS$188="-"),"BLK",$AS$188)</f>
        <v/>
      </c>
      <c r="BW188">
        <f>" "&amp;$BM$188&amp;$AP$188&amp;" "</f>
        <v/>
      </c>
      <c r="BX188">
        <f>IF($AD$188=0,"",IF(OR($AG$188="SSA",$AG$188="SC"),$AE$188*$BT$188&amp;"|"&amp;$BL$188&amp;" STEEL STUD ANCHOR 2"&amp;CHAR(34)&amp;"||"&amp;$BS$188,"")&amp;IF($AG$188="WEWA-M",$AE$188*(N($AH$188)+1)*N($AI$188)&amp;"|FR101F 690 "&amp;$BL$188&amp;" MASONRY TUBE ANCHOR 16 GA||"&amp;$BS$188&amp;$AE$188*(N($AH$188)+1)*N($AI$188)&amp;"|3/8X5 SF3850 DYNO BOLTS||"&amp;$BS$188,"")&amp;IF($AG$188="WMA",$AE$188*$BT$188&amp;"|WIRE MASONRY ANCHOR||"&amp;$BS$188,"")&amp;IF($AG$188="T",$AE$188*$BT$188&amp;"|T-STRAP MASONRY ANCHOR||"&amp;$BS$188,"")&amp;IF($AG$188="WEWA-W",$AE$188*$BT$188&amp;"|P/D + WOOD SCREWS||"&amp;$BS$188,"")&amp;IF($AJ$188="WGS",$AE$188&amp;"|WELD &amp; GROUND SMOOTH||"&amp;$BS$188,"")&amp;IF(OR($AK$188="",$AK$188="-"),"",$AE$188*IF($BR$188,4,2)&amp;"|RACL/PACL-CLOSER REINF. 14GAx1-3/4x16 HRPO|"&amp;$AK$188&amp;IF($BR$188," BOTH SIDES","")&amp;"|"&amp;$BS$188)&amp;IF($AL$188="E8",$AE$188&amp;"|E8-STRIKE REINF. RIM EXIT||"&amp;$BS$188,"")&amp;IF(ISNUMBER(SEARCH("E4",$AL$188)),$AE$188&amp;"|FRAME DEADLOCK PREP||"&amp;$BS$188,"")&amp;IF($AL$188="E9",$AE$188&amp;"|ELECTRIC STRIKE PREP||"&amp;$BS$188,"")&amp;IF($AM$188="H5",$AE$188&amp;"|H5 STRIKE PREP IN HEADER||"&amp;$BS$188,IF(OR($AM$188="",$AM$188="-"),"",$AE$188&amp;"|HEADER PREP "&amp;$AM$188&amp;"||"&amp;$BS$188))&amp;IF(N($AN$188)&gt;0,$AE$188&amp;"|"&amp;$AN$188&amp;" MINUTE STEEL FRAME LABEL "&amp;IF(OR(N($AY$188)&gt;0,N($AZ$188)&gt;0),"W/TRANSOM PANEL/SIDELIGHT","CAT. C PP")&amp;"||"&amp;$BS$188,"")&amp;IF($AX$188="BL","",$AE$188&amp;"|HD "&amp;$AF$188&amp;$BW$188&amp;$BP$188&amp;" BSC||"&amp;$BS$188&amp;IF($BR$188,$AE$188&amp;"|HJ "&amp;$AF$188&amp;$BW$188&amp;"LH "&amp;$BO$188&amp;" "&amp;$BV$188&amp;" BSC "&amp;CHAR(34)&amp;$BQ$188&amp;CHAR(34)&amp;"||"&amp;$BS$188&amp;$AE$188&amp;"|HJ "&amp;$AF$188&amp;$BW$188&amp;"RH "&amp;$BO$188&amp;" "&amp;$BV$188&amp;" BSC "&amp;CHAR(34)&amp;$BQ$188&amp;CHAR(34)&amp;"||"&amp;$BS$188,$AE$188&amp;"|HJ "&amp;$AF$188&amp;$BW$188&amp;$AW$188&amp;" "&amp;$BO$188&amp;" "&amp;$BV$188&amp;" BSC "&amp;CHAR(34)&amp;$BQ$188&amp;CHAR(34)&amp;"||"&amp;$BS$188&amp;$AE$188&amp;"|SJ "&amp;$AF$188&amp;$BW$188&amp;$AW$188&amp;" "&amp;$BO$188&amp;" "&amp;$BU$188&amp;IF($BU$188="G18"," BLANK"," Y")&amp;" BSC "&amp;CHAR(34)&amp;$BQ$188&amp;CHAR(34)&amp;"||"&amp;$BS$188))&amp;IF(AND($BN$188&gt;N($AR$188),$AX$188&lt;&gt;"BL",N($AR$188)&gt;=60),$AE$188&amp;"|FRAME CUT DOWN (BOTTOM)|Cut "&amp;TRIM(TEXT($BN$188-N($AR$188),"# ?/??"))&amp;CHAR(34)&amp;" OFF THE BOTTOM|"&amp;$BS$188,""))</f>
        <v/>
      </c>
    </row>
    <row r="189">
      <c r="B189" s="180">
        <f>IF($AD189="","",VALUE(LEFT($AD189,FIND("|",$AD189)-1)))</f>
        <v/>
      </c>
      <c r="C189" s="180">
        <f>IF($AD189="","","    "&amp;MID($AD189,FIND("|",$AD189)+1,FIND("|",$AD189,FIND("|",$AD189)+1)-FIND("|",$AD189)-1))</f>
        <v/>
      </c>
      <c r="D189" s="180">
        <f>IF($AD189="","",MID($AD189,FIND("|",$AD189,FIND("|",$AD189)+1)+1,FIND("|",$AD189&amp;"|",FIND("|",$AD189,FIND("|",$AD189)+1)+1)-FIND("|",$AD189,FIND("|",$AD189)+1)-1))</f>
        <v/>
      </c>
      <c r="AD189">
        <f>TRIM(MID(SUBSTITUTE($BX$188,"~",REPT(" ",600)),1,600))</f>
        <v/>
      </c>
    </row>
    <row r="190">
      <c r="B190" s="180">
        <f>IF($AD190="","",VALUE(LEFT($AD190,FIND("|",$AD190)-1)))</f>
        <v/>
      </c>
      <c r="C190" s="180">
        <f>IF($AD190="","","    "&amp;MID($AD190,FIND("|",$AD190)+1,FIND("|",$AD190,FIND("|",$AD190)+1)-FIND("|",$AD190)-1))</f>
        <v/>
      </c>
      <c r="D190" s="180">
        <f>IF($AD190="","",MID($AD190,FIND("|",$AD190,FIND("|",$AD190)+1)+1,FIND("|",$AD190&amp;"|",FIND("|",$AD190,FIND("|",$AD190)+1)+1)-FIND("|",$AD190,FIND("|",$AD190)+1)-1))</f>
        <v/>
      </c>
      <c r="AD190">
        <f>TRIM(MID(SUBSTITUTE($BX$188,"~",REPT(" ",600)),601,600))</f>
        <v/>
      </c>
    </row>
    <row r="191">
      <c r="B191" s="180">
        <f>IF($AD191="","",VALUE(LEFT($AD191,FIND("|",$AD191)-1)))</f>
        <v/>
      </c>
      <c r="C191" s="180">
        <f>IF($AD191="","","    "&amp;MID($AD191,FIND("|",$AD191)+1,FIND("|",$AD191,FIND("|",$AD191)+1)-FIND("|",$AD191)-1))</f>
        <v/>
      </c>
      <c r="D191" s="180">
        <f>IF($AD191="","",MID($AD191,FIND("|",$AD191,FIND("|",$AD191)+1)+1,FIND("|",$AD191&amp;"|",FIND("|",$AD191,FIND("|",$AD191)+1)+1)-FIND("|",$AD191,FIND("|",$AD191)+1)-1))</f>
        <v/>
      </c>
      <c r="AD191">
        <f>TRIM(MID(SUBSTITUTE($BX$188,"~",REPT(" ",600)),1201,600))</f>
        <v/>
      </c>
    </row>
    <row r="192">
      <c r="B192" s="180">
        <f>IF($AD192="","",VALUE(LEFT($AD192,FIND("|",$AD192)-1)))</f>
        <v/>
      </c>
      <c r="C192" s="180">
        <f>IF($AD192="","","    "&amp;MID($AD192,FIND("|",$AD192)+1,FIND("|",$AD192,FIND("|",$AD192)+1)-FIND("|",$AD192)-1))</f>
        <v/>
      </c>
      <c r="D192" s="180">
        <f>IF($AD192="","",MID($AD192,FIND("|",$AD192,FIND("|",$AD192)+1)+1,FIND("|",$AD192&amp;"|",FIND("|",$AD192,FIND("|",$AD192)+1)+1)-FIND("|",$AD192,FIND("|",$AD192)+1)-1))</f>
        <v/>
      </c>
      <c r="AD192">
        <f>TRIM(MID(SUBSTITUTE($BX$188,"~",REPT(" ",600)),1801,600))</f>
        <v/>
      </c>
    </row>
    <row r="193">
      <c r="B193" s="180">
        <f>IF($AD193="","",VALUE(LEFT($AD193,FIND("|",$AD193)-1)))</f>
        <v/>
      </c>
      <c r="C193" s="180">
        <f>IF($AD193="","","    "&amp;MID($AD193,FIND("|",$AD193)+1,FIND("|",$AD193,FIND("|",$AD193)+1)-FIND("|",$AD193)-1))</f>
        <v/>
      </c>
      <c r="D193" s="180">
        <f>IF($AD193="","",MID($AD193,FIND("|",$AD193,FIND("|",$AD193)+1)+1,FIND("|",$AD193&amp;"|",FIND("|",$AD193,FIND("|",$AD193)+1)+1)-FIND("|",$AD193,FIND("|",$AD193)+1)-1))</f>
        <v/>
      </c>
      <c r="AD193">
        <f>TRIM(MID(SUBSTITUTE($BX$188,"~",REPT(" ",600)),2401,600))</f>
        <v/>
      </c>
    </row>
    <row r="194">
      <c r="B194" s="180">
        <f>IF($AD194="","",VALUE(LEFT($AD194,FIND("|",$AD194)-1)))</f>
        <v/>
      </c>
      <c r="C194" s="180">
        <f>IF($AD194="","","    "&amp;MID($AD194,FIND("|",$AD194)+1,FIND("|",$AD194,FIND("|",$AD194)+1)-FIND("|",$AD194)-1))</f>
        <v/>
      </c>
      <c r="D194" s="180">
        <f>IF($AD194="","",MID($AD194,FIND("|",$AD194,FIND("|",$AD194)+1)+1,FIND("|",$AD194&amp;"|",FIND("|",$AD194,FIND("|",$AD194)+1)+1)-FIND("|",$AD194,FIND("|",$AD194)+1)-1))</f>
        <v/>
      </c>
      <c r="AD194">
        <f>TRIM(MID(SUBSTITUTE($BX$188,"~",REPT(" ",600)),3001,600))</f>
        <v/>
      </c>
    </row>
    <row r="195">
      <c r="B195" s="180">
        <f>IF($AD195="","",VALUE(LEFT($AD195,FIND("|",$AD195)-1)))</f>
        <v/>
      </c>
      <c r="C195" s="180">
        <f>IF($AD195="","","    "&amp;MID($AD195,FIND("|",$AD195)+1,FIND("|",$AD195,FIND("|",$AD195)+1)-FIND("|",$AD195)-1))</f>
        <v/>
      </c>
      <c r="D195" s="180">
        <f>IF($AD195="","",MID($AD195,FIND("|",$AD195,FIND("|",$AD195)+1)+1,FIND("|",$AD195&amp;"|",FIND("|",$AD195,FIND("|",$AD195)+1)+1)-FIND("|",$AD195,FIND("|",$AD195)+1)-1))</f>
        <v/>
      </c>
      <c r="AD195">
        <f>TRIM(MID(SUBSTITUTE($BX$188,"~",REPT(" ",600)),3601,600))</f>
        <v/>
      </c>
    </row>
    <row r="196">
      <c r="B196" s="180">
        <f>IF($AD196="","",VALUE(LEFT($AD196,FIND("|",$AD196)-1)))</f>
        <v/>
      </c>
      <c r="C196" s="180">
        <f>IF($AD196="","","    "&amp;MID($AD196,FIND("|",$AD196)+1,FIND("|",$AD196,FIND("|",$AD196)+1)-FIND("|",$AD196)-1))</f>
        <v/>
      </c>
      <c r="D196" s="180">
        <f>IF($AD196="","",MID($AD196,FIND("|",$AD196,FIND("|",$AD196)+1)+1,FIND("|",$AD196&amp;"|",FIND("|",$AD196,FIND("|",$AD196)+1)+1)-FIND("|",$AD196,FIND("|",$AD196)+1)-1))</f>
        <v/>
      </c>
      <c r="AD196">
        <f>TRIM(MID(SUBSTITUTE($BX$188,"~",REPT(" ",600)),4201,600))</f>
        <v/>
      </c>
    </row>
    <row r="197">
      <c r="B197" s="180">
        <f>IF($AD197="","",VALUE(LEFT($AD197,FIND("|",$AD197)-1)))</f>
        <v/>
      </c>
      <c r="C197" s="180">
        <f>IF($AD197="","","    "&amp;MID($AD197,FIND("|",$AD197)+1,FIND("|",$AD197,FIND("|",$AD197)+1)-FIND("|",$AD197)-1))</f>
        <v/>
      </c>
      <c r="D197" s="180">
        <f>IF($AD197="","",MID($AD197,FIND("|",$AD197,FIND("|",$AD197)+1)+1,FIND("|",$AD197&amp;"|",FIND("|",$AD197,FIND("|",$AD197)+1)+1)-FIND("|",$AD197,FIND("|",$AD197)+1)-1))</f>
        <v/>
      </c>
      <c r="AD197">
        <f>TRIM(MID(SUBSTITUTE($BX$188,"~",REPT(" ",600)),4801,600))</f>
        <v/>
      </c>
    </row>
    <row r="198">
      <c r="B198" s="180">
        <f>IF($AD198="","",VALUE(LEFT($AD198,FIND("|",$AD198)-1)))</f>
        <v/>
      </c>
      <c r="C198" s="180">
        <f>IF($AD198="","","    "&amp;MID($AD198,FIND("|",$AD198)+1,FIND("|",$AD198,FIND("|",$AD198)+1)-FIND("|",$AD198)-1))</f>
        <v/>
      </c>
      <c r="D198" s="180">
        <f>IF($AD198="","",MID($AD198,FIND("|",$AD198,FIND("|",$AD198)+1)+1,FIND("|",$AD198&amp;"|",FIND("|",$AD198,FIND("|",$AD198)+1)+1)-FIND("|",$AD198,FIND("|",$AD198)+1)-1))</f>
        <v/>
      </c>
      <c r="AD198">
        <f>TRIM(MID(SUBSTITUTE($BX$188,"~",REPT(" ",600)),5401,600))</f>
        <v/>
      </c>
    </row>
    <row r="199">
      <c r="B199" s="180">
        <f>IF($AD199="","",VALUE(LEFT($AD199,FIND("|",$AD199)-1)))</f>
        <v/>
      </c>
      <c r="C199" s="180">
        <f>IF($AD199="","","    "&amp;MID($AD199,FIND("|",$AD199)+1,FIND("|",$AD199,FIND("|",$AD199)+1)-FIND("|",$AD199)-1))</f>
        <v/>
      </c>
      <c r="D199" s="180">
        <f>IF($AD199="","",MID($AD199,FIND("|",$AD199,FIND("|",$AD199)+1)+1,FIND("|",$AD199&amp;"|",FIND("|",$AD199,FIND("|",$AD199)+1)+1)-FIND("|",$AD199,FIND("|",$AD199)+1)-1))</f>
        <v/>
      </c>
      <c r="AD199">
        <f>TRIM(MID(SUBSTITUTE($BX$188,"~",REPT(" ",600)),6001,600))</f>
        <v/>
      </c>
    </row>
    <row r="200">
      <c r="A200" s="178">
        <f>IF($AD$200=0,"",$BK$200)</f>
        <v/>
      </c>
      <c r="B200" s="178">
        <f>IF($AD$200=0,"",$AE$200)</f>
        <v/>
      </c>
      <c r="C200" s="178">
        <f>IF($AD$200=0,"",$AE$200&amp;") "&amp;IF(COUNTIFS(tk_SOFG,17,tk_HLEG,"&lt;&gt;"&amp;$BJ$200)=0,INDEX(tk_FLINE,$AD$200),INDEX(tk_FLINEN,$AD$200))&amp;IF($AJ$200="KD"," ( R.O. "&amp;TRIM(TEXT(N($AQ$200)+2.25,"# ?/??"))&amp;CHAR(34)&amp;" x "&amp;TRIM(TEXT(N($AR$200)+1,"# ?/??"))&amp;CHAR(34)&amp;" )",""))</f>
        <v/>
      </c>
      <c r="D200" s="178" t="n"/>
      <c r="E200" s="179">
        <f t="array" ref="E200">IF($AD$200=0,"",_xlfn.TEXTJOIN(", ",TRUE,IF(tk_SOFG=17,"#"&amp;tk_MARK&amp;IF(tk_HLEG="","","("&amp;tk_HLEG&amp;")")&amp;IF(tk_QTY&gt;1," ×"&amp;tk_QTY,""),"")))</f>
        <v/>
      </c>
      <c r="AD200">
        <f>IFERROR(MATCH(17,tk_SOFG,0),0)</f>
        <v/>
      </c>
      <c r="AE200">
        <f>IF($AD$200=0,0,SUMIF(tk_SOFG,17,tk_QTY))</f>
        <v/>
      </c>
      <c r="AF200">
        <f>IF($AD$200=0,"",INDEX(tk_JAMB,$AD$200))</f>
        <v/>
      </c>
      <c r="AG200">
        <f>IF($AD$200=0,"",INDEX(tk_ANCHOR,$AD$200))</f>
        <v/>
      </c>
      <c r="AH200">
        <f>IF($AD$200=0,"",INDEX(tk_ANCH,$AD$200))</f>
        <v/>
      </c>
      <c r="AI200">
        <f>IF($AD$200=0,"",INDEX(tk_BASEA,$AD$200))</f>
        <v/>
      </c>
      <c r="AJ200">
        <f>IF($AD$200=0,"",INDEX(tk_CONSTR,$AD$200))</f>
        <v/>
      </c>
      <c r="AK200">
        <f>IF($AD$200=0,"",INDEX(tk_CLOSER,$AD$200))</f>
        <v/>
      </c>
      <c r="AL200">
        <f>IF($AD$200=0,"",INDEX(tk_STRIKE,$AD$200))</f>
        <v/>
      </c>
      <c r="AM200">
        <f>IF($AD$200=0,"",INDEX(tk_HDRPREP,$AD$200))</f>
        <v/>
      </c>
      <c r="AN200">
        <f>IF($AD$200=0,"",INDEX(tk_DMIN,$AD$200))</f>
        <v/>
      </c>
      <c r="AO200">
        <f>IF($AD$200=0,"",INDEX(tk_PAIR,$AD$200))</f>
        <v/>
      </c>
      <c r="AP200">
        <f>IF($AD$200=0,"",INDEX(tk_FGA,$AD$200))</f>
        <v/>
      </c>
      <c r="AQ200">
        <f>IF($AD$200=0,"",INDEX(tk_WI,$AD$200))</f>
        <v/>
      </c>
      <c r="AR200">
        <f>IF($AD$200=0,"",INDEX(tk_HI,$AD$200))</f>
        <v/>
      </c>
      <c r="AS200">
        <f>IF($AD$200=0,"",INDEX(tk_FHINGE,$AD$200))</f>
        <v/>
      </c>
      <c r="AT200">
        <f>IF($AD$200=0,"",INDEX(tk_DHINGE,$AD$200))</f>
        <v/>
      </c>
      <c r="AU200">
        <f>IF($AD$200=0,"",INDEX(tk_HWLOC,$AD$200))</f>
        <v/>
      </c>
      <c r="AV200">
        <f>IF($AD$200=0,"",INDEX(tk_MANUF,$AD$200))</f>
        <v/>
      </c>
      <c r="AW200">
        <f>IF($AD$200=0,"",INDEX(tk_JH,$AD$200))</f>
        <v/>
      </c>
      <c r="AX200">
        <f>IF($AD$200=0,"",INDEX(tk_FDESC,$AD$200))</f>
        <v/>
      </c>
      <c r="AY200">
        <f>IF($AD$200=0,"",INDEX(tk_TRANS,$AD$200))</f>
        <v/>
      </c>
      <c r="AZ200">
        <f>IF($AD$200=0,"",INDEX(tk_SLW,$AD$200))</f>
        <v/>
      </c>
      <c r="BA200">
        <f>IF($AD$200=0,"",INDEX(tk_LEAVES,$AD$200))</f>
        <v/>
      </c>
      <c r="BB200">
        <f>IF($AD$200=0,"",INDEX(tk_LEAFW,$AD$200))</f>
        <v/>
      </c>
      <c r="BC200">
        <f>IF($AD$200=0,"",INDEX(tk_LEAFH,$AD$200))</f>
        <v/>
      </c>
      <c r="BD200">
        <f>IF($AD$200=0,"",INDEX(tk_DMAT,$AD$200))</f>
        <v/>
      </c>
      <c r="BE200">
        <f>IF($AD$200=0,"",INDEX(tk_DGA,$AD$200))</f>
        <v/>
      </c>
      <c r="BF200">
        <f>IF($AD$200=0,"",INDEX(tk_SERIES,$AD$200))</f>
        <v/>
      </c>
      <c r="BG200">
        <f>IF($AD$200=0,"",INDEX(tk_LOCK,$AD$200))</f>
        <v/>
      </c>
      <c r="BH200">
        <f>IF($AD$200=0,"",INDEX(tk_LITEKIT,$AD$200))</f>
        <v/>
      </c>
      <c r="BI200">
        <f>IF($AD$200=0,"",INDEX(tk_FACE,$AD$200))</f>
        <v/>
      </c>
      <c r="BJ200">
        <f>IF($AD$200=0,"",INDEX(tk_HLEG,$AD$200))</f>
        <v/>
      </c>
      <c r="BK200">
        <f>IF($AD$200=0,"",INDEX(tk_SOITEM,$AD$200))</f>
        <v/>
      </c>
      <c r="BL200">
        <f>IFERROR(VLOOKUP($AF$200,CODES,2,FALSE),"")</f>
        <v/>
      </c>
      <c r="BM200">
        <f>IF($AJ$200="KD","C","M")</f>
        <v/>
      </c>
      <c r="BN200">
        <f>IF(N($AR$200)&lt;=80,80,IF(N($AR$200)&lt;=84,84,IF(N($AR$200)&lt;=96,96,N($AR$200))))</f>
        <v/>
      </c>
      <c r="BO200">
        <f>INT($BN$200/12)&amp;MOD($BN$200,12)</f>
        <v/>
      </c>
      <c r="BP200">
        <f>INT(N($AQ$200)/12)&amp;MOD(N($AQ$200),12)</f>
        <v/>
      </c>
      <c r="BQ200">
        <f>IF(OR($AU$200="",$AU$200="ANSI/SDI",$AU$200="CUSTOM LOC"),IF($AV$200="CU","CURRIES","STEELCRAFT"),$AU$200)</f>
        <v/>
      </c>
      <c r="BR200">
        <f>$AO$200="Y"</f>
        <v/>
      </c>
      <c r="BS200">
        <f>"~"</f>
        <v/>
      </c>
      <c r="BT200">
        <f>N($AH$200)*N($AI$200)</f>
        <v/>
      </c>
      <c r="BU200">
        <f>IF(OR($AL$200="",$AL$200="-",$AL$200="E8"),"G18",$AL$200)</f>
        <v/>
      </c>
      <c r="BV200">
        <f>IF(OR($AS$200="",$AS$200="-"),"BLK",$AS$200)</f>
        <v/>
      </c>
      <c r="BW200">
        <f>" "&amp;$BM$200&amp;$AP$200&amp;" "</f>
        <v/>
      </c>
      <c r="BX200">
        <f>IF($AD$200=0,"",IF(OR($AG$200="SSA",$AG$200="SC"),$AE$200*$BT$200&amp;"|"&amp;$BL$200&amp;" STEEL STUD ANCHOR 2"&amp;CHAR(34)&amp;"||"&amp;$BS$200,"")&amp;IF($AG$200="WEWA-M",$AE$200*(N($AH$200)+1)*N($AI$200)&amp;"|FR101F 690 "&amp;$BL$200&amp;" MASONRY TUBE ANCHOR 16 GA||"&amp;$BS$200&amp;$AE$200*(N($AH$200)+1)*N($AI$200)&amp;"|3/8X5 SF3850 DYNO BOLTS||"&amp;$BS$200,"")&amp;IF($AG$200="WMA",$AE$200*$BT$200&amp;"|WIRE MASONRY ANCHOR||"&amp;$BS$200,"")&amp;IF($AG$200="T",$AE$200*$BT$200&amp;"|T-STRAP MASONRY ANCHOR||"&amp;$BS$200,"")&amp;IF($AG$200="WEWA-W",$AE$200*$BT$200&amp;"|P/D + WOOD SCREWS||"&amp;$BS$200,"")&amp;IF($AJ$200="WGS",$AE$200&amp;"|WELD &amp; GROUND SMOOTH||"&amp;$BS$200,"")&amp;IF(OR($AK$200="",$AK$200="-"),"",$AE$200*IF($BR$200,4,2)&amp;"|RACL/PACL-CLOSER REINF. 14GAx1-3/4x16 HRPO|"&amp;$AK$200&amp;IF($BR$200," BOTH SIDES","")&amp;"|"&amp;$BS$200)&amp;IF($AL$200="E8",$AE$200&amp;"|E8-STRIKE REINF. RIM EXIT||"&amp;$BS$200,"")&amp;IF(ISNUMBER(SEARCH("E4",$AL$200)),$AE$200&amp;"|FRAME DEADLOCK PREP||"&amp;$BS$200,"")&amp;IF($AL$200="E9",$AE$200&amp;"|ELECTRIC STRIKE PREP||"&amp;$BS$200,"")&amp;IF($AM$200="H5",$AE$200&amp;"|H5 STRIKE PREP IN HEADER||"&amp;$BS$200,IF(OR($AM$200="",$AM$200="-"),"",$AE$200&amp;"|HEADER PREP "&amp;$AM$200&amp;"||"&amp;$BS$200))&amp;IF(N($AN$200)&gt;0,$AE$200&amp;"|"&amp;$AN$200&amp;" MINUTE STEEL FRAME LABEL "&amp;IF(OR(N($AY$200)&gt;0,N($AZ$200)&gt;0),"W/TRANSOM PANEL/SIDELIGHT","CAT. C PP")&amp;"||"&amp;$BS$200,"")&amp;IF($AX$200="BL","",$AE$200&amp;"|HD "&amp;$AF$200&amp;$BW$200&amp;$BP$200&amp;" BSC||"&amp;$BS$200&amp;IF($BR$200,$AE$200&amp;"|HJ "&amp;$AF$200&amp;$BW$200&amp;"LH "&amp;$BO$200&amp;" "&amp;$BV$200&amp;" BSC "&amp;CHAR(34)&amp;$BQ$200&amp;CHAR(34)&amp;"||"&amp;$BS$200&amp;$AE$200&amp;"|HJ "&amp;$AF$200&amp;$BW$200&amp;"RH "&amp;$BO$200&amp;" "&amp;$BV$200&amp;" BSC "&amp;CHAR(34)&amp;$BQ$200&amp;CHAR(34)&amp;"||"&amp;$BS$200,$AE$200&amp;"|HJ "&amp;$AF$200&amp;$BW$200&amp;$AW$200&amp;" "&amp;$BO$200&amp;" "&amp;$BV$200&amp;" BSC "&amp;CHAR(34)&amp;$BQ$200&amp;CHAR(34)&amp;"||"&amp;$BS$200&amp;$AE$200&amp;"|SJ "&amp;$AF$200&amp;$BW$200&amp;$AW$200&amp;" "&amp;$BO$200&amp;" "&amp;$BU$200&amp;IF($BU$200="G18"," BLANK"," Y")&amp;" BSC "&amp;CHAR(34)&amp;$BQ$200&amp;CHAR(34)&amp;"||"&amp;$BS$200))&amp;IF(AND($BN$200&gt;N($AR$200),$AX$200&lt;&gt;"BL",N($AR$200)&gt;=60),$AE$200&amp;"|FRAME CUT DOWN (BOTTOM)|Cut "&amp;TRIM(TEXT($BN$200-N($AR$200),"# ?/??"))&amp;CHAR(34)&amp;" OFF THE BOTTOM|"&amp;$BS$200,""))</f>
        <v/>
      </c>
    </row>
    <row r="201">
      <c r="B201" s="180">
        <f>IF($AD201="","",VALUE(LEFT($AD201,FIND("|",$AD201)-1)))</f>
        <v/>
      </c>
      <c r="C201" s="180">
        <f>IF($AD201="","","    "&amp;MID($AD201,FIND("|",$AD201)+1,FIND("|",$AD201,FIND("|",$AD201)+1)-FIND("|",$AD201)-1))</f>
        <v/>
      </c>
      <c r="D201" s="180">
        <f>IF($AD201="","",MID($AD201,FIND("|",$AD201,FIND("|",$AD201)+1)+1,FIND("|",$AD201&amp;"|",FIND("|",$AD201,FIND("|",$AD201)+1)+1)-FIND("|",$AD201,FIND("|",$AD201)+1)-1))</f>
        <v/>
      </c>
      <c r="AD201">
        <f>TRIM(MID(SUBSTITUTE($BX$200,"~",REPT(" ",600)),1,600))</f>
        <v/>
      </c>
    </row>
    <row r="202">
      <c r="B202" s="180">
        <f>IF($AD202="","",VALUE(LEFT($AD202,FIND("|",$AD202)-1)))</f>
        <v/>
      </c>
      <c r="C202" s="180">
        <f>IF($AD202="","","    "&amp;MID($AD202,FIND("|",$AD202)+1,FIND("|",$AD202,FIND("|",$AD202)+1)-FIND("|",$AD202)-1))</f>
        <v/>
      </c>
      <c r="D202" s="180">
        <f>IF($AD202="","",MID($AD202,FIND("|",$AD202,FIND("|",$AD202)+1)+1,FIND("|",$AD202&amp;"|",FIND("|",$AD202,FIND("|",$AD202)+1)+1)-FIND("|",$AD202,FIND("|",$AD202)+1)-1))</f>
        <v/>
      </c>
      <c r="AD202">
        <f>TRIM(MID(SUBSTITUTE($BX$200,"~",REPT(" ",600)),601,600))</f>
        <v/>
      </c>
    </row>
    <row r="203">
      <c r="B203" s="180">
        <f>IF($AD203="","",VALUE(LEFT($AD203,FIND("|",$AD203)-1)))</f>
        <v/>
      </c>
      <c r="C203" s="180">
        <f>IF($AD203="","","    "&amp;MID($AD203,FIND("|",$AD203)+1,FIND("|",$AD203,FIND("|",$AD203)+1)-FIND("|",$AD203)-1))</f>
        <v/>
      </c>
      <c r="D203" s="180">
        <f>IF($AD203="","",MID($AD203,FIND("|",$AD203,FIND("|",$AD203)+1)+1,FIND("|",$AD203&amp;"|",FIND("|",$AD203,FIND("|",$AD203)+1)+1)-FIND("|",$AD203,FIND("|",$AD203)+1)-1))</f>
        <v/>
      </c>
      <c r="AD203">
        <f>TRIM(MID(SUBSTITUTE($BX$200,"~",REPT(" ",600)),1201,600))</f>
        <v/>
      </c>
    </row>
    <row r="204">
      <c r="B204" s="180">
        <f>IF($AD204="","",VALUE(LEFT($AD204,FIND("|",$AD204)-1)))</f>
        <v/>
      </c>
      <c r="C204" s="180">
        <f>IF($AD204="","","    "&amp;MID($AD204,FIND("|",$AD204)+1,FIND("|",$AD204,FIND("|",$AD204)+1)-FIND("|",$AD204)-1))</f>
        <v/>
      </c>
      <c r="D204" s="180">
        <f>IF($AD204="","",MID($AD204,FIND("|",$AD204,FIND("|",$AD204)+1)+1,FIND("|",$AD204&amp;"|",FIND("|",$AD204,FIND("|",$AD204)+1)+1)-FIND("|",$AD204,FIND("|",$AD204)+1)-1))</f>
        <v/>
      </c>
      <c r="AD204">
        <f>TRIM(MID(SUBSTITUTE($BX$200,"~",REPT(" ",600)),1801,600))</f>
        <v/>
      </c>
    </row>
    <row r="205">
      <c r="B205" s="180">
        <f>IF($AD205="","",VALUE(LEFT($AD205,FIND("|",$AD205)-1)))</f>
        <v/>
      </c>
      <c r="C205" s="180">
        <f>IF($AD205="","","    "&amp;MID($AD205,FIND("|",$AD205)+1,FIND("|",$AD205,FIND("|",$AD205)+1)-FIND("|",$AD205)-1))</f>
        <v/>
      </c>
      <c r="D205" s="180">
        <f>IF($AD205="","",MID($AD205,FIND("|",$AD205,FIND("|",$AD205)+1)+1,FIND("|",$AD205&amp;"|",FIND("|",$AD205,FIND("|",$AD205)+1)+1)-FIND("|",$AD205,FIND("|",$AD205)+1)-1))</f>
        <v/>
      </c>
      <c r="AD205">
        <f>TRIM(MID(SUBSTITUTE($BX$200,"~",REPT(" ",600)),2401,600))</f>
        <v/>
      </c>
    </row>
    <row r="206">
      <c r="B206" s="180">
        <f>IF($AD206="","",VALUE(LEFT($AD206,FIND("|",$AD206)-1)))</f>
        <v/>
      </c>
      <c r="C206" s="180">
        <f>IF($AD206="","","    "&amp;MID($AD206,FIND("|",$AD206)+1,FIND("|",$AD206,FIND("|",$AD206)+1)-FIND("|",$AD206)-1))</f>
        <v/>
      </c>
      <c r="D206" s="180">
        <f>IF($AD206="","",MID($AD206,FIND("|",$AD206,FIND("|",$AD206)+1)+1,FIND("|",$AD206&amp;"|",FIND("|",$AD206,FIND("|",$AD206)+1)+1)-FIND("|",$AD206,FIND("|",$AD206)+1)-1))</f>
        <v/>
      </c>
      <c r="AD206">
        <f>TRIM(MID(SUBSTITUTE($BX$200,"~",REPT(" ",600)),3001,600))</f>
        <v/>
      </c>
    </row>
    <row r="207">
      <c r="B207" s="180">
        <f>IF($AD207="","",VALUE(LEFT($AD207,FIND("|",$AD207)-1)))</f>
        <v/>
      </c>
      <c r="C207" s="180">
        <f>IF($AD207="","","    "&amp;MID($AD207,FIND("|",$AD207)+1,FIND("|",$AD207,FIND("|",$AD207)+1)-FIND("|",$AD207)-1))</f>
        <v/>
      </c>
      <c r="D207" s="180">
        <f>IF($AD207="","",MID($AD207,FIND("|",$AD207,FIND("|",$AD207)+1)+1,FIND("|",$AD207&amp;"|",FIND("|",$AD207,FIND("|",$AD207)+1)+1)-FIND("|",$AD207,FIND("|",$AD207)+1)-1))</f>
        <v/>
      </c>
      <c r="AD207">
        <f>TRIM(MID(SUBSTITUTE($BX$200,"~",REPT(" ",600)),3601,600))</f>
        <v/>
      </c>
    </row>
    <row r="208">
      <c r="B208" s="180">
        <f>IF($AD208="","",VALUE(LEFT($AD208,FIND("|",$AD208)-1)))</f>
        <v/>
      </c>
      <c r="C208" s="180">
        <f>IF($AD208="","","    "&amp;MID($AD208,FIND("|",$AD208)+1,FIND("|",$AD208,FIND("|",$AD208)+1)-FIND("|",$AD208)-1))</f>
        <v/>
      </c>
      <c r="D208" s="180">
        <f>IF($AD208="","",MID($AD208,FIND("|",$AD208,FIND("|",$AD208)+1)+1,FIND("|",$AD208&amp;"|",FIND("|",$AD208,FIND("|",$AD208)+1)+1)-FIND("|",$AD208,FIND("|",$AD208)+1)-1))</f>
        <v/>
      </c>
      <c r="AD208">
        <f>TRIM(MID(SUBSTITUTE($BX$200,"~",REPT(" ",600)),4201,600))</f>
        <v/>
      </c>
    </row>
    <row r="209">
      <c r="B209" s="180">
        <f>IF($AD209="","",VALUE(LEFT($AD209,FIND("|",$AD209)-1)))</f>
        <v/>
      </c>
      <c r="C209" s="180">
        <f>IF($AD209="","","    "&amp;MID($AD209,FIND("|",$AD209)+1,FIND("|",$AD209,FIND("|",$AD209)+1)-FIND("|",$AD209)-1))</f>
        <v/>
      </c>
      <c r="D209" s="180">
        <f>IF($AD209="","",MID($AD209,FIND("|",$AD209,FIND("|",$AD209)+1)+1,FIND("|",$AD209&amp;"|",FIND("|",$AD209,FIND("|",$AD209)+1)+1)-FIND("|",$AD209,FIND("|",$AD209)+1)-1))</f>
        <v/>
      </c>
      <c r="AD209">
        <f>TRIM(MID(SUBSTITUTE($BX$200,"~",REPT(" ",600)),4801,600))</f>
        <v/>
      </c>
    </row>
    <row r="210">
      <c r="B210" s="180">
        <f>IF($AD210="","",VALUE(LEFT($AD210,FIND("|",$AD210)-1)))</f>
        <v/>
      </c>
      <c r="C210" s="180">
        <f>IF($AD210="","","    "&amp;MID($AD210,FIND("|",$AD210)+1,FIND("|",$AD210,FIND("|",$AD210)+1)-FIND("|",$AD210)-1))</f>
        <v/>
      </c>
      <c r="D210" s="180">
        <f>IF($AD210="","",MID($AD210,FIND("|",$AD210,FIND("|",$AD210)+1)+1,FIND("|",$AD210&amp;"|",FIND("|",$AD210,FIND("|",$AD210)+1)+1)-FIND("|",$AD210,FIND("|",$AD210)+1)-1))</f>
        <v/>
      </c>
      <c r="AD210">
        <f>TRIM(MID(SUBSTITUTE($BX$200,"~",REPT(" ",600)),5401,600))</f>
        <v/>
      </c>
    </row>
    <row r="211">
      <c r="B211" s="180">
        <f>IF($AD211="","",VALUE(LEFT($AD211,FIND("|",$AD211)-1)))</f>
        <v/>
      </c>
      <c r="C211" s="180">
        <f>IF($AD211="","","    "&amp;MID($AD211,FIND("|",$AD211)+1,FIND("|",$AD211,FIND("|",$AD211)+1)-FIND("|",$AD211)-1))</f>
        <v/>
      </c>
      <c r="D211" s="180">
        <f>IF($AD211="","",MID($AD211,FIND("|",$AD211,FIND("|",$AD211)+1)+1,FIND("|",$AD211&amp;"|",FIND("|",$AD211,FIND("|",$AD211)+1)+1)-FIND("|",$AD211,FIND("|",$AD211)+1)-1))</f>
        <v/>
      </c>
      <c r="AD211">
        <f>TRIM(MID(SUBSTITUTE($BX$200,"~",REPT(" ",600)),6001,600))</f>
        <v/>
      </c>
    </row>
    <row r="212">
      <c r="A212" s="178">
        <f>IF($AD$212=0,"",$BK$212)</f>
        <v/>
      </c>
      <c r="B212" s="178">
        <f>IF($AD$212=0,"",$AE$212)</f>
        <v/>
      </c>
      <c r="C212" s="178">
        <f>IF($AD$212=0,"",$AE$212&amp;") "&amp;IF(COUNTIFS(tk_SOFG,18,tk_HLEG,"&lt;&gt;"&amp;$BJ$212)=0,INDEX(tk_FLINE,$AD$212),INDEX(tk_FLINEN,$AD$212))&amp;IF($AJ$212="KD"," ( R.O. "&amp;TRIM(TEXT(N($AQ$212)+2.25,"# ?/??"))&amp;CHAR(34)&amp;" x "&amp;TRIM(TEXT(N($AR$212)+1,"# ?/??"))&amp;CHAR(34)&amp;" )",""))</f>
        <v/>
      </c>
      <c r="D212" s="178" t="n"/>
      <c r="E212" s="179">
        <f t="array" ref="E212">IF($AD$212=0,"",_xlfn.TEXTJOIN(", ",TRUE,IF(tk_SOFG=18,"#"&amp;tk_MARK&amp;IF(tk_HLEG="","","("&amp;tk_HLEG&amp;")")&amp;IF(tk_QTY&gt;1," ×"&amp;tk_QTY,""),"")))</f>
        <v/>
      </c>
      <c r="AD212">
        <f>IFERROR(MATCH(18,tk_SOFG,0),0)</f>
        <v/>
      </c>
      <c r="AE212">
        <f>IF($AD$212=0,0,SUMIF(tk_SOFG,18,tk_QTY))</f>
        <v/>
      </c>
      <c r="AF212">
        <f>IF($AD$212=0,"",INDEX(tk_JAMB,$AD$212))</f>
        <v/>
      </c>
      <c r="AG212">
        <f>IF($AD$212=0,"",INDEX(tk_ANCHOR,$AD$212))</f>
        <v/>
      </c>
      <c r="AH212">
        <f>IF($AD$212=0,"",INDEX(tk_ANCH,$AD$212))</f>
        <v/>
      </c>
      <c r="AI212">
        <f>IF($AD$212=0,"",INDEX(tk_BASEA,$AD$212))</f>
        <v/>
      </c>
      <c r="AJ212">
        <f>IF($AD$212=0,"",INDEX(tk_CONSTR,$AD$212))</f>
        <v/>
      </c>
      <c r="AK212">
        <f>IF($AD$212=0,"",INDEX(tk_CLOSER,$AD$212))</f>
        <v/>
      </c>
      <c r="AL212">
        <f>IF($AD$212=0,"",INDEX(tk_STRIKE,$AD$212))</f>
        <v/>
      </c>
      <c r="AM212">
        <f>IF($AD$212=0,"",INDEX(tk_HDRPREP,$AD$212))</f>
        <v/>
      </c>
      <c r="AN212">
        <f>IF($AD$212=0,"",INDEX(tk_DMIN,$AD$212))</f>
        <v/>
      </c>
      <c r="AO212">
        <f>IF($AD$212=0,"",INDEX(tk_PAIR,$AD$212))</f>
        <v/>
      </c>
      <c r="AP212">
        <f>IF($AD$212=0,"",INDEX(tk_FGA,$AD$212))</f>
        <v/>
      </c>
      <c r="AQ212">
        <f>IF($AD$212=0,"",INDEX(tk_WI,$AD$212))</f>
        <v/>
      </c>
      <c r="AR212">
        <f>IF($AD$212=0,"",INDEX(tk_HI,$AD$212))</f>
        <v/>
      </c>
      <c r="AS212">
        <f>IF($AD$212=0,"",INDEX(tk_FHINGE,$AD$212))</f>
        <v/>
      </c>
      <c r="AT212">
        <f>IF($AD$212=0,"",INDEX(tk_DHINGE,$AD$212))</f>
        <v/>
      </c>
      <c r="AU212">
        <f>IF($AD$212=0,"",INDEX(tk_HWLOC,$AD$212))</f>
        <v/>
      </c>
      <c r="AV212">
        <f>IF($AD$212=0,"",INDEX(tk_MANUF,$AD$212))</f>
        <v/>
      </c>
      <c r="AW212">
        <f>IF($AD$212=0,"",INDEX(tk_JH,$AD$212))</f>
        <v/>
      </c>
      <c r="AX212">
        <f>IF($AD$212=0,"",INDEX(tk_FDESC,$AD$212))</f>
        <v/>
      </c>
      <c r="AY212">
        <f>IF($AD$212=0,"",INDEX(tk_TRANS,$AD$212))</f>
        <v/>
      </c>
      <c r="AZ212">
        <f>IF($AD$212=0,"",INDEX(tk_SLW,$AD$212))</f>
        <v/>
      </c>
      <c r="BA212">
        <f>IF($AD$212=0,"",INDEX(tk_LEAVES,$AD$212))</f>
        <v/>
      </c>
      <c r="BB212">
        <f>IF($AD$212=0,"",INDEX(tk_LEAFW,$AD$212))</f>
        <v/>
      </c>
      <c r="BC212">
        <f>IF($AD$212=0,"",INDEX(tk_LEAFH,$AD$212))</f>
        <v/>
      </c>
      <c r="BD212">
        <f>IF($AD$212=0,"",INDEX(tk_DMAT,$AD$212))</f>
        <v/>
      </c>
      <c r="BE212">
        <f>IF($AD$212=0,"",INDEX(tk_DGA,$AD$212))</f>
        <v/>
      </c>
      <c r="BF212">
        <f>IF($AD$212=0,"",INDEX(tk_SERIES,$AD$212))</f>
        <v/>
      </c>
      <c r="BG212">
        <f>IF($AD$212=0,"",INDEX(tk_LOCK,$AD$212))</f>
        <v/>
      </c>
      <c r="BH212">
        <f>IF($AD$212=0,"",INDEX(tk_LITEKIT,$AD$212))</f>
        <v/>
      </c>
      <c r="BI212">
        <f>IF($AD$212=0,"",INDEX(tk_FACE,$AD$212))</f>
        <v/>
      </c>
      <c r="BJ212">
        <f>IF($AD$212=0,"",INDEX(tk_HLEG,$AD$212))</f>
        <v/>
      </c>
      <c r="BK212">
        <f>IF($AD$212=0,"",INDEX(tk_SOITEM,$AD$212))</f>
        <v/>
      </c>
      <c r="BL212">
        <f>IFERROR(VLOOKUP($AF$212,CODES,2,FALSE),"")</f>
        <v/>
      </c>
      <c r="BM212">
        <f>IF($AJ$212="KD","C","M")</f>
        <v/>
      </c>
      <c r="BN212">
        <f>IF(N($AR$212)&lt;=80,80,IF(N($AR$212)&lt;=84,84,IF(N($AR$212)&lt;=96,96,N($AR$212))))</f>
        <v/>
      </c>
      <c r="BO212">
        <f>INT($BN$212/12)&amp;MOD($BN$212,12)</f>
        <v/>
      </c>
      <c r="BP212">
        <f>INT(N($AQ$212)/12)&amp;MOD(N($AQ$212),12)</f>
        <v/>
      </c>
      <c r="BQ212">
        <f>IF(OR($AU$212="",$AU$212="ANSI/SDI",$AU$212="CUSTOM LOC"),IF($AV$212="CU","CURRIES","STEELCRAFT"),$AU$212)</f>
        <v/>
      </c>
      <c r="BR212">
        <f>$AO$212="Y"</f>
        <v/>
      </c>
      <c r="BS212">
        <f>"~"</f>
        <v/>
      </c>
      <c r="BT212">
        <f>N($AH$212)*N($AI$212)</f>
        <v/>
      </c>
      <c r="BU212">
        <f>IF(OR($AL$212="",$AL$212="-",$AL$212="E8"),"G18",$AL$212)</f>
        <v/>
      </c>
      <c r="BV212">
        <f>IF(OR($AS$212="",$AS$212="-"),"BLK",$AS$212)</f>
        <v/>
      </c>
      <c r="BW212">
        <f>" "&amp;$BM$212&amp;$AP$212&amp;" "</f>
        <v/>
      </c>
      <c r="BX212">
        <f>IF($AD$212=0,"",IF(OR($AG$212="SSA",$AG$212="SC"),$AE$212*$BT$212&amp;"|"&amp;$BL$212&amp;" STEEL STUD ANCHOR 2"&amp;CHAR(34)&amp;"||"&amp;$BS$212,"")&amp;IF($AG$212="WEWA-M",$AE$212*(N($AH$212)+1)*N($AI$212)&amp;"|FR101F 690 "&amp;$BL$212&amp;" MASONRY TUBE ANCHOR 16 GA||"&amp;$BS$212&amp;$AE$212*(N($AH$212)+1)*N($AI$212)&amp;"|3/8X5 SF3850 DYNO BOLTS||"&amp;$BS$212,"")&amp;IF($AG$212="WMA",$AE$212*$BT$212&amp;"|WIRE MASONRY ANCHOR||"&amp;$BS$212,"")&amp;IF($AG$212="T",$AE$212*$BT$212&amp;"|T-STRAP MASONRY ANCHOR||"&amp;$BS$212,"")&amp;IF($AG$212="WEWA-W",$AE$212*$BT$212&amp;"|P/D + WOOD SCREWS||"&amp;$BS$212,"")&amp;IF($AJ$212="WGS",$AE$212&amp;"|WELD &amp; GROUND SMOOTH||"&amp;$BS$212,"")&amp;IF(OR($AK$212="",$AK$212="-"),"",$AE$212*IF($BR$212,4,2)&amp;"|RACL/PACL-CLOSER REINF. 14GAx1-3/4x16 HRPO|"&amp;$AK$212&amp;IF($BR$212," BOTH SIDES","")&amp;"|"&amp;$BS$212)&amp;IF($AL$212="E8",$AE$212&amp;"|E8-STRIKE REINF. RIM EXIT||"&amp;$BS$212,"")&amp;IF(ISNUMBER(SEARCH("E4",$AL$212)),$AE$212&amp;"|FRAME DEADLOCK PREP||"&amp;$BS$212,"")&amp;IF($AL$212="E9",$AE$212&amp;"|ELECTRIC STRIKE PREP||"&amp;$BS$212,"")&amp;IF($AM$212="H5",$AE$212&amp;"|H5 STRIKE PREP IN HEADER||"&amp;$BS$212,IF(OR($AM$212="",$AM$212="-"),"",$AE$212&amp;"|HEADER PREP "&amp;$AM$212&amp;"||"&amp;$BS$212))&amp;IF(N($AN$212)&gt;0,$AE$212&amp;"|"&amp;$AN$212&amp;" MINUTE STEEL FRAME LABEL "&amp;IF(OR(N($AY$212)&gt;0,N($AZ$212)&gt;0),"W/TRANSOM PANEL/SIDELIGHT","CAT. C PP")&amp;"||"&amp;$BS$212,"")&amp;IF($AX$212="BL","",$AE$212&amp;"|HD "&amp;$AF$212&amp;$BW$212&amp;$BP$212&amp;" BSC||"&amp;$BS$212&amp;IF($BR$212,$AE$212&amp;"|HJ "&amp;$AF$212&amp;$BW$212&amp;"LH "&amp;$BO$212&amp;" "&amp;$BV$212&amp;" BSC "&amp;CHAR(34)&amp;$BQ$212&amp;CHAR(34)&amp;"||"&amp;$BS$212&amp;$AE$212&amp;"|HJ "&amp;$AF$212&amp;$BW$212&amp;"RH "&amp;$BO$212&amp;" "&amp;$BV$212&amp;" BSC "&amp;CHAR(34)&amp;$BQ$212&amp;CHAR(34)&amp;"||"&amp;$BS$212,$AE$212&amp;"|HJ "&amp;$AF$212&amp;$BW$212&amp;$AW$212&amp;" "&amp;$BO$212&amp;" "&amp;$BV$212&amp;" BSC "&amp;CHAR(34)&amp;$BQ$212&amp;CHAR(34)&amp;"||"&amp;$BS$212&amp;$AE$212&amp;"|SJ "&amp;$AF$212&amp;$BW$212&amp;$AW$212&amp;" "&amp;$BO$212&amp;" "&amp;$BU$212&amp;IF($BU$212="G18"," BLANK"," Y")&amp;" BSC "&amp;CHAR(34)&amp;$BQ$212&amp;CHAR(34)&amp;"||"&amp;$BS$212))&amp;IF(AND($BN$212&gt;N($AR$212),$AX$212&lt;&gt;"BL",N($AR$212)&gt;=60),$AE$212&amp;"|FRAME CUT DOWN (BOTTOM)|Cut "&amp;TRIM(TEXT($BN$212-N($AR$212),"# ?/??"))&amp;CHAR(34)&amp;" OFF THE BOTTOM|"&amp;$BS$212,""))</f>
        <v/>
      </c>
    </row>
    <row r="213">
      <c r="B213" s="180">
        <f>IF($AD213="","",VALUE(LEFT($AD213,FIND("|",$AD213)-1)))</f>
        <v/>
      </c>
      <c r="C213" s="180">
        <f>IF($AD213="","","    "&amp;MID($AD213,FIND("|",$AD213)+1,FIND("|",$AD213,FIND("|",$AD213)+1)-FIND("|",$AD213)-1))</f>
        <v/>
      </c>
      <c r="D213" s="180">
        <f>IF($AD213="","",MID($AD213,FIND("|",$AD213,FIND("|",$AD213)+1)+1,FIND("|",$AD213&amp;"|",FIND("|",$AD213,FIND("|",$AD213)+1)+1)-FIND("|",$AD213,FIND("|",$AD213)+1)-1))</f>
        <v/>
      </c>
      <c r="AD213">
        <f>TRIM(MID(SUBSTITUTE($BX$212,"~",REPT(" ",600)),1,600))</f>
        <v/>
      </c>
    </row>
    <row r="214">
      <c r="B214" s="180">
        <f>IF($AD214="","",VALUE(LEFT($AD214,FIND("|",$AD214)-1)))</f>
        <v/>
      </c>
      <c r="C214" s="180">
        <f>IF($AD214="","","    "&amp;MID($AD214,FIND("|",$AD214)+1,FIND("|",$AD214,FIND("|",$AD214)+1)-FIND("|",$AD214)-1))</f>
        <v/>
      </c>
      <c r="D214" s="180">
        <f>IF($AD214="","",MID($AD214,FIND("|",$AD214,FIND("|",$AD214)+1)+1,FIND("|",$AD214&amp;"|",FIND("|",$AD214,FIND("|",$AD214)+1)+1)-FIND("|",$AD214,FIND("|",$AD214)+1)-1))</f>
        <v/>
      </c>
      <c r="AD214">
        <f>TRIM(MID(SUBSTITUTE($BX$212,"~",REPT(" ",600)),601,600))</f>
        <v/>
      </c>
    </row>
    <row r="215">
      <c r="B215" s="180">
        <f>IF($AD215="","",VALUE(LEFT($AD215,FIND("|",$AD215)-1)))</f>
        <v/>
      </c>
      <c r="C215" s="180">
        <f>IF($AD215="","","    "&amp;MID($AD215,FIND("|",$AD215)+1,FIND("|",$AD215,FIND("|",$AD215)+1)-FIND("|",$AD215)-1))</f>
        <v/>
      </c>
      <c r="D215" s="180">
        <f>IF($AD215="","",MID($AD215,FIND("|",$AD215,FIND("|",$AD215)+1)+1,FIND("|",$AD215&amp;"|",FIND("|",$AD215,FIND("|",$AD215)+1)+1)-FIND("|",$AD215,FIND("|",$AD215)+1)-1))</f>
        <v/>
      </c>
      <c r="AD215">
        <f>TRIM(MID(SUBSTITUTE($BX$212,"~",REPT(" ",600)),1201,600))</f>
        <v/>
      </c>
    </row>
    <row r="216">
      <c r="B216" s="180">
        <f>IF($AD216="","",VALUE(LEFT($AD216,FIND("|",$AD216)-1)))</f>
        <v/>
      </c>
      <c r="C216" s="180">
        <f>IF($AD216="","","    "&amp;MID($AD216,FIND("|",$AD216)+1,FIND("|",$AD216,FIND("|",$AD216)+1)-FIND("|",$AD216)-1))</f>
        <v/>
      </c>
      <c r="D216" s="180">
        <f>IF($AD216="","",MID($AD216,FIND("|",$AD216,FIND("|",$AD216)+1)+1,FIND("|",$AD216&amp;"|",FIND("|",$AD216,FIND("|",$AD216)+1)+1)-FIND("|",$AD216,FIND("|",$AD216)+1)-1))</f>
        <v/>
      </c>
      <c r="AD216">
        <f>TRIM(MID(SUBSTITUTE($BX$212,"~",REPT(" ",600)),1801,600))</f>
        <v/>
      </c>
    </row>
    <row r="217">
      <c r="B217" s="180">
        <f>IF($AD217="","",VALUE(LEFT($AD217,FIND("|",$AD217)-1)))</f>
        <v/>
      </c>
      <c r="C217" s="180">
        <f>IF($AD217="","","    "&amp;MID($AD217,FIND("|",$AD217)+1,FIND("|",$AD217,FIND("|",$AD217)+1)-FIND("|",$AD217)-1))</f>
        <v/>
      </c>
      <c r="D217" s="180">
        <f>IF($AD217="","",MID($AD217,FIND("|",$AD217,FIND("|",$AD217)+1)+1,FIND("|",$AD217&amp;"|",FIND("|",$AD217,FIND("|",$AD217)+1)+1)-FIND("|",$AD217,FIND("|",$AD217)+1)-1))</f>
        <v/>
      </c>
      <c r="AD217">
        <f>TRIM(MID(SUBSTITUTE($BX$212,"~",REPT(" ",600)),2401,600))</f>
        <v/>
      </c>
    </row>
    <row r="218">
      <c r="B218" s="180">
        <f>IF($AD218="","",VALUE(LEFT($AD218,FIND("|",$AD218)-1)))</f>
        <v/>
      </c>
      <c r="C218" s="180">
        <f>IF($AD218="","","    "&amp;MID($AD218,FIND("|",$AD218)+1,FIND("|",$AD218,FIND("|",$AD218)+1)-FIND("|",$AD218)-1))</f>
        <v/>
      </c>
      <c r="D218" s="180">
        <f>IF($AD218="","",MID($AD218,FIND("|",$AD218,FIND("|",$AD218)+1)+1,FIND("|",$AD218&amp;"|",FIND("|",$AD218,FIND("|",$AD218)+1)+1)-FIND("|",$AD218,FIND("|",$AD218)+1)-1))</f>
        <v/>
      </c>
      <c r="AD218">
        <f>TRIM(MID(SUBSTITUTE($BX$212,"~",REPT(" ",600)),3001,600))</f>
        <v/>
      </c>
    </row>
    <row r="219">
      <c r="B219" s="180">
        <f>IF($AD219="","",VALUE(LEFT($AD219,FIND("|",$AD219)-1)))</f>
        <v/>
      </c>
      <c r="C219" s="180">
        <f>IF($AD219="","","    "&amp;MID($AD219,FIND("|",$AD219)+1,FIND("|",$AD219,FIND("|",$AD219)+1)-FIND("|",$AD219)-1))</f>
        <v/>
      </c>
      <c r="D219" s="180">
        <f>IF($AD219="","",MID($AD219,FIND("|",$AD219,FIND("|",$AD219)+1)+1,FIND("|",$AD219&amp;"|",FIND("|",$AD219,FIND("|",$AD219)+1)+1)-FIND("|",$AD219,FIND("|",$AD219)+1)-1))</f>
        <v/>
      </c>
      <c r="AD219">
        <f>TRIM(MID(SUBSTITUTE($BX$212,"~",REPT(" ",600)),3601,600))</f>
        <v/>
      </c>
    </row>
    <row r="220">
      <c r="B220" s="180">
        <f>IF($AD220="","",VALUE(LEFT($AD220,FIND("|",$AD220)-1)))</f>
        <v/>
      </c>
      <c r="C220" s="180">
        <f>IF($AD220="","","    "&amp;MID($AD220,FIND("|",$AD220)+1,FIND("|",$AD220,FIND("|",$AD220)+1)-FIND("|",$AD220)-1))</f>
        <v/>
      </c>
      <c r="D220" s="180">
        <f>IF($AD220="","",MID($AD220,FIND("|",$AD220,FIND("|",$AD220)+1)+1,FIND("|",$AD220&amp;"|",FIND("|",$AD220,FIND("|",$AD220)+1)+1)-FIND("|",$AD220,FIND("|",$AD220)+1)-1))</f>
        <v/>
      </c>
      <c r="AD220">
        <f>TRIM(MID(SUBSTITUTE($BX$212,"~",REPT(" ",600)),4201,600))</f>
        <v/>
      </c>
    </row>
    <row r="221">
      <c r="B221" s="180">
        <f>IF($AD221="","",VALUE(LEFT($AD221,FIND("|",$AD221)-1)))</f>
        <v/>
      </c>
      <c r="C221" s="180">
        <f>IF($AD221="","","    "&amp;MID($AD221,FIND("|",$AD221)+1,FIND("|",$AD221,FIND("|",$AD221)+1)-FIND("|",$AD221)-1))</f>
        <v/>
      </c>
      <c r="D221" s="180">
        <f>IF($AD221="","",MID($AD221,FIND("|",$AD221,FIND("|",$AD221)+1)+1,FIND("|",$AD221&amp;"|",FIND("|",$AD221,FIND("|",$AD221)+1)+1)-FIND("|",$AD221,FIND("|",$AD221)+1)-1))</f>
        <v/>
      </c>
      <c r="AD221">
        <f>TRIM(MID(SUBSTITUTE($BX$212,"~",REPT(" ",600)),4801,600))</f>
        <v/>
      </c>
    </row>
    <row r="222">
      <c r="B222" s="180">
        <f>IF($AD222="","",VALUE(LEFT($AD222,FIND("|",$AD222)-1)))</f>
        <v/>
      </c>
      <c r="C222" s="180">
        <f>IF($AD222="","","    "&amp;MID($AD222,FIND("|",$AD222)+1,FIND("|",$AD222,FIND("|",$AD222)+1)-FIND("|",$AD222)-1))</f>
        <v/>
      </c>
      <c r="D222" s="180">
        <f>IF($AD222="","",MID($AD222,FIND("|",$AD222,FIND("|",$AD222)+1)+1,FIND("|",$AD222&amp;"|",FIND("|",$AD222,FIND("|",$AD222)+1)+1)-FIND("|",$AD222,FIND("|",$AD222)+1)-1))</f>
        <v/>
      </c>
      <c r="AD222">
        <f>TRIM(MID(SUBSTITUTE($BX$212,"~",REPT(" ",600)),5401,600))</f>
        <v/>
      </c>
    </row>
    <row r="223">
      <c r="B223" s="180">
        <f>IF($AD223="","",VALUE(LEFT($AD223,FIND("|",$AD223)-1)))</f>
        <v/>
      </c>
      <c r="C223" s="180">
        <f>IF($AD223="","","    "&amp;MID($AD223,FIND("|",$AD223)+1,FIND("|",$AD223,FIND("|",$AD223)+1)-FIND("|",$AD223)-1))</f>
        <v/>
      </c>
      <c r="D223" s="180">
        <f>IF($AD223="","",MID($AD223,FIND("|",$AD223,FIND("|",$AD223)+1)+1,FIND("|",$AD223&amp;"|",FIND("|",$AD223,FIND("|",$AD223)+1)+1)-FIND("|",$AD223,FIND("|",$AD223)+1)-1))</f>
        <v/>
      </c>
      <c r="AD223">
        <f>TRIM(MID(SUBSTITUTE($BX$212,"~",REPT(" ",600)),6001,600))</f>
        <v/>
      </c>
    </row>
    <row r="224">
      <c r="A224" s="178">
        <f>IF($AD$224=0,"",$BK$224)</f>
        <v/>
      </c>
      <c r="B224" s="178">
        <f>IF($AD$224=0,"",$AE$224)</f>
        <v/>
      </c>
      <c r="C224" s="178">
        <f>IF($AD$224=0,"",$AE$224&amp;") "&amp;IF(COUNTIFS(tk_SOFG,19,tk_HLEG,"&lt;&gt;"&amp;$BJ$224)=0,INDEX(tk_FLINE,$AD$224),INDEX(tk_FLINEN,$AD$224))&amp;IF($AJ$224="KD"," ( R.O. "&amp;TRIM(TEXT(N($AQ$224)+2.25,"# ?/??"))&amp;CHAR(34)&amp;" x "&amp;TRIM(TEXT(N($AR$224)+1,"# ?/??"))&amp;CHAR(34)&amp;" )",""))</f>
        <v/>
      </c>
      <c r="D224" s="178" t="n"/>
      <c r="E224" s="179">
        <f t="array" ref="E224">IF($AD$224=0,"",_xlfn.TEXTJOIN(", ",TRUE,IF(tk_SOFG=19,"#"&amp;tk_MARK&amp;IF(tk_HLEG="","","("&amp;tk_HLEG&amp;")")&amp;IF(tk_QTY&gt;1," ×"&amp;tk_QTY,""),"")))</f>
        <v/>
      </c>
      <c r="AD224">
        <f>IFERROR(MATCH(19,tk_SOFG,0),0)</f>
        <v/>
      </c>
      <c r="AE224">
        <f>IF($AD$224=0,0,SUMIF(tk_SOFG,19,tk_QTY))</f>
        <v/>
      </c>
      <c r="AF224">
        <f>IF($AD$224=0,"",INDEX(tk_JAMB,$AD$224))</f>
        <v/>
      </c>
      <c r="AG224">
        <f>IF($AD$224=0,"",INDEX(tk_ANCHOR,$AD$224))</f>
        <v/>
      </c>
      <c r="AH224">
        <f>IF($AD$224=0,"",INDEX(tk_ANCH,$AD$224))</f>
        <v/>
      </c>
      <c r="AI224">
        <f>IF($AD$224=0,"",INDEX(tk_BASEA,$AD$224))</f>
        <v/>
      </c>
      <c r="AJ224">
        <f>IF($AD$224=0,"",INDEX(tk_CONSTR,$AD$224))</f>
        <v/>
      </c>
      <c r="AK224">
        <f>IF($AD$224=0,"",INDEX(tk_CLOSER,$AD$224))</f>
        <v/>
      </c>
      <c r="AL224">
        <f>IF($AD$224=0,"",INDEX(tk_STRIKE,$AD$224))</f>
        <v/>
      </c>
      <c r="AM224">
        <f>IF($AD$224=0,"",INDEX(tk_HDRPREP,$AD$224))</f>
        <v/>
      </c>
      <c r="AN224">
        <f>IF($AD$224=0,"",INDEX(tk_DMIN,$AD$224))</f>
        <v/>
      </c>
      <c r="AO224">
        <f>IF($AD$224=0,"",INDEX(tk_PAIR,$AD$224))</f>
        <v/>
      </c>
      <c r="AP224">
        <f>IF($AD$224=0,"",INDEX(tk_FGA,$AD$224))</f>
        <v/>
      </c>
      <c r="AQ224">
        <f>IF($AD$224=0,"",INDEX(tk_WI,$AD$224))</f>
        <v/>
      </c>
      <c r="AR224">
        <f>IF($AD$224=0,"",INDEX(tk_HI,$AD$224))</f>
        <v/>
      </c>
      <c r="AS224">
        <f>IF($AD$224=0,"",INDEX(tk_FHINGE,$AD$224))</f>
        <v/>
      </c>
      <c r="AT224">
        <f>IF($AD$224=0,"",INDEX(tk_DHINGE,$AD$224))</f>
        <v/>
      </c>
      <c r="AU224">
        <f>IF($AD$224=0,"",INDEX(tk_HWLOC,$AD$224))</f>
        <v/>
      </c>
      <c r="AV224">
        <f>IF($AD$224=0,"",INDEX(tk_MANUF,$AD$224))</f>
        <v/>
      </c>
      <c r="AW224">
        <f>IF($AD$224=0,"",INDEX(tk_JH,$AD$224))</f>
        <v/>
      </c>
      <c r="AX224">
        <f>IF($AD$224=0,"",INDEX(tk_FDESC,$AD$224))</f>
        <v/>
      </c>
      <c r="AY224">
        <f>IF($AD$224=0,"",INDEX(tk_TRANS,$AD$224))</f>
        <v/>
      </c>
      <c r="AZ224">
        <f>IF($AD$224=0,"",INDEX(tk_SLW,$AD$224))</f>
        <v/>
      </c>
      <c r="BA224">
        <f>IF($AD$224=0,"",INDEX(tk_LEAVES,$AD$224))</f>
        <v/>
      </c>
      <c r="BB224">
        <f>IF($AD$224=0,"",INDEX(tk_LEAFW,$AD$224))</f>
        <v/>
      </c>
      <c r="BC224">
        <f>IF($AD$224=0,"",INDEX(tk_LEAFH,$AD$224))</f>
        <v/>
      </c>
      <c r="BD224">
        <f>IF($AD$224=0,"",INDEX(tk_DMAT,$AD$224))</f>
        <v/>
      </c>
      <c r="BE224">
        <f>IF($AD$224=0,"",INDEX(tk_DGA,$AD$224))</f>
        <v/>
      </c>
      <c r="BF224">
        <f>IF($AD$224=0,"",INDEX(tk_SERIES,$AD$224))</f>
        <v/>
      </c>
      <c r="BG224">
        <f>IF($AD$224=0,"",INDEX(tk_LOCK,$AD$224))</f>
        <v/>
      </c>
      <c r="BH224">
        <f>IF($AD$224=0,"",INDEX(tk_LITEKIT,$AD$224))</f>
        <v/>
      </c>
      <c r="BI224">
        <f>IF($AD$224=0,"",INDEX(tk_FACE,$AD$224))</f>
        <v/>
      </c>
      <c r="BJ224">
        <f>IF($AD$224=0,"",INDEX(tk_HLEG,$AD$224))</f>
        <v/>
      </c>
      <c r="BK224">
        <f>IF($AD$224=0,"",INDEX(tk_SOITEM,$AD$224))</f>
        <v/>
      </c>
      <c r="BL224">
        <f>IFERROR(VLOOKUP($AF$224,CODES,2,FALSE),"")</f>
        <v/>
      </c>
      <c r="BM224">
        <f>IF($AJ$224="KD","C","M")</f>
        <v/>
      </c>
      <c r="BN224">
        <f>IF(N($AR$224)&lt;=80,80,IF(N($AR$224)&lt;=84,84,IF(N($AR$224)&lt;=96,96,N($AR$224))))</f>
        <v/>
      </c>
      <c r="BO224">
        <f>INT($BN$224/12)&amp;MOD($BN$224,12)</f>
        <v/>
      </c>
      <c r="BP224">
        <f>INT(N($AQ$224)/12)&amp;MOD(N($AQ$224),12)</f>
        <v/>
      </c>
      <c r="BQ224">
        <f>IF(OR($AU$224="",$AU$224="ANSI/SDI",$AU$224="CUSTOM LOC"),IF($AV$224="CU","CURRIES","STEELCRAFT"),$AU$224)</f>
        <v/>
      </c>
      <c r="BR224">
        <f>$AO$224="Y"</f>
        <v/>
      </c>
      <c r="BS224">
        <f>"~"</f>
        <v/>
      </c>
      <c r="BT224">
        <f>N($AH$224)*N($AI$224)</f>
        <v/>
      </c>
      <c r="BU224">
        <f>IF(OR($AL$224="",$AL$224="-",$AL$224="E8"),"G18",$AL$224)</f>
        <v/>
      </c>
      <c r="BV224">
        <f>IF(OR($AS$224="",$AS$224="-"),"BLK",$AS$224)</f>
        <v/>
      </c>
      <c r="BW224">
        <f>" "&amp;$BM$224&amp;$AP$224&amp;" "</f>
        <v/>
      </c>
      <c r="BX224">
        <f>IF($AD$224=0,"",IF(OR($AG$224="SSA",$AG$224="SC"),$AE$224*$BT$224&amp;"|"&amp;$BL$224&amp;" STEEL STUD ANCHOR 2"&amp;CHAR(34)&amp;"||"&amp;$BS$224,"")&amp;IF($AG$224="WEWA-M",$AE$224*(N($AH$224)+1)*N($AI$224)&amp;"|FR101F 690 "&amp;$BL$224&amp;" MASONRY TUBE ANCHOR 16 GA||"&amp;$BS$224&amp;$AE$224*(N($AH$224)+1)*N($AI$224)&amp;"|3/8X5 SF3850 DYNO BOLTS||"&amp;$BS$224,"")&amp;IF($AG$224="WMA",$AE$224*$BT$224&amp;"|WIRE MASONRY ANCHOR||"&amp;$BS$224,"")&amp;IF($AG$224="T",$AE$224*$BT$224&amp;"|T-STRAP MASONRY ANCHOR||"&amp;$BS$224,"")&amp;IF($AG$224="WEWA-W",$AE$224*$BT$224&amp;"|P/D + WOOD SCREWS||"&amp;$BS$224,"")&amp;IF($AJ$224="WGS",$AE$224&amp;"|WELD &amp; GROUND SMOOTH||"&amp;$BS$224,"")&amp;IF(OR($AK$224="",$AK$224="-"),"",$AE$224*IF($BR$224,4,2)&amp;"|RACL/PACL-CLOSER REINF. 14GAx1-3/4x16 HRPO|"&amp;$AK$224&amp;IF($BR$224," BOTH SIDES","")&amp;"|"&amp;$BS$224)&amp;IF($AL$224="E8",$AE$224&amp;"|E8-STRIKE REINF. RIM EXIT||"&amp;$BS$224,"")&amp;IF(ISNUMBER(SEARCH("E4",$AL$224)),$AE$224&amp;"|FRAME DEADLOCK PREP||"&amp;$BS$224,"")&amp;IF($AL$224="E9",$AE$224&amp;"|ELECTRIC STRIKE PREP||"&amp;$BS$224,"")&amp;IF($AM$224="H5",$AE$224&amp;"|H5 STRIKE PREP IN HEADER||"&amp;$BS$224,IF(OR($AM$224="",$AM$224="-"),"",$AE$224&amp;"|HEADER PREP "&amp;$AM$224&amp;"||"&amp;$BS$224))&amp;IF(N($AN$224)&gt;0,$AE$224&amp;"|"&amp;$AN$224&amp;" MINUTE STEEL FRAME LABEL "&amp;IF(OR(N($AY$224)&gt;0,N($AZ$224)&gt;0),"W/TRANSOM PANEL/SIDELIGHT","CAT. C PP")&amp;"||"&amp;$BS$224,"")&amp;IF($AX$224="BL","",$AE$224&amp;"|HD "&amp;$AF$224&amp;$BW$224&amp;$BP$224&amp;" BSC||"&amp;$BS$224&amp;IF($BR$224,$AE$224&amp;"|HJ "&amp;$AF$224&amp;$BW$224&amp;"LH "&amp;$BO$224&amp;" "&amp;$BV$224&amp;" BSC "&amp;CHAR(34)&amp;$BQ$224&amp;CHAR(34)&amp;"||"&amp;$BS$224&amp;$AE$224&amp;"|HJ "&amp;$AF$224&amp;$BW$224&amp;"RH "&amp;$BO$224&amp;" "&amp;$BV$224&amp;" BSC "&amp;CHAR(34)&amp;$BQ$224&amp;CHAR(34)&amp;"||"&amp;$BS$224,$AE$224&amp;"|HJ "&amp;$AF$224&amp;$BW$224&amp;$AW$224&amp;" "&amp;$BO$224&amp;" "&amp;$BV$224&amp;" BSC "&amp;CHAR(34)&amp;$BQ$224&amp;CHAR(34)&amp;"||"&amp;$BS$224&amp;$AE$224&amp;"|SJ "&amp;$AF$224&amp;$BW$224&amp;$AW$224&amp;" "&amp;$BO$224&amp;" "&amp;$BU$224&amp;IF($BU$224="G18"," BLANK"," Y")&amp;" BSC "&amp;CHAR(34)&amp;$BQ$224&amp;CHAR(34)&amp;"||"&amp;$BS$224))&amp;IF(AND($BN$224&gt;N($AR$224),$AX$224&lt;&gt;"BL",N($AR$224)&gt;=60),$AE$224&amp;"|FRAME CUT DOWN (BOTTOM)|Cut "&amp;TRIM(TEXT($BN$224-N($AR$224),"# ?/??"))&amp;CHAR(34)&amp;" OFF THE BOTTOM|"&amp;$BS$224,""))</f>
        <v/>
      </c>
    </row>
    <row r="225">
      <c r="B225" s="180">
        <f>IF($AD225="","",VALUE(LEFT($AD225,FIND("|",$AD225)-1)))</f>
        <v/>
      </c>
      <c r="C225" s="180">
        <f>IF($AD225="","","    "&amp;MID($AD225,FIND("|",$AD225)+1,FIND("|",$AD225,FIND("|",$AD225)+1)-FIND("|",$AD225)-1))</f>
        <v/>
      </c>
      <c r="D225" s="180">
        <f>IF($AD225="","",MID($AD225,FIND("|",$AD225,FIND("|",$AD225)+1)+1,FIND("|",$AD225&amp;"|",FIND("|",$AD225,FIND("|",$AD225)+1)+1)-FIND("|",$AD225,FIND("|",$AD225)+1)-1))</f>
        <v/>
      </c>
      <c r="AD225">
        <f>TRIM(MID(SUBSTITUTE($BX$224,"~",REPT(" ",600)),1,600))</f>
        <v/>
      </c>
    </row>
    <row r="226">
      <c r="B226" s="180">
        <f>IF($AD226="","",VALUE(LEFT($AD226,FIND("|",$AD226)-1)))</f>
        <v/>
      </c>
      <c r="C226" s="180">
        <f>IF($AD226="","","    "&amp;MID($AD226,FIND("|",$AD226)+1,FIND("|",$AD226,FIND("|",$AD226)+1)-FIND("|",$AD226)-1))</f>
        <v/>
      </c>
      <c r="D226" s="180">
        <f>IF($AD226="","",MID($AD226,FIND("|",$AD226,FIND("|",$AD226)+1)+1,FIND("|",$AD226&amp;"|",FIND("|",$AD226,FIND("|",$AD226)+1)+1)-FIND("|",$AD226,FIND("|",$AD226)+1)-1))</f>
        <v/>
      </c>
      <c r="AD226">
        <f>TRIM(MID(SUBSTITUTE($BX$224,"~",REPT(" ",600)),601,600))</f>
        <v/>
      </c>
    </row>
    <row r="227">
      <c r="B227" s="180">
        <f>IF($AD227="","",VALUE(LEFT($AD227,FIND("|",$AD227)-1)))</f>
        <v/>
      </c>
      <c r="C227" s="180">
        <f>IF($AD227="","","    "&amp;MID($AD227,FIND("|",$AD227)+1,FIND("|",$AD227,FIND("|",$AD227)+1)-FIND("|",$AD227)-1))</f>
        <v/>
      </c>
      <c r="D227" s="180">
        <f>IF($AD227="","",MID($AD227,FIND("|",$AD227,FIND("|",$AD227)+1)+1,FIND("|",$AD227&amp;"|",FIND("|",$AD227,FIND("|",$AD227)+1)+1)-FIND("|",$AD227,FIND("|",$AD227)+1)-1))</f>
        <v/>
      </c>
      <c r="AD227">
        <f>TRIM(MID(SUBSTITUTE($BX$224,"~",REPT(" ",600)),1201,600))</f>
        <v/>
      </c>
    </row>
    <row r="228">
      <c r="B228" s="180">
        <f>IF($AD228="","",VALUE(LEFT($AD228,FIND("|",$AD228)-1)))</f>
        <v/>
      </c>
      <c r="C228" s="180">
        <f>IF($AD228="","","    "&amp;MID($AD228,FIND("|",$AD228)+1,FIND("|",$AD228,FIND("|",$AD228)+1)-FIND("|",$AD228)-1))</f>
        <v/>
      </c>
      <c r="D228" s="180">
        <f>IF($AD228="","",MID($AD228,FIND("|",$AD228,FIND("|",$AD228)+1)+1,FIND("|",$AD228&amp;"|",FIND("|",$AD228,FIND("|",$AD228)+1)+1)-FIND("|",$AD228,FIND("|",$AD228)+1)-1))</f>
        <v/>
      </c>
      <c r="AD228">
        <f>TRIM(MID(SUBSTITUTE($BX$224,"~",REPT(" ",600)),1801,600))</f>
        <v/>
      </c>
    </row>
    <row r="229">
      <c r="B229" s="180">
        <f>IF($AD229="","",VALUE(LEFT($AD229,FIND("|",$AD229)-1)))</f>
        <v/>
      </c>
      <c r="C229" s="180">
        <f>IF($AD229="","","    "&amp;MID($AD229,FIND("|",$AD229)+1,FIND("|",$AD229,FIND("|",$AD229)+1)-FIND("|",$AD229)-1))</f>
        <v/>
      </c>
      <c r="D229" s="180">
        <f>IF($AD229="","",MID($AD229,FIND("|",$AD229,FIND("|",$AD229)+1)+1,FIND("|",$AD229&amp;"|",FIND("|",$AD229,FIND("|",$AD229)+1)+1)-FIND("|",$AD229,FIND("|",$AD229)+1)-1))</f>
        <v/>
      </c>
      <c r="AD229">
        <f>TRIM(MID(SUBSTITUTE($BX$224,"~",REPT(" ",600)),2401,600))</f>
        <v/>
      </c>
    </row>
    <row r="230">
      <c r="B230" s="180">
        <f>IF($AD230="","",VALUE(LEFT($AD230,FIND("|",$AD230)-1)))</f>
        <v/>
      </c>
      <c r="C230" s="180">
        <f>IF($AD230="","","    "&amp;MID($AD230,FIND("|",$AD230)+1,FIND("|",$AD230,FIND("|",$AD230)+1)-FIND("|",$AD230)-1))</f>
        <v/>
      </c>
      <c r="D230" s="180">
        <f>IF($AD230="","",MID($AD230,FIND("|",$AD230,FIND("|",$AD230)+1)+1,FIND("|",$AD230&amp;"|",FIND("|",$AD230,FIND("|",$AD230)+1)+1)-FIND("|",$AD230,FIND("|",$AD230)+1)-1))</f>
        <v/>
      </c>
      <c r="AD230">
        <f>TRIM(MID(SUBSTITUTE($BX$224,"~",REPT(" ",600)),3001,600))</f>
        <v/>
      </c>
    </row>
    <row r="231">
      <c r="B231" s="180">
        <f>IF($AD231="","",VALUE(LEFT($AD231,FIND("|",$AD231)-1)))</f>
        <v/>
      </c>
      <c r="C231" s="180">
        <f>IF($AD231="","","    "&amp;MID($AD231,FIND("|",$AD231)+1,FIND("|",$AD231,FIND("|",$AD231)+1)-FIND("|",$AD231)-1))</f>
        <v/>
      </c>
      <c r="D231" s="180">
        <f>IF($AD231="","",MID($AD231,FIND("|",$AD231,FIND("|",$AD231)+1)+1,FIND("|",$AD231&amp;"|",FIND("|",$AD231,FIND("|",$AD231)+1)+1)-FIND("|",$AD231,FIND("|",$AD231)+1)-1))</f>
        <v/>
      </c>
      <c r="AD231">
        <f>TRIM(MID(SUBSTITUTE($BX$224,"~",REPT(" ",600)),3601,600))</f>
        <v/>
      </c>
    </row>
    <row r="232">
      <c r="B232" s="180">
        <f>IF($AD232="","",VALUE(LEFT($AD232,FIND("|",$AD232)-1)))</f>
        <v/>
      </c>
      <c r="C232" s="180">
        <f>IF($AD232="","","    "&amp;MID($AD232,FIND("|",$AD232)+1,FIND("|",$AD232,FIND("|",$AD232)+1)-FIND("|",$AD232)-1))</f>
        <v/>
      </c>
      <c r="D232" s="180">
        <f>IF($AD232="","",MID($AD232,FIND("|",$AD232,FIND("|",$AD232)+1)+1,FIND("|",$AD232&amp;"|",FIND("|",$AD232,FIND("|",$AD232)+1)+1)-FIND("|",$AD232,FIND("|",$AD232)+1)-1))</f>
        <v/>
      </c>
      <c r="AD232">
        <f>TRIM(MID(SUBSTITUTE($BX$224,"~",REPT(" ",600)),4201,600))</f>
        <v/>
      </c>
    </row>
    <row r="233">
      <c r="B233" s="180">
        <f>IF($AD233="","",VALUE(LEFT($AD233,FIND("|",$AD233)-1)))</f>
        <v/>
      </c>
      <c r="C233" s="180">
        <f>IF($AD233="","","    "&amp;MID($AD233,FIND("|",$AD233)+1,FIND("|",$AD233,FIND("|",$AD233)+1)-FIND("|",$AD233)-1))</f>
        <v/>
      </c>
      <c r="D233" s="180">
        <f>IF($AD233="","",MID($AD233,FIND("|",$AD233,FIND("|",$AD233)+1)+1,FIND("|",$AD233&amp;"|",FIND("|",$AD233,FIND("|",$AD233)+1)+1)-FIND("|",$AD233,FIND("|",$AD233)+1)-1))</f>
        <v/>
      </c>
      <c r="AD233">
        <f>TRIM(MID(SUBSTITUTE($BX$224,"~",REPT(" ",600)),4801,600))</f>
        <v/>
      </c>
    </row>
    <row r="234">
      <c r="B234" s="180">
        <f>IF($AD234="","",VALUE(LEFT($AD234,FIND("|",$AD234)-1)))</f>
        <v/>
      </c>
      <c r="C234" s="180">
        <f>IF($AD234="","","    "&amp;MID($AD234,FIND("|",$AD234)+1,FIND("|",$AD234,FIND("|",$AD234)+1)-FIND("|",$AD234)-1))</f>
        <v/>
      </c>
      <c r="D234" s="180">
        <f>IF($AD234="","",MID($AD234,FIND("|",$AD234,FIND("|",$AD234)+1)+1,FIND("|",$AD234&amp;"|",FIND("|",$AD234,FIND("|",$AD234)+1)+1)-FIND("|",$AD234,FIND("|",$AD234)+1)-1))</f>
        <v/>
      </c>
      <c r="AD234">
        <f>TRIM(MID(SUBSTITUTE($BX$224,"~",REPT(" ",600)),5401,600))</f>
        <v/>
      </c>
    </row>
    <row r="235">
      <c r="B235" s="180">
        <f>IF($AD235="","",VALUE(LEFT($AD235,FIND("|",$AD235)-1)))</f>
        <v/>
      </c>
      <c r="C235" s="180">
        <f>IF($AD235="","","    "&amp;MID($AD235,FIND("|",$AD235)+1,FIND("|",$AD235,FIND("|",$AD235)+1)-FIND("|",$AD235)-1))</f>
        <v/>
      </c>
      <c r="D235" s="180">
        <f>IF($AD235="","",MID($AD235,FIND("|",$AD235,FIND("|",$AD235)+1)+1,FIND("|",$AD235&amp;"|",FIND("|",$AD235,FIND("|",$AD235)+1)+1)-FIND("|",$AD235,FIND("|",$AD235)+1)-1))</f>
        <v/>
      </c>
      <c r="AD235">
        <f>TRIM(MID(SUBSTITUTE($BX$224,"~",REPT(" ",600)),6001,600))</f>
        <v/>
      </c>
    </row>
    <row r="236">
      <c r="A236" s="178">
        <f>IF($AD$236=0,"",$BK$236)</f>
        <v/>
      </c>
      <c r="B236" s="178">
        <f>IF($AD$236=0,"",$AE$236)</f>
        <v/>
      </c>
      <c r="C236" s="178">
        <f>IF($AD$236=0,"",$AE$236&amp;") "&amp;IF(COUNTIFS(tk_SOFG,20,tk_HLEG,"&lt;&gt;"&amp;$BJ$236)=0,INDEX(tk_FLINE,$AD$236),INDEX(tk_FLINEN,$AD$236))&amp;IF($AJ$236="KD"," ( R.O. "&amp;TRIM(TEXT(N($AQ$236)+2.25,"# ?/??"))&amp;CHAR(34)&amp;" x "&amp;TRIM(TEXT(N($AR$236)+1,"# ?/??"))&amp;CHAR(34)&amp;" )",""))</f>
        <v/>
      </c>
      <c r="D236" s="178" t="n"/>
      <c r="E236" s="179">
        <f t="array" ref="E236">IF($AD$236=0,"",_xlfn.TEXTJOIN(", ",TRUE,IF(tk_SOFG=20,"#"&amp;tk_MARK&amp;IF(tk_HLEG="","","("&amp;tk_HLEG&amp;")")&amp;IF(tk_QTY&gt;1," ×"&amp;tk_QTY,""),"")))</f>
        <v/>
      </c>
      <c r="AD236">
        <f>IFERROR(MATCH(20,tk_SOFG,0),0)</f>
        <v/>
      </c>
      <c r="AE236">
        <f>IF($AD$236=0,0,SUMIF(tk_SOFG,20,tk_QTY))</f>
        <v/>
      </c>
      <c r="AF236">
        <f>IF($AD$236=0,"",INDEX(tk_JAMB,$AD$236))</f>
        <v/>
      </c>
      <c r="AG236">
        <f>IF($AD$236=0,"",INDEX(tk_ANCHOR,$AD$236))</f>
        <v/>
      </c>
      <c r="AH236">
        <f>IF($AD$236=0,"",INDEX(tk_ANCH,$AD$236))</f>
        <v/>
      </c>
      <c r="AI236">
        <f>IF($AD$236=0,"",INDEX(tk_BASEA,$AD$236))</f>
        <v/>
      </c>
      <c r="AJ236">
        <f>IF($AD$236=0,"",INDEX(tk_CONSTR,$AD$236))</f>
        <v/>
      </c>
      <c r="AK236">
        <f>IF($AD$236=0,"",INDEX(tk_CLOSER,$AD$236))</f>
        <v/>
      </c>
      <c r="AL236">
        <f>IF($AD$236=0,"",INDEX(tk_STRIKE,$AD$236))</f>
        <v/>
      </c>
      <c r="AM236">
        <f>IF($AD$236=0,"",INDEX(tk_HDRPREP,$AD$236))</f>
        <v/>
      </c>
      <c r="AN236">
        <f>IF($AD$236=0,"",INDEX(tk_DMIN,$AD$236))</f>
        <v/>
      </c>
      <c r="AO236">
        <f>IF($AD$236=0,"",INDEX(tk_PAIR,$AD$236))</f>
        <v/>
      </c>
      <c r="AP236">
        <f>IF($AD$236=0,"",INDEX(tk_FGA,$AD$236))</f>
        <v/>
      </c>
      <c r="AQ236">
        <f>IF($AD$236=0,"",INDEX(tk_WI,$AD$236))</f>
        <v/>
      </c>
      <c r="AR236">
        <f>IF($AD$236=0,"",INDEX(tk_HI,$AD$236))</f>
        <v/>
      </c>
      <c r="AS236">
        <f>IF($AD$236=0,"",INDEX(tk_FHINGE,$AD$236))</f>
        <v/>
      </c>
      <c r="AT236">
        <f>IF($AD$236=0,"",INDEX(tk_DHINGE,$AD$236))</f>
        <v/>
      </c>
      <c r="AU236">
        <f>IF($AD$236=0,"",INDEX(tk_HWLOC,$AD$236))</f>
        <v/>
      </c>
      <c r="AV236">
        <f>IF($AD$236=0,"",INDEX(tk_MANUF,$AD$236))</f>
        <v/>
      </c>
      <c r="AW236">
        <f>IF($AD$236=0,"",INDEX(tk_JH,$AD$236))</f>
        <v/>
      </c>
      <c r="AX236">
        <f>IF($AD$236=0,"",INDEX(tk_FDESC,$AD$236))</f>
        <v/>
      </c>
      <c r="AY236">
        <f>IF($AD$236=0,"",INDEX(tk_TRANS,$AD$236))</f>
        <v/>
      </c>
      <c r="AZ236">
        <f>IF($AD$236=0,"",INDEX(tk_SLW,$AD$236))</f>
        <v/>
      </c>
      <c r="BA236">
        <f>IF($AD$236=0,"",INDEX(tk_LEAVES,$AD$236))</f>
        <v/>
      </c>
      <c r="BB236">
        <f>IF($AD$236=0,"",INDEX(tk_LEAFW,$AD$236))</f>
        <v/>
      </c>
      <c r="BC236">
        <f>IF($AD$236=0,"",INDEX(tk_LEAFH,$AD$236))</f>
        <v/>
      </c>
      <c r="BD236">
        <f>IF($AD$236=0,"",INDEX(tk_DMAT,$AD$236))</f>
        <v/>
      </c>
      <c r="BE236">
        <f>IF($AD$236=0,"",INDEX(tk_DGA,$AD$236))</f>
        <v/>
      </c>
      <c r="BF236">
        <f>IF($AD$236=0,"",INDEX(tk_SERIES,$AD$236))</f>
        <v/>
      </c>
      <c r="BG236">
        <f>IF($AD$236=0,"",INDEX(tk_LOCK,$AD$236))</f>
        <v/>
      </c>
      <c r="BH236">
        <f>IF($AD$236=0,"",INDEX(tk_LITEKIT,$AD$236))</f>
        <v/>
      </c>
      <c r="BI236">
        <f>IF($AD$236=0,"",INDEX(tk_FACE,$AD$236))</f>
        <v/>
      </c>
      <c r="BJ236">
        <f>IF($AD$236=0,"",INDEX(tk_HLEG,$AD$236))</f>
        <v/>
      </c>
      <c r="BK236">
        <f>IF($AD$236=0,"",INDEX(tk_SOITEM,$AD$236))</f>
        <v/>
      </c>
      <c r="BL236">
        <f>IFERROR(VLOOKUP($AF$236,CODES,2,FALSE),"")</f>
        <v/>
      </c>
      <c r="BM236">
        <f>IF($AJ$236="KD","C","M")</f>
        <v/>
      </c>
      <c r="BN236">
        <f>IF(N($AR$236)&lt;=80,80,IF(N($AR$236)&lt;=84,84,IF(N($AR$236)&lt;=96,96,N($AR$236))))</f>
        <v/>
      </c>
      <c r="BO236">
        <f>INT($BN$236/12)&amp;MOD($BN$236,12)</f>
        <v/>
      </c>
      <c r="BP236">
        <f>INT(N($AQ$236)/12)&amp;MOD(N($AQ$236),12)</f>
        <v/>
      </c>
      <c r="BQ236">
        <f>IF(OR($AU$236="",$AU$236="ANSI/SDI",$AU$236="CUSTOM LOC"),IF($AV$236="CU","CURRIES","STEELCRAFT"),$AU$236)</f>
        <v/>
      </c>
      <c r="BR236">
        <f>$AO$236="Y"</f>
        <v/>
      </c>
      <c r="BS236">
        <f>"~"</f>
        <v/>
      </c>
      <c r="BT236">
        <f>N($AH$236)*N($AI$236)</f>
        <v/>
      </c>
      <c r="BU236">
        <f>IF(OR($AL$236="",$AL$236="-",$AL$236="E8"),"G18",$AL$236)</f>
        <v/>
      </c>
      <c r="BV236">
        <f>IF(OR($AS$236="",$AS$236="-"),"BLK",$AS$236)</f>
        <v/>
      </c>
      <c r="BW236">
        <f>" "&amp;$BM$236&amp;$AP$236&amp;" "</f>
        <v/>
      </c>
      <c r="BX236">
        <f>IF($AD$236=0,"",IF(OR($AG$236="SSA",$AG$236="SC"),$AE$236*$BT$236&amp;"|"&amp;$BL$236&amp;" STEEL STUD ANCHOR 2"&amp;CHAR(34)&amp;"||"&amp;$BS$236,"")&amp;IF($AG$236="WEWA-M",$AE$236*(N($AH$236)+1)*N($AI$236)&amp;"|FR101F 690 "&amp;$BL$236&amp;" MASONRY TUBE ANCHOR 16 GA||"&amp;$BS$236&amp;$AE$236*(N($AH$236)+1)*N($AI$236)&amp;"|3/8X5 SF3850 DYNO BOLTS||"&amp;$BS$236,"")&amp;IF($AG$236="WMA",$AE$236*$BT$236&amp;"|WIRE MASONRY ANCHOR||"&amp;$BS$236,"")&amp;IF($AG$236="T",$AE$236*$BT$236&amp;"|T-STRAP MASONRY ANCHOR||"&amp;$BS$236,"")&amp;IF($AG$236="WEWA-W",$AE$236*$BT$236&amp;"|P/D + WOOD SCREWS||"&amp;$BS$236,"")&amp;IF($AJ$236="WGS",$AE$236&amp;"|WELD &amp; GROUND SMOOTH||"&amp;$BS$236,"")&amp;IF(OR($AK$236="",$AK$236="-"),"",$AE$236*IF($BR$236,4,2)&amp;"|RACL/PACL-CLOSER REINF. 14GAx1-3/4x16 HRPO|"&amp;$AK$236&amp;IF($BR$236," BOTH SIDES","")&amp;"|"&amp;$BS$236)&amp;IF($AL$236="E8",$AE$236&amp;"|E8-STRIKE REINF. RIM EXIT||"&amp;$BS$236,"")&amp;IF(ISNUMBER(SEARCH("E4",$AL$236)),$AE$236&amp;"|FRAME DEADLOCK PREP||"&amp;$BS$236,"")&amp;IF($AL$236="E9",$AE$236&amp;"|ELECTRIC STRIKE PREP||"&amp;$BS$236,"")&amp;IF($AM$236="H5",$AE$236&amp;"|H5 STRIKE PREP IN HEADER||"&amp;$BS$236,IF(OR($AM$236="",$AM$236="-"),"",$AE$236&amp;"|HEADER PREP "&amp;$AM$236&amp;"||"&amp;$BS$236))&amp;IF(N($AN$236)&gt;0,$AE$236&amp;"|"&amp;$AN$236&amp;" MINUTE STEEL FRAME LABEL "&amp;IF(OR(N($AY$236)&gt;0,N($AZ$236)&gt;0),"W/TRANSOM PANEL/SIDELIGHT","CAT. C PP")&amp;"||"&amp;$BS$236,"")&amp;IF($AX$236="BL","",$AE$236&amp;"|HD "&amp;$AF$236&amp;$BW$236&amp;$BP$236&amp;" BSC||"&amp;$BS$236&amp;IF($BR$236,$AE$236&amp;"|HJ "&amp;$AF$236&amp;$BW$236&amp;"LH "&amp;$BO$236&amp;" "&amp;$BV$236&amp;" BSC "&amp;CHAR(34)&amp;$BQ$236&amp;CHAR(34)&amp;"||"&amp;$BS$236&amp;$AE$236&amp;"|HJ "&amp;$AF$236&amp;$BW$236&amp;"RH "&amp;$BO$236&amp;" "&amp;$BV$236&amp;" BSC "&amp;CHAR(34)&amp;$BQ$236&amp;CHAR(34)&amp;"||"&amp;$BS$236,$AE$236&amp;"|HJ "&amp;$AF$236&amp;$BW$236&amp;$AW$236&amp;" "&amp;$BO$236&amp;" "&amp;$BV$236&amp;" BSC "&amp;CHAR(34)&amp;$BQ$236&amp;CHAR(34)&amp;"||"&amp;$BS$236&amp;$AE$236&amp;"|SJ "&amp;$AF$236&amp;$BW$236&amp;$AW$236&amp;" "&amp;$BO$236&amp;" "&amp;$BU$236&amp;IF($BU$236="G18"," BLANK"," Y")&amp;" BSC "&amp;CHAR(34)&amp;$BQ$236&amp;CHAR(34)&amp;"||"&amp;$BS$236))&amp;IF(AND($BN$236&gt;N($AR$236),$AX$236&lt;&gt;"BL",N($AR$236)&gt;=60),$AE$236&amp;"|FRAME CUT DOWN (BOTTOM)|Cut "&amp;TRIM(TEXT($BN$236-N($AR$236),"# ?/??"))&amp;CHAR(34)&amp;" OFF THE BOTTOM|"&amp;$BS$236,""))</f>
        <v/>
      </c>
    </row>
    <row r="237">
      <c r="B237" s="180">
        <f>IF($AD237="","",VALUE(LEFT($AD237,FIND("|",$AD237)-1)))</f>
        <v/>
      </c>
      <c r="C237" s="180">
        <f>IF($AD237="","","    "&amp;MID($AD237,FIND("|",$AD237)+1,FIND("|",$AD237,FIND("|",$AD237)+1)-FIND("|",$AD237)-1))</f>
        <v/>
      </c>
      <c r="D237" s="180">
        <f>IF($AD237="","",MID($AD237,FIND("|",$AD237,FIND("|",$AD237)+1)+1,FIND("|",$AD237&amp;"|",FIND("|",$AD237,FIND("|",$AD237)+1)+1)-FIND("|",$AD237,FIND("|",$AD237)+1)-1))</f>
        <v/>
      </c>
      <c r="AD237">
        <f>TRIM(MID(SUBSTITUTE($BX$236,"~",REPT(" ",600)),1,600))</f>
        <v/>
      </c>
    </row>
    <row r="238">
      <c r="B238" s="180">
        <f>IF($AD238="","",VALUE(LEFT($AD238,FIND("|",$AD238)-1)))</f>
        <v/>
      </c>
      <c r="C238" s="180">
        <f>IF($AD238="","","    "&amp;MID($AD238,FIND("|",$AD238)+1,FIND("|",$AD238,FIND("|",$AD238)+1)-FIND("|",$AD238)-1))</f>
        <v/>
      </c>
      <c r="D238" s="180">
        <f>IF($AD238="","",MID($AD238,FIND("|",$AD238,FIND("|",$AD238)+1)+1,FIND("|",$AD238&amp;"|",FIND("|",$AD238,FIND("|",$AD238)+1)+1)-FIND("|",$AD238,FIND("|",$AD238)+1)-1))</f>
        <v/>
      </c>
      <c r="AD238">
        <f>TRIM(MID(SUBSTITUTE($BX$236,"~",REPT(" ",600)),601,600))</f>
        <v/>
      </c>
    </row>
    <row r="239">
      <c r="B239" s="180">
        <f>IF($AD239="","",VALUE(LEFT($AD239,FIND("|",$AD239)-1)))</f>
        <v/>
      </c>
      <c r="C239" s="180">
        <f>IF($AD239="","","    "&amp;MID($AD239,FIND("|",$AD239)+1,FIND("|",$AD239,FIND("|",$AD239)+1)-FIND("|",$AD239)-1))</f>
        <v/>
      </c>
      <c r="D239" s="180">
        <f>IF($AD239="","",MID($AD239,FIND("|",$AD239,FIND("|",$AD239)+1)+1,FIND("|",$AD239&amp;"|",FIND("|",$AD239,FIND("|",$AD239)+1)+1)-FIND("|",$AD239,FIND("|",$AD239)+1)-1))</f>
        <v/>
      </c>
      <c r="AD239">
        <f>TRIM(MID(SUBSTITUTE($BX$236,"~",REPT(" ",600)),1201,600))</f>
        <v/>
      </c>
    </row>
    <row r="240">
      <c r="B240" s="180">
        <f>IF($AD240="","",VALUE(LEFT($AD240,FIND("|",$AD240)-1)))</f>
        <v/>
      </c>
      <c r="C240" s="180">
        <f>IF($AD240="","","    "&amp;MID($AD240,FIND("|",$AD240)+1,FIND("|",$AD240,FIND("|",$AD240)+1)-FIND("|",$AD240)-1))</f>
        <v/>
      </c>
      <c r="D240" s="180">
        <f>IF($AD240="","",MID($AD240,FIND("|",$AD240,FIND("|",$AD240)+1)+1,FIND("|",$AD240&amp;"|",FIND("|",$AD240,FIND("|",$AD240)+1)+1)-FIND("|",$AD240,FIND("|",$AD240)+1)-1))</f>
        <v/>
      </c>
      <c r="AD240">
        <f>TRIM(MID(SUBSTITUTE($BX$236,"~",REPT(" ",600)),1801,600))</f>
        <v/>
      </c>
    </row>
    <row r="241">
      <c r="B241" s="180">
        <f>IF($AD241="","",VALUE(LEFT($AD241,FIND("|",$AD241)-1)))</f>
        <v/>
      </c>
      <c r="C241" s="180">
        <f>IF($AD241="","","    "&amp;MID($AD241,FIND("|",$AD241)+1,FIND("|",$AD241,FIND("|",$AD241)+1)-FIND("|",$AD241)-1))</f>
        <v/>
      </c>
      <c r="D241" s="180">
        <f>IF($AD241="","",MID($AD241,FIND("|",$AD241,FIND("|",$AD241)+1)+1,FIND("|",$AD241&amp;"|",FIND("|",$AD241,FIND("|",$AD241)+1)+1)-FIND("|",$AD241,FIND("|",$AD241)+1)-1))</f>
        <v/>
      </c>
      <c r="AD241">
        <f>TRIM(MID(SUBSTITUTE($BX$236,"~",REPT(" ",600)),2401,600))</f>
        <v/>
      </c>
    </row>
    <row r="242">
      <c r="B242" s="180">
        <f>IF($AD242="","",VALUE(LEFT($AD242,FIND("|",$AD242)-1)))</f>
        <v/>
      </c>
      <c r="C242" s="180">
        <f>IF($AD242="","","    "&amp;MID($AD242,FIND("|",$AD242)+1,FIND("|",$AD242,FIND("|",$AD242)+1)-FIND("|",$AD242)-1))</f>
        <v/>
      </c>
      <c r="D242" s="180">
        <f>IF($AD242="","",MID($AD242,FIND("|",$AD242,FIND("|",$AD242)+1)+1,FIND("|",$AD242&amp;"|",FIND("|",$AD242,FIND("|",$AD242)+1)+1)-FIND("|",$AD242,FIND("|",$AD242)+1)-1))</f>
        <v/>
      </c>
      <c r="AD242">
        <f>TRIM(MID(SUBSTITUTE($BX$236,"~",REPT(" ",600)),3001,600))</f>
        <v/>
      </c>
    </row>
    <row r="243">
      <c r="B243" s="180">
        <f>IF($AD243="","",VALUE(LEFT($AD243,FIND("|",$AD243)-1)))</f>
        <v/>
      </c>
      <c r="C243" s="180">
        <f>IF($AD243="","","    "&amp;MID($AD243,FIND("|",$AD243)+1,FIND("|",$AD243,FIND("|",$AD243)+1)-FIND("|",$AD243)-1))</f>
        <v/>
      </c>
      <c r="D243" s="180">
        <f>IF($AD243="","",MID($AD243,FIND("|",$AD243,FIND("|",$AD243)+1)+1,FIND("|",$AD243&amp;"|",FIND("|",$AD243,FIND("|",$AD243)+1)+1)-FIND("|",$AD243,FIND("|",$AD243)+1)-1))</f>
        <v/>
      </c>
      <c r="AD243">
        <f>TRIM(MID(SUBSTITUTE($BX$236,"~",REPT(" ",600)),3601,600))</f>
        <v/>
      </c>
    </row>
    <row r="244">
      <c r="B244" s="180">
        <f>IF($AD244="","",VALUE(LEFT($AD244,FIND("|",$AD244)-1)))</f>
        <v/>
      </c>
      <c r="C244" s="180">
        <f>IF($AD244="","","    "&amp;MID($AD244,FIND("|",$AD244)+1,FIND("|",$AD244,FIND("|",$AD244)+1)-FIND("|",$AD244)-1))</f>
        <v/>
      </c>
      <c r="D244" s="180">
        <f>IF($AD244="","",MID($AD244,FIND("|",$AD244,FIND("|",$AD244)+1)+1,FIND("|",$AD244&amp;"|",FIND("|",$AD244,FIND("|",$AD244)+1)+1)-FIND("|",$AD244,FIND("|",$AD244)+1)-1))</f>
        <v/>
      </c>
      <c r="AD244">
        <f>TRIM(MID(SUBSTITUTE($BX$236,"~",REPT(" ",600)),4201,600))</f>
        <v/>
      </c>
    </row>
    <row r="245">
      <c r="B245" s="180">
        <f>IF($AD245="","",VALUE(LEFT($AD245,FIND("|",$AD245)-1)))</f>
        <v/>
      </c>
      <c r="C245" s="180">
        <f>IF($AD245="","","    "&amp;MID($AD245,FIND("|",$AD245)+1,FIND("|",$AD245,FIND("|",$AD245)+1)-FIND("|",$AD245)-1))</f>
        <v/>
      </c>
      <c r="D245" s="180">
        <f>IF($AD245="","",MID($AD245,FIND("|",$AD245,FIND("|",$AD245)+1)+1,FIND("|",$AD245&amp;"|",FIND("|",$AD245,FIND("|",$AD245)+1)+1)-FIND("|",$AD245,FIND("|",$AD245)+1)-1))</f>
        <v/>
      </c>
      <c r="AD245">
        <f>TRIM(MID(SUBSTITUTE($BX$236,"~",REPT(" ",600)),4801,600))</f>
        <v/>
      </c>
    </row>
    <row r="246">
      <c r="B246" s="180">
        <f>IF($AD246="","",VALUE(LEFT($AD246,FIND("|",$AD246)-1)))</f>
        <v/>
      </c>
      <c r="C246" s="180">
        <f>IF($AD246="","","    "&amp;MID($AD246,FIND("|",$AD246)+1,FIND("|",$AD246,FIND("|",$AD246)+1)-FIND("|",$AD246)-1))</f>
        <v/>
      </c>
      <c r="D246" s="180">
        <f>IF($AD246="","",MID($AD246,FIND("|",$AD246,FIND("|",$AD246)+1)+1,FIND("|",$AD246&amp;"|",FIND("|",$AD246,FIND("|",$AD246)+1)+1)-FIND("|",$AD246,FIND("|",$AD246)+1)-1))</f>
        <v/>
      </c>
      <c r="AD246">
        <f>TRIM(MID(SUBSTITUTE($BX$236,"~",REPT(" ",600)),5401,600))</f>
        <v/>
      </c>
    </row>
    <row r="247">
      <c r="B247" s="180">
        <f>IF($AD247="","",VALUE(LEFT($AD247,FIND("|",$AD247)-1)))</f>
        <v/>
      </c>
      <c r="C247" s="180">
        <f>IF($AD247="","","    "&amp;MID($AD247,FIND("|",$AD247)+1,FIND("|",$AD247,FIND("|",$AD247)+1)-FIND("|",$AD247)-1))</f>
        <v/>
      </c>
      <c r="D247" s="180">
        <f>IF($AD247="","",MID($AD247,FIND("|",$AD247,FIND("|",$AD247)+1)+1,FIND("|",$AD247&amp;"|",FIND("|",$AD247,FIND("|",$AD247)+1)+1)-FIND("|",$AD247,FIND("|",$AD247)+1)-1))</f>
        <v/>
      </c>
      <c r="AD247">
        <f>TRIM(MID(SUBSTITUTE($BX$236,"~",REPT(" ",600)),6001,600))</f>
        <v/>
      </c>
    </row>
    <row r="248">
      <c r="A248" s="178">
        <f>IF($AD$248=0,"",$BK$248)</f>
        <v/>
      </c>
      <c r="B248" s="178">
        <f>IF($AD$248=0,"",$AE$248)</f>
        <v/>
      </c>
      <c r="C248" s="178">
        <f>IF($AD$248=0,"",$AE$248&amp;") "&amp;IF(COUNTIFS(tk_SOFG,21,tk_HLEG,"&lt;&gt;"&amp;$BJ$248)=0,INDEX(tk_FLINE,$AD$248),INDEX(tk_FLINEN,$AD$248))&amp;IF($AJ$248="KD"," ( R.O. "&amp;TRIM(TEXT(N($AQ$248)+2.25,"# ?/??"))&amp;CHAR(34)&amp;" x "&amp;TRIM(TEXT(N($AR$248)+1,"# ?/??"))&amp;CHAR(34)&amp;" )",""))</f>
        <v/>
      </c>
      <c r="D248" s="178" t="n"/>
      <c r="E248" s="179">
        <f t="array" ref="E248">IF($AD$248=0,"",_xlfn.TEXTJOIN(", ",TRUE,IF(tk_SOFG=21,"#"&amp;tk_MARK&amp;IF(tk_HLEG="","","("&amp;tk_HLEG&amp;")")&amp;IF(tk_QTY&gt;1," ×"&amp;tk_QTY,""),"")))</f>
        <v/>
      </c>
      <c r="AD248">
        <f>IFERROR(MATCH(21,tk_SOFG,0),0)</f>
        <v/>
      </c>
      <c r="AE248">
        <f>IF($AD$248=0,0,SUMIF(tk_SOFG,21,tk_QTY))</f>
        <v/>
      </c>
      <c r="AF248">
        <f>IF($AD$248=0,"",INDEX(tk_JAMB,$AD$248))</f>
        <v/>
      </c>
      <c r="AG248">
        <f>IF($AD$248=0,"",INDEX(tk_ANCHOR,$AD$248))</f>
        <v/>
      </c>
      <c r="AH248">
        <f>IF($AD$248=0,"",INDEX(tk_ANCH,$AD$248))</f>
        <v/>
      </c>
      <c r="AI248">
        <f>IF($AD$248=0,"",INDEX(tk_BASEA,$AD$248))</f>
        <v/>
      </c>
      <c r="AJ248">
        <f>IF($AD$248=0,"",INDEX(tk_CONSTR,$AD$248))</f>
        <v/>
      </c>
      <c r="AK248">
        <f>IF($AD$248=0,"",INDEX(tk_CLOSER,$AD$248))</f>
        <v/>
      </c>
      <c r="AL248">
        <f>IF($AD$248=0,"",INDEX(tk_STRIKE,$AD$248))</f>
        <v/>
      </c>
      <c r="AM248">
        <f>IF($AD$248=0,"",INDEX(tk_HDRPREP,$AD$248))</f>
        <v/>
      </c>
      <c r="AN248">
        <f>IF($AD$248=0,"",INDEX(tk_DMIN,$AD$248))</f>
        <v/>
      </c>
      <c r="AO248">
        <f>IF($AD$248=0,"",INDEX(tk_PAIR,$AD$248))</f>
        <v/>
      </c>
      <c r="AP248">
        <f>IF($AD$248=0,"",INDEX(tk_FGA,$AD$248))</f>
        <v/>
      </c>
      <c r="AQ248">
        <f>IF($AD$248=0,"",INDEX(tk_WI,$AD$248))</f>
        <v/>
      </c>
      <c r="AR248">
        <f>IF($AD$248=0,"",INDEX(tk_HI,$AD$248))</f>
        <v/>
      </c>
      <c r="AS248">
        <f>IF($AD$248=0,"",INDEX(tk_FHINGE,$AD$248))</f>
        <v/>
      </c>
      <c r="AT248">
        <f>IF($AD$248=0,"",INDEX(tk_DHINGE,$AD$248))</f>
        <v/>
      </c>
      <c r="AU248">
        <f>IF($AD$248=0,"",INDEX(tk_HWLOC,$AD$248))</f>
        <v/>
      </c>
      <c r="AV248">
        <f>IF($AD$248=0,"",INDEX(tk_MANUF,$AD$248))</f>
        <v/>
      </c>
      <c r="AW248">
        <f>IF($AD$248=0,"",INDEX(tk_JH,$AD$248))</f>
        <v/>
      </c>
      <c r="AX248">
        <f>IF($AD$248=0,"",INDEX(tk_FDESC,$AD$248))</f>
        <v/>
      </c>
      <c r="AY248">
        <f>IF($AD$248=0,"",INDEX(tk_TRANS,$AD$248))</f>
        <v/>
      </c>
      <c r="AZ248">
        <f>IF($AD$248=0,"",INDEX(tk_SLW,$AD$248))</f>
        <v/>
      </c>
      <c r="BA248">
        <f>IF($AD$248=0,"",INDEX(tk_LEAVES,$AD$248))</f>
        <v/>
      </c>
      <c r="BB248">
        <f>IF($AD$248=0,"",INDEX(tk_LEAFW,$AD$248))</f>
        <v/>
      </c>
      <c r="BC248">
        <f>IF($AD$248=0,"",INDEX(tk_LEAFH,$AD$248))</f>
        <v/>
      </c>
      <c r="BD248">
        <f>IF($AD$248=0,"",INDEX(tk_DMAT,$AD$248))</f>
        <v/>
      </c>
      <c r="BE248">
        <f>IF($AD$248=0,"",INDEX(tk_DGA,$AD$248))</f>
        <v/>
      </c>
      <c r="BF248">
        <f>IF($AD$248=0,"",INDEX(tk_SERIES,$AD$248))</f>
        <v/>
      </c>
      <c r="BG248">
        <f>IF($AD$248=0,"",INDEX(tk_LOCK,$AD$248))</f>
        <v/>
      </c>
      <c r="BH248">
        <f>IF($AD$248=0,"",INDEX(tk_LITEKIT,$AD$248))</f>
        <v/>
      </c>
      <c r="BI248">
        <f>IF($AD$248=0,"",INDEX(tk_FACE,$AD$248))</f>
        <v/>
      </c>
      <c r="BJ248">
        <f>IF($AD$248=0,"",INDEX(tk_HLEG,$AD$248))</f>
        <v/>
      </c>
      <c r="BK248">
        <f>IF($AD$248=0,"",INDEX(tk_SOITEM,$AD$248))</f>
        <v/>
      </c>
      <c r="BL248">
        <f>IFERROR(VLOOKUP($AF$248,CODES,2,FALSE),"")</f>
        <v/>
      </c>
      <c r="BM248">
        <f>IF($AJ$248="KD","C","M")</f>
        <v/>
      </c>
      <c r="BN248">
        <f>IF(N($AR$248)&lt;=80,80,IF(N($AR$248)&lt;=84,84,IF(N($AR$248)&lt;=96,96,N($AR$248))))</f>
        <v/>
      </c>
      <c r="BO248">
        <f>INT($BN$248/12)&amp;MOD($BN$248,12)</f>
        <v/>
      </c>
      <c r="BP248">
        <f>INT(N($AQ$248)/12)&amp;MOD(N($AQ$248),12)</f>
        <v/>
      </c>
      <c r="BQ248">
        <f>IF(OR($AU$248="",$AU$248="ANSI/SDI",$AU$248="CUSTOM LOC"),IF($AV$248="CU","CURRIES","STEELCRAFT"),$AU$248)</f>
        <v/>
      </c>
      <c r="BR248">
        <f>$AO$248="Y"</f>
        <v/>
      </c>
      <c r="BS248">
        <f>"~"</f>
        <v/>
      </c>
      <c r="BT248">
        <f>N($AH$248)*N($AI$248)</f>
        <v/>
      </c>
      <c r="BU248">
        <f>IF(OR($AL$248="",$AL$248="-",$AL$248="E8"),"G18",$AL$248)</f>
        <v/>
      </c>
      <c r="BV248">
        <f>IF(OR($AS$248="",$AS$248="-"),"BLK",$AS$248)</f>
        <v/>
      </c>
      <c r="BW248">
        <f>" "&amp;$BM$248&amp;$AP$248&amp;" "</f>
        <v/>
      </c>
      <c r="BX248">
        <f>IF($AD$248=0,"",IF(OR($AG$248="SSA",$AG$248="SC"),$AE$248*$BT$248&amp;"|"&amp;$BL$248&amp;" STEEL STUD ANCHOR 2"&amp;CHAR(34)&amp;"||"&amp;$BS$248,"")&amp;IF($AG$248="WEWA-M",$AE$248*(N($AH$248)+1)*N($AI$248)&amp;"|FR101F 690 "&amp;$BL$248&amp;" MASONRY TUBE ANCHOR 16 GA||"&amp;$BS$248&amp;$AE$248*(N($AH$248)+1)*N($AI$248)&amp;"|3/8X5 SF3850 DYNO BOLTS||"&amp;$BS$248,"")&amp;IF($AG$248="WMA",$AE$248*$BT$248&amp;"|WIRE MASONRY ANCHOR||"&amp;$BS$248,"")&amp;IF($AG$248="T",$AE$248*$BT$248&amp;"|T-STRAP MASONRY ANCHOR||"&amp;$BS$248,"")&amp;IF($AG$248="WEWA-W",$AE$248*$BT$248&amp;"|P/D + WOOD SCREWS||"&amp;$BS$248,"")&amp;IF($AJ$248="WGS",$AE$248&amp;"|WELD &amp; GROUND SMOOTH||"&amp;$BS$248,"")&amp;IF(OR($AK$248="",$AK$248="-"),"",$AE$248*IF($BR$248,4,2)&amp;"|RACL/PACL-CLOSER REINF. 14GAx1-3/4x16 HRPO|"&amp;$AK$248&amp;IF($BR$248," BOTH SIDES","")&amp;"|"&amp;$BS$248)&amp;IF($AL$248="E8",$AE$248&amp;"|E8-STRIKE REINF. RIM EXIT||"&amp;$BS$248,"")&amp;IF(ISNUMBER(SEARCH("E4",$AL$248)),$AE$248&amp;"|FRAME DEADLOCK PREP||"&amp;$BS$248,"")&amp;IF($AL$248="E9",$AE$248&amp;"|ELECTRIC STRIKE PREP||"&amp;$BS$248,"")&amp;IF($AM$248="H5",$AE$248&amp;"|H5 STRIKE PREP IN HEADER||"&amp;$BS$248,IF(OR($AM$248="",$AM$248="-"),"",$AE$248&amp;"|HEADER PREP "&amp;$AM$248&amp;"||"&amp;$BS$248))&amp;IF(N($AN$248)&gt;0,$AE$248&amp;"|"&amp;$AN$248&amp;" MINUTE STEEL FRAME LABEL "&amp;IF(OR(N($AY$248)&gt;0,N($AZ$248)&gt;0),"W/TRANSOM PANEL/SIDELIGHT","CAT. C PP")&amp;"||"&amp;$BS$248,"")&amp;IF($AX$248="BL","",$AE$248&amp;"|HD "&amp;$AF$248&amp;$BW$248&amp;$BP$248&amp;" BSC||"&amp;$BS$248&amp;IF($BR$248,$AE$248&amp;"|HJ "&amp;$AF$248&amp;$BW$248&amp;"LH "&amp;$BO$248&amp;" "&amp;$BV$248&amp;" BSC "&amp;CHAR(34)&amp;$BQ$248&amp;CHAR(34)&amp;"||"&amp;$BS$248&amp;$AE$248&amp;"|HJ "&amp;$AF$248&amp;$BW$248&amp;"RH "&amp;$BO$248&amp;" "&amp;$BV$248&amp;" BSC "&amp;CHAR(34)&amp;$BQ$248&amp;CHAR(34)&amp;"||"&amp;$BS$248,$AE$248&amp;"|HJ "&amp;$AF$248&amp;$BW$248&amp;$AW$248&amp;" "&amp;$BO$248&amp;" "&amp;$BV$248&amp;" BSC "&amp;CHAR(34)&amp;$BQ$248&amp;CHAR(34)&amp;"||"&amp;$BS$248&amp;$AE$248&amp;"|SJ "&amp;$AF$248&amp;$BW$248&amp;$AW$248&amp;" "&amp;$BO$248&amp;" "&amp;$BU$248&amp;IF($BU$248="G18"," BLANK"," Y")&amp;" BSC "&amp;CHAR(34)&amp;$BQ$248&amp;CHAR(34)&amp;"||"&amp;$BS$248))&amp;IF(AND($BN$248&gt;N($AR$248),$AX$248&lt;&gt;"BL",N($AR$248)&gt;=60),$AE$248&amp;"|FRAME CUT DOWN (BOTTOM)|Cut "&amp;TRIM(TEXT($BN$248-N($AR$248),"# ?/??"))&amp;CHAR(34)&amp;" OFF THE BOTTOM|"&amp;$BS$248,""))</f>
        <v/>
      </c>
    </row>
    <row r="249">
      <c r="B249" s="180">
        <f>IF($AD249="","",VALUE(LEFT($AD249,FIND("|",$AD249)-1)))</f>
        <v/>
      </c>
      <c r="C249" s="180">
        <f>IF($AD249="","","    "&amp;MID($AD249,FIND("|",$AD249)+1,FIND("|",$AD249,FIND("|",$AD249)+1)-FIND("|",$AD249)-1))</f>
        <v/>
      </c>
      <c r="D249" s="180">
        <f>IF($AD249="","",MID($AD249,FIND("|",$AD249,FIND("|",$AD249)+1)+1,FIND("|",$AD249&amp;"|",FIND("|",$AD249,FIND("|",$AD249)+1)+1)-FIND("|",$AD249,FIND("|",$AD249)+1)-1))</f>
        <v/>
      </c>
      <c r="AD249">
        <f>TRIM(MID(SUBSTITUTE($BX$248,"~",REPT(" ",600)),1,600))</f>
        <v/>
      </c>
    </row>
    <row r="250">
      <c r="B250" s="180">
        <f>IF($AD250="","",VALUE(LEFT($AD250,FIND("|",$AD250)-1)))</f>
        <v/>
      </c>
      <c r="C250" s="180">
        <f>IF($AD250="","","    "&amp;MID($AD250,FIND("|",$AD250)+1,FIND("|",$AD250,FIND("|",$AD250)+1)-FIND("|",$AD250)-1))</f>
        <v/>
      </c>
      <c r="D250" s="180">
        <f>IF($AD250="","",MID($AD250,FIND("|",$AD250,FIND("|",$AD250)+1)+1,FIND("|",$AD250&amp;"|",FIND("|",$AD250,FIND("|",$AD250)+1)+1)-FIND("|",$AD250,FIND("|",$AD250)+1)-1))</f>
        <v/>
      </c>
      <c r="AD250">
        <f>TRIM(MID(SUBSTITUTE($BX$248,"~",REPT(" ",600)),601,600))</f>
        <v/>
      </c>
    </row>
    <row r="251">
      <c r="B251" s="180">
        <f>IF($AD251="","",VALUE(LEFT($AD251,FIND("|",$AD251)-1)))</f>
        <v/>
      </c>
      <c r="C251" s="180">
        <f>IF($AD251="","","    "&amp;MID($AD251,FIND("|",$AD251)+1,FIND("|",$AD251,FIND("|",$AD251)+1)-FIND("|",$AD251)-1))</f>
        <v/>
      </c>
      <c r="D251" s="180">
        <f>IF($AD251="","",MID($AD251,FIND("|",$AD251,FIND("|",$AD251)+1)+1,FIND("|",$AD251&amp;"|",FIND("|",$AD251,FIND("|",$AD251)+1)+1)-FIND("|",$AD251,FIND("|",$AD251)+1)-1))</f>
        <v/>
      </c>
      <c r="AD251">
        <f>TRIM(MID(SUBSTITUTE($BX$248,"~",REPT(" ",600)),1201,600))</f>
        <v/>
      </c>
    </row>
    <row r="252">
      <c r="B252" s="180">
        <f>IF($AD252="","",VALUE(LEFT($AD252,FIND("|",$AD252)-1)))</f>
        <v/>
      </c>
      <c r="C252" s="180">
        <f>IF($AD252="","","    "&amp;MID($AD252,FIND("|",$AD252)+1,FIND("|",$AD252,FIND("|",$AD252)+1)-FIND("|",$AD252)-1))</f>
        <v/>
      </c>
      <c r="D252" s="180">
        <f>IF($AD252="","",MID($AD252,FIND("|",$AD252,FIND("|",$AD252)+1)+1,FIND("|",$AD252&amp;"|",FIND("|",$AD252,FIND("|",$AD252)+1)+1)-FIND("|",$AD252,FIND("|",$AD252)+1)-1))</f>
        <v/>
      </c>
      <c r="AD252">
        <f>TRIM(MID(SUBSTITUTE($BX$248,"~",REPT(" ",600)),1801,600))</f>
        <v/>
      </c>
    </row>
    <row r="253">
      <c r="B253" s="180">
        <f>IF($AD253="","",VALUE(LEFT($AD253,FIND("|",$AD253)-1)))</f>
        <v/>
      </c>
      <c r="C253" s="180">
        <f>IF($AD253="","","    "&amp;MID($AD253,FIND("|",$AD253)+1,FIND("|",$AD253,FIND("|",$AD253)+1)-FIND("|",$AD253)-1))</f>
        <v/>
      </c>
      <c r="D253" s="180">
        <f>IF($AD253="","",MID($AD253,FIND("|",$AD253,FIND("|",$AD253)+1)+1,FIND("|",$AD253&amp;"|",FIND("|",$AD253,FIND("|",$AD253)+1)+1)-FIND("|",$AD253,FIND("|",$AD253)+1)-1))</f>
        <v/>
      </c>
      <c r="AD253">
        <f>TRIM(MID(SUBSTITUTE($BX$248,"~",REPT(" ",600)),2401,600))</f>
        <v/>
      </c>
    </row>
    <row r="254">
      <c r="B254" s="180">
        <f>IF($AD254="","",VALUE(LEFT($AD254,FIND("|",$AD254)-1)))</f>
        <v/>
      </c>
      <c r="C254" s="180">
        <f>IF($AD254="","","    "&amp;MID($AD254,FIND("|",$AD254)+1,FIND("|",$AD254,FIND("|",$AD254)+1)-FIND("|",$AD254)-1))</f>
        <v/>
      </c>
      <c r="D254" s="180">
        <f>IF($AD254="","",MID($AD254,FIND("|",$AD254,FIND("|",$AD254)+1)+1,FIND("|",$AD254&amp;"|",FIND("|",$AD254,FIND("|",$AD254)+1)+1)-FIND("|",$AD254,FIND("|",$AD254)+1)-1))</f>
        <v/>
      </c>
      <c r="AD254">
        <f>TRIM(MID(SUBSTITUTE($BX$248,"~",REPT(" ",600)),3001,600))</f>
        <v/>
      </c>
    </row>
    <row r="255">
      <c r="B255" s="180">
        <f>IF($AD255="","",VALUE(LEFT($AD255,FIND("|",$AD255)-1)))</f>
        <v/>
      </c>
      <c r="C255" s="180">
        <f>IF($AD255="","","    "&amp;MID($AD255,FIND("|",$AD255)+1,FIND("|",$AD255,FIND("|",$AD255)+1)-FIND("|",$AD255)-1))</f>
        <v/>
      </c>
      <c r="D255" s="180">
        <f>IF($AD255="","",MID($AD255,FIND("|",$AD255,FIND("|",$AD255)+1)+1,FIND("|",$AD255&amp;"|",FIND("|",$AD255,FIND("|",$AD255)+1)+1)-FIND("|",$AD255,FIND("|",$AD255)+1)-1))</f>
        <v/>
      </c>
      <c r="AD255">
        <f>TRIM(MID(SUBSTITUTE($BX$248,"~",REPT(" ",600)),3601,600))</f>
        <v/>
      </c>
    </row>
    <row r="256">
      <c r="B256" s="180">
        <f>IF($AD256="","",VALUE(LEFT($AD256,FIND("|",$AD256)-1)))</f>
        <v/>
      </c>
      <c r="C256" s="180">
        <f>IF($AD256="","","    "&amp;MID($AD256,FIND("|",$AD256)+1,FIND("|",$AD256,FIND("|",$AD256)+1)-FIND("|",$AD256)-1))</f>
        <v/>
      </c>
      <c r="D256" s="180">
        <f>IF($AD256="","",MID($AD256,FIND("|",$AD256,FIND("|",$AD256)+1)+1,FIND("|",$AD256&amp;"|",FIND("|",$AD256,FIND("|",$AD256)+1)+1)-FIND("|",$AD256,FIND("|",$AD256)+1)-1))</f>
        <v/>
      </c>
      <c r="AD256">
        <f>TRIM(MID(SUBSTITUTE($BX$248,"~",REPT(" ",600)),4201,600))</f>
        <v/>
      </c>
    </row>
    <row r="257">
      <c r="B257" s="180">
        <f>IF($AD257="","",VALUE(LEFT($AD257,FIND("|",$AD257)-1)))</f>
        <v/>
      </c>
      <c r="C257" s="180">
        <f>IF($AD257="","","    "&amp;MID($AD257,FIND("|",$AD257)+1,FIND("|",$AD257,FIND("|",$AD257)+1)-FIND("|",$AD257)-1))</f>
        <v/>
      </c>
      <c r="D257" s="180">
        <f>IF($AD257="","",MID($AD257,FIND("|",$AD257,FIND("|",$AD257)+1)+1,FIND("|",$AD257&amp;"|",FIND("|",$AD257,FIND("|",$AD257)+1)+1)-FIND("|",$AD257,FIND("|",$AD257)+1)-1))</f>
        <v/>
      </c>
      <c r="AD257">
        <f>TRIM(MID(SUBSTITUTE($BX$248,"~",REPT(" ",600)),4801,600))</f>
        <v/>
      </c>
    </row>
    <row r="258">
      <c r="B258" s="180">
        <f>IF($AD258="","",VALUE(LEFT($AD258,FIND("|",$AD258)-1)))</f>
        <v/>
      </c>
      <c r="C258" s="180">
        <f>IF($AD258="","","    "&amp;MID($AD258,FIND("|",$AD258)+1,FIND("|",$AD258,FIND("|",$AD258)+1)-FIND("|",$AD258)-1))</f>
        <v/>
      </c>
      <c r="D258" s="180">
        <f>IF($AD258="","",MID($AD258,FIND("|",$AD258,FIND("|",$AD258)+1)+1,FIND("|",$AD258&amp;"|",FIND("|",$AD258,FIND("|",$AD258)+1)+1)-FIND("|",$AD258,FIND("|",$AD258)+1)-1))</f>
        <v/>
      </c>
      <c r="AD258">
        <f>TRIM(MID(SUBSTITUTE($BX$248,"~",REPT(" ",600)),5401,600))</f>
        <v/>
      </c>
    </row>
    <row r="259">
      <c r="B259" s="180">
        <f>IF($AD259="","",VALUE(LEFT($AD259,FIND("|",$AD259)-1)))</f>
        <v/>
      </c>
      <c r="C259" s="180">
        <f>IF($AD259="","","    "&amp;MID($AD259,FIND("|",$AD259)+1,FIND("|",$AD259,FIND("|",$AD259)+1)-FIND("|",$AD259)-1))</f>
        <v/>
      </c>
      <c r="D259" s="180">
        <f>IF($AD259="","",MID($AD259,FIND("|",$AD259,FIND("|",$AD259)+1)+1,FIND("|",$AD259&amp;"|",FIND("|",$AD259,FIND("|",$AD259)+1)+1)-FIND("|",$AD259,FIND("|",$AD259)+1)-1))</f>
        <v/>
      </c>
      <c r="AD259">
        <f>TRIM(MID(SUBSTITUTE($BX$248,"~",REPT(" ",600)),6001,600))</f>
        <v/>
      </c>
    </row>
    <row r="260">
      <c r="A260" s="178">
        <f>IF($AD$260=0,"",$BK$260)</f>
        <v/>
      </c>
      <c r="B260" s="178">
        <f>IF($AD$260=0,"",$AE$260)</f>
        <v/>
      </c>
      <c r="C260" s="178">
        <f>IF($AD$260=0,"",$AE$260&amp;") "&amp;IF(COUNTIFS(tk_SOFG,22,tk_HLEG,"&lt;&gt;"&amp;$BJ$260)=0,INDEX(tk_FLINE,$AD$260),INDEX(tk_FLINEN,$AD$260))&amp;IF($AJ$260="KD"," ( R.O. "&amp;TRIM(TEXT(N($AQ$260)+2.25,"# ?/??"))&amp;CHAR(34)&amp;" x "&amp;TRIM(TEXT(N($AR$260)+1,"# ?/??"))&amp;CHAR(34)&amp;" )",""))</f>
        <v/>
      </c>
      <c r="D260" s="178" t="n"/>
      <c r="E260" s="179">
        <f t="array" ref="E260">IF($AD$260=0,"",_xlfn.TEXTJOIN(", ",TRUE,IF(tk_SOFG=22,"#"&amp;tk_MARK&amp;IF(tk_HLEG="","","("&amp;tk_HLEG&amp;")")&amp;IF(tk_QTY&gt;1," ×"&amp;tk_QTY,""),"")))</f>
        <v/>
      </c>
      <c r="AD260">
        <f>IFERROR(MATCH(22,tk_SOFG,0),0)</f>
        <v/>
      </c>
      <c r="AE260">
        <f>IF($AD$260=0,0,SUMIF(tk_SOFG,22,tk_QTY))</f>
        <v/>
      </c>
      <c r="AF260">
        <f>IF($AD$260=0,"",INDEX(tk_JAMB,$AD$260))</f>
        <v/>
      </c>
      <c r="AG260">
        <f>IF($AD$260=0,"",INDEX(tk_ANCHOR,$AD$260))</f>
        <v/>
      </c>
      <c r="AH260">
        <f>IF($AD$260=0,"",INDEX(tk_ANCH,$AD$260))</f>
        <v/>
      </c>
      <c r="AI260">
        <f>IF($AD$260=0,"",INDEX(tk_BASEA,$AD$260))</f>
        <v/>
      </c>
      <c r="AJ260">
        <f>IF($AD$260=0,"",INDEX(tk_CONSTR,$AD$260))</f>
        <v/>
      </c>
      <c r="AK260">
        <f>IF($AD$260=0,"",INDEX(tk_CLOSER,$AD$260))</f>
        <v/>
      </c>
      <c r="AL260">
        <f>IF($AD$260=0,"",INDEX(tk_STRIKE,$AD$260))</f>
        <v/>
      </c>
      <c r="AM260">
        <f>IF($AD$260=0,"",INDEX(tk_HDRPREP,$AD$260))</f>
        <v/>
      </c>
      <c r="AN260">
        <f>IF($AD$260=0,"",INDEX(tk_DMIN,$AD$260))</f>
        <v/>
      </c>
      <c r="AO260">
        <f>IF($AD$260=0,"",INDEX(tk_PAIR,$AD$260))</f>
        <v/>
      </c>
      <c r="AP260">
        <f>IF($AD$260=0,"",INDEX(tk_FGA,$AD$260))</f>
        <v/>
      </c>
      <c r="AQ260">
        <f>IF($AD$260=0,"",INDEX(tk_WI,$AD$260))</f>
        <v/>
      </c>
      <c r="AR260">
        <f>IF($AD$260=0,"",INDEX(tk_HI,$AD$260))</f>
        <v/>
      </c>
      <c r="AS260">
        <f>IF($AD$260=0,"",INDEX(tk_FHINGE,$AD$260))</f>
        <v/>
      </c>
      <c r="AT260">
        <f>IF($AD$260=0,"",INDEX(tk_DHINGE,$AD$260))</f>
        <v/>
      </c>
      <c r="AU260">
        <f>IF($AD$260=0,"",INDEX(tk_HWLOC,$AD$260))</f>
        <v/>
      </c>
      <c r="AV260">
        <f>IF($AD$260=0,"",INDEX(tk_MANUF,$AD$260))</f>
        <v/>
      </c>
      <c r="AW260">
        <f>IF($AD$260=0,"",INDEX(tk_JH,$AD$260))</f>
        <v/>
      </c>
      <c r="AX260">
        <f>IF($AD$260=0,"",INDEX(tk_FDESC,$AD$260))</f>
        <v/>
      </c>
      <c r="AY260">
        <f>IF($AD$260=0,"",INDEX(tk_TRANS,$AD$260))</f>
        <v/>
      </c>
      <c r="AZ260">
        <f>IF($AD$260=0,"",INDEX(tk_SLW,$AD$260))</f>
        <v/>
      </c>
      <c r="BA260">
        <f>IF($AD$260=0,"",INDEX(tk_LEAVES,$AD$260))</f>
        <v/>
      </c>
      <c r="BB260">
        <f>IF($AD$260=0,"",INDEX(tk_LEAFW,$AD$260))</f>
        <v/>
      </c>
      <c r="BC260">
        <f>IF($AD$260=0,"",INDEX(tk_LEAFH,$AD$260))</f>
        <v/>
      </c>
      <c r="BD260">
        <f>IF($AD$260=0,"",INDEX(tk_DMAT,$AD$260))</f>
        <v/>
      </c>
      <c r="BE260">
        <f>IF($AD$260=0,"",INDEX(tk_DGA,$AD$260))</f>
        <v/>
      </c>
      <c r="BF260">
        <f>IF($AD$260=0,"",INDEX(tk_SERIES,$AD$260))</f>
        <v/>
      </c>
      <c r="BG260">
        <f>IF($AD$260=0,"",INDEX(tk_LOCK,$AD$260))</f>
        <v/>
      </c>
      <c r="BH260">
        <f>IF($AD$260=0,"",INDEX(tk_LITEKIT,$AD$260))</f>
        <v/>
      </c>
      <c r="BI260">
        <f>IF($AD$260=0,"",INDEX(tk_FACE,$AD$260))</f>
        <v/>
      </c>
      <c r="BJ260">
        <f>IF($AD$260=0,"",INDEX(tk_HLEG,$AD$260))</f>
        <v/>
      </c>
      <c r="BK260">
        <f>IF($AD$260=0,"",INDEX(tk_SOITEM,$AD$260))</f>
        <v/>
      </c>
      <c r="BL260">
        <f>IFERROR(VLOOKUP($AF$260,CODES,2,FALSE),"")</f>
        <v/>
      </c>
      <c r="BM260">
        <f>IF($AJ$260="KD","C","M")</f>
        <v/>
      </c>
      <c r="BN260">
        <f>IF(N($AR$260)&lt;=80,80,IF(N($AR$260)&lt;=84,84,IF(N($AR$260)&lt;=96,96,N($AR$260))))</f>
        <v/>
      </c>
      <c r="BO260">
        <f>INT($BN$260/12)&amp;MOD($BN$260,12)</f>
        <v/>
      </c>
      <c r="BP260">
        <f>INT(N($AQ$260)/12)&amp;MOD(N($AQ$260),12)</f>
        <v/>
      </c>
      <c r="BQ260">
        <f>IF(OR($AU$260="",$AU$260="ANSI/SDI",$AU$260="CUSTOM LOC"),IF($AV$260="CU","CURRIES","STEELCRAFT"),$AU$260)</f>
        <v/>
      </c>
      <c r="BR260">
        <f>$AO$260="Y"</f>
        <v/>
      </c>
      <c r="BS260">
        <f>"~"</f>
        <v/>
      </c>
      <c r="BT260">
        <f>N($AH$260)*N($AI$260)</f>
        <v/>
      </c>
      <c r="BU260">
        <f>IF(OR($AL$260="",$AL$260="-",$AL$260="E8"),"G18",$AL$260)</f>
        <v/>
      </c>
      <c r="BV260">
        <f>IF(OR($AS$260="",$AS$260="-"),"BLK",$AS$260)</f>
        <v/>
      </c>
      <c r="BW260">
        <f>" "&amp;$BM$260&amp;$AP$260&amp;" "</f>
        <v/>
      </c>
      <c r="BX260">
        <f>IF($AD$260=0,"",IF(OR($AG$260="SSA",$AG$260="SC"),$AE$260*$BT$260&amp;"|"&amp;$BL$260&amp;" STEEL STUD ANCHOR 2"&amp;CHAR(34)&amp;"||"&amp;$BS$260,"")&amp;IF($AG$260="WEWA-M",$AE$260*(N($AH$260)+1)*N($AI$260)&amp;"|FR101F 690 "&amp;$BL$260&amp;" MASONRY TUBE ANCHOR 16 GA||"&amp;$BS$260&amp;$AE$260*(N($AH$260)+1)*N($AI$260)&amp;"|3/8X5 SF3850 DYNO BOLTS||"&amp;$BS$260,"")&amp;IF($AG$260="WMA",$AE$260*$BT$260&amp;"|WIRE MASONRY ANCHOR||"&amp;$BS$260,"")&amp;IF($AG$260="T",$AE$260*$BT$260&amp;"|T-STRAP MASONRY ANCHOR||"&amp;$BS$260,"")&amp;IF($AG$260="WEWA-W",$AE$260*$BT$260&amp;"|P/D + WOOD SCREWS||"&amp;$BS$260,"")&amp;IF($AJ$260="WGS",$AE$260&amp;"|WELD &amp; GROUND SMOOTH||"&amp;$BS$260,"")&amp;IF(OR($AK$260="",$AK$260="-"),"",$AE$260*IF($BR$260,4,2)&amp;"|RACL/PACL-CLOSER REINF. 14GAx1-3/4x16 HRPO|"&amp;$AK$260&amp;IF($BR$260," BOTH SIDES","")&amp;"|"&amp;$BS$260)&amp;IF($AL$260="E8",$AE$260&amp;"|E8-STRIKE REINF. RIM EXIT||"&amp;$BS$260,"")&amp;IF(ISNUMBER(SEARCH("E4",$AL$260)),$AE$260&amp;"|FRAME DEADLOCK PREP||"&amp;$BS$260,"")&amp;IF($AL$260="E9",$AE$260&amp;"|ELECTRIC STRIKE PREP||"&amp;$BS$260,"")&amp;IF($AM$260="H5",$AE$260&amp;"|H5 STRIKE PREP IN HEADER||"&amp;$BS$260,IF(OR($AM$260="",$AM$260="-"),"",$AE$260&amp;"|HEADER PREP "&amp;$AM$260&amp;"||"&amp;$BS$260))&amp;IF(N($AN$260)&gt;0,$AE$260&amp;"|"&amp;$AN$260&amp;" MINUTE STEEL FRAME LABEL "&amp;IF(OR(N($AY$260)&gt;0,N($AZ$260)&gt;0),"W/TRANSOM PANEL/SIDELIGHT","CAT. C PP")&amp;"||"&amp;$BS$260,"")&amp;IF($AX$260="BL","",$AE$260&amp;"|HD "&amp;$AF$260&amp;$BW$260&amp;$BP$260&amp;" BSC||"&amp;$BS$260&amp;IF($BR$260,$AE$260&amp;"|HJ "&amp;$AF$260&amp;$BW$260&amp;"LH "&amp;$BO$260&amp;" "&amp;$BV$260&amp;" BSC "&amp;CHAR(34)&amp;$BQ$260&amp;CHAR(34)&amp;"||"&amp;$BS$260&amp;$AE$260&amp;"|HJ "&amp;$AF$260&amp;$BW$260&amp;"RH "&amp;$BO$260&amp;" "&amp;$BV$260&amp;" BSC "&amp;CHAR(34)&amp;$BQ$260&amp;CHAR(34)&amp;"||"&amp;$BS$260,$AE$260&amp;"|HJ "&amp;$AF$260&amp;$BW$260&amp;$AW$260&amp;" "&amp;$BO$260&amp;" "&amp;$BV$260&amp;" BSC "&amp;CHAR(34)&amp;$BQ$260&amp;CHAR(34)&amp;"||"&amp;$BS$260&amp;$AE$260&amp;"|SJ "&amp;$AF$260&amp;$BW$260&amp;$AW$260&amp;" "&amp;$BO$260&amp;" "&amp;$BU$260&amp;IF($BU$260="G18"," BLANK"," Y")&amp;" BSC "&amp;CHAR(34)&amp;$BQ$260&amp;CHAR(34)&amp;"||"&amp;$BS$260))&amp;IF(AND($BN$260&gt;N($AR$260),$AX$260&lt;&gt;"BL",N($AR$260)&gt;=60),$AE$260&amp;"|FRAME CUT DOWN (BOTTOM)|Cut "&amp;TRIM(TEXT($BN$260-N($AR$260),"# ?/??"))&amp;CHAR(34)&amp;" OFF THE BOTTOM|"&amp;$BS$260,""))</f>
        <v/>
      </c>
    </row>
    <row r="261">
      <c r="B261" s="180">
        <f>IF($AD261="","",VALUE(LEFT($AD261,FIND("|",$AD261)-1)))</f>
        <v/>
      </c>
      <c r="C261" s="180">
        <f>IF($AD261="","","    "&amp;MID($AD261,FIND("|",$AD261)+1,FIND("|",$AD261,FIND("|",$AD261)+1)-FIND("|",$AD261)-1))</f>
        <v/>
      </c>
      <c r="D261" s="180">
        <f>IF($AD261="","",MID($AD261,FIND("|",$AD261,FIND("|",$AD261)+1)+1,FIND("|",$AD261&amp;"|",FIND("|",$AD261,FIND("|",$AD261)+1)+1)-FIND("|",$AD261,FIND("|",$AD261)+1)-1))</f>
        <v/>
      </c>
      <c r="AD261">
        <f>TRIM(MID(SUBSTITUTE($BX$260,"~",REPT(" ",600)),1,600))</f>
        <v/>
      </c>
    </row>
    <row r="262">
      <c r="B262" s="180">
        <f>IF($AD262="","",VALUE(LEFT($AD262,FIND("|",$AD262)-1)))</f>
        <v/>
      </c>
      <c r="C262" s="180">
        <f>IF($AD262="","","    "&amp;MID($AD262,FIND("|",$AD262)+1,FIND("|",$AD262,FIND("|",$AD262)+1)-FIND("|",$AD262)-1))</f>
        <v/>
      </c>
      <c r="D262" s="180">
        <f>IF($AD262="","",MID($AD262,FIND("|",$AD262,FIND("|",$AD262)+1)+1,FIND("|",$AD262&amp;"|",FIND("|",$AD262,FIND("|",$AD262)+1)+1)-FIND("|",$AD262,FIND("|",$AD262)+1)-1))</f>
        <v/>
      </c>
      <c r="AD262">
        <f>TRIM(MID(SUBSTITUTE($BX$260,"~",REPT(" ",600)),601,600))</f>
        <v/>
      </c>
    </row>
    <row r="263">
      <c r="B263" s="180">
        <f>IF($AD263="","",VALUE(LEFT($AD263,FIND("|",$AD263)-1)))</f>
        <v/>
      </c>
      <c r="C263" s="180">
        <f>IF($AD263="","","    "&amp;MID($AD263,FIND("|",$AD263)+1,FIND("|",$AD263,FIND("|",$AD263)+1)-FIND("|",$AD263)-1))</f>
        <v/>
      </c>
      <c r="D263" s="180">
        <f>IF($AD263="","",MID($AD263,FIND("|",$AD263,FIND("|",$AD263)+1)+1,FIND("|",$AD263&amp;"|",FIND("|",$AD263,FIND("|",$AD263)+1)+1)-FIND("|",$AD263,FIND("|",$AD263)+1)-1))</f>
        <v/>
      </c>
      <c r="AD263">
        <f>TRIM(MID(SUBSTITUTE($BX$260,"~",REPT(" ",600)),1201,600))</f>
        <v/>
      </c>
    </row>
    <row r="264">
      <c r="B264" s="180">
        <f>IF($AD264="","",VALUE(LEFT($AD264,FIND("|",$AD264)-1)))</f>
        <v/>
      </c>
      <c r="C264" s="180">
        <f>IF($AD264="","","    "&amp;MID($AD264,FIND("|",$AD264)+1,FIND("|",$AD264,FIND("|",$AD264)+1)-FIND("|",$AD264)-1))</f>
        <v/>
      </c>
      <c r="D264" s="180">
        <f>IF($AD264="","",MID($AD264,FIND("|",$AD264,FIND("|",$AD264)+1)+1,FIND("|",$AD264&amp;"|",FIND("|",$AD264,FIND("|",$AD264)+1)+1)-FIND("|",$AD264,FIND("|",$AD264)+1)-1))</f>
        <v/>
      </c>
      <c r="AD264">
        <f>TRIM(MID(SUBSTITUTE($BX$260,"~",REPT(" ",600)),1801,600))</f>
        <v/>
      </c>
    </row>
    <row r="265">
      <c r="B265" s="180">
        <f>IF($AD265="","",VALUE(LEFT($AD265,FIND("|",$AD265)-1)))</f>
        <v/>
      </c>
      <c r="C265" s="180">
        <f>IF($AD265="","","    "&amp;MID($AD265,FIND("|",$AD265)+1,FIND("|",$AD265,FIND("|",$AD265)+1)-FIND("|",$AD265)-1))</f>
        <v/>
      </c>
      <c r="D265" s="180">
        <f>IF($AD265="","",MID($AD265,FIND("|",$AD265,FIND("|",$AD265)+1)+1,FIND("|",$AD265&amp;"|",FIND("|",$AD265,FIND("|",$AD265)+1)+1)-FIND("|",$AD265,FIND("|",$AD265)+1)-1))</f>
        <v/>
      </c>
      <c r="AD265">
        <f>TRIM(MID(SUBSTITUTE($BX$260,"~",REPT(" ",600)),2401,600))</f>
        <v/>
      </c>
    </row>
    <row r="266">
      <c r="B266" s="180">
        <f>IF($AD266="","",VALUE(LEFT($AD266,FIND("|",$AD266)-1)))</f>
        <v/>
      </c>
      <c r="C266" s="180">
        <f>IF($AD266="","","    "&amp;MID($AD266,FIND("|",$AD266)+1,FIND("|",$AD266,FIND("|",$AD266)+1)-FIND("|",$AD266)-1))</f>
        <v/>
      </c>
      <c r="D266" s="180">
        <f>IF($AD266="","",MID($AD266,FIND("|",$AD266,FIND("|",$AD266)+1)+1,FIND("|",$AD266&amp;"|",FIND("|",$AD266,FIND("|",$AD266)+1)+1)-FIND("|",$AD266,FIND("|",$AD266)+1)-1))</f>
        <v/>
      </c>
      <c r="AD266">
        <f>TRIM(MID(SUBSTITUTE($BX$260,"~",REPT(" ",600)),3001,600))</f>
        <v/>
      </c>
    </row>
    <row r="267">
      <c r="B267" s="180">
        <f>IF($AD267="","",VALUE(LEFT($AD267,FIND("|",$AD267)-1)))</f>
        <v/>
      </c>
      <c r="C267" s="180">
        <f>IF($AD267="","","    "&amp;MID($AD267,FIND("|",$AD267)+1,FIND("|",$AD267,FIND("|",$AD267)+1)-FIND("|",$AD267)-1))</f>
        <v/>
      </c>
      <c r="D267" s="180">
        <f>IF($AD267="","",MID($AD267,FIND("|",$AD267,FIND("|",$AD267)+1)+1,FIND("|",$AD267&amp;"|",FIND("|",$AD267,FIND("|",$AD267)+1)+1)-FIND("|",$AD267,FIND("|",$AD267)+1)-1))</f>
        <v/>
      </c>
      <c r="AD267">
        <f>TRIM(MID(SUBSTITUTE($BX$260,"~",REPT(" ",600)),3601,600))</f>
        <v/>
      </c>
    </row>
    <row r="268">
      <c r="B268" s="180">
        <f>IF($AD268="","",VALUE(LEFT($AD268,FIND("|",$AD268)-1)))</f>
        <v/>
      </c>
      <c r="C268" s="180">
        <f>IF($AD268="","","    "&amp;MID($AD268,FIND("|",$AD268)+1,FIND("|",$AD268,FIND("|",$AD268)+1)-FIND("|",$AD268)-1))</f>
        <v/>
      </c>
      <c r="D268" s="180">
        <f>IF($AD268="","",MID($AD268,FIND("|",$AD268,FIND("|",$AD268)+1)+1,FIND("|",$AD268&amp;"|",FIND("|",$AD268,FIND("|",$AD268)+1)+1)-FIND("|",$AD268,FIND("|",$AD268)+1)-1))</f>
        <v/>
      </c>
      <c r="AD268">
        <f>TRIM(MID(SUBSTITUTE($BX$260,"~",REPT(" ",600)),4201,600))</f>
        <v/>
      </c>
    </row>
    <row r="269">
      <c r="B269" s="180">
        <f>IF($AD269="","",VALUE(LEFT($AD269,FIND("|",$AD269)-1)))</f>
        <v/>
      </c>
      <c r="C269" s="180">
        <f>IF($AD269="","","    "&amp;MID($AD269,FIND("|",$AD269)+1,FIND("|",$AD269,FIND("|",$AD269)+1)-FIND("|",$AD269)-1))</f>
        <v/>
      </c>
      <c r="D269" s="180">
        <f>IF($AD269="","",MID($AD269,FIND("|",$AD269,FIND("|",$AD269)+1)+1,FIND("|",$AD269&amp;"|",FIND("|",$AD269,FIND("|",$AD269)+1)+1)-FIND("|",$AD269,FIND("|",$AD269)+1)-1))</f>
        <v/>
      </c>
      <c r="AD269">
        <f>TRIM(MID(SUBSTITUTE($BX$260,"~",REPT(" ",600)),4801,600))</f>
        <v/>
      </c>
    </row>
    <row r="270">
      <c r="B270" s="180">
        <f>IF($AD270="","",VALUE(LEFT($AD270,FIND("|",$AD270)-1)))</f>
        <v/>
      </c>
      <c r="C270" s="180">
        <f>IF($AD270="","","    "&amp;MID($AD270,FIND("|",$AD270)+1,FIND("|",$AD270,FIND("|",$AD270)+1)-FIND("|",$AD270)-1))</f>
        <v/>
      </c>
      <c r="D270" s="180">
        <f>IF($AD270="","",MID($AD270,FIND("|",$AD270,FIND("|",$AD270)+1)+1,FIND("|",$AD270&amp;"|",FIND("|",$AD270,FIND("|",$AD270)+1)+1)-FIND("|",$AD270,FIND("|",$AD270)+1)-1))</f>
        <v/>
      </c>
      <c r="AD270">
        <f>TRIM(MID(SUBSTITUTE($BX$260,"~",REPT(" ",600)),5401,600))</f>
        <v/>
      </c>
    </row>
    <row r="271">
      <c r="B271" s="180">
        <f>IF($AD271="","",VALUE(LEFT($AD271,FIND("|",$AD271)-1)))</f>
        <v/>
      </c>
      <c r="C271" s="180">
        <f>IF($AD271="","","    "&amp;MID($AD271,FIND("|",$AD271)+1,FIND("|",$AD271,FIND("|",$AD271)+1)-FIND("|",$AD271)-1))</f>
        <v/>
      </c>
      <c r="D271" s="180">
        <f>IF($AD271="","",MID($AD271,FIND("|",$AD271,FIND("|",$AD271)+1)+1,FIND("|",$AD271&amp;"|",FIND("|",$AD271,FIND("|",$AD271)+1)+1)-FIND("|",$AD271,FIND("|",$AD271)+1)-1))</f>
        <v/>
      </c>
      <c r="AD271">
        <f>TRIM(MID(SUBSTITUTE($BX$260,"~",REPT(" ",600)),6001,600))</f>
        <v/>
      </c>
    </row>
    <row r="272">
      <c r="A272" s="178">
        <f>IF($AD$272=0,"",$BK$272)</f>
        <v/>
      </c>
      <c r="B272" s="178">
        <f>IF($AD$272=0,"",$AE$272)</f>
        <v/>
      </c>
      <c r="C272" s="178">
        <f>IF($AD$272=0,"",$AE$272&amp;") "&amp;IF(COUNTIFS(tk_SOFG,23,tk_HLEG,"&lt;&gt;"&amp;$BJ$272)=0,INDEX(tk_FLINE,$AD$272),INDEX(tk_FLINEN,$AD$272))&amp;IF($AJ$272="KD"," ( R.O. "&amp;TRIM(TEXT(N($AQ$272)+2.25,"# ?/??"))&amp;CHAR(34)&amp;" x "&amp;TRIM(TEXT(N($AR$272)+1,"# ?/??"))&amp;CHAR(34)&amp;" )",""))</f>
        <v/>
      </c>
      <c r="D272" s="178" t="n"/>
      <c r="E272" s="179">
        <f t="array" ref="E272">IF($AD$272=0,"",_xlfn.TEXTJOIN(", ",TRUE,IF(tk_SOFG=23,"#"&amp;tk_MARK&amp;IF(tk_HLEG="","","("&amp;tk_HLEG&amp;")")&amp;IF(tk_QTY&gt;1," ×"&amp;tk_QTY,""),"")))</f>
        <v/>
      </c>
      <c r="AD272">
        <f>IFERROR(MATCH(23,tk_SOFG,0),0)</f>
        <v/>
      </c>
      <c r="AE272">
        <f>IF($AD$272=0,0,SUMIF(tk_SOFG,23,tk_QTY))</f>
        <v/>
      </c>
      <c r="AF272">
        <f>IF($AD$272=0,"",INDEX(tk_JAMB,$AD$272))</f>
        <v/>
      </c>
      <c r="AG272">
        <f>IF($AD$272=0,"",INDEX(tk_ANCHOR,$AD$272))</f>
        <v/>
      </c>
      <c r="AH272">
        <f>IF($AD$272=0,"",INDEX(tk_ANCH,$AD$272))</f>
        <v/>
      </c>
      <c r="AI272">
        <f>IF($AD$272=0,"",INDEX(tk_BASEA,$AD$272))</f>
        <v/>
      </c>
      <c r="AJ272">
        <f>IF($AD$272=0,"",INDEX(tk_CONSTR,$AD$272))</f>
        <v/>
      </c>
      <c r="AK272">
        <f>IF($AD$272=0,"",INDEX(tk_CLOSER,$AD$272))</f>
        <v/>
      </c>
      <c r="AL272">
        <f>IF($AD$272=0,"",INDEX(tk_STRIKE,$AD$272))</f>
        <v/>
      </c>
      <c r="AM272">
        <f>IF($AD$272=0,"",INDEX(tk_HDRPREP,$AD$272))</f>
        <v/>
      </c>
      <c r="AN272">
        <f>IF($AD$272=0,"",INDEX(tk_DMIN,$AD$272))</f>
        <v/>
      </c>
      <c r="AO272">
        <f>IF($AD$272=0,"",INDEX(tk_PAIR,$AD$272))</f>
        <v/>
      </c>
      <c r="AP272">
        <f>IF($AD$272=0,"",INDEX(tk_FGA,$AD$272))</f>
        <v/>
      </c>
      <c r="AQ272">
        <f>IF($AD$272=0,"",INDEX(tk_WI,$AD$272))</f>
        <v/>
      </c>
      <c r="AR272">
        <f>IF($AD$272=0,"",INDEX(tk_HI,$AD$272))</f>
        <v/>
      </c>
      <c r="AS272">
        <f>IF($AD$272=0,"",INDEX(tk_FHINGE,$AD$272))</f>
        <v/>
      </c>
      <c r="AT272">
        <f>IF($AD$272=0,"",INDEX(tk_DHINGE,$AD$272))</f>
        <v/>
      </c>
      <c r="AU272">
        <f>IF($AD$272=0,"",INDEX(tk_HWLOC,$AD$272))</f>
        <v/>
      </c>
      <c r="AV272">
        <f>IF($AD$272=0,"",INDEX(tk_MANUF,$AD$272))</f>
        <v/>
      </c>
      <c r="AW272">
        <f>IF($AD$272=0,"",INDEX(tk_JH,$AD$272))</f>
        <v/>
      </c>
      <c r="AX272">
        <f>IF($AD$272=0,"",INDEX(tk_FDESC,$AD$272))</f>
        <v/>
      </c>
      <c r="AY272">
        <f>IF($AD$272=0,"",INDEX(tk_TRANS,$AD$272))</f>
        <v/>
      </c>
      <c r="AZ272">
        <f>IF($AD$272=0,"",INDEX(tk_SLW,$AD$272))</f>
        <v/>
      </c>
      <c r="BA272">
        <f>IF($AD$272=0,"",INDEX(tk_LEAVES,$AD$272))</f>
        <v/>
      </c>
      <c r="BB272">
        <f>IF($AD$272=0,"",INDEX(tk_LEAFW,$AD$272))</f>
        <v/>
      </c>
      <c r="BC272">
        <f>IF($AD$272=0,"",INDEX(tk_LEAFH,$AD$272))</f>
        <v/>
      </c>
      <c r="BD272">
        <f>IF($AD$272=0,"",INDEX(tk_DMAT,$AD$272))</f>
        <v/>
      </c>
      <c r="BE272">
        <f>IF($AD$272=0,"",INDEX(tk_DGA,$AD$272))</f>
        <v/>
      </c>
      <c r="BF272">
        <f>IF($AD$272=0,"",INDEX(tk_SERIES,$AD$272))</f>
        <v/>
      </c>
      <c r="BG272">
        <f>IF($AD$272=0,"",INDEX(tk_LOCK,$AD$272))</f>
        <v/>
      </c>
      <c r="BH272">
        <f>IF($AD$272=0,"",INDEX(tk_LITEKIT,$AD$272))</f>
        <v/>
      </c>
      <c r="BI272">
        <f>IF($AD$272=0,"",INDEX(tk_FACE,$AD$272))</f>
        <v/>
      </c>
      <c r="BJ272">
        <f>IF($AD$272=0,"",INDEX(tk_HLEG,$AD$272))</f>
        <v/>
      </c>
      <c r="BK272">
        <f>IF($AD$272=0,"",INDEX(tk_SOITEM,$AD$272))</f>
        <v/>
      </c>
      <c r="BL272">
        <f>IFERROR(VLOOKUP($AF$272,CODES,2,FALSE),"")</f>
        <v/>
      </c>
      <c r="BM272">
        <f>IF($AJ$272="KD","C","M")</f>
        <v/>
      </c>
      <c r="BN272">
        <f>IF(N($AR$272)&lt;=80,80,IF(N($AR$272)&lt;=84,84,IF(N($AR$272)&lt;=96,96,N($AR$272))))</f>
        <v/>
      </c>
      <c r="BO272">
        <f>INT($BN$272/12)&amp;MOD($BN$272,12)</f>
        <v/>
      </c>
      <c r="BP272">
        <f>INT(N($AQ$272)/12)&amp;MOD(N($AQ$272),12)</f>
        <v/>
      </c>
      <c r="BQ272">
        <f>IF(OR($AU$272="",$AU$272="ANSI/SDI",$AU$272="CUSTOM LOC"),IF($AV$272="CU","CURRIES","STEELCRAFT"),$AU$272)</f>
        <v/>
      </c>
      <c r="BR272">
        <f>$AO$272="Y"</f>
        <v/>
      </c>
      <c r="BS272">
        <f>"~"</f>
        <v/>
      </c>
      <c r="BT272">
        <f>N($AH$272)*N($AI$272)</f>
        <v/>
      </c>
      <c r="BU272">
        <f>IF(OR($AL$272="",$AL$272="-",$AL$272="E8"),"G18",$AL$272)</f>
        <v/>
      </c>
      <c r="BV272">
        <f>IF(OR($AS$272="",$AS$272="-"),"BLK",$AS$272)</f>
        <v/>
      </c>
      <c r="BW272">
        <f>" "&amp;$BM$272&amp;$AP$272&amp;" "</f>
        <v/>
      </c>
      <c r="BX272">
        <f>IF($AD$272=0,"",IF(OR($AG$272="SSA",$AG$272="SC"),$AE$272*$BT$272&amp;"|"&amp;$BL$272&amp;" STEEL STUD ANCHOR 2"&amp;CHAR(34)&amp;"||"&amp;$BS$272,"")&amp;IF($AG$272="WEWA-M",$AE$272*(N($AH$272)+1)*N($AI$272)&amp;"|FR101F 690 "&amp;$BL$272&amp;" MASONRY TUBE ANCHOR 16 GA||"&amp;$BS$272&amp;$AE$272*(N($AH$272)+1)*N($AI$272)&amp;"|3/8X5 SF3850 DYNO BOLTS||"&amp;$BS$272,"")&amp;IF($AG$272="WMA",$AE$272*$BT$272&amp;"|WIRE MASONRY ANCHOR||"&amp;$BS$272,"")&amp;IF($AG$272="T",$AE$272*$BT$272&amp;"|T-STRAP MASONRY ANCHOR||"&amp;$BS$272,"")&amp;IF($AG$272="WEWA-W",$AE$272*$BT$272&amp;"|P/D + WOOD SCREWS||"&amp;$BS$272,"")&amp;IF($AJ$272="WGS",$AE$272&amp;"|WELD &amp; GROUND SMOOTH||"&amp;$BS$272,"")&amp;IF(OR($AK$272="",$AK$272="-"),"",$AE$272*IF($BR$272,4,2)&amp;"|RACL/PACL-CLOSER REINF. 14GAx1-3/4x16 HRPO|"&amp;$AK$272&amp;IF($BR$272," BOTH SIDES","")&amp;"|"&amp;$BS$272)&amp;IF($AL$272="E8",$AE$272&amp;"|E8-STRIKE REINF. RIM EXIT||"&amp;$BS$272,"")&amp;IF(ISNUMBER(SEARCH("E4",$AL$272)),$AE$272&amp;"|FRAME DEADLOCK PREP||"&amp;$BS$272,"")&amp;IF($AL$272="E9",$AE$272&amp;"|ELECTRIC STRIKE PREP||"&amp;$BS$272,"")&amp;IF($AM$272="H5",$AE$272&amp;"|H5 STRIKE PREP IN HEADER||"&amp;$BS$272,IF(OR($AM$272="",$AM$272="-"),"",$AE$272&amp;"|HEADER PREP "&amp;$AM$272&amp;"||"&amp;$BS$272))&amp;IF(N($AN$272)&gt;0,$AE$272&amp;"|"&amp;$AN$272&amp;" MINUTE STEEL FRAME LABEL "&amp;IF(OR(N($AY$272)&gt;0,N($AZ$272)&gt;0),"W/TRANSOM PANEL/SIDELIGHT","CAT. C PP")&amp;"||"&amp;$BS$272,"")&amp;IF($AX$272="BL","",$AE$272&amp;"|HD "&amp;$AF$272&amp;$BW$272&amp;$BP$272&amp;" BSC||"&amp;$BS$272&amp;IF($BR$272,$AE$272&amp;"|HJ "&amp;$AF$272&amp;$BW$272&amp;"LH "&amp;$BO$272&amp;" "&amp;$BV$272&amp;" BSC "&amp;CHAR(34)&amp;$BQ$272&amp;CHAR(34)&amp;"||"&amp;$BS$272&amp;$AE$272&amp;"|HJ "&amp;$AF$272&amp;$BW$272&amp;"RH "&amp;$BO$272&amp;" "&amp;$BV$272&amp;" BSC "&amp;CHAR(34)&amp;$BQ$272&amp;CHAR(34)&amp;"||"&amp;$BS$272,$AE$272&amp;"|HJ "&amp;$AF$272&amp;$BW$272&amp;$AW$272&amp;" "&amp;$BO$272&amp;" "&amp;$BV$272&amp;" BSC "&amp;CHAR(34)&amp;$BQ$272&amp;CHAR(34)&amp;"||"&amp;$BS$272&amp;$AE$272&amp;"|SJ "&amp;$AF$272&amp;$BW$272&amp;$AW$272&amp;" "&amp;$BO$272&amp;" "&amp;$BU$272&amp;IF($BU$272="G18"," BLANK"," Y")&amp;" BSC "&amp;CHAR(34)&amp;$BQ$272&amp;CHAR(34)&amp;"||"&amp;$BS$272))&amp;IF(AND($BN$272&gt;N($AR$272),$AX$272&lt;&gt;"BL",N($AR$272)&gt;=60),$AE$272&amp;"|FRAME CUT DOWN (BOTTOM)|Cut "&amp;TRIM(TEXT($BN$272-N($AR$272),"# ?/??"))&amp;CHAR(34)&amp;" OFF THE BOTTOM|"&amp;$BS$272,""))</f>
        <v/>
      </c>
    </row>
    <row r="273">
      <c r="B273" s="180">
        <f>IF($AD273="","",VALUE(LEFT($AD273,FIND("|",$AD273)-1)))</f>
        <v/>
      </c>
      <c r="C273" s="180">
        <f>IF($AD273="","","    "&amp;MID($AD273,FIND("|",$AD273)+1,FIND("|",$AD273,FIND("|",$AD273)+1)-FIND("|",$AD273)-1))</f>
        <v/>
      </c>
      <c r="D273" s="180">
        <f>IF($AD273="","",MID($AD273,FIND("|",$AD273,FIND("|",$AD273)+1)+1,FIND("|",$AD273&amp;"|",FIND("|",$AD273,FIND("|",$AD273)+1)+1)-FIND("|",$AD273,FIND("|",$AD273)+1)-1))</f>
        <v/>
      </c>
      <c r="AD273">
        <f>TRIM(MID(SUBSTITUTE($BX$272,"~",REPT(" ",600)),1,600))</f>
        <v/>
      </c>
    </row>
    <row r="274">
      <c r="B274" s="180">
        <f>IF($AD274="","",VALUE(LEFT($AD274,FIND("|",$AD274)-1)))</f>
        <v/>
      </c>
      <c r="C274" s="180">
        <f>IF($AD274="","","    "&amp;MID($AD274,FIND("|",$AD274)+1,FIND("|",$AD274,FIND("|",$AD274)+1)-FIND("|",$AD274)-1))</f>
        <v/>
      </c>
      <c r="D274" s="180">
        <f>IF($AD274="","",MID($AD274,FIND("|",$AD274,FIND("|",$AD274)+1)+1,FIND("|",$AD274&amp;"|",FIND("|",$AD274,FIND("|",$AD274)+1)+1)-FIND("|",$AD274,FIND("|",$AD274)+1)-1))</f>
        <v/>
      </c>
      <c r="AD274">
        <f>TRIM(MID(SUBSTITUTE($BX$272,"~",REPT(" ",600)),601,600))</f>
        <v/>
      </c>
    </row>
    <row r="275">
      <c r="B275" s="180">
        <f>IF($AD275="","",VALUE(LEFT($AD275,FIND("|",$AD275)-1)))</f>
        <v/>
      </c>
      <c r="C275" s="180">
        <f>IF($AD275="","","    "&amp;MID($AD275,FIND("|",$AD275)+1,FIND("|",$AD275,FIND("|",$AD275)+1)-FIND("|",$AD275)-1))</f>
        <v/>
      </c>
      <c r="D275" s="180">
        <f>IF($AD275="","",MID($AD275,FIND("|",$AD275,FIND("|",$AD275)+1)+1,FIND("|",$AD275&amp;"|",FIND("|",$AD275,FIND("|",$AD275)+1)+1)-FIND("|",$AD275,FIND("|",$AD275)+1)-1))</f>
        <v/>
      </c>
      <c r="AD275">
        <f>TRIM(MID(SUBSTITUTE($BX$272,"~",REPT(" ",600)),1201,600))</f>
        <v/>
      </c>
    </row>
    <row r="276">
      <c r="B276" s="180">
        <f>IF($AD276="","",VALUE(LEFT($AD276,FIND("|",$AD276)-1)))</f>
        <v/>
      </c>
      <c r="C276" s="180">
        <f>IF($AD276="","","    "&amp;MID($AD276,FIND("|",$AD276)+1,FIND("|",$AD276,FIND("|",$AD276)+1)-FIND("|",$AD276)-1))</f>
        <v/>
      </c>
      <c r="D276" s="180">
        <f>IF($AD276="","",MID($AD276,FIND("|",$AD276,FIND("|",$AD276)+1)+1,FIND("|",$AD276&amp;"|",FIND("|",$AD276,FIND("|",$AD276)+1)+1)-FIND("|",$AD276,FIND("|",$AD276)+1)-1))</f>
        <v/>
      </c>
      <c r="AD276">
        <f>TRIM(MID(SUBSTITUTE($BX$272,"~",REPT(" ",600)),1801,600))</f>
        <v/>
      </c>
    </row>
    <row r="277">
      <c r="B277" s="180">
        <f>IF($AD277="","",VALUE(LEFT($AD277,FIND("|",$AD277)-1)))</f>
        <v/>
      </c>
      <c r="C277" s="180">
        <f>IF($AD277="","","    "&amp;MID($AD277,FIND("|",$AD277)+1,FIND("|",$AD277,FIND("|",$AD277)+1)-FIND("|",$AD277)-1))</f>
        <v/>
      </c>
      <c r="D277" s="180">
        <f>IF($AD277="","",MID($AD277,FIND("|",$AD277,FIND("|",$AD277)+1)+1,FIND("|",$AD277&amp;"|",FIND("|",$AD277,FIND("|",$AD277)+1)+1)-FIND("|",$AD277,FIND("|",$AD277)+1)-1))</f>
        <v/>
      </c>
      <c r="AD277">
        <f>TRIM(MID(SUBSTITUTE($BX$272,"~",REPT(" ",600)),2401,600))</f>
        <v/>
      </c>
    </row>
    <row r="278">
      <c r="B278" s="180">
        <f>IF($AD278="","",VALUE(LEFT($AD278,FIND("|",$AD278)-1)))</f>
        <v/>
      </c>
      <c r="C278" s="180">
        <f>IF($AD278="","","    "&amp;MID($AD278,FIND("|",$AD278)+1,FIND("|",$AD278,FIND("|",$AD278)+1)-FIND("|",$AD278)-1))</f>
        <v/>
      </c>
      <c r="D278" s="180">
        <f>IF($AD278="","",MID($AD278,FIND("|",$AD278,FIND("|",$AD278)+1)+1,FIND("|",$AD278&amp;"|",FIND("|",$AD278,FIND("|",$AD278)+1)+1)-FIND("|",$AD278,FIND("|",$AD278)+1)-1))</f>
        <v/>
      </c>
      <c r="AD278">
        <f>TRIM(MID(SUBSTITUTE($BX$272,"~",REPT(" ",600)),3001,600))</f>
        <v/>
      </c>
    </row>
    <row r="279">
      <c r="B279" s="180">
        <f>IF($AD279="","",VALUE(LEFT($AD279,FIND("|",$AD279)-1)))</f>
        <v/>
      </c>
      <c r="C279" s="180">
        <f>IF($AD279="","","    "&amp;MID($AD279,FIND("|",$AD279)+1,FIND("|",$AD279,FIND("|",$AD279)+1)-FIND("|",$AD279)-1))</f>
        <v/>
      </c>
      <c r="D279" s="180">
        <f>IF($AD279="","",MID($AD279,FIND("|",$AD279,FIND("|",$AD279)+1)+1,FIND("|",$AD279&amp;"|",FIND("|",$AD279,FIND("|",$AD279)+1)+1)-FIND("|",$AD279,FIND("|",$AD279)+1)-1))</f>
        <v/>
      </c>
      <c r="AD279">
        <f>TRIM(MID(SUBSTITUTE($BX$272,"~",REPT(" ",600)),3601,600))</f>
        <v/>
      </c>
    </row>
    <row r="280">
      <c r="B280" s="180">
        <f>IF($AD280="","",VALUE(LEFT($AD280,FIND("|",$AD280)-1)))</f>
        <v/>
      </c>
      <c r="C280" s="180">
        <f>IF($AD280="","","    "&amp;MID($AD280,FIND("|",$AD280)+1,FIND("|",$AD280,FIND("|",$AD280)+1)-FIND("|",$AD280)-1))</f>
        <v/>
      </c>
      <c r="D280" s="180">
        <f>IF($AD280="","",MID($AD280,FIND("|",$AD280,FIND("|",$AD280)+1)+1,FIND("|",$AD280&amp;"|",FIND("|",$AD280,FIND("|",$AD280)+1)+1)-FIND("|",$AD280,FIND("|",$AD280)+1)-1))</f>
        <v/>
      </c>
      <c r="AD280">
        <f>TRIM(MID(SUBSTITUTE($BX$272,"~",REPT(" ",600)),4201,600))</f>
        <v/>
      </c>
    </row>
    <row r="281">
      <c r="B281" s="180">
        <f>IF($AD281="","",VALUE(LEFT($AD281,FIND("|",$AD281)-1)))</f>
        <v/>
      </c>
      <c r="C281" s="180">
        <f>IF($AD281="","","    "&amp;MID($AD281,FIND("|",$AD281)+1,FIND("|",$AD281,FIND("|",$AD281)+1)-FIND("|",$AD281)-1))</f>
        <v/>
      </c>
      <c r="D281" s="180">
        <f>IF($AD281="","",MID($AD281,FIND("|",$AD281,FIND("|",$AD281)+1)+1,FIND("|",$AD281&amp;"|",FIND("|",$AD281,FIND("|",$AD281)+1)+1)-FIND("|",$AD281,FIND("|",$AD281)+1)-1))</f>
        <v/>
      </c>
      <c r="AD281">
        <f>TRIM(MID(SUBSTITUTE($BX$272,"~",REPT(" ",600)),4801,600))</f>
        <v/>
      </c>
    </row>
    <row r="282">
      <c r="B282" s="180">
        <f>IF($AD282="","",VALUE(LEFT($AD282,FIND("|",$AD282)-1)))</f>
        <v/>
      </c>
      <c r="C282" s="180">
        <f>IF($AD282="","","    "&amp;MID($AD282,FIND("|",$AD282)+1,FIND("|",$AD282,FIND("|",$AD282)+1)-FIND("|",$AD282)-1))</f>
        <v/>
      </c>
      <c r="D282" s="180">
        <f>IF($AD282="","",MID($AD282,FIND("|",$AD282,FIND("|",$AD282)+1)+1,FIND("|",$AD282&amp;"|",FIND("|",$AD282,FIND("|",$AD282)+1)+1)-FIND("|",$AD282,FIND("|",$AD282)+1)-1))</f>
        <v/>
      </c>
      <c r="AD282">
        <f>TRIM(MID(SUBSTITUTE($BX$272,"~",REPT(" ",600)),5401,600))</f>
        <v/>
      </c>
    </row>
    <row r="283">
      <c r="B283" s="180">
        <f>IF($AD283="","",VALUE(LEFT($AD283,FIND("|",$AD283)-1)))</f>
        <v/>
      </c>
      <c r="C283" s="180">
        <f>IF($AD283="","","    "&amp;MID($AD283,FIND("|",$AD283)+1,FIND("|",$AD283,FIND("|",$AD283)+1)-FIND("|",$AD283)-1))</f>
        <v/>
      </c>
      <c r="D283" s="180">
        <f>IF($AD283="","",MID($AD283,FIND("|",$AD283,FIND("|",$AD283)+1)+1,FIND("|",$AD283&amp;"|",FIND("|",$AD283,FIND("|",$AD283)+1)+1)-FIND("|",$AD283,FIND("|",$AD283)+1)-1))</f>
        <v/>
      </c>
      <c r="AD283">
        <f>TRIM(MID(SUBSTITUTE($BX$272,"~",REPT(" ",600)),6001,600))</f>
        <v/>
      </c>
    </row>
    <row r="284">
      <c r="A284" s="178">
        <f>IF($AD$284=0,"",$BK$284)</f>
        <v/>
      </c>
      <c r="B284" s="178">
        <f>IF($AD$284=0,"",$AE$284)</f>
        <v/>
      </c>
      <c r="C284" s="178">
        <f>IF($AD$284=0,"",$AE$284&amp;") "&amp;IF(COUNTIFS(tk_SOFG,24,tk_HLEG,"&lt;&gt;"&amp;$BJ$284)=0,INDEX(tk_FLINE,$AD$284),INDEX(tk_FLINEN,$AD$284))&amp;IF($AJ$284="KD"," ( R.O. "&amp;TRIM(TEXT(N($AQ$284)+2.25,"# ?/??"))&amp;CHAR(34)&amp;" x "&amp;TRIM(TEXT(N($AR$284)+1,"# ?/??"))&amp;CHAR(34)&amp;" )",""))</f>
        <v/>
      </c>
      <c r="D284" s="178" t="n"/>
      <c r="E284" s="179">
        <f t="array" ref="E284">IF($AD$284=0,"",_xlfn.TEXTJOIN(", ",TRUE,IF(tk_SOFG=24,"#"&amp;tk_MARK&amp;IF(tk_HLEG="","","("&amp;tk_HLEG&amp;")")&amp;IF(tk_QTY&gt;1," ×"&amp;tk_QTY,""),"")))</f>
        <v/>
      </c>
      <c r="AD284">
        <f>IFERROR(MATCH(24,tk_SOFG,0),0)</f>
        <v/>
      </c>
      <c r="AE284">
        <f>IF($AD$284=0,0,SUMIF(tk_SOFG,24,tk_QTY))</f>
        <v/>
      </c>
      <c r="AF284">
        <f>IF($AD$284=0,"",INDEX(tk_JAMB,$AD$284))</f>
        <v/>
      </c>
      <c r="AG284">
        <f>IF($AD$284=0,"",INDEX(tk_ANCHOR,$AD$284))</f>
        <v/>
      </c>
      <c r="AH284">
        <f>IF($AD$284=0,"",INDEX(tk_ANCH,$AD$284))</f>
        <v/>
      </c>
      <c r="AI284">
        <f>IF($AD$284=0,"",INDEX(tk_BASEA,$AD$284))</f>
        <v/>
      </c>
      <c r="AJ284">
        <f>IF($AD$284=0,"",INDEX(tk_CONSTR,$AD$284))</f>
        <v/>
      </c>
      <c r="AK284">
        <f>IF($AD$284=0,"",INDEX(tk_CLOSER,$AD$284))</f>
        <v/>
      </c>
      <c r="AL284">
        <f>IF($AD$284=0,"",INDEX(tk_STRIKE,$AD$284))</f>
        <v/>
      </c>
      <c r="AM284">
        <f>IF($AD$284=0,"",INDEX(tk_HDRPREP,$AD$284))</f>
        <v/>
      </c>
      <c r="AN284">
        <f>IF($AD$284=0,"",INDEX(tk_DMIN,$AD$284))</f>
        <v/>
      </c>
      <c r="AO284">
        <f>IF($AD$284=0,"",INDEX(tk_PAIR,$AD$284))</f>
        <v/>
      </c>
      <c r="AP284">
        <f>IF($AD$284=0,"",INDEX(tk_FGA,$AD$284))</f>
        <v/>
      </c>
      <c r="AQ284">
        <f>IF($AD$284=0,"",INDEX(tk_WI,$AD$284))</f>
        <v/>
      </c>
      <c r="AR284">
        <f>IF($AD$284=0,"",INDEX(tk_HI,$AD$284))</f>
        <v/>
      </c>
      <c r="AS284">
        <f>IF($AD$284=0,"",INDEX(tk_FHINGE,$AD$284))</f>
        <v/>
      </c>
      <c r="AT284">
        <f>IF($AD$284=0,"",INDEX(tk_DHINGE,$AD$284))</f>
        <v/>
      </c>
      <c r="AU284">
        <f>IF($AD$284=0,"",INDEX(tk_HWLOC,$AD$284))</f>
        <v/>
      </c>
      <c r="AV284">
        <f>IF($AD$284=0,"",INDEX(tk_MANUF,$AD$284))</f>
        <v/>
      </c>
      <c r="AW284">
        <f>IF($AD$284=0,"",INDEX(tk_JH,$AD$284))</f>
        <v/>
      </c>
      <c r="AX284">
        <f>IF($AD$284=0,"",INDEX(tk_FDESC,$AD$284))</f>
        <v/>
      </c>
      <c r="AY284">
        <f>IF($AD$284=0,"",INDEX(tk_TRANS,$AD$284))</f>
        <v/>
      </c>
      <c r="AZ284">
        <f>IF($AD$284=0,"",INDEX(tk_SLW,$AD$284))</f>
        <v/>
      </c>
      <c r="BA284">
        <f>IF($AD$284=0,"",INDEX(tk_LEAVES,$AD$284))</f>
        <v/>
      </c>
      <c r="BB284">
        <f>IF($AD$284=0,"",INDEX(tk_LEAFW,$AD$284))</f>
        <v/>
      </c>
      <c r="BC284">
        <f>IF($AD$284=0,"",INDEX(tk_LEAFH,$AD$284))</f>
        <v/>
      </c>
      <c r="BD284">
        <f>IF($AD$284=0,"",INDEX(tk_DMAT,$AD$284))</f>
        <v/>
      </c>
      <c r="BE284">
        <f>IF($AD$284=0,"",INDEX(tk_DGA,$AD$284))</f>
        <v/>
      </c>
      <c r="BF284">
        <f>IF($AD$284=0,"",INDEX(tk_SERIES,$AD$284))</f>
        <v/>
      </c>
      <c r="BG284">
        <f>IF($AD$284=0,"",INDEX(tk_LOCK,$AD$284))</f>
        <v/>
      </c>
      <c r="BH284">
        <f>IF($AD$284=0,"",INDEX(tk_LITEKIT,$AD$284))</f>
        <v/>
      </c>
      <c r="BI284">
        <f>IF($AD$284=0,"",INDEX(tk_FACE,$AD$284))</f>
        <v/>
      </c>
      <c r="BJ284">
        <f>IF($AD$284=0,"",INDEX(tk_HLEG,$AD$284))</f>
        <v/>
      </c>
      <c r="BK284">
        <f>IF($AD$284=0,"",INDEX(tk_SOITEM,$AD$284))</f>
        <v/>
      </c>
      <c r="BL284">
        <f>IFERROR(VLOOKUP($AF$284,CODES,2,FALSE),"")</f>
        <v/>
      </c>
      <c r="BM284">
        <f>IF($AJ$284="KD","C","M")</f>
        <v/>
      </c>
      <c r="BN284">
        <f>IF(N($AR$284)&lt;=80,80,IF(N($AR$284)&lt;=84,84,IF(N($AR$284)&lt;=96,96,N($AR$284))))</f>
        <v/>
      </c>
      <c r="BO284">
        <f>INT($BN$284/12)&amp;MOD($BN$284,12)</f>
        <v/>
      </c>
      <c r="BP284">
        <f>INT(N($AQ$284)/12)&amp;MOD(N($AQ$284),12)</f>
        <v/>
      </c>
      <c r="BQ284">
        <f>IF(OR($AU$284="",$AU$284="ANSI/SDI",$AU$284="CUSTOM LOC"),IF($AV$284="CU","CURRIES","STEELCRAFT"),$AU$284)</f>
        <v/>
      </c>
      <c r="BR284">
        <f>$AO$284="Y"</f>
        <v/>
      </c>
      <c r="BS284">
        <f>"~"</f>
        <v/>
      </c>
      <c r="BT284">
        <f>N($AH$284)*N($AI$284)</f>
        <v/>
      </c>
      <c r="BU284">
        <f>IF(OR($AL$284="",$AL$284="-",$AL$284="E8"),"G18",$AL$284)</f>
        <v/>
      </c>
      <c r="BV284">
        <f>IF(OR($AS$284="",$AS$284="-"),"BLK",$AS$284)</f>
        <v/>
      </c>
      <c r="BW284">
        <f>" "&amp;$BM$284&amp;$AP$284&amp;" "</f>
        <v/>
      </c>
      <c r="BX284">
        <f>IF($AD$284=0,"",IF(OR($AG$284="SSA",$AG$284="SC"),$AE$284*$BT$284&amp;"|"&amp;$BL$284&amp;" STEEL STUD ANCHOR 2"&amp;CHAR(34)&amp;"||"&amp;$BS$284,"")&amp;IF($AG$284="WEWA-M",$AE$284*(N($AH$284)+1)*N($AI$284)&amp;"|FR101F 690 "&amp;$BL$284&amp;" MASONRY TUBE ANCHOR 16 GA||"&amp;$BS$284&amp;$AE$284*(N($AH$284)+1)*N($AI$284)&amp;"|3/8X5 SF3850 DYNO BOLTS||"&amp;$BS$284,"")&amp;IF($AG$284="WMA",$AE$284*$BT$284&amp;"|WIRE MASONRY ANCHOR||"&amp;$BS$284,"")&amp;IF($AG$284="T",$AE$284*$BT$284&amp;"|T-STRAP MASONRY ANCHOR||"&amp;$BS$284,"")&amp;IF($AG$284="WEWA-W",$AE$284*$BT$284&amp;"|P/D + WOOD SCREWS||"&amp;$BS$284,"")&amp;IF($AJ$284="WGS",$AE$284&amp;"|WELD &amp; GROUND SMOOTH||"&amp;$BS$284,"")&amp;IF(OR($AK$284="",$AK$284="-"),"",$AE$284*IF($BR$284,4,2)&amp;"|RACL/PACL-CLOSER REINF. 14GAx1-3/4x16 HRPO|"&amp;$AK$284&amp;IF($BR$284," BOTH SIDES","")&amp;"|"&amp;$BS$284)&amp;IF($AL$284="E8",$AE$284&amp;"|E8-STRIKE REINF. RIM EXIT||"&amp;$BS$284,"")&amp;IF(ISNUMBER(SEARCH("E4",$AL$284)),$AE$284&amp;"|FRAME DEADLOCK PREP||"&amp;$BS$284,"")&amp;IF($AL$284="E9",$AE$284&amp;"|ELECTRIC STRIKE PREP||"&amp;$BS$284,"")&amp;IF($AM$284="H5",$AE$284&amp;"|H5 STRIKE PREP IN HEADER||"&amp;$BS$284,IF(OR($AM$284="",$AM$284="-"),"",$AE$284&amp;"|HEADER PREP "&amp;$AM$284&amp;"||"&amp;$BS$284))&amp;IF(N($AN$284)&gt;0,$AE$284&amp;"|"&amp;$AN$284&amp;" MINUTE STEEL FRAME LABEL "&amp;IF(OR(N($AY$284)&gt;0,N($AZ$284)&gt;0),"W/TRANSOM PANEL/SIDELIGHT","CAT. C PP")&amp;"||"&amp;$BS$284,"")&amp;IF($AX$284="BL","",$AE$284&amp;"|HD "&amp;$AF$284&amp;$BW$284&amp;$BP$284&amp;" BSC||"&amp;$BS$284&amp;IF($BR$284,$AE$284&amp;"|HJ "&amp;$AF$284&amp;$BW$284&amp;"LH "&amp;$BO$284&amp;" "&amp;$BV$284&amp;" BSC "&amp;CHAR(34)&amp;$BQ$284&amp;CHAR(34)&amp;"||"&amp;$BS$284&amp;$AE$284&amp;"|HJ "&amp;$AF$284&amp;$BW$284&amp;"RH "&amp;$BO$284&amp;" "&amp;$BV$284&amp;" BSC "&amp;CHAR(34)&amp;$BQ$284&amp;CHAR(34)&amp;"||"&amp;$BS$284,$AE$284&amp;"|HJ "&amp;$AF$284&amp;$BW$284&amp;$AW$284&amp;" "&amp;$BO$284&amp;" "&amp;$BV$284&amp;" BSC "&amp;CHAR(34)&amp;$BQ$284&amp;CHAR(34)&amp;"||"&amp;$BS$284&amp;$AE$284&amp;"|SJ "&amp;$AF$284&amp;$BW$284&amp;$AW$284&amp;" "&amp;$BO$284&amp;" "&amp;$BU$284&amp;IF($BU$284="G18"," BLANK"," Y")&amp;" BSC "&amp;CHAR(34)&amp;$BQ$284&amp;CHAR(34)&amp;"||"&amp;$BS$284))&amp;IF(AND($BN$284&gt;N($AR$284),$AX$284&lt;&gt;"BL",N($AR$284)&gt;=60),$AE$284&amp;"|FRAME CUT DOWN (BOTTOM)|Cut "&amp;TRIM(TEXT($BN$284-N($AR$284),"# ?/??"))&amp;CHAR(34)&amp;" OFF THE BOTTOM|"&amp;$BS$284,""))</f>
        <v/>
      </c>
    </row>
    <row r="285">
      <c r="B285" s="180">
        <f>IF($AD285="","",VALUE(LEFT($AD285,FIND("|",$AD285)-1)))</f>
        <v/>
      </c>
      <c r="C285" s="180">
        <f>IF($AD285="","","    "&amp;MID($AD285,FIND("|",$AD285)+1,FIND("|",$AD285,FIND("|",$AD285)+1)-FIND("|",$AD285)-1))</f>
        <v/>
      </c>
      <c r="D285" s="180">
        <f>IF($AD285="","",MID($AD285,FIND("|",$AD285,FIND("|",$AD285)+1)+1,FIND("|",$AD285&amp;"|",FIND("|",$AD285,FIND("|",$AD285)+1)+1)-FIND("|",$AD285,FIND("|",$AD285)+1)-1))</f>
        <v/>
      </c>
      <c r="AD285">
        <f>TRIM(MID(SUBSTITUTE($BX$284,"~",REPT(" ",600)),1,600))</f>
        <v/>
      </c>
    </row>
    <row r="286">
      <c r="B286" s="180">
        <f>IF($AD286="","",VALUE(LEFT($AD286,FIND("|",$AD286)-1)))</f>
        <v/>
      </c>
      <c r="C286" s="180">
        <f>IF($AD286="","","    "&amp;MID($AD286,FIND("|",$AD286)+1,FIND("|",$AD286,FIND("|",$AD286)+1)-FIND("|",$AD286)-1))</f>
        <v/>
      </c>
      <c r="D286" s="180">
        <f>IF($AD286="","",MID($AD286,FIND("|",$AD286,FIND("|",$AD286)+1)+1,FIND("|",$AD286&amp;"|",FIND("|",$AD286,FIND("|",$AD286)+1)+1)-FIND("|",$AD286,FIND("|",$AD286)+1)-1))</f>
        <v/>
      </c>
      <c r="AD286">
        <f>TRIM(MID(SUBSTITUTE($BX$284,"~",REPT(" ",600)),601,600))</f>
        <v/>
      </c>
    </row>
    <row r="287">
      <c r="B287" s="180">
        <f>IF($AD287="","",VALUE(LEFT($AD287,FIND("|",$AD287)-1)))</f>
        <v/>
      </c>
      <c r="C287" s="180">
        <f>IF($AD287="","","    "&amp;MID($AD287,FIND("|",$AD287)+1,FIND("|",$AD287,FIND("|",$AD287)+1)-FIND("|",$AD287)-1))</f>
        <v/>
      </c>
      <c r="D287" s="180">
        <f>IF($AD287="","",MID($AD287,FIND("|",$AD287,FIND("|",$AD287)+1)+1,FIND("|",$AD287&amp;"|",FIND("|",$AD287,FIND("|",$AD287)+1)+1)-FIND("|",$AD287,FIND("|",$AD287)+1)-1))</f>
        <v/>
      </c>
      <c r="AD287">
        <f>TRIM(MID(SUBSTITUTE($BX$284,"~",REPT(" ",600)),1201,600))</f>
        <v/>
      </c>
    </row>
    <row r="288">
      <c r="B288" s="180">
        <f>IF($AD288="","",VALUE(LEFT($AD288,FIND("|",$AD288)-1)))</f>
        <v/>
      </c>
      <c r="C288" s="180">
        <f>IF($AD288="","","    "&amp;MID($AD288,FIND("|",$AD288)+1,FIND("|",$AD288,FIND("|",$AD288)+1)-FIND("|",$AD288)-1))</f>
        <v/>
      </c>
      <c r="D288" s="180">
        <f>IF($AD288="","",MID($AD288,FIND("|",$AD288,FIND("|",$AD288)+1)+1,FIND("|",$AD288&amp;"|",FIND("|",$AD288,FIND("|",$AD288)+1)+1)-FIND("|",$AD288,FIND("|",$AD288)+1)-1))</f>
        <v/>
      </c>
      <c r="AD288">
        <f>TRIM(MID(SUBSTITUTE($BX$284,"~",REPT(" ",600)),1801,600))</f>
        <v/>
      </c>
    </row>
    <row r="289">
      <c r="B289" s="180">
        <f>IF($AD289="","",VALUE(LEFT($AD289,FIND("|",$AD289)-1)))</f>
        <v/>
      </c>
      <c r="C289" s="180">
        <f>IF($AD289="","","    "&amp;MID($AD289,FIND("|",$AD289)+1,FIND("|",$AD289,FIND("|",$AD289)+1)-FIND("|",$AD289)-1))</f>
        <v/>
      </c>
      <c r="D289" s="180">
        <f>IF($AD289="","",MID($AD289,FIND("|",$AD289,FIND("|",$AD289)+1)+1,FIND("|",$AD289&amp;"|",FIND("|",$AD289,FIND("|",$AD289)+1)+1)-FIND("|",$AD289,FIND("|",$AD289)+1)-1))</f>
        <v/>
      </c>
      <c r="AD289">
        <f>TRIM(MID(SUBSTITUTE($BX$284,"~",REPT(" ",600)),2401,600))</f>
        <v/>
      </c>
    </row>
    <row r="290">
      <c r="B290" s="180">
        <f>IF($AD290="","",VALUE(LEFT($AD290,FIND("|",$AD290)-1)))</f>
        <v/>
      </c>
      <c r="C290" s="180">
        <f>IF($AD290="","","    "&amp;MID($AD290,FIND("|",$AD290)+1,FIND("|",$AD290,FIND("|",$AD290)+1)-FIND("|",$AD290)-1))</f>
        <v/>
      </c>
      <c r="D290" s="180">
        <f>IF($AD290="","",MID($AD290,FIND("|",$AD290,FIND("|",$AD290)+1)+1,FIND("|",$AD290&amp;"|",FIND("|",$AD290,FIND("|",$AD290)+1)+1)-FIND("|",$AD290,FIND("|",$AD290)+1)-1))</f>
        <v/>
      </c>
      <c r="AD290">
        <f>TRIM(MID(SUBSTITUTE($BX$284,"~",REPT(" ",600)),3001,600))</f>
        <v/>
      </c>
    </row>
    <row r="291">
      <c r="B291" s="180">
        <f>IF($AD291="","",VALUE(LEFT($AD291,FIND("|",$AD291)-1)))</f>
        <v/>
      </c>
      <c r="C291" s="180">
        <f>IF($AD291="","","    "&amp;MID($AD291,FIND("|",$AD291)+1,FIND("|",$AD291,FIND("|",$AD291)+1)-FIND("|",$AD291)-1))</f>
        <v/>
      </c>
      <c r="D291" s="180">
        <f>IF($AD291="","",MID($AD291,FIND("|",$AD291,FIND("|",$AD291)+1)+1,FIND("|",$AD291&amp;"|",FIND("|",$AD291,FIND("|",$AD291)+1)+1)-FIND("|",$AD291,FIND("|",$AD291)+1)-1))</f>
        <v/>
      </c>
      <c r="AD291">
        <f>TRIM(MID(SUBSTITUTE($BX$284,"~",REPT(" ",600)),3601,600))</f>
        <v/>
      </c>
    </row>
    <row r="292">
      <c r="B292" s="180">
        <f>IF($AD292="","",VALUE(LEFT($AD292,FIND("|",$AD292)-1)))</f>
        <v/>
      </c>
      <c r="C292" s="180">
        <f>IF($AD292="","","    "&amp;MID($AD292,FIND("|",$AD292)+1,FIND("|",$AD292,FIND("|",$AD292)+1)-FIND("|",$AD292)-1))</f>
        <v/>
      </c>
      <c r="D292" s="180">
        <f>IF($AD292="","",MID($AD292,FIND("|",$AD292,FIND("|",$AD292)+1)+1,FIND("|",$AD292&amp;"|",FIND("|",$AD292,FIND("|",$AD292)+1)+1)-FIND("|",$AD292,FIND("|",$AD292)+1)-1))</f>
        <v/>
      </c>
      <c r="AD292">
        <f>TRIM(MID(SUBSTITUTE($BX$284,"~",REPT(" ",600)),4201,600))</f>
        <v/>
      </c>
    </row>
    <row r="293">
      <c r="B293" s="180">
        <f>IF($AD293="","",VALUE(LEFT($AD293,FIND("|",$AD293)-1)))</f>
        <v/>
      </c>
      <c r="C293" s="180">
        <f>IF($AD293="","","    "&amp;MID($AD293,FIND("|",$AD293)+1,FIND("|",$AD293,FIND("|",$AD293)+1)-FIND("|",$AD293)-1))</f>
        <v/>
      </c>
      <c r="D293" s="180">
        <f>IF($AD293="","",MID($AD293,FIND("|",$AD293,FIND("|",$AD293)+1)+1,FIND("|",$AD293&amp;"|",FIND("|",$AD293,FIND("|",$AD293)+1)+1)-FIND("|",$AD293,FIND("|",$AD293)+1)-1))</f>
        <v/>
      </c>
      <c r="AD293">
        <f>TRIM(MID(SUBSTITUTE($BX$284,"~",REPT(" ",600)),4801,600))</f>
        <v/>
      </c>
    </row>
    <row r="294">
      <c r="B294" s="180">
        <f>IF($AD294="","",VALUE(LEFT($AD294,FIND("|",$AD294)-1)))</f>
        <v/>
      </c>
      <c r="C294" s="180">
        <f>IF($AD294="","","    "&amp;MID($AD294,FIND("|",$AD294)+1,FIND("|",$AD294,FIND("|",$AD294)+1)-FIND("|",$AD294)-1))</f>
        <v/>
      </c>
      <c r="D294" s="180">
        <f>IF($AD294="","",MID($AD294,FIND("|",$AD294,FIND("|",$AD294)+1)+1,FIND("|",$AD294&amp;"|",FIND("|",$AD294,FIND("|",$AD294)+1)+1)-FIND("|",$AD294,FIND("|",$AD294)+1)-1))</f>
        <v/>
      </c>
      <c r="AD294">
        <f>TRIM(MID(SUBSTITUTE($BX$284,"~",REPT(" ",600)),5401,600))</f>
        <v/>
      </c>
    </row>
    <row r="295">
      <c r="B295" s="180">
        <f>IF($AD295="","",VALUE(LEFT($AD295,FIND("|",$AD295)-1)))</f>
        <v/>
      </c>
      <c r="C295" s="180">
        <f>IF($AD295="","","    "&amp;MID($AD295,FIND("|",$AD295)+1,FIND("|",$AD295,FIND("|",$AD295)+1)-FIND("|",$AD295)-1))</f>
        <v/>
      </c>
      <c r="D295" s="180">
        <f>IF($AD295="","",MID($AD295,FIND("|",$AD295,FIND("|",$AD295)+1)+1,FIND("|",$AD295&amp;"|",FIND("|",$AD295,FIND("|",$AD295)+1)+1)-FIND("|",$AD295,FIND("|",$AD295)+1)-1))</f>
        <v/>
      </c>
      <c r="AD295">
        <f>TRIM(MID(SUBSTITUTE($BX$284,"~",REPT(" ",600)),6001,600))</f>
        <v/>
      </c>
    </row>
    <row r="296">
      <c r="A296" s="178">
        <f>IF($AD$296=0,"",$BK$296)</f>
        <v/>
      </c>
      <c r="B296" s="178">
        <f>IF($AD$296=0,"",$AE$296)</f>
        <v/>
      </c>
      <c r="C296" s="178">
        <f>IF($AD$296=0,"",$AE$296&amp;") "&amp;IF(COUNTIFS(tk_SOFG,25,tk_HLEG,"&lt;&gt;"&amp;$BJ$296)=0,INDEX(tk_FLINE,$AD$296),INDEX(tk_FLINEN,$AD$296))&amp;IF($AJ$296="KD"," ( R.O. "&amp;TRIM(TEXT(N($AQ$296)+2.25,"# ?/??"))&amp;CHAR(34)&amp;" x "&amp;TRIM(TEXT(N($AR$296)+1,"# ?/??"))&amp;CHAR(34)&amp;" )",""))</f>
        <v/>
      </c>
      <c r="D296" s="178" t="n"/>
      <c r="E296" s="179">
        <f t="array" ref="E296">IF($AD$296=0,"",_xlfn.TEXTJOIN(", ",TRUE,IF(tk_SOFG=25,"#"&amp;tk_MARK&amp;IF(tk_HLEG="","","("&amp;tk_HLEG&amp;")")&amp;IF(tk_QTY&gt;1," ×"&amp;tk_QTY,""),"")))</f>
        <v/>
      </c>
      <c r="AD296">
        <f>IFERROR(MATCH(25,tk_SOFG,0),0)</f>
        <v/>
      </c>
      <c r="AE296">
        <f>IF($AD$296=0,0,SUMIF(tk_SOFG,25,tk_QTY))</f>
        <v/>
      </c>
      <c r="AF296">
        <f>IF($AD$296=0,"",INDEX(tk_JAMB,$AD$296))</f>
        <v/>
      </c>
      <c r="AG296">
        <f>IF($AD$296=0,"",INDEX(tk_ANCHOR,$AD$296))</f>
        <v/>
      </c>
      <c r="AH296">
        <f>IF($AD$296=0,"",INDEX(tk_ANCH,$AD$296))</f>
        <v/>
      </c>
      <c r="AI296">
        <f>IF($AD$296=0,"",INDEX(tk_BASEA,$AD$296))</f>
        <v/>
      </c>
      <c r="AJ296">
        <f>IF($AD$296=0,"",INDEX(tk_CONSTR,$AD$296))</f>
        <v/>
      </c>
      <c r="AK296">
        <f>IF($AD$296=0,"",INDEX(tk_CLOSER,$AD$296))</f>
        <v/>
      </c>
      <c r="AL296">
        <f>IF($AD$296=0,"",INDEX(tk_STRIKE,$AD$296))</f>
        <v/>
      </c>
      <c r="AM296">
        <f>IF($AD$296=0,"",INDEX(tk_HDRPREP,$AD$296))</f>
        <v/>
      </c>
      <c r="AN296">
        <f>IF($AD$296=0,"",INDEX(tk_DMIN,$AD$296))</f>
        <v/>
      </c>
      <c r="AO296">
        <f>IF($AD$296=0,"",INDEX(tk_PAIR,$AD$296))</f>
        <v/>
      </c>
      <c r="AP296">
        <f>IF($AD$296=0,"",INDEX(tk_FGA,$AD$296))</f>
        <v/>
      </c>
      <c r="AQ296">
        <f>IF($AD$296=0,"",INDEX(tk_WI,$AD$296))</f>
        <v/>
      </c>
      <c r="AR296">
        <f>IF($AD$296=0,"",INDEX(tk_HI,$AD$296))</f>
        <v/>
      </c>
      <c r="AS296">
        <f>IF($AD$296=0,"",INDEX(tk_FHINGE,$AD$296))</f>
        <v/>
      </c>
      <c r="AT296">
        <f>IF($AD$296=0,"",INDEX(tk_DHINGE,$AD$296))</f>
        <v/>
      </c>
      <c r="AU296">
        <f>IF($AD$296=0,"",INDEX(tk_HWLOC,$AD$296))</f>
        <v/>
      </c>
      <c r="AV296">
        <f>IF($AD$296=0,"",INDEX(tk_MANUF,$AD$296))</f>
        <v/>
      </c>
      <c r="AW296">
        <f>IF($AD$296=0,"",INDEX(tk_JH,$AD$296))</f>
        <v/>
      </c>
      <c r="AX296">
        <f>IF($AD$296=0,"",INDEX(tk_FDESC,$AD$296))</f>
        <v/>
      </c>
      <c r="AY296">
        <f>IF($AD$296=0,"",INDEX(tk_TRANS,$AD$296))</f>
        <v/>
      </c>
      <c r="AZ296">
        <f>IF($AD$296=0,"",INDEX(tk_SLW,$AD$296))</f>
        <v/>
      </c>
      <c r="BA296">
        <f>IF($AD$296=0,"",INDEX(tk_LEAVES,$AD$296))</f>
        <v/>
      </c>
      <c r="BB296">
        <f>IF($AD$296=0,"",INDEX(tk_LEAFW,$AD$296))</f>
        <v/>
      </c>
      <c r="BC296">
        <f>IF($AD$296=0,"",INDEX(tk_LEAFH,$AD$296))</f>
        <v/>
      </c>
      <c r="BD296">
        <f>IF($AD$296=0,"",INDEX(tk_DMAT,$AD$296))</f>
        <v/>
      </c>
      <c r="BE296">
        <f>IF($AD$296=0,"",INDEX(tk_DGA,$AD$296))</f>
        <v/>
      </c>
      <c r="BF296">
        <f>IF($AD$296=0,"",INDEX(tk_SERIES,$AD$296))</f>
        <v/>
      </c>
      <c r="BG296">
        <f>IF($AD$296=0,"",INDEX(tk_LOCK,$AD$296))</f>
        <v/>
      </c>
      <c r="BH296">
        <f>IF($AD$296=0,"",INDEX(tk_LITEKIT,$AD$296))</f>
        <v/>
      </c>
      <c r="BI296">
        <f>IF($AD$296=0,"",INDEX(tk_FACE,$AD$296))</f>
        <v/>
      </c>
      <c r="BJ296">
        <f>IF($AD$296=0,"",INDEX(tk_HLEG,$AD$296))</f>
        <v/>
      </c>
      <c r="BK296">
        <f>IF($AD$296=0,"",INDEX(tk_SOITEM,$AD$296))</f>
        <v/>
      </c>
      <c r="BL296">
        <f>IFERROR(VLOOKUP($AF$296,CODES,2,FALSE),"")</f>
        <v/>
      </c>
      <c r="BM296">
        <f>IF($AJ$296="KD","C","M")</f>
        <v/>
      </c>
      <c r="BN296">
        <f>IF(N($AR$296)&lt;=80,80,IF(N($AR$296)&lt;=84,84,IF(N($AR$296)&lt;=96,96,N($AR$296))))</f>
        <v/>
      </c>
      <c r="BO296">
        <f>INT($BN$296/12)&amp;MOD($BN$296,12)</f>
        <v/>
      </c>
      <c r="BP296">
        <f>INT(N($AQ$296)/12)&amp;MOD(N($AQ$296),12)</f>
        <v/>
      </c>
      <c r="BQ296">
        <f>IF(OR($AU$296="",$AU$296="ANSI/SDI",$AU$296="CUSTOM LOC"),IF($AV$296="CU","CURRIES","STEELCRAFT"),$AU$296)</f>
        <v/>
      </c>
      <c r="BR296">
        <f>$AO$296="Y"</f>
        <v/>
      </c>
      <c r="BS296">
        <f>"~"</f>
        <v/>
      </c>
      <c r="BT296">
        <f>N($AH$296)*N($AI$296)</f>
        <v/>
      </c>
      <c r="BU296">
        <f>IF(OR($AL$296="",$AL$296="-",$AL$296="E8"),"G18",$AL$296)</f>
        <v/>
      </c>
      <c r="BV296">
        <f>IF(OR($AS$296="",$AS$296="-"),"BLK",$AS$296)</f>
        <v/>
      </c>
      <c r="BW296">
        <f>" "&amp;$BM$296&amp;$AP$296&amp;" "</f>
        <v/>
      </c>
      <c r="BX296">
        <f>IF($AD$296=0,"",IF(OR($AG$296="SSA",$AG$296="SC"),$AE$296*$BT$296&amp;"|"&amp;$BL$296&amp;" STEEL STUD ANCHOR 2"&amp;CHAR(34)&amp;"||"&amp;$BS$296,"")&amp;IF($AG$296="WEWA-M",$AE$296*(N($AH$296)+1)*N($AI$296)&amp;"|FR101F 690 "&amp;$BL$296&amp;" MASONRY TUBE ANCHOR 16 GA||"&amp;$BS$296&amp;$AE$296*(N($AH$296)+1)*N($AI$296)&amp;"|3/8X5 SF3850 DYNO BOLTS||"&amp;$BS$296,"")&amp;IF($AG$296="WMA",$AE$296*$BT$296&amp;"|WIRE MASONRY ANCHOR||"&amp;$BS$296,"")&amp;IF($AG$296="T",$AE$296*$BT$296&amp;"|T-STRAP MASONRY ANCHOR||"&amp;$BS$296,"")&amp;IF($AG$296="WEWA-W",$AE$296*$BT$296&amp;"|P/D + WOOD SCREWS||"&amp;$BS$296,"")&amp;IF($AJ$296="WGS",$AE$296&amp;"|WELD &amp; GROUND SMOOTH||"&amp;$BS$296,"")&amp;IF(OR($AK$296="",$AK$296="-"),"",$AE$296*IF($BR$296,4,2)&amp;"|RACL/PACL-CLOSER REINF. 14GAx1-3/4x16 HRPO|"&amp;$AK$296&amp;IF($BR$296," BOTH SIDES","")&amp;"|"&amp;$BS$296)&amp;IF($AL$296="E8",$AE$296&amp;"|E8-STRIKE REINF. RIM EXIT||"&amp;$BS$296,"")&amp;IF(ISNUMBER(SEARCH("E4",$AL$296)),$AE$296&amp;"|FRAME DEADLOCK PREP||"&amp;$BS$296,"")&amp;IF($AL$296="E9",$AE$296&amp;"|ELECTRIC STRIKE PREP||"&amp;$BS$296,"")&amp;IF($AM$296="H5",$AE$296&amp;"|H5 STRIKE PREP IN HEADER||"&amp;$BS$296,IF(OR($AM$296="",$AM$296="-"),"",$AE$296&amp;"|HEADER PREP "&amp;$AM$296&amp;"||"&amp;$BS$296))&amp;IF(N($AN$296)&gt;0,$AE$296&amp;"|"&amp;$AN$296&amp;" MINUTE STEEL FRAME LABEL "&amp;IF(OR(N($AY$296)&gt;0,N($AZ$296)&gt;0),"W/TRANSOM PANEL/SIDELIGHT","CAT. C PP")&amp;"||"&amp;$BS$296,"")&amp;IF($AX$296="BL","",$AE$296&amp;"|HD "&amp;$AF$296&amp;$BW$296&amp;$BP$296&amp;" BSC||"&amp;$BS$296&amp;IF($BR$296,$AE$296&amp;"|HJ "&amp;$AF$296&amp;$BW$296&amp;"LH "&amp;$BO$296&amp;" "&amp;$BV$296&amp;" BSC "&amp;CHAR(34)&amp;$BQ$296&amp;CHAR(34)&amp;"||"&amp;$BS$296&amp;$AE$296&amp;"|HJ "&amp;$AF$296&amp;$BW$296&amp;"RH "&amp;$BO$296&amp;" "&amp;$BV$296&amp;" BSC "&amp;CHAR(34)&amp;$BQ$296&amp;CHAR(34)&amp;"||"&amp;$BS$296,$AE$296&amp;"|HJ "&amp;$AF$296&amp;$BW$296&amp;$AW$296&amp;" "&amp;$BO$296&amp;" "&amp;$BV$296&amp;" BSC "&amp;CHAR(34)&amp;$BQ$296&amp;CHAR(34)&amp;"||"&amp;$BS$296&amp;$AE$296&amp;"|SJ "&amp;$AF$296&amp;$BW$296&amp;$AW$296&amp;" "&amp;$BO$296&amp;" "&amp;$BU$296&amp;IF($BU$296="G18"," BLANK"," Y")&amp;" BSC "&amp;CHAR(34)&amp;$BQ$296&amp;CHAR(34)&amp;"||"&amp;$BS$296))&amp;IF(AND($BN$296&gt;N($AR$296),$AX$296&lt;&gt;"BL",N($AR$296)&gt;=60),$AE$296&amp;"|FRAME CUT DOWN (BOTTOM)|Cut "&amp;TRIM(TEXT($BN$296-N($AR$296),"# ?/??"))&amp;CHAR(34)&amp;" OFF THE BOTTOM|"&amp;$BS$296,""))</f>
        <v/>
      </c>
    </row>
    <row r="297">
      <c r="B297" s="180">
        <f>IF($AD297="","",VALUE(LEFT($AD297,FIND("|",$AD297)-1)))</f>
        <v/>
      </c>
      <c r="C297" s="180">
        <f>IF($AD297="","","    "&amp;MID($AD297,FIND("|",$AD297)+1,FIND("|",$AD297,FIND("|",$AD297)+1)-FIND("|",$AD297)-1))</f>
        <v/>
      </c>
      <c r="D297" s="180">
        <f>IF($AD297="","",MID($AD297,FIND("|",$AD297,FIND("|",$AD297)+1)+1,FIND("|",$AD297&amp;"|",FIND("|",$AD297,FIND("|",$AD297)+1)+1)-FIND("|",$AD297,FIND("|",$AD297)+1)-1))</f>
        <v/>
      </c>
      <c r="AD297">
        <f>TRIM(MID(SUBSTITUTE($BX$296,"~",REPT(" ",600)),1,600))</f>
        <v/>
      </c>
    </row>
    <row r="298">
      <c r="B298" s="180">
        <f>IF($AD298="","",VALUE(LEFT($AD298,FIND("|",$AD298)-1)))</f>
        <v/>
      </c>
      <c r="C298" s="180">
        <f>IF($AD298="","","    "&amp;MID($AD298,FIND("|",$AD298)+1,FIND("|",$AD298,FIND("|",$AD298)+1)-FIND("|",$AD298)-1))</f>
        <v/>
      </c>
      <c r="D298" s="180">
        <f>IF($AD298="","",MID($AD298,FIND("|",$AD298,FIND("|",$AD298)+1)+1,FIND("|",$AD298&amp;"|",FIND("|",$AD298,FIND("|",$AD298)+1)+1)-FIND("|",$AD298,FIND("|",$AD298)+1)-1))</f>
        <v/>
      </c>
      <c r="AD298">
        <f>TRIM(MID(SUBSTITUTE($BX$296,"~",REPT(" ",600)),601,600))</f>
        <v/>
      </c>
    </row>
    <row r="299">
      <c r="B299" s="180">
        <f>IF($AD299="","",VALUE(LEFT($AD299,FIND("|",$AD299)-1)))</f>
        <v/>
      </c>
      <c r="C299" s="180">
        <f>IF($AD299="","","    "&amp;MID($AD299,FIND("|",$AD299)+1,FIND("|",$AD299,FIND("|",$AD299)+1)-FIND("|",$AD299)-1))</f>
        <v/>
      </c>
      <c r="D299" s="180">
        <f>IF($AD299="","",MID($AD299,FIND("|",$AD299,FIND("|",$AD299)+1)+1,FIND("|",$AD299&amp;"|",FIND("|",$AD299,FIND("|",$AD299)+1)+1)-FIND("|",$AD299,FIND("|",$AD299)+1)-1))</f>
        <v/>
      </c>
      <c r="AD299">
        <f>TRIM(MID(SUBSTITUTE($BX$296,"~",REPT(" ",600)),1201,600))</f>
        <v/>
      </c>
    </row>
    <row r="300">
      <c r="B300" s="180">
        <f>IF($AD300="","",VALUE(LEFT($AD300,FIND("|",$AD300)-1)))</f>
        <v/>
      </c>
      <c r="C300" s="180">
        <f>IF($AD300="","","    "&amp;MID($AD300,FIND("|",$AD300)+1,FIND("|",$AD300,FIND("|",$AD300)+1)-FIND("|",$AD300)-1))</f>
        <v/>
      </c>
      <c r="D300" s="180">
        <f>IF($AD300="","",MID($AD300,FIND("|",$AD300,FIND("|",$AD300)+1)+1,FIND("|",$AD300&amp;"|",FIND("|",$AD300,FIND("|",$AD300)+1)+1)-FIND("|",$AD300,FIND("|",$AD300)+1)-1))</f>
        <v/>
      </c>
      <c r="AD300">
        <f>TRIM(MID(SUBSTITUTE($BX$296,"~",REPT(" ",600)),1801,600))</f>
        <v/>
      </c>
    </row>
    <row r="301">
      <c r="B301" s="180">
        <f>IF($AD301="","",VALUE(LEFT($AD301,FIND("|",$AD301)-1)))</f>
        <v/>
      </c>
      <c r="C301" s="180">
        <f>IF($AD301="","","    "&amp;MID($AD301,FIND("|",$AD301)+1,FIND("|",$AD301,FIND("|",$AD301)+1)-FIND("|",$AD301)-1))</f>
        <v/>
      </c>
      <c r="D301" s="180">
        <f>IF($AD301="","",MID($AD301,FIND("|",$AD301,FIND("|",$AD301)+1)+1,FIND("|",$AD301&amp;"|",FIND("|",$AD301,FIND("|",$AD301)+1)+1)-FIND("|",$AD301,FIND("|",$AD301)+1)-1))</f>
        <v/>
      </c>
      <c r="AD301">
        <f>TRIM(MID(SUBSTITUTE($BX$296,"~",REPT(" ",600)),2401,600))</f>
        <v/>
      </c>
    </row>
    <row r="302">
      <c r="B302" s="180">
        <f>IF($AD302="","",VALUE(LEFT($AD302,FIND("|",$AD302)-1)))</f>
        <v/>
      </c>
      <c r="C302" s="180">
        <f>IF($AD302="","","    "&amp;MID($AD302,FIND("|",$AD302)+1,FIND("|",$AD302,FIND("|",$AD302)+1)-FIND("|",$AD302)-1))</f>
        <v/>
      </c>
      <c r="D302" s="180">
        <f>IF($AD302="","",MID($AD302,FIND("|",$AD302,FIND("|",$AD302)+1)+1,FIND("|",$AD302&amp;"|",FIND("|",$AD302,FIND("|",$AD302)+1)+1)-FIND("|",$AD302,FIND("|",$AD302)+1)-1))</f>
        <v/>
      </c>
      <c r="AD302">
        <f>TRIM(MID(SUBSTITUTE($BX$296,"~",REPT(" ",600)),3001,600))</f>
        <v/>
      </c>
    </row>
    <row r="303">
      <c r="B303" s="180">
        <f>IF($AD303="","",VALUE(LEFT($AD303,FIND("|",$AD303)-1)))</f>
        <v/>
      </c>
      <c r="C303" s="180">
        <f>IF($AD303="","","    "&amp;MID($AD303,FIND("|",$AD303)+1,FIND("|",$AD303,FIND("|",$AD303)+1)-FIND("|",$AD303)-1))</f>
        <v/>
      </c>
      <c r="D303" s="180">
        <f>IF($AD303="","",MID($AD303,FIND("|",$AD303,FIND("|",$AD303)+1)+1,FIND("|",$AD303&amp;"|",FIND("|",$AD303,FIND("|",$AD303)+1)+1)-FIND("|",$AD303,FIND("|",$AD303)+1)-1))</f>
        <v/>
      </c>
      <c r="AD303">
        <f>TRIM(MID(SUBSTITUTE($BX$296,"~",REPT(" ",600)),3601,600))</f>
        <v/>
      </c>
    </row>
    <row r="304">
      <c r="B304" s="180">
        <f>IF($AD304="","",VALUE(LEFT($AD304,FIND("|",$AD304)-1)))</f>
        <v/>
      </c>
      <c r="C304" s="180">
        <f>IF($AD304="","","    "&amp;MID($AD304,FIND("|",$AD304)+1,FIND("|",$AD304,FIND("|",$AD304)+1)-FIND("|",$AD304)-1))</f>
        <v/>
      </c>
      <c r="D304" s="180">
        <f>IF($AD304="","",MID($AD304,FIND("|",$AD304,FIND("|",$AD304)+1)+1,FIND("|",$AD304&amp;"|",FIND("|",$AD304,FIND("|",$AD304)+1)+1)-FIND("|",$AD304,FIND("|",$AD304)+1)-1))</f>
        <v/>
      </c>
      <c r="AD304">
        <f>TRIM(MID(SUBSTITUTE($BX$296,"~",REPT(" ",600)),4201,600))</f>
        <v/>
      </c>
    </row>
    <row r="305">
      <c r="B305" s="180">
        <f>IF($AD305="","",VALUE(LEFT($AD305,FIND("|",$AD305)-1)))</f>
        <v/>
      </c>
      <c r="C305" s="180">
        <f>IF($AD305="","","    "&amp;MID($AD305,FIND("|",$AD305)+1,FIND("|",$AD305,FIND("|",$AD305)+1)-FIND("|",$AD305)-1))</f>
        <v/>
      </c>
      <c r="D305" s="180">
        <f>IF($AD305="","",MID($AD305,FIND("|",$AD305,FIND("|",$AD305)+1)+1,FIND("|",$AD305&amp;"|",FIND("|",$AD305,FIND("|",$AD305)+1)+1)-FIND("|",$AD305,FIND("|",$AD305)+1)-1))</f>
        <v/>
      </c>
      <c r="AD305">
        <f>TRIM(MID(SUBSTITUTE($BX$296,"~",REPT(" ",600)),4801,600))</f>
        <v/>
      </c>
    </row>
    <row r="306">
      <c r="B306" s="180">
        <f>IF($AD306="","",VALUE(LEFT($AD306,FIND("|",$AD306)-1)))</f>
        <v/>
      </c>
      <c r="C306" s="180">
        <f>IF($AD306="","","    "&amp;MID($AD306,FIND("|",$AD306)+1,FIND("|",$AD306,FIND("|",$AD306)+1)-FIND("|",$AD306)-1))</f>
        <v/>
      </c>
      <c r="D306" s="180">
        <f>IF($AD306="","",MID($AD306,FIND("|",$AD306,FIND("|",$AD306)+1)+1,FIND("|",$AD306&amp;"|",FIND("|",$AD306,FIND("|",$AD306)+1)+1)-FIND("|",$AD306,FIND("|",$AD306)+1)-1))</f>
        <v/>
      </c>
      <c r="AD306">
        <f>TRIM(MID(SUBSTITUTE($BX$296,"~",REPT(" ",600)),5401,600))</f>
        <v/>
      </c>
    </row>
    <row r="307">
      <c r="B307" s="180">
        <f>IF($AD307="","",VALUE(LEFT($AD307,FIND("|",$AD307)-1)))</f>
        <v/>
      </c>
      <c r="C307" s="180">
        <f>IF($AD307="","","    "&amp;MID($AD307,FIND("|",$AD307)+1,FIND("|",$AD307,FIND("|",$AD307)+1)-FIND("|",$AD307)-1))</f>
        <v/>
      </c>
      <c r="D307" s="180">
        <f>IF($AD307="","",MID($AD307,FIND("|",$AD307,FIND("|",$AD307)+1)+1,FIND("|",$AD307&amp;"|",FIND("|",$AD307,FIND("|",$AD307)+1)+1)-FIND("|",$AD307,FIND("|",$AD307)+1)-1))</f>
        <v/>
      </c>
      <c r="AD307">
        <f>TRIM(MID(SUBSTITUTE($BX$296,"~",REPT(" ",600)),6001,600))</f>
        <v/>
      </c>
    </row>
    <row r="308">
      <c r="A308" s="178">
        <f>IF($AD$308=0,"",$BK$308)</f>
        <v/>
      </c>
      <c r="B308" s="178">
        <f>IF($AD$308=0,"",$AE$308)</f>
        <v/>
      </c>
      <c r="C308" s="178">
        <f>IF($AD$308=0,"",$AE$308&amp;") "&amp;IF(COUNTIFS(tk_SOFG,26,tk_HLEG,"&lt;&gt;"&amp;$BJ$308)=0,INDEX(tk_FLINE,$AD$308),INDEX(tk_FLINEN,$AD$308))&amp;IF($AJ$308="KD"," ( R.O. "&amp;TRIM(TEXT(N($AQ$308)+2.25,"# ?/??"))&amp;CHAR(34)&amp;" x "&amp;TRIM(TEXT(N($AR$308)+1,"# ?/??"))&amp;CHAR(34)&amp;" )",""))</f>
        <v/>
      </c>
      <c r="D308" s="178" t="n"/>
      <c r="E308" s="179">
        <f t="array" ref="E308">IF($AD$308=0,"",_xlfn.TEXTJOIN(", ",TRUE,IF(tk_SOFG=26,"#"&amp;tk_MARK&amp;IF(tk_HLEG="","","("&amp;tk_HLEG&amp;")")&amp;IF(tk_QTY&gt;1," ×"&amp;tk_QTY,""),"")))</f>
        <v/>
      </c>
      <c r="AD308">
        <f>IFERROR(MATCH(26,tk_SOFG,0),0)</f>
        <v/>
      </c>
      <c r="AE308">
        <f>IF($AD$308=0,0,SUMIF(tk_SOFG,26,tk_QTY))</f>
        <v/>
      </c>
      <c r="AF308">
        <f>IF($AD$308=0,"",INDEX(tk_JAMB,$AD$308))</f>
        <v/>
      </c>
      <c r="AG308">
        <f>IF($AD$308=0,"",INDEX(tk_ANCHOR,$AD$308))</f>
        <v/>
      </c>
      <c r="AH308">
        <f>IF($AD$308=0,"",INDEX(tk_ANCH,$AD$308))</f>
        <v/>
      </c>
      <c r="AI308">
        <f>IF($AD$308=0,"",INDEX(tk_BASEA,$AD$308))</f>
        <v/>
      </c>
      <c r="AJ308">
        <f>IF($AD$308=0,"",INDEX(tk_CONSTR,$AD$308))</f>
        <v/>
      </c>
      <c r="AK308">
        <f>IF($AD$308=0,"",INDEX(tk_CLOSER,$AD$308))</f>
        <v/>
      </c>
      <c r="AL308">
        <f>IF($AD$308=0,"",INDEX(tk_STRIKE,$AD$308))</f>
        <v/>
      </c>
      <c r="AM308">
        <f>IF($AD$308=0,"",INDEX(tk_HDRPREP,$AD$308))</f>
        <v/>
      </c>
      <c r="AN308">
        <f>IF($AD$308=0,"",INDEX(tk_DMIN,$AD$308))</f>
        <v/>
      </c>
      <c r="AO308">
        <f>IF($AD$308=0,"",INDEX(tk_PAIR,$AD$308))</f>
        <v/>
      </c>
      <c r="AP308">
        <f>IF($AD$308=0,"",INDEX(tk_FGA,$AD$308))</f>
        <v/>
      </c>
      <c r="AQ308">
        <f>IF($AD$308=0,"",INDEX(tk_WI,$AD$308))</f>
        <v/>
      </c>
      <c r="AR308">
        <f>IF($AD$308=0,"",INDEX(tk_HI,$AD$308))</f>
        <v/>
      </c>
      <c r="AS308">
        <f>IF($AD$308=0,"",INDEX(tk_FHINGE,$AD$308))</f>
        <v/>
      </c>
      <c r="AT308">
        <f>IF($AD$308=0,"",INDEX(tk_DHINGE,$AD$308))</f>
        <v/>
      </c>
      <c r="AU308">
        <f>IF($AD$308=0,"",INDEX(tk_HWLOC,$AD$308))</f>
        <v/>
      </c>
      <c r="AV308">
        <f>IF($AD$308=0,"",INDEX(tk_MANUF,$AD$308))</f>
        <v/>
      </c>
      <c r="AW308">
        <f>IF($AD$308=0,"",INDEX(tk_JH,$AD$308))</f>
        <v/>
      </c>
      <c r="AX308">
        <f>IF($AD$308=0,"",INDEX(tk_FDESC,$AD$308))</f>
        <v/>
      </c>
      <c r="AY308">
        <f>IF($AD$308=0,"",INDEX(tk_TRANS,$AD$308))</f>
        <v/>
      </c>
      <c r="AZ308">
        <f>IF($AD$308=0,"",INDEX(tk_SLW,$AD$308))</f>
        <v/>
      </c>
      <c r="BA308">
        <f>IF($AD$308=0,"",INDEX(tk_LEAVES,$AD$308))</f>
        <v/>
      </c>
      <c r="BB308">
        <f>IF($AD$308=0,"",INDEX(tk_LEAFW,$AD$308))</f>
        <v/>
      </c>
      <c r="BC308">
        <f>IF($AD$308=0,"",INDEX(tk_LEAFH,$AD$308))</f>
        <v/>
      </c>
      <c r="BD308">
        <f>IF($AD$308=0,"",INDEX(tk_DMAT,$AD$308))</f>
        <v/>
      </c>
      <c r="BE308">
        <f>IF($AD$308=0,"",INDEX(tk_DGA,$AD$308))</f>
        <v/>
      </c>
      <c r="BF308">
        <f>IF($AD$308=0,"",INDEX(tk_SERIES,$AD$308))</f>
        <v/>
      </c>
      <c r="BG308">
        <f>IF($AD$308=0,"",INDEX(tk_LOCK,$AD$308))</f>
        <v/>
      </c>
      <c r="BH308">
        <f>IF($AD$308=0,"",INDEX(tk_LITEKIT,$AD$308))</f>
        <v/>
      </c>
      <c r="BI308">
        <f>IF($AD$308=0,"",INDEX(tk_FACE,$AD$308))</f>
        <v/>
      </c>
      <c r="BJ308">
        <f>IF($AD$308=0,"",INDEX(tk_HLEG,$AD$308))</f>
        <v/>
      </c>
      <c r="BK308">
        <f>IF($AD$308=0,"",INDEX(tk_SOITEM,$AD$308))</f>
        <v/>
      </c>
      <c r="BL308">
        <f>IFERROR(VLOOKUP($AF$308,CODES,2,FALSE),"")</f>
        <v/>
      </c>
      <c r="BM308">
        <f>IF($AJ$308="KD","C","M")</f>
        <v/>
      </c>
      <c r="BN308">
        <f>IF(N($AR$308)&lt;=80,80,IF(N($AR$308)&lt;=84,84,IF(N($AR$308)&lt;=96,96,N($AR$308))))</f>
        <v/>
      </c>
      <c r="BO308">
        <f>INT($BN$308/12)&amp;MOD($BN$308,12)</f>
        <v/>
      </c>
      <c r="BP308">
        <f>INT(N($AQ$308)/12)&amp;MOD(N($AQ$308),12)</f>
        <v/>
      </c>
      <c r="BQ308">
        <f>IF(OR($AU$308="",$AU$308="ANSI/SDI",$AU$308="CUSTOM LOC"),IF($AV$308="CU","CURRIES","STEELCRAFT"),$AU$308)</f>
        <v/>
      </c>
      <c r="BR308">
        <f>$AO$308="Y"</f>
        <v/>
      </c>
      <c r="BS308">
        <f>"~"</f>
        <v/>
      </c>
      <c r="BT308">
        <f>N($AH$308)*N($AI$308)</f>
        <v/>
      </c>
      <c r="BU308">
        <f>IF(OR($AL$308="",$AL$308="-",$AL$308="E8"),"G18",$AL$308)</f>
        <v/>
      </c>
      <c r="BV308">
        <f>IF(OR($AS$308="",$AS$308="-"),"BLK",$AS$308)</f>
        <v/>
      </c>
      <c r="BW308">
        <f>" "&amp;$BM$308&amp;$AP$308&amp;" "</f>
        <v/>
      </c>
      <c r="BX308">
        <f>IF($AD$308=0,"",IF(OR($AG$308="SSA",$AG$308="SC"),$AE$308*$BT$308&amp;"|"&amp;$BL$308&amp;" STEEL STUD ANCHOR 2"&amp;CHAR(34)&amp;"||"&amp;$BS$308,"")&amp;IF($AG$308="WEWA-M",$AE$308*(N($AH$308)+1)*N($AI$308)&amp;"|FR101F 690 "&amp;$BL$308&amp;" MASONRY TUBE ANCHOR 16 GA||"&amp;$BS$308&amp;$AE$308*(N($AH$308)+1)*N($AI$308)&amp;"|3/8X5 SF3850 DYNO BOLTS||"&amp;$BS$308,"")&amp;IF($AG$308="WMA",$AE$308*$BT$308&amp;"|WIRE MASONRY ANCHOR||"&amp;$BS$308,"")&amp;IF($AG$308="T",$AE$308*$BT$308&amp;"|T-STRAP MASONRY ANCHOR||"&amp;$BS$308,"")&amp;IF($AG$308="WEWA-W",$AE$308*$BT$308&amp;"|P/D + WOOD SCREWS||"&amp;$BS$308,"")&amp;IF($AJ$308="WGS",$AE$308&amp;"|WELD &amp; GROUND SMOOTH||"&amp;$BS$308,"")&amp;IF(OR($AK$308="",$AK$308="-"),"",$AE$308*IF($BR$308,4,2)&amp;"|RACL/PACL-CLOSER REINF. 14GAx1-3/4x16 HRPO|"&amp;$AK$308&amp;IF($BR$308," BOTH SIDES","")&amp;"|"&amp;$BS$308)&amp;IF($AL$308="E8",$AE$308&amp;"|E8-STRIKE REINF. RIM EXIT||"&amp;$BS$308,"")&amp;IF(ISNUMBER(SEARCH("E4",$AL$308)),$AE$308&amp;"|FRAME DEADLOCK PREP||"&amp;$BS$308,"")&amp;IF($AL$308="E9",$AE$308&amp;"|ELECTRIC STRIKE PREP||"&amp;$BS$308,"")&amp;IF($AM$308="H5",$AE$308&amp;"|H5 STRIKE PREP IN HEADER||"&amp;$BS$308,IF(OR($AM$308="",$AM$308="-"),"",$AE$308&amp;"|HEADER PREP "&amp;$AM$308&amp;"||"&amp;$BS$308))&amp;IF(N($AN$308)&gt;0,$AE$308&amp;"|"&amp;$AN$308&amp;" MINUTE STEEL FRAME LABEL "&amp;IF(OR(N($AY$308)&gt;0,N($AZ$308)&gt;0),"W/TRANSOM PANEL/SIDELIGHT","CAT. C PP")&amp;"||"&amp;$BS$308,"")&amp;IF($AX$308="BL","",$AE$308&amp;"|HD "&amp;$AF$308&amp;$BW$308&amp;$BP$308&amp;" BSC||"&amp;$BS$308&amp;IF($BR$308,$AE$308&amp;"|HJ "&amp;$AF$308&amp;$BW$308&amp;"LH "&amp;$BO$308&amp;" "&amp;$BV$308&amp;" BSC "&amp;CHAR(34)&amp;$BQ$308&amp;CHAR(34)&amp;"||"&amp;$BS$308&amp;$AE$308&amp;"|HJ "&amp;$AF$308&amp;$BW$308&amp;"RH "&amp;$BO$308&amp;" "&amp;$BV$308&amp;" BSC "&amp;CHAR(34)&amp;$BQ$308&amp;CHAR(34)&amp;"||"&amp;$BS$308,$AE$308&amp;"|HJ "&amp;$AF$308&amp;$BW$308&amp;$AW$308&amp;" "&amp;$BO$308&amp;" "&amp;$BV$308&amp;" BSC "&amp;CHAR(34)&amp;$BQ$308&amp;CHAR(34)&amp;"||"&amp;$BS$308&amp;$AE$308&amp;"|SJ "&amp;$AF$308&amp;$BW$308&amp;$AW$308&amp;" "&amp;$BO$308&amp;" "&amp;$BU$308&amp;IF($BU$308="G18"," BLANK"," Y")&amp;" BSC "&amp;CHAR(34)&amp;$BQ$308&amp;CHAR(34)&amp;"||"&amp;$BS$308))&amp;IF(AND($BN$308&gt;N($AR$308),$AX$308&lt;&gt;"BL",N($AR$308)&gt;=60),$AE$308&amp;"|FRAME CUT DOWN (BOTTOM)|Cut "&amp;TRIM(TEXT($BN$308-N($AR$308),"# ?/??"))&amp;CHAR(34)&amp;" OFF THE BOTTOM|"&amp;$BS$308,""))</f>
        <v/>
      </c>
    </row>
    <row r="309">
      <c r="B309" s="180">
        <f>IF($AD309="","",VALUE(LEFT($AD309,FIND("|",$AD309)-1)))</f>
        <v/>
      </c>
      <c r="C309" s="180">
        <f>IF($AD309="","","    "&amp;MID($AD309,FIND("|",$AD309)+1,FIND("|",$AD309,FIND("|",$AD309)+1)-FIND("|",$AD309)-1))</f>
        <v/>
      </c>
      <c r="D309" s="180">
        <f>IF($AD309="","",MID($AD309,FIND("|",$AD309,FIND("|",$AD309)+1)+1,FIND("|",$AD309&amp;"|",FIND("|",$AD309,FIND("|",$AD309)+1)+1)-FIND("|",$AD309,FIND("|",$AD309)+1)-1))</f>
        <v/>
      </c>
      <c r="AD309">
        <f>TRIM(MID(SUBSTITUTE($BX$308,"~",REPT(" ",600)),1,600))</f>
        <v/>
      </c>
    </row>
    <row r="310">
      <c r="B310" s="180">
        <f>IF($AD310="","",VALUE(LEFT($AD310,FIND("|",$AD310)-1)))</f>
        <v/>
      </c>
      <c r="C310" s="180">
        <f>IF($AD310="","","    "&amp;MID($AD310,FIND("|",$AD310)+1,FIND("|",$AD310,FIND("|",$AD310)+1)-FIND("|",$AD310)-1))</f>
        <v/>
      </c>
      <c r="D310" s="180">
        <f>IF($AD310="","",MID($AD310,FIND("|",$AD310,FIND("|",$AD310)+1)+1,FIND("|",$AD310&amp;"|",FIND("|",$AD310,FIND("|",$AD310)+1)+1)-FIND("|",$AD310,FIND("|",$AD310)+1)-1))</f>
        <v/>
      </c>
      <c r="AD310">
        <f>TRIM(MID(SUBSTITUTE($BX$308,"~",REPT(" ",600)),601,600))</f>
        <v/>
      </c>
    </row>
    <row r="311">
      <c r="B311" s="180">
        <f>IF($AD311="","",VALUE(LEFT($AD311,FIND("|",$AD311)-1)))</f>
        <v/>
      </c>
      <c r="C311" s="180">
        <f>IF($AD311="","","    "&amp;MID($AD311,FIND("|",$AD311)+1,FIND("|",$AD311,FIND("|",$AD311)+1)-FIND("|",$AD311)-1))</f>
        <v/>
      </c>
      <c r="D311" s="180">
        <f>IF($AD311="","",MID($AD311,FIND("|",$AD311,FIND("|",$AD311)+1)+1,FIND("|",$AD311&amp;"|",FIND("|",$AD311,FIND("|",$AD311)+1)+1)-FIND("|",$AD311,FIND("|",$AD311)+1)-1))</f>
        <v/>
      </c>
      <c r="AD311">
        <f>TRIM(MID(SUBSTITUTE($BX$308,"~",REPT(" ",600)),1201,600))</f>
        <v/>
      </c>
    </row>
    <row r="312">
      <c r="B312" s="180">
        <f>IF($AD312="","",VALUE(LEFT($AD312,FIND("|",$AD312)-1)))</f>
        <v/>
      </c>
      <c r="C312" s="180">
        <f>IF($AD312="","","    "&amp;MID($AD312,FIND("|",$AD312)+1,FIND("|",$AD312,FIND("|",$AD312)+1)-FIND("|",$AD312)-1))</f>
        <v/>
      </c>
      <c r="D312" s="180">
        <f>IF($AD312="","",MID($AD312,FIND("|",$AD312,FIND("|",$AD312)+1)+1,FIND("|",$AD312&amp;"|",FIND("|",$AD312,FIND("|",$AD312)+1)+1)-FIND("|",$AD312,FIND("|",$AD312)+1)-1))</f>
        <v/>
      </c>
      <c r="AD312">
        <f>TRIM(MID(SUBSTITUTE($BX$308,"~",REPT(" ",600)),1801,600))</f>
        <v/>
      </c>
    </row>
    <row r="313">
      <c r="B313" s="180">
        <f>IF($AD313="","",VALUE(LEFT($AD313,FIND("|",$AD313)-1)))</f>
        <v/>
      </c>
      <c r="C313" s="180">
        <f>IF($AD313="","","    "&amp;MID($AD313,FIND("|",$AD313)+1,FIND("|",$AD313,FIND("|",$AD313)+1)-FIND("|",$AD313)-1))</f>
        <v/>
      </c>
      <c r="D313" s="180">
        <f>IF($AD313="","",MID($AD313,FIND("|",$AD313,FIND("|",$AD313)+1)+1,FIND("|",$AD313&amp;"|",FIND("|",$AD313,FIND("|",$AD313)+1)+1)-FIND("|",$AD313,FIND("|",$AD313)+1)-1))</f>
        <v/>
      </c>
      <c r="AD313">
        <f>TRIM(MID(SUBSTITUTE($BX$308,"~",REPT(" ",600)),2401,600))</f>
        <v/>
      </c>
    </row>
    <row r="314">
      <c r="B314" s="180">
        <f>IF($AD314="","",VALUE(LEFT($AD314,FIND("|",$AD314)-1)))</f>
        <v/>
      </c>
      <c r="C314" s="180">
        <f>IF($AD314="","","    "&amp;MID($AD314,FIND("|",$AD314)+1,FIND("|",$AD314,FIND("|",$AD314)+1)-FIND("|",$AD314)-1))</f>
        <v/>
      </c>
      <c r="D314" s="180">
        <f>IF($AD314="","",MID($AD314,FIND("|",$AD314,FIND("|",$AD314)+1)+1,FIND("|",$AD314&amp;"|",FIND("|",$AD314,FIND("|",$AD314)+1)+1)-FIND("|",$AD314,FIND("|",$AD314)+1)-1))</f>
        <v/>
      </c>
      <c r="AD314">
        <f>TRIM(MID(SUBSTITUTE($BX$308,"~",REPT(" ",600)),3001,600))</f>
        <v/>
      </c>
    </row>
    <row r="315">
      <c r="B315" s="180">
        <f>IF($AD315="","",VALUE(LEFT($AD315,FIND("|",$AD315)-1)))</f>
        <v/>
      </c>
      <c r="C315" s="180">
        <f>IF($AD315="","","    "&amp;MID($AD315,FIND("|",$AD315)+1,FIND("|",$AD315,FIND("|",$AD315)+1)-FIND("|",$AD315)-1))</f>
        <v/>
      </c>
      <c r="D315" s="180">
        <f>IF($AD315="","",MID($AD315,FIND("|",$AD315,FIND("|",$AD315)+1)+1,FIND("|",$AD315&amp;"|",FIND("|",$AD315,FIND("|",$AD315)+1)+1)-FIND("|",$AD315,FIND("|",$AD315)+1)-1))</f>
        <v/>
      </c>
      <c r="AD315">
        <f>TRIM(MID(SUBSTITUTE($BX$308,"~",REPT(" ",600)),3601,600))</f>
        <v/>
      </c>
    </row>
    <row r="316">
      <c r="B316" s="180">
        <f>IF($AD316="","",VALUE(LEFT($AD316,FIND("|",$AD316)-1)))</f>
        <v/>
      </c>
      <c r="C316" s="180">
        <f>IF($AD316="","","    "&amp;MID($AD316,FIND("|",$AD316)+1,FIND("|",$AD316,FIND("|",$AD316)+1)-FIND("|",$AD316)-1))</f>
        <v/>
      </c>
      <c r="D316" s="180">
        <f>IF($AD316="","",MID($AD316,FIND("|",$AD316,FIND("|",$AD316)+1)+1,FIND("|",$AD316&amp;"|",FIND("|",$AD316,FIND("|",$AD316)+1)+1)-FIND("|",$AD316,FIND("|",$AD316)+1)-1))</f>
        <v/>
      </c>
      <c r="AD316">
        <f>TRIM(MID(SUBSTITUTE($BX$308,"~",REPT(" ",600)),4201,600))</f>
        <v/>
      </c>
    </row>
    <row r="317">
      <c r="B317" s="180">
        <f>IF($AD317="","",VALUE(LEFT($AD317,FIND("|",$AD317)-1)))</f>
        <v/>
      </c>
      <c r="C317" s="180">
        <f>IF($AD317="","","    "&amp;MID($AD317,FIND("|",$AD317)+1,FIND("|",$AD317,FIND("|",$AD317)+1)-FIND("|",$AD317)-1))</f>
        <v/>
      </c>
      <c r="D317" s="180">
        <f>IF($AD317="","",MID($AD317,FIND("|",$AD317,FIND("|",$AD317)+1)+1,FIND("|",$AD317&amp;"|",FIND("|",$AD317,FIND("|",$AD317)+1)+1)-FIND("|",$AD317,FIND("|",$AD317)+1)-1))</f>
        <v/>
      </c>
      <c r="AD317">
        <f>TRIM(MID(SUBSTITUTE($BX$308,"~",REPT(" ",600)),4801,600))</f>
        <v/>
      </c>
    </row>
    <row r="318">
      <c r="B318" s="180">
        <f>IF($AD318="","",VALUE(LEFT($AD318,FIND("|",$AD318)-1)))</f>
        <v/>
      </c>
      <c r="C318" s="180">
        <f>IF($AD318="","","    "&amp;MID($AD318,FIND("|",$AD318)+1,FIND("|",$AD318,FIND("|",$AD318)+1)-FIND("|",$AD318)-1))</f>
        <v/>
      </c>
      <c r="D318" s="180">
        <f>IF($AD318="","",MID($AD318,FIND("|",$AD318,FIND("|",$AD318)+1)+1,FIND("|",$AD318&amp;"|",FIND("|",$AD318,FIND("|",$AD318)+1)+1)-FIND("|",$AD318,FIND("|",$AD318)+1)-1))</f>
        <v/>
      </c>
      <c r="AD318">
        <f>TRIM(MID(SUBSTITUTE($BX$308,"~",REPT(" ",600)),5401,600))</f>
        <v/>
      </c>
    </row>
    <row r="319">
      <c r="B319" s="180">
        <f>IF($AD319="","",VALUE(LEFT($AD319,FIND("|",$AD319)-1)))</f>
        <v/>
      </c>
      <c r="C319" s="180">
        <f>IF($AD319="","","    "&amp;MID($AD319,FIND("|",$AD319)+1,FIND("|",$AD319,FIND("|",$AD319)+1)-FIND("|",$AD319)-1))</f>
        <v/>
      </c>
      <c r="D319" s="180">
        <f>IF($AD319="","",MID($AD319,FIND("|",$AD319,FIND("|",$AD319)+1)+1,FIND("|",$AD319&amp;"|",FIND("|",$AD319,FIND("|",$AD319)+1)+1)-FIND("|",$AD319,FIND("|",$AD319)+1)-1))</f>
        <v/>
      </c>
      <c r="AD319">
        <f>TRIM(MID(SUBSTITUTE($BX$308,"~",REPT(" ",600)),6001,600))</f>
        <v/>
      </c>
    </row>
    <row r="320">
      <c r="A320" s="178">
        <f>IF($AD$320=0,"",$BK$320)</f>
        <v/>
      </c>
      <c r="B320" s="178">
        <f>IF($AD$320=0,"",$AE$320)</f>
        <v/>
      </c>
      <c r="C320" s="178">
        <f>IF($AD$320=0,"",$AE$320&amp;") "&amp;IF(COUNTIFS(tk_SOFG,27,tk_HLEG,"&lt;&gt;"&amp;$BJ$320)=0,INDEX(tk_FLINE,$AD$320),INDEX(tk_FLINEN,$AD$320))&amp;IF($AJ$320="KD"," ( R.O. "&amp;TRIM(TEXT(N($AQ$320)+2.25,"# ?/??"))&amp;CHAR(34)&amp;" x "&amp;TRIM(TEXT(N($AR$320)+1,"# ?/??"))&amp;CHAR(34)&amp;" )",""))</f>
        <v/>
      </c>
      <c r="D320" s="178" t="n"/>
      <c r="E320" s="179">
        <f t="array" ref="E320">IF($AD$320=0,"",_xlfn.TEXTJOIN(", ",TRUE,IF(tk_SOFG=27,"#"&amp;tk_MARK&amp;IF(tk_HLEG="","","("&amp;tk_HLEG&amp;")")&amp;IF(tk_QTY&gt;1," ×"&amp;tk_QTY,""),"")))</f>
        <v/>
      </c>
      <c r="AD320">
        <f>IFERROR(MATCH(27,tk_SOFG,0),0)</f>
        <v/>
      </c>
      <c r="AE320">
        <f>IF($AD$320=0,0,SUMIF(tk_SOFG,27,tk_QTY))</f>
        <v/>
      </c>
      <c r="AF320">
        <f>IF($AD$320=0,"",INDEX(tk_JAMB,$AD$320))</f>
        <v/>
      </c>
      <c r="AG320">
        <f>IF($AD$320=0,"",INDEX(tk_ANCHOR,$AD$320))</f>
        <v/>
      </c>
      <c r="AH320">
        <f>IF($AD$320=0,"",INDEX(tk_ANCH,$AD$320))</f>
        <v/>
      </c>
      <c r="AI320">
        <f>IF($AD$320=0,"",INDEX(tk_BASEA,$AD$320))</f>
        <v/>
      </c>
      <c r="AJ320">
        <f>IF($AD$320=0,"",INDEX(tk_CONSTR,$AD$320))</f>
        <v/>
      </c>
      <c r="AK320">
        <f>IF($AD$320=0,"",INDEX(tk_CLOSER,$AD$320))</f>
        <v/>
      </c>
      <c r="AL320">
        <f>IF($AD$320=0,"",INDEX(tk_STRIKE,$AD$320))</f>
        <v/>
      </c>
      <c r="AM320">
        <f>IF($AD$320=0,"",INDEX(tk_HDRPREP,$AD$320))</f>
        <v/>
      </c>
      <c r="AN320">
        <f>IF($AD$320=0,"",INDEX(tk_DMIN,$AD$320))</f>
        <v/>
      </c>
      <c r="AO320">
        <f>IF($AD$320=0,"",INDEX(tk_PAIR,$AD$320))</f>
        <v/>
      </c>
      <c r="AP320">
        <f>IF($AD$320=0,"",INDEX(tk_FGA,$AD$320))</f>
        <v/>
      </c>
      <c r="AQ320">
        <f>IF($AD$320=0,"",INDEX(tk_WI,$AD$320))</f>
        <v/>
      </c>
      <c r="AR320">
        <f>IF($AD$320=0,"",INDEX(tk_HI,$AD$320))</f>
        <v/>
      </c>
      <c r="AS320">
        <f>IF($AD$320=0,"",INDEX(tk_FHINGE,$AD$320))</f>
        <v/>
      </c>
      <c r="AT320">
        <f>IF($AD$320=0,"",INDEX(tk_DHINGE,$AD$320))</f>
        <v/>
      </c>
      <c r="AU320">
        <f>IF($AD$320=0,"",INDEX(tk_HWLOC,$AD$320))</f>
        <v/>
      </c>
      <c r="AV320">
        <f>IF($AD$320=0,"",INDEX(tk_MANUF,$AD$320))</f>
        <v/>
      </c>
      <c r="AW320">
        <f>IF($AD$320=0,"",INDEX(tk_JH,$AD$320))</f>
        <v/>
      </c>
      <c r="AX320">
        <f>IF($AD$320=0,"",INDEX(tk_FDESC,$AD$320))</f>
        <v/>
      </c>
      <c r="AY320">
        <f>IF($AD$320=0,"",INDEX(tk_TRANS,$AD$320))</f>
        <v/>
      </c>
      <c r="AZ320">
        <f>IF($AD$320=0,"",INDEX(tk_SLW,$AD$320))</f>
        <v/>
      </c>
      <c r="BA320">
        <f>IF($AD$320=0,"",INDEX(tk_LEAVES,$AD$320))</f>
        <v/>
      </c>
      <c r="BB320">
        <f>IF($AD$320=0,"",INDEX(tk_LEAFW,$AD$320))</f>
        <v/>
      </c>
      <c r="BC320">
        <f>IF($AD$320=0,"",INDEX(tk_LEAFH,$AD$320))</f>
        <v/>
      </c>
      <c r="BD320">
        <f>IF($AD$320=0,"",INDEX(tk_DMAT,$AD$320))</f>
        <v/>
      </c>
      <c r="BE320">
        <f>IF($AD$320=0,"",INDEX(tk_DGA,$AD$320))</f>
        <v/>
      </c>
      <c r="BF320">
        <f>IF($AD$320=0,"",INDEX(tk_SERIES,$AD$320))</f>
        <v/>
      </c>
      <c r="BG320">
        <f>IF($AD$320=0,"",INDEX(tk_LOCK,$AD$320))</f>
        <v/>
      </c>
      <c r="BH320">
        <f>IF($AD$320=0,"",INDEX(tk_LITEKIT,$AD$320))</f>
        <v/>
      </c>
      <c r="BI320">
        <f>IF($AD$320=0,"",INDEX(tk_FACE,$AD$320))</f>
        <v/>
      </c>
      <c r="BJ320">
        <f>IF($AD$320=0,"",INDEX(tk_HLEG,$AD$320))</f>
        <v/>
      </c>
      <c r="BK320">
        <f>IF($AD$320=0,"",INDEX(tk_SOITEM,$AD$320))</f>
        <v/>
      </c>
      <c r="BL320">
        <f>IFERROR(VLOOKUP($AF$320,CODES,2,FALSE),"")</f>
        <v/>
      </c>
      <c r="BM320">
        <f>IF($AJ$320="KD","C","M")</f>
        <v/>
      </c>
      <c r="BN320">
        <f>IF(N($AR$320)&lt;=80,80,IF(N($AR$320)&lt;=84,84,IF(N($AR$320)&lt;=96,96,N($AR$320))))</f>
        <v/>
      </c>
      <c r="BO320">
        <f>INT($BN$320/12)&amp;MOD($BN$320,12)</f>
        <v/>
      </c>
      <c r="BP320">
        <f>INT(N($AQ$320)/12)&amp;MOD(N($AQ$320),12)</f>
        <v/>
      </c>
      <c r="BQ320">
        <f>IF(OR($AU$320="",$AU$320="ANSI/SDI",$AU$320="CUSTOM LOC"),IF($AV$320="CU","CURRIES","STEELCRAFT"),$AU$320)</f>
        <v/>
      </c>
      <c r="BR320">
        <f>$AO$320="Y"</f>
        <v/>
      </c>
      <c r="BS320">
        <f>"~"</f>
        <v/>
      </c>
      <c r="BT320">
        <f>N($AH$320)*N($AI$320)</f>
        <v/>
      </c>
      <c r="BU320">
        <f>IF(OR($AL$320="",$AL$320="-",$AL$320="E8"),"G18",$AL$320)</f>
        <v/>
      </c>
      <c r="BV320">
        <f>IF(OR($AS$320="",$AS$320="-"),"BLK",$AS$320)</f>
        <v/>
      </c>
      <c r="BW320">
        <f>" "&amp;$BM$320&amp;$AP$320&amp;" "</f>
        <v/>
      </c>
      <c r="BX320">
        <f>IF($AD$320=0,"",IF(OR($AG$320="SSA",$AG$320="SC"),$AE$320*$BT$320&amp;"|"&amp;$BL$320&amp;" STEEL STUD ANCHOR 2"&amp;CHAR(34)&amp;"||"&amp;$BS$320,"")&amp;IF($AG$320="WEWA-M",$AE$320*(N($AH$320)+1)*N($AI$320)&amp;"|FR101F 690 "&amp;$BL$320&amp;" MASONRY TUBE ANCHOR 16 GA||"&amp;$BS$320&amp;$AE$320*(N($AH$320)+1)*N($AI$320)&amp;"|3/8X5 SF3850 DYNO BOLTS||"&amp;$BS$320,"")&amp;IF($AG$320="WMA",$AE$320*$BT$320&amp;"|WIRE MASONRY ANCHOR||"&amp;$BS$320,"")&amp;IF($AG$320="T",$AE$320*$BT$320&amp;"|T-STRAP MASONRY ANCHOR||"&amp;$BS$320,"")&amp;IF($AG$320="WEWA-W",$AE$320*$BT$320&amp;"|P/D + WOOD SCREWS||"&amp;$BS$320,"")&amp;IF($AJ$320="WGS",$AE$320&amp;"|WELD &amp; GROUND SMOOTH||"&amp;$BS$320,"")&amp;IF(OR($AK$320="",$AK$320="-"),"",$AE$320*IF($BR$320,4,2)&amp;"|RACL/PACL-CLOSER REINF. 14GAx1-3/4x16 HRPO|"&amp;$AK$320&amp;IF($BR$320," BOTH SIDES","")&amp;"|"&amp;$BS$320)&amp;IF($AL$320="E8",$AE$320&amp;"|E8-STRIKE REINF. RIM EXIT||"&amp;$BS$320,"")&amp;IF(ISNUMBER(SEARCH("E4",$AL$320)),$AE$320&amp;"|FRAME DEADLOCK PREP||"&amp;$BS$320,"")&amp;IF($AL$320="E9",$AE$320&amp;"|ELECTRIC STRIKE PREP||"&amp;$BS$320,"")&amp;IF($AM$320="H5",$AE$320&amp;"|H5 STRIKE PREP IN HEADER||"&amp;$BS$320,IF(OR($AM$320="",$AM$320="-"),"",$AE$320&amp;"|HEADER PREP "&amp;$AM$320&amp;"||"&amp;$BS$320))&amp;IF(N($AN$320)&gt;0,$AE$320&amp;"|"&amp;$AN$320&amp;" MINUTE STEEL FRAME LABEL "&amp;IF(OR(N($AY$320)&gt;0,N($AZ$320)&gt;0),"W/TRANSOM PANEL/SIDELIGHT","CAT. C PP")&amp;"||"&amp;$BS$320,"")&amp;IF($AX$320="BL","",$AE$320&amp;"|HD "&amp;$AF$320&amp;$BW$320&amp;$BP$320&amp;" BSC||"&amp;$BS$320&amp;IF($BR$320,$AE$320&amp;"|HJ "&amp;$AF$320&amp;$BW$320&amp;"LH "&amp;$BO$320&amp;" "&amp;$BV$320&amp;" BSC "&amp;CHAR(34)&amp;$BQ$320&amp;CHAR(34)&amp;"||"&amp;$BS$320&amp;$AE$320&amp;"|HJ "&amp;$AF$320&amp;$BW$320&amp;"RH "&amp;$BO$320&amp;" "&amp;$BV$320&amp;" BSC "&amp;CHAR(34)&amp;$BQ$320&amp;CHAR(34)&amp;"||"&amp;$BS$320,$AE$320&amp;"|HJ "&amp;$AF$320&amp;$BW$320&amp;$AW$320&amp;" "&amp;$BO$320&amp;" "&amp;$BV$320&amp;" BSC "&amp;CHAR(34)&amp;$BQ$320&amp;CHAR(34)&amp;"||"&amp;$BS$320&amp;$AE$320&amp;"|SJ "&amp;$AF$320&amp;$BW$320&amp;$AW$320&amp;" "&amp;$BO$320&amp;" "&amp;$BU$320&amp;IF($BU$320="G18"," BLANK"," Y")&amp;" BSC "&amp;CHAR(34)&amp;$BQ$320&amp;CHAR(34)&amp;"||"&amp;$BS$320))&amp;IF(AND($BN$320&gt;N($AR$320),$AX$320&lt;&gt;"BL",N($AR$320)&gt;=60),$AE$320&amp;"|FRAME CUT DOWN (BOTTOM)|Cut "&amp;TRIM(TEXT($BN$320-N($AR$320),"# ?/??"))&amp;CHAR(34)&amp;" OFF THE BOTTOM|"&amp;$BS$320,""))</f>
        <v/>
      </c>
    </row>
    <row r="321">
      <c r="B321" s="180">
        <f>IF($AD321="","",VALUE(LEFT($AD321,FIND("|",$AD321)-1)))</f>
        <v/>
      </c>
      <c r="C321" s="180">
        <f>IF($AD321="","","    "&amp;MID($AD321,FIND("|",$AD321)+1,FIND("|",$AD321,FIND("|",$AD321)+1)-FIND("|",$AD321)-1))</f>
        <v/>
      </c>
      <c r="D321" s="180">
        <f>IF($AD321="","",MID($AD321,FIND("|",$AD321,FIND("|",$AD321)+1)+1,FIND("|",$AD321&amp;"|",FIND("|",$AD321,FIND("|",$AD321)+1)+1)-FIND("|",$AD321,FIND("|",$AD321)+1)-1))</f>
        <v/>
      </c>
      <c r="AD321">
        <f>TRIM(MID(SUBSTITUTE($BX$320,"~",REPT(" ",600)),1,600))</f>
        <v/>
      </c>
    </row>
    <row r="322">
      <c r="B322" s="180">
        <f>IF($AD322="","",VALUE(LEFT($AD322,FIND("|",$AD322)-1)))</f>
        <v/>
      </c>
      <c r="C322" s="180">
        <f>IF($AD322="","","    "&amp;MID($AD322,FIND("|",$AD322)+1,FIND("|",$AD322,FIND("|",$AD322)+1)-FIND("|",$AD322)-1))</f>
        <v/>
      </c>
      <c r="D322" s="180">
        <f>IF($AD322="","",MID($AD322,FIND("|",$AD322,FIND("|",$AD322)+1)+1,FIND("|",$AD322&amp;"|",FIND("|",$AD322,FIND("|",$AD322)+1)+1)-FIND("|",$AD322,FIND("|",$AD322)+1)-1))</f>
        <v/>
      </c>
      <c r="AD322">
        <f>TRIM(MID(SUBSTITUTE($BX$320,"~",REPT(" ",600)),601,600))</f>
        <v/>
      </c>
    </row>
    <row r="323">
      <c r="B323" s="180">
        <f>IF($AD323="","",VALUE(LEFT($AD323,FIND("|",$AD323)-1)))</f>
        <v/>
      </c>
      <c r="C323" s="180">
        <f>IF($AD323="","","    "&amp;MID($AD323,FIND("|",$AD323)+1,FIND("|",$AD323,FIND("|",$AD323)+1)-FIND("|",$AD323)-1))</f>
        <v/>
      </c>
      <c r="D323" s="180">
        <f>IF($AD323="","",MID($AD323,FIND("|",$AD323,FIND("|",$AD323)+1)+1,FIND("|",$AD323&amp;"|",FIND("|",$AD323,FIND("|",$AD323)+1)+1)-FIND("|",$AD323,FIND("|",$AD323)+1)-1))</f>
        <v/>
      </c>
      <c r="AD323">
        <f>TRIM(MID(SUBSTITUTE($BX$320,"~",REPT(" ",600)),1201,600))</f>
        <v/>
      </c>
    </row>
    <row r="324">
      <c r="B324" s="180">
        <f>IF($AD324="","",VALUE(LEFT($AD324,FIND("|",$AD324)-1)))</f>
        <v/>
      </c>
      <c r="C324" s="180">
        <f>IF($AD324="","","    "&amp;MID($AD324,FIND("|",$AD324)+1,FIND("|",$AD324,FIND("|",$AD324)+1)-FIND("|",$AD324)-1))</f>
        <v/>
      </c>
      <c r="D324" s="180">
        <f>IF($AD324="","",MID($AD324,FIND("|",$AD324,FIND("|",$AD324)+1)+1,FIND("|",$AD324&amp;"|",FIND("|",$AD324,FIND("|",$AD324)+1)+1)-FIND("|",$AD324,FIND("|",$AD324)+1)-1))</f>
        <v/>
      </c>
      <c r="AD324">
        <f>TRIM(MID(SUBSTITUTE($BX$320,"~",REPT(" ",600)),1801,600))</f>
        <v/>
      </c>
    </row>
    <row r="325">
      <c r="B325" s="180">
        <f>IF($AD325="","",VALUE(LEFT($AD325,FIND("|",$AD325)-1)))</f>
        <v/>
      </c>
      <c r="C325" s="180">
        <f>IF($AD325="","","    "&amp;MID($AD325,FIND("|",$AD325)+1,FIND("|",$AD325,FIND("|",$AD325)+1)-FIND("|",$AD325)-1))</f>
        <v/>
      </c>
      <c r="D325" s="180">
        <f>IF($AD325="","",MID($AD325,FIND("|",$AD325,FIND("|",$AD325)+1)+1,FIND("|",$AD325&amp;"|",FIND("|",$AD325,FIND("|",$AD325)+1)+1)-FIND("|",$AD325,FIND("|",$AD325)+1)-1))</f>
        <v/>
      </c>
      <c r="AD325">
        <f>TRIM(MID(SUBSTITUTE($BX$320,"~",REPT(" ",600)),2401,600))</f>
        <v/>
      </c>
    </row>
    <row r="326">
      <c r="B326" s="180">
        <f>IF($AD326="","",VALUE(LEFT($AD326,FIND("|",$AD326)-1)))</f>
        <v/>
      </c>
      <c r="C326" s="180">
        <f>IF($AD326="","","    "&amp;MID($AD326,FIND("|",$AD326)+1,FIND("|",$AD326,FIND("|",$AD326)+1)-FIND("|",$AD326)-1))</f>
        <v/>
      </c>
      <c r="D326" s="180">
        <f>IF($AD326="","",MID($AD326,FIND("|",$AD326,FIND("|",$AD326)+1)+1,FIND("|",$AD326&amp;"|",FIND("|",$AD326,FIND("|",$AD326)+1)+1)-FIND("|",$AD326,FIND("|",$AD326)+1)-1))</f>
        <v/>
      </c>
      <c r="AD326">
        <f>TRIM(MID(SUBSTITUTE($BX$320,"~",REPT(" ",600)),3001,600))</f>
        <v/>
      </c>
    </row>
    <row r="327">
      <c r="B327" s="180">
        <f>IF($AD327="","",VALUE(LEFT($AD327,FIND("|",$AD327)-1)))</f>
        <v/>
      </c>
      <c r="C327" s="180">
        <f>IF($AD327="","","    "&amp;MID($AD327,FIND("|",$AD327)+1,FIND("|",$AD327,FIND("|",$AD327)+1)-FIND("|",$AD327)-1))</f>
        <v/>
      </c>
      <c r="D327" s="180">
        <f>IF($AD327="","",MID($AD327,FIND("|",$AD327,FIND("|",$AD327)+1)+1,FIND("|",$AD327&amp;"|",FIND("|",$AD327,FIND("|",$AD327)+1)+1)-FIND("|",$AD327,FIND("|",$AD327)+1)-1))</f>
        <v/>
      </c>
      <c r="AD327">
        <f>TRIM(MID(SUBSTITUTE($BX$320,"~",REPT(" ",600)),3601,600))</f>
        <v/>
      </c>
    </row>
    <row r="328">
      <c r="B328" s="180">
        <f>IF($AD328="","",VALUE(LEFT($AD328,FIND("|",$AD328)-1)))</f>
        <v/>
      </c>
      <c r="C328" s="180">
        <f>IF($AD328="","","    "&amp;MID($AD328,FIND("|",$AD328)+1,FIND("|",$AD328,FIND("|",$AD328)+1)-FIND("|",$AD328)-1))</f>
        <v/>
      </c>
      <c r="D328" s="180">
        <f>IF($AD328="","",MID($AD328,FIND("|",$AD328,FIND("|",$AD328)+1)+1,FIND("|",$AD328&amp;"|",FIND("|",$AD328,FIND("|",$AD328)+1)+1)-FIND("|",$AD328,FIND("|",$AD328)+1)-1))</f>
        <v/>
      </c>
      <c r="AD328">
        <f>TRIM(MID(SUBSTITUTE($BX$320,"~",REPT(" ",600)),4201,600))</f>
        <v/>
      </c>
    </row>
    <row r="329">
      <c r="B329" s="180">
        <f>IF($AD329="","",VALUE(LEFT($AD329,FIND("|",$AD329)-1)))</f>
        <v/>
      </c>
      <c r="C329" s="180">
        <f>IF($AD329="","","    "&amp;MID($AD329,FIND("|",$AD329)+1,FIND("|",$AD329,FIND("|",$AD329)+1)-FIND("|",$AD329)-1))</f>
        <v/>
      </c>
      <c r="D329" s="180">
        <f>IF($AD329="","",MID($AD329,FIND("|",$AD329,FIND("|",$AD329)+1)+1,FIND("|",$AD329&amp;"|",FIND("|",$AD329,FIND("|",$AD329)+1)+1)-FIND("|",$AD329,FIND("|",$AD329)+1)-1))</f>
        <v/>
      </c>
      <c r="AD329">
        <f>TRIM(MID(SUBSTITUTE($BX$320,"~",REPT(" ",600)),4801,600))</f>
        <v/>
      </c>
    </row>
    <row r="330">
      <c r="B330" s="180">
        <f>IF($AD330="","",VALUE(LEFT($AD330,FIND("|",$AD330)-1)))</f>
        <v/>
      </c>
      <c r="C330" s="180">
        <f>IF($AD330="","","    "&amp;MID($AD330,FIND("|",$AD330)+1,FIND("|",$AD330,FIND("|",$AD330)+1)-FIND("|",$AD330)-1))</f>
        <v/>
      </c>
      <c r="D330" s="180">
        <f>IF($AD330="","",MID($AD330,FIND("|",$AD330,FIND("|",$AD330)+1)+1,FIND("|",$AD330&amp;"|",FIND("|",$AD330,FIND("|",$AD330)+1)+1)-FIND("|",$AD330,FIND("|",$AD330)+1)-1))</f>
        <v/>
      </c>
      <c r="AD330">
        <f>TRIM(MID(SUBSTITUTE($BX$320,"~",REPT(" ",600)),5401,600))</f>
        <v/>
      </c>
    </row>
    <row r="331">
      <c r="B331" s="180">
        <f>IF($AD331="","",VALUE(LEFT($AD331,FIND("|",$AD331)-1)))</f>
        <v/>
      </c>
      <c r="C331" s="180">
        <f>IF($AD331="","","    "&amp;MID($AD331,FIND("|",$AD331)+1,FIND("|",$AD331,FIND("|",$AD331)+1)-FIND("|",$AD331)-1))</f>
        <v/>
      </c>
      <c r="D331" s="180">
        <f>IF($AD331="","",MID($AD331,FIND("|",$AD331,FIND("|",$AD331)+1)+1,FIND("|",$AD331&amp;"|",FIND("|",$AD331,FIND("|",$AD331)+1)+1)-FIND("|",$AD331,FIND("|",$AD331)+1)-1))</f>
        <v/>
      </c>
      <c r="AD331">
        <f>TRIM(MID(SUBSTITUTE($BX$320,"~",REPT(" ",600)),6001,600))</f>
        <v/>
      </c>
    </row>
    <row r="332">
      <c r="A332" s="178">
        <f>IF($AD$332=0,"",$BK$332)</f>
        <v/>
      </c>
      <c r="B332" s="178">
        <f>IF($AD$332=0,"",$AE$332)</f>
        <v/>
      </c>
      <c r="C332" s="178">
        <f>IF($AD$332=0,"",$AE$332&amp;") "&amp;IF(COUNTIFS(tk_SOFG,28,tk_HLEG,"&lt;&gt;"&amp;$BJ$332)=0,INDEX(tk_FLINE,$AD$332),INDEX(tk_FLINEN,$AD$332))&amp;IF($AJ$332="KD"," ( R.O. "&amp;TRIM(TEXT(N($AQ$332)+2.25,"# ?/??"))&amp;CHAR(34)&amp;" x "&amp;TRIM(TEXT(N($AR$332)+1,"# ?/??"))&amp;CHAR(34)&amp;" )",""))</f>
        <v/>
      </c>
      <c r="D332" s="178" t="n"/>
      <c r="E332" s="179">
        <f t="array" ref="E332">IF($AD$332=0,"",_xlfn.TEXTJOIN(", ",TRUE,IF(tk_SOFG=28,"#"&amp;tk_MARK&amp;IF(tk_HLEG="","","("&amp;tk_HLEG&amp;")")&amp;IF(tk_QTY&gt;1," ×"&amp;tk_QTY,""),"")))</f>
        <v/>
      </c>
      <c r="AD332">
        <f>IFERROR(MATCH(28,tk_SOFG,0),0)</f>
        <v/>
      </c>
      <c r="AE332">
        <f>IF($AD$332=0,0,SUMIF(tk_SOFG,28,tk_QTY))</f>
        <v/>
      </c>
      <c r="AF332">
        <f>IF($AD$332=0,"",INDEX(tk_JAMB,$AD$332))</f>
        <v/>
      </c>
      <c r="AG332">
        <f>IF($AD$332=0,"",INDEX(tk_ANCHOR,$AD$332))</f>
        <v/>
      </c>
      <c r="AH332">
        <f>IF($AD$332=0,"",INDEX(tk_ANCH,$AD$332))</f>
        <v/>
      </c>
      <c r="AI332">
        <f>IF($AD$332=0,"",INDEX(tk_BASEA,$AD$332))</f>
        <v/>
      </c>
      <c r="AJ332">
        <f>IF($AD$332=0,"",INDEX(tk_CONSTR,$AD$332))</f>
        <v/>
      </c>
      <c r="AK332">
        <f>IF($AD$332=0,"",INDEX(tk_CLOSER,$AD$332))</f>
        <v/>
      </c>
      <c r="AL332">
        <f>IF($AD$332=0,"",INDEX(tk_STRIKE,$AD$332))</f>
        <v/>
      </c>
      <c r="AM332">
        <f>IF($AD$332=0,"",INDEX(tk_HDRPREP,$AD$332))</f>
        <v/>
      </c>
      <c r="AN332">
        <f>IF($AD$332=0,"",INDEX(tk_DMIN,$AD$332))</f>
        <v/>
      </c>
      <c r="AO332">
        <f>IF($AD$332=0,"",INDEX(tk_PAIR,$AD$332))</f>
        <v/>
      </c>
      <c r="AP332">
        <f>IF($AD$332=0,"",INDEX(tk_FGA,$AD$332))</f>
        <v/>
      </c>
      <c r="AQ332">
        <f>IF($AD$332=0,"",INDEX(tk_WI,$AD$332))</f>
        <v/>
      </c>
      <c r="AR332">
        <f>IF($AD$332=0,"",INDEX(tk_HI,$AD$332))</f>
        <v/>
      </c>
      <c r="AS332">
        <f>IF($AD$332=0,"",INDEX(tk_FHINGE,$AD$332))</f>
        <v/>
      </c>
      <c r="AT332">
        <f>IF($AD$332=0,"",INDEX(tk_DHINGE,$AD$332))</f>
        <v/>
      </c>
      <c r="AU332">
        <f>IF($AD$332=0,"",INDEX(tk_HWLOC,$AD$332))</f>
        <v/>
      </c>
      <c r="AV332">
        <f>IF($AD$332=0,"",INDEX(tk_MANUF,$AD$332))</f>
        <v/>
      </c>
      <c r="AW332">
        <f>IF($AD$332=0,"",INDEX(tk_JH,$AD$332))</f>
        <v/>
      </c>
      <c r="AX332">
        <f>IF($AD$332=0,"",INDEX(tk_FDESC,$AD$332))</f>
        <v/>
      </c>
      <c r="AY332">
        <f>IF($AD$332=0,"",INDEX(tk_TRANS,$AD$332))</f>
        <v/>
      </c>
      <c r="AZ332">
        <f>IF($AD$332=0,"",INDEX(tk_SLW,$AD$332))</f>
        <v/>
      </c>
      <c r="BA332">
        <f>IF($AD$332=0,"",INDEX(tk_LEAVES,$AD$332))</f>
        <v/>
      </c>
      <c r="BB332">
        <f>IF($AD$332=0,"",INDEX(tk_LEAFW,$AD$332))</f>
        <v/>
      </c>
      <c r="BC332">
        <f>IF($AD$332=0,"",INDEX(tk_LEAFH,$AD$332))</f>
        <v/>
      </c>
      <c r="BD332">
        <f>IF($AD$332=0,"",INDEX(tk_DMAT,$AD$332))</f>
        <v/>
      </c>
      <c r="BE332">
        <f>IF($AD$332=0,"",INDEX(tk_DGA,$AD$332))</f>
        <v/>
      </c>
      <c r="BF332">
        <f>IF($AD$332=0,"",INDEX(tk_SERIES,$AD$332))</f>
        <v/>
      </c>
      <c r="BG332">
        <f>IF($AD$332=0,"",INDEX(tk_LOCK,$AD$332))</f>
        <v/>
      </c>
      <c r="BH332">
        <f>IF($AD$332=0,"",INDEX(tk_LITEKIT,$AD$332))</f>
        <v/>
      </c>
      <c r="BI332">
        <f>IF($AD$332=0,"",INDEX(tk_FACE,$AD$332))</f>
        <v/>
      </c>
      <c r="BJ332">
        <f>IF($AD$332=0,"",INDEX(tk_HLEG,$AD$332))</f>
        <v/>
      </c>
      <c r="BK332">
        <f>IF($AD$332=0,"",INDEX(tk_SOITEM,$AD$332))</f>
        <v/>
      </c>
      <c r="BL332">
        <f>IFERROR(VLOOKUP($AF$332,CODES,2,FALSE),"")</f>
        <v/>
      </c>
      <c r="BM332">
        <f>IF($AJ$332="KD","C","M")</f>
        <v/>
      </c>
      <c r="BN332">
        <f>IF(N($AR$332)&lt;=80,80,IF(N($AR$332)&lt;=84,84,IF(N($AR$332)&lt;=96,96,N($AR$332))))</f>
        <v/>
      </c>
      <c r="BO332">
        <f>INT($BN$332/12)&amp;MOD($BN$332,12)</f>
        <v/>
      </c>
      <c r="BP332">
        <f>INT(N($AQ$332)/12)&amp;MOD(N($AQ$332),12)</f>
        <v/>
      </c>
      <c r="BQ332">
        <f>IF(OR($AU$332="",$AU$332="ANSI/SDI",$AU$332="CUSTOM LOC"),IF($AV$332="CU","CURRIES","STEELCRAFT"),$AU$332)</f>
        <v/>
      </c>
      <c r="BR332">
        <f>$AO$332="Y"</f>
        <v/>
      </c>
      <c r="BS332">
        <f>"~"</f>
        <v/>
      </c>
      <c r="BT332">
        <f>N($AH$332)*N($AI$332)</f>
        <v/>
      </c>
      <c r="BU332">
        <f>IF(OR($AL$332="",$AL$332="-",$AL$332="E8"),"G18",$AL$332)</f>
        <v/>
      </c>
      <c r="BV332">
        <f>IF(OR($AS$332="",$AS$332="-"),"BLK",$AS$332)</f>
        <v/>
      </c>
      <c r="BW332">
        <f>" "&amp;$BM$332&amp;$AP$332&amp;" "</f>
        <v/>
      </c>
      <c r="BX332">
        <f>IF($AD$332=0,"",IF(OR($AG$332="SSA",$AG$332="SC"),$AE$332*$BT$332&amp;"|"&amp;$BL$332&amp;" STEEL STUD ANCHOR 2"&amp;CHAR(34)&amp;"||"&amp;$BS$332,"")&amp;IF($AG$332="WEWA-M",$AE$332*(N($AH$332)+1)*N($AI$332)&amp;"|FR101F 690 "&amp;$BL$332&amp;" MASONRY TUBE ANCHOR 16 GA||"&amp;$BS$332&amp;$AE$332*(N($AH$332)+1)*N($AI$332)&amp;"|3/8X5 SF3850 DYNO BOLTS||"&amp;$BS$332,"")&amp;IF($AG$332="WMA",$AE$332*$BT$332&amp;"|WIRE MASONRY ANCHOR||"&amp;$BS$332,"")&amp;IF($AG$332="T",$AE$332*$BT$332&amp;"|T-STRAP MASONRY ANCHOR||"&amp;$BS$332,"")&amp;IF($AG$332="WEWA-W",$AE$332*$BT$332&amp;"|P/D + WOOD SCREWS||"&amp;$BS$332,"")&amp;IF($AJ$332="WGS",$AE$332&amp;"|WELD &amp; GROUND SMOOTH||"&amp;$BS$332,"")&amp;IF(OR($AK$332="",$AK$332="-"),"",$AE$332*IF($BR$332,4,2)&amp;"|RACL/PACL-CLOSER REINF. 14GAx1-3/4x16 HRPO|"&amp;$AK$332&amp;IF($BR$332," BOTH SIDES","")&amp;"|"&amp;$BS$332)&amp;IF($AL$332="E8",$AE$332&amp;"|E8-STRIKE REINF. RIM EXIT||"&amp;$BS$332,"")&amp;IF(ISNUMBER(SEARCH("E4",$AL$332)),$AE$332&amp;"|FRAME DEADLOCK PREP||"&amp;$BS$332,"")&amp;IF($AL$332="E9",$AE$332&amp;"|ELECTRIC STRIKE PREP||"&amp;$BS$332,"")&amp;IF($AM$332="H5",$AE$332&amp;"|H5 STRIKE PREP IN HEADER||"&amp;$BS$332,IF(OR($AM$332="",$AM$332="-"),"",$AE$332&amp;"|HEADER PREP "&amp;$AM$332&amp;"||"&amp;$BS$332))&amp;IF(N($AN$332)&gt;0,$AE$332&amp;"|"&amp;$AN$332&amp;" MINUTE STEEL FRAME LABEL "&amp;IF(OR(N($AY$332)&gt;0,N($AZ$332)&gt;0),"W/TRANSOM PANEL/SIDELIGHT","CAT. C PP")&amp;"||"&amp;$BS$332,"")&amp;IF($AX$332="BL","",$AE$332&amp;"|HD "&amp;$AF$332&amp;$BW$332&amp;$BP$332&amp;" BSC||"&amp;$BS$332&amp;IF($BR$332,$AE$332&amp;"|HJ "&amp;$AF$332&amp;$BW$332&amp;"LH "&amp;$BO$332&amp;" "&amp;$BV$332&amp;" BSC "&amp;CHAR(34)&amp;$BQ$332&amp;CHAR(34)&amp;"||"&amp;$BS$332&amp;$AE$332&amp;"|HJ "&amp;$AF$332&amp;$BW$332&amp;"RH "&amp;$BO$332&amp;" "&amp;$BV$332&amp;" BSC "&amp;CHAR(34)&amp;$BQ$332&amp;CHAR(34)&amp;"||"&amp;$BS$332,$AE$332&amp;"|HJ "&amp;$AF$332&amp;$BW$332&amp;$AW$332&amp;" "&amp;$BO$332&amp;" "&amp;$BV$332&amp;" BSC "&amp;CHAR(34)&amp;$BQ$332&amp;CHAR(34)&amp;"||"&amp;$BS$332&amp;$AE$332&amp;"|SJ "&amp;$AF$332&amp;$BW$332&amp;$AW$332&amp;" "&amp;$BO$332&amp;" "&amp;$BU$332&amp;IF($BU$332="G18"," BLANK"," Y")&amp;" BSC "&amp;CHAR(34)&amp;$BQ$332&amp;CHAR(34)&amp;"||"&amp;$BS$332))&amp;IF(AND($BN$332&gt;N($AR$332),$AX$332&lt;&gt;"BL",N($AR$332)&gt;=60),$AE$332&amp;"|FRAME CUT DOWN (BOTTOM)|Cut "&amp;TRIM(TEXT($BN$332-N($AR$332),"# ?/??"))&amp;CHAR(34)&amp;" OFF THE BOTTOM|"&amp;$BS$332,""))</f>
        <v/>
      </c>
    </row>
    <row r="333">
      <c r="B333" s="180">
        <f>IF($AD333="","",VALUE(LEFT($AD333,FIND("|",$AD333)-1)))</f>
        <v/>
      </c>
      <c r="C333" s="180">
        <f>IF($AD333="","","    "&amp;MID($AD333,FIND("|",$AD333)+1,FIND("|",$AD333,FIND("|",$AD333)+1)-FIND("|",$AD333)-1))</f>
        <v/>
      </c>
      <c r="D333" s="180">
        <f>IF($AD333="","",MID($AD333,FIND("|",$AD333,FIND("|",$AD333)+1)+1,FIND("|",$AD333&amp;"|",FIND("|",$AD333,FIND("|",$AD333)+1)+1)-FIND("|",$AD333,FIND("|",$AD333)+1)-1))</f>
        <v/>
      </c>
      <c r="AD333">
        <f>TRIM(MID(SUBSTITUTE($BX$332,"~",REPT(" ",600)),1,600))</f>
        <v/>
      </c>
    </row>
    <row r="334">
      <c r="B334" s="180">
        <f>IF($AD334="","",VALUE(LEFT($AD334,FIND("|",$AD334)-1)))</f>
        <v/>
      </c>
      <c r="C334" s="180">
        <f>IF($AD334="","","    "&amp;MID($AD334,FIND("|",$AD334)+1,FIND("|",$AD334,FIND("|",$AD334)+1)-FIND("|",$AD334)-1))</f>
        <v/>
      </c>
      <c r="D334" s="180">
        <f>IF($AD334="","",MID($AD334,FIND("|",$AD334,FIND("|",$AD334)+1)+1,FIND("|",$AD334&amp;"|",FIND("|",$AD334,FIND("|",$AD334)+1)+1)-FIND("|",$AD334,FIND("|",$AD334)+1)-1))</f>
        <v/>
      </c>
      <c r="AD334">
        <f>TRIM(MID(SUBSTITUTE($BX$332,"~",REPT(" ",600)),601,600))</f>
        <v/>
      </c>
    </row>
    <row r="335">
      <c r="B335" s="180">
        <f>IF($AD335="","",VALUE(LEFT($AD335,FIND("|",$AD335)-1)))</f>
        <v/>
      </c>
      <c r="C335" s="180">
        <f>IF($AD335="","","    "&amp;MID($AD335,FIND("|",$AD335)+1,FIND("|",$AD335,FIND("|",$AD335)+1)-FIND("|",$AD335)-1))</f>
        <v/>
      </c>
      <c r="D335" s="180">
        <f>IF($AD335="","",MID($AD335,FIND("|",$AD335,FIND("|",$AD335)+1)+1,FIND("|",$AD335&amp;"|",FIND("|",$AD335,FIND("|",$AD335)+1)+1)-FIND("|",$AD335,FIND("|",$AD335)+1)-1))</f>
        <v/>
      </c>
      <c r="AD335">
        <f>TRIM(MID(SUBSTITUTE($BX$332,"~",REPT(" ",600)),1201,600))</f>
        <v/>
      </c>
    </row>
    <row r="336">
      <c r="B336" s="180">
        <f>IF($AD336="","",VALUE(LEFT($AD336,FIND("|",$AD336)-1)))</f>
        <v/>
      </c>
      <c r="C336" s="180">
        <f>IF($AD336="","","    "&amp;MID($AD336,FIND("|",$AD336)+1,FIND("|",$AD336,FIND("|",$AD336)+1)-FIND("|",$AD336)-1))</f>
        <v/>
      </c>
      <c r="D336" s="180">
        <f>IF($AD336="","",MID($AD336,FIND("|",$AD336,FIND("|",$AD336)+1)+1,FIND("|",$AD336&amp;"|",FIND("|",$AD336,FIND("|",$AD336)+1)+1)-FIND("|",$AD336,FIND("|",$AD336)+1)-1))</f>
        <v/>
      </c>
      <c r="AD336">
        <f>TRIM(MID(SUBSTITUTE($BX$332,"~",REPT(" ",600)),1801,600))</f>
        <v/>
      </c>
    </row>
    <row r="337">
      <c r="B337" s="180">
        <f>IF($AD337="","",VALUE(LEFT($AD337,FIND("|",$AD337)-1)))</f>
        <v/>
      </c>
      <c r="C337" s="180">
        <f>IF($AD337="","","    "&amp;MID($AD337,FIND("|",$AD337)+1,FIND("|",$AD337,FIND("|",$AD337)+1)-FIND("|",$AD337)-1))</f>
        <v/>
      </c>
      <c r="D337" s="180">
        <f>IF($AD337="","",MID($AD337,FIND("|",$AD337,FIND("|",$AD337)+1)+1,FIND("|",$AD337&amp;"|",FIND("|",$AD337,FIND("|",$AD337)+1)+1)-FIND("|",$AD337,FIND("|",$AD337)+1)-1))</f>
        <v/>
      </c>
      <c r="AD337">
        <f>TRIM(MID(SUBSTITUTE($BX$332,"~",REPT(" ",600)),2401,600))</f>
        <v/>
      </c>
    </row>
    <row r="338">
      <c r="B338" s="180">
        <f>IF($AD338="","",VALUE(LEFT($AD338,FIND("|",$AD338)-1)))</f>
        <v/>
      </c>
      <c r="C338" s="180">
        <f>IF($AD338="","","    "&amp;MID($AD338,FIND("|",$AD338)+1,FIND("|",$AD338,FIND("|",$AD338)+1)-FIND("|",$AD338)-1))</f>
        <v/>
      </c>
      <c r="D338" s="180">
        <f>IF($AD338="","",MID($AD338,FIND("|",$AD338,FIND("|",$AD338)+1)+1,FIND("|",$AD338&amp;"|",FIND("|",$AD338,FIND("|",$AD338)+1)+1)-FIND("|",$AD338,FIND("|",$AD338)+1)-1))</f>
        <v/>
      </c>
      <c r="AD338">
        <f>TRIM(MID(SUBSTITUTE($BX$332,"~",REPT(" ",600)),3001,600))</f>
        <v/>
      </c>
    </row>
    <row r="339">
      <c r="B339" s="180">
        <f>IF($AD339="","",VALUE(LEFT($AD339,FIND("|",$AD339)-1)))</f>
        <v/>
      </c>
      <c r="C339" s="180">
        <f>IF($AD339="","","    "&amp;MID($AD339,FIND("|",$AD339)+1,FIND("|",$AD339,FIND("|",$AD339)+1)-FIND("|",$AD339)-1))</f>
        <v/>
      </c>
      <c r="D339" s="180">
        <f>IF($AD339="","",MID($AD339,FIND("|",$AD339,FIND("|",$AD339)+1)+1,FIND("|",$AD339&amp;"|",FIND("|",$AD339,FIND("|",$AD339)+1)+1)-FIND("|",$AD339,FIND("|",$AD339)+1)-1))</f>
        <v/>
      </c>
      <c r="AD339">
        <f>TRIM(MID(SUBSTITUTE($BX$332,"~",REPT(" ",600)),3601,600))</f>
        <v/>
      </c>
    </row>
    <row r="340">
      <c r="B340" s="180">
        <f>IF($AD340="","",VALUE(LEFT($AD340,FIND("|",$AD340)-1)))</f>
        <v/>
      </c>
      <c r="C340" s="180">
        <f>IF($AD340="","","    "&amp;MID($AD340,FIND("|",$AD340)+1,FIND("|",$AD340,FIND("|",$AD340)+1)-FIND("|",$AD340)-1))</f>
        <v/>
      </c>
      <c r="D340" s="180">
        <f>IF($AD340="","",MID($AD340,FIND("|",$AD340,FIND("|",$AD340)+1)+1,FIND("|",$AD340&amp;"|",FIND("|",$AD340,FIND("|",$AD340)+1)+1)-FIND("|",$AD340,FIND("|",$AD340)+1)-1))</f>
        <v/>
      </c>
      <c r="AD340">
        <f>TRIM(MID(SUBSTITUTE($BX$332,"~",REPT(" ",600)),4201,600))</f>
        <v/>
      </c>
    </row>
    <row r="341">
      <c r="B341" s="180">
        <f>IF($AD341="","",VALUE(LEFT($AD341,FIND("|",$AD341)-1)))</f>
        <v/>
      </c>
      <c r="C341" s="180">
        <f>IF($AD341="","","    "&amp;MID($AD341,FIND("|",$AD341)+1,FIND("|",$AD341,FIND("|",$AD341)+1)-FIND("|",$AD341)-1))</f>
        <v/>
      </c>
      <c r="D341" s="180">
        <f>IF($AD341="","",MID($AD341,FIND("|",$AD341,FIND("|",$AD341)+1)+1,FIND("|",$AD341&amp;"|",FIND("|",$AD341,FIND("|",$AD341)+1)+1)-FIND("|",$AD341,FIND("|",$AD341)+1)-1))</f>
        <v/>
      </c>
      <c r="AD341">
        <f>TRIM(MID(SUBSTITUTE($BX$332,"~",REPT(" ",600)),4801,600))</f>
        <v/>
      </c>
    </row>
    <row r="342">
      <c r="B342" s="180">
        <f>IF($AD342="","",VALUE(LEFT($AD342,FIND("|",$AD342)-1)))</f>
        <v/>
      </c>
      <c r="C342" s="180">
        <f>IF($AD342="","","    "&amp;MID($AD342,FIND("|",$AD342)+1,FIND("|",$AD342,FIND("|",$AD342)+1)-FIND("|",$AD342)-1))</f>
        <v/>
      </c>
      <c r="D342" s="180">
        <f>IF($AD342="","",MID($AD342,FIND("|",$AD342,FIND("|",$AD342)+1)+1,FIND("|",$AD342&amp;"|",FIND("|",$AD342,FIND("|",$AD342)+1)+1)-FIND("|",$AD342,FIND("|",$AD342)+1)-1))</f>
        <v/>
      </c>
      <c r="AD342">
        <f>TRIM(MID(SUBSTITUTE($BX$332,"~",REPT(" ",600)),5401,600))</f>
        <v/>
      </c>
    </row>
    <row r="343">
      <c r="B343" s="180">
        <f>IF($AD343="","",VALUE(LEFT($AD343,FIND("|",$AD343)-1)))</f>
        <v/>
      </c>
      <c r="C343" s="180">
        <f>IF($AD343="","","    "&amp;MID($AD343,FIND("|",$AD343)+1,FIND("|",$AD343,FIND("|",$AD343)+1)-FIND("|",$AD343)-1))</f>
        <v/>
      </c>
      <c r="D343" s="180">
        <f>IF($AD343="","",MID($AD343,FIND("|",$AD343,FIND("|",$AD343)+1)+1,FIND("|",$AD343&amp;"|",FIND("|",$AD343,FIND("|",$AD343)+1)+1)-FIND("|",$AD343,FIND("|",$AD343)+1)-1))</f>
        <v/>
      </c>
      <c r="AD343">
        <f>TRIM(MID(SUBSTITUTE($BX$332,"~",REPT(" ",600)),6001,600))</f>
        <v/>
      </c>
    </row>
    <row r="344">
      <c r="A344" s="178">
        <f>IF($AD$344=0,"",$BK$344)</f>
        <v/>
      </c>
      <c r="B344" s="178">
        <f>IF($AD$344=0,"",$AE$344)</f>
        <v/>
      </c>
      <c r="C344" s="178">
        <f>IF($AD$344=0,"",$AE$344&amp;") "&amp;IF(COUNTIFS(tk_SOFG,29,tk_HLEG,"&lt;&gt;"&amp;$BJ$344)=0,INDEX(tk_FLINE,$AD$344),INDEX(tk_FLINEN,$AD$344))&amp;IF($AJ$344="KD"," ( R.O. "&amp;TRIM(TEXT(N($AQ$344)+2.25,"# ?/??"))&amp;CHAR(34)&amp;" x "&amp;TRIM(TEXT(N($AR$344)+1,"# ?/??"))&amp;CHAR(34)&amp;" )",""))</f>
        <v/>
      </c>
      <c r="D344" s="178" t="n"/>
      <c r="E344" s="179">
        <f t="array" ref="E344">IF($AD$344=0,"",_xlfn.TEXTJOIN(", ",TRUE,IF(tk_SOFG=29,"#"&amp;tk_MARK&amp;IF(tk_HLEG="","","("&amp;tk_HLEG&amp;")")&amp;IF(tk_QTY&gt;1," ×"&amp;tk_QTY,""),"")))</f>
        <v/>
      </c>
      <c r="AD344">
        <f>IFERROR(MATCH(29,tk_SOFG,0),0)</f>
        <v/>
      </c>
      <c r="AE344">
        <f>IF($AD$344=0,0,SUMIF(tk_SOFG,29,tk_QTY))</f>
        <v/>
      </c>
      <c r="AF344">
        <f>IF($AD$344=0,"",INDEX(tk_JAMB,$AD$344))</f>
        <v/>
      </c>
      <c r="AG344">
        <f>IF($AD$344=0,"",INDEX(tk_ANCHOR,$AD$344))</f>
        <v/>
      </c>
      <c r="AH344">
        <f>IF($AD$344=0,"",INDEX(tk_ANCH,$AD$344))</f>
        <v/>
      </c>
      <c r="AI344">
        <f>IF($AD$344=0,"",INDEX(tk_BASEA,$AD$344))</f>
        <v/>
      </c>
      <c r="AJ344">
        <f>IF($AD$344=0,"",INDEX(tk_CONSTR,$AD$344))</f>
        <v/>
      </c>
      <c r="AK344">
        <f>IF($AD$344=0,"",INDEX(tk_CLOSER,$AD$344))</f>
        <v/>
      </c>
      <c r="AL344">
        <f>IF($AD$344=0,"",INDEX(tk_STRIKE,$AD$344))</f>
        <v/>
      </c>
      <c r="AM344">
        <f>IF($AD$344=0,"",INDEX(tk_HDRPREP,$AD$344))</f>
        <v/>
      </c>
      <c r="AN344">
        <f>IF($AD$344=0,"",INDEX(tk_DMIN,$AD$344))</f>
        <v/>
      </c>
      <c r="AO344">
        <f>IF($AD$344=0,"",INDEX(tk_PAIR,$AD$344))</f>
        <v/>
      </c>
      <c r="AP344">
        <f>IF($AD$344=0,"",INDEX(tk_FGA,$AD$344))</f>
        <v/>
      </c>
      <c r="AQ344">
        <f>IF($AD$344=0,"",INDEX(tk_WI,$AD$344))</f>
        <v/>
      </c>
      <c r="AR344">
        <f>IF($AD$344=0,"",INDEX(tk_HI,$AD$344))</f>
        <v/>
      </c>
      <c r="AS344">
        <f>IF($AD$344=0,"",INDEX(tk_FHINGE,$AD$344))</f>
        <v/>
      </c>
      <c r="AT344">
        <f>IF($AD$344=0,"",INDEX(tk_DHINGE,$AD$344))</f>
        <v/>
      </c>
      <c r="AU344">
        <f>IF($AD$344=0,"",INDEX(tk_HWLOC,$AD$344))</f>
        <v/>
      </c>
      <c r="AV344">
        <f>IF($AD$344=0,"",INDEX(tk_MANUF,$AD$344))</f>
        <v/>
      </c>
      <c r="AW344">
        <f>IF($AD$344=0,"",INDEX(tk_JH,$AD$344))</f>
        <v/>
      </c>
      <c r="AX344">
        <f>IF($AD$344=0,"",INDEX(tk_FDESC,$AD$344))</f>
        <v/>
      </c>
      <c r="AY344">
        <f>IF($AD$344=0,"",INDEX(tk_TRANS,$AD$344))</f>
        <v/>
      </c>
      <c r="AZ344">
        <f>IF($AD$344=0,"",INDEX(tk_SLW,$AD$344))</f>
        <v/>
      </c>
      <c r="BA344">
        <f>IF($AD$344=0,"",INDEX(tk_LEAVES,$AD$344))</f>
        <v/>
      </c>
      <c r="BB344">
        <f>IF($AD$344=0,"",INDEX(tk_LEAFW,$AD$344))</f>
        <v/>
      </c>
      <c r="BC344">
        <f>IF($AD$344=0,"",INDEX(tk_LEAFH,$AD$344))</f>
        <v/>
      </c>
      <c r="BD344">
        <f>IF($AD$344=0,"",INDEX(tk_DMAT,$AD$344))</f>
        <v/>
      </c>
      <c r="BE344">
        <f>IF($AD$344=0,"",INDEX(tk_DGA,$AD$344))</f>
        <v/>
      </c>
      <c r="BF344">
        <f>IF($AD$344=0,"",INDEX(tk_SERIES,$AD$344))</f>
        <v/>
      </c>
      <c r="BG344">
        <f>IF($AD$344=0,"",INDEX(tk_LOCK,$AD$344))</f>
        <v/>
      </c>
      <c r="BH344">
        <f>IF($AD$344=0,"",INDEX(tk_LITEKIT,$AD$344))</f>
        <v/>
      </c>
      <c r="BI344">
        <f>IF($AD$344=0,"",INDEX(tk_FACE,$AD$344))</f>
        <v/>
      </c>
      <c r="BJ344">
        <f>IF($AD$344=0,"",INDEX(tk_HLEG,$AD$344))</f>
        <v/>
      </c>
      <c r="BK344">
        <f>IF($AD$344=0,"",INDEX(tk_SOITEM,$AD$344))</f>
        <v/>
      </c>
      <c r="BL344">
        <f>IFERROR(VLOOKUP($AF$344,CODES,2,FALSE),"")</f>
        <v/>
      </c>
      <c r="BM344">
        <f>IF($AJ$344="KD","C","M")</f>
        <v/>
      </c>
      <c r="BN344">
        <f>IF(N($AR$344)&lt;=80,80,IF(N($AR$344)&lt;=84,84,IF(N($AR$344)&lt;=96,96,N($AR$344))))</f>
        <v/>
      </c>
      <c r="BO344">
        <f>INT($BN$344/12)&amp;MOD($BN$344,12)</f>
        <v/>
      </c>
      <c r="BP344">
        <f>INT(N($AQ$344)/12)&amp;MOD(N($AQ$344),12)</f>
        <v/>
      </c>
      <c r="BQ344">
        <f>IF(OR($AU$344="",$AU$344="ANSI/SDI",$AU$344="CUSTOM LOC"),IF($AV$344="CU","CURRIES","STEELCRAFT"),$AU$344)</f>
        <v/>
      </c>
      <c r="BR344">
        <f>$AO$344="Y"</f>
        <v/>
      </c>
      <c r="BS344">
        <f>"~"</f>
        <v/>
      </c>
      <c r="BT344">
        <f>N($AH$344)*N($AI$344)</f>
        <v/>
      </c>
      <c r="BU344">
        <f>IF(OR($AL$344="",$AL$344="-",$AL$344="E8"),"G18",$AL$344)</f>
        <v/>
      </c>
      <c r="BV344">
        <f>IF(OR($AS$344="",$AS$344="-"),"BLK",$AS$344)</f>
        <v/>
      </c>
      <c r="BW344">
        <f>" "&amp;$BM$344&amp;$AP$344&amp;" "</f>
        <v/>
      </c>
      <c r="BX344">
        <f>IF($AD$344=0,"",IF(OR($AG$344="SSA",$AG$344="SC"),$AE$344*$BT$344&amp;"|"&amp;$BL$344&amp;" STEEL STUD ANCHOR 2"&amp;CHAR(34)&amp;"||"&amp;$BS$344,"")&amp;IF($AG$344="WEWA-M",$AE$344*(N($AH$344)+1)*N($AI$344)&amp;"|FR101F 690 "&amp;$BL$344&amp;" MASONRY TUBE ANCHOR 16 GA||"&amp;$BS$344&amp;$AE$344*(N($AH$344)+1)*N($AI$344)&amp;"|3/8X5 SF3850 DYNO BOLTS||"&amp;$BS$344,"")&amp;IF($AG$344="WMA",$AE$344*$BT$344&amp;"|WIRE MASONRY ANCHOR||"&amp;$BS$344,"")&amp;IF($AG$344="T",$AE$344*$BT$344&amp;"|T-STRAP MASONRY ANCHOR||"&amp;$BS$344,"")&amp;IF($AG$344="WEWA-W",$AE$344*$BT$344&amp;"|P/D + WOOD SCREWS||"&amp;$BS$344,"")&amp;IF($AJ$344="WGS",$AE$344&amp;"|WELD &amp; GROUND SMOOTH||"&amp;$BS$344,"")&amp;IF(OR($AK$344="",$AK$344="-"),"",$AE$344*IF($BR$344,4,2)&amp;"|RACL/PACL-CLOSER REINF. 14GAx1-3/4x16 HRPO|"&amp;$AK$344&amp;IF($BR$344," BOTH SIDES","")&amp;"|"&amp;$BS$344)&amp;IF($AL$344="E8",$AE$344&amp;"|E8-STRIKE REINF. RIM EXIT||"&amp;$BS$344,"")&amp;IF(ISNUMBER(SEARCH("E4",$AL$344)),$AE$344&amp;"|FRAME DEADLOCK PREP||"&amp;$BS$344,"")&amp;IF($AL$344="E9",$AE$344&amp;"|ELECTRIC STRIKE PREP||"&amp;$BS$344,"")&amp;IF($AM$344="H5",$AE$344&amp;"|H5 STRIKE PREP IN HEADER||"&amp;$BS$344,IF(OR($AM$344="",$AM$344="-"),"",$AE$344&amp;"|HEADER PREP "&amp;$AM$344&amp;"||"&amp;$BS$344))&amp;IF(N($AN$344)&gt;0,$AE$344&amp;"|"&amp;$AN$344&amp;" MINUTE STEEL FRAME LABEL "&amp;IF(OR(N($AY$344)&gt;0,N($AZ$344)&gt;0),"W/TRANSOM PANEL/SIDELIGHT","CAT. C PP")&amp;"||"&amp;$BS$344,"")&amp;IF($AX$344="BL","",$AE$344&amp;"|HD "&amp;$AF$344&amp;$BW$344&amp;$BP$344&amp;" BSC||"&amp;$BS$344&amp;IF($BR$344,$AE$344&amp;"|HJ "&amp;$AF$344&amp;$BW$344&amp;"LH "&amp;$BO$344&amp;" "&amp;$BV$344&amp;" BSC "&amp;CHAR(34)&amp;$BQ$344&amp;CHAR(34)&amp;"||"&amp;$BS$344&amp;$AE$344&amp;"|HJ "&amp;$AF$344&amp;$BW$344&amp;"RH "&amp;$BO$344&amp;" "&amp;$BV$344&amp;" BSC "&amp;CHAR(34)&amp;$BQ$344&amp;CHAR(34)&amp;"||"&amp;$BS$344,$AE$344&amp;"|HJ "&amp;$AF$344&amp;$BW$344&amp;$AW$344&amp;" "&amp;$BO$344&amp;" "&amp;$BV$344&amp;" BSC "&amp;CHAR(34)&amp;$BQ$344&amp;CHAR(34)&amp;"||"&amp;$BS$344&amp;$AE$344&amp;"|SJ "&amp;$AF$344&amp;$BW$344&amp;$AW$344&amp;" "&amp;$BO$344&amp;" "&amp;$BU$344&amp;IF($BU$344="G18"," BLANK"," Y")&amp;" BSC "&amp;CHAR(34)&amp;$BQ$344&amp;CHAR(34)&amp;"||"&amp;$BS$344))&amp;IF(AND($BN$344&gt;N($AR$344),$AX$344&lt;&gt;"BL",N($AR$344)&gt;=60),$AE$344&amp;"|FRAME CUT DOWN (BOTTOM)|Cut "&amp;TRIM(TEXT($BN$344-N($AR$344),"# ?/??"))&amp;CHAR(34)&amp;" OFF THE BOTTOM|"&amp;$BS$344,""))</f>
        <v/>
      </c>
    </row>
    <row r="345">
      <c r="B345" s="180">
        <f>IF($AD345="","",VALUE(LEFT($AD345,FIND("|",$AD345)-1)))</f>
        <v/>
      </c>
      <c r="C345" s="180">
        <f>IF($AD345="","","    "&amp;MID($AD345,FIND("|",$AD345)+1,FIND("|",$AD345,FIND("|",$AD345)+1)-FIND("|",$AD345)-1))</f>
        <v/>
      </c>
      <c r="D345" s="180">
        <f>IF($AD345="","",MID($AD345,FIND("|",$AD345,FIND("|",$AD345)+1)+1,FIND("|",$AD345&amp;"|",FIND("|",$AD345,FIND("|",$AD345)+1)+1)-FIND("|",$AD345,FIND("|",$AD345)+1)-1))</f>
        <v/>
      </c>
      <c r="AD345">
        <f>TRIM(MID(SUBSTITUTE($BX$344,"~",REPT(" ",600)),1,600))</f>
        <v/>
      </c>
    </row>
    <row r="346">
      <c r="B346" s="180">
        <f>IF($AD346="","",VALUE(LEFT($AD346,FIND("|",$AD346)-1)))</f>
        <v/>
      </c>
      <c r="C346" s="180">
        <f>IF($AD346="","","    "&amp;MID($AD346,FIND("|",$AD346)+1,FIND("|",$AD346,FIND("|",$AD346)+1)-FIND("|",$AD346)-1))</f>
        <v/>
      </c>
      <c r="D346" s="180">
        <f>IF($AD346="","",MID($AD346,FIND("|",$AD346,FIND("|",$AD346)+1)+1,FIND("|",$AD346&amp;"|",FIND("|",$AD346,FIND("|",$AD346)+1)+1)-FIND("|",$AD346,FIND("|",$AD346)+1)-1))</f>
        <v/>
      </c>
      <c r="AD346">
        <f>TRIM(MID(SUBSTITUTE($BX$344,"~",REPT(" ",600)),601,600))</f>
        <v/>
      </c>
    </row>
    <row r="347">
      <c r="B347" s="180">
        <f>IF($AD347="","",VALUE(LEFT($AD347,FIND("|",$AD347)-1)))</f>
        <v/>
      </c>
      <c r="C347" s="180">
        <f>IF($AD347="","","    "&amp;MID($AD347,FIND("|",$AD347)+1,FIND("|",$AD347,FIND("|",$AD347)+1)-FIND("|",$AD347)-1))</f>
        <v/>
      </c>
      <c r="D347" s="180">
        <f>IF($AD347="","",MID($AD347,FIND("|",$AD347,FIND("|",$AD347)+1)+1,FIND("|",$AD347&amp;"|",FIND("|",$AD347,FIND("|",$AD347)+1)+1)-FIND("|",$AD347,FIND("|",$AD347)+1)-1))</f>
        <v/>
      </c>
      <c r="AD347">
        <f>TRIM(MID(SUBSTITUTE($BX$344,"~",REPT(" ",600)),1201,600))</f>
        <v/>
      </c>
    </row>
    <row r="348">
      <c r="B348" s="180">
        <f>IF($AD348="","",VALUE(LEFT($AD348,FIND("|",$AD348)-1)))</f>
        <v/>
      </c>
      <c r="C348" s="180">
        <f>IF($AD348="","","    "&amp;MID($AD348,FIND("|",$AD348)+1,FIND("|",$AD348,FIND("|",$AD348)+1)-FIND("|",$AD348)-1))</f>
        <v/>
      </c>
      <c r="D348" s="180">
        <f>IF($AD348="","",MID($AD348,FIND("|",$AD348,FIND("|",$AD348)+1)+1,FIND("|",$AD348&amp;"|",FIND("|",$AD348,FIND("|",$AD348)+1)+1)-FIND("|",$AD348,FIND("|",$AD348)+1)-1))</f>
        <v/>
      </c>
      <c r="AD348">
        <f>TRIM(MID(SUBSTITUTE($BX$344,"~",REPT(" ",600)),1801,600))</f>
        <v/>
      </c>
    </row>
    <row r="349">
      <c r="B349" s="180">
        <f>IF($AD349="","",VALUE(LEFT($AD349,FIND("|",$AD349)-1)))</f>
        <v/>
      </c>
      <c r="C349" s="180">
        <f>IF($AD349="","","    "&amp;MID($AD349,FIND("|",$AD349)+1,FIND("|",$AD349,FIND("|",$AD349)+1)-FIND("|",$AD349)-1))</f>
        <v/>
      </c>
      <c r="D349" s="180">
        <f>IF($AD349="","",MID($AD349,FIND("|",$AD349,FIND("|",$AD349)+1)+1,FIND("|",$AD349&amp;"|",FIND("|",$AD349,FIND("|",$AD349)+1)+1)-FIND("|",$AD349,FIND("|",$AD349)+1)-1))</f>
        <v/>
      </c>
      <c r="AD349">
        <f>TRIM(MID(SUBSTITUTE($BX$344,"~",REPT(" ",600)),2401,600))</f>
        <v/>
      </c>
    </row>
    <row r="350">
      <c r="B350" s="180">
        <f>IF($AD350="","",VALUE(LEFT($AD350,FIND("|",$AD350)-1)))</f>
        <v/>
      </c>
      <c r="C350" s="180">
        <f>IF($AD350="","","    "&amp;MID($AD350,FIND("|",$AD350)+1,FIND("|",$AD350,FIND("|",$AD350)+1)-FIND("|",$AD350)-1))</f>
        <v/>
      </c>
      <c r="D350" s="180">
        <f>IF($AD350="","",MID($AD350,FIND("|",$AD350,FIND("|",$AD350)+1)+1,FIND("|",$AD350&amp;"|",FIND("|",$AD350,FIND("|",$AD350)+1)+1)-FIND("|",$AD350,FIND("|",$AD350)+1)-1))</f>
        <v/>
      </c>
      <c r="AD350">
        <f>TRIM(MID(SUBSTITUTE($BX$344,"~",REPT(" ",600)),3001,600))</f>
        <v/>
      </c>
    </row>
    <row r="351">
      <c r="B351" s="180">
        <f>IF($AD351="","",VALUE(LEFT($AD351,FIND("|",$AD351)-1)))</f>
        <v/>
      </c>
      <c r="C351" s="180">
        <f>IF($AD351="","","    "&amp;MID($AD351,FIND("|",$AD351)+1,FIND("|",$AD351,FIND("|",$AD351)+1)-FIND("|",$AD351)-1))</f>
        <v/>
      </c>
      <c r="D351" s="180">
        <f>IF($AD351="","",MID($AD351,FIND("|",$AD351,FIND("|",$AD351)+1)+1,FIND("|",$AD351&amp;"|",FIND("|",$AD351,FIND("|",$AD351)+1)+1)-FIND("|",$AD351,FIND("|",$AD351)+1)-1))</f>
        <v/>
      </c>
      <c r="AD351">
        <f>TRIM(MID(SUBSTITUTE($BX$344,"~",REPT(" ",600)),3601,600))</f>
        <v/>
      </c>
    </row>
    <row r="352">
      <c r="B352" s="180">
        <f>IF($AD352="","",VALUE(LEFT($AD352,FIND("|",$AD352)-1)))</f>
        <v/>
      </c>
      <c r="C352" s="180">
        <f>IF($AD352="","","    "&amp;MID($AD352,FIND("|",$AD352)+1,FIND("|",$AD352,FIND("|",$AD352)+1)-FIND("|",$AD352)-1))</f>
        <v/>
      </c>
      <c r="D352" s="180">
        <f>IF($AD352="","",MID($AD352,FIND("|",$AD352,FIND("|",$AD352)+1)+1,FIND("|",$AD352&amp;"|",FIND("|",$AD352,FIND("|",$AD352)+1)+1)-FIND("|",$AD352,FIND("|",$AD352)+1)-1))</f>
        <v/>
      </c>
      <c r="AD352">
        <f>TRIM(MID(SUBSTITUTE($BX$344,"~",REPT(" ",600)),4201,600))</f>
        <v/>
      </c>
    </row>
    <row r="353">
      <c r="B353" s="180">
        <f>IF($AD353="","",VALUE(LEFT($AD353,FIND("|",$AD353)-1)))</f>
        <v/>
      </c>
      <c r="C353" s="180">
        <f>IF($AD353="","","    "&amp;MID($AD353,FIND("|",$AD353)+1,FIND("|",$AD353,FIND("|",$AD353)+1)-FIND("|",$AD353)-1))</f>
        <v/>
      </c>
      <c r="D353" s="180">
        <f>IF($AD353="","",MID($AD353,FIND("|",$AD353,FIND("|",$AD353)+1)+1,FIND("|",$AD353&amp;"|",FIND("|",$AD353,FIND("|",$AD353)+1)+1)-FIND("|",$AD353,FIND("|",$AD353)+1)-1))</f>
        <v/>
      </c>
      <c r="AD353">
        <f>TRIM(MID(SUBSTITUTE($BX$344,"~",REPT(" ",600)),4801,600))</f>
        <v/>
      </c>
    </row>
    <row r="354">
      <c r="B354" s="180">
        <f>IF($AD354="","",VALUE(LEFT($AD354,FIND("|",$AD354)-1)))</f>
        <v/>
      </c>
      <c r="C354" s="180">
        <f>IF($AD354="","","    "&amp;MID($AD354,FIND("|",$AD354)+1,FIND("|",$AD354,FIND("|",$AD354)+1)-FIND("|",$AD354)-1))</f>
        <v/>
      </c>
      <c r="D354" s="180">
        <f>IF($AD354="","",MID($AD354,FIND("|",$AD354,FIND("|",$AD354)+1)+1,FIND("|",$AD354&amp;"|",FIND("|",$AD354,FIND("|",$AD354)+1)+1)-FIND("|",$AD354,FIND("|",$AD354)+1)-1))</f>
        <v/>
      </c>
      <c r="AD354">
        <f>TRIM(MID(SUBSTITUTE($BX$344,"~",REPT(" ",600)),5401,600))</f>
        <v/>
      </c>
    </row>
    <row r="355">
      <c r="B355" s="180">
        <f>IF($AD355="","",VALUE(LEFT($AD355,FIND("|",$AD355)-1)))</f>
        <v/>
      </c>
      <c r="C355" s="180">
        <f>IF($AD355="","","    "&amp;MID($AD355,FIND("|",$AD355)+1,FIND("|",$AD355,FIND("|",$AD355)+1)-FIND("|",$AD355)-1))</f>
        <v/>
      </c>
      <c r="D355" s="180">
        <f>IF($AD355="","",MID($AD355,FIND("|",$AD355,FIND("|",$AD355)+1)+1,FIND("|",$AD355&amp;"|",FIND("|",$AD355,FIND("|",$AD355)+1)+1)-FIND("|",$AD355,FIND("|",$AD355)+1)-1))</f>
        <v/>
      </c>
      <c r="AD355">
        <f>TRIM(MID(SUBSTITUTE($BX$344,"~",REPT(" ",600)),6001,600))</f>
        <v/>
      </c>
    </row>
    <row r="356">
      <c r="A356" s="178">
        <f>IF($AD$356=0,"",$BK$356)</f>
        <v/>
      </c>
      <c r="B356" s="178">
        <f>IF($AD$356=0,"",$AE$356)</f>
        <v/>
      </c>
      <c r="C356" s="178">
        <f>IF($AD$356=0,"",$AE$356&amp;") "&amp;IF(COUNTIFS(tk_SOFG,30,tk_HLEG,"&lt;&gt;"&amp;$BJ$356)=0,INDEX(tk_FLINE,$AD$356),INDEX(tk_FLINEN,$AD$356))&amp;IF($AJ$356="KD"," ( R.O. "&amp;TRIM(TEXT(N($AQ$356)+2.25,"# ?/??"))&amp;CHAR(34)&amp;" x "&amp;TRIM(TEXT(N($AR$356)+1,"# ?/??"))&amp;CHAR(34)&amp;" )",""))</f>
        <v/>
      </c>
      <c r="D356" s="178" t="n"/>
      <c r="E356" s="179">
        <f t="array" ref="E356">IF($AD$356=0,"",_xlfn.TEXTJOIN(", ",TRUE,IF(tk_SOFG=30,"#"&amp;tk_MARK&amp;IF(tk_HLEG="","","("&amp;tk_HLEG&amp;")")&amp;IF(tk_QTY&gt;1," ×"&amp;tk_QTY,""),"")))</f>
        <v/>
      </c>
      <c r="AD356">
        <f>IFERROR(MATCH(30,tk_SOFG,0),0)</f>
        <v/>
      </c>
      <c r="AE356">
        <f>IF($AD$356=0,0,SUMIF(tk_SOFG,30,tk_QTY))</f>
        <v/>
      </c>
      <c r="AF356">
        <f>IF($AD$356=0,"",INDEX(tk_JAMB,$AD$356))</f>
        <v/>
      </c>
      <c r="AG356">
        <f>IF($AD$356=0,"",INDEX(tk_ANCHOR,$AD$356))</f>
        <v/>
      </c>
      <c r="AH356">
        <f>IF($AD$356=0,"",INDEX(tk_ANCH,$AD$356))</f>
        <v/>
      </c>
      <c r="AI356">
        <f>IF($AD$356=0,"",INDEX(tk_BASEA,$AD$356))</f>
        <v/>
      </c>
      <c r="AJ356">
        <f>IF($AD$356=0,"",INDEX(tk_CONSTR,$AD$356))</f>
        <v/>
      </c>
      <c r="AK356">
        <f>IF($AD$356=0,"",INDEX(tk_CLOSER,$AD$356))</f>
        <v/>
      </c>
      <c r="AL356">
        <f>IF($AD$356=0,"",INDEX(tk_STRIKE,$AD$356))</f>
        <v/>
      </c>
      <c r="AM356">
        <f>IF($AD$356=0,"",INDEX(tk_HDRPREP,$AD$356))</f>
        <v/>
      </c>
      <c r="AN356">
        <f>IF($AD$356=0,"",INDEX(tk_DMIN,$AD$356))</f>
        <v/>
      </c>
      <c r="AO356">
        <f>IF($AD$356=0,"",INDEX(tk_PAIR,$AD$356))</f>
        <v/>
      </c>
      <c r="AP356">
        <f>IF($AD$356=0,"",INDEX(tk_FGA,$AD$356))</f>
        <v/>
      </c>
      <c r="AQ356">
        <f>IF($AD$356=0,"",INDEX(tk_WI,$AD$356))</f>
        <v/>
      </c>
      <c r="AR356">
        <f>IF($AD$356=0,"",INDEX(tk_HI,$AD$356))</f>
        <v/>
      </c>
      <c r="AS356">
        <f>IF($AD$356=0,"",INDEX(tk_FHINGE,$AD$356))</f>
        <v/>
      </c>
      <c r="AT356">
        <f>IF($AD$356=0,"",INDEX(tk_DHINGE,$AD$356))</f>
        <v/>
      </c>
      <c r="AU356">
        <f>IF($AD$356=0,"",INDEX(tk_HWLOC,$AD$356))</f>
        <v/>
      </c>
      <c r="AV356">
        <f>IF($AD$356=0,"",INDEX(tk_MANUF,$AD$356))</f>
        <v/>
      </c>
      <c r="AW356">
        <f>IF($AD$356=0,"",INDEX(tk_JH,$AD$356))</f>
        <v/>
      </c>
      <c r="AX356">
        <f>IF($AD$356=0,"",INDEX(tk_FDESC,$AD$356))</f>
        <v/>
      </c>
      <c r="AY356">
        <f>IF($AD$356=0,"",INDEX(tk_TRANS,$AD$356))</f>
        <v/>
      </c>
      <c r="AZ356">
        <f>IF($AD$356=0,"",INDEX(tk_SLW,$AD$356))</f>
        <v/>
      </c>
      <c r="BA356">
        <f>IF($AD$356=0,"",INDEX(tk_LEAVES,$AD$356))</f>
        <v/>
      </c>
      <c r="BB356">
        <f>IF($AD$356=0,"",INDEX(tk_LEAFW,$AD$356))</f>
        <v/>
      </c>
      <c r="BC356">
        <f>IF($AD$356=0,"",INDEX(tk_LEAFH,$AD$356))</f>
        <v/>
      </c>
      <c r="BD356">
        <f>IF($AD$356=0,"",INDEX(tk_DMAT,$AD$356))</f>
        <v/>
      </c>
      <c r="BE356">
        <f>IF($AD$356=0,"",INDEX(tk_DGA,$AD$356))</f>
        <v/>
      </c>
      <c r="BF356">
        <f>IF($AD$356=0,"",INDEX(tk_SERIES,$AD$356))</f>
        <v/>
      </c>
      <c r="BG356">
        <f>IF($AD$356=0,"",INDEX(tk_LOCK,$AD$356))</f>
        <v/>
      </c>
      <c r="BH356">
        <f>IF($AD$356=0,"",INDEX(tk_LITEKIT,$AD$356))</f>
        <v/>
      </c>
      <c r="BI356">
        <f>IF($AD$356=0,"",INDEX(tk_FACE,$AD$356))</f>
        <v/>
      </c>
      <c r="BJ356">
        <f>IF($AD$356=0,"",INDEX(tk_HLEG,$AD$356))</f>
        <v/>
      </c>
      <c r="BK356">
        <f>IF($AD$356=0,"",INDEX(tk_SOITEM,$AD$356))</f>
        <v/>
      </c>
      <c r="BL356">
        <f>IFERROR(VLOOKUP($AF$356,CODES,2,FALSE),"")</f>
        <v/>
      </c>
      <c r="BM356">
        <f>IF($AJ$356="KD","C","M")</f>
        <v/>
      </c>
      <c r="BN356">
        <f>IF(N($AR$356)&lt;=80,80,IF(N($AR$356)&lt;=84,84,IF(N($AR$356)&lt;=96,96,N($AR$356))))</f>
        <v/>
      </c>
      <c r="BO356">
        <f>INT($BN$356/12)&amp;MOD($BN$356,12)</f>
        <v/>
      </c>
      <c r="BP356">
        <f>INT(N($AQ$356)/12)&amp;MOD(N($AQ$356),12)</f>
        <v/>
      </c>
      <c r="BQ356">
        <f>IF(OR($AU$356="",$AU$356="ANSI/SDI",$AU$356="CUSTOM LOC"),IF($AV$356="CU","CURRIES","STEELCRAFT"),$AU$356)</f>
        <v/>
      </c>
      <c r="BR356">
        <f>$AO$356="Y"</f>
        <v/>
      </c>
      <c r="BS356">
        <f>"~"</f>
        <v/>
      </c>
      <c r="BT356">
        <f>N($AH$356)*N($AI$356)</f>
        <v/>
      </c>
      <c r="BU356">
        <f>IF(OR($AL$356="",$AL$356="-",$AL$356="E8"),"G18",$AL$356)</f>
        <v/>
      </c>
      <c r="BV356">
        <f>IF(OR($AS$356="",$AS$356="-"),"BLK",$AS$356)</f>
        <v/>
      </c>
      <c r="BW356">
        <f>" "&amp;$BM$356&amp;$AP$356&amp;" "</f>
        <v/>
      </c>
      <c r="BX356">
        <f>IF($AD$356=0,"",IF(OR($AG$356="SSA",$AG$356="SC"),$AE$356*$BT$356&amp;"|"&amp;$BL$356&amp;" STEEL STUD ANCHOR 2"&amp;CHAR(34)&amp;"||"&amp;$BS$356,"")&amp;IF($AG$356="WEWA-M",$AE$356*(N($AH$356)+1)*N($AI$356)&amp;"|FR101F 690 "&amp;$BL$356&amp;" MASONRY TUBE ANCHOR 16 GA||"&amp;$BS$356&amp;$AE$356*(N($AH$356)+1)*N($AI$356)&amp;"|3/8X5 SF3850 DYNO BOLTS||"&amp;$BS$356,"")&amp;IF($AG$356="WMA",$AE$356*$BT$356&amp;"|WIRE MASONRY ANCHOR||"&amp;$BS$356,"")&amp;IF($AG$356="T",$AE$356*$BT$356&amp;"|T-STRAP MASONRY ANCHOR||"&amp;$BS$356,"")&amp;IF($AG$356="WEWA-W",$AE$356*$BT$356&amp;"|P/D + WOOD SCREWS||"&amp;$BS$356,"")&amp;IF($AJ$356="WGS",$AE$356&amp;"|WELD &amp; GROUND SMOOTH||"&amp;$BS$356,"")&amp;IF(OR($AK$356="",$AK$356="-"),"",$AE$356*IF($BR$356,4,2)&amp;"|RACL/PACL-CLOSER REINF. 14GAx1-3/4x16 HRPO|"&amp;$AK$356&amp;IF($BR$356," BOTH SIDES","")&amp;"|"&amp;$BS$356)&amp;IF($AL$356="E8",$AE$356&amp;"|E8-STRIKE REINF. RIM EXIT||"&amp;$BS$356,"")&amp;IF(ISNUMBER(SEARCH("E4",$AL$356)),$AE$356&amp;"|FRAME DEADLOCK PREP||"&amp;$BS$356,"")&amp;IF($AL$356="E9",$AE$356&amp;"|ELECTRIC STRIKE PREP||"&amp;$BS$356,"")&amp;IF($AM$356="H5",$AE$356&amp;"|H5 STRIKE PREP IN HEADER||"&amp;$BS$356,IF(OR($AM$356="",$AM$356="-"),"",$AE$356&amp;"|HEADER PREP "&amp;$AM$356&amp;"||"&amp;$BS$356))&amp;IF(N($AN$356)&gt;0,$AE$356&amp;"|"&amp;$AN$356&amp;" MINUTE STEEL FRAME LABEL "&amp;IF(OR(N($AY$356)&gt;0,N($AZ$356)&gt;0),"W/TRANSOM PANEL/SIDELIGHT","CAT. C PP")&amp;"||"&amp;$BS$356,"")&amp;IF($AX$356="BL","",$AE$356&amp;"|HD "&amp;$AF$356&amp;$BW$356&amp;$BP$356&amp;" BSC||"&amp;$BS$356&amp;IF($BR$356,$AE$356&amp;"|HJ "&amp;$AF$356&amp;$BW$356&amp;"LH "&amp;$BO$356&amp;" "&amp;$BV$356&amp;" BSC "&amp;CHAR(34)&amp;$BQ$356&amp;CHAR(34)&amp;"||"&amp;$BS$356&amp;$AE$356&amp;"|HJ "&amp;$AF$356&amp;$BW$356&amp;"RH "&amp;$BO$356&amp;" "&amp;$BV$356&amp;" BSC "&amp;CHAR(34)&amp;$BQ$356&amp;CHAR(34)&amp;"||"&amp;$BS$356,$AE$356&amp;"|HJ "&amp;$AF$356&amp;$BW$356&amp;$AW$356&amp;" "&amp;$BO$356&amp;" "&amp;$BV$356&amp;" BSC "&amp;CHAR(34)&amp;$BQ$356&amp;CHAR(34)&amp;"||"&amp;$BS$356&amp;$AE$356&amp;"|SJ "&amp;$AF$356&amp;$BW$356&amp;$AW$356&amp;" "&amp;$BO$356&amp;" "&amp;$BU$356&amp;IF($BU$356="G18"," BLANK"," Y")&amp;" BSC "&amp;CHAR(34)&amp;$BQ$356&amp;CHAR(34)&amp;"||"&amp;$BS$356))&amp;IF(AND($BN$356&gt;N($AR$356),$AX$356&lt;&gt;"BL",N($AR$356)&gt;=60),$AE$356&amp;"|FRAME CUT DOWN (BOTTOM)|Cut "&amp;TRIM(TEXT($BN$356-N($AR$356),"# ?/??"))&amp;CHAR(34)&amp;" OFF THE BOTTOM|"&amp;$BS$356,""))</f>
        <v/>
      </c>
    </row>
    <row r="357">
      <c r="B357" s="180">
        <f>IF($AD357="","",VALUE(LEFT($AD357,FIND("|",$AD357)-1)))</f>
        <v/>
      </c>
      <c r="C357" s="180">
        <f>IF($AD357="","","    "&amp;MID($AD357,FIND("|",$AD357)+1,FIND("|",$AD357,FIND("|",$AD357)+1)-FIND("|",$AD357)-1))</f>
        <v/>
      </c>
      <c r="D357" s="180">
        <f>IF($AD357="","",MID($AD357,FIND("|",$AD357,FIND("|",$AD357)+1)+1,FIND("|",$AD357&amp;"|",FIND("|",$AD357,FIND("|",$AD357)+1)+1)-FIND("|",$AD357,FIND("|",$AD357)+1)-1))</f>
        <v/>
      </c>
      <c r="AD357">
        <f>TRIM(MID(SUBSTITUTE($BX$356,"~",REPT(" ",600)),1,600))</f>
        <v/>
      </c>
    </row>
    <row r="358">
      <c r="B358" s="180">
        <f>IF($AD358="","",VALUE(LEFT($AD358,FIND("|",$AD358)-1)))</f>
        <v/>
      </c>
      <c r="C358" s="180">
        <f>IF($AD358="","","    "&amp;MID($AD358,FIND("|",$AD358)+1,FIND("|",$AD358,FIND("|",$AD358)+1)-FIND("|",$AD358)-1))</f>
        <v/>
      </c>
      <c r="D358" s="180">
        <f>IF($AD358="","",MID($AD358,FIND("|",$AD358,FIND("|",$AD358)+1)+1,FIND("|",$AD358&amp;"|",FIND("|",$AD358,FIND("|",$AD358)+1)+1)-FIND("|",$AD358,FIND("|",$AD358)+1)-1))</f>
        <v/>
      </c>
      <c r="AD358">
        <f>TRIM(MID(SUBSTITUTE($BX$356,"~",REPT(" ",600)),601,600))</f>
        <v/>
      </c>
    </row>
    <row r="359">
      <c r="B359" s="180">
        <f>IF($AD359="","",VALUE(LEFT($AD359,FIND("|",$AD359)-1)))</f>
        <v/>
      </c>
      <c r="C359" s="180">
        <f>IF($AD359="","","    "&amp;MID($AD359,FIND("|",$AD359)+1,FIND("|",$AD359,FIND("|",$AD359)+1)-FIND("|",$AD359)-1))</f>
        <v/>
      </c>
      <c r="D359" s="180">
        <f>IF($AD359="","",MID($AD359,FIND("|",$AD359,FIND("|",$AD359)+1)+1,FIND("|",$AD359&amp;"|",FIND("|",$AD359,FIND("|",$AD359)+1)+1)-FIND("|",$AD359,FIND("|",$AD359)+1)-1))</f>
        <v/>
      </c>
      <c r="AD359">
        <f>TRIM(MID(SUBSTITUTE($BX$356,"~",REPT(" ",600)),1201,600))</f>
        <v/>
      </c>
    </row>
    <row r="360">
      <c r="B360" s="180">
        <f>IF($AD360="","",VALUE(LEFT($AD360,FIND("|",$AD360)-1)))</f>
        <v/>
      </c>
      <c r="C360" s="180">
        <f>IF($AD360="","","    "&amp;MID($AD360,FIND("|",$AD360)+1,FIND("|",$AD360,FIND("|",$AD360)+1)-FIND("|",$AD360)-1))</f>
        <v/>
      </c>
      <c r="D360" s="180">
        <f>IF($AD360="","",MID($AD360,FIND("|",$AD360,FIND("|",$AD360)+1)+1,FIND("|",$AD360&amp;"|",FIND("|",$AD360,FIND("|",$AD360)+1)+1)-FIND("|",$AD360,FIND("|",$AD360)+1)-1))</f>
        <v/>
      </c>
      <c r="AD360">
        <f>TRIM(MID(SUBSTITUTE($BX$356,"~",REPT(" ",600)),1801,600))</f>
        <v/>
      </c>
    </row>
    <row r="361">
      <c r="B361" s="180">
        <f>IF($AD361="","",VALUE(LEFT($AD361,FIND("|",$AD361)-1)))</f>
        <v/>
      </c>
      <c r="C361" s="180">
        <f>IF($AD361="","","    "&amp;MID($AD361,FIND("|",$AD361)+1,FIND("|",$AD361,FIND("|",$AD361)+1)-FIND("|",$AD361)-1))</f>
        <v/>
      </c>
      <c r="D361" s="180">
        <f>IF($AD361="","",MID($AD361,FIND("|",$AD361,FIND("|",$AD361)+1)+1,FIND("|",$AD361&amp;"|",FIND("|",$AD361,FIND("|",$AD361)+1)+1)-FIND("|",$AD361,FIND("|",$AD361)+1)-1))</f>
        <v/>
      </c>
      <c r="AD361">
        <f>TRIM(MID(SUBSTITUTE($BX$356,"~",REPT(" ",600)),2401,600))</f>
        <v/>
      </c>
    </row>
    <row r="362">
      <c r="B362" s="180">
        <f>IF($AD362="","",VALUE(LEFT($AD362,FIND("|",$AD362)-1)))</f>
        <v/>
      </c>
      <c r="C362" s="180">
        <f>IF($AD362="","","    "&amp;MID($AD362,FIND("|",$AD362)+1,FIND("|",$AD362,FIND("|",$AD362)+1)-FIND("|",$AD362)-1))</f>
        <v/>
      </c>
      <c r="D362" s="180">
        <f>IF($AD362="","",MID($AD362,FIND("|",$AD362,FIND("|",$AD362)+1)+1,FIND("|",$AD362&amp;"|",FIND("|",$AD362,FIND("|",$AD362)+1)+1)-FIND("|",$AD362,FIND("|",$AD362)+1)-1))</f>
        <v/>
      </c>
      <c r="AD362">
        <f>TRIM(MID(SUBSTITUTE($BX$356,"~",REPT(" ",600)),3001,600))</f>
        <v/>
      </c>
    </row>
    <row r="363">
      <c r="B363" s="180">
        <f>IF($AD363="","",VALUE(LEFT($AD363,FIND("|",$AD363)-1)))</f>
        <v/>
      </c>
      <c r="C363" s="180">
        <f>IF($AD363="","","    "&amp;MID($AD363,FIND("|",$AD363)+1,FIND("|",$AD363,FIND("|",$AD363)+1)-FIND("|",$AD363)-1))</f>
        <v/>
      </c>
      <c r="D363" s="180">
        <f>IF($AD363="","",MID($AD363,FIND("|",$AD363,FIND("|",$AD363)+1)+1,FIND("|",$AD363&amp;"|",FIND("|",$AD363,FIND("|",$AD363)+1)+1)-FIND("|",$AD363,FIND("|",$AD363)+1)-1))</f>
        <v/>
      </c>
      <c r="AD363">
        <f>TRIM(MID(SUBSTITUTE($BX$356,"~",REPT(" ",600)),3601,600))</f>
        <v/>
      </c>
    </row>
    <row r="364">
      <c r="B364" s="180">
        <f>IF($AD364="","",VALUE(LEFT($AD364,FIND("|",$AD364)-1)))</f>
        <v/>
      </c>
      <c r="C364" s="180">
        <f>IF($AD364="","","    "&amp;MID($AD364,FIND("|",$AD364)+1,FIND("|",$AD364,FIND("|",$AD364)+1)-FIND("|",$AD364)-1))</f>
        <v/>
      </c>
      <c r="D364" s="180">
        <f>IF($AD364="","",MID($AD364,FIND("|",$AD364,FIND("|",$AD364)+1)+1,FIND("|",$AD364&amp;"|",FIND("|",$AD364,FIND("|",$AD364)+1)+1)-FIND("|",$AD364,FIND("|",$AD364)+1)-1))</f>
        <v/>
      </c>
      <c r="AD364">
        <f>TRIM(MID(SUBSTITUTE($BX$356,"~",REPT(" ",600)),4201,600))</f>
        <v/>
      </c>
    </row>
    <row r="365">
      <c r="B365" s="180">
        <f>IF($AD365="","",VALUE(LEFT($AD365,FIND("|",$AD365)-1)))</f>
        <v/>
      </c>
      <c r="C365" s="180">
        <f>IF($AD365="","","    "&amp;MID($AD365,FIND("|",$AD365)+1,FIND("|",$AD365,FIND("|",$AD365)+1)-FIND("|",$AD365)-1))</f>
        <v/>
      </c>
      <c r="D365" s="180">
        <f>IF($AD365="","",MID($AD365,FIND("|",$AD365,FIND("|",$AD365)+1)+1,FIND("|",$AD365&amp;"|",FIND("|",$AD365,FIND("|",$AD365)+1)+1)-FIND("|",$AD365,FIND("|",$AD365)+1)-1))</f>
        <v/>
      </c>
      <c r="AD365">
        <f>TRIM(MID(SUBSTITUTE($BX$356,"~",REPT(" ",600)),4801,600))</f>
        <v/>
      </c>
    </row>
    <row r="366">
      <c r="B366" s="180">
        <f>IF($AD366="","",VALUE(LEFT($AD366,FIND("|",$AD366)-1)))</f>
        <v/>
      </c>
      <c r="C366" s="180">
        <f>IF($AD366="","","    "&amp;MID($AD366,FIND("|",$AD366)+1,FIND("|",$AD366,FIND("|",$AD366)+1)-FIND("|",$AD366)-1))</f>
        <v/>
      </c>
      <c r="D366" s="180">
        <f>IF($AD366="","",MID($AD366,FIND("|",$AD366,FIND("|",$AD366)+1)+1,FIND("|",$AD366&amp;"|",FIND("|",$AD366,FIND("|",$AD366)+1)+1)-FIND("|",$AD366,FIND("|",$AD366)+1)-1))</f>
        <v/>
      </c>
      <c r="AD366">
        <f>TRIM(MID(SUBSTITUTE($BX$356,"~",REPT(" ",600)),5401,600))</f>
        <v/>
      </c>
    </row>
    <row r="367">
      <c r="B367" s="180">
        <f>IF($AD367="","",VALUE(LEFT($AD367,FIND("|",$AD367)-1)))</f>
        <v/>
      </c>
      <c r="C367" s="180">
        <f>IF($AD367="","","    "&amp;MID($AD367,FIND("|",$AD367)+1,FIND("|",$AD367,FIND("|",$AD367)+1)-FIND("|",$AD367)-1))</f>
        <v/>
      </c>
      <c r="D367" s="180">
        <f>IF($AD367="","",MID($AD367,FIND("|",$AD367,FIND("|",$AD367)+1)+1,FIND("|",$AD367&amp;"|",FIND("|",$AD367,FIND("|",$AD367)+1)+1)-FIND("|",$AD367,FIND("|",$AD367)+1)-1))</f>
        <v/>
      </c>
      <c r="AD367">
        <f>TRIM(MID(SUBSTITUTE($BX$356,"~",REPT(" ",600)),6001,600))</f>
        <v/>
      </c>
    </row>
    <row r="368">
      <c r="A368" s="178">
        <f>IF($AD$368=0,"",$BK$368)</f>
        <v/>
      </c>
      <c r="B368" s="178">
        <f>IF($AD$368=0,"",$AE$368)</f>
        <v/>
      </c>
      <c r="C368" s="178">
        <f>IF($AD$368=0,"",$AE$368&amp;") "&amp;IF(COUNTIFS(tk_SOFG,31,tk_HLEG,"&lt;&gt;"&amp;$BJ$368)=0,INDEX(tk_FLINE,$AD$368),INDEX(tk_FLINEN,$AD$368))&amp;IF($AJ$368="KD"," ( R.O. "&amp;TRIM(TEXT(N($AQ$368)+2.25,"# ?/??"))&amp;CHAR(34)&amp;" x "&amp;TRIM(TEXT(N($AR$368)+1,"# ?/??"))&amp;CHAR(34)&amp;" )",""))</f>
        <v/>
      </c>
      <c r="D368" s="178" t="n"/>
      <c r="E368" s="179">
        <f t="array" ref="E368">IF($AD$368=0,"",_xlfn.TEXTJOIN(", ",TRUE,IF(tk_SOFG=31,"#"&amp;tk_MARK&amp;IF(tk_HLEG="","","("&amp;tk_HLEG&amp;")")&amp;IF(tk_QTY&gt;1," ×"&amp;tk_QTY,""),"")))</f>
        <v/>
      </c>
      <c r="AD368">
        <f>IFERROR(MATCH(31,tk_SOFG,0),0)</f>
        <v/>
      </c>
      <c r="AE368">
        <f>IF($AD$368=0,0,SUMIF(tk_SOFG,31,tk_QTY))</f>
        <v/>
      </c>
      <c r="AF368">
        <f>IF($AD$368=0,"",INDEX(tk_JAMB,$AD$368))</f>
        <v/>
      </c>
      <c r="AG368">
        <f>IF($AD$368=0,"",INDEX(tk_ANCHOR,$AD$368))</f>
        <v/>
      </c>
      <c r="AH368">
        <f>IF($AD$368=0,"",INDEX(tk_ANCH,$AD$368))</f>
        <v/>
      </c>
      <c r="AI368">
        <f>IF($AD$368=0,"",INDEX(tk_BASEA,$AD$368))</f>
        <v/>
      </c>
      <c r="AJ368">
        <f>IF($AD$368=0,"",INDEX(tk_CONSTR,$AD$368))</f>
        <v/>
      </c>
      <c r="AK368">
        <f>IF($AD$368=0,"",INDEX(tk_CLOSER,$AD$368))</f>
        <v/>
      </c>
      <c r="AL368">
        <f>IF($AD$368=0,"",INDEX(tk_STRIKE,$AD$368))</f>
        <v/>
      </c>
      <c r="AM368">
        <f>IF($AD$368=0,"",INDEX(tk_HDRPREP,$AD$368))</f>
        <v/>
      </c>
      <c r="AN368">
        <f>IF($AD$368=0,"",INDEX(tk_DMIN,$AD$368))</f>
        <v/>
      </c>
      <c r="AO368">
        <f>IF($AD$368=0,"",INDEX(tk_PAIR,$AD$368))</f>
        <v/>
      </c>
      <c r="AP368">
        <f>IF($AD$368=0,"",INDEX(tk_FGA,$AD$368))</f>
        <v/>
      </c>
      <c r="AQ368">
        <f>IF($AD$368=0,"",INDEX(tk_WI,$AD$368))</f>
        <v/>
      </c>
      <c r="AR368">
        <f>IF($AD$368=0,"",INDEX(tk_HI,$AD$368))</f>
        <v/>
      </c>
      <c r="AS368">
        <f>IF($AD$368=0,"",INDEX(tk_FHINGE,$AD$368))</f>
        <v/>
      </c>
      <c r="AT368">
        <f>IF($AD$368=0,"",INDEX(tk_DHINGE,$AD$368))</f>
        <v/>
      </c>
      <c r="AU368">
        <f>IF($AD$368=0,"",INDEX(tk_HWLOC,$AD$368))</f>
        <v/>
      </c>
      <c r="AV368">
        <f>IF($AD$368=0,"",INDEX(tk_MANUF,$AD$368))</f>
        <v/>
      </c>
      <c r="AW368">
        <f>IF($AD$368=0,"",INDEX(tk_JH,$AD$368))</f>
        <v/>
      </c>
      <c r="AX368">
        <f>IF($AD$368=0,"",INDEX(tk_FDESC,$AD$368))</f>
        <v/>
      </c>
      <c r="AY368">
        <f>IF($AD$368=0,"",INDEX(tk_TRANS,$AD$368))</f>
        <v/>
      </c>
      <c r="AZ368">
        <f>IF($AD$368=0,"",INDEX(tk_SLW,$AD$368))</f>
        <v/>
      </c>
      <c r="BA368">
        <f>IF($AD$368=0,"",INDEX(tk_LEAVES,$AD$368))</f>
        <v/>
      </c>
      <c r="BB368">
        <f>IF($AD$368=0,"",INDEX(tk_LEAFW,$AD$368))</f>
        <v/>
      </c>
      <c r="BC368">
        <f>IF($AD$368=0,"",INDEX(tk_LEAFH,$AD$368))</f>
        <v/>
      </c>
      <c r="BD368">
        <f>IF($AD$368=0,"",INDEX(tk_DMAT,$AD$368))</f>
        <v/>
      </c>
      <c r="BE368">
        <f>IF($AD$368=0,"",INDEX(tk_DGA,$AD$368))</f>
        <v/>
      </c>
      <c r="BF368">
        <f>IF($AD$368=0,"",INDEX(tk_SERIES,$AD$368))</f>
        <v/>
      </c>
      <c r="BG368">
        <f>IF($AD$368=0,"",INDEX(tk_LOCK,$AD$368))</f>
        <v/>
      </c>
      <c r="BH368">
        <f>IF($AD$368=0,"",INDEX(tk_LITEKIT,$AD$368))</f>
        <v/>
      </c>
      <c r="BI368">
        <f>IF($AD$368=0,"",INDEX(tk_FACE,$AD$368))</f>
        <v/>
      </c>
      <c r="BJ368">
        <f>IF($AD$368=0,"",INDEX(tk_HLEG,$AD$368))</f>
        <v/>
      </c>
      <c r="BK368">
        <f>IF($AD$368=0,"",INDEX(tk_SOITEM,$AD$368))</f>
        <v/>
      </c>
      <c r="BL368">
        <f>IFERROR(VLOOKUP($AF$368,CODES,2,FALSE),"")</f>
        <v/>
      </c>
      <c r="BM368">
        <f>IF($AJ$368="KD","C","M")</f>
        <v/>
      </c>
      <c r="BN368">
        <f>IF(N($AR$368)&lt;=80,80,IF(N($AR$368)&lt;=84,84,IF(N($AR$368)&lt;=96,96,N($AR$368))))</f>
        <v/>
      </c>
      <c r="BO368">
        <f>INT($BN$368/12)&amp;MOD($BN$368,12)</f>
        <v/>
      </c>
      <c r="BP368">
        <f>INT(N($AQ$368)/12)&amp;MOD(N($AQ$368),12)</f>
        <v/>
      </c>
      <c r="BQ368">
        <f>IF(OR($AU$368="",$AU$368="ANSI/SDI",$AU$368="CUSTOM LOC"),IF($AV$368="CU","CURRIES","STEELCRAFT"),$AU$368)</f>
        <v/>
      </c>
      <c r="BR368">
        <f>$AO$368="Y"</f>
        <v/>
      </c>
      <c r="BS368">
        <f>"~"</f>
        <v/>
      </c>
      <c r="BT368">
        <f>N($AH$368)*N($AI$368)</f>
        <v/>
      </c>
      <c r="BU368">
        <f>IF(OR($AL$368="",$AL$368="-",$AL$368="E8"),"G18",$AL$368)</f>
        <v/>
      </c>
      <c r="BV368">
        <f>IF(OR($AS$368="",$AS$368="-"),"BLK",$AS$368)</f>
        <v/>
      </c>
      <c r="BW368">
        <f>" "&amp;$BM$368&amp;$AP$368&amp;" "</f>
        <v/>
      </c>
      <c r="BX368">
        <f>IF($AD$368=0,"",IF(OR($AG$368="SSA",$AG$368="SC"),$AE$368*$BT$368&amp;"|"&amp;$BL$368&amp;" STEEL STUD ANCHOR 2"&amp;CHAR(34)&amp;"||"&amp;$BS$368,"")&amp;IF($AG$368="WEWA-M",$AE$368*(N($AH$368)+1)*N($AI$368)&amp;"|FR101F 690 "&amp;$BL$368&amp;" MASONRY TUBE ANCHOR 16 GA||"&amp;$BS$368&amp;$AE$368*(N($AH$368)+1)*N($AI$368)&amp;"|3/8X5 SF3850 DYNO BOLTS||"&amp;$BS$368,"")&amp;IF($AG$368="WMA",$AE$368*$BT$368&amp;"|WIRE MASONRY ANCHOR||"&amp;$BS$368,"")&amp;IF($AG$368="T",$AE$368*$BT$368&amp;"|T-STRAP MASONRY ANCHOR||"&amp;$BS$368,"")&amp;IF($AG$368="WEWA-W",$AE$368*$BT$368&amp;"|P/D + WOOD SCREWS||"&amp;$BS$368,"")&amp;IF($AJ$368="WGS",$AE$368&amp;"|WELD &amp; GROUND SMOOTH||"&amp;$BS$368,"")&amp;IF(OR($AK$368="",$AK$368="-"),"",$AE$368*IF($BR$368,4,2)&amp;"|RACL/PACL-CLOSER REINF. 14GAx1-3/4x16 HRPO|"&amp;$AK$368&amp;IF($BR$368," BOTH SIDES","")&amp;"|"&amp;$BS$368)&amp;IF($AL$368="E8",$AE$368&amp;"|E8-STRIKE REINF. RIM EXIT||"&amp;$BS$368,"")&amp;IF(ISNUMBER(SEARCH("E4",$AL$368)),$AE$368&amp;"|FRAME DEADLOCK PREP||"&amp;$BS$368,"")&amp;IF($AL$368="E9",$AE$368&amp;"|ELECTRIC STRIKE PREP||"&amp;$BS$368,"")&amp;IF($AM$368="H5",$AE$368&amp;"|H5 STRIKE PREP IN HEADER||"&amp;$BS$368,IF(OR($AM$368="",$AM$368="-"),"",$AE$368&amp;"|HEADER PREP "&amp;$AM$368&amp;"||"&amp;$BS$368))&amp;IF(N($AN$368)&gt;0,$AE$368&amp;"|"&amp;$AN$368&amp;" MINUTE STEEL FRAME LABEL "&amp;IF(OR(N($AY$368)&gt;0,N($AZ$368)&gt;0),"W/TRANSOM PANEL/SIDELIGHT","CAT. C PP")&amp;"||"&amp;$BS$368,"")&amp;IF($AX$368="BL","",$AE$368&amp;"|HD "&amp;$AF$368&amp;$BW$368&amp;$BP$368&amp;" BSC||"&amp;$BS$368&amp;IF($BR$368,$AE$368&amp;"|HJ "&amp;$AF$368&amp;$BW$368&amp;"LH "&amp;$BO$368&amp;" "&amp;$BV$368&amp;" BSC "&amp;CHAR(34)&amp;$BQ$368&amp;CHAR(34)&amp;"||"&amp;$BS$368&amp;$AE$368&amp;"|HJ "&amp;$AF$368&amp;$BW$368&amp;"RH "&amp;$BO$368&amp;" "&amp;$BV$368&amp;" BSC "&amp;CHAR(34)&amp;$BQ$368&amp;CHAR(34)&amp;"||"&amp;$BS$368,$AE$368&amp;"|HJ "&amp;$AF$368&amp;$BW$368&amp;$AW$368&amp;" "&amp;$BO$368&amp;" "&amp;$BV$368&amp;" BSC "&amp;CHAR(34)&amp;$BQ$368&amp;CHAR(34)&amp;"||"&amp;$BS$368&amp;$AE$368&amp;"|SJ "&amp;$AF$368&amp;$BW$368&amp;$AW$368&amp;" "&amp;$BO$368&amp;" "&amp;$BU$368&amp;IF($BU$368="G18"," BLANK"," Y")&amp;" BSC "&amp;CHAR(34)&amp;$BQ$368&amp;CHAR(34)&amp;"||"&amp;$BS$368))&amp;IF(AND($BN$368&gt;N($AR$368),$AX$368&lt;&gt;"BL",N($AR$368)&gt;=60),$AE$368&amp;"|FRAME CUT DOWN (BOTTOM)|Cut "&amp;TRIM(TEXT($BN$368-N($AR$368),"# ?/??"))&amp;CHAR(34)&amp;" OFF THE BOTTOM|"&amp;$BS$368,""))</f>
        <v/>
      </c>
    </row>
    <row r="369">
      <c r="B369" s="180">
        <f>IF($AD369="","",VALUE(LEFT($AD369,FIND("|",$AD369)-1)))</f>
        <v/>
      </c>
      <c r="C369" s="180">
        <f>IF($AD369="","","    "&amp;MID($AD369,FIND("|",$AD369)+1,FIND("|",$AD369,FIND("|",$AD369)+1)-FIND("|",$AD369)-1))</f>
        <v/>
      </c>
      <c r="D369" s="180">
        <f>IF($AD369="","",MID($AD369,FIND("|",$AD369,FIND("|",$AD369)+1)+1,FIND("|",$AD369&amp;"|",FIND("|",$AD369,FIND("|",$AD369)+1)+1)-FIND("|",$AD369,FIND("|",$AD369)+1)-1))</f>
        <v/>
      </c>
      <c r="AD369">
        <f>TRIM(MID(SUBSTITUTE($BX$368,"~",REPT(" ",600)),1,600))</f>
        <v/>
      </c>
    </row>
    <row r="370">
      <c r="B370" s="180">
        <f>IF($AD370="","",VALUE(LEFT($AD370,FIND("|",$AD370)-1)))</f>
        <v/>
      </c>
      <c r="C370" s="180">
        <f>IF($AD370="","","    "&amp;MID($AD370,FIND("|",$AD370)+1,FIND("|",$AD370,FIND("|",$AD370)+1)-FIND("|",$AD370)-1))</f>
        <v/>
      </c>
      <c r="D370" s="180">
        <f>IF($AD370="","",MID($AD370,FIND("|",$AD370,FIND("|",$AD370)+1)+1,FIND("|",$AD370&amp;"|",FIND("|",$AD370,FIND("|",$AD370)+1)+1)-FIND("|",$AD370,FIND("|",$AD370)+1)-1))</f>
        <v/>
      </c>
      <c r="AD370">
        <f>TRIM(MID(SUBSTITUTE($BX$368,"~",REPT(" ",600)),601,600))</f>
        <v/>
      </c>
    </row>
    <row r="371">
      <c r="B371" s="180">
        <f>IF($AD371="","",VALUE(LEFT($AD371,FIND("|",$AD371)-1)))</f>
        <v/>
      </c>
      <c r="C371" s="180">
        <f>IF($AD371="","","    "&amp;MID($AD371,FIND("|",$AD371)+1,FIND("|",$AD371,FIND("|",$AD371)+1)-FIND("|",$AD371)-1))</f>
        <v/>
      </c>
      <c r="D371" s="180">
        <f>IF($AD371="","",MID($AD371,FIND("|",$AD371,FIND("|",$AD371)+1)+1,FIND("|",$AD371&amp;"|",FIND("|",$AD371,FIND("|",$AD371)+1)+1)-FIND("|",$AD371,FIND("|",$AD371)+1)-1))</f>
        <v/>
      </c>
      <c r="AD371">
        <f>TRIM(MID(SUBSTITUTE($BX$368,"~",REPT(" ",600)),1201,600))</f>
        <v/>
      </c>
    </row>
    <row r="372">
      <c r="B372" s="180">
        <f>IF($AD372="","",VALUE(LEFT($AD372,FIND("|",$AD372)-1)))</f>
        <v/>
      </c>
      <c r="C372" s="180">
        <f>IF($AD372="","","    "&amp;MID($AD372,FIND("|",$AD372)+1,FIND("|",$AD372,FIND("|",$AD372)+1)-FIND("|",$AD372)-1))</f>
        <v/>
      </c>
      <c r="D372" s="180">
        <f>IF($AD372="","",MID($AD372,FIND("|",$AD372,FIND("|",$AD372)+1)+1,FIND("|",$AD372&amp;"|",FIND("|",$AD372,FIND("|",$AD372)+1)+1)-FIND("|",$AD372,FIND("|",$AD372)+1)-1))</f>
        <v/>
      </c>
      <c r="AD372">
        <f>TRIM(MID(SUBSTITUTE($BX$368,"~",REPT(" ",600)),1801,600))</f>
        <v/>
      </c>
    </row>
    <row r="373">
      <c r="B373" s="180">
        <f>IF($AD373="","",VALUE(LEFT($AD373,FIND("|",$AD373)-1)))</f>
        <v/>
      </c>
      <c r="C373" s="180">
        <f>IF($AD373="","","    "&amp;MID($AD373,FIND("|",$AD373)+1,FIND("|",$AD373,FIND("|",$AD373)+1)-FIND("|",$AD373)-1))</f>
        <v/>
      </c>
      <c r="D373" s="180">
        <f>IF($AD373="","",MID($AD373,FIND("|",$AD373,FIND("|",$AD373)+1)+1,FIND("|",$AD373&amp;"|",FIND("|",$AD373,FIND("|",$AD373)+1)+1)-FIND("|",$AD373,FIND("|",$AD373)+1)-1))</f>
        <v/>
      </c>
      <c r="AD373">
        <f>TRIM(MID(SUBSTITUTE($BX$368,"~",REPT(" ",600)),2401,600))</f>
        <v/>
      </c>
    </row>
    <row r="374">
      <c r="B374" s="180">
        <f>IF($AD374="","",VALUE(LEFT($AD374,FIND("|",$AD374)-1)))</f>
        <v/>
      </c>
      <c r="C374" s="180">
        <f>IF($AD374="","","    "&amp;MID($AD374,FIND("|",$AD374)+1,FIND("|",$AD374,FIND("|",$AD374)+1)-FIND("|",$AD374)-1))</f>
        <v/>
      </c>
      <c r="D374" s="180">
        <f>IF($AD374="","",MID($AD374,FIND("|",$AD374,FIND("|",$AD374)+1)+1,FIND("|",$AD374&amp;"|",FIND("|",$AD374,FIND("|",$AD374)+1)+1)-FIND("|",$AD374,FIND("|",$AD374)+1)-1))</f>
        <v/>
      </c>
      <c r="AD374">
        <f>TRIM(MID(SUBSTITUTE($BX$368,"~",REPT(" ",600)),3001,600))</f>
        <v/>
      </c>
    </row>
    <row r="375">
      <c r="B375" s="180">
        <f>IF($AD375="","",VALUE(LEFT($AD375,FIND("|",$AD375)-1)))</f>
        <v/>
      </c>
      <c r="C375" s="180">
        <f>IF($AD375="","","    "&amp;MID($AD375,FIND("|",$AD375)+1,FIND("|",$AD375,FIND("|",$AD375)+1)-FIND("|",$AD375)-1))</f>
        <v/>
      </c>
      <c r="D375" s="180">
        <f>IF($AD375="","",MID($AD375,FIND("|",$AD375,FIND("|",$AD375)+1)+1,FIND("|",$AD375&amp;"|",FIND("|",$AD375,FIND("|",$AD375)+1)+1)-FIND("|",$AD375,FIND("|",$AD375)+1)-1))</f>
        <v/>
      </c>
      <c r="AD375">
        <f>TRIM(MID(SUBSTITUTE($BX$368,"~",REPT(" ",600)),3601,600))</f>
        <v/>
      </c>
    </row>
    <row r="376">
      <c r="B376" s="180">
        <f>IF($AD376="","",VALUE(LEFT($AD376,FIND("|",$AD376)-1)))</f>
        <v/>
      </c>
      <c r="C376" s="180">
        <f>IF($AD376="","","    "&amp;MID($AD376,FIND("|",$AD376)+1,FIND("|",$AD376,FIND("|",$AD376)+1)-FIND("|",$AD376)-1))</f>
        <v/>
      </c>
      <c r="D376" s="180">
        <f>IF($AD376="","",MID($AD376,FIND("|",$AD376,FIND("|",$AD376)+1)+1,FIND("|",$AD376&amp;"|",FIND("|",$AD376,FIND("|",$AD376)+1)+1)-FIND("|",$AD376,FIND("|",$AD376)+1)-1))</f>
        <v/>
      </c>
      <c r="AD376">
        <f>TRIM(MID(SUBSTITUTE($BX$368,"~",REPT(" ",600)),4201,600))</f>
        <v/>
      </c>
    </row>
    <row r="377">
      <c r="B377" s="180">
        <f>IF($AD377="","",VALUE(LEFT($AD377,FIND("|",$AD377)-1)))</f>
        <v/>
      </c>
      <c r="C377" s="180">
        <f>IF($AD377="","","    "&amp;MID($AD377,FIND("|",$AD377)+1,FIND("|",$AD377,FIND("|",$AD377)+1)-FIND("|",$AD377)-1))</f>
        <v/>
      </c>
      <c r="D377" s="180">
        <f>IF($AD377="","",MID($AD377,FIND("|",$AD377,FIND("|",$AD377)+1)+1,FIND("|",$AD377&amp;"|",FIND("|",$AD377,FIND("|",$AD377)+1)+1)-FIND("|",$AD377,FIND("|",$AD377)+1)-1))</f>
        <v/>
      </c>
      <c r="AD377">
        <f>TRIM(MID(SUBSTITUTE($BX$368,"~",REPT(" ",600)),4801,600))</f>
        <v/>
      </c>
    </row>
    <row r="378">
      <c r="B378" s="180">
        <f>IF($AD378="","",VALUE(LEFT($AD378,FIND("|",$AD378)-1)))</f>
        <v/>
      </c>
      <c r="C378" s="180">
        <f>IF($AD378="","","    "&amp;MID($AD378,FIND("|",$AD378)+1,FIND("|",$AD378,FIND("|",$AD378)+1)-FIND("|",$AD378)-1))</f>
        <v/>
      </c>
      <c r="D378" s="180">
        <f>IF($AD378="","",MID($AD378,FIND("|",$AD378,FIND("|",$AD378)+1)+1,FIND("|",$AD378&amp;"|",FIND("|",$AD378,FIND("|",$AD378)+1)+1)-FIND("|",$AD378,FIND("|",$AD378)+1)-1))</f>
        <v/>
      </c>
      <c r="AD378">
        <f>TRIM(MID(SUBSTITUTE($BX$368,"~",REPT(" ",600)),5401,600))</f>
        <v/>
      </c>
    </row>
    <row r="379">
      <c r="B379" s="180">
        <f>IF($AD379="","",VALUE(LEFT($AD379,FIND("|",$AD379)-1)))</f>
        <v/>
      </c>
      <c r="C379" s="180">
        <f>IF($AD379="","","    "&amp;MID($AD379,FIND("|",$AD379)+1,FIND("|",$AD379,FIND("|",$AD379)+1)-FIND("|",$AD379)-1))</f>
        <v/>
      </c>
      <c r="D379" s="180">
        <f>IF($AD379="","",MID($AD379,FIND("|",$AD379,FIND("|",$AD379)+1)+1,FIND("|",$AD379&amp;"|",FIND("|",$AD379,FIND("|",$AD379)+1)+1)-FIND("|",$AD379,FIND("|",$AD379)+1)-1))</f>
        <v/>
      </c>
      <c r="AD379">
        <f>TRIM(MID(SUBSTITUTE($BX$368,"~",REPT(" ",600)),6001,600))</f>
        <v/>
      </c>
    </row>
    <row r="380">
      <c r="A380" s="178">
        <f>IF($AD$380=0,"",$BK$380)</f>
        <v/>
      </c>
      <c r="B380" s="178">
        <f>IF($AD$380=0,"",$AE$380)</f>
        <v/>
      </c>
      <c r="C380" s="178">
        <f>IF($AD$380=0,"",$AE$380&amp;") "&amp;IF(COUNTIFS(tk_SOFG,32,tk_HLEG,"&lt;&gt;"&amp;$BJ$380)=0,INDEX(tk_FLINE,$AD$380),INDEX(tk_FLINEN,$AD$380))&amp;IF($AJ$380="KD"," ( R.O. "&amp;TRIM(TEXT(N($AQ$380)+2.25,"# ?/??"))&amp;CHAR(34)&amp;" x "&amp;TRIM(TEXT(N($AR$380)+1,"# ?/??"))&amp;CHAR(34)&amp;" )",""))</f>
        <v/>
      </c>
      <c r="D380" s="178" t="n"/>
      <c r="E380" s="179">
        <f t="array" ref="E380">IF($AD$380=0,"",_xlfn.TEXTJOIN(", ",TRUE,IF(tk_SOFG=32,"#"&amp;tk_MARK&amp;IF(tk_HLEG="","","("&amp;tk_HLEG&amp;")")&amp;IF(tk_QTY&gt;1," ×"&amp;tk_QTY,""),"")))</f>
        <v/>
      </c>
      <c r="AD380">
        <f>IFERROR(MATCH(32,tk_SOFG,0),0)</f>
        <v/>
      </c>
      <c r="AE380">
        <f>IF($AD$380=0,0,SUMIF(tk_SOFG,32,tk_QTY))</f>
        <v/>
      </c>
      <c r="AF380">
        <f>IF($AD$380=0,"",INDEX(tk_JAMB,$AD$380))</f>
        <v/>
      </c>
      <c r="AG380">
        <f>IF($AD$380=0,"",INDEX(tk_ANCHOR,$AD$380))</f>
        <v/>
      </c>
      <c r="AH380">
        <f>IF($AD$380=0,"",INDEX(tk_ANCH,$AD$380))</f>
        <v/>
      </c>
      <c r="AI380">
        <f>IF($AD$380=0,"",INDEX(tk_BASEA,$AD$380))</f>
        <v/>
      </c>
      <c r="AJ380">
        <f>IF($AD$380=0,"",INDEX(tk_CONSTR,$AD$380))</f>
        <v/>
      </c>
      <c r="AK380">
        <f>IF($AD$380=0,"",INDEX(tk_CLOSER,$AD$380))</f>
        <v/>
      </c>
      <c r="AL380">
        <f>IF($AD$380=0,"",INDEX(tk_STRIKE,$AD$380))</f>
        <v/>
      </c>
      <c r="AM380">
        <f>IF($AD$380=0,"",INDEX(tk_HDRPREP,$AD$380))</f>
        <v/>
      </c>
      <c r="AN380">
        <f>IF($AD$380=0,"",INDEX(tk_DMIN,$AD$380))</f>
        <v/>
      </c>
      <c r="AO380">
        <f>IF($AD$380=0,"",INDEX(tk_PAIR,$AD$380))</f>
        <v/>
      </c>
      <c r="AP380">
        <f>IF($AD$380=0,"",INDEX(tk_FGA,$AD$380))</f>
        <v/>
      </c>
      <c r="AQ380">
        <f>IF($AD$380=0,"",INDEX(tk_WI,$AD$380))</f>
        <v/>
      </c>
      <c r="AR380">
        <f>IF($AD$380=0,"",INDEX(tk_HI,$AD$380))</f>
        <v/>
      </c>
      <c r="AS380">
        <f>IF($AD$380=0,"",INDEX(tk_FHINGE,$AD$380))</f>
        <v/>
      </c>
      <c r="AT380">
        <f>IF($AD$380=0,"",INDEX(tk_DHINGE,$AD$380))</f>
        <v/>
      </c>
      <c r="AU380">
        <f>IF($AD$380=0,"",INDEX(tk_HWLOC,$AD$380))</f>
        <v/>
      </c>
      <c r="AV380">
        <f>IF($AD$380=0,"",INDEX(tk_MANUF,$AD$380))</f>
        <v/>
      </c>
      <c r="AW380">
        <f>IF($AD$380=0,"",INDEX(tk_JH,$AD$380))</f>
        <v/>
      </c>
      <c r="AX380">
        <f>IF($AD$380=0,"",INDEX(tk_FDESC,$AD$380))</f>
        <v/>
      </c>
      <c r="AY380">
        <f>IF($AD$380=0,"",INDEX(tk_TRANS,$AD$380))</f>
        <v/>
      </c>
      <c r="AZ380">
        <f>IF($AD$380=0,"",INDEX(tk_SLW,$AD$380))</f>
        <v/>
      </c>
      <c r="BA380">
        <f>IF($AD$380=0,"",INDEX(tk_LEAVES,$AD$380))</f>
        <v/>
      </c>
      <c r="BB380">
        <f>IF($AD$380=0,"",INDEX(tk_LEAFW,$AD$380))</f>
        <v/>
      </c>
      <c r="BC380">
        <f>IF($AD$380=0,"",INDEX(tk_LEAFH,$AD$380))</f>
        <v/>
      </c>
      <c r="BD380">
        <f>IF($AD$380=0,"",INDEX(tk_DMAT,$AD$380))</f>
        <v/>
      </c>
      <c r="BE380">
        <f>IF($AD$380=0,"",INDEX(tk_DGA,$AD$380))</f>
        <v/>
      </c>
      <c r="BF380">
        <f>IF($AD$380=0,"",INDEX(tk_SERIES,$AD$380))</f>
        <v/>
      </c>
      <c r="BG380">
        <f>IF($AD$380=0,"",INDEX(tk_LOCK,$AD$380))</f>
        <v/>
      </c>
      <c r="BH380">
        <f>IF($AD$380=0,"",INDEX(tk_LITEKIT,$AD$380))</f>
        <v/>
      </c>
      <c r="BI380">
        <f>IF($AD$380=0,"",INDEX(tk_FACE,$AD$380))</f>
        <v/>
      </c>
      <c r="BJ380">
        <f>IF($AD$380=0,"",INDEX(tk_HLEG,$AD$380))</f>
        <v/>
      </c>
      <c r="BK380">
        <f>IF($AD$380=0,"",INDEX(tk_SOITEM,$AD$380))</f>
        <v/>
      </c>
      <c r="BL380">
        <f>IFERROR(VLOOKUP($AF$380,CODES,2,FALSE),"")</f>
        <v/>
      </c>
      <c r="BM380">
        <f>IF($AJ$380="KD","C","M")</f>
        <v/>
      </c>
      <c r="BN380">
        <f>IF(N($AR$380)&lt;=80,80,IF(N($AR$380)&lt;=84,84,IF(N($AR$380)&lt;=96,96,N($AR$380))))</f>
        <v/>
      </c>
      <c r="BO380">
        <f>INT($BN$380/12)&amp;MOD($BN$380,12)</f>
        <v/>
      </c>
      <c r="BP380">
        <f>INT(N($AQ$380)/12)&amp;MOD(N($AQ$380),12)</f>
        <v/>
      </c>
      <c r="BQ380">
        <f>IF(OR($AU$380="",$AU$380="ANSI/SDI",$AU$380="CUSTOM LOC"),IF($AV$380="CU","CURRIES","STEELCRAFT"),$AU$380)</f>
        <v/>
      </c>
      <c r="BR380">
        <f>$AO$380="Y"</f>
        <v/>
      </c>
      <c r="BS380">
        <f>"~"</f>
        <v/>
      </c>
      <c r="BT380">
        <f>N($AH$380)*N($AI$380)</f>
        <v/>
      </c>
      <c r="BU380">
        <f>IF(OR($AL$380="",$AL$380="-",$AL$380="E8"),"G18",$AL$380)</f>
        <v/>
      </c>
      <c r="BV380">
        <f>IF(OR($AS$380="",$AS$380="-"),"BLK",$AS$380)</f>
        <v/>
      </c>
      <c r="BW380">
        <f>" "&amp;$BM$380&amp;$AP$380&amp;" "</f>
        <v/>
      </c>
      <c r="BX380">
        <f>IF($AD$380=0,"",IF(OR($AG$380="SSA",$AG$380="SC"),$AE$380*$BT$380&amp;"|"&amp;$BL$380&amp;" STEEL STUD ANCHOR 2"&amp;CHAR(34)&amp;"||"&amp;$BS$380,"")&amp;IF($AG$380="WEWA-M",$AE$380*(N($AH$380)+1)*N($AI$380)&amp;"|FR101F 690 "&amp;$BL$380&amp;" MASONRY TUBE ANCHOR 16 GA||"&amp;$BS$380&amp;$AE$380*(N($AH$380)+1)*N($AI$380)&amp;"|3/8X5 SF3850 DYNO BOLTS||"&amp;$BS$380,"")&amp;IF($AG$380="WMA",$AE$380*$BT$380&amp;"|WIRE MASONRY ANCHOR||"&amp;$BS$380,"")&amp;IF($AG$380="T",$AE$380*$BT$380&amp;"|T-STRAP MASONRY ANCHOR||"&amp;$BS$380,"")&amp;IF($AG$380="WEWA-W",$AE$380*$BT$380&amp;"|P/D + WOOD SCREWS||"&amp;$BS$380,"")&amp;IF($AJ$380="WGS",$AE$380&amp;"|WELD &amp; GROUND SMOOTH||"&amp;$BS$380,"")&amp;IF(OR($AK$380="",$AK$380="-"),"",$AE$380*IF($BR$380,4,2)&amp;"|RACL/PACL-CLOSER REINF. 14GAx1-3/4x16 HRPO|"&amp;$AK$380&amp;IF($BR$380," BOTH SIDES","")&amp;"|"&amp;$BS$380)&amp;IF($AL$380="E8",$AE$380&amp;"|E8-STRIKE REINF. RIM EXIT||"&amp;$BS$380,"")&amp;IF(ISNUMBER(SEARCH("E4",$AL$380)),$AE$380&amp;"|FRAME DEADLOCK PREP||"&amp;$BS$380,"")&amp;IF($AL$380="E9",$AE$380&amp;"|ELECTRIC STRIKE PREP||"&amp;$BS$380,"")&amp;IF($AM$380="H5",$AE$380&amp;"|H5 STRIKE PREP IN HEADER||"&amp;$BS$380,IF(OR($AM$380="",$AM$380="-"),"",$AE$380&amp;"|HEADER PREP "&amp;$AM$380&amp;"||"&amp;$BS$380))&amp;IF(N($AN$380)&gt;0,$AE$380&amp;"|"&amp;$AN$380&amp;" MINUTE STEEL FRAME LABEL "&amp;IF(OR(N($AY$380)&gt;0,N($AZ$380)&gt;0),"W/TRANSOM PANEL/SIDELIGHT","CAT. C PP")&amp;"||"&amp;$BS$380,"")&amp;IF($AX$380="BL","",$AE$380&amp;"|HD "&amp;$AF$380&amp;$BW$380&amp;$BP$380&amp;" BSC||"&amp;$BS$380&amp;IF($BR$380,$AE$380&amp;"|HJ "&amp;$AF$380&amp;$BW$380&amp;"LH "&amp;$BO$380&amp;" "&amp;$BV$380&amp;" BSC "&amp;CHAR(34)&amp;$BQ$380&amp;CHAR(34)&amp;"||"&amp;$BS$380&amp;$AE$380&amp;"|HJ "&amp;$AF$380&amp;$BW$380&amp;"RH "&amp;$BO$380&amp;" "&amp;$BV$380&amp;" BSC "&amp;CHAR(34)&amp;$BQ$380&amp;CHAR(34)&amp;"||"&amp;$BS$380,$AE$380&amp;"|HJ "&amp;$AF$380&amp;$BW$380&amp;$AW$380&amp;" "&amp;$BO$380&amp;" "&amp;$BV$380&amp;" BSC "&amp;CHAR(34)&amp;$BQ$380&amp;CHAR(34)&amp;"||"&amp;$BS$380&amp;$AE$380&amp;"|SJ "&amp;$AF$380&amp;$BW$380&amp;$AW$380&amp;" "&amp;$BO$380&amp;" "&amp;$BU$380&amp;IF($BU$380="G18"," BLANK"," Y")&amp;" BSC "&amp;CHAR(34)&amp;$BQ$380&amp;CHAR(34)&amp;"||"&amp;$BS$380))&amp;IF(AND($BN$380&gt;N($AR$380),$AX$380&lt;&gt;"BL",N($AR$380)&gt;=60),$AE$380&amp;"|FRAME CUT DOWN (BOTTOM)|Cut "&amp;TRIM(TEXT($BN$380-N($AR$380),"# ?/??"))&amp;CHAR(34)&amp;" OFF THE BOTTOM|"&amp;$BS$380,""))</f>
        <v/>
      </c>
    </row>
    <row r="381">
      <c r="B381" s="180">
        <f>IF($AD381="","",VALUE(LEFT($AD381,FIND("|",$AD381)-1)))</f>
        <v/>
      </c>
      <c r="C381" s="180">
        <f>IF($AD381="","","    "&amp;MID($AD381,FIND("|",$AD381)+1,FIND("|",$AD381,FIND("|",$AD381)+1)-FIND("|",$AD381)-1))</f>
        <v/>
      </c>
      <c r="D381" s="180">
        <f>IF($AD381="","",MID($AD381,FIND("|",$AD381,FIND("|",$AD381)+1)+1,FIND("|",$AD381&amp;"|",FIND("|",$AD381,FIND("|",$AD381)+1)+1)-FIND("|",$AD381,FIND("|",$AD381)+1)-1))</f>
        <v/>
      </c>
      <c r="AD381">
        <f>TRIM(MID(SUBSTITUTE($BX$380,"~",REPT(" ",600)),1,600))</f>
        <v/>
      </c>
    </row>
    <row r="382">
      <c r="B382" s="180">
        <f>IF($AD382="","",VALUE(LEFT($AD382,FIND("|",$AD382)-1)))</f>
        <v/>
      </c>
      <c r="C382" s="180">
        <f>IF($AD382="","","    "&amp;MID($AD382,FIND("|",$AD382)+1,FIND("|",$AD382,FIND("|",$AD382)+1)-FIND("|",$AD382)-1))</f>
        <v/>
      </c>
      <c r="D382" s="180">
        <f>IF($AD382="","",MID($AD382,FIND("|",$AD382,FIND("|",$AD382)+1)+1,FIND("|",$AD382&amp;"|",FIND("|",$AD382,FIND("|",$AD382)+1)+1)-FIND("|",$AD382,FIND("|",$AD382)+1)-1))</f>
        <v/>
      </c>
      <c r="AD382">
        <f>TRIM(MID(SUBSTITUTE($BX$380,"~",REPT(" ",600)),601,600))</f>
        <v/>
      </c>
    </row>
    <row r="383">
      <c r="B383" s="180">
        <f>IF($AD383="","",VALUE(LEFT($AD383,FIND("|",$AD383)-1)))</f>
        <v/>
      </c>
      <c r="C383" s="180">
        <f>IF($AD383="","","    "&amp;MID($AD383,FIND("|",$AD383)+1,FIND("|",$AD383,FIND("|",$AD383)+1)-FIND("|",$AD383)-1))</f>
        <v/>
      </c>
      <c r="D383" s="180">
        <f>IF($AD383="","",MID($AD383,FIND("|",$AD383,FIND("|",$AD383)+1)+1,FIND("|",$AD383&amp;"|",FIND("|",$AD383,FIND("|",$AD383)+1)+1)-FIND("|",$AD383,FIND("|",$AD383)+1)-1))</f>
        <v/>
      </c>
      <c r="AD383">
        <f>TRIM(MID(SUBSTITUTE($BX$380,"~",REPT(" ",600)),1201,600))</f>
        <v/>
      </c>
    </row>
    <row r="384">
      <c r="B384" s="180">
        <f>IF($AD384="","",VALUE(LEFT($AD384,FIND("|",$AD384)-1)))</f>
        <v/>
      </c>
      <c r="C384" s="180">
        <f>IF($AD384="","","    "&amp;MID($AD384,FIND("|",$AD384)+1,FIND("|",$AD384,FIND("|",$AD384)+1)-FIND("|",$AD384)-1))</f>
        <v/>
      </c>
      <c r="D384" s="180">
        <f>IF($AD384="","",MID($AD384,FIND("|",$AD384,FIND("|",$AD384)+1)+1,FIND("|",$AD384&amp;"|",FIND("|",$AD384,FIND("|",$AD384)+1)+1)-FIND("|",$AD384,FIND("|",$AD384)+1)-1))</f>
        <v/>
      </c>
      <c r="AD384">
        <f>TRIM(MID(SUBSTITUTE($BX$380,"~",REPT(" ",600)),1801,600))</f>
        <v/>
      </c>
    </row>
    <row r="385">
      <c r="B385" s="180">
        <f>IF($AD385="","",VALUE(LEFT($AD385,FIND("|",$AD385)-1)))</f>
        <v/>
      </c>
      <c r="C385" s="180">
        <f>IF($AD385="","","    "&amp;MID($AD385,FIND("|",$AD385)+1,FIND("|",$AD385,FIND("|",$AD385)+1)-FIND("|",$AD385)-1))</f>
        <v/>
      </c>
      <c r="D385" s="180">
        <f>IF($AD385="","",MID($AD385,FIND("|",$AD385,FIND("|",$AD385)+1)+1,FIND("|",$AD385&amp;"|",FIND("|",$AD385,FIND("|",$AD385)+1)+1)-FIND("|",$AD385,FIND("|",$AD385)+1)-1))</f>
        <v/>
      </c>
      <c r="AD385">
        <f>TRIM(MID(SUBSTITUTE($BX$380,"~",REPT(" ",600)),2401,600))</f>
        <v/>
      </c>
    </row>
    <row r="386">
      <c r="B386" s="180">
        <f>IF($AD386="","",VALUE(LEFT($AD386,FIND("|",$AD386)-1)))</f>
        <v/>
      </c>
      <c r="C386" s="180">
        <f>IF($AD386="","","    "&amp;MID($AD386,FIND("|",$AD386)+1,FIND("|",$AD386,FIND("|",$AD386)+1)-FIND("|",$AD386)-1))</f>
        <v/>
      </c>
      <c r="D386" s="180">
        <f>IF($AD386="","",MID($AD386,FIND("|",$AD386,FIND("|",$AD386)+1)+1,FIND("|",$AD386&amp;"|",FIND("|",$AD386,FIND("|",$AD386)+1)+1)-FIND("|",$AD386,FIND("|",$AD386)+1)-1))</f>
        <v/>
      </c>
      <c r="AD386">
        <f>TRIM(MID(SUBSTITUTE($BX$380,"~",REPT(" ",600)),3001,600))</f>
        <v/>
      </c>
    </row>
    <row r="387">
      <c r="B387" s="180">
        <f>IF($AD387="","",VALUE(LEFT($AD387,FIND("|",$AD387)-1)))</f>
        <v/>
      </c>
      <c r="C387" s="180">
        <f>IF($AD387="","","    "&amp;MID($AD387,FIND("|",$AD387)+1,FIND("|",$AD387,FIND("|",$AD387)+1)-FIND("|",$AD387)-1))</f>
        <v/>
      </c>
      <c r="D387" s="180">
        <f>IF($AD387="","",MID($AD387,FIND("|",$AD387,FIND("|",$AD387)+1)+1,FIND("|",$AD387&amp;"|",FIND("|",$AD387,FIND("|",$AD387)+1)+1)-FIND("|",$AD387,FIND("|",$AD387)+1)-1))</f>
        <v/>
      </c>
      <c r="AD387">
        <f>TRIM(MID(SUBSTITUTE($BX$380,"~",REPT(" ",600)),3601,600))</f>
        <v/>
      </c>
    </row>
    <row r="388">
      <c r="B388" s="180">
        <f>IF($AD388="","",VALUE(LEFT($AD388,FIND("|",$AD388)-1)))</f>
        <v/>
      </c>
      <c r="C388" s="180">
        <f>IF($AD388="","","    "&amp;MID($AD388,FIND("|",$AD388)+1,FIND("|",$AD388,FIND("|",$AD388)+1)-FIND("|",$AD388)-1))</f>
        <v/>
      </c>
      <c r="D388" s="180">
        <f>IF($AD388="","",MID($AD388,FIND("|",$AD388,FIND("|",$AD388)+1)+1,FIND("|",$AD388&amp;"|",FIND("|",$AD388,FIND("|",$AD388)+1)+1)-FIND("|",$AD388,FIND("|",$AD388)+1)-1))</f>
        <v/>
      </c>
      <c r="AD388">
        <f>TRIM(MID(SUBSTITUTE($BX$380,"~",REPT(" ",600)),4201,600))</f>
        <v/>
      </c>
    </row>
    <row r="389">
      <c r="B389" s="180">
        <f>IF($AD389="","",VALUE(LEFT($AD389,FIND("|",$AD389)-1)))</f>
        <v/>
      </c>
      <c r="C389" s="180">
        <f>IF($AD389="","","    "&amp;MID($AD389,FIND("|",$AD389)+1,FIND("|",$AD389,FIND("|",$AD389)+1)-FIND("|",$AD389)-1))</f>
        <v/>
      </c>
      <c r="D389" s="180">
        <f>IF($AD389="","",MID($AD389,FIND("|",$AD389,FIND("|",$AD389)+1)+1,FIND("|",$AD389&amp;"|",FIND("|",$AD389,FIND("|",$AD389)+1)+1)-FIND("|",$AD389,FIND("|",$AD389)+1)-1))</f>
        <v/>
      </c>
      <c r="AD389">
        <f>TRIM(MID(SUBSTITUTE($BX$380,"~",REPT(" ",600)),4801,600))</f>
        <v/>
      </c>
    </row>
    <row r="390">
      <c r="B390" s="180">
        <f>IF($AD390="","",VALUE(LEFT($AD390,FIND("|",$AD390)-1)))</f>
        <v/>
      </c>
      <c r="C390" s="180">
        <f>IF($AD390="","","    "&amp;MID($AD390,FIND("|",$AD390)+1,FIND("|",$AD390,FIND("|",$AD390)+1)-FIND("|",$AD390)-1))</f>
        <v/>
      </c>
      <c r="D390" s="180">
        <f>IF($AD390="","",MID($AD390,FIND("|",$AD390,FIND("|",$AD390)+1)+1,FIND("|",$AD390&amp;"|",FIND("|",$AD390,FIND("|",$AD390)+1)+1)-FIND("|",$AD390,FIND("|",$AD390)+1)-1))</f>
        <v/>
      </c>
      <c r="AD390">
        <f>TRIM(MID(SUBSTITUTE($BX$380,"~",REPT(" ",600)),5401,600))</f>
        <v/>
      </c>
    </row>
    <row r="391">
      <c r="B391" s="180">
        <f>IF($AD391="","",VALUE(LEFT($AD391,FIND("|",$AD391)-1)))</f>
        <v/>
      </c>
      <c r="C391" s="180">
        <f>IF($AD391="","","    "&amp;MID($AD391,FIND("|",$AD391)+1,FIND("|",$AD391,FIND("|",$AD391)+1)-FIND("|",$AD391)-1))</f>
        <v/>
      </c>
      <c r="D391" s="180">
        <f>IF($AD391="","",MID($AD391,FIND("|",$AD391,FIND("|",$AD391)+1)+1,FIND("|",$AD391&amp;"|",FIND("|",$AD391,FIND("|",$AD391)+1)+1)-FIND("|",$AD391,FIND("|",$AD391)+1)-1))</f>
        <v/>
      </c>
      <c r="AD391">
        <f>TRIM(MID(SUBSTITUTE($BX$380,"~",REPT(" ",600)),6001,600))</f>
        <v/>
      </c>
    </row>
    <row r="392">
      <c r="A392" s="178">
        <f>IF($AD$392=0,"",$BK$392)</f>
        <v/>
      </c>
      <c r="B392" s="178">
        <f>IF($AD$392=0,"",$AE$392)</f>
        <v/>
      </c>
      <c r="C392" s="178">
        <f>IF($AD$392=0,"",$AE$392&amp;") "&amp;IF(COUNTIFS(tk_SOFG,33,tk_HLEG,"&lt;&gt;"&amp;$BJ$392)=0,INDEX(tk_FLINE,$AD$392),INDEX(tk_FLINEN,$AD$392))&amp;IF($AJ$392="KD"," ( R.O. "&amp;TRIM(TEXT(N($AQ$392)+2.25,"# ?/??"))&amp;CHAR(34)&amp;" x "&amp;TRIM(TEXT(N($AR$392)+1,"# ?/??"))&amp;CHAR(34)&amp;" )",""))</f>
        <v/>
      </c>
      <c r="D392" s="178" t="n"/>
      <c r="E392" s="179">
        <f t="array" ref="E392">IF($AD$392=0,"",_xlfn.TEXTJOIN(", ",TRUE,IF(tk_SOFG=33,"#"&amp;tk_MARK&amp;IF(tk_HLEG="","","("&amp;tk_HLEG&amp;")")&amp;IF(tk_QTY&gt;1," ×"&amp;tk_QTY,""),"")))</f>
        <v/>
      </c>
      <c r="AD392">
        <f>IFERROR(MATCH(33,tk_SOFG,0),0)</f>
        <v/>
      </c>
      <c r="AE392">
        <f>IF($AD$392=0,0,SUMIF(tk_SOFG,33,tk_QTY))</f>
        <v/>
      </c>
      <c r="AF392">
        <f>IF($AD$392=0,"",INDEX(tk_JAMB,$AD$392))</f>
        <v/>
      </c>
      <c r="AG392">
        <f>IF($AD$392=0,"",INDEX(tk_ANCHOR,$AD$392))</f>
        <v/>
      </c>
      <c r="AH392">
        <f>IF($AD$392=0,"",INDEX(tk_ANCH,$AD$392))</f>
        <v/>
      </c>
      <c r="AI392">
        <f>IF($AD$392=0,"",INDEX(tk_BASEA,$AD$392))</f>
        <v/>
      </c>
      <c r="AJ392">
        <f>IF($AD$392=0,"",INDEX(tk_CONSTR,$AD$392))</f>
        <v/>
      </c>
      <c r="AK392">
        <f>IF($AD$392=0,"",INDEX(tk_CLOSER,$AD$392))</f>
        <v/>
      </c>
      <c r="AL392">
        <f>IF($AD$392=0,"",INDEX(tk_STRIKE,$AD$392))</f>
        <v/>
      </c>
      <c r="AM392">
        <f>IF($AD$392=0,"",INDEX(tk_HDRPREP,$AD$392))</f>
        <v/>
      </c>
      <c r="AN392">
        <f>IF($AD$392=0,"",INDEX(tk_DMIN,$AD$392))</f>
        <v/>
      </c>
      <c r="AO392">
        <f>IF($AD$392=0,"",INDEX(tk_PAIR,$AD$392))</f>
        <v/>
      </c>
      <c r="AP392">
        <f>IF($AD$392=0,"",INDEX(tk_FGA,$AD$392))</f>
        <v/>
      </c>
      <c r="AQ392">
        <f>IF($AD$392=0,"",INDEX(tk_WI,$AD$392))</f>
        <v/>
      </c>
      <c r="AR392">
        <f>IF($AD$392=0,"",INDEX(tk_HI,$AD$392))</f>
        <v/>
      </c>
      <c r="AS392">
        <f>IF($AD$392=0,"",INDEX(tk_FHINGE,$AD$392))</f>
        <v/>
      </c>
      <c r="AT392">
        <f>IF($AD$392=0,"",INDEX(tk_DHINGE,$AD$392))</f>
        <v/>
      </c>
      <c r="AU392">
        <f>IF($AD$392=0,"",INDEX(tk_HWLOC,$AD$392))</f>
        <v/>
      </c>
      <c r="AV392">
        <f>IF($AD$392=0,"",INDEX(tk_MANUF,$AD$392))</f>
        <v/>
      </c>
      <c r="AW392">
        <f>IF($AD$392=0,"",INDEX(tk_JH,$AD$392))</f>
        <v/>
      </c>
      <c r="AX392">
        <f>IF($AD$392=0,"",INDEX(tk_FDESC,$AD$392))</f>
        <v/>
      </c>
      <c r="AY392">
        <f>IF($AD$392=0,"",INDEX(tk_TRANS,$AD$392))</f>
        <v/>
      </c>
      <c r="AZ392">
        <f>IF($AD$392=0,"",INDEX(tk_SLW,$AD$392))</f>
        <v/>
      </c>
      <c r="BA392">
        <f>IF($AD$392=0,"",INDEX(tk_LEAVES,$AD$392))</f>
        <v/>
      </c>
      <c r="BB392">
        <f>IF($AD$392=0,"",INDEX(tk_LEAFW,$AD$392))</f>
        <v/>
      </c>
      <c r="BC392">
        <f>IF($AD$392=0,"",INDEX(tk_LEAFH,$AD$392))</f>
        <v/>
      </c>
      <c r="BD392">
        <f>IF($AD$392=0,"",INDEX(tk_DMAT,$AD$392))</f>
        <v/>
      </c>
      <c r="BE392">
        <f>IF($AD$392=0,"",INDEX(tk_DGA,$AD$392))</f>
        <v/>
      </c>
      <c r="BF392">
        <f>IF($AD$392=0,"",INDEX(tk_SERIES,$AD$392))</f>
        <v/>
      </c>
      <c r="BG392">
        <f>IF($AD$392=0,"",INDEX(tk_LOCK,$AD$392))</f>
        <v/>
      </c>
      <c r="BH392">
        <f>IF($AD$392=0,"",INDEX(tk_LITEKIT,$AD$392))</f>
        <v/>
      </c>
      <c r="BI392">
        <f>IF($AD$392=0,"",INDEX(tk_FACE,$AD$392))</f>
        <v/>
      </c>
      <c r="BJ392">
        <f>IF($AD$392=0,"",INDEX(tk_HLEG,$AD$392))</f>
        <v/>
      </c>
      <c r="BK392">
        <f>IF($AD$392=0,"",INDEX(tk_SOITEM,$AD$392))</f>
        <v/>
      </c>
      <c r="BL392">
        <f>IFERROR(VLOOKUP($AF$392,CODES,2,FALSE),"")</f>
        <v/>
      </c>
      <c r="BM392">
        <f>IF($AJ$392="KD","C","M")</f>
        <v/>
      </c>
      <c r="BN392">
        <f>IF(N($AR$392)&lt;=80,80,IF(N($AR$392)&lt;=84,84,IF(N($AR$392)&lt;=96,96,N($AR$392))))</f>
        <v/>
      </c>
      <c r="BO392">
        <f>INT($BN$392/12)&amp;MOD($BN$392,12)</f>
        <v/>
      </c>
      <c r="BP392">
        <f>INT(N($AQ$392)/12)&amp;MOD(N($AQ$392),12)</f>
        <v/>
      </c>
      <c r="BQ392">
        <f>IF(OR($AU$392="",$AU$392="ANSI/SDI",$AU$392="CUSTOM LOC"),IF($AV$392="CU","CURRIES","STEELCRAFT"),$AU$392)</f>
        <v/>
      </c>
      <c r="BR392">
        <f>$AO$392="Y"</f>
        <v/>
      </c>
      <c r="BS392">
        <f>"~"</f>
        <v/>
      </c>
      <c r="BT392">
        <f>N($AH$392)*N($AI$392)</f>
        <v/>
      </c>
      <c r="BU392">
        <f>IF(OR($AL$392="",$AL$392="-",$AL$392="E8"),"G18",$AL$392)</f>
        <v/>
      </c>
      <c r="BV392">
        <f>IF(OR($AS$392="",$AS$392="-"),"BLK",$AS$392)</f>
        <v/>
      </c>
      <c r="BW392">
        <f>" "&amp;$BM$392&amp;$AP$392&amp;" "</f>
        <v/>
      </c>
      <c r="BX392">
        <f>IF($AD$392=0,"",IF(OR($AG$392="SSA",$AG$392="SC"),$AE$392*$BT$392&amp;"|"&amp;$BL$392&amp;" STEEL STUD ANCHOR 2"&amp;CHAR(34)&amp;"||"&amp;$BS$392,"")&amp;IF($AG$392="WEWA-M",$AE$392*(N($AH$392)+1)*N($AI$392)&amp;"|FR101F 690 "&amp;$BL$392&amp;" MASONRY TUBE ANCHOR 16 GA||"&amp;$BS$392&amp;$AE$392*(N($AH$392)+1)*N($AI$392)&amp;"|3/8X5 SF3850 DYNO BOLTS||"&amp;$BS$392,"")&amp;IF($AG$392="WMA",$AE$392*$BT$392&amp;"|WIRE MASONRY ANCHOR||"&amp;$BS$392,"")&amp;IF($AG$392="T",$AE$392*$BT$392&amp;"|T-STRAP MASONRY ANCHOR||"&amp;$BS$392,"")&amp;IF($AG$392="WEWA-W",$AE$392*$BT$392&amp;"|P/D + WOOD SCREWS||"&amp;$BS$392,"")&amp;IF($AJ$392="WGS",$AE$392&amp;"|WELD &amp; GROUND SMOOTH||"&amp;$BS$392,"")&amp;IF(OR($AK$392="",$AK$392="-"),"",$AE$392*IF($BR$392,4,2)&amp;"|RACL/PACL-CLOSER REINF. 14GAx1-3/4x16 HRPO|"&amp;$AK$392&amp;IF($BR$392," BOTH SIDES","")&amp;"|"&amp;$BS$392)&amp;IF($AL$392="E8",$AE$392&amp;"|E8-STRIKE REINF. RIM EXIT||"&amp;$BS$392,"")&amp;IF(ISNUMBER(SEARCH("E4",$AL$392)),$AE$392&amp;"|FRAME DEADLOCK PREP||"&amp;$BS$392,"")&amp;IF($AL$392="E9",$AE$392&amp;"|ELECTRIC STRIKE PREP||"&amp;$BS$392,"")&amp;IF($AM$392="H5",$AE$392&amp;"|H5 STRIKE PREP IN HEADER||"&amp;$BS$392,IF(OR($AM$392="",$AM$392="-"),"",$AE$392&amp;"|HEADER PREP "&amp;$AM$392&amp;"||"&amp;$BS$392))&amp;IF(N($AN$392)&gt;0,$AE$392&amp;"|"&amp;$AN$392&amp;" MINUTE STEEL FRAME LABEL "&amp;IF(OR(N($AY$392)&gt;0,N($AZ$392)&gt;0),"W/TRANSOM PANEL/SIDELIGHT","CAT. C PP")&amp;"||"&amp;$BS$392,"")&amp;IF($AX$392="BL","",$AE$392&amp;"|HD "&amp;$AF$392&amp;$BW$392&amp;$BP$392&amp;" BSC||"&amp;$BS$392&amp;IF($BR$392,$AE$392&amp;"|HJ "&amp;$AF$392&amp;$BW$392&amp;"LH "&amp;$BO$392&amp;" "&amp;$BV$392&amp;" BSC "&amp;CHAR(34)&amp;$BQ$392&amp;CHAR(34)&amp;"||"&amp;$BS$392&amp;$AE$392&amp;"|HJ "&amp;$AF$392&amp;$BW$392&amp;"RH "&amp;$BO$392&amp;" "&amp;$BV$392&amp;" BSC "&amp;CHAR(34)&amp;$BQ$392&amp;CHAR(34)&amp;"||"&amp;$BS$392,$AE$392&amp;"|HJ "&amp;$AF$392&amp;$BW$392&amp;$AW$392&amp;" "&amp;$BO$392&amp;" "&amp;$BV$392&amp;" BSC "&amp;CHAR(34)&amp;$BQ$392&amp;CHAR(34)&amp;"||"&amp;$BS$392&amp;$AE$392&amp;"|SJ "&amp;$AF$392&amp;$BW$392&amp;$AW$392&amp;" "&amp;$BO$392&amp;" "&amp;$BU$392&amp;IF($BU$392="G18"," BLANK"," Y")&amp;" BSC "&amp;CHAR(34)&amp;$BQ$392&amp;CHAR(34)&amp;"||"&amp;$BS$392))&amp;IF(AND($BN$392&gt;N($AR$392),$AX$392&lt;&gt;"BL",N($AR$392)&gt;=60),$AE$392&amp;"|FRAME CUT DOWN (BOTTOM)|Cut "&amp;TRIM(TEXT($BN$392-N($AR$392),"# ?/??"))&amp;CHAR(34)&amp;" OFF THE BOTTOM|"&amp;$BS$392,""))</f>
        <v/>
      </c>
    </row>
    <row r="393">
      <c r="B393" s="180">
        <f>IF($AD393="","",VALUE(LEFT($AD393,FIND("|",$AD393)-1)))</f>
        <v/>
      </c>
      <c r="C393" s="180">
        <f>IF($AD393="","","    "&amp;MID($AD393,FIND("|",$AD393)+1,FIND("|",$AD393,FIND("|",$AD393)+1)-FIND("|",$AD393)-1))</f>
        <v/>
      </c>
      <c r="D393" s="180">
        <f>IF($AD393="","",MID($AD393,FIND("|",$AD393,FIND("|",$AD393)+1)+1,FIND("|",$AD393&amp;"|",FIND("|",$AD393,FIND("|",$AD393)+1)+1)-FIND("|",$AD393,FIND("|",$AD393)+1)-1))</f>
        <v/>
      </c>
      <c r="AD393">
        <f>TRIM(MID(SUBSTITUTE($BX$392,"~",REPT(" ",600)),1,600))</f>
        <v/>
      </c>
    </row>
    <row r="394">
      <c r="B394" s="180">
        <f>IF($AD394="","",VALUE(LEFT($AD394,FIND("|",$AD394)-1)))</f>
        <v/>
      </c>
      <c r="C394" s="180">
        <f>IF($AD394="","","    "&amp;MID($AD394,FIND("|",$AD394)+1,FIND("|",$AD394,FIND("|",$AD394)+1)-FIND("|",$AD394)-1))</f>
        <v/>
      </c>
      <c r="D394" s="180">
        <f>IF($AD394="","",MID($AD394,FIND("|",$AD394,FIND("|",$AD394)+1)+1,FIND("|",$AD394&amp;"|",FIND("|",$AD394,FIND("|",$AD394)+1)+1)-FIND("|",$AD394,FIND("|",$AD394)+1)-1))</f>
        <v/>
      </c>
      <c r="AD394">
        <f>TRIM(MID(SUBSTITUTE($BX$392,"~",REPT(" ",600)),601,600))</f>
        <v/>
      </c>
    </row>
    <row r="395">
      <c r="B395" s="180">
        <f>IF($AD395="","",VALUE(LEFT($AD395,FIND("|",$AD395)-1)))</f>
        <v/>
      </c>
      <c r="C395" s="180">
        <f>IF($AD395="","","    "&amp;MID($AD395,FIND("|",$AD395)+1,FIND("|",$AD395,FIND("|",$AD395)+1)-FIND("|",$AD395)-1))</f>
        <v/>
      </c>
      <c r="D395" s="180">
        <f>IF($AD395="","",MID($AD395,FIND("|",$AD395,FIND("|",$AD395)+1)+1,FIND("|",$AD395&amp;"|",FIND("|",$AD395,FIND("|",$AD395)+1)+1)-FIND("|",$AD395,FIND("|",$AD395)+1)-1))</f>
        <v/>
      </c>
      <c r="AD395">
        <f>TRIM(MID(SUBSTITUTE($BX$392,"~",REPT(" ",600)),1201,600))</f>
        <v/>
      </c>
    </row>
    <row r="396">
      <c r="B396" s="180">
        <f>IF($AD396="","",VALUE(LEFT($AD396,FIND("|",$AD396)-1)))</f>
        <v/>
      </c>
      <c r="C396" s="180">
        <f>IF($AD396="","","    "&amp;MID($AD396,FIND("|",$AD396)+1,FIND("|",$AD396,FIND("|",$AD396)+1)-FIND("|",$AD396)-1))</f>
        <v/>
      </c>
      <c r="D396" s="180">
        <f>IF($AD396="","",MID($AD396,FIND("|",$AD396,FIND("|",$AD396)+1)+1,FIND("|",$AD396&amp;"|",FIND("|",$AD396,FIND("|",$AD396)+1)+1)-FIND("|",$AD396,FIND("|",$AD396)+1)-1))</f>
        <v/>
      </c>
      <c r="AD396">
        <f>TRIM(MID(SUBSTITUTE($BX$392,"~",REPT(" ",600)),1801,600))</f>
        <v/>
      </c>
    </row>
    <row r="397">
      <c r="B397" s="180">
        <f>IF($AD397="","",VALUE(LEFT($AD397,FIND("|",$AD397)-1)))</f>
        <v/>
      </c>
      <c r="C397" s="180">
        <f>IF($AD397="","","    "&amp;MID($AD397,FIND("|",$AD397)+1,FIND("|",$AD397,FIND("|",$AD397)+1)-FIND("|",$AD397)-1))</f>
        <v/>
      </c>
      <c r="D397" s="180">
        <f>IF($AD397="","",MID($AD397,FIND("|",$AD397,FIND("|",$AD397)+1)+1,FIND("|",$AD397&amp;"|",FIND("|",$AD397,FIND("|",$AD397)+1)+1)-FIND("|",$AD397,FIND("|",$AD397)+1)-1))</f>
        <v/>
      </c>
      <c r="AD397">
        <f>TRIM(MID(SUBSTITUTE($BX$392,"~",REPT(" ",600)),2401,600))</f>
        <v/>
      </c>
    </row>
    <row r="398">
      <c r="B398" s="180">
        <f>IF($AD398="","",VALUE(LEFT($AD398,FIND("|",$AD398)-1)))</f>
        <v/>
      </c>
      <c r="C398" s="180">
        <f>IF($AD398="","","    "&amp;MID($AD398,FIND("|",$AD398)+1,FIND("|",$AD398,FIND("|",$AD398)+1)-FIND("|",$AD398)-1))</f>
        <v/>
      </c>
      <c r="D398" s="180">
        <f>IF($AD398="","",MID($AD398,FIND("|",$AD398,FIND("|",$AD398)+1)+1,FIND("|",$AD398&amp;"|",FIND("|",$AD398,FIND("|",$AD398)+1)+1)-FIND("|",$AD398,FIND("|",$AD398)+1)-1))</f>
        <v/>
      </c>
      <c r="AD398">
        <f>TRIM(MID(SUBSTITUTE($BX$392,"~",REPT(" ",600)),3001,600))</f>
        <v/>
      </c>
    </row>
    <row r="399">
      <c r="B399" s="180">
        <f>IF($AD399="","",VALUE(LEFT($AD399,FIND("|",$AD399)-1)))</f>
        <v/>
      </c>
      <c r="C399" s="180">
        <f>IF($AD399="","","    "&amp;MID($AD399,FIND("|",$AD399)+1,FIND("|",$AD399,FIND("|",$AD399)+1)-FIND("|",$AD399)-1))</f>
        <v/>
      </c>
      <c r="D399" s="180">
        <f>IF($AD399="","",MID($AD399,FIND("|",$AD399,FIND("|",$AD399)+1)+1,FIND("|",$AD399&amp;"|",FIND("|",$AD399,FIND("|",$AD399)+1)+1)-FIND("|",$AD399,FIND("|",$AD399)+1)-1))</f>
        <v/>
      </c>
      <c r="AD399">
        <f>TRIM(MID(SUBSTITUTE($BX$392,"~",REPT(" ",600)),3601,600))</f>
        <v/>
      </c>
    </row>
    <row r="400">
      <c r="B400" s="180">
        <f>IF($AD400="","",VALUE(LEFT($AD400,FIND("|",$AD400)-1)))</f>
        <v/>
      </c>
      <c r="C400" s="180">
        <f>IF($AD400="","","    "&amp;MID($AD400,FIND("|",$AD400)+1,FIND("|",$AD400,FIND("|",$AD400)+1)-FIND("|",$AD400)-1))</f>
        <v/>
      </c>
      <c r="D400" s="180">
        <f>IF($AD400="","",MID($AD400,FIND("|",$AD400,FIND("|",$AD400)+1)+1,FIND("|",$AD400&amp;"|",FIND("|",$AD400,FIND("|",$AD400)+1)+1)-FIND("|",$AD400,FIND("|",$AD400)+1)-1))</f>
        <v/>
      </c>
      <c r="AD400">
        <f>TRIM(MID(SUBSTITUTE($BX$392,"~",REPT(" ",600)),4201,600))</f>
        <v/>
      </c>
    </row>
    <row r="401">
      <c r="B401" s="180">
        <f>IF($AD401="","",VALUE(LEFT($AD401,FIND("|",$AD401)-1)))</f>
        <v/>
      </c>
      <c r="C401" s="180">
        <f>IF($AD401="","","    "&amp;MID($AD401,FIND("|",$AD401)+1,FIND("|",$AD401,FIND("|",$AD401)+1)-FIND("|",$AD401)-1))</f>
        <v/>
      </c>
      <c r="D401" s="180">
        <f>IF($AD401="","",MID($AD401,FIND("|",$AD401,FIND("|",$AD401)+1)+1,FIND("|",$AD401&amp;"|",FIND("|",$AD401,FIND("|",$AD401)+1)+1)-FIND("|",$AD401,FIND("|",$AD401)+1)-1))</f>
        <v/>
      </c>
      <c r="AD401">
        <f>TRIM(MID(SUBSTITUTE($BX$392,"~",REPT(" ",600)),4801,600))</f>
        <v/>
      </c>
    </row>
    <row r="402">
      <c r="B402" s="180">
        <f>IF($AD402="","",VALUE(LEFT($AD402,FIND("|",$AD402)-1)))</f>
        <v/>
      </c>
      <c r="C402" s="180">
        <f>IF($AD402="","","    "&amp;MID($AD402,FIND("|",$AD402)+1,FIND("|",$AD402,FIND("|",$AD402)+1)-FIND("|",$AD402)-1))</f>
        <v/>
      </c>
      <c r="D402" s="180">
        <f>IF($AD402="","",MID($AD402,FIND("|",$AD402,FIND("|",$AD402)+1)+1,FIND("|",$AD402&amp;"|",FIND("|",$AD402,FIND("|",$AD402)+1)+1)-FIND("|",$AD402,FIND("|",$AD402)+1)-1))</f>
        <v/>
      </c>
      <c r="AD402">
        <f>TRIM(MID(SUBSTITUTE($BX$392,"~",REPT(" ",600)),5401,600))</f>
        <v/>
      </c>
    </row>
    <row r="403">
      <c r="B403" s="180">
        <f>IF($AD403="","",VALUE(LEFT($AD403,FIND("|",$AD403)-1)))</f>
        <v/>
      </c>
      <c r="C403" s="180">
        <f>IF($AD403="","","    "&amp;MID($AD403,FIND("|",$AD403)+1,FIND("|",$AD403,FIND("|",$AD403)+1)-FIND("|",$AD403)-1))</f>
        <v/>
      </c>
      <c r="D403" s="180">
        <f>IF($AD403="","",MID($AD403,FIND("|",$AD403,FIND("|",$AD403)+1)+1,FIND("|",$AD403&amp;"|",FIND("|",$AD403,FIND("|",$AD403)+1)+1)-FIND("|",$AD403,FIND("|",$AD403)+1)-1))</f>
        <v/>
      </c>
      <c r="AD403">
        <f>TRIM(MID(SUBSTITUTE($BX$392,"~",REPT(" ",600)),6001,600))</f>
        <v/>
      </c>
    </row>
    <row r="404">
      <c r="A404" s="178">
        <f>IF($AD$404=0,"",$BK$404)</f>
        <v/>
      </c>
      <c r="B404" s="178">
        <f>IF($AD$404=0,"",$AE$404)</f>
        <v/>
      </c>
      <c r="C404" s="178">
        <f>IF($AD$404=0,"",$AE$404&amp;") "&amp;IF(COUNTIFS(tk_SOFG,34,tk_HLEG,"&lt;&gt;"&amp;$BJ$404)=0,INDEX(tk_FLINE,$AD$404),INDEX(tk_FLINEN,$AD$404))&amp;IF($AJ$404="KD"," ( R.O. "&amp;TRIM(TEXT(N($AQ$404)+2.25,"# ?/??"))&amp;CHAR(34)&amp;" x "&amp;TRIM(TEXT(N($AR$404)+1,"# ?/??"))&amp;CHAR(34)&amp;" )",""))</f>
        <v/>
      </c>
      <c r="D404" s="178" t="n"/>
      <c r="E404" s="179">
        <f t="array" ref="E404">IF($AD$404=0,"",_xlfn.TEXTJOIN(", ",TRUE,IF(tk_SOFG=34,"#"&amp;tk_MARK&amp;IF(tk_HLEG="","","("&amp;tk_HLEG&amp;")")&amp;IF(tk_QTY&gt;1," ×"&amp;tk_QTY,""),"")))</f>
        <v/>
      </c>
      <c r="AD404">
        <f>IFERROR(MATCH(34,tk_SOFG,0),0)</f>
        <v/>
      </c>
      <c r="AE404">
        <f>IF($AD$404=0,0,SUMIF(tk_SOFG,34,tk_QTY))</f>
        <v/>
      </c>
      <c r="AF404">
        <f>IF($AD$404=0,"",INDEX(tk_JAMB,$AD$404))</f>
        <v/>
      </c>
      <c r="AG404">
        <f>IF($AD$404=0,"",INDEX(tk_ANCHOR,$AD$404))</f>
        <v/>
      </c>
      <c r="AH404">
        <f>IF($AD$404=0,"",INDEX(tk_ANCH,$AD$404))</f>
        <v/>
      </c>
      <c r="AI404">
        <f>IF($AD$404=0,"",INDEX(tk_BASEA,$AD$404))</f>
        <v/>
      </c>
      <c r="AJ404">
        <f>IF($AD$404=0,"",INDEX(tk_CONSTR,$AD$404))</f>
        <v/>
      </c>
      <c r="AK404">
        <f>IF($AD$404=0,"",INDEX(tk_CLOSER,$AD$404))</f>
        <v/>
      </c>
      <c r="AL404">
        <f>IF($AD$404=0,"",INDEX(tk_STRIKE,$AD$404))</f>
        <v/>
      </c>
      <c r="AM404">
        <f>IF($AD$404=0,"",INDEX(tk_HDRPREP,$AD$404))</f>
        <v/>
      </c>
      <c r="AN404">
        <f>IF($AD$404=0,"",INDEX(tk_DMIN,$AD$404))</f>
        <v/>
      </c>
      <c r="AO404">
        <f>IF($AD$404=0,"",INDEX(tk_PAIR,$AD$404))</f>
        <v/>
      </c>
      <c r="AP404">
        <f>IF($AD$404=0,"",INDEX(tk_FGA,$AD$404))</f>
        <v/>
      </c>
      <c r="AQ404">
        <f>IF($AD$404=0,"",INDEX(tk_WI,$AD$404))</f>
        <v/>
      </c>
      <c r="AR404">
        <f>IF($AD$404=0,"",INDEX(tk_HI,$AD$404))</f>
        <v/>
      </c>
      <c r="AS404">
        <f>IF($AD$404=0,"",INDEX(tk_FHINGE,$AD$404))</f>
        <v/>
      </c>
      <c r="AT404">
        <f>IF($AD$404=0,"",INDEX(tk_DHINGE,$AD$404))</f>
        <v/>
      </c>
      <c r="AU404">
        <f>IF($AD$404=0,"",INDEX(tk_HWLOC,$AD$404))</f>
        <v/>
      </c>
      <c r="AV404">
        <f>IF($AD$404=0,"",INDEX(tk_MANUF,$AD$404))</f>
        <v/>
      </c>
      <c r="AW404">
        <f>IF($AD$404=0,"",INDEX(tk_JH,$AD$404))</f>
        <v/>
      </c>
      <c r="AX404">
        <f>IF($AD$404=0,"",INDEX(tk_FDESC,$AD$404))</f>
        <v/>
      </c>
      <c r="AY404">
        <f>IF($AD$404=0,"",INDEX(tk_TRANS,$AD$404))</f>
        <v/>
      </c>
      <c r="AZ404">
        <f>IF($AD$404=0,"",INDEX(tk_SLW,$AD$404))</f>
        <v/>
      </c>
      <c r="BA404">
        <f>IF($AD$404=0,"",INDEX(tk_LEAVES,$AD$404))</f>
        <v/>
      </c>
      <c r="BB404">
        <f>IF($AD$404=0,"",INDEX(tk_LEAFW,$AD$404))</f>
        <v/>
      </c>
      <c r="BC404">
        <f>IF($AD$404=0,"",INDEX(tk_LEAFH,$AD$404))</f>
        <v/>
      </c>
      <c r="BD404">
        <f>IF($AD$404=0,"",INDEX(tk_DMAT,$AD$404))</f>
        <v/>
      </c>
      <c r="BE404">
        <f>IF($AD$404=0,"",INDEX(tk_DGA,$AD$404))</f>
        <v/>
      </c>
      <c r="BF404">
        <f>IF($AD$404=0,"",INDEX(tk_SERIES,$AD$404))</f>
        <v/>
      </c>
      <c r="BG404">
        <f>IF($AD$404=0,"",INDEX(tk_LOCK,$AD$404))</f>
        <v/>
      </c>
      <c r="BH404">
        <f>IF($AD$404=0,"",INDEX(tk_LITEKIT,$AD$404))</f>
        <v/>
      </c>
      <c r="BI404">
        <f>IF($AD$404=0,"",INDEX(tk_FACE,$AD$404))</f>
        <v/>
      </c>
      <c r="BJ404">
        <f>IF($AD$404=0,"",INDEX(tk_HLEG,$AD$404))</f>
        <v/>
      </c>
      <c r="BK404">
        <f>IF($AD$404=0,"",INDEX(tk_SOITEM,$AD$404))</f>
        <v/>
      </c>
      <c r="BL404">
        <f>IFERROR(VLOOKUP($AF$404,CODES,2,FALSE),"")</f>
        <v/>
      </c>
      <c r="BM404">
        <f>IF($AJ$404="KD","C","M")</f>
        <v/>
      </c>
      <c r="BN404">
        <f>IF(N($AR$404)&lt;=80,80,IF(N($AR$404)&lt;=84,84,IF(N($AR$404)&lt;=96,96,N($AR$404))))</f>
        <v/>
      </c>
      <c r="BO404">
        <f>INT($BN$404/12)&amp;MOD($BN$404,12)</f>
        <v/>
      </c>
      <c r="BP404">
        <f>INT(N($AQ$404)/12)&amp;MOD(N($AQ$404),12)</f>
        <v/>
      </c>
      <c r="BQ404">
        <f>IF(OR($AU$404="",$AU$404="ANSI/SDI",$AU$404="CUSTOM LOC"),IF($AV$404="CU","CURRIES","STEELCRAFT"),$AU$404)</f>
        <v/>
      </c>
      <c r="BR404">
        <f>$AO$404="Y"</f>
        <v/>
      </c>
      <c r="BS404">
        <f>"~"</f>
        <v/>
      </c>
      <c r="BT404">
        <f>N($AH$404)*N($AI$404)</f>
        <v/>
      </c>
      <c r="BU404">
        <f>IF(OR($AL$404="",$AL$404="-",$AL$404="E8"),"G18",$AL$404)</f>
        <v/>
      </c>
      <c r="BV404">
        <f>IF(OR($AS$404="",$AS$404="-"),"BLK",$AS$404)</f>
        <v/>
      </c>
      <c r="BW404">
        <f>" "&amp;$BM$404&amp;$AP$404&amp;" "</f>
        <v/>
      </c>
      <c r="BX404">
        <f>IF($AD$404=0,"",IF(OR($AG$404="SSA",$AG$404="SC"),$AE$404*$BT$404&amp;"|"&amp;$BL$404&amp;" STEEL STUD ANCHOR 2"&amp;CHAR(34)&amp;"||"&amp;$BS$404,"")&amp;IF($AG$404="WEWA-M",$AE$404*(N($AH$404)+1)*N($AI$404)&amp;"|FR101F 690 "&amp;$BL$404&amp;" MASONRY TUBE ANCHOR 16 GA||"&amp;$BS$404&amp;$AE$404*(N($AH$404)+1)*N($AI$404)&amp;"|3/8X5 SF3850 DYNO BOLTS||"&amp;$BS$404,"")&amp;IF($AG$404="WMA",$AE$404*$BT$404&amp;"|WIRE MASONRY ANCHOR||"&amp;$BS$404,"")&amp;IF($AG$404="T",$AE$404*$BT$404&amp;"|T-STRAP MASONRY ANCHOR||"&amp;$BS$404,"")&amp;IF($AG$404="WEWA-W",$AE$404*$BT$404&amp;"|P/D + WOOD SCREWS||"&amp;$BS$404,"")&amp;IF($AJ$404="WGS",$AE$404&amp;"|WELD &amp; GROUND SMOOTH||"&amp;$BS$404,"")&amp;IF(OR($AK$404="",$AK$404="-"),"",$AE$404*IF($BR$404,4,2)&amp;"|RACL/PACL-CLOSER REINF. 14GAx1-3/4x16 HRPO|"&amp;$AK$404&amp;IF($BR$404," BOTH SIDES","")&amp;"|"&amp;$BS$404)&amp;IF($AL$404="E8",$AE$404&amp;"|E8-STRIKE REINF. RIM EXIT||"&amp;$BS$404,"")&amp;IF(ISNUMBER(SEARCH("E4",$AL$404)),$AE$404&amp;"|FRAME DEADLOCK PREP||"&amp;$BS$404,"")&amp;IF($AL$404="E9",$AE$404&amp;"|ELECTRIC STRIKE PREP||"&amp;$BS$404,"")&amp;IF($AM$404="H5",$AE$404&amp;"|H5 STRIKE PREP IN HEADER||"&amp;$BS$404,IF(OR($AM$404="",$AM$404="-"),"",$AE$404&amp;"|HEADER PREP "&amp;$AM$404&amp;"||"&amp;$BS$404))&amp;IF(N($AN$404)&gt;0,$AE$404&amp;"|"&amp;$AN$404&amp;" MINUTE STEEL FRAME LABEL "&amp;IF(OR(N($AY$404)&gt;0,N($AZ$404)&gt;0),"W/TRANSOM PANEL/SIDELIGHT","CAT. C PP")&amp;"||"&amp;$BS$404,"")&amp;IF($AX$404="BL","",$AE$404&amp;"|HD "&amp;$AF$404&amp;$BW$404&amp;$BP$404&amp;" BSC||"&amp;$BS$404&amp;IF($BR$404,$AE$404&amp;"|HJ "&amp;$AF$404&amp;$BW$404&amp;"LH "&amp;$BO$404&amp;" "&amp;$BV$404&amp;" BSC "&amp;CHAR(34)&amp;$BQ$404&amp;CHAR(34)&amp;"||"&amp;$BS$404&amp;$AE$404&amp;"|HJ "&amp;$AF$404&amp;$BW$404&amp;"RH "&amp;$BO$404&amp;" "&amp;$BV$404&amp;" BSC "&amp;CHAR(34)&amp;$BQ$404&amp;CHAR(34)&amp;"||"&amp;$BS$404,$AE$404&amp;"|HJ "&amp;$AF$404&amp;$BW$404&amp;$AW$404&amp;" "&amp;$BO$404&amp;" "&amp;$BV$404&amp;" BSC "&amp;CHAR(34)&amp;$BQ$404&amp;CHAR(34)&amp;"||"&amp;$BS$404&amp;$AE$404&amp;"|SJ "&amp;$AF$404&amp;$BW$404&amp;$AW$404&amp;" "&amp;$BO$404&amp;" "&amp;$BU$404&amp;IF($BU$404="G18"," BLANK"," Y")&amp;" BSC "&amp;CHAR(34)&amp;$BQ$404&amp;CHAR(34)&amp;"||"&amp;$BS$404))&amp;IF(AND($BN$404&gt;N($AR$404),$AX$404&lt;&gt;"BL",N($AR$404)&gt;=60),$AE$404&amp;"|FRAME CUT DOWN (BOTTOM)|Cut "&amp;TRIM(TEXT($BN$404-N($AR$404),"# ?/??"))&amp;CHAR(34)&amp;" OFF THE BOTTOM|"&amp;$BS$404,""))</f>
        <v/>
      </c>
    </row>
    <row r="405">
      <c r="B405" s="180">
        <f>IF($AD405="","",VALUE(LEFT($AD405,FIND("|",$AD405)-1)))</f>
        <v/>
      </c>
      <c r="C405" s="180">
        <f>IF($AD405="","","    "&amp;MID($AD405,FIND("|",$AD405)+1,FIND("|",$AD405,FIND("|",$AD405)+1)-FIND("|",$AD405)-1))</f>
        <v/>
      </c>
      <c r="D405" s="180">
        <f>IF($AD405="","",MID($AD405,FIND("|",$AD405,FIND("|",$AD405)+1)+1,FIND("|",$AD405&amp;"|",FIND("|",$AD405,FIND("|",$AD405)+1)+1)-FIND("|",$AD405,FIND("|",$AD405)+1)-1))</f>
        <v/>
      </c>
      <c r="AD405">
        <f>TRIM(MID(SUBSTITUTE($BX$404,"~",REPT(" ",600)),1,600))</f>
        <v/>
      </c>
    </row>
    <row r="406">
      <c r="B406" s="180">
        <f>IF($AD406="","",VALUE(LEFT($AD406,FIND("|",$AD406)-1)))</f>
        <v/>
      </c>
      <c r="C406" s="180">
        <f>IF($AD406="","","    "&amp;MID($AD406,FIND("|",$AD406)+1,FIND("|",$AD406,FIND("|",$AD406)+1)-FIND("|",$AD406)-1))</f>
        <v/>
      </c>
      <c r="D406" s="180">
        <f>IF($AD406="","",MID($AD406,FIND("|",$AD406,FIND("|",$AD406)+1)+1,FIND("|",$AD406&amp;"|",FIND("|",$AD406,FIND("|",$AD406)+1)+1)-FIND("|",$AD406,FIND("|",$AD406)+1)-1))</f>
        <v/>
      </c>
      <c r="AD406">
        <f>TRIM(MID(SUBSTITUTE($BX$404,"~",REPT(" ",600)),601,600))</f>
        <v/>
      </c>
    </row>
    <row r="407">
      <c r="B407" s="180">
        <f>IF($AD407="","",VALUE(LEFT($AD407,FIND("|",$AD407)-1)))</f>
        <v/>
      </c>
      <c r="C407" s="180">
        <f>IF($AD407="","","    "&amp;MID($AD407,FIND("|",$AD407)+1,FIND("|",$AD407,FIND("|",$AD407)+1)-FIND("|",$AD407)-1))</f>
        <v/>
      </c>
      <c r="D407" s="180">
        <f>IF($AD407="","",MID($AD407,FIND("|",$AD407,FIND("|",$AD407)+1)+1,FIND("|",$AD407&amp;"|",FIND("|",$AD407,FIND("|",$AD407)+1)+1)-FIND("|",$AD407,FIND("|",$AD407)+1)-1))</f>
        <v/>
      </c>
      <c r="AD407">
        <f>TRIM(MID(SUBSTITUTE($BX$404,"~",REPT(" ",600)),1201,600))</f>
        <v/>
      </c>
    </row>
    <row r="408">
      <c r="B408" s="180">
        <f>IF($AD408="","",VALUE(LEFT($AD408,FIND("|",$AD408)-1)))</f>
        <v/>
      </c>
      <c r="C408" s="180">
        <f>IF($AD408="","","    "&amp;MID($AD408,FIND("|",$AD408)+1,FIND("|",$AD408,FIND("|",$AD408)+1)-FIND("|",$AD408)-1))</f>
        <v/>
      </c>
      <c r="D408" s="180">
        <f>IF($AD408="","",MID($AD408,FIND("|",$AD408,FIND("|",$AD408)+1)+1,FIND("|",$AD408&amp;"|",FIND("|",$AD408,FIND("|",$AD408)+1)+1)-FIND("|",$AD408,FIND("|",$AD408)+1)-1))</f>
        <v/>
      </c>
      <c r="AD408">
        <f>TRIM(MID(SUBSTITUTE($BX$404,"~",REPT(" ",600)),1801,600))</f>
        <v/>
      </c>
    </row>
    <row r="409">
      <c r="B409" s="180">
        <f>IF($AD409="","",VALUE(LEFT($AD409,FIND("|",$AD409)-1)))</f>
        <v/>
      </c>
      <c r="C409" s="180">
        <f>IF($AD409="","","    "&amp;MID($AD409,FIND("|",$AD409)+1,FIND("|",$AD409,FIND("|",$AD409)+1)-FIND("|",$AD409)-1))</f>
        <v/>
      </c>
      <c r="D409" s="180">
        <f>IF($AD409="","",MID($AD409,FIND("|",$AD409,FIND("|",$AD409)+1)+1,FIND("|",$AD409&amp;"|",FIND("|",$AD409,FIND("|",$AD409)+1)+1)-FIND("|",$AD409,FIND("|",$AD409)+1)-1))</f>
        <v/>
      </c>
      <c r="AD409">
        <f>TRIM(MID(SUBSTITUTE($BX$404,"~",REPT(" ",600)),2401,600))</f>
        <v/>
      </c>
    </row>
    <row r="410">
      <c r="B410" s="180">
        <f>IF($AD410="","",VALUE(LEFT($AD410,FIND("|",$AD410)-1)))</f>
        <v/>
      </c>
      <c r="C410" s="180">
        <f>IF($AD410="","","    "&amp;MID($AD410,FIND("|",$AD410)+1,FIND("|",$AD410,FIND("|",$AD410)+1)-FIND("|",$AD410)-1))</f>
        <v/>
      </c>
      <c r="D410" s="180">
        <f>IF($AD410="","",MID($AD410,FIND("|",$AD410,FIND("|",$AD410)+1)+1,FIND("|",$AD410&amp;"|",FIND("|",$AD410,FIND("|",$AD410)+1)+1)-FIND("|",$AD410,FIND("|",$AD410)+1)-1))</f>
        <v/>
      </c>
      <c r="AD410">
        <f>TRIM(MID(SUBSTITUTE($BX$404,"~",REPT(" ",600)),3001,600))</f>
        <v/>
      </c>
    </row>
    <row r="411">
      <c r="B411" s="180">
        <f>IF($AD411="","",VALUE(LEFT($AD411,FIND("|",$AD411)-1)))</f>
        <v/>
      </c>
      <c r="C411" s="180">
        <f>IF($AD411="","","    "&amp;MID($AD411,FIND("|",$AD411)+1,FIND("|",$AD411,FIND("|",$AD411)+1)-FIND("|",$AD411)-1))</f>
        <v/>
      </c>
      <c r="D411" s="180">
        <f>IF($AD411="","",MID($AD411,FIND("|",$AD411,FIND("|",$AD411)+1)+1,FIND("|",$AD411&amp;"|",FIND("|",$AD411,FIND("|",$AD411)+1)+1)-FIND("|",$AD411,FIND("|",$AD411)+1)-1))</f>
        <v/>
      </c>
      <c r="AD411">
        <f>TRIM(MID(SUBSTITUTE($BX$404,"~",REPT(" ",600)),3601,600))</f>
        <v/>
      </c>
    </row>
    <row r="412">
      <c r="B412" s="180">
        <f>IF($AD412="","",VALUE(LEFT($AD412,FIND("|",$AD412)-1)))</f>
        <v/>
      </c>
      <c r="C412" s="180">
        <f>IF($AD412="","","    "&amp;MID($AD412,FIND("|",$AD412)+1,FIND("|",$AD412,FIND("|",$AD412)+1)-FIND("|",$AD412)-1))</f>
        <v/>
      </c>
      <c r="D412" s="180">
        <f>IF($AD412="","",MID($AD412,FIND("|",$AD412,FIND("|",$AD412)+1)+1,FIND("|",$AD412&amp;"|",FIND("|",$AD412,FIND("|",$AD412)+1)+1)-FIND("|",$AD412,FIND("|",$AD412)+1)-1))</f>
        <v/>
      </c>
      <c r="AD412">
        <f>TRIM(MID(SUBSTITUTE($BX$404,"~",REPT(" ",600)),4201,600))</f>
        <v/>
      </c>
    </row>
    <row r="413">
      <c r="B413" s="180">
        <f>IF($AD413="","",VALUE(LEFT($AD413,FIND("|",$AD413)-1)))</f>
        <v/>
      </c>
      <c r="C413" s="180">
        <f>IF($AD413="","","    "&amp;MID($AD413,FIND("|",$AD413)+1,FIND("|",$AD413,FIND("|",$AD413)+1)-FIND("|",$AD413)-1))</f>
        <v/>
      </c>
      <c r="D413" s="180">
        <f>IF($AD413="","",MID($AD413,FIND("|",$AD413,FIND("|",$AD413)+1)+1,FIND("|",$AD413&amp;"|",FIND("|",$AD413,FIND("|",$AD413)+1)+1)-FIND("|",$AD413,FIND("|",$AD413)+1)-1))</f>
        <v/>
      </c>
      <c r="AD413">
        <f>TRIM(MID(SUBSTITUTE($BX$404,"~",REPT(" ",600)),4801,600))</f>
        <v/>
      </c>
    </row>
    <row r="414">
      <c r="B414" s="180">
        <f>IF($AD414="","",VALUE(LEFT($AD414,FIND("|",$AD414)-1)))</f>
        <v/>
      </c>
      <c r="C414" s="180">
        <f>IF($AD414="","","    "&amp;MID($AD414,FIND("|",$AD414)+1,FIND("|",$AD414,FIND("|",$AD414)+1)-FIND("|",$AD414)-1))</f>
        <v/>
      </c>
      <c r="D414" s="180">
        <f>IF($AD414="","",MID($AD414,FIND("|",$AD414,FIND("|",$AD414)+1)+1,FIND("|",$AD414&amp;"|",FIND("|",$AD414,FIND("|",$AD414)+1)+1)-FIND("|",$AD414,FIND("|",$AD414)+1)-1))</f>
        <v/>
      </c>
      <c r="AD414">
        <f>TRIM(MID(SUBSTITUTE($BX$404,"~",REPT(" ",600)),5401,600))</f>
        <v/>
      </c>
    </row>
    <row r="415">
      <c r="B415" s="180">
        <f>IF($AD415="","",VALUE(LEFT($AD415,FIND("|",$AD415)-1)))</f>
        <v/>
      </c>
      <c r="C415" s="180">
        <f>IF($AD415="","","    "&amp;MID($AD415,FIND("|",$AD415)+1,FIND("|",$AD415,FIND("|",$AD415)+1)-FIND("|",$AD415)-1))</f>
        <v/>
      </c>
      <c r="D415" s="180">
        <f>IF($AD415="","",MID($AD415,FIND("|",$AD415,FIND("|",$AD415)+1)+1,FIND("|",$AD415&amp;"|",FIND("|",$AD415,FIND("|",$AD415)+1)+1)-FIND("|",$AD415,FIND("|",$AD415)+1)-1))</f>
        <v/>
      </c>
      <c r="AD415">
        <f>TRIM(MID(SUBSTITUTE($BX$404,"~",REPT(" ",600)),6001,600))</f>
        <v/>
      </c>
    </row>
    <row r="416">
      <c r="A416" s="178">
        <f>IF($AD$416=0,"",$BK$416)</f>
        <v/>
      </c>
      <c r="B416" s="178">
        <f>IF($AD$416=0,"",$AE$416)</f>
        <v/>
      </c>
      <c r="C416" s="178">
        <f>IF($AD$416=0,"",$AE$416&amp;") "&amp;IF(COUNTIFS(tk_SOFG,35,tk_HLEG,"&lt;&gt;"&amp;$BJ$416)=0,INDEX(tk_FLINE,$AD$416),INDEX(tk_FLINEN,$AD$416))&amp;IF($AJ$416="KD"," ( R.O. "&amp;TRIM(TEXT(N($AQ$416)+2.25,"# ?/??"))&amp;CHAR(34)&amp;" x "&amp;TRIM(TEXT(N($AR$416)+1,"# ?/??"))&amp;CHAR(34)&amp;" )",""))</f>
        <v/>
      </c>
      <c r="D416" s="178" t="n"/>
      <c r="E416" s="179">
        <f t="array" ref="E416">IF($AD$416=0,"",_xlfn.TEXTJOIN(", ",TRUE,IF(tk_SOFG=35,"#"&amp;tk_MARK&amp;IF(tk_HLEG="","","("&amp;tk_HLEG&amp;")")&amp;IF(tk_QTY&gt;1," ×"&amp;tk_QTY,""),"")))</f>
        <v/>
      </c>
      <c r="AD416">
        <f>IFERROR(MATCH(35,tk_SOFG,0),0)</f>
        <v/>
      </c>
      <c r="AE416">
        <f>IF($AD$416=0,0,SUMIF(tk_SOFG,35,tk_QTY))</f>
        <v/>
      </c>
      <c r="AF416">
        <f>IF($AD$416=0,"",INDEX(tk_JAMB,$AD$416))</f>
        <v/>
      </c>
      <c r="AG416">
        <f>IF($AD$416=0,"",INDEX(tk_ANCHOR,$AD$416))</f>
        <v/>
      </c>
      <c r="AH416">
        <f>IF($AD$416=0,"",INDEX(tk_ANCH,$AD$416))</f>
        <v/>
      </c>
      <c r="AI416">
        <f>IF($AD$416=0,"",INDEX(tk_BASEA,$AD$416))</f>
        <v/>
      </c>
      <c r="AJ416">
        <f>IF($AD$416=0,"",INDEX(tk_CONSTR,$AD$416))</f>
        <v/>
      </c>
      <c r="AK416">
        <f>IF($AD$416=0,"",INDEX(tk_CLOSER,$AD$416))</f>
        <v/>
      </c>
      <c r="AL416">
        <f>IF($AD$416=0,"",INDEX(tk_STRIKE,$AD$416))</f>
        <v/>
      </c>
      <c r="AM416">
        <f>IF($AD$416=0,"",INDEX(tk_HDRPREP,$AD$416))</f>
        <v/>
      </c>
      <c r="AN416">
        <f>IF($AD$416=0,"",INDEX(tk_DMIN,$AD$416))</f>
        <v/>
      </c>
      <c r="AO416">
        <f>IF($AD$416=0,"",INDEX(tk_PAIR,$AD$416))</f>
        <v/>
      </c>
      <c r="AP416">
        <f>IF($AD$416=0,"",INDEX(tk_FGA,$AD$416))</f>
        <v/>
      </c>
      <c r="AQ416">
        <f>IF($AD$416=0,"",INDEX(tk_WI,$AD$416))</f>
        <v/>
      </c>
      <c r="AR416">
        <f>IF($AD$416=0,"",INDEX(tk_HI,$AD$416))</f>
        <v/>
      </c>
      <c r="AS416">
        <f>IF($AD$416=0,"",INDEX(tk_FHINGE,$AD$416))</f>
        <v/>
      </c>
      <c r="AT416">
        <f>IF($AD$416=0,"",INDEX(tk_DHINGE,$AD$416))</f>
        <v/>
      </c>
      <c r="AU416">
        <f>IF($AD$416=0,"",INDEX(tk_HWLOC,$AD$416))</f>
        <v/>
      </c>
      <c r="AV416">
        <f>IF($AD$416=0,"",INDEX(tk_MANUF,$AD$416))</f>
        <v/>
      </c>
      <c r="AW416">
        <f>IF($AD$416=0,"",INDEX(tk_JH,$AD$416))</f>
        <v/>
      </c>
      <c r="AX416">
        <f>IF($AD$416=0,"",INDEX(tk_FDESC,$AD$416))</f>
        <v/>
      </c>
      <c r="AY416">
        <f>IF($AD$416=0,"",INDEX(tk_TRANS,$AD$416))</f>
        <v/>
      </c>
      <c r="AZ416">
        <f>IF($AD$416=0,"",INDEX(tk_SLW,$AD$416))</f>
        <v/>
      </c>
      <c r="BA416">
        <f>IF($AD$416=0,"",INDEX(tk_LEAVES,$AD$416))</f>
        <v/>
      </c>
      <c r="BB416">
        <f>IF($AD$416=0,"",INDEX(tk_LEAFW,$AD$416))</f>
        <v/>
      </c>
      <c r="BC416">
        <f>IF($AD$416=0,"",INDEX(tk_LEAFH,$AD$416))</f>
        <v/>
      </c>
      <c r="BD416">
        <f>IF($AD$416=0,"",INDEX(tk_DMAT,$AD$416))</f>
        <v/>
      </c>
      <c r="BE416">
        <f>IF($AD$416=0,"",INDEX(tk_DGA,$AD$416))</f>
        <v/>
      </c>
      <c r="BF416">
        <f>IF($AD$416=0,"",INDEX(tk_SERIES,$AD$416))</f>
        <v/>
      </c>
      <c r="BG416">
        <f>IF($AD$416=0,"",INDEX(tk_LOCK,$AD$416))</f>
        <v/>
      </c>
      <c r="BH416">
        <f>IF($AD$416=0,"",INDEX(tk_LITEKIT,$AD$416))</f>
        <v/>
      </c>
      <c r="BI416">
        <f>IF($AD$416=0,"",INDEX(tk_FACE,$AD$416))</f>
        <v/>
      </c>
      <c r="BJ416">
        <f>IF($AD$416=0,"",INDEX(tk_HLEG,$AD$416))</f>
        <v/>
      </c>
      <c r="BK416">
        <f>IF($AD$416=0,"",INDEX(tk_SOITEM,$AD$416))</f>
        <v/>
      </c>
      <c r="BL416">
        <f>IFERROR(VLOOKUP($AF$416,CODES,2,FALSE),"")</f>
        <v/>
      </c>
      <c r="BM416">
        <f>IF($AJ$416="KD","C","M")</f>
        <v/>
      </c>
      <c r="BN416">
        <f>IF(N($AR$416)&lt;=80,80,IF(N($AR$416)&lt;=84,84,IF(N($AR$416)&lt;=96,96,N($AR$416))))</f>
        <v/>
      </c>
      <c r="BO416">
        <f>INT($BN$416/12)&amp;MOD($BN$416,12)</f>
        <v/>
      </c>
      <c r="BP416">
        <f>INT(N($AQ$416)/12)&amp;MOD(N($AQ$416),12)</f>
        <v/>
      </c>
      <c r="BQ416">
        <f>IF(OR($AU$416="",$AU$416="ANSI/SDI",$AU$416="CUSTOM LOC"),IF($AV$416="CU","CURRIES","STEELCRAFT"),$AU$416)</f>
        <v/>
      </c>
      <c r="BR416">
        <f>$AO$416="Y"</f>
        <v/>
      </c>
      <c r="BS416">
        <f>"~"</f>
        <v/>
      </c>
      <c r="BT416">
        <f>N($AH$416)*N($AI$416)</f>
        <v/>
      </c>
      <c r="BU416">
        <f>IF(OR($AL$416="",$AL$416="-",$AL$416="E8"),"G18",$AL$416)</f>
        <v/>
      </c>
      <c r="BV416">
        <f>IF(OR($AS$416="",$AS$416="-"),"BLK",$AS$416)</f>
        <v/>
      </c>
      <c r="BW416">
        <f>" "&amp;$BM$416&amp;$AP$416&amp;" "</f>
        <v/>
      </c>
      <c r="BX416">
        <f>IF($AD$416=0,"",IF(OR($AG$416="SSA",$AG$416="SC"),$AE$416*$BT$416&amp;"|"&amp;$BL$416&amp;" STEEL STUD ANCHOR 2"&amp;CHAR(34)&amp;"||"&amp;$BS$416,"")&amp;IF($AG$416="WEWA-M",$AE$416*(N($AH$416)+1)*N($AI$416)&amp;"|FR101F 690 "&amp;$BL$416&amp;" MASONRY TUBE ANCHOR 16 GA||"&amp;$BS$416&amp;$AE$416*(N($AH$416)+1)*N($AI$416)&amp;"|3/8X5 SF3850 DYNO BOLTS||"&amp;$BS$416,"")&amp;IF($AG$416="WMA",$AE$416*$BT$416&amp;"|WIRE MASONRY ANCHOR||"&amp;$BS$416,"")&amp;IF($AG$416="T",$AE$416*$BT$416&amp;"|T-STRAP MASONRY ANCHOR||"&amp;$BS$416,"")&amp;IF($AG$416="WEWA-W",$AE$416*$BT$416&amp;"|P/D + WOOD SCREWS||"&amp;$BS$416,"")&amp;IF($AJ$416="WGS",$AE$416&amp;"|WELD &amp; GROUND SMOOTH||"&amp;$BS$416,"")&amp;IF(OR($AK$416="",$AK$416="-"),"",$AE$416*IF($BR$416,4,2)&amp;"|RACL/PACL-CLOSER REINF. 14GAx1-3/4x16 HRPO|"&amp;$AK$416&amp;IF($BR$416," BOTH SIDES","")&amp;"|"&amp;$BS$416)&amp;IF($AL$416="E8",$AE$416&amp;"|E8-STRIKE REINF. RIM EXIT||"&amp;$BS$416,"")&amp;IF(ISNUMBER(SEARCH("E4",$AL$416)),$AE$416&amp;"|FRAME DEADLOCK PREP||"&amp;$BS$416,"")&amp;IF($AL$416="E9",$AE$416&amp;"|ELECTRIC STRIKE PREP||"&amp;$BS$416,"")&amp;IF($AM$416="H5",$AE$416&amp;"|H5 STRIKE PREP IN HEADER||"&amp;$BS$416,IF(OR($AM$416="",$AM$416="-"),"",$AE$416&amp;"|HEADER PREP "&amp;$AM$416&amp;"||"&amp;$BS$416))&amp;IF(N($AN$416)&gt;0,$AE$416&amp;"|"&amp;$AN$416&amp;" MINUTE STEEL FRAME LABEL "&amp;IF(OR(N($AY$416)&gt;0,N($AZ$416)&gt;0),"W/TRANSOM PANEL/SIDELIGHT","CAT. C PP")&amp;"||"&amp;$BS$416,"")&amp;IF($AX$416="BL","",$AE$416&amp;"|HD "&amp;$AF$416&amp;$BW$416&amp;$BP$416&amp;" BSC||"&amp;$BS$416&amp;IF($BR$416,$AE$416&amp;"|HJ "&amp;$AF$416&amp;$BW$416&amp;"LH "&amp;$BO$416&amp;" "&amp;$BV$416&amp;" BSC "&amp;CHAR(34)&amp;$BQ$416&amp;CHAR(34)&amp;"||"&amp;$BS$416&amp;$AE$416&amp;"|HJ "&amp;$AF$416&amp;$BW$416&amp;"RH "&amp;$BO$416&amp;" "&amp;$BV$416&amp;" BSC "&amp;CHAR(34)&amp;$BQ$416&amp;CHAR(34)&amp;"||"&amp;$BS$416,$AE$416&amp;"|HJ "&amp;$AF$416&amp;$BW$416&amp;$AW$416&amp;" "&amp;$BO$416&amp;" "&amp;$BV$416&amp;" BSC "&amp;CHAR(34)&amp;$BQ$416&amp;CHAR(34)&amp;"||"&amp;$BS$416&amp;$AE$416&amp;"|SJ "&amp;$AF$416&amp;$BW$416&amp;$AW$416&amp;" "&amp;$BO$416&amp;" "&amp;$BU$416&amp;IF($BU$416="G18"," BLANK"," Y")&amp;" BSC "&amp;CHAR(34)&amp;$BQ$416&amp;CHAR(34)&amp;"||"&amp;$BS$416))&amp;IF(AND($BN$416&gt;N($AR$416),$AX$416&lt;&gt;"BL",N($AR$416)&gt;=60),$AE$416&amp;"|FRAME CUT DOWN (BOTTOM)|Cut "&amp;TRIM(TEXT($BN$416-N($AR$416),"# ?/??"))&amp;CHAR(34)&amp;" OFF THE BOTTOM|"&amp;$BS$416,""))</f>
        <v/>
      </c>
    </row>
    <row r="417">
      <c r="B417" s="180">
        <f>IF($AD417="","",VALUE(LEFT($AD417,FIND("|",$AD417)-1)))</f>
        <v/>
      </c>
      <c r="C417" s="180">
        <f>IF($AD417="","","    "&amp;MID($AD417,FIND("|",$AD417)+1,FIND("|",$AD417,FIND("|",$AD417)+1)-FIND("|",$AD417)-1))</f>
        <v/>
      </c>
      <c r="D417" s="180">
        <f>IF($AD417="","",MID($AD417,FIND("|",$AD417,FIND("|",$AD417)+1)+1,FIND("|",$AD417&amp;"|",FIND("|",$AD417,FIND("|",$AD417)+1)+1)-FIND("|",$AD417,FIND("|",$AD417)+1)-1))</f>
        <v/>
      </c>
      <c r="AD417">
        <f>TRIM(MID(SUBSTITUTE($BX$416,"~",REPT(" ",600)),1,600))</f>
        <v/>
      </c>
    </row>
    <row r="418">
      <c r="B418" s="180">
        <f>IF($AD418="","",VALUE(LEFT($AD418,FIND("|",$AD418)-1)))</f>
        <v/>
      </c>
      <c r="C418" s="180">
        <f>IF($AD418="","","    "&amp;MID($AD418,FIND("|",$AD418)+1,FIND("|",$AD418,FIND("|",$AD418)+1)-FIND("|",$AD418)-1))</f>
        <v/>
      </c>
      <c r="D418" s="180">
        <f>IF($AD418="","",MID($AD418,FIND("|",$AD418,FIND("|",$AD418)+1)+1,FIND("|",$AD418&amp;"|",FIND("|",$AD418,FIND("|",$AD418)+1)+1)-FIND("|",$AD418,FIND("|",$AD418)+1)-1))</f>
        <v/>
      </c>
      <c r="AD418">
        <f>TRIM(MID(SUBSTITUTE($BX$416,"~",REPT(" ",600)),601,600))</f>
        <v/>
      </c>
    </row>
    <row r="419">
      <c r="B419" s="180">
        <f>IF($AD419="","",VALUE(LEFT($AD419,FIND("|",$AD419)-1)))</f>
        <v/>
      </c>
      <c r="C419" s="180">
        <f>IF($AD419="","","    "&amp;MID($AD419,FIND("|",$AD419)+1,FIND("|",$AD419,FIND("|",$AD419)+1)-FIND("|",$AD419)-1))</f>
        <v/>
      </c>
      <c r="D419" s="180">
        <f>IF($AD419="","",MID($AD419,FIND("|",$AD419,FIND("|",$AD419)+1)+1,FIND("|",$AD419&amp;"|",FIND("|",$AD419,FIND("|",$AD419)+1)+1)-FIND("|",$AD419,FIND("|",$AD419)+1)-1))</f>
        <v/>
      </c>
      <c r="AD419">
        <f>TRIM(MID(SUBSTITUTE($BX$416,"~",REPT(" ",600)),1201,600))</f>
        <v/>
      </c>
    </row>
    <row r="420">
      <c r="B420" s="180">
        <f>IF($AD420="","",VALUE(LEFT($AD420,FIND("|",$AD420)-1)))</f>
        <v/>
      </c>
      <c r="C420" s="180">
        <f>IF($AD420="","","    "&amp;MID($AD420,FIND("|",$AD420)+1,FIND("|",$AD420,FIND("|",$AD420)+1)-FIND("|",$AD420)-1))</f>
        <v/>
      </c>
      <c r="D420" s="180">
        <f>IF($AD420="","",MID($AD420,FIND("|",$AD420,FIND("|",$AD420)+1)+1,FIND("|",$AD420&amp;"|",FIND("|",$AD420,FIND("|",$AD420)+1)+1)-FIND("|",$AD420,FIND("|",$AD420)+1)-1))</f>
        <v/>
      </c>
      <c r="AD420">
        <f>TRIM(MID(SUBSTITUTE($BX$416,"~",REPT(" ",600)),1801,600))</f>
        <v/>
      </c>
    </row>
    <row r="421">
      <c r="B421" s="180">
        <f>IF($AD421="","",VALUE(LEFT($AD421,FIND("|",$AD421)-1)))</f>
        <v/>
      </c>
      <c r="C421" s="180">
        <f>IF($AD421="","","    "&amp;MID($AD421,FIND("|",$AD421)+1,FIND("|",$AD421,FIND("|",$AD421)+1)-FIND("|",$AD421)-1))</f>
        <v/>
      </c>
      <c r="D421" s="180">
        <f>IF($AD421="","",MID($AD421,FIND("|",$AD421,FIND("|",$AD421)+1)+1,FIND("|",$AD421&amp;"|",FIND("|",$AD421,FIND("|",$AD421)+1)+1)-FIND("|",$AD421,FIND("|",$AD421)+1)-1))</f>
        <v/>
      </c>
      <c r="AD421">
        <f>TRIM(MID(SUBSTITUTE($BX$416,"~",REPT(" ",600)),2401,600))</f>
        <v/>
      </c>
    </row>
    <row r="422">
      <c r="B422" s="180">
        <f>IF($AD422="","",VALUE(LEFT($AD422,FIND("|",$AD422)-1)))</f>
        <v/>
      </c>
      <c r="C422" s="180">
        <f>IF($AD422="","","    "&amp;MID($AD422,FIND("|",$AD422)+1,FIND("|",$AD422,FIND("|",$AD422)+1)-FIND("|",$AD422)-1))</f>
        <v/>
      </c>
      <c r="D422" s="180">
        <f>IF($AD422="","",MID($AD422,FIND("|",$AD422,FIND("|",$AD422)+1)+1,FIND("|",$AD422&amp;"|",FIND("|",$AD422,FIND("|",$AD422)+1)+1)-FIND("|",$AD422,FIND("|",$AD422)+1)-1))</f>
        <v/>
      </c>
      <c r="AD422">
        <f>TRIM(MID(SUBSTITUTE($BX$416,"~",REPT(" ",600)),3001,600))</f>
        <v/>
      </c>
    </row>
    <row r="423">
      <c r="B423" s="180">
        <f>IF($AD423="","",VALUE(LEFT($AD423,FIND("|",$AD423)-1)))</f>
        <v/>
      </c>
      <c r="C423" s="180">
        <f>IF($AD423="","","    "&amp;MID($AD423,FIND("|",$AD423)+1,FIND("|",$AD423,FIND("|",$AD423)+1)-FIND("|",$AD423)-1))</f>
        <v/>
      </c>
      <c r="D423" s="180">
        <f>IF($AD423="","",MID($AD423,FIND("|",$AD423,FIND("|",$AD423)+1)+1,FIND("|",$AD423&amp;"|",FIND("|",$AD423,FIND("|",$AD423)+1)+1)-FIND("|",$AD423,FIND("|",$AD423)+1)-1))</f>
        <v/>
      </c>
      <c r="AD423">
        <f>TRIM(MID(SUBSTITUTE($BX$416,"~",REPT(" ",600)),3601,600))</f>
        <v/>
      </c>
    </row>
    <row r="424">
      <c r="B424" s="180">
        <f>IF($AD424="","",VALUE(LEFT($AD424,FIND("|",$AD424)-1)))</f>
        <v/>
      </c>
      <c r="C424" s="180">
        <f>IF($AD424="","","    "&amp;MID($AD424,FIND("|",$AD424)+1,FIND("|",$AD424,FIND("|",$AD424)+1)-FIND("|",$AD424)-1))</f>
        <v/>
      </c>
      <c r="D424" s="180">
        <f>IF($AD424="","",MID($AD424,FIND("|",$AD424,FIND("|",$AD424)+1)+1,FIND("|",$AD424&amp;"|",FIND("|",$AD424,FIND("|",$AD424)+1)+1)-FIND("|",$AD424,FIND("|",$AD424)+1)-1))</f>
        <v/>
      </c>
      <c r="AD424">
        <f>TRIM(MID(SUBSTITUTE($BX$416,"~",REPT(" ",600)),4201,600))</f>
        <v/>
      </c>
    </row>
    <row r="425">
      <c r="B425" s="180">
        <f>IF($AD425="","",VALUE(LEFT($AD425,FIND("|",$AD425)-1)))</f>
        <v/>
      </c>
      <c r="C425" s="180">
        <f>IF($AD425="","","    "&amp;MID($AD425,FIND("|",$AD425)+1,FIND("|",$AD425,FIND("|",$AD425)+1)-FIND("|",$AD425)-1))</f>
        <v/>
      </c>
      <c r="D425" s="180">
        <f>IF($AD425="","",MID($AD425,FIND("|",$AD425,FIND("|",$AD425)+1)+1,FIND("|",$AD425&amp;"|",FIND("|",$AD425,FIND("|",$AD425)+1)+1)-FIND("|",$AD425,FIND("|",$AD425)+1)-1))</f>
        <v/>
      </c>
      <c r="AD425">
        <f>TRIM(MID(SUBSTITUTE($BX$416,"~",REPT(" ",600)),4801,600))</f>
        <v/>
      </c>
    </row>
    <row r="426">
      <c r="B426" s="180">
        <f>IF($AD426="","",VALUE(LEFT($AD426,FIND("|",$AD426)-1)))</f>
        <v/>
      </c>
      <c r="C426" s="180">
        <f>IF($AD426="","","    "&amp;MID($AD426,FIND("|",$AD426)+1,FIND("|",$AD426,FIND("|",$AD426)+1)-FIND("|",$AD426)-1))</f>
        <v/>
      </c>
      <c r="D426" s="180">
        <f>IF($AD426="","",MID($AD426,FIND("|",$AD426,FIND("|",$AD426)+1)+1,FIND("|",$AD426&amp;"|",FIND("|",$AD426,FIND("|",$AD426)+1)+1)-FIND("|",$AD426,FIND("|",$AD426)+1)-1))</f>
        <v/>
      </c>
      <c r="AD426">
        <f>TRIM(MID(SUBSTITUTE($BX$416,"~",REPT(" ",600)),5401,600))</f>
        <v/>
      </c>
    </row>
    <row r="427">
      <c r="B427" s="180">
        <f>IF($AD427="","",VALUE(LEFT($AD427,FIND("|",$AD427)-1)))</f>
        <v/>
      </c>
      <c r="C427" s="180">
        <f>IF($AD427="","","    "&amp;MID($AD427,FIND("|",$AD427)+1,FIND("|",$AD427,FIND("|",$AD427)+1)-FIND("|",$AD427)-1))</f>
        <v/>
      </c>
      <c r="D427" s="180">
        <f>IF($AD427="","",MID($AD427,FIND("|",$AD427,FIND("|",$AD427)+1)+1,FIND("|",$AD427&amp;"|",FIND("|",$AD427,FIND("|",$AD427)+1)+1)-FIND("|",$AD427,FIND("|",$AD427)+1)-1))</f>
        <v/>
      </c>
      <c r="AD427">
        <f>TRIM(MID(SUBSTITUTE($BX$416,"~",REPT(" ",600)),6001,600))</f>
        <v/>
      </c>
    </row>
    <row r="428">
      <c r="A428" s="178">
        <f>IF($AD$428=0,"",$BK$428)</f>
        <v/>
      </c>
      <c r="B428" s="178">
        <f>IF($AD$428=0,"",$AE$428)</f>
        <v/>
      </c>
      <c r="C428" s="178">
        <f>IF($AD$428=0,"",$AE$428&amp;") "&amp;IF(COUNTIFS(tk_SOFG,36,tk_HLEG,"&lt;&gt;"&amp;$BJ$428)=0,INDEX(tk_FLINE,$AD$428),INDEX(tk_FLINEN,$AD$428))&amp;IF($AJ$428="KD"," ( R.O. "&amp;TRIM(TEXT(N($AQ$428)+2.25,"# ?/??"))&amp;CHAR(34)&amp;" x "&amp;TRIM(TEXT(N($AR$428)+1,"# ?/??"))&amp;CHAR(34)&amp;" )",""))</f>
        <v/>
      </c>
      <c r="D428" s="178" t="n"/>
      <c r="E428" s="179">
        <f t="array" ref="E428">IF($AD$428=0,"",_xlfn.TEXTJOIN(", ",TRUE,IF(tk_SOFG=36,"#"&amp;tk_MARK&amp;IF(tk_HLEG="","","("&amp;tk_HLEG&amp;")")&amp;IF(tk_QTY&gt;1," ×"&amp;tk_QTY,""),"")))</f>
        <v/>
      </c>
      <c r="AD428">
        <f>IFERROR(MATCH(36,tk_SOFG,0),0)</f>
        <v/>
      </c>
      <c r="AE428">
        <f>IF($AD$428=0,0,SUMIF(tk_SOFG,36,tk_QTY))</f>
        <v/>
      </c>
      <c r="AF428">
        <f>IF($AD$428=0,"",INDEX(tk_JAMB,$AD$428))</f>
        <v/>
      </c>
      <c r="AG428">
        <f>IF($AD$428=0,"",INDEX(tk_ANCHOR,$AD$428))</f>
        <v/>
      </c>
      <c r="AH428">
        <f>IF($AD$428=0,"",INDEX(tk_ANCH,$AD$428))</f>
        <v/>
      </c>
      <c r="AI428">
        <f>IF($AD$428=0,"",INDEX(tk_BASEA,$AD$428))</f>
        <v/>
      </c>
      <c r="AJ428">
        <f>IF($AD$428=0,"",INDEX(tk_CONSTR,$AD$428))</f>
        <v/>
      </c>
      <c r="AK428">
        <f>IF($AD$428=0,"",INDEX(tk_CLOSER,$AD$428))</f>
        <v/>
      </c>
      <c r="AL428">
        <f>IF($AD$428=0,"",INDEX(tk_STRIKE,$AD$428))</f>
        <v/>
      </c>
      <c r="AM428">
        <f>IF($AD$428=0,"",INDEX(tk_HDRPREP,$AD$428))</f>
        <v/>
      </c>
      <c r="AN428">
        <f>IF($AD$428=0,"",INDEX(tk_DMIN,$AD$428))</f>
        <v/>
      </c>
      <c r="AO428">
        <f>IF($AD$428=0,"",INDEX(tk_PAIR,$AD$428))</f>
        <v/>
      </c>
      <c r="AP428">
        <f>IF($AD$428=0,"",INDEX(tk_FGA,$AD$428))</f>
        <v/>
      </c>
      <c r="AQ428">
        <f>IF($AD$428=0,"",INDEX(tk_WI,$AD$428))</f>
        <v/>
      </c>
      <c r="AR428">
        <f>IF($AD$428=0,"",INDEX(tk_HI,$AD$428))</f>
        <v/>
      </c>
      <c r="AS428">
        <f>IF($AD$428=0,"",INDEX(tk_FHINGE,$AD$428))</f>
        <v/>
      </c>
      <c r="AT428">
        <f>IF($AD$428=0,"",INDEX(tk_DHINGE,$AD$428))</f>
        <v/>
      </c>
      <c r="AU428">
        <f>IF($AD$428=0,"",INDEX(tk_HWLOC,$AD$428))</f>
        <v/>
      </c>
      <c r="AV428">
        <f>IF($AD$428=0,"",INDEX(tk_MANUF,$AD$428))</f>
        <v/>
      </c>
      <c r="AW428">
        <f>IF($AD$428=0,"",INDEX(tk_JH,$AD$428))</f>
        <v/>
      </c>
      <c r="AX428">
        <f>IF($AD$428=0,"",INDEX(tk_FDESC,$AD$428))</f>
        <v/>
      </c>
      <c r="AY428">
        <f>IF($AD$428=0,"",INDEX(tk_TRANS,$AD$428))</f>
        <v/>
      </c>
      <c r="AZ428">
        <f>IF($AD$428=0,"",INDEX(tk_SLW,$AD$428))</f>
        <v/>
      </c>
      <c r="BA428">
        <f>IF($AD$428=0,"",INDEX(tk_LEAVES,$AD$428))</f>
        <v/>
      </c>
      <c r="BB428">
        <f>IF($AD$428=0,"",INDEX(tk_LEAFW,$AD$428))</f>
        <v/>
      </c>
      <c r="BC428">
        <f>IF($AD$428=0,"",INDEX(tk_LEAFH,$AD$428))</f>
        <v/>
      </c>
      <c r="BD428">
        <f>IF($AD$428=0,"",INDEX(tk_DMAT,$AD$428))</f>
        <v/>
      </c>
      <c r="BE428">
        <f>IF($AD$428=0,"",INDEX(tk_DGA,$AD$428))</f>
        <v/>
      </c>
      <c r="BF428">
        <f>IF($AD$428=0,"",INDEX(tk_SERIES,$AD$428))</f>
        <v/>
      </c>
      <c r="BG428">
        <f>IF($AD$428=0,"",INDEX(tk_LOCK,$AD$428))</f>
        <v/>
      </c>
      <c r="BH428">
        <f>IF($AD$428=0,"",INDEX(tk_LITEKIT,$AD$428))</f>
        <v/>
      </c>
      <c r="BI428">
        <f>IF($AD$428=0,"",INDEX(tk_FACE,$AD$428))</f>
        <v/>
      </c>
      <c r="BJ428">
        <f>IF($AD$428=0,"",INDEX(tk_HLEG,$AD$428))</f>
        <v/>
      </c>
      <c r="BK428">
        <f>IF($AD$428=0,"",INDEX(tk_SOITEM,$AD$428))</f>
        <v/>
      </c>
      <c r="BL428">
        <f>IFERROR(VLOOKUP($AF$428,CODES,2,FALSE),"")</f>
        <v/>
      </c>
      <c r="BM428">
        <f>IF($AJ$428="KD","C","M")</f>
        <v/>
      </c>
      <c r="BN428">
        <f>IF(N($AR$428)&lt;=80,80,IF(N($AR$428)&lt;=84,84,IF(N($AR$428)&lt;=96,96,N($AR$428))))</f>
        <v/>
      </c>
      <c r="BO428">
        <f>INT($BN$428/12)&amp;MOD($BN$428,12)</f>
        <v/>
      </c>
      <c r="BP428">
        <f>INT(N($AQ$428)/12)&amp;MOD(N($AQ$428),12)</f>
        <v/>
      </c>
      <c r="BQ428">
        <f>IF(OR($AU$428="",$AU$428="ANSI/SDI",$AU$428="CUSTOM LOC"),IF($AV$428="CU","CURRIES","STEELCRAFT"),$AU$428)</f>
        <v/>
      </c>
      <c r="BR428">
        <f>$AO$428="Y"</f>
        <v/>
      </c>
      <c r="BS428">
        <f>"~"</f>
        <v/>
      </c>
      <c r="BT428">
        <f>N($AH$428)*N($AI$428)</f>
        <v/>
      </c>
      <c r="BU428">
        <f>IF(OR($AL$428="",$AL$428="-",$AL$428="E8"),"G18",$AL$428)</f>
        <v/>
      </c>
      <c r="BV428">
        <f>IF(OR($AS$428="",$AS$428="-"),"BLK",$AS$428)</f>
        <v/>
      </c>
      <c r="BW428">
        <f>" "&amp;$BM$428&amp;$AP$428&amp;" "</f>
        <v/>
      </c>
      <c r="BX428">
        <f>IF($AD$428=0,"",IF(OR($AG$428="SSA",$AG$428="SC"),$AE$428*$BT$428&amp;"|"&amp;$BL$428&amp;" STEEL STUD ANCHOR 2"&amp;CHAR(34)&amp;"||"&amp;$BS$428,"")&amp;IF($AG$428="WEWA-M",$AE$428*(N($AH$428)+1)*N($AI$428)&amp;"|FR101F 690 "&amp;$BL$428&amp;" MASONRY TUBE ANCHOR 16 GA||"&amp;$BS$428&amp;$AE$428*(N($AH$428)+1)*N($AI$428)&amp;"|3/8X5 SF3850 DYNO BOLTS||"&amp;$BS$428,"")&amp;IF($AG$428="WMA",$AE$428*$BT$428&amp;"|WIRE MASONRY ANCHOR||"&amp;$BS$428,"")&amp;IF($AG$428="T",$AE$428*$BT$428&amp;"|T-STRAP MASONRY ANCHOR||"&amp;$BS$428,"")&amp;IF($AG$428="WEWA-W",$AE$428*$BT$428&amp;"|P/D + WOOD SCREWS||"&amp;$BS$428,"")&amp;IF($AJ$428="WGS",$AE$428&amp;"|WELD &amp; GROUND SMOOTH||"&amp;$BS$428,"")&amp;IF(OR($AK$428="",$AK$428="-"),"",$AE$428*IF($BR$428,4,2)&amp;"|RACL/PACL-CLOSER REINF. 14GAx1-3/4x16 HRPO|"&amp;$AK$428&amp;IF($BR$428," BOTH SIDES","")&amp;"|"&amp;$BS$428)&amp;IF($AL$428="E8",$AE$428&amp;"|E8-STRIKE REINF. RIM EXIT||"&amp;$BS$428,"")&amp;IF(ISNUMBER(SEARCH("E4",$AL$428)),$AE$428&amp;"|FRAME DEADLOCK PREP||"&amp;$BS$428,"")&amp;IF($AL$428="E9",$AE$428&amp;"|ELECTRIC STRIKE PREP||"&amp;$BS$428,"")&amp;IF($AM$428="H5",$AE$428&amp;"|H5 STRIKE PREP IN HEADER||"&amp;$BS$428,IF(OR($AM$428="",$AM$428="-"),"",$AE$428&amp;"|HEADER PREP "&amp;$AM$428&amp;"||"&amp;$BS$428))&amp;IF(N($AN$428)&gt;0,$AE$428&amp;"|"&amp;$AN$428&amp;" MINUTE STEEL FRAME LABEL "&amp;IF(OR(N($AY$428)&gt;0,N($AZ$428)&gt;0),"W/TRANSOM PANEL/SIDELIGHT","CAT. C PP")&amp;"||"&amp;$BS$428,"")&amp;IF($AX$428="BL","",$AE$428&amp;"|HD "&amp;$AF$428&amp;$BW$428&amp;$BP$428&amp;" BSC||"&amp;$BS$428&amp;IF($BR$428,$AE$428&amp;"|HJ "&amp;$AF$428&amp;$BW$428&amp;"LH "&amp;$BO$428&amp;" "&amp;$BV$428&amp;" BSC "&amp;CHAR(34)&amp;$BQ$428&amp;CHAR(34)&amp;"||"&amp;$BS$428&amp;$AE$428&amp;"|HJ "&amp;$AF$428&amp;$BW$428&amp;"RH "&amp;$BO$428&amp;" "&amp;$BV$428&amp;" BSC "&amp;CHAR(34)&amp;$BQ$428&amp;CHAR(34)&amp;"||"&amp;$BS$428,$AE$428&amp;"|HJ "&amp;$AF$428&amp;$BW$428&amp;$AW$428&amp;" "&amp;$BO$428&amp;" "&amp;$BV$428&amp;" BSC "&amp;CHAR(34)&amp;$BQ$428&amp;CHAR(34)&amp;"||"&amp;$BS$428&amp;$AE$428&amp;"|SJ "&amp;$AF$428&amp;$BW$428&amp;$AW$428&amp;" "&amp;$BO$428&amp;" "&amp;$BU$428&amp;IF($BU$428="G18"," BLANK"," Y")&amp;" BSC "&amp;CHAR(34)&amp;$BQ$428&amp;CHAR(34)&amp;"||"&amp;$BS$428))&amp;IF(AND($BN$428&gt;N($AR$428),$AX$428&lt;&gt;"BL",N($AR$428)&gt;=60),$AE$428&amp;"|FRAME CUT DOWN (BOTTOM)|Cut "&amp;TRIM(TEXT($BN$428-N($AR$428),"# ?/??"))&amp;CHAR(34)&amp;" OFF THE BOTTOM|"&amp;$BS$428,""))</f>
        <v/>
      </c>
    </row>
    <row r="429">
      <c r="B429" s="180">
        <f>IF($AD429="","",VALUE(LEFT($AD429,FIND("|",$AD429)-1)))</f>
        <v/>
      </c>
      <c r="C429" s="180">
        <f>IF($AD429="","","    "&amp;MID($AD429,FIND("|",$AD429)+1,FIND("|",$AD429,FIND("|",$AD429)+1)-FIND("|",$AD429)-1))</f>
        <v/>
      </c>
      <c r="D429" s="180">
        <f>IF($AD429="","",MID($AD429,FIND("|",$AD429,FIND("|",$AD429)+1)+1,FIND("|",$AD429&amp;"|",FIND("|",$AD429,FIND("|",$AD429)+1)+1)-FIND("|",$AD429,FIND("|",$AD429)+1)-1))</f>
        <v/>
      </c>
      <c r="AD429">
        <f>TRIM(MID(SUBSTITUTE($BX$428,"~",REPT(" ",600)),1,600))</f>
        <v/>
      </c>
    </row>
    <row r="430">
      <c r="B430" s="180">
        <f>IF($AD430="","",VALUE(LEFT($AD430,FIND("|",$AD430)-1)))</f>
        <v/>
      </c>
      <c r="C430" s="180">
        <f>IF($AD430="","","    "&amp;MID($AD430,FIND("|",$AD430)+1,FIND("|",$AD430,FIND("|",$AD430)+1)-FIND("|",$AD430)-1))</f>
        <v/>
      </c>
      <c r="D430" s="180">
        <f>IF($AD430="","",MID($AD430,FIND("|",$AD430,FIND("|",$AD430)+1)+1,FIND("|",$AD430&amp;"|",FIND("|",$AD430,FIND("|",$AD430)+1)+1)-FIND("|",$AD430,FIND("|",$AD430)+1)-1))</f>
        <v/>
      </c>
      <c r="AD430">
        <f>TRIM(MID(SUBSTITUTE($BX$428,"~",REPT(" ",600)),601,600))</f>
        <v/>
      </c>
    </row>
    <row r="431">
      <c r="B431" s="180">
        <f>IF($AD431="","",VALUE(LEFT($AD431,FIND("|",$AD431)-1)))</f>
        <v/>
      </c>
      <c r="C431" s="180">
        <f>IF($AD431="","","    "&amp;MID($AD431,FIND("|",$AD431)+1,FIND("|",$AD431,FIND("|",$AD431)+1)-FIND("|",$AD431)-1))</f>
        <v/>
      </c>
      <c r="D431" s="180">
        <f>IF($AD431="","",MID($AD431,FIND("|",$AD431,FIND("|",$AD431)+1)+1,FIND("|",$AD431&amp;"|",FIND("|",$AD431,FIND("|",$AD431)+1)+1)-FIND("|",$AD431,FIND("|",$AD431)+1)-1))</f>
        <v/>
      </c>
      <c r="AD431">
        <f>TRIM(MID(SUBSTITUTE($BX$428,"~",REPT(" ",600)),1201,600))</f>
        <v/>
      </c>
    </row>
    <row r="432">
      <c r="B432" s="180">
        <f>IF($AD432="","",VALUE(LEFT($AD432,FIND("|",$AD432)-1)))</f>
        <v/>
      </c>
      <c r="C432" s="180">
        <f>IF($AD432="","","    "&amp;MID($AD432,FIND("|",$AD432)+1,FIND("|",$AD432,FIND("|",$AD432)+1)-FIND("|",$AD432)-1))</f>
        <v/>
      </c>
      <c r="D432" s="180">
        <f>IF($AD432="","",MID($AD432,FIND("|",$AD432,FIND("|",$AD432)+1)+1,FIND("|",$AD432&amp;"|",FIND("|",$AD432,FIND("|",$AD432)+1)+1)-FIND("|",$AD432,FIND("|",$AD432)+1)-1))</f>
        <v/>
      </c>
      <c r="AD432">
        <f>TRIM(MID(SUBSTITUTE($BX$428,"~",REPT(" ",600)),1801,600))</f>
        <v/>
      </c>
    </row>
    <row r="433">
      <c r="B433" s="180">
        <f>IF($AD433="","",VALUE(LEFT($AD433,FIND("|",$AD433)-1)))</f>
        <v/>
      </c>
      <c r="C433" s="180">
        <f>IF($AD433="","","    "&amp;MID($AD433,FIND("|",$AD433)+1,FIND("|",$AD433,FIND("|",$AD433)+1)-FIND("|",$AD433)-1))</f>
        <v/>
      </c>
      <c r="D433" s="180">
        <f>IF($AD433="","",MID($AD433,FIND("|",$AD433,FIND("|",$AD433)+1)+1,FIND("|",$AD433&amp;"|",FIND("|",$AD433,FIND("|",$AD433)+1)+1)-FIND("|",$AD433,FIND("|",$AD433)+1)-1))</f>
        <v/>
      </c>
      <c r="AD433">
        <f>TRIM(MID(SUBSTITUTE($BX$428,"~",REPT(" ",600)),2401,600))</f>
        <v/>
      </c>
    </row>
    <row r="434">
      <c r="B434" s="180">
        <f>IF($AD434="","",VALUE(LEFT($AD434,FIND("|",$AD434)-1)))</f>
        <v/>
      </c>
      <c r="C434" s="180">
        <f>IF($AD434="","","    "&amp;MID($AD434,FIND("|",$AD434)+1,FIND("|",$AD434,FIND("|",$AD434)+1)-FIND("|",$AD434)-1))</f>
        <v/>
      </c>
      <c r="D434" s="180">
        <f>IF($AD434="","",MID($AD434,FIND("|",$AD434,FIND("|",$AD434)+1)+1,FIND("|",$AD434&amp;"|",FIND("|",$AD434,FIND("|",$AD434)+1)+1)-FIND("|",$AD434,FIND("|",$AD434)+1)-1))</f>
        <v/>
      </c>
      <c r="AD434">
        <f>TRIM(MID(SUBSTITUTE($BX$428,"~",REPT(" ",600)),3001,600))</f>
        <v/>
      </c>
    </row>
    <row r="435">
      <c r="B435" s="180">
        <f>IF($AD435="","",VALUE(LEFT($AD435,FIND("|",$AD435)-1)))</f>
        <v/>
      </c>
      <c r="C435" s="180">
        <f>IF($AD435="","","    "&amp;MID($AD435,FIND("|",$AD435)+1,FIND("|",$AD435,FIND("|",$AD435)+1)-FIND("|",$AD435)-1))</f>
        <v/>
      </c>
      <c r="D435" s="180">
        <f>IF($AD435="","",MID($AD435,FIND("|",$AD435,FIND("|",$AD435)+1)+1,FIND("|",$AD435&amp;"|",FIND("|",$AD435,FIND("|",$AD435)+1)+1)-FIND("|",$AD435,FIND("|",$AD435)+1)-1))</f>
        <v/>
      </c>
      <c r="AD435">
        <f>TRIM(MID(SUBSTITUTE($BX$428,"~",REPT(" ",600)),3601,600))</f>
        <v/>
      </c>
    </row>
    <row r="436">
      <c r="B436" s="180">
        <f>IF($AD436="","",VALUE(LEFT($AD436,FIND("|",$AD436)-1)))</f>
        <v/>
      </c>
      <c r="C436" s="180">
        <f>IF($AD436="","","    "&amp;MID($AD436,FIND("|",$AD436)+1,FIND("|",$AD436,FIND("|",$AD436)+1)-FIND("|",$AD436)-1))</f>
        <v/>
      </c>
      <c r="D436" s="180">
        <f>IF($AD436="","",MID($AD436,FIND("|",$AD436,FIND("|",$AD436)+1)+1,FIND("|",$AD436&amp;"|",FIND("|",$AD436,FIND("|",$AD436)+1)+1)-FIND("|",$AD436,FIND("|",$AD436)+1)-1))</f>
        <v/>
      </c>
      <c r="AD436">
        <f>TRIM(MID(SUBSTITUTE($BX$428,"~",REPT(" ",600)),4201,600))</f>
        <v/>
      </c>
    </row>
    <row r="437">
      <c r="B437" s="180">
        <f>IF($AD437="","",VALUE(LEFT($AD437,FIND("|",$AD437)-1)))</f>
        <v/>
      </c>
      <c r="C437" s="180">
        <f>IF($AD437="","","    "&amp;MID($AD437,FIND("|",$AD437)+1,FIND("|",$AD437,FIND("|",$AD437)+1)-FIND("|",$AD437)-1))</f>
        <v/>
      </c>
      <c r="D437" s="180">
        <f>IF($AD437="","",MID($AD437,FIND("|",$AD437,FIND("|",$AD437)+1)+1,FIND("|",$AD437&amp;"|",FIND("|",$AD437,FIND("|",$AD437)+1)+1)-FIND("|",$AD437,FIND("|",$AD437)+1)-1))</f>
        <v/>
      </c>
      <c r="AD437">
        <f>TRIM(MID(SUBSTITUTE($BX$428,"~",REPT(" ",600)),4801,600))</f>
        <v/>
      </c>
    </row>
    <row r="438">
      <c r="B438" s="180">
        <f>IF($AD438="","",VALUE(LEFT($AD438,FIND("|",$AD438)-1)))</f>
        <v/>
      </c>
      <c r="C438" s="180">
        <f>IF($AD438="","","    "&amp;MID($AD438,FIND("|",$AD438)+1,FIND("|",$AD438,FIND("|",$AD438)+1)-FIND("|",$AD438)-1))</f>
        <v/>
      </c>
      <c r="D438" s="180">
        <f>IF($AD438="","",MID($AD438,FIND("|",$AD438,FIND("|",$AD438)+1)+1,FIND("|",$AD438&amp;"|",FIND("|",$AD438,FIND("|",$AD438)+1)+1)-FIND("|",$AD438,FIND("|",$AD438)+1)-1))</f>
        <v/>
      </c>
      <c r="AD438">
        <f>TRIM(MID(SUBSTITUTE($BX$428,"~",REPT(" ",600)),5401,600))</f>
        <v/>
      </c>
    </row>
    <row r="439">
      <c r="B439" s="180">
        <f>IF($AD439="","",VALUE(LEFT($AD439,FIND("|",$AD439)-1)))</f>
        <v/>
      </c>
      <c r="C439" s="180">
        <f>IF($AD439="","","    "&amp;MID($AD439,FIND("|",$AD439)+1,FIND("|",$AD439,FIND("|",$AD439)+1)-FIND("|",$AD439)-1))</f>
        <v/>
      </c>
      <c r="D439" s="180">
        <f>IF($AD439="","",MID($AD439,FIND("|",$AD439,FIND("|",$AD439)+1)+1,FIND("|",$AD439&amp;"|",FIND("|",$AD439,FIND("|",$AD439)+1)+1)-FIND("|",$AD439,FIND("|",$AD439)+1)-1))</f>
        <v/>
      </c>
      <c r="AD439">
        <f>TRIM(MID(SUBSTITUTE($BX$428,"~",REPT(" ",600)),6001,600))</f>
        <v/>
      </c>
    </row>
    <row r="440">
      <c r="A440" s="178">
        <f>IF($AD$440=0,"",$BK$440)</f>
        <v/>
      </c>
      <c r="B440" s="178">
        <f>IF($AD$440=0,"",$AE$440)</f>
        <v/>
      </c>
      <c r="C440" s="178">
        <f>IF($AD$440=0,"",$AE$440&amp;") "&amp;IF(COUNTIFS(tk_SOFG,37,tk_HLEG,"&lt;&gt;"&amp;$BJ$440)=0,INDEX(tk_FLINE,$AD$440),INDEX(tk_FLINEN,$AD$440))&amp;IF($AJ$440="KD"," ( R.O. "&amp;TRIM(TEXT(N($AQ$440)+2.25,"# ?/??"))&amp;CHAR(34)&amp;" x "&amp;TRIM(TEXT(N($AR$440)+1,"# ?/??"))&amp;CHAR(34)&amp;" )",""))</f>
        <v/>
      </c>
      <c r="D440" s="178" t="n"/>
      <c r="E440" s="179">
        <f t="array" ref="E440">IF($AD$440=0,"",_xlfn.TEXTJOIN(", ",TRUE,IF(tk_SOFG=37,"#"&amp;tk_MARK&amp;IF(tk_HLEG="","","("&amp;tk_HLEG&amp;")")&amp;IF(tk_QTY&gt;1," ×"&amp;tk_QTY,""),"")))</f>
        <v/>
      </c>
      <c r="AD440">
        <f>IFERROR(MATCH(37,tk_SOFG,0),0)</f>
        <v/>
      </c>
      <c r="AE440">
        <f>IF($AD$440=0,0,SUMIF(tk_SOFG,37,tk_QTY))</f>
        <v/>
      </c>
      <c r="AF440">
        <f>IF($AD$440=0,"",INDEX(tk_JAMB,$AD$440))</f>
        <v/>
      </c>
      <c r="AG440">
        <f>IF($AD$440=0,"",INDEX(tk_ANCHOR,$AD$440))</f>
        <v/>
      </c>
      <c r="AH440">
        <f>IF($AD$440=0,"",INDEX(tk_ANCH,$AD$440))</f>
        <v/>
      </c>
      <c r="AI440">
        <f>IF($AD$440=0,"",INDEX(tk_BASEA,$AD$440))</f>
        <v/>
      </c>
      <c r="AJ440">
        <f>IF($AD$440=0,"",INDEX(tk_CONSTR,$AD$440))</f>
        <v/>
      </c>
      <c r="AK440">
        <f>IF($AD$440=0,"",INDEX(tk_CLOSER,$AD$440))</f>
        <v/>
      </c>
      <c r="AL440">
        <f>IF($AD$440=0,"",INDEX(tk_STRIKE,$AD$440))</f>
        <v/>
      </c>
      <c r="AM440">
        <f>IF($AD$440=0,"",INDEX(tk_HDRPREP,$AD$440))</f>
        <v/>
      </c>
      <c r="AN440">
        <f>IF($AD$440=0,"",INDEX(tk_DMIN,$AD$440))</f>
        <v/>
      </c>
      <c r="AO440">
        <f>IF($AD$440=0,"",INDEX(tk_PAIR,$AD$440))</f>
        <v/>
      </c>
      <c r="AP440">
        <f>IF($AD$440=0,"",INDEX(tk_FGA,$AD$440))</f>
        <v/>
      </c>
      <c r="AQ440">
        <f>IF($AD$440=0,"",INDEX(tk_WI,$AD$440))</f>
        <v/>
      </c>
      <c r="AR440">
        <f>IF($AD$440=0,"",INDEX(tk_HI,$AD$440))</f>
        <v/>
      </c>
      <c r="AS440">
        <f>IF($AD$440=0,"",INDEX(tk_FHINGE,$AD$440))</f>
        <v/>
      </c>
      <c r="AT440">
        <f>IF($AD$440=0,"",INDEX(tk_DHINGE,$AD$440))</f>
        <v/>
      </c>
      <c r="AU440">
        <f>IF($AD$440=0,"",INDEX(tk_HWLOC,$AD$440))</f>
        <v/>
      </c>
      <c r="AV440">
        <f>IF($AD$440=0,"",INDEX(tk_MANUF,$AD$440))</f>
        <v/>
      </c>
      <c r="AW440">
        <f>IF($AD$440=0,"",INDEX(tk_JH,$AD$440))</f>
        <v/>
      </c>
      <c r="AX440">
        <f>IF($AD$440=0,"",INDEX(tk_FDESC,$AD$440))</f>
        <v/>
      </c>
      <c r="AY440">
        <f>IF($AD$440=0,"",INDEX(tk_TRANS,$AD$440))</f>
        <v/>
      </c>
      <c r="AZ440">
        <f>IF($AD$440=0,"",INDEX(tk_SLW,$AD$440))</f>
        <v/>
      </c>
      <c r="BA440">
        <f>IF($AD$440=0,"",INDEX(tk_LEAVES,$AD$440))</f>
        <v/>
      </c>
      <c r="BB440">
        <f>IF($AD$440=0,"",INDEX(tk_LEAFW,$AD$440))</f>
        <v/>
      </c>
      <c r="BC440">
        <f>IF($AD$440=0,"",INDEX(tk_LEAFH,$AD$440))</f>
        <v/>
      </c>
      <c r="BD440">
        <f>IF($AD$440=0,"",INDEX(tk_DMAT,$AD$440))</f>
        <v/>
      </c>
      <c r="BE440">
        <f>IF($AD$440=0,"",INDEX(tk_DGA,$AD$440))</f>
        <v/>
      </c>
      <c r="BF440">
        <f>IF($AD$440=0,"",INDEX(tk_SERIES,$AD$440))</f>
        <v/>
      </c>
      <c r="BG440">
        <f>IF($AD$440=0,"",INDEX(tk_LOCK,$AD$440))</f>
        <v/>
      </c>
      <c r="BH440">
        <f>IF($AD$440=0,"",INDEX(tk_LITEKIT,$AD$440))</f>
        <v/>
      </c>
      <c r="BI440">
        <f>IF($AD$440=0,"",INDEX(tk_FACE,$AD$440))</f>
        <v/>
      </c>
      <c r="BJ440">
        <f>IF($AD$440=0,"",INDEX(tk_HLEG,$AD$440))</f>
        <v/>
      </c>
      <c r="BK440">
        <f>IF($AD$440=0,"",INDEX(tk_SOITEM,$AD$440))</f>
        <v/>
      </c>
      <c r="BL440">
        <f>IFERROR(VLOOKUP($AF$440,CODES,2,FALSE),"")</f>
        <v/>
      </c>
      <c r="BM440">
        <f>IF($AJ$440="KD","C","M")</f>
        <v/>
      </c>
      <c r="BN440">
        <f>IF(N($AR$440)&lt;=80,80,IF(N($AR$440)&lt;=84,84,IF(N($AR$440)&lt;=96,96,N($AR$440))))</f>
        <v/>
      </c>
      <c r="BO440">
        <f>INT($BN$440/12)&amp;MOD($BN$440,12)</f>
        <v/>
      </c>
      <c r="BP440">
        <f>INT(N($AQ$440)/12)&amp;MOD(N($AQ$440),12)</f>
        <v/>
      </c>
      <c r="BQ440">
        <f>IF(OR($AU$440="",$AU$440="ANSI/SDI",$AU$440="CUSTOM LOC"),IF($AV$440="CU","CURRIES","STEELCRAFT"),$AU$440)</f>
        <v/>
      </c>
      <c r="BR440">
        <f>$AO$440="Y"</f>
        <v/>
      </c>
      <c r="BS440">
        <f>"~"</f>
        <v/>
      </c>
      <c r="BT440">
        <f>N($AH$440)*N($AI$440)</f>
        <v/>
      </c>
      <c r="BU440">
        <f>IF(OR($AL$440="",$AL$440="-",$AL$440="E8"),"G18",$AL$440)</f>
        <v/>
      </c>
      <c r="BV440">
        <f>IF(OR($AS$440="",$AS$440="-"),"BLK",$AS$440)</f>
        <v/>
      </c>
      <c r="BW440">
        <f>" "&amp;$BM$440&amp;$AP$440&amp;" "</f>
        <v/>
      </c>
      <c r="BX440">
        <f>IF($AD$440=0,"",IF(OR($AG$440="SSA",$AG$440="SC"),$AE$440*$BT$440&amp;"|"&amp;$BL$440&amp;" STEEL STUD ANCHOR 2"&amp;CHAR(34)&amp;"||"&amp;$BS$440,"")&amp;IF($AG$440="WEWA-M",$AE$440*(N($AH$440)+1)*N($AI$440)&amp;"|FR101F 690 "&amp;$BL$440&amp;" MASONRY TUBE ANCHOR 16 GA||"&amp;$BS$440&amp;$AE$440*(N($AH$440)+1)*N($AI$440)&amp;"|3/8X5 SF3850 DYNO BOLTS||"&amp;$BS$440,"")&amp;IF($AG$440="WMA",$AE$440*$BT$440&amp;"|WIRE MASONRY ANCHOR||"&amp;$BS$440,"")&amp;IF($AG$440="T",$AE$440*$BT$440&amp;"|T-STRAP MASONRY ANCHOR||"&amp;$BS$440,"")&amp;IF($AG$440="WEWA-W",$AE$440*$BT$440&amp;"|P/D + WOOD SCREWS||"&amp;$BS$440,"")&amp;IF($AJ$440="WGS",$AE$440&amp;"|WELD &amp; GROUND SMOOTH||"&amp;$BS$440,"")&amp;IF(OR($AK$440="",$AK$440="-"),"",$AE$440*IF($BR$440,4,2)&amp;"|RACL/PACL-CLOSER REINF. 14GAx1-3/4x16 HRPO|"&amp;$AK$440&amp;IF($BR$440," BOTH SIDES","")&amp;"|"&amp;$BS$440)&amp;IF($AL$440="E8",$AE$440&amp;"|E8-STRIKE REINF. RIM EXIT||"&amp;$BS$440,"")&amp;IF(ISNUMBER(SEARCH("E4",$AL$440)),$AE$440&amp;"|FRAME DEADLOCK PREP||"&amp;$BS$440,"")&amp;IF($AL$440="E9",$AE$440&amp;"|ELECTRIC STRIKE PREP||"&amp;$BS$440,"")&amp;IF($AM$440="H5",$AE$440&amp;"|H5 STRIKE PREP IN HEADER||"&amp;$BS$440,IF(OR($AM$440="",$AM$440="-"),"",$AE$440&amp;"|HEADER PREP "&amp;$AM$440&amp;"||"&amp;$BS$440))&amp;IF(N($AN$440)&gt;0,$AE$440&amp;"|"&amp;$AN$440&amp;" MINUTE STEEL FRAME LABEL "&amp;IF(OR(N($AY$440)&gt;0,N($AZ$440)&gt;0),"W/TRANSOM PANEL/SIDELIGHT","CAT. C PP")&amp;"||"&amp;$BS$440,"")&amp;IF($AX$440="BL","",$AE$440&amp;"|HD "&amp;$AF$440&amp;$BW$440&amp;$BP$440&amp;" BSC||"&amp;$BS$440&amp;IF($BR$440,$AE$440&amp;"|HJ "&amp;$AF$440&amp;$BW$440&amp;"LH "&amp;$BO$440&amp;" "&amp;$BV$440&amp;" BSC "&amp;CHAR(34)&amp;$BQ$440&amp;CHAR(34)&amp;"||"&amp;$BS$440&amp;$AE$440&amp;"|HJ "&amp;$AF$440&amp;$BW$440&amp;"RH "&amp;$BO$440&amp;" "&amp;$BV$440&amp;" BSC "&amp;CHAR(34)&amp;$BQ$440&amp;CHAR(34)&amp;"||"&amp;$BS$440,$AE$440&amp;"|HJ "&amp;$AF$440&amp;$BW$440&amp;$AW$440&amp;" "&amp;$BO$440&amp;" "&amp;$BV$440&amp;" BSC "&amp;CHAR(34)&amp;$BQ$440&amp;CHAR(34)&amp;"||"&amp;$BS$440&amp;$AE$440&amp;"|SJ "&amp;$AF$440&amp;$BW$440&amp;$AW$440&amp;" "&amp;$BO$440&amp;" "&amp;$BU$440&amp;IF($BU$440="G18"," BLANK"," Y")&amp;" BSC "&amp;CHAR(34)&amp;$BQ$440&amp;CHAR(34)&amp;"||"&amp;$BS$440))&amp;IF(AND($BN$440&gt;N($AR$440),$AX$440&lt;&gt;"BL",N($AR$440)&gt;=60),$AE$440&amp;"|FRAME CUT DOWN (BOTTOM)|Cut "&amp;TRIM(TEXT($BN$440-N($AR$440),"# ?/??"))&amp;CHAR(34)&amp;" OFF THE BOTTOM|"&amp;$BS$440,""))</f>
        <v/>
      </c>
    </row>
    <row r="441">
      <c r="B441" s="180">
        <f>IF($AD441="","",VALUE(LEFT($AD441,FIND("|",$AD441)-1)))</f>
        <v/>
      </c>
      <c r="C441" s="180">
        <f>IF($AD441="","","    "&amp;MID($AD441,FIND("|",$AD441)+1,FIND("|",$AD441,FIND("|",$AD441)+1)-FIND("|",$AD441)-1))</f>
        <v/>
      </c>
      <c r="D441" s="180">
        <f>IF($AD441="","",MID($AD441,FIND("|",$AD441,FIND("|",$AD441)+1)+1,FIND("|",$AD441&amp;"|",FIND("|",$AD441,FIND("|",$AD441)+1)+1)-FIND("|",$AD441,FIND("|",$AD441)+1)-1))</f>
        <v/>
      </c>
      <c r="AD441">
        <f>TRIM(MID(SUBSTITUTE($BX$440,"~",REPT(" ",600)),1,600))</f>
        <v/>
      </c>
    </row>
    <row r="442">
      <c r="B442" s="180">
        <f>IF($AD442="","",VALUE(LEFT($AD442,FIND("|",$AD442)-1)))</f>
        <v/>
      </c>
      <c r="C442" s="180">
        <f>IF($AD442="","","    "&amp;MID($AD442,FIND("|",$AD442)+1,FIND("|",$AD442,FIND("|",$AD442)+1)-FIND("|",$AD442)-1))</f>
        <v/>
      </c>
      <c r="D442" s="180">
        <f>IF($AD442="","",MID($AD442,FIND("|",$AD442,FIND("|",$AD442)+1)+1,FIND("|",$AD442&amp;"|",FIND("|",$AD442,FIND("|",$AD442)+1)+1)-FIND("|",$AD442,FIND("|",$AD442)+1)-1))</f>
        <v/>
      </c>
      <c r="AD442">
        <f>TRIM(MID(SUBSTITUTE($BX$440,"~",REPT(" ",600)),601,600))</f>
        <v/>
      </c>
    </row>
    <row r="443">
      <c r="B443" s="180">
        <f>IF($AD443="","",VALUE(LEFT($AD443,FIND("|",$AD443)-1)))</f>
        <v/>
      </c>
      <c r="C443" s="180">
        <f>IF($AD443="","","    "&amp;MID($AD443,FIND("|",$AD443)+1,FIND("|",$AD443,FIND("|",$AD443)+1)-FIND("|",$AD443)-1))</f>
        <v/>
      </c>
      <c r="D443" s="180">
        <f>IF($AD443="","",MID($AD443,FIND("|",$AD443,FIND("|",$AD443)+1)+1,FIND("|",$AD443&amp;"|",FIND("|",$AD443,FIND("|",$AD443)+1)+1)-FIND("|",$AD443,FIND("|",$AD443)+1)-1))</f>
        <v/>
      </c>
      <c r="AD443">
        <f>TRIM(MID(SUBSTITUTE($BX$440,"~",REPT(" ",600)),1201,600))</f>
        <v/>
      </c>
    </row>
    <row r="444">
      <c r="B444" s="180">
        <f>IF($AD444="","",VALUE(LEFT($AD444,FIND("|",$AD444)-1)))</f>
        <v/>
      </c>
      <c r="C444" s="180">
        <f>IF($AD444="","","    "&amp;MID($AD444,FIND("|",$AD444)+1,FIND("|",$AD444,FIND("|",$AD444)+1)-FIND("|",$AD444)-1))</f>
        <v/>
      </c>
      <c r="D444" s="180">
        <f>IF($AD444="","",MID($AD444,FIND("|",$AD444,FIND("|",$AD444)+1)+1,FIND("|",$AD444&amp;"|",FIND("|",$AD444,FIND("|",$AD444)+1)+1)-FIND("|",$AD444,FIND("|",$AD444)+1)-1))</f>
        <v/>
      </c>
      <c r="AD444">
        <f>TRIM(MID(SUBSTITUTE($BX$440,"~",REPT(" ",600)),1801,600))</f>
        <v/>
      </c>
    </row>
    <row r="445">
      <c r="B445" s="180">
        <f>IF($AD445="","",VALUE(LEFT($AD445,FIND("|",$AD445)-1)))</f>
        <v/>
      </c>
      <c r="C445" s="180">
        <f>IF($AD445="","","    "&amp;MID($AD445,FIND("|",$AD445)+1,FIND("|",$AD445,FIND("|",$AD445)+1)-FIND("|",$AD445)-1))</f>
        <v/>
      </c>
      <c r="D445" s="180">
        <f>IF($AD445="","",MID($AD445,FIND("|",$AD445,FIND("|",$AD445)+1)+1,FIND("|",$AD445&amp;"|",FIND("|",$AD445,FIND("|",$AD445)+1)+1)-FIND("|",$AD445,FIND("|",$AD445)+1)-1))</f>
        <v/>
      </c>
      <c r="AD445">
        <f>TRIM(MID(SUBSTITUTE($BX$440,"~",REPT(" ",600)),2401,600))</f>
        <v/>
      </c>
    </row>
    <row r="446">
      <c r="B446" s="180">
        <f>IF($AD446="","",VALUE(LEFT($AD446,FIND("|",$AD446)-1)))</f>
        <v/>
      </c>
      <c r="C446" s="180">
        <f>IF($AD446="","","    "&amp;MID($AD446,FIND("|",$AD446)+1,FIND("|",$AD446,FIND("|",$AD446)+1)-FIND("|",$AD446)-1))</f>
        <v/>
      </c>
      <c r="D446" s="180">
        <f>IF($AD446="","",MID($AD446,FIND("|",$AD446,FIND("|",$AD446)+1)+1,FIND("|",$AD446&amp;"|",FIND("|",$AD446,FIND("|",$AD446)+1)+1)-FIND("|",$AD446,FIND("|",$AD446)+1)-1))</f>
        <v/>
      </c>
      <c r="AD446">
        <f>TRIM(MID(SUBSTITUTE($BX$440,"~",REPT(" ",600)),3001,600))</f>
        <v/>
      </c>
    </row>
    <row r="447">
      <c r="B447" s="180">
        <f>IF($AD447="","",VALUE(LEFT($AD447,FIND("|",$AD447)-1)))</f>
        <v/>
      </c>
      <c r="C447" s="180">
        <f>IF($AD447="","","    "&amp;MID($AD447,FIND("|",$AD447)+1,FIND("|",$AD447,FIND("|",$AD447)+1)-FIND("|",$AD447)-1))</f>
        <v/>
      </c>
      <c r="D447" s="180">
        <f>IF($AD447="","",MID($AD447,FIND("|",$AD447,FIND("|",$AD447)+1)+1,FIND("|",$AD447&amp;"|",FIND("|",$AD447,FIND("|",$AD447)+1)+1)-FIND("|",$AD447,FIND("|",$AD447)+1)-1))</f>
        <v/>
      </c>
      <c r="AD447">
        <f>TRIM(MID(SUBSTITUTE($BX$440,"~",REPT(" ",600)),3601,600))</f>
        <v/>
      </c>
    </row>
    <row r="448">
      <c r="B448" s="180">
        <f>IF($AD448="","",VALUE(LEFT($AD448,FIND("|",$AD448)-1)))</f>
        <v/>
      </c>
      <c r="C448" s="180">
        <f>IF($AD448="","","    "&amp;MID($AD448,FIND("|",$AD448)+1,FIND("|",$AD448,FIND("|",$AD448)+1)-FIND("|",$AD448)-1))</f>
        <v/>
      </c>
      <c r="D448" s="180">
        <f>IF($AD448="","",MID($AD448,FIND("|",$AD448,FIND("|",$AD448)+1)+1,FIND("|",$AD448&amp;"|",FIND("|",$AD448,FIND("|",$AD448)+1)+1)-FIND("|",$AD448,FIND("|",$AD448)+1)-1))</f>
        <v/>
      </c>
      <c r="AD448">
        <f>TRIM(MID(SUBSTITUTE($BX$440,"~",REPT(" ",600)),4201,600))</f>
        <v/>
      </c>
    </row>
    <row r="449">
      <c r="B449" s="180">
        <f>IF($AD449="","",VALUE(LEFT($AD449,FIND("|",$AD449)-1)))</f>
        <v/>
      </c>
      <c r="C449" s="180">
        <f>IF($AD449="","","    "&amp;MID($AD449,FIND("|",$AD449)+1,FIND("|",$AD449,FIND("|",$AD449)+1)-FIND("|",$AD449)-1))</f>
        <v/>
      </c>
      <c r="D449" s="180">
        <f>IF($AD449="","",MID($AD449,FIND("|",$AD449,FIND("|",$AD449)+1)+1,FIND("|",$AD449&amp;"|",FIND("|",$AD449,FIND("|",$AD449)+1)+1)-FIND("|",$AD449,FIND("|",$AD449)+1)-1))</f>
        <v/>
      </c>
      <c r="AD449">
        <f>TRIM(MID(SUBSTITUTE($BX$440,"~",REPT(" ",600)),4801,600))</f>
        <v/>
      </c>
    </row>
    <row r="450">
      <c r="B450" s="180">
        <f>IF($AD450="","",VALUE(LEFT($AD450,FIND("|",$AD450)-1)))</f>
        <v/>
      </c>
      <c r="C450" s="180">
        <f>IF($AD450="","","    "&amp;MID($AD450,FIND("|",$AD450)+1,FIND("|",$AD450,FIND("|",$AD450)+1)-FIND("|",$AD450)-1))</f>
        <v/>
      </c>
      <c r="D450" s="180">
        <f>IF($AD450="","",MID($AD450,FIND("|",$AD450,FIND("|",$AD450)+1)+1,FIND("|",$AD450&amp;"|",FIND("|",$AD450,FIND("|",$AD450)+1)+1)-FIND("|",$AD450,FIND("|",$AD450)+1)-1))</f>
        <v/>
      </c>
      <c r="AD450">
        <f>TRIM(MID(SUBSTITUTE($BX$440,"~",REPT(" ",600)),5401,600))</f>
        <v/>
      </c>
    </row>
    <row r="451">
      <c r="B451" s="180">
        <f>IF($AD451="","",VALUE(LEFT($AD451,FIND("|",$AD451)-1)))</f>
        <v/>
      </c>
      <c r="C451" s="180">
        <f>IF($AD451="","","    "&amp;MID($AD451,FIND("|",$AD451)+1,FIND("|",$AD451,FIND("|",$AD451)+1)-FIND("|",$AD451)-1))</f>
        <v/>
      </c>
      <c r="D451" s="180">
        <f>IF($AD451="","",MID($AD451,FIND("|",$AD451,FIND("|",$AD451)+1)+1,FIND("|",$AD451&amp;"|",FIND("|",$AD451,FIND("|",$AD451)+1)+1)-FIND("|",$AD451,FIND("|",$AD451)+1)-1))</f>
        <v/>
      </c>
      <c r="AD451">
        <f>TRIM(MID(SUBSTITUTE($BX$440,"~",REPT(" ",600)),6001,600))</f>
        <v/>
      </c>
    </row>
    <row r="452">
      <c r="A452" s="178">
        <f>IF($AD$452=0,"",$BK$452)</f>
        <v/>
      </c>
      <c r="B452" s="178">
        <f>IF($AD$452=0,"",$AE$452)</f>
        <v/>
      </c>
      <c r="C452" s="178">
        <f>IF($AD$452=0,"",$AE$452&amp;") "&amp;IF(COUNTIFS(tk_SOFG,38,tk_HLEG,"&lt;&gt;"&amp;$BJ$452)=0,INDEX(tk_FLINE,$AD$452),INDEX(tk_FLINEN,$AD$452))&amp;IF($AJ$452="KD"," ( R.O. "&amp;TRIM(TEXT(N($AQ$452)+2.25,"# ?/??"))&amp;CHAR(34)&amp;" x "&amp;TRIM(TEXT(N($AR$452)+1,"# ?/??"))&amp;CHAR(34)&amp;" )",""))</f>
        <v/>
      </c>
      <c r="D452" s="178" t="n"/>
      <c r="E452" s="179">
        <f t="array" ref="E452">IF($AD$452=0,"",_xlfn.TEXTJOIN(", ",TRUE,IF(tk_SOFG=38,"#"&amp;tk_MARK&amp;IF(tk_HLEG="","","("&amp;tk_HLEG&amp;")")&amp;IF(tk_QTY&gt;1," ×"&amp;tk_QTY,""),"")))</f>
        <v/>
      </c>
      <c r="AD452">
        <f>IFERROR(MATCH(38,tk_SOFG,0),0)</f>
        <v/>
      </c>
      <c r="AE452">
        <f>IF($AD$452=0,0,SUMIF(tk_SOFG,38,tk_QTY))</f>
        <v/>
      </c>
      <c r="AF452">
        <f>IF($AD$452=0,"",INDEX(tk_JAMB,$AD$452))</f>
        <v/>
      </c>
      <c r="AG452">
        <f>IF($AD$452=0,"",INDEX(tk_ANCHOR,$AD$452))</f>
        <v/>
      </c>
      <c r="AH452">
        <f>IF($AD$452=0,"",INDEX(tk_ANCH,$AD$452))</f>
        <v/>
      </c>
      <c r="AI452">
        <f>IF($AD$452=0,"",INDEX(tk_BASEA,$AD$452))</f>
        <v/>
      </c>
      <c r="AJ452">
        <f>IF($AD$452=0,"",INDEX(tk_CONSTR,$AD$452))</f>
        <v/>
      </c>
      <c r="AK452">
        <f>IF($AD$452=0,"",INDEX(tk_CLOSER,$AD$452))</f>
        <v/>
      </c>
      <c r="AL452">
        <f>IF($AD$452=0,"",INDEX(tk_STRIKE,$AD$452))</f>
        <v/>
      </c>
      <c r="AM452">
        <f>IF($AD$452=0,"",INDEX(tk_HDRPREP,$AD$452))</f>
        <v/>
      </c>
      <c r="AN452">
        <f>IF($AD$452=0,"",INDEX(tk_DMIN,$AD$452))</f>
        <v/>
      </c>
      <c r="AO452">
        <f>IF($AD$452=0,"",INDEX(tk_PAIR,$AD$452))</f>
        <v/>
      </c>
      <c r="AP452">
        <f>IF($AD$452=0,"",INDEX(tk_FGA,$AD$452))</f>
        <v/>
      </c>
      <c r="AQ452">
        <f>IF($AD$452=0,"",INDEX(tk_WI,$AD$452))</f>
        <v/>
      </c>
      <c r="AR452">
        <f>IF($AD$452=0,"",INDEX(tk_HI,$AD$452))</f>
        <v/>
      </c>
      <c r="AS452">
        <f>IF($AD$452=0,"",INDEX(tk_FHINGE,$AD$452))</f>
        <v/>
      </c>
      <c r="AT452">
        <f>IF($AD$452=0,"",INDEX(tk_DHINGE,$AD$452))</f>
        <v/>
      </c>
      <c r="AU452">
        <f>IF($AD$452=0,"",INDEX(tk_HWLOC,$AD$452))</f>
        <v/>
      </c>
      <c r="AV452">
        <f>IF($AD$452=0,"",INDEX(tk_MANUF,$AD$452))</f>
        <v/>
      </c>
      <c r="AW452">
        <f>IF($AD$452=0,"",INDEX(tk_JH,$AD$452))</f>
        <v/>
      </c>
      <c r="AX452">
        <f>IF($AD$452=0,"",INDEX(tk_FDESC,$AD$452))</f>
        <v/>
      </c>
      <c r="AY452">
        <f>IF($AD$452=0,"",INDEX(tk_TRANS,$AD$452))</f>
        <v/>
      </c>
      <c r="AZ452">
        <f>IF($AD$452=0,"",INDEX(tk_SLW,$AD$452))</f>
        <v/>
      </c>
      <c r="BA452">
        <f>IF($AD$452=0,"",INDEX(tk_LEAVES,$AD$452))</f>
        <v/>
      </c>
      <c r="BB452">
        <f>IF($AD$452=0,"",INDEX(tk_LEAFW,$AD$452))</f>
        <v/>
      </c>
      <c r="BC452">
        <f>IF($AD$452=0,"",INDEX(tk_LEAFH,$AD$452))</f>
        <v/>
      </c>
      <c r="BD452">
        <f>IF($AD$452=0,"",INDEX(tk_DMAT,$AD$452))</f>
        <v/>
      </c>
      <c r="BE452">
        <f>IF($AD$452=0,"",INDEX(tk_DGA,$AD$452))</f>
        <v/>
      </c>
      <c r="BF452">
        <f>IF($AD$452=0,"",INDEX(tk_SERIES,$AD$452))</f>
        <v/>
      </c>
      <c r="BG452">
        <f>IF($AD$452=0,"",INDEX(tk_LOCK,$AD$452))</f>
        <v/>
      </c>
      <c r="BH452">
        <f>IF($AD$452=0,"",INDEX(tk_LITEKIT,$AD$452))</f>
        <v/>
      </c>
      <c r="BI452">
        <f>IF($AD$452=0,"",INDEX(tk_FACE,$AD$452))</f>
        <v/>
      </c>
      <c r="BJ452">
        <f>IF($AD$452=0,"",INDEX(tk_HLEG,$AD$452))</f>
        <v/>
      </c>
      <c r="BK452">
        <f>IF($AD$452=0,"",INDEX(tk_SOITEM,$AD$452))</f>
        <v/>
      </c>
      <c r="BL452">
        <f>IFERROR(VLOOKUP($AF$452,CODES,2,FALSE),"")</f>
        <v/>
      </c>
      <c r="BM452">
        <f>IF($AJ$452="KD","C","M")</f>
        <v/>
      </c>
      <c r="BN452">
        <f>IF(N($AR$452)&lt;=80,80,IF(N($AR$452)&lt;=84,84,IF(N($AR$452)&lt;=96,96,N($AR$452))))</f>
        <v/>
      </c>
      <c r="BO452">
        <f>INT($BN$452/12)&amp;MOD($BN$452,12)</f>
        <v/>
      </c>
      <c r="BP452">
        <f>INT(N($AQ$452)/12)&amp;MOD(N($AQ$452),12)</f>
        <v/>
      </c>
      <c r="BQ452">
        <f>IF(OR($AU$452="",$AU$452="ANSI/SDI",$AU$452="CUSTOM LOC"),IF($AV$452="CU","CURRIES","STEELCRAFT"),$AU$452)</f>
        <v/>
      </c>
      <c r="BR452">
        <f>$AO$452="Y"</f>
        <v/>
      </c>
      <c r="BS452">
        <f>"~"</f>
        <v/>
      </c>
      <c r="BT452">
        <f>N($AH$452)*N($AI$452)</f>
        <v/>
      </c>
      <c r="BU452">
        <f>IF(OR($AL$452="",$AL$452="-",$AL$452="E8"),"G18",$AL$452)</f>
        <v/>
      </c>
      <c r="BV452">
        <f>IF(OR($AS$452="",$AS$452="-"),"BLK",$AS$452)</f>
        <v/>
      </c>
      <c r="BW452">
        <f>" "&amp;$BM$452&amp;$AP$452&amp;" "</f>
        <v/>
      </c>
      <c r="BX452">
        <f>IF($AD$452=0,"",IF(OR($AG$452="SSA",$AG$452="SC"),$AE$452*$BT$452&amp;"|"&amp;$BL$452&amp;" STEEL STUD ANCHOR 2"&amp;CHAR(34)&amp;"||"&amp;$BS$452,"")&amp;IF($AG$452="WEWA-M",$AE$452*(N($AH$452)+1)*N($AI$452)&amp;"|FR101F 690 "&amp;$BL$452&amp;" MASONRY TUBE ANCHOR 16 GA||"&amp;$BS$452&amp;$AE$452*(N($AH$452)+1)*N($AI$452)&amp;"|3/8X5 SF3850 DYNO BOLTS||"&amp;$BS$452,"")&amp;IF($AG$452="WMA",$AE$452*$BT$452&amp;"|WIRE MASONRY ANCHOR||"&amp;$BS$452,"")&amp;IF($AG$452="T",$AE$452*$BT$452&amp;"|T-STRAP MASONRY ANCHOR||"&amp;$BS$452,"")&amp;IF($AG$452="WEWA-W",$AE$452*$BT$452&amp;"|P/D + WOOD SCREWS||"&amp;$BS$452,"")&amp;IF($AJ$452="WGS",$AE$452&amp;"|WELD &amp; GROUND SMOOTH||"&amp;$BS$452,"")&amp;IF(OR($AK$452="",$AK$452="-"),"",$AE$452*IF($BR$452,4,2)&amp;"|RACL/PACL-CLOSER REINF. 14GAx1-3/4x16 HRPO|"&amp;$AK$452&amp;IF($BR$452," BOTH SIDES","")&amp;"|"&amp;$BS$452)&amp;IF($AL$452="E8",$AE$452&amp;"|E8-STRIKE REINF. RIM EXIT||"&amp;$BS$452,"")&amp;IF(ISNUMBER(SEARCH("E4",$AL$452)),$AE$452&amp;"|FRAME DEADLOCK PREP||"&amp;$BS$452,"")&amp;IF($AL$452="E9",$AE$452&amp;"|ELECTRIC STRIKE PREP||"&amp;$BS$452,"")&amp;IF($AM$452="H5",$AE$452&amp;"|H5 STRIKE PREP IN HEADER||"&amp;$BS$452,IF(OR($AM$452="",$AM$452="-"),"",$AE$452&amp;"|HEADER PREP "&amp;$AM$452&amp;"||"&amp;$BS$452))&amp;IF(N($AN$452)&gt;0,$AE$452&amp;"|"&amp;$AN$452&amp;" MINUTE STEEL FRAME LABEL "&amp;IF(OR(N($AY$452)&gt;0,N($AZ$452)&gt;0),"W/TRANSOM PANEL/SIDELIGHT","CAT. C PP")&amp;"||"&amp;$BS$452,"")&amp;IF($AX$452="BL","",$AE$452&amp;"|HD "&amp;$AF$452&amp;$BW$452&amp;$BP$452&amp;" BSC||"&amp;$BS$452&amp;IF($BR$452,$AE$452&amp;"|HJ "&amp;$AF$452&amp;$BW$452&amp;"LH "&amp;$BO$452&amp;" "&amp;$BV$452&amp;" BSC "&amp;CHAR(34)&amp;$BQ$452&amp;CHAR(34)&amp;"||"&amp;$BS$452&amp;$AE$452&amp;"|HJ "&amp;$AF$452&amp;$BW$452&amp;"RH "&amp;$BO$452&amp;" "&amp;$BV$452&amp;" BSC "&amp;CHAR(34)&amp;$BQ$452&amp;CHAR(34)&amp;"||"&amp;$BS$452,$AE$452&amp;"|HJ "&amp;$AF$452&amp;$BW$452&amp;$AW$452&amp;" "&amp;$BO$452&amp;" "&amp;$BV$452&amp;" BSC "&amp;CHAR(34)&amp;$BQ$452&amp;CHAR(34)&amp;"||"&amp;$BS$452&amp;$AE$452&amp;"|SJ "&amp;$AF$452&amp;$BW$452&amp;$AW$452&amp;" "&amp;$BO$452&amp;" "&amp;$BU$452&amp;IF($BU$452="G18"," BLANK"," Y")&amp;" BSC "&amp;CHAR(34)&amp;$BQ$452&amp;CHAR(34)&amp;"||"&amp;$BS$452))&amp;IF(AND($BN$452&gt;N($AR$452),$AX$452&lt;&gt;"BL",N($AR$452)&gt;=60),$AE$452&amp;"|FRAME CUT DOWN (BOTTOM)|Cut "&amp;TRIM(TEXT($BN$452-N($AR$452),"# ?/??"))&amp;CHAR(34)&amp;" OFF THE BOTTOM|"&amp;$BS$452,""))</f>
        <v/>
      </c>
    </row>
    <row r="453">
      <c r="B453" s="180">
        <f>IF($AD453="","",VALUE(LEFT($AD453,FIND("|",$AD453)-1)))</f>
        <v/>
      </c>
      <c r="C453" s="180">
        <f>IF($AD453="","","    "&amp;MID($AD453,FIND("|",$AD453)+1,FIND("|",$AD453,FIND("|",$AD453)+1)-FIND("|",$AD453)-1))</f>
        <v/>
      </c>
      <c r="D453" s="180">
        <f>IF($AD453="","",MID($AD453,FIND("|",$AD453,FIND("|",$AD453)+1)+1,FIND("|",$AD453&amp;"|",FIND("|",$AD453,FIND("|",$AD453)+1)+1)-FIND("|",$AD453,FIND("|",$AD453)+1)-1))</f>
        <v/>
      </c>
      <c r="AD453">
        <f>TRIM(MID(SUBSTITUTE($BX$452,"~",REPT(" ",600)),1,600))</f>
        <v/>
      </c>
    </row>
    <row r="454">
      <c r="B454" s="180">
        <f>IF($AD454="","",VALUE(LEFT($AD454,FIND("|",$AD454)-1)))</f>
        <v/>
      </c>
      <c r="C454" s="180">
        <f>IF($AD454="","","    "&amp;MID($AD454,FIND("|",$AD454)+1,FIND("|",$AD454,FIND("|",$AD454)+1)-FIND("|",$AD454)-1))</f>
        <v/>
      </c>
      <c r="D454" s="180">
        <f>IF($AD454="","",MID($AD454,FIND("|",$AD454,FIND("|",$AD454)+1)+1,FIND("|",$AD454&amp;"|",FIND("|",$AD454,FIND("|",$AD454)+1)+1)-FIND("|",$AD454,FIND("|",$AD454)+1)-1))</f>
        <v/>
      </c>
      <c r="AD454">
        <f>TRIM(MID(SUBSTITUTE($BX$452,"~",REPT(" ",600)),601,600))</f>
        <v/>
      </c>
    </row>
    <row r="455">
      <c r="B455" s="180">
        <f>IF($AD455="","",VALUE(LEFT($AD455,FIND("|",$AD455)-1)))</f>
        <v/>
      </c>
      <c r="C455" s="180">
        <f>IF($AD455="","","    "&amp;MID($AD455,FIND("|",$AD455)+1,FIND("|",$AD455,FIND("|",$AD455)+1)-FIND("|",$AD455)-1))</f>
        <v/>
      </c>
      <c r="D455" s="180">
        <f>IF($AD455="","",MID($AD455,FIND("|",$AD455,FIND("|",$AD455)+1)+1,FIND("|",$AD455&amp;"|",FIND("|",$AD455,FIND("|",$AD455)+1)+1)-FIND("|",$AD455,FIND("|",$AD455)+1)-1))</f>
        <v/>
      </c>
      <c r="AD455">
        <f>TRIM(MID(SUBSTITUTE($BX$452,"~",REPT(" ",600)),1201,600))</f>
        <v/>
      </c>
    </row>
    <row r="456">
      <c r="B456" s="180">
        <f>IF($AD456="","",VALUE(LEFT($AD456,FIND("|",$AD456)-1)))</f>
        <v/>
      </c>
      <c r="C456" s="180">
        <f>IF($AD456="","","    "&amp;MID($AD456,FIND("|",$AD456)+1,FIND("|",$AD456,FIND("|",$AD456)+1)-FIND("|",$AD456)-1))</f>
        <v/>
      </c>
      <c r="D456" s="180">
        <f>IF($AD456="","",MID($AD456,FIND("|",$AD456,FIND("|",$AD456)+1)+1,FIND("|",$AD456&amp;"|",FIND("|",$AD456,FIND("|",$AD456)+1)+1)-FIND("|",$AD456,FIND("|",$AD456)+1)-1))</f>
        <v/>
      </c>
      <c r="AD456">
        <f>TRIM(MID(SUBSTITUTE($BX$452,"~",REPT(" ",600)),1801,600))</f>
        <v/>
      </c>
    </row>
    <row r="457">
      <c r="B457" s="180">
        <f>IF($AD457="","",VALUE(LEFT($AD457,FIND("|",$AD457)-1)))</f>
        <v/>
      </c>
      <c r="C457" s="180">
        <f>IF($AD457="","","    "&amp;MID($AD457,FIND("|",$AD457)+1,FIND("|",$AD457,FIND("|",$AD457)+1)-FIND("|",$AD457)-1))</f>
        <v/>
      </c>
      <c r="D457" s="180">
        <f>IF($AD457="","",MID($AD457,FIND("|",$AD457,FIND("|",$AD457)+1)+1,FIND("|",$AD457&amp;"|",FIND("|",$AD457,FIND("|",$AD457)+1)+1)-FIND("|",$AD457,FIND("|",$AD457)+1)-1))</f>
        <v/>
      </c>
      <c r="AD457">
        <f>TRIM(MID(SUBSTITUTE($BX$452,"~",REPT(" ",600)),2401,600))</f>
        <v/>
      </c>
    </row>
    <row r="458">
      <c r="B458" s="180">
        <f>IF($AD458="","",VALUE(LEFT($AD458,FIND("|",$AD458)-1)))</f>
        <v/>
      </c>
      <c r="C458" s="180">
        <f>IF($AD458="","","    "&amp;MID($AD458,FIND("|",$AD458)+1,FIND("|",$AD458,FIND("|",$AD458)+1)-FIND("|",$AD458)-1))</f>
        <v/>
      </c>
      <c r="D458" s="180">
        <f>IF($AD458="","",MID($AD458,FIND("|",$AD458,FIND("|",$AD458)+1)+1,FIND("|",$AD458&amp;"|",FIND("|",$AD458,FIND("|",$AD458)+1)+1)-FIND("|",$AD458,FIND("|",$AD458)+1)-1))</f>
        <v/>
      </c>
      <c r="AD458">
        <f>TRIM(MID(SUBSTITUTE($BX$452,"~",REPT(" ",600)),3001,600))</f>
        <v/>
      </c>
    </row>
    <row r="459">
      <c r="B459" s="180">
        <f>IF($AD459="","",VALUE(LEFT($AD459,FIND("|",$AD459)-1)))</f>
        <v/>
      </c>
      <c r="C459" s="180">
        <f>IF($AD459="","","    "&amp;MID($AD459,FIND("|",$AD459)+1,FIND("|",$AD459,FIND("|",$AD459)+1)-FIND("|",$AD459)-1))</f>
        <v/>
      </c>
      <c r="D459" s="180">
        <f>IF($AD459="","",MID($AD459,FIND("|",$AD459,FIND("|",$AD459)+1)+1,FIND("|",$AD459&amp;"|",FIND("|",$AD459,FIND("|",$AD459)+1)+1)-FIND("|",$AD459,FIND("|",$AD459)+1)-1))</f>
        <v/>
      </c>
      <c r="AD459">
        <f>TRIM(MID(SUBSTITUTE($BX$452,"~",REPT(" ",600)),3601,600))</f>
        <v/>
      </c>
    </row>
    <row r="460">
      <c r="B460" s="180">
        <f>IF($AD460="","",VALUE(LEFT($AD460,FIND("|",$AD460)-1)))</f>
        <v/>
      </c>
      <c r="C460" s="180">
        <f>IF($AD460="","","    "&amp;MID($AD460,FIND("|",$AD460)+1,FIND("|",$AD460,FIND("|",$AD460)+1)-FIND("|",$AD460)-1))</f>
        <v/>
      </c>
      <c r="D460" s="180">
        <f>IF($AD460="","",MID($AD460,FIND("|",$AD460,FIND("|",$AD460)+1)+1,FIND("|",$AD460&amp;"|",FIND("|",$AD460,FIND("|",$AD460)+1)+1)-FIND("|",$AD460,FIND("|",$AD460)+1)-1))</f>
        <v/>
      </c>
      <c r="AD460">
        <f>TRIM(MID(SUBSTITUTE($BX$452,"~",REPT(" ",600)),4201,600))</f>
        <v/>
      </c>
    </row>
    <row r="461">
      <c r="B461" s="180">
        <f>IF($AD461="","",VALUE(LEFT($AD461,FIND("|",$AD461)-1)))</f>
        <v/>
      </c>
      <c r="C461" s="180">
        <f>IF($AD461="","","    "&amp;MID($AD461,FIND("|",$AD461)+1,FIND("|",$AD461,FIND("|",$AD461)+1)-FIND("|",$AD461)-1))</f>
        <v/>
      </c>
      <c r="D461" s="180">
        <f>IF($AD461="","",MID($AD461,FIND("|",$AD461,FIND("|",$AD461)+1)+1,FIND("|",$AD461&amp;"|",FIND("|",$AD461,FIND("|",$AD461)+1)+1)-FIND("|",$AD461,FIND("|",$AD461)+1)-1))</f>
        <v/>
      </c>
      <c r="AD461">
        <f>TRIM(MID(SUBSTITUTE($BX$452,"~",REPT(" ",600)),4801,600))</f>
        <v/>
      </c>
    </row>
    <row r="462">
      <c r="B462" s="180">
        <f>IF($AD462="","",VALUE(LEFT($AD462,FIND("|",$AD462)-1)))</f>
        <v/>
      </c>
      <c r="C462" s="180">
        <f>IF($AD462="","","    "&amp;MID($AD462,FIND("|",$AD462)+1,FIND("|",$AD462,FIND("|",$AD462)+1)-FIND("|",$AD462)-1))</f>
        <v/>
      </c>
      <c r="D462" s="180">
        <f>IF($AD462="","",MID($AD462,FIND("|",$AD462,FIND("|",$AD462)+1)+1,FIND("|",$AD462&amp;"|",FIND("|",$AD462,FIND("|",$AD462)+1)+1)-FIND("|",$AD462,FIND("|",$AD462)+1)-1))</f>
        <v/>
      </c>
      <c r="AD462">
        <f>TRIM(MID(SUBSTITUTE($BX$452,"~",REPT(" ",600)),5401,600))</f>
        <v/>
      </c>
    </row>
    <row r="463">
      <c r="B463" s="180">
        <f>IF($AD463="","",VALUE(LEFT($AD463,FIND("|",$AD463)-1)))</f>
        <v/>
      </c>
      <c r="C463" s="180">
        <f>IF($AD463="","","    "&amp;MID($AD463,FIND("|",$AD463)+1,FIND("|",$AD463,FIND("|",$AD463)+1)-FIND("|",$AD463)-1))</f>
        <v/>
      </c>
      <c r="D463" s="180">
        <f>IF($AD463="","",MID($AD463,FIND("|",$AD463,FIND("|",$AD463)+1)+1,FIND("|",$AD463&amp;"|",FIND("|",$AD463,FIND("|",$AD463)+1)+1)-FIND("|",$AD463,FIND("|",$AD463)+1)-1))</f>
        <v/>
      </c>
      <c r="AD463">
        <f>TRIM(MID(SUBSTITUTE($BX$452,"~",REPT(" ",600)),6001,600))</f>
        <v/>
      </c>
    </row>
    <row r="464">
      <c r="A464" s="178">
        <f>IF($AD$464=0,"",$BK$464)</f>
        <v/>
      </c>
      <c r="B464" s="178">
        <f>IF($AD$464=0,"",$AE$464)</f>
        <v/>
      </c>
      <c r="C464" s="178">
        <f>IF($AD$464=0,"",$AE$464&amp;") "&amp;IF(COUNTIFS(tk_SOFG,39,tk_HLEG,"&lt;&gt;"&amp;$BJ$464)=0,INDEX(tk_FLINE,$AD$464),INDEX(tk_FLINEN,$AD$464))&amp;IF($AJ$464="KD"," ( R.O. "&amp;TRIM(TEXT(N($AQ$464)+2.25,"# ?/??"))&amp;CHAR(34)&amp;" x "&amp;TRIM(TEXT(N($AR$464)+1,"# ?/??"))&amp;CHAR(34)&amp;" )",""))</f>
        <v/>
      </c>
      <c r="D464" s="178" t="n"/>
      <c r="E464" s="179">
        <f t="array" ref="E464">IF($AD$464=0,"",_xlfn.TEXTJOIN(", ",TRUE,IF(tk_SOFG=39,"#"&amp;tk_MARK&amp;IF(tk_HLEG="","","("&amp;tk_HLEG&amp;")")&amp;IF(tk_QTY&gt;1," ×"&amp;tk_QTY,""),"")))</f>
        <v/>
      </c>
      <c r="AD464">
        <f>IFERROR(MATCH(39,tk_SOFG,0),0)</f>
        <v/>
      </c>
      <c r="AE464">
        <f>IF($AD$464=0,0,SUMIF(tk_SOFG,39,tk_QTY))</f>
        <v/>
      </c>
      <c r="AF464">
        <f>IF($AD$464=0,"",INDEX(tk_JAMB,$AD$464))</f>
        <v/>
      </c>
      <c r="AG464">
        <f>IF($AD$464=0,"",INDEX(tk_ANCHOR,$AD$464))</f>
        <v/>
      </c>
      <c r="AH464">
        <f>IF($AD$464=0,"",INDEX(tk_ANCH,$AD$464))</f>
        <v/>
      </c>
      <c r="AI464">
        <f>IF($AD$464=0,"",INDEX(tk_BASEA,$AD$464))</f>
        <v/>
      </c>
      <c r="AJ464">
        <f>IF($AD$464=0,"",INDEX(tk_CONSTR,$AD$464))</f>
        <v/>
      </c>
      <c r="AK464">
        <f>IF($AD$464=0,"",INDEX(tk_CLOSER,$AD$464))</f>
        <v/>
      </c>
      <c r="AL464">
        <f>IF($AD$464=0,"",INDEX(tk_STRIKE,$AD$464))</f>
        <v/>
      </c>
      <c r="AM464">
        <f>IF($AD$464=0,"",INDEX(tk_HDRPREP,$AD$464))</f>
        <v/>
      </c>
      <c r="AN464">
        <f>IF($AD$464=0,"",INDEX(tk_DMIN,$AD$464))</f>
        <v/>
      </c>
      <c r="AO464">
        <f>IF($AD$464=0,"",INDEX(tk_PAIR,$AD$464))</f>
        <v/>
      </c>
      <c r="AP464">
        <f>IF($AD$464=0,"",INDEX(tk_FGA,$AD$464))</f>
        <v/>
      </c>
      <c r="AQ464">
        <f>IF($AD$464=0,"",INDEX(tk_WI,$AD$464))</f>
        <v/>
      </c>
      <c r="AR464">
        <f>IF($AD$464=0,"",INDEX(tk_HI,$AD$464))</f>
        <v/>
      </c>
      <c r="AS464">
        <f>IF($AD$464=0,"",INDEX(tk_FHINGE,$AD$464))</f>
        <v/>
      </c>
      <c r="AT464">
        <f>IF($AD$464=0,"",INDEX(tk_DHINGE,$AD$464))</f>
        <v/>
      </c>
      <c r="AU464">
        <f>IF($AD$464=0,"",INDEX(tk_HWLOC,$AD$464))</f>
        <v/>
      </c>
      <c r="AV464">
        <f>IF($AD$464=0,"",INDEX(tk_MANUF,$AD$464))</f>
        <v/>
      </c>
      <c r="AW464">
        <f>IF($AD$464=0,"",INDEX(tk_JH,$AD$464))</f>
        <v/>
      </c>
      <c r="AX464">
        <f>IF($AD$464=0,"",INDEX(tk_FDESC,$AD$464))</f>
        <v/>
      </c>
      <c r="AY464">
        <f>IF($AD$464=0,"",INDEX(tk_TRANS,$AD$464))</f>
        <v/>
      </c>
      <c r="AZ464">
        <f>IF($AD$464=0,"",INDEX(tk_SLW,$AD$464))</f>
        <v/>
      </c>
      <c r="BA464">
        <f>IF($AD$464=0,"",INDEX(tk_LEAVES,$AD$464))</f>
        <v/>
      </c>
      <c r="BB464">
        <f>IF($AD$464=0,"",INDEX(tk_LEAFW,$AD$464))</f>
        <v/>
      </c>
      <c r="BC464">
        <f>IF($AD$464=0,"",INDEX(tk_LEAFH,$AD$464))</f>
        <v/>
      </c>
      <c r="BD464">
        <f>IF($AD$464=0,"",INDEX(tk_DMAT,$AD$464))</f>
        <v/>
      </c>
      <c r="BE464">
        <f>IF($AD$464=0,"",INDEX(tk_DGA,$AD$464))</f>
        <v/>
      </c>
      <c r="BF464">
        <f>IF($AD$464=0,"",INDEX(tk_SERIES,$AD$464))</f>
        <v/>
      </c>
      <c r="BG464">
        <f>IF($AD$464=0,"",INDEX(tk_LOCK,$AD$464))</f>
        <v/>
      </c>
      <c r="BH464">
        <f>IF($AD$464=0,"",INDEX(tk_LITEKIT,$AD$464))</f>
        <v/>
      </c>
      <c r="BI464">
        <f>IF($AD$464=0,"",INDEX(tk_FACE,$AD$464))</f>
        <v/>
      </c>
      <c r="BJ464">
        <f>IF($AD$464=0,"",INDEX(tk_HLEG,$AD$464))</f>
        <v/>
      </c>
      <c r="BK464">
        <f>IF($AD$464=0,"",INDEX(tk_SOITEM,$AD$464))</f>
        <v/>
      </c>
      <c r="BL464">
        <f>IFERROR(VLOOKUP($AF$464,CODES,2,FALSE),"")</f>
        <v/>
      </c>
      <c r="BM464">
        <f>IF($AJ$464="KD","C","M")</f>
        <v/>
      </c>
      <c r="BN464">
        <f>IF(N($AR$464)&lt;=80,80,IF(N($AR$464)&lt;=84,84,IF(N($AR$464)&lt;=96,96,N($AR$464))))</f>
        <v/>
      </c>
      <c r="BO464">
        <f>INT($BN$464/12)&amp;MOD($BN$464,12)</f>
        <v/>
      </c>
      <c r="BP464">
        <f>INT(N($AQ$464)/12)&amp;MOD(N($AQ$464),12)</f>
        <v/>
      </c>
      <c r="BQ464">
        <f>IF(OR($AU$464="",$AU$464="ANSI/SDI",$AU$464="CUSTOM LOC"),IF($AV$464="CU","CURRIES","STEELCRAFT"),$AU$464)</f>
        <v/>
      </c>
      <c r="BR464">
        <f>$AO$464="Y"</f>
        <v/>
      </c>
      <c r="BS464">
        <f>"~"</f>
        <v/>
      </c>
      <c r="BT464">
        <f>N($AH$464)*N($AI$464)</f>
        <v/>
      </c>
      <c r="BU464">
        <f>IF(OR($AL$464="",$AL$464="-",$AL$464="E8"),"G18",$AL$464)</f>
        <v/>
      </c>
      <c r="BV464">
        <f>IF(OR($AS$464="",$AS$464="-"),"BLK",$AS$464)</f>
        <v/>
      </c>
      <c r="BW464">
        <f>" "&amp;$BM$464&amp;$AP$464&amp;" "</f>
        <v/>
      </c>
      <c r="BX464">
        <f>IF($AD$464=0,"",IF(OR($AG$464="SSA",$AG$464="SC"),$AE$464*$BT$464&amp;"|"&amp;$BL$464&amp;" STEEL STUD ANCHOR 2"&amp;CHAR(34)&amp;"||"&amp;$BS$464,"")&amp;IF($AG$464="WEWA-M",$AE$464*(N($AH$464)+1)*N($AI$464)&amp;"|FR101F 690 "&amp;$BL$464&amp;" MASONRY TUBE ANCHOR 16 GA||"&amp;$BS$464&amp;$AE$464*(N($AH$464)+1)*N($AI$464)&amp;"|3/8X5 SF3850 DYNO BOLTS||"&amp;$BS$464,"")&amp;IF($AG$464="WMA",$AE$464*$BT$464&amp;"|WIRE MASONRY ANCHOR||"&amp;$BS$464,"")&amp;IF($AG$464="T",$AE$464*$BT$464&amp;"|T-STRAP MASONRY ANCHOR||"&amp;$BS$464,"")&amp;IF($AG$464="WEWA-W",$AE$464*$BT$464&amp;"|P/D + WOOD SCREWS||"&amp;$BS$464,"")&amp;IF($AJ$464="WGS",$AE$464&amp;"|WELD &amp; GROUND SMOOTH||"&amp;$BS$464,"")&amp;IF(OR($AK$464="",$AK$464="-"),"",$AE$464*IF($BR$464,4,2)&amp;"|RACL/PACL-CLOSER REINF. 14GAx1-3/4x16 HRPO|"&amp;$AK$464&amp;IF($BR$464," BOTH SIDES","")&amp;"|"&amp;$BS$464)&amp;IF($AL$464="E8",$AE$464&amp;"|E8-STRIKE REINF. RIM EXIT||"&amp;$BS$464,"")&amp;IF(ISNUMBER(SEARCH("E4",$AL$464)),$AE$464&amp;"|FRAME DEADLOCK PREP||"&amp;$BS$464,"")&amp;IF($AL$464="E9",$AE$464&amp;"|ELECTRIC STRIKE PREP||"&amp;$BS$464,"")&amp;IF($AM$464="H5",$AE$464&amp;"|H5 STRIKE PREP IN HEADER||"&amp;$BS$464,IF(OR($AM$464="",$AM$464="-"),"",$AE$464&amp;"|HEADER PREP "&amp;$AM$464&amp;"||"&amp;$BS$464))&amp;IF(N($AN$464)&gt;0,$AE$464&amp;"|"&amp;$AN$464&amp;" MINUTE STEEL FRAME LABEL "&amp;IF(OR(N($AY$464)&gt;0,N($AZ$464)&gt;0),"W/TRANSOM PANEL/SIDELIGHT","CAT. C PP")&amp;"||"&amp;$BS$464,"")&amp;IF($AX$464="BL","",$AE$464&amp;"|HD "&amp;$AF$464&amp;$BW$464&amp;$BP$464&amp;" BSC||"&amp;$BS$464&amp;IF($BR$464,$AE$464&amp;"|HJ "&amp;$AF$464&amp;$BW$464&amp;"LH "&amp;$BO$464&amp;" "&amp;$BV$464&amp;" BSC "&amp;CHAR(34)&amp;$BQ$464&amp;CHAR(34)&amp;"||"&amp;$BS$464&amp;$AE$464&amp;"|HJ "&amp;$AF$464&amp;$BW$464&amp;"RH "&amp;$BO$464&amp;" "&amp;$BV$464&amp;" BSC "&amp;CHAR(34)&amp;$BQ$464&amp;CHAR(34)&amp;"||"&amp;$BS$464,$AE$464&amp;"|HJ "&amp;$AF$464&amp;$BW$464&amp;$AW$464&amp;" "&amp;$BO$464&amp;" "&amp;$BV$464&amp;" BSC "&amp;CHAR(34)&amp;$BQ$464&amp;CHAR(34)&amp;"||"&amp;$BS$464&amp;$AE$464&amp;"|SJ "&amp;$AF$464&amp;$BW$464&amp;$AW$464&amp;" "&amp;$BO$464&amp;" "&amp;$BU$464&amp;IF($BU$464="G18"," BLANK"," Y")&amp;" BSC "&amp;CHAR(34)&amp;$BQ$464&amp;CHAR(34)&amp;"||"&amp;$BS$464))&amp;IF(AND($BN$464&gt;N($AR$464),$AX$464&lt;&gt;"BL",N($AR$464)&gt;=60),$AE$464&amp;"|FRAME CUT DOWN (BOTTOM)|Cut "&amp;TRIM(TEXT($BN$464-N($AR$464),"# ?/??"))&amp;CHAR(34)&amp;" OFF THE BOTTOM|"&amp;$BS$464,""))</f>
        <v/>
      </c>
    </row>
    <row r="465">
      <c r="B465" s="180">
        <f>IF($AD465="","",VALUE(LEFT($AD465,FIND("|",$AD465)-1)))</f>
        <v/>
      </c>
      <c r="C465" s="180">
        <f>IF($AD465="","","    "&amp;MID($AD465,FIND("|",$AD465)+1,FIND("|",$AD465,FIND("|",$AD465)+1)-FIND("|",$AD465)-1))</f>
        <v/>
      </c>
      <c r="D465" s="180">
        <f>IF($AD465="","",MID($AD465,FIND("|",$AD465,FIND("|",$AD465)+1)+1,FIND("|",$AD465&amp;"|",FIND("|",$AD465,FIND("|",$AD465)+1)+1)-FIND("|",$AD465,FIND("|",$AD465)+1)-1))</f>
        <v/>
      </c>
      <c r="AD465">
        <f>TRIM(MID(SUBSTITUTE($BX$464,"~",REPT(" ",600)),1,600))</f>
        <v/>
      </c>
    </row>
    <row r="466">
      <c r="B466" s="180">
        <f>IF($AD466="","",VALUE(LEFT($AD466,FIND("|",$AD466)-1)))</f>
        <v/>
      </c>
      <c r="C466" s="180">
        <f>IF($AD466="","","    "&amp;MID($AD466,FIND("|",$AD466)+1,FIND("|",$AD466,FIND("|",$AD466)+1)-FIND("|",$AD466)-1))</f>
        <v/>
      </c>
      <c r="D466" s="180">
        <f>IF($AD466="","",MID($AD466,FIND("|",$AD466,FIND("|",$AD466)+1)+1,FIND("|",$AD466&amp;"|",FIND("|",$AD466,FIND("|",$AD466)+1)+1)-FIND("|",$AD466,FIND("|",$AD466)+1)-1))</f>
        <v/>
      </c>
      <c r="AD466">
        <f>TRIM(MID(SUBSTITUTE($BX$464,"~",REPT(" ",600)),601,600))</f>
        <v/>
      </c>
    </row>
    <row r="467">
      <c r="B467" s="180">
        <f>IF($AD467="","",VALUE(LEFT($AD467,FIND("|",$AD467)-1)))</f>
        <v/>
      </c>
      <c r="C467" s="180">
        <f>IF($AD467="","","    "&amp;MID($AD467,FIND("|",$AD467)+1,FIND("|",$AD467,FIND("|",$AD467)+1)-FIND("|",$AD467)-1))</f>
        <v/>
      </c>
      <c r="D467" s="180">
        <f>IF($AD467="","",MID($AD467,FIND("|",$AD467,FIND("|",$AD467)+1)+1,FIND("|",$AD467&amp;"|",FIND("|",$AD467,FIND("|",$AD467)+1)+1)-FIND("|",$AD467,FIND("|",$AD467)+1)-1))</f>
        <v/>
      </c>
      <c r="AD467">
        <f>TRIM(MID(SUBSTITUTE($BX$464,"~",REPT(" ",600)),1201,600))</f>
        <v/>
      </c>
    </row>
    <row r="468">
      <c r="B468" s="180">
        <f>IF($AD468="","",VALUE(LEFT($AD468,FIND("|",$AD468)-1)))</f>
        <v/>
      </c>
      <c r="C468" s="180">
        <f>IF($AD468="","","    "&amp;MID($AD468,FIND("|",$AD468)+1,FIND("|",$AD468,FIND("|",$AD468)+1)-FIND("|",$AD468)-1))</f>
        <v/>
      </c>
      <c r="D468" s="180">
        <f>IF($AD468="","",MID($AD468,FIND("|",$AD468,FIND("|",$AD468)+1)+1,FIND("|",$AD468&amp;"|",FIND("|",$AD468,FIND("|",$AD468)+1)+1)-FIND("|",$AD468,FIND("|",$AD468)+1)-1))</f>
        <v/>
      </c>
      <c r="AD468">
        <f>TRIM(MID(SUBSTITUTE($BX$464,"~",REPT(" ",600)),1801,600))</f>
        <v/>
      </c>
    </row>
    <row r="469">
      <c r="B469" s="180">
        <f>IF($AD469="","",VALUE(LEFT($AD469,FIND("|",$AD469)-1)))</f>
        <v/>
      </c>
      <c r="C469" s="180">
        <f>IF($AD469="","","    "&amp;MID($AD469,FIND("|",$AD469)+1,FIND("|",$AD469,FIND("|",$AD469)+1)-FIND("|",$AD469)-1))</f>
        <v/>
      </c>
      <c r="D469" s="180">
        <f>IF($AD469="","",MID($AD469,FIND("|",$AD469,FIND("|",$AD469)+1)+1,FIND("|",$AD469&amp;"|",FIND("|",$AD469,FIND("|",$AD469)+1)+1)-FIND("|",$AD469,FIND("|",$AD469)+1)-1))</f>
        <v/>
      </c>
      <c r="AD469">
        <f>TRIM(MID(SUBSTITUTE($BX$464,"~",REPT(" ",600)),2401,600))</f>
        <v/>
      </c>
    </row>
    <row r="470">
      <c r="B470" s="180">
        <f>IF($AD470="","",VALUE(LEFT($AD470,FIND("|",$AD470)-1)))</f>
        <v/>
      </c>
      <c r="C470" s="180">
        <f>IF($AD470="","","    "&amp;MID($AD470,FIND("|",$AD470)+1,FIND("|",$AD470,FIND("|",$AD470)+1)-FIND("|",$AD470)-1))</f>
        <v/>
      </c>
      <c r="D470" s="180">
        <f>IF($AD470="","",MID($AD470,FIND("|",$AD470,FIND("|",$AD470)+1)+1,FIND("|",$AD470&amp;"|",FIND("|",$AD470,FIND("|",$AD470)+1)+1)-FIND("|",$AD470,FIND("|",$AD470)+1)-1))</f>
        <v/>
      </c>
      <c r="AD470">
        <f>TRIM(MID(SUBSTITUTE($BX$464,"~",REPT(" ",600)),3001,600))</f>
        <v/>
      </c>
    </row>
    <row r="471">
      <c r="B471" s="180">
        <f>IF($AD471="","",VALUE(LEFT($AD471,FIND("|",$AD471)-1)))</f>
        <v/>
      </c>
      <c r="C471" s="180">
        <f>IF($AD471="","","    "&amp;MID($AD471,FIND("|",$AD471)+1,FIND("|",$AD471,FIND("|",$AD471)+1)-FIND("|",$AD471)-1))</f>
        <v/>
      </c>
      <c r="D471" s="180">
        <f>IF($AD471="","",MID($AD471,FIND("|",$AD471,FIND("|",$AD471)+1)+1,FIND("|",$AD471&amp;"|",FIND("|",$AD471,FIND("|",$AD471)+1)+1)-FIND("|",$AD471,FIND("|",$AD471)+1)-1))</f>
        <v/>
      </c>
      <c r="AD471">
        <f>TRIM(MID(SUBSTITUTE($BX$464,"~",REPT(" ",600)),3601,600))</f>
        <v/>
      </c>
    </row>
    <row r="472">
      <c r="B472" s="180">
        <f>IF($AD472="","",VALUE(LEFT($AD472,FIND("|",$AD472)-1)))</f>
        <v/>
      </c>
      <c r="C472" s="180">
        <f>IF($AD472="","","    "&amp;MID($AD472,FIND("|",$AD472)+1,FIND("|",$AD472,FIND("|",$AD472)+1)-FIND("|",$AD472)-1))</f>
        <v/>
      </c>
      <c r="D472" s="180">
        <f>IF($AD472="","",MID($AD472,FIND("|",$AD472,FIND("|",$AD472)+1)+1,FIND("|",$AD472&amp;"|",FIND("|",$AD472,FIND("|",$AD472)+1)+1)-FIND("|",$AD472,FIND("|",$AD472)+1)-1))</f>
        <v/>
      </c>
      <c r="AD472">
        <f>TRIM(MID(SUBSTITUTE($BX$464,"~",REPT(" ",600)),4201,600))</f>
        <v/>
      </c>
    </row>
    <row r="473">
      <c r="B473" s="180">
        <f>IF($AD473="","",VALUE(LEFT($AD473,FIND("|",$AD473)-1)))</f>
        <v/>
      </c>
      <c r="C473" s="180">
        <f>IF($AD473="","","    "&amp;MID($AD473,FIND("|",$AD473)+1,FIND("|",$AD473,FIND("|",$AD473)+1)-FIND("|",$AD473)-1))</f>
        <v/>
      </c>
      <c r="D473" s="180">
        <f>IF($AD473="","",MID($AD473,FIND("|",$AD473,FIND("|",$AD473)+1)+1,FIND("|",$AD473&amp;"|",FIND("|",$AD473,FIND("|",$AD473)+1)+1)-FIND("|",$AD473,FIND("|",$AD473)+1)-1))</f>
        <v/>
      </c>
      <c r="AD473">
        <f>TRIM(MID(SUBSTITUTE($BX$464,"~",REPT(" ",600)),4801,600))</f>
        <v/>
      </c>
    </row>
    <row r="474">
      <c r="B474" s="180">
        <f>IF($AD474="","",VALUE(LEFT($AD474,FIND("|",$AD474)-1)))</f>
        <v/>
      </c>
      <c r="C474" s="180">
        <f>IF($AD474="","","    "&amp;MID($AD474,FIND("|",$AD474)+1,FIND("|",$AD474,FIND("|",$AD474)+1)-FIND("|",$AD474)-1))</f>
        <v/>
      </c>
      <c r="D474" s="180">
        <f>IF($AD474="","",MID($AD474,FIND("|",$AD474,FIND("|",$AD474)+1)+1,FIND("|",$AD474&amp;"|",FIND("|",$AD474,FIND("|",$AD474)+1)+1)-FIND("|",$AD474,FIND("|",$AD474)+1)-1))</f>
        <v/>
      </c>
      <c r="AD474">
        <f>TRIM(MID(SUBSTITUTE($BX$464,"~",REPT(" ",600)),5401,600))</f>
        <v/>
      </c>
    </row>
    <row r="475">
      <c r="B475" s="180">
        <f>IF($AD475="","",VALUE(LEFT($AD475,FIND("|",$AD475)-1)))</f>
        <v/>
      </c>
      <c r="C475" s="180">
        <f>IF($AD475="","","    "&amp;MID($AD475,FIND("|",$AD475)+1,FIND("|",$AD475,FIND("|",$AD475)+1)-FIND("|",$AD475)-1))</f>
        <v/>
      </c>
      <c r="D475" s="180">
        <f>IF($AD475="","",MID($AD475,FIND("|",$AD475,FIND("|",$AD475)+1)+1,FIND("|",$AD475&amp;"|",FIND("|",$AD475,FIND("|",$AD475)+1)+1)-FIND("|",$AD475,FIND("|",$AD475)+1)-1))</f>
        <v/>
      </c>
      <c r="AD475">
        <f>TRIM(MID(SUBSTITUTE($BX$464,"~",REPT(" ",600)),6001,600))</f>
        <v/>
      </c>
    </row>
    <row r="476">
      <c r="A476" s="178">
        <f>IF($AD$476=0,"",$BK$476)</f>
        <v/>
      </c>
      <c r="B476" s="178">
        <f>IF($AD$476=0,"",$AE$476)</f>
        <v/>
      </c>
      <c r="C476" s="178">
        <f>IF($AD$476=0,"",$AE$476&amp;") "&amp;IF(COUNTIFS(tk_SOFG,40,tk_HLEG,"&lt;&gt;"&amp;$BJ$476)=0,INDEX(tk_FLINE,$AD$476),INDEX(tk_FLINEN,$AD$476))&amp;IF($AJ$476="KD"," ( R.O. "&amp;TRIM(TEXT(N($AQ$476)+2.25,"# ?/??"))&amp;CHAR(34)&amp;" x "&amp;TRIM(TEXT(N($AR$476)+1,"# ?/??"))&amp;CHAR(34)&amp;" )",""))</f>
        <v/>
      </c>
      <c r="D476" s="178" t="n"/>
      <c r="E476" s="179">
        <f t="array" ref="E476">IF($AD$476=0,"",_xlfn.TEXTJOIN(", ",TRUE,IF(tk_SOFG=40,"#"&amp;tk_MARK&amp;IF(tk_HLEG="","","("&amp;tk_HLEG&amp;")")&amp;IF(tk_QTY&gt;1," ×"&amp;tk_QTY,""),"")))</f>
        <v/>
      </c>
      <c r="AD476">
        <f>IFERROR(MATCH(40,tk_SOFG,0),0)</f>
        <v/>
      </c>
      <c r="AE476">
        <f>IF($AD$476=0,0,SUMIF(tk_SOFG,40,tk_QTY))</f>
        <v/>
      </c>
      <c r="AF476">
        <f>IF($AD$476=0,"",INDEX(tk_JAMB,$AD$476))</f>
        <v/>
      </c>
      <c r="AG476">
        <f>IF($AD$476=0,"",INDEX(tk_ANCHOR,$AD$476))</f>
        <v/>
      </c>
      <c r="AH476">
        <f>IF($AD$476=0,"",INDEX(tk_ANCH,$AD$476))</f>
        <v/>
      </c>
      <c r="AI476">
        <f>IF($AD$476=0,"",INDEX(tk_BASEA,$AD$476))</f>
        <v/>
      </c>
      <c r="AJ476">
        <f>IF($AD$476=0,"",INDEX(tk_CONSTR,$AD$476))</f>
        <v/>
      </c>
      <c r="AK476">
        <f>IF($AD$476=0,"",INDEX(tk_CLOSER,$AD$476))</f>
        <v/>
      </c>
      <c r="AL476">
        <f>IF($AD$476=0,"",INDEX(tk_STRIKE,$AD$476))</f>
        <v/>
      </c>
      <c r="AM476">
        <f>IF($AD$476=0,"",INDEX(tk_HDRPREP,$AD$476))</f>
        <v/>
      </c>
      <c r="AN476">
        <f>IF($AD$476=0,"",INDEX(tk_DMIN,$AD$476))</f>
        <v/>
      </c>
      <c r="AO476">
        <f>IF($AD$476=0,"",INDEX(tk_PAIR,$AD$476))</f>
        <v/>
      </c>
      <c r="AP476">
        <f>IF($AD$476=0,"",INDEX(tk_FGA,$AD$476))</f>
        <v/>
      </c>
      <c r="AQ476">
        <f>IF($AD$476=0,"",INDEX(tk_WI,$AD$476))</f>
        <v/>
      </c>
      <c r="AR476">
        <f>IF($AD$476=0,"",INDEX(tk_HI,$AD$476))</f>
        <v/>
      </c>
      <c r="AS476">
        <f>IF($AD$476=0,"",INDEX(tk_FHINGE,$AD$476))</f>
        <v/>
      </c>
      <c r="AT476">
        <f>IF($AD$476=0,"",INDEX(tk_DHINGE,$AD$476))</f>
        <v/>
      </c>
      <c r="AU476">
        <f>IF($AD$476=0,"",INDEX(tk_HWLOC,$AD$476))</f>
        <v/>
      </c>
      <c r="AV476">
        <f>IF($AD$476=0,"",INDEX(tk_MANUF,$AD$476))</f>
        <v/>
      </c>
      <c r="AW476">
        <f>IF($AD$476=0,"",INDEX(tk_JH,$AD$476))</f>
        <v/>
      </c>
      <c r="AX476">
        <f>IF($AD$476=0,"",INDEX(tk_FDESC,$AD$476))</f>
        <v/>
      </c>
      <c r="AY476">
        <f>IF($AD$476=0,"",INDEX(tk_TRANS,$AD$476))</f>
        <v/>
      </c>
      <c r="AZ476">
        <f>IF($AD$476=0,"",INDEX(tk_SLW,$AD$476))</f>
        <v/>
      </c>
      <c r="BA476">
        <f>IF($AD$476=0,"",INDEX(tk_LEAVES,$AD$476))</f>
        <v/>
      </c>
      <c r="BB476">
        <f>IF($AD$476=0,"",INDEX(tk_LEAFW,$AD$476))</f>
        <v/>
      </c>
      <c r="BC476">
        <f>IF($AD$476=0,"",INDEX(tk_LEAFH,$AD$476))</f>
        <v/>
      </c>
      <c r="BD476">
        <f>IF($AD$476=0,"",INDEX(tk_DMAT,$AD$476))</f>
        <v/>
      </c>
      <c r="BE476">
        <f>IF($AD$476=0,"",INDEX(tk_DGA,$AD$476))</f>
        <v/>
      </c>
      <c r="BF476">
        <f>IF($AD$476=0,"",INDEX(tk_SERIES,$AD$476))</f>
        <v/>
      </c>
      <c r="BG476">
        <f>IF($AD$476=0,"",INDEX(tk_LOCK,$AD$476))</f>
        <v/>
      </c>
      <c r="BH476">
        <f>IF($AD$476=0,"",INDEX(tk_LITEKIT,$AD$476))</f>
        <v/>
      </c>
      <c r="BI476">
        <f>IF($AD$476=0,"",INDEX(tk_FACE,$AD$476))</f>
        <v/>
      </c>
      <c r="BJ476">
        <f>IF($AD$476=0,"",INDEX(tk_HLEG,$AD$476))</f>
        <v/>
      </c>
      <c r="BK476">
        <f>IF($AD$476=0,"",INDEX(tk_SOITEM,$AD$476))</f>
        <v/>
      </c>
      <c r="BL476">
        <f>IFERROR(VLOOKUP($AF$476,CODES,2,FALSE),"")</f>
        <v/>
      </c>
      <c r="BM476">
        <f>IF($AJ$476="KD","C","M")</f>
        <v/>
      </c>
      <c r="BN476">
        <f>IF(N($AR$476)&lt;=80,80,IF(N($AR$476)&lt;=84,84,IF(N($AR$476)&lt;=96,96,N($AR$476))))</f>
        <v/>
      </c>
      <c r="BO476">
        <f>INT($BN$476/12)&amp;MOD($BN$476,12)</f>
        <v/>
      </c>
      <c r="BP476">
        <f>INT(N($AQ$476)/12)&amp;MOD(N($AQ$476),12)</f>
        <v/>
      </c>
      <c r="BQ476">
        <f>IF(OR($AU$476="",$AU$476="ANSI/SDI",$AU$476="CUSTOM LOC"),IF($AV$476="CU","CURRIES","STEELCRAFT"),$AU$476)</f>
        <v/>
      </c>
      <c r="BR476">
        <f>$AO$476="Y"</f>
        <v/>
      </c>
      <c r="BS476">
        <f>"~"</f>
        <v/>
      </c>
      <c r="BT476">
        <f>N($AH$476)*N($AI$476)</f>
        <v/>
      </c>
      <c r="BU476">
        <f>IF(OR($AL$476="",$AL$476="-",$AL$476="E8"),"G18",$AL$476)</f>
        <v/>
      </c>
      <c r="BV476">
        <f>IF(OR($AS$476="",$AS$476="-"),"BLK",$AS$476)</f>
        <v/>
      </c>
      <c r="BW476">
        <f>" "&amp;$BM$476&amp;$AP$476&amp;" "</f>
        <v/>
      </c>
      <c r="BX476">
        <f>IF($AD$476=0,"",IF(OR($AG$476="SSA",$AG$476="SC"),$AE$476*$BT$476&amp;"|"&amp;$BL$476&amp;" STEEL STUD ANCHOR 2"&amp;CHAR(34)&amp;"||"&amp;$BS$476,"")&amp;IF($AG$476="WEWA-M",$AE$476*(N($AH$476)+1)*N($AI$476)&amp;"|FR101F 690 "&amp;$BL$476&amp;" MASONRY TUBE ANCHOR 16 GA||"&amp;$BS$476&amp;$AE$476*(N($AH$476)+1)*N($AI$476)&amp;"|3/8X5 SF3850 DYNO BOLTS||"&amp;$BS$476,"")&amp;IF($AG$476="WMA",$AE$476*$BT$476&amp;"|WIRE MASONRY ANCHOR||"&amp;$BS$476,"")&amp;IF($AG$476="T",$AE$476*$BT$476&amp;"|T-STRAP MASONRY ANCHOR||"&amp;$BS$476,"")&amp;IF($AG$476="WEWA-W",$AE$476*$BT$476&amp;"|P/D + WOOD SCREWS||"&amp;$BS$476,"")&amp;IF($AJ$476="WGS",$AE$476&amp;"|WELD &amp; GROUND SMOOTH||"&amp;$BS$476,"")&amp;IF(OR($AK$476="",$AK$476="-"),"",$AE$476*IF($BR$476,4,2)&amp;"|RACL/PACL-CLOSER REINF. 14GAx1-3/4x16 HRPO|"&amp;$AK$476&amp;IF($BR$476," BOTH SIDES","")&amp;"|"&amp;$BS$476)&amp;IF($AL$476="E8",$AE$476&amp;"|E8-STRIKE REINF. RIM EXIT||"&amp;$BS$476,"")&amp;IF(ISNUMBER(SEARCH("E4",$AL$476)),$AE$476&amp;"|FRAME DEADLOCK PREP||"&amp;$BS$476,"")&amp;IF($AL$476="E9",$AE$476&amp;"|ELECTRIC STRIKE PREP||"&amp;$BS$476,"")&amp;IF($AM$476="H5",$AE$476&amp;"|H5 STRIKE PREP IN HEADER||"&amp;$BS$476,IF(OR($AM$476="",$AM$476="-"),"",$AE$476&amp;"|HEADER PREP "&amp;$AM$476&amp;"||"&amp;$BS$476))&amp;IF(N($AN$476)&gt;0,$AE$476&amp;"|"&amp;$AN$476&amp;" MINUTE STEEL FRAME LABEL "&amp;IF(OR(N($AY$476)&gt;0,N($AZ$476)&gt;0),"W/TRANSOM PANEL/SIDELIGHT","CAT. C PP")&amp;"||"&amp;$BS$476,"")&amp;IF($AX$476="BL","",$AE$476&amp;"|HD "&amp;$AF$476&amp;$BW$476&amp;$BP$476&amp;" BSC||"&amp;$BS$476&amp;IF($BR$476,$AE$476&amp;"|HJ "&amp;$AF$476&amp;$BW$476&amp;"LH "&amp;$BO$476&amp;" "&amp;$BV$476&amp;" BSC "&amp;CHAR(34)&amp;$BQ$476&amp;CHAR(34)&amp;"||"&amp;$BS$476&amp;$AE$476&amp;"|HJ "&amp;$AF$476&amp;$BW$476&amp;"RH "&amp;$BO$476&amp;" "&amp;$BV$476&amp;" BSC "&amp;CHAR(34)&amp;$BQ$476&amp;CHAR(34)&amp;"||"&amp;$BS$476,$AE$476&amp;"|HJ "&amp;$AF$476&amp;$BW$476&amp;$AW$476&amp;" "&amp;$BO$476&amp;" "&amp;$BV$476&amp;" BSC "&amp;CHAR(34)&amp;$BQ$476&amp;CHAR(34)&amp;"||"&amp;$BS$476&amp;$AE$476&amp;"|SJ "&amp;$AF$476&amp;$BW$476&amp;$AW$476&amp;" "&amp;$BO$476&amp;" "&amp;$BU$476&amp;IF($BU$476="G18"," BLANK"," Y")&amp;" BSC "&amp;CHAR(34)&amp;$BQ$476&amp;CHAR(34)&amp;"||"&amp;$BS$476))&amp;IF(AND($BN$476&gt;N($AR$476),$AX$476&lt;&gt;"BL",N($AR$476)&gt;=60),$AE$476&amp;"|FRAME CUT DOWN (BOTTOM)|Cut "&amp;TRIM(TEXT($BN$476-N($AR$476),"# ?/??"))&amp;CHAR(34)&amp;" OFF THE BOTTOM|"&amp;$BS$476,""))</f>
        <v/>
      </c>
    </row>
    <row r="477">
      <c r="B477" s="180">
        <f>IF($AD477="","",VALUE(LEFT($AD477,FIND("|",$AD477)-1)))</f>
        <v/>
      </c>
      <c r="C477" s="180">
        <f>IF($AD477="","","    "&amp;MID($AD477,FIND("|",$AD477)+1,FIND("|",$AD477,FIND("|",$AD477)+1)-FIND("|",$AD477)-1))</f>
        <v/>
      </c>
      <c r="D477" s="180">
        <f>IF($AD477="","",MID($AD477,FIND("|",$AD477,FIND("|",$AD477)+1)+1,FIND("|",$AD477&amp;"|",FIND("|",$AD477,FIND("|",$AD477)+1)+1)-FIND("|",$AD477,FIND("|",$AD477)+1)-1))</f>
        <v/>
      </c>
      <c r="AD477">
        <f>TRIM(MID(SUBSTITUTE($BX$476,"~",REPT(" ",600)),1,600))</f>
        <v/>
      </c>
    </row>
    <row r="478">
      <c r="B478" s="180">
        <f>IF($AD478="","",VALUE(LEFT($AD478,FIND("|",$AD478)-1)))</f>
        <v/>
      </c>
      <c r="C478" s="180">
        <f>IF($AD478="","","    "&amp;MID($AD478,FIND("|",$AD478)+1,FIND("|",$AD478,FIND("|",$AD478)+1)-FIND("|",$AD478)-1))</f>
        <v/>
      </c>
      <c r="D478" s="180">
        <f>IF($AD478="","",MID($AD478,FIND("|",$AD478,FIND("|",$AD478)+1)+1,FIND("|",$AD478&amp;"|",FIND("|",$AD478,FIND("|",$AD478)+1)+1)-FIND("|",$AD478,FIND("|",$AD478)+1)-1))</f>
        <v/>
      </c>
      <c r="AD478">
        <f>TRIM(MID(SUBSTITUTE($BX$476,"~",REPT(" ",600)),601,600))</f>
        <v/>
      </c>
    </row>
    <row r="479">
      <c r="B479" s="180">
        <f>IF($AD479="","",VALUE(LEFT($AD479,FIND("|",$AD479)-1)))</f>
        <v/>
      </c>
      <c r="C479" s="180">
        <f>IF($AD479="","","    "&amp;MID($AD479,FIND("|",$AD479)+1,FIND("|",$AD479,FIND("|",$AD479)+1)-FIND("|",$AD479)-1))</f>
        <v/>
      </c>
      <c r="D479" s="180">
        <f>IF($AD479="","",MID($AD479,FIND("|",$AD479,FIND("|",$AD479)+1)+1,FIND("|",$AD479&amp;"|",FIND("|",$AD479,FIND("|",$AD479)+1)+1)-FIND("|",$AD479,FIND("|",$AD479)+1)-1))</f>
        <v/>
      </c>
      <c r="AD479">
        <f>TRIM(MID(SUBSTITUTE($BX$476,"~",REPT(" ",600)),1201,600))</f>
        <v/>
      </c>
    </row>
    <row r="480">
      <c r="B480" s="180">
        <f>IF($AD480="","",VALUE(LEFT($AD480,FIND("|",$AD480)-1)))</f>
        <v/>
      </c>
      <c r="C480" s="180">
        <f>IF($AD480="","","    "&amp;MID($AD480,FIND("|",$AD480)+1,FIND("|",$AD480,FIND("|",$AD480)+1)-FIND("|",$AD480)-1))</f>
        <v/>
      </c>
      <c r="D480" s="180">
        <f>IF($AD480="","",MID($AD480,FIND("|",$AD480,FIND("|",$AD480)+1)+1,FIND("|",$AD480&amp;"|",FIND("|",$AD480,FIND("|",$AD480)+1)+1)-FIND("|",$AD480,FIND("|",$AD480)+1)-1))</f>
        <v/>
      </c>
      <c r="AD480">
        <f>TRIM(MID(SUBSTITUTE($BX$476,"~",REPT(" ",600)),1801,600))</f>
        <v/>
      </c>
    </row>
    <row r="481">
      <c r="B481" s="180">
        <f>IF($AD481="","",VALUE(LEFT($AD481,FIND("|",$AD481)-1)))</f>
        <v/>
      </c>
      <c r="C481" s="180">
        <f>IF($AD481="","","    "&amp;MID($AD481,FIND("|",$AD481)+1,FIND("|",$AD481,FIND("|",$AD481)+1)-FIND("|",$AD481)-1))</f>
        <v/>
      </c>
      <c r="D481" s="180">
        <f>IF($AD481="","",MID($AD481,FIND("|",$AD481,FIND("|",$AD481)+1)+1,FIND("|",$AD481&amp;"|",FIND("|",$AD481,FIND("|",$AD481)+1)+1)-FIND("|",$AD481,FIND("|",$AD481)+1)-1))</f>
        <v/>
      </c>
      <c r="AD481">
        <f>TRIM(MID(SUBSTITUTE($BX$476,"~",REPT(" ",600)),2401,600))</f>
        <v/>
      </c>
    </row>
    <row r="482">
      <c r="B482" s="180">
        <f>IF($AD482="","",VALUE(LEFT($AD482,FIND("|",$AD482)-1)))</f>
        <v/>
      </c>
      <c r="C482" s="180">
        <f>IF($AD482="","","    "&amp;MID($AD482,FIND("|",$AD482)+1,FIND("|",$AD482,FIND("|",$AD482)+1)-FIND("|",$AD482)-1))</f>
        <v/>
      </c>
      <c r="D482" s="180">
        <f>IF($AD482="","",MID($AD482,FIND("|",$AD482,FIND("|",$AD482)+1)+1,FIND("|",$AD482&amp;"|",FIND("|",$AD482,FIND("|",$AD482)+1)+1)-FIND("|",$AD482,FIND("|",$AD482)+1)-1))</f>
        <v/>
      </c>
      <c r="AD482">
        <f>TRIM(MID(SUBSTITUTE($BX$476,"~",REPT(" ",600)),3001,600))</f>
        <v/>
      </c>
    </row>
    <row r="483">
      <c r="B483" s="180">
        <f>IF($AD483="","",VALUE(LEFT($AD483,FIND("|",$AD483)-1)))</f>
        <v/>
      </c>
      <c r="C483" s="180">
        <f>IF($AD483="","","    "&amp;MID($AD483,FIND("|",$AD483)+1,FIND("|",$AD483,FIND("|",$AD483)+1)-FIND("|",$AD483)-1))</f>
        <v/>
      </c>
      <c r="D483" s="180">
        <f>IF($AD483="","",MID($AD483,FIND("|",$AD483,FIND("|",$AD483)+1)+1,FIND("|",$AD483&amp;"|",FIND("|",$AD483,FIND("|",$AD483)+1)+1)-FIND("|",$AD483,FIND("|",$AD483)+1)-1))</f>
        <v/>
      </c>
      <c r="AD483">
        <f>TRIM(MID(SUBSTITUTE($BX$476,"~",REPT(" ",600)),3601,600))</f>
        <v/>
      </c>
    </row>
    <row r="484">
      <c r="B484" s="180">
        <f>IF($AD484="","",VALUE(LEFT($AD484,FIND("|",$AD484)-1)))</f>
        <v/>
      </c>
      <c r="C484" s="180">
        <f>IF($AD484="","","    "&amp;MID($AD484,FIND("|",$AD484)+1,FIND("|",$AD484,FIND("|",$AD484)+1)-FIND("|",$AD484)-1))</f>
        <v/>
      </c>
      <c r="D484" s="180">
        <f>IF($AD484="","",MID($AD484,FIND("|",$AD484,FIND("|",$AD484)+1)+1,FIND("|",$AD484&amp;"|",FIND("|",$AD484,FIND("|",$AD484)+1)+1)-FIND("|",$AD484,FIND("|",$AD484)+1)-1))</f>
        <v/>
      </c>
      <c r="AD484">
        <f>TRIM(MID(SUBSTITUTE($BX$476,"~",REPT(" ",600)),4201,600))</f>
        <v/>
      </c>
    </row>
    <row r="485">
      <c r="B485" s="180">
        <f>IF($AD485="","",VALUE(LEFT($AD485,FIND("|",$AD485)-1)))</f>
        <v/>
      </c>
      <c r="C485" s="180">
        <f>IF($AD485="","","    "&amp;MID($AD485,FIND("|",$AD485)+1,FIND("|",$AD485,FIND("|",$AD485)+1)-FIND("|",$AD485)-1))</f>
        <v/>
      </c>
      <c r="D485" s="180">
        <f>IF($AD485="","",MID($AD485,FIND("|",$AD485,FIND("|",$AD485)+1)+1,FIND("|",$AD485&amp;"|",FIND("|",$AD485,FIND("|",$AD485)+1)+1)-FIND("|",$AD485,FIND("|",$AD485)+1)-1))</f>
        <v/>
      </c>
      <c r="AD485">
        <f>TRIM(MID(SUBSTITUTE($BX$476,"~",REPT(" ",600)),4801,600))</f>
        <v/>
      </c>
    </row>
    <row r="486">
      <c r="B486" s="180">
        <f>IF($AD486="","",VALUE(LEFT($AD486,FIND("|",$AD486)-1)))</f>
        <v/>
      </c>
      <c r="C486" s="180">
        <f>IF($AD486="","","    "&amp;MID($AD486,FIND("|",$AD486)+1,FIND("|",$AD486,FIND("|",$AD486)+1)-FIND("|",$AD486)-1))</f>
        <v/>
      </c>
      <c r="D486" s="180">
        <f>IF($AD486="","",MID($AD486,FIND("|",$AD486,FIND("|",$AD486)+1)+1,FIND("|",$AD486&amp;"|",FIND("|",$AD486,FIND("|",$AD486)+1)+1)-FIND("|",$AD486,FIND("|",$AD486)+1)-1))</f>
        <v/>
      </c>
      <c r="AD486">
        <f>TRIM(MID(SUBSTITUTE($BX$476,"~",REPT(" ",600)),5401,600))</f>
        <v/>
      </c>
    </row>
    <row r="487">
      <c r="B487" s="180">
        <f>IF($AD487="","",VALUE(LEFT($AD487,FIND("|",$AD487)-1)))</f>
        <v/>
      </c>
      <c r="C487" s="180">
        <f>IF($AD487="","","    "&amp;MID($AD487,FIND("|",$AD487)+1,FIND("|",$AD487,FIND("|",$AD487)+1)-FIND("|",$AD487)-1))</f>
        <v/>
      </c>
      <c r="D487" s="180">
        <f>IF($AD487="","",MID($AD487,FIND("|",$AD487,FIND("|",$AD487)+1)+1,FIND("|",$AD487&amp;"|",FIND("|",$AD487,FIND("|",$AD487)+1)+1)-FIND("|",$AD487,FIND("|",$AD487)+1)-1))</f>
        <v/>
      </c>
      <c r="AD487">
        <f>TRIM(MID(SUBSTITUTE($BX$476,"~",REPT(" ",600)),6001,600))</f>
        <v/>
      </c>
    </row>
    <row r="488">
      <c r="A488" s="178">
        <f>IF($AD$488=0,"",$BK$488)</f>
        <v/>
      </c>
      <c r="B488" s="178">
        <f>IF($AD$488=0,"",$AE$488)</f>
        <v/>
      </c>
      <c r="C488" s="178">
        <f>IF($AD$488=0,"",$AE$488&amp;") "&amp;IF(COUNTIFS(tk_SOFG,41,tk_HLEG,"&lt;&gt;"&amp;$BJ$488)=0,INDEX(tk_FLINE,$AD$488),INDEX(tk_FLINEN,$AD$488))&amp;IF($AJ$488="KD"," ( R.O. "&amp;TRIM(TEXT(N($AQ$488)+2.25,"# ?/??"))&amp;CHAR(34)&amp;" x "&amp;TRIM(TEXT(N($AR$488)+1,"# ?/??"))&amp;CHAR(34)&amp;" )",""))</f>
        <v/>
      </c>
      <c r="D488" s="178" t="n"/>
      <c r="E488" s="179">
        <f t="array" ref="E488">IF($AD$488=0,"",_xlfn.TEXTJOIN(", ",TRUE,IF(tk_SOFG=41,"#"&amp;tk_MARK&amp;IF(tk_HLEG="","","("&amp;tk_HLEG&amp;")")&amp;IF(tk_QTY&gt;1," ×"&amp;tk_QTY,""),"")))</f>
        <v/>
      </c>
      <c r="AD488">
        <f>IFERROR(MATCH(41,tk_SOFG,0),0)</f>
        <v/>
      </c>
      <c r="AE488">
        <f>IF($AD$488=0,0,SUMIF(tk_SOFG,41,tk_QTY))</f>
        <v/>
      </c>
      <c r="AF488">
        <f>IF($AD$488=0,"",INDEX(tk_JAMB,$AD$488))</f>
        <v/>
      </c>
      <c r="AG488">
        <f>IF($AD$488=0,"",INDEX(tk_ANCHOR,$AD$488))</f>
        <v/>
      </c>
      <c r="AH488">
        <f>IF($AD$488=0,"",INDEX(tk_ANCH,$AD$488))</f>
        <v/>
      </c>
      <c r="AI488">
        <f>IF($AD$488=0,"",INDEX(tk_BASEA,$AD$488))</f>
        <v/>
      </c>
      <c r="AJ488">
        <f>IF($AD$488=0,"",INDEX(tk_CONSTR,$AD$488))</f>
        <v/>
      </c>
      <c r="AK488">
        <f>IF($AD$488=0,"",INDEX(tk_CLOSER,$AD$488))</f>
        <v/>
      </c>
      <c r="AL488">
        <f>IF($AD$488=0,"",INDEX(tk_STRIKE,$AD$488))</f>
        <v/>
      </c>
      <c r="AM488">
        <f>IF($AD$488=0,"",INDEX(tk_HDRPREP,$AD$488))</f>
        <v/>
      </c>
      <c r="AN488">
        <f>IF($AD$488=0,"",INDEX(tk_DMIN,$AD$488))</f>
        <v/>
      </c>
      <c r="AO488">
        <f>IF($AD$488=0,"",INDEX(tk_PAIR,$AD$488))</f>
        <v/>
      </c>
      <c r="AP488">
        <f>IF($AD$488=0,"",INDEX(tk_FGA,$AD$488))</f>
        <v/>
      </c>
      <c r="AQ488">
        <f>IF($AD$488=0,"",INDEX(tk_WI,$AD$488))</f>
        <v/>
      </c>
      <c r="AR488">
        <f>IF($AD$488=0,"",INDEX(tk_HI,$AD$488))</f>
        <v/>
      </c>
      <c r="AS488">
        <f>IF($AD$488=0,"",INDEX(tk_FHINGE,$AD$488))</f>
        <v/>
      </c>
      <c r="AT488">
        <f>IF($AD$488=0,"",INDEX(tk_DHINGE,$AD$488))</f>
        <v/>
      </c>
      <c r="AU488">
        <f>IF($AD$488=0,"",INDEX(tk_HWLOC,$AD$488))</f>
        <v/>
      </c>
      <c r="AV488">
        <f>IF($AD$488=0,"",INDEX(tk_MANUF,$AD$488))</f>
        <v/>
      </c>
      <c r="AW488">
        <f>IF($AD$488=0,"",INDEX(tk_JH,$AD$488))</f>
        <v/>
      </c>
      <c r="AX488">
        <f>IF($AD$488=0,"",INDEX(tk_FDESC,$AD$488))</f>
        <v/>
      </c>
      <c r="AY488">
        <f>IF($AD$488=0,"",INDEX(tk_TRANS,$AD$488))</f>
        <v/>
      </c>
      <c r="AZ488">
        <f>IF($AD$488=0,"",INDEX(tk_SLW,$AD$488))</f>
        <v/>
      </c>
      <c r="BA488">
        <f>IF($AD$488=0,"",INDEX(tk_LEAVES,$AD$488))</f>
        <v/>
      </c>
      <c r="BB488">
        <f>IF($AD$488=0,"",INDEX(tk_LEAFW,$AD$488))</f>
        <v/>
      </c>
      <c r="BC488">
        <f>IF($AD$488=0,"",INDEX(tk_LEAFH,$AD$488))</f>
        <v/>
      </c>
      <c r="BD488">
        <f>IF($AD$488=0,"",INDEX(tk_DMAT,$AD$488))</f>
        <v/>
      </c>
      <c r="BE488">
        <f>IF($AD$488=0,"",INDEX(tk_DGA,$AD$488))</f>
        <v/>
      </c>
      <c r="BF488">
        <f>IF($AD$488=0,"",INDEX(tk_SERIES,$AD$488))</f>
        <v/>
      </c>
      <c r="BG488">
        <f>IF($AD$488=0,"",INDEX(tk_LOCK,$AD$488))</f>
        <v/>
      </c>
      <c r="BH488">
        <f>IF($AD$488=0,"",INDEX(tk_LITEKIT,$AD$488))</f>
        <v/>
      </c>
      <c r="BI488">
        <f>IF($AD$488=0,"",INDEX(tk_FACE,$AD$488))</f>
        <v/>
      </c>
      <c r="BJ488">
        <f>IF($AD$488=0,"",INDEX(tk_HLEG,$AD$488))</f>
        <v/>
      </c>
      <c r="BK488">
        <f>IF($AD$488=0,"",INDEX(tk_SOITEM,$AD$488))</f>
        <v/>
      </c>
      <c r="BL488">
        <f>IFERROR(VLOOKUP($AF$488,CODES,2,FALSE),"")</f>
        <v/>
      </c>
      <c r="BM488">
        <f>IF($AJ$488="KD","C","M")</f>
        <v/>
      </c>
      <c r="BN488">
        <f>IF(N($AR$488)&lt;=80,80,IF(N($AR$488)&lt;=84,84,IF(N($AR$488)&lt;=96,96,N($AR$488))))</f>
        <v/>
      </c>
      <c r="BO488">
        <f>INT($BN$488/12)&amp;MOD($BN$488,12)</f>
        <v/>
      </c>
      <c r="BP488">
        <f>INT(N($AQ$488)/12)&amp;MOD(N($AQ$488),12)</f>
        <v/>
      </c>
      <c r="BQ488">
        <f>IF(OR($AU$488="",$AU$488="ANSI/SDI",$AU$488="CUSTOM LOC"),IF($AV$488="CU","CURRIES","STEELCRAFT"),$AU$488)</f>
        <v/>
      </c>
      <c r="BR488">
        <f>$AO$488="Y"</f>
        <v/>
      </c>
      <c r="BS488">
        <f>"~"</f>
        <v/>
      </c>
      <c r="BT488">
        <f>N($AH$488)*N($AI$488)</f>
        <v/>
      </c>
      <c r="BU488">
        <f>IF(OR($AL$488="",$AL$488="-",$AL$488="E8"),"G18",$AL$488)</f>
        <v/>
      </c>
      <c r="BV488">
        <f>IF(OR($AS$488="",$AS$488="-"),"BLK",$AS$488)</f>
        <v/>
      </c>
      <c r="BW488">
        <f>" "&amp;$BM$488&amp;$AP$488&amp;" "</f>
        <v/>
      </c>
      <c r="BX488">
        <f>IF($AD$488=0,"",IF(OR($AG$488="SSA",$AG$488="SC"),$AE$488*$BT$488&amp;"|"&amp;$BL$488&amp;" STEEL STUD ANCHOR 2"&amp;CHAR(34)&amp;"||"&amp;$BS$488,"")&amp;IF($AG$488="WEWA-M",$AE$488*(N($AH$488)+1)*N($AI$488)&amp;"|FR101F 690 "&amp;$BL$488&amp;" MASONRY TUBE ANCHOR 16 GA||"&amp;$BS$488&amp;$AE$488*(N($AH$488)+1)*N($AI$488)&amp;"|3/8X5 SF3850 DYNO BOLTS||"&amp;$BS$488,"")&amp;IF($AG$488="WMA",$AE$488*$BT$488&amp;"|WIRE MASONRY ANCHOR||"&amp;$BS$488,"")&amp;IF($AG$488="T",$AE$488*$BT$488&amp;"|T-STRAP MASONRY ANCHOR||"&amp;$BS$488,"")&amp;IF($AG$488="WEWA-W",$AE$488*$BT$488&amp;"|P/D + WOOD SCREWS||"&amp;$BS$488,"")&amp;IF($AJ$488="WGS",$AE$488&amp;"|WELD &amp; GROUND SMOOTH||"&amp;$BS$488,"")&amp;IF(OR($AK$488="",$AK$488="-"),"",$AE$488*IF($BR$488,4,2)&amp;"|RACL/PACL-CLOSER REINF. 14GAx1-3/4x16 HRPO|"&amp;$AK$488&amp;IF($BR$488," BOTH SIDES","")&amp;"|"&amp;$BS$488)&amp;IF($AL$488="E8",$AE$488&amp;"|E8-STRIKE REINF. RIM EXIT||"&amp;$BS$488,"")&amp;IF(ISNUMBER(SEARCH("E4",$AL$488)),$AE$488&amp;"|FRAME DEADLOCK PREP||"&amp;$BS$488,"")&amp;IF($AL$488="E9",$AE$488&amp;"|ELECTRIC STRIKE PREP||"&amp;$BS$488,"")&amp;IF($AM$488="H5",$AE$488&amp;"|H5 STRIKE PREP IN HEADER||"&amp;$BS$488,IF(OR($AM$488="",$AM$488="-"),"",$AE$488&amp;"|HEADER PREP "&amp;$AM$488&amp;"||"&amp;$BS$488))&amp;IF(N($AN$488)&gt;0,$AE$488&amp;"|"&amp;$AN$488&amp;" MINUTE STEEL FRAME LABEL "&amp;IF(OR(N($AY$488)&gt;0,N($AZ$488)&gt;0),"W/TRANSOM PANEL/SIDELIGHT","CAT. C PP")&amp;"||"&amp;$BS$488,"")&amp;IF($AX$488="BL","",$AE$488&amp;"|HD "&amp;$AF$488&amp;$BW$488&amp;$BP$488&amp;" BSC||"&amp;$BS$488&amp;IF($BR$488,$AE$488&amp;"|HJ "&amp;$AF$488&amp;$BW$488&amp;"LH "&amp;$BO$488&amp;" "&amp;$BV$488&amp;" BSC "&amp;CHAR(34)&amp;$BQ$488&amp;CHAR(34)&amp;"||"&amp;$BS$488&amp;$AE$488&amp;"|HJ "&amp;$AF$488&amp;$BW$488&amp;"RH "&amp;$BO$488&amp;" "&amp;$BV$488&amp;" BSC "&amp;CHAR(34)&amp;$BQ$488&amp;CHAR(34)&amp;"||"&amp;$BS$488,$AE$488&amp;"|HJ "&amp;$AF$488&amp;$BW$488&amp;$AW$488&amp;" "&amp;$BO$488&amp;" "&amp;$BV$488&amp;" BSC "&amp;CHAR(34)&amp;$BQ$488&amp;CHAR(34)&amp;"||"&amp;$BS$488&amp;$AE$488&amp;"|SJ "&amp;$AF$488&amp;$BW$488&amp;$AW$488&amp;" "&amp;$BO$488&amp;" "&amp;$BU$488&amp;IF($BU$488="G18"," BLANK"," Y")&amp;" BSC "&amp;CHAR(34)&amp;$BQ$488&amp;CHAR(34)&amp;"||"&amp;$BS$488))&amp;IF(AND($BN$488&gt;N($AR$488),$AX$488&lt;&gt;"BL",N($AR$488)&gt;=60),$AE$488&amp;"|FRAME CUT DOWN (BOTTOM)|Cut "&amp;TRIM(TEXT($BN$488-N($AR$488),"# ?/??"))&amp;CHAR(34)&amp;" OFF THE BOTTOM|"&amp;$BS$488,""))</f>
        <v/>
      </c>
    </row>
    <row r="489">
      <c r="B489" s="180">
        <f>IF($AD489="","",VALUE(LEFT($AD489,FIND("|",$AD489)-1)))</f>
        <v/>
      </c>
      <c r="C489" s="180">
        <f>IF($AD489="","","    "&amp;MID($AD489,FIND("|",$AD489)+1,FIND("|",$AD489,FIND("|",$AD489)+1)-FIND("|",$AD489)-1))</f>
        <v/>
      </c>
      <c r="D489" s="180">
        <f>IF($AD489="","",MID($AD489,FIND("|",$AD489,FIND("|",$AD489)+1)+1,FIND("|",$AD489&amp;"|",FIND("|",$AD489,FIND("|",$AD489)+1)+1)-FIND("|",$AD489,FIND("|",$AD489)+1)-1))</f>
        <v/>
      </c>
      <c r="AD489">
        <f>TRIM(MID(SUBSTITUTE($BX$488,"~",REPT(" ",600)),1,600))</f>
        <v/>
      </c>
    </row>
    <row r="490">
      <c r="B490" s="180">
        <f>IF($AD490="","",VALUE(LEFT($AD490,FIND("|",$AD490)-1)))</f>
        <v/>
      </c>
      <c r="C490" s="180">
        <f>IF($AD490="","","    "&amp;MID($AD490,FIND("|",$AD490)+1,FIND("|",$AD490,FIND("|",$AD490)+1)-FIND("|",$AD490)-1))</f>
        <v/>
      </c>
      <c r="D490" s="180">
        <f>IF($AD490="","",MID($AD490,FIND("|",$AD490,FIND("|",$AD490)+1)+1,FIND("|",$AD490&amp;"|",FIND("|",$AD490,FIND("|",$AD490)+1)+1)-FIND("|",$AD490,FIND("|",$AD490)+1)-1))</f>
        <v/>
      </c>
      <c r="AD490">
        <f>TRIM(MID(SUBSTITUTE($BX$488,"~",REPT(" ",600)),601,600))</f>
        <v/>
      </c>
    </row>
    <row r="491">
      <c r="B491" s="180">
        <f>IF($AD491="","",VALUE(LEFT($AD491,FIND("|",$AD491)-1)))</f>
        <v/>
      </c>
      <c r="C491" s="180">
        <f>IF($AD491="","","    "&amp;MID($AD491,FIND("|",$AD491)+1,FIND("|",$AD491,FIND("|",$AD491)+1)-FIND("|",$AD491)-1))</f>
        <v/>
      </c>
      <c r="D491" s="180">
        <f>IF($AD491="","",MID($AD491,FIND("|",$AD491,FIND("|",$AD491)+1)+1,FIND("|",$AD491&amp;"|",FIND("|",$AD491,FIND("|",$AD491)+1)+1)-FIND("|",$AD491,FIND("|",$AD491)+1)-1))</f>
        <v/>
      </c>
      <c r="AD491">
        <f>TRIM(MID(SUBSTITUTE($BX$488,"~",REPT(" ",600)),1201,600))</f>
        <v/>
      </c>
    </row>
    <row r="492">
      <c r="B492" s="180">
        <f>IF($AD492="","",VALUE(LEFT($AD492,FIND("|",$AD492)-1)))</f>
        <v/>
      </c>
      <c r="C492" s="180">
        <f>IF($AD492="","","    "&amp;MID($AD492,FIND("|",$AD492)+1,FIND("|",$AD492,FIND("|",$AD492)+1)-FIND("|",$AD492)-1))</f>
        <v/>
      </c>
      <c r="D492" s="180">
        <f>IF($AD492="","",MID($AD492,FIND("|",$AD492,FIND("|",$AD492)+1)+1,FIND("|",$AD492&amp;"|",FIND("|",$AD492,FIND("|",$AD492)+1)+1)-FIND("|",$AD492,FIND("|",$AD492)+1)-1))</f>
        <v/>
      </c>
      <c r="AD492">
        <f>TRIM(MID(SUBSTITUTE($BX$488,"~",REPT(" ",600)),1801,600))</f>
        <v/>
      </c>
    </row>
    <row r="493">
      <c r="B493" s="180">
        <f>IF($AD493="","",VALUE(LEFT($AD493,FIND("|",$AD493)-1)))</f>
        <v/>
      </c>
      <c r="C493" s="180">
        <f>IF($AD493="","","    "&amp;MID($AD493,FIND("|",$AD493)+1,FIND("|",$AD493,FIND("|",$AD493)+1)-FIND("|",$AD493)-1))</f>
        <v/>
      </c>
      <c r="D493" s="180">
        <f>IF($AD493="","",MID($AD493,FIND("|",$AD493,FIND("|",$AD493)+1)+1,FIND("|",$AD493&amp;"|",FIND("|",$AD493,FIND("|",$AD493)+1)+1)-FIND("|",$AD493,FIND("|",$AD493)+1)-1))</f>
        <v/>
      </c>
      <c r="AD493">
        <f>TRIM(MID(SUBSTITUTE($BX$488,"~",REPT(" ",600)),2401,600))</f>
        <v/>
      </c>
    </row>
    <row r="494">
      <c r="B494" s="180">
        <f>IF($AD494="","",VALUE(LEFT($AD494,FIND("|",$AD494)-1)))</f>
        <v/>
      </c>
      <c r="C494" s="180">
        <f>IF($AD494="","","    "&amp;MID($AD494,FIND("|",$AD494)+1,FIND("|",$AD494,FIND("|",$AD494)+1)-FIND("|",$AD494)-1))</f>
        <v/>
      </c>
      <c r="D494" s="180">
        <f>IF($AD494="","",MID($AD494,FIND("|",$AD494,FIND("|",$AD494)+1)+1,FIND("|",$AD494&amp;"|",FIND("|",$AD494,FIND("|",$AD494)+1)+1)-FIND("|",$AD494,FIND("|",$AD494)+1)-1))</f>
        <v/>
      </c>
      <c r="AD494">
        <f>TRIM(MID(SUBSTITUTE($BX$488,"~",REPT(" ",600)),3001,600))</f>
        <v/>
      </c>
    </row>
    <row r="495">
      <c r="B495" s="180">
        <f>IF($AD495="","",VALUE(LEFT($AD495,FIND("|",$AD495)-1)))</f>
        <v/>
      </c>
      <c r="C495" s="180">
        <f>IF($AD495="","","    "&amp;MID($AD495,FIND("|",$AD495)+1,FIND("|",$AD495,FIND("|",$AD495)+1)-FIND("|",$AD495)-1))</f>
        <v/>
      </c>
      <c r="D495" s="180">
        <f>IF($AD495="","",MID($AD495,FIND("|",$AD495,FIND("|",$AD495)+1)+1,FIND("|",$AD495&amp;"|",FIND("|",$AD495,FIND("|",$AD495)+1)+1)-FIND("|",$AD495,FIND("|",$AD495)+1)-1))</f>
        <v/>
      </c>
      <c r="AD495">
        <f>TRIM(MID(SUBSTITUTE($BX$488,"~",REPT(" ",600)),3601,600))</f>
        <v/>
      </c>
    </row>
    <row r="496">
      <c r="B496" s="180">
        <f>IF($AD496="","",VALUE(LEFT($AD496,FIND("|",$AD496)-1)))</f>
        <v/>
      </c>
      <c r="C496" s="180">
        <f>IF($AD496="","","    "&amp;MID($AD496,FIND("|",$AD496)+1,FIND("|",$AD496,FIND("|",$AD496)+1)-FIND("|",$AD496)-1))</f>
        <v/>
      </c>
      <c r="D496" s="180">
        <f>IF($AD496="","",MID($AD496,FIND("|",$AD496,FIND("|",$AD496)+1)+1,FIND("|",$AD496&amp;"|",FIND("|",$AD496,FIND("|",$AD496)+1)+1)-FIND("|",$AD496,FIND("|",$AD496)+1)-1))</f>
        <v/>
      </c>
      <c r="AD496">
        <f>TRIM(MID(SUBSTITUTE($BX$488,"~",REPT(" ",600)),4201,600))</f>
        <v/>
      </c>
    </row>
    <row r="497">
      <c r="B497" s="180">
        <f>IF($AD497="","",VALUE(LEFT($AD497,FIND("|",$AD497)-1)))</f>
        <v/>
      </c>
      <c r="C497" s="180">
        <f>IF($AD497="","","    "&amp;MID($AD497,FIND("|",$AD497)+1,FIND("|",$AD497,FIND("|",$AD497)+1)-FIND("|",$AD497)-1))</f>
        <v/>
      </c>
      <c r="D497" s="180">
        <f>IF($AD497="","",MID($AD497,FIND("|",$AD497,FIND("|",$AD497)+1)+1,FIND("|",$AD497&amp;"|",FIND("|",$AD497,FIND("|",$AD497)+1)+1)-FIND("|",$AD497,FIND("|",$AD497)+1)-1))</f>
        <v/>
      </c>
      <c r="AD497">
        <f>TRIM(MID(SUBSTITUTE($BX$488,"~",REPT(" ",600)),4801,600))</f>
        <v/>
      </c>
    </row>
    <row r="498">
      <c r="B498" s="180">
        <f>IF($AD498="","",VALUE(LEFT($AD498,FIND("|",$AD498)-1)))</f>
        <v/>
      </c>
      <c r="C498" s="180">
        <f>IF($AD498="","","    "&amp;MID($AD498,FIND("|",$AD498)+1,FIND("|",$AD498,FIND("|",$AD498)+1)-FIND("|",$AD498)-1))</f>
        <v/>
      </c>
      <c r="D498" s="180">
        <f>IF($AD498="","",MID($AD498,FIND("|",$AD498,FIND("|",$AD498)+1)+1,FIND("|",$AD498&amp;"|",FIND("|",$AD498,FIND("|",$AD498)+1)+1)-FIND("|",$AD498,FIND("|",$AD498)+1)-1))</f>
        <v/>
      </c>
      <c r="AD498">
        <f>TRIM(MID(SUBSTITUTE($BX$488,"~",REPT(" ",600)),5401,600))</f>
        <v/>
      </c>
    </row>
    <row r="499">
      <c r="B499" s="180">
        <f>IF($AD499="","",VALUE(LEFT($AD499,FIND("|",$AD499)-1)))</f>
        <v/>
      </c>
      <c r="C499" s="180">
        <f>IF($AD499="","","    "&amp;MID($AD499,FIND("|",$AD499)+1,FIND("|",$AD499,FIND("|",$AD499)+1)-FIND("|",$AD499)-1))</f>
        <v/>
      </c>
      <c r="D499" s="180">
        <f>IF($AD499="","",MID($AD499,FIND("|",$AD499,FIND("|",$AD499)+1)+1,FIND("|",$AD499&amp;"|",FIND("|",$AD499,FIND("|",$AD499)+1)+1)-FIND("|",$AD499,FIND("|",$AD499)+1)-1))</f>
        <v/>
      </c>
      <c r="AD499">
        <f>TRIM(MID(SUBSTITUTE($BX$488,"~",REPT(" ",600)),6001,600))</f>
        <v/>
      </c>
    </row>
    <row r="500">
      <c r="A500" s="178">
        <f>IF($AD$500=0,"",$BK$500)</f>
        <v/>
      </c>
      <c r="B500" s="178">
        <f>IF($AD$500=0,"",$AE$500)</f>
        <v/>
      </c>
      <c r="C500" s="178">
        <f>IF($AD$500=0,"",$AE$500&amp;") "&amp;IF(COUNTIFS(tk_SOFG,42,tk_HLEG,"&lt;&gt;"&amp;$BJ$500)=0,INDEX(tk_FLINE,$AD$500),INDEX(tk_FLINEN,$AD$500))&amp;IF($AJ$500="KD"," ( R.O. "&amp;TRIM(TEXT(N($AQ$500)+2.25,"# ?/??"))&amp;CHAR(34)&amp;" x "&amp;TRIM(TEXT(N($AR$500)+1,"# ?/??"))&amp;CHAR(34)&amp;" )",""))</f>
        <v/>
      </c>
      <c r="D500" s="178" t="n"/>
      <c r="E500" s="179">
        <f t="array" ref="E500">IF($AD$500=0,"",_xlfn.TEXTJOIN(", ",TRUE,IF(tk_SOFG=42,"#"&amp;tk_MARK&amp;IF(tk_HLEG="","","("&amp;tk_HLEG&amp;")")&amp;IF(tk_QTY&gt;1," ×"&amp;tk_QTY,""),"")))</f>
        <v/>
      </c>
      <c r="AD500">
        <f>IFERROR(MATCH(42,tk_SOFG,0),0)</f>
        <v/>
      </c>
      <c r="AE500">
        <f>IF($AD$500=0,0,SUMIF(tk_SOFG,42,tk_QTY))</f>
        <v/>
      </c>
      <c r="AF500">
        <f>IF($AD$500=0,"",INDEX(tk_JAMB,$AD$500))</f>
        <v/>
      </c>
      <c r="AG500">
        <f>IF($AD$500=0,"",INDEX(tk_ANCHOR,$AD$500))</f>
        <v/>
      </c>
      <c r="AH500">
        <f>IF($AD$500=0,"",INDEX(tk_ANCH,$AD$500))</f>
        <v/>
      </c>
      <c r="AI500">
        <f>IF($AD$500=0,"",INDEX(tk_BASEA,$AD$500))</f>
        <v/>
      </c>
      <c r="AJ500">
        <f>IF($AD$500=0,"",INDEX(tk_CONSTR,$AD$500))</f>
        <v/>
      </c>
      <c r="AK500">
        <f>IF($AD$500=0,"",INDEX(tk_CLOSER,$AD$500))</f>
        <v/>
      </c>
      <c r="AL500">
        <f>IF($AD$500=0,"",INDEX(tk_STRIKE,$AD$500))</f>
        <v/>
      </c>
      <c r="AM500">
        <f>IF($AD$500=0,"",INDEX(tk_HDRPREP,$AD$500))</f>
        <v/>
      </c>
      <c r="AN500">
        <f>IF($AD$500=0,"",INDEX(tk_DMIN,$AD$500))</f>
        <v/>
      </c>
      <c r="AO500">
        <f>IF($AD$500=0,"",INDEX(tk_PAIR,$AD$500))</f>
        <v/>
      </c>
      <c r="AP500">
        <f>IF($AD$500=0,"",INDEX(tk_FGA,$AD$500))</f>
        <v/>
      </c>
      <c r="AQ500">
        <f>IF($AD$500=0,"",INDEX(tk_WI,$AD$500))</f>
        <v/>
      </c>
      <c r="AR500">
        <f>IF($AD$500=0,"",INDEX(tk_HI,$AD$500))</f>
        <v/>
      </c>
      <c r="AS500">
        <f>IF($AD$500=0,"",INDEX(tk_FHINGE,$AD$500))</f>
        <v/>
      </c>
      <c r="AT500">
        <f>IF($AD$500=0,"",INDEX(tk_DHINGE,$AD$500))</f>
        <v/>
      </c>
      <c r="AU500">
        <f>IF($AD$500=0,"",INDEX(tk_HWLOC,$AD$500))</f>
        <v/>
      </c>
      <c r="AV500">
        <f>IF($AD$500=0,"",INDEX(tk_MANUF,$AD$500))</f>
        <v/>
      </c>
      <c r="AW500">
        <f>IF($AD$500=0,"",INDEX(tk_JH,$AD$500))</f>
        <v/>
      </c>
      <c r="AX500">
        <f>IF($AD$500=0,"",INDEX(tk_FDESC,$AD$500))</f>
        <v/>
      </c>
      <c r="AY500">
        <f>IF($AD$500=0,"",INDEX(tk_TRANS,$AD$500))</f>
        <v/>
      </c>
      <c r="AZ500">
        <f>IF($AD$500=0,"",INDEX(tk_SLW,$AD$500))</f>
        <v/>
      </c>
      <c r="BA500">
        <f>IF($AD$500=0,"",INDEX(tk_LEAVES,$AD$500))</f>
        <v/>
      </c>
      <c r="BB500">
        <f>IF($AD$500=0,"",INDEX(tk_LEAFW,$AD$500))</f>
        <v/>
      </c>
      <c r="BC500">
        <f>IF($AD$500=0,"",INDEX(tk_LEAFH,$AD$500))</f>
        <v/>
      </c>
      <c r="BD500">
        <f>IF($AD$500=0,"",INDEX(tk_DMAT,$AD$500))</f>
        <v/>
      </c>
      <c r="BE500">
        <f>IF($AD$500=0,"",INDEX(tk_DGA,$AD$500))</f>
        <v/>
      </c>
      <c r="BF500">
        <f>IF($AD$500=0,"",INDEX(tk_SERIES,$AD$500))</f>
        <v/>
      </c>
      <c r="BG500">
        <f>IF($AD$500=0,"",INDEX(tk_LOCK,$AD$500))</f>
        <v/>
      </c>
      <c r="BH500">
        <f>IF($AD$500=0,"",INDEX(tk_LITEKIT,$AD$500))</f>
        <v/>
      </c>
      <c r="BI500">
        <f>IF($AD$500=0,"",INDEX(tk_FACE,$AD$500))</f>
        <v/>
      </c>
      <c r="BJ500">
        <f>IF($AD$500=0,"",INDEX(tk_HLEG,$AD$500))</f>
        <v/>
      </c>
      <c r="BK500">
        <f>IF($AD$500=0,"",INDEX(tk_SOITEM,$AD$500))</f>
        <v/>
      </c>
      <c r="BL500">
        <f>IFERROR(VLOOKUP($AF$500,CODES,2,FALSE),"")</f>
        <v/>
      </c>
      <c r="BM500">
        <f>IF($AJ$500="KD","C","M")</f>
        <v/>
      </c>
      <c r="BN500">
        <f>IF(N($AR$500)&lt;=80,80,IF(N($AR$500)&lt;=84,84,IF(N($AR$500)&lt;=96,96,N($AR$500))))</f>
        <v/>
      </c>
      <c r="BO500">
        <f>INT($BN$500/12)&amp;MOD($BN$500,12)</f>
        <v/>
      </c>
      <c r="BP500">
        <f>INT(N($AQ$500)/12)&amp;MOD(N($AQ$500),12)</f>
        <v/>
      </c>
      <c r="BQ500">
        <f>IF(OR($AU$500="",$AU$500="ANSI/SDI",$AU$500="CUSTOM LOC"),IF($AV$500="CU","CURRIES","STEELCRAFT"),$AU$500)</f>
        <v/>
      </c>
      <c r="BR500">
        <f>$AO$500="Y"</f>
        <v/>
      </c>
      <c r="BS500">
        <f>"~"</f>
        <v/>
      </c>
      <c r="BT500">
        <f>N($AH$500)*N($AI$500)</f>
        <v/>
      </c>
      <c r="BU500">
        <f>IF(OR($AL$500="",$AL$500="-",$AL$500="E8"),"G18",$AL$500)</f>
        <v/>
      </c>
      <c r="BV500">
        <f>IF(OR($AS$500="",$AS$500="-"),"BLK",$AS$500)</f>
        <v/>
      </c>
      <c r="BW500">
        <f>" "&amp;$BM$500&amp;$AP$500&amp;" "</f>
        <v/>
      </c>
      <c r="BX500">
        <f>IF($AD$500=0,"",IF(OR($AG$500="SSA",$AG$500="SC"),$AE$500*$BT$500&amp;"|"&amp;$BL$500&amp;" STEEL STUD ANCHOR 2"&amp;CHAR(34)&amp;"||"&amp;$BS$500,"")&amp;IF($AG$500="WEWA-M",$AE$500*(N($AH$500)+1)*N($AI$500)&amp;"|FR101F 690 "&amp;$BL$500&amp;" MASONRY TUBE ANCHOR 16 GA||"&amp;$BS$500&amp;$AE$500*(N($AH$500)+1)*N($AI$500)&amp;"|3/8X5 SF3850 DYNO BOLTS||"&amp;$BS$500,"")&amp;IF($AG$500="WMA",$AE$500*$BT$500&amp;"|WIRE MASONRY ANCHOR||"&amp;$BS$500,"")&amp;IF($AG$500="T",$AE$500*$BT$500&amp;"|T-STRAP MASONRY ANCHOR||"&amp;$BS$500,"")&amp;IF($AG$500="WEWA-W",$AE$500*$BT$500&amp;"|P/D + WOOD SCREWS||"&amp;$BS$500,"")&amp;IF($AJ$500="WGS",$AE$500&amp;"|WELD &amp; GROUND SMOOTH||"&amp;$BS$500,"")&amp;IF(OR($AK$500="",$AK$500="-"),"",$AE$500*IF($BR$500,4,2)&amp;"|RACL/PACL-CLOSER REINF. 14GAx1-3/4x16 HRPO|"&amp;$AK$500&amp;IF($BR$500," BOTH SIDES","")&amp;"|"&amp;$BS$500)&amp;IF($AL$500="E8",$AE$500&amp;"|E8-STRIKE REINF. RIM EXIT||"&amp;$BS$500,"")&amp;IF(ISNUMBER(SEARCH("E4",$AL$500)),$AE$500&amp;"|FRAME DEADLOCK PREP||"&amp;$BS$500,"")&amp;IF($AL$500="E9",$AE$500&amp;"|ELECTRIC STRIKE PREP||"&amp;$BS$500,"")&amp;IF($AM$500="H5",$AE$500&amp;"|H5 STRIKE PREP IN HEADER||"&amp;$BS$500,IF(OR($AM$500="",$AM$500="-"),"",$AE$500&amp;"|HEADER PREP "&amp;$AM$500&amp;"||"&amp;$BS$500))&amp;IF(N($AN$500)&gt;0,$AE$500&amp;"|"&amp;$AN$500&amp;" MINUTE STEEL FRAME LABEL "&amp;IF(OR(N($AY$500)&gt;0,N($AZ$500)&gt;0),"W/TRANSOM PANEL/SIDELIGHT","CAT. C PP")&amp;"||"&amp;$BS$500,"")&amp;IF($AX$500="BL","",$AE$500&amp;"|HD "&amp;$AF$500&amp;$BW$500&amp;$BP$500&amp;" BSC||"&amp;$BS$500&amp;IF($BR$500,$AE$500&amp;"|HJ "&amp;$AF$500&amp;$BW$500&amp;"LH "&amp;$BO$500&amp;" "&amp;$BV$500&amp;" BSC "&amp;CHAR(34)&amp;$BQ$500&amp;CHAR(34)&amp;"||"&amp;$BS$500&amp;$AE$500&amp;"|HJ "&amp;$AF$500&amp;$BW$500&amp;"RH "&amp;$BO$500&amp;" "&amp;$BV$500&amp;" BSC "&amp;CHAR(34)&amp;$BQ$500&amp;CHAR(34)&amp;"||"&amp;$BS$500,$AE$500&amp;"|HJ "&amp;$AF$500&amp;$BW$500&amp;$AW$500&amp;" "&amp;$BO$500&amp;" "&amp;$BV$500&amp;" BSC "&amp;CHAR(34)&amp;$BQ$500&amp;CHAR(34)&amp;"||"&amp;$BS$500&amp;$AE$500&amp;"|SJ "&amp;$AF$500&amp;$BW$500&amp;$AW$500&amp;" "&amp;$BO$500&amp;" "&amp;$BU$500&amp;IF($BU$500="G18"," BLANK"," Y")&amp;" BSC "&amp;CHAR(34)&amp;$BQ$500&amp;CHAR(34)&amp;"||"&amp;$BS$500))&amp;IF(AND($BN$500&gt;N($AR$500),$AX$500&lt;&gt;"BL",N($AR$500)&gt;=60),$AE$500&amp;"|FRAME CUT DOWN (BOTTOM)|Cut "&amp;TRIM(TEXT($BN$500-N($AR$500),"# ?/??"))&amp;CHAR(34)&amp;" OFF THE BOTTOM|"&amp;$BS$500,""))</f>
        <v/>
      </c>
    </row>
    <row r="501">
      <c r="B501" s="180">
        <f>IF($AD501="","",VALUE(LEFT($AD501,FIND("|",$AD501)-1)))</f>
        <v/>
      </c>
      <c r="C501" s="180">
        <f>IF($AD501="","","    "&amp;MID($AD501,FIND("|",$AD501)+1,FIND("|",$AD501,FIND("|",$AD501)+1)-FIND("|",$AD501)-1))</f>
        <v/>
      </c>
      <c r="D501" s="180">
        <f>IF($AD501="","",MID($AD501,FIND("|",$AD501,FIND("|",$AD501)+1)+1,FIND("|",$AD501&amp;"|",FIND("|",$AD501,FIND("|",$AD501)+1)+1)-FIND("|",$AD501,FIND("|",$AD501)+1)-1))</f>
        <v/>
      </c>
      <c r="AD501">
        <f>TRIM(MID(SUBSTITUTE($BX$500,"~",REPT(" ",600)),1,600))</f>
        <v/>
      </c>
    </row>
    <row r="502">
      <c r="B502" s="180">
        <f>IF($AD502="","",VALUE(LEFT($AD502,FIND("|",$AD502)-1)))</f>
        <v/>
      </c>
      <c r="C502" s="180">
        <f>IF($AD502="","","    "&amp;MID($AD502,FIND("|",$AD502)+1,FIND("|",$AD502,FIND("|",$AD502)+1)-FIND("|",$AD502)-1))</f>
        <v/>
      </c>
      <c r="D502" s="180">
        <f>IF($AD502="","",MID($AD502,FIND("|",$AD502,FIND("|",$AD502)+1)+1,FIND("|",$AD502&amp;"|",FIND("|",$AD502,FIND("|",$AD502)+1)+1)-FIND("|",$AD502,FIND("|",$AD502)+1)-1))</f>
        <v/>
      </c>
      <c r="AD502">
        <f>TRIM(MID(SUBSTITUTE($BX$500,"~",REPT(" ",600)),601,600))</f>
        <v/>
      </c>
    </row>
    <row r="503">
      <c r="B503" s="180">
        <f>IF($AD503="","",VALUE(LEFT($AD503,FIND("|",$AD503)-1)))</f>
        <v/>
      </c>
      <c r="C503" s="180">
        <f>IF($AD503="","","    "&amp;MID($AD503,FIND("|",$AD503)+1,FIND("|",$AD503,FIND("|",$AD503)+1)-FIND("|",$AD503)-1))</f>
        <v/>
      </c>
      <c r="D503" s="180">
        <f>IF($AD503="","",MID($AD503,FIND("|",$AD503,FIND("|",$AD503)+1)+1,FIND("|",$AD503&amp;"|",FIND("|",$AD503,FIND("|",$AD503)+1)+1)-FIND("|",$AD503,FIND("|",$AD503)+1)-1))</f>
        <v/>
      </c>
      <c r="AD503">
        <f>TRIM(MID(SUBSTITUTE($BX$500,"~",REPT(" ",600)),1201,600))</f>
        <v/>
      </c>
    </row>
    <row r="504">
      <c r="B504" s="180">
        <f>IF($AD504="","",VALUE(LEFT($AD504,FIND("|",$AD504)-1)))</f>
        <v/>
      </c>
      <c r="C504" s="180">
        <f>IF($AD504="","","    "&amp;MID($AD504,FIND("|",$AD504)+1,FIND("|",$AD504,FIND("|",$AD504)+1)-FIND("|",$AD504)-1))</f>
        <v/>
      </c>
      <c r="D504" s="180">
        <f>IF($AD504="","",MID($AD504,FIND("|",$AD504,FIND("|",$AD504)+1)+1,FIND("|",$AD504&amp;"|",FIND("|",$AD504,FIND("|",$AD504)+1)+1)-FIND("|",$AD504,FIND("|",$AD504)+1)-1))</f>
        <v/>
      </c>
      <c r="AD504">
        <f>TRIM(MID(SUBSTITUTE($BX$500,"~",REPT(" ",600)),1801,600))</f>
        <v/>
      </c>
    </row>
    <row r="505">
      <c r="B505" s="180">
        <f>IF($AD505="","",VALUE(LEFT($AD505,FIND("|",$AD505)-1)))</f>
        <v/>
      </c>
      <c r="C505" s="180">
        <f>IF($AD505="","","    "&amp;MID($AD505,FIND("|",$AD505)+1,FIND("|",$AD505,FIND("|",$AD505)+1)-FIND("|",$AD505)-1))</f>
        <v/>
      </c>
      <c r="D505" s="180">
        <f>IF($AD505="","",MID($AD505,FIND("|",$AD505,FIND("|",$AD505)+1)+1,FIND("|",$AD505&amp;"|",FIND("|",$AD505,FIND("|",$AD505)+1)+1)-FIND("|",$AD505,FIND("|",$AD505)+1)-1))</f>
        <v/>
      </c>
      <c r="AD505">
        <f>TRIM(MID(SUBSTITUTE($BX$500,"~",REPT(" ",600)),2401,600))</f>
        <v/>
      </c>
    </row>
    <row r="506">
      <c r="B506" s="180">
        <f>IF($AD506="","",VALUE(LEFT($AD506,FIND("|",$AD506)-1)))</f>
        <v/>
      </c>
      <c r="C506" s="180">
        <f>IF($AD506="","","    "&amp;MID($AD506,FIND("|",$AD506)+1,FIND("|",$AD506,FIND("|",$AD506)+1)-FIND("|",$AD506)-1))</f>
        <v/>
      </c>
      <c r="D506" s="180">
        <f>IF($AD506="","",MID($AD506,FIND("|",$AD506,FIND("|",$AD506)+1)+1,FIND("|",$AD506&amp;"|",FIND("|",$AD506,FIND("|",$AD506)+1)+1)-FIND("|",$AD506,FIND("|",$AD506)+1)-1))</f>
        <v/>
      </c>
      <c r="AD506">
        <f>TRIM(MID(SUBSTITUTE($BX$500,"~",REPT(" ",600)),3001,600))</f>
        <v/>
      </c>
    </row>
    <row r="507">
      <c r="B507" s="180">
        <f>IF($AD507="","",VALUE(LEFT($AD507,FIND("|",$AD507)-1)))</f>
        <v/>
      </c>
      <c r="C507" s="180">
        <f>IF($AD507="","","    "&amp;MID($AD507,FIND("|",$AD507)+1,FIND("|",$AD507,FIND("|",$AD507)+1)-FIND("|",$AD507)-1))</f>
        <v/>
      </c>
      <c r="D507" s="180">
        <f>IF($AD507="","",MID($AD507,FIND("|",$AD507,FIND("|",$AD507)+1)+1,FIND("|",$AD507&amp;"|",FIND("|",$AD507,FIND("|",$AD507)+1)+1)-FIND("|",$AD507,FIND("|",$AD507)+1)-1))</f>
        <v/>
      </c>
      <c r="AD507">
        <f>TRIM(MID(SUBSTITUTE($BX$500,"~",REPT(" ",600)),3601,600))</f>
        <v/>
      </c>
    </row>
    <row r="508">
      <c r="B508" s="180">
        <f>IF($AD508="","",VALUE(LEFT($AD508,FIND("|",$AD508)-1)))</f>
        <v/>
      </c>
      <c r="C508" s="180">
        <f>IF($AD508="","","    "&amp;MID($AD508,FIND("|",$AD508)+1,FIND("|",$AD508,FIND("|",$AD508)+1)-FIND("|",$AD508)-1))</f>
        <v/>
      </c>
      <c r="D508" s="180">
        <f>IF($AD508="","",MID($AD508,FIND("|",$AD508,FIND("|",$AD508)+1)+1,FIND("|",$AD508&amp;"|",FIND("|",$AD508,FIND("|",$AD508)+1)+1)-FIND("|",$AD508,FIND("|",$AD508)+1)-1))</f>
        <v/>
      </c>
      <c r="AD508">
        <f>TRIM(MID(SUBSTITUTE($BX$500,"~",REPT(" ",600)),4201,600))</f>
        <v/>
      </c>
    </row>
    <row r="509">
      <c r="B509" s="180">
        <f>IF($AD509="","",VALUE(LEFT($AD509,FIND("|",$AD509)-1)))</f>
        <v/>
      </c>
      <c r="C509" s="180">
        <f>IF($AD509="","","    "&amp;MID($AD509,FIND("|",$AD509)+1,FIND("|",$AD509,FIND("|",$AD509)+1)-FIND("|",$AD509)-1))</f>
        <v/>
      </c>
      <c r="D509" s="180">
        <f>IF($AD509="","",MID($AD509,FIND("|",$AD509,FIND("|",$AD509)+1)+1,FIND("|",$AD509&amp;"|",FIND("|",$AD509,FIND("|",$AD509)+1)+1)-FIND("|",$AD509,FIND("|",$AD509)+1)-1))</f>
        <v/>
      </c>
      <c r="AD509">
        <f>TRIM(MID(SUBSTITUTE($BX$500,"~",REPT(" ",600)),4801,600))</f>
        <v/>
      </c>
    </row>
    <row r="510">
      <c r="B510" s="180">
        <f>IF($AD510="","",VALUE(LEFT($AD510,FIND("|",$AD510)-1)))</f>
        <v/>
      </c>
      <c r="C510" s="180">
        <f>IF($AD510="","","    "&amp;MID($AD510,FIND("|",$AD510)+1,FIND("|",$AD510,FIND("|",$AD510)+1)-FIND("|",$AD510)-1))</f>
        <v/>
      </c>
      <c r="D510" s="180">
        <f>IF($AD510="","",MID($AD510,FIND("|",$AD510,FIND("|",$AD510)+1)+1,FIND("|",$AD510&amp;"|",FIND("|",$AD510,FIND("|",$AD510)+1)+1)-FIND("|",$AD510,FIND("|",$AD510)+1)-1))</f>
        <v/>
      </c>
      <c r="AD510">
        <f>TRIM(MID(SUBSTITUTE($BX$500,"~",REPT(" ",600)),5401,600))</f>
        <v/>
      </c>
    </row>
    <row r="511">
      <c r="B511" s="180">
        <f>IF($AD511="","",VALUE(LEFT($AD511,FIND("|",$AD511)-1)))</f>
        <v/>
      </c>
      <c r="C511" s="180">
        <f>IF($AD511="","","    "&amp;MID($AD511,FIND("|",$AD511)+1,FIND("|",$AD511,FIND("|",$AD511)+1)-FIND("|",$AD511)-1))</f>
        <v/>
      </c>
      <c r="D511" s="180">
        <f>IF($AD511="","",MID($AD511,FIND("|",$AD511,FIND("|",$AD511)+1)+1,FIND("|",$AD511&amp;"|",FIND("|",$AD511,FIND("|",$AD511)+1)+1)-FIND("|",$AD511,FIND("|",$AD511)+1)-1))</f>
        <v/>
      </c>
      <c r="AD511">
        <f>TRIM(MID(SUBSTITUTE($BX$500,"~",REPT(" ",600)),6001,600))</f>
        <v/>
      </c>
    </row>
    <row r="512">
      <c r="A512" s="178">
        <f>IF($AD$512=0,"",$BK$512)</f>
        <v/>
      </c>
      <c r="B512" s="178">
        <f>IF($AD$512=0,"",$AE$512)</f>
        <v/>
      </c>
      <c r="C512" s="178">
        <f>IF($AD$512=0,"",$AE$512&amp;") "&amp;IF(COUNTIFS(tk_SOFG,43,tk_HLEG,"&lt;&gt;"&amp;$BJ$512)=0,INDEX(tk_FLINE,$AD$512),INDEX(tk_FLINEN,$AD$512))&amp;IF($AJ$512="KD"," ( R.O. "&amp;TRIM(TEXT(N($AQ$512)+2.25,"# ?/??"))&amp;CHAR(34)&amp;" x "&amp;TRIM(TEXT(N($AR$512)+1,"# ?/??"))&amp;CHAR(34)&amp;" )",""))</f>
        <v/>
      </c>
      <c r="D512" s="178" t="n"/>
      <c r="E512" s="179">
        <f t="array" ref="E512">IF($AD$512=0,"",_xlfn.TEXTJOIN(", ",TRUE,IF(tk_SOFG=43,"#"&amp;tk_MARK&amp;IF(tk_HLEG="","","("&amp;tk_HLEG&amp;")")&amp;IF(tk_QTY&gt;1," ×"&amp;tk_QTY,""),"")))</f>
        <v/>
      </c>
      <c r="AD512">
        <f>IFERROR(MATCH(43,tk_SOFG,0),0)</f>
        <v/>
      </c>
      <c r="AE512">
        <f>IF($AD$512=0,0,SUMIF(tk_SOFG,43,tk_QTY))</f>
        <v/>
      </c>
      <c r="AF512">
        <f>IF($AD$512=0,"",INDEX(tk_JAMB,$AD$512))</f>
        <v/>
      </c>
      <c r="AG512">
        <f>IF($AD$512=0,"",INDEX(tk_ANCHOR,$AD$512))</f>
        <v/>
      </c>
      <c r="AH512">
        <f>IF($AD$512=0,"",INDEX(tk_ANCH,$AD$512))</f>
        <v/>
      </c>
      <c r="AI512">
        <f>IF($AD$512=0,"",INDEX(tk_BASEA,$AD$512))</f>
        <v/>
      </c>
      <c r="AJ512">
        <f>IF($AD$512=0,"",INDEX(tk_CONSTR,$AD$512))</f>
        <v/>
      </c>
      <c r="AK512">
        <f>IF($AD$512=0,"",INDEX(tk_CLOSER,$AD$512))</f>
        <v/>
      </c>
      <c r="AL512">
        <f>IF($AD$512=0,"",INDEX(tk_STRIKE,$AD$512))</f>
        <v/>
      </c>
      <c r="AM512">
        <f>IF($AD$512=0,"",INDEX(tk_HDRPREP,$AD$512))</f>
        <v/>
      </c>
      <c r="AN512">
        <f>IF($AD$512=0,"",INDEX(tk_DMIN,$AD$512))</f>
        <v/>
      </c>
      <c r="AO512">
        <f>IF($AD$512=0,"",INDEX(tk_PAIR,$AD$512))</f>
        <v/>
      </c>
      <c r="AP512">
        <f>IF($AD$512=0,"",INDEX(tk_FGA,$AD$512))</f>
        <v/>
      </c>
      <c r="AQ512">
        <f>IF($AD$512=0,"",INDEX(tk_WI,$AD$512))</f>
        <v/>
      </c>
      <c r="AR512">
        <f>IF($AD$512=0,"",INDEX(tk_HI,$AD$512))</f>
        <v/>
      </c>
      <c r="AS512">
        <f>IF($AD$512=0,"",INDEX(tk_FHINGE,$AD$512))</f>
        <v/>
      </c>
      <c r="AT512">
        <f>IF($AD$512=0,"",INDEX(tk_DHINGE,$AD$512))</f>
        <v/>
      </c>
      <c r="AU512">
        <f>IF($AD$512=0,"",INDEX(tk_HWLOC,$AD$512))</f>
        <v/>
      </c>
      <c r="AV512">
        <f>IF($AD$512=0,"",INDEX(tk_MANUF,$AD$512))</f>
        <v/>
      </c>
      <c r="AW512">
        <f>IF($AD$512=0,"",INDEX(tk_JH,$AD$512))</f>
        <v/>
      </c>
      <c r="AX512">
        <f>IF($AD$512=0,"",INDEX(tk_FDESC,$AD$512))</f>
        <v/>
      </c>
      <c r="AY512">
        <f>IF($AD$512=0,"",INDEX(tk_TRANS,$AD$512))</f>
        <v/>
      </c>
      <c r="AZ512">
        <f>IF($AD$512=0,"",INDEX(tk_SLW,$AD$512))</f>
        <v/>
      </c>
      <c r="BA512">
        <f>IF($AD$512=0,"",INDEX(tk_LEAVES,$AD$512))</f>
        <v/>
      </c>
      <c r="BB512">
        <f>IF($AD$512=0,"",INDEX(tk_LEAFW,$AD$512))</f>
        <v/>
      </c>
      <c r="BC512">
        <f>IF($AD$512=0,"",INDEX(tk_LEAFH,$AD$512))</f>
        <v/>
      </c>
      <c r="BD512">
        <f>IF($AD$512=0,"",INDEX(tk_DMAT,$AD$512))</f>
        <v/>
      </c>
      <c r="BE512">
        <f>IF($AD$512=0,"",INDEX(tk_DGA,$AD$512))</f>
        <v/>
      </c>
      <c r="BF512">
        <f>IF($AD$512=0,"",INDEX(tk_SERIES,$AD$512))</f>
        <v/>
      </c>
      <c r="BG512">
        <f>IF($AD$512=0,"",INDEX(tk_LOCK,$AD$512))</f>
        <v/>
      </c>
      <c r="BH512">
        <f>IF($AD$512=0,"",INDEX(tk_LITEKIT,$AD$512))</f>
        <v/>
      </c>
      <c r="BI512">
        <f>IF($AD$512=0,"",INDEX(tk_FACE,$AD$512))</f>
        <v/>
      </c>
      <c r="BJ512">
        <f>IF($AD$512=0,"",INDEX(tk_HLEG,$AD$512))</f>
        <v/>
      </c>
      <c r="BK512">
        <f>IF($AD$512=0,"",INDEX(tk_SOITEM,$AD$512))</f>
        <v/>
      </c>
      <c r="BL512">
        <f>IFERROR(VLOOKUP($AF$512,CODES,2,FALSE),"")</f>
        <v/>
      </c>
      <c r="BM512">
        <f>IF($AJ$512="KD","C","M")</f>
        <v/>
      </c>
      <c r="BN512">
        <f>IF(N($AR$512)&lt;=80,80,IF(N($AR$512)&lt;=84,84,IF(N($AR$512)&lt;=96,96,N($AR$512))))</f>
        <v/>
      </c>
      <c r="BO512">
        <f>INT($BN$512/12)&amp;MOD($BN$512,12)</f>
        <v/>
      </c>
      <c r="BP512">
        <f>INT(N($AQ$512)/12)&amp;MOD(N($AQ$512),12)</f>
        <v/>
      </c>
      <c r="BQ512">
        <f>IF(OR($AU$512="",$AU$512="ANSI/SDI",$AU$512="CUSTOM LOC"),IF($AV$512="CU","CURRIES","STEELCRAFT"),$AU$512)</f>
        <v/>
      </c>
      <c r="BR512">
        <f>$AO$512="Y"</f>
        <v/>
      </c>
      <c r="BS512">
        <f>"~"</f>
        <v/>
      </c>
      <c r="BT512">
        <f>N($AH$512)*N($AI$512)</f>
        <v/>
      </c>
      <c r="BU512">
        <f>IF(OR($AL$512="",$AL$512="-",$AL$512="E8"),"G18",$AL$512)</f>
        <v/>
      </c>
      <c r="BV512">
        <f>IF(OR($AS$512="",$AS$512="-"),"BLK",$AS$512)</f>
        <v/>
      </c>
      <c r="BW512">
        <f>" "&amp;$BM$512&amp;$AP$512&amp;" "</f>
        <v/>
      </c>
      <c r="BX512">
        <f>IF($AD$512=0,"",IF(OR($AG$512="SSA",$AG$512="SC"),$AE$512*$BT$512&amp;"|"&amp;$BL$512&amp;" STEEL STUD ANCHOR 2"&amp;CHAR(34)&amp;"||"&amp;$BS$512,"")&amp;IF($AG$512="WEWA-M",$AE$512*(N($AH$512)+1)*N($AI$512)&amp;"|FR101F 690 "&amp;$BL$512&amp;" MASONRY TUBE ANCHOR 16 GA||"&amp;$BS$512&amp;$AE$512*(N($AH$512)+1)*N($AI$512)&amp;"|3/8X5 SF3850 DYNO BOLTS||"&amp;$BS$512,"")&amp;IF($AG$512="WMA",$AE$512*$BT$512&amp;"|WIRE MASONRY ANCHOR||"&amp;$BS$512,"")&amp;IF($AG$512="T",$AE$512*$BT$512&amp;"|T-STRAP MASONRY ANCHOR||"&amp;$BS$512,"")&amp;IF($AG$512="WEWA-W",$AE$512*$BT$512&amp;"|P/D + WOOD SCREWS||"&amp;$BS$512,"")&amp;IF($AJ$512="WGS",$AE$512&amp;"|WELD &amp; GROUND SMOOTH||"&amp;$BS$512,"")&amp;IF(OR($AK$512="",$AK$512="-"),"",$AE$512*IF($BR$512,4,2)&amp;"|RACL/PACL-CLOSER REINF. 14GAx1-3/4x16 HRPO|"&amp;$AK$512&amp;IF($BR$512," BOTH SIDES","")&amp;"|"&amp;$BS$512)&amp;IF($AL$512="E8",$AE$512&amp;"|E8-STRIKE REINF. RIM EXIT||"&amp;$BS$512,"")&amp;IF(ISNUMBER(SEARCH("E4",$AL$512)),$AE$512&amp;"|FRAME DEADLOCK PREP||"&amp;$BS$512,"")&amp;IF($AL$512="E9",$AE$512&amp;"|ELECTRIC STRIKE PREP||"&amp;$BS$512,"")&amp;IF($AM$512="H5",$AE$512&amp;"|H5 STRIKE PREP IN HEADER||"&amp;$BS$512,IF(OR($AM$512="",$AM$512="-"),"",$AE$512&amp;"|HEADER PREP "&amp;$AM$512&amp;"||"&amp;$BS$512))&amp;IF(N($AN$512)&gt;0,$AE$512&amp;"|"&amp;$AN$512&amp;" MINUTE STEEL FRAME LABEL "&amp;IF(OR(N($AY$512)&gt;0,N($AZ$512)&gt;0),"W/TRANSOM PANEL/SIDELIGHT","CAT. C PP")&amp;"||"&amp;$BS$512,"")&amp;IF($AX$512="BL","",$AE$512&amp;"|HD "&amp;$AF$512&amp;$BW$512&amp;$BP$512&amp;" BSC||"&amp;$BS$512&amp;IF($BR$512,$AE$512&amp;"|HJ "&amp;$AF$512&amp;$BW$512&amp;"LH "&amp;$BO$512&amp;" "&amp;$BV$512&amp;" BSC "&amp;CHAR(34)&amp;$BQ$512&amp;CHAR(34)&amp;"||"&amp;$BS$512&amp;$AE$512&amp;"|HJ "&amp;$AF$512&amp;$BW$512&amp;"RH "&amp;$BO$512&amp;" "&amp;$BV$512&amp;" BSC "&amp;CHAR(34)&amp;$BQ$512&amp;CHAR(34)&amp;"||"&amp;$BS$512,$AE$512&amp;"|HJ "&amp;$AF$512&amp;$BW$512&amp;$AW$512&amp;" "&amp;$BO$512&amp;" "&amp;$BV$512&amp;" BSC "&amp;CHAR(34)&amp;$BQ$512&amp;CHAR(34)&amp;"||"&amp;$BS$512&amp;$AE$512&amp;"|SJ "&amp;$AF$512&amp;$BW$512&amp;$AW$512&amp;" "&amp;$BO$512&amp;" "&amp;$BU$512&amp;IF($BU$512="G18"," BLANK"," Y")&amp;" BSC "&amp;CHAR(34)&amp;$BQ$512&amp;CHAR(34)&amp;"||"&amp;$BS$512))&amp;IF(AND($BN$512&gt;N($AR$512),$AX$512&lt;&gt;"BL",N($AR$512)&gt;=60),$AE$512&amp;"|FRAME CUT DOWN (BOTTOM)|Cut "&amp;TRIM(TEXT($BN$512-N($AR$512),"# ?/??"))&amp;CHAR(34)&amp;" OFF THE BOTTOM|"&amp;$BS$512,""))</f>
        <v/>
      </c>
    </row>
    <row r="513">
      <c r="B513" s="180">
        <f>IF($AD513="","",VALUE(LEFT($AD513,FIND("|",$AD513)-1)))</f>
        <v/>
      </c>
      <c r="C513" s="180">
        <f>IF($AD513="","","    "&amp;MID($AD513,FIND("|",$AD513)+1,FIND("|",$AD513,FIND("|",$AD513)+1)-FIND("|",$AD513)-1))</f>
        <v/>
      </c>
      <c r="D513" s="180">
        <f>IF($AD513="","",MID($AD513,FIND("|",$AD513,FIND("|",$AD513)+1)+1,FIND("|",$AD513&amp;"|",FIND("|",$AD513,FIND("|",$AD513)+1)+1)-FIND("|",$AD513,FIND("|",$AD513)+1)-1))</f>
        <v/>
      </c>
      <c r="AD513">
        <f>TRIM(MID(SUBSTITUTE($BX$512,"~",REPT(" ",600)),1,600))</f>
        <v/>
      </c>
    </row>
    <row r="514">
      <c r="B514" s="180">
        <f>IF($AD514="","",VALUE(LEFT($AD514,FIND("|",$AD514)-1)))</f>
        <v/>
      </c>
      <c r="C514" s="180">
        <f>IF($AD514="","","    "&amp;MID($AD514,FIND("|",$AD514)+1,FIND("|",$AD514,FIND("|",$AD514)+1)-FIND("|",$AD514)-1))</f>
        <v/>
      </c>
      <c r="D514" s="180">
        <f>IF($AD514="","",MID($AD514,FIND("|",$AD514,FIND("|",$AD514)+1)+1,FIND("|",$AD514&amp;"|",FIND("|",$AD514,FIND("|",$AD514)+1)+1)-FIND("|",$AD514,FIND("|",$AD514)+1)-1))</f>
        <v/>
      </c>
      <c r="AD514">
        <f>TRIM(MID(SUBSTITUTE($BX$512,"~",REPT(" ",600)),601,600))</f>
        <v/>
      </c>
    </row>
    <row r="515">
      <c r="B515" s="180">
        <f>IF($AD515="","",VALUE(LEFT($AD515,FIND("|",$AD515)-1)))</f>
        <v/>
      </c>
      <c r="C515" s="180">
        <f>IF($AD515="","","    "&amp;MID($AD515,FIND("|",$AD515)+1,FIND("|",$AD515,FIND("|",$AD515)+1)-FIND("|",$AD515)-1))</f>
        <v/>
      </c>
      <c r="D515" s="180">
        <f>IF($AD515="","",MID($AD515,FIND("|",$AD515,FIND("|",$AD515)+1)+1,FIND("|",$AD515&amp;"|",FIND("|",$AD515,FIND("|",$AD515)+1)+1)-FIND("|",$AD515,FIND("|",$AD515)+1)-1))</f>
        <v/>
      </c>
      <c r="AD515">
        <f>TRIM(MID(SUBSTITUTE($BX$512,"~",REPT(" ",600)),1201,600))</f>
        <v/>
      </c>
    </row>
    <row r="516">
      <c r="B516" s="180">
        <f>IF($AD516="","",VALUE(LEFT($AD516,FIND("|",$AD516)-1)))</f>
        <v/>
      </c>
      <c r="C516" s="180">
        <f>IF($AD516="","","    "&amp;MID($AD516,FIND("|",$AD516)+1,FIND("|",$AD516,FIND("|",$AD516)+1)-FIND("|",$AD516)-1))</f>
        <v/>
      </c>
      <c r="D516" s="180">
        <f>IF($AD516="","",MID($AD516,FIND("|",$AD516,FIND("|",$AD516)+1)+1,FIND("|",$AD516&amp;"|",FIND("|",$AD516,FIND("|",$AD516)+1)+1)-FIND("|",$AD516,FIND("|",$AD516)+1)-1))</f>
        <v/>
      </c>
      <c r="AD516">
        <f>TRIM(MID(SUBSTITUTE($BX$512,"~",REPT(" ",600)),1801,600))</f>
        <v/>
      </c>
    </row>
    <row r="517">
      <c r="B517" s="180">
        <f>IF($AD517="","",VALUE(LEFT($AD517,FIND("|",$AD517)-1)))</f>
        <v/>
      </c>
      <c r="C517" s="180">
        <f>IF($AD517="","","    "&amp;MID($AD517,FIND("|",$AD517)+1,FIND("|",$AD517,FIND("|",$AD517)+1)-FIND("|",$AD517)-1))</f>
        <v/>
      </c>
      <c r="D517" s="180">
        <f>IF($AD517="","",MID($AD517,FIND("|",$AD517,FIND("|",$AD517)+1)+1,FIND("|",$AD517&amp;"|",FIND("|",$AD517,FIND("|",$AD517)+1)+1)-FIND("|",$AD517,FIND("|",$AD517)+1)-1))</f>
        <v/>
      </c>
      <c r="AD517">
        <f>TRIM(MID(SUBSTITUTE($BX$512,"~",REPT(" ",600)),2401,600))</f>
        <v/>
      </c>
    </row>
    <row r="518">
      <c r="B518" s="180">
        <f>IF($AD518="","",VALUE(LEFT($AD518,FIND("|",$AD518)-1)))</f>
        <v/>
      </c>
      <c r="C518" s="180">
        <f>IF($AD518="","","    "&amp;MID($AD518,FIND("|",$AD518)+1,FIND("|",$AD518,FIND("|",$AD518)+1)-FIND("|",$AD518)-1))</f>
        <v/>
      </c>
      <c r="D518" s="180">
        <f>IF($AD518="","",MID($AD518,FIND("|",$AD518,FIND("|",$AD518)+1)+1,FIND("|",$AD518&amp;"|",FIND("|",$AD518,FIND("|",$AD518)+1)+1)-FIND("|",$AD518,FIND("|",$AD518)+1)-1))</f>
        <v/>
      </c>
      <c r="AD518">
        <f>TRIM(MID(SUBSTITUTE($BX$512,"~",REPT(" ",600)),3001,600))</f>
        <v/>
      </c>
    </row>
    <row r="519">
      <c r="B519" s="180">
        <f>IF($AD519="","",VALUE(LEFT($AD519,FIND("|",$AD519)-1)))</f>
        <v/>
      </c>
      <c r="C519" s="180">
        <f>IF($AD519="","","    "&amp;MID($AD519,FIND("|",$AD519)+1,FIND("|",$AD519,FIND("|",$AD519)+1)-FIND("|",$AD519)-1))</f>
        <v/>
      </c>
      <c r="D519" s="180">
        <f>IF($AD519="","",MID($AD519,FIND("|",$AD519,FIND("|",$AD519)+1)+1,FIND("|",$AD519&amp;"|",FIND("|",$AD519,FIND("|",$AD519)+1)+1)-FIND("|",$AD519,FIND("|",$AD519)+1)-1))</f>
        <v/>
      </c>
      <c r="AD519">
        <f>TRIM(MID(SUBSTITUTE($BX$512,"~",REPT(" ",600)),3601,600))</f>
        <v/>
      </c>
    </row>
    <row r="520">
      <c r="B520" s="180">
        <f>IF($AD520="","",VALUE(LEFT($AD520,FIND("|",$AD520)-1)))</f>
        <v/>
      </c>
      <c r="C520" s="180">
        <f>IF($AD520="","","    "&amp;MID($AD520,FIND("|",$AD520)+1,FIND("|",$AD520,FIND("|",$AD520)+1)-FIND("|",$AD520)-1))</f>
        <v/>
      </c>
      <c r="D520" s="180">
        <f>IF($AD520="","",MID($AD520,FIND("|",$AD520,FIND("|",$AD520)+1)+1,FIND("|",$AD520&amp;"|",FIND("|",$AD520,FIND("|",$AD520)+1)+1)-FIND("|",$AD520,FIND("|",$AD520)+1)-1))</f>
        <v/>
      </c>
      <c r="AD520">
        <f>TRIM(MID(SUBSTITUTE($BX$512,"~",REPT(" ",600)),4201,600))</f>
        <v/>
      </c>
    </row>
    <row r="521">
      <c r="B521" s="180">
        <f>IF($AD521="","",VALUE(LEFT($AD521,FIND("|",$AD521)-1)))</f>
        <v/>
      </c>
      <c r="C521" s="180">
        <f>IF($AD521="","","    "&amp;MID($AD521,FIND("|",$AD521)+1,FIND("|",$AD521,FIND("|",$AD521)+1)-FIND("|",$AD521)-1))</f>
        <v/>
      </c>
      <c r="D521" s="180">
        <f>IF($AD521="","",MID($AD521,FIND("|",$AD521,FIND("|",$AD521)+1)+1,FIND("|",$AD521&amp;"|",FIND("|",$AD521,FIND("|",$AD521)+1)+1)-FIND("|",$AD521,FIND("|",$AD521)+1)-1))</f>
        <v/>
      </c>
      <c r="AD521">
        <f>TRIM(MID(SUBSTITUTE($BX$512,"~",REPT(" ",600)),4801,600))</f>
        <v/>
      </c>
    </row>
    <row r="522">
      <c r="B522" s="180">
        <f>IF($AD522="","",VALUE(LEFT($AD522,FIND("|",$AD522)-1)))</f>
        <v/>
      </c>
      <c r="C522" s="180">
        <f>IF($AD522="","","    "&amp;MID($AD522,FIND("|",$AD522)+1,FIND("|",$AD522,FIND("|",$AD522)+1)-FIND("|",$AD522)-1))</f>
        <v/>
      </c>
      <c r="D522" s="180">
        <f>IF($AD522="","",MID($AD522,FIND("|",$AD522,FIND("|",$AD522)+1)+1,FIND("|",$AD522&amp;"|",FIND("|",$AD522,FIND("|",$AD522)+1)+1)-FIND("|",$AD522,FIND("|",$AD522)+1)-1))</f>
        <v/>
      </c>
      <c r="AD522">
        <f>TRIM(MID(SUBSTITUTE($BX$512,"~",REPT(" ",600)),5401,600))</f>
        <v/>
      </c>
    </row>
    <row r="523">
      <c r="B523" s="180">
        <f>IF($AD523="","",VALUE(LEFT($AD523,FIND("|",$AD523)-1)))</f>
        <v/>
      </c>
      <c r="C523" s="180">
        <f>IF($AD523="","","    "&amp;MID($AD523,FIND("|",$AD523)+1,FIND("|",$AD523,FIND("|",$AD523)+1)-FIND("|",$AD523)-1))</f>
        <v/>
      </c>
      <c r="D523" s="180">
        <f>IF($AD523="","",MID($AD523,FIND("|",$AD523,FIND("|",$AD523)+1)+1,FIND("|",$AD523&amp;"|",FIND("|",$AD523,FIND("|",$AD523)+1)+1)-FIND("|",$AD523,FIND("|",$AD523)+1)-1))</f>
        <v/>
      </c>
      <c r="AD523">
        <f>TRIM(MID(SUBSTITUTE($BX$512,"~",REPT(" ",600)),6001,600))</f>
        <v/>
      </c>
    </row>
    <row r="524">
      <c r="A524" s="178">
        <f>IF($AD$524=0,"",$BK$524)</f>
        <v/>
      </c>
      <c r="B524" s="178">
        <f>IF($AD$524=0,"",$AE$524)</f>
        <v/>
      </c>
      <c r="C524" s="178">
        <f>IF($AD$524=0,"",$AE$524&amp;") "&amp;IF(COUNTIFS(tk_SOFG,44,tk_HLEG,"&lt;&gt;"&amp;$BJ$524)=0,INDEX(tk_FLINE,$AD$524),INDEX(tk_FLINEN,$AD$524))&amp;IF($AJ$524="KD"," ( R.O. "&amp;TRIM(TEXT(N($AQ$524)+2.25,"# ?/??"))&amp;CHAR(34)&amp;" x "&amp;TRIM(TEXT(N($AR$524)+1,"# ?/??"))&amp;CHAR(34)&amp;" )",""))</f>
        <v/>
      </c>
      <c r="D524" s="178" t="n"/>
      <c r="E524" s="179">
        <f t="array" ref="E524">IF($AD$524=0,"",_xlfn.TEXTJOIN(", ",TRUE,IF(tk_SOFG=44,"#"&amp;tk_MARK&amp;IF(tk_HLEG="","","("&amp;tk_HLEG&amp;")")&amp;IF(tk_QTY&gt;1," ×"&amp;tk_QTY,""),"")))</f>
        <v/>
      </c>
      <c r="AD524">
        <f>IFERROR(MATCH(44,tk_SOFG,0),0)</f>
        <v/>
      </c>
      <c r="AE524">
        <f>IF($AD$524=0,0,SUMIF(tk_SOFG,44,tk_QTY))</f>
        <v/>
      </c>
      <c r="AF524">
        <f>IF($AD$524=0,"",INDEX(tk_JAMB,$AD$524))</f>
        <v/>
      </c>
      <c r="AG524">
        <f>IF($AD$524=0,"",INDEX(tk_ANCHOR,$AD$524))</f>
        <v/>
      </c>
      <c r="AH524">
        <f>IF($AD$524=0,"",INDEX(tk_ANCH,$AD$524))</f>
        <v/>
      </c>
      <c r="AI524">
        <f>IF($AD$524=0,"",INDEX(tk_BASEA,$AD$524))</f>
        <v/>
      </c>
      <c r="AJ524">
        <f>IF($AD$524=0,"",INDEX(tk_CONSTR,$AD$524))</f>
        <v/>
      </c>
      <c r="AK524">
        <f>IF($AD$524=0,"",INDEX(tk_CLOSER,$AD$524))</f>
        <v/>
      </c>
      <c r="AL524">
        <f>IF($AD$524=0,"",INDEX(tk_STRIKE,$AD$524))</f>
        <v/>
      </c>
      <c r="AM524">
        <f>IF($AD$524=0,"",INDEX(tk_HDRPREP,$AD$524))</f>
        <v/>
      </c>
      <c r="AN524">
        <f>IF($AD$524=0,"",INDEX(tk_DMIN,$AD$524))</f>
        <v/>
      </c>
      <c r="AO524">
        <f>IF($AD$524=0,"",INDEX(tk_PAIR,$AD$524))</f>
        <v/>
      </c>
      <c r="AP524">
        <f>IF($AD$524=0,"",INDEX(tk_FGA,$AD$524))</f>
        <v/>
      </c>
      <c r="AQ524">
        <f>IF($AD$524=0,"",INDEX(tk_WI,$AD$524))</f>
        <v/>
      </c>
      <c r="AR524">
        <f>IF($AD$524=0,"",INDEX(tk_HI,$AD$524))</f>
        <v/>
      </c>
      <c r="AS524">
        <f>IF($AD$524=0,"",INDEX(tk_FHINGE,$AD$524))</f>
        <v/>
      </c>
      <c r="AT524">
        <f>IF($AD$524=0,"",INDEX(tk_DHINGE,$AD$524))</f>
        <v/>
      </c>
      <c r="AU524">
        <f>IF($AD$524=0,"",INDEX(tk_HWLOC,$AD$524))</f>
        <v/>
      </c>
      <c r="AV524">
        <f>IF($AD$524=0,"",INDEX(tk_MANUF,$AD$524))</f>
        <v/>
      </c>
      <c r="AW524">
        <f>IF($AD$524=0,"",INDEX(tk_JH,$AD$524))</f>
        <v/>
      </c>
      <c r="AX524">
        <f>IF($AD$524=0,"",INDEX(tk_FDESC,$AD$524))</f>
        <v/>
      </c>
      <c r="AY524">
        <f>IF($AD$524=0,"",INDEX(tk_TRANS,$AD$524))</f>
        <v/>
      </c>
      <c r="AZ524">
        <f>IF($AD$524=0,"",INDEX(tk_SLW,$AD$524))</f>
        <v/>
      </c>
      <c r="BA524">
        <f>IF($AD$524=0,"",INDEX(tk_LEAVES,$AD$524))</f>
        <v/>
      </c>
      <c r="BB524">
        <f>IF($AD$524=0,"",INDEX(tk_LEAFW,$AD$524))</f>
        <v/>
      </c>
      <c r="BC524">
        <f>IF($AD$524=0,"",INDEX(tk_LEAFH,$AD$524))</f>
        <v/>
      </c>
      <c r="BD524">
        <f>IF($AD$524=0,"",INDEX(tk_DMAT,$AD$524))</f>
        <v/>
      </c>
      <c r="BE524">
        <f>IF($AD$524=0,"",INDEX(tk_DGA,$AD$524))</f>
        <v/>
      </c>
      <c r="BF524">
        <f>IF($AD$524=0,"",INDEX(tk_SERIES,$AD$524))</f>
        <v/>
      </c>
      <c r="BG524">
        <f>IF($AD$524=0,"",INDEX(tk_LOCK,$AD$524))</f>
        <v/>
      </c>
      <c r="BH524">
        <f>IF($AD$524=0,"",INDEX(tk_LITEKIT,$AD$524))</f>
        <v/>
      </c>
      <c r="BI524">
        <f>IF($AD$524=0,"",INDEX(tk_FACE,$AD$524))</f>
        <v/>
      </c>
      <c r="BJ524">
        <f>IF($AD$524=0,"",INDEX(tk_HLEG,$AD$524))</f>
        <v/>
      </c>
      <c r="BK524">
        <f>IF($AD$524=0,"",INDEX(tk_SOITEM,$AD$524))</f>
        <v/>
      </c>
      <c r="BL524">
        <f>IFERROR(VLOOKUP($AF$524,CODES,2,FALSE),"")</f>
        <v/>
      </c>
      <c r="BM524">
        <f>IF($AJ$524="KD","C","M")</f>
        <v/>
      </c>
      <c r="BN524">
        <f>IF(N($AR$524)&lt;=80,80,IF(N($AR$524)&lt;=84,84,IF(N($AR$524)&lt;=96,96,N($AR$524))))</f>
        <v/>
      </c>
      <c r="BO524">
        <f>INT($BN$524/12)&amp;MOD($BN$524,12)</f>
        <v/>
      </c>
      <c r="BP524">
        <f>INT(N($AQ$524)/12)&amp;MOD(N($AQ$524),12)</f>
        <v/>
      </c>
      <c r="BQ524">
        <f>IF(OR($AU$524="",$AU$524="ANSI/SDI",$AU$524="CUSTOM LOC"),IF($AV$524="CU","CURRIES","STEELCRAFT"),$AU$524)</f>
        <v/>
      </c>
      <c r="BR524">
        <f>$AO$524="Y"</f>
        <v/>
      </c>
      <c r="BS524">
        <f>"~"</f>
        <v/>
      </c>
      <c r="BT524">
        <f>N($AH$524)*N($AI$524)</f>
        <v/>
      </c>
      <c r="BU524">
        <f>IF(OR($AL$524="",$AL$524="-",$AL$524="E8"),"G18",$AL$524)</f>
        <v/>
      </c>
      <c r="BV524">
        <f>IF(OR($AS$524="",$AS$524="-"),"BLK",$AS$524)</f>
        <v/>
      </c>
      <c r="BW524">
        <f>" "&amp;$BM$524&amp;$AP$524&amp;" "</f>
        <v/>
      </c>
      <c r="BX524">
        <f>IF($AD$524=0,"",IF(OR($AG$524="SSA",$AG$524="SC"),$AE$524*$BT$524&amp;"|"&amp;$BL$524&amp;" STEEL STUD ANCHOR 2"&amp;CHAR(34)&amp;"||"&amp;$BS$524,"")&amp;IF($AG$524="WEWA-M",$AE$524*(N($AH$524)+1)*N($AI$524)&amp;"|FR101F 690 "&amp;$BL$524&amp;" MASONRY TUBE ANCHOR 16 GA||"&amp;$BS$524&amp;$AE$524*(N($AH$524)+1)*N($AI$524)&amp;"|3/8X5 SF3850 DYNO BOLTS||"&amp;$BS$524,"")&amp;IF($AG$524="WMA",$AE$524*$BT$524&amp;"|WIRE MASONRY ANCHOR||"&amp;$BS$524,"")&amp;IF($AG$524="T",$AE$524*$BT$524&amp;"|T-STRAP MASONRY ANCHOR||"&amp;$BS$524,"")&amp;IF($AG$524="WEWA-W",$AE$524*$BT$524&amp;"|P/D + WOOD SCREWS||"&amp;$BS$524,"")&amp;IF($AJ$524="WGS",$AE$524&amp;"|WELD &amp; GROUND SMOOTH||"&amp;$BS$524,"")&amp;IF(OR($AK$524="",$AK$524="-"),"",$AE$524*IF($BR$524,4,2)&amp;"|RACL/PACL-CLOSER REINF. 14GAx1-3/4x16 HRPO|"&amp;$AK$524&amp;IF($BR$524," BOTH SIDES","")&amp;"|"&amp;$BS$524)&amp;IF($AL$524="E8",$AE$524&amp;"|E8-STRIKE REINF. RIM EXIT||"&amp;$BS$524,"")&amp;IF(ISNUMBER(SEARCH("E4",$AL$524)),$AE$524&amp;"|FRAME DEADLOCK PREP||"&amp;$BS$524,"")&amp;IF($AL$524="E9",$AE$524&amp;"|ELECTRIC STRIKE PREP||"&amp;$BS$524,"")&amp;IF($AM$524="H5",$AE$524&amp;"|H5 STRIKE PREP IN HEADER||"&amp;$BS$524,IF(OR($AM$524="",$AM$524="-"),"",$AE$524&amp;"|HEADER PREP "&amp;$AM$524&amp;"||"&amp;$BS$524))&amp;IF(N($AN$524)&gt;0,$AE$524&amp;"|"&amp;$AN$524&amp;" MINUTE STEEL FRAME LABEL "&amp;IF(OR(N($AY$524)&gt;0,N($AZ$524)&gt;0),"W/TRANSOM PANEL/SIDELIGHT","CAT. C PP")&amp;"||"&amp;$BS$524,"")&amp;IF($AX$524="BL","",$AE$524&amp;"|HD "&amp;$AF$524&amp;$BW$524&amp;$BP$524&amp;" BSC||"&amp;$BS$524&amp;IF($BR$524,$AE$524&amp;"|HJ "&amp;$AF$524&amp;$BW$524&amp;"LH "&amp;$BO$524&amp;" "&amp;$BV$524&amp;" BSC "&amp;CHAR(34)&amp;$BQ$524&amp;CHAR(34)&amp;"||"&amp;$BS$524&amp;$AE$524&amp;"|HJ "&amp;$AF$524&amp;$BW$524&amp;"RH "&amp;$BO$524&amp;" "&amp;$BV$524&amp;" BSC "&amp;CHAR(34)&amp;$BQ$524&amp;CHAR(34)&amp;"||"&amp;$BS$524,$AE$524&amp;"|HJ "&amp;$AF$524&amp;$BW$524&amp;$AW$524&amp;" "&amp;$BO$524&amp;" "&amp;$BV$524&amp;" BSC "&amp;CHAR(34)&amp;$BQ$524&amp;CHAR(34)&amp;"||"&amp;$BS$524&amp;$AE$524&amp;"|SJ "&amp;$AF$524&amp;$BW$524&amp;$AW$524&amp;" "&amp;$BO$524&amp;" "&amp;$BU$524&amp;IF($BU$524="G18"," BLANK"," Y")&amp;" BSC "&amp;CHAR(34)&amp;$BQ$524&amp;CHAR(34)&amp;"||"&amp;$BS$524))&amp;IF(AND($BN$524&gt;N($AR$524),$AX$524&lt;&gt;"BL",N($AR$524)&gt;=60),$AE$524&amp;"|FRAME CUT DOWN (BOTTOM)|Cut "&amp;TRIM(TEXT($BN$524-N($AR$524),"# ?/??"))&amp;CHAR(34)&amp;" OFF THE BOTTOM|"&amp;$BS$524,""))</f>
        <v/>
      </c>
    </row>
    <row r="525">
      <c r="B525" s="180">
        <f>IF($AD525="","",VALUE(LEFT($AD525,FIND("|",$AD525)-1)))</f>
        <v/>
      </c>
      <c r="C525" s="180">
        <f>IF($AD525="","","    "&amp;MID($AD525,FIND("|",$AD525)+1,FIND("|",$AD525,FIND("|",$AD525)+1)-FIND("|",$AD525)-1))</f>
        <v/>
      </c>
      <c r="D525" s="180">
        <f>IF($AD525="","",MID($AD525,FIND("|",$AD525,FIND("|",$AD525)+1)+1,FIND("|",$AD525&amp;"|",FIND("|",$AD525,FIND("|",$AD525)+1)+1)-FIND("|",$AD525,FIND("|",$AD525)+1)-1))</f>
        <v/>
      </c>
      <c r="AD525">
        <f>TRIM(MID(SUBSTITUTE($BX$524,"~",REPT(" ",600)),1,600))</f>
        <v/>
      </c>
    </row>
    <row r="526">
      <c r="B526" s="180">
        <f>IF($AD526="","",VALUE(LEFT($AD526,FIND("|",$AD526)-1)))</f>
        <v/>
      </c>
      <c r="C526" s="180">
        <f>IF($AD526="","","    "&amp;MID($AD526,FIND("|",$AD526)+1,FIND("|",$AD526,FIND("|",$AD526)+1)-FIND("|",$AD526)-1))</f>
        <v/>
      </c>
      <c r="D526" s="180">
        <f>IF($AD526="","",MID($AD526,FIND("|",$AD526,FIND("|",$AD526)+1)+1,FIND("|",$AD526&amp;"|",FIND("|",$AD526,FIND("|",$AD526)+1)+1)-FIND("|",$AD526,FIND("|",$AD526)+1)-1))</f>
        <v/>
      </c>
      <c r="AD526">
        <f>TRIM(MID(SUBSTITUTE($BX$524,"~",REPT(" ",600)),601,600))</f>
        <v/>
      </c>
    </row>
    <row r="527">
      <c r="B527" s="180">
        <f>IF($AD527="","",VALUE(LEFT($AD527,FIND("|",$AD527)-1)))</f>
        <v/>
      </c>
      <c r="C527" s="180">
        <f>IF($AD527="","","    "&amp;MID($AD527,FIND("|",$AD527)+1,FIND("|",$AD527,FIND("|",$AD527)+1)-FIND("|",$AD527)-1))</f>
        <v/>
      </c>
      <c r="D527" s="180">
        <f>IF($AD527="","",MID($AD527,FIND("|",$AD527,FIND("|",$AD527)+1)+1,FIND("|",$AD527&amp;"|",FIND("|",$AD527,FIND("|",$AD527)+1)+1)-FIND("|",$AD527,FIND("|",$AD527)+1)-1))</f>
        <v/>
      </c>
      <c r="AD527">
        <f>TRIM(MID(SUBSTITUTE($BX$524,"~",REPT(" ",600)),1201,600))</f>
        <v/>
      </c>
    </row>
    <row r="528">
      <c r="B528" s="180">
        <f>IF($AD528="","",VALUE(LEFT($AD528,FIND("|",$AD528)-1)))</f>
        <v/>
      </c>
      <c r="C528" s="180">
        <f>IF($AD528="","","    "&amp;MID($AD528,FIND("|",$AD528)+1,FIND("|",$AD528,FIND("|",$AD528)+1)-FIND("|",$AD528)-1))</f>
        <v/>
      </c>
      <c r="D528" s="180">
        <f>IF($AD528="","",MID($AD528,FIND("|",$AD528,FIND("|",$AD528)+1)+1,FIND("|",$AD528&amp;"|",FIND("|",$AD528,FIND("|",$AD528)+1)+1)-FIND("|",$AD528,FIND("|",$AD528)+1)-1))</f>
        <v/>
      </c>
      <c r="AD528">
        <f>TRIM(MID(SUBSTITUTE($BX$524,"~",REPT(" ",600)),1801,600))</f>
        <v/>
      </c>
    </row>
    <row r="529">
      <c r="B529" s="180">
        <f>IF($AD529="","",VALUE(LEFT($AD529,FIND("|",$AD529)-1)))</f>
        <v/>
      </c>
      <c r="C529" s="180">
        <f>IF($AD529="","","    "&amp;MID($AD529,FIND("|",$AD529)+1,FIND("|",$AD529,FIND("|",$AD529)+1)-FIND("|",$AD529)-1))</f>
        <v/>
      </c>
      <c r="D529" s="180">
        <f>IF($AD529="","",MID($AD529,FIND("|",$AD529,FIND("|",$AD529)+1)+1,FIND("|",$AD529&amp;"|",FIND("|",$AD529,FIND("|",$AD529)+1)+1)-FIND("|",$AD529,FIND("|",$AD529)+1)-1))</f>
        <v/>
      </c>
      <c r="AD529">
        <f>TRIM(MID(SUBSTITUTE($BX$524,"~",REPT(" ",600)),2401,600))</f>
        <v/>
      </c>
    </row>
    <row r="530">
      <c r="B530" s="180">
        <f>IF($AD530="","",VALUE(LEFT($AD530,FIND("|",$AD530)-1)))</f>
        <v/>
      </c>
      <c r="C530" s="180">
        <f>IF($AD530="","","    "&amp;MID($AD530,FIND("|",$AD530)+1,FIND("|",$AD530,FIND("|",$AD530)+1)-FIND("|",$AD530)-1))</f>
        <v/>
      </c>
      <c r="D530" s="180">
        <f>IF($AD530="","",MID($AD530,FIND("|",$AD530,FIND("|",$AD530)+1)+1,FIND("|",$AD530&amp;"|",FIND("|",$AD530,FIND("|",$AD530)+1)+1)-FIND("|",$AD530,FIND("|",$AD530)+1)-1))</f>
        <v/>
      </c>
      <c r="AD530">
        <f>TRIM(MID(SUBSTITUTE($BX$524,"~",REPT(" ",600)),3001,600))</f>
        <v/>
      </c>
    </row>
    <row r="531">
      <c r="B531" s="180">
        <f>IF($AD531="","",VALUE(LEFT($AD531,FIND("|",$AD531)-1)))</f>
        <v/>
      </c>
      <c r="C531" s="180">
        <f>IF($AD531="","","    "&amp;MID($AD531,FIND("|",$AD531)+1,FIND("|",$AD531,FIND("|",$AD531)+1)-FIND("|",$AD531)-1))</f>
        <v/>
      </c>
      <c r="D531" s="180">
        <f>IF($AD531="","",MID($AD531,FIND("|",$AD531,FIND("|",$AD531)+1)+1,FIND("|",$AD531&amp;"|",FIND("|",$AD531,FIND("|",$AD531)+1)+1)-FIND("|",$AD531,FIND("|",$AD531)+1)-1))</f>
        <v/>
      </c>
      <c r="AD531">
        <f>TRIM(MID(SUBSTITUTE($BX$524,"~",REPT(" ",600)),3601,600))</f>
        <v/>
      </c>
    </row>
    <row r="532">
      <c r="B532" s="180">
        <f>IF($AD532="","",VALUE(LEFT($AD532,FIND("|",$AD532)-1)))</f>
        <v/>
      </c>
      <c r="C532" s="180">
        <f>IF($AD532="","","    "&amp;MID($AD532,FIND("|",$AD532)+1,FIND("|",$AD532,FIND("|",$AD532)+1)-FIND("|",$AD532)-1))</f>
        <v/>
      </c>
      <c r="D532" s="180">
        <f>IF($AD532="","",MID($AD532,FIND("|",$AD532,FIND("|",$AD532)+1)+1,FIND("|",$AD532&amp;"|",FIND("|",$AD532,FIND("|",$AD532)+1)+1)-FIND("|",$AD532,FIND("|",$AD532)+1)-1))</f>
        <v/>
      </c>
      <c r="AD532">
        <f>TRIM(MID(SUBSTITUTE($BX$524,"~",REPT(" ",600)),4201,600))</f>
        <v/>
      </c>
    </row>
    <row r="533">
      <c r="B533" s="180">
        <f>IF($AD533="","",VALUE(LEFT($AD533,FIND("|",$AD533)-1)))</f>
        <v/>
      </c>
      <c r="C533" s="180">
        <f>IF($AD533="","","    "&amp;MID($AD533,FIND("|",$AD533)+1,FIND("|",$AD533,FIND("|",$AD533)+1)-FIND("|",$AD533)-1))</f>
        <v/>
      </c>
      <c r="D533" s="180">
        <f>IF($AD533="","",MID($AD533,FIND("|",$AD533,FIND("|",$AD533)+1)+1,FIND("|",$AD533&amp;"|",FIND("|",$AD533,FIND("|",$AD533)+1)+1)-FIND("|",$AD533,FIND("|",$AD533)+1)-1))</f>
        <v/>
      </c>
      <c r="AD533">
        <f>TRIM(MID(SUBSTITUTE($BX$524,"~",REPT(" ",600)),4801,600))</f>
        <v/>
      </c>
    </row>
    <row r="534">
      <c r="B534" s="180">
        <f>IF($AD534="","",VALUE(LEFT($AD534,FIND("|",$AD534)-1)))</f>
        <v/>
      </c>
      <c r="C534" s="180">
        <f>IF($AD534="","","    "&amp;MID($AD534,FIND("|",$AD534)+1,FIND("|",$AD534,FIND("|",$AD534)+1)-FIND("|",$AD534)-1))</f>
        <v/>
      </c>
      <c r="D534" s="180">
        <f>IF($AD534="","",MID($AD534,FIND("|",$AD534,FIND("|",$AD534)+1)+1,FIND("|",$AD534&amp;"|",FIND("|",$AD534,FIND("|",$AD534)+1)+1)-FIND("|",$AD534,FIND("|",$AD534)+1)-1))</f>
        <v/>
      </c>
      <c r="AD534">
        <f>TRIM(MID(SUBSTITUTE($BX$524,"~",REPT(" ",600)),5401,600))</f>
        <v/>
      </c>
    </row>
    <row r="535">
      <c r="B535" s="180">
        <f>IF($AD535="","",VALUE(LEFT($AD535,FIND("|",$AD535)-1)))</f>
        <v/>
      </c>
      <c r="C535" s="180">
        <f>IF($AD535="","","    "&amp;MID($AD535,FIND("|",$AD535)+1,FIND("|",$AD535,FIND("|",$AD535)+1)-FIND("|",$AD535)-1))</f>
        <v/>
      </c>
      <c r="D535" s="180">
        <f>IF($AD535="","",MID($AD535,FIND("|",$AD535,FIND("|",$AD535)+1)+1,FIND("|",$AD535&amp;"|",FIND("|",$AD535,FIND("|",$AD535)+1)+1)-FIND("|",$AD535,FIND("|",$AD535)+1)-1))</f>
        <v/>
      </c>
      <c r="AD535">
        <f>TRIM(MID(SUBSTITUTE($BX$524,"~",REPT(" ",600)),6001,600))</f>
        <v/>
      </c>
    </row>
    <row r="536">
      <c r="A536" s="178">
        <f>IF($AD$536=0,"",$BK$536)</f>
        <v/>
      </c>
      <c r="B536" s="178">
        <f>IF($AD$536=0,"",$AE$536)</f>
        <v/>
      </c>
      <c r="C536" s="178">
        <f>IF($AD$536=0,"",$AE$536&amp;") "&amp;IF(COUNTIFS(tk_SOFG,45,tk_HLEG,"&lt;&gt;"&amp;$BJ$536)=0,INDEX(tk_FLINE,$AD$536),INDEX(tk_FLINEN,$AD$536))&amp;IF($AJ$536="KD"," ( R.O. "&amp;TRIM(TEXT(N($AQ$536)+2.25,"# ?/??"))&amp;CHAR(34)&amp;" x "&amp;TRIM(TEXT(N($AR$536)+1,"# ?/??"))&amp;CHAR(34)&amp;" )",""))</f>
        <v/>
      </c>
      <c r="D536" s="178" t="n"/>
      <c r="E536" s="179">
        <f t="array" ref="E536">IF($AD$536=0,"",_xlfn.TEXTJOIN(", ",TRUE,IF(tk_SOFG=45,"#"&amp;tk_MARK&amp;IF(tk_HLEG="","","("&amp;tk_HLEG&amp;")")&amp;IF(tk_QTY&gt;1," ×"&amp;tk_QTY,""),"")))</f>
        <v/>
      </c>
      <c r="AD536">
        <f>IFERROR(MATCH(45,tk_SOFG,0),0)</f>
        <v/>
      </c>
      <c r="AE536">
        <f>IF($AD$536=0,0,SUMIF(tk_SOFG,45,tk_QTY))</f>
        <v/>
      </c>
      <c r="AF536">
        <f>IF($AD$536=0,"",INDEX(tk_JAMB,$AD$536))</f>
        <v/>
      </c>
      <c r="AG536">
        <f>IF($AD$536=0,"",INDEX(tk_ANCHOR,$AD$536))</f>
        <v/>
      </c>
      <c r="AH536">
        <f>IF($AD$536=0,"",INDEX(tk_ANCH,$AD$536))</f>
        <v/>
      </c>
      <c r="AI536">
        <f>IF($AD$536=0,"",INDEX(tk_BASEA,$AD$536))</f>
        <v/>
      </c>
      <c r="AJ536">
        <f>IF($AD$536=0,"",INDEX(tk_CONSTR,$AD$536))</f>
        <v/>
      </c>
      <c r="AK536">
        <f>IF($AD$536=0,"",INDEX(tk_CLOSER,$AD$536))</f>
        <v/>
      </c>
      <c r="AL536">
        <f>IF($AD$536=0,"",INDEX(tk_STRIKE,$AD$536))</f>
        <v/>
      </c>
      <c r="AM536">
        <f>IF($AD$536=0,"",INDEX(tk_HDRPREP,$AD$536))</f>
        <v/>
      </c>
      <c r="AN536">
        <f>IF($AD$536=0,"",INDEX(tk_DMIN,$AD$536))</f>
        <v/>
      </c>
      <c r="AO536">
        <f>IF($AD$536=0,"",INDEX(tk_PAIR,$AD$536))</f>
        <v/>
      </c>
      <c r="AP536">
        <f>IF($AD$536=0,"",INDEX(tk_FGA,$AD$536))</f>
        <v/>
      </c>
      <c r="AQ536">
        <f>IF($AD$536=0,"",INDEX(tk_WI,$AD$536))</f>
        <v/>
      </c>
      <c r="AR536">
        <f>IF($AD$536=0,"",INDEX(tk_HI,$AD$536))</f>
        <v/>
      </c>
      <c r="AS536">
        <f>IF($AD$536=0,"",INDEX(tk_FHINGE,$AD$536))</f>
        <v/>
      </c>
      <c r="AT536">
        <f>IF($AD$536=0,"",INDEX(tk_DHINGE,$AD$536))</f>
        <v/>
      </c>
      <c r="AU536">
        <f>IF($AD$536=0,"",INDEX(tk_HWLOC,$AD$536))</f>
        <v/>
      </c>
      <c r="AV536">
        <f>IF($AD$536=0,"",INDEX(tk_MANUF,$AD$536))</f>
        <v/>
      </c>
      <c r="AW536">
        <f>IF($AD$536=0,"",INDEX(tk_JH,$AD$536))</f>
        <v/>
      </c>
      <c r="AX536">
        <f>IF($AD$536=0,"",INDEX(tk_FDESC,$AD$536))</f>
        <v/>
      </c>
      <c r="AY536">
        <f>IF($AD$536=0,"",INDEX(tk_TRANS,$AD$536))</f>
        <v/>
      </c>
      <c r="AZ536">
        <f>IF($AD$536=0,"",INDEX(tk_SLW,$AD$536))</f>
        <v/>
      </c>
      <c r="BA536">
        <f>IF($AD$536=0,"",INDEX(tk_LEAVES,$AD$536))</f>
        <v/>
      </c>
      <c r="BB536">
        <f>IF($AD$536=0,"",INDEX(tk_LEAFW,$AD$536))</f>
        <v/>
      </c>
      <c r="BC536">
        <f>IF($AD$536=0,"",INDEX(tk_LEAFH,$AD$536))</f>
        <v/>
      </c>
      <c r="BD536">
        <f>IF($AD$536=0,"",INDEX(tk_DMAT,$AD$536))</f>
        <v/>
      </c>
      <c r="BE536">
        <f>IF($AD$536=0,"",INDEX(tk_DGA,$AD$536))</f>
        <v/>
      </c>
      <c r="BF536">
        <f>IF($AD$536=0,"",INDEX(tk_SERIES,$AD$536))</f>
        <v/>
      </c>
      <c r="BG536">
        <f>IF($AD$536=0,"",INDEX(tk_LOCK,$AD$536))</f>
        <v/>
      </c>
      <c r="BH536">
        <f>IF($AD$536=0,"",INDEX(tk_LITEKIT,$AD$536))</f>
        <v/>
      </c>
      <c r="BI536">
        <f>IF($AD$536=0,"",INDEX(tk_FACE,$AD$536))</f>
        <v/>
      </c>
      <c r="BJ536">
        <f>IF($AD$536=0,"",INDEX(tk_HLEG,$AD$536))</f>
        <v/>
      </c>
      <c r="BK536">
        <f>IF($AD$536=0,"",INDEX(tk_SOITEM,$AD$536))</f>
        <v/>
      </c>
      <c r="BL536">
        <f>IFERROR(VLOOKUP($AF$536,CODES,2,FALSE),"")</f>
        <v/>
      </c>
      <c r="BM536">
        <f>IF($AJ$536="KD","C","M")</f>
        <v/>
      </c>
      <c r="BN536">
        <f>IF(N($AR$536)&lt;=80,80,IF(N($AR$536)&lt;=84,84,IF(N($AR$536)&lt;=96,96,N($AR$536))))</f>
        <v/>
      </c>
      <c r="BO536">
        <f>INT($BN$536/12)&amp;MOD($BN$536,12)</f>
        <v/>
      </c>
      <c r="BP536">
        <f>INT(N($AQ$536)/12)&amp;MOD(N($AQ$536),12)</f>
        <v/>
      </c>
      <c r="BQ536">
        <f>IF(OR($AU$536="",$AU$536="ANSI/SDI",$AU$536="CUSTOM LOC"),IF($AV$536="CU","CURRIES","STEELCRAFT"),$AU$536)</f>
        <v/>
      </c>
      <c r="BR536">
        <f>$AO$536="Y"</f>
        <v/>
      </c>
      <c r="BS536">
        <f>"~"</f>
        <v/>
      </c>
      <c r="BT536">
        <f>N($AH$536)*N($AI$536)</f>
        <v/>
      </c>
      <c r="BU536">
        <f>IF(OR($AL$536="",$AL$536="-",$AL$536="E8"),"G18",$AL$536)</f>
        <v/>
      </c>
      <c r="BV536">
        <f>IF(OR($AS$536="",$AS$536="-"),"BLK",$AS$536)</f>
        <v/>
      </c>
      <c r="BW536">
        <f>" "&amp;$BM$536&amp;$AP$536&amp;" "</f>
        <v/>
      </c>
      <c r="BX536">
        <f>IF($AD$536=0,"",IF(OR($AG$536="SSA",$AG$536="SC"),$AE$536*$BT$536&amp;"|"&amp;$BL$536&amp;" STEEL STUD ANCHOR 2"&amp;CHAR(34)&amp;"||"&amp;$BS$536,"")&amp;IF($AG$536="WEWA-M",$AE$536*(N($AH$536)+1)*N($AI$536)&amp;"|FR101F 690 "&amp;$BL$536&amp;" MASONRY TUBE ANCHOR 16 GA||"&amp;$BS$536&amp;$AE$536*(N($AH$536)+1)*N($AI$536)&amp;"|3/8X5 SF3850 DYNO BOLTS||"&amp;$BS$536,"")&amp;IF($AG$536="WMA",$AE$536*$BT$536&amp;"|WIRE MASONRY ANCHOR||"&amp;$BS$536,"")&amp;IF($AG$536="T",$AE$536*$BT$536&amp;"|T-STRAP MASONRY ANCHOR||"&amp;$BS$536,"")&amp;IF($AG$536="WEWA-W",$AE$536*$BT$536&amp;"|P/D + WOOD SCREWS||"&amp;$BS$536,"")&amp;IF($AJ$536="WGS",$AE$536&amp;"|WELD &amp; GROUND SMOOTH||"&amp;$BS$536,"")&amp;IF(OR($AK$536="",$AK$536="-"),"",$AE$536*IF($BR$536,4,2)&amp;"|RACL/PACL-CLOSER REINF. 14GAx1-3/4x16 HRPO|"&amp;$AK$536&amp;IF($BR$536," BOTH SIDES","")&amp;"|"&amp;$BS$536)&amp;IF($AL$536="E8",$AE$536&amp;"|E8-STRIKE REINF. RIM EXIT||"&amp;$BS$536,"")&amp;IF(ISNUMBER(SEARCH("E4",$AL$536)),$AE$536&amp;"|FRAME DEADLOCK PREP||"&amp;$BS$536,"")&amp;IF($AL$536="E9",$AE$536&amp;"|ELECTRIC STRIKE PREP||"&amp;$BS$536,"")&amp;IF($AM$536="H5",$AE$536&amp;"|H5 STRIKE PREP IN HEADER||"&amp;$BS$536,IF(OR($AM$536="",$AM$536="-"),"",$AE$536&amp;"|HEADER PREP "&amp;$AM$536&amp;"||"&amp;$BS$536))&amp;IF(N($AN$536)&gt;0,$AE$536&amp;"|"&amp;$AN$536&amp;" MINUTE STEEL FRAME LABEL "&amp;IF(OR(N($AY$536)&gt;0,N($AZ$536)&gt;0),"W/TRANSOM PANEL/SIDELIGHT","CAT. C PP")&amp;"||"&amp;$BS$536,"")&amp;IF($AX$536="BL","",$AE$536&amp;"|HD "&amp;$AF$536&amp;$BW$536&amp;$BP$536&amp;" BSC||"&amp;$BS$536&amp;IF($BR$536,$AE$536&amp;"|HJ "&amp;$AF$536&amp;$BW$536&amp;"LH "&amp;$BO$536&amp;" "&amp;$BV$536&amp;" BSC "&amp;CHAR(34)&amp;$BQ$536&amp;CHAR(34)&amp;"||"&amp;$BS$536&amp;$AE$536&amp;"|HJ "&amp;$AF$536&amp;$BW$536&amp;"RH "&amp;$BO$536&amp;" "&amp;$BV$536&amp;" BSC "&amp;CHAR(34)&amp;$BQ$536&amp;CHAR(34)&amp;"||"&amp;$BS$536,$AE$536&amp;"|HJ "&amp;$AF$536&amp;$BW$536&amp;$AW$536&amp;" "&amp;$BO$536&amp;" "&amp;$BV$536&amp;" BSC "&amp;CHAR(34)&amp;$BQ$536&amp;CHAR(34)&amp;"||"&amp;$BS$536&amp;$AE$536&amp;"|SJ "&amp;$AF$536&amp;$BW$536&amp;$AW$536&amp;" "&amp;$BO$536&amp;" "&amp;$BU$536&amp;IF($BU$536="G18"," BLANK"," Y")&amp;" BSC "&amp;CHAR(34)&amp;$BQ$536&amp;CHAR(34)&amp;"||"&amp;$BS$536))&amp;IF(AND($BN$536&gt;N($AR$536),$AX$536&lt;&gt;"BL",N($AR$536)&gt;=60),$AE$536&amp;"|FRAME CUT DOWN (BOTTOM)|Cut "&amp;TRIM(TEXT($BN$536-N($AR$536),"# ?/??"))&amp;CHAR(34)&amp;" OFF THE BOTTOM|"&amp;$BS$536,""))</f>
        <v/>
      </c>
    </row>
    <row r="537">
      <c r="B537" s="180">
        <f>IF($AD537="","",VALUE(LEFT($AD537,FIND("|",$AD537)-1)))</f>
        <v/>
      </c>
      <c r="C537" s="180">
        <f>IF($AD537="","","    "&amp;MID($AD537,FIND("|",$AD537)+1,FIND("|",$AD537,FIND("|",$AD537)+1)-FIND("|",$AD537)-1))</f>
        <v/>
      </c>
      <c r="D537" s="180">
        <f>IF($AD537="","",MID($AD537,FIND("|",$AD537,FIND("|",$AD537)+1)+1,FIND("|",$AD537&amp;"|",FIND("|",$AD537,FIND("|",$AD537)+1)+1)-FIND("|",$AD537,FIND("|",$AD537)+1)-1))</f>
        <v/>
      </c>
      <c r="AD537">
        <f>TRIM(MID(SUBSTITUTE($BX$536,"~",REPT(" ",600)),1,600))</f>
        <v/>
      </c>
    </row>
    <row r="538">
      <c r="B538" s="180">
        <f>IF($AD538="","",VALUE(LEFT($AD538,FIND("|",$AD538)-1)))</f>
        <v/>
      </c>
      <c r="C538" s="180">
        <f>IF($AD538="","","    "&amp;MID($AD538,FIND("|",$AD538)+1,FIND("|",$AD538,FIND("|",$AD538)+1)-FIND("|",$AD538)-1))</f>
        <v/>
      </c>
      <c r="D538" s="180">
        <f>IF($AD538="","",MID($AD538,FIND("|",$AD538,FIND("|",$AD538)+1)+1,FIND("|",$AD538&amp;"|",FIND("|",$AD538,FIND("|",$AD538)+1)+1)-FIND("|",$AD538,FIND("|",$AD538)+1)-1))</f>
        <v/>
      </c>
      <c r="AD538">
        <f>TRIM(MID(SUBSTITUTE($BX$536,"~",REPT(" ",600)),601,600))</f>
        <v/>
      </c>
    </row>
    <row r="539">
      <c r="B539" s="180">
        <f>IF($AD539="","",VALUE(LEFT($AD539,FIND("|",$AD539)-1)))</f>
        <v/>
      </c>
      <c r="C539" s="180">
        <f>IF($AD539="","","    "&amp;MID($AD539,FIND("|",$AD539)+1,FIND("|",$AD539,FIND("|",$AD539)+1)-FIND("|",$AD539)-1))</f>
        <v/>
      </c>
      <c r="D539" s="180">
        <f>IF($AD539="","",MID($AD539,FIND("|",$AD539,FIND("|",$AD539)+1)+1,FIND("|",$AD539&amp;"|",FIND("|",$AD539,FIND("|",$AD539)+1)+1)-FIND("|",$AD539,FIND("|",$AD539)+1)-1))</f>
        <v/>
      </c>
      <c r="AD539">
        <f>TRIM(MID(SUBSTITUTE($BX$536,"~",REPT(" ",600)),1201,600))</f>
        <v/>
      </c>
    </row>
    <row r="540">
      <c r="B540" s="180">
        <f>IF($AD540="","",VALUE(LEFT($AD540,FIND("|",$AD540)-1)))</f>
        <v/>
      </c>
      <c r="C540" s="180">
        <f>IF($AD540="","","    "&amp;MID($AD540,FIND("|",$AD540)+1,FIND("|",$AD540,FIND("|",$AD540)+1)-FIND("|",$AD540)-1))</f>
        <v/>
      </c>
      <c r="D540" s="180">
        <f>IF($AD540="","",MID($AD540,FIND("|",$AD540,FIND("|",$AD540)+1)+1,FIND("|",$AD540&amp;"|",FIND("|",$AD540,FIND("|",$AD540)+1)+1)-FIND("|",$AD540,FIND("|",$AD540)+1)-1))</f>
        <v/>
      </c>
      <c r="AD540">
        <f>TRIM(MID(SUBSTITUTE($BX$536,"~",REPT(" ",600)),1801,600))</f>
        <v/>
      </c>
    </row>
    <row r="541">
      <c r="B541" s="180">
        <f>IF($AD541="","",VALUE(LEFT($AD541,FIND("|",$AD541)-1)))</f>
        <v/>
      </c>
      <c r="C541" s="180">
        <f>IF($AD541="","","    "&amp;MID($AD541,FIND("|",$AD541)+1,FIND("|",$AD541,FIND("|",$AD541)+1)-FIND("|",$AD541)-1))</f>
        <v/>
      </c>
      <c r="D541" s="180">
        <f>IF($AD541="","",MID($AD541,FIND("|",$AD541,FIND("|",$AD541)+1)+1,FIND("|",$AD541&amp;"|",FIND("|",$AD541,FIND("|",$AD541)+1)+1)-FIND("|",$AD541,FIND("|",$AD541)+1)-1))</f>
        <v/>
      </c>
      <c r="AD541">
        <f>TRIM(MID(SUBSTITUTE($BX$536,"~",REPT(" ",600)),2401,600))</f>
        <v/>
      </c>
    </row>
    <row r="542">
      <c r="B542" s="180">
        <f>IF($AD542="","",VALUE(LEFT($AD542,FIND("|",$AD542)-1)))</f>
        <v/>
      </c>
      <c r="C542" s="180">
        <f>IF($AD542="","","    "&amp;MID($AD542,FIND("|",$AD542)+1,FIND("|",$AD542,FIND("|",$AD542)+1)-FIND("|",$AD542)-1))</f>
        <v/>
      </c>
      <c r="D542" s="180">
        <f>IF($AD542="","",MID($AD542,FIND("|",$AD542,FIND("|",$AD542)+1)+1,FIND("|",$AD542&amp;"|",FIND("|",$AD542,FIND("|",$AD542)+1)+1)-FIND("|",$AD542,FIND("|",$AD542)+1)-1))</f>
        <v/>
      </c>
      <c r="AD542">
        <f>TRIM(MID(SUBSTITUTE($BX$536,"~",REPT(" ",600)),3001,600))</f>
        <v/>
      </c>
    </row>
    <row r="543">
      <c r="B543" s="180">
        <f>IF($AD543="","",VALUE(LEFT($AD543,FIND("|",$AD543)-1)))</f>
        <v/>
      </c>
      <c r="C543" s="180">
        <f>IF($AD543="","","    "&amp;MID($AD543,FIND("|",$AD543)+1,FIND("|",$AD543,FIND("|",$AD543)+1)-FIND("|",$AD543)-1))</f>
        <v/>
      </c>
      <c r="D543" s="180">
        <f>IF($AD543="","",MID($AD543,FIND("|",$AD543,FIND("|",$AD543)+1)+1,FIND("|",$AD543&amp;"|",FIND("|",$AD543,FIND("|",$AD543)+1)+1)-FIND("|",$AD543,FIND("|",$AD543)+1)-1))</f>
        <v/>
      </c>
      <c r="AD543">
        <f>TRIM(MID(SUBSTITUTE($BX$536,"~",REPT(" ",600)),3601,600))</f>
        <v/>
      </c>
    </row>
    <row r="544">
      <c r="B544" s="180">
        <f>IF($AD544="","",VALUE(LEFT($AD544,FIND("|",$AD544)-1)))</f>
        <v/>
      </c>
      <c r="C544" s="180">
        <f>IF($AD544="","","    "&amp;MID($AD544,FIND("|",$AD544)+1,FIND("|",$AD544,FIND("|",$AD544)+1)-FIND("|",$AD544)-1))</f>
        <v/>
      </c>
      <c r="D544" s="180">
        <f>IF($AD544="","",MID($AD544,FIND("|",$AD544,FIND("|",$AD544)+1)+1,FIND("|",$AD544&amp;"|",FIND("|",$AD544,FIND("|",$AD544)+1)+1)-FIND("|",$AD544,FIND("|",$AD544)+1)-1))</f>
        <v/>
      </c>
      <c r="AD544">
        <f>TRIM(MID(SUBSTITUTE($BX$536,"~",REPT(" ",600)),4201,600))</f>
        <v/>
      </c>
    </row>
    <row r="545">
      <c r="B545" s="180">
        <f>IF($AD545="","",VALUE(LEFT($AD545,FIND("|",$AD545)-1)))</f>
        <v/>
      </c>
      <c r="C545" s="180">
        <f>IF($AD545="","","    "&amp;MID($AD545,FIND("|",$AD545)+1,FIND("|",$AD545,FIND("|",$AD545)+1)-FIND("|",$AD545)-1))</f>
        <v/>
      </c>
      <c r="D545" s="180">
        <f>IF($AD545="","",MID($AD545,FIND("|",$AD545,FIND("|",$AD545)+1)+1,FIND("|",$AD545&amp;"|",FIND("|",$AD545,FIND("|",$AD545)+1)+1)-FIND("|",$AD545,FIND("|",$AD545)+1)-1))</f>
        <v/>
      </c>
      <c r="AD545">
        <f>TRIM(MID(SUBSTITUTE($BX$536,"~",REPT(" ",600)),4801,600))</f>
        <v/>
      </c>
    </row>
    <row r="546">
      <c r="B546" s="180">
        <f>IF($AD546="","",VALUE(LEFT($AD546,FIND("|",$AD546)-1)))</f>
        <v/>
      </c>
      <c r="C546" s="180">
        <f>IF($AD546="","","    "&amp;MID($AD546,FIND("|",$AD546)+1,FIND("|",$AD546,FIND("|",$AD546)+1)-FIND("|",$AD546)-1))</f>
        <v/>
      </c>
      <c r="D546" s="180">
        <f>IF($AD546="","",MID($AD546,FIND("|",$AD546,FIND("|",$AD546)+1)+1,FIND("|",$AD546&amp;"|",FIND("|",$AD546,FIND("|",$AD546)+1)+1)-FIND("|",$AD546,FIND("|",$AD546)+1)-1))</f>
        <v/>
      </c>
      <c r="AD546">
        <f>TRIM(MID(SUBSTITUTE($BX$536,"~",REPT(" ",600)),5401,600))</f>
        <v/>
      </c>
    </row>
    <row r="547">
      <c r="B547" s="180">
        <f>IF($AD547="","",VALUE(LEFT($AD547,FIND("|",$AD547)-1)))</f>
        <v/>
      </c>
      <c r="C547" s="180">
        <f>IF($AD547="","","    "&amp;MID($AD547,FIND("|",$AD547)+1,FIND("|",$AD547,FIND("|",$AD547)+1)-FIND("|",$AD547)-1))</f>
        <v/>
      </c>
      <c r="D547" s="180">
        <f>IF($AD547="","",MID($AD547,FIND("|",$AD547,FIND("|",$AD547)+1)+1,FIND("|",$AD547&amp;"|",FIND("|",$AD547,FIND("|",$AD547)+1)+1)-FIND("|",$AD547,FIND("|",$AD547)+1)-1))</f>
        <v/>
      </c>
      <c r="AD547">
        <f>TRIM(MID(SUBSTITUTE($BX$536,"~",REPT(" ",600)),6001,600))</f>
        <v/>
      </c>
    </row>
    <row r="548">
      <c r="A548" s="178">
        <f>IF($AD$548=0,"",$BK$548)</f>
        <v/>
      </c>
      <c r="B548" s="178">
        <f>IF($AD$548=0,"",$AE$548)</f>
        <v/>
      </c>
      <c r="C548" s="178">
        <f>IF($AD$548=0,"",$AE$548&amp;") "&amp;IF(COUNTIFS(tk_SOFG,46,tk_HLEG,"&lt;&gt;"&amp;$BJ$548)=0,INDEX(tk_FLINE,$AD$548),INDEX(tk_FLINEN,$AD$548))&amp;IF($AJ$548="KD"," ( R.O. "&amp;TRIM(TEXT(N($AQ$548)+2.25,"# ?/??"))&amp;CHAR(34)&amp;" x "&amp;TRIM(TEXT(N($AR$548)+1,"# ?/??"))&amp;CHAR(34)&amp;" )",""))</f>
        <v/>
      </c>
      <c r="D548" s="178" t="n"/>
      <c r="E548" s="179">
        <f t="array" ref="E548">IF($AD$548=0,"",_xlfn.TEXTJOIN(", ",TRUE,IF(tk_SOFG=46,"#"&amp;tk_MARK&amp;IF(tk_HLEG="","","("&amp;tk_HLEG&amp;")")&amp;IF(tk_QTY&gt;1," ×"&amp;tk_QTY,""),"")))</f>
        <v/>
      </c>
      <c r="AD548">
        <f>IFERROR(MATCH(46,tk_SOFG,0),0)</f>
        <v/>
      </c>
      <c r="AE548">
        <f>IF($AD$548=0,0,SUMIF(tk_SOFG,46,tk_QTY))</f>
        <v/>
      </c>
      <c r="AF548">
        <f>IF($AD$548=0,"",INDEX(tk_JAMB,$AD$548))</f>
        <v/>
      </c>
      <c r="AG548">
        <f>IF($AD$548=0,"",INDEX(tk_ANCHOR,$AD$548))</f>
        <v/>
      </c>
      <c r="AH548">
        <f>IF($AD$548=0,"",INDEX(tk_ANCH,$AD$548))</f>
        <v/>
      </c>
      <c r="AI548">
        <f>IF($AD$548=0,"",INDEX(tk_BASEA,$AD$548))</f>
        <v/>
      </c>
      <c r="AJ548">
        <f>IF($AD$548=0,"",INDEX(tk_CONSTR,$AD$548))</f>
        <v/>
      </c>
      <c r="AK548">
        <f>IF($AD$548=0,"",INDEX(tk_CLOSER,$AD$548))</f>
        <v/>
      </c>
      <c r="AL548">
        <f>IF($AD$548=0,"",INDEX(tk_STRIKE,$AD$548))</f>
        <v/>
      </c>
      <c r="AM548">
        <f>IF($AD$548=0,"",INDEX(tk_HDRPREP,$AD$548))</f>
        <v/>
      </c>
      <c r="AN548">
        <f>IF($AD$548=0,"",INDEX(tk_DMIN,$AD$548))</f>
        <v/>
      </c>
      <c r="AO548">
        <f>IF($AD$548=0,"",INDEX(tk_PAIR,$AD$548))</f>
        <v/>
      </c>
      <c r="AP548">
        <f>IF($AD$548=0,"",INDEX(tk_FGA,$AD$548))</f>
        <v/>
      </c>
      <c r="AQ548">
        <f>IF($AD$548=0,"",INDEX(tk_WI,$AD$548))</f>
        <v/>
      </c>
      <c r="AR548">
        <f>IF($AD$548=0,"",INDEX(tk_HI,$AD$548))</f>
        <v/>
      </c>
      <c r="AS548">
        <f>IF($AD$548=0,"",INDEX(tk_FHINGE,$AD$548))</f>
        <v/>
      </c>
      <c r="AT548">
        <f>IF($AD$548=0,"",INDEX(tk_DHINGE,$AD$548))</f>
        <v/>
      </c>
      <c r="AU548">
        <f>IF($AD$548=0,"",INDEX(tk_HWLOC,$AD$548))</f>
        <v/>
      </c>
      <c r="AV548">
        <f>IF($AD$548=0,"",INDEX(tk_MANUF,$AD$548))</f>
        <v/>
      </c>
      <c r="AW548">
        <f>IF($AD$548=0,"",INDEX(tk_JH,$AD$548))</f>
        <v/>
      </c>
      <c r="AX548">
        <f>IF($AD$548=0,"",INDEX(tk_FDESC,$AD$548))</f>
        <v/>
      </c>
      <c r="AY548">
        <f>IF($AD$548=0,"",INDEX(tk_TRANS,$AD$548))</f>
        <v/>
      </c>
      <c r="AZ548">
        <f>IF($AD$548=0,"",INDEX(tk_SLW,$AD$548))</f>
        <v/>
      </c>
      <c r="BA548">
        <f>IF($AD$548=0,"",INDEX(tk_LEAVES,$AD$548))</f>
        <v/>
      </c>
      <c r="BB548">
        <f>IF($AD$548=0,"",INDEX(tk_LEAFW,$AD$548))</f>
        <v/>
      </c>
      <c r="BC548">
        <f>IF($AD$548=0,"",INDEX(tk_LEAFH,$AD$548))</f>
        <v/>
      </c>
      <c r="BD548">
        <f>IF($AD$548=0,"",INDEX(tk_DMAT,$AD$548))</f>
        <v/>
      </c>
      <c r="BE548">
        <f>IF($AD$548=0,"",INDEX(tk_DGA,$AD$548))</f>
        <v/>
      </c>
      <c r="BF548">
        <f>IF($AD$548=0,"",INDEX(tk_SERIES,$AD$548))</f>
        <v/>
      </c>
      <c r="BG548">
        <f>IF($AD$548=0,"",INDEX(tk_LOCK,$AD$548))</f>
        <v/>
      </c>
      <c r="BH548">
        <f>IF($AD$548=0,"",INDEX(tk_LITEKIT,$AD$548))</f>
        <v/>
      </c>
      <c r="BI548">
        <f>IF($AD$548=0,"",INDEX(tk_FACE,$AD$548))</f>
        <v/>
      </c>
      <c r="BJ548">
        <f>IF($AD$548=0,"",INDEX(tk_HLEG,$AD$548))</f>
        <v/>
      </c>
      <c r="BK548">
        <f>IF($AD$548=0,"",INDEX(tk_SOITEM,$AD$548))</f>
        <v/>
      </c>
      <c r="BL548">
        <f>IFERROR(VLOOKUP($AF$548,CODES,2,FALSE),"")</f>
        <v/>
      </c>
      <c r="BM548">
        <f>IF($AJ$548="KD","C","M")</f>
        <v/>
      </c>
      <c r="BN548">
        <f>IF(N($AR$548)&lt;=80,80,IF(N($AR$548)&lt;=84,84,IF(N($AR$548)&lt;=96,96,N($AR$548))))</f>
        <v/>
      </c>
      <c r="BO548">
        <f>INT($BN$548/12)&amp;MOD($BN$548,12)</f>
        <v/>
      </c>
      <c r="BP548">
        <f>INT(N($AQ$548)/12)&amp;MOD(N($AQ$548),12)</f>
        <v/>
      </c>
      <c r="BQ548">
        <f>IF(OR($AU$548="",$AU$548="ANSI/SDI",$AU$548="CUSTOM LOC"),IF($AV$548="CU","CURRIES","STEELCRAFT"),$AU$548)</f>
        <v/>
      </c>
      <c r="BR548">
        <f>$AO$548="Y"</f>
        <v/>
      </c>
      <c r="BS548">
        <f>"~"</f>
        <v/>
      </c>
      <c r="BT548">
        <f>N($AH$548)*N($AI$548)</f>
        <v/>
      </c>
      <c r="BU548">
        <f>IF(OR($AL$548="",$AL$548="-",$AL$548="E8"),"G18",$AL$548)</f>
        <v/>
      </c>
      <c r="BV548">
        <f>IF(OR($AS$548="",$AS$548="-"),"BLK",$AS$548)</f>
        <v/>
      </c>
      <c r="BW548">
        <f>" "&amp;$BM$548&amp;$AP$548&amp;" "</f>
        <v/>
      </c>
      <c r="BX548">
        <f>IF($AD$548=0,"",IF(OR($AG$548="SSA",$AG$548="SC"),$AE$548*$BT$548&amp;"|"&amp;$BL$548&amp;" STEEL STUD ANCHOR 2"&amp;CHAR(34)&amp;"||"&amp;$BS$548,"")&amp;IF($AG$548="WEWA-M",$AE$548*(N($AH$548)+1)*N($AI$548)&amp;"|FR101F 690 "&amp;$BL$548&amp;" MASONRY TUBE ANCHOR 16 GA||"&amp;$BS$548&amp;$AE$548*(N($AH$548)+1)*N($AI$548)&amp;"|3/8X5 SF3850 DYNO BOLTS||"&amp;$BS$548,"")&amp;IF($AG$548="WMA",$AE$548*$BT$548&amp;"|WIRE MASONRY ANCHOR||"&amp;$BS$548,"")&amp;IF($AG$548="T",$AE$548*$BT$548&amp;"|T-STRAP MASONRY ANCHOR||"&amp;$BS$548,"")&amp;IF($AG$548="WEWA-W",$AE$548*$BT$548&amp;"|P/D + WOOD SCREWS||"&amp;$BS$548,"")&amp;IF($AJ$548="WGS",$AE$548&amp;"|WELD &amp; GROUND SMOOTH||"&amp;$BS$548,"")&amp;IF(OR($AK$548="",$AK$548="-"),"",$AE$548*IF($BR$548,4,2)&amp;"|RACL/PACL-CLOSER REINF. 14GAx1-3/4x16 HRPO|"&amp;$AK$548&amp;IF($BR$548," BOTH SIDES","")&amp;"|"&amp;$BS$548)&amp;IF($AL$548="E8",$AE$548&amp;"|E8-STRIKE REINF. RIM EXIT||"&amp;$BS$548,"")&amp;IF(ISNUMBER(SEARCH("E4",$AL$548)),$AE$548&amp;"|FRAME DEADLOCK PREP||"&amp;$BS$548,"")&amp;IF($AL$548="E9",$AE$548&amp;"|ELECTRIC STRIKE PREP||"&amp;$BS$548,"")&amp;IF($AM$548="H5",$AE$548&amp;"|H5 STRIKE PREP IN HEADER||"&amp;$BS$548,IF(OR($AM$548="",$AM$548="-"),"",$AE$548&amp;"|HEADER PREP "&amp;$AM$548&amp;"||"&amp;$BS$548))&amp;IF(N($AN$548)&gt;0,$AE$548&amp;"|"&amp;$AN$548&amp;" MINUTE STEEL FRAME LABEL "&amp;IF(OR(N($AY$548)&gt;0,N($AZ$548)&gt;0),"W/TRANSOM PANEL/SIDELIGHT","CAT. C PP")&amp;"||"&amp;$BS$548,"")&amp;IF($AX$548="BL","",$AE$548&amp;"|HD "&amp;$AF$548&amp;$BW$548&amp;$BP$548&amp;" BSC||"&amp;$BS$548&amp;IF($BR$548,$AE$548&amp;"|HJ "&amp;$AF$548&amp;$BW$548&amp;"LH "&amp;$BO$548&amp;" "&amp;$BV$548&amp;" BSC "&amp;CHAR(34)&amp;$BQ$548&amp;CHAR(34)&amp;"||"&amp;$BS$548&amp;$AE$548&amp;"|HJ "&amp;$AF$548&amp;$BW$548&amp;"RH "&amp;$BO$548&amp;" "&amp;$BV$548&amp;" BSC "&amp;CHAR(34)&amp;$BQ$548&amp;CHAR(34)&amp;"||"&amp;$BS$548,$AE$548&amp;"|HJ "&amp;$AF$548&amp;$BW$548&amp;$AW$548&amp;" "&amp;$BO$548&amp;" "&amp;$BV$548&amp;" BSC "&amp;CHAR(34)&amp;$BQ$548&amp;CHAR(34)&amp;"||"&amp;$BS$548&amp;$AE$548&amp;"|SJ "&amp;$AF$548&amp;$BW$548&amp;$AW$548&amp;" "&amp;$BO$548&amp;" "&amp;$BU$548&amp;IF($BU$548="G18"," BLANK"," Y")&amp;" BSC "&amp;CHAR(34)&amp;$BQ$548&amp;CHAR(34)&amp;"||"&amp;$BS$548))&amp;IF(AND($BN$548&gt;N($AR$548),$AX$548&lt;&gt;"BL",N($AR$548)&gt;=60),$AE$548&amp;"|FRAME CUT DOWN (BOTTOM)|Cut "&amp;TRIM(TEXT($BN$548-N($AR$548),"# ?/??"))&amp;CHAR(34)&amp;" OFF THE BOTTOM|"&amp;$BS$548,""))</f>
        <v/>
      </c>
    </row>
    <row r="549">
      <c r="B549" s="180">
        <f>IF($AD549="","",VALUE(LEFT($AD549,FIND("|",$AD549)-1)))</f>
        <v/>
      </c>
      <c r="C549" s="180">
        <f>IF($AD549="","","    "&amp;MID($AD549,FIND("|",$AD549)+1,FIND("|",$AD549,FIND("|",$AD549)+1)-FIND("|",$AD549)-1))</f>
        <v/>
      </c>
      <c r="D549" s="180">
        <f>IF($AD549="","",MID($AD549,FIND("|",$AD549,FIND("|",$AD549)+1)+1,FIND("|",$AD549&amp;"|",FIND("|",$AD549,FIND("|",$AD549)+1)+1)-FIND("|",$AD549,FIND("|",$AD549)+1)-1))</f>
        <v/>
      </c>
      <c r="AD549">
        <f>TRIM(MID(SUBSTITUTE($BX$548,"~",REPT(" ",600)),1,600))</f>
        <v/>
      </c>
    </row>
    <row r="550">
      <c r="B550" s="180">
        <f>IF($AD550="","",VALUE(LEFT($AD550,FIND("|",$AD550)-1)))</f>
        <v/>
      </c>
      <c r="C550" s="180">
        <f>IF($AD550="","","    "&amp;MID($AD550,FIND("|",$AD550)+1,FIND("|",$AD550,FIND("|",$AD550)+1)-FIND("|",$AD550)-1))</f>
        <v/>
      </c>
      <c r="D550" s="180">
        <f>IF($AD550="","",MID($AD550,FIND("|",$AD550,FIND("|",$AD550)+1)+1,FIND("|",$AD550&amp;"|",FIND("|",$AD550,FIND("|",$AD550)+1)+1)-FIND("|",$AD550,FIND("|",$AD550)+1)-1))</f>
        <v/>
      </c>
      <c r="AD550">
        <f>TRIM(MID(SUBSTITUTE($BX$548,"~",REPT(" ",600)),601,600))</f>
        <v/>
      </c>
    </row>
    <row r="551">
      <c r="B551" s="180">
        <f>IF($AD551="","",VALUE(LEFT($AD551,FIND("|",$AD551)-1)))</f>
        <v/>
      </c>
      <c r="C551" s="180">
        <f>IF($AD551="","","    "&amp;MID($AD551,FIND("|",$AD551)+1,FIND("|",$AD551,FIND("|",$AD551)+1)-FIND("|",$AD551)-1))</f>
        <v/>
      </c>
      <c r="D551" s="180">
        <f>IF($AD551="","",MID($AD551,FIND("|",$AD551,FIND("|",$AD551)+1)+1,FIND("|",$AD551&amp;"|",FIND("|",$AD551,FIND("|",$AD551)+1)+1)-FIND("|",$AD551,FIND("|",$AD551)+1)-1))</f>
        <v/>
      </c>
      <c r="AD551">
        <f>TRIM(MID(SUBSTITUTE($BX$548,"~",REPT(" ",600)),1201,600))</f>
        <v/>
      </c>
    </row>
    <row r="552">
      <c r="B552" s="180">
        <f>IF($AD552="","",VALUE(LEFT($AD552,FIND("|",$AD552)-1)))</f>
        <v/>
      </c>
      <c r="C552" s="180">
        <f>IF($AD552="","","    "&amp;MID($AD552,FIND("|",$AD552)+1,FIND("|",$AD552,FIND("|",$AD552)+1)-FIND("|",$AD552)-1))</f>
        <v/>
      </c>
      <c r="D552" s="180">
        <f>IF($AD552="","",MID($AD552,FIND("|",$AD552,FIND("|",$AD552)+1)+1,FIND("|",$AD552&amp;"|",FIND("|",$AD552,FIND("|",$AD552)+1)+1)-FIND("|",$AD552,FIND("|",$AD552)+1)-1))</f>
        <v/>
      </c>
      <c r="AD552">
        <f>TRIM(MID(SUBSTITUTE($BX$548,"~",REPT(" ",600)),1801,600))</f>
        <v/>
      </c>
    </row>
    <row r="553">
      <c r="B553" s="180">
        <f>IF($AD553="","",VALUE(LEFT($AD553,FIND("|",$AD553)-1)))</f>
        <v/>
      </c>
      <c r="C553" s="180">
        <f>IF($AD553="","","    "&amp;MID($AD553,FIND("|",$AD553)+1,FIND("|",$AD553,FIND("|",$AD553)+1)-FIND("|",$AD553)-1))</f>
        <v/>
      </c>
      <c r="D553" s="180">
        <f>IF($AD553="","",MID($AD553,FIND("|",$AD553,FIND("|",$AD553)+1)+1,FIND("|",$AD553&amp;"|",FIND("|",$AD553,FIND("|",$AD553)+1)+1)-FIND("|",$AD553,FIND("|",$AD553)+1)-1))</f>
        <v/>
      </c>
      <c r="AD553">
        <f>TRIM(MID(SUBSTITUTE($BX$548,"~",REPT(" ",600)),2401,600))</f>
        <v/>
      </c>
    </row>
    <row r="554">
      <c r="B554" s="180">
        <f>IF($AD554="","",VALUE(LEFT($AD554,FIND("|",$AD554)-1)))</f>
        <v/>
      </c>
      <c r="C554" s="180">
        <f>IF($AD554="","","    "&amp;MID($AD554,FIND("|",$AD554)+1,FIND("|",$AD554,FIND("|",$AD554)+1)-FIND("|",$AD554)-1))</f>
        <v/>
      </c>
      <c r="D554" s="180">
        <f>IF($AD554="","",MID($AD554,FIND("|",$AD554,FIND("|",$AD554)+1)+1,FIND("|",$AD554&amp;"|",FIND("|",$AD554,FIND("|",$AD554)+1)+1)-FIND("|",$AD554,FIND("|",$AD554)+1)-1))</f>
        <v/>
      </c>
      <c r="AD554">
        <f>TRIM(MID(SUBSTITUTE($BX$548,"~",REPT(" ",600)),3001,600))</f>
        <v/>
      </c>
    </row>
    <row r="555">
      <c r="B555" s="180">
        <f>IF($AD555="","",VALUE(LEFT($AD555,FIND("|",$AD555)-1)))</f>
        <v/>
      </c>
      <c r="C555" s="180">
        <f>IF($AD555="","","    "&amp;MID($AD555,FIND("|",$AD555)+1,FIND("|",$AD555,FIND("|",$AD555)+1)-FIND("|",$AD555)-1))</f>
        <v/>
      </c>
      <c r="D555" s="180">
        <f>IF($AD555="","",MID($AD555,FIND("|",$AD555,FIND("|",$AD555)+1)+1,FIND("|",$AD555&amp;"|",FIND("|",$AD555,FIND("|",$AD555)+1)+1)-FIND("|",$AD555,FIND("|",$AD555)+1)-1))</f>
        <v/>
      </c>
      <c r="AD555">
        <f>TRIM(MID(SUBSTITUTE($BX$548,"~",REPT(" ",600)),3601,600))</f>
        <v/>
      </c>
    </row>
    <row r="556">
      <c r="B556" s="180">
        <f>IF($AD556="","",VALUE(LEFT($AD556,FIND("|",$AD556)-1)))</f>
        <v/>
      </c>
      <c r="C556" s="180">
        <f>IF($AD556="","","    "&amp;MID($AD556,FIND("|",$AD556)+1,FIND("|",$AD556,FIND("|",$AD556)+1)-FIND("|",$AD556)-1))</f>
        <v/>
      </c>
      <c r="D556" s="180">
        <f>IF($AD556="","",MID($AD556,FIND("|",$AD556,FIND("|",$AD556)+1)+1,FIND("|",$AD556&amp;"|",FIND("|",$AD556,FIND("|",$AD556)+1)+1)-FIND("|",$AD556,FIND("|",$AD556)+1)-1))</f>
        <v/>
      </c>
      <c r="AD556">
        <f>TRIM(MID(SUBSTITUTE($BX$548,"~",REPT(" ",600)),4201,600))</f>
        <v/>
      </c>
    </row>
    <row r="557">
      <c r="B557" s="180">
        <f>IF($AD557="","",VALUE(LEFT($AD557,FIND("|",$AD557)-1)))</f>
        <v/>
      </c>
      <c r="C557" s="180">
        <f>IF($AD557="","","    "&amp;MID($AD557,FIND("|",$AD557)+1,FIND("|",$AD557,FIND("|",$AD557)+1)-FIND("|",$AD557)-1))</f>
        <v/>
      </c>
      <c r="D557" s="180">
        <f>IF($AD557="","",MID($AD557,FIND("|",$AD557,FIND("|",$AD557)+1)+1,FIND("|",$AD557&amp;"|",FIND("|",$AD557,FIND("|",$AD557)+1)+1)-FIND("|",$AD557,FIND("|",$AD557)+1)-1))</f>
        <v/>
      </c>
      <c r="AD557">
        <f>TRIM(MID(SUBSTITUTE($BX$548,"~",REPT(" ",600)),4801,600))</f>
        <v/>
      </c>
    </row>
    <row r="558">
      <c r="B558" s="180">
        <f>IF($AD558="","",VALUE(LEFT($AD558,FIND("|",$AD558)-1)))</f>
        <v/>
      </c>
      <c r="C558" s="180">
        <f>IF($AD558="","","    "&amp;MID($AD558,FIND("|",$AD558)+1,FIND("|",$AD558,FIND("|",$AD558)+1)-FIND("|",$AD558)-1))</f>
        <v/>
      </c>
      <c r="D558" s="180">
        <f>IF($AD558="","",MID($AD558,FIND("|",$AD558,FIND("|",$AD558)+1)+1,FIND("|",$AD558&amp;"|",FIND("|",$AD558,FIND("|",$AD558)+1)+1)-FIND("|",$AD558,FIND("|",$AD558)+1)-1))</f>
        <v/>
      </c>
      <c r="AD558">
        <f>TRIM(MID(SUBSTITUTE($BX$548,"~",REPT(" ",600)),5401,600))</f>
        <v/>
      </c>
    </row>
    <row r="559">
      <c r="B559" s="180">
        <f>IF($AD559="","",VALUE(LEFT($AD559,FIND("|",$AD559)-1)))</f>
        <v/>
      </c>
      <c r="C559" s="180">
        <f>IF($AD559="","","    "&amp;MID($AD559,FIND("|",$AD559)+1,FIND("|",$AD559,FIND("|",$AD559)+1)-FIND("|",$AD559)-1))</f>
        <v/>
      </c>
      <c r="D559" s="180">
        <f>IF($AD559="","",MID($AD559,FIND("|",$AD559,FIND("|",$AD559)+1)+1,FIND("|",$AD559&amp;"|",FIND("|",$AD559,FIND("|",$AD559)+1)+1)-FIND("|",$AD559,FIND("|",$AD559)+1)-1))</f>
        <v/>
      </c>
      <c r="AD559">
        <f>TRIM(MID(SUBSTITUTE($BX$548,"~",REPT(" ",600)),6001,600))</f>
        <v/>
      </c>
    </row>
    <row r="560">
      <c r="A560" s="178">
        <f>IF($AD$560=0,"",$BK$560)</f>
        <v/>
      </c>
      <c r="B560" s="178">
        <f>IF($AD$560=0,"",$AE$560)</f>
        <v/>
      </c>
      <c r="C560" s="178">
        <f>IF($AD$560=0,"",$AE$560&amp;") "&amp;IF(COUNTIFS(tk_SOFG,47,tk_HLEG,"&lt;&gt;"&amp;$BJ$560)=0,INDEX(tk_FLINE,$AD$560),INDEX(tk_FLINEN,$AD$560))&amp;IF($AJ$560="KD"," ( R.O. "&amp;TRIM(TEXT(N($AQ$560)+2.25,"# ?/??"))&amp;CHAR(34)&amp;" x "&amp;TRIM(TEXT(N($AR$560)+1,"# ?/??"))&amp;CHAR(34)&amp;" )",""))</f>
        <v/>
      </c>
      <c r="D560" s="178" t="n"/>
      <c r="E560" s="179">
        <f t="array" ref="E560">IF($AD$560=0,"",_xlfn.TEXTJOIN(", ",TRUE,IF(tk_SOFG=47,"#"&amp;tk_MARK&amp;IF(tk_HLEG="","","("&amp;tk_HLEG&amp;")")&amp;IF(tk_QTY&gt;1," ×"&amp;tk_QTY,""),"")))</f>
        <v/>
      </c>
      <c r="AD560">
        <f>IFERROR(MATCH(47,tk_SOFG,0),0)</f>
        <v/>
      </c>
      <c r="AE560">
        <f>IF($AD$560=0,0,SUMIF(tk_SOFG,47,tk_QTY))</f>
        <v/>
      </c>
      <c r="AF560">
        <f>IF($AD$560=0,"",INDEX(tk_JAMB,$AD$560))</f>
        <v/>
      </c>
      <c r="AG560">
        <f>IF($AD$560=0,"",INDEX(tk_ANCHOR,$AD$560))</f>
        <v/>
      </c>
      <c r="AH560">
        <f>IF($AD$560=0,"",INDEX(tk_ANCH,$AD$560))</f>
        <v/>
      </c>
      <c r="AI560">
        <f>IF($AD$560=0,"",INDEX(tk_BASEA,$AD$560))</f>
        <v/>
      </c>
      <c r="AJ560">
        <f>IF($AD$560=0,"",INDEX(tk_CONSTR,$AD$560))</f>
        <v/>
      </c>
      <c r="AK560">
        <f>IF($AD$560=0,"",INDEX(tk_CLOSER,$AD$560))</f>
        <v/>
      </c>
      <c r="AL560">
        <f>IF($AD$560=0,"",INDEX(tk_STRIKE,$AD$560))</f>
        <v/>
      </c>
      <c r="AM560">
        <f>IF($AD$560=0,"",INDEX(tk_HDRPREP,$AD$560))</f>
        <v/>
      </c>
      <c r="AN560">
        <f>IF($AD$560=0,"",INDEX(tk_DMIN,$AD$560))</f>
        <v/>
      </c>
      <c r="AO560">
        <f>IF($AD$560=0,"",INDEX(tk_PAIR,$AD$560))</f>
        <v/>
      </c>
      <c r="AP560">
        <f>IF($AD$560=0,"",INDEX(tk_FGA,$AD$560))</f>
        <v/>
      </c>
      <c r="AQ560">
        <f>IF($AD$560=0,"",INDEX(tk_WI,$AD$560))</f>
        <v/>
      </c>
      <c r="AR560">
        <f>IF($AD$560=0,"",INDEX(tk_HI,$AD$560))</f>
        <v/>
      </c>
      <c r="AS560">
        <f>IF($AD$560=0,"",INDEX(tk_FHINGE,$AD$560))</f>
        <v/>
      </c>
      <c r="AT560">
        <f>IF($AD$560=0,"",INDEX(tk_DHINGE,$AD$560))</f>
        <v/>
      </c>
      <c r="AU560">
        <f>IF($AD$560=0,"",INDEX(tk_HWLOC,$AD$560))</f>
        <v/>
      </c>
      <c r="AV560">
        <f>IF($AD$560=0,"",INDEX(tk_MANUF,$AD$560))</f>
        <v/>
      </c>
      <c r="AW560">
        <f>IF($AD$560=0,"",INDEX(tk_JH,$AD$560))</f>
        <v/>
      </c>
      <c r="AX560">
        <f>IF($AD$560=0,"",INDEX(tk_FDESC,$AD$560))</f>
        <v/>
      </c>
      <c r="AY560">
        <f>IF($AD$560=0,"",INDEX(tk_TRANS,$AD$560))</f>
        <v/>
      </c>
      <c r="AZ560">
        <f>IF($AD$560=0,"",INDEX(tk_SLW,$AD$560))</f>
        <v/>
      </c>
      <c r="BA560">
        <f>IF($AD$560=0,"",INDEX(tk_LEAVES,$AD$560))</f>
        <v/>
      </c>
      <c r="BB560">
        <f>IF($AD$560=0,"",INDEX(tk_LEAFW,$AD$560))</f>
        <v/>
      </c>
      <c r="BC560">
        <f>IF($AD$560=0,"",INDEX(tk_LEAFH,$AD$560))</f>
        <v/>
      </c>
      <c r="BD560">
        <f>IF($AD$560=0,"",INDEX(tk_DMAT,$AD$560))</f>
        <v/>
      </c>
      <c r="BE560">
        <f>IF($AD$560=0,"",INDEX(tk_DGA,$AD$560))</f>
        <v/>
      </c>
      <c r="BF560">
        <f>IF($AD$560=0,"",INDEX(tk_SERIES,$AD$560))</f>
        <v/>
      </c>
      <c r="BG560">
        <f>IF($AD$560=0,"",INDEX(tk_LOCK,$AD$560))</f>
        <v/>
      </c>
      <c r="BH560">
        <f>IF($AD$560=0,"",INDEX(tk_LITEKIT,$AD$560))</f>
        <v/>
      </c>
      <c r="BI560">
        <f>IF($AD$560=0,"",INDEX(tk_FACE,$AD$560))</f>
        <v/>
      </c>
      <c r="BJ560">
        <f>IF($AD$560=0,"",INDEX(tk_HLEG,$AD$560))</f>
        <v/>
      </c>
      <c r="BK560">
        <f>IF($AD$560=0,"",INDEX(tk_SOITEM,$AD$560))</f>
        <v/>
      </c>
      <c r="BL560">
        <f>IFERROR(VLOOKUP($AF$560,CODES,2,FALSE),"")</f>
        <v/>
      </c>
      <c r="BM560">
        <f>IF($AJ$560="KD","C","M")</f>
        <v/>
      </c>
      <c r="BN560">
        <f>IF(N($AR$560)&lt;=80,80,IF(N($AR$560)&lt;=84,84,IF(N($AR$560)&lt;=96,96,N($AR$560))))</f>
        <v/>
      </c>
      <c r="BO560">
        <f>INT($BN$560/12)&amp;MOD($BN$560,12)</f>
        <v/>
      </c>
      <c r="BP560">
        <f>INT(N($AQ$560)/12)&amp;MOD(N($AQ$560),12)</f>
        <v/>
      </c>
      <c r="BQ560">
        <f>IF(OR($AU$560="",$AU$560="ANSI/SDI",$AU$560="CUSTOM LOC"),IF($AV$560="CU","CURRIES","STEELCRAFT"),$AU$560)</f>
        <v/>
      </c>
      <c r="BR560">
        <f>$AO$560="Y"</f>
        <v/>
      </c>
      <c r="BS560">
        <f>"~"</f>
        <v/>
      </c>
      <c r="BT560">
        <f>N($AH$560)*N($AI$560)</f>
        <v/>
      </c>
      <c r="BU560">
        <f>IF(OR($AL$560="",$AL$560="-",$AL$560="E8"),"G18",$AL$560)</f>
        <v/>
      </c>
      <c r="BV560">
        <f>IF(OR($AS$560="",$AS$560="-"),"BLK",$AS$560)</f>
        <v/>
      </c>
      <c r="BW560">
        <f>" "&amp;$BM$560&amp;$AP$560&amp;" "</f>
        <v/>
      </c>
      <c r="BX560">
        <f>IF($AD$560=0,"",IF(OR($AG$560="SSA",$AG$560="SC"),$AE$560*$BT$560&amp;"|"&amp;$BL$560&amp;" STEEL STUD ANCHOR 2"&amp;CHAR(34)&amp;"||"&amp;$BS$560,"")&amp;IF($AG$560="WEWA-M",$AE$560*(N($AH$560)+1)*N($AI$560)&amp;"|FR101F 690 "&amp;$BL$560&amp;" MASONRY TUBE ANCHOR 16 GA||"&amp;$BS$560&amp;$AE$560*(N($AH$560)+1)*N($AI$560)&amp;"|3/8X5 SF3850 DYNO BOLTS||"&amp;$BS$560,"")&amp;IF($AG$560="WMA",$AE$560*$BT$560&amp;"|WIRE MASONRY ANCHOR||"&amp;$BS$560,"")&amp;IF($AG$560="T",$AE$560*$BT$560&amp;"|T-STRAP MASONRY ANCHOR||"&amp;$BS$560,"")&amp;IF($AG$560="WEWA-W",$AE$560*$BT$560&amp;"|P/D + WOOD SCREWS||"&amp;$BS$560,"")&amp;IF($AJ$560="WGS",$AE$560&amp;"|WELD &amp; GROUND SMOOTH||"&amp;$BS$560,"")&amp;IF(OR($AK$560="",$AK$560="-"),"",$AE$560*IF($BR$560,4,2)&amp;"|RACL/PACL-CLOSER REINF. 14GAx1-3/4x16 HRPO|"&amp;$AK$560&amp;IF($BR$560," BOTH SIDES","")&amp;"|"&amp;$BS$560)&amp;IF($AL$560="E8",$AE$560&amp;"|E8-STRIKE REINF. RIM EXIT||"&amp;$BS$560,"")&amp;IF(ISNUMBER(SEARCH("E4",$AL$560)),$AE$560&amp;"|FRAME DEADLOCK PREP||"&amp;$BS$560,"")&amp;IF($AL$560="E9",$AE$560&amp;"|ELECTRIC STRIKE PREP||"&amp;$BS$560,"")&amp;IF($AM$560="H5",$AE$560&amp;"|H5 STRIKE PREP IN HEADER||"&amp;$BS$560,IF(OR($AM$560="",$AM$560="-"),"",$AE$560&amp;"|HEADER PREP "&amp;$AM$560&amp;"||"&amp;$BS$560))&amp;IF(N($AN$560)&gt;0,$AE$560&amp;"|"&amp;$AN$560&amp;" MINUTE STEEL FRAME LABEL "&amp;IF(OR(N($AY$560)&gt;0,N($AZ$560)&gt;0),"W/TRANSOM PANEL/SIDELIGHT","CAT. C PP")&amp;"||"&amp;$BS$560,"")&amp;IF($AX$560="BL","",$AE$560&amp;"|HD "&amp;$AF$560&amp;$BW$560&amp;$BP$560&amp;" BSC||"&amp;$BS$560&amp;IF($BR$560,$AE$560&amp;"|HJ "&amp;$AF$560&amp;$BW$560&amp;"LH "&amp;$BO$560&amp;" "&amp;$BV$560&amp;" BSC "&amp;CHAR(34)&amp;$BQ$560&amp;CHAR(34)&amp;"||"&amp;$BS$560&amp;$AE$560&amp;"|HJ "&amp;$AF$560&amp;$BW$560&amp;"RH "&amp;$BO$560&amp;" "&amp;$BV$560&amp;" BSC "&amp;CHAR(34)&amp;$BQ$560&amp;CHAR(34)&amp;"||"&amp;$BS$560,$AE$560&amp;"|HJ "&amp;$AF$560&amp;$BW$560&amp;$AW$560&amp;" "&amp;$BO$560&amp;" "&amp;$BV$560&amp;" BSC "&amp;CHAR(34)&amp;$BQ$560&amp;CHAR(34)&amp;"||"&amp;$BS$560&amp;$AE$560&amp;"|SJ "&amp;$AF$560&amp;$BW$560&amp;$AW$560&amp;" "&amp;$BO$560&amp;" "&amp;$BU$560&amp;IF($BU$560="G18"," BLANK"," Y")&amp;" BSC "&amp;CHAR(34)&amp;$BQ$560&amp;CHAR(34)&amp;"||"&amp;$BS$560))&amp;IF(AND($BN$560&gt;N($AR$560),$AX$560&lt;&gt;"BL",N($AR$560)&gt;=60),$AE$560&amp;"|FRAME CUT DOWN (BOTTOM)|Cut "&amp;TRIM(TEXT($BN$560-N($AR$560),"# ?/??"))&amp;CHAR(34)&amp;" OFF THE BOTTOM|"&amp;$BS$560,""))</f>
        <v/>
      </c>
    </row>
    <row r="561">
      <c r="B561" s="180">
        <f>IF($AD561="","",VALUE(LEFT($AD561,FIND("|",$AD561)-1)))</f>
        <v/>
      </c>
      <c r="C561" s="180">
        <f>IF($AD561="","","    "&amp;MID($AD561,FIND("|",$AD561)+1,FIND("|",$AD561,FIND("|",$AD561)+1)-FIND("|",$AD561)-1))</f>
        <v/>
      </c>
      <c r="D561" s="180">
        <f>IF($AD561="","",MID($AD561,FIND("|",$AD561,FIND("|",$AD561)+1)+1,FIND("|",$AD561&amp;"|",FIND("|",$AD561,FIND("|",$AD561)+1)+1)-FIND("|",$AD561,FIND("|",$AD561)+1)-1))</f>
        <v/>
      </c>
      <c r="AD561">
        <f>TRIM(MID(SUBSTITUTE($BX$560,"~",REPT(" ",600)),1,600))</f>
        <v/>
      </c>
    </row>
    <row r="562">
      <c r="B562" s="180">
        <f>IF($AD562="","",VALUE(LEFT($AD562,FIND("|",$AD562)-1)))</f>
        <v/>
      </c>
      <c r="C562" s="180">
        <f>IF($AD562="","","    "&amp;MID($AD562,FIND("|",$AD562)+1,FIND("|",$AD562,FIND("|",$AD562)+1)-FIND("|",$AD562)-1))</f>
        <v/>
      </c>
      <c r="D562" s="180">
        <f>IF($AD562="","",MID($AD562,FIND("|",$AD562,FIND("|",$AD562)+1)+1,FIND("|",$AD562&amp;"|",FIND("|",$AD562,FIND("|",$AD562)+1)+1)-FIND("|",$AD562,FIND("|",$AD562)+1)-1))</f>
        <v/>
      </c>
      <c r="AD562">
        <f>TRIM(MID(SUBSTITUTE($BX$560,"~",REPT(" ",600)),601,600))</f>
        <v/>
      </c>
    </row>
    <row r="563">
      <c r="B563" s="180">
        <f>IF($AD563="","",VALUE(LEFT($AD563,FIND("|",$AD563)-1)))</f>
        <v/>
      </c>
      <c r="C563" s="180">
        <f>IF($AD563="","","    "&amp;MID($AD563,FIND("|",$AD563)+1,FIND("|",$AD563,FIND("|",$AD563)+1)-FIND("|",$AD563)-1))</f>
        <v/>
      </c>
      <c r="D563" s="180">
        <f>IF($AD563="","",MID($AD563,FIND("|",$AD563,FIND("|",$AD563)+1)+1,FIND("|",$AD563&amp;"|",FIND("|",$AD563,FIND("|",$AD563)+1)+1)-FIND("|",$AD563,FIND("|",$AD563)+1)-1))</f>
        <v/>
      </c>
      <c r="AD563">
        <f>TRIM(MID(SUBSTITUTE($BX$560,"~",REPT(" ",600)),1201,600))</f>
        <v/>
      </c>
    </row>
    <row r="564">
      <c r="B564" s="180">
        <f>IF($AD564="","",VALUE(LEFT($AD564,FIND("|",$AD564)-1)))</f>
        <v/>
      </c>
      <c r="C564" s="180">
        <f>IF($AD564="","","    "&amp;MID($AD564,FIND("|",$AD564)+1,FIND("|",$AD564,FIND("|",$AD564)+1)-FIND("|",$AD564)-1))</f>
        <v/>
      </c>
      <c r="D564" s="180">
        <f>IF($AD564="","",MID($AD564,FIND("|",$AD564,FIND("|",$AD564)+1)+1,FIND("|",$AD564&amp;"|",FIND("|",$AD564,FIND("|",$AD564)+1)+1)-FIND("|",$AD564,FIND("|",$AD564)+1)-1))</f>
        <v/>
      </c>
      <c r="AD564">
        <f>TRIM(MID(SUBSTITUTE($BX$560,"~",REPT(" ",600)),1801,600))</f>
        <v/>
      </c>
    </row>
    <row r="565">
      <c r="B565" s="180">
        <f>IF($AD565="","",VALUE(LEFT($AD565,FIND("|",$AD565)-1)))</f>
        <v/>
      </c>
      <c r="C565" s="180">
        <f>IF($AD565="","","    "&amp;MID($AD565,FIND("|",$AD565)+1,FIND("|",$AD565,FIND("|",$AD565)+1)-FIND("|",$AD565)-1))</f>
        <v/>
      </c>
      <c r="D565" s="180">
        <f>IF($AD565="","",MID($AD565,FIND("|",$AD565,FIND("|",$AD565)+1)+1,FIND("|",$AD565&amp;"|",FIND("|",$AD565,FIND("|",$AD565)+1)+1)-FIND("|",$AD565,FIND("|",$AD565)+1)-1))</f>
        <v/>
      </c>
      <c r="AD565">
        <f>TRIM(MID(SUBSTITUTE($BX$560,"~",REPT(" ",600)),2401,600))</f>
        <v/>
      </c>
    </row>
    <row r="566">
      <c r="B566" s="180">
        <f>IF($AD566="","",VALUE(LEFT($AD566,FIND("|",$AD566)-1)))</f>
        <v/>
      </c>
      <c r="C566" s="180">
        <f>IF($AD566="","","    "&amp;MID($AD566,FIND("|",$AD566)+1,FIND("|",$AD566,FIND("|",$AD566)+1)-FIND("|",$AD566)-1))</f>
        <v/>
      </c>
      <c r="D566" s="180">
        <f>IF($AD566="","",MID($AD566,FIND("|",$AD566,FIND("|",$AD566)+1)+1,FIND("|",$AD566&amp;"|",FIND("|",$AD566,FIND("|",$AD566)+1)+1)-FIND("|",$AD566,FIND("|",$AD566)+1)-1))</f>
        <v/>
      </c>
      <c r="AD566">
        <f>TRIM(MID(SUBSTITUTE($BX$560,"~",REPT(" ",600)),3001,600))</f>
        <v/>
      </c>
    </row>
    <row r="567">
      <c r="B567" s="180">
        <f>IF($AD567="","",VALUE(LEFT($AD567,FIND("|",$AD567)-1)))</f>
        <v/>
      </c>
      <c r="C567" s="180">
        <f>IF($AD567="","","    "&amp;MID($AD567,FIND("|",$AD567)+1,FIND("|",$AD567,FIND("|",$AD567)+1)-FIND("|",$AD567)-1))</f>
        <v/>
      </c>
      <c r="D567" s="180">
        <f>IF($AD567="","",MID($AD567,FIND("|",$AD567,FIND("|",$AD567)+1)+1,FIND("|",$AD567&amp;"|",FIND("|",$AD567,FIND("|",$AD567)+1)+1)-FIND("|",$AD567,FIND("|",$AD567)+1)-1))</f>
        <v/>
      </c>
      <c r="AD567">
        <f>TRIM(MID(SUBSTITUTE($BX$560,"~",REPT(" ",600)),3601,600))</f>
        <v/>
      </c>
    </row>
    <row r="568">
      <c r="B568" s="180">
        <f>IF($AD568="","",VALUE(LEFT($AD568,FIND("|",$AD568)-1)))</f>
        <v/>
      </c>
      <c r="C568" s="180">
        <f>IF($AD568="","","    "&amp;MID($AD568,FIND("|",$AD568)+1,FIND("|",$AD568,FIND("|",$AD568)+1)-FIND("|",$AD568)-1))</f>
        <v/>
      </c>
      <c r="D568" s="180">
        <f>IF($AD568="","",MID($AD568,FIND("|",$AD568,FIND("|",$AD568)+1)+1,FIND("|",$AD568&amp;"|",FIND("|",$AD568,FIND("|",$AD568)+1)+1)-FIND("|",$AD568,FIND("|",$AD568)+1)-1))</f>
        <v/>
      </c>
      <c r="AD568">
        <f>TRIM(MID(SUBSTITUTE($BX$560,"~",REPT(" ",600)),4201,600))</f>
        <v/>
      </c>
    </row>
    <row r="569">
      <c r="B569" s="180">
        <f>IF($AD569="","",VALUE(LEFT($AD569,FIND("|",$AD569)-1)))</f>
        <v/>
      </c>
      <c r="C569" s="180">
        <f>IF($AD569="","","    "&amp;MID($AD569,FIND("|",$AD569)+1,FIND("|",$AD569,FIND("|",$AD569)+1)-FIND("|",$AD569)-1))</f>
        <v/>
      </c>
      <c r="D569" s="180">
        <f>IF($AD569="","",MID($AD569,FIND("|",$AD569,FIND("|",$AD569)+1)+1,FIND("|",$AD569&amp;"|",FIND("|",$AD569,FIND("|",$AD569)+1)+1)-FIND("|",$AD569,FIND("|",$AD569)+1)-1))</f>
        <v/>
      </c>
      <c r="AD569">
        <f>TRIM(MID(SUBSTITUTE($BX$560,"~",REPT(" ",600)),4801,600))</f>
        <v/>
      </c>
    </row>
    <row r="570">
      <c r="B570" s="180">
        <f>IF($AD570="","",VALUE(LEFT($AD570,FIND("|",$AD570)-1)))</f>
        <v/>
      </c>
      <c r="C570" s="180">
        <f>IF($AD570="","","    "&amp;MID($AD570,FIND("|",$AD570)+1,FIND("|",$AD570,FIND("|",$AD570)+1)-FIND("|",$AD570)-1))</f>
        <v/>
      </c>
      <c r="D570" s="180">
        <f>IF($AD570="","",MID($AD570,FIND("|",$AD570,FIND("|",$AD570)+1)+1,FIND("|",$AD570&amp;"|",FIND("|",$AD570,FIND("|",$AD570)+1)+1)-FIND("|",$AD570,FIND("|",$AD570)+1)-1))</f>
        <v/>
      </c>
      <c r="AD570">
        <f>TRIM(MID(SUBSTITUTE($BX$560,"~",REPT(" ",600)),5401,600))</f>
        <v/>
      </c>
    </row>
    <row r="571">
      <c r="B571" s="180">
        <f>IF($AD571="","",VALUE(LEFT($AD571,FIND("|",$AD571)-1)))</f>
        <v/>
      </c>
      <c r="C571" s="180">
        <f>IF($AD571="","","    "&amp;MID($AD571,FIND("|",$AD571)+1,FIND("|",$AD571,FIND("|",$AD571)+1)-FIND("|",$AD571)-1))</f>
        <v/>
      </c>
      <c r="D571" s="180">
        <f>IF($AD571="","",MID($AD571,FIND("|",$AD571,FIND("|",$AD571)+1)+1,FIND("|",$AD571&amp;"|",FIND("|",$AD571,FIND("|",$AD571)+1)+1)-FIND("|",$AD571,FIND("|",$AD571)+1)-1))</f>
        <v/>
      </c>
      <c r="AD571">
        <f>TRIM(MID(SUBSTITUTE($BX$560,"~",REPT(" ",600)),6001,600))</f>
        <v/>
      </c>
    </row>
    <row r="572">
      <c r="A572" s="178">
        <f>IF($AD$572=0,"",$BK$572)</f>
        <v/>
      </c>
      <c r="B572" s="178">
        <f>IF($AD$572=0,"",$AE$572)</f>
        <v/>
      </c>
      <c r="C572" s="178">
        <f>IF($AD$572=0,"",$AE$572&amp;") "&amp;IF(COUNTIFS(tk_SOFG,48,tk_HLEG,"&lt;&gt;"&amp;$BJ$572)=0,INDEX(tk_FLINE,$AD$572),INDEX(tk_FLINEN,$AD$572))&amp;IF($AJ$572="KD"," ( R.O. "&amp;TRIM(TEXT(N($AQ$572)+2.25,"# ?/??"))&amp;CHAR(34)&amp;" x "&amp;TRIM(TEXT(N($AR$572)+1,"# ?/??"))&amp;CHAR(34)&amp;" )",""))</f>
        <v/>
      </c>
      <c r="D572" s="178" t="n"/>
      <c r="E572" s="179">
        <f t="array" ref="E572">IF($AD$572=0,"",_xlfn.TEXTJOIN(", ",TRUE,IF(tk_SOFG=48,"#"&amp;tk_MARK&amp;IF(tk_HLEG="","","("&amp;tk_HLEG&amp;")")&amp;IF(tk_QTY&gt;1," ×"&amp;tk_QTY,""),"")))</f>
        <v/>
      </c>
      <c r="AD572">
        <f>IFERROR(MATCH(48,tk_SOFG,0),0)</f>
        <v/>
      </c>
      <c r="AE572">
        <f>IF($AD$572=0,0,SUMIF(tk_SOFG,48,tk_QTY))</f>
        <v/>
      </c>
      <c r="AF572">
        <f>IF($AD$572=0,"",INDEX(tk_JAMB,$AD$572))</f>
        <v/>
      </c>
      <c r="AG572">
        <f>IF($AD$572=0,"",INDEX(tk_ANCHOR,$AD$572))</f>
        <v/>
      </c>
      <c r="AH572">
        <f>IF($AD$572=0,"",INDEX(tk_ANCH,$AD$572))</f>
        <v/>
      </c>
      <c r="AI572">
        <f>IF($AD$572=0,"",INDEX(tk_BASEA,$AD$572))</f>
        <v/>
      </c>
      <c r="AJ572">
        <f>IF($AD$572=0,"",INDEX(tk_CONSTR,$AD$572))</f>
        <v/>
      </c>
      <c r="AK572">
        <f>IF($AD$572=0,"",INDEX(tk_CLOSER,$AD$572))</f>
        <v/>
      </c>
      <c r="AL572">
        <f>IF($AD$572=0,"",INDEX(tk_STRIKE,$AD$572))</f>
        <v/>
      </c>
      <c r="AM572">
        <f>IF($AD$572=0,"",INDEX(tk_HDRPREP,$AD$572))</f>
        <v/>
      </c>
      <c r="AN572">
        <f>IF($AD$572=0,"",INDEX(tk_DMIN,$AD$572))</f>
        <v/>
      </c>
      <c r="AO572">
        <f>IF($AD$572=0,"",INDEX(tk_PAIR,$AD$572))</f>
        <v/>
      </c>
      <c r="AP572">
        <f>IF($AD$572=0,"",INDEX(tk_FGA,$AD$572))</f>
        <v/>
      </c>
      <c r="AQ572">
        <f>IF($AD$572=0,"",INDEX(tk_WI,$AD$572))</f>
        <v/>
      </c>
      <c r="AR572">
        <f>IF($AD$572=0,"",INDEX(tk_HI,$AD$572))</f>
        <v/>
      </c>
      <c r="AS572">
        <f>IF($AD$572=0,"",INDEX(tk_FHINGE,$AD$572))</f>
        <v/>
      </c>
      <c r="AT572">
        <f>IF($AD$572=0,"",INDEX(tk_DHINGE,$AD$572))</f>
        <v/>
      </c>
      <c r="AU572">
        <f>IF($AD$572=0,"",INDEX(tk_HWLOC,$AD$572))</f>
        <v/>
      </c>
      <c r="AV572">
        <f>IF($AD$572=0,"",INDEX(tk_MANUF,$AD$572))</f>
        <v/>
      </c>
      <c r="AW572">
        <f>IF($AD$572=0,"",INDEX(tk_JH,$AD$572))</f>
        <v/>
      </c>
      <c r="AX572">
        <f>IF($AD$572=0,"",INDEX(tk_FDESC,$AD$572))</f>
        <v/>
      </c>
      <c r="AY572">
        <f>IF($AD$572=0,"",INDEX(tk_TRANS,$AD$572))</f>
        <v/>
      </c>
      <c r="AZ572">
        <f>IF($AD$572=0,"",INDEX(tk_SLW,$AD$572))</f>
        <v/>
      </c>
      <c r="BA572">
        <f>IF($AD$572=0,"",INDEX(tk_LEAVES,$AD$572))</f>
        <v/>
      </c>
      <c r="BB572">
        <f>IF($AD$572=0,"",INDEX(tk_LEAFW,$AD$572))</f>
        <v/>
      </c>
      <c r="BC572">
        <f>IF($AD$572=0,"",INDEX(tk_LEAFH,$AD$572))</f>
        <v/>
      </c>
      <c r="BD572">
        <f>IF($AD$572=0,"",INDEX(tk_DMAT,$AD$572))</f>
        <v/>
      </c>
      <c r="BE572">
        <f>IF($AD$572=0,"",INDEX(tk_DGA,$AD$572))</f>
        <v/>
      </c>
      <c r="BF572">
        <f>IF($AD$572=0,"",INDEX(tk_SERIES,$AD$572))</f>
        <v/>
      </c>
      <c r="BG572">
        <f>IF($AD$572=0,"",INDEX(tk_LOCK,$AD$572))</f>
        <v/>
      </c>
      <c r="BH572">
        <f>IF($AD$572=0,"",INDEX(tk_LITEKIT,$AD$572))</f>
        <v/>
      </c>
      <c r="BI572">
        <f>IF($AD$572=0,"",INDEX(tk_FACE,$AD$572))</f>
        <v/>
      </c>
      <c r="BJ572">
        <f>IF($AD$572=0,"",INDEX(tk_HLEG,$AD$572))</f>
        <v/>
      </c>
      <c r="BK572">
        <f>IF($AD$572=0,"",INDEX(tk_SOITEM,$AD$572))</f>
        <v/>
      </c>
      <c r="BL572">
        <f>IFERROR(VLOOKUP($AF$572,CODES,2,FALSE),"")</f>
        <v/>
      </c>
      <c r="BM572">
        <f>IF($AJ$572="KD","C","M")</f>
        <v/>
      </c>
      <c r="BN572">
        <f>IF(N($AR$572)&lt;=80,80,IF(N($AR$572)&lt;=84,84,IF(N($AR$572)&lt;=96,96,N($AR$572))))</f>
        <v/>
      </c>
      <c r="BO572">
        <f>INT($BN$572/12)&amp;MOD($BN$572,12)</f>
        <v/>
      </c>
      <c r="BP572">
        <f>INT(N($AQ$572)/12)&amp;MOD(N($AQ$572),12)</f>
        <v/>
      </c>
      <c r="BQ572">
        <f>IF(OR($AU$572="",$AU$572="ANSI/SDI",$AU$572="CUSTOM LOC"),IF($AV$572="CU","CURRIES","STEELCRAFT"),$AU$572)</f>
        <v/>
      </c>
      <c r="BR572">
        <f>$AO$572="Y"</f>
        <v/>
      </c>
      <c r="BS572">
        <f>"~"</f>
        <v/>
      </c>
      <c r="BT572">
        <f>N($AH$572)*N($AI$572)</f>
        <v/>
      </c>
      <c r="BU572">
        <f>IF(OR($AL$572="",$AL$572="-",$AL$572="E8"),"G18",$AL$572)</f>
        <v/>
      </c>
      <c r="BV572">
        <f>IF(OR($AS$572="",$AS$572="-"),"BLK",$AS$572)</f>
        <v/>
      </c>
      <c r="BW572">
        <f>" "&amp;$BM$572&amp;$AP$572&amp;" "</f>
        <v/>
      </c>
      <c r="BX572">
        <f>IF($AD$572=0,"",IF(OR($AG$572="SSA",$AG$572="SC"),$AE$572*$BT$572&amp;"|"&amp;$BL$572&amp;" STEEL STUD ANCHOR 2"&amp;CHAR(34)&amp;"||"&amp;$BS$572,"")&amp;IF($AG$572="WEWA-M",$AE$572*(N($AH$572)+1)*N($AI$572)&amp;"|FR101F 690 "&amp;$BL$572&amp;" MASONRY TUBE ANCHOR 16 GA||"&amp;$BS$572&amp;$AE$572*(N($AH$572)+1)*N($AI$572)&amp;"|3/8X5 SF3850 DYNO BOLTS||"&amp;$BS$572,"")&amp;IF($AG$572="WMA",$AE$572*$BT$572&amp;"|WIRE MASONRY ANCHOR||"&amp;$BS$572,"")&amp;IF($AG$572="T",$AE$572*$BT$572&amp;"|T-STRAP MASONRY ANCHOR||"&amp;$BS$572,"")&amp;IF($AG$572="WEWA-W",$AE$572*$BT$572&amp;"|P/D + WOOD SCREWS||"&amp;$BS$572,"")&amp;IF($AJ$572="WGS",$AE$572&amp;"|WELD &amp; GROUND SMOOTH||"&amp;$BS$572,"")&amp;IF(OR($AK$572="",$AK$572="-"),"",$AE$572*IF($BR$572,4,2)&amp;"|RACL/PACL-CLOSER REINF. 14GAx1-3/4x16 HRPO|"&amp;$AK$572&amp;IF($BR$572," BOTH SIDES","")&amp;"|"&amp;$BS$572)&amp;IF($AL$572="E8",$AE$572&amp;"|E8-STRIKE REINF. RIM EXIT||"&amp;$BS$572,"")&amp;IF(ISNUMBER(SEARCH("E4",$AL$572)),$AE$572&amp;"|FRAME DEADLOCK PREP||"&amp;$BS$572,"")&amp;IF($AL$572="E9",$AE$572&amp;"|ELECTRIC STRIKE PREP||"&amp;$BS$572,"")&amp;IF($AM$572="H5",$AE$572&amp;"|H5 STRIKE PREP IN HEADER||"&amp;$BS$572,IF(OR($AM$572="",$AM$572="-"),"",$AE$572&amp;"|HEADER PREP "&amp;$AM$572&amp;"||"&amp;$BS$572))&amp;IF(N($AN$572)&gt;0,$AE$572&amp;"|"&amp;$AN$572&amp;" MINUTE STEEL FRAME LABEL "&amp;IF(OR(N($AY$572)&gt;0,N($AZ$572)&gt;0),"W/TRANSOM PANEL/SIDELIGHT","CAT. C PP")&amp;"||"&amp;$BS$572,"")&amp;IF($AX$572="BL","",$AE$572&amp;"|HD "&amp;$AF$572&amp;$BW$572&amp;$BP$572&amp;" BSC||"&amp;$BS$572&amp;IF($BR$572,$AE$572&amp;"|HJ "&amp;$AF$572&amp;$BW$572&amp;"LH "&amp;$BO$572&amp;" "&amp;$BV$572&amp;" BSC "&amp;CHAR(34)&amp;$BQ$572&amp;CHAR(34)&amp;"||"&amp;$BS$572&amp;$AE$572&amp;"|HJ "&amp;$AF$572&amp;$BW$572&amp;"RH "&amp;$BO$572&amp;" "&amp;$BV$572&amp;" BSC "&amp;CHAR(34)&amp;$BQ$572&amp;CHAR(34)&amp;"||"&amp;$BS$572,$AE$572&amp;"|HJ "&amp;$AF$572&amp;$BW$572&amp;$AW$572&amp;" "&amp;$BO$572&amp;" "&amp;$BV$572&amp;" BSC "&amp;CHAR(34)&amp;$BQ$572&amp;CHAR(34)&amp;"||"&amp;$BS$572&amp;$AE$572&amp;"|SJ "&amp;$AF$572&amp;$BW$572&amp;$AW$572&amp;" "&amp;$BO$572&amp;" "&amp;$BU$572&amp;IF($BU$572="G18"," BLANK"," Y")&amp;" BSC "&amp;CHAR(34)&amp;$BQ$572&amp;CHAR(34)&amp;"||"&amp;$BS$572))&amp;IF(AND($BN$572&gt;N($AR$572),$AX$572&lt;&gt;"BL",N($AR$572)&gt;=60),$AE$572&amp;"|FRAME CUT DOWN (BOTTOM)|Cut "&amp;TRIM(TEXT($BN$572-N($AR$572),"# ?/??"))&amp;CHAR(34)&amp;" OFF THE BOTTOM|"&amp;$BS$572,""))</f>
        <v/>
      </c>
    </row>
    <row r="573">
      <c r="B573" s="180">
        <f>IF($AD573="","",VALUE(LEFT($AD573,FIND("|",$AD573)-1)))</f>
        <v/>
      </c>
      <c r="C573" s="180">
        <f>IF($AD573="","","    "&amp;MID($AD573,FIND("|",$AD573)+1,FIND("|",$AD573,FIND("|",$AD573)+1)-FIND("|",$AD573)-1))</f>
        <v/>
      </c>
      <c r="D573" s="180">
        <f>IF($AD573="","",MID($AD573,FIND("|",$AD573,FIND("|",$AD573)+1)+1,FIND("|",$AD573&amp;"|",FIND("|",$AD573,FIND("|",$AD573)+1)+1)-FIND("|",$AD573,FIND("|",$AD573)+1)-1))</f>
        <v/>
      </c>
      <c r="AD573">
        <f>TRIM(MID(SUBSTITUTE($BX$572,"~",REPT(" ",600)),1,600))</f>
        <v/>
      </c>
    </row>
    <row r="574">
      <c r="B574" s="180">
        <f>IF($AD574="","",VALUE(LEFT($AD574,FIND("|",$AD574)-1)))</f>
        <v/>
      </c>
      <c r="C574" s="180">
        <f>IF($AD574="","","    "&amp;MID($AD574,FIND("|",$AD574)+1,FIND("|",$AD574,FIND("|",$AD574)+1)-FIND("|",$AD574)-1))</f>
        <v/>
      </c>
      <c r="D574" s="180">
        <f>IF($AD574="","",MID($AD574,FIND("|",$AD574,FIND("|",$AD574)+1)+1,FIND("|",$AD574&amp;"|",FIND("|",$AD574,FIND("|",$AD574)+1)+1)-FIND("|",$AD574,FIND("|",$AD574)+1)-1))</f>
        <v/>
      </c>
      <c r="AD574">
        <f>TRIM(MID(SUBSTITUTE($BX$572,"~",REPT(" ",600)),601,600))</f>
        <v/>
      </c>
    </row>
    <row r="575">
      <c r="B575" s="180">
        <f>IF($AD575="","",VALUE(LEFT($AD575,FIND("|",$AD575)-1)))</f>
        <v/>
      </c>
      <c r="C575" s="180">
        <f>IF($AD575="","","    "&amp;MID($AD575,FIND("|",$AD575)+1,FIND("|",$AD575,FIND("|",$AD575)+1)-FIND("|",$AD575)-1))</f>
        <v/>
      </c>
      <c r="D575" s="180">
        <f>IF($AD575="","",MID($AD575,FIND("|",$AD575,FIND("|",$AD575)+1)+1,FIND("|",$AD575&amp;"|",FIND("|",$AD575,FIND("|",$AD575)+1)+1)-FIND("|",$AD575,FIND("|",$AD575)+1)-1))</f>
        <v/>
      </c>
      <c r="AD575">
        <f>TRIM(MID(SUBSTITUTE($BX$572,"~",REPT(" ",600)),1201,600))</f>
        <v/>
      </c>
    </row>
    <row r="576">
      <c r="B576" s="180">
        <f>IF($AD576="","",VALUE(LEFT($AD576,FIND("|",$AD576)-1)))</f>
        <v/>
      </c>
      <c r="C576" s="180">
        <f>IF($AD576="","","    "&amp;MID($AD576,FIND("|",$AD576)+1,FIND("|",$AD576,FIND("|",$AD576)+1)-FIND("|",$AD576)-1))</f>
        <v/>
      </c>
      <c r="D576" s="180">
        <f>IF($AD576="","",MID($AD576,FIND("|",$AD576,FIND("|",$AD576)+1)+1,FIND("|",$AD576&amp;"|",FIND("|",$AD576,FIND("|",$AD576)+1)+1)-FIND("|",$AD576,FIND("|",$AD576)+1)-1))</f>
        <v/>
      </c>
      <c r="AD576">
        <f>TRIM(MID(SUBSTITUTE($BX$572,"~",REPT(" ",600)),1801,600))</f>
        <v/>
      </c>
    </row>
    <row r="577">
      <c r="B577" s="180">
        <f>IF($AD577="","",VALUE(LEFT($AD577,FIND("|",$AD577)-1)))</f>
        <v/>
      </c>
      <c r="C577" s="180">
        <f>IF($AD577="","","    "&amp;MID($AD577,FIND("|",$AD577)+1,FIND("|",$AD577,FIND("|",$AD577)+1)-FIND("|",$AD577)-1))</f>
        <v/>
      </c>
      <c r="D577" s="180">
        <f>IF($AD577="","",MID($AD577,FIND("|",$AD577,FIND("|",$AD577)+1)+1,FIND("|",$AD577&amp;"|",FIND("|",$AD577,FIND("|",$AD577)+1)+1)-FIND("|",$AD577,FIND("|",$AD577)+1)-1))</f>
        <v/>
      </c>
      <c r="AD577">
        <f>TRIM(MID(SUBSTITUTE($BX$572,"~",REPT(" ",600)),2401,600))</f>
        <v/>
      </c>
    </row>
    <row r="578">
      <c r="B578" s="180">
        <f>IF($AD578="","",VALUE(LEFT($AD578,FIND("|",$AD578)-1)))</f>
        <v/>
      </c>
      <c r="C578" s="180">
        <f>IF($AD578="","","    "&amp;MID($AD578,FIND("|",$AD578)+1,FIND("|",$AD578,FIND("|",$AD578)+1)-FIND("|",$AD578)-1))</f>
        <v/>
      </c>
      <c r="D578" s="180">
        <f>IF($AD578="","",MID($AD578,FIND("|",$AD578,FIND("|",$AD578)+1)+1,FIND("|",$AD578&amp;"|",FIND("|",$AD578,FIND("|",$AD578)+1)+1)-FIND("|",$AD578,FIND("|",$AD578)+1)-1))</f>
        <v/>
      </c>
      <c r="AD578">
        <f>TRIM(MID(SUBSTITUTE($BX$572,"~",REPT(" ",600)),3001,600))</f>
        <v/>
      </c>
    </row>
    <row r="579">
      <c r="B579" s="180">
        <f>IF($AD579="","",VALUE(LEFT($AD579,FIND("|",$AD579)-1)))</f>
        <v/>
      </c>
      <c r="C579" s="180">
        <f>IF($AD579="","","    "&amp;MID($AD579,FIND("|",$AD579)+1,FIND("|",$AD579,FIND("|",$AD579)+1)-FIND("|",$AD579)-1))</f>
        <v/>
      </c>
      <c r="D579" s="180">
        <f>IF($AD579="","",MID($AD579,FIND("|",$AD579,FIND("|",$AD579)+1)+1,FIND("|",$AD579&amp;"|",FIND("|",$AD579,FIND("|",$AD579)+1)+1)-FIND("|",$AD579,FIND("|",$AD579)+1)-1))</f>
        <v/>
      </c>
      <c r="AD579">
        <f>TRIM(MID(SUBSTITUTE($BX$572,"~",REPT(" ",600)),3601,600))</f>
        <v/>
      </c>
    </row>
    <row r="580">
      <c r="B580" s="180">
        <f>IF($AD580="","",VALUE(LEFT($AD580,FIND("|",$AD580)-1)))</f>
        <v/>
      </c>
      <c r="C580" s="180">
        <f>IF($AD580="","","    "&amp;MID($AD580,FIND("|",$AD580)+1,FIND("|",$AD580,FIND("|",$AD580)+1)-FIND("|",$AD580)-1))</f>
        <v/>
      </c>
      <c r="D580" s="180">
        <f>IF($AD580="","",MID($AD580,FIND("|",$AD580,FIND("|",$AD580)+1)+1,FIND("|",$AD580&amp;"|",FIND("|",$AD580,FIND("|",$AD580)+1)+1)-FIND("|",$AD580,FIND("|",$AD580)+1)-1))</f>
        <v/>
      </c>
      <c r="AD580">
        <f>TRIM(MID(SUBSTITUTE($BX$572,"~",REPT(" ",600)),4201,600))</f>
        <v/>
      </c>
    </row>
    <row r="581">
      <c r="B581" s="180">
        <f>IF($AD581="","",VALUE(LEFT($AD581,FIND("|",$AD581)-1)))</f>
        <v/>
      </c>
      <c r="C581" s="180">
        <f>IF($AD581="","","    "&amp;MID($AD581,FIND("|",$AD581)+1,FIND("|",$AD581,FIND("|",$AD581)+1)-FIND("|",$AD581)-1))</f>
        <v/>
      </c>
      <c r="D581" s="180">
        <f>IF($AD581="","",MID($AD581,FIND("|",$AD581,FIND("|",$AD581)+1)+1,FIND("|",$AD581&amp;"|",FIND("|",$AD581,FIND("|",$AD581)+1)+1)-FIND("|",$AD581,FIND("|",$AD581)+1)-1))</f>
        <v/>
      </c>
      <c r="AD581">
        <f>TRIM(MID(SUBSTITUTE($BX$572,"~",REPT(" ",600)),4801,600))</f>
        <v/>
      </c>
    </row>
    <row r="582">
      <c r="B582" s="180">
        <f>IF($AD582="","",VALUE(LEFT($AD582,FIND("|",$AD582)-1)))</f>
        <v/>
      </c>
      <c r="C582" s="180">
        <f>IF($AD582="","","    "&amp;MID($AD582,FIND("|",$AD582)+1,FIND("|",$AD582,FIND("|",$AD582)+1)-FIND("|",$AD582)-1))</f>
        <v/>
      </c>
      <c r="D582" s="180">
        <f>IF($AD582="","",MID($AD582,FIND("|",$AD582,FIND("|",$AD582)+1)+1,FIND("|",$AD582&amp;"|",FIND("|",$AD582,FIND("|",$AD582)+1)+1)-FIND("|",$AD582,FIND("|",$AD582)+1)-1))</f>
        <v/>
      </c>
      <c r="AD582">
        <f>TRIM(MID(SUBSTITUTE($BX$572,"~",REPT(" ",600)),5401,600))</f>
        <v/>
      </c>
    </row>
    <row r="583">
      <c r="B583" s="180">
        <f>IF($AD583="","",VALUE(LEFT($AD583,FIND("|",$AD583)-1)))</f>
        <v/>
      </c>
      <c r="C583" s="180">
        <f>IF($AD583="","","    "&amp;MID($AD583,FIND("|",$AD583)+1,FIND("|",$AD583,FIND("|",$AD583)+1)-FIND("|",$AD583)-1))</f>
        <v/>
      </c>
      <c r="D583" s="180">
        <f>IF($AD583="","",MID($AD583,FIND("|",$AD583,FIND("|",$AD583)+1)+1,FIND("|",$AD583&amp;"|",FIND("|",$AD583,FIND("|",$AD583)+1)+1)-FIND("|",$AD583,FIND("|",$AD583)+1)-1))</f>
        <v/>
      </c>
      <c r="AD583">
        <f>TRIM(MID(SUBSTITUTE($BX$572,"~",REPT(" ",600)),6001,600))</f>
        <v/>
      </c>
    </row>
    <row r="584">
      <c r="A584" s="178">
        <f>IF($AD$584=0,"",$BK$584)</f>
        <v/>
      </c>
      <c r="B584" s="178">
        <f>IF($AD$584=0,"",$AE$584)</f>
        <v/>
      </c>
      <c r="C584" s="178">
        <f>IF($AD$584=0,"",$AE$584&amp;") "&amp;IF(COUNTIFS(tk_SOFG,49,tk_HLEG,"&lt;&gt;"&amp;$BJ$584)=0,INDEX(tk_FLINE,$AD$584),INDEX(tk_FLINEN,$AD$584))&amp;IF($AJ$584="KD"," ( R.O. "&amp;TRIM(TEXT(N($AQ$584)+2.25,"# ?/??"))&amp;CHAR(34)&amp;" x "&amp;TRIM(TEXT(N($AR$584)+1,"# ?/??"))&amp;CHAR(34)&amp;" )",""))</f>
        <v/>
      </c>
      <c r="D584" s="178" t="n"/>
      <c r="E584" s="179">
        <f t="array" ref="E584">IF($AD$584=0,"",_xlfn.TEXTJOIN(", ",TRUE,IF(tk_SOFG=49,"#"&amp;tk_MARK&amp;IF(tk_HLEG="","","("&amp;tk_HLEG&amp;")")&amp;IF(tk_QTY&gt;1," ×"&amp;tk_QTY,""),"")))</f>
        <v/>
      </c>
      <c r="AD584">
        <f>IFERROR(MATCH(49,tk_SOFG,0),0)</f>
        <v/>
      </c>
      <c r="AE584">
        <f>IF($AD$584=0,0,SUMIF(tk_SOFG,49,tk_QTY))</f>
        <v/>
      </c>
      <c r="AF584">
        <f>IF($AD$584=0,"",INDEX(tk_JAMB,$AD$584))</f>
        <v/>
      </c>
      <c r="AG584">
        <f>IF($AD$584=0,"",INDEX(tk_ANCHOR,$AD$584))</f>
        <v/>
      </c>
      <c r="AH584">
        <f>IF($AD$584=0,"",INDEX(tk_ANCH,$AD$584))</f>
        <v/>
      </c>
      <c r="AI584">
        <f>IF($AD$584=0,"",INDEX(tk_BASEA,$AD$584))</f>
        <v/>
      </c>
      <c r="AJ584">
        <f>IF($AD$584=0,"",INDEX(tk_CONSTR,$AD$584))</f>
        <v/>
      </c>
      <c r="AK584">
        <f>IF($AD$584=0,"",INDEX(tk_CLOSER,$AD$584))</f>
        <v/>
      </c>
      <c r="AL584">
        <f>IF($AD$584=0,"",INDEX(tk_STRIKE,$AD$584))</f>
        <v/>
      </c>
      <c r="AM584">
        <f>IF($AD$584=0,"",INDEX(tk_HDRPREP,$AD$584))</f>
        <v/>
      </c>
      <c r="AN584">
        <f>IF($AD$584=0,"",INDEX(tk_DMIN,$AD$584))</f>
        <v/>
      </c>
      <c r="AO584">
        <f>IF($AD$584=0,"",INDEX(tk_PAIR,$AD$584))</f>
        <v/>
      </c>
      <c r="AP584">
        <f>IF($AD$584=0,"",INDEX(tk_FGA,$AD$584))</f>
        <v/>
      </c>
      <c r="AQ584">
        <f>IF($AD$584=0,"",INDEX(tk_WI,$AD$584))</f>
        <v/>
      </c>
      <c r="AR584">
        <f>IF($AD$584=0,"",INDEX(tk_HI,$AD$584))</f>
        <v/>
      </c>
      <c r="AS584">
        <f>IF($AD$584=0,"",INDEX(tk_FHINGE,$AD$584))</f>
        <v/>
      </c>
      <c r="AT584">
        <f>IF($AD$584=0,"",INDEX(tk_DHINGE,$AD$584))</f>
        <v/>
      </c>
      <c r="AU584">
        <f>IF($AD$584=0,"",INDEX(tk_HWLOC,$AD$584))</f>
        <v/>
      </c>
      <c r="AV584">
        <f>IF($AD$584=0,"",INDEX(tk_MANUF,$AD$584))</f>
        <v/>
      </c>
      <c r="AW584">
        <f>IF($AD$584=0,"",INDEX(tk_JH,$AD$584))</f>
        <v/>
      </c>
      <c r="AX584">
        <f>IF($AD$584=0,"",INDEX(tk_FDESC,$AD$584))</f>
        <v/>
      </c>
      <c r="AY584">
        <f>IF($AD$584=0,"",INDEX(tk_TRANS,$AD$584))</f>
        <v/>
      </c>
      <c r="AZ584">
        <f>IF($AD$584=0,"",INDEX(tk_SLW,$AD$584))</f>
        <v/>
      </c>
      <c r="BA584">
        <f>IF($AD$584=0,"",INDEX(tk_LEAVES,$AD$584))</f>
        <v/>
      </c>
      <c r="BB584">
        <f>IF($AD$584=0,"",INDEX(tk_LEAFW,$AD$584))</f>
        <v/>
      </c>
      <c r="BC584">
        <f>IF($AD$584=0,"",INDEX(tk_LEAFH,$AD$584))</f>
        <v/>
      </c>
      <c r="BD584">
        <f>IF($AD$584=0,"",INDEX(tk_DMAT,$AD$584))</f>
        <v/>
      </c>
      <c r="BE584">
        <f>IF($AD$584=0,"",INDEX(tk_DGA,$AD$584))</f>
        <v/>
      </c>
      <c r="BF584">
        <f>IF($AD$584=0,"",INDEX(tk_SERIES,$AD$584))</f>
        <v/>
      </c>
      <c r="BG584">
        <f>IF($AD$584=0,"",INDEX(tk_LOCK,$AD$584))</f>
        <v/>
      </c>
      <c r="BH584">
        <f>IF($AD$584=0,"",INDEX(tk_LITEKIT,$AD$584))</f>
        <v/>
      </c>
      <c r="BI584">
        <f>IF($AD$584=0,"",INDEX(tk_FACE,$AD$584))</f>
        <v/>
      </c>
      <c r="BJ584">
        <f>IF($AD$584=0,"",INDEX(tk_HLEG,$AD$584))</f>
        <v/>
      </c>
      <c r="BK584">
        <f>IF($AD$584=0,"",INDEX(tk_SOITEM,$AD$584))</f>
        <v/>
      </c>
      <c r="BL584">
        <f>IFERROR(VLOOKUP($AF$584,CODES,2,FALSE),"")</f>
        <v/>
      </c>
      <c r="BM584">
        <f>IF($AJ$584="KD","C","M")</f>
        <v/>
      </c>
      <c r="BN584">
        <f>IF(N($AR$584)&lt;=80,80,IF(N($AR$584)&lt;=84,84,IF(N($AR$584)&lt;=96,96,N($AR$584))))</f>
        <v/>
      </c>
      <c r="BO584">
        <f>INT($BN$584/12)&amp;MOD($BN$584,12)</f>
        <v/>
      </c>
      <c r="BP584">
        <f>INT(N($AQ$584)/12)&amp;MOD(N($AQ$584),12)</f>
        <v/>
      </c>
      <c r="BQ584">
        <f>IF(OR($AU$584="",$AU$584="ANSI/SDI",$AU$584="CUSTOM LOC"),IF($AV$584="CU","CURRIES","STEELCRAFT"),$AU$584)</f>
        <v/>
      </c>
      <c r="BR584">
        <f>$AO$584="Y"</f>
        <v/>
      </c>
      <c r="BS584">
        <f>"~"</f>
        <v/>
      </c>
      <c r="BT584">
        <f>N($AH$584)*N($AI$584)</f>
        <v/>
      </c>
      <c r="BU584">
        <f>IF(OR($AL$584="",$AL$584="-",$AL$584="E8"),"G18",$AL$584)</f>
        <v/>
      </c>
      <c r="BV584">
        <f>IF(OR($AS$584="",$AS$584="-"),"BLK",$AS$584)</f>
        <v/>
      </c>
      <c r="BW584">
        <f>" "&amp;$BM$584&amp;$AP$584&amp;" "</f>
        <v/>
      </c>
      <c r="BX584">
        <f>IF($AD$584=0,"",IF(OR($AG$584="SSA",$AG$584="SC"),$AE$584*$BT$584&amp;"|"&amp;$BL$584&amp;" STEEL STUD ANCHOR 2"&amp;CHAR(34)&amp;"||"&amp;$BS$584,"")&amp;IF($AG$584="WEWA-M",$AE$584*(N($AH$584)+1)*N($AI$584)&amp;"|FR101F 690 "&amp;$BL$584&amp;" MASONRY TUBE ANCHOR 16 GA||"&amp;$BS$584&amp;$AE$584*(N($AH$584)+1)*N($AI$584)&amp;"|3/8X5 SF3850 DYNO BOLTS||"&amp;$BS$584,"")&amp;IF($AG$584="WMA",$AE$584*$BT$584&amp;"|WIRE MASONRY ANCHOR||"&amp;$BS$584,"")&amp;IF($AG$584="T",$AE$584*$BT$584&amp;"|T-STRAP MASONRY ANCHOR||"&amp;$BS$584,"")&amp;IF($AG$584="WEWA-W",$AE$584*$BT$584&amp;"|P/D + WOOD SCREWS||"&amp;$BS$584,"")&amp;IF($AJ$584="WGS",$AE$584&amp;"|WELD &amp; GROUND SMOOTH||"&amp;$BS$584,"")&amp;IF(OR($AK$584="",$AK$584="-"),"",$AE$584*IF($BR$584,4,2)&amp;"|RACL/PACL-CLOSER REINF. 14GAx1-3/4x16 HRPO|"&amp;$AK$584&amp;IF($BR$584," BOTH SIDES","")&amp;"|"&amp;$BS$584)&amp;IF($AL$584="E8",$AE$584&amp;"|E8-STRIKE REINF. RIM EXIT||"&amp;$BS$584,"")&amp;IF(ISNUMBER(SEARCH("E4",$AL$584)),$AE$584&amp;"|FRAME DEADLOCK PREP||"&amp;$BS$584,"")&amp;IF($AL$584="E9",$AE$584&amp;"|ELECTRIC STRIKE PREP||"&amp;$BS$584,"")&amp;IF($AM$584="H5",$AE$584&amp;"|H5 STRIKE PREP IN HEADER||"&amp;$BS$584,IF(OR($AM$584="",$AM$584="-"),"",$AE$584&amp;"|HEADER PREP "&amp;$AM$584&amp;"||"&amp;$BS$584))&amp;IF(N($AN$584)&gt;0,$AE$584&amp;"|"&amp;$AN$584&amp;" MINUTE STEEL FRAME LABEL "&amp;IF(OR(N($AY$584)&gt;0,N($AZ$584)&gt;0),"W/TRANSOM PANEL/SIDELIGHT","CAT. C PP")&amp;"||"&amp;$BS$584,"")&amp;IF($AX$584="BL","",$AE$584&amp;"|HD "&amp;$AF$584&amp;$BW$584&amp;$BP$584&amp;" BSC||"&amp;$BS$584&amp;IF($BR$584,$AE$584&amp;"|HJ "&amp;$AF$584&amp;$BW$584&amp;"LH "&amp;$BO$584&amp;" "&amp;$BV$584&amp;" BSC "&amp;CHAR(34)&amp;$BQ$584&amp;CHAR(34)&amp;"||"&amp;$BS$584&amp;$AE$584&amp;"|HJ "&amp;$AF$584&amp;$BW$584&amp;"RH "&amp;$BO$584&amp;" "&amp;$BV$584&amp;" BSC "&amp;CHAR(34)&amp;$BQ$584&amp;CHAR(34)&amp;"||"&amp;$BS$584,$AE$584&amp;"|HJ "&amp;$AF$584&amp;$BW$584&amp;$AW$584&amp;" "&amp;$BO$584&amp;" "&amp;$BV$584&amp;" BSC "&amp;CHAR(34)&amp;$BQ$584&amp;CHAR(34)&amp;"||"&amp;$BS$584&amp;$AE$584&amp;"|SJ "&amp;$AF$584&amp;$BW$584&amp;$AW$584&amp;" "&amp;$BO$584&amp;" "&amp;$BU$584&amp;IF($BU$584="G18"," BLANK"," Y")&amp;" BSC "&amp;CHAR(34)&amp;$BQ$584&amp;CHAR(34)&amp;"||"&amp;$BS$584))&amp;IF(AND($BN$584&gt;N($AR$584),$AX$584&lt;&gt;"BL",N($AR$584)&gt;=60),$AE$584&amp;"|FRAME CUT DOWN (BOTTOM)|Cut "&amp;TRIM(TEXT($BN$584-N($AR$584),"# ?/??"))&amp;CHAR(34)&amp;" OFF THE BOTTOM|"&amp;$BS$584,""))</f>
        <v/>
      </c>
    </row>
    <row r="585">
      <c r="B585" s="180">
        <f>IF($AD585="","",VALUE(LEFT($AD585,FIND("|",$AD585)-1)))</f>
        <v/>
      </c>
      <c r="C585" s="180">
        <f>IF($AD585="","","    "&amp;MID($AD585,FIND("|",$AD585)+1,FIND("|",$AD585,FIND("|",$AD585)+1)-FIND("|",$AD585)-1))</f>
        <v/>
      </c>
      <c r="D585" s="180">
        <f>IF($AD585="","",MID($AD585,FIND("|",$AD585,FIND("|",$AD585)+1)+1,FIND("|",$AD585&amp;"|",FIND("|",$AD585,FIND("|",$AD585)+1)+1)-FIND("|",$AD585,FIND("|",$AD585)+1)-1))</f>
        <v/>
      </c>
      <c r="AD585">
        <f>TRIM(MID(SUBSTITUTE($BX$584,"~",REPT(" ",600)),1,600))</f>
        <v/>
      </c>
    </row>
    <row r="586">
      <c r="B586" s="180">
        <f>IF($AD586="","",VALUE(LEFT($AD586,FIND("|",$AD586)-1)))</f>
        <v/>
      </c>
      <c r="C586" s="180">
        <f>IF($AD586="","","    "&amp;MID($AD586,FIND("|",$AD586)+1,FIND("|",$AD586,FIND("|",$AD586)+1)-FIND("|",$AD586)-1))</f>
        <v/>
      </c>
      <c r="D586" s="180">
        <f>IF($AD586="","",MID($AD586,FIND("|",$AD586,FIND("|",$AD586)+1)+1,FIND("|",$AD586&amp;"|",FIND("|",$AD586,FIND("|",$AD586)+1)+1)-FIND("|",$AD586,FIND("|",$AD586)+1)-1))</f>
        <v/>
      </c>
      <c r="AD586">
        <f>TRIM(MID(SUBSTITUTE($BX$584,"~",REPT(" ",600)),601,600))</f>
        <v/>
      </c>
    </row>
    <row r="587">
      <c r="B587" s="180">
        <f>IF($AD587="","",VALUE(LEFT($AD587,FIND("|",$AD587)-1)))</f>
        <v/>
      </c>
      <c r="C587" s="180">
        <f>IF($AD587="","","    "&amp;MID($AD587,FIND("|",$AD587)+1,FIND("|",$AD587,FIND("|",$AD587)+1)-FIND("|",$AD587)-1))</f>
        <v/>
      </c>
      <c r="D587" s="180">
        <f>IF($AD587="","",MID($AD587,FIND("|",$AD587,FIND("|",$AD587)+1)+1,FIND("|",$AD587&amp;"|",FIND("|",$AD587,FIND("|",$AD587)+1)+1)-FIND("|",$AD587,FIND("|",$AD587)+1)-1))</f>
        <v/>
      </c>
      <c r="AD587">
        <f>TRIM(MID(SUBSTITUTE($BX$584,"~",REPT(" ",600)),1201,600))</f>
        <v/>
      </c>
    </row>
    <row r="588">
      <c r="B588" s="180">
        <f>IF($AD588="","",VALUE(LEFT($AD588,FIND("|",$AD588)-1)))</f>
        <v/>
      </c>
      <c r="C588" s="180">
        <f>IF($AD588="","","    "&amp;MID($AD588,FIND("|",$AD588)+1,FIND("|",$AD588,FIND("|",$AD588)+1)-FIND("|",$AD588)-1))</f>
        <v/>
      </c>
      <c r="D588" s="180">
        <f>IF($AD588="","",MID($AD588,FIND("|",$AD588,FIND("|",$AD588)+1)+1,FIND("|",$AD588&amp;"|",FIND("|",$AD588,FIND("|",$AD588)+1)+1)-FIND("|",$AD588,FIND("|",$AD588)+1)-1))</f>
        <v/>
      </c>
      <c r="AD588">
        <f>TRIM(MID(SUBSTITUTE($BX$584,"~",REPT(" ",600)),1801,600))</f>
        <v/>
      </c>
    </row>
    <row r="589">
      <c r="B589" s="180">
        <f>IF($AD589="","",VALUE(LEFT($AD589,FIND("|",$AD589)-1)))</f>
        <v/>
      </c>
      <c r="C589" s="180">
        <f>IF($AD589="","","    "&amp;MID($AD589,FIND("|",$AD589)+1,FIND("|",$AD589,FIND("|",$AD589)+1)-FIND("|",$AD589)-1))</f>
        <v/>
      </c>
      <c r="D589" s="180">
        <f>IF($AD589="","",MID($AD589,FIND("|",$AD589,FIND("|",$AD589)+1)+1,FIND("|",$AD589&amp;"|",FIND("|",$AD589,FIND("|",$AD589)+1)+1)-FIND("|",$AD589,FIND("|",$AD589)+1)-1))</f>
        <v/>
      </c>
      <c r="AD589">
        <f>TRIM(MID(SUBSTITUTE($BX$584,"~",REPT(" ",600)),2401,600))</f>
        <v/>
      </c>
    </row>
    <row r="590">
      <c r="B590" s="180">
        <f>IF($AD590="","",VALUE(LEFT($AD590,FIND("|",$AD590)-1)))</f>
        <v/>
      </c>
      <c r="C590" s="180">
        <f>IF($AD590="","","    "&amp;MID($AD590,FIND("|",$AD590)+1,FIND("|",$AD590,FIND("|",$AD590)+1)-FIND("|",$AD590)-1))</f>
        <v/>
      </c>
      <c r="D590" s="180">
        <f>IF($AD590="","",MID($AD590,FIND("|",$AD590,FIND("|",$AD590)+1)+1,FIND("|",$AD590&amp;"|",FIND("|",$AD590,FIND("|",$AD590)+1)+1)-FIND("|",$AD590,FIND("|",$AD590)+1)-1))</f>
        <v/>
      </c>
      <c r="AD590">
        <f>TRIM(MID(SUBSTITUTE($BX$584,"~",REPT(" ",600)),3001,600))</f>
        <v/>
      </c>
    </row>
    <row r="591">
      <c r="B591" s="180">
        <f>IF($AD591="","",VALUE(LEFT($AD591,FIND("|",$AD591)-1)))</f>
        <v/>
      </c>
      <c r="C591" s="180">
        <f>IF($AD591="","","    "&amp;MID($AD591,FIND("|",$AD591)+1,FIND("|",$AD591,FIND("|",$AD591)+1)-FIND("|",$AD591)-1))</f>
        <v/>
      </c>
      <c r="D591" s="180">
        <f>IF($AD591="","",MID($AD591,FIND("|",$AD591,FIND("|",$AD591)+1)+1,FIND("|",$AD591&amp;"|",FIND("|",$AD591,FIND("|",$AD591)+1)+1)-FIND("|",$AD591,FIND("|",$AD591)+1)-1))</f>
        <v/>
      </c>
      <c r="AD591">
        <f>TRIM(MID(SUBSTITUTE($BX$584,"~",REPT(" ",600)),3601,600))</f>
        <v/>
      </c>
    </row>
    <row r="592">
      <c r="B592" s="180">
        <f>IF($AD592="","",VALUE(LEFT($AD592,FIND("|",$AD592)-1)))</f>
        <v/>
      </c>
      <c r="C592" s="180">
        <f>IF($AD592="","","    "&amp;MID($AD592,FIND("|",$AD592)+1,FIND("|",$AD592,FIND("|",$AD592)+1)-FIND("|",$AD592)-1))</f>
        <v/>
      </c>
      <c r="D592" s="180">
        <f>IF($AD592="","",MID($AD592,FIND("|",$AD592,FIND("|",$AD592)+1)+1,FIND("|",$AD592&amp;"|",FIND("|",$AD592,FIND("|",$AD592)+1)+1)-FIND("|",$AD592,FIND("|",$AD592)+1)-1))</f>
        <v/>
      </c>
      <c r="AD592">
        <f>TRIM(MID(SUBSTITUTE($BX$584,"~",REPT(" ",600)),4201,600))</f>
        <v/>
      </c>
    </row>
    <row r="593">
      <c r="B593" s="180">
        <f>IF($AD593="","",VALUE(LEFT($AD593,FIND("|",$AD593)-1)))</f>
        <v/>
      </c>
      <c r="C593" s="180">
        <f>IF($AD593="","","    "&amp;MID($AD593,FIND("|",$AD593)+1,FIND("|",$AD593,FIND("|",$AD593)+1)-FIND("|",$AD593)-1))</f>
        <v/>
      </c>
      <c r="D593" s="180">
        <f>IF($AD593="","",MID($AD593,FIND("|",$AD593,FIND("|",$AD593)+1)+1,FIND("|",$AD593&amp;"|",FIND("|",$AD593,FIND("|",$AD593)+1)+1)-FIND("|",$AD593,FIND("|",$AD593)+1)-1))</f>
        <v/>
      </c>
      <c r="AD593">
        <f>TRIM(MID(SUBSTITUTE($BX$584,"~",REPT(" ",600)),4801,600))</f>
        <v/>
      </c>
    </row>
    <row r="594">
      <c r="B594" s="180">
        <f>IF($AD594="","",VALUE(LEFT($AD594,FIND("|",$AD594)-1)))</f>
        <v/>
      </c>
      <c r="C594" s="180">
        <f>IF($AD594="","","    "&amp;MID($AD594,FIND("|",$AD594)+1,FIND("|",$AD594,FIND("|",$AD594)+1)-FIND("|",$AD594)-1))</f>
        <v/>
      </c>
      <c r="D594" s="180">
        <f>IF($AD594="","",MID($AD594,FIND("|",$AD594,FIND("|",$AD594)+1)+1,FIND("|",$AD594&amp;"|",FIND("|",$AD594,FIND("|",$AD594)+1)+1)-FIND("|",$AD594,FIND("|",$AD594)+1)-1))</f>
        <v/>
      </c>
      <c r="AD594">
        <f>TRIM(MID(SUBSTITUTE($BX$584,"~",REPT(" ",600)),5401,600))</f>
        <v/>
      </c>
    </row>
    <row r="595">
      <c r="B595" s="180">
        <f>IF($AD595="","",VALUE(LEFT($AD595,FIND("|",$AD595)-1)))</f>
        <v/>
      </c>
      <c r="C595" s="180">
        <f>IF($AD595="","","    "&amp;MID($AD595,FIND("|",$AD595)+1,FIND("|",$AD595,FIND("|",$AD595)+1)-FIND("|",$AD595)-1))</f>
        <v/>
      </c>
      <c r="D595" s="180">
        <f>IF($AD595="","",MID($AD595,FIND("|",$AD595,FIND("|",$AD595)+1)+1,FIND("|",$AD595&amp;"|",FIND("|",$AD595,FIND("|",$AD595)+1)+1)-FIND("|",$AD595,FIND("|",$AD595)+1)-1))</f>
        <v/>
      </c>
      <c r="AD595">
        <f>TRIM(MID(SUBSTITUTE($BX$584,"~",REPT(" ",600)),6001,600))</f>
        <v/>
      </c>
    </row>
    <row r="596">
      <c r="A596" s="178">
        <f>IF($AD$596=0,"",$BK$596)</f>
        <v/>
      </c>
      <c r="B596" s="178">
        <f>IF($AD$596=0,"",$AE$596)</f>
        <v/>
      </c>
      <c r="C596" s="178">
        <f>IF($AD$596=0,"",$AE$596&amp;") "&amp;IF(COUNTIFS(tk_SOFG,50,tk_HLEG,"&lt;&gt;"&amp;$BJ$596)=0,INDEX(tk_FLINE,$AD$596),INDEX(tk_FLINEN,$AD$596))&amp;IF($AJ$596="KD"," ( R.O. "&amp;TRIM(TEXT(N($AQ$596)+2.25,"# ?/??"))&amp;CHAR(34)&amp;" x "&amp;TRIM(TEXT(N($AR$596)+1,"# ?/??"))&amp;CHAR(34)&amp;" )",""))</f>
        <v/>
      </c>
      <c r="D596" s="178" t="n"/>
      <c r="E596" s="179">
        <f t="array" ref="E596">IF($AD$596=0,"",_xlfn.TEXTJOIN(", ",TRUE,IF(tk_SOFG=50,"#"&amp;tk_MARK&amp;IF(tk_HLEG="","","("&amp;tk_HLEG&amp;")")&amp;IF(tk_QTY&gt;1," ×"&amp;tk_QTY,""),"")))</f>
        <v/>
      </c>
      <c r="AD596">
        <f>IFERROR(MATCH(50,tk_SOFG,0),0)</f>
        <v/>
      </c>
      <c r="AE596">
        <f>IF($AD$596=0,0,SUMIF(tk_SOFG,50,tk_QTY))</f>
        <v/>
      </c>
      <c r="AF596">
        <f>IF($AD$596=0,"",INDEX(tk_JAMB,$AD$596))</f>
        <v/>
      </c>
      <c r="AG596">
        <f>IF($AD$596=0,"",INDEX(tk_ANCHOR,$AD$596))</f>
        <v/>
      </c>
      <c r="AH596">
        <f>IF($AD$596=0,"",INDEX(tk_ANCH,$AD$596))</f>
        <v/>
      </c>
      <c r="AI596">
        <f>IF($AD$596=0,"",INDEX(tk_BASEA,$AD$596))</f>
        <v/>
      </c>
      <c r="AJ596">
        <f>IF($AD$596=0,"",INDEX(tk_CONSTR,$AD$596))</f>
        <v/>
      </c>
      <c r="AK596">
        <f>IF($AD$596=0,"",INDEX(tk_CLOSER,$AD$596))</f>
        <v/>
      </c>
      <c r="AL596">
        <f>IF($AD$596=0,"",INDEX(tk_STRIKE,$AD$596))</f>
        <v/>
      </c>
      <c r="AM596">
        <f>IF($AD$596=0,"",INDEX(tk_HDRPREP,$AD$596))</f>
        <v/>
      </c>
      <c r="AN596">
        <f>IF($AD$596=0,"",INDEX(tk_DMIN,$AD$596))</f>
        <v/>
      </c>
      <c r="AO596">
        <f>IF($AD$596=0,"",INDEX(tk_PAIR,$AD$596))</f>
        <v/>
      </c>
      <c r="AP596">
        <f>IF($AD$596=0,"",INDEX(tk_FGA,$AD$596))</f>
        <v/>
      </c>
      <c r="AQ596">
        <f>IF($AD$596=0,"",INDEX(tk_WI,$AD$596))</f>
        <v/>
      </c>
      <c r="AR596">
        <f>IF($AD$596=0,"",INDEX(tk_HI,$AD$596))</f>
        <v/>
      </c>
      <c r="AS596">
        <f>IF($AD$596=0,"",INDEX(tk_FHINGE,$AD$596))</f>
        <v/>
      </c>
      <c r="AT596">
        <f>IF($AD$596=0,"",INDEX(tk_DHINGE,$AD$596))</f>
        <v/>
      </c>
      <c r="AU596">
        <f>IF($AD$596=0,"",INDEX(tk_HWLOC,$AD$596))</f>
        <v/>
      </c>
      <c r="AV596">
        <f>IF($AD$596=0,"",INDEX(tk_MANUF,$AD$596))</f>
        <v/>
      </c>
      <c r="AW596">
        <f>IF($AD$596=0,"",INDEX(tk_JH,$AD$596))</f>
        <v/>
      </c>
      <c r="AX596">
        <f>IF($AD$596=0,"",INDEX(tk_FDESC,$AD$596))</f>
        <v/>
      </c>
      <c r="AY596">
        <f>IF($AD$596=0,"",INDEX(tk_TRANS,$AD$596))</f>
        <v/>
      </c>
      <c r="AZ596">
        <f>IF($AD$596=0,"",INDEX(tk_SLW,$AD$596))</f>
        <v/>
      </c>
      <c r="BA596">
        <f>IF($AD$596=0,"",INDEX(tk_LEAVES,$AD$596))</f>
        <v/>
      </c>
      <c r="BB596">
        <f>IF($AD$596=0,"",INDEX(tk_LEAFW,$AD$596))</f>
        <v/>
      </c>
      <c r="BC596">
        <f>IF($AD$596=0,"",INDEX(tk_LEAFH,$AD$596))</f>
        <v/>
      </c>
      <c r="BD596">
        <f>IF($AD$596=0,"",INDEX(tk_DMAT,$AD$596))</f>
        <v/>
      </c>
      <c r="BE596">
        <f>IF($AD$596=0,"",INDEX(tk_DGA,$AD$596))</f>
        <v/>
      </c>
      <c r="BF596">
        <f>IF($AD$596=0,"",INDEX(tk_SERIES,$AD$596))</f>
        <v/>
      </c>
      <c r="BG596">
        <f>IF($AD$596=0,"",INDEX(tk_LOCK,$AD$596))</f>
        <v/>
      </c>
      <c r="BH596">
        <f>IF($AD$596=0,"",INDEX(tk_LITEKIT,$AD$596))</f>
        <v/>
      </c>
      <c r="BI596">
        <f>IF($AD$596=0,"",INDEX(tk_FACE,$AD$596))</f>
        <v/>
      </c>
      <c r="BJ596">
        <f>IF($AD$596=0,"",INDEX(tk_HLEG,$AD$596))</f>
        <v/>
      </c>
      <c r="BK596">
        <f>IF($AD$596=0,"",INDEX(tk_SOITEM,$AD$596))</f>
        <v/>
      </c>
      <c r="BL596">
        <f>IFERROR(VLOOKUP($AF$596,CODES,2,FALSE),"")</f>
        <v/>
      </c>
      <c r="BM596">
        <f>IF($AJ$596="KD","C","M")</f>
        <v/>
      </c>
      <c r="BN596">
        <f>IF(N($AR$596)&lt;=80,80,IF(N($AR$596)&lt;=84,84,IF(N($AR$596)&lt;=96,96,N($AR$596))))</f>
        <v/>
      </c>
      <c r="BO596">
        <f>INT($BN$596/12)&amp;MOD($BN$596,12)</f>
        <v/>
      </c>
      <c r="BP596">
        <f>INT(N($AQ$596)/12)&amp;MOD(N($AQ$596),12)</f>
        <v/>
      </c>
      <c r="BQ596">
        <f>IF(OR($AU$596="",$AU$596="ANSI/SDI",$AU$596="CUSTOM LOC"),IF($AV$596="CU","CURRIES","STEELCRAFT"),$AU$596)</f>
        <v/>
      </c>
      <c r="BR596">
        <f>$AO$596="Y"</f>
        <v/>
      </c>
      <c r="BS596">
        <f>"~"</f>
        <v/>
      </c>
      <c r="BT596">
        <f>N($AH$596)*N($AI$596)</f>
        <v/>
      </c>
      <c r="BU596">
        <f>IF(OR($AL$596="",$AL$596="-",$AL$596="E8"),"G18",$AL$596)</f>
        <v/>
      </c>
      <c r="BV596">
        <f>IF(OR($AS$596="",$AS$596="-"),"BLK",$AS$596)</f>
        <v/>
      </c>
      <c r="BW596">
        <f>" "&amp;$BM$596&amp;$AP$596&amp;" "</f>
        <v/>
      </c>
      <c r="BX596">
        <f>IF($AD$596=0,"",IF(OR($AG$596="SSA",$AG$596="SC"),$AE$596*$BT$596&amp;"|"&amp;$BL$596&amp;" STEEL STUD ANCHOR 2"&amp;CHAR(34)&amp;"||"&amp;$BS$596,"")&amp;IF($AG$596="WEWA-M",$AE$596*(N($AH$596)+1)*N($AI$596)&amp;"|FR101F 690 "&amp;$BL$596&amp;" MASONRY TUBE ANCHOR 16 GA||"&amp;$BS$596&amp;$AE$596*(N($AH$596)+1)*N($AI$596)&amp;"|3/8X5 SF3850 DYNO BOLTS||"&amp;$BS$596,"")&amp;IF($AG$596="WMA",$AE$596*$BT$596&amp;"|WIRE MASONRY ANCHOR||"&amp;$BS$596,"")&amp;IF($AG$596="T",$AE$596*$BT$596&amp;"|T-STRAP MASONRY ANCHOR||"&amp;$BS$596,"")&amp;IF($AG$596="WEWA-W",$AE$596*$BT$596&amp;"|P/D + WOOD SCREWS||"&amp;$BS$596,"")&amp;IF($AJ$596="WGS",$AE$596&amp;"|WELD &amp; GROUND SMOOTH||"&amp;$BS$596,"")&amp;IF(OR($AK$596="",$AK$596="-"),"",$AE$596*IF($BR$596,4,2)&amp;"|RACL/PACL-CLOSER REINF. 14GAx1-3/4x16 HRPO|"&amp;$AK$596&amp;IF($BR$596," BOTH SIDES","")&amp;"|"&amp;$BS$596)&amp;IF($AL$596="E8",$AE$596&amp;"|E8-STRIKE REINF. RIM EXIT||"&amp;$BS$596,"")&amp;IF(ISNUMBER(SEARCH("E4",$AL$596)),$AE$596&amp;"|FRAME DEADLOCK PREP||"&amp;$BS$596,"")&amp;IF($AL$596="E9",$AE$596&amp;"|ELECTRIC STRIKE PREP||"&amp;$BS$596,"")&amp;IF($AM$596="H5",$AE$596&amp;"|H5 STRIKE PREP IN HEADER||"&amp;$BS$596,IF(OR($AM$596="",$AM$596="-"),"",$AE$596&amp;"|HEADER PREP "&amp;$AM$596&amp;"||"&amp;$BS$596))&amp;IF(N($AN$596)&gt;0,$AE$596&amp;"|"&amp;$AN$596&amp;" MINUTE STEEL FRAME LABEL "&amp;IF(OR(N($AY$596)&gt;0,N($AZ$596)&gt;0),"W/TRANSOM PANEL/SIDELIGHT","CAT. C PP")&amp;"||"&amp;$BS$596,"")&amp;IF($AX$596="BL","",$AE$596&amp;"|HD "&amp;$AF$596&amp;$BW$596&amp;$BP$596&amp;" BSC||"&amp;$BS$596&amp;IF($BR$596,$AE$596&amp;"|HJ "&amp;$AF$596&amp;$BW$596&amp;"LH "&amp;$BO$596&amp;" "&amp;$BV$596&amp;" BSC "&amp;CHAR(34)&amp;$BQ$596&amp;CHAR(34)&amp;"||"&amp;$BS$596&amp;$AE$596&amp;"|HJ "&amp;$AF$596&amp;$BW$596&amp;"RH "&amp;$BO$596&amp;" "&amp;$BV$596&amp;" BSC "&amp;CHAR(34)&amp;$BQ$596&amp;CHAR(34)&amp;"||"&amp;$BS$596,$AE$596&amp;"|HJ "&amp;$AF$596&amp;$BW$596&amp;$AW$596&amp;" "&amp;$BO$596&amp;" "&amp;$BV$596&amp;" BSC "&amp;CHAR(34)&amp;$BQ$596&amp;CHAR(34)&amp;"||"&amp;$BS$596&amp;$AE$596&amp;"|SJ "&amp;$AF$596&amp;$BW$596&amp;$AW$596&amp;" "&amp;$BO$596&amp;" "&amp;$BU$596&amp;IF($BU$596="G18"," BLANK"," Y")&amp;" BSC "&amp;CHAR(34)&amp;$BQ$596&amp;CHAR(34)&amp;"||"&amp;$BS$596))&amp;IF(AND($BN$596&gt;N($AR$596),$AX$596&lt;&gt;"BL",N($AR$596)&gt;=60),$AE$596&amp;"|FRAME CUT DOWN (BOTTOM)|Cut "&amp;TRIM(TEXT($BN$596-N($AR$596),"# ?/??"))&amp;CHAR(34)&amp;" OFF THE BOTTOM|"&amp;$BS$596,""))</f>
        <v/>
      </c>
    </row>
    <row r="597">
      <c r="B597" s="180">
        <f>IF($AD597="","",VALUE(LEFT($AD597,FIND("|",$AD597)-1)))</f>
        <v/>
      </c>
      <c r="C597" s="180">
        <f>IF($AD597="","","    "&amp;MID($AD597,FIND("|",$AD597)+1,FIND("|",$AD597,FIND("|",$AD597)+1)-FIND("|",$AD597)-1))</f>
        <v/>
      </c>
      <c r="D597" s="180">
        <f>IF($AD597="","",MID($AD597,FIND("|",$AD597,FIND("|",$AD597)+1)+1,FIND("|",$AD597&amp;"|",FIND("|",$AD597,FIND("|",$AD597)+1)+1)-FIND("|",$AD597,FIND("|",$AD597)+1)-1))</f>
        <v/>
      </c>
      <c r="AD597">
        <f>TRIM(MID(SUBSTITUTE($BX$596,"~",REPT(" ",600)),1,600))</f>
        <v/>
      </c>
    </row>
    <row r="598">
      <c r="B598" s="180">
        <f>IF($AD598="","",VALUE(LEFT($AD598,FIND("|",$AD598)-1)))</f>
        <v/>
      </c>
      <c r="C598" s="180">
        <f>IF($AD598="","","    "&amp;MID($AD598,FIND("|",$AD598)+1,FIND("|",$AD598,FIND("|",$AD598)+1)-FIND("|",$AD598)-1))</f>
        <v/>
      </c>
      <c r="D598" s="180">
        <f>IF($AD598="","",MID($AD598,FIND("|",$AD598,FIND("|",$AD598)+1)+1,FIND("|",$AD598&amp;"|",FIND("|",$AD598,FIND("|",$AD598)+1)+1)-FIND("|",$AD598,FIND("|",$AD598)+1)-1))</f>
        <v/>
      </c>
      <c r="AD598">
        <f>TRIM(MID(SUBSTITUTE($BX$596,"~",REPT(" ",600)),601,600))</f>
        <v/>
      </c>
    </row>
    <row r="599">
      <c r="B599" s="180">
        <f>IF($AD599="","",VALUE(LEFT($AD599,FIND("|",$AD599)-1)))</f>
        <v/>
      </c>
      <c r="C599" s="180">
        <f>IF($AD599="","","    "&amp;MID($AD599,FIND("|",$AD599)+1,FIND("|",$AD599,FIND("|",$AD599)+1)-FIND("|",$AD599)-1))</f>
        <v/>
      </c>
      <c r="D599" s="180">
        <f>IF($AD599="","",MID($AD599,FIND("|",$AD599,FIND("|",$AD599)+1)+1,FIND("|",$AD599&amp;"|",FIND("|",$AD599,FIND("|",$AD599)+1)+1)-FIND("|",$AD599,FIND("|",$AD599)+1)-1))</f>
        <v/>
      </c>
      <c r="AD599">
        <f>TRIM(MID(SUBSTITUTE($BX$596,"~",REPT(" ",600)),1201,600))</f>
        <v/>
      </c>
    </row>
    <row r="600">
      <c r="B600" s="180">
        <f>IF($AD600="","",VALUE(LEFT($AD600,FIND("|",$AD600)-1)))</f>
        <v/>
      </c>
      <c r="C600" s="180">
        <f>IF($AD600="","","    "&amp;MID($AD600,FIND("|",$AD600)+1,FIND("|",$AD600,FIND("|",$AD600)+1)-FIND("|",$AD600)-1))</f>
        <v/>
      </c>
      <c r="D600" s="180">
        <f>IF($AD600="","",MID($AD600,FIND("|",$AD600,FIND("|",$AD600)+1)+1,FIND("|",$AD600&amp;"|",FIND("|",$AD600,FIND("|",$AD600)+1)+1)-FIND("|",$AD600,FIND("|",$AD600)+1)-1))</f>
        <v/>
      </c>
      <c r="AD600">
        <f>TRIM(MID(SUBSTITUTE($BX$596,"~",REPT(" ",600)),1801,600))</f>
        <v/>
      </c>
    </row>
    <row r="601">
      <c r="B601" s="180">
        <f>IF($AD601="","",VALUE(LEFT($AD601,FIND("|",$AD601)-1)))</f>
        <v/>
      </c>
      <c r="C601" s="180">
        <f>IF($AD601="","","    "&amp;MID($AD601,FIND("|",$AD601)+1,FIND("|",$AD601,FIND("|",$AD601)+1)-FIND("|",$AD601)-1))</f>
        <v/>
      </c>
      <c r="D601" s="180">
        <f>IF($AD601="","",MID($AD601,FIND("|",$AD601,FIND("|",$AD601)+1)+1,FIND("|",$AD601&amp;"|",FIND("|",$AD601,FIND("|",$AD601)+1)+1)-FIND("|",$AD601,FIND("|",$AD601)+1)-1))</f>
        <v/>
      </c>
      <c r="AD601">
        <f>TRIM(MID(SUBSTITUTE($BX$596,"~",REPT(" ",600)),2401,600))</f>
        <v/>
      </c>
    </row>
    <row r="602">
      <c r="B602" s="180">
        <f>IF($AD602="","",VALUE(LEFT($AD602,FIND("|",$AD602)-1)))</f>
        <v/>
      </c>
      <c r="C602" s="180">
        <f>IF($AD602="","","    "&amp;MID($AD602,FIND("|",$AD602)+1,FIND("|",$AD602,FIND("|",$AD602)+1)-FIND("|",$AD602)-1))</f>
        <v/>
      </c>
      <c r="D602" s="180">
        <f>IF($AD602="","",MID($AD602,FIND("|",$AD602,FIND("|",$AD602)+1)+1,FIND("|",$AD602&amp;"|",FIND("|",$AD602,FIND("|",$AD602)+1)+1)-FIND("|",$AD602,FIND("|",$AD602)+1)-1))</f>
        <v/>
      </c>
      <c r="AD602">
        <f>TRIM(MID(SUBSTITUTE($BX$596,"~",REPT(" ",600)),3001,600))</f>
        <v/>
      </c>
    </row>
    <row r="603">
      <c r="B603" s="180">
        <f>IF($AD603="","",VALUE(LEFT($AD603,FIND("|",$AD603)-1)))</f>
        <v/>
      </c>
      <c r="C603" s="180">
        <f>IF($AD603="","","    "&amp;MID($AD603,FIND("|",$AD603)+1,FIND("|",$AD603,FIND("|",$AD603)+1)-FIND("|",$AD603)-1))</f>
        <v/>
      </c>
      <c r="D603" s="180">
        <f>IF($AD603="","",MID($AD603,FIND("|",$AD603,FIND("|",$AD603)+1)+1,FIND("|",$AD603&amp;"|",FIND("|",$AD603,FIND("|",$AD603)+1)+1)-FIND("|",$AD603,FIND("|",$AD603)+1)-1))</f>
        <v/>
      </c>
      <c r="AD603">
        <f>TRIM(MID(SUBSTITUTE($BX$596,"~",REPT(" ",600)),3601,600))</f>
        <v/>
      </c>
    </row>
    <row r="604">
      <c r="B604" s="180">
        <f>IF($AD604="","",VALUE(LEFT($AD604,FIND("|",$AD604)-1)))</f>
        <v/>
      </c>
      <c r="C604" s="180">
        <f>IF($AD604="","","    "&amp;MID($AD604,FIND("|",$AD604)+1,FIND("|",$AD604,FIND("|",$AD604)+1)-FIND("|",$AD604)-1))</f>
        <v/>
      </c>
      <c r="D604" s="180">
        <f>IF($AD604="","",MID($AD604,FIND("|",$AD604,FIND("|",$AD604)+1)+1,FIND("|",$AD604&amp;"|",FIND("|",$AD604,FIND("|",$AD604)+1)+1)-FIND("|",$AD604,FIND("|",$AD604)+1)-1))</f>
        <v/>
      </c>
      <c r="AD604">
        <f>TRIM(MID(SUBSTITUTE($BX$596,"~",REPT(" ",600)),4201,600))</f>
        <v/>
      </c>
    </row>
    <row r="605">
      <c r="B605" s="180">
        <f>IF($AD605="","",VALUE(LEFT($AD605,FIND("|",$AD605)-1)))</f>
        <v/>
      </c>
      <c r="C605" s="180">
        <f>IF($AD605="","","    "&amp;MID($AD605,FIND("|",$AD605)+1,FIND("|",$AD605,FIND("|",$AD605)+1)-FIND("|",$AD605)-1))</f>
        <v/>
      </c>
      <c r="D605" s="180">
        <f>IF($AD605="","",MID($AD605,FIND("|",$AD605,FIND("|",$AD605)+1)+1,FIND("|",$AD605&amp;"|",FIND("|",$AD605,FIND("|",$AD605)+1)+1)-FIND("|",$AD605,FIND("|",$AD605)+1)-1))</f>
        <v/>
      </c>
      <c r="AD605">
        <f>TRIM(MID(SUBSTITUTE($BX$596,"~",REPT(" ",600)),4801,600))</f>
        <v/>
      </c>
    </row>
    <row r="606">
      <c r="B606" s="180">
        <f>IF($AD606="","",VALUE(LEFT($AD606,FIND("|",$AD606)-1)))</f>
        <v/>
      </c>
      <c r="C606" s="180">
        <f>IF($AD606="","","    "&amp;MID($AD606,FIND("|",$AD606)+1,FIND("|",$AD606,FIND("|",$AD606)+1)-FIND("|",$AD606)-1))</f>
        <v/>
      </c>
      <c r="D606" s="180">
        <f>IF($AD606="","",MID($AD606,FIND("|",$AD606,FIND("|",$AD606)+1)+1,FIND("|",$AD606&amp;"|",FIND("|",$AD606,FIND("|",$AD606)+1)+1)-FIND("|",$AD606,FIND("|",$AD606)+1)-1))</f>
        <v/>
      </c>
      <c r="AD606">
        <f>TRIM(MID(SUBSTITUTE($BX$596,"~",REPT(" ",600)),5401,600))</f>
        <v/>
      </c>
    </row>
    <row r="607">
      <c r="B607" s="180">
        <f>IF($AD607="","",VALUE(LEFT($AD607,FIND("|",$AD607)-1)))</f>
        <v/>
      </c>
      <c r="C607" s="180">
        <f>IF($AD607="","","    "&amp;MID($AD607,FIND("|",$AD607)+1,FIND("|",$AD607,FIND("|",$AD607)+1)-FIND("|",$AD607)-1))</f>
        <v/>
      </c>
      <c r="D607" s="180">
        <f>IF($AD607="","",MID($AD607,FIND("|",$AD607,FIND("|",$AD607)+1)+1,FIND("|",$AD607&amp;"|",FIND("|",$AD607,FIND("|",$AD607)+1)+1)-FIND("|",$AD607,FIND("|",$AD607)+1)-1))</f>
        <v/>
      </c>
      <c r="AD607">
        <f>TRIM(MID(SUBSTITUTE($BX$596,"~",REPT(" ",600)),6001,600))</f>
        <v/>
      </c>
    </row>
    <row r="608">
      <c r="A608" s="178">
        <f>IF($AD$608=0,"",$BK$608)</f>
        <v/>
      </c>
      <c r="B608" s="178">
        <f>IF($AD$608=0,"",$AE$608)</f>
        <v/>
      </c>
      <c r="C608" s="178">
        <f>IF($AD$608=0,"",$AE$608&amp;") "&amp;IF(COUNTIFS(tk_SOFG,51,tk_HLEG,"&lt;&gt;"&amp;$BJ$608)=0,INDEX(tk_FLINE,$AD$608),INDEX(tk_FLINEN,$AD$608))&amp;IF($AJ$608="KD"," ( R.O. "&amp;TRIM(TEXT(N($AQ$608)+2.25,"# ?/??"))&amp;CHAR(34)&amp;" x "&amp;TRIM(TEXT(N($AR$608)+1,"# ?/??"))&amp;CHAR(34)&amp;" )",""))</f>
        <v/>
      </c>
      <c r="D608" s="178" t="n"/>
      <c r="E608" s="179">
        <f t="array" ref="E608">IF($AD$608=0,"",_xlfn.TEXTJOIN(", ",TRUE,IF(tk_SOFG=51,"#"&amp;tk_MARK&amp;IF(tk_HLEG="","","("&amp;tk_HLEG&amp;")")&amp;IF(tk_QTY&gt;1," ×"&amp;tk_QTY,""),"")))</f>
        <v/>
      </c>
      <c r="AD608">
        <f>IFERROR(MATCH(51,tk_SOFG,0),0)</f>
        <v/>
      </c>
      <c r="AE608">
        <f>IF($AD$608=0,0,SUMIF(tk_SOFG,51,tk_QTY))</f>
        <v/>
      </c>
      <c r="AF608">
        <f>IF($AD$608=0,"",INDEX(tk_JAMB,$AD$608))</f>
        <v/>
      </c>
      <c r="AG608">
        <f>IF($AD$608=0,"",INDEX(tk_ANCHOR,$AD$608))</f>
        <v/>
      </c>
      <c r="AH608">
        <f>IF($AD$608=0,"",INDEX(tk_ANCH,$AD$608))</f>
        <v/>
      </c>
      <c r="AI608">
        <f>IF($AD$608=0,"",INDEX(tk_BASEA,$AD$608))</f>
        <v/>
      </c>
      <c r="AJ608">
        <f>IF($AD$608=0,"",INDEX(tk_CONSTR,$AD$608))</f>
        <v/>
      </c>
      <c r="AK608">
        <f>IF($AD$608=0,"",INDEX(tk_CLOSER,$AD$608))</f>
        <v/>
      </c>
      <c r="AL608">
        <f>IF($AD$608=0,"",INDEX(tk_STRIKE,$AD$608))</f>
        <v/>
      </c>
      <c r="AM608">
        <f>IF($AD$608=0,"",INDEX(tk_HDRPREP,$AD$608))</f>
        <v/>
      </c>
      <c r="AN608">
        <f>IF($AD$608=0,"",INDEX(tk_DMIN,$AD$608))</f>
        <v/>
      </c>
      <c r="AO608">
        <f>IF($AD$608=0,"",INDEX(tk_PAIR,$AD$608))</f>
        <v/>
      </c>
      <c r="AP608">
        <f>IF($AD$608=0,"",INDEX(tk_FGA,$AD$608))</f>
        <v/>
      </c>
      <c r="AQ608">
        <f>IF($AD$608=0,"",INDEX(tk_WI,$AD$608))</f>
        <v/>
      </c>
      <c r="AR608">
        <f>IF($AD$608=0,"",INDEX(tk_HI,$AD$608))</f>
        <v/>
      </c>
      <c r="AS608">
        <f>IF($AD$608=0,"",INDEX(tk_FHINGE,$AD$608))</f>
        <v/>
      </c>
      <c r="AT608">
        <f>IF($AD$608=0,"",INDEX(tk_DHINGE,$AD$608))</f>
        <v/>
      </c>
      <c r="AU608">
        <f>IF($AD$608=0,"",INDEX(tk_HWLOC,$AD$608))</f>
        <v/>
      </c>
      <c r="AV608">
        <f>IF($AD$608=0,"",INDEX(tk_MANUF,$AD$608))</f>
        <v/>
      </c>
      <c r="AW608">
        <f>IF($AD$608=0,"",INDEX(tk_JH,$AD$608))</f>
        <v/>
      </c>
      <c r="AX608">
        <f>IF($AD$608=0,"",INDEX(tk_FDESC,$AD$608))</f>
        <v/>
      </c>
      <c r="AY608">
        <f>IF($AD$608=0,"",INDEX(tk_TRANS,$AD$608))</f>
        <v/>
      </c>
      <c r="AZ608">
        <f>IF($AD$608=0,"",INDEX(tk_SLW,$AD$608))</f>
        <v/>
      </c>
      <c r="BA608">
        <f>IF($AD$608=0,"",INDEX(tk_LEAVES,$AD$608))</f>
        <v/>
      </c>
      <c r="BB608">
        <f>IF($AD$608=0,"",INDEX(tk_LEAFW,$AD$608))</f>
        <v/>
      </c>
      <c r="BC608">
        <f>IF($AD$608=0,"",INDEX(tk_LEAFH,$AD$608))</f>
        <v/>
      </c>
      <c r="BD608">
        <f>IF($AD$608=0,"",INDEX(tk_DMAT,$AD$608))</f>
        <v/>
      </c>
      <c r="BE608">
        <f>IF($AD$608=0,"",INDEX(tk_DGA,$AD$608))</f>
        <v/>
      </c>
      <c r="BF608">
        <f>IF($AD$608=0,"",INDEX(tk_SERIES,$AD$608))</f>
        <v/>
      </c>
      <c r="BG608">
        <f>IF($AD$608=0,"",INDEX(tk_LOCK,$AD$608))</f>
        <v/>
      </c>
      <c r="BH608">
        <f>IF($AD$608=0,"",INDEX(tk_LITEKIT,$AD$608))</f>
        <v/>
      </c>
      <c r="BI608">
        <f>IF($AD$608=0,"",INDEX(tk_FACE,$AD$608))</f>
        <v/>
      </c>
      <c r="BJ608">
        <f>IF($AD$608=0,"",INDEX(tk_HLEG,$AD$608))</f>
        <v/>
      </c>
      <c r="BK608">
        <f>IF($AD$608=0,"",INDEX(tk_SOITEM,$AD$608))</f>
        <v/>
      </c>
      <c r="BL608">
        <f>IFERROR(VLOOKUP($AF$608,CODES,2,FALSE),"")</f>
        <v/>
      </c>
      <c r="BM608">
        <f>IF($AJ$608="KD","C","M")</f>
        <v/>
      </c>
      <c r="BN608">
        <f>IF(N($AR$608)&lt;=80,80,IF(N($AR$608)&lt;=84,84,IF(N($AR$608)&lt;=96,96,N($AR$608))))</f>
        <v/>
      </c>
      <c r="BO608">
        <f>INT($BN$608/12)&amp;MOD($BN$608,12)</f>
        <v/>
      </c>
      <c r="BP608">
        <f>INT(N($AQ$608)/12)&amp;MOD(N($AQ$608),12)</f>
        <v/>
      </c>
      <c r="BQ608">
        <f>IF(OR($AU$608="",$AU$608="ANSI/SDI",$AU$608="CUSTOM LOC"),IF($AV$608="CU","CURRIES","STEELCRAFT"),$AU$608)</f>
        <v/>
      </c>
      <c r="BR608">
        <f>$AO$608="Y"</f>
        <v/>
      </c>
      <c r="BS608">
        <f>"~"</f>
        <v/>
      </c>
      <c r="BT608">
        <f>N($AH$608)*N($AI$608)</f>
        <v/>
      </c>
      <c r="BU608">
        <f>IF(OR($AL$608="",$AL$608="-",$AL$608="E8"),"G18",$AL$608)</f>
        <v/>
      </c>
      <c r="BV608">
        <f>IF(OR($AS$608="",$AS$608="-"),"BLK",$AS$608)</f>
        <v/>
      </c>
      <c r="BW608">
        <f>" "&amp;$BM$608&amp;$AP$608&amp;" "</f>
        <v/>
      </c>
      <c r="BX608">
        <f>IF($AD$608=0,"",IF(OR($AG$608="SSA",$AG$608="SC"),$AE$608*$BT$608&amp;"|"&amp;$BL$608&amp;" STEEL STUD ANCHOR 2"&amp;CHAR(34)&amp;"||"&amp;$BS$608,"")&amp;IF($AG$608="WEWA-M",$AE$608*(N($AH$608)+1)*N($AI$608)&amp;"|FR101F 690 "&amp;$BL$608&amp;" MASONRY TUBE ANCHOR 16 GA||"&amp;$BS$608&amp;$AE$608*(N($AH$608)+1)*N($AI$608)&amp;"|3/8X5 SF3850 DYNO BOLTS||"&amp;$BS$608,"")&amp;IF($AG$608="WMA",$AE$608*$BT$608&amp;"|WIRE MASONRY ANCHOR||"&amp;$BS$608,"")&amp;IF($AG$608="T",$AE$608*$BT$608&amp;"|T-STRAP MASONRY ANCHOR||"&amp;$BS$608,"")&amp;IF($AG$608="WEWA-W",$AE$608*$BT$608&amp;"|P/D + WOOD SCREWS||"&amp;$BS$608,"")&amp;IF($AJ$608="WGS",$AE$608&amp;"|WELD &amp; GROUND SMOOTH||"&amp;$BS$608,"")&amp;IF(OR($AK$608="",$AK$608="-"),"",$AE$608*IF($BR$608,4,2)&amp;"|RACL/PACL-CLOSER REINF. 14GAx1-3/4x16 HRPO|"&amp;$AK$608&amp;IF($BR$608," BOTH SIDES","")&amp;"|"&amp;$BS$608)&amp;IF($AL$608="E8",$AE$608&amp;"|E8-STRIKE REINF. RIM EXIT||"&amp;$BS$608,"")&amp;IF(ISNUMBER(SEARCH("E4",$AL$608)),$AE$608&amp;"|FRAME DEADLOCK PREP||"&amp;$BS$608,"")&amp;IF($AL$608="E9",$AE$608&amp;"|ELECTRIC STRIKE PREP||"&amp;$BS$608,"")&amp;IF($AM$608="H5",$AE$608&amp;"|H5 STRIKE PREP IN HEADER||"&amp;$BS$608,IF(OR($AM$608="",$AM$608="-"),"",$AE$608&amp;"|HEADER PREP "&amp;$AM$608&amp;"||"&amp;$BS$608))&amp;IF(N($AN$608)&gt;0,$AE$608&amp;"|"&amp;$AN$608&amp;" MINUTE STEEL FRAME LABEL "&amp;IF(OR(N($AY$608)&gt;0,N($AZ$608)&gt;0),"W/TRANSOM PANEL/SIDELIGHT","CAT. C PP")&amp;"||"&amp;$BS$608,"")&amp;IF($AX$608="BL","",$AE$608&amp;"|HD "&amp;$AF$608&amp;$BW$608&amp;$BP$608&amp;" BSC||"&amp;$BS$608&amp;IF($BR$608,$AE$608&amp;"|HJ "&amp;$AF$608&amp;$BW$608&amp;"LH "&amp;$BO$608&amp;" "&amp;$BV$608&amp;" BSC "&amp;CHAR(34)&amp;$BQ$608&amp;CHAR(34)&amp;"||"&amp;$BS$608&amp;$AE$608&amp;"|HJ "&amp;$AF$608&amp;$BW$608&amp;"RH "&amp;$BO$608&amp;" "&amp;$BV$608&amp;" BSC "&amp;CHAR(34)&amp;$BQ$608&amp;CHAR(34)&amp;"||"&amp;$BS$608,$AE$608&amp;"|HJ "&amp;$AF$608&amp;$BW$608&amp;$AW$608&amp;" "&amp;$BO$608&amp;" "&amp;$BV$608&amp;" BSC "&amp;CHAR(34)&amp;$BQ$608&amp;CHAR(34)&amp;"||"&amp;$BS$608&amp;$AE$608&amp;"|SJ "&amp;$AF$608&amp;$BW$608&amp;$AW$608&amp;" "&amp;$BO$608&amp;" "&amp;$BU$608&amp;IF($BU$608="G18"," BLANK"," Y")&amp;" BSC "&amp;CHAR(34)&amp;$BQ$608&amp;CHAR(34)&amp;"||"&amp;$BS$608))&amp;IF(AND($BN$608&gt;N($AR$608),$AX$608&lt;&gt;"BL",N($AR$608)&gt;=60),$AE$608&amp;"|FRAME CUT DOWN (BOTTOM)|Cut "&amp;TRIM(TEXT($BN$608-N($AR$608),"# ?/??"))&amp;CHAR(34)&amp;" OFF THE BOTTOM|"&amp;$BS$608,""))</f>
        <v/>
      </c>
    </row>
    <row r="609">
      <c r="B609" s="180">
        <f>IF($AD609="","",VALUE(LEFT($AD609,FIND("|",$AD609)-1)))</f>
        <v/>
      </c>
      <c r="C609" s="180">
        <f>IF($AD609="","","    "&amp;MID($AD609,FIND("|",$AD609)+1,FIND("|",$AD609,FIND("|",$AD609)+1)-FIND("|",$AD609)-1))</f>
        <v/>
      </c>
      <c r="D609" s="180">
        <f>IF($AD609="","",MID($AD609,FIND("|",$AD609,FIND("|",$AD609)+1)+1,FIND("|",$AD609&amp;"|",FIND("|",$AD609,FIND("|",$AD609)+1)+1)-FIND("|",$AD609,FIND("|",$AD609)+1)-1))</f>
        <v/>
      </c>
      <c r="AD609">
        <f>TRIM(MID(SUBSTITUTE($BX$608,"~",REPT(" ",600)),1,600))</f>
        <v/>
      </c>
    </row>
    <row r="610">
      <c r="B610" s="180">
        <f>IF($AD610="","",VALUE(LEFT($AD610,FIND("|",$AD610)-1)))</f>
        <v/>
      </c>
      <c r="C610" s="180">
        <f>IF($AD610="","","    "&amp;MID($AD610,FIND("|",$AD610)+1,FIND("|",$AD610,FIND("|",$AD610)+1)-FIND("|",$AD610)-1))</f>
        <v/>
      </c>
      <c r="D610" s="180">
        <f>IF($AD610="","",MID($AD610,FIND("|",$AD610,FIND("|",$AD610)+1)+1,FIND("|",$AD610&amp;"|",FIND("|",$AD610,FIND("|",$AD610)+1)+1)-FIND("|",$AD610,FIND("|",$AD610)+1)-1))</f>
        <v/>
      </c>
      <c r="AD610">
        <f>TRIM(MID(SUBSTITUTE($BX$608,"~",REPT(" ",600)),601,600))</f>
        <v/>
      </c>
    </row>
    <row r="611">
      <c r="B611" s="180">
        <f>IF($AD611="","",VALUE(LEFT($AD611,FIND("|",$AD611)-1)))</f>
        <v/>
      </c>
      <c r="C611" s="180">
        <f>IF($AD611="","","    "&amp;MID($AD611,FIND("|",$AD611)+1,FIND("|",$AD611,FIND("|",$AD611)+1)-FIND("|",$AD611)-1))</f>
        <v/>
      </c>
      <c r="D611" s="180">
        <f>IF($AD611="","",MID($AD611,FIND("|",$AD611,FIND("|",$AD611)+1)+1,FIND("|",$AD611&amp;"|",FIND("|",$AD611,FIND("|",$AD611)+1)+1)-FIND("|",$AD611,FIND("|",$AD611)+1)-1))</f>
        <v/>
      </c>
      <c r="AD611">
        <f>TRIM(MID(SUBSTITUTE($BX$608,"~",REPT(" ",600)),1201,600))</f>
        <v/>
      </c>
    </row>
    <row r="612">
      <c r="B612" s="180">
        <f>IF($AD612="","",VALUE(LEFT($AD612,FIND("|",$AD612)-1)))</f>
        <v/>
      </c>
      <c r="C612" s="180">
        <f>IF($AD612="","","    "&amp;MID($AD612,FIND("|",$AD612)+1,FIND("|",$AD612,FIND("|",$AD612)+1)-FIND("|",$AD612)-1))</f>
        <v/>
      </c>
      <c r="D612" s="180">
        <f>IF($AD612="","",MID($AD612,FIND("|",$AD612,FIND("|",$AD612)+1)+1,FIND("|",$AD612&amp;"|",FIND("|",$AD612,FIND("|",$AD612)+1)+1)-FIND("|",$AD612,FIND("|",$AD612)+1)-1))</f>
        <v/>
      </c>
      <c r="AD612">
        <f>TRIM(MID(SUBSTITUTE($BX$608,"~",REPT(" ",600)),1801,600))</f>
        <v/>
      </c>
    </row>
    <row r="613">
      <c r="B613" s="180">
        <f>IF($AD613="","",VALUE(LEFT($AD613,FIND("|",$AD613)-1)))</f>
        <v/>
      </c>
      <c r="C613" s="180">
        <f>IF($AD613="","","    "&amp;MID($AD613,FIND("|",$AD613)+1,FIND("|",$AD613,FIND("|",$AD613)+1)-FIND("|",$AD613)-1))</f>
        <v/>
      </c>
      <c r="D613" s="180">
        <f>IF($AD613="","",MID($AD613,FIND("|",$AD613,FIND("|",$AD613)+1)+1,FIND("|",$AD613&amp;"|",FIND("|",$AD613,FIND("|",$AD613)+1)+1)-FIND("|",$AD613,FIND("|",$AD613)+1)-1))</f>
        <v/>
      </c>
      <c r="AD613">
        <f>TRIM(MID(SUBSTITUTE($BX$608,"~",REPT(" ",600)),2401,600))</f>
        <v/>
      </c>
    </row>
    <row r="614">
      <c r="B614" s="180">
        <f>IF($AD614="","",VALUE(LEFT($AD614,FIND("|",$AD614)-1)))</f>
        <v/>
      </c>
      <c r="C614" s="180">
        <f>IF($AD614="","","    "&amp;MID($AD614,FIND("|",$AD614)+1,FIND("|",$AD614,FIND("|",$AD614)+1)-FIND("|",$AD614)-1))</f>
        <v/>
      </c>
      <c r="D614" s="180">
        <f>IF($AD614="","",MID($AD614,FIND("|",$AD614,FIND("|",$AD614)+1)+1,FIND("|",$AD614&amp;"|",FIND("|",$AD614,FIND("|",$AD614)+1)+1)-FIND("|",$AD614,FIND("|",$AD614)+1)-1))</f>
        <v/>
      </c>
      <c r="AD614">
        <f>TRIM(MID(SUBSTITUTE($BX$608,"~",REPT(" ",600)),3001,600))</f>
        <v/>
      </c>
    </row>
    <row r="615">
      <c r="B615" s="180">
        <f>IF($AD615="","",VALUE(LEFT($AD615,FIND("|",$AD615)-1)))</f>
        <v/>
      </c>
      <c r="C615" s="180">
        <f>IF($AD615="","","    "&amp;MID($AD615,FIND("|",$AD615)+1,FIND("|",$AD615,FIND("|",$AD615)+1)-FIND("|",$AD615)-1))</f>
        <v/>
      </c>
      <c r="D615" s="180">
        <f>IF($AD615="","",MID($AD615,FIND("|",$AD615,FIND("|",$AD615)+1)+1,FIND("|",$AD615&amp;"|",FIND("|",$AD615,FIND("|",$AD615)+1)+1)-FIND("|",$AD615,FIND("|",$AD615)+1)-1))</f>
        <v/>
      </c>
      <c r="AD615">
        <f>TRIM(MID(SUBSTITUTE($BX$608,"~",REPT(" ",600)),3601,600))</f>
        <v/>
      </c>
    </row>
    <row r="616">
      <c r="B616" s="180">
        <f>IF($AD616="","",VALUE(LEFT($AD616,FIND("|",$AD616)-1)))</f>
        <v/>
      </c>
      <c r="C616" s="180">
        <f>IF($AD616="","","    "&amp;MID($AD616,FIND("|",$AD616)+1,FIND("|",$AD616,FIND("|",$AD616)+1)-FIND("|",$AD616)-1))</f>
        <v/>
      </c>
      <c r="D616" s="180">
        <f>IF($AD616="","",MID($AD616,FIND("|",$AD616,FIND("|",$AD616)+1)+1,FIND("|",$AD616&amp;"|",FIND("|",$AD616,FIND("|",$AD616)+1)+1)-FIND("|",$AD616,FIND("|",$AD616)+1)-1))</f>
        <v/>
      </c>
      <c r="AD616">
        <f>TRIM(MID(SUBSTITUTE($BX$608,"~",REPT(" ",600)),4201,600))</f>
        <v/>
      </c>
    </row>
    <row r="617">
      <c r="B617" s="180">
        <f>IF($AD617="","",VALUE(LEFT($AD617,FIND("|",$AD617)-1)))</f>
        <v/>
      </c>
      <c r="C617" s="180">
        <f>IF($AD617="","","    "&amp;MID($AD617,FIND("|",$AD617)+1,FIND("|",$AD617,FIND("|",$AD617)+1)-FIND("|",$AD617)-1))</f>
        <v/>
      </c>
      <c r="D617" s="180">
        <f>IF($AD617="","",MID($AD617,FIND("|",$AD617,FIND("|",$AD617)+1)+1,FIND("|",$AD617&amp;"|",FIND("|",$AD617,FIND("|",$AD617)+1)+1)-FIND("|",$AD617,FIND("|",$AD617)+1)-1))</f>
        <v/>
      </c>
      <c r="AD617">
        <f>TRIM(MID(SUBSTITUTE($BX$608,"~",REPT(" ",600)),4801,600))</f>
        <v/>
      </c>
    </row>
    <row r="618">
      <c r="B618" s="180">
        <f>IF($AD618="","",VALUE(LEFT($AD618,FIND("|",$AD618)-1)))</f>
        <v/>
      </c>
      <c r="C618" s="180">
        <f>IF($AD618="","","    "&amp;MID($AD618,FIND("|",$AD618)+1,FIND("|",$AD618,FIND("|",$AD618)+1)-FIND("|",$AD618)-1))</f>
        <v/>
      </c>
      <c r="D618" s="180">
        <f>IF($AD618="","",MID($AD618,FIND("|",$AD618,FIND("|",$AD618)+1)+1,FIND("|",$AD618&amp;"|",FIND("|",$AD618,FIND("|",$AD618)+1)+1)-FIND("|",$AD618,FIND("|",$AD618)+1)-1))</f>
        <v/>
      </c>
      <c r="AD618">
        <f>TRIM(MID(SUBSTITUTE($BX$608,"~",REPT(" ",600)),5401,600))</f>
        <v/>
      </c>
    </row>
    <row r="619">
      <c r="B619" s="180">
        <f>IF($AD619="","",VALUE(LEFT($AD619,FIND("|",$AD619)-1)))</f>
        <v/>
      </c>
      <c r="C619" s="180">
        <f>IF($AD619="","","    "&amp;MID($AD619,FIND("|",$AD619)+1,FIND("|",$AD619,FIND("|",$AD619)+1)-FIND("|",$AD619)-1))</f>
        <v/>
      </c>
      <c r="D619" s="180">
        <f>IF($AD619="","",MID($AD619,FIND("|",$AD619,FIND("|",$AD619)+1)+1,FIND("|",$AD619&amp;"|",FIND("|",$AD619,FIND("|",$AD619)+1)+1)-FIND("|",$AD619,FIND("|",$AD619)+1)-1))</f>
        <v/>
      </c>
      <c r="AD619">
        <f>TRIM(MID(SUBSTITUTE($BX$608,"~",REPT(" ",600)),6001,600))</f>
        <v/>
      </c>
    </row>
    <row r="620">
      <c r="A620" s="178">
        <f>IF($AD$620=0,"",$BK$620)</f>
        <v/>
      </c>
      <c r="B620" s="178">
        <f>IF($AD$620=0,"",$AE$620)</f>
        <v/>
      </c>
      <c r="C620" s="178">
        <f>IF($AD$620=0,"",$AE$620&amp;") "&amp;IF(COUNTIFS(tk_SOFG,52,tk_HLEG,"&lt;&gt;"&amp;$BJ$620)=0,INDEX(tk_FLINE,$AD$620),INDEX(tk_FLINEN,$AD$620))&amp;IF($AJ$620="KD"," ( R.O. "&amp;TRIM(TEXT(N($AQ$620)+2.25,"# ?/??"))&amp;CHAR(34)&amp;" x "&amp;TRIM(TEXT(N($AR$620)+1,"# ?/??"))&amp;CHAR(34)&amp;" )",""))</f>
        <v/>
      </c>
      <c r="D620" s="178" t="n"/>
      <c r="E620" s="179">
        <f t="array" ref="E620">IF($AD$620=0,"",_xlfn.TEXTJOIN(", ",TRUE,IF(tk_SOFG=52,"#"&amp;tk_MARK&amp;IF(tk_HLEG="","","("&amp;tk_HLEG&amp;")")&amp;IF(tk_QTY&gt;1," ×"&amp;tk_QTY,""),"")))</f>
        <v/>
      </c>
      <c r="AD620">
        <f>IFERROR(MATCH(52,tk_SOFG,0),0)</f>
        <v/>
      </c>
      <c r="AE620">
        <f>IF($AD$620=0,0,SUMIF(tk_SOFG,52,tk_QTY))</f>
        <v/>
      </c>
      <c r="AF620">
        <f>IF($AD$620=0,"",INDEX(tk_JAMB,$AD$620))</f>
        <v/>
      </c>
      <c r="AG620">
        <f>IF($AD$620=0,"",INDEX(tk_ANCHOR,$AD$620))</f>
        <v/>
      </c>
      <c r="AH620">
        <f>IF($AD$620=0,"",INDEX(tk_ANCH,$AD$620))</f>
        <v/>
      </c>
      <c r="AI620">
        <f>IF($AD$620=0,"",INDEX(tk_BASEA,$AD$620))</f>
        <v/>
      </c>
      <c r="AJ620">
        <f>IF($AD$620=0,"",INDEX(tk_CONSTR,$AD$620))</f>
        <v/>
      </c>
      <c r="AK620">
        <f>IF($AD$620=0,"",INDEX(tk_CLOSER,$AD$620))</f>
        <v/>
      </c>
      <c r="AL620">
        <f>IF($AD$620=0,"",INDEX(tk_STRIKE,$AD$620))</f>
        <v/>
      </c>
      <c r="AM620">
        <f>IF($AD$620=0,"",INDEX(tk_HDRPREP,$AD$620))</f>
        <v/>
      </c>
      <c r="AN620">
        <f>IF($AD$620=0,"",INDEX(tk_DMIN,$AD$620))</f>
        <v/>
      </c>
      <c r="AO620">
        <f>IF($AD$620=0,"",INDEX(tk_PAIR,$AD$620))</f>
        <v/>
      </c>
      <c r="AP620">
        <f>IF($AD$620=0,"",INDEX(tk_FGA,$AD$620))</f>
        <v/>
      </c>
      <c r="AQ620">
        <f>IF($AD$620=0,"",INDEX(tk_WI,$AD$620))</f>
        <v/>
      </c>
      <c r="AR620">
        <f>IF($AD$620=0,"",INDEX(tk_HI,$AD$620))</f>
        <v/>
      </c>
      <c r="AS620">
        <f>IF($AD$620=0,"",INDEX(tk_FHINGE,$AD$620))</f>
        <v/>
      </c>
      <c r="AT620">
        <f>IF($AD$620=0,"",INDEX(tk_DHINGE,$AD$620))</f>
        <v/>
      </c>
      <c r="AU620">
        <f>IF($AD$620=0,"",INDEX(tk_HWLOC,$AD$620))</f>
        <v/>
      </c>
      <c r="AV620">
        <f>IF($AD$620=0,"",INDEX(tk_MANUF,$AD$620))</f>
        <v/>
      </c>
      <c r="AW620">
        <f>IF($AD$620=0,"",INDEX(tk_JH,$AD$620))</f>
        <v/>
      </c>
      <c r="AX620">
        <f>IF($AD$620=0,"",INDEX(tk_FDESC,$AD$620))</f>
        <v/>
      </c>
      <c r="AY620">
        <f>IF($AD$620=0,"",INDEX(tk_TRANS,$AD$620))</f>
        <v/>
      </c>
      <c r="AZ620">
        <f>IF($AD$620=0,"",INDEX(tk_SLW,$AD$620))</f>
        <v/>
      </c>
      <c r="BA620">
        <f>IF($AD$620=0,"",INDEX(tk_LEAVES,$AD$620))</f>
        <v/>
      </c>
      <c r="BB620">
        <f>IF($AD$620=0,"",INDEX(tk_LEAFW,$AD$620))</f>
        <v/>
      </c>
      <c r="BC620">
        <f>IF($AD$620=0,"",INDEX(tk_LEAFH,$AD$620))</f>
        <v/>
      </c>
      <c r="BD620">
        <f>IF($AD$620=0,"",INDEX(tk_DMAT,$AD$620))</f>
        <v/>
      </c>
      <c r="BE620">
        <f>IF($AD$620=0,"",INDEX(tk_DGA,$AD$620))</f>
        <v/>
      </c>
      <c r="BF620">
        <f>IF($AD$620=0,"",INDEX(tk_SERIES,$AD$620))</f>
        <v/>
      </c>
      <c r="BG620">
        <f>IF($AD$620=0,"",INDEX(tk_LOCK,$AD$620))</f>
        <v/>
      </c>
      <c r="BH620">
        <f>IF($AD$620=0,"",INDEX(tk_LITEKIT,$AD$620))</f>
        <v/>
      </c>
      <c r="BI620">
        <f>IF($AD$620=0,"",INDEX(tk_FACE,$AD$620))</f>
        <v/>
      </c>
      <c r="BJ620">
        <f>IF($AD$620=0,"",INDEX(tk_HLEG,$AD$620))</f>
        <v/>
      </c>
      <c r="BK620">
        <f>IF($AD$620=0,"",INDEX(tk_SOITEM,$AD$620))</f>
        <v/>
      </c>
      <c r="BL620">
        <f>IFERROR(VLOOKUP($AF$620,CODES,2,FALSE),"")</f>
        <v/>
      </c>
      <c r="BM620">
        <f>IF($AJ$620="KD","C","M")</f>
        <v/>
      </c>
      <c r="BN620">
        <f>IF(N($AR$620)&lt;=80,80,IF(N($AR$620)&lt;=84,84,IF(N($AR$620)&lt;=96,96,N($AR$620))))</f>
        <v/>
      </c>
      <c r="BO620">
        <f>INT($BN$620/12)&amp;MOD($BN$620,12)</f>
        <v/>
      </c>
      <c r="BP620">
        <f>INT(N($AQ$620)/12)&amp;MOD(N($AQ$620),12)</f>
        <v/>
      </c>
      <c r="BQ620">
        <f>IF(OR($AU$620="",$AU$620="ANSI/SDI",$AU$620="CUSTOM LOC"),IF($AV$620="CU","CURRIES","STEELCRAFT"),$AU$620)</f>
        <v/>
      </c>
      <c r="BR620">
        <f>$AO$620="Y"</f>
        <v/>
      </c>
      <c r="BS620">
        <f>"~"</f>
        <v/>
      </c>
      <c r="BT620">
        <f>N($AH$620)*N($AI$620)</f>
        <v/>
      </c>
      <c r="BU620">
        <f>IF(OR($AL$620="",$AL$620="-",$AL$620="E8"),"G18",$AL$620)</f>
        <v/>
      </c>
      <c r="BV620">
        <f>IF(OR($AS$620="",$AS$620="-"),"BLK",$AS$620)</f>
        <v/>
      </c>
      <c r="BW620">
        <f>" "&amp;$BM$620&amp;$AP$620&amp;" "</f>
        <v/>
      </c>
      <c r="BX620">
        <f>IF($AD$620=0,"",IF(OR($AG$620="SSA",$AG$620="SC"),$AE$620*$BT$620&amp;"|"&amp;$BL$620&amp;" STEEL STUD ANCHOR 2"&amp;CHAR(34)&amp;"||"&amp;$BS$620,"")&amp;IF($AG$620="WEWA-M",$AE$620*(N($AH$620)+1)*N($AI$620)&amp;"|FR101F 690 "&amp;$BL$620&amp;" MASONRY TUBE ANCHOR 16 GA||"&amp;$BS$620&amp;$AE$620*(N($AH$620)+1)*N($AI$620)&amp;"|3/8X5 SF3850 DYNO BOLTS||"&amp;$BS$620,"")&amp;IF($AG$620="WMA",$AE$620*$BT$620&amp;"|WIRE MASONRY ANCHOR||"&amp;$BS$620,"")&amp;IF($AG$620="T",$AE$620*$BT$620&amp;"|T-STRAP MASONRY ANCHOR||"&amp;$BS$620,"")&amp;IF($AG$620="WEWA-W",$AE$620*$BT$620&amp;"|P/D + WOOD SCREWS||"&amp;$BS$620,"")&amp;IF($AJ$620="WGS",$AE$620&amp;"|WELD &amp; GROUND SMOOTH||"&amp;$BS$620,"")&amp;IF(OR($AK$620="",$AK$620="-"),"",$AE$620*IF($BR$620,4,2)&amp;"|RACL/PACL-CLOSER REINF. 14GAx1-3/4x16 HRPO|"&amp;$AK$620&amp;IF($BR$620," BOTH SIDES","")&amp;"|"&amp;$BS$620)&amp;IF($AL$620="E8",$AE$620&amp;"|E8-STRIKE REINF. RIM EXIT||"&amp;$BS$620,"")&amp;IF(ISNUMBER(SEARCH("E4",$AL$620)),$AE$620&amp;"|FRAME DEADLOCK PREP||"&amp;$BS$620,"")&amp;IF($AL$620="E9",$AE$620&amp;"|ELECTRIC STRIKE PREP||"&amp;$BS$620,"")&amp;IF($AM$620="H5",$AE$620&amp;"|H5 STRIKE PREP IN HEADER||"&amp;$BS$620,IF(OR($AM$620="",$AM$620="-"),"",$AE$620&amp;"|HEADER PREP "&amp;$AM$620&amp;"||"&amp;$BS$620))&amp;IF(N($AN$620)&gt;0,$AE$620&amp;"|"&amp;$AN$620&amp;" MINUTE STEEL FRAME LABEL "&amp;IF(OR(N($AY$620)&gt;0,N($AZ$620)&gt;0),"W/TRANSOM PANEL/SIDELIGHT","CAT. C PP")&amp;"||"&amp;$BS$620,"")&amp;IF($AX$620="BL","",$AE$620&amp;"|HD "&amp;$AF$620&amp;$BW$620&amp;$BP$620&amp;" BSC||"&amp;$BS$620&amp;IF($BR$620,$AE$620&amp;"|HJ "&amp;$AF$620&amp;$BW$620&amp;"LH "&amp;$BO$620&amp;" "&amp;$BV$620&amp;" BSC "&amp;CHAR(34)&amp;$BQ$620&amp;CHAR(34)&amp;"||"&amp;$BS$620&amp;$AE$620&amp;"|HJ "&amp;$AF$620&amp;$BW$620&amp;"RH "&amp;$BO$620&amp;" "&amp;$BV$620&amp;" BSC "&amp;CHAR(34)&amp;$BQ$620&amp;CHAR(34)&amp;"||"&amp;$BS$620,$AE$620&amp;"|HJ "&amp;$AF$620&amp;$BW$620&amp;$AW$620&amp;" "&amp;$BO$620&amp;" "&amp;$BV$620&amp;" BSC "&amp;CHAR(34)&amp;$BQ$620&amp;CHAR(34)&amp;"||"&amp;$BS$620&amp;$AE$620&amp;"|SJ "&amp;$AF$620&amp;$BW$620&amp;$AW$620&amp;" "&amp;$BO$620&amp;" "&amp;$BU$620&amp;IF($BU$620="G18"," BLANK"," Y")&amp;" BSC "&amp;CHAR(34)&amp;$BQ$620&amp;CHAR(34)&amp;"||"&amp;$BS$620))&amp;IF(AND($BN$620&gt;N($AR$620),$AX$620&lt;&gt;"BL",N($AR$620)&gt;=60),$AE$620&amp;"|FRAME CUT DOWN (BOTTOM)|Cut "&amp;TRIM(TEXT($BN$620-N($AR$620),"# ?/??"))&amp;CHAR(34)&amp;" OFF THE BOTTOM|"&amp;$BS$620,""))</f>
        <v/>
      </c>
    </row>
    <row r="621">
      <c r="B621" s="180">
        <f>IF($AD621="","",VALUE(LEFT($AD621,FIND("|",$AD621)-1)))</f>
        <v/>
      </c>
      <c r="C621" s="180">
        <f>IF($AD621="","","    "&amp;MID($AD621,FIND("|",$AD621)+1,FIND("|",$AD621,FIND("|",$AD621)+1)-FIND("|",$AD621)-1))</f>
        <v/>
      </c>
      <c r="D621" s="180">
        <f>IF($AD621="","",MID($AD621,FIND("|",$AD621,FIND("|",$AD621)+1)+1,FIND("|",$AD621&amp;"|",FIND("|",$AD621,FIND("|",$AD621)+1)+1)-FIND("|",$AD621,FIND("|",$AD621)+1)-1))</f>
        <v/>
      </c>
      <c r="AD621">
        <f>TRIM(MID(SUBSTITUTE($BX$620,"~",REPT(" ",600)),1,600))</f>
        <v/>
      </c>
    </row>
    <row r="622">
      <c r="B622" s="180">
        <f>IF($AD622="","",VALUE(LEFT($AD622,FIND("|",$AD622)-1)))</f>
        <v/>
      </c>
      <c r="C622" s="180">
        <f>IF($AD622="","","    "&amp;MID($AD622,FIND("|",$AD622)+1,FIND("|",$AD622,FIND("|",$AD622)+1)-FIND("|",$AD622)-1))</f>
        <v/>
      </c>
      <c r="D622" s="180">
        <f>IF($AD622="","",MID($AD622,FIND("|",$AD622,FIND("|",$AD622)+1)+1,FIND("|",$AD622&amp;"|",FIND("|",$AD622,FIND("|",$AD622)+1)+1)-FIND("|",$AD622,FIND("|",$AD622)+1)-1))</f>
        <v/>
      </c>
      <c r="AD622">
        <f>TRIM(MID(SUBSTITUTE($BX$620,"~",REPT(" ",600)),601,600))</f>
        <v/>
      </c>
    </row>
    <row r="623">
      <c r="B623" s="180">
        <f>IF($AD623="","",VALUE(LEFT($AD623,FIND("|",$AD623)-1)))</f>
        <v/>
      </c>
      <c r="C623" s="180">
        <f>IF($AD623="","","    "&amp;MID($AD623,FIND("|",$AD623)+1,FIND("|",$AD623,FIND("|",$AD623)+1)-FIND("|",$AD623)-1))</f>
        <v/>
      </c>
      <c r="D623" s="180">
        <f>IF($AD623="","",MID($AD623,FIND("|",$AD623,FIND("|",$AD623)+1)+1,FIND("|",$AD623&amp;"|",FIND("|",$AD623,FIND("|",$AD623)+1)+1)-FIND("|",$AD623,FIND("|",$AD623)+1)-1))</f>
        <v/>
      </c>
      <c r="AD623">
        <f>TRIM(MID(SUBSTITUTE($BX$620,"~",REPT(" ",600)),1201,600))</f>
        <v/>
      </c>
    </row>
    <row r="624">
      <c r="B624" s="180">
        <f>IF($AD624="","",VALUE(LEFT($AD624,FIND("|",$AD624)-1)))</f>
        <v/>
      </c>
      <c r="C624" s="180">
        <f>IF($AD624="","","    "&amp;MID($AD624,FIND("|",$AD624)+1,FIND("|",$AD624,FIND("|",$AD624)+1)-FIND("|",$AD624)-1))</f>
        <v/>
      </c>
      <c r="D624" s="180">
        <f>IF($AD624="","",MID($AD624,FIND("|",$AD624,FIND("|",$AD624)+1)+1,FIND("|",$AD624&amp;"|",FIND("|",$AD624,FIND("|",$AD624)+1)+1)-FIND("|",$AD624,FIND("|",$AD624)+1)-1))</f>
        <v/>
      </c>
      <c r="AD624">
        <f>TRIM(MID(SUBSTITUTE($BX$620,"~",REPT(" ",600)),1801,600))</f>
        <v/>
      </c>
    </row>
    <row r="625">
      <c r="B625" s="180">
        <f>IF($AD625="","",VALUE(LEFT($AD625,FIND("|",$AD625)-1)))</f>
        <v/>
      </c>
      <c r="C625" s="180">
        <f>IF($AD625="","","    "&amp;MID($AD625,FIND("|",$AD625)+1,FIND("|",$AD625,FIND("|",$AD625)+1)-FIND("|",$AD625)-1))</f>
        <v/>
      </c>
      <c r="D625" s="180">
        <f>IF($AD625="","",MID($AD625,FIND("|",$AD625,FIND("|",$AD625)+1)+1,FIND("|",$AD625&amp;"|",FIND("|",$AD625,FIND("|",$AD625)+1)+1)-FIND("|",$AD625,FIND("|",$AD625)+1)-1))</f>
        <v/>
      </c>
      <c r="AD625">
        <f>TRIM(MID(SUBSTITUTE($BX$620,"~",REPT(" ",600)),2401,600))</f>
        <v/>
      </c>
    </row>
    <row r="626">
      <c r="B626" s="180">
        <f>IF($AD626="","",VALUE(LEFT($AD626,FIND("|",$AD626)-1)))</f>
        <v/>
      </c>
      <c r="C626" s="180">
        <f>IF($AD626="","","    "&amp;MID($AD626,FIND("|",$AD626)+1,FIND("|",$AD626,FIND("|",$AD626)+1)-FIND("|",$AD626)-1))</f>
        <v/>
      </c>
      <c r="D626" s="180">
        <f>IF($AD626="","",MID($AD626,FIND("|",$AD626,FIND("|",$AD626)+1)+1,FIND("|",$AD626&amp;"|",FIND("|",$AD626,FIND("|",$AD626)+1)+1)-FIND("|",$AD626,FIND("|",$AD626)+1)-1))</f>
        <v/>
      </c>
      <c r="AD626">
        <f>TRIM(MID(SUBSTITUTE($BX$620,"~",REPT(" ",600)),3001,600))</f>
        <v/>
      </c>
    </row>
    <row r="627">
      <c r="B627" s="180">
        <f>IF($AD627="","",VALUE(LEFT($AD627,FIND("|",$AD627)-1)))</f>
        <v/>
      </c>
      <c r="C627" s="180">
        <f>IF($AD627="","","    "&amp;MID($AD627,FIND("|",$AD627)+1,FIND("|",$AD627,FIND("|",$AD627)+1)-FIND("|",$AD627)-1))</f>
        <v/>
      </c>
      <c r="D627" s="180">
        <f>IF($AD627="","",MID($AD627,FIND("|",$AD627,FIND("|",$AD627)+1)+1,FIND("|",$AD627&amp;"|",FIND("|",$AD627,FIND("|",$AD627)+1)+1)-FIND("|",$AD627,FIND("|",$AD627)+1)-1))</f>
        <v/>
      </c>
      <c r="AD627">
        <f>TRIM(MID(SUBSTITUTE($BX$620,"~",REPT(" ",600)),3601,600))</f>
        <v/>
      </c>
    </row>
    <row r="628">
      <c r="B628" s="180">
        <f>IF($AD628="","",VALUE(LEFT($AD628,FIND("|",$AD628)-1)))</f>
        <v/>
      </c>
      <c r="C628" s="180">
        <f>IF($AD628="","","    "&amp;MID($AD628,FIND("|",$AD628)+1,FIND("|",$AD628,FIND("|",$AD628)+1)-FIND("|",$AD628)-1))</f>
        <v/>
      </c>
      <c r="D628" s="180">
        <f>IF($AD628="","",MID($AD628,FIND("|",$AD628,FIND("|",$AD628)+1)+1,FIND("|",$AD628&amp;"|",FIND("|",$AD628,FIND("|",$AD628)+1)+1)-FIND("|",$AD628,FIND("|",$AD628)+1)-1))</f>
        <v/>
      </c>
      <c r="AD628">
        <f>TRIM(MID(SUBSTITUTE($BX$620,"~",REPT(" ",600)),4201,600))</f>
        <v/>
      </c>
    </row>
    <row r="629">
      <c r="B629" s="180">
        <f>IF($AD629="","",VALUE(LEFT($AD629,FIND("|",$AD629)-1)))</f>
        <v/>
      </c>
      <c r="C629" s="180">
        <f>IF($AD629="","","    "&amp;MID($AD629,FIND("|",$AD629)+1,FIND("|",$AD629,FIND("|",$AD629)+1)-FIND("|",$AD629)-1))</f>
        <v/>
      </c>
      <c r="D629" s="180">
        <f>IF($AD629="","",MID($AD629,FIND("|",$AD629,FIND("|",$AD629)+1)+1,FIND("|",$AD629&amp;"|",FIND("|",$AD629,FIND("|",$AD629)+1)+1)-FIND("|",$AD629,FIND("|",$AD629)+1)-1))</f>
        <v/>
      </c>
      <c r="AD629">
        <f>TRIM(MID(SUBSTITUTE($BX$620,"~",REPT(" ",600)),4801,600))</f>
        <v/>
      </c>
    </row>
    <row r="630">
      <c r="B630" s="180">
        <f>IF($AD630="","",VALUE(LEFT($AD630,FIND("|",$AD630)-1)))</f>
        <v/>
      </c>
      <c r="C630" s="180">
        <f>IF($AD630="","","    "&amp;MID($AD630,FIND("|",$AD630)+1,FIND("|",$AD630,FIND("|",$AD630)+1)-FIND("|",$AD630)-1))</f>
        <v/>
      </c>
      <c r="D630" s="180">
        <f>IF($AD630="","",MID($AD630,FIND("|",$AD630,FIND("|",$AD630)+1)+1,FIND("|",$AD630&amp;"|",FIND("|",$AD630,FIND("|",$AD630)+1)+1)-FIND("|",$AD630,FIND("|",$AD630)+1)-1))</f>
        <v/>
      </c>
      <c r="AD630">
        <f>TRIM(MID(SUBSTITUTE($BX$620,"~",REPT(" ",600)),5401,600))</f>
        <v/>
      </c>
    </row>
    <row r="631">
      <c r="B631" s="180">
        <f>IF($AD631="","",VALUE(LEFT($AD631,FIND("|",$AD631)-1)))</f>
        <v/>
      </c>
      <c r="C631" s="180">
        <f>IF($AD631="","","    "&amp;MID($AD631,FIND("|",$AD631)+1,FIND("|",$AD631,FIND("|",$AD631)+1)-FIND("|",$AD631)-1))</f>
        <v/>
      </c>
      <c r="D631" s="180">
        <f>IF($AD631="","",MID($AD631,FIND("|",$AD631,FIND("|",$AD631)+1)+1,FIND("|",$AD631&amp;"|",FIND("|",$AD631,FIND("|",$AD631)+1)+1)-FIND("|",$AD631,FIND("|",$AD631)+1)-1))</f>
        <v/>
      </c>
      <c r="AD631">
        <f>TRIM(MID(SUBSTITUTE($BX$620,"~",REPT(" ",600)),6001,600))</f>
        <v/>
      </c>
    </row>
    <row r="632">
      <c r="A632" s="178">
        <f>IF($AD$632=0,"",$BK$632)</f>
        <v/>
      </c>
      <c r="B632" s="178">
        <f>IF($AD$632=0,"",$AE$632)</f>
        <v/>
      </c>
      <c r="C632" s="178">
        <f>IF($AD$632=0,"",$AE$632&amp;") "&amp;IF(COUNTIFS(tk_SOFG,53,tk_HLEG,"&lt;&gt;"&amp;$BJ$632)=0,INDEX(tk_FLINE,$AD$632),INDEX(tk_FLINEN,$AD$632))&amp;IF($AJ$632="KD"," ( R.O. "&amp;TRIM(TEXT(N($AQ$632)+2.25,"# ?/??"))&amp;CHAR(34)&amp;" x "&amp;TRIM(TEXT(N($AR$632)+1,"# ?/??"))&amp;CHAR(34)&amp;" )",""))</f>
        <v/>
      </c>
      <c r="D632" s="178" t="n"/>
      <c r="E632" s="179">
        <f t="array" ref="E632">IF($AD$632=0,"",_xlfn.TEXTJOIN(", ",TRUE,IF(tk_SOFG=53,"#"&amp;tk_MARK&amp;IF(tk_HLEG="","","("&amp;tk_HLEG&amp;")")&amp;IF(tk_QTY&gt;1," ×"&amp;tk_QTY,""),"")))</f>
        <v/>
      </c>
      <c r="AD632">
        <f>IFERROR(MATCH(53,tk_SOFG,0),0)</f>
        <v/>
      </c>
      <c r="AE632">
        <f>IF($AD$632=0,0,SUMIF(tk_SOFG,53,tk_QTY))</f>
        <v/>
      </c>
      <c r="AF632">
        <f>IF($AD$632=0,"",INDEX(tk_JAMB,$AD$632))</f>
        <v/>
      </c>
      <c r="AG632">
        <f>IF($AD$632=0,"",INDEX(tk_ANCHOR,$AD$632))</f>
        <v/>
      </c>
      <c r="AH632">
        <f>IF($AD$632=0,"",INDEX(tk_ANCH,$AD$632))</f>
        <v/>
      </c>
      <c r="AI632">
        <f>IF($AD$632=0,"",INDEX(tk_BASEA,$AD$632))</f>
        <v/>
      </c>
      <c r="AJ632">
        <f>IF($AD$632=0,"",INDEX(tk_CONSTR,$AD$632))</f>
        <v/>
      </c>
      <c r="AK632">
        <f>IF($AD$632=0,"",INDEX(tk_CLOSER,$AD$632))</f>
        <v/>
      </c>
      <c r="AL632">
        <f>IF($AD$632=0,"",INDEX(tk_STRIKE,$AD$632))</f>
        <v/>
      </c>
      <c r="AM632">
        <f>IF($AD$632=0,"",INDEX(tk_HDRPREP,$AD$632))</f>
        <v/>
      </c>
      <c r="AN632">
        <f>IF($AD$632=0,"",INDEX(tk_DMIN,$AD$632))</f>
        <v/>
      </c>
      <c r="AO632">
        <f>IF($AD$632=0,"",INDEX(tk_PAIR,$AD$632))</f>
        <v/>
      </c>
      <c r="AP632">
        <f>IF($AD$632=0,"",INDEX(tk_FGA,$AD$632))</f>
        <v/>
      </c>
      <c r="AQ632">
        <f>IF($AD$632=0,"",INDEX(tk_WI,$AD$632))</f>
        <v/>
      </c>
      <c r="AR632">
        <f>IF($AD$632=0,"",INDEX(tk_HI,$AD$632))</f>
        <v/>
      </c>
      <c r="AS632">
        <f>IF($AD$632=0,"",INDEX(tk_FHINGE,$AD$632))</f>
        <v/>
      </c>
      <c r="AT632">
        <f>IF($AD$632=0,"",INDEX(tk_DHINGE,$AD$632))</f>
        <v/>
      </c>
      <c r="AU632">
        <f>IF($AD$632=0,"",INDEX(tk_HWLOC,$AD$632))</f>
        <v/>
      </c>
      <c r="AV632">
        <f>IF($AD$632=0,"",INDEX(tk_MANUF,$AD$632))</f>
        <v/>
      </c>
      <c r="AW632">
        <f>IF($AD$632=0,"",INDEX(tk_JH,$AD$632))</f>
        <v/>
      </c>
      <c r="AX632">
        <f>IF($AD$632=0,"",INDEX(tk_FDESC,$AD$632))</f>
        <v/>
      </c>
      <c r="AY632">
        <f>IF($AD$632=0,"",INDEX(tk_TRANS,$AD$632))</f>
        <v/>
      </c>
      <c r="AZ632">
        <f>IF($AD$632=0,"",INDEX(tk_SLW,$AD$632))</f>
        <v/>
      </c>
      <c r="BA632">
        <f>IF($AD$632=0,"",INDEX(tk_LEAVES,$AD$632))</f>
        <v/>
      </c>
      <c r="BB632">
        <f>IF($AD$632=0,"",INDEX(tk_LEAFW,$AD$632))</f>
        <v/>
      </c>
      <c r="BC632">
        <f>IF($AD$632=0,"",INDEX(tk_LEAFH,$AD$632))</f>
        <v/>
      </c>
      <c r="BD632">
        <f>IF($AD$632=0,"",INDEX(tk_DMAT,$AD$632))</f>
        <v/>
      </c>
      <c r="BE632">
        <f>IF($AD$632=0,"",INDEX(tk_DGA,$AD$632))</f>
        <v/>
      </c>
      <c r="BF632">
        <f>IF($AD$632=0,"",INDEX(tk_SERIES,$AD$632))</f>
        <v/>
      </c>
      <c r="BG632">
        <f>IF($AD$632=0,"",INDEX(tk_LOCK,$AD$632))</f>
        <v/>
      </c>
      <c r="BH632">
        <f>IF($AD$632=0,"",INDEX(tk_LITEKIT,$AD$632))</f>
        <v/>
      </c>
      <c r="BI632">
        <f>IF($AD$632=0,"",INDEX(tk_FACE,$AD$632))</f>
        <v/>
      </c>
      <c r="BJ632">
        <f>IF($AD$632=0,"",INDEX(tk_HLEG,$AD$632))</f>
        <v/>
      </c>
      <c r="BK632">
        <f>IF($AD$632=0,"",INDEX(tk_SOITEM,$AD$632))</f>
        <v/>
      </c>
      <c r="BL632">
        <f>IFERROR(VLOOKUP($AF$632,CODES,2,FALSE),"")</f>
        <v/>
      </c>
      <c r="BM632">
        <f>IF($AJ$632="KD","C","M")</f>
        <v/>
      </c>
      <c r="BN632">
        <f>IF(N($AR$632)&lt;=80,80,IF(N($AR$632)&lt;=84,84,IF(N($AR$632)&lt;=96,96,N($AR$632))))</f>
        <v/>
      </c>
      <c r="BO632">
        <f>INT($BN$632/12)&amp;MOD($BN$632,12)</f>
        <v/>
      </c>
      <c r="BP632">
        <f>INT(N($AQ$632)/12)&amp;MOD(N($AQ$632),12)</f>
        <v/>
      </c>
      <c r="BQ632">
        <f>IF(OR($AU$632="",$AU$632="ANSI/SDI",$AU$632="CUSTOM LOC"),IF($AV$632="CU","CURRIES","STEELCRAFT"),$AU$632)</f>
        <v/>
      </c>
      <c r="BR632">
        <f>$AO$632="Y"</f>
        <v/>
      </c>
      <c r="BS632">
        <f>"~"</f>
        <v/>
      </c>
      <c r="BT632">
        <f>N($AH$632)*N($AI$632)</f>
        <v/>
      </c>
      <c r="BU632">
        <f>IF(OR($AL$632="",$AL$632="-",$AL$632="E8"),"G18",$AL$632)</f>
        <v/>
      </c>
      <c r="BV632">
        <f>IF(OR($AS$632="",$AS$632="-"),"BLK",$AS$632)</f>
        <v/>
      </c>
      <c r="BW632">
        <f>" "&amp;$BM$632&amp;$AP$632&amp;" "</f>
        <v/>
      </c>
      <c r="BX632">
        <f>IF($AD$632=0,"",IF(OR($AG$632="SSA",$AG$632="SC"),$AE$632*$BT$632&amp;"|"&amp;$BL$632&amp;" STEEL STUD ANCHOR 2"&amp;CHAR(34)&amp;"||"&amp;$BS$632,"")&amp;IF($AG$632="WEWA-M",$AE$632*(N($AH$632)+1)*N($AI$632)&amp;"|FR101F 690 "&amp;$BL$632&amp;" MASONRY TUBE ANCHOR 16 GA||"&amp;$BS$632&amp;$AE$632*(N($AH$632)+1)*N($AI$632)&amp;"|3/8X5 SF3850 DYNO BOLTS||"&amp;$BS$632,"")&amp;IF($AG$632="WMA",$AE$632*$BT$632&amp;"|WIRE MASONRY ANCHOR||"&amp;$BS$632,"")&amp;IF($AG$632="T",$AE$632*$BT$632&amp;"|T-STRAP MASONRY ANCHOR||"&amp;$BS$632,"")&amp;IF($AG$632="WEWA-W",$AE$632*$BT$632&amp;"|P/D + WOOD SCREWS||"&amp;$BS$632,"")&amp;IF($AJ$632="WGS",$AE$632&amp;"|WELD &amp; GROUND SMOOTH||"&amp;$BS$632,"")&amp;IF(OR($AK$632="",$AK$632="-"),"",$AE$632*IF($BR$632,4,2)&amp;"|RACL/PACL-CLOSER REINF. 14GAx1-3/4x16 HRPO|"&amp;$AK$632&amp;IF($BR$632," BOTH SIDES","")&amp;"|"&amp;$BS$632)&amp;IF($AL$632="E8",$AE$632&amp;"|E8-STRIKE REINF. RIM EXIT||"&amp;$BS$632,"")&amp;IF(ISNUMBER(SEARCH("E4",$AL$632)),$AE$632&amp;"|FRAME DEADLOCK PREP||"&amp;$BS$632,"")&amp;IF($AL$632="E9",$AE$632&amp;"|ELECTRIC STRIKE PREP||"&amp;$BS$632,"")&amp;IF($AM$632="H5",$AE$632&amp;"|H5 STRIKE PREP IN HEADER||"&amp;$BS$632,IF(OR($AM$632="",$AM$632="-"),"",$AE$632&amp;"|HEADER PREP "&amp;$AM$632&amp;"||"&amp;$BS$632))&amp;IF(N($AN$632)&gt;0,$AE$632&amp;"|"&amp;$AN$632&amp;" MINUTE STEEL FRAME LABEL "&amp;IF(OR(N($AY$632)&gt;0,N($AZ$632)&gt;0),"W/TRANSOM PANEL/SIDELIGHT","CAT. C PP")&amp;"||"&amp;$BS$632,"")&amp;IF($AX$632="BL","",$AE$632&amp;"|HD "&amp;$AF$632&amp;$BW$632&amp;$BP$632&amp;" BSC||"&amp;$BS$632&amp;IF($BR$632,$AE$632&amp;"|HJ "&amp;$AF$632&amp;$BW$632&amp;"LH "&amp;$BO$632&amp;" "&amp;$BV$632&amp;" BSC "&amp;CHAR(34)&amp;$BQ$632&amp;CHAR(34)&amp;"||"&amp;$BS$632&amp;$AE$632&amp;"|HJ "&amp;$AF$632&amp;$BW$632&amp;"RH "&amp;$BO$632&amp;" "&amp;$BV$632&amp;" BSC "&amp;CHAR(34)&amp;$BQ$632&amp;CHAR(34)&amp;"||"&amp;$BS$632,$AE$632&amp;"|HJ "&amp;$AF$632&amp;$BW$632&amp;$AW$632&amp;" "&amp;$BO$632&amp;" "&amp;$BV$632&amp;" BSC "&amp;CHAR(34)&amp;$BQ$632&amp;CHAR(34)&amp;"||"&amp;$BS$632&amp;$AE$632&amp;"|SJ "&amp;$AF$632&amp;$BW$632&amp;$AW$632&amp;" "&amp;$BO$632&amp;" "&amp;$BU$632&amp;IF($BU$632="G18"," BLANK"," Y")&amp;" BSC "&amp;CHAR(34)&amp;$BQ$632&amp;CHAR(34)&amp;"||"&amp;$BS$632))&amp;IF(AND($BN$632&gt;N($AR$632),$AX$632&lt;&gt;"BL",N($AR$632)&gt;=60),$AE$632&amp;"|FRAME CUT DOWN (BOTTOM)|Cut "&amp;TRIM(TEXT($BN$632-N($AR$632),"# ?/??"))&amp;CHAR(34)&amp;" OFF THE BOTTOM|"&amp;$BS$632,""))</f>
        <v/>
      </c>
    </row>
    <row r="633">
      <c r="B633" s="180">
        <f>IF($AD633="","",VALUE(LEFT($AD633,FIND("|",$AD633)-1)))</f>
        <v/>
      </c>
      <c r="C633" s="180">
        <f>IF($AD633="","","    "&amp;MID($AD633,FIND("|",$AD633)+1,FIND("|",$AD633,FIND("|",$AD633)+1)-FIND("|",$AD633)-1))</f>
        <v/>
      </c>
      <c r="D633" s="180">
        <f>IF($AD633="","",MID($AD633,FIND("|",$AD633,FIND("|",$AD633)+1)+1,FIND("|",$AD633&amp;"|",FIND("|",$AD633,FIND("|",$AD633)+1)+1)-FIND("|",$AD633,FIND("|",$AD633)+1)-1))</f>
        <v/>
      </c>
      <c r="AD633">
        <f>TRIM(MID(SUBSTITUTE($BX$632,"~",REPT(" ",600)),1,600))</f>
        <v/>
      </c>
    </row>
    <row r="634">
      <c r="B634" s="180">
        <f>IF($AD634="","",VALUE(LEFT($AD634,FIND("|",$AD634)-1)))</f>
        <v/>
      </c>
      <c r="C634" s="180">
        <f>IF($AD634="","","    "&amp;MID($AD634,FIND("|",$AD634)+1,FIND("|",$AD634,FIND("|",$AD634)+1)-FIND("|",$AD634)-1))</f>
        <v/>
      </c>
      <c r="D634" s="180">
        <f>IF($AD634="","",MID($AD634,FIND("|",$AD634,FIND("|",$AD634)+1)+1,FIND("|",$AD634&amp;"|",FIND("|",$AD634,FIND("|",$AD634)+1)+1)-FIND("|",$AD634,FIND("|",$AD634)+1)-1))</f>
        <v/>
      </c>
      <c r="AD634">
        <f>TRIM(MID(SUBSTITUTE($BX$632,"~",REPT(" ",600)),601,600))</f>
        <v/>
      </c>
    </row>
    <row r="635">
      <c r="B635" s="180">
        <f>IF($AD635="","",VALUE(LEFT($AD635,FIND("|",$AD635)-1)))</f>
        <v/>
      </c>
      <c r="C635" s="180">
        <f>IF($AD635="","","    "&amp;MID($AD635,FIND("|",$AD635)+1,FIND("|",$AD635,FIND("|",$AD635)+1)-FIND("|",$AD635)-1))</f>
        <v/>
      </c>
      <c r="D635" s="180">
        <f>IF($AD635="","",MID($AD635,FIND("|",$AD635,FIND("|",$AD635)+1)+1,FIND("|",$AD635&amp;"|",FIND("|",$AD635,FIND("|",$AD635)+1)+1)-FIND("|",$AD635,FIND("|",$AD635)+1)-1))</f>
        <v/>
      </c>
      <c r="AD635">
        <f>TRIM(MID(SUBSTITUTE($BX$632,"~",REPT(" ",600)),1201,600))</f>
        <v/>
      </c>
    </row>
    <row r="636">
      <c r="B636" s="180">
        <f>IF($AD636="","",VALUE(LEFT($AD636,FIND("|",$AD636)-1)))</f>
        <v/>
      </c>
      <c r="C636" s="180">
        <f>IF($AD636="","","    "&amp;MID($AD636,FIND("|",$AD636)+1,FIND("|",$AD636,FIND("|",$AD636)+1)-FIND("|",$AD636)-1))</f>
        <v/>
      </c>
      <c r="D636" s="180">
        <f>IF($AD636="","",MID($AD636,FIND("|",$AD636,FIND("|",$AD636)+1)+1,FIND("|",$AD636&amp;"|",FIND("|",$AD636,FIND("|",$AD636)+1)+1)-FIND("|",$AD636,FIND("|",$AD636)+1)-1))</f>
        <v/>
      </c>
      <c r="AD636">
        <f>TRIM(MID(SUBSTITUTE($BX$632,"~",REPT(" ",600)),1801,600))</f>
        <v/>
      </c>
    </row>
    <row r="637">
      <c r="B637" s="180">
        <f>IF($AD637="","",VALUE(LEFT($AD637,FIND("|",$AD637)-1)))</f>
        <v/>
      </c>
      <c r="C637" s="180">
        <f>IF($AD637="","","    "&amp;MID($AD637,FIND("|",$AD637)+1,FIND("|",$AD637,FIND("|",$AD637)+1)-FIND("|",$AD637)-1))</f>
        <v/>
      </c>
      <c r="D637" s="180">
        <f>IF($AD637="","",MID($AD637,FIND("|",$AD637,FIND("|",$AD637)+1)+1,FIND("|",$AD637&amp;"|",FIND("|",$AD637,FIND("|",$AD637)+1)+1)-FIND("|",$AD637,FIND("|",$AD637)+1)-1))</f>
        <v/>
      </c>
      <c r="AD637">
        <f>TRIM(MID(SUBSTITUTE($BX$632,"~",REPT(" ",600)),2401,600))</f>
        <v/>
      </c>
    </row>
    <row r="638">
      <c r="B638" s="180">
        <f>IF($AD638="","",VALUE(LEFT($AD638,FIND("|",$AD638)-1)))</f>
        <v/>
      </c>
      <c r="C638" s="180">
        <f>IF($AD638="","","    "&amp;MID($AD638,FIND("|",$AD638)+1,FIND("|",$AD638,FIND("|",$AD638)+1)-FIND("|",$AD638)-1))</f>
        <v/>
      </c>
      <c r="D638" s="180">
        <f>IF($AD638="","",MID($AD638,FIND("|",$AD638,FIND("|",$AD638)+1)+1,FIND("|",$AD638&amp;"|",FIND("|",$AD638,FIND("|",$AD638)+1)+1)-FIND("|",$AD638,FIND("|",$AD638)+1)-1))</f>
        <v/>
      </c>
      <c r="AD638">
        <f>TRIM(MID(SUBSTITUTE($BX$632,"~",REPT(" ",600)),3001,600))</f>
        <v/>
      </c>
    </row>
    <row r="639">
      <c r="B639" s="180">
        <f>IF($AD639="","",VALUE(LEFT($AD639,FIND("|",$AD639)-1)))</f>
        <v/>
      </c>
      <c r="C639" s="180">
        <f>IF($AD639="","","    "&amp;MID($AD639,FIND("|",$AD639)+1,FIND("|",$AD639,FIND("|",$AD639)+1)-FIND("|",$AD639)-1))</f>
        <v/>
      </c>
      <c r="D639" s="180">
        <f>IF($AD639="","",MID($AD639,FIND("|",$AD639,FIND("|",$AD639)+1)+1,FIND("|",$AD639&amp;"|",FIND("|",$AD639,FIND("|",$AD639)+1)+1)-FIND("|",$AD639,FIND("|",$AD639)+1)-1))</f>
        <v/>
      </c>
      <c r="AD639">
        <f>TRIM(MID(SUBSTITUTE($BX$632,"~",REPT(" ",600)),3601,600))</f>
        <v/>
      </c>
    </row>
    <row r="640">
      <c r="B640" s="180">
        <f>IF($AD640="","",VALUE(LEFT($AD640,FIND("|",$AD640)-1)))</f>
        <v/>
      </c>
      <c r="C640" s="180">
        <f>IF($AD640="","","    "&amp;MID($AD640,FIND("|",$AD640)+1,FIND("|",$AD640,FIND("|",$AD640)+1)-FIND("|",$AD640)-1))</f>
        <v/>
      </c>
      <c r="D640" s="180">
        <f>IF($AD640="","",MID($AD640,FIND("|",$AD640,FIND("|",$AD640)+1)+1,FIND("|",$AD640&amp;"|",FIND("|",$AD640,FIND("|",$AD640)+1)+1)-FIND("|",$AD640,FIND("|",$AD640)+1)-1))</f>
        <v/>
      </c>
      <c r="AD640">
        <f>TRIM(MID(SUBSTITUTE($BX$632,"~",REPT(" ",600)),4201,600))</f>
        <v/>
      </c>
    </row>
    <row r="641">
      <c r="B641" s="180">
        <f>IF($AD641="","",VALUE(LEFT($AD641,FIND("|",$AD641)-1)))</f>
        <v/>
      </c>
      <c r="C641" s="180">
        <f>IF($AD641="","","    "&amp;MID($AD641,FIND("|",$AD641)+1,FIND("|",$AD641,FIND("|",$AD641)+1)-FIND("|",$AD641)-1))</f>
        <v/>
      </c>
      <c r="D641" s="180">
        <f>IF($AD641="","",MID($AD641,FIND("|",$AD641,FIND("|",$AD641)+1)+1,FIND("|",$AD641&amp;"|",FIND("|",$AD641,FIND("|",$AD641)+1)+1)-FIND("|",$AD641,FIND("|",$AD641)+1)-1))</f>
        <v/>
      </c>
      <c r="AD641">
        <f>TRIM(MID(SUBSTITUTE($BX$632,"~",REPT(" ",600)),4801,600))</f>
        <v/>
      </c>
    </row>
    <row r="642">
      <c r="B642" s="180">
        <f>IF($AD642="","",VALUE(LEFT($AD642,FIND("|",$AD642)-1)))</f>
        <v/>
      </c>
      <c r="C642" s="180">
        <f>IF($AD642="","","    "&amp;MID($AD642,FIND("|",$AD642)+1,FIND("|",$AD642,FIND("|",$AD642)+1)-FIND("|",$AD642)-1))</f>
        <v/>
      </c>
      <c r="D642" s="180">
        <f>IF($AD642="","",MID($AD642,FIND("|",$AD642,FIND("|",$AD642)+1)+1,FIND("|",$AD642&amp;"|",FIND("|",$AD642,FIND("|",$AD642)+1)+1)-FIND("|",$AD642,FIND("|",$AD642)+1)-1))</f>
        <v/>
      </c>
      <c r="AD642">
        <f>TRIM(MID(SUBSTITUTE($BX$632,"~",REPT(" ",600)),5401,600))</f>
        <v/>
      </c>
    </row>
    <row r="643">
      <c r="B643" s="180">
        <f>IF($AD643="","",VALUE(LEFT($AD643,FIND("|",$AD643)-1)))</f>
        <v/>
      </c>
      <c r="C643" s="180">
        <f>IF($AD643="","","    "&amp;MID($AD643,FIND("|",$AD643)+1,FIND("|",$AD643,FIND("|",$AD643)+1)-FIND("|",$AD643)-1))</f>
        <v/>
      </c>
      <c r="D643" s="180">
        <f>IF($AD643="","",MID($AD643,FIND("|",$AD643,FIND("|",$AD643)+1)+1,FIND("|",$AD643&amp;"|",FIND("|",$AD643,FIND("|",$AD643)+1)+1)-FIND("|",$AD643,FIND("|",$AD643)+1)-1))</f>
        <v/>
      </c>
      <c r="AD643">
        <f>TRIM(MID(SUBSTITUTE($BX$632,"~",REPT(" ",600)),6001,600))</f>
        <v/>
      </c>
    </row>
    <row r="644">
      <c r="A644" s="178">
        <f>IF($AD$644=0,"",$BK$644)</f>
        <v/>
      </c>
      <c r="B644" s="178">
        <f>IF($AD$644=0,"",$AE$644)</f>
        <v/>
      </c>
      <c r="C644" s="178">
        <f>IF($AD$644=0,"",$AE$644&amp;") "&amp;IF(COUNTIFS(tk_SOFG,54,tk_HLEG,"&lt;&gt;"&amp;$BJ$644)=0,INDEX(tk_FLINE,$AD$644),INDEX(tk_FLINEN,$AD$644))&amp;IF($AJ$644="KD"," ( R.O. "&amp;TRIM(TEXT(N($AQ$644)+2.25,"# ?/??"))&amp;CHAR(34)&amp;" x "&amp;TRIM(TEXT(N($AR$644)+1,"# ?/??"))&amp;CHAR(34)&amp;" )",""))</f>
        <v/>
      </c>
      <c r="D644" s="178" t="n"/>
      <c r="E644" s="179">
        <f t="array" ref="E644">IF($AD$644=0,"",_xlfn.TEXTJOIN(", ",TRUE,IF(tk_SOFG=54,"#"&amp;tk_MARK&amp;IF(tk_HLEG="","","("&amp;tk_HLEG&amp;")")&amp;IF(tk_QTY&gt;1," ×"&amp;tk_QTY,""),"")))</f>
        <v/>
      </c>
      <c r="AD644">
        <f>IFERROR(MATCH(54,tk_SOFG,0),0)</f>
        <v/>
      </c>
      <c r="AE644">
        <f>IF($AD$644=0,0,SUMIF(tk_SOFG,54,tk_QTY))</f>
        <v/>
      </c>
      <c r="AF644">
        <f>IF($AD$644=0,"",INDEX(tk_JAMB,$AD$644))</f>
        <v/>
      </c>
      <c r="AG644">
        <f>IF($AD$644=0,"",INDEX(tk_ANCHOR,$AD$644))</f>
        <v/>
      </c>
      <c r="AH644">
        <f>IF($AD$644=0,"",INDEX(tk_ANCH,$AD$644))</f>
        <v/>
      </c>
      <c r="AI644">
        <f>IF($AD$644=0,"",INDEX(tk_BASEA,$AD$644))</f>
        <v/>
      </c>
      <c r="AJ644">
        <f>IF($AD$644=0,"",INDEX(tk_CONSTR,$AD$644))</f>
        <v/>
      </c>
      <c r="AK644">
        <f>IF($AD$644=0,"",INDEX(tk_CLOSER,$AD$644))</f>
        <v/>
      </c>
      <c r="AL644">
        <f>IF($AD$644=0,"",INDEX(tk_STRIKE,$AD$644))</f>
        <v/>
      </c>
      <c r="AM644">
        <f>IF($AD$644=0,"",INDEX(tk_HDRPREP,$AD$644))</f>
        <v/>
      </c>
      <c r="AN644">
        <f>IF($AD$644=0,"",INDEX(tk_DMIN,$AD$644))</f>
        <v/>
      </c>
      <c r="AO644">
        <f>IF($AD$644=0,"",INDEX(tk_PAIR,$AD$644))</f>
        <v/>
      </c>
      <c r="AP644">
        <f>IF($AD$644=0,"",INDEX(tk_FGA,$AD$644))</f>
        <v/>
      </c>
      <c r="AQ644">
        <f>IF($AD$644=0,"",INDEX(tk_WI,$AD$644))</f>
        <v/>
      </c>
      <c r="AR644">
        <f>IF($AD$644=0,"",INDEX(tk_HI,$AD$644))</f>
        <v/>
      </c>
      <c r="AS644">
        <f>IF($AD$644=0,"",INDEX(tk_FHINGE,$AD$644))</f>
        <v/>
      </c>
      <c r="AT644">
        <f>IF($AD$644=0,"",INDEX(tk_DHINGE,$AD$644))</f>
        <v/>
      </c>
      <c r="AU644">
        <f>IF($AD$644=0,"",INDEX(tk_HWLOC,$AD$644))</f>
        <v/>
      </c>
      <c r="AV644">
        <f>IF($AD$644=0,"",INDEX(tk_MANUF,$AD$644))</f>
        <v/>
      </c>
      <c r="AW644">
        <f>IF($AD$644=0,"",INDEX(tk_JH,$AD$644))</f>
        <v/>
      </c>
      <c r="AX644">
        <f>IF($AD$644=0,"",INDEX(tk_FDESC,$AD$644))</f>
        <v/>
      </c>
      <c r="AY644">
        <f>IF($AD$644=0,"",INDEX(tk_TRANS,$AD$644))</f>
        <v/>
      </c>
      <c r="AZ644">
        <f>IF($AD$644=0,"",INDEX(tk_SLW,$AD$644))</f>
        <v/>
      </c>
      <c r="BA644">
        <f>IF($AD$644=0,"",INDEX(tk_LEAVES,$AD$644))</f>
        <v/>
      </c>
      <c r="BB644">
        <f>IF($AD$644=0,"",INDEX(tk_LEAFW,$AD$644))</f>
        <v/>
      </c>
      <c r="BC644">
        <f>IF($AD$644=0,"",INDEX(tk_LEAFH,$AD$644))</f>
        <v/>
      </c>
      <c r="BD644">
        <f>IF($AD$644=0,"",INDEX(tk_DMAT,$AD$644))</f>
        <v/>
      </c>
      <c r="BE644">
        <f>IF($AD$644=0,"",INDEX(tk_DGA,$AD$644))</f>
        <v/>
      </c>
      <c r="BF644">
        <f>IF($AD$644=0,"",INDEX(tk_SERIES,$AD$644))</f>
        <v/>
      </c>
      <c r="BG644">
        <f>IF($AD$644=0,"",INDEX(tk_LOCK,$AD$644))</f>
        <v/>
      </c>
      <c r="BH644">
        <f>IF($AD$644=0,"",INDEX(tk_LITEKIT,$AD$644))</f>
        <v/>
      </c>
      <c r="BI644">
        <f>IF($AD$644=0,"",INDEX(tk_FACE,$AD$644))</f>
        <v/>
      </c>
      <c r="BJ644">
        <f>IF($AD$644=0,"",INDEX(tk_HLEG,$AD$644))</f>
        <v/>
      </c>
      <c r="BK644">
        <f>IF($AD$644=0,"",INDEX(tk_SOITEM,$AD$644))</f>
        <v/>
      </c>
      <c r="BL644">
        <f>IFERROR(VLOOKUP($AF$644,CODES,2,FALSE),"")</f>
        <v/>
      </c>
      <c r="BM644">
        <f>IF($AJ$644="KD","C","M")</f>
        <v/>
      </c>
      <c r="BN644">
        <f>IF(N($AR$644)&lt;=80,80,IF(N($AR$644)&lt;=84,84,IF(N($AR$644)&lt;=96,96,N($AR$644))))</f>
        <v/>
      </c>
      <c r="BO644">
        <f>INT($BN$644/12)&amp;MOD($BN$644,12)</f>
        <v/>
      </c>
      <c r="BP644">
        <f>INT(N($AQ$644)/12)&amp;MOD(N($AQ$644),12)</f>
        <v/>
      </c>
      <c r="BQ644">
        <f>IF(OR($AU$644="",$AU$644="ANSI/SDI",$AU$644="CUSTOM LOC"),IF($AV$644="CU","CURRIES","STEELCRAFT"),$AU$644)</f>
        <v/>
      </c>
      <c r="BR644">
        <f>$AO$644="Y"</f>
        <v/>
      </c>
      <c r="BS644">
        <f>"~"</f>
        <v/>
      </c>
      <c r="BT644">
        <f>N($AH$644)*N($AI$644)</f>
        <v/>
      </c>
      <c r="BU644">
        <f>IF(OR($AL$644="",$AL$644="-",$AL$644="E8"),"G18",$AL$644)</f>
        <v/>
      </c>
      <c r="BV644">
        <f>IF(OR($AS$644="",$AS$644="-"),"BLK",$AS$644)</f>
        <v/>
      </c>
      <c r="BW644">
        <f>" "&amp;$BM$644&amp;$AP$644&amp;" "</f>
        <v/>
      </c>
      <c r="BX644">
        <f>IF($AD$644=0,"",IF(OR($AG$644="SSA",$AG$644="SC"),$AE$644*$BT$644&amp;"|"&amp;$BL$644&amp;" STEEL STUD ANCHOR 2"&amp;CHAR(34)&amp;"||"&amp;$BS$644,"")&amp;IF($AG$644="WEWA-M",$AE$644*(N($AH$644)+1)*N($AI$644)&amp;"|FR101F 690 "&amp;$BL$644&amp;" MASONRY TUBE ANCHOR 16 GA||"&amp;$BS$644&amp;$AE$644*(N($AH$644)+1)*N($AI$644)&amp;"|3/8X5 SF3850 DYNO BOLTS||"&amp;$BS$644,"")&amp;IF($AG$644="WMA",$AE$644*$BT$644&amp;"|WIRE MASONRY ANCHOR||"&amp;$BS$644,"")&amp;IF($AG$644="T",$AE$644*$BT$644&amp;"|T-STRAP MASONRY ANCHOR||"&amp;$BS$644,"")&amp;IF($AG$644="WEWA-W",$AE$644*$BT$644&amp;"|P/D + WOOD SCREWS||"&amp;$BS$644,"")&amp;IF($AJ$644="WGS",$AE$644&amp;"|WELD &amp; GROUND SMOOTH||"&amp;$BS$644,"")&amp;IF(OR($AK$644="",$AK$644="-"),"",$AE$644*IF($BR$644,4,2)&amp;"|RACL/PACL-CLOSER REINF. 14GAx1-3/4x16 HRPO|"&amp;$AK$644&amp;IF($BR$644," BOTH SIDES","")&amp;"|"&amp;$BS$644)&amp;IF($AL$644="E8",$AE$644&amp;"|E8-STRIKE REINF. RIM EXIT||"&amp;$BS$644,"")&amp;IF(ISNUMBER(SEARCH("E4",$AL$644)),$AE$644&amp;"|FRAME DEADLOCK PREP||"&amp;$BS$644,"")&amp;IF($AL$644="E9",$AE$644&amp;"|ELECTRIC STRIKE PREP||"&amp;$BS$644,"")&amp;IF($AM$644="H5",$AE$644&amp;"|H5 STRIKE PREP IN HEADER||"&amp;$BS$644,IF(OR($AM$644="",$AM$644="-"),"",$AE$644&amp;"|HEADER PREP "&amp;$AM$644&amp;"||"&amp;$BS$644))&amp;IF(N($AN$644)&gt;0,$AE$644&amp;"|"&amp;$AN$644&amp;" MINUTE STEEL FRAME LABEL "&amp;IF(OR(N($AY$644)&gt;0,N($AZ$644)&gt;0),"W/TRANSOM PANEL/SIDELIGHT","CAT. C PP")&amp;"||"&amp;$BS$644,"")&amp;IF($AX$644="BL","",$AE$644&amp;"|HD "&amp;$AF$644&amp;$BW$644&amp;$BP$644&amp;" BSC||"&amp;$BS$644&amp;IF($BR$644,$AE$644&amp;"|HJ "&amp;$AF$644&amp;$BW$644&amp;"LH "&amp;$BO$644&amp;" "&amp;$BV$644&amp;" BSC "&amp;CHAR(34)&amp;$BQ$644&amp;CHAR(34)&amp;"||"&amp;$BS$644&amp;$AE$644&amp;"|HJ "&amp;$AF$644&amp;$BW$644&amp;"RH "&amp;$BO$644&amp;" "&amp;$BV$644&amp;" BSC "&amp;CHAR(34)&amp;$BQ$644&amp;CHAR(34)&amp;"||"&amp;$BS$644,$AE$644&amp;"|HJ "&amp;$AF$644&amp;$BW$644&amp;$AW$644&amp;" "&amp;$BO$644&amp;" "&amp;$BV$644&amp;" BSC "&amp;CHAR(34)&amp;$BQ$644&amp;CHAR(34)&amp;"||"&amp;$BS$644&amp;$AE$644&amp;"|SJ "&amp;$AF$644&amp;$BW$644&amp;$AW$644&amp;" "&amp;$BO$644&amp;" "&amp;$BU$644&amp;IF($BU$644="G18"," BLANK"," Y")&amp;" BSC "&amp;CHAR(34)&amp;$BQ$644&amp;CHAR(34)&amp;"||"&amp;$BS$644))&amp;IF(AND($BN$644&gt;N($AR$644),$AX$644&lt;&gt;"BL",N($AR$644)&gt;=60),$AE$644&amp;"|FRAME CUT DOWN (BOTTOM)|Cut "&amp;TRIM(TEXT($BN$644-N($AR$644),"# ?/??"))&amp;CHAR(34)&amp;" OFF THE BOTTOM|"&amp;$BS$644,""))</f>
        <v/>
      </c>
    </row>
    <row r="645">
      <c r="B645" s="180">
        <f>IF($AD645="","",VALUE(LEFT($AD645,FIND("|",$AD645)-1)))</f>
        <v/>
      </c>
      <c r="C645" s="180">
        <f>IF($AD645="","","    "&amp;MID($AD645,FIND("|",$AD645)+1,FIND("|",$AD645,FIND("|",$AD645)+1)-FIND("|",$AD645)-1))</f>
        <v/>
      </c>
      <c r="D645" s="180">
        <f>IF($AD645="","",MID($AD645,FIND("|",$AD645,FIND("|",$AD645)+1)+1,FIND("|",$AD645&amp;"|",FIND("|",$AD645,FIND("|",$AD645)+1)+1)-FIND("|",$AD645,FIND("|",$AD645)+1)-1))</f>
        <v/>
      </c>
      <c r="AD645">
        <f>TRIM(MID(SUBSTITUTE($BX$644,"~",REPT(" ",600)),1,600))</f>
        <v/>
      </c>
    </row>
    <row r="646">
      <c r="B646" s="180">
        <f>IF($AD646="","",VALUE(LEFT($AD646,FIND("|",$AD646)-1)))</f>
        <v/>
      </c>
      <c r="C646" s="180">
        <f>IF($AD646="","","    "&amp;MID($AD646,FIND("|",$AD646)+1,FIND("|",$AD646,FIND("|",$AD646)+1)-FIND("|",$AD646)-1))</f>
        <v/>
      </c>
      <c r="D646" s="180">
        <f>IF($AD646="","",MID($AD646,FIND("|",$AD646,FIND("|",$AD646)+1)+1,FIND("|",$AD646&amp;"|",FIND("|",$AD646,FIND("|",$AD646)+1)+1)-FIND("|",$AD646,FIND("|",$AD646)+1)-1))</f>
        <v/>
      </c>
      <c r="AD646">
        <f>TRIM(MID(SUBSTITUTE($BX$644,"~",REPT(" ",600)),601,600))</f>
        <v/>
      </c>
    </row>
    <row r="647">
      <c r="B647" s="180">
        <f>IF($AD647="","",VALUE(LEFT($AD647,FIND("|",$AD647)-1)))</f>
        <v/>
      </c>
      <c r="C647" s="180">
        <f>IF($AD647="","","    "&amp;MID($AD647,FIND("|",$AD647)+1,FIND("|",$AD647,FIND("|",$AD647)+1)-FIND("|",$AD647)-1))</f>
        <v/>
      </c>
      <c r="D647" s="180">
        <f>IF($AD647="","",MID($AD647,FIND("|",$AD647,FIND("|",$AD647)+1)+1,FIND("|",$AD647&amp;"|",FIND("|",$AD647,FIND("|",$AD647)+1)+1)-FIND("|",$AD647,FIND("|",$AD647)+1)-1))</f>
        <v/>
      </c>
      <c r="AD647">
        <f>TRIM(MID(SUBSTITUTE($BX$644,"~",REPT(" ",600)),1201,600))</f>
        <v/>
      </c>
    </row>
    <row r="648">
      <c r="B648" s="180">
        <f>IF($AD648="","",VALUE(LEFT($AD648,FIND("|",$AD648)-1)))</f>
        <v/>
      </c>
      <c r="C648" s="180">
        <f>IF($AD648="","","    "&amp;MID($AD648,FIND("|",$AD648)+1,FIND("|",$AD648,FIND("|",$AD648)+1)-FIND("|",$AD648)-1))</f>
        <v/>
      </c>
      <c r="D648" s="180">
        <f>IF($AD648="","",MID($AD648,FIND("|",$AD648,FIND("|",$AD648)+1)+1,FIND("|",$AD648&amp;"|",FIND("|",$AD648,FIND("|",$AD648)+1)+1)-FIND("|",$AD648,FIND("|",$AD648)+1)-1))</f>
        <v/>
      </c>
      <c r="AD648">
        <f>TRIM(MID(SUBSTITUTE($BX$644,"~",REPT(" ",600)),1801,600))</f>
        <v/>
      </c>
    </row>
    <row r="649">
      <c r="B649" s="180">
        <f>IF($AD649="","",VALUE(LEFT($AD649,FIND("|",$AD649)-1)))</f>
        <v/>
      </c>
      <c r="C649" s="180">
        <f>IF($AD649="","","    "&amp;MID($AD649,FIND("|",$AD649)+1,FIND("|",$AD649,FIND("|",$AD649)+1)-FIND("|",$AD649)-1))</f>
        <v/>
      </c>
      <c r="D649" s="180">
        <f>IF($AD649="","",MID($AD649,FIND("|",$AD649,FIND("|",$AD649)+1)+1,FIND("|",$AD649&amp;"|",FIND("|",$AD649,FIND("|",$AD649)+1)+1)-FIND("|",$AD649,FIND("|",$AD649)+1)-1))</f>
        <v/>
      </c>
      <c r="AD649">
        <f>TRIM(MID(SUBSTITUTE($BX$644,"~",REPT(" ",600)),2401,600))</f>
        <v/>
      </c>
    </row>
    <row r="650">
      <c r="B650" s="180">
        <f>IF($AD650="","",VALUE(LEFT($AD650,FIND("|",$AD650)-1)))</f>
        <v/>
      </c>
      <c r="C650" s="180">
        <f>IF($AD650="","","    "&amp;MID($AD650,FIND("|",$AD650)+1,FIND("|",$AD650,FIND("|",$AD650)+1)-FIND("|",$AD650)-1))</f>
        <v/>
      </c>
      <c r="D650" s="180">
        <f>IF($AD650="","",MID($AD650,FIND("|",$AD650,FIND("|",$AD650)+1)+1,FIND("|",$AD650&amp;"|",FIND("|",$AD650,FIND("|",$AD650)+1)+1)-FIND("|",$AD650,FIND("|",$AD650)+1)-1))</f>
        <v/>
      </c>
      <c r="AD650">
        <f>TRIM(MID(SUBSTITUTE($BX$644,"~",REPT(" ",600)),3001,600))</f>
        <v/>
      </c>
    </row>
    <row r="651">
      <c r="B651" s="180">
        <f>IF($AD651="","",VALUE(LEFT($AD651,FIND("|",$AD651)-1)))</f>
        <v/>
      </c>
      <c r="C651" s="180">
        <f>IF($AD651="","","    "&amp;MID($AD651,FIND("|",$AD651)+1,FIND("|",$AD651,FIND("|",$AD651)+1)-FIND("|",$AD651)-1))</f>
        <v/>
      </c>
      <c r="D651" s="180">
        <f>IF($AD651="","",MID($AD651,FIND("|",$AD651,FIND("|",$AD651)+1)+1,FIND("|",$AD651&amp;"|",FIND("|",$AD651,FIND("|",$AD651)+1)+1)-FIND("|",$AD651,FIND("|",$AD651)+1)-1))</f>
        <v/>
      </c>
      <c r="AD651">
        <f>TRIM(MID(SUBSTITUTE($BX$644,"~",REPT(" ",600)),3601,600))</f>
        <v/>
      </c>
    </row>
    <row r="652">
      <c r="B652" s="180">
        <f>IF($AD652="","",VALUE(LEFT($AD652,FIND("|",$AD652)-1)))</f>
        <v/>
      </c>
      <c r="C652" s="180">
        <f>IF($AD652="","","    "&amp;MID($AD652,FIND("|",$AD652)+1,FIND("|",$AD652,FIND("|",$AD652)+1)-FIND("|",$AD652)-1))</f>
        <v/>
      </c>
      <c r="D652" s="180">
        <f>IF($AD652="","",MID($AD652,FIND("|",$AD652,FIND("|",$AD652)+1)+1,FIND("|",$AD652&amp;"|",FIND("|",$AD652,FIND("|",$AD652)+1)+1)-FIND("|",$AD652,FIND("|",$AD652)+1)-1))</f>
        <v/>
      </c>
      <c r="AD652">
        <f>TRIM(MID(SUBSTITUTE($BX$644,"~",REPT(" ",600)),4201,600))</f>
        <v/>
      </c>
    </row>
    <row r="653">
      <c r="B653" s="180">
        <f>IF($AD653="","",VALUE(LEFT($AD653,FIND("|",$AD653)-1)))</f>
        <v/>
      </c>
      <c r="C653" s="180">
        <f>IF($AD653="","","    "&amp;MID($AD653,FIND("|",$AD653)+1,FIND("|",$AD653,FIND("|",$AD653)+1)-FIND("|",$AD653)-1))</f>
        <v/>
      </c>
      <c r="D653" s="180">
        <f>IF($AD653="","",MID($AD653,FIND("|",$AD653,FIND("|",$AD653)+1)+1,FIND("|",$AD653&amp;"|",FIND("|",$AD653,FIND("|",$AD653)+1)+1)-FIND("|",$AD653,FIND("|",$AD653)+1)-1))</f>
        <v/>
      </c>
      <c r="AD653">
        <f>TRIM(MID(SUBSTITUTE($BX$644,"~",REPT(" ",600)),4801,600))</f>
        <v/>
      </c>
    </row>
    <row r="654">
      <c r="B654" s="180">
        <f>IF($AD654="","",VALUE(LEFT($AD654,FIND("|",$AD654)-1)))</f>
        <v/>
      </c>
      <c r="C654" s="180">
        <f>IF($AD654="","","    "&amp;MID($AD654,FIND("|",$AD654)+1,FIND("|",$AD654,FIND("|",$AD654)+1)-FIND("|",$AD654)-1))</f>
        <v/>
      </c>
      <c r="D654" s="180">
        <f>IF($AD654="","",MID($AD654,FIND("|",$AD654,FIND("|",$AD654)+1)+1,FIND("|",$AD654&amp;"|",FIND("|",$AD654,FIND("|",$AD654)+1)+1)-FIND("|",$AD654,FIND("|",$AD654)+1)-1))</f>
        <v/>
      </c>
      <c r="AD654">
        <f>TRIM(MID(SUBSTITUTE($BX$644,"~",REPT(" ",600)),5401,600))</f>
        <v/>
      </c>
    </row>
    <row r="655">
      <c r="B655" s="180">
        <f>IF($AD655="","",VALUE(LEFT($AD655,FIND("|",$AD655)-1)))</f>
        <v/>
      </c>
      <c r="C655" s="180">
        <f>IF($AD655="","","    "&amp;MID($AD655,FIND("|",$AD655)+1,FIND("|",$AD655,FIND("|",$AD655)+1)-FIND("|",$AD655)-1))</f>
        <v/>
      </c>
      <c r="D655" s="180">
        <f>IF($AD655="","",MID($AD655,FIND("|",$AD655,FIND("|",$AD655)+1)+1,FIND("|",$AD655&amp;"|",FIND("|",$AD655,FIND("|",$AD655)+1)+1)-FIND("|",$AD655,FIND("|",$AD655)+1)-1))</f>
        <v/>
      </c>
      <c r="AD655">
        <f>TRIM(MID(SUBSTITUTE($BX$644,"~",REPT(" ",600)),6001,600))</f>
        <v/>
      </c>
    </row>
    <row r="656">
      <c r="A656" s="178">
        <f>IF($AD$656=0,"",$BK$656)</f>
        <v/>
      </c>
      <c r="B656" s="178">
        <f>IF($AD$656=0,"",$AE$656)</f>
        <v/>
      </c>
      <c r="C656" s="178">
        <f>IF($AD$656=0,"",$AE$656&amp;") "&amp;IF(COUNTIFS(tk_SOFG,55,tk_HLEG,"&lt;&gt;"&amp;$BJ$656)=0,INDEX(tk_FLINE,$AD$656),INDEX(tk_FLINEN,$AD$656))&amp;IF($AJ$656="KD"," ( R.O. "&amp;TRIM(TEXT(N($AQ$656)+2.25,"# ?/??"))&amp;CHAR(34)&amp;" x "&amp;TRIM(TEXT(N($AR$656)+1,"# ?/??"))&amp;CHAR(34)&amp;" )",""))</f>
        <v/>
      </c>
      <c r="D656" s="178" t="n"/>
      <c r="E656" s="179">
        <f t="array" ref="E656">IF($AD$656=0,"",_xlfn.TEXTJOIN(", ",TRUE,IF(tk_SOFG=55,"#"&amp;tk_MARK&amp;IF(tk_HLEG="","","("&amp;tk_HLEG&amp;")")&amp;IF(tk_QTY&gt;1," ×"&amp;tk_QTY,""),"")))</f>
        <v/>
      </c>
      <c r="AD656">
        <f>IFERROR(MATCH(55,tk_SOFG,0),0)</f>
        <v/>
      </c>
      <c r="AE656">
        <f>IF($AD$656=0,0,SUMIF(tk_SOFG,55,tk_QTY))</f>
        <v/>
      </c>
      <c r="AF656">
        <f>IF($AD$656=0,"",INDEX(tk_JAMB,$AD$656))</f>
        <v/>
      </c>
      <c r="AG656">
        <f>IF($AD$656=0,"",INDEX(tk_ANCHOR,$AD$656))</f>
        <v/>
      </c>
      <c r="AH656">
        <f>IF($AD$656=0,"",INDEX(tk_ANCH,$AD$656))</f>
        <v/>
      </c>
      <c r="AI656">
        <f>IF($AD$656=0,"",INDEX(tk_BASEA,$AD$656))</f>
        <v/>
      </c>
      <c r="AJ656">
        <f>IF($AD$656=0,"",INDEX(tk_CONSTR,$AD$656))</f>
        <v/>
      </c>
      <c r="AK656">
        <f>IF($AD$656=0,"",INDEX(tk_CLOSER,$AD$656))</f>
        <v/>
      </c>
      <c r="AL656">
        <f>IF($AD$656=0,"",INDEX(tk_STRIKE,$AD$656))</f>
        <v/>
      </c>
      <c r="AM656">
        <f>IF($AD$656=0,"",INDEX(tk_HDRPREP,$AD$656))</f>
        <v/>
      </c>
      <c r="AN656">
        <f>IF($AD$656=0,"",INDEX(tk_DMIN,$AD$656))</f>
        <v/>
      </c>
      <c r="AO656">
        <f>IF($AD$656=0,"",INDEX(tk_PAIR,$AD$656))</f>
        <v/>
      </c>
      <c r="AP656">
        <f>IF($AD$656=0,"",INDEX(tk_FGA,$AD$656))</f>
        <v/>
      </c>
      <c r="AQ656">
        <f>IF($AD$656=0,"",INDEX(tk_WI,$AD$656))</f>
        <v/>
      </c>
      <c r="AR656">
        <f>IF($AD$656=0,"",INDEX(tk_HI,$AD$656))</f>
        <v/>
      </c>
      <c r="AS656">
        <f>IF($AD$656=0,"",INDEX(tk_FHINGE,$AD$656))</f>
        <v/>
      </c>
      <c r="AT656">
        <f>IF($AD$656=0,"",INDEX(tk_DHINGE,$AD$656))</f>
        <v/>
      </c>
      <c r="AU656">
        <f>IF($AD$656=0,"",INDEX(tk_HWLOC,$AD$656))</f>
        <v/>
      </c>
      <c r="AV656">
        <f>IF($AD$656=0,"",INDEX(tk_MANUF,$AD$656))</f>
        <v/>
      </c>
      <c r="AW656">
        <f>IF($AD$656=0,"",INDEX(tk_JH,$AD$656))</f>
        <v/>
      </c>
      <c r="AX656">
        <f>IF($AD$656=0,"",INDEX(tk_FDESC,$AD$656))</f>
        <v/>
      </c>
      <c r="AY656">
        <f>IF($AD$656=0,"",INDEX(tk_TRANS,$AD$656))</f>
        <v/>
      </c>
      <c r="AZ656">
        <f>IF($AD$656=0,"",INDEX(tk_SLW,$AD$656))</f>
        <v/>
      </c>
      <c r="BA656">
        <f>IF($AD$656=0,"",INDEX(tk_LEAVES,$AD$656))</f>
        <v/>
      </c>
      <c r="BB656">
        <f>IF($AD$656=0,"",INDEX(tk_LEAFW,$AD$656))</f>
        <v/>
      </c>
      <c r="BC656">
        <f>IF($AD$656=0,"",INDEX(tk_LEAFH,$AD$656))</f>
        <v/>
      </c>
      <c r="BD656">
        <f>IF($AD$656=0,"",INDEX(tk_DMAT,$AD$656))</f>
        <v/>
      </c>
      <c r="BE656">
        <f>IF($AD$656=0,"",INDEX(tk_DGA,$AD$656))</f>
        <v/>
      </c>
      <c r="BF656">
        <f>IF($AD$656=0,"",INDEX(tk_SERIES,$AD$656))</f>
        <v/>
      </c>
      <c r="BG656">
        <f>IF($AD$656=0,"",INDEX(tk_LOCK,$AD$656))</f>
        <v/>
      </c>
      <c r="BH656">
        <f>IF($AD$656=0,"",INDEX(tk_LITEKIT,$AD$656))</f>
        <v/>
      </c>
      <c r="BI656">
        <f>IF($AD$656=0,"",INDEX(tk_FACE,$AD$656))</f>
        <v/>
      </c>
      <c r="BJ656">
        <f>IF($AD$656=0,"",INDEX(tk_HLEG,$AD$656))</f>
        <v/>
      </c>
      <c r="BK656">
        <f>IF($AD$656=0,"",INDEX(tk_SOITEM,$AD$656))</f>
        <v/>
      </c>
      <c r="BL656">
        <f>IFERROR(VLOOKUP($AF$656,CODES,2,FALSE),"")</f>
        <v/>
      </c>
      <c r="BM656">
        <f>IF($AJ$656="KD","C","M")</f>
        <v/>
      </c>
      <c r="BN656">
        <f>IF(N($AR$656)&lt;=80,80,IF(N($AR$656)&lt;=84,84,IF(N($AR$656)&lt;=96,96,N($AR$656))))</f>
        <v/>
      </c>
      <c r="BO656">
        <f>INT($BN$656/12)&amp;MOD($BN$656,12)</f>
        <v/>
      </c>
      <c r="BP656">
        <f>INT(N($AQ$656)/12)&amp;MOD(N($AQ$656),12)</f>
        <v/>
      </c>
      <c r="BQ656">
        <f>IF(OR($AU$656="",$AU$656="ANSI/SDI",$AU$656="CUSTOM LOC"),IF($AV$656="CU","CURRIES","STEELCRAFT"),$AU$656)</f>
        <v/>
      </c>
      <c r="BR656">
        <f>$AO$656="Y"</f>
        <v/>
      </c>
      <c r="BS656">
        <f>"~"</f>
        <v/>
      </c>
      <c r="BT656">
        <f>N($AH$656)*N($AI$656)</f>
        <v/>
      </c>
      <c r="BU656">
        <f>IF(OR($AL$656="",$AL$656="-",$AL$656="E8"),"G18",$AL$656)</f>
        <v/>
      </c>
      <c r="BV656">
        <f>IF(OR($AS$656="",$AS$656="-"),"BLK",$AS$656)</f>
        <v/>
      </c>
      <c r="BW656">
        <f>" "&amp;$BM$656&amp;$AP$656&amp;" "</f>
        <v/>
      </c>
      <c r="BX656">
        <f>IF($AD$656=0,"",IF(OR($AG$656="SSA",$AG$656="SC"),$AE$656*$BT$656&amp;"|"&amp;$BL$656&amp;" STEEL STUD ANCHOR 2"&amp;CHAR(34)&amp;"||"&amp;$BS$656,"")&amp;IF($AG$656="WEWA-M",$AE$656*(N($AH$656)+1)*N($AI$656)&amp;"|FR101F 690 "&amp;$BL$656&amp;" MASONRY TUBE ANCHOR 16 GA||"&amp;$BS$656&amp;$AE$656*(N($AH$656)+1)*N($AI$656)&amp;"|3/8X5 SF3850 DYNO BOLTS||"&amp;$BS$656,"")&amp;IF($AG$656="WMA",$AE$656*$BT$656&amp;"|WIRE MASONRY ANCHOR||"&amp;$BS$656,"")&amp;IF($AG$656="T",$AE$656*$BT$656&amp;"|T-STRAP MASONRY ANCHOR||"&amp;$BS$656,"")&amp;IF($AG$656="WEWA-W",$AE$656*$BT$656&amp;"|P/D + WOOD SCREWS||"&amp;$BS$656,"")&amp;IF($AJ$656="WGS",$AE$656&amp;"|WELD &amp; GROUND SMOOTH||"&amp;$BS$656,"")&amp;IF(OR($AK$656="",$AK$656="-"),"",$AE$656*IF($BR$656,4,2)&amp;"|RACL/PACL-CLOSER REINF. 14GAx1-3/4x16 HRPO|"&amp;$AK$656&amp;IF($BR$656," BOTH SIDES","")&amp;"|"&amp;$BS$656)&amp;IF($AL$656="E8",$AE$656&amp;"|E8-STRIKE REINF. RIM EXIT||"&amp;$BS$656,"")&amp;IF(ISNUMBER(SEARCH("E4",$AL$656)),$AE$656&amp;"|FRAME DEADLOCK PREP||"&amp;$BS$656,"")&amp;IF($AL$656="E9",$AE$656&amp;"|ELECTRIC STRIKE PREP||"&amp;$BS$656,"")&amp;IF($AM$656="H5",$AE$656&amp;"|H5 STRIKE PREP IN HEADER||"&amp;$BS$656,IF(OR($AM$656="",$AM$656="-"),"",$AE$656&amp;"|HEADER PREP "&amp;$AM$656&amp;"||"&amp;$BS$656))&amp;IF(N($AN$656)&gt;0,$AE$656&amp;"|"&amp;$AN$656&amp;" MINUTE STEEL FRAME LABEL "&amp;IF(OR(N($AY$656)&gt;0,N($AZ$656)&gt;0),"W/TRANSOM PANEL/SIDELIGHT","CAT. C PP")&amp;"||"&amp;$BS$656,"")&amp;IF($AX$656="BL","",$AE$656&amp;"|HD "&amp;$AF$656&amp;$BW$656&amp;$BP$656&amp;" BSC||"&amp;$BS$656&amp;IF($BR$656,$AE$656&amp;"|HJ "&amp;$AF$656&amp;$BW$656&amp;"LH "&amp;$BO$656&amp;" "&amp;$BV$656&amp;" BSC "&amp;CHAR(34)&amp;$BQ$656&amp;CHAR(34)&amp;"||"&amp;$BS$656&amp;$AE$656&amp;"|HJ "&amp;$AF$656&amp;$BW$656&amp;"RH "&amp;$BO$656&amp;" "&amp;$BV$656&amp;" BSC "&amp;CHAR(34)&amp;$BQ$656&amp;CHAR(34)&amp;"||"&amp;$BS$656,$AE$656&amp;"|HJ "&amp;$AF$656&amp;$BW$656&amp;$AW$656&amp;" "&amp;$BO$656&amp;" "&amp;$BV$656&amp;" BSC "&amp;CHAR(34)&amp;$BQ$656&amp;CHAR(34)&amp;"||"&amp;$BS$656&amp;$AE$656&amp;"|SJ "&amp;$AF$656&amp;$BW$656&amp;$AW$656&amp;" "&amp;$BO$656&amp;" "&amp;$BU$656&amp;IF($BU$656="G18"," BLANK"," Y")&amp;" BSC "&amp;CHAR(34)&amp;$BQ$656&amp;CHAR(34)&amp;"||"&amp;$BS$656))&amp;IF(AND($BN$656&gt;N($AR$656),$AX$656&lt;&gt;"BL",N($AR$656)&gt;=60),$AE$656&amp;"|FRAME CUT DOWN (BOTTOM)|Cut "&amp;TRIM(TEXT($BN$656-N($AR$656),"# ?/??"))&amp;CHAR(34)&amp;" OFF THE BOTTOM|"&amp;$BS$656,""))</f>
        <v/>
      </c>
    </row>
    <row r="657">
      <c r="B657" s="180">
        <f>IF($AD657="","",VALUE(LEFT($AD657,FIND("|",$AD657)-1)))</f>
        <v/>
      </c>
      <c r="C657" s="180">
        <f>IF($AD657="","","    "&amp;MID($AD657,FIND("|",$AD657)+1,FIND("|",$AD657,FIND("|",$AD657)+1)-FIND("|",$AD657)-1))</f>
        <v/>
      </c>
      <c r="D657" s="180">
        <f>IF($AD657="","",MID($AD657,FIND("|",$AD657,FIND("|",$AD657)+1)+1,FIND("|",$AD657&amp;"|",FIND("|",$AD657,FIND("|",$AD657)+1)+1)-FIND("|",$AD657,FIND("|",$AD657)+1)-1))</f>
        <v/>
      </c>
      <c r="AD657">
        <f>TRIM(MID(SUBSTITUTE($BX$656,"~",REPT(" ",600)),1,600))</f>
        <v/>
      </c>
    </row>
    <row r="658">
      <c r="B658" s="180">
        <f>IF($AD658="","",VALUE(LEFT($AD658,FIND("|",$AD658)-1)))</f>
        <v/>
      </c>
      <c r="C658" s="180">
        <f>IF($AD658="","","    "&amp;MID($AD658,FIND("|",$AD658)+1,FIND("|",$AD658,FIND("|",$AD658)+1)-FIND("|",$AD658)-1))</f>
        <v/>
      </c>
      <c r="D658" s="180">
        <f>IF($AD658="","",MID($AD658,FIND("|",$AD658,FIND("|",$AD658)+1)+1,FIND("|",$AD658&amp;"|",FIND("|",$AD658,FIND("|",$AD658)+1)+1)-FIND("|",$AD658,FIND("|",$AD658)+1)-1))</f>
        <v/>
      </c>
      <c r="AD658">
        <f>TRIM(MID(SUBSTITUTE($BX$656,"~",REPT(" ",600)),601,600))</f>
        <v/>
      </c>
    </row>
    <row r="659">
      <c r="B659" s="180">
        <f>IF($AD659="","",VALUE(LEFT($AD659,FIND("|",$AD659)-1)))</f>
        <v/>
      </c>
      <c r="C659" s="180">
        <f>IF($AD659="","","    "&amp;MID($AD659,FIND("|",$AD659)+1,FIND("|",$AD659,FIND("|",$AD659)+1)-FIND("|",$AD659)-1))</f>
        <v/>
      </c>
      <c r="D659" s="180">
        <f>IF($AD659="","",MID($AD659,FIND("|",$AD659,FIND("|",$AD659)+1)+1,FIND("|",$AD659&amp;"|",FIND("|",$AD659,FIND("|",$AD659)+1)+1)-FIND("|",$AD659,FIND("|",$AD659)+1)-1))</f>
        <v/>
      </c>
      <c r="AD659">
        <f>TRIM(MID(SUBSTITUTE($BX$656,"~",REPT(" ",600)),1201,600))</f>
        <v/>
      </c>
    </row>
    <row r="660">
      <c r="B660" s="180">
        <f>IF($AD660="","",VALUE(LEFT($AD660,FIND("|",$AD660)-1)))</f>
        <v/>
      </c>
      <c r="C660" s="180">
        <f>IF($AD660="","","    "&amp;MID($AD660,FIND("|",$AD660)+1,FIND("|",$AD660,FIND("|",$AD660)+1)-FIND("|",$AD660)-1))</f>
        <v/>
      </c>
      <c r="D660" s="180">
        <f>IF($AD660="","",MID($AD660,FIND("|",$AD660,FIND("|",$AD660)+1)+1,FIND("|",$AD660&amp;"|",FIND("|",$AD660,FIND("|",$AD660)+1)+1)-FIND("|",$AD660,FIND("|",$AD660)+1)-1))</f>
        <v/>
      </c>
      <c r="AD660">
        <f>TRIM(MID(SUBSTITUTE($BX$656,"~",REPT(" ",600)),1801,600))</f>
        <v/>
      </c>
    </row>
    <row r="661">
      <c r="B661" s="180">
        <f>IF($AD661="","",VALUE(LEFT($AD661,FIND("|",$AD661)-1)))</f>
        <v/>
      </c>
      <c r="C661" s="180">
        <f>IF($AD661="","","    "&amp;MID($AD661,FIND("|",$AD661)+1,FIND("|",$AD661,FIND("|",$AD661)+1)-FIND("|",$AD661)-1))</f>
        <v/>
      </c>
      <c r="D661" s="180">
        <f>IF($AD661="","",MID($AD661,FIND("|",$AD661,FIND("|",$AD661)+1)+1,FIND("|",$AD661&amp;"|",FIND("|",$AD661,FIND("|",$AD661)+1)+1)-FIND("|",$AD661,FIND("|",$AD661)+1)-1))</f>
        <v/>
      </c>
      <c r="AD661">
        <f>TRIM(MID(SUBSTITUTE($BX$656,"~",REPT(" ",600)),2401,600))</f>
        <v/>
      </c>
    </row>
    <row r="662">
      <c r="B662" s="180">
        <f>IF($AD662="","",VALUE(LEFT($AD662,FIND("|",$AD662)-1)))</f>
        <v/>
      </c>
      <c r="C662" s="180">
        <f>IF($AD662="","","    "&amp;MID($AD662,FIND("|",$AD662)+1,FIND("|",$AD662,FIND("|",$AD662)+1)-FIND("|",$AD662)-1))</f>
        <v/>
      </c>
      <c r="D662" s="180">
        <f>IF($AD662="","",MID($AD662,FIND("|",$AD662,FIND("|",$AD662)+1)+1,FIND("|",$AD662&amp;"|",FIND("|",$AD662,FIND("|",$AD662)+1)+1)-FIND("|",$AD662,FIND("|",$AD662)+1)-1))</f>
        <v/>
      </c>
      <c r="AD662">
        <f>TRIM(MID(SUBSTITUTE($BX$656,"~",REPT(" ",600)),3001,600))</f>
        <v/>
      </c>
    </row>
    <row r="663">
      <c r="B663" s="180">
        <f>IF($AD663="","",VALUE(LEFT($AD663,FIND("|",$AD663)-1)))</f>
        <v/>
      </c>
      <c r="C663" s="180">
        <f>IF($AD663="","","    "&amp;MID($AD663,FIND("|",$AD663)+1,FIND("|",$AD663,FIND("|",$AD663)+1)-FIND("|",$AD663)-1))</f>
        <v/>
      </c>
      <c r="D663" s="180">
        <f>IF($AD663="","",MID($AD663,FIND("|",$AD663,FIND("|",$AD663)+1)+1,FIND("|",$AD663&amp;"|",FIND("|",$AD663,FIND("|",$AD663)+1)+1)-FIND("|",$AD663,FIND("|",$AD663)+1)-1))</f>
        <v/>
      </c>
      <c r="AD663">
        <f>TRIM(MID(SUBSTITUTE($BX$656,"~",REPT(" ",600)),3601,600))</f>
        <v/>
      </c>
    </row>
    <row r="664">
      <c r="B664" s="180">
        <f>IF($AD664="","",VALUE(LEFT($AD664,FIND("|",$AD664)-1)))</f>
        <v/>
      </c>
      <c r="C664" s="180">
        <f>IF($AD664="","","    "&amp;MID($AD664,FIND("|",$AD664)+1,FIND("|",$AD664,FIND("|",$AD664)+1)-FIND("|",$AD664)-1))</f>
        <v/>
      </c>
      <c r="D664" s="180">
        <f>IF($AD664="","",MID($AD664,FIND("|",$AD664,FIND("|",$AD664)+1)+1,FIND("|",$AD664&amp;"|",FIND("|",$AD664,FIND("|",$AD664)+1)+1)-FIND("|",$AD664,FIND("|",$AD664)+1)-1))</f>
        <v/>
      </c>
      <c r="AD664">
        <f>TRIM(MID(SUBSTITUTE($BX$656,"~",REPT(" ",600)),4201,600))</f>
        <v/>
      </c>
    </row>
    <row r="665">
      <c r="B665" s="180">
        <f>IF($AD665="","",VALUE(LEFT($AD665,FIND("|",$AD665)-1)))</f>
        <v/>
      </c>
      <c r="C665" s="180">
        <f>IF($AD665="","","    "&amp;MID($AD665,FIND("|",$AD665)+1,FIND("|",$AD665,FIND("|",$AD665)+1)-FIND("|",$AD665)-1))</f>
        <v/>
      </c>
      <c r="D665" s="180">
        <f>IF($AD665="","",MID($AD665,FIND("|",$AD665,FIND("|",$AD665)+1)+1,FIND("|",$AD665&amp;"|",FIND("|",$AD665,FIND("|",$AD665)+1)+1)-FIND("|",$AD665,FIND("|",$AD665)+1)-1))</f>
        <v/>
      </c>
      <c r="AD665">
        <f>TRIM(MID(SUBSTITUTE($BX$656,"~",REPT(" ",600)),4801,600))</f>
        <v/>
      </c>
    </row>
    <row r="666">
      <c r="B666" s="180">
        <f>IF($AD666="","",VALUE(LEFT($AD666,FIND("|",$AD666)-1)))</f>
        <v/>
      </c>
      <c r="C666" s="180">
        <f>IF($AD666="","","    "&amp;MID($AD666,FIND("|",$AD666)+1,FIND("|",$AD666,FIND("|",$AD666)+1)-FIND("|",$AD666)-1))</f>
        <v/>
      </c>
      <c r="D666" s="180">
        <f>IF($AD666="","",MID($AD666,FIND("|",$AD666,FIND("|",$AD666)+1)+1,FIND("|",$AD666&amp;"|",FIND("|",$AD666,FIND("|",$AD666)+1)+1)-FIND("|",$AD666,FIND("|",$AD666)+1)-1))</f>
        <v/>
      </c>
      <c r="AD666">
        <f>TRIM(MID(SUBSTITUTE($BX$656,"~",REPT(" ",600)),5401,600))</f>
        <v/>
      </c>
    </row>
    <row r="667">
      <c r="B667" s="180">
        <f>IF($AD667="","",VALUE(LEFT($AD667,FIND("|",$AD667)-1)))</f>
        <v/>
      </c>
      <c r="C667" s="180">
        <f>IF($AD667="","","    "&amp;MID($AD667,FIND("|",$AD667)+1,FIND("|",$AD667,FIND("|",$AD667)+1)-FIND("|",$AD667)-1))</f>
        <v/>
      </c>
      <c r="D667" s="180">
        <f>IF($AD667="","",MID($AD667,FIND("|",$AD667,FIND("|",$AD667)+1)+1,FIND("|",$AD667&amp;"|",FIND("|",$AD667,FIND("|",$AD667)+1)+1)-FIND("|",$AD667,FIND("|",$AD667)+1)-1))</f>
        <v/>
      </c>
      <c r="AD667">
        <f>TRIM(MID(SUBSTITUTE($BX$656,"~",REPT(" ",600)),6001,600))</f>
        <v/>
      </c>
    </row>
    <row r="668">
      <c r="A668" s="178">
        <f>IF($AD$668=0,"",$BK$668)</f>
        <v/>
      </c>
      <c r="B668" s="178">
        <f>IF($AD$668=0,"",$AE$668)</f>
        <v/>
      </c>
      <c r="C668" s="178">
        <f>IF($AD$668=0,"",$AE$668&amp;") "&amp;IF(COUNTIFS(tk_SOFG,56,tk_HLEG,"&lt;&gt;"&amp;$BJ$668)=0,INDEX(tk_FLINE,$AD$668),INDEX(tk_FLINEN,$AD$668))&amp;IF($AJ$668="KD"," ( R.O. "&amp;TRIM(TEXT(N($AQ$668)+2.25,"# ?/??"))&amp;CHAR(34)&amp;" x "&amp;TRIM(TEXT(N($AR$668)+1,"# ?/??"))&amp;CHAR(34)&amp;" )",""))</f>
        <v/>
      </c>
      <c r="D668" s="178" t="n"/>
      <c r="E668" s="179">
        <f t="array" ref="E668">IF($AD$668=0,"",_xlfn.TEXTJOIN(", ",TRUE,IF(tk_SOFG=56,"#"&amp;tk_MARK&amp;IF(tk_HLEG="","","("&amp;tk_HLEG&amp;")")&amp;IF(tk_QTY&gt;1," ×"&amp;tk_QTY,""),"")))</f>
        <v/>
      </c>
      <c r="AD668">
        <f>IFERROR(MATCH(56,tk_SOFG,0),0)</f>
        <v/>
      </c>
      <c r="AE668">
        <f>IF($AD$668=0,0,SUMIF(tk_SOFG,56,tk_QTY))</f>
        <v/>
      </c>
      <c r="AF668">
        <f>IF($AD$668=0,"",INDEX(tk_JAMB,$AD$668))</f>
        <v/>
      </c>
      <c r="AG668">
        <f>IF($AD$668=0,"",INDEX(tk_ANCHOR,$AD$668))</f>
        <v/>
      </c>
      <c r="AH668">
        <f>IF($AD$668=0,"",INDEX(tk_ANCH,$AD$668))</f>
        <v/>
      </c>
      <c r="AI668">
        <f>IF($AD$668=0,"",INDEX(tk_BASEA,$AD$668))</f>
        <v/>
      </c>
      <c r="AJ668">
        <f>IF($AD$668=0,"",INDEX(tk_CONSTR,$AD$668))</f>
        <v/>
      </c>
      <c r="AK668">
        <f>IF($AD$668=0,"",INDEX(tk_CLOSER,$AD$668))</f>
        <v/>
      </c>
      <c r="AL668">
        <f>IF($AD$668=0,"",INDEX(tk_STRIKE,$AD$668))</f>
        <v/>
      </c>
      <c r="AM668">
        <f>IF($AD$668=0,"",INDEX(tk_HDRPREP,$AD$668))</f>
        <v/>
      </c>
      <c r="AN668">
        <f>IF($AD$668=0,"",INDEX(tk_DMIN,$AD$668))</f>
        <v/>
      </c>
      <c r="AO668">
        <f>IF($AD$668=0,"",INDEX(tk_PAIR,$AD$668))</f>
        <v/>
      </c>
      <c r="AP668">
        <f>IF($AD$668=0,"",INDEX(tk_FGA,$AD$668))</f>
        <v/>
      </c>
      <c r="AQ668">
        <f>IF($AD$668=0,"",INDEX(tk_WI,$AD$668))</f>
        <v/>
      </c>
      <c r="AR668">
        <f>IF($AD$668=0,"",INDEX(tk_HI,$AD$668))</f>
        <v/>
      </c>
      <c r="AS668">
        <f>IF($AD$668=0,"",INDEX(tk_FHINGE,$AD$668))</f>
        <v/>
      </c>
      <c r="AT668">
        <f>IF($AD$668=0,"",INDEX(tk_DHINGE,$AD$668))</f>
        <v/>
      </c>
      <c r="AU668">
        <f>IF($AD$668=0,"",INDEX(tk_HWLOC,$AD$668))</f>
        <v/>
      </c>
      <c r="AV668">
        <f>IF($AD$668=0,"",INDEX(tk_MANUF,$AD$668))</f>
        <v/>
      </c>
      <c r="AW668">
        <f>IF($AD$668=0,"",INDEX(tk_JH,$AD$668))</f>
        <v/>
      </c>
      <c r="AX668">
        <f>IF($AD$668=0,"",INDEX(tk_FDESC,$AD$668))</f>
        <v/>
      </c>
      <c r="AY668">
        <f>IF($AD$668=0,"",INDEX(tk_TRANS,$AD$668))</f>
        <v/>
      </c>
      <c r="AZ668">
        <f>IF($AD$668=0,"",INDEX(tk_SLW,$AD$668))</f>
        <v/>
      </c>
      <c r="BA668">
        <f>IF($AD$668=0,"",INDEX(tk_LEAVES,$AD$668))</f>
        <v/>
      </c>
      <c r="BB668">
        <f>IF($AD$668=0,"",INDEX(tk_LEAFW,$AD$668))</f>
        <v/>
      </c>
      <c r="BC668">
        <f>IF($AD$668=0,"",INDEX(tk_LEAFH,$AD$668))</f>
        <v/>
      </c>
      <c r="BD668">
        <f>IF($AD$668=0,"",INDEX(tk_DMAT,$AD$668))</f>
        <v/>
      </c>
      <c r="BE668">
        <f>IF($AD$668=0,"",INDEX(tk_DGA,$AD$668))</f>
        <v/>
      </c>
      <c r="BF668">
        <f>IF($AD$668=0,"",INDEX(tk_SERIES,$AD$668))</f>
        <v/>
      </c>
      <c r="BG668">
        <f>IF($AD$668=0,"",INDEX(tk_LOCK,$AD$668))</f>
        <v/>
      </c>
      <c r="BH668">
        <f>IF($AD$668=0,"",INDEX(tk_LITEKIT,$AD$668))</f>
        <v/>
      </c>
      <c r="BI668">
        <f>IF($AD$668=0,"",INDEX(tk_FACE,$AD$668))</f>
        <v/>
      </c>
      <c r="BJ668">
        <f>IF($AD$668=0,"",INDEX(tk_HLEG,$AD$668))</f>
        <v/>
      </c>
      <c r="BK668">
        <f>IF($AD$668=0,"",INDEX(tk_SOITEM,$AD$668))</f>
        <v/>
      </c>
      <c r="BL668">
        <f>IFERROR(VLOOKUP($AF$668,CODES,2,FALSE),"")</f>
        <v/>
      </c>
      <c r="BM668">
        <f>IF($AJ$668="KD","C","M")</f>
        <v/>
      </c>
      <c r="BN668">
        <f>IF(N($AR$668)&lt;=80,80,IF(N($AR$668)&lt;=84,84,IF(N($AR$668)&lt;=96,96,N($AR$668))))</f>
        <v/>
      </c>
      <c r="BO668">
        <f>INT($BN$668/12)&amp;MOD($BN$668,12)</f>
        <v/>
      </c>
      <c r="BP668">
        <f>INT(N($AQ$668)/12)&amp;MOD(N($AQ$668),12)</f>
        <v/>
      </c>
      <c r="BQ668">
        <f>IF(OR($AU$668="",$AU$668="ANSI/SDI",$AU$668="CUSTOM LOC"),IF($AV$668="CU","CURRIES","STEELCRAFT"),$AU$668)</f>
        <v/>
      </c>
      <c r="BR668">
        <f>$AO$668="Y"</f>
        <v/>
      </c>
      <c r="BS668">
        <f>"~"</f>
        <v/>
      </c>
      <c r="BT668">
        <f>N($AH$668)*N($AI$668)</f>
        <v/>
      </c>
      <c r="BU668">
        <f>IF(OR($AL$668="",$AL$668="-",$AL$668="E8"),"G18",$AL$668)</f>
        <v/>
      </c>
      <c r="BV668">
        <f>IF(OR($AS$668="",$AS$668="-"),"BLK",$AS$668)</f>
        <v/>
      </c>
      <c r="BW668">
        <f>" "&amp;$BM$668&amp;$AP$668&amp;" "</f>
        <v/>
      </c>
      <c r="BX668">
        <f>IF($AD$668=0,"",IF(OR($AG$668="SSA",$AG$668="SC"),$AE$668*$BT$668&amp;"|"&amp;$BL$668&amp;" STEEL STUD ANCHOR 2"&amp;CHAR(34)&amp;"||"&amp;$BS$668,"")&amp;IF($AG$668="WEWA-M",$AE$668*(N($AH$668)+1)*N($AI$668)&amp;"|FR101F 690 "&amp;$BL$668&amp;" MASONRY TUBE ANCHOR 16 GA||"&amp;$BS$668&amp;$AE$668*(N($AH$668)+1)*N($AI$668)&amp;"|3/8X5 SF3850 DYNO BOLTS||"&amp;$BS$668,"")&amp;IF($AG$668="WMA",$AE$668*$BT$668&amp;"|WIRE MASONRY ANCHOR||"&amp;$BS$668,"")&amp;IF($AG$668="T",$AE$668*$BT$668&amp;"|T-STRAP MASONRY ANCHOR||"&amp;$BS$668,"")&amp;IF($AG$668="WEWA-W",$AE$668*$BT$668&amp;"|P/D + WOOD SCREWS||"&amp;$BS$668,"")&amp;IF($AJ$668="WGS",$AE$668&amp;"|WELD &amp; GROUND SMOOTH||"&amp;$BS$668,"")&amp;IF(OR($AK$668="",$AK$668="-"),"",$AE$668*IF($BR$668,4,2)&amp;"|RACL/PACL-CLOSER REINF. 14GAx1-3/4x16 HRPO|"&amp;$AK$668&amp;IF($BR$668," BOTH SIDES","")&amp;"|"&amp;$BS$668)&amp;IF($AL$668="E8",$AE$668&amp;"|E8-STRIKE REINF. RIM EXIT||"&amp;$BS$668,"")&amp;IF(ISNUMBER(SEARCH("E4",$AL$668)),$AE$668&amp;"|FRAME DEADLOCK PREP||"&amp;$BS$668,"")&amp;IF($AL$668="E9",$AE$668&amp;"|ELECTRIC STRIKE PREP||"&amp;$BS$668,"")&amp;IF($AM$668="H5",$AE$668&amp;"|H5 STRIKE PREP IN HEADER||"&amp;$BS$668,IF(OR($AM$668="",$AM$668="-"),"",$AE$668&amp;"|HEADER PREP "&amp;$AM$668&amp;"||"&amp;$BS$668))&amp;IF(N($AN$668)&gt;0,$AE$668&amp;"|"&amp;$AN$668&amp;" MINUTE STEEL FRAME LABEL "&amp;IF(OR(N($AY$668)&gt;0,N($AZ$668)&gt;0),"W/TRANSOM PANEL/SIDELIGHT","CAT. C PP")&amp;"||"&amp;$BS$668,"")&amp;IF($AX$668="BL","",$AE$668&amp;"|HD "&amp;$AF$668&amp;$BW$668&amp;$BP$668&amp;" BSC||"&amp;$BS$668&amp;IF($BR$668,$AE$668&amp;"|HJ "&amp;$AF$668&amp;$BW$668&amp;"LH "&amp;$BO$668&amp;" "&amp;$BV$668&amp;" BSC "&amp;CHAR(34)&amp;$BQ$668&amp;CHAR(34)&amp;"||"&amp;$BS$668&amp;$AE$668&amp;"|HJ "&amp;$AF$668&amp;$BW$668&amp;"RH "&amp;$BO$668&amp;" "&amp;$BV$668&amp;" BSC "&amp;CHAR(34)&amp;$BQ$668&amp;CHAR(34)&amp;"||"&amp;$BS$668,$AE$668&amp;"|HJ "&amp;$AF$668&amp;$BW$668&amp;$AW$668&amp;" "&amp;$BO$668&amp;" "&amp;$BV$668&amp;" BSC "&amp;CHAR(34)&amp;$BQ$668&amp;CHAR(34)&amp;"||"&amp;$BS$668&amp;$AE$668&amp;"|SJ "&amp;$AF$668&amp;$BW$668&amp;$AW$668&amp;" "&amp;$BO$668&amp;" "&amp;$BU$668&amp;IF($BU$668="G18"," BLANK"," Y")&amp;" BSC "&amp;CHAR(34)&amp;$BQ$668&amp;CHAR(34)&amp;"||"&amp;$BS$668))&amp;IF(AND($BN$668&gt;N($AR$668),$AX$668&lt;&gt;"BL",N($AR$668)&gt;=60),$AE$668&amp;"|FRAME CUT DOWN (BOTTOM)|Cut "&amp;TRIM(TEXT($BN$668-N($AR$668),"# ?/??"))&amp;CHAR(34)&amp;" OFF THE BOTTOM|"&amp;$BS$668,""))</f>
        <v/>
      </c>
    </row>
    <row r="669">
      <c r="B669" s="180">
        <f>IF($AD669="","",VALUE(LEFT($AD669,FIND("|",$AD669)-1)))</f>
        <v/>
      </c>
      <c r="C669" s="180">
        <f>IF($AD669="","","    "&amp;MID($AD669,FIND("|",$AD669)+1,FIND("|",$AD669,FIND("|",$AD669)+1)-FIND("|",$AD669)-1))</f>
        <v/>
      </c>
      <c r="D669" s="180">
        <f>IF($AD669="","",MID($AD669,FIND("|",$AD669,FIND("|",$AD669)+1)+1,FIND("|",$AD669&amp;"|",FIND("|",$AD669,FIND("|",$AD669)+1)+1)-FIND("|",$AD669,FIND("|",$AD669)+1)-1))</f>
        <v/>
      </c>
      <c r="AD669">
        <f>TRIM(MID(SUBSTITUTE($BX$668,"~",REPT(" ",600)),1,600))</f>
        <v/>
      </c>
    </row>
    <row r="670">
      <c r="B670" s="180">
        <f>IF($AD670="","",VALUE(LEFT($AD670,FIND("|",$AD670)-1)))</f>
        <v/>
      </c>
      <c r="C670" s="180">
        <f>IF($AD670="","","    "&amp;MID($AD670,FIND("|",$AD670)+1,FIND("|",$AD670,FIND("|",$AD670)+1)-FIND("|",$AD670)-1))</f>
        <v/>
      </c>
      <c r="D670" s="180">
        <f>IF($AD670="","",MID($AD670,FIND("|",$AD670,FIND("|",$AD670)+1)+1,FIND("|",$AD670&amp;"|",FIND("|",$AD670,FIND("|",$AD670)+1)+1)-FIND("|",$AD670,FIND("|",$AD670)+1)-1))</f>
        <v/>
      </c>
      <c r="AD670">
        <f>TRIM(MID(SUBSTITUTE($BX$668,"~",REPT(" ",600)),601,600))</f>
        <v/>
      </c>
    </row>
    <row r="671">
      <c r="B671" s="180">
        <f>IF($AD671="","",VALUE(LEFT($AD671,FIND("|",$AD671)-1)))</f>
        <v/>
      </c>
      <c r="C671" s="180">
        <f>IF($AD671="","","    "&amp;MID($AD671,FIND("|",$AD671)+1,FIND("|",$AD671,FIND("|",$AD671)+1)-FIND("|",$AD671)-1))</f>
        <v/>
      </c>
      <c r="D671" s="180">
        <f>IF($AD671="","",MID($AD671,FIND("|",$AD671,FIND("|",$AD671)+1)+1,FIND("|",$AD671&amp;"|",FIND("|",$AD671,FIND("|",$AD671)+1)+1)-FIND("|",$AD671,FIND("|",$AD671)+1)-1))</f>
        <v/>
      </c>
      <c r="AD671">
        <f>TRIM(MID(SUBSTITUTE($BX$668,"~",REPT(" ",600)),1201,600))</f>
        <v/>
      </c>
    </row>
    <row r="672">
      <c r="B672" s="180">
        <f>IF($AD672="","",VALUE(LEFT($AD672,FIND("|",$AD672)-1)))</f>
        <v/>
      </c>
      <c r="C672" s="180">
        <f>IF($AD672="","","    "&amp;MID($AD672,FIND("|",$AD672)+1,FIND("|",$AD672,FIND("|",$AD672)+1)-FIND("|",$AD672)-1))</f>
        <v/>
      </c>
      <c r="D672" s="180">
        <f>IF($AD672="","",MID($AD672,FIND("|",$AD672,FIND("|",$AD672)+1)+1,FIND("|",$AD672&amp;"|",FIND("|",$AD672,FIND("|",$AD672)+1)+1)-FIND("|",$AD672,FIND("|",$AD672)+1)-1))</f>
        <v/>
      </c>
      <c r="AD672">
        <f>TRIM(MID(SUBSTITUTE($BX$668,"~",REPT(" ",600)),1801,600))</f>
        <v/>
      </c>
    </row>
    <row r="673">
      <c r="B673" s="180">
        <f>IF($AD673="","",VALUE(LEFT($AD673,FIND("|",$AD673)-1)))</f>
        <v/>
      </c>
      <c r="C673" s="180">
        <f>IF($AD673="","","    "&amp;MID($AD673,FIND("|",$AD673)+1,FIND("|",$AD673,FIND("|",$AD673)+1)-FIND("|",$AD673)-1))</f>
        <v/>
      </c>
      <c r="D673" s="180">
        <f>IF($AD673="","",MID($AD673,FIND("|",$AD673,FIND("|",$AD673)+1)+1,FIND("|",$AD673&amp;"|",FIND("|",$AD673,FIND("|",$AD673)+1)+1)-FIND("|",$AD673,FIND("|",$AD673)+1)-1))</f>
        <v/>
      </c>
      <c r="AD673">
        <f>TRIM(MID(SUBSTITUTE($BX$668,"~",REPT(" ",600)),2401,600))</f>
        <v/>
      </c>
    </row>
    <row r="674">
      <c r="B674" s="180">
        <f>IF($AD674="","",VALUE(LEFT($AD674,FIND("|",$AD674)-1)))</f>
        <v/>
      </c>
      <c r="C674" s="180">
        <f>IF($AD674="","","    "&amp;MID($AD674,FIND("|",$AD674)+1,FIND("|",$AD674,FIND("|",$AD674)+1)-FIND("|",$AD674)-1))</f>
        <v/>
      </c>
      <c r="D674" s="180">
        <f>IF($AD674="","",MID($AD674,FIND("|",$AD674,FIND("|",$AD674)+1)+1,FIND("|",$AD674&amp;"|",FIND("|",$AD674,FIND("|",$AD674)+1)+1)-FIND("|",$AD674,FIND("|",$AD674)+1)-1))</f>
        <v/>
      </c>
      <c r="AD674">
        <f>TRIM(MID(SUBSTITUTE($BX$668,"~",REPT(" ",600)),3001,600))</f>
        <v/>
      </c>
    </row>
    <row r="675">
      <c r="B675" s="180">
        <f>IF($AD675="","",VALUE(LEFT($AD675,FIND("|",$AD675)-1)))</f>
        <v/>
      </c>
      <c r="C675" s="180">
        <f>IF($AD675="","","    "&amp;MID($AD675,FIND("|",$AD675)+1,FIND("|",$AD675,FIND("|",$AD675)+1)-FIND("|",$AD675)-1))</f>
        <v/>
      </c>
      <c r="D675" s="180">
        <f>IF($AD675="","",MID($AD675,FIND("|",$AD675,FIND("|",$AD675)+1)+1,FIND("|",$AD675&amp;"|",FIND("|",$AD675,FIND("|",$AD675)+1)+1)-FIND("|",$AD675,FIND("|",$AD675)+1)-1))</f>
        <v/>
      </c>
      <c r="AD675">
        <f>TRIM(MID(SUBSTITUTE($BX$668,"~",REPT(" ",600)),3601,600))</f>
        <v/>
      </c>
    </row>
    <row r="676">
      <c r="B676" s="180">
        <f>IF($AD676="","",VALUE(LEFT($AD676,FIND("|",$AD676)-1)))</f>
        <v/>
      </c>
      <c r="C676" s="180">
        <f>IF($AD676="","","    "&amp;MID($AD676,FIND("|",$AD676)+1,FIND("|",$AD676,FIND("|",$AD676)+1)-FIND("|",$AD676)-1))</f>
        <v/>
      </c>
      <c r="D676" s="180">
        <f>IF($AD676="","",MID($AD676,FIND("|",$AD676,FIND("|",$AD676)+1)+1,FIND("|",$AD676&amp;"|",FIND("|",$AD676,FIND("|",$AD676)+1)+1)-FIND("|",$AD676,FIND("|",$AD676)+1)-1))</f>
        <v/>
      </c>
      <c r="AD676">
        <f>TRIM(MID(SUBSTITUTE($BX$668,"~",REPT(" ",600)),4201,600))</f>
        <v/>
      </c>
    </row>
    <row r="677">
      <c r="B677" s="180">
        <f>IF($AD677="","",VALUE(LEFT($AD677,FIND("|",$AD677)-1)))</f>
        <v/>
      </c>
      <c r="C677" s="180">
        <f>IF($AD677="","","    "&amp;MID($AD677,FIND("|",$AD677)+1,FIND("|",$AD677,FIND("|",$AD677)+1)-FIND("|",$AD677)-1))</f>
        <v/>
      </c>
      <c r="D677" s="180">
        <f>IF($AD677="","",MID($AD677,FIND("|",$AD677,FIND("|",$AD677)+1)+1,FIND("|",$AD677&amp;"|",FIND("|",$AD677,FIND("|",$AD677)+1)+1)-FIND("|",$AD677,FIND("|",$AD677)+1)-1))</f>
        <v/>
      </c>
      <c r="AD677">
        <f>TRIM(MID(SUBSTITUTE($BX$668,"~",REPT(" ",600)),4801,600))</f>
        <v/>
      </c>
    </row>
    <row r="678">
      <c r="B678" s="180">
        <f>IF($AD678="","",VALUE(LEFT($AD678,FIND("|",$AD678)-1)))</f>
        <v/>
      </c>
      <c r="C678" s="180">
        <f>IF($AD678="","","    "&amp;MID($AD678,FIND("|",$AD678)+1,FIND("|",$AD678,FIND("|",$AD678)+1)-FIND("|",$AD678)-1))</f>
        <v/>
      </c>
      <c r="D678" s="180">
        <f>IF($AD678="","",MID($AD678,FIND("|",$AD678,FIND("|",$AD678)+1)+1,FIND("|",$AD678&amp;"|",FIND("|",$AD678,FIND("|",$AD678)+1)+1)-FIND("|",$AD678,FIND("|",$AD678)+1)-1))</f>
        <v/>
      </c>
      <c r="AD678">
        <f>TRIM(MID(SUBSTITUTE($BX$668,"~",REPT(" ",600)),5401,600))</f>
        <v/>
      </c>
    </row>
    <row r="679">
      <c r="B679" s="180">
        <f>IF($AD679="","",VALUE(LEFT($AD679,FIND("|",$AD679)-1)))</f>
        <v/>
      </c>
      <c r="C679" s="180">
        <f>IF($AD679="","","    "&amp;MID($AD679,FIND("|",$AD679)+1,FIND("|",$AD679,FIND("|",$AD679)+1)-FIND("|",$AD679)-1))</f>
        <v/>
      </c>
      <c r="D679" s="180">
        <f>IF($AD679="","",MID($AD679,FIND("|",$AD679,FIND("|",$AD679)+1)+1,FIND("|",$AD679&amp;"|",FIND("|",$AD679,FIND("|",$AD679)+1)+1)-FIND("|",$AD679,FIND("|",$AD679)+1)-1))</f>
        <v/>
      </c>
      <c r="AD679">
        <f>TRIM(MID(SUBSTITUTE($BX$668,"~",REPT(" ",600)),6001,600))</f>
        <v/>
      </c>
    </row>
    <row r="680">
      <c r="A680" s="178">
        <f>IF($AD$680=0,"",$BK$680)</f>
        <v/>
      </c>
      <c r="B680" s="178">
        <f>IF($AD$680=0,"",$AE$680)</f>
        <v/>
      </c>
      <c r="C680" s="178">
        <f>IF($AD$680=0,"",$AE$680&amp;") "&amp;IF(COUNTIFS(tk_SOFG,57,tk_HLEG,"&lt;&gt;"&amp;$BJ$680)=0,INDEX(tk_FLINE,$AD$680),INDEX(tk_FLINEN,$AD$680))&amp;IF($AJ$680="KD"," ( R.O. "&amp;TRIM(TEXT(N($AQ$680)+2.25,"# ?/??"))&amp;CHAR(34)&amp;" x "&amp;TRIM(TEXT(N($AR$680)+1,"# ?/??"))&amp;CHAR(34)&amp;" )",""))</f>
        <v/>
      </c>
      <c r="D680" s="178" t="n"/>
      <c r="E680" s="179">
        <f t="array" ref="E680">IF($AD$680=0,"",_xlfn.TEXTJOIN(", ",TRUE,IF(tk_SOFG=57,"#"&amp;tk_MARK&amp;IF(tk_HLEG="","","("&amp;tk_HLEG&amp;")")&amp;IF(tk_QTY&gt;1," ×"&amp;tk_QTY,""),"")))</f>
        <v/>
      </c>
      <c r="AD680">
        <f>IFERROR(MATCH(57,tk_SOFG,0),0)</f>
        <v/>
      </c>
      <c r="AE680">
        <f>IF($AD$680=0,0,SUMIF(tk_SOFG,57,tk_QTY))</f>
        <v/>
      </c>
      <c r="AF680">
        <f>IF($AD$680=0,"",INDEX(tk_JAMB,$AD$680))</f>
        <v/>
      </c>
      <c r="AG680">
        <f>IF($AD$680=0,"",INDEX(tk_ANCHOR,$AD$680))</f>
        <v/>
      </c>
      <c r="AH680">
        <f>IF($AD$680=0,"",INDEX(tk_ANCH,$AD$680))</f>
        <v/>
      </c>
      <c r="AI680">
        <f>IF($AD$680=0,"",INDEX(tk_BASEA,$AD$680))</f>
        <v/>
      </c>
      <c r="AJ680">
        <f>IF($AD$680=0,"",INDEX(tk_CONSTR,$AD$680))</f>
        <v/>
      </c>
      <c r="AK680">
        <f>IF($AD$680=0,"",INDEX(tk_CLOSER,$AD$680))</f>
        <v/>
      </c>
      <c r="AL680">
        <f>IF($AD$680=0,"",INDEX(tk_STRIKE,$AD$680))</f>
        <v/>
      </c>
      <c r="AM680">
        <f>IF($AD$680=0,"",INDEX(tk_HDRPREP,$AD$680))</f>
        <v/>
      </c>
      <c r="AN680">
        <f>IF($AD$680=0,"",INDEX(tk_DMIN,$AD$680))</f>
        <v/>
      </c>
      <c r="AO680">
        <f>IF($AD$680=0,"",INDEX(tk_PAIR,$AD$680))</f>
        <v/>
      </c>
      <c r="AP680">
        <f>IF($AD$680=0,"",INDEX(tk_FGA,$AD$680))</f>
        <v/>
      </c>
      <c r="AQ680">
        <f>IF($AD$680=0,"",INDEX(tk_WI,$AD$680))</f>
        <v/>
      </c>
      <c r="AR680">
        <f>IF($AD$680=0,"",INDEX(tk_HI,$AD$680))</f>
        <v/>
      </c>
      <c r="AS680">
        <f>IF($AD$680=0,"",INDEX(tk_FHINGE,$AD$680))</f>
        <v/>
      </c>
      <c r="AT680">
        <f>IF($AD$680=0,"",INDEX(tk_DHINGE,$AD$680))</f>
        <v/>
      </c>
      <c r="AU680">
        <f>IF($AD$680=0,"",INDEX(tk_HWLOC,$AD$680))</f>
        <v/>
      </c>
      <c r="AV680">
        <f>IF($AD$680=0,"",INDEX(tk_MANUF,$AD$680))</f>
        <v/>
      </c>
      <c r="AW680">
        <f>IF($AD$680=0,"",INDEX(tk_JH,$AD$680))</f>
        <v/>
      </c>
      <c r="AX680">
        <f>IF($AD$680=0,"",INDEX(tk_FDESC,$AD$680))</f>
        <v/>
      </c>
      <c r="AY680">
        <f>IF($AD$680=0,"",INDEX(tk_TRANS,$AD$680))</f>
        <v/>
      </c>
      <c r="AZ680">
        <f>IF($AD$680=0,"",INDEX(tk_SLW,$AD$680))</f>
        <v/>
      </c>
      <c r="BA680">
        <f>IF($AD$680=0,"",INDEX(tk_LEAVES,$AD$680))</f>
        <v/>
      </c>
      <c r="BB680">
        <f>IF($AD$680=0,"",INDEX(tk_LEAFW,$AD$680))</f>
        <v/>
      </c>
      <c r="BC680">
        <f>IF($AD$680=0,"",INDEX(tk_LEAFH,$AD$680))</f>
        <v/>
      </c>
      <c r="BD680">
        <f>IF($AD$680=0,"",INDEX(tk_DMAT,$AD$680))</f>
        <v/>
      </c>
      <c r="BE680">
        <f>IF($AD$680=0,"",INDEX(tk_DGA,$AD$680))</f>
        <v/>
      </c>
      <c r="BF680">
        <f>IF($AD$680=0,"",INDEX(tk_SERIES,$AD$680))</f>
        <v/>
      </c>
      <c r="BG680">
        <f>IF($AD$680=0,"",INDEX(tk_LOCK,$AD$680))</f>
        <v/>
      </c>
      <c r="BH680">
        <f>IF($AD$680=0,"",INDEX(tk_LITEKIT,$AD$680))</f>
        <v/>
      </c>
      <c r="BI680">
        <f>IF($AD$680=0,"",INDEX(tk_FACE,$AD$680))</f>
        <v/>
      </c>
      <c r="BJ680">
        <f>IF($AD$680=0,"",INDEX(tk_HLEG,$AD$680))</f>
        <v/>
      </c>
      <c r="BK680">
        <f>IF($AD$680=0,"",INDEX(tk_SOITEM,$AD$680))</f>
        <v/>
      </c>
      <c r="BL680">
        <f>IFERROR(VLOOKUP($AF$680,CODES,2,FALSE),"")</f>
        <v/>
      </c>
      <c r="BM680">
        <f>IF($AJ$680="KD","C","M")</f>
        <v/>
      </c>
      <c r="BN680">
        <f>IF(N($AR$680)&lt;=80,80,IF(N($AR$680)&lt;=84,84,IF(N($AR$680)&lt;=96,96,N($AR$680))))</f>
        <v/>
      </c>
      <c r="BO680">
        <f>INT($BN$680/12)&amp;MOD($BN$680,12)</f>
        <v/>
      </c>
      <c r="BP680">
        <f>INT(N($AQ$680)/12)&amp;MOD(N($AQ$680),12)</f>
        <v/>
      </c>
      <c r="BQ680">
        <f>IF(OR($AU$680="",$AU$680="ANSI/SDI",$AU$680="CUSTOM LOC"),IF($AV$680="CU","CURRIES","STEELCRAFT"),$AU$680)</f>
        <v/>
      </c>
      <c r="BR680">
        <f>$AO$680="Y"</f>
        <v/>
      </c>
      <c r="BS680">
        <f>"~"</f>
        <v/>
      </c>
      <c r="BT680">
        <f>N($AH$680)*N($AI$680)</f>
        <v/>
      </c>
      <c r="BU680">
        <f>IF(OR($AL$680="",$AL$680="-",$AL$680="E8"),"G18",$AL$680)</f>
        <v/>
      </c>
      <c r="BV680">
        <f>IF(OR($AS$680="",$AS$680="-"),"BLK",$AS$680)</f>
        <v/>
      </c>
      <c r="BW680">
        <f>" "&amp;$BM$680&amp;$AP$680&amp;" "</f>
        <v/>
      </c>
      <c r="BX680">
        <f>IF($AD$680=0,"",IF(OR($AG$680="SSA",$AG$680="SC"),$AE$680*$BT$680&amp;"|"&amp;$BL$680&amp;" STEEL STUD ANCHOR 2"&amp;CHAR(34)&amp;"||"&amp;$BS$680,"")&amp;IF($AG$680="WEWA-M",$AE$680*(N($AH$680)+1)*N($AI$680)&amp;"|FR101F 690 "&amp;$BL$680&amp;" MASONRY TUBE ANCHOR 16 GA||"&amp;$BS$680&amp;$AE$680*(N($AH$680)+1)*N($AI$680)&amp;"|3/8X5 SF3850 DYNO BOLTS||"&amp;$BS$680,"")&amp;IF($AG$680="WMA",$AE$680*$BT$680&amp;"|WIRE MASONRY ANCHOR||"&amp;$BS$680,"")&amp;IF($AG$680="T",$AE$680*$BT$680&amp;"|T-STRAP MASONRY ANCHOR||"&amp;$BS$680,"")&amp;IF($AG$680="WEWA-W",$AE$680*$BT$680&amp;"|P/D + WOOD SCREWS||"&amp;$BS$680,"")&amp;IF($AJ$680="WGS",$AE$680&amp;"|WELD &amp; GROUND SMOOTH||"&amp;$BS$680,"")&amp;IF(OR($AK$680="",$AK$680="-"),"",$AE$680*IF($BR$680,4,2)&amp;"|RACL/PACL-CLOSER REINF. 14GAx1-3/4x16 HRPO|"&amp;$AK$680&amp;IF($BR$680," BOTH SIDES","")&amp;"|"&amp;$BS$680)&amp;IF($AL$680="E8",$AE$680&amp;"|E8-STRIKE REINF. RIM EXIT||"&amp;$BS$680,"")&amp;IF(ISNUMBER(SEARCH("E4",$AL$680)),$AE$680&amp;"|FRAME DEADLOCK PREP||"&amp;$BS$680,"")&amp;IF($AL$680="E9",$AE$680&amp;"|ELECTRIC STRIKE PREP||"&amp;$BS$680,"")&amp;IF($AM$680="H5",$AE$680&amp;"|H5 STRIKE PREP IN HEADER||"&amp;$BS$680,IF(OR($AM$680="",$AM$680="-"),"",$AE$680&amp;"|HEADER PREP "&amp;$AM$680&amp;"||"&amp;$BS$680))&amp;IF(N($AN$680)&gt;0,$AE$680&amp;"|"&amp;$AN$680&amp;" MINUTE STEEL FRAME LABEL "&amp;IF(OR(N($AY$680)&gt;0,N($AZ$680)&gt;0),"W/TRANSOM PANEL/SIDELIGHT","CAT. C PP")&amp;"||"&amp;$BS$680,"")&amp;IF($AX$680="BL","",$AE$680&amp;"|HD "&amp;$AF$680&amp;$BW$680&amp;$BP$680&amp;" BSC||"&amp;$BS$680&amp;IF($BR$680,$AE$680&amp;"|HJ "&amp;$AF$680&amp;$BW$680&amp;"LH "&amp;$BO$680&amp;" "&amp;$BV$680&amp;" BSC "&amp;CHAR(34)&amp;$BQ$680&amp;CHAR(34)&amp;"||"&amp;$BS$680&amp;$AE$680&amp;"|HJ "&amp;$AF$680&amp;$BW$680&amp;"RH "&amp;$BO$680&amp;" "&amp;$BV$680&amp;" BSC "&amp;CHAR(34)&amp;$BQ$680&amp;CHAR(34)&amp;"||"&amp;$BS$680,$AE$680&amp;"|HJ "&amp;$AF$680&amp;$BW$680&amp;$AW$680&amp;" "&amp;$BO$680&amp;" "&amp;$BV$680&amp;" BSC "&amp;CHAR(34)&amp;$BQ$680&amp;CHAR(34)&amp;"||"&amp;$BS$680&amp;$AE$680&amp;"|SJ "&amp;$AF$680&amp;$BW$680&amp;$AW$680&amp;" "&amp;$BO$680&amp;" "&amp;$BU$680&amp;IF($BU$680="G18"," BLANK"," Y")&amp;" BSC "&amp;CHAR(34)&amp;$BQ$680&amp;CHAR(34)&amp;"||"&amp;$BS$680))&amp;IF(AND($BN$680&gt;N($AR$680),$AX$680&lt;&gt;"BL",N($AR$680)&gt;=60),$AE$680&amp;"|FRAME CUT DOWN (BOTTOM)|Cut "&amp;TRIM(TEXT($BN$680-N($AR$680),"# ?/??"))&amp;CHAR(34)&amp;" OFF THE BOTTOM|"&amp;$BS$680,""))</f>
        <v/>
      </c>
    </row>
    <row r="681">
      <c r="B681" s="180">
        <f>IF($AD681="","",VALUE(LEFT($AD681,FIND("|",$AD681)-1)))</f>
        <v/>
      </c>
      <c r="C681" s="180">
        <f>IF($AD681="","","    "&amp;MID($AD681,FIND("|",$AD681)+1,FIND("|",$AD681,FIND("|",$AD681)+1)-FIND("|",$AD681)-1))</f>
        <v/>
      </c>
      <c r="D681" s="180">
        <f>IF($AD681="","",MID($AD681,FIND("|",$AD681,FIND("|",$AD681)+1)+1,FIND("|",$AD681&amp;"|",FIND("|",$AD681,FIND("|",$AD681)+1)+1)-FIND("|",$AD681,FIND("|",$AD681)+1)-1))</f>
        <v/>
      </c>
      <c r="AD681">
        <f>TRIM(MID(SUBSTITUTE($BX$680,"~",REPT(" ",600)),1,600))</f>
        <v/>
      </c>
    </row>
    <row r="682">
      <c r="B682" s="180">
        <f>IF($AD682="","",VALUE(LEFT($AD682,FIND("|",$AD682)-1)))</f>
        <v/>
      </c>
      <c r="C682" s="180">
        <f>IF($AD682="","","    "&amp;MID($AD682,FIND("|",$AD682)+1,FIND("|",$AD682,FIND("|",$AD682)+1)-FIND("|",$AD682)-1))</f>
        <v/>
      </c>
      <c r="D682" s="180">
        <f>IF($AD682="","",MID($AD682,FIND("|",$AD682,FIND("|",$AD682)+1)+1,FIND("|",$AD682&amp;"|",FIND("|",$AD682,FIND("|",$AD682)+1)+1)-FIND("|",$AD682,FIND("|",$AD682)+1)-1))</f>
        <v/>
      </c>
      <c r="AD682">
        <f>TRIM(MID(SUBSTITUTE($BX$680,"~",REPT(" ",600)),601,600))</f>
        <v/>
      </c>
    </row>
    <row r="683">
      <c r="B683" s="180">
        <f>IF($AD683="","",VALUE(LEFT($AD683,FIND("|",$AD683)-1)))</f>
        <v/>
      </c>
      <c r="C683" s="180">
        <f>IF($AD683="","","    "&amp;MID($AD683,FIND("|",$AD683)+1,FIND("|",$AD683,FIND("|",$AD683)+1)-FIND("|",$AD683)-1))</f>
        <v/>
      </c>
      <c r="D683" s="180">
        <f>IF($AD683="","",MID($AD683,FIND("|",$AD683,FIND("|",$AD683)+1)+1,FIND("|",$AD683&amp;"|",FIND("|",$AD683,FIND("|",$AD683)+1)+1)-FIND("|",$AD683,FIND("|",$AD683)+1)-1))</f>
        <v/>
      </c>
      <c r="AD683">
        <f>TRIM(MID(SUBSTITUTE($BX$680,"~",REPT(" ",600)),1201,600))</f>
        <v/>
      </c>
    </row>
    <row r="684">
      <c r="B684" s="180">
        <f>IF($AD684="","",VALUE(LEFT($AD684,FIND("|",$AD684)-1)))</f>
        <v/>
      </c>
      <c r="C684" s="180">
        <f>IF($AD684="","","    "&amp;MID($AD684,FIND("|",$AD684)+1,FIND("|",$AD684,FIND("|",$AD684)+1)-FIND("|",$AD684)-1))</f>
        <v/>
      </c>
      <c r="D684" s="180">
        <f>IF($AD684="","",MID($AD684,FIND("|",$AD684,FIND("|",$AD684)+1)+1,FIND("|",$AD684&amp;"|",FIND("|",$AD684,FIND("|",$AD684)+1)+1)-FIND("|",$AD684,FIND("|",$AD684)+1)-1))</f>
        <v/>
      </c>
      <c r="AD684">
        <f>TRIM(MID(SUBSTITUTE($BX$680,"~",REPT(" ",600)),1801,600))</f>
        <v/>
      </c>
    </row>
    <row r="685">
      <c r="B685" s="180">
        <f>IF($AD685="","",VALUE(LEFT($AD685,FIND("|",$AD685)-1)))</f>
        <v/>
      </c>
      <c r="C685" s="180">
        <f>IF($AD685="","","    "&amp;MID($AD685,FIND("|",$AD685)+1,FIND("|",$AD685,FIND("|",$AD685)+1)-FIND("|",$AD685)-1))</f>
        <v/>
      </c>
      <c r="D685" s="180">
        <f>IF($AD685="","",MID($AD685,FIND("|",$AD685,FIND("|",$AD685)+1)+1,FIND("|",$AD685&amp;"|",FIND("|",$AD685,FIND("|",$AD685)+1)+1)-FIND("|",$AD685,FIND("|",$AD685)+1)-1))</f>
        <v/>
      </c>
      <c r="AD685">
        <f>TRIM(MID(SUBSTITUTE($BX$680,"~",REPT(" ",600)),2401,600))</f>
        <v/>
      </c>
    </row>
    <row r="686">
      <c r="B686" s="180">
        <f>IF($AD686="","",VALUE(LEFT($AD686,FIND("|",$AD686)-1)))</f>
        <v/>
      </c>
      <c r="C686" s="180">
        <f>IF($AD686="","","    "&amp;MID($AD686,FIND("|",$AD686)+1,FIND("|",$AD686,FIND("|",$AD686)+1)-FIND("|",$AD686)-1))</f>
        <v/>
      </c>
      <c r="D686" s="180">
        <f>IF($AD686="","",MID($AD686,FIND("|",$AD686,FIND("|",$AD686)+1)+1,FIND("|",$AD686&amp;"|",FIND("|",$AD686,FIND("|",$AD686)+1)+1)-FIND("|",$AD686,FIND("|",$AD686)+1)-1))</f>
        <v/>
      </c>
      <c r="AD686">
        <f>TRIM(MID(SUBSTITUTE($BX$680,"~",REPT(" ",600)),3001,600))</f>
        <v/>
      </c>
    </row>
    <row r="687">
      <c r="B687" s="180">
        <f>IF($AD687="","",VALUE(LEFT($AD687,FIND("|",$AD687)-1)))</f>
        <v/>
      </c>
      <c r="C687" s="180">
        <f>IF($AD687="","","    "&amp;MID($AD687,FIND("|",$AD687)+1,FIND("|",$AD687,FIND("|",$AD687)+1)-FIND("|",$AD687)-1))</f>
        <v/>
      </c>
      <c r="D687" s="180">
        <f>IF($AD687="","",MID($AD687,FIND("|",$AD687,FIND("|",$AD687)+1)+1,FIND("|",$AD687&amp;"|",FIND("|",$AD687,FIND("|",$AD687)+1)+1)-FIND("|",$AD687,FIND("|",$AD687)+1)-1))</f>
        <v/>
      </c>
      <c r="AD687">
        <f>TRIM(MID(SUBSTITUTE($BX$680,"~",REPT(" ",600)),3601,600))</f>
        <v/>
      </c>
    </row>
    <row r="688">
      <c r="B688" s="180">
        <f>IF($AD688="","",VALUE(LEFT($AD688,FIND("|",$AD688)-1)))</f>
        <v/>
      </c>
      <c r="C688" s="180">
        <f>IF($AD688="","","    "&amp;MID($AD688,FIND("|",$AD688)+1,FIND("|",$AD688,FIND("|",$AD688)+1)-FIND("|",$AD688)-1))</f>
        <v/>
      </c>
      <c r="D688" s="180">
        <f>IF($AD688="","",MID($AD688,FIND("|",$AD688,FIND("|",$AD688)+1)+1,FIND("|",$AD688&amp;"|",FIND("|",$AD688,FIND("|",$AD688)+1)+1)-FIND("|",$AD688,FIND("|",$AD688)+1)-1))</f>
        <v/>
      </c>
      <c r="AD688">
        <f>TRIM(MID(SUBSTITUTE($BX$680,"~",REPT(" ",600)),4201,600))</f>
        <v/>
      </c>
    </row>
    <row r="689">
      <c r="B689" s="180">
        <f>IF($AD689="","",VALUE(LEFT($AD689,FIND("|",$AD689)-1)))</f>
        <v/>
      </c>
      <c r="C689" s="180">
        <f>IF($AD689="","","    "&amp;MID($AD689,FIND("|",$AD689)+1,FIND("|",$AD689,FIND("|",$AD689)+1)-FIND("|",$AD689)-1))</f>
        <v/>
      </c>
      <c r="D689" s="180">
        <f>IF($AD689="","",MID($AD689,FIND("|",$AD689,FIND("|",$AD689)+1)+1,FIND("|",$AD689&amp;"|",FIND("|",$AD689,FIND("|",$AD689)+1)+1)-FIND("|",$AD689,FIND("|",$AD689)+1)-1))</f>
        <v/>
      </c>
      <c r="AD689">
        <f>TRIM(MID(SUBSTITUTE($BX$680,"~",REPT(" ",600)),4801,600))</f>
        <v/>
      </c>
    </row>
    <row r="690">
      <c r="B690" s="180">
        <f>IF($AD690="","",VALUE(LEFT($AD690,FIND("|",$AD690)-1)))</f>
        <v/>
      </c>
      <c r="C690" s="180">
        <f>IF($AD690="","","    "&amp;MID($AD690,FIND("|",$AD690)+1,FIND("|",$AD690,FIND("|",$AD690)+1)-FIND("|",$AD690)-1))</f>
        <v/>
      </c>
      <c r="D690" s="180">
        <f>IF($AD690="","",MID($AD690,FIND("|",$AD690,FIND("|",$AD690)+1)+1,FIND("|",$AD690&amp;"|",FIND("|",$AD690,FIND("|",$AD690)+1)+1)-FIND("|",$AD690,FIND("|",$AD690)+1)-1))</f>
        <v/>
      </c>
      <c r="AD690">
        <f>TRIM(MID(SUBSTITUTE($BX$680,"~",REPT(" ",600)),5401,600))</f>
        <v/>
      </c>
    </row>
    <row r="691">
      <c r="B691" s="180">
        <f>IF($AD691="","",VALUE(LEFT($AD691,FIND("|",$AD691)-1)))</f>
        <v/>
      </c>
      <c r="C691" s="180">
        <f>IF($AD691="","","    "&amp;MID($AD691,FIND("|",$AD691)+1,FIND("|",$AD691,FIND("|",$AD691)+1)-FIND("|",$AD691)-1))</f>
        <v/>
      </c>
      <c r="D691" s="180">
        <f>IF($AD691="","",MID($AD691,FIND("|",$AD691,FIND("|",$AD691)+1)+1,FIND("|",$AD691&amp;"|",FIND("|",$AD691,FIND("|",$AD691)+1)+1)-FIND("|",$AD691,FIND("|",$AD691)+1)-1))</f>
        <v/>
      </c>
      <c r="AD691">
        <f>TRIM(MID(SUBSTITUTE($BX$680,"~",REPT(" ",600)),6001,600))</f>
        <v/>
      </c>
    </row>
    <row r="692">
      <c r="A692" s="178">
        <f>IF($AD$692=0,"",$BK$692)</f>
        <v/>
      </c>
      <c r="B692" s="178">
        <f>IF($AD$692=0,"",$AE$692)</f>
        <v/>
      </c>
      <c r="C692" s="178">
        <f>IF($AD$692=0,"",$AE$692&amp;") "&amp;IF(COUNTIFS(tk_SOFG,58,tk_HLEG,"&lt;&gt;"&amp;$BJ$692)=0,INDEX(tk_FLINE,$AD$692),INDEX(tk_FLINEN,$AD$692))&amp;IF($AJ$692="KD"," ( R.O. "&amp;TRIM(TEXT(N($AQ$692)+2.25,"# ?/??"))&amp;CHAR(34)&amp;" x "&amp;TRIM(TEXT(N($AR$692)+1,"# ?/??"))&amp;CHAR(34)&amp;" )",""))</f>
        <v/>
      </c>
      <c r="D692" s="178" t="n"/>
      <c r="E692" s="179">
        <f t="array" ref="E692">IF($AD$692=0,"",_xlfn.TEXTJOIN(", ",TRUE,IF(tk_SOFG=58,"#"&amp;tk_MARK&amp;IF(tk_HLEG="","","("&amp;tk_HLEG&amp;")")&amp;IF(tk_QTY&gt;1," ×"&amp;tk_QTY,""),"")))</f>
        <v/>
      </c>
      <c r="AD692">
        <f>IFERROR(MATCH(58,tk_SOFG,0),0)</f>
        <v/>
      </c>
      <c r="AE692">
        <f>IF($AD$692=0,0,SUMIF(tk_SOFG,58,tk_QTY))</f>
        <v/>
      </c>
      <c r="AF692">
        <f>IF($AD$692=0,"",INDEX(tk_JAMB,$AD$692))</f>
        <v/>
      </c>
      <c r="AG692">
        <f>IF($AD$692=0,"",INDEX(tk_ANCHOR,$AD$692))</f>
        <v/>
      </c>
      <c r="AH692">
        <f>IF($AD$692=0,"",INDEX(tk_ANCH,$AD$692))</f>
        <v/>
      </c>
      <c r="AI692">
        <f>IF($AD$692=0,"",INDEX(tk_BASEA,$AD$692))</f>
        <v/>
      </c>
      <c r="AJ692">
        <f>IF($AD$692=0,"",INDEX(tk_CONSTR,$AD$692))</f>
        <v/>
      </c>
      <c r="AK692">
        <f>IF($AD$692=0,"",INDEX(tk_CLOSER,$AD$692))</f>
        <v/>
      </c>
      <c r="AL692">
        <f>IF($AD$692=0,"",INDEX(tk_STRIKE,$AD$692))</f>
        <v/>
      </c>
      <c r="AM692">
        <f>IF($AD$692=0,"",INDEX(tk_HDRPREP,$AD$692))</f>
        <v/>
      </c>
      <c r="AN692">
        <f>IF($AD$692=0,"",INDEX(tk_DMIN,$AD$692))</f>
        <v/>
      </c>
      <c r="AO692">
        <f>IF($AD$692=0,"",INDEX(tk_PAIR,$AD$692))</f>
        <v/>
      </c>
      <c r="AP692">
        <f>IF($AD$692=0,"",INDEX(tk_FGA,$AD$692))</f>
        <v/>
      </c>
      <c r="AQ692">
        <f>IF($AD$692=0,"",INDEX(tk_WI,$AD$692))</f>
        <v/>
      </c>
      <c r="AR692">
        <f>IF($AD$692=0,"",INDEX(tk_HI,$AD$692))</f>
        <v/>
      </c>
      <c r="AS692">
        <f>IF($AD$692=0,"",INDEX(tk_FHINGE,$AD$692))</f>
        <v/>
      </c>
      <c r="AT692">
        <f>IF($AD$692=0,"",INDEX(tk_DHINGE,$AD$692))</f>
        <v/>
      </c>
      <c r="AU692">
        <f>IF($AD$692=0,"",INDEX(tk_HWLOC,$AD$692))</f>
        <v/>
      </c>
      <c r="AV692">
        <f>IF($AD$692=0,"",INDEX(tk_MANUF,$AD$692))</f>
        <v/>
      </c>
      <c r="AW692">
        <f>IF($AD$692=0,"",INDEX(tk_JH,$AD$692))</f>
        <v/>
      </c>
      <c r="AX692">
        <f>IF($AD$692=0,"",INDEX(tk_FDESC,$AD$692))</f>
        <v/>
      </c>
      <c r="AY692">
        <f>IF($AD$692=0,"",INDEX(tk_TRANS,$AD$692))</f>
        <v/>
      </c>
      <c r="AZ692">
        <f>IF($AD$692=0,"",INDEX(tk_SLW,$AD$692))</f>
        <v/>
      </c>
      <c r="BA692">
        <f>IF($AD$692=0,"",INDEX(tk_LEAVES,$AD$692))</f>
        <v/>
      </c>
      <c r="BB692">
        <f>IF($AD$692=0,"",INDEX(tk_LEAFW,$AD$692))</f>
        <v/>
      </c>
      <c r="BC692">
        <f>IF($AD$692=0,"",INDEX(tk_LEAFH,$AD$692))</f>
        <v/>
      </c>
      <c r="BD692">
        <f>IF($AD$692=0,"",INDEX(tk_DMAT,$AD$692))</f>
        <v/>
      </c>
      <c r="BE692">
        <f>IF($AD$692=0,"",INDEX(tk_DGA,$AD$692))</f>
        <v/>
      </c>
      <c r="BF692">
        <f>IF($AD$692=0,"",INDEX(tk_SERIES,$AD$692))</f>
        <v/>
      </c>
      <c r="BG692">
        <f>IF($AD$692=0,"",INDEX(tk_LOCK,$AD$692))</f>
        <v/>
      </c>
      <c r="BH692">
        <f>IF($AD$692=0,"",INDEX(tk_LITEKIT,$AD$692))</f>
        <v/>
      </c>
      <c r="BI692">
        <f>IF($AD$692=0,"",INDEX(tk_FACE,$AD$692))</f>
        <v/>
      </c>
      <c r="BJ692">
        <f>IF($AD$692=0,"",INDEX(tk_HLEG,$AD$692))</f>
        <v/>
      </c>
      <c r="BK692">
        <f>IF($AD$692=0,"",INDEX(tk_SOITEM,$AD$692))</f>
        <v/>
      </c>
      <c r="BL692">
        <f>IFERROR(VLOOKUP($AF$692,CODES,2,FALSE),"")</f>
        <v/>
      </c>
      <c r="BM692">
        <f>IF($AJ$692="KD","C","M")</f>
        <v/>
      </c>
      <c r="BN692">
        <f>IF(N($AR$692)&lt;=80,80,IF(N($AR$692)&lt;=84,84,IF(N($AR$692)&lt;=96,96,N($AR$692))))</f>
        <v/>
      </c>
      <c r="BO692">
        <f>INT($BN$692/12)&amp;MOD($BN$692,12)</f>
        <v/>
      </c>
      <c r="BP692">
        <f>INT(N($AQ$692)/12)&amp;MOD(N($AQ$692),12)</f>
        <v/>
      </c>
      <c r="BQ692">
        <f>IF(OR($AU$692="",$AU$692="ANSI/SDI",$AU$692="CUSTOM LOC"),IF($AV$692="CU","CURRIES","STEELCRAFT"),$AU$692)</f>
        <v/>
      </c>
      <c r="BR692">
        <f>$AO$692="Y"</f>
        <v/>
      </c>
      <c r="BS692">
        <f>"~"</f>
        <v/>
      </c>
      <c r="BT692">
        <f>N($AH$692)*N($AI$692)</f>
        <v/>
      </c>
      <c r="BU692">
        <f>IF(OR($AL$692="",$AL$692="-",$AL$692="E8"),"G18",$AL$692)</f>
        <v/>
      </c>
      <c r="BV692">
        <f>IF(OR($AS$692="",$AS$692="-"),"BLK",$AS$692)</f>
        <v/>
      </c>
      <c r="BW692">
        <f>" "&amp;$BM$692&amp;$AP$692&amp;" "</f>
        <v/>
      </c>
      <c r="BX692">
        <f>IF($AD$692=0,"",IF(OR($AG$692="SSA",$AG$692="SC"),$AE$692*$BT$692&amp;"|"&amp;$BL$692&amp;" STEEL STUD ANCHOR 2"&amp;CHAR(34)&amp;"||"&amp;$BS$692,"")&amp;IF($AG$692="WEWA-M",$AE$692*(N($AH$692)+1)*N($AI$692)&amp;"|FR101F 690 "&amp;$BL$692&amp;" MASONRY TUBE ANCHOR 16 GA||"&amp;$BS$692&amp;$AE$692*(N($AH$692)+1)*N($AI$692)&amp;"|3/8X5 SF3850 DYNO BOLTS||"&amp;$BS$692,"")&amp;IF($AG$692="WMA",$AE$692*$BT$692&amp;"|WIRE MASONRY ANCHOR||"&amp;$BS$692,"")&amp;IF($AG$692="T",$AE$692*$BT$692&amp;"|T-STRAP MASONRY ANCHOR||"&amp;$BS$692,"")&amp;IF($AG$692="WEWA-W",$AE$692*$BT$692&amp;"|P/D + WOOD SCREWS||"&amp;$BS$692,"")&amp;IF($AJ$692="WGS",$AE$692&amp;"|WELD &amp; GROUND SMOOTH||"&amp;$BS$692,"")&amp;IF(OR($AK$692="",$AK$692="-"),"",$AE$692*IF($BR$692,4,2)&amp;"|RACL/PACL-CLOSER REINF. 14GAx1-3/4x16 HRPO|"&amp;$AK$692&amp;IF($BR$692," BOTH SIDES","")&amp;"|"&amp;$BS$692)&amp;IF($AL$692="E8",$AE$692&amp;"|E8-STRIKE REINF. RIM EXIT||"&amp;$BS$692,"")&amp;IF(ISNUMBER(SEARCH("E4",$AL$692)),$AE$692&amp;"|FRAME DEADLOCK PREP||"&amp;$BS$692,"")&amp;IF($AL$692="E9",$AE$692&amp;"|ELECTRIC STRIKE PREP||"&amp;$BS$692,"")&amp;IF($AM$692="H5",$AE$692&amp;"|H5 STRIKE PREP IN HEADER||"&amp;$BS$692,IF(OR($AM$692="",$AM$692="-"),"",$AE$692&amp;"|HEADER PREP "&amp;$AM$692&amp;"||"&amp;$BS$692))&amp;IF(N($AN$692)&gt;0,$AE$692&amp;"|"&amp;$AN$692&amp;" MINUTE STEEL FRAME LABEL "&amp;IF(OR(N($AY$692)&gt;0,N($AZ$692)&gt;0),"W/TRANSOM PANEL/SIDELIGHT","CAT. C PP")&amp;"||"&amp;$BS$692,"")&amp;IF($AX$692="BL","",$AE$692&amp;"|HD "&amp;$AF$692&amp;$BW$692&amp;$BP$692&amp;" BSC||"&amp;$BS$692&amp;IF($BR$692,$AE$692&amp;"|HJ "&amp;$AF$692&amp;$BW$692&amp;"LH "&amp;$BO$692&amp;" "&amp;$BV$692&amp;" BSC "&amp;CHAR(34)&amp;$BQ$692&amp;CHAR(34)&amp;"||"&amp;$BS$692&amp;$AE$692&amp;"|HJ "&amp;$AF$692&amp;$BW$692&amp;"RH "&amp;$BO$692&amp;" "&amp;$BV$692&amp;" BSC "&amp;CHAR(34)&amp;$BQ$692&amp;CHAR(34)&amp;"||"&amp;$BS$692,$AE$692&amp;"|HJ "&amp;$AF$692&amp;$BW$692&amp;$AW$692&amp;" "&amp;$BO$692&amp;" "&amp;$BV$692&amp;" BSC "&amp;CHAR(34)&amp;$BQ$692&amp;CHAR(34)&amp;"||"&amp;$BS$692&amp;$AE$692&amp;"|SJ "&amp;$AF$692&amp;$BW$692&amp;$AW$692&amp;" "&amp;$BO$692&amp;" "&amp;$BU$692&amp;IF($BU$692="G18"," BLANK"," Y")&amp;" BSC "&amp;CHAR(34)&amp;$BQ$692&amp;CHAR(34)&amp;"||"&amp;$BS$692))&amp;IF(AND($BN$692&gt;N($AR$692),$AX$692&lt;&gt;"BL",N($AR$692)&gt;=60),$AE$692&amp;"|FRAME CUT DOWN (BOTTOM)|Cut "&amp;TRIM(TEXT($BN$692-N($AR$692),"# ?/??"))&amp;CHAR(34)&amp;" OFF THE BOTTOM|"&amp;$BS$692,""))</f>
        <v/>
      </c>
    </row>
    <row r="693">
      <c r="B693" s="180">
        <f>IF($AD693="","",VALUE(LEFT($AD693,FIND("|",$AD693)-1)))</f>
        <v/>
      </c>
      <c r="C693" s="180">
        <f>IF($AD693="","","    "&amp;MID($AD693,FIND("|",$AD693)+1,FIND("|",$AD693,FIND("|",$AD693)+1)-FIND("|",$AD693)-1))</f>
        <v/>
      </c>
      <c r="D693" s="180">
        <f>IF($AD693="","",MID($AD693,FIND("|",$AD693,FIND("|",$AD693)+1)+1,FIND("|",$AD693&amp;"|",FIND("|",$AD693,FIND("|",$AD693)+1)+1)-FIND("|",$AD693,FIND("|",$AD693)+1)-1))</f>
        <v/>
      </c>
      <c r="AD693">
        <f>TRIM(MID(SUBSTITUTE($BX$692,"~",REPT(" ",600)),1,600))</f>
        <v/>
      </c>
    </row>
    <row r="694">
      <c r="B694" s="180">
        <f>IF($AD694="","",VALUE(LEFT($AD694,FIND("|",$AD694)-1)))</f>
        <v/>
      </c>
      <c r="C694" s="180">
        <f>IF($AD694="","","    "&amp;MID($AD694,FIND("|",$AD694)+1,FIND("|",$AD694,FIND("|",$AD694)+1)-FIND("|",$AD694)-1))</f>
        <v/>
      </c>
      <c r="D694" s="180">
        <f>IF($AD694="","",MID($AD694,FIND("|",$AD694,FIND("|",$AD694)+1)+1,FIND("|",$AD694&amp;"|",FIND("|",$AD694,FIND("|",$AD694)+1)+1)-FIND("|",$AD694,FIND("|",$AD694)+1)-1))</f>
        <v/>
      </c>
      <c r="AD694">
        <f>TRIM(MID(SUBSTITUTE($BX$692,"~",REPT(" ",600)),601,600))</f>
        <v/>
      </c>
    </row>
    <row r="695">
      <c r="B695" s="180">
        <f>IF($AD695="","",VALUE(LEFT($AD695,FIND("|",$AD695)-1)))</f>
        <v/>
      </c>
      <c r="C695" s="180">
        <f>IF($AD695="","","    "&amp;MID($AD695,FIND("|",$AD695)+1,FIND("|",$AD695,FIND("|",$AD695)+1)-FIND("|",$AD695)-1))</f>
        <v/>
      </c>
      <c r="D695" s="180">
        <f>IF($AD695="","",MID($AD695,FIND("|",$AD695,FIND("|",$AD695)+1)+1,FIND("|",$AD695&amp;"|",FIND("|",$AD695,FIND("|",$AD695)+1)+1)-FIND("|",$AD695,FIND("|",$AD695)+1)-1))</f>
        <v/>
      </c>
      <c r="AD695">
        <f>TRIM(MID(SUBSTITUTE($BX$692,"~",REPT(" ",600)),1201,600))</f>
        <v/>
      </c>
    </row>
    <row r="696">
      <c r="B696" s="180">
        <f>IF($AD696="","",VALUE(LEFT($AD696,FIND("|",$AD696)-1)))</f>
        <v/>
      </c>
      <c r="C696" s="180">
        <f>IF($AD696="","","    "&amp;MID($AD696,FIND("|",$AD696)+1,FIND("|",$AD696,FIND("|",$AD696)+1)-FIND("|",$AD696)-1))</f>
        <v/>
      </c>
      <c r="D696" s="180">
        <f>IF($AD696="","",MID($AD696,FIND("|",$AD696,FIND("|",$AD696)+1)+1,FIND("|",$AD696&amp;"|",FIND("|",$AD696,FIND("|",$AD696)+1)+1)-FIND("|",$AD696,FIND("|",$AD696)+1)-1))</f>
        <v/>
      </c>
      <c r="AD696">
        <f>TRIM(MID(SUBSTITUTE($BX$692,"~",REPT(" ",600)),1801,600))</f>
        <v/>
      </c>
    </row>
    <row r="697">
      <c r="B697" s="180">
        <f>IF($AD697="","",VALUE(LEFT($AD697,FIND("|",$AD697)-1)))</f>
        <v/>
      </c>
      <c r="C697" s="180">
        <f>IF($AD697="","","    "&amp;MID($AD697,FIND("|",$AD697)+1,FIND("|",$AD697,FIND("|",$AD697)+1)-FIND("|",$AD697)-1))</f>
        <v/>
      </c>
      <c r="D697" s="180">
        <f>IF($AD697="","",MID($AD697,FIND("|",$AD697,FIND("|",$AD697)+1)+1,FIND("|",$AD697&amp;"|",FIND("|",$AD697,FIND("|",$AD697)+1)+1)-FIND("|",$AD697,FIND("|",$AD697)+1)-1))</f>
        <v/>
      </c>
      <c r="AD697">
        <f>TRIM(MID(SUBSTITUTE($BX$692,"~",REPT(" ",600)),2401,600))</f>
        <v/>
      </c>
    </row>
    <row r="698">
      <c r="B698" s="180">
        <f>IF($AD698="","",VALUE(LEFT($AD698,FIND("|",$AD698)-1)))</f>
        <v/>
      </c>
      <c r="C698" s="180">
        <f>IF($AD698="","","    "&amp;MID($AD698,FIND("|",$AD698)+1,FIND("|",$AD698,FIND("|",$AD698)+1)-FIND("|",$AD698)-1))</f>
        <v/>
      </c>
      <c r="D698" s="180">
        <f>IF($AD698="","",MID($AD698,FIND("|",$AD698,FIND("|",$AD698)+1)+1,FIND("|",$AD698&amp;"|",FIND("|",$AD698,FIND("|",$AD698)+1)+1)-FIND("|",$AD698,FIND("|",$AD698)+1)-1))</f>
        <v/>
      </c>
      <c r="AD698">
        <f>TRIM(MID(SUBSTITUTE($BX$692,"~",REPT(" ",600)),3001,600))</f>
        <v/>
      </c>
    </row>
    <row r="699">
      <c r="B699" s="180">
        <f>IF($AD699="","",VALUE(LEFT($AD699,FIND("|",$AD699)-1)))</f>
        <v/>
      </c>
      <c r="C699" s="180">
        <f>IF($AD699="","","    "&amp;MID($AD699,FIND("|",$AD699)+1,FIND("|",$AD699,FIND("|",$AD699)+1)-FIND("|",$AD699)-1))</f>
        <v/>
      </c>
      <c r="D699" s="180">
        <f>IF($AD699="","",MID($AD699,FIND("|",$AD699,FIND("|",$AD699)+1)+1,FIND("|",$AD699&amp;"|",FIND("|",$AD699,FIND("|",$AD699)+1)+1)-FIND("|",$AD699,FIND("|",$AD699)+1)-1))</f>
        <v/>
      </c>
      <c r="AD699">
        <f>TRIM(MID(SUBSTITUTE($BX$692,"~",REPT(" ",600)),3601,600))</f>
        <v/>
      </c>
    </row>
    <row r="700">
      <c r="B700" s="180">
        <f>IF($AD700="","",VALUE(LEFT($AD700,FIND("|",$AD700)-1)))</f>
        <v/>
      </c>
      <c r="C700" s="180">
        <f>IF($AD700="","","    "&amp;MID($AD700,FIND("|",$AD700)+1,FIND("|",$AD700,FIND("|",$AD700)+1)-FIND("|",$AD700)-1))</f>
        <v/>
      </c>
      <c r="D700" s="180">
        <f>IF($AD700="","",MID($AD700,FIND("|",$AD700,FIND("|",$AD700)+1)+1,FIND("|",$AD700&amp;"|",FIND("|",$AD700,FIND("|",$AD700)+1)+1)-FIND("|",$AD700,FIND("|",$AD700)+1)-1))</f>
        <v/>
      </c>
      <c r="AD700">
        <f>TRIM(MID(SUBSTITUTE($BX$692,"~",REPT(" ",600)),4201,600))</f>
        <v/>
      </c>
    </row>
    <row r="701">
      <c r="B701" s="180">
        <f>IF($AD701="","",VALUE(LEFT($AD701,FIND("|",$AD701)-1)))</f>
        <v/>
      </c>
      <c r="C701" s="180">
        <f>IF($AD701="","","    "&amp;MID($AD701,FIND("|",$AD701)+1,FIND("|",$AD701,FIND("|",$AD701)+1)-FIND("|",$AD701)-1))</f>
        <v/>
      </c>
      <c r="D701" s="180">
        <f>IF($AD701="","",MID($AD701,FIND("|",$AD701,FIND("|",$AD701)+1)+1,FIND("|",$AD701&amp;"|",FIND("|",$AD701,FIND("|",$AD701)+1)+1)-FIND("|",$AD701,FIND("|",$AD701)+1)-1))</f>
        <v/>
      </c>
      <c r="AD701">
        <f>TRIM(MID(SUBSTITUTE($BX$692,"~",REPT(" ",600)),4801,600))</f>
        <v/>
      </c>
    </row>
    <row r="702">
      <c r="B702" s="180">
        <f>IF($AD702="","",VALUE(LEFT($AD702,FIND("|",$AD702)-1)))</f>
        <v/>
      </c>
      <c r="C702" s="180">
        <f>IF($AD702="","","    "&amp;MID($AD702,FIND("|",$AD702)+1,FIND("|",$AD702,FIND("|",$AD702)+1)-FIND("|",$AD702)-1))</f>
        <v/>
      </c>
      <c r="D702" s="180">
        <f>IF($AD702="","",MID($AD702,FIND("|",$AD702,FIND("|",$AD702)+1)+1,FIND("|",$AD702&amp;"|",FIND("|",$AD702,FIND("|",$AD702)+1)+1)-FIND("|",$AD702,FIND("|",$AD702)+1)-1))</f>
        <v/>
      </c>
      <c r="AD702">
        <f>TRIM(MID(SUBSTITUTE($BX$692,"~",REPT(" ",600)),5401,600))</f>
        <v/>
      </c>
    </row>
    <row r="703">
      <c r="B703" s="180">
        <f>IF($AD703="","",VALUE(LEFT($AD703,FIND("|",$AD703)-1)))</f>
        <v/>
      </c>
      <c r="C703" s="180">
        <f>IF($AD703="","","    "&amp;MID($AD703,FIND("|",$AD703)+1,FIND("|",$AD703,FIND("|",$AD703)+1)-FIND("|",$AD703)-1))</f>
        <v/>
      </c>
      <c r="D703" s="180">
        <f>IF($AD703="","",MID($AD703,FIND("|",$AD703,FIND("|",$AD703)+1)+1,FIND("|",$AD703&amp;"|",FIND("|",$AD703,FIND("|",$AD703)+1)+1)-FIND("|",$AD703,FIND("|",$AD703)+1)-1))</f>
        <v/>
      </c>
      <c r="AD703">
        <f>TRIM(MID(SUBSTITUTE($BX$692,"~",REPT(" ",600)),6001,600))</f>
        <v/>
      </c>
    </row>
    <row r="704">
      <c r="A704" s="178">
        <f>IF($AD$704=0,"",$BK$704)</f>
        <v/>
      </c>
      <c r="B704" s="178">
        <f>IF($AD$704=0,"",$AE$704)</f>
        <v/>
      </c>
      <c r="C704" s="178">
        <f>IF($AD$704=0,"",$AE$704&amp;") "&amp;IF(COUNTIFS(tk_SOFG,59,tk_HLEG,"&lt;&gt;"&amp;$BJ$704)=0,INDEX(tk_FLINE,$AD$704),INDEX(tk_FLINEN,$AD$704))&amp;IF($AJ$704="KD"," ( R.O. "&amp;TRIM(TEXT(N($AQ$704)+2.25,"# ?/??"))&amp;CHAR(34)&amp;" x "&amp;TRIM(TEXT(N($AR$704)+1,"# ?/??"))&amp;CHAR(34)&amp;" )",""))</f>
        <v/>
      </c>
      <c r="D704" s="178" t="n"/>
      <c r="E704" s="179">
        <f t="array" ref="E704">IF($AD$704=0,"",_xlfn.TEXTJOIN(", ",TRUE,IF(tk_SOFG=59,"#"&amp;tk_MARK&amp;IF(tk_HLEG="","","("&amp;tk_HLEG&amp;")")&amp;IF(tk_QTY&gt;1," ×"&amp;tk_QTY,""),"")))</f>
        <v/>
      </c>
      <c r="AD704">
        <f>IFERROR(MATCH(59,tk_SOFG,0),0)</f>
        <v/>
      </c>
      <c r="AE704">
        <f>IF($AD$704=0,0,SUMIF(tk_SOFG,59,tk_QTY))</f>
        <v/>
      </c>
      <c r="AF704">
        <f>IF($AD$704=0,"",INDEX(tk_JAMB,$AD$704))</f>
        <v/>
      </c>
      <c r="AG704">
        <f>IF($AD$704=0,"",INDEX(tk_ANCHOR,$AD$704))</f>
        <v/>
      </c>
      <c r="AH704">
        <f>IF($AD$704=0,"",INDEX(tk_ANCH,$AD$704))</f>
        <v/>
      </c>
      <c r="AI704">
        <f>IF($AD$704=0,"",INDEX(tk_BASEA,$AD$704))</f>
        <v/>
      </c>
      <c r="AJ704">
        <f>IF($AD$704=0,"",INDEX(tk_CONSTR,$AD$704))</f>
        <v/>
      </c>
      <c r="AK704">
        <f>IF($AD$704=0,"",INDEX(tk_CLOSER,$AD$704))</f>
        <v/>
      </c>
      <c r="AL704">
        <f>IF($AD$704=0,"",INDEX(tk_STRIKE,$AD$704))</f>
        <v/>
      </c>
      <c r="AM704">
        <f>IF($AD$704=0,"",INDEX(tk_HDRPREP,$AD$704))</f>
        <v/>
      </c>
      <c r="AN704">
        <f>IF($AD$704=0,"",INDEX(tk_DMIN,$AD$704))</f>
        <v/>
      </c>
      <c r="AO704">
        <f>IF($AD$704=0,"",INDEX(tk_PAIR,$AD$704))</f>
        <v/>
      </c>
      <c r="AP704">
        <f>IF($AD$704=0,"",INDEX(tk_FGA,$AD$704))</f>
        <v/>
      </c>
      <c r="AQ704">
        <f>IF($AD$704=0,"",INDEX(tk_WI,$AD$704))</f>
        <v/>
      </c>
      <c r="AR704">
        <f>IF($AD$704=0,"",INDEX(tk_HI,$AD$704))</f>
        <v/>
      </c>
      <c r="AS704">
        <f>IF($AD$704=0,"",INDEX(tk_FHINGE,$AD$704))</f>
        <v/>
      </c>
      <c r="AT704">
        <f>IF($AD$704=0,"",INDEX(tk_DHINGE,$AD$704))</f>
        <v/>
      </c>
      <c r="AU704">
        <f>IF($AD$704=0,"",INDEX(tk_HWLOC,$AD$704))</f>
        <v/>
      </c>
      <c r="AV704">
        <f>IF($AD$704=0,"",INDEX(tk_MANUF,$AD$704))</f>
        <v/>
      </c>
      <c r="AW704">
        <f>IF($AD$704=0,"",INDEX(tk_JH,$AD$704))</f>
        <v/>
      </c>
      <c r="AX704">
        <f>IF($AD$704=0,"",INDEX(tk_FDESC,$AD$704))</f>
        <v/>
      </c>
      <c r="AY704">
        <f>IF($AD$704=0,"",INDEX(tk_TRANS,$AD$704))</f>
        <v/>
      </c>
      <c r="AZ704">
        <f>IF($AD$704=0,"",INDEX(tk_SLW,$AD$704))</f>
        <v/>
      </c>
      <c r="BA704">
        <f>IF($AD$704=0,"",INDEX(tk_LEAVES,$AD$704))</f>
        <v/>
      </c>
      <c r="BB704">
        <f>IF($AD$704=0,"",INDEX(tk_LEAFW,$AD$704))</f>
        <v/>
      </c>
      <c r="BC704">
        <f>IF($AD$704=0,"",INDEX(tk_LEAFH,$AD$704))</f>
        <v/>
      </c>
      <c r="BD704">
        <f>IF($AD$704=0,"",INDEX(tk_DMAT,$AD$704))</f>
        <v/>
      </c>
      <c r="BE704">
        <f>IF($AD$704=0,"",INDEX(tk_DGA,$AD$704))</f>
        <v/>
      </c>
      <c r="BF704">
        <f>IF($AD$704=0,"",INDEX(tk_SERIES,$AD$704))</f>
        <v/>
      </c>
      <c r="BG704">
        <f>IF($AD$704=0,"",INDEX(tk_LOCK,$AD$704))</f>
        <v/>
      </c>
      <c r="BH704">
        <f>IF($AD$704=0,"",INDEX(tk_LITEKIT,$AD$704))</f>
        <v/>
      </c>
      <c r="BI704">
        <f>IF($AD$704=0,"",INDEX(tk_FACE,$AD$704))</f>
        <v/>
      </c>
      <c r="BJ704">
        <f>IF($AD$704=0,"",INDEX(tk_HLEG,$AD$704))</f>
        <v/>
      </c>
      <c r="BK704">
        <f>IF($AD$704=0,"",INDEX(tk_SOITEM,$AD$704))</f>
        <v/>
      </c>
      <c r="BL704">
        <f>IFERROR(VLOOKUP($AF$704,CODES,2,FALSE),"")</f>
        <v/>
      </c>
      <c r="BM704">
        <f>IF($AJ$704="KD","C","M")</f>
        <v/>
      </c>
      <c r="BN704">
        <f>IF(N($AR$704)&lt;=80,80,IF(N($AR$704)&lt;=84,84,IF(N($AR$704)&lt;=96,96,N($AR$704))))</f>
        <v/>
      </c>
      <c r="BO704">
        <f>INT($BN$704/12)&amp;MOD($BN$704,12)</f>
        <v/>
      </c>
      <c r="BP704">
        <f>INT(N($AQ$704)/12)&amp;MOD(N($AQ$704),12)</f>
        <v/>
      </c>
      <c r="BQ704">
        <f>IF(OR($AU$704="",$AU$704="ANSI/SDI",$AU$704="CUSTOM LOC"),IF($AV$704="CU","CURRIES","STEELCRAFT"),$AU$704)</f>
        <v/>
      </c>
      <c r="BR704">
        <f>$AO$704="Y"</f>
        <v/>
      </c>
      <c r="BS704">
        <f>"~"</f>
        <v/>
      </c>
      <c r="BT704">
        <f>N($AH$704)*N($AI$704)</f>
        <v/>
      </c>
      <c r="BU704">
        <f>IF(OR($AL$704="",$AL$704="-",$AL$704="E8"),"G18",$AL$704)</f>
        <v/>
      </c>
      <c r="BV704">
        <f>IF(OR($AS$704="",$AS$704="-"),"BLK",$AS$704)</f>
        <v/>
      </c>
      <c r="BW704">
        <f>" "&amp;$BM$704&amp;$AP$704&amp;" "</f>
        <v/>
      </c>
      <c r="BX704">
        <f>IF($AD$704=0,"",IF(OR($AG$704="SSA",$AG$704="SC"),$AE$704*$BT$704&amp;"|"&amp;$BL$704&amp;" STEEL STUD ANCHOR 2"&amp;CHAR(34)&amp;"||"&amp;$BS$704,"")&amp;IF($AG$704="WEWA-M",$AE$704*(N($AH$704)+1)*N($AI$704)&amp;"|FR101F 690 "&amp;$BL$704&amp;" MASONRY TUBE ANCHOR 16 GA||"&amp;$BS$704&amp;$AE$704*(N($AH$704)+1)*N($AI$704)&amp;"|3/8X5 SF3850 DYNO BOLTS||"&amp;$BS$704,"")&amp;IF($AG$704="WMA",$AE$704*$BT$704&amp;"|WIRE MASONRY ANCHOR||"&amp;$BS$704,"")&amp;IF($AG$704="T",$AE$704*$BT$704&amp;"|T-STRAP MASONRY ANCHOR||"&amp;$BS$704,"")&amp;IF($AG$704="WEWA-W",$AE$704*$BT$704&amp;"|P/D + WOOD SCREWS||"&amp;$BS$704,"")&amp;IF($AJ$704="WGS",$AE$704&amp;"|WELD &amp; GROUND SMOOTH||"&amp;$BS$704,"")&amp;IF(OR($AK$704="",$AK$704="-"),"",$AE$704*IF($BR$704,4,2)&amp;"|RACL/PACL-CLOSER REINF. 14GAx1-3/4x16 HRPO|"&amp;$AK$704&amp;IF($BR$704," BOTH SIDES","")&amp;"|"&amp;$BS$704)&amp;IF($AL$704="E8",$AE$704&amp;"|E8-STRIKE REINF. RIM EXIT||"&amp;$BS$704,"")&amp;IF(ISNUMBER(SEARCH("E4",$AL$704)),$AE$704&amp;"|FRAME DEADLOCK PREP||"&amp;$BS$704,"")&amp;IF($AL$704="E9",$AE$704&amp;"|ELECTRIC STRIKE PREP||"&amp;$BS$704,"")&amp;IF($AM$704="H5",$AE$704&amp;"|H5 STRIKE PREP IN HEADER||"&amp;$BS$704,IF(OR($AM$704="",$AM$704="-"),"",$AE$704&amp;"|HEADER PREP "&amp;$AM$704&amp;"||"&amp;$BS$704))&amp;IF(N($AN$704)&gt;0,$AE$704&amp;"|"&amp;$AN$704&amp;" MINUTE STEEL FRAME LABEL "&amp;IF(OR(N($AY$704)&gt;0,N($AZ$704)&gt;0),"W/TRANSOM PANEL/SIDELIGHT","CAT. C PP")&amp;"||"&amp;$BS$704,"")&amp;IF($AX$704="BL","",$AE$704&amp;"|HD "&amp;$AF$704&amp;$BW$704&amp;$BP$704&amp;" BSC||"&amp;$BS$704&amp;IF($BR$704,$AE$704&amp;"|HJ "&amp;$AF$704&amp;$BW$704&amp;"LH "&amp;$BO$704&amp;" "&amp;$BV$704&amp;" BSC "&amp;CHAR(34)&amp;$BQ$704&amp;CHAR(34)&amp;"||"&amp;$BS$704&amp;$AE$704&amp;"|HJ "&amp;$AF$704&amp;$BW$704&amp;"RH "&amp;$BO$704&amp;" "&amp;$BV$704&amp;" BSC "&amp;CHAR(34)&amp;$BQ$704&amp;CHAR(34)&amp;"||"&amp;$BS$704,$AE$704&amp;"|HJ "&amp;$AF$704&amp;$BW$704&amp;$AW$704&amp;" "&amp;$BO$704&amp;" "&amp;$BV$704&amp;" BSC "&amp;CHAR(34)&amp;$BQ$704&amp;CHAR(34)&amp;"||"&amp;$BS$704&amp;$AE$704&amp;"|SJ "&amp;$AF$704&amp;$BW$704&amp;$AW$704&amp;" "&amp;$BO$704&amp;" "&amp;$BU$704&amp;IF($BU$704="G18"," BLANK"," Y")&amp;" BSC "&amp;CHAR(34)&amp;$BQ$704&amp;CHAR(34)&amp;"||"&amp;$BS$704))&amp;IF(AND($BN$704&gt;N($AR$704),$AX$704&lt;&gt;"BL",N($AR$704)&gt;=60),$AE$704&amp;"|FRAME CUT DOWN (BOTTOM)|Cut "&amp;TRIM(TEXT($BN$704-N($AR$704),"# ?/??"))&amp;CHAR(34)&amp;" OFF THE BOTTOM|"&amp;$BS$704,""))</f>
        <v/>
      </c>
    </row>
    <row r="705">
      <c r="B705" s="180">
        <f>IF($AD705="","",VALUE(LEFT($AD705,FIND("|",$AD705)-1)))</f>
        <v/>
      </c>
      <c r="C705" s="180">
        <f>IF($AD705="","","    "&amp;MID($AD705,FIND("|",$AD705)+1,FIND("|",$AD705,FIND("|",$AD705)+1)-FIND("|",$AD705)-1))</f>
        <v/>
      </c>
      <c r="D705" s="180">
        <f>IF($AD705="","",MID($AD705,FIND("|",$AD705,FIND("|",$AD705)+1)+1,FIND("|",$AD705&amp;"|",FIND("|",$AD705,FIND("|",$AD705)+1)+1)-FIND("|",$AD705,FIND("|",$AD705)+1)-1))</f>
        <v/>
      </c>
      <c r="AD705">
        <f>TRIM(MID(SUBSTITUTE($BX$704,"~",REPT(" ",600)),1,600))</f>
        <v/>
      </c>
    </row>
    <row r="706">
      <c r="B706" s="180">
        <f>IF($AD706="","",VALUE(LEFT($AD706,FIND("|",$AD706)-1)))</f>
        <v/>
      </c>
      <c r="C706" s="180">
        <f>IF($AD706="","","    "&amp;MID($AD706,FIND("|",$AD706)+1,FIND("|",$AD706,FIND("|",$AD706)+1)-FIND("|",$AD706)-1))</f>
        <v/>
      </c>
      <c r="D706" s="180">
        <f>IF($AD706="","",MID($AD706,FIND("|",$AD706,FIND("|",$AD706)+1)+1,FIND("|",$AD706&amp;"|",FIND("|",$AD706,FIND("|",$AD706)+1)+1)-FIND("|",$AD706,FIND("|",$AD706)+1)-1))</f>
        <v/>
      </c>
      <c r="AD706">
        <f>TRIM(MID(SUBSTITUTE($BX$704,"~",REPT(" ",600)),601,600))</f>
        <v/>
      </c>
    </row>
    <row r="707">
      <c r="B707" s="180">
        <f>IF($AD707="","",VALUE(LEFT($AD707,FIND("|",$AD707)-1)))</f>
        <v/>
      </c>
      <c r="C707" s="180">
        <f>IF($AD707="","","    "&amp;MID($AD707,FIND("|",$AD707)+1,FIND("|",$AD707,FIND("|",$AD707)+1)-FIND("|",$AD707)-1))</f>
        <v/>
      </c>
      <c r="D707" s="180">
        <f>IF($AD707="","",MID($AD707,FIND("|",$AD707,FIND("|",$AD707)+1)+1,FIND("|",$AD707&amp;"|",FIND("|",$AD707,FIND("|",$AD707)+1)+1)-FIND("|",$AD707,FIND("|",$AD707)+1)-1))</f>
        <v/>
      </c>
      <c r="AD707">
        <f>TRIM(MID(SUBSTITUTE($BX$704,"~",REPT(" ",600)),1201,600))</f>
        <v/>
      </c>
    </row>
    <row r="708">
      <c r="B708" s="180">
        <f>IF($AD708="","",VALUE(LEFT($AD708,FIND("|",$AD708)-1)))</f>
        <v/>
      </c>
      <c r="C708" s="180">
        <f>IF($AD708="","","    "&amp;MID($AD708,FIND("|",$AD708)+1,FIND("|",$AD708,FIND("|",$AD708)+1)-FIND("|",$AD708)-1))</f>
        <v/>
      </c>
      <c r="D708" s="180">
        <f>IF($AD708="","",MID($AD708,FIND("|",$AD708,FIND("|",$AD708)+1)+1,FIND("|",$AD708&amp;"|",FIND("|",$AD708,FIND("|",$AD708)+1)+1)-FIND("|",$AD708,FIND("|",$AD708)+1)-1))</f>
        <v/>
      </c>
      <c r="AD708">
        <f>TRIM(MID(SUBSTITUTE($BX$704,"~",REPT(" ",600)),1801,600))</f>
        <v/>
      </c>
    </row>
    <row r="709">
      <c r="B709" s="180">
        <f>IF($AD709="","",VALUE(LEFT($AD709,FIND("|",$AD709)-1)))</f>
        <v/>
      </c>
      <c r="C709" s="180">
        <f>IF($AD709="","","    "&amp;MID($AD709,FIND("|",$AD709)+1,FIND("|",$AD709,FIND("|",$AD709)+1)-FIND("|",$AD709)-1))</f>
        <v/>
      </c>
      <c r="D709" s="180">
        <f>IF($AD709="","",MID($AD709,FIND("|",$AD709,FIND("|",$AD709)+1)+1,FIND("|",$AD709&amp;"|",FIND("|",$AD709,FIND("|",$AD709)+1)+1)-FIND("|",$AD709,FIND("|",$AD709)+1)-1))</f>
        <v/>
      </c>
      <c r="AD709">
        <f>TRIM(MID(SUBSTITUTE($BX$704,"~",REPT(" ",600)),2401,600))</f>
        <v/>
      </c>
    </row>
    <row r="710">
      <c r="B710" s="180">
        <f>IF($AD710="","",VALUE(LEFT($AD710,FIND("|",$AD710)-1)))</f>
        <v/>
      </c>
      <c r="C710" s="180">
        <f>IF($AD710="","","    "&amp;MID($AD710,FIND("|",$AD710)+1,FIND("|",$AD710,FIND("|",$AD710)+1)-FIND("|",$AD710)-1))</f>
        <v/>
      </c>
      <c r="D710" s="180">
        <f>IF($AD710="","",MID($AD710,FIND("|",$AD710,FIND("|",$AD710)+1)+1,FIND("|",$AD710&amp;"|",FIND("|",$AD710,FIND("|",$AD710)+1)+1)-FIND("|",$AD710,FIND("|",$AD710)+1)-1))</f>
        <v/>
      </c>
      <c r="AD710">
        <f>TRIM(MID(SUBSTITUTE($BX$704,"~",REPT(" ",600)),3001,600))</f>
        <v/>
      </c>
    </row>
    <row r="711">
      <c r="B711" s="180">
        <f>IF($AD711="","",VALUE(LEFT($AD711,FIND("|",$AD711)-1)))</f>
        <v/>
      </c>
      <c r="C711" s="180">
        <f>IF($AD711="","","    "&amp;MID($AD711,FIND("|",$AD711)+1,FIND("|",$AD711,FIND("|",$AD711)+1)-FIND("|",$AD711)-1))</f>
        <v/>
      </c>
      <c r="D711" s="180">
        <f>IF($AD711="","",MID($AD711,FIND("|",$AD711,FIND("|",$AD711)+1)+1,FIND("|",$AD711&amp;"|",FIND("|",$AD711,FIND("|",$AD711)+1)+1)-FIND("|",$AD711,FIND("|",$AD711)+1)-1))</f>
        <v/>
      </c>
      <c r="AD711">
        <f>TRIM(MID(SUBSTITUTE($BX$704,"~",REPT(" ",600)),3601,600))</f>
        <v/>
      </c>
    </row>
    <row r="712">
      <c r="B712" s="180">
        <f>IF($AD712="","",VALUE(LEFT($AD712,FIND("|",$AD712)-1)))</f>
        <v/>
      </c>
      <c r="C712" s="180">
        <f>IF($AD712="","","    "&amp;MID($AD712,FIND("|",$AD712)+1,FIND("|",$AD712,FIND("|",$AD712)+1)-FIND("|",$AD712)-1))</f>
        <v/>
      </c>
      <c r="D712" s="180">
        <f>IF($AD712="","",MID($AD712,FIND("|",$AD712,FIND("|",$AD712)+1)+1,FIND("|",$AD712&amp;"|",FIND("|",$AD712,FIND("|",$AD712)+1)+1)-FIND("|",$AD712,FIND("|",$AD712)+1)-1))</f>
        <v/>
      </c>
      <c r="AD712">
        <f>TRIM(MID(SUBSTITUTE($BX$704,"~",REPT(" ",600)),4201,600))</f>
        <v/>
      </c>
    </row>
    <row r="713">
      <c r="B713" s="180">
        <f>IF($AD713="","",VALUE(LEFT($AD713,FIND("|",$AD713)-1)))</f>
        <v/>
      </c>
      <c r="C713" s="180">
        <f>IF($AD713="","","    "&amp;MID($AD713,FIND("|",$AD713)+1,FIND("|",$AD713,FIND("|",$AD713)+1)-FIND("|",$AD713)-1))</f>
        <v/>
      </c>
      <c r="D713" s="180">
        <f>IF($AD713="","",MID($AD713,FIND("|",$AD713,FIND("|",$AD713)+1)+1,FIND("|",$AD713&amp;"|",FIND("|",$AD713,FIND("|",$AD713)+1)+1)-FIND("|",$AD713,FIND("|",$AD713)+1)-1))</f>
        <v/>
      </c>
      <c r="AD713">
        <f>TRIM(MID(SUBSTITUTE($BX$704,"~",REPT(" ",600)),4801,600))</f>
        <v/>
      </c>
    </row>
    <row r="714">
      <c r="B714" s="180">
        <f>IF($AD714="","",VALUE(LEFT($AD714,FIND("|",$AD714)-1)))</f>
        <v/>
      </c>
      <c r="C714" s="180">
        <f>IF($AD714="","","    "&amp;MID($AD714,FIND("|",$AD714)+1,FIND("|",$AD714,FIND("|",$AD714)+1)-FIND("|",$AD714)-1))</f>
        <v/>
      </c>
      <c r="D714" s="180">
        <f>IF($AD714="","",MID($AD714,FIND("|",$AD714,FIND("|",$AD714)+1)+1,FIND("|",$AD714&amp;"|",FIND("|",$AD714,FIND("|",$AD714)+1)+1)-FIND("|",$AD714,FIND("|",$AD714)+1)-1))</f>
        <v/>
      </c>
      <c r="AD714">
        <f>TRIM(MID(SUBSTITUTE($BX$704,"~",REPT(" ",600)),5401,600))</f>
        <v/>
      </c>
    </row>
    <row r="715">
      <c r="B715" s="180">
        <f>IF($AD715="","",VALUE(LEFT($AD715,FIND("|",$AD715)-1)))</f>
        <v/>
      </c>
      <c r="C715" s="180">
        <f>IF($AD715="","","    "&amp;MID($AD715,FIND("|",$AD715)+1,FIND("|",$AD715,FIND("|",$AD715)+1)-FIND("|",$AD715)-1))</f>
        <v/>
      </c>
      <c r="D715" s="180">
        <f>IF($AD715="","",MID($AD715,FIND("|",$AD715,FIND("|",$AD715)+1)+1,FIND("|",$AD715&amp;"|",FIND("|",$AD715,FIND("|",$AD715)+1)+1)-FIND("|",$AD715,FIND("|",$AD715)+1)-1))</f>
        <v/>
      </c>
      <c r="AD715">
        <f>TRIM(MID(SUBSTITUTE($BX$704,"~",REPT(" ",600)),6001,600))</f>
        <v/>
      </c>
    </row>
    <row r="716">
      <c r="A716" s="178">
        <f>IF($AD$716=0,"",$BK$716)</f>
        <v/>
      </c>
      <c r="B716" s="178">
        <f>IF($AD$716=0,"",$AE$716)</f>
        <v/>
      </c>
      <c r="C716" s="178">
        <f>IF($AD$716=0,"",$AE$716&amp;") "&amp;IF(COUNTIFS(tk_SOFG,60,tk_HLEG,"&lt;&gt;"&amp;$BJ$716)=0,INDEX(tk_FLINE,$AD$716),INDEX(tk_FLINEN,$AD$716))&amp;IF($AJ$716="KD"," ( R.O. "&amp;TRIM(TEXT(N($AQ$716)+2.25,"# ?/??"))&amp;CHAR(34)&amp;" x "&amp;TRIM(TEXT(N($AR$716)+1,"# ?/??"))&amp;CHAR(34)&amp;" )",""))</f>
        <v/>
      </c>
      <c r="D716" s="178" t="n"/>
      <c r="E716" s="179">
        <f t="array" ref="E716">IF($AD$716=0,"",_xlfn.TEXTJOIN(", ",TRUE,IF(tk_SOFG=60,"#"&amp;tk_MARK&amp;IF(tk_HLEG="","","("&amp;tk_HLEG&amp;")")&amp;IF(tk_QTY&gt;1," ×"&amp;tk_QTY,""),"")))</f>
        <v/>
      </c>
      <c r="AD716">
        <f>IFERROR(MATCH(60,tk_SOFG,0),0)</f>
        <v/>
      </c>
      <c r="AE716">
        <f>IF($AD$716=0,0,SUMIF(tk_SOFG,60,tk_QTY))</f>
        <v/>
      </c>
      <c r="AF716">
        <f>IF($AD$716=0,"",INDEX(tk_JAMB,$AD$716))</f>
        <v/>
      </c>
      <c r="AG716">
        <f>IF($AD$716=0,"",INDEX(tk_ANCHOR,$AD$716))</f>
        <v/>
      </c>
      <c r="AH716">
        <f>IF($AD$716=0,"",INDEX(tk_ANCH,$AD$716))</f>
        <v/>
      </c>
      <c r="AI716">
        <f>IF($AD$716=0,"",INDEX(tk_BASEA,$AD$716))</f>
        <v/>
      </c>
      <c r="AJ716">
        <f>IF($AD$716=0,"",INDEX(tk_CONSTR,$AD$716))</f>
        <v/>
      </c>
      <c r="AK716">
        <f>IF($AD$716=0,"",INDEX(tk_CLOSER,$AD$716))</f>
        <v/>
      </c>
      <c r="AL716">
        <f>IF($AD$716=0,"",INDEX(tk_STRIKE,$AD$716))</f>
        <v/>
      </c>
      <c r="AM716">
        <f>IF($AD$716=0,"",INDEX(tk_HDRPREP,$AD$716))</f>
        <v/>
      </c>
      <c r="AN716">
        <f>IF($AD$716=0,"",INDEX(tk_DMIN,$AD$716))</f>
        <v/>
      </c>
      <c r="AO716">
        <f>IF($AD$716=0,"",INDEX(tk_PAIR,$AD$716))</f>
        <v/>
      </c>
      <c r="AP716">
        <f>IF($AD$716=0,"",INDEX(tk_FGA,$AD$716))</f>
        <v/>
      </c>
      <c r="AQ716">
        <f>IF($AD$716=0,"",INDEX(tk_WI,$AD$716))</f>
        <v/>
      </c>
      <c r="AR716">
        <f>IF($AD$716=0,"",INDEX(tk_HI,$AD$716))</f>
        <v/>
      </c>
      <c r="AS716">
        <f>IF($AD$716=0,"",INDEX(tk_FHINGE,$AD$716))</f>
        <v/>
      </c>
      <c r="AT716">
        <f>IF($AD$716=0,"",INDEX(tk_DHINGE,$AD$716))</f>
        <v/>
      </c>
      <c r="AU716">
        <f>IF($AD$716=0,"",INDEX(tk_HWLOC,$AD$716))</f>
        <v/>
      </c>
      <c r="AV716">
        <f>IF($AD$716=0,"",INDEX(tk_MANUF,$AD$716))</f>
        <v/>
      </c>
      <c r="AW716">
        <f>IF($AD$716=0,"",INDEX(tk_JH,$AD$716))</f>
        <v/>
      </c>
      <c r="AX716">
        <f>IF($AD$716=0,"",INDEX(tk_FDESC,$AD$716))</f>
        <v/>
      </c>
      <c r="AY716">
        <f>IF($AD$716=0,"",INDEX(tk_TRANS,$AD$716))</f>
        <v/>
      </c>
      <c r="AZ716">
        <f>IF($AD$716=0,"",INDEX(tk_SLW,$AD$716))</f>
        <v/>
      </c>
      <c r="BA716">
        <f>IF($AD$716=0,"",INDEX(tk_LEAVES,$AD$716))</f>
        <v/>
      </c>
      <c r="BB716">
        <f>IF($AD$716=0,"",INDEX(tk_LEAFW,$AD$716))</f>
        <v/>
      </c>
      <c r="BC716">
        <f>IF($AD$716=0,"",INDEX(tk_LEAFH,$AD$716))</f>
        <v/>
      </c>
      <c r="BD716">
        <f>IF($AD$716=0,"",INDEX(tk_DMAT,$AD$716))</f>
        <v/>
      </c>
      <c r="BE716">
        <f>IF($AD$716=0,"",INDEX(tk_DGA,$AD$716))</f>
        <v/>
      </c>
      <c r="BF716">
        <f>IF($AD$716=0,"",INDEX(tk_SERIES,$AD$716))</f>
        <v/>
      </c>
      <c r="BG716">
        <f>IF($AD$716=0,"",INDEX(tk_LOCK,$AD$716))</f>
        <v/>
      </c>
      <c r="BH716">
        <f>IF($AD$716=0,"",INDEX(tk_LITEKIT,$AD$716))</f>
        <v/>
      </c>
      <c r="BI716">
        <f>IF($AD$716=0,"",INDEX(tk_FACE,$AD$716))</f>
        <v/>
      </c>
      <c r="BJ716">
        <f>IF($AD$716=0,"",INDEX(tk_HLEG,$AD$716))</f>
        <v/>
      </c>
      <c r="BK716">
        <f>IF($AD$716=0,"",INDEX(tk_SOITEM,$AD$716))</f>
        <v/>
      </c>
      <c r="BL716">
        <f>IFERROR(VLOOKUP($AF$716,CODES,2,FALSE),"")</f>
        <v/>
      </c>
      <c r="BM716">
        <f>IF($AJ$716="KD","C","M")</f>
        <v/>
      </c>
      <c r="BN716">
        <f>IF(N($AR$716)&lt;=80,80,IF(N($AR$716)&lt;=84,84,IF(N($AR$716)&lt;=96,96,N($AR$716))))</f>
        <v/>
      </c>
      <c r="BO716">
        <f>INT($BN$716/12)&amp;MOD($BN$716,12)</f>
        <v/>
      </c>
      <c r="BP716">
        <f>INT(N($AQ$716)/12)&amp;MOD(N($AQ$716),12)</f>
        <v/>
      </c>
      <c r="BQ716">
        <f>IF(OR($AU$716="",$AU$716="ANSI/SDI",$AU$716="CUSTOM LOC"),IF($AV$716="CU","CURRIES","STEELCRAFT"),$AU$716)</f>
        <v/>
      </c>
      <c r="BR716">
        <f>$AO$716="Y"</f>
        <v/>
      </c>
      <c r="BS716">
        <f>"~"</f>
        <v/>
      </c>
      <c r="BT716">
        <f>N($AH$716)*N($AI$716)</f>
        <v/>
      </c>
      <c r="BU716">
        <f>IF(OR($AL$716="",$AL$716="-",$AL$716="E8"),"G18",$AL$716)</f>
        <v/>
      </c>
      <c r="BV716">
        <f>IF(OR($AS$716="",$AS$716="-"),"BLK",$AS$716)</f>
        <v/>
      </c>
      <c r="BW716">
        <f>" "&amp;$BM$716&amp;$AP$716&amp;" "</f>
        <v/>
      </c>
      <c r="BX716">
        <f>IF($AD$716=0,"",IF(OR($AG$716="SSA",$AG$716="SC"),$AE$716*$BT$716&amp;"|"&amp;$BL$716&amp;" STEEL STUD ANCHOR 2"&amp;CHAR(34)&amp;"||"&amp;$BS$716,"")&amp;IF($AG$716="WEWA-M",$AE$716*(N($AH$716)+1)*N($AI$716)&amp;"|FR101F 690 "&amp;$BL$716&amp;" MASONRY TUBE ANCHOR 16 GA||"&amp;$BS$716&amp;$AE$716*(N($AH$716)+1)*N($AI$716)&amp;"|3/8X5 SF3850 DYNO BOLTS||"&amp;$BS$716,"")&amp;IF($AG$716="WMA",$AE$716*$BT$716&amp;"|WIRE MASONRY ANCHOR||"&amp;$BS$716,"")&amp;IF($AG$716="T",$AE$716*$BT$716&amp;"|T-STRAP MASONRY ANCHOR||"&amp;$BS$716,"")&amp;IF($AG$716="WEWA-W",$AE$716*$BT$716&amp;"|P/D + WOOD SCREWS||"&amp;$BS$716,"")&amp;IF($AJ$716="WGS",$AE$716&amp;"|WELD &amp; GROUND SMOOTH||"&amp;$BS$716,"")&amp;IF(OR($AK$716="",$AK$716="-"),"",$AE$716*IF($BR$716,4,2)&amp;"|RACL/PACL-CLOSER REINF. 14GAx1-3/4x16 HRPO|"&amp;$AK$716&amp;IF($BR$716," BOTH SIDES","")&amp;"|"&amp;$BS$716)&amp;IF($AL$716="E8",$AE$716&amp;"|E8-STRIKE REINF. RIM EXIT||"&amp;$BS$716,"")&amp;IF(ISNUMBER(SEARCH("E4",$AL$716)),$AE$716&amp;"|FRAME DEADLOCK PREP||"&amp;$BS$716,"")&amp;IF($AL$716="E9",$AE$716&amp;"|ELECTRIC STRIKE PREP||"&amp;$BS$716,"")&amp;IF($AM$716="H5",$AE$716&amp;"|H5 STRIKE PREP IN HEADER||"&amp;$BS$716,IF(OR($AM$716="",$AM$716="-"),"",$AE$716&amp;"|HEADER PREP "&amp;$AM$716&amp;"||"&amp;$BS$716))&amp;IF(N($AN$716)&gt;0,$AE$716&amp;"|"&amp;$AN$716&amp;" MINUTE STEEL FRAME LABEL "&amp;IF(OR(N($AY$716)&gt;0,N($AZ$716)&gt;0),"W/TRANSOM PANEL/SIDELIGHT","CAT. C PP")&amp;"||"&amp;$BS$716,"")&amp;IF($AX$716="BL","",$AE$716&amp;"|HD "&amp;$AF$716&amp;$BW$716&amp;$BP$716&amp;" BSC||"&amp;$BS$716&amp;IF($BR$716,$AE$716&amp;"|HJ "&amp;$AF$716&amp;$BW$716&amp;"LH "&amp;$BO$716&amp;" "&amp;$BV$716&amp;" BSC "&amp;CHAR(34)&amp;$BQ$716&amp;CHAR(34)&amp;"||"&amp;$BS$716&amp;$AE$716&amp;"|HJ "&amp;$AF$716&amp;$BW$716&amp;"RH "&amp;$BO$716&amp;" "&amp;$BV$716&amp;" BSC "&amp;CHAR(34)&amp;$BQ$716&amp;CHAR(34)&amp;"||"&amp;$BS$716,$AE$716&amp;"|HJ "&amp;$AF$716&amp;$BW$716&amp;$AW$716&amp;" "&amp;$BO$716&amp;" "&amp;$BV$716&amp;" BSC "&amp;CHAR(34)&amp;$BQ$716&amp;CHAR(34)&amp;"||"&amp;$BS$716&amp;$AE$716&amp;"|SJ "&amp;$AF$716&amp;$BW$716&amp;$AW$716&amp;" "&amp;$BO$716&amp;" "&amp;$BU$716&amp;IF($BU$716="G18"," BLANK"," Y")&amp;" BSC "&amp;CHAR(34)&amp;$BQ$716&amp;CHAR(34)&amp;"||"&amp;$BS$716))&amp;IF(AND($BN$716&gt;N($AR$716),$AX$716&lt;&gt;"BL",N($AR$716)&gt;=60),$AE$716&amp;"|FRAME CUT DOWN (BOTTOM)|Cut "&amp;TRIM(TEXT($BN$716-N($AR$716),"# ?/??"))&amp;CHAR(34)&amp;" OFF THE BOTTOM|"&amp;$BS$716,""))</f>
        <v/>
      </c>
    </row>
    <row r="717">
      <c r="B717" s="180">
        <f>IF($AD717="","",VALUE(LEFT($AD717,FIND("|",$AD717)-1)))</f>
        <v/>
      </c>
      <c r="C717" s="180">
        <f>IF($AD717="","","    "&amp;MID($AD717,FIND("|",$AD717)+1,FIND("|",$AD717,FIND("|",$AD717)+1)-FIND("|",$AD717)-1))</f>
        <v/>
      </c>
      <c r="D717" s="180">
        <f>IF($AD717="","",MID($AD717,FIND("|",$AD717,FIND("|",$AD717)+1)+1,FIND("|",$AD717&amp;"|",FIND("|",$AD717,FIND("|",$AD717)+1)+1)-FIND("|",$AD717,FIND("|",$AD717)+1)-1))</f>
        <v/>
      </c>
      <c r="AD717">
        <f>TRIM(MID(SUBSTITUTE($BX$716,"~",REPT(" ",600)),1,600))</f>
        <v/>
      </c>
    </row>
    <row r="718">
      <c r="B718" s="180">
        <f>IF($AD718="","",VALUE(LEFT($AD718,FIND("|",$AD718)-1)))</f>
        <v/>
      </c>
      <c r="C718" s="180">
        <f>IF($AD718="","","    "&amp;MID($AD718,FIND("|",$AD718)+1,FIND("|",$AD718,FIND("|",$AD718)+1)-FIND("|",$AD718)-1))</f>
        <v/>
      </c>
      <c r="D718" s="180">
        <f>IF($AD718="","",MID($AD718,FIND("|",$AD718,FIND("|",$AD718)+1)+1,FIND("|",$AD718&amp;"|",FIND("|",$AD718,FIND("|",$AD718)+1)+1)-FIND("|",$AD718,FIND("|",$AD718)+1)-1))</f>
        <v/>
      </c>
      <c r="AD718">
        <f>TRIM(MID(SUBSTITUTE($BX$716,"~",REPT(" ",600)),601,600))</f>
        <v/>
      </c>
    </row>
    <row r="719">
      <c r="B719" s="180">
        <f>IF($AD719="","",VALUE(LEFT($AD719,FIND("|",$AD719)-1)))</f>
        <v/>
      </c>
      <c r="C719" s="180">
        <f>IF($AD719="","","    "&amp;MID($AD719,FIND("|",$AD719)+1,FIND("|",$AD719,FIND("|",$AD719)+1)-FIND("|",$AD719)-1))</f>
        <v/>
      </c>
      <c r="D719" s="180">
        <f>IF($AD719="","",MID($AD719,FIND("|",$AD719,FIND("|",$AD719)+1)+1,FIND("|",$AD719&amp;"|",FIND("|",$AD719,FIND("|",$AD719)+1)+1)-FIND("|",$AD719,FIND("|",$AD719)+1)-1))</f>
        <v/>
      </c>
      <c r="AD719">
        <f>TRIM(MID(SUBSTITUTE($BX$716,"~",REPT(" ",600)),1201,600))</f>
        <v/>
      </c>
    </row>
    <row r="720">
      <c r="B720" s="180">
        <f>IF($AD720="","",VALUE(LEFT($AD720,FIND("|",$AD720)-1)))</f>
        <v/>
      </c>
      <c r="C720" s="180">
        <f>IF($AD720="","","    "&amp;MID($AD720,FIND("|",$AD720)+1,FIND("|",$AD720,FIND("|",$AD720)+1)-FIND("|",$AD720)-1))</f>
        <v/>
      </c>
      <c r="D720" s="180">
        <f>IF($AD720="","",MID($AD720,FIND("|",$AD720,FIND("|",$AD720)+1)+1,FIND("|",$AD720&amp;"|",FIND("|",$AD720,FIND("|",$AD720)+1)+1)-FIND("|",$AD720,FIND("|",$AD720)+1)-1))</f>
        <v/>
      </c>
      <c r="AD720">
        <f>TRIM(MID(SUBSTITUTE($BX$716,"~",REPT(" ",600)),1801,600))</f>
        <v/>
      </c>
    </row>
    <row r="721">
      <c r="B721" s="180">
        <f>IF($AD721="","",VALUE(LEFT($AD721,FIND("|",$AD721)-1)))</f>
        <v/>
      </c>
      <c r="C721" s="180">
        <f>IF($AD721="","","    "&amp;MID($AD721,FIND("|",$AD721)+1,FIND("|",$AD721,FIND("|",$AD721)+1)-FIND("|",$AD721)-1))</f>
        <v/>
      </c>
      <c r="D721" s="180">
        <f>IF($AD721="","",MID($AD721,FIND("|",$AD721,FIND("|",$AD721)+1)+1,FIND("|",$AD721&amp;"|",FIND("|",$AD721,FIND("|",$AD721)+1)+1)-FIND("|",$AD721,FIND("|",$AD721)+1)-1))</f>
        <v/>
      </c>
      <c r="AD721">
        <f>TRIM(MID(SUBSTITUTE($BX$716,"~",REPT(" ",600)),2401,600))</f>
        <v/>
      </c>
    </row>
    <row r="722">
      <c r="B722" s="180">
        <f>IF($AD722="","",VALUE(LEFT($AD722,FIND("|",$AD722)-1)))</f>
        <v/>
      </c>
      <c r="C722" s="180">
        <f>IF($AD722="","","    "&amp;MID($AD722,FIND("|",$AD722)+1,FIND("|",$AD722,FIND("|",$AD722)+1)-FIND("|",$AD722)-1))</f>
        <v/>
      </c>
      <c r="D722" s="180">
        <f>IF($AD722="","",MID($AD722,FIND("|",$AD722,FIND("|",$AD722)+1)+1,FIND("|",$AD722&amp;"|",FIND("|",$AD722,FIND("|",$AD722)+1)+1)-FIND("|",$AD722,FIND("|",$AD722)+1)-1))</f>
        <v/>
      </c>
      <c r="AD722">
        <f>TRIM(MID(SUBSTITUTE($BX$716,"~",REPT(" ",600)),3001,600))</f>
        <v/>
      </c>
    </row>
    <row r="723">
      <c r="B723" s="180">
        <f>IF($AD723="","",VALUE(LEFT($AD723,FIND("|",$AD723)-1)))</f>
        <v/>
      </c>
      <c r="C723" s="180">
        <f>IF($AD723="","","    "&amp;MID($AD723,FIND("|",$AD723)+1,FIND("|",$AD723,FIND("|",$AD723)+1)-FIND("|",$AD723)-1))</f>
        <v/>
      </c>
      <c r="D723" s="180">
        <f>IF($AD723="","",MID($AD723,FIND("|",$AD723,FIND("|",$AD723)+1)+1,FIND("|",$AD723&amp;"|",FIND("|",$AD723,FIND("|",$AD723)+1)+1)-FIND("|",$AD723,FIND("|",$AD723)+1)-1))</f>
        <v/>
      </c>
      <c r="AD723">
        <f>TRIM(MID(SUBSTITUTE($BX$716,"~",REPT(" ",600)),3601,600))</f>
        <v/>
      </c>
    </row>
    <row r="724">
      <c r="B724" s="180">
        <f>IF($AD724="","",VALUE(LEFT($AD724,FIND("|",$AD724)-1)))</f>
        <v/>
      </c>
      <c r="C724" s="180">
        <f>IF($AD724="","","    "&amp;MID($AD724,FIND("|",$AD724)+1,FIND("|",$AD724,FIND("|",$AD724)+1)-FIND("|",$AD724)-1))</f>
        <v/>
      </c>
      <c r="D724" s="180">
        <f>IF($AD724="","",MID($AD724,FIND("|",$AD724,FIND("|",$AD724)+1)+1,FIND("|",$AD724&amp;"|",FIND("|",$AD724,FIND("|",$AD724)+1)+1)-FIND("|",$AD724,FIND("|",$AD724)+1)-1))</f>
        <v/>
      </c>
      <c r="AD724">
        <f>TRIM(MID(SUBSTITUTE($BX$716,"~",REPT(" ",600)),4201,600))</f>
        <v/>
      </c>
    </row>
    <row r="725">
      <c r="B725" s="180">
        <f>IF($AD725="","",VALUE(LEFT($AD725,FIND("|",$AD725)-1)))</f>
        <v/>
      </c>
      <c r="C725" s="180">
        <f>IF($AD725="","","    "&amp;MID($AD725,FIND("|",$AD725)+1,FIND("|",$AD725,FIND("|",$AD725)+1)-FIND("|",$AD725)-1))</f>
        <v/>
      </c>
      <c r="D725" s="180">
        <f>IF($AD725="","",MID($AD725,FIND("|",$AD725,FIND("|",$AD725)+1)+1,FIND("|",$AD725&amp;"|",FIND("|",$AD725,FIND("|",$AD725)+1)+1)-FIND("|",$AD725,FIND("|",$AD725)+1)-1))</f>
        <v/>
      </c>
      <c r="AD725">
        <f>TRIM(MID(SUBSTITUTE($BX$716,"~",REPT(" ",600)),4801,600))</f>
        <v/>
      </c>
    </row>
    <row r="726">
      <c r="B726" s="180">
        <f>IF($AD726="","",VALUE(LEFT($AD726,FIND("|",$AD726)-1)))</f>
        <v/>
      </c>
      <c r="C726" s="180">
        <f>IF($AD726="","","    "&amp;MID($AD726,FIND("|",$AD726)+1,FIND("|",$AD726,FIND("|",$AD726)+1)-FIND("|",$AD726)-1))</f>
        <v/>
      </c>
      <c r="D726" s="180">
        <f>IF($AD726="","",MID($AD726,FIND("|",$AD726,FIND("|",$AD726)+1)+1,FIND("|",$AD726&amp;"|",FIND("|",$AD726,FIND("|",$AD726)+1)+1)-FIND("|",$AD726,FIND("|",$AD726)+1)-1))</f>
        <v/>
      </c>
      <c r="AD726">
        <f>TRIM(MID(SUBSTITUTE($BX$716,"~",REPT(" ",600)),5401,600))</f>
        <v/>
      </c>
    </row>
    <row r="727">
      <c r="B727" s="180">
        <f>IF($AD727="","",VALUE(LEFT($AD727,FIND("|",$AD727)-1)))</f>
        <v/>
      </c>
      <c r="C727" s="180">
        <f>IF($AD727="","","    "&amp;MID($AD727,FIND("|",$AD727)+1,FIND("|",$AD727,FIND("|",$AD727)+1)-FIND("|",$AD727)-1))</f>
        <v/>
      </c>
      <c r="D727" s="180">
        <f>IF($AD727="","",MID($AD727,FIND("|",$AD727,FIND("|",$AD727)+1)+1,FIND("|",$AD727&amp;"|",FIND("|",$AD727,FIND("|",$AD727)+1)+1)-FIND("|",$AD727,FIND("|",$AD727)+1)-1))</f>
        <v/>
      </c>
      <c r="AD727">
        <f>TRIM(MID(SUBSTITUTE($BX$716,"~",REPT(" ",600)),6001,600))</f>
        <v/>
      </c>
    </row>
    <row r="729" ht="18" customHeight="1">
      <c r="A729" s="64" t="inlineStr">
        <is>
          <t>DOORS — door groups (doors built the same, by type)</t>
        </is>
      </c>
      <c r="B729" s="25" t="n"/>
      <c r="C729" s="25" t="n"/>
      <c r="D729" s="25" t="n"/>
      <c r="E729" s="25" t="n"/>
    </row>
    <row r="730">
      <c r="A730" s="178">
        <f>IF($AD$730=0,"",$BK$730)</f>
        <v/>
      </c>
      <c r="B730" s="178">
        <f>IF($AD$730=0,"",$AE$730*N($BA$730))</f>
        <v/>
      </c>
      <c r="C730" s="178">
        <f>IF($AD$730=0,"",$AE$730*N($BA$730)&amp;") "&amp;IF(COUNTIFS(tk_SODG,1,tk_HLEG,"&lt;&gt;"&amp;$BJ$730)=0,INDEX(tk_DLINE,$AD$730),INDEX(tk_DLINEN,$AD$730)))</f>
        <v/>
      </c>
      <c r="D730" s="178" t="n"/>
      <c r="E730" s="179">
        <f t="array" ref="E730">IF($AD$730=0,"",_xlfn.TEXTJOIN(", ",TRUE,IF(tk_SODG=1,"#"&amp;tk_MARK&amp;IF(tk_HLEG="","","("&amp;tk_HLEG&amp;")")&amp;IF(tk_QTY&gt;1," ×"&amp;tk_QTY,""),"")))</f>
        <v/>
      </c>
      <c r="AD730">
        <f>IFERROR(MATCH(1,tk_SODG,0),0)</f>
        <v/>
      </c>
      <c r="AE730">
        <f>IF($AD$730=0,0,SUMIF(tk_SODG,1,tk_QTY))</f>
        <v/>
      </c>
      <c r="AF730">
        <f>IF($AD$730=0,"",INDEX(tk_JAMB,$AD$730))</f>
        <v/>
      </c>
      <c r="AG730">
        <f>IF($AD$730=0,"",INDEX(tk_ANCHOR,$AD$730))</f>
        <v/>
      </c>
      <c r="AH730">
        <f>IF($AD$730=0,"",INDEX(tk_ANCH,$AD$730))</f>
        <v/>
      </c>
      <c r="AI730">
        <f>IF($AD$730=0,"",INDEX(tk_BASEA,$AD$730))</f>
        <v/>
      </c>
      <c r="AJ730">
        <f>IF($AD$730=0,"",INDEX(tk_CONSTR,$AD$730))</f>
        <v/>
      </c>
      <c r="AK730">
        <f>IF($AD$730=0,"",INDEX(tk_CLOSER,$AD$730))</f>
        <v/>
      </c>
      <c r="AL730">
        <f>IF($AD$730=0,"",INDEX(tk_STRIKE,$AD$730))</f>
        <v/>
      </c>
      <c r="AM730">
        <f>IF($AD$730=0,"",INDEX(tk_HDRPREP,$AD$730))</f>
        <v/>
      </c>
      <c r="AN730">
        <f>IF($AD$730=0,"",INDEX(tk_DMIN,$AD$730))</f>
        <v/>
      </c>
      <c r="AO730">
        <f>IF($AD$730=0,"",INDEX(tk_PAIR,$AD$730))</f>
        <v/>
      </c>
      <c r="AP730">
        <f>IF($AD$730=0,"",INDEX(tk_FGA,$AD$730))</f>
        <v/>
      </c>
      <c r="AQ730">
        <f>IF($AD$730=0,"",INDEX(tk_WI,$AD$730))</f>
        <v/>
      </c>
      <c r="AR730">
        <f>IF($AD$730=0,"",INDEX(tk_HI,$AD$730))</f>
        <v/>
      </c>
      <c r="AS730">
        <f>IF($AD$730=0,"",INDEX(tk_FHINGE,$AD$730))</f>
        <v/>
      </c>
      <c r="AT730">
        <f>IF($AD$730=0,"",INDEX(tk_DHINGE,$AD$730))</f>
        <v/>
      </c>
      <c r="AU730">
        <f>IF($AD$730=0,"",INDEX(tk_HWLOC,$AD$730))</f>
        <v/>
      </c>
      <c r="AV730">
        <f>IF($AD$730=0,"",INDEX(tk_MANUF,$AD$730))</f>
        <v/>
      </c>
      <c r="AW730">
        <f>IF($AD$730=0,"",INDEX(tk_JH,$AD$730))</f>
        <v/>
      </c>
      <c r="AX730">
        <f>IF($AD$730=0,"",INDEX(tk_FDESC,$AD$730))</f>
        <v/>
      </c>
      <c r="AY730">
        <f>IF($AD$730=0,"",INDEX(tk_TRANS,$AD$730))</f>
        <v/>
      </c>
      <c r="AZ730">
        <f>IF($AD$730=0,"",INDEX(tk_SLW,$AD$730))</f>
        <v/>
      </c>
      <c r="BA730">
        <f>IF($AD$730=0,"",INDEX(tk_LEAVES,$AD$730))</f>
        <v/>
      </c>
      <c r="BB730">
        <f>IF($AD$730=0,"",INDEX(tk_LEAFW,$AD$730))</f>
        <v/>
      </c>
      <c r="BC730">
        <f>IF($AD$730=0,"",INDEX(tk_LEAFH,$AD$730))</f>
        <v/>
      </c>
      <c r="BD730">
        <f>IF($AD$730=0,"",INDEX(tk_DMAT,$AD$730))</f>
        <v/>
      </c>
      <c r="BE730">
        <f>IF($AD$730=0,"",INDEX(tk_DGA,$AD$730))</f>
        <v/>
      </c>
      <c r="BF730">
        <f>IF($AD$730=0,"",INDEX(tk_SERIES,$AD$730))</f>
        <v/>
      </c>
      <c r="BG730">
        <f>IF($AD$730=0,"",INDEX(tk_LOCK,$AD$730))</f>
        <v/>
      </c>
      <c r="BH730">
        <f>IF($AD$730=0,"",INDEX(tk_LITEKIT,$AD$730))</f>
        <v/>
      </c>
      <c r="BI730">
        <f>IF($AD$730=0,"",INDEX(tk_FACE,$AD$730))</f>
        <v/>
      </c>
      <c r="BJ730">
        <f>IF($AD$730=0,"",INDEX(tk_HLEG,$AD$730))</f>
        <v/>
      </c>
      <c r="BK730">
        <f>IF($AD$730=0,"",INDEX(tk_SOITEM,$AD$730))</f>
        <v/>
      </c>
      <c r="BL730">
        <f>IFERROR(VLOOKUP($AF$730,CODES,2,FALSE),"")</f>
        <v/>
      </c>
      <c r="BM730">
        <f>IF($AJ$730="KD","C","M")</f>
        <v/>
      </c>
      <c r="BN730">
        <f>IF(N($AR$730)&lt;=80,80,IF(N($AR$730)&lt;=84,84,IF(N($AR$730)&lt;=96,96,N($AR$730))))</f>
        <v/>
      </c>
      <c r="BO730">
        <f>INT($BN$730/12)&amp;MOD($BN$730,12)</f>
        <v/>
      </c>
      <c r="BP730">
        <f>INT(N($AQ$730)/12)&amp;MOD(N($AQ$730),12)</f>
        <v/>
      </c>
      <c r="BQ730">
        <f>IF(OR($AU$730="",$AU$730="ANSI/SDI",$AU$730="CUSTOM LOC"),IF($AV$730="CU","CURRIES","STEELCRAFT"),$AU$730)</f>
        <v/>
      </c>
      <c r="BR730">
        <f>$AO$730="Y"</f>
        <v/>
      </c>
      <c r="BS730">
        <f>"~"</f>
        <v/>
      </c>
      <c r="BT730">
        <f>$AE$730*N($BA$730)</f>
        <v/>
      </c>
      <c r="BU730">
        <f>OR(LEFT($BD$730,3)="OAK",LEFT($BD$730,3)="BIR",LEFT($BD$730,3)="MAP",$BD$730="PC",$BD$730="MC",$BD$730="SCLC",$BD$730="P-LAM")</f>
        <v/>
      </c>
      <c r="BV730">
        <f>INT(N($AQ$730)/MAX(1,N($BA$730))/12)&amp;MOD(N($AQ$730)/MAX(1,N($BA$730)),12)</f>
        <v/>
      </c>
      <c r="BW730">
        <f>IF(OR($BG$730="G11",$BG$730="G11A",$BG$730="G12A"),"G2",IF(OR(LEFT($BG$730,2)="G3",$BG$730="G12"),"G3AEO",$BG$730))</f>
        <v/>
      </c>
      <c r="BX730">
        <f>"(Net size: "&amp;TRIM(TEXT(N($BB$730),"# ?/??"))&amp;CHAR(34)&amp;" x "&amp;TRIM(TEXT(N($BC$730),"# ?/??"))&amp;CHAR(34)&amp;")"</f>
        <v/>
      </c>
      <c r="BY730">
        <f>IF(LEFT($BD$730,3)="OAK","RED OAK",IF(LEFT($BD$730,3)="BIR","BIRCH",IF(LEFT($BD$730,3)="MAP","MAPLE","WOOD")))</f>
        <v/>
      </c>
      <c r="BZ730">
        <f>IF(OR($AT$730="U454",AND($AT$730="",$AS$730="U454")),"454","453")</f>
        <v/>
      </c>
      <c r="CA730">
        <f>IF($AD$730=0,"",IF($BU$730,$BT$730&amp;"|"&amp;$BV$730&amp;$BO$730&amp;" "&amp;$BY$730&amp;" SLAB "&amp;IF(N($AN$730)&gt;0,$AN$730&amp;" MINUTE",IF(RIGHT($BD$730,2)="MC","MC","SC")&amp;" WOOD DOOR")&amp;"|"&amp;$BX$730&amp;"|"&amp;$BS$730,$BT$730&amp;"|"&amp;$BV$730&amp;$BO$730&amp;$BW$730&amp;" BSC "&amp;$BQ$730&amp;" DOOR "&amp;$BE$730&amp;"Ga. Non-Handed "&amp;IF($BF$730="","707",$BF$730)&amp;"S Flush HM|"&amp;$BX$730&amp;"|"&amp;$BS$730)&amp;IF(N($AN$730)&gt;0,$BT$730&amp;"|"&amp;$AN$730&amp;IF($BU$730," MINUTE WARNOCK HERSHEY FIRE RATED WOOD LABEL"," MINUTE FOAM CORE STEEL DOOR LABEL (MODELS 607 &amp; 707)")&amp;"||"&amp;$BS$730,"")&amp;IF(AND(NOT($BU$730),OR($BG$730="G11",$BG$730="G11A",$BG$730="G12",$BG$730="G12A")),$AE$730&amp;"|EXIT DEVICE PREP FOR HM DOOR||"&amp;$BS$730,"")&amp;IF(AND(NOT($BU$730),$BG$730="G12"),$AE$730&amp;"|DR 350 MORTISE LOCK FILLER PLATE||"&amp;$BS$730,"")&amp;IF(AND(NOT($BU$730),LEFT($BG$730,2)="G3"),$AE$730&amp;"|MORTISE LOCK PREP||"&amp;$BS$730,"")&amp;IF($BU$730,$BT$730&amp;"|"&amp;IF($BG$730="G18",$BZ$730&amp;"-4 1/2"&amp;CHAR(34)&amp;"X4 1/2"&amp;CHAR(34)&amp;" HINGES ONLY PREP","HINGE PREP "&amp;$BZ$730&amp;" WITH LOCK PREP")&amp;"|"&amp;$BQ$730&amp;" LOC|"&amp;$BS$730,"")&amp;IF(OR($BG$730="G2G2",$BG$730="G17",$BG$730="E1E4"),$AE$730&amp;"|"&amp;IF($BU$730,"DDLP CYLINDRICAL DEADLOCK PREP","DOOR DEADLOCK PREP")&amp;"||"&amp;$BS$730,"")&amp;IF(OR($BH$730="FG",$BH$730="HG",$BH$730="FNV",$BH$730="FV"),$BT$730&amp;"|"&amp;$BI$730&amp;" LITE KIT||"&amp;$BS$730,IF($BH$730="FL",$BT$730&amp;"|"&amp;$BI$730&amp;" LOUVER||"&amp;$BS$730,IF($BH$730="FP",$BT$730&amp;"|DVP DOOR VIEWER PREP||"&amp;$BS$730,"")))&amp;IF($BN$730&gt;N($AR$730),$BT$730&amp;"|DCO DOOR CUT DOWN ONLY (HEIGHT)|Cut "&amp;TRIM(TEXT($BN$730-N($AR$730),"# ?/??"))&amp;CHAR(34)&amp;" OFF THE BOTTOM|"&amp;$BS$730,""))</f>
        <v/>
      </c>
    </row>
    <row r="731">
      <c r="B731" s="180">
        <f>IF($AD731="","",VALUE(LEFT($AD731,FIND("|",$AD731)-1)))</f>
        <v/>
      </c>
      <c r="C731" s="180">
        <f>IF($AD731="","","    "&amp;MID($AD731,FIND("|",$AD731)+1,FIND("|",$AD731,FIND("|",$AD731)+1)-FIND("|",$AD731)-1))</f>
        <v/>
      </c>
      <c r="D731" s="180">
        <f>IF($AD731="","",MID($AD731,FIND("|",$AD731,FIND("|",$AD731)+1)+1,FIND("|",$AD731&amp;"|",FIND("|",$AD731,FIND("|",$AD731)+1)+1)-FIND("|",$AD731,FIND("|",$AD731)+1)-1))</f>
        <v/>
      </c>
      <c r="AD731">
        <f>TRIM(MID(SUBSTITUTE($CA$730,"~",REPT(" ",600)),1,600))</f>
        <v/>
      </c>
    </row>
    <row r="732">
      <c r="B732" s="180">
        <f>IF($AD732="","",VALUE(LEFT($AD732,FIND("|",$AD732)-1)))</f>
        <v/>
      </c>
      <c r="C732" s="180">
        <f>IF($AD732="","","    "&amp;MID($AD732,FIND("|",$AD732)+1,FIND("|",$AD732,FIND("|",$AD732)+1)-FIND("|",$AD732)-1))</f>
        <v/>
      </c>
      <c r="D732" s="180">
        <f>IF($AD732="","",MID($AD732,FIND("|",$AD732,FIND("|",$AD732)+1)+1,FIND("|",$AD732&amp;"|",FIND("|",$AD732,FIND("|",$AD732)+1)+1)-FIND("|",$AD732,FIND("|",$AD732)+1)-1))</f>
        <v/>
      </c>
      <c r="AD732">
        <f>TRIM(MID(SUBSTITUTE($CA$730,"~",REPT(" ",600)),601,600))</f>
        <v/>
      </c>
    </row>
    <row r="733">
      <c r="B733" s="180">
        <f>IF($AD733="","",VALUE(LEFT($AD733,FIND("|",$AD733)-1)))</f>
        <v/>
      </c>
      <c r="C733" s="180">
        <f>IF($AD733="","","    "&amp;MID($AD733,FIND("|",$AD733)+1,FIND("|",$AD733,FIND("|",$AD733)+1)-FIND("|",$AD733)-1))</f>
        <v/>
      </c>
      <c r="D733" s="180">
        <f>IF($AD733="","",MID($AD733,FIND("|",$AD733,FIND("|",$AD733)+1)+1,FIND("|",$AD733&amp;"|",FIND("|",$AD733,FIND("|",$AD733)+1)+1)-FIND("|",$AD733,FIND("|",$AD733)+1)-1))</f>
        <v/>
      </c>
      <c r="AD733">
        <f>TRIM(MID(SUBSTITUTE($CA$730,"~",REPT(" ",600)),1201,600))</f>
        <v/>
      </c>
    </row>
    <row r="734">
      <c r="B734" s="180">
        <f>IF($AD734="","",VALUE(LEFT($AD734,FIND("|",$AD734)-1)))</f>
        <v/>
      </c>
      <c r="C734" s="180">
        <f>IF($AD734="","","    "&amp;MID($AD734,FIND("|",$AD734)+1,FIND("|",$AD734,FIND("|",$AD734)+1)-FIND("|",$AD734)-1))</f>
        <v/>
      </c>
      <c r="D734" s="180">
        <f>IF($AD734="","",MID($AD734,FIND("|",$AD734,FIND("|",$AD734)+1)+1,FIND("|",$AD734&amp;"|",FIND("|",$AD734,FIND("|",$AD734)+1)+1)-FIND("|",$AD734,FIND("|",$AD734)+1)-1))</f>
        <v/>
      </c>
      <c r="AD734">
        <f>TRIM(MID(SUBSTITUTE($CA$730,"~",REPT(" ",600)),1801,600))</f>
        <v/>
      </c>
    </row>
    <row r="735">
      <c r="B735" s="180">
        <f>IF($AD735="","",VALUE(LEFT($AD735,FIND("|",$AD735)-1)))</f>
        <v/>
      </c>
      <c r="C735" s="180">
        <f>IF($AD735="","","    "&amp;MID($AD735,FIND("|",$AD735)+1,FIND("|",$AD735,FIND("|",$AD735)+1)-FIND("|",$AD735)-1))</f>
        <v/>
      </c>
      <c r="D735" s="180">
        <f>IF($AD735="","",MID($AD735,FIND("|",$AD735,FIND("|",$AD735)+1)+1,FIND("|",$AD735&amp;"|",FIND("|",$AD735,FIND("|",$AD735)+1)+1)-FIND("|",$AD735,FIND("|",$AD735)+1)-1))</f>
        <v/>
      </c>
      <c r="AD735">
        <f>TRIM(MID(SUBSTITUTE($CA$730,"~",REPT(" ",600)),2401,600))</f>
        <v/>
      </c>
    </row>
    <row r="736">
      <c r="B736" s="180">
        <f>IF($AD736="","",VALUE(LEFT($AD736,FIND("|",$AD736)-1)))</f>
        <v/>
      </c>
      <c r="C736" s="180">
        <f>IF($AD736="","","    "&amp;MID($AD736,FIND("|",$AD736)+1,FIND("|",$AD736,FIND("|",$AD736)+1)-FIND("|",$AD736)-1))</f>
        <v/>
      </c>
      <c r="D736" s="180">
        <f>IF($AD736="","",MID($AD736,FIND("|",$AD736,FIND("|",$AD736)+1)+1,FIND("|",$AD736&amp;"|",FIND("|",$AD736,FIND("|",$AD736)+1)+1)-FIND("|",$AD736,FIND("|",$AD736)+1)-1))</f>
        <v/>
      </c>
      <c r="AD736">
        <f>TRIM(MID(SUBSTITUTE($CA$730,"~",REPT(" ",600)),3001,600))</f>
        <v/>
      </c>
    </row>
    <row r="737">
      <c r="B737" s="180">
        <f>IF($AD737="","",VALUE(LEFT($AD737,FIND("|",$AD737)-1)))</f>
        <v/>
      </c>
      <c r="C737" s="180">
        <f>IF($AD737="","","    "&amp;MID($AD737,FIND("|",$AD737)+1,FIND("|",$AD737,FIND("|",$AD737)+1)-FIND("|",$AD737)-1))</f>
        <v/>
      </c>
      <c r="D737" s="180">
        <f>IF($AD737="","",MID($AD737,FIND("|",$AD737,FIND("|",$AD737)+1)+1,FIND("|",$AD737&amp;"|",FIND("|",$AD737,FIND("|",$AD737)+1)+1)-FIND("|",$AD737,FIND("|",$AD737)+1)-1))</f>
        <v/>
      </c>
      <c r="AD737">
        <f>TRIM(MID(SUBSTITUTE($CA$730,"~",REPT(" ",600)),3601,600))</f>
        <v/>
      </c>
    </row>
    <row r="738">
      <c r="B738" s="180">
        <f>IF($AD738="","",VALUE(LEFT($AD738,FIND("|",$AD738)-1)))</f>
        <v/>
      </c>
      <c r="C738" s="180">
        <f>IF($AD738="","","    "&amp;MID($AD738,FIND("|",$AD738)+1,FIND("|",$AD738,FIND("|",$AD738)+1)-FIND("|",$AD738)-1))</f>
        <v/>
      </c>
      <c r="D738" s="180">
        <f>IF($AD738="","",MID($AD738,FIND("|",$AD738,FIND("|",$AD738)+1)+1,FIND("|",$AD738&amp;"|",FIND("|",$AD738,FIND("|",$AD738)+1)+1)-FIND("|",$AD738,FIND("|",$AD738)+1)-1))</f>
        <v/>
      </c>
      <c r="AD738">
        <f>TRIM(MID(SUBSTITUTE($CA$730,"~",REPT(" ",600)),4201,600))</f>
        <v/>
      </c>
    </row>
    <row r="739">
      <c r="B739" s="180">
        <f>IF($AD739="","",VALUE(LEFT($AD739,FIND("|",$AD739)-1)))</f>
        <v/>
      </c>
      <c r="C739" s="180">
        <f>IF($AD739="","","    "&amp;MID($AD739,FIND("|",$AD739)+1,FIND("|",$AD739,FIND("|",$AD739)+1)-FIND("|",$AD739)-1))</f>
        <v/>
      </c>
      <c r="D739" s="180">
        <f>IF($AD739="","",MID($AD739,FIND("|",$AD739,FIND("|",$AD739)+1)+1,FIND("|",$AD739&amp;"|",FIND("|",$AD739,FIND("|",$AD739)+1)+1)-FIND("|",$AD739,FIND("|",$AD739)+1)-1))</f>
        <v/>
      </c>
      <c r="AD739">
        <f>TRIM(MID(SUBSTITUTE($CA$730,"~",REPT(" ",600)),4801,600))</f>
        <v/>
      </c>
    </row>
    <row r="740">
      <c r="B740" s="180">
        <f>IF($AD740="","",VALUE(LEFT($AD740,FIND("|",$AD740)-1)))</f>
        <v/>
      </c>
      <c r="C740" s="180">
        <f>IF($AD740="","","    "&amp;MID($AD740,FIND("|",$AD740)+1,FIND("|",$AD740,FIND("|",$AD740)+1)-FIND("|",$AD740)-1))</f>
        <v/>
      </c>
      <c r="D740" s="180">
        <f>IF($AD740="","",MID($AD740,FIND("|",$AD740,FIND("|",$AD740)+1)+1,FIND("|",$AD740&amp;"|",FIND("|",$AD740,FIND("|",$AD740)+1)+1)-FIND("|",$AD740,FIND("|",$AD740)+1)-1))</f>
        <v/>
      </c>
      <c r="AD740">
        <f>TRIM(MID(SUBSTITUTE($CA$730,"~",REPT(" ",600)),5401,600))</f>
        <v/>
      </c>
    </row>
    <row r="741">
      <c r="B741" s="180">
        <f>IF($AD741="","",VALUE(LEFT($AD741,FIND("|",$AD741)-1)))</f>
        <v/>
      </c>
      <c r="C741" s="180">
        <f>IF($AD741="","","    "&amp;MID($AD741,FIND("|",$AD741)+1,FIND("|",$AD741,FIND("|",$AD741)+1)-FIND("|",$AD741)-1))</f>
        <v/>
      </c>
      <c r="D741" s="180">
        <f>IF($AD741="","",MID($AD741,FIND("|",$AD741,FIND("|",$AD741)+1)+1,FIND("|",$AD741&amp;"|",FIND("|",$AD741,FIND("|",$AD741)+1)+1)-FIND("|",$AD741,FIND("|",$AD741)+1)-1))</f>
        <v/>
      </c>
      <c r="AD741">
        <f>TRIM(MID(SUBSTITUTE($CA$730,"~",REPT(" ",600)),6001,600))</f>
        <v/>
      </c>
    </row>
    <row r="742">
      <c r="A742" s="178">
        <f>IF($AD$742=0,"",$BK$742)</f>
        <v/>
      </c>
      <c r="B742" s="178">
        <f>IF($AD$742=0,"",$AE$742*N($BA$742))</f>
        <v/>
      </c>
      <c r="C742" s="178">
        <f>IF($AD$742=0,"",$AE$742*N($BA$742)&amp;") "&amp;IF(COUNTIFS(tk_SODG,2,tk_HLEG,"&lt;&gt;"&amp;$BJ$742)=0,INDEX(tk_DLINE,$AD$742),INDEX(tk_DLINEN,$AD$742)))</f>
        <v/>
      </c>
      <c r="D742" s="178" t="n"/>
      <c r="E742" s="179">
        <f t="array" ref="E742">IF($AD$742=0,"",_xlfn.TEXTJOIN(", ",TRUE,IF(tk_SODG=2,"#"&amp;tk_MARK&amp;IF(tk_HLEG="","","("&amp;tk_HLEG&amp;")")&amp;IF(tk_QTY&gt;1," ×"&amp;tk_QTY,""),"")))</f>
        <v/>
      </c>
      <c r="AD742">
        <f>IFERROR(MATCH(2,tk_SODG,0),0)</f>
        <v/>
      </c>
      <c r="AE742">
        <f>IF($AD$742=0,0,SUMIF(tk_SODG,2,tk_QTY))</f>
        <v/>
      </c>
      <c r="AF742">
        <f>IF($AD$742=0,"",INDEX(tk_JAMB,$AD$742))</f>
        <v/>
      </c>
      <c r="AG742">
        <f>IF($AD$742=0,"",INDEX(tk_ANCHOR,$AD$742))</f>
        <v/>
      </c>
      <c r="AH742">
        <f>IF($AD$742=0,"",INDEX(tk_ANCH,$AD$742))</f>
        <v/>
      </c>
      <c r="AI742">
        <f>IF($AD$742=0,"",INDEX(tk_BASEA,$AD$742))</f>
        <v/>
      </c>
      <c r="AJ742">
        <f>IF($AD$742=0,"",INDEX(tk_CONSTR,$AD$742))</f>
        <v/>
      </c>
      <c r="AK742">
        <f>IF($AD$742=0,"",INDEX(tk_CLOSER,$AD$742))</f>
        <v/>
      </c>
      <c r="AL742">
        <f>IF($AD$742=0,"",INDEX(tk_STRIKE,$AD$742))</f>
        <v/>
      </c>
      <c r="AM742">
        <f>IF($AD$742=0,"",INDEX(tk_HDRPREP,$AD$742))</f>
        <v/>
      </c>
      <c r="AN742">
        <f>IF($AD$742=0,"",INDEX(tk_DMIN,$AD$742))</f>
        <v/>
      </c>
      <c r="AO742">
        <f>IF($AD$742=0,"",INDEX(tk_PAIR,$AD$742))</f>
        <v/>
      </c>
      <c r="AP742">
        <f>IF($AD$742=0,"",INDEX(tk_FGA,$AD$742))</f>
        <v/>
      </c>
      <c r="AQ742">
        <f>IF($AD$742=0,"",INDEX(tk_WI,$AD$742))</f>
        <v/>
      </c>
      <c r="AR742">
        <f>IF($AD$742=0,"",INDEX(tk_HI,$AD$742))</f>
        <v/>
      </c>
      <c r="AS742">
        <f>IF($AD$742=0,"",INDEX(tk_FHINGE,$AD$742))</f>
        <v/>
      </c>
      <c r="AT742">
        <f>IF($AD$742=0,"",INDEX(tk_DHINGE,$AD$742))</f>
        <v/>
      </c>
      <c r="AU742">
        <f>IF($AD$742=0,"",INDEX(tk_HWLOC,$AD$742))</f>
        <v/>
      </c>
      <c r="AV742">
        <f>IF($AD$742=0,"",INDEX(tk_MANUF,$AD$742))</f>
        <v/>
      </c>
      <c r="AW742">
        <f>IF($AD$742=0,"",INDEX(tk_JH,$AD$742))</f>
        <v/>
      </c>
      <c r="AX742">
        <f>IF($AD$742=0,"",INDEX(tk_FDESC,$AD$742))</f>
        <v/>
      </c>
      <c r="AY742">
        <f>IF($AD$742=0,"",INDEX(tk_TRANS,$AD$742))</f>
        <v/>
      </c>
      <c r="AZ742">
        <f>IF($AD$742=0,"",INDEX(tk_SLW,$AD$742))</f>
        <v/>
      </c>
      <c r="BA742">
        <f>IF($AD$742=0,"",INDEX(tk_LEAVES,$AD$742))</f>
        <v/>
      </c>
      <c r="BB742">
        <f>IF($AD$742=0,"",INDEX(tk_LEAFW,$AD$742))</f>
        <v/>
      </c>
      <c r="BC742">
        <f>IF($AD$742=0,"",INDEX(tk_LEAFH,$AD$742))</f>
        <v/>
      </c>
      <c r="BD742">
        <f>IF($AD$742=0,"",INDEX(tk_DMAT,$AD$742))</f>
        <v/>
      </c>
      <c r="BE742">
        <f>IF($AD$742=0,"",INDEX(tk_DGA,$AD$742))</f>
        <v/>
      </c>
      <c r="BF742">
        <f>IF($AD$742=0,"",INDEX(tk_SERIES,$AD$742))</f>
        <v/>
      </c>
      <c r="BG742">
        <f>IF($AD$742=0,"",INDEX(tk_LOCK,$AD$742))</f>
        <v/>
      </c>
      <c r="BH742">
        <f>IF($AD$742=0,"",INDEX(tk_LITEKIT,$AD$742))</f>
        <v/>
      </c>
      <c r="BI742">
        <f>IF($AD$742=0,"",INDEX(tk_FACE,$AD$742))</f>
        <v/>
      </c>
      <c r="BJ742">
        <f>IF($AD$742=0,"",INDEX(tk_HLEG,$AD$742))</f>
        <v/>
      </c>
      <c r="BK742">
        <f>IF($AD$742=0,"",INDEX(tk_SOITEM,$AD$742))</f>
        <v/>
      </c>
      <c r="BL742">
        <f>IFERROR(VLOOKUP($AF$742,CODES,2,FALSE),"")</f>
        <v/>
      </c>
      <c r="BM742">
        <f>IF($AJ$742="KD","C","M")</f>
        <v/>
      </c>
      <c r="BN742">
        <f>IF(N($AR$742)&lt;=80,80,IF(N($AR$742)&lt;=84,84,IF(N($AR$742)&lt;=96,96,N($AR$742))))</f>
        <v/>
      </c>
      <c r="BO742">
        <f>INT($BN$742/12)&amp;MOD($BN$742,12)</f>
        <v/>
      </c>
      <c r="BP742">
        <f>INT(N($AQ$742)/12)&amp;MOD(N($AQ$742),12)</f>
        <v/>
      </c>
      <c r="BQ742">
        <f>IF(OR($AU$742="",$AU$742="ANSI/SDI",$AU$742="CUSTOM LOC"),IF($AV$742="CU","CURRIES","STEELCRAFT"),$AU$742)</f>
        <v/>
      </c>
      <c r="BR742">
        <f>$AO$742="Y"</f>
        <v/>
      </c>
      <c r="BS742">
        <f>"~"</f>
        <v/>
      </c>
      <c r="BT742">
        <f>$AE$742*N($BA$742)</f>
        <v/>
      </c>
      <c r="BU742">
        <f>OR(LEFT($BD$742,3)="OAK",LEFT($BD$742,3)="BIR",LEFT($BD$742,3)="MAP",$BD$742="PC",$BD$742="MC",$BD$742="SCLC",$BD$742="P-LAM")</f>
        <v/>
      </c>
      <c r="BV742">
        <f>INT(N($AQ$742)/MAX(1,N($BA$742))/12)&amp;MOD(N($AQ$742)/MAX(1,N($BA$742)),12)</f>
        <v/>
      </c>
      <c r="BW742">
        <f>IF(OR($BG$742="G11",$BG$742="G11A",$BG$742="G12A"),"G2",IF(OR(LEFT($BG$742,2)="G3",$BG$742="G12"),"G3AEO",$BG$742))</f>
        <v/>
      </c>
      <c r="BX742">
        <f>"(Net size: "&amp;TRIM(TEXT(N($BB$742),"# ?/??"))&amp;CHAR(34)&amp;" x "&amp;TRIM(TEXT(N($BC$742),"# ?/??"))&amp;CHAR(34)&amp;")"</f>
        <v/>
      </c>
      <c r="BY742">
        <f>IF(LEFT($BD$742,3)="OAK","RED OAK",IF(LEFT($BD$742,3)="BIR","BIRCH",IF(LEFT($BD$742,3)="MAP","MAPLE","WOOD")))</f>
        <v/>
      </c>
      <c r="BZ742">
        <f>IF(OR($AT$742="U454",AND($AT$742="",$AS$742="U454")),"454","453")</f>
        <v/>
      </c>
      <c r="CA742">
        <f>IF($AD$742=0,"",IF($BU$742,$BT$742&amp;"|"&amp;$BV$742&amp;$BO$742&amp;" "&amp;$BY$742&amp;" SLAB "&amp;IF(N($AN$742)&gt;0,$AN$742&amp;" MINUTE",IF(RIGHT($BD$742,2)="MC","MC","SC")&amp;" WOOD DOOR")&amp;"|"&amp;$BX$742&amp;"|"&amp;$BS$742,$BT$742&amp;"|"&amp;$BV$742&amp;$BO$742&amp;$BW$742&amp;" BSC "&amp;$BQ$742&amp;" DOOR "&amp;$BE$742&amp;"Ga. Non-Handed "&amp;IF($BF$742="","707",$BF$742)&amp;"S Flush HM|"&amp;$BX$742&amp;"|"&amp;$BS$742)&amp;IF(N($AN$742)&gt;0,$BT$742&amp;"|"&amp;$AN$742&amp;IF($BU$742," MINUTE WARNOCK HERSHEY FIRE RATED WOOD LABEL"," MINUTE FOAM CORE STEEL DOOR LABEL (MODELS 607 &amp; 707)")&amp;"||"&amp;$BS$742,"")&amp;IF(AND(NOT($BU$742),OR($BG$742="G11",$BG$742="G11A",$BG$742="G12",$BG$742="G12A")),$AE$742&amp;"|EXIT DEVICE PREP FOR HM DOOR||"&amp;$BS$742,"")&amp;IF(AND(NOT($BU$742),$BG$742="G12"),$AE$742&amp;"|DR 350 MORTISE LOCK FILLER PLATE||"&amp;$BS$742,"")&amp;IF(AND(NOT($BU$742),LEFT($BG$742,2)="G3"),$AE$742&amp;"|MORTISE LOCK PREP||"&amp;$BS$742,"")&amp;IF($BU$742,$BT$742&amp;"|"&amp;IF($BG$742="G18",$BZ$742&amp;"-4 1/2"&amp;CHAR(34)&amp;"X4 1/2"&amp;CHAR(34)&amp;" HINGES ONLY PREP","HINGE PREP "&amp;$BZ$742&amp;" WITH LOCK PREP")&amp;"|"&amp;$BQ$742&amp;" LOC|"&amp;$BS$742,"")&amp;IF(OR($BG$742="G2G2",$BG$742="G17",$BG$742="E1E4"),$AE$742&amp;"|"&amp;IF($BU$742,"DDLP CYLINDRICAL DEADLOCK PREP","DOOR DEADLOCK PREP")&amp;"||"&amp;$BS$742,"")&amp;IF(OR($BH$742="FG",$BH$742="HG",$BH$742="FNV",$BH$742="FV"),$BT$742&amp;"|"&amp;$BI$742&amp;" LITE KIT||"&amp;$BS$742,IF($BH$742="FL",$BT$742&amp;"|"&amp;$BI$742&amp;" LOUVER||"&amp;$BS$742,IF($BH$742="FP",$BT$742&amp;"|DVP DOOR VIEWER PREP||"&amp;$BS$742,"")))&amp;IF($BN$742&gt;N($AR$742),$BT$742&amp;"|DCO DOOR CUT DOWN ONLY (HEIGHT)|Cut "&amp;TRIM(TEXT($BN$742-N($AR$742),"# ?/??"))&amp;CHAR(34)&amp;" OFF THE BOTTOM|"&amp;$BS$742,""))</f>
        <v/>
      </c>
    </row>
    <row r="743">
      <c r="B743" s="180">
        <f>IF($AD743="","",VALUE(LEFT($AD743,FIND("|",$AD743)-1)))</f>
        <v/>
      </c>
      <c r="C743" s="180">
        <f>IF($AD743="","","    "&amp;MID($AD743,FIND("|",$AD743)+1,FIND("|",$AD743,FIND("|",$AD743)+1)-FIND("|",$AD743)-1))</f>
        <v/>
      </c>
      <c r="D743" s="180">
        <f>IF($AD743="","",MID($AD743,FIND("|",$AD743,FIND("|",$AD743)+1)+1,FIND("|",$AD743&amp;"|",FIND("|",$AD743,FIND("|",$AD743)+1)+1)-FIND("|",$AD743,FIND("|",$AD743)+1)-1))</f>
        <v/>
      </c>
      <c r="AD743">
        <f>TRIM(MID(SUBSTITUTE($CA$742,"~",REPT(" ",600)),1,600))</f>
        <v/>
      </c>
    </row>
    <row r="744">
      <c r="B744" s="180">
        <f>IF($AD744="","",VALUE(LEFT($AD744,FIND("|",$AD744)-1)))</f>
        <v/>
      </c>
      <c r="C744" s="180">
        <f>IF($AD744="","","    "&amp;MID($AD744,FIND("|",$AD744)+1,FIND("|",$AD744,FIND("|",$AD744)+1)-FIND("|",$AD744)-1))</f>
        <v/>
      </c>
      <c r="D744" s="180">
        <f>IF($AD744="","",MID($AD744,FIND("|",$AD744,FIND("|",$AD744)+1)+1,FIND("|",$AD744&amp;"|",FIND("|",$AD744,FIND("|",$AD744)+1)+1)-FIND("|",$AD744,FIND("|",$AD744)+1)-1))</f>
        <v/>
      </c>
      <c r="AD744">
        <f>TRIM(MID(SUBSTITUTE($CA$742,"~",REPT(" ",600)),601,600))</f>
        <v/>
      </c>
    </row>
    <row r="745">
      <c r="B745" s="180">
        <f>IF($AD745="","",VALUE(LEFT($AD745,FIND("|",$AD745)-1)))</f>
        <v/>
      </c>
      <c r="C745" s="180">
        <f>IF($AD745="","","    "&amp;MID($AD745,FIND("|",$AD745)+1,FIND("|",$AD745,FIND("|",$AD745)+1)-FIND("|",$AD745)-1))</f>
        <v/>
      </c>
      <c r="D745" s="180">
        <f>IF($AD745="","",MID($AD745,FIND("|",$AD745,FIND("|",$AD745)+1)+1,FIND("|",$AD745&amp;"|",FIND("|",$AD745,FIND("|",$AD745)+1)+1)-FIND("|",$AD745,FIND("|",$AD745)+1)-1))</f>
        <v/>
      </c>
      <c r="AD745">
        <f>TRIM(MID(SUBSTITUTE($CA$742,"~",REPT(" ",600)),1201,600))</f>
        <v/>
      </c>
    </row>
    <row r="746">
      <c r="B746" s="180">
        <f>IF($AD746="","",VALUE(LEFT($AD746,FIND("|",$AD746)-1)))</f>
        <v/>
      </c>
      <c r="C746" s="180">
        <f>IF($AD746="","","    "&amp;MID($AD746,FIND("|",$AD746)+1,FIND("|",$AD746,FIND("|",$AD746)+1)-FIND("|",$AD746)-1))</f>
        <v/>
      </c>
      <c r="D746" s="180">
        <f>IF($AD746="","",MID($AD746,FIND("|",$AD746,FIND("|",$AD746)+1)+1,FIND("|",$AD746&amp;"|",FIND("|",$AD746,FIND("|",$AD746)+1)+1)-FIND("|",$AD746,FIND("|",$AD746)+1)-1))</f>
        <v/>
      </c>
      <c r="AD746">
        <f>TRIM(MID(SUBSTITUTE($CA$742,"~",REPT(" ",600)),1801,600))</f>
        <v/>
      </c>
    </row>
    <row r="747">
      <c r="B747" s="180">
        <f>IF($AD747="","",VALUE(LEFT($AD747,FIND("|",$AD747)-1)))</f>
        <v/>
      </c>
      <c r="C747" s="180">
        <f>IF($AD747="","","    "&amp;MID($AD747,FIND("|",$AD747)+1,FIND("|",$AD747,FIND("|",$AD747)+1)-FIND("|",$AD747)-1))</f>
        <v/>
      </c>
      <c r="D747" s="180">
        <f>IF($AD747="","",MID($AD747,FIND("|",$AD747,FIND("|",$AD747)+1)+1,FIND("|",$AD747&amp;"|",FIND("|",$AD747,FIND("|",$AD747)+1)+1)-FIND("|",$AD747,FIND("|",$AD747)+1)-1))</f>
        <v/>
      </c>
      <c r="AD747">
        <f>TRIM(MID(SUBSTITUTE($CA$742,"~",REPT(" ",600)),2401,600))</f>
        <v/>
      </c>
    </row>
    <row r="748">
      <c r="B748" s="180">
        <f>IF($AD748="","",VALUE(LEFT($AD748,FIND("|",$AD748)-1)))</f>
        <v/>
      </c>
      <c r="C748" s="180">
        <f>IF($AD748="","","    "&amp;MID($AD748,FIND("|",$AD748)+1,FIND("|",$AD748,FIND("|",$AD748)+1)-FIND("|",$AD748)-1))</f>
        <v/>
      </c>
      <c r="D748" s="180">
        <f>IF($AD748="","",MID($AD748,FIND("|",$AD748,FIND("|",$AD748)+1)+1,FIND("|",$AD748&amp;"|",FIND("|",$AD748,FIND("|",$AD748)+1)+1)-FIND("|",$AD748,FIND("|",$AD748)+1)-1))</f>
        <v/>
      </c>
      <c r="AD748">
        <f>TRIM(MID(SUBSTITUTE($CA$742,"~",REPT(" ",600)),3001,600))</f>
        <v/>
      </c>
    </row>
    <row r="749">
      <c r="B749" s="180">
        <f>IF($AD749="","",VALUE(LEFT($AD749,FIND("|",$AD749)-1)))</f>
        <v/>
      </c>
      <c r="C749" s="180">
        <f>IF($AD749="","","    "&amp;MID($AD749,FIND("|",$AD749)+1,FIND("|",$AD749,FIND("|",$AD749)+1)-FIND("|",$AD749)-1))</f>
        <v/>
      </c>
      <c r="D749" s="180">
        <f>IF($AD749="","",MID($AD749,FIND("|",$AD749,FIND("|",$AD749)+1)+1,FIND("|",$AD749&amp;"|",FIND("|",$AD749,FIND("|",$AD749)+1)+1)-FIND("|",$AD749,FIND("|",$AD749)+1)-1))</f>
        <v/>
      </c>
      <c r="AD749">
        <f>TRIM(MID(SUBSTITUTE($CA$742,"~",REPT(" ",600)),3601,600))</f>
        <v/>
      </c>
    </row>
    <row r="750">
      <c r="B750" s="180">
        <f>IF($AD750="","",VALUE(LEFT($AD750,FIND("|",$AD750)-1)))</f>
        <v/>
      </c>
      <c r="C750" s="180">
        <f>IF($AD750="","","    "&amp;MID($AD750,FIND("|",$AD750)+1,FIND("|",$AD750,FIND("|",$AD750)+1)-FIND("|",$AD750)-1))</f>
        <v/>
      </c>
      <c r="D750" s="180">
        <f>IF($AD750="","",MID($AD750,FIND("|",$AD750,FIND("|",$AD750)+1)+1,FIND("|",$AD750&amp;"|",FIND("|",$AD750,FIND("|",$AD750)+1)+1)-FIND("|",$AD750,FIND("|",$AD750)+1)-1))</f>
        <v/>
      </c>
      <c r="AD750">
        <f>TRIM(MID(SUBSTITUTE($CA$742,"~",REPT(" ",600)),4201,600))</f>
        <v/>
      </c>
    </row>
    <row r="751">
      <c r="B751" s="180">
        <f>IF($AD751="","",VALUE(LEFT($AD751,FIND("|",$AD751)-1)))</f>
        <v/>
      </c>
      <c r="C751" s="180">
        <f>IF($AD751="","","    "&amp;MID($AD751,FIND("|",$AD751)+1,FIND("|",$AD751,FIND("|",$AD751)+1)-FIND("|",$AD751)-1))</f>
        <v/>
      </c>
      <c r="D751" s="180">
        <f>IF($AD751="","",MID($AD751,FIND("|",$AD751,FIND("|",$AD751)+1)+1,FIND("|",$AD751&amp;"|",FIND("|",$AD751,FIND("|",$AD751)+1)+1)-FIND("|",$AD751,FIND("|",$AD751)+1)-1))</f>
        <v/>
      </c>
      <c r="AD751">
        <f>TRIM(MID(SUBSTITUTE($CA$742,"~",REPT(" ",600)),4801,600))</f>
        <v/>
      </c>
    </row>
    <row r="752">
      <c r="B752" s="180">
        <f>IF($AD752="","",VALUE(LEFT($AD752,FIND("|",$AD752)-1)))</f>
        <v/>
      </c>
      <c r="C752" s="180">
        <f>IF($AD752="","","    "&amp;MID($AD752,FIND("|",$AD752)+1,FIND("|",$AD752,FIND("|",$AD752)+1)-FIND("|",$AD752)-1))</f>
        <v/>
      </c>
      <c r="D752" s="180">
        <f>IF($AD752="","",MID($AD752,FIND("|",$AD752,FIND("|",$AD752)+1)+1,FIND("|",$AD752&amp;"|",FIND("|",$AD752,FIND("|",$AD752)+1)+1)-FIND("|",$AD752,FIND("|",$AD752)+1)-1))</f>
        <v/>
      </c>
      <c r="AD752">
        <f>TRIM(MID(SUBSTITUTE($CA$742,"~",REPT(" ",600)),5401,600))</f>
        <v/>
      </c>
    </row>
    <row r="753">
      <c r="B753" s="180">
        <f>IF($AD753="","",VALUE(LEFT($AD753,FIND("|",$AD753)-1)))</f>
        <v/>
      </c>
      <c r="C753" s="180">
        <f>IF($AD753="","","    "&amp;MID($AD753,FIND("|",$AD753)+1,FIND("|",$AD753,FIND("|",$AD753)+1)-FIND("|",$AD753)-1))</f>
        <v/>
      </c>
      <c r="D753" s="180">
        <f>IF($AD753="","",MID($AD753,FIND("|",$AD753,FIND("|",$AD753)+1)+1,FIND("|",$AD753&amp;"|",FIND("|",$AD753,FIND("|",$AD753)+1)+1)-FIND("|",$AD753,FIND("|",$AD753)+1)-1))</f>
        <v/>
      </c>
      <c r="AD753">
        <f>TRIM(MID(SUBSTITUTE($CA$742,"~",REPT(" ",600)),6001,600))</f>
        <v/>
      </c>
    </row>
    <row r="754">
      <c r="A754" s="178">
        <f>IF($AD$754=0,"",$BK$754)</f>
        <v/>
      </c>
      <c r="B754" s="178">
        <f>IF($AD$754=0,"",$AE$754*N($BA$754))</f>
        <v/>
      </c>
      <c r="C754" s="178">
        <f>IF($AD$754=0,"",$AE$754*N($BA$754)&amp;") "&amp;IF(COUNTIFS(tk_SODG,3,tk_HLEG,"&lt;&gt;"&amp;$BJ$754)=0,INDEX(tk_DLINE,$AD$754),INDEX(tk_DLINEN,$AD$754)))</f>
        <v/>
      </c>
      <c r="D754" s="178" t="n"/>
      <c r="E754" s="179">
        <f t="array" ref="E754">IF($AD$754=0,"",_xlfn.TEXTJOIN(", ",TRUE,IF(tk_SODG=3,"#"&amp;tk_MARK&amp;IF(tk_HLEG="","","("&amp;tk_HLEG&amp;")")&amp;IF(tk_QTY&gt;1," ×"&amp;tk_QTY,""),"")))</f>
        <v/>
      </c>
      <c r="AD754">
        <f>IFERROR(MATCH(3,tk_SODG,0),0)</f>
        <v/>
      </c>
      <c r="AE754">
        <f>IF($AD$754=0,0,SUMIF(tk_SODG,3,tk_QTY))</f>
        <v/>
      </c>
      <c r="AF754">
        <f>IF($AD$754=0,"",INDEX(tk_JAMB,$AD$754))</f>
        <v/>
      </c>
      <c r="AG754">
        <f>IF($AD$754=0,"",INDEX(tk_ANCHOR,$AD$754))</f>
        <v/>
      </c>
      <c r="AH754">
        <f>IF($AD$754=0,"",INDEX(tk_ANCH,$AD$754))</f>
        <v/>
      </c>
      <c r="AI754">
        <f>IF($AD$754=0,"",INDEX(tk_BASEA,$AD$754))</f>
        <v/>
      </c>
      <c r="AJ754">
        <f>IF($AD$754=0,"",INDEX(tk_CONSTR,$AD$754))</f>
        <v/>
      </c>
      <c r="AK754">
        <f>IF($AD$754=0,"",INDEX(tk_CLOSER,$AD$754))</f>
        <v/>
      </c>
      <c r="AL754">
        <f>IF($AD$754=0,"",INDEX(tk_STRIKE,$AD$754))</f>
        <v/>
      </c>
      <c r="AM754">
        <f>IF($AD$754=0,"",INDEX(tk_HDRPREP,$AD$754))</f>
        <v/>
      </c>
      <c r="AN754">
        <f>IF($AD$754=0,"",INDEX(tk_DMIN,$AD$754))</f>
        <v/>
      </c>
      <c r="AO754">
        <f>IF($AD$754=0,"",INDEX(tk_PAIR,$AD$754))</f>
        <v/>
      </c>
      <c r="AP754">
        <f>IF($AD$754=0,"",INDEX(tk_FGA,$AD$754))</f>
        <v/>
      </c>
      <c r="AQ754">
        <f>IF($AD$754=0,"",INDEX(tk_WI,$AD$754))</f>
        <v/>
      </c>
      <c r="AR754">
        <f>IF($AD$754=0,"",INDEX(tk_HI,$AD$754))</f>
        <v/>
      </c>
      <c r="AS754">
        <f>IF($AD$754=0,"",INDEX(tk_FHINGE,$AD$754))</f>
        <v/>
      </c>
      <c r="AT754">
        <f>IF($AD$754=0,"",INDEX(tk_DHINGE,$AD$754))</f>
        <v/>
      </c>
      <c r="AU754">
        <f>IF($AD$754=0,"",INDEX(tk_HWLOC,$AD$754))</f>
        <v/>
      </c>
      <c r="AV754">
        <f>IF($AD$754=0,"",INDEX(tk_MANUF,$AD$754))</f>
        <v/>
      </c>
      <c r="AW754">
        <f>IF($AD$754=0,"",INDEX(tk_JH,$AD$754))</f>
        <v/>
      </c>
      <c r="AX754">
        <f>IF($AD$754=0,"",INDEX(tk_FDESC,$AD$754))</f>
        <v/>
      </c>
      <c r="AY754">
        <f>IF($AD$754=0,"",INDEX(tk_TRANS,$AD$754))</f>
        <v/>
      </c>
      <c r="AZ754">
        <f>IF($AD$754=0,"",INDEX(tk_SLW,$AD$754))</f>
        <v/>
      </c>
      <c r="BA754">
        <f>IF($AD$754=0,"",INDEX(tk_LEAVES,$AD$754))</f>
        <v/>
      </c>
      <c r="BB754">
        <f>IF($AD$754=0,"",INDEX(tk_LEAFW,$AD$754))</f>
        <v/>
      </c>
      <c r="BC754">
        <f>IF($AD$754=0,"",INDEX(tk_LEAFH,$AD$754))</f>
        <v/>
      </c>
      <c r="BD754">
        <f>IF($AD$754=0,"",INDEX(tk_DMAT,$AD$754))</f>
        <v/>
      </c>
      <c r="BE754">
        <f>IF($AD$754=0,"",INDEX(tk_DGA,$AD$754))</f>
        <v/>
      </c>
      <c r="BF754">
        <f>IF($AD$754=0,"",INDEX(tk_SERIES,$AD$754))</f>
        <v/>
      </c>
      <c r="BG754">
        <f>IF($AD$754=0,"",INDEX(tk_LOCK,$AD$754))</f>
        <v/>
      </c>
      <c r="BH754">
        <f>IF($AD$754=0,"",INDEX(tk_LITEKIT,$AD$754))</f>
        <v/>
      </c>
      <c r="BI754">
        <f>IF($AD$754=0,"",INDEX(tk_FACE,$AD$754))</f>
        <v/>
      </c>
      <c r="BJ754">
        <f>IF($AD$754=0,"",INDEX(tk_HLEG,$AD$754))</f>
        <v/>
      </c>
      <c r="BK754">
        <f>IF($AD$754=0,"",INDEX(tk_SOITEM,$AD$754))</f>
        <v/>
      </c>
      <c r="BL754">
        <f>IFERROR(VLOOKUP($AF$754,CODES,2,FALSE),"")</f>
        <v/>
      </c>
      <c r="BM754">
        <f>IF($AJ$754="KD","C","M")</f>
        <v/>
      </c>
      <c r="BN754">
        <f>IF(N($AR$754)&lt;=80,80,IF(N($AR$754)&lt;=84,84,IF(N($AR$754)&lt;=96,96,N($AR$754))))</f>
        <v/>
      </c>
      <c r="BO754">
        <f>INT($BN$754/12)&amp;MOD($BN$754,12)</f>
        <v/>
      </c>
      <c r="BP754">
        <f>INT(N($AQ$754)/12)&amp;MOD(N($AQ$754),12)</f>
        <v/>
      </c>
      <c r="BQ754">
        <f>IF(OR($AU$754="",$AU$754="ANSI/SDI",$AU$754="CUSTOM LOC"),IF($AV$754="CU","CURRIES","STEELCRAFT"),$AU$754)</f>
        <v/>
      </c>
      <c r="BR754">
        <f>$AO$754="Y"</f>
        <v/>
      </c>
      <c r="BS754">
        <f>"~"</f>
        <v/>
      </c>
      <c r="BT754">
        <f>$AE$754*N($BA$754)</f>
        <v/>
      </c>
      <c r="BU754">
        <f>OR(LEFT($BD$754,3)="OAK",LEFT($BD$754,3)="BIR",LEFT($BD$754,3)="MAP",$BD$754="PC",$BD$754="MC",$BD$754="SCLC",$BD$754="P-LAM")</f>
        <v/>
      </c>
      <c r="BV754">
        <f>INT(N($AQ$754)/MAX(1,N($BA$754))/12)&amp;MOD(N($AQ$754)/MAX(1,N($BA$754)),12)</f>
        <v/>
      </c>
      <c r="BW754">
        <f>IF(OR($BG$754="G11",$BG$754="G11A",$BG$754="G12A"),"G2",IF(OR(LEFT($BG$754,2)="G3",$BG$754="G12"),"G3AEO",$BG$754))</f>
        <v/>
      </c>
      <c r="BX754">
        <f>"(Net size: "&amp;TRIM(TEXT(N($BB$754),"# ?/??"))&amp;CHAR(34)&amp;" x "&amp;TRIM(TEXT(N($BC$754),"# ?/??"))&amp;CHAR(34)&amp;")"</f>
        <v/>
      </c>
      <c r="BY754">
        <f>IF(LEFT($BD$754,3)="OAK","RED OAK",IF(LEFT($BD$754,3)="BIR","BIRCH",IF(LEFT($BD$754,3)="MAP","MAPLE","WOOD")))</f>
        <v/>
      </c>
      <c r="BZ754">
        <f>IF(OR($AT$754="U454",AND($AT$754="",$AS$754="U454")),"454","453")</f>
        <v/>
      </c>
      <c r="CA754">
        <f>IF($AD$754=0,"",IF($BU$754,$BT$754&amp;"|"&amp;$BV$754&amp;$BO$754&amp;" "&amp;$BY$754&amp;" SLAB "&amp;IF(N($AN$754)&gt;0,$AN$754&amp;" MINUTE",IF(RIGHT($BD$754,2)="MC","MC","SC")&amp;" WOOD DOOR")&amp;"|"&amp;$BX$754&amp;"|"&amp;$BS$754,$BT$754&amp;"|"&amp;$BV$754&amp;$BO$754&amp;$BW$754&amp;" BSC "&amp;$BQ$754&amp;" DOOR "&amp;$BE$754&amp;"Ga. Non-Handed "&amp;IF($BF$754="","707",$BF$754)&amp;"S Flush HM|"&amp;$BX$754&amp;"|"&amp;$BS$754)&amp;IF(N($AN$754)&gt;0,$BT$754&amp;"|"&amp;$AN$754&amp;IF($BU$754," MINUTE WARNOCK HERSHEY FIRE RATED WOOD LABEL"," MINUTE FOAM CORE STEEL DOOR LABEL (MODELS 607 &amp; 707)")&amp;"||"&amp;$BS$754,"")&amp;IF(AND(NOT($BU$754),OR($BG$754="G11",$BG$754="G11A",$BG$754="G12",$BG$754="G12A")),$AE$754&amp;"|EXIT DEVICE PREP FOR HM DOOR||"&amp;$BS$754,"")&amp;IF(AND(NOT($BU$754),$BG$754="G12"),$AE$754&amp;"|DR 350 MORTISE LOCK FILLER PLATE||"&amp;$BS$754,"")&amp;IF(AND(NOT($BU$754),LEFT($BG$754,2)="G3"),$AE$754&amp;"|MORTISE LOCK PREP||"&amp;$BS$754,"")&amp;IF($BU$754,$BT$754&amp;"|"&amp;IF($BG$754="G18",$BZ$754&amp;"-4 1/2"&amp;CHAR(34)&amp;"X4 1/2"&amp;CHAR(34)&amp;" HINGES ONLY PREP","HINGE PREP "&amp;$BZ$754&amp;" WITH LOCK PREP")&amp;"|"&amp;$BQ$754&amp;" LOC|"&amp;$BS$754,"")&amp;IF(OR($BG$754="G2G2",$BG$754="G17",$BG$754="E1E4"),$AE$754&amp;"|"&amp;IF($BU$754,"DDLP CYLINDRICAL DEADLOCK PREP","DOOR DEADLOCK PREP")&amp;"||"&amp;$BS$754,"")&amp;IF(OR($BH$754="FG",$BH$754="HG",$BH$754="FNV",$BH$754="FV"),$BT$754&amp;"|"&amp;$BI$754&amp;" LITE KIT||"&amp;$BS$754,IF($BH$754="FL",$BT$754&amp;"|"&amp;$BI$754&amp;" LOUVER||"&amp;$BS$754,IF($BH$754="FP",$BT$754&amp;"|DVP DOOR VIEWER PREP||"&amp;$BS$754,"")))&amp;IF($BN$754&gt;N($AR$754),$BT$754&amp;"|DCO DOOR CUT DOWN ONLY (HEIGHT)|Cut "&amp;TRIM(TEXT($BN$754-N($AR$754),"# ?/??"))&amp;CHAR(34)&amp;" OFF THE BOTTOM|"&amp;$BS$754,""))</f>
        <v/>
      </c>
    </row>
    <row r="755">
      <c r="B755" s="180">
        <f>IF($AD755="","",VALUE(LEFT($AD755,FIND("|",$AD755)-1)))</f>
        <v/>
      </c>
      <c r="C755" s="180">
        <f>IF($AD755="","","    "&amp;MID($AD755,FIND("|",$AD755)+1,FIND("|",$AD755,FIND("|",$AD755)+1)-FIND("|",$AD755)-1))</f>
        <v/>
      </c>
      <c r="D755" s="180">
        <f>IF($AD755="","",MID($AD755,FIND("|",$AD755,FIND("|",$AD755)+1)+1,FIND("|",$AD755&amp;"|",FIND("|",$AD755,FIND("|",$AD755)+1)+1)-FIND("|",$AD755,FIND("|",$AD755)+1)-1))</f>
        <v/>
      </c>
      <c r="AD755">
        <f>TRIM(MID(SUBSTITUTE($CA$754,"~",REPT(" ",600)),1,600))</f>
        <v/>
      </c>
    </row>
    <row r="756">
      <c r="B756" s="180">
        <f>IF($AD756="","",VALUE(LEFT($AD756,FIND("|",$AD756)-1)))</f>
        <v/>
      </c>
      <c r="C756" s="180">
        <f>IF($AD756="","","    "&amp;MID($AD756,FIND("|",$AD756)+1,FIND("|",$AD756,FIND("|",$AD756)+1)-FIND("|",$AD756)-1))</f>
        <v/>
      </c>
      <c r="D756" s="180">
        <f>IF($AD756="","",MID($AD756,FIND("|",$AD756,FIND("|",$AD756)+1)+1,FIND("|",$AD756&amp;"|",FIND("|",$AD756,FIND("|",$AD756)+1)+1)-FIND("|",$AD756,FIND("|",$AD756)+1)-1))</f>
        <v/>
      </c>
      <c r="AD756">
        <f>TRIM(MID(SUBSTITUTE($CA$754,"~",REPT(" ",600)),601,600))</f>
        <v/>
      </c>
    </row>
    <row r="757">
      <c r="B757" s="180">
        <f>IF($AD757="","",VALUE(LEFT($AD757,FIND("|",$AD757)-1)))</f>
        <v/>
      </c>
      <c r="C757" s="180">
        <f>IF($AD757="","","    "&amp;MID($AD757,FIND("|",$AD757)+1,FIND("|",$AD757,FIND("|",$AD757)+1)-FIND("|",$AD757)-1))</f>
        <v/>
      </c>
      <c r="D757" s="180">
        <f>IF($AD757="","",MID($AD757,FIND("|",$AD757,FIND("|",$AD757)+1)+1,FIND("|",$AD757&amp;"|",FIND("|",$AD757,FIND("|",$AD757)+1)+1)-FIND("|",$AD757,FIND("|",$AD757)+1)-1))</f>
        <v/>
      </c>
      <c r="AD757">
        <f>TRIM(MID(SUBSTITUTE($CA$754,"~",REPT(" ",600)),1201,600))</f>
        <v/>
      </c>
    </row>
    <row r="758">
      <c r="B758" s="180">
        <f>IF($AD758="","",VALUE(LEFT($AD758,FIND("|",$AD758)-1)))</f>
        <v/>
      </c>
      <c r="C758" s="180">
        <f>IF($AD758="","","    "&amp;MID($AD758,FIND("|",$AD758)+1,FIND("|",$AD758,FIND("|",$AD758)+1)-FIND("|",$AD758)-1))</f>
        <v/>
      </c>
      <c r="D758" s="180">
        <f>IF($AD758="","",MID($AD758,FIND("|",$AD758,FIND("|",$AD758)+1)+1,FIND("|",$AD758&amp;"|",FIND("|",$AD758,FIND("|",$AD758)+1)+1)-FIND("|",$AD758,FIND("|",$AD758)+1)-1))</f>
        <v/>
      </c>
      <c r="AD758">
        <f>TRIM(MID(SUBSTITUTE($CA$754,"~",REPT(" ",600)),1801,600))</f>
        <v/>
      </c>
    </row>
    <row r="759">
      <c r="B759" s="180">
        <f>IF($AD759="","",VALUE(LEFT($AD759,FIND("|",$AD759)-1)))</f>
        <v/>
      </c>
      <c r="C759" s="180">
        <f>IF($AD759="","","    "&amp;MID($AD759,FIND("|",$AD759)+1,FIND("|",$AD759,FIND("|",$AD759)+1)-FIND("|",$AD759)-1))</f>
        <v/>
      </c>
      <c r="D759" s="180">
        <f>IF($AD759="","",MID($AD759,FIND("|",$AD759,FIND("|",$AD759)+1)+1,FIND("|",$AD759&amp;"|",FIND("|",$AD759,FIND("|",$AD759)+1)+1)-FIND("|",$AD759,FIND("|",$AD759)+1)-1))</f>
        <v/>
      </c>
      <c r="AD759">
        <f>TRIM(MID(SUBSTITUTE($CA$754,"~",REPT(" ",600)),2401,600))</f>
        <v/>
      </c>
    </row>
    <row r="760">
      <c r="B760" s="180">
        <f>IF($AD760="","",VALUE(LEFT($AD760,FIND("|",$AD760)-1)))</f>
        <v/>
      </c>
      <c r="C760" s="180">
        <f>IF($AD760="","","    "&amp;MID($AD760,FIND("|",$AD760)+1,FIND("|",$AD760,FIND("|",$AD760)+1)-FIND("|",$AD760)-1))</f>
        <v/>
      </c>
      <c r="D760" s="180">
        <f>IF($AD760="","",MID($AD760,FIND("|",$AD760,FIND("|",$AD760)+1)+1,FIND("|",$AD760&amp;"|",FIND("|",$AD760,FIND("|",$AD760)+1)+1)-FIND("|",$AD760,FIND("|",$AD760)+1)-1))</f>
        <v/>
      </c>
      <c r="AD760">
        <f>TRIM(MID(SUBSTITUTE($CA$754,"~",REPT(" ",600)),3001,600))</f>
        <v/>
      </c>
    </row>
    <row r="761">
      <c r="B761" s="180">
        <f>IF($AD761="","",VALUE(LEFT($AD761,FIND("|",$AD761)-1)))</f>
        <v/>
      </c>
      <c r="C761" s="180">
        <f>IF($AD761="","","    "&amp;MID($AD761,FIND("|",$AD761)+1,FIND("|",$AD761,FIND("|",$AD761)+1)-FIND("|",$AD761)-1))</f>
        <v/>
      </c>
      <c r="D761" s="180">
        <f>IF($AD761="","",MID($AD761,FIND("|",$AD761,FIND("|",$AD761)+1)+1,FIND("|",$AD761&amp;"|",FIND("|",$AD761,FIND("|",$AD761)+1)+1)-FIND("|",$AD761,FIND("|",$AD761)+1)-1))</f>
        <v/>
      </c>
      <c r="AD761">
        <f>TRIM(MID(SUBSTITUTE($CA$754,"~",REPT(" ",600)),3601,600))</f>
        <v/>
      </c>
    </row>
    <row r="762">
      <c r="B762" s="180">
        <f>IF($AD762="","",VALUE(LEFT($AD762,FIND("|",$AD762)-1)))</f>
        <v/>
      </c>
      <c r="C762" s="180">
        <f>IF($AD762="","","    "&amp;MID($AD762,FIND("|",$AD762)+1,FIND("|",$AD762,FIND("|",$AD762)+1)-FIND("|",$AD762)-1))</f>
        <v/>
      </c>
      <c r="D762" s="180">
        <f>IF($AD762="","",MID($AD762,FIND("|",$AD762,FIND("|",$AD762)+1)+1,FIND("|",$AD762&amp;"|",FIND("|",$AD762,FIND("|",$AD762)+1)+1)-FIND("|",$AD762,FIND("|",$AD762)+1)-1))</f>
        <v/>
      </c>
      <c r="AD762">
        <f>TRIM(MID(SUBSTITUTE($CA$754,"~",REPT(" ",600)),4201,600))</f>
        <v/>
      </c>
    </row>
    <row r="763">
      <c r="B763" s="180">
        <f>IF($AD763="","",VALUE(LEFT($AD763,FIND("|",$AD763)-1)))</f>
        <v/>
      </c>
      <c r="C763" s="180">
        <f>IF($AD763="","","    "&amp;MID($AD763,FIND("|",$AD763)+1,FIND("|",$AD763,FIND("|",$AD763)+1)-FIND("|",$AD763)-1))</f>
        <v/>
      </c>
      <c r="D763" s="180">
        <f>IF($AD763="","",MID($AD763,FIND("|",$AD763,FIND("|",$AD763)+1)+1,FIND("|",$AD763&amp;"|",FIND("|",$AD763,FIND("|",$AD763)+1)+1)-FIND("|",$AD763,FIND("|",$AD763)+1)-1))</f>
        <v/>
      </c>
      <c r="AD763">
        <f>TRIM(MID(SUBSTITUTE($CA$754,"~",REPT(" ",600)),4801,600))</f>
        <v/>
      </c>
    </row>
    <row r="764">
      <c r="B764" s="180">
        <f>IF($AD764="","",VALUE(LEFT($AD764,FIND("|",$AD764)-1)))</f>
        <v/>
      </c>
      <c r="C764" s="180">
        <f>IF($AD764="","","    "&amp;MID($AD764,FIND("|",$AD764)+1,FIND("|",$AD764,FIND("|",$AD764)+1)-FIND("|",$AD764)-1))</f>
        <v/>
      </c>
      <c r="D764" s="180">
        <f>IF($AD764="","",MID($AD764,FIND("|",$AD764,FIND("|",$AD764)+1)+1,FIND("|",$AD764&amp;"|",FIND("|",$AD764,FIND("|",$AD764)+1)+1)-FIND("|",$AD764,FIND("|",$AD764)+1)-1))</f>
        <v/>
      </c>
      <c r="AD764">
        <f>TRIM(MID(SUBSTITUTE($CA$754,"~",REPT(" ",600)),5401,600))</f>
        <v/>
      </c>
    </row>
    <row r="765">
      <c r="B765" s="180">
        <f>IF($AD765="","",VALUE(LEFT($AD765,FIND("|",$AD765)-1)))</f>
        <v/>
      </c>
      <c r="C765" s="180">
        <f>IF($AD765="","","    "&amp;MID($AD765,FIND("|",$AD765)+1,FIND("|",$AD765,FIND("|",$AD765)+1)-FIND("|",$AD765)-1))</f>
        <v/>
      </c>
      <c r="D765" s="180">
        <f>IF($AD765="","",MID($AD765,FIND("|",$AD765,FIND("|",$AD765)+1)+1,FIND("|",$AD765&amp;"|",FIND("|",$AD765,FIND("|",$AD765)+1)+1)-FIND("|",$AD765,FIND("|",$AD765)+1)-1))</f>
        <v/>
      </c>
      <c r="AD765">
        <f>TRIM(MID(SUBSTITUTE($CA$754,"~",REPT(" ",600)),6001,600))</f>
        <v/>
      </c>
    </row>
    <row r="766">
      <c r="A766" s="178">
        <f>IF($AD$766=0,"",$BK$766)</f>
        <v/>
      </c>
      <c r="B766" s="178">
        <f>IF($AD$766=0,"",$AE$766*N($BA$766))</f>
        <v/>
      </c>
      <c r="C766" s="178">
        <f>IF($AD$766=0,"",$AE$766*N($BA$766)&amp;") "&amp;IF(COUNTIFS(tk_SODG,4,tk_HLEG,"&lt;&gt;"&amp;$BJ$766)=0,INDEX(tk_DLINE,$AD$766),INDEX(tk_DLINEN,$AD$766)))</f>
        <v/>
      </c>
      <c r="D766" s="178" t="n"/>
      <c r="E766" s="179">
        <f t="array" ref="E766">IF($AD$766=0,"",_xlfn.TEXTJOIN(", ",TRUE,IF(tk_SODG=4,"#"&amp;tk_MARK&amp;IF(tk_HLEG="","","("&amp;tk_HLEG&amp;")")&amp;IF(tk_QTY&gt;1," ×"&amp;tk_QTY,""),"")))</f>
        <v/>
      </c>
      <c r="AD766">
        <f>IFERROR(MATCH(4,tk_SODG,0),0)</f>
        <v/>
      </c>
      <c r="AE766">
        <f>IF($AD$766=0,0,SUMIF(tk_SODG,4,tk_QTY))</f>
        <v/>
      </c>
      <c r="AF766">
        <f>IF($AD$766=0,"",INDEX(tk_JAMB,$AD$766))</f>
        <v/>
      </c>
      <c r="AG766">
        <f>IF($AD$766=0,"",INDEX(tk_ANCHOR,$AD$766))</f>
        <v/>
      </c>
      <c r="AH766">
        <f>IF($AD$766=0,"",INDEX(tk_ANCH,$AD$766))</f>
        <v/>
      </c>
      <c r="AI766">
        <f>IF($AD$766=0,"",INDEX(tk_BASEA,$AD$766))</f>
        <v/>
      </c>
      <c r="AJ766">
        <f>IF($AD$766=0,"",INDEX(tk_CONSTR,$AD$766))</f>
        <v/>
      </c>
      <c r="AK766">
        <f>IF($AD$766=0,"",INDEX(tk_CLOSER,$AD$766))</f>
        <v/>
      </c>
      <c r="AL766">
        <f>IF($AD$766=0,"",INDEX(tk_STRIKE,$AD$766))</f>
        <v/>
      </c>
      <c r="AM766">
        <f>IF($AD$766=0,"",INDEX(tk_HDRPREP,$AD$766))</f>
        <v/>
      </c>
      <c r="AN766">
        <f>IF($AD$766=0,"",INDEX(tk_DMIN,$AD$766))</f>
        <v/>
      </c>
      <c r="AO766">
        <f>IF($AD$766=0,"",INDEX(tk_PAIR,$AD$766))</f>
        <v/>
      </c>
      <c r="AP766">
        <f>IF($AD$766=0,"",INDEX(tk_FGA,$AD$766))</f>
        <v/>
      </c>
      <c r="AQ766">
        <f>IF($AD$766=0,"",INDEX(tk_WI,$AD$766))</f>
        <v/>
      </c>
      <c r="AR766">
        <f>IF($AD$766=0,"",INDEX(tk_HI,$AD$766))</f>
        <v/>
      </c>
      <c r="AS766">
        <f>IF($AD$766=0,"",INDEX(tk_FHINGE,$AD$766))</f>
        <v/>
      </c>
      <c r="AT766">
        <f>IF($AD$766=0,"",INDEX(tk_DHINGE,$AD$766))</f>
        <v/>
      </c>
      <c r="AU766">
        <f>IF($AD$766=0,"",INDEX(tk_HWLOC,$AD$766))</f>
        <v/>
      </c>
      <c r="AV766">
        <f>IF($AD$766=0,"",INDEX(tk_MANUF,$AD$766))</f>
        <v/>
      </c>
      <c r="AW766">
        <f>IF($AD$766=0,"",INDEX(tk_JH,$AD$766))</f>
        <v/>
      </c>
      <c r="AX766">
        <f>IF($AD$766=0,"",INDEX(tk_FDESC,$AD$766))</f>
        <v/>
      </c>
      <c r="AY766">
        <f>IF($AD$766=0,"",INDEX(tk_TRANS,$AD$766))</f>
        <v/>
      </c>
      <c r="AZ766">
        <f>IF($AD$766=0,"",INDEX(tk_SLW,$AD$766))</f>
        <v/>
      </c>
      <c r="BA766">
        <f>IF($AD$766=0,"",INDEX(tk_LEAVES,$AD$766))</f>
        <v/>
      </c>
      <c r="BB766">
        <f>IF($AD$766=0,"",INDEX(tk_LEAFW,$AD$766))</f>
        <v/>
      </c>
      <c r="BC766">
        <f>IF($AD$766=0,"",INDEX(tk_LEAFH,$AD$766))</f>
        <v/>
      </c>
      <c r="BD766">
        <f>IF($AD$766=0,"",INDEX(tk_DMAT,$AD$766))</f>
        <v/>
      </c>
      <c r="BE766">
        <f>IF($AD$766=0,"",INDEX(tk_DGA,$AD$766))</f>
        <v/>
      </c>
      <c r="BF766">
        <f>IF($AD$766=0,"",INDEX(tk_SERIES,$AD$766))</f>
        <v/>
      </c>
      <c r="BG766">
        <f>IF($AD$766=0,"",INDEX(tk_LOCK,$AD$766))</f>
        <v/>
      </c>
      <c r="BH766">
        <f>IF($AD$766=0,"",INDEX(tk_LITEKIT,$AD$766))</f>
        <v/>
      </c>
      <c r="BI766">
        <f>IF($AD$766=0,"",INDEX(tk_FACE,$AD$766))</f>
        <v/>
      </c>
      <c r="BJ766">
        <f>IF($AD$766=0,"",INDEX(tk_HLEG,$AD$766))</f>
        <v/>
      </c>
      <c r="BK766">
        <f>IF($AD$766=0,"",INDEX(tk_SOITEM,$AD$766))</f>
        <v/>
      </c>
      <c r="BL766">
        <f>IFERROR(VLOOKUP($AF$766,CODES,2,FALSE),"")</f>
        <v/>
      </c>
      <c r="BM766">
        <f>IF($AJ$766="KD","C","M")</f>
        <v/>
      </c>
      <c r="BN766">
        <f>IF(N($AR$766)&lt;=80,80,IF(N($AR$766)&lt;=84,84,IF(N($AR$766)&lt;=96,96,N($AR$766))))</f>
        <v/>
      </c>
      <c r="BO766">
        <f>INT($BN$766/12)&amp;MOD($BN$766,12)</f>
        <v/>
      </c>
      <c r="BP766">
        <f>INT(N($AQ$766)/12)&amp;MOD(N($AQ$766),12)</f>
        <v/>
      </c>
      <c r="BQ766">
        <f>IF(OR($AU$766="",$AU$766="ANSI/SDI",$AU$766="CUSTOM LOC"),IF($AV$766="CU","CURRIES","STEELCRAFT"),$AU$766)</f>
        <v/>
      </c>
      <c r="BR766">
        <f>$AO$766="Y"</f>
        <v/>
      </c>
      <c r="BS766">
        <f>"~"</f>
        <v/>
      </c>
      <c r="BT766">
        <f>$AE$766*N($BA$766)</f>
        <v/>
      </c>
      <c r="BU766">
        <f>OR(LEFT($BD$766,3)="OAK",LEFT($BD$766,3)="BIR",LEFT($BD$766,3)="MAP",$BD$766="PC",$BD$766="MC",$BD$766="SCLC",$BD$766="P-LAM")</f>
        <v/>
      </c>
      <c r="BV766">
        <f>INT(N($AQ$766)/MAX(1,N($BA$766))/12)&amp;MOD(N($AQ$766)/MAX(1,N($BA$766)),12)</f>
        <v/>
      </c>
      <c r="BW766">
        <f>IF(OR($BG$766="G11",$BG$766="G11A",$BG$766="G12A"),"G2",IF(OR(LEFT($BG$766,2)="G3",$BG$766="G12"),"G3AEO",$BG$766))</f>
        <v/>
      </c>
      <c r="BX766">
        <f>"(Net size: "&amp;TRIM(TEXT(N($BB$766),"# ?/??"))&amp;CHAR(34)&amp;" x "&amp;TRIM(TEXT(N($BC$766),"# ?/??"))&amp;CHAR(34)&amp;")"</f>
        <v/>
      </c>
      <c r="BY766">
        <f>IF(LEFT($BD$766,3)="OAK","RED OAK",IF(LEFT($BD$766,3)="BIR","BIRCH",IF(LEFT($BD$766,3)="MAP","MAPLE","WOOD")))</f>
        <v/>
      </c>
      <c r="BZ766">
        <f>IF(OR($AT$766="U454",AND($AT$766="",$AS$766="U454")),"454","453")</f>
        <v/>
      </c>
      <c r="CA766">
        <f>IF($AD$766=0,"",IF($BU$766,$BT$766&amp;"|"&amp;$BV$766&amp;$BO$766&amp;" "&amp;$BY$766&amp;" SLAB "&amp;IF(N($AN$766)&gt;0,$AN$766&amp;" MINUTE",IF(RIGHT($BD$766,2)="MC","MC","SC")&amp;" WOOD DOOR")&amp;"|"&amp;$BX$766&amp;"|"&amp;$BS$766,$BT$766&amp;"|"&amp;$BV$766&amp;$BO$766&amp;$BW$766&amp;" BSC "&amp;$BQ$766&amp;" DOOR "&amp;$BE$766&amp;"Ga. Non-Handed "&amp;IF($BF$766="","707",$BF$766)&amp;"S Flush HM|"&amp;$BX$766&amp;"|"&amp;$BS$766)&amp;IF(N($AN$766)&gt;0,$BT$766&amp;"|"&amp;$AN$766&amp;IF($BU$766," MINUTE WARNOCK HERSHEY FIRE RATED WOOD LABEL"," MINUTE FOAM CORE STEEL DOOR LABEL (MODELS 607 &amp; 707)")&amp;"||"&amp;$BS$766,"")&amp;IF(AND(NOT($BU$766),OR($BG$766="G11",$BG$766="G11A",$BG$766="G12",$BG$766="G12A")),$AE$766&amp;"|EXIT DEVICE PREP FOR HM DOOR||"&amp;$BS$766,"")&amp;IF(AND(NOT($BU$766),$BG$766="G12"),$AE$766&amp;"|DR 350 MORTISE LOCK FILLER PLATE||"&amp;$BS$766,"")&amp;IF(AND(NOT($BU$766),LEFT($BG$766,2)="G3"),$AE$766&amp;"|MORTISE LOCK PREP||"&amp;$BS$766,"")&amp;IF($BU$766,$BT$766&amp;"|"&amp;IF($BG$766="G18",$BZ$766&amp;"-4 1/2"&amp;CHAR(34)&amp;"X4 1/2"&amp;CHAR(34)&amp;" HINGES ONLY PREP","HINGE PREP "&amp;$BZ$766&amp;" WITH LOCK PREP")&amp;"|"&amp;$BQ$766&amp;" LOC|"&amp;$BS$766,"")&amp;IF(OR($BG$766="G2G2",$BG$766="G17",$BG$766="E1E4"),$AE$766&amp;"|"&amp;IF($BU$766,"DDLP CYLINDRICAL DEADLOCK PREP","DOOR DEADLOCK PREP")&amp;"||"&amp;$BS$766,"")&amp;IF(OR($BH$766="FG",$BH$766="HG",$BH$766="FNV",$BH$766="FV"),$BT$766&amp;"|"&amp;$BI$766&amp;" LITE KIT||"&amp;$BS$766,IF($BH$766="FL",$BT$766&amp;"|"&amp;$BI$766&amp;" LOUVER||"&amp;$BS$766,IF($BH$766="FP",$BT$766&amp;"|DVP DOOR VIEWER PREP||"&amp;$BS$766,"")))&amp;IF($BN$766&gt;N($AR$766),$BT$766&amp;"|DCO DOOR CUT DOWN ONLY (HEIGHT)|Cut "&amp;TRIM(TEXT($BN$766-N($AR$766),"# ?/??"))&amp;CHAR(34)&amp;" OFF THE BOTTOM|"&amp;$BS$766,""))</f>
        <v/>
      </c>
    </row>
    <row r="767">
      <c r="B767" s="180">
        <f>IF($AD767="","",VALUE(LEFT($AD767,FIND("|",$AD767)-1)))</f>
        <v/>
      </c>
      <c r="C767" s="180">
        <f>IF($AD767="","","    "&amp;MID($AD767,FIND("|",$AD767)+1,FIND("|",$AD767,FIND("|",$AD767)+1)-FIND("|",$AD767)-1))</f>
        <v/>
      </c>
      <c r="D767" s="180">
        <f>IF($AD767="","",MID($AD767,FIND("|",$AD767,FIND("|",$AD767)+1)+1,FIND("|",$AD767&amp;"|",FIND("|",$AD767,FIND("|",$AD767)+1)+1)-FIND("|",$AD767,FIND("|",$AD767)+1)-1))</f>
        <v/>
      </c>
      <c r="AD767">
        <f>TRIM(MID(SUBSTITUTE($CA$766,"~",REPT(" ",600)),1,600))</f>
        <v/>
      </c>
    </row>
    <row r="768">
      <c r="B768" s="180">
        <f>IF($AD768="","",VALUE(LEFT($AD768,FIND("|",$AD768)-1)))</f>
        <v/>
      </c>
      <c r="C768" s="180">
        <f>IF($AD768="","","    "&amp;MID($AD768,FIND("|",$AD768)+1,FIND("|",$AD768,FIND("|",$AD768)+1)-FIND("|",$AD768)-1))</f>
        <v/>
      </c>
      <c r="D768" s="180">
        <f>IF($AD768="","",MID($AD768,FIND("|",$AD768,FIND("|",$AD768)+1)+1,FIND("|",$AD768&amp;"|",FIND("|",$AD768,FIND("|",$AD768)+1)+1)-FIND("|",$AD768,FIND("|",$AD768)+1)-1))</f>
        <v/>
      </c>
      <c r="AD768">
        <f>TRIM(MID(SUBSTITUTE($CA$766,"~",REPT(" ",600)),601,600))</f>
        <v/>
      </c>
    </row>
    <row r="769">
      <c r="B769" s="180">
        <f>IF($AD769="","",VALUE(LEFT($AD769,FIND("|",$AD769)-1)))</f>
        <v/>
      </c>
      <c r="C769" s="180">
        <f>IF($AD769="","","    "&amp;MID($AD769,FIND("|",$AD769)+1,FIND("|",$AD769,FIND("|",$AD769)+1)-FIND("|",$AD769)-1))</f>
        <v/>
      </c>
      <c r="D769" s="180">
        <f>IF($AD769="","",MID($AD769,FIND("|",$AD769,FIND("|",$AD769)+1)+1,FIND("|",$AD769&amp;"|",FIND("|",$AD769,FIND("|",$AD769)+1)+1)-FIND("|",$AD769,FIND("|",$AD769)+1)-1))</f>
        <v/>
      </c>
      <c r="AD769">
        <f>TRIM(MID(SUBSTITUTE($CA$766,"~",REPT(" ",600)),1201,600))</f>
        <v/>
      </c>
    </row>
    <row r="770">
      <c r="B770" s="180">
        <f>IF($AD770="","",VALUE(LEFT($AD770,FIND("|",$AD770)-1)))</f>
        <v/>
      </c>
      <c r="C770" s="180">
        <f>IF($AD770="","","    "&amp;MID($AD770,FIND("|",$AD770)+1,FIND("|",$AD770,FIND("|",$AD770)+1)-FIND("|",$AD770)-1))</f>
        <v/>
      </c>
      <c r="D770" s="180">
        <f>IF($AD770="","",MID($AD770,FIND("|",$AD770,FIND("|",$AD770)+1)+1,FIND("|",$AD770&amp;"|",FIND("|",$AD770,FIND("|",$AD770)+1)+1)-FIND("|",$AD770,FIND("|",$AD770)+1)-1))</f>
        <v/>
      </c>
      <c r="AD770">
        <f>TRIM(MID(SUBSTITUTE($CA$766,"~",REPT(" ",600)),1801,600))</f>
        <v/>
      </c>
    </row>
    <row r="771">
      <c r="B771" s="180">
        <f>IF($AD771="","",VALUE(LEFT($AD771,FIND("|",$AD771)-1)))</f>
        <v/>
      </c>
      <c r="C771" s="180">
        <f>IF($AD771="","","    "&amp;MID($AD771,FIND("|",$AD771)+1,FIND("|",$AD771,FIND("|",$AD771)+1)-FIND("|",$AD771)-1))</f>
        <v/>
      </c>
      <c r="D771" s="180">
        <f>IF($AD771="","",MID($AD771,FIND("|",$AD771,FIND("|",$AD771)+1)+1,FIND("|",$AD771&amp;"|",FIND("|",$AD771,FIND("|",$AD771)+1)+1)-FIND("|",$AD771,FIND("|",$AD771)+1)-1))</f>
        <v/>
      </c>
      <c r="AD771">
        <f>TRIM(MID(SUBSTITUTE($CA$766,"~",REPT(" ",600)),2401,600))</f>
        <v/>
      </c>
    </row>
    <row r="772">
      <c r="B772" s="180">
        <f>IF($AD772="","",VALUE(LEFT($AD772,FIND("|",$AD772)-1)))</f>
        <v/>
      </c>
      <c r="C772" s="180">
        <f>IF($AD772="","","    "&amp;MID($AD772,FIND("|",$AD772)+1,FIND("|",$AD772,FIND("|",$AD772)+1)-FIND("|",$AD772)-1))</f>
        <v/>
      </c>
      <c r="D772" s="180">
        <f>IF($AD772="","",MID($AD772,FIND("|",$AD772,FIND("|",$AD772)+1)+1,FIND("|",$AD772&amp;"|",FIND("|",$AD772,FIND("|",$AD772)+1)+1)-FIND("|",$AD772,FIND("|",$AD772)+1)-1))</f>
        <v/>
      </c>
      <c r="AD772">
        <f>TRIM(MID(SUBSTITUTE($CA$766,"~",REPT(" ",600)),3001,600))</f>
        <v/>
      </c>
    </row>
    <row r="773">
      <c r="B773" s="180">
        <f>IF($AD773="","",VALUE(LEFT($AD773,FIND("|",$AD773)-1)))</f>
        <v/>
      </c>
      <c r="C773" s="180">
        <f>IF($AD773="","","    "&amp;MID($AD773,FIND("|",$AD773)+1,FIND("|",$AD773,FIND("|",$AD773)+1)-FIND("|",$AD773)-1))</f>
        <v/>
      </c>
      <c r="D773" s="180">
        <f>IF($AD773="","",MID($AD773,FIND("|",$AD773,FIND("|",$AD773)+1)+1,FIND("|",$AD773&amp;"|",FIND("|",$AD773,FIND("|",$AD773)+1)+1)-FIND("|",$AD773,FIND("|",$AD773)+1)-1))</f>
        <v/>
      </c>
      <c r="AD773">
        <f>TRIM(MID(SUBSTITUTE($CA$766,"~",REPT(" ",600)),3601,600))</f>
        <v/>
      </c>
    </row>
    <row r="774">
      <c r="B774" s="180">
        <f>IF($AD774="","",VALUE(LEFT($AD774,FIND("|",$AD774)-1)))</f>
        <v/>
      </c>
      <c r="C774" s="180">
        <f>IF($AD774="","","    "&amp;MID($AD774,FIND("|",$AD774)+1,FIND("|",$AD774,FIND("|",$AD774)+1)-FIND("|",$AD774)-1))</f>
        <v/>
      </c>
      <c r="D774" s="180">
        <f>IF($AD774="","",MID($AD774,FIND("|",$AD774,FIND("|",$AD774)+1)+1,FIND("|",$AD774&amp;"|",FIND("|",$AD774,FIND("|",$AD774)+1)+1)-FIND("|",$AD774,FIND("|",$AD774)+1)-1))</f>
        <v/>
      </c>
      <c r="AD774">
        <f>TRIM(MID(SUBSTITUTE($CA$766,"~",REPT(" ",600)),4201,600))</f>
        <v/>
      </c>
    </row>
    <row r="775">
      <c r="B775" s="180">
        <f>IF($AD775="","",VALUE(LEFT($AD775,FIND("|",$AD775)-1)))</f>
        <v/>
      </c>
      <c r="C775" s="180">
        <f>IF($AD775="","","    "&amp;MID($AD775,FIND("|",$AD775)+1,FIND("|",$AD775,FIND("|",$AD775)+1)-FIND("|",$AD775)-1))</f>
        <v/>
      </c>
      <c r="D775" s="180">
        <f>IF($AD775="","",MID($AD775,FIND("|",$AD775,FIND("|",$AD775)+1)+1,FIND("|",$AD775&amp;"|",FIND("|",$AD775,FIND("|",$AD775)+1)+1)-FIND("|",$AD775,FIND("|",$AD775)+1)-1))</f>
        <v/>
      </c>
      <c r="AD775">
        <f>TRIM(MID(SUBSTITUTE($CA$766,"~",REPT(" ",600)),4801,600))</f>
        <v/>
      </c>
    </row>
    <row r="776">
      <c r="B776" s="180">
        <f>IF($AD776="","",VALUE(LEFT($AD776,FIND("|",$AD776)-1)))</f>
        <v/>
      </c>
      <c r="C776" s="180">
        <f>IF($AD776="","","    "&amp;MID($AD776,FIND("|",$AD776)+1,FIND("|",$AD776,FIND("|",$AD776)+1)-FIND("|",$AD776)-1))</f>
        <v/>
      </c>
      <c r="D776" s="180">
        <f>IF($AD776="","",MID($AD776,FIND("|",$AD776,FIND("|",$AD776)+1)+1,FIND("|",$AD776&amp;"|",FIND("|",$AD776,FIND("|",$AD776)+1)+1)-FIND("|",$AD776,FIND("|",$AD776)+1)-1))</f>
        <v/>
      </c>
      <c r="AD776">
        <f>TRIM(MID(SUBSTITUTE($CA$766,"~",REPT(" ",600)),5401,600))</f>
        <v/>
      </c>
    </row>
    <row r="777">
      <c r="B777" s="180">
        <f>IF($AD777="","",VALUE(LEFT($AD777,FIND("|",$AD777)-1)))</f>
        <v/>
      </c>
      <c r="C777" s="180">
        <f>IF($AD777="","","    "&amp;MID($AD777,FIND("|",$AD777)+1,FIND("|",$AD777,FIND("|",$AD777)+1)-FIND("|",$AD777)-1))</f>
        <v/>
      </c>
      <c r="D777" s="180">
        <f>IF($AD777="","",MID($AD777,FIND("|",$AD777,FIND("|",$AD777)+1)+1,FIND("|",$AD777&amp;"|",FIND("|",$AD777,FIND("|",$AD777)+1)+1)-FIND("|",$AD777,FIND("|",$AD777)+1)-1))</f>
        <v/>
      </c>
      <c r="AD777">
        <f>TRIM(MID(SUBSTITUTE($CA$766,"~",REPT(" ",600)),6001,600))</f>
        <v/>
      </c>
    </row>
    <row r="778">
      <c r="A778" s="178">
        <f>IF($AD$778=0,"",$BK$778)</f>
        <v/>
      </c>
      <c r="B778" s="178">
        <f>IF($AD$778=0,"",$AE$778*N($BA$778))</f>
        <v/>
      </c>
      <c r="C778" s="178">
        <f>IF($AD$778=0,"",$AE$778*N($BA$778)&amp;") "&amp;IF(COUNTIFS(tk_SODG,5,tk_HLEG,"&lt;&gt;"&amp;$BJ$778)=0,INDEX(tk_DLINE,$AD$778),INDEX(tk_DLINEN,$AD$778)))</f>
        <v/>
      </c>
      <c r="D778" s="178" t="n"/>
      <c r="E778" s="179">
        <f t="array" ref="E778">IF($AD$778=0,"",_xlfn.TEXTJOIN(", ",TRUE,IF(tk_SODG=5,"#"&amp;tk_MARK&amp;IF(tk_HLEG="","","("&amp;tk_HLEG&amp;")")&amp;IF(tk_QTY&gt;1," ×"&amp;tk_QTY,""),"")))</f>
        <v/>
      </c>
      <c r="AD778">
        <f>IFERROR(MATCH(5,tk_SODG,0),0)</f>
        <v/>
      </c>
      <c r="AE778">
        <f>IF($AD$778=0,0,SUMIF(tk_SODG,5,tk_QTY))</f>
        <v/>
      </c>
      <c r="AF778">
        <f>IF($AD$778=0,"",INDEX(tk_JAMB,$AD$778))</f>
        <v/>
      </c>
      <c r="AG778">
        <f>IF($AD$778=0,"",INDEX(tk_ANCHOR,$AD$778))</f>
        <v/>
      </c>
      <c r="AH778">
        <f>IF($AD$778=0,"",INDEX(tk_ANCH,$AD$778))</f>
        <v/>
      </c>
      <c r="AI778">
        <f>IF($AD$778=0,"",INDEX(tk_BASEA,$AD$778))</f>
        <v/>
      </c>
      <c r="AJ778">
        <f>IF($AD$778=0,"",INDEX(tk_CONSTR,$AD$778))</f>
        <v/>
      </c>
      <c r="AK778">
        <f>IF($AD$778=0,"",INDEX(tk_CLOSER,$AD$778))</f>
        <v/>
      </c>
      <c r="AL778">
        <f>IF($AD$778=0,"",INDEX(tk_STRIKE,$AD$778))</f>
        <v/>
      </c>
      <c r="AM778">
        <f>IF($AD$778=0,"",INDEX(tk_HDRPREP,$AD$778))</f>
        <v/>
      </c>
      <c r="AN778">
        <f>IF($AD$778=0,"",INDEX(tk_DMIN,$AD$778))</f>
        <v/>
      </c>
      <c r="AO778">
        <f>IF($AD$778=0,"",INDEX(tk_PAIR,$AD$778))</f>
        <v/>
      </c>
      <c r="AP778">
        <f>IF($AD$778=0,"",INDEX(tk_FGA,$AD$778))</f>
        <v/>
      </c>
      <c r="AQ778">
        <f>IF($AD$778=0,"",INDEX(tk_WI,$AD$778))</f>
        <v/>
      </c>
      <c r="AR778">
        <f>IF($AD$778=0,"",INDEX(tk_HI,$AD$778))</f>
        <v/>
      </c>
      <c r="AS778">
        <f>IF($AD$778=0,"",INDEX(tk_FHINGE,$AD$778))</f>
        <v/>
      </c>
      <c r="AT778">
        <f>IF($AD$778=0,"",INDEX(tk_DHINGE,$AD$778))</f>
        <v/>
      </c>
      <c r="AU778">
        <f>IF($AD$778=0,"",INDEX(tk_HWLOC,$AD$778))</f>
        <v/>
      </c>
      <c r="AV778">
        <f>IF($AD$778=0,"",INDEX(tk_MANUF,$AD$778))</f>
        <v/>
      </c>
      <c r="AW778">
        <f>IF($AD$778=0,"",INDEX(tk_JH,$AD$778))</f>
        <v/>
      </c>
      <c r="AX778">
        <f>IF($AD$778=0,"",INDEX(tk_FDESC,$AD$778))</f>
        <v/>
      </c>
      <c r="AY778">
        <f>IF($AD$778=0,"",INDEX(tk_TRANS,$AD$778))</f>
        <v/>
      </c>
      <c r="AZ778">
        <f>IF($AD$778=0,"",INDEX(tk_SLW,$AD$778))</f>
        <v/>
      </c>
      <c r="BA778">
        <f>IF($AD$778=0,"",INDEX(tk_LEAVES,$AD$778))</f>
        <v/>
      </c>
      <c r="BB778">
        <f>IF($AD$778=0,"",INDEX(tk_LEAFW,$AD$778))</f>
        <v/>
      </c>
      <c r="BC778">
        <f>IF($AD$778=0,"",INDEX(tk_LEAFH,$AD$778))</f>
        <v/>
      </c>
      <c r="BD778">
        <f>IF($AD$778=0,"",INDEX(tk_DMAT,$AD$778))</f>
        <v/>
      </c>
      <c r="BE778">
        <f>IF($AD$778=0,"",INDEX(tk_DGA,$AD$778))</f>
        <v/>
      </c>
      <c r="BF778">
        <f>IF($AD$778=0,"",INDEX(tk_SERIES,$AD$778))</f>
        <v/>
      </c>
      <c r="BG778">
        <f>IF($AD$778=0,"",INDEX(tk_LOCK,$AD$778))</f>
        <v/>
      </c>
      <c r="BH778">
        <f>IF($AD$778=0,"",INDEX(tk_LITEKIT,$AD$778))</f>
        <v/>
      </c>
      <c r="BI778">
        <f>IF($AD$778=0,"",INDEX(tk_FACE,$AD$778))</f>
        <v/>
      </c>
      <c r="BJ778">
        <f>IF($AD$778=0,"",INDEX(tk_HLEG,$AD$778))</f>
        <v/>
      </c>
      <c r="BK778">
        <f>IF($AD$778=0,"",INDEX(tk_SOITEM,$AD$778))</f>
        <v/>
      </c>
      <c r="BL778">
        <f>IFERROR(VLOOKUP($AF$778,CODES,2,FALSE),"")</f>
        <v/>
      </c>
      <c r="BM778">
        <f>IF($AJ$778="KD","C","M")</f>
        <v/>
      </c>
      <c r="BN778">
        <f>IF(N($AR$778)&lt;=80,80,IF(N($AR$778)&lt;=84,84,IF(N($AR$778)&lt;=96,96,N($AR$778))))</f>
        <v/>
      </c>
      <c r="BO778">
        <f>INT($BN$778/12)&amp;MOD($BN$778,12)</f>
        <v/>
      </c>
      <c r="BP778">
        <f>INT(N($AQ$778)/12)&amp;MOD(N($AQ$778),12)</f>
        <v/>
      </c>
      <c r="BQ778">
        <f>IF(OR($AU$778="",$AU$778="ANSI/SDI",$AU$778="CUSTOM LOC"),IF($AV$778="CU","CURRIES","STEELCRAFT"),$AU$778)</f>
        <v/>
      </c>
      <c r="BR778">
        <f>$AO$778="Y"</f>
        <v/>
      </c>
      <c r="BS778">
        <f>"~"</f>
        <v/>
      </c>
      <c r="BT778">
        <f>$AE$778*N($BA$778)</f>
        <v/>
      </c>
      <c r="BU778">
        <f>OR(LEFT($BD$778,3)="OAK",LEFT($BD$778,3)="BIR",LEFT($BD$778,3)="MAP",$BD$778="PC",$BD$778="MC",$BD$778="SCLC",$BD$778="P-LAM")</f>
        <v/>
      </c>
      <c r="BV778">
        <f>INT(N($AQ$778)/MAX(1,N($BA$778))/12)&amp;MOD(N($AQ$778)/MAX(1,N($BA$778)),12)</f>
        <v/>
      </c>
      <c r="BW778">
        <f>IF(OR($BG$778="G11",$BG$778="G11A",$BG$778="G12A"),"G2",IF(OR(LEFT($BG$778,2)="G3",$BG$778="G12"),"G3AEO",$BG$778))</f>
        <v/>
      </c>
      <c r="BX778">
        <f>"(Net size: "&amp;TRIM(TEXT(N($BB$778),"# ?/??"))&amp;CHAR(34)&amp;" x "&amp;TRIM(TEXT(N($BC$778),"# ?/??"))&amp;CHAR(34)&amp;")"</f>
        <v/>
      </c>
      <c r="BY778">
        <f>IF(LEFT($BD$778,3)="OAK","RED OAK",IF(LEFT($BD$778,3)="BIR","BIRCH",IF(LEFT($BD$778,3)="MAP","MAPLE","WOOD")))</f>
        <v/>
      </c>
      <c r="BZ778">
        <f>IF(OR($AT$778="U454",AND($AT$778="",$AS$778="U454")),"454","453")</f>
        <v/>
      </c>
      <c r="CA778">
        <f>IF($AD$778=0,"",IF($BU$778,$BT$778&amp;"|"&amp;$BV$778&amp;$BO$778&amp;" "&amp;$BY$778&amp;" SLAB "&amp;IF(N($AN$778)&gt;0,$AN$778&amp;" MINUTE",IF(RIGHT($BD$778,2)="MC","MC","SC")&amp;" WOOD DOOR")&amp;"|"&amp;$BX$778&amp;"|"&amp;$BS$778,$BT$778&amp;"|"&amp;$BV$778&amp;$BO$778&amp;$BW$778&amp;" BSC "&amp;$BQ$778&amp;" DOOR "&amp;$BE$778&amp;"Ga. Non-Handed "&amp;IF($BF$778="","707",$BF$778)&amp;"S Flush HM|"&amp;$BX$778&amp;"|"&amp;$BS$778)&amp;IF(N($AN$778)&gt;0,$BT$778&amp;"|"&amp;$AN$778&amp;IF($BU$778," MINUTE WARNOCK HERSHEY FIRE RATED WOOD LABEL"," MINUTE FOAM CORE STEEL DOOR LABEL (MODELS 607 &amp; 707)")&amp;"||"&amp;$BS$778,"")&amp;IF(AND(NOT($BU$778),OR($BG$778="G11",$BG$778="G11A",$BG$778="G12",$BG$778="G12A")),$AE$778&amp;"|EXIT DEVICE PREP FOR HM DOOR||"&amp;$BS$778,"")&amp;IF(AND(NOT($BU$778),$BG$778="G12"),$AE$778&amp;"|DR 350 MORTISE LOCK FILLER PLATE||"&amp;$BS$778,"")&amp;IF(AND(NOT($BU$778),LEFT($BG$778,2)="G3"),$AE$778&amp;"|MORTISE LOCK PREP||"&amp;$BS$778,"")&amp;IF($BU$778,$BT$778&amp;"|"&amp;IF($BG$778="G18",$BZ$778&amp;"-4 1/2"&amp;CHAR(34)&amp;"X4 1/2"&amp;CHAR(34)&amp;" HINGES ONLY PREP","HINGE PREP "&amp;$BZ$778&amp;" WITH LOCK PREP")&amp;"|"&amp;$BQ$778&amp;" LOC|"&amp;$BS$778,"")&amp;IF(OR($BG$778="G2G2",$BG$778="G17",$BG$778="E1E4"),$AE$778&amp;"|"&amp;IF($BU$778,"DDLP CYLINDRICAL DEADLOCK PREP","DOOR DEADLOCK PREP")&amp;"||"&amp;$BS$778,"")&amp;IF(OR($BH$778="FG",$BH$778="HG",$BH$778="FNV",$BH$778="FV"),$BT$778&amp;"|"&amp;$BI$778&amp;" LITE KIT||"&amp;$BS$778,IF($BH$778="FL",$BT$778&amp;"|"&amp;$BI$778&amp;" LOUVER||"&amp;$BS$778,IF($BH$778="FP",$BT$778&amp;"|DVP DOOR VIEWER PREP||"&amp;$BS$778,"")))&amp;IF($BN$778&gt;N($AR$778),$BT$778&amp;"|DCO DOOR CUT DOWN ONLY (HEIGHT)|Cut "&amp;TRIM(TEXT($BN$778-N($AR$778),"# ?/??"))&amp;CHAR(34)&amp;" OFF THE BOTTOM|"&amp;$BS$778,""))</f>
        <v/>
      </c>
    </row>
    <row r="779">
      <c r="B779" s="180">
        <f>IF($AD779="","",VALUE(LEFT($AD779,FIND("|",$AD779)-1)))</f>
        <v/>
      </c>
      <c r="C779" s="180">
        <f>IF($AD779="","","    "&amp;MID($AD779,FIND("|",$AD779)+1,FIND("|",$AD779,FIND("|",$AD779)+1)-FIND("|",$AD779)-1))</f>
        <v/>
      </c>
      <c r="D779" s="180">
        <f>IF($AD779="","",MID($AD779,FIND("|",$AD779,FIND("|",$AD779)+1)+1,FIND("|",$AD779&amp;"|",FIND("|",$AD779,FIND("|",$AD779)+1)+1)-FIND("|",$AD779,FIND("|",$AD779)+1)-1))</f>
        <v/>
      </c>
      <c r="AD779">
        <f>TRIM(MID(SUBSTITUTE($CA$778,"~",REPT(" ",600)),1,600))</f>
        <v/>
      </c>
    </row>
    <row r="780">
      <c r="B780" s="180">
        <f>IF($AD780="","",VALUE(LEFT($AD780,FIND("|",$AD780)-1)))</f>
        <v/>
      </c>
      <c r="C780" s="180">
        <f>IF($AD780="","","    "&amp;MID($AD780,FIND("|",$AD780)+1,FIND("|",$AD780,FIND("|",$AD780)+1)-FIND("|",$AD780)-1))</f>
        <v/>
      </c>
      <c r="D780" s="180">
        <f>IF($AD780="","",MID($AD780,FIND("|",$AD780,FIND("|",$AD780)+1)+1,FIND("|",$AD780&amp;"|",FIND("|",$AD780,FIND("|",$AD780)+1)+1)-FIND("|",$AD780,FIND("|",$AD780)+1)-1))</f>
        <v/>
      </c>
      <c r="AD780">
        <f>TRIM(MID(SUBSTITUTE($CA$778,"~",REPT(" ",600)),601,600))</f>
        <v/>
      </c>
    </row>
    <row r="781">
      <c r="B781" s="180">
        <f>IF($AD781="","",VALUE(LEFT($AD781,FIND("|",$AD781)-1)))</f>
        <v/>
      </c>
      <c r="C781" s="180">
        <f>IF($AD781="","","    "&amp;MID($AD781,FIND("|",$AD781)+1,FIND("|",$AD781,FIND("|",$AD781)+1)-FIND("|",$AD781)-1))</f>
        <v/>
      </c>
      <c r="D781" s="180">
        <f>IF($AD781="","",MID($AD781,FIND("|",$AD781,FIND("|",$AD781)+1)+1,FIND("|",$AD781&amp;"|",FIND("|",$AD781,FIND("|",$AD781)+1)+1)-FIND("|",$AD781,FIND("|",$AD781)+1)-1))</f>
        <v/>
      </c>
      <c r="AD781">
        <f>TRIM(MID(SUBSTITUTE($CA$778,"~",REPT(" ",600)),1201,600))</f>
        <v/>
      </c>
    </row>
    <row r="782">
      <c r="B782" s="180">
        <f>IF($AD782="","",VALUE(LEFT($AD782,FIND("|",$AD782)-1)))</f>
        <v/>
      </c>
      <c r="C782" s="180">
        <f>IF($AD782="","","    "&amp;MID($AD782,FIND("|",$AD782)+1,FIND("|",$AD782,FIND("|",$AD782)+1)-FIND("|",$AD782)-1))</f>
        <v/>
      </c>
      <c r="D782" s="180">
        <f>IF($AD782="","",MID($AD782,FIND("|",$AD782,FIND("|",$AD782)+1)+1,FIND("|",$AD782&amp;"|",FIND("|",$AD782,FIND("|",$AD782)+1)+1)-FIND("|",$AD782,FIND("|",$AD782)+1)-1))</f>
        <v/>
      </c>
      <c r="AD782">
        <f>TRIM(MID(SUBSTITUTE($CA$778,"~",REPT(" ",600)),1801,600))</f>
        <v/>
      </c>
    </row>
    <row r="783">
      <c r="B783" s="180">
        <f>IF($AD783="","",VALUE(LEFT($AD783,FIND("|",$AD783)-1)))</f>
        <v/>
      </c>
      <c r="C783" s="180">
        <f>IF($AD783="","","    "&amp;MID($AD783,FIND("|",$AD783)+1,FIND("|",$AD783,FIND("|",$AD783)+1)-FIND("|",$AD783)-1))</f>
        <v/>
      </c>
      <c r="D783" s="180">
        <f>IF($AD783="","",MID($AD783,FIND("|",$AD783,FIND("|",$AD783)+1)+1,FIND("|",$AD783&amp;"|",FIND("|",$AD783,FIND("|",$AD783)+1)+1)-FIND("|",$AD783,FIND("|",$AD783)+1)-1))</f>
        <v/>
      </c>
      <c r="AD783">
        <f>TRIM(MID(SUBSTITUTE($CA$778,"~",REPT(" ",600)),2401,600))</f>
        <v/>
      </c>
    </row>
    <row r="784">
      <c r="B784" s="180">
        <f>IF($AD784="","",VALUE(LEFT($AD784,FIND("|",$AD784)-1)))</f>
        <v/>
      </c>
      <c r="C784" s="180">
        <f>IF($AD784="","","    "&amp;MID($AD784,FIND("|",$AD784)+1,FIND("|",$AD784,FIND("|",$AD784)+1)-FIND("|",$AD784)-1))</f>
        <v/>
      </c>
      <c r="D784" s="180">
        <f>IF($AD784="","",MID($AD784,FIND("|",$AD784,FIND("|",$AD784)+1)+1,FIND("|",$AD784&amp;"|",FIND("|",$AD784,FIND("|",$AD784)+1)+1)-FIND("|",$AD784,FIND("|",$AD784)+1)-1))</f>
        <v/>
      </c>
      <c r="AD784">
        <f>TRIM(MID(SUBSTITUTE($CA$778,"~",REPT(" ",600)),3001,600))</f>
        <v/>
      </c>
    </row>
    <row r="785">
      <c r="B785" s="180">
        <f>IF($AD785="","",VALUE(LEFT($AD785,FIND("|",$AD785)-1)))</f>
        <v/>
      </c>
      <c r="C785" s="180">
        <f>IF($AD785="","","    "&amp;MID($AD785,FIND("|",$AD785)+1,FIND("|",$AD785,FIND("|",$AD785)+1)-FIND("|",$AD785)-1))</f>
        <v/>
      </c>
      <c r="D785" s="180">
        <f>IF($AD785="","",MID($AD785,FIND("|",$AD785,FIND("|",$AD785)+1)+1,FIND("|",$AD785&amp;"|",FIND("|",$AD785,FIND("|",$AD785)+1)+1)-FIND("|",$AD785,FIND("|",$AD785)+1)-1))</f>
        <v/>
      </c>
      <c r="AD785">
        <f>TRIM(MID(SUBSTITUTE($CA$778,"~",REPT(" ",600)),3601,600))</f>
        <v/>
      </c>
    </row>
    <row r="786">
      <c r="B786" s="180">
        <f>IF($AD786="","",VALUE(LEFT($AD786,FIND("|",$AD786)-1)))</f>
        <v/>
      </c>
      <c r="C786" s="180">
        <f>IF($AD786="","","    "&amp;MID($AD786,FIND("|",$AD786)+1,FIND("|",$AD786,FIND("|",$AD786)+1)-FIND("|",$AD786)-1))</f>
        <v/>
      </c>
      <c r="D786" s="180">
        <f>IF($AD786="","",MID($AD786,FIND("|",$AD786,FIND("|",$AD786)+1)+1,FIND("|",$AD786&amp;"|",FIND("|",$AD786,FIND("|",$AD786)+1)+1)-FIND("|",$AD786,FIND("|",$AD786)+1)-1))</f>
        <v/>
      </c>
      <c r="AD786">
        <f>TRIM(MID(SUBSTITUTE($CA$778,"~",REPT(" ",600)),4201,600))</f>
        <v/>
      </c>
    </row>
    <row r="787">
      <c r="B787" s="180">
        <f>IF($AD787="","",VALUE(LEFT($AD787,FIND("|",$AD787)-1)))</f>
        <v/>
      </c>
      <c r="C787" s="180">
        <f>IF($AD787="","","    "&amp;MID($AD787,FIND("|",$AD787)+1,FIND("|",$AD787,FIND("|",$AD787)+1)-FIND("|",$AD787)-1))</f>
        <v/>
      </c>
      <c r="D787" s="180">
        <f>IF($AD787="","",MID($AD787,FIND("|",$AD787,FIND("|",$AD787)+1)+1,FIND("|",$AD787&amp;"|",FIND("|",$AD787,FIND("|",$AD787)+1)+1)-FIND("|",$AD787,FIND("|",$AD787)+1)-1))</f>
        <v/>
      </c>
      <c r="AD787">
        <f>TRIM(MID(SUBSTITUTE($CA$778,"~",REPT(" ",600)),4801,600))</f>
        <v/>
      </c>
    </row>
    <row r="788">
      <c r="B788" s="180">
        <f>IF($AD788="","",VALUE(LEFT($AD788,FIND("|",$AD788)-1)))</f>
        <v/>
      </c>
      <c r="C788" s="180">
        <f>IF($AD788="","","    "&amp;MID($AD788,FIND("|",$AD788)+1,FIND("|",$AD788,FIND("|",$AD788)+1)-FIND("|",$AD788)-1))</f>
        <v/>
      </c>
      <c r="D788" s="180">
        <f>IF($AD788="","",MID($AD788,FIND("|",$AD788,FIND("|",$AD788)+1)+1,FIND("|",$AD788&amp;"|",FIND("|",$AD788,FIND("|",$AD788)+1)+1)-FIND("|",$AD788,FIND("|",$AD788)+1)-1))</f>
        <v/>
      </c>
      <c r="AD788">
        <f>TRIM(MID(SUBSTITUTE($CA$778,"~",REPT(" ",600)),5401,600))</f>
        <v/>
      </c>
    </row>
    <row r="789">
      <c r="B789" s="180">
        <f>IF($AD789="","",VALUE(LEFT($AD789,FIND("|",$AD789)-1)))</f>
        <v/>
      </c>
      <c r="C789" s="180">
        <f>IF($AD789="","","    "&amp;MID($AD789,FIND("|",$AD789)+1,FIND("|",$AD789,FIND("|",$AD789)+1)-FIND("|",$AD789)-1))</f>
        <v/>
      </c>
      <c r="D789" s="180">
        <f>IF($AD789="","",MID($AD789,FIND("|",$AD789,FIND("|",$AD789)+1)+1,FIND("|",$AD789&amp;"|",FIND("|",$AD789,FIND("|",$AD789)+1)+1)-FIND("|",$AD789,FIND("|",$AD789)+1)-1))</f>
        <v/>
      </c>
      <c r="AD789">
        <f>TRIM(MID(SUBSTITUTE($CA$778,"~",REPT(" ",600)),6001,600))</f>
        <v/>
      </c>
    </row>
    <row r="790">
      <c r="A790" s="178">
        <f>IF($AD$790=0,"",$BK$790)</f>
        <v/>
      </c>
      <c r="B790" s="178">
        <f>IF($AD$790=0,"",$AE$790*N($BA$790))</f>
        <v/>
      </c>
      <c r="C790" s="178">
        <f>IF($AD$790=0,"",$AE$790*N($BA$790)&amp;") "&amp;IF(COUNTIFS(tk_SODG,6,tk_HLEG,"&lt;&gt;"&amp;$BJ$790)=0,INDEX(tk_DLINE,$AD$790),INDEX(tk_DLINEN,$AD$790)))</f>
        <v/>
      </c>
      <c r="D790" s="178" t="n"/>
      <c r="E790" s="179">
        <f t="array" ref="E790">IF($AD$790=0,"",_xlfn.TEXTJOIN(", ",TRUE,IF(tk_SODG=6,"#"&amp;tk_MARK&amp;IF(tk_HLEG="","","("&amp;tk_HLEG&amp;")")&amp;IF(tk_QTY&gt;1," ×"&amp;tk_QTY,""),"")))</f>
        <v/>
      </c>
      <c r="AD790">
        <f>IFERROR(MATCH(6,tk_SODG,0),0)</f>
        <v/>
      </c>
      <c r="AE790">
        <f>IF($AD$790=0,0,SUMIF(tk_SODG,6,tk_QTY))</f>
        <v/>
      </c>
      <c r="AF790">
        <f>IF($AD$790=0,"",INDEX(tk_JAMB,$AD$790))</f>
        <v/>
      </c>
      <c r="AG790">
        <f>IF($AD$790=0,"",INDEX(tk_ANCHOR,$AD$790))</f>
        <v/>
      </c>
      <c r="AH790">
        <f>IF($AD$790=0,"",INDEX(tk_ANCH,$AD$790))</f>
        <v/>
      </c>
      <c r="AI790">
        <f>IF($AD$790=0,"",INDEX(tk_BASEA,$AD$790))</f>
        <v/>
      </c>
      <c r="AJ790">
        <f>IF($AD$790=0,"",INDEX(tk_CONSTR,$AD$790))</f>
        <v/>
      </c>
      <c r="AK790">
        <f>IF($AD$790=0,"",INDEX(tk_CLOSER,$AD$790))</f>
        <v/>
      </c>
      <c r="AL790">
        <f>IF($AD$790=0,"",INDEX(tk_STRIKE,$AD$790))</f>
        <v/>
      </c>
      <c r="AM790">
        <f>IF($AD$790=0,"",INDEX(tk_HDRPREP,$AD$790))</f>
        <v/>
      </c>
      <c r="AN790">
        <f>IF($AD$790=0,"",INDEX(tk_DMIN,$AD$790))</f>
        <v/>
      </c>
      <c r="AO790">
        <f>IF($AD$790=0,"",INDEX(tk_PAIR,$AD$790))</f>
        <v/>
      </c>
      <c r="AP790">
        <f>IF($AD$790=0,"",INDEX(tk_FGA,$AD$790))</f>
        <v/>
      </c>
      <c r="AQ790">
        <f>IF($AD$790=0,"",INDEX(tk_WI,$AD$790))</f>
        <v/>
      </c>
      <c r="AR790">
        <f>IF($AD$790=0,"",INDEX(tk_HI,$AD$790))</f>
        <v/>
      </c>
      <c r="AS790">
        <f>IF($AD$790=0,"",INDEX(tk_FHINGE,$AD$790))</f>
        <v/>
      </c>
      <c r="AT790">
        <f>IF($AD$790=0,"",INDEX(tk_DHINGE,$AD$790))</f>
        <v/>
      </c>
      <c r="AU790">
        <f>IF($AD$790=0,"",INDEX(tk_HWLOC,$AD$790))</f>
        <v/>
      </c>
      <c r="AV790">
        <f>IF($AD$790=0,"",INDEX(tk_MANUF,$AD$790))</f>
        <v/>
      </c>
      <c r="AW790">
        <f>IF($AD$790=0,"",INDEX(tk_JH,$AD$790))</f>
        <v/>
      </c>
      <c r="AX790">
        <f>IF($AD$790=0,"",INDEX(tk_FDESC,$AD$790))</f>
        <v/>
      </c>
      <c r="AY790">
        <f>IF($AD$790=0,"",INDEX(tk_TRANS,$AD$790))</f>
        <v/>
      </c>
      <c r="AZ790">
        <f>IF($AD$790=0,"",INDEX(tk_SLW,$AD$790))</f>
        <v/>
      </c>
      <c r="BA790">
        <f>IF($AD$790=0,"",INDEX(tk_LEAVES,$AD$790))</f>
        <v/>
      </c>
      <c r="BB790">
        <f>IF($AD$790=0,"",INDEX(tk_LEAFW,$AD$790))</f>
        <v/>
      </c>
      <c r="BC790">
        <f>IF($AD$790=0,"",INDEX(tk_LEAFH,$AD$790))</f>
        <v/>
      </c>
      <c r="BD790">
        <f>IF($AD$790=0,"",INDEX(tk_DMAT,$AD$790))</f>
        <v/>
      </c>
      <c r="BE790">
        <f>IF($AD$790=0,"",INDEX(tk_DGA,$AD$790))</f>
        <v/>
      </c>
      <c r="BF790">
        <f>IF($AD$790=0,"",INDEX(tk_SERIES,$AD$790))</f>
        <v/>
      </c>
      <c r="BG790">
        <f>IF($AD$790=0,"",INDEX(tk_LOCK,$AD$790))</f>
        <v/>
      </c>
      <c r="BH790">
        <f>IF($AD$790=0,"",INDEX(tk_LITEKIT,$AD$790))</f>
        <v/>
      </c>
      <c r="BI790">
        <f>IF($AD$790=0,"",INDEX(tk_FACE,$AD$790))</f>
        <v/>
      </c>
      <c r="BJ790">
        <f>IF($AD$790=0,"",INDEX(tk_HLEG,$AD$790))</f>
        <v/>
      </c>
      <c r="BK790">
        <f>IF($AD$790=0,"",INDEX(tk_SOITEM,$AD$790))</f>
        <v/>
      </c>
      <c r="BL790">
        <f>IFERROR(VLOOKUP($AF$790,CODES,2,FALSE),"")</f>
        <v/>
      </c>
      <c r="BM790">
        <f>IF($AJ$790="KD","C","M")</f>
        <v/>
      </c>
      <c r="BN790">
        <f>IF(N($AR$790)&lt;=80,80,IF(N($AR$790)&lt;=84,84,IF(N($AR$790)&lt;=96,96,N($AR$790))))</f>
        <v/>
      </c>
      <c r="BO790">
        <f>INT($BN$790/12)&amp;MOD($BN$790,12)</f>
        <v/>
      </c>
      <c r="BP790">
        <f>INT(N($AQ$790)/12)&amp;MOD(N($AQ$790),12)</f>
        <v/>
      </c>
      <c r="BQ790">
        <f>IF(OR($AU$790="",$AU$790="ANSI/SDI",$AU$790="CUSTOM LOC"),IF($AV$790="CU","CURRIES","STEELCRAFT"),$AU$790)</f>
        <v/>
      </c>
      <c r="BR790">
        <f>$AO$790="Y"</f>
        <v/>
      </c>
      <c r="BS790">
        <f>"~"</f>
        <v/>
      </c>
      <c r="BT790">
        <f>$AE$790*N($BA$790)</f>
        <v/>
      </c>
      <c r="BU790">
        <f>OR(LEFT($BD$790,3)="OAK",LEFT($BD$790,3)="BIR",LEFT($BD$790,3)="MAP",$BD$790="PC",$BD$790="MC",$BD$790="SCLC",$BD$790="P-LAM")</f>
        <v/>
      </c>
      <c r="BV790">
        <f>INT(N($AQ$790)/MAX(1,N($BA$790))/12)&amp;MOD(N($AQ$790)/MAX(1,N($BA$790)),12)</f>
        <v/>
      </c>
      <c r="BW790">
        <f>IF(OR($BG$790="G11",$BG$790="G11A",$BG$790="G12A"),"G2",IF(OR(LEFT($BG$790,2)="G3",$BG$790="G12"),"G3AEO",$BG$790))</f>
        <v/>
      </c>
      <c r="BX790">
        <f>"(Net size: "&amp;TRIM(TEXT(N($BB$790),"# ?/??"))&amp;CHAR(34)&amp;" x "&amp;TRIM(TEXT(N($BC$790),"# ?/??"))&amp;CHAR(34)&amp;")"</f>
        <v/>
      </c>
      <c r="BY790">
        <f>IF(LEFT($BD$790,3)="OAK","RED OAK",IF(LEFT($BD$790,3)="BIR","BIRCH",IF(LEFT($BD$790,3)="MAP","MAPLE","WOOD")))</f>
        <v/>
      </c>
      <c r="BZ790">
        <f>IF(OR($AT$790="U454",AND($AT$790="",$AS$790="U454")),"454","453")</f>
        <v/>
      </c>
      <c r="CA790">
        <f>IF($AD$790=0,"",IF($BU$790,$BT$790&amp;"|"&amp;$BV$790&amp;$BO$790&amp;" "&amp;$BY$790&amp;" SLAB "&amp;IF(N($AN$790)&gt;0,$AN$790&amp;" MINUTE",IF(RIGHT($BD$790,2)="MC","MC","SC")&amp;" WOOD DOOR")&amp;"|"&amp;$BX$790&amp;"|"&amp;$BS$790,$BT$790&amp;"|"&amp;$BV$790&amp;$BO$790&amp;$BW$790&amp;" BSC "&amp;$BQ$790&amp;" DOOR "&amp;$BE$790&amp;"Ga. Non-Handed "&amp;IF($BF$790="","707",$BF$790)&amp;"S Flush HM|"&amp;$BX$790&amp;"|"&amp;$BS$790)&amp;IF(N($AN$790)&gt;0,$BT$790&amp;"|"&amp;$AN$790&amp;IF($BU$790," MINUTE WARNOCK HERSHEY FIRE RATED WOOD LABEL"," MINUTE FOAM CORE STEEL DOOR LABEL (MODELS 607 &amp; 707)")&amp;"||"&amp;$BS$790,"")&amp;IF(AND(NOT($BU$790),OR($BG$790="G11",$BG$790="G11A",$BG$790="G12",$BG$790="G12A")),$AE$790&amp;"|EXIT DEVICE PREP FOR HM DOOR||"&amp;$BS$790,"")&amp;IF(AND(NOT($BU$790),$BG$790="G12"),$AE$790&amp;"|DR 350 MORTISE LOCK FILLER PLATE||"&amp;$BS$790,"")&amp;IF(AND(NOT($BU$790),LEFT($BG$790,2)="G3"),$AE$790&amp;"|MORTISE LOCK PREP||"&amp;$BS$790,"")&amp;IF($BU$790,$BT$790&amp;"|"&amp;IF($BG$790="G18",$BZ$790&amp;"-4 1/2"&amp;CHAR(34)&amp;"X4 1/2"&amp;CHAR(34)&amp;" HINGES ONLY PREP","HINGE PREP "&amp;$BZ$790&amp;" WITH LOCK PREP")&amp;"|"&amp;$BQ$790&amp;" LOC|"&amp;$BS$790,"")&amp;IF(OR($BG$790="G2G2",$BG$790="G17",$BG$790="E1E4"),$AE$790&amp;"|"&amp;IF($BU$790,"DDLP CYLINDRICAL DEADLOCK PREP","DOOR DEADLOCK PREP")&amp;"||"&amp;$BS$790,"")&amp;IF(OR($BH$790="FG",$BH$790="HG",$BH$790="FNV",$BH$790="FV"),$BT$790&amp;"|"&amp;$BI$790&amp;" LITE KIT||"&amp;$BS$790,IF($BH$790="FL",$BT$790&amp;"|"&amp;$BI$790&amp;" LOUVER||"&amp;$BS$790,IF($BH$790="FP",$BT$790&amp;"|DVP DOOR VIEWER PREP||"&amp;$BS$790,"")))&amp;IF($BN$790&gt;N($AR$790),$BT$790&amp;"|DCO DOOR CUT DOWN ONLY (HEIGHT)|Cut "&amp;TRIM(TEXT($BN$790-N($AR$790),"# ?/??"))&amp;CHAR(34)&amp;" OFF THE BOTTOM|"&amp;$BS$790,""))</f>
        <v/>
      </c>
    </row>
    <row r="791">
      <c r="B791" s="180">
        <f>IF($AD791="","",VALUE(LEFT($AD791,FIND("|",$AD791)-1)))</f>
        <v/>
      </c>
      <c r="C791" s="180">
        <f>IF($AD791="","","    "&amp;MID($AD791,FIND("|",$AD791)+1,FIND("|",$AD791,FIND("|",$AD791)+1)-FIND("|",$AD791)-1))</f>
        <v/>
      </c>
      <c r="D791" s="180">
        <f>IF($AD791="","",MID($AD791,FIND("|",$AD791,FIND("|",$AD791)+1)+1,FIND("|",$AD791&amp;"|",FIND("|",$AD791,FIND("|",$AD791)+1)+1)-FIND("|",$AD791,FIND("|",$AD791)+1)-1))</f>
        <v/>
      </c>
      <c r="AD791">
        <f>TRIM(MID(SUBSTITUTE($CA$790,"~",REPT(" ",600)),1,600))</f>
        <v/>
      </c>
    </row>
    <row r="792">
      <c r="B792" s="180">
        <f>IF($AD792="","",VALUE(LEFT($AD792,FIND("|",$AD792)-1)))</f>
        <v/>
      </c>
      <c r="C792" s="180">
        <f>IF($AD792="","","    "&amp;MID($AD792,FIND("|",$AD792)+1,FIND("|",$AD792,FIND("|",$AD792)+1)-FIND("|",$AD792)-1))</f>
        <v/>
      </c>
      <c r="D792" s="180">
        <f>IF($AD792="","",MID($AD792,FIND("|",$AD792,FIND("|",$AD792)+1)+1,FIND("|",$AD792&amp;"|",FIND("|",$AD792,FIND("|",$AD792)+1)+1)-FIND("|",$AD792,FIND("|",$AD792)+1)-1))</f>
        <v/>
      </c>
      <c r="AD792">
        <f>TRIM(MID(SUBSTITUTE($CA$790,"~",REPT(" ",600)),601,600))</f>
        <v/>
      </c>
    </row>
    <row r="793">
      <c r="B793" s="180">
        <f>IF($AD793="","",VALUE(LEFT($AD793,FIND("|",$AD793)-1)))</f>
        <v/>
      </c>
      <c r="C793" s="180">
        <f>IF($AD793="","","    "&amp;MID($AD793,FIND("|",$AD793)+1,FIND("|",$AD793,FIND("|",$AD793)+1)-FIND("|",$AD793)-1))</f>
        <v/>
      </c>
      <c r="D793" s="180">
        <f>IF($AD793="","",MID($AD793,FIND("|",$AD793,FIND("|",$AD793)+1)+1,FIND("|",$AD793&amp;"|",FIND("|",$AD793,FIND("|",$AD793)+1)+1)-FIND("|",$AD793,FIND("|",$AD793)+1)-1))</f>
        <v/>
      </c>
      <c r="AD793">
        <f>TRIM(MID(SUBSTITUTE($CA$790,"~",REPT(" ",600)),1201,600))</f>
        <v/>
      </c>
    </row>
    <row r="794">
      <c r="B794" s="180">
        <f>IF($AD794="","",VALUE(LEFT($AD794,FIND("|",$AD794)-1)))</f>
        <v/>
      </c>
      <c r="C794" s="180">
        <f>IF($AD794="","","    "&amp;MID($AD794,FIND("|",$AD794)+1,FIND("|",$AD794,FIND("|",$AD794)+1)-FIND("|",$AD794)-1))</f>
        <v/>
      </c>
      <c r="D794" s="180">
        <f>IF($AD794="","",MID($AD794,FIND("|",$AD794,FIND("|",$AD794)+1)+1,FIND("|",$AD794&amp;"|",FIND("|",$AD794,FIND("|",$AD794)+1)+1)-FIND("|",$AD794,FIND("|",$AD794)+1)-1))</f>
        <v/>
      </c>
      <c r="AD794">
        <f>TRIM(MID(SUBSTITUTE($CA$790,"~",REPT(" ",600)),1801,600))</f>
        <v/>
      </c>
    </row>
    <row r="795">
      <c r="B795" s="180">
        <f>IF($AD795="","",VALUE(LEFT($AD795,FIND("|",$AD795)-1)))</f>
        <v/>
      </c>
      <c r="C795" s="180">
        <f>IF($AD795="","","    "&amp;MID($AD795,FIND("|",$AD795)+1,FIND("|",$AD795,FIND("|",$AD795)+1)-FIND("|",$AD795)-1))</f>
        <v/>
      </c>
      <c r="D795" s="180">
        <f>IF($AD795="","",MID($AD795,FIND("|",$AD795,FIND("|",$AD795)+1)+1,FIND("|",$AD795&amp;"|",FIND("|",$AD795,FIND("|",$AD795)+1)+1)-FIND("|",$AD795,FIND("|",$AD795)+1)-1))</f>
        <v/>
      </c>
      <c r="AD795">
        <f>TRIM(MID(SUBSTITUTE($CA$790,"~",REPT(" ",600)),2401,600))</f>
        <v/>
      </c>
    </row>
    <row r="796">
      <c r="B796" s="180">
        <f>IF($AD796="","",VALUE(LEFT($AD796,FIND("|",$AD796)-1)))</f>
        <v/>
      </c>
      <c r="C796" s="180">
        <f>IF($AD796="","","    "&amp;MID($AD796,FIND("|",$AD796)+1,FIND("|",$AD796,FIND("|",$AD796)+1)-FIND("|",$AD796)-1))</f>
        <v/>
      </c>
      <c r="D796" s="180">
        <f>IF($AD796="","",MID($AD796,FIND("|",$AD796,FIND("|",$AD796)+1)+1,FIND("|",$AD796&amp;"|",FIND("|",$AD796,FIND("|",$AD796)+1)+1)-FIND("|",$AD796,FIND("|",$AD796)+1)-1))</f>
        <v/>
      </c>
      <c r="AD796">
        <f>TRIM(MID(SUBSTITUTE($CA$790,"~",REPT(" ",600)),3001,600))</f>
        <v/>
      </c>
    </row>
    <row r="797">
      <c r="B797" s="180">
        <f>IF($AD797="","",VALUE(LEFT($AD797,FIND("|",$AD797)-1)))</f>
        <v/>
      </c>
      <c r="C797" s="180">
        <f>IF($AD797="","","    "&amp;MID($AD797,FIND("|",$AD797)+1,FIND("|",$AD797,FIND("|",$AD797)+1)-FIND("|",$AD797)-1))</f>
        <v/>
      </c>
      <c r="D797" s="180">
        <f>IF($AD797="","",MID($AD797,FIND("|",$AD797,FIND("|",$AD797)+1)+1,FIND("|",$AD797&amp;"|",FIND("|",$AD797,FIND("|",$AD797)+1)+1)-FIND("|",$AD797,FIND("|",$AD797)+1)-1))</f>
        <v/>
      </c>
      <c r="AD797">
        <f>TRIM(MID(SUBSTITUTE($CA$790,"~",REPT(" ",600)),3601,600))</f>
        <v/>
      </c>
    </row>
    <row r="798">
      <c r="B798" s="180">
        <f>IF($AD798="","",VALUE(LEFT($AD798,FIND("|",$AD798)-1)))</f>
        <v/>
      </c>
      <c r="C798" s="180">
        <f>IF($AD798="","","    "&amp;MID($AD798,FIND("|",$AD798)+1,FIND("|",$AD798,FIND("|",$AD798)+1)-FIND("|",$AD798)-1))</f>
        <v/>
      </c>
      <c r="D798" s="180">
        <f>IF($AD798="","",MID($AD798,FIND("|",$AD798,FIND("|",$AD798)+1)+1,FIND("|",$AD798&amp;"|",FIND("|",$AD798,FIND("|",$AD798)+1)+1)-FIND("|",$AD798,FIND("|",$AD798)+1)-1))</f>
        <v/>
      </c>
      <c r="AD798">
        <f>TRIM(MID(SUBSTITUTE($CA$790,"~",REPT(" ",600)),4201,600))</f>
        <v/>
      </c>
    </row>
    <row r="799">
      <c r="B799" s="180">
        <f>IF($AD799="","",VALUE(LEFT($AD799,FIND("|",$AD799)-1)))</f>
        <v/>
      </c>
      <c r="C799" s="180">
        <f>IF($AD799="","","    "&amp;MID($AD799,FIND("|",$AD799)+1,FIND("|",$AD799,FIND("|",$AD799)+1)-FIND("|",$AD799)-1))</f>
        <v/>
      </c>
      <c r="D799" s="180">
        <f>IF($AD799="","",MID($AD799,FIND("|",$AD799,FIND("|",$AD799)+1)+1,FIND("|",$AD799&amp;"|",FIND("|",$AD799,FIND("|",$AD799)+1)+1)-FIND("|",$AD799,FIND("|",$AD799)+1)-1))</f>
        <v/>
      </c>
      <c r="AD799">
        <f>TRIM(MID(SUBSTITUTE($CA$790,"~",REPT(" ",600)),4801,600))</f>
        <v/>
      </c>
    </row>
    <row r="800">
      <c r="B800" s="180">
        <f>IF($AD800="","",VALUE(LEFT($AD800,FIND("|",$AD800)-1)))</f>
        <v/>
      </c>
      <c r="C800" s="180">
        <f>IF($AD800="","","    "&amp;MID($AD800,FIND("|",$AD800)+1,FIND("|",$AD800,FIND("|",$AD800)+1)-FIND("|",$AD800)-1))</f>
        <v/>
      </c>
      <c r="D800" s="180">
        <f>IF($AD800="","",MID($AD800,FIND("|",$AD800,FIND("|",$AD800)+1)+1,FIND("|",$AD800&amp;"|",FIND("|",$AD800,FIND("|",$AD800)+1)+1)-FIND("|",$AD800,FIND("|",$AD800)+1)-1))</f>
        <v/>
      </c>
      <c r="AD800">
        <f>TRIM(MID(SUBSTITUTE($CA$790,"~",REPT(" ",600)),5401,600))</f>
        <v/>
      </c>
    </row>
    <row r="801">
      <c r="B801" s="180">
        <f>IF($AD801="","",VALUE(LEFT($AD801,FIND("|",$AD801)-1)))</f>
        <v/>
      </c>
      <c r="C801" s="180">
        <f>IF($AD801="","","    "&amp;MID($AD801,FIND("|",$AD801)+1,FIND("|",$AD801,FIND("|",$AD801)+1)-FIND("|",$AD801)-1))</f>
        <v/>
      </c>
      <c r="D801" s="180">
        <f>IF($AD801="","",MID($AD801,FIND("|",$AD801,FIND("|",$AD801)+1)+1,FIND("|",$AD801&amp;"|",FIND("|",$AD801,FIND("|",$AD801)+1)+1)-FIND("|",$AD801,FIND("|",$AD801)+1)-1))</f>
        <v/>
      </c>
      <c r="AD801">
        <f>TRIM(MID(SUBSTITUTE($CA$790,"~",REPT(" ",600)),6001,600))</f>
        <v/>
      </c>
    </row>
    <row r="802">
      <c r="A802" s="178">
        <f>IF($AD$802=0,"",$BK$802)</f>
        <v/>
      </c>
      <c r="B802" s="178">
        <f>IF($AD$802=0,"",$AE$802*N($BA$802))</f>
        <v/>
      </c>
      <c r="C802" s="178">
        <f>IF($AD$802=0,"",$AE$802*N($BA$802)&amp;") "&amp;IF(COUNTIFS(tk_SODG,7,tk_HLEG,"&lt;&gt;"&amp;$BJ$802)=0,INDEX(tk_DLINE,$AD$802),INDEX(tk_DLINEN,$AD$802)))</f>
        <v/>
      </c>
      <c r="D802" s="178" t="n"/>
      <c r="E802" s="179">
        <f t="array" ref="E802">IF($AD$802=0,"",_xlfn.TEXTJOIN(", ",TRUE,IF(tk_SODG=7,"#"&amp;tk_MARK&amp;IF(tk_HLEG="","","("&amp;tk_HLEG&amp;")")&amp;IF(tk_QTY&gt;1," ×"&amp;tk_QTY,""),"")))</f>
        <v/>
      </c>
      <c r="AD802">
        <f>IFERROR(MATCH(7,tk_SODG,0),0)</f>
        <v/>
      </c>
      <c r="AE802">
        <f>IF($AD$802=0,0,SUMIF(tk_SODG,7,tk_QTY))</f>
        <v/>
      </c>
      <c r="AF802">
        <f>IF($AD$802=0,"",INDEX(tk_JAMB,$AD$802))</f>
        <v/>
      </c>
      <c r="AG802">
        <f>IF($AD$802=0,"",INDEX(tk_ANCHOR,$AD$802))</f>
        <v/>
      </c>
      <c r="AH802">
        <f>IF($AD$802=0,"",INDEX(tk_ANCH,$AD$802))</f>
        <v/>
      </c>
      <c r="AI802">
        <f>IF($AD$802=0,"",INDEX(tk_BASEA,$AD$802))</f>
        <v/>
      </c>
      <c r="AJ802">
        <f>IF($AD$802=0,"",INDEX(tk_CONSTR,$AD$802))</f>
        <v/>
      </c>
      <c r="AK802">
        <f>IF($AD$802=0,"",INDEX(tk_CLOSER,$AD$802))</f>
        <v/>
      </c>
      <c r="AL802">
        <f>IF($AD$802=0,"",INDEX(tk_STRIKE,$AD$802))</f>
        <v/>
      </c>
      <c r="AM802">
        <f>IF($AD$802=0,"",INDEX(tk_HDRPREP,$AD$802))</f>
        <v/>
      </c>
      <c r="AN802">
        <f>IF($AD$802=0,"",INDEX(tk_DMIN,$AD$802))</f>
        <v/>
      </c>
      <c r="AO802">
        <f>IF($AD$802=0,"",INDEX(tk_PAIR,$AD$802))</f>
        <v/>
      </c>
      <c r="AP802">
        <f>IF($AD$802=0,"",INDEX(tk_FGA,$AD$802))</f>
        <v/>
      </c>
      <c r="AQ802">
        <f>IF($AD$802=0,"",INDEX(tk_WI,$AD$802))</f>
        <v/>
      </c>
      <c r="AR802">
        <f>IF($AD$802=0,"",INDEX(tk_HI,$AD$802))</f>
        <v/>
      </c>
      <c r="AS802">
        <f>IF($AD$802=0,"",INDEX(tk_FHINGE,$AD$802))</f>
        <v/>
      </c>
      <c r="AT802">
        <f>IF($AD$802=0,"",INDEX(tk_DHINGE,$AD$802))</f>
        <v/>
      </c>
      <c r="AU802">
        <f>IF($AD$802=0,"",INDEX(tk_HWLOC,$AD$802))</f>
        <v/>
      </c>
      <c r="AV802">
        <f>IF($AD$802=0,"",INDEX(tk_MANUF,$AD$802))</f>
        <v/>
      </c>
      <c r="AW802">
        <f>IF($AD$802=0,"",INDEX(tk_JH,$AD$802))</f>
        <v/>
      </c>
      <c r="AX802">
        <f>IF($AD$802=0,"",INDEX(tk_FDESC,$AD$802))</f>
        <v/>
      </c>
      <c r="AY802">
        <f>IF($AD$802=0,"",INDEX(tk_TRANS,$AD$802))</f>
        <v/>
      </c>
      <c r="AZ802">
        <f>IF($AD$802=0,"",INDEX(tk_SLW,$AD$802))</f>
        <v/>
      </c>
      <c r="BA802">
        <f>IF($AD$802=0,"",INDEX(tk_LEAVES,$AD$802))</f>
        <v/>
      </c>
      <c r="BB802">
        <f>IF($AD$802=0,"",INDEX(tk_LEAFW,$AD$802))</f>
        <v/>
      </c>
      <c r="BC802">
        <f>IF($AD$802=0,"",INDEX(tk_LEAFH,$AD$802))</f>
        <v/>
      </c>
      <c r="BD802">
        <f>IF($AD$802=0,"",INDEX(tk_DMAT,$AD$802))</f>
        <v/>
      </c>
      <c r="BE802">
        <f>IF($AD$802=0,"",INDEX(tk_DGA,$AD$802))</f>
        <v/>
      </c>
      <c r="BF802">
        <f>IF($AD$802=0,"",INDEX(tk_SERIES,$AD$802))</f>
        <v/>
      </c>
      <c r="BG802">
        <f>IF($AD$802=0,"",INDEX(tk_LOCK,$AD$802))</f>
        <v/>
      </c>
      <c r="BH802">
        <f>IF($AD$802=0,"",INDEX(tk_LITEKIT,$AD$802))</f>
        <v/>
      </c>
      <c r="BI802">
        <f>IF($AD$802=0,"",INDEX(tk_FACE,$AD$802))</f>
        <v/>
      </c>
      <c r="BJ802">
        <f>IF($AD$802=0,"",INDEX(tk_HLEG,$AD$802))</f>
        <v/>
      </c>
      <c r="BK802">
        <f>IF($AD$802=0,"",INDEX(tk_SOITEM,$AD$802))</f>
        <v/>
      </c>
      <c r="BL802">
        <f>IFERROR(VLOOKUP($AF$802,CODES,2,FALSE),"")</f>
        <v/>
      </c>
      <c r="BM802">
        <f>IF($AJ$802="KD","C","M")</f>
        <v/>
      </c>
      <c r="BN802">
        <f>IF(N($AR$802)&lt;=80,80,IF(N($AR$802)&lt;=84,84,IF(N($AR$802)&lt;=96,96,N($AR$802))))</f>
        <v/>
      </c>
      <c r="BO802">
        <f>INT($BN$802/12)&amp;MOD($BN$802,12)</f>
        <v/>
      </c>
      <c r="BP802">
        <f>INT(N($AQ$802)/12)&amp;MOD(N($AQ$802),12)</f>
        <v/>
      </c>
      <c r="BQ802">
        <f>IF(OR($AU$802="",$AU$802="ANSI/SDI",$AU$802="CUSTOM LOC"),IF($AV$802="CU","CURRIES","STEELCRAFT"),$AU$802)</f>
        <v/>
      </c>
      <c r="BR802">
        <f>$AO$802="Y"</f>
        <v/>
      </c>
      <c r="BS802">
        <f>"~"</f>
        <v/>
      </c>
      <c r="BT802">
        <f>$AE$802*N($BA$802)</f>
        <v/>
      </c>
      <c r="BU802">
        <f>OR(LEFT($BD$802,3)="OAK",LEFT($BD$802,3)="BIR",LEFT($BD$802,3)="MAP",$BD$802="PC",$BD$802="MC",$BD$802="SCLC",$BD$802="P-LAM")</f>
        <v/>
      </c>
      <c r="BV802">
        <f>INT(N($AQ$802)/MAX(1,N($BA$802))/12)&amp;MOD(N($AQ$802)/MAX(1,N($BA$802)),12)</f>
        <v/>
      </c>
      <c r="BW802">
        <f>IF(OR($BG$802="G11",$BG$802="G11A",$BG$802="G12A"),"G2",IF(OR(LEFT($BG$802,2)="G3",$BG$802="G12"),"G3AEO",$BG$802))</f>
        <v/>
      </c>
      <c r="BX802">
        <f>"(Net size: "&amp;TRIM(TEXT(N($BB$802),"# ?/??"))&amp;CHAR(34)&amp;" x "&amp;TRIM(TEXT(N($BC$802),"# ?/??"))&amp;CHAR(34)&amp;")"</f>
        <v/>
      </c>
      <c r="BY802">
        <f>IF(LEFT($BD$802,3)="OAK","RED OAK",IF(LEFT($BD$802,3)="BIR","BIRCH",IF(LEFT($BD$802,3)="MAP","MAPLE","WOOD")))</f>
        <v/>
      </c>
      <c r="BZ802">
        <f>IF(OR($AT$802="U454",AND($AT$802="",$AS$802="U454")),"454","453")</f>
        <v/>
      </c>
      <c r="CA802">
        <f>IF($AD$802=0,"",IF($BU$802,$BT$802&amp;"|"&amp;$BV$802&amp;$BO$802&amp;" "&amp;$BY$802&amp;" SLAB "&amp;IF(N($AN$802)&gt;0,$AN$802&amp;" MINUTE",IF(RIGHT($BD$802,2)="MC","MC","SC")&amp;" WOOD DOOR")&amp;"|"&amp;$BX$802&amp;"|"&amp;$BS$802,$BT$802&amp;"|"&amp;$BV$802&amp;$BO$802&amp;$BW$802&amp;" BSC "&amp;$BQ$802&amp;" DOOR "&amp;$BE$802&amp;"Ga. Non-Handed "&amp;IF($BF$802="","707",$BF$802)&amp;"S Flush HM|"&amp;$BX$802&amp;"|"&amp;$BS$802)&amp;IF(N($AN$802)&gt;0,$BT$802&amp;"|"&amp;$AN$802&amp;IF($BU$802," MINUTE WARNOCK HERSHEY FIRE RATED WOOD LABEL"," MINUTE FOAM CORE STEEL DOOR LABEL (MODELS 607 &amp; 707)")&amp;"||"&amp;$BS$802,"")&amp;IF(AND(NOT($BU$802),OR($BG$802="G11",$BG$802="G11A",$BG$802="G12",$BG$802="G12A")),$AE$802&amp;"|EXIT DEVICE PREP FOR HM DOOR||"&amp;$BS$802,"")&amp;IF(AND(NOT($BU$802),$BG$802="G12"),$AE$802&amp;"|DR 350 MORTISE LOCK FILLER PLATE||"&amp;$BS$802,"")&amp;IF(AND(NOT($BU$802),LEFT($BG$802,2)="G3"),$AE$802&amp;"|MORTISE LOCK PREP||"&amp;$BS$802,"")&amp;IF($BU$802,$BT$802&amp;"|"&amp;IF($BG$802="G18",$BZ$802&amp;"-4 1/2"&amp;CHAR(34)&amp;"X4 1/2"&amp;CHAR(34)&amp;" HINGES ONLY PREP","HINGE PREP "&amp;$BZ$802&amp;" WITH LOCK PREP")&amp;"|"&amp;$BQ$802&amp;" LOC|"&amp;$BS$802,"")&amp;IF(OR($BG$802="G2G2",$BG$802="G17",$BG$802="E1E4"),$AE$802&amp;"|"&amp;IF($BU$802,"DDLP CYLINDRICAL DEADLOCK PREP","DOOR DEADLOCK PREP")&amp;"||"&amp;$BS$802,"")&amp;IF(OR($BH$802="FG",$BH$802="HG",$BH$802="FNV",$BH$802="FV"),$BT$802&amp;"|"&amp;$BI$802&amp;" LITE KIT||"&amp;$BS$802,IF($BH$802="FL",$BT$802&amp;"|"&amp;$BI$802&amp;" LOUVER||"&amp;$BS$802,IF($BH$802="FP",$BT$802&amp;"|DVP DOOR VIEWER PREP||"&amp;$BS$802,"")))&amp;IF($BN$802&gt;N($AR$802),$BT$802&amp;"|DCO DOOR CUT DOWN ONLY (HEIGHT)|Cut "&amp;TRIM(TEXT($BN$802-N($AR$802),"# ?/??"))&amp;CHAR(34)&amp;" OFF THE BOTTOM|"&amp;$BS$802,""))</f>
        <v/>
      </c>
    </row>
    <row r="803">
      <c r="B803" s="180">
        <f>IF($AD803="","",VALUE(LEFT($AD803,FIND("|",$AD803)-1)))</f>
        <v/>
      </c>
      <c r="C803" s="180">
        <f>IF($AD803="","","    "&amp;MID($AD803,FIND("|",$AD803)+1,FIND("|",$AD803,FIND("|",$AD803)+1)-FIND("|",$AD803)-1))</f>
        <v/>
      </c>
      <c r="D803" s="180">
        <f>IF($AD803="","",MID($AD803,FIND("|",$AD803,FIND("|",$AD803)+1)+1,FIND("|",$AD803&amp;"|",FIND("|",$AD803,FIND("|",$AD803)+1)+1)-FIND("|",$AD803,FIND("|",$AD803)+1)-1))</f>
        <v/>
      </c>
      <c r="AD803">
        <f>TRIM(MID(SUBSTITUTE($CA$802,"~",REPT(" ",600)),1,600))</f>
        <v/>
      </c>
    </row>
    <row r="804">
      <c r="B804" s="180">
        <f>IF($AD804="","",VALUE(LEFT($AD804,FIND("|",$AD804)-1)))</f>
        <v/>
      </c>
      <c r="C804" s="180">
        <f>IF($AD804="","","    "&amp;MID($AD804,FIND("|",$AD804)+1,FIND("|",$AD804,FIND("|",$AD804)+1)-FIND("|",$AD804)-1))</f>
        <v/>
      </c>
      <c r="D804" s="180">
        <f>IF($AD804="","",MID($AD804,FIND("|",$AD804,FIND("|",$AD804)+1)+1,FIND("|",$AD804&amp;"|",FIND("|",$AD804,FIND("|",$AD804)+1)+1)-FIND("|",$AD804,FIND("|",$AD804)+1)-1))</f>
        <v/>
      </c>
      <c r="AD804">
        <f>TRIM(MID(SUBSTITUTE($CA$802,"~",REPT(" ",600)),601,600))</f>
        <v/>
      </c>
    </row>
    <row r="805">
      <c r="B805" s="180">
        <f>IF($AD805="","",VALUE(LEFT($AD805,FIND("|",$AD805)-1)))</f>
        <v/>
      </c>
      <c r="C805" s="180">
        <f>IF($AD805="","","    "&amp;MID($AD805,FIND("|",$AD805)+1,FIND("|",$AD805,FIND("|",$AD805)+1)-FIND("|",$AD805)-1))</f>
        <v/>
      </c>
      <c r="D805" s="180">
        <f>IF($AD805="","",MID($AD805,FIND("|",$AD805,FIND("|",$AD805)+1)+1,FIND("|",$AD805&amp;"|",FIND("|",$AD805,FIND("|",$AD805)+1)+1)-FIND("|",$AD805,FIND("|",$AD805)+1)-1))</f>
        <v/>
      </c>
      <c r="AD805">
        <f>TRIM(MID(SUBSTITUTE($CA$802,"~",REPT(" ",600)),1201,600))</f>
        <v/>
      </c>
    </row>
    <row r="806">
      <c r="B806" s="180">
        <f>IF($AD806="","",VALUE(LEFT($AD806,FIND("|",$AD806)-1)))</f>
        <v/>
      </c>
      <c r="C806" s="180">
        <f>IF($AD806="","","    "&amp;MID($AD806,FIND("|",$AD806)+1,FIND("|",$AD806,FIND("|",$AD806)+1)-FIND("|",$AD806)-1))</f>
        <v/>
      </c>
      <c r="D806" s="180">
        <f>IF($AD806="","",MID($AD806,FIND("|",$AD806,FIND("|",$AD806)+1)+1,FIND("|",$AD806&amp;"|",FIND("|",$AD806,FIND("|",$AD806)+1)+1)-FIND("|",$AD806,FIND("|",$AD806)+1)-1))</f>
        <v/>
      </c>
      <c r="AD806">
        <f>TRIM(MID(SUBSTITUTE($CA$802,"~",REPT(" ",600)),1801,600))</f>
        <v/>
      </c>
    </row>
    <row r="807">
      <c r="B807" s="180">
        <f>IF($AD807="","",VALUE(LEFT($AD807,FIND("|",$AD807)-1)))</f>
        <v/>
      </c>
      <c r="C807" s="180">
        <f>IF($AD807="","","    "&amp;MID($AD807,FIND("|",$AD807)+1,FIND("|",$AD807,FIND("|",$AD807)+1)-FIND("|",$AD807)-1))</f>
        <v/>
      </c>
      <c r="D807" s="180">
        <f>IF($AD807="","",MID($AD807,FIND("|",$AD807,FIND("|",$AD807)+1)+1,FIND("|",$AD807&amp;"|",FIND("|",$AD807,FIND("|",$AD807)+1)+1)-FIND("|",$AD807,FIND("|",$AD807)+1)-1))</f>
        <v/>
      </c>
      <c r="AD807">
        <f>TRIM(MID(SUBSTITUTE($CA$802,"~",REPT(" ",600)),2401,600))</f>
        <v/>
      </c>
    </row>
    <row r="808">
      <c r="B808" s="180">
        <f>IF($AD808="","",VALUE(LEFT($AD808,FIND("|",$AD808)-1)))</f>
        <v/>
      </c>
      <c r="C808" s="180">
        <f>IF($AD808="","","    "&amp;MID($AD808,FIND("|",$AD808)+1,FIND("|",$AD808,FIND("|",$AD808)+1)-FIND("|",$AD808)-1))</f>
        <v/>
      </c>
      <c r="D808" s="180">
        <f>IF($AD808="","",MID($AD808,FIND("|",$AD808,FIND("|",$AD808)+1)+1,FIND("|",$AD808&amp;"|",FIND("|",$AD808,FIND("|",$AD808)+1)+1)-FIND("|",$AD808,FIND("|",$AD808)+1)-1))</f>
        <v/>
      </c>
      <c r="AD808">
        <f>TRIM(MID(SUBSTITUTE($CA$802,"~",REPT(" ",600)),3001,600))</f>
        <v/>
      </c>
    </row>
    <row r="809">
      <c r="B809" s="180">
        <f>IF($AD809="","",VALUE(LEFT($AD809,FIND("|",$AD809)-1)))</f>
        <v/>
      </c>
      <c r="C809" s="180">
        <f>IF($AD809="","","    "&amp;MID($AD809,FIND("|",$AD809)+1,FIND("|",$AD809,FIND("|",$AD809)+1)-FIND("|",$AD809)-1))</f>
        <v/>
      </c>
      <c r="D809" s="180">
        <f>IF($AD809="","",MID($AD809,FIND("|",$AD809,FIND("|",$AD809)+1)+1,FIND("|",$AD809&amp;"|",FIND("|",$AD809,FIND("|",$AD809)+1)+1)-FIND("|",$AD809,FIND("|",$AD809)+1)-1))</f>
        <v/>
      </c>
      <c r="AD809">
        <f>TRIM(MID(SUBSTITUTE($CA$802,"~",REPT(" ",600)),3601,600))</f>
        <v/>
      </c>
    </row>
    <row r="810">
      <c r="B810" s="180">
        <f>IF($AD810="","",VALUE(LEFT($AD810,FIND("|",$AD810)-1)))</f>
        <v/>
      </c>
      <c r="C810" s="180">
        <f>IF($AD810="","","    "&amp;MID($AD810,FIND("|",$AD810)+1,FIND("|",$AD810,FIND("|",$AD810)+1)-FIND("|",$AD810)-1))</f>
        <v/>
      </c>
      <c r="D810" s="180">
        <f>IF($AD810="","",MID($AD810,FIND("|",$AD810,FIND("|",$AD810)+1)+1,FIND("|",$AD810&amp;"|",FIND("|",$AD810,FIND("|",$AD810)+1)+1)-FIND("|",$AD810,FIND("|",$AD810)+1)-1))</f>
        <v/>
      </c>
      <c r="AD810">
        <f>TRIM(MID(SUBSTITUTE($CA$802,"~",REPT(" ",600)),4201,600))</f>
        <v/>
      </c>
    </row>
    <row r="811">
      <c r="B811" s="180">
        <f>IF($AD811="","",VALUE(LEFT($AD811,FIND("|",$AD811)-1)))</f>
        <v/>
      </c>
      <c r="C811" s="180">
        <f>IF($AD811="","","    "&amp;MID($AD811,FIND("|",$AD811)+1,FIND("|",$AD811,FIND("|",$AD811)+1)-FIND("|",$AD811)-1))</f>
        <v/>
      </c>
      <c r="D811" s="180">
        <f>IF($AD811="","",MID($AD811,FIND("|",$AD811,FIND("|",$AD811)+1)+1,FIND("|",$AD811&amp;"|",FIND("|",$AD811,FIND("|",$AD811)+1)+1)-FIND("|",$AD811,FIND("|",$AD811)+1)-1))</f>
        <v/>
      </c>
      <c r="AD811">
        <f>TRIM(MID(SUBSTITUTE($CA$802,"~",REPT(" ",600)),4801,600))</f>
        <v/>
      </c>
    </row>
    <row r="812">
      <c r="B812" s="180">
        <f>IF($AD812="","",VALUE(LEFT($AD812,FIND("|",$AD812)-1)))</f>
        <v/>
      </c>
      <c r="C812" s="180">
        <f>IF($AD812="","","    "&amp;MID($AD812,FIND("|",$AD812)+1,FIND("|",$AD812,FIND("|",$AD812)+1)-FIND("|",$AD812)-1))</f>
        <v/>
      </c>
      <c r="D812" s="180">
        <f>IF($AD812="","",MID($AD812,FIND("|",$AD812,FIND("|",$AD812)+1)+1,FIND("|",$AD812&amp;"|",FIND("|",$AD812,FIND("|",$AD812)+1)+1)-FIND("|",$AD812,FIND("|",$AD812)+1)-1))</f>
        <v/>
      </c>
      <c r="AD812">
        <f>TRIM(MID(SUBSTITUTE($CA$802,"~",REPT(" ",600)),5401,600))</f>
        <v/>
      </c>
    </row>
    <row r="813">
      <c r="B813" s="180">
        <f>IF($AD813="","",VALUE(LEFT($AD813,FIND("|",$AD813)-1)))</f>
        <v/>
      </c>
      <c r="C813" s="180">
        <f>IF($AD813="","","    "&amp;MID($AD813,FIND("|",$AD813)+1,FIND("|",$AD813,FIND("|",$AD813)+1)-FIND("|",$AD813)-1))</f>
        <v/>
      </c>
      <c r="D813" s="180">
        <f>IF($AD813="","",MID($AD813,FIND("|",$AD813,FIND("|",$AD813)+1)+1,FIND("|",$AD813&amp;"|",FIND("|",$AD813,FIND("|",$AD813)+1)+1)-FIND("|",$AD813,FIND("|",$AD813)+1)-1))</f>
        <v/>
      </c>
      <c r="AD813">
        <f>TRIM(MID(SUBSTITUTE($CA$802,"~",REPT(" ",600)),6001,600))</f>
        <v/>
      </c>
    </row>
    <row r="814">
      <c r="A814" s="178">
        <f>IF($AD$814=0,"",$BK$814)</f>
        <v/>
      </c>
      <c r="B814" s="178">
        <f>IF($AD$814=0,"",$AE$814*N($BA$814))</f>
        <v/>
      </c>
      <c r="C814" s="178">
        <f>IF($AD$814=0,"",$AE$814*N($BA$814)&amp;") "&amp;IF(COUNTIFS(tk_SODG,8,tk_HLEG,"&lt;&gt;"&amp;$BJ$814)=0,INDEX(tk_DLINE,$AD$814),INDEX(tk_DLINEN,$AD$814)))</f>
        <v/>
      </c>
      <c r="D814" s="178" t="n"/>
      <c r="E814" s="179">
        <f t="array" ref="E814">IF($AD$814=0,"",_xlfn.TEXTJOIN(", ",TRUE,IF(tk_SODG=8,"#"&amp;tk_MARK&amp;IF(tk_HLEG="","","("&amp;tk_HLEG&amp;")")&amp;IF(tk_QTY&gt;1," ×"&amp;tk_QTY,""),"")))</f>
        <v/>
      </c>
      <c r="AD814">
        <f>IFERROR(MATCH(8,tk_SODG,0),0)</f>
        <v/>
      </c>
      <c r="AE814">
        <f>IF($AD$814=0,0,SUMIF(tk_SODG,8,tk_QTY))</f>
        <v/>
      </c>
      <c r="AF814">
        <f>IF($AD$814=0,"",INDEX(tk_JAMB,$AD$814))</f>
        <v/>
      </c>
      <c r="AG814">
        <f>IF($AD$814=0,"",INDEX(tk_ANCHOR,$AD$814))</f>
        <v/>
      </c>
      <c r="AH814">
        <f>IF($AD$814=0,"",INDEX(tk_ANCH,$AD$814))</f>
        <v/>
      </c>
      <c r="AI814">
        <f>IF($AD$814=0,"",INDEX(tk_BASEA,$AD$814))</f>
        <v/>
      </c>
      <c r="AJ814">
        <f>IF($AD$814=0,"",INDEX(tk_CONSTR,$AD$814))</f>
        <v/>
      </c>
      <c r="AK814">
        <f>IF($AD$814=0,"",INDEX(tk_CLOSER,$AD$814))</f>
        <v/>
      </c>
      <c r="AL814">
        <f>IF($AD$814=0,"",INDEX(tk_STRIKE,$AD$814))</f>
        <v/>
      </c>
      <c r="AM814">
        <f>IF($AD$814=0,"",INDEX(tk_HDRPREP,$AD$814))</f>
        <v/>
      </c>
      <c r="AN814">
        <f>IF($AD$814=0,"",INDEX(tk_DMIN,$AD$814))</f>
        <v/>
      </c>
      <c r="AO814">
        <f>IF($AD$814=0,"",INDEX(tk_PAIR,$AD$814))</f>
        <v/>
      </c>
      <c r="AP814">
        <f>IF($AD$814=0,"",INDEX(tk_FGA,$AD$814))</f>
        <v/>
      </c>
      <c r="AQ814">
        <f>IF($AD$814=0,"",INDEX(tk_WI,$AD$814))</f>
        <v/>
      </c>
      <c r="AR814">
        <f>IF($AD$814=0,"",INDEX(tk_HI,$AD$814))</f>
        <v/>
      </c>
      <c r="AS814">
        <f>IF($AD$814=0,"",INDEX(tk_FHINGE,$AD$814))</f>
        <v/>
      </c>
      <c r="AT814">
        <f>IF($AD$814=0,"",INDEX(tk_DHINGE,$AD$814))</f>
        <v/>
      </c>
      <c r="AU814">
        <f>IF($AD$814=0,"",INDEX(tk_HWLOC,$AD$814))</f>
        <v/>
      </c>
      <c r="AV814">
        <f>IF($AD$814=0,"",INDEX(tk_MANUF,$AD$814))</f>
        <v/>
      </c>
      <c r="AW814">
        <f>IF($AD$814=0,"",INDEX(tk_JH,$AD$814))</f>
        <v/>
      </c>
      <c r="AX814">
        <f>IF($AD$814=0,"",INDEX(tk_FDESC,$AD$814))</f>
        <v/>
      </c>
      <c r="AY814">
        <f>IF($AD$814=0,"",INDEX(tk_TRANS,$AD$814))</f>
        <v/>
      </c>
      <c r="AZ814">
        <f>IF($AD$814=0,"",INDEX(tk_SLW,$AD$814))</f>
        <v/>
      </c>
      <c r="BA814">
        <f>IF($AD$814=0,"",INDEX(tk_LEAVES,$AD$814))</f>
        <v/>
      </c>
      <c r="BB814">
        <f>IF($AD$814=0,"",INDEX(tk_LEAFW,$AD$814))</f>
        <v/>
      </c>
      <c r="BC814">
        <f>IF($AD$814=0,"",INDEX(tk_LEAFH,$AD$814))</f>
        <v/>
      </c>
      <c r="BD814">
        <f>IF($AD$814=0,"",INDEX(tk_DMAT,$AD$814))</f>
        <v/>
      </c>
      <c r="BE814">
        <f>IF($AD$814=0,"",INDEX(tk_DGA,$AD$814))</f>
        <v/>
      </c>
      <c r="BF814">
        <f>IF($AD$814=0,"",INDEX(tk_SERIES,$AD$814))</f>
        <v/>
      </c>
      <c r="BG814">
        <f>IF($AD$814=0,"",INDEX(tk_LOCK,$AD$814))</f>
        <v/>
      </c>
      <c r="BH814">
        <f>IF($AD$814=0,"",INDEX(tk_LITEKIT,$AD$814))</f>
        <v/>
      </c>
      <c r="BI814">
        <f>IF($AD$814=0,"",INDEX(tk_FACE,$AD$814))</f>
        <v/>
      </c>
      <c r="BJ814">
        <f>IF($AD$814=0,"",INDEX(tk_HLEG,$AD$814))</f>
        <v/>
      </c>
      <c r="BK814">
        <f>IF($AD$814=0,"",INDEX(tk_SOITEM,$AD$814))</f>
        <v/>
      </c>
      <c r="BL814">
        <f>IFERROR(VLOOKUP($AF$814,CODES,2,FALSE),"")</f>
        <v/>
      </c>
      <c r="BM814">
        <f>IF($AJ$814="KD","C","M")</f>
        <v/>
      </c>
      <c r="BN814">
        <f>IF(N($AR$814)&lt;=80,80,IF(N($AR$814)&lt;=84,84,IF(N($AR$814)&lt;=96,96,N($AR$814))))</f>
        <v/>
      </c>
      <c r="BO814">
        <f>INT($BN$814/12)&amp;MOD($BN$814,12)</f>
        <v/>
      </c>
      <c r="BP814">
        <f>INT(N($AQ$814)/12)&amp;MOD(N($AQ$814),12)</f>
        <v/>
      </c>
      <c r="BQ814">
        <f>IF(OR($AU$814="",$AU$814="ANSI/SDI",$AU$814="CUSTOM LOC"),IF($AV$814="CU","CURRIES","STEELCRAFT"),$AU$814)</f>
        <v/>
      </c>
      <c r="BR814">
        <f>$AO$814="Y"</f>
        <v/>
      </c>
      <c r="BS814">
        <f>"~"</f>
        <v/>
      </c>
      <c r="BT814">
        <f>$AE$814*N($BA$814)</f>
        <v/>
      </c>
      <c r="BU814">
        <f>OR(LEFT($BD$814,3)="OAK",LEFT($BD$814,3)="BIR",LEFT($BD$814,3)="MAP",$BD$814="PC",$BD$814="MC",$BD$814="SCLC",$BD$814="P-LAM")</f>
        <v/>
      </c>
      <c r="BV814">
        <f>INT(N($AQ$814)/MAX(1,N($BA$814))/12)&amp;MOD(N($AQ$814)/MAX(1,N($BA$814)),12)</f>
        <v/>
      </c>
      <c r="BW814">
        <f>IF(OR($BG$814="G11",$BG$814="G11A",$BG$814="G12A"),"G2",IF(OR(LEFT($BG$814,2)="G3",$BG$814="G12"),"G3AEO",$BG$814))</f>
        <v/>
      </c>
      <c r="BX814">
        <f>"(Net size: "&amp;TRIM(TEXT(N($BB$814),"# ?/??"))&amp;CHAR(34)&amp;" x "&amp;TRIM(TEXT(N($BC$814),"# ?/??"))&amp;CHAR(34)&amp;")"</f>
        <v/>
      </c>
      <c r="BY814">
        <f>IF(LEFT($BD$814,3)="OAK","RED OAK",IF(LEFT($BD$814,3)="BIR","BIRCH",IF(LEFT($BD$814,3)="MAP","MAPLE","WOOD")))</f>
        <v/>
      </c>
      <c r="BZ814">
        <f>IF(OR($AT$814="U454",AND($AT$814="",$AS$814="U454")),"454","453")</f>
        <v/>
      </c>
      <c r="CA814">
        <f>IF($AD$814=0,"",IF($BU$814,$BT$814&amp;"|"&amp;$BV$814&amp;$BO$814&amp;" "&amp;$BY$814&amp;" SLAB "&amp;IF(N($AN$814)&gt;0,$AN$814&amp;" MINUTE",IF(RIGHT($BD$814,2)="MC","MC","SC")&amp;" WOOD DOOR")&amp;"|"&amp;$BX$814&amp;"|"&amp;$BS$814,$BT$814&amp;"|"&amp;$BV$814&amp;$BO$814&amp;$BW$814&amp;" BSC "&amp;$BQ$814&amp;" DOOR "&amp;$BE$814&amp;"Ga. Non-Handed "&amp;IF($BF$814="","707",$BF$814)&amp;"S Flush HM|"&amp;$BX$814&amp;"|"&amp;$BS$814)&amp;IF(N($AN$814)&gt;0,$BT$814&amp;"|"&amp;$AN$814&amp;IF($BU$814," MINUTE WARNOCK HERSHEY FIRE RATED WOOD LABEL"," MINUTE FOAM CORE STEEL DOOR LABEL (MODELS 607 &amp; 707)")&amp;"||"&amp;$BS$814,"")&amp;IF(AND(NOT($BU$814),OR($BG$814="G11",$BG$814="G11A",$BG$814="G12",$BG$814="G12A")),$AE$814&amp;"|EXIT DEVICE PREP FOR HM DOOR||"&amp;$BS$814,"")&amp;IF(AND(NOT($BU$814),$BG$814="G12"),$AE$814&amp;"|DR 350 MORTISE LOCK FILLER PLATE||"&amp;$BS$814,"")&amp;IF(AND(NOT($BU$814),LEFT($BG$814,2)="G3"),$AE$814&amp;"|MORTISE LOCK PREP||"&amp;$BS$814,"")&amp;IF($BU$814,$BT$814&amp;"|"&amp;IF($BG$814="G18",$BZ$814&amp;"-4 1/2"&amp;CHAR(34)&amp;"X4 1/2"&amp;CHAR(34)&amp;" HINGES ONLY PREP","HINGE PREP "&amp;$BZ$814&amp;" WITH LOCK PREP")&amp;"|"&amp;$BQ$814&amp;" LOC|"&amp;$BS$814,"")&amp;IF(OR($BG$814="G2G2",$BG$814="G17",$BG$814="E1E4"),$AE$814&amp;"|"&amp;IF($BU$814,"DDLP CYLINDRICAL DEADLOCK PREP","DOOR DEADLOCK PREP")&amp;"||"&amp;$BS$814,"")&amp;IF(OR($BH$814="FG",$BH$814="HG",$BH$814="FNV",$BH$814="FV"),$BT$814&amp;"|"&amp;$BI$814&amp;" LITE KIT||"&amp;$BS$814,IF($BH$814="FL",$BT$814&amp;"|"&amp;$BI$814&amp;" LOUVER||"&amp;$BS$814,IF($BH$814="FP",$BT$814&amp;"|DVP DOOR VIEWER PREP||"&amp;$BS$814,"")))&amp;IF($BN$814&gt;N($AR$814),$BT$814&amp;"|DCO DOOR CUT DOWN ONLY (HEIGHT)|Cut "&amp;TRIM(TEXT($BN$814-N($AR$814),"# ?/??"))&amp;CHAR(34)&amp;" OFF THE BOTTOM|"&amp;$BS$814,""))</f>
        <v/>
      </c>
    </row>
    <row r="815">
      <c r="B815" s="180">
        <f>IF($AD815="","",VALUE(LEFT($AD815,FIND("|",$AD815)-1)))</f>
        <v/>
      </c>
      <c r="C815" s="180">
        <f>IF($AD815="","","    "&amp;MID($AD815,FIND("|",$AD815)+1,FIND("|",$AD815,FIND("|",$AD815)+1)-FIND("|",$AD815)-1))</f>
        <v/>
      </c>
      <c r="D815" s="180">
        <f>IF($AD815="","",MID($AD815,FIND("|",$AD815,FIND("|",$AD815)+1)+1,FIND("|",$AD815&amp;"|",FIND("|",$AD815,FIND("|",$AD815)+1)+1)-FIND("|",$AD815,FIND("|",$AD815)+1)-1))</f>
        <v/>
      </c>
      <c r="AD815">
        <f>TRIM(MID(SUBSTITUTE($CA$814,"~",REPT(" ",600)),1,600))</f>
        <v/>
      </c>
    </row>
    <row r="816">
      <c r="B816" s="180">
        <f>IF($AD816="","",VALUE(LEFT($AD816,FIND("|",$AD816)-1)))</f>
        <v/>
      </c>
      <c r="C816" s="180">
        <f>IF($AD816="","","    "&amp;MID($AD816,FIND("|",$AD816)+1,FIND("|",$AD816,FIND("|",$AD816)+1)-FIND("|",$AD816)-1))</f>
        <v/>
      </c>
      <c r="D816" s="180">
        <f>IF($AD816="","",MID($AD816,FIND("|",$AD816,FIND("|",$AD816)+1)+1,FIND("|",$AD816&amp;"|",FIND("|",$AD816,FIND("|",$AD816)+1)+1)-FIND("|",$AD816,FIND("|",$AD816)+1)-1))</f>
        <v/>
      </c>
      <c r="AD816">
        <f>TRIM(MID(SUBSTITUTE($CA$814,"~",REPT(" ",600)),601,600))</f>
        <v/>
      </c>
    </row>
    <row r="817">
      <c r="B817" s="180">
        <f>IF($AD817="","",VALUE(LEFT($AD817,FIND("|",$AD817)-1)))</f>
        <v/>
      </c>
      <c r="C817" s="180">
        <f>IF($AD817="","","    "&amp;MID($AD817,FIND("|",$AD817)+1,FIND("|",$AD817,FIND("|",$AD817)+1)-FIND("|",$AD817)-1))</f>
        <v/>
      </c>
      <c r="D817" s="180">
        <f>IF($AD817="","",MID($AD817,FIND("|",$AD817,FIND("|",$AD817)+1)+1,FIND("|",$AD817&amp;"|",FIND("|",$AD817,FIND("|",$AD817)+1)+1)-FIND("|",$AD817,FIND("|",$AD817)+1)-1))</f>
        <v/>
      </c>
      <c r="AD817">
        <f>TRIM(MID(SUBSTITUTE($CA$814,"~",REPT(" ",600)),1201,600))</f>
        <v/>
      </c>
    </row>
    <row r="818">
      <c r="B818" s="180">
        <f>IF($AD818="","",VALUE(LEFT($AD818,FIND("|",$AD818)-1)))</f>
        <v/>
      </c>
      <c r="C818" s="180">
        <f>IF($AD818="","","    "&amp;MID($AD818,FIND("|",$AD818)+1,FIND("|",$AD818,FIND("|",$AD818)+1)-FIND("|",$AD818)-1))</f>
        <v/>
      </c>
      <c r="D818" s="180">
        <f>IF($AD818="","",MID($AD818,FIND("|",$AD818,FIND("|",$AD818)+1)+1,FIND("|",$AD818&amp;"|",FIND("|",$AD818,FIND("|",$AD818)+1)+1)-FIND("|",$AD818,FIND("|",$AD818)+1)-1))</f>
        <v/>
      </c>
      <c r="AD818">
        <f>TRIM(MID(SUBSTITUTE($CA$814,"~",REPT(" ",600)),1801,600))</f>
        <v/>
      </c>
    </row>
    <row r="819">
      <c r="B819" s="180">
        <f>IF($AD819="","",VALUE(LEFT($AD819,FIND("|",$AD819)-1)))</f>
        <v/>
      </c>
      <c r="C819" s="180">
        <f>IF($AD819="","","    "&amp;MID($AD819,FIND("|",$AD819)+1,FIND("|",$AD819,FIND("|",$AD819)+1)-FIND("|",$AD819)-1))</f>
        <v/>
      </c>
      <c r="D819" s="180">
        <f>IF($AD819="","",MID($AD819,FIND("|",$AD819,FIND("|",$AD819)+1)+1,FIND("|",$AD819&amp;"|",FIND("|",$AD819,FIND("|",$AD819)+1)+1)-FIND("|",$AD819,FIND("|",$AD819)+1)-1))</f>
        <v/>
      </c>
      <c r="AD819">
        <f>TRIM(MID(SUBSTITUTE($CA$814,"~",REPT(" ",600)),2401,600))</f>
        <v/>
      </c>
    </row>
    <row r="820">
      <c r="B820" s="180">
        <f>IF($AD820="","",VALUE(LEFT($AD820,FIND("|",$AD820)-1)))</f>
        <v/>
      </c>
      <c r="C820" s="180">
        <f>IF($AD820="","","    "&amp;MID($AD820,FIND("|",$AD820)+1,FIND("|",$AD820,FIND("|",$AD820)+1)-FIND("|",$AD820)-1))</f>
        <v/>
      </c>
      <c r="D820" s="180">
        <f>IF($AD820="","",MID($AD820,FIND("|",$AD820,FIND("|",$AD820)+1)+1,FIND("|",$AD820&amp;"|",FIND("|",$AD820,FIND("|",$AD820)+1)+1)-FIND("|",$AD820,FIND("|",$AD820)+1)-1))</f>
        <v/>
      </c>
      <c r="AD820">
        <f>TRIM(MID(SUBSTITUTE($CA$814,"~",REPT(" ",600)),3001,600))</f>
        <v/>
      </c>
    </row>
    <row r="821">
      <c r="B821" s="180">
        <f>IF($AD821="","",VALUE(LEFT($AD821,FIND("|",$AD821)-1)))</f>
        <v/>
      </c>
      <c r="C821" s="180">
        <f>IF($AD821="","","    "&amp;MID($AD821,FIND("|",$AD821)+1,FIND("|",$AD821,FIND("|",$AD821)+1)-FIND("|",$AD821)-1))</f>
        <v/>
      </c>
      <c r="D821" s="180">
        <f>IF($AD821="","",MID($AD821,FIND("|",$AD821,FIND("|",$AD821)+1)+1,FIND("|",$AD821&amp;"|",FIND("|",$AD821,FIND("|",$AD821)+1)+1)-FIND("|",$AD821,FIND("|",$AD821)+1)-1))</f>
        <v/>
      </c>
      <c r="AD821">
        <f>TRIM(MID(SUBSTITUTE($CA$814,"~",REPT(" ",600)),3601,600))</f>
        <v/>
      </c>
    </row>
    <row r="822">
      <c r="B822" s="180">
        <f>IF($AD822="","",VALUE(LEFT($AD822,FIND("|",$AD822)-1)))</f>
        <v/>
      </c>
      <c r="C822" s="180">
        <f>IF($AD822="","","    "&amp;MID($AD822,FIND("|",$AD822)+1,FIND("|",$AD822,FIND("|",$AD822)+1)-FIND("|",$AD822)-1))</f>
        <v/>
      </c>
      <c r="D822" s="180">
        <f>IF($AD822="","",MID($AD822,FIND("|",$AD822,FIND("|",$AD822)+1)+1,FIND("|",$AD822&amp;"|",FIND("|",$AD822,FIND("|",$AD822)+1)+1)-FIND("|",$AD822,FIND("|",$AD822)+1)-1))</f>
        <v/>
      </c>
      <c r="AD822">
        <f>TRIM(MID(SUBSTITUTE($CA$814,"~",REPT(" ",600)),4201,600))</f>
        <v/>
      </c>
    </row>
    <row r="823">
      <c r="B823" s="180">
        <f>IF($AD823="","",VALUE(LEFT($AD823,FIND("|",$AD823)-1)))</f>
        <v/>
      </c>
      <c r="C823" s="180">
        <f>IF($AD823="","","    "&amp;MID($AD823,FIND("|",$AD823)+1,FIND("|",$AD823,FIND("|",$AD823)+1)-FIND("|",$AD823)-1))</f>
        <v/>
      </c>
      <c r="D823" s="180">
        <f>IF($AD823="","",MID($AD823,FIND("|",$AD823,FIND("|",$AD823)+1)+1,FIND("|",$AD823&amp;"|",FIND("|",$AD823,FIND("|",$AD823)+1)+1)-FIND("|",$AD823,FIND("|",$AD823)+1)-1))</f>
        <v/>
      </c>
      <c r="AD823">
        <f>TRIM(MID(SUBSTITUTE($CA$814,"~",REPT(" ",600)),4801,600))</f>
        <v/>
      </c>
    </row>
    <row r="824">
      <c r="B824" s="180">
        <f>IF($AD824="","",VALUE(LEFT($AD824,FIND("|",$AD824)-1)))</f>
        <v/>
      </c>
      <c r="C824" s="180">
        <f>IF($AD824="","","    "&amp;MID($AD824,FIND("|",$AD824)+1,FIND("|",$AD824,FIND("|",$AD824)+1)-FIND("|",$AD824)-1))</f>
        <v/>
      </c>
      <c r="D824" s="180">
        <f>IF($AD824="","",MID($AD824,FIND("|",$AD824,FIND("|",$AD824)+1)+1,FIND("|",$AD824&amp;"|",FIND("|",$AD824,FIND("|",$AD824)+1)+1)-FIND("|",$AD824,FIND("|",$AD824)+1)-1))</f>
        <v/>
      </c>
      <c r="AD824">
        <f>TRIM(MID(SUBSTITUTE($CA$814,"~",REPT(" ",600)),5401,600))</f>
        <v/>
      </c>
    </row>
    <row r="825">
      <c r="B825" s="180">
        <f>IF($AD825="","",VALUE(LEFT($AD825,FIND("|",$AD825)-1)))</f>
        <v/>
      </c>
      <c r="C825" s="180">
        <f>IF($AD825="","","    "&amp;MID($AD825,FIND("|",$AD825)+1,FIND("|",$AD825,FIND("|",$AD825)+1)-FIND("|",$AD825)-1))</f>
        <v/>
      </c>
      <c r="D825" s="180">
        <f>IF($AD825="","",MID($AD825,FIND("|",$AD825,FIND("|",$AD825)+1)+1,FIND("|",$AD825&amp;"|",FIND("|",$AD825,FIND("|",$AD825)+1)+1)-FIND("|",$AD825,FIND("|",$AD825)+1)-1))</f>
        <v/>
      </c>
      <c r="AD825">
        <f>TRIM(MID(SUBSTITUTE($CA$814,"~",REPT(" ",600)),6001,600))</f>
        <v/>
      </c>
    </row>
    <row r="826">
      <c r="A826" s="178">
        <f>IF($AD$826=0,"",$BK$826)</f>
        <v/>
      </c>
      <c r="B826" s="178">
        <f>IF($AD$826=0,"",$AE$826*N($BA$826))</f>
        <v/>
      </c>
      <c r="C826" s="178">
        <f>IF($AD$826=0,"",$AE$826*N($BA$826)&amp;") "&amp;IF(COUNTIFS(tk_SODG,9,tk_HLEG,"&lt;&gt;"&amp;$BJ$826)=0,INDEX(tk_DLINE,$AD$826),INDEX(tk_DLINEN,$AD$826)))</f>
        <v/>
      </c>
      <c r="D826" s="178" t="n"/>
      <c r="E826" s="179">
        <f t="array" ref="E826">IF($AD$826=0,"",_xlfn.TEXTJOIN(", ",TRUE,IF(tk_SODG=9,"#"&amp;tk_MARK&amp;IF(tk_HLEG="","","("&amp;tk_HLEG&amp;")")&amp;IF(tk_QTY&gt;1," ×"&amp;tk_QTY,""),"")))</f>
        <v/>
      </c>
      <c r="AD826">
        <f>IFERROR(MATCH(9,tk_SODG,0),0)</f>
        <v/>
      </c>
      <c r="AE826">
        <f>IF($AD$826=0,0,SUMIF(tk_SODG,9,tk_QTY))</f>
        <v/>
      </c>
      <c r="AF826">
        <f>IF($AD$826=0,"",INDEX(tk_JAMB,$AD$826))</f>
        <v/>
      </c>
      <c r="AG826">
        <f>IF($AD$826=0,"",INDEX(tk_ANCHOR,$AD$826))</f>
        <v/>
      </c>
      <c r="AH826">
        <f>IF($AD$826=0,"",INDEX(tk_ANCH,$AD$826))</f>
        <v/>
      </c>
      <c r="AI826">
        <f>IF($AD$826=0,"",INDEX(tk_BASEA,$AD$826))</f>
        <v/>
      </c>
      <c r="AJ826">
        <f>IF($AD$826=0,"",INDEX(tk_CONSTR,$AD$826))</f>
        <v/>
      </c>
      <c r="AK826">
        <f>IF($AD$826=0,"",INDEX(tk_CLOSER,$AD$826))</f>
        <v/>
      </c>
      <c r="AL826">
        <f>IF($AD$826=0,"",INDEX(tk_STRIKE,$AD$826))</f>
        <v/>
      </c>
      <c r="AM826">
        <f>IF($AD$826=0,"",INDEX(tk_HDRPREP,$AD$826))</f>
        <v/>
      </c>
      <c r="AN826">
        <f>IF($AD$826=0,"",INDEX(tk_DMIN,$AD$826))</f>
        <v/>
      </c>
      <c r="AO826">
        <f>IF($AD$826=0,"",INDEX(tk_PAIR,$AD$826))</f>
        <v/>
      </c>
      <c r="AP826">
        <f>IF($AD$826=0,"",INDEX(tk_FGA,$AD$826))</f>
        <v/>
      </c>
      <c r="AQ826">
        <f>IF($AD$826=0,"",INDEX(tk_WI,$AD$826))</f>
        <v/>
      </c>
      <c r="AR826">
        <f>IF($AD$826=0,"",INDEX(tk_HI,$AD$826))</f>
        <v/>
      </c>
      <c r="AS826">
        <f>IF($AD$826=0,"",INDEX(tk_FHINGE,$AD$826))</f>
        <v/>
      </c>
      <c r="AT826">
        <f>IF($AD$826=0,"",INDEX(tk_DHINGE,$AD$826))</f>
        <v/>
      </c>
      <c r="AU826">
        <f>IF($AD$826=0,"",INDEX(tk_HWLOC,$AD$826))</f>
        <v/>
      </c>
      <c r="AV826">
        <f>IF($AD$826=0,"",INDEX(tk_MANUF,$AD$826))</f>
        <v/>
      </c>
      <c r="AW826">
        <f>IF($AD$826=0,"",INDEX(tk_JH,$AD$826))</f>
        <v/>
      </c>
      <c r="AX826">
        <f>IF($AD$826=0,"",INDEX(tk_FDESC,$AD$826))</f>
        <v/>
      </c>
      <c r="AY826">
        <f>IF($AD$826=0,"",INDEX(tk_TRANS,$AD$826))</f>
        <v/>
      </c>
      <c r="AZ826">
        <f>IF($AD$826=0,"",INDEX(tk_SLW,$AD$826))</f>
        <v/>
      </c>
      <c r="BA826">
        <f>IF($AD$826=0,"",INDEX(tk_LEAVES,$AD$826))</f>
        <v/>
      </c>
      <c r="BB826">
        <f>IF($AD$826=0,"",INDEX(tk_LEAFW,$AD$826))</f>
        <v/>
      </c>
      <c r="BC826">
        <f>IF($AD$826=0,"",INDEX(tk_LEAFH,$AD$826))</f>
        <v/>
      </c>
      <c r="BD826">
        <f>IF($AD$826=0,"",INDEX(tk_DMAT,$AD$826))</f>
        <v/>
      </c>
      <c r="BE826">
        <f>IF($AD$826=0,"",INDEX(tk_DGA,$AD$826))</f>
        <v/>
      </c>
      <c r="BF826">
        <f>IF($AD$826=0,"",INDEX(tk_SERIES,$AD$826))</f>
        <v/>
      </c>
      <c r="BG826">
        <f>IF($AD$826=0,"",INDEX(tk_LOCK,$AD$826))</f>
        <v/>
      </c>
      <c r="BH826">
        <f>IF($AD$826=0,"",INDEX(tk_LITEKIT,$AD$826))</f>
        <v/>
      </c>
      <c r="BI826">
        <f>IF($AD$826=0,"",INDEX(tk_FACE,$AD$826))</f>
        <v/>
      </c>
      <c r="BJ826">
        <f>IF($AD$826=0,"",INDEX(tk_HLEG,$AD$826))</f>
        <v/>
      </c>
      <c r="BK826">
        <f>IF($AD$826=0,"",INDEX(tk_SOITEM,$AD$826))</f>
        <v/>
      </c>
      <c r="BL826">
        <f>IFERROR(VLOOKUP($AF$826,CODES,2,FALSE),"")</f>
        <v/>
      </c>
      <c r="BM826">
        <f>IF($AJ$826="KD","C","M")</f>
        <v/>
      </c>
      <c r="BN826">
        <f>IF(N($AR$826)&lt;=80,80,IF(N($AR$826)&lt;=84,84,IF(N($AR$826)&lt;=96,96,N($AR$826))))</f>
        <v/>
      </c>
      <c r="BO826">
        <f>INT($BN$826/12)&amp;MOD($BN$826,12)</f>
        <v/>
      </c>
      <c r="BP826">
        <f>INT(N($AQ$826)/12)&amp;MOD(N($AQ$826),12)</f>
        <v/>
      </c>
      <c r="BQ826">
        <f>IF(OR($AU$826="",$AU$826="ANSI/SDI",$AU$826="CUSTOM LOC"),IF($AV$826="CU","CURRIES","STEELCRAFT"),$AU$826)</f>
        <v/>
      </c>
      <c r="BR826">
        <f>$AO$826="Y"</f>
        <v/>
      </c>
      <c r="BS826">
        <f>"~"</f>
        <v/>
      </c>
      <c r="BT826">
        <f>$AE$826*N($BA$826)</f>
        <v/>
      </c>
      <c r="BU826">
        <f>OR(LEFT($BD$826,3)="OAK",LEFT($BD$826,3)="BIR",LEFT($BD$826,3)="MAP",$BD$826="PC",$BD$826="MC",$BD$826="SCLC",$BD$826="P-LAM")</f>
        <v/>
      </c>
      <c r="BV826">
        <f>INT(N($AQ$826)/MAX(1,N($BA$826))/12)&amp;MOD(N($AQ$826)/MAX(1,N($BA$826)),12)</f>
        <v/>
      </c>
      <c r="BW826">
        <f>IF(OR($BG$826="G11",$BG$826="G11A",$BG$826="G12A"),"G2",IF(OR(LEFT($BG$826,2)="G3",$BG$826="G12"),"G3AEO",$BG$826))</f>
        <v/>
      </c>
      <c r="BX826">
        <f>"(Net size: "&amp;TRIM(TEXT(N($BB$826),"# ?/??"))&amp;CHAR(34)&amp;" x "&amp;TRIM(TEXT(N($BC$826),"# ?/??"))&amp;CHAR(34)&amp;")"</f>
        <v/>
      </c>
      <c r="BY826">
        <f>IF(LEFT($BD$826,3)="OAK","RED OAK",IF(LEFT($BD$826,3)="BIR","BIRCH",IF(LEFT($BD$826,3)="MAP","MAPLE","WOOD")))</f>
        <v/>
      </c>
      <c r="BZ826">
        <f>IF(OR($AT$826="U454",AND($AT$826="",$AS$826="U454")),"454","453")</f>
        <v/>
      </c>
      <c r="CA826">
        <f>IF($AD$826=0,"",IF($BU$826,$BT$826&amp;"|"&amp;$BV$826&amp;$BO$826&amp;" "&amp;$BY$826&amp;" SLAB "&amp;IF(N($AN$826)&gt;0,$AN$826&amp;" MINUTE",IF(RIGHT($BD$826,2)="MC","MC","SC")&amp;" WOOD DOOR")&amp;"|"&amp;$BX$826&amp;"|"&amp;$BS$826,$BT$826&amp;"|"&amp;$BV$826&amp;$BO$826&amp;$BW$826&amp;" BSC "&amp;$BQ$826&amp;" DOOR "&amp;$BE$826&amp;"Ga. Non-Handed "&amp;IF($BF$826="","707",$BF$826)&amp;"S Flush HM|"&amp;$BX$826&amp;"|"&amp;$BS$826)&amp;IF(N($AN$826)&gt;0,$BT$826&amp;"|"&amp;$AN$826&amp;IF($BU$826," MINUTE WARNOCK HERSHEY FIRE RATED WOOD LABEL"," MINUTE FOAM CORE STEEL DOOR LABEL (MODELS 607 &amp; 707)")&amp;"||"&amp;$BS$826,"")&amp;IF(AND(NOT($BU$826),OR($BG$826="G11",$BG$826="G11A",$BG$826="G12",$BG$826="G12A")),$AE$826&amp;"|EXIT DEVICE PREP FOR HM DOOR||"&amp;$BS$826,"")&amp;IF(AND(NOT($BU$826),$BG$826="G12"),$AE$826&amp;"|DR 350 MORTISE LOCK FILLER PLATE||"&amp;$BS$826,"")&amp;IF(AND(NOT($BU$826),LEFT($BG$826,2)="G3"),$AE$826&amp;"|MORTISE LOCK PREP||"&amp;$BS$826,"")&amp;IF($BU$826,$BT$826&amp;"|"&amp;IF($BG$826="G18",$BZ$826&amp;"-4 1/2"&amp;CHAR(34)&amp;"X4 1/2"&amp;CHAR(34)&amp;" HINGES ONLY PREP","HINGE PREP "&amp;$BZ$826&amp;" WITH LOCK PREP")&amp;"|"&amp;$BQ$826&amp;" LOC|"&amp;$BS$826,"")&amp;IF(OR($BG$826="G2G2",$BG$826="G17",$BG$826="E1E4"),$AE$826&amp;"|"&amp;IF($BU$826,"DDLP CYLINDRICAL DEADLOCK PREP","DOOR DEADLOCK PREP")&amp;"||"&amp;$BS$826,"")&amp;IF(OR($BH$826="FG",$BH$826="HG",$BH$826="FNV",$BH$826="FV"),$BT$826&amp;"|"&amp;$BI$826&amp;" LITE KIT||"&amp;$BS$826,IF($BH$826="FL",$BT$826&amp;"|"&amp;$BI$826&amp;" LOUVER||"&amp;$BS$826,IF($BH$826="FP",$BT$826&amp;"|DVP DOOR VIEWER PREP||"&amp;$BS$826,"")))&amp;IF($BN$826&gt;N($AR$826),$BT$826&amp;"|DCO DOOR CUT DOWN ONLY (HEIGHT)|Cut "&amp;TRIM(TEXT($BN$826-N($AR$826),"# ?/??"))&amp;CHAR(34)&amp;" OFF THE BOTTOM|"&amp;$BS$826,""))</f>
        <v/>
      </c>
    </row>
    <row r="827">
      <c r="B827" s="180">
        <f>IF($AD827="","",VALUE(LEFT($AD827,FIND("|",$AD827)-1)))</f>
        <v/>
      </c>
      <c r="C827" s="180">
        <f>IF($AD827="","","    "&amp;MID($AD827,FIND("|",$AD827)+1,FIND("|",$AD827,FIND("|",$AD827)+1)-FIND("|",$AD827)-1))</f>
        <v/>
      </c>
      <c r="D827" s="180">
        <f>IF($AD827="","",MID($AD827,FIND("|",$AD827,FIND("|",$AD827)+1)+1,FIND("|",$AD827&amp;"|",FIND("|",$AD827,FIND("|",$AD827)+1)+1)-FIND("|",$AD827,FIND("|",$AD827)+1)-1))</f>
        <v/>
      </c>
      <c r="AD827">
        <f>TRIM(MID(SUBSTITUTE($CA$826,"~",REPT(" ",600)),1,600))</f>
        <v/>
      </c>
    </row>
    <row r="828">
      <c r="B828" s="180">
        <f>IF($AD828="","",VALUE(LEFT($AD828,FIND("|",$AD828)-1)))</f>
        <v/>
      </c>
      <c r="C828" s="180">
        <f>IF($AD828="","","    "&amp;MID($AD828,FIND("|",$AD828)+1,FIND("|",$AD828,FIND("|",$AD828)+1)-FIND("|",$AD828)-1))</f>
        <v/>
      </c>
      <c r="D828" s="180">
        <f>IF($AD828="","",MID($AD828,FIND("|",$AD828,FIND("|",$AD828)+1)+1,FIND("|",$AD828&amp;"|",FIND("|",$AD828,FIND("|",$AD828)+1)+1)-FIND("|",$AD828,FIND("|",$AD828)+1)-1))</f>
        <v/>
      </c>
      <c r="AD828">
        <f>TRIM(MID(SUBSTITUTE($CA$826,"~",REPT(" ",600)),601,600))</f>
        <v/>
      </c>
    </row>
    <row r="829">
      <c r="B829" s="180">
        <f>IF($AD829="","",VALUE(LEFT($AD829,FIND("|",$AD829)-1)))</f>
        <v/>
      </c>
      <c r="C829" s="180">
        <f>IF($AD829="","","    "&amp;MID($AD829,FIND("|",$AD829)+1,FIND("|",$AD829,FIND("|",$AD829)+1)-FIND("|",$AD829)-1))</f>
        <v/>
      </c>
      <c r="D829" s="180">
        <f>IF($AD829="","",MID($AD829,FIND("|",$AD829,FIND("|",$AD829)+1)+1,FIND("|",$AD829&amp;"|",FIND("|",$AD829,FIND("|",$AD829)+1)+1)-FIND("|",$AD829,FIND("|",$AD829)+1)-1))</f>
        <v/>
      </c>
      <c r="AD829">
        <f>TRIM(MID(SUBSTITUTE($CA$826,"~",REPT(" ",600)),1201,600))</f>
        <v/>
      </c>
    </row>
    <row r="830">
      <c r="B830" s="180">
        <f>IF($AD830="","",VALUE(LEFT($AD830,FIND("|",$AD830)-1)))</f>
        <v/>
      </c>
      <c r="C830" s="180">
        <f>IF($AD830="","","    "&amp;MID($AD830,FIND("|",$AD830)+1,FIND("|",$AD830,FIND("|",$AD830)+1)-FIND("|",$AD830)-1))</f>
        <v/>
      </c>
      <c r="D830" s="180">
        <f>IF($AD830="","",MID($AD830,FIND("|",$AD830,FIND("|",$AD830)+1)+1,FIND("|",$AD830&amp;"|",FIND("|",$AD830,FIND("|",$AD830)+1)+1)-FIND("|",$AD830,FIND("|",$AD830)+1)-1))</f>
        <v/>
      </c>
      <c r="AD830">
        <f>TRIM(MID(SUBSTITUTE($CA$826,"~",REPT(" ",600)),1801,600))</f>
        <v/>
      </c>
    </row>
    <row r="831">
      <c r="B831" s="180">
        <f>IF($AD831="","",VALUE(LEFT($AD831,FIND("|",$AD831)-1)))</f>
        <v/>
      </c>
      <c r="C831" s="180">
        <f>IF($AD831="","","    "&amp;MID($AD831,FIND("|",$AD831)+1,FIND("|",$AD831,FIND("|",$AD831)+1)-FIND("|",$AD831)-1))</f>
        <v/>
      </c>
      <c r="D831" s="180">
        <f>IF($AD831="","",MID($AD831,FIND("|",$AD831,FIND("|",$AD831)+1)+1,FIND("|",$AD831&amp;"|",FIND("|",$AD831,FIND("|",$AD831)+1)+1)-FIND("|",$AD831,FIND("|",$AD831)+1)-1))</f>
        <v/>
      </c>
      <c r="AD831">
        <f>TRIM(MID(SUBSTITUTE($CA$826,"~",REPT(" ",600)),2401,600))</f>
        <v/>
      </c>
    </row>
    <row r="832">
      <c r="B832" s="180">
        <f>IF($AD832="","",VALUE(LEFT($AD832,FIND("|",$AD832)-1)))</f>
        <v/>
      </c>
      <c r="C832" s="180">
        <f>IF($AD832="","","    "&amp;MID($AD832,FIND("|",$AD832)+1,FIND("|",$AD832,FIND("|",$AD832)+1)-FIND("|",$AD832)-1))</f>
        <v/>
      </c>
      <c r="D832" s="180">
        <f>IF($AD832="","",MID($AD832,FIND("|",$AD832,FIND("|",$AD832)+1)+1,FIND("|",$AD832&amp;"|",FIND("|",$AD832,FIND("|",$AD832)+1)+1)-FIND("|",$AD832,FIND("|",$AD832)+1)-1))</f>
        <v/>
      </c>
      <c r="AD832">
        <f>TRIM(MID(SUBSTITUTE($CA$826,"~",REPT(" ",600)),3001,600))</f>
        <v/>
      </c>
    </row>
    <row r="833">
      <c r="B833" s="180">
        <f>IF($AD833="","",VALUE(LEFT($AD833,FIND("|",$AD833)-1)))</f>
        <v/>
      </c>
      <c r="C833" s="180">
        <f>IF($AD833="","","    "&amp;MID($AD833,FIND("|",$AD833)+1,FIND("|",$AD833,FIND("|",$AD833)+1)-FIND("|",$AD833)-1))</f>
        <v/>
      </c>
      <c r="D833" s="180">
        <f>IF($AD833="","",MID($AD833,FIND("|",$AD833,FIND("|",$AD833)+1)+1,FIND("|",$AD833&amp;"|",FIND("|",$AD833,FIND("|",$AD833)+1)+1)-FIND("|",$AD833,FIND("|",$AD833)+1)-1))</f>
        <v/>
      </c>
      <c r="AD833">
        <f>TRIM(MID(SUBSTITUTE($CA$826,"~",REPT(" ",600)),3601,600))</f>
        <v/>
      </c>
    </row>
    <row r="834">
      <c r="B834" s="180">
        <f>IF($AD834="","",VALUE(LEFT($AD834,FIND("|",$AD834)-1)))</f>
        <v/>
      </c>
      <c r="C834" s="180">
        <f>IF($AD834="","","    "&amp;MID($AD834,FIND("|",$AD834)+1,FIND("|",$AD834,FIND("|",$AD834)+1)-FIND("|",$AD834)-1))</f>
        <v/>
      </c>
      <c r="D834" s="180">
        <f>IF($AD834="","",MID($AD834,FIND("|",$AD834,FIND("|",$AD834)+1)+1,FIND("|",$AD834&amp;"|",FIND("|",$AD834,FIND("|",$AD834)+1)+1)-FIND("|",$AD834,FIND("|",$AD834)+1)-1))</f>
        <v/>
      </c>
      <c r="AD834">
        <f>TRIM(MID(SUBSTITUTE($CA$826,"~",REPT(" ",600)),4201,600))</f>
        <v/>
      </c>
    </row>
    <row r="835">
      <c r="B835" s="180">
        <f>IF($AD835="","",VALUE(LEFT($AD835,FIND("|",$AD835)-1)))</f>
        <v/>
      </c>
      <c r="C835" s="180">
        <f>IF($AD835="","","    "&amp;MID($AD835,FIND("|",$AD835)+1,FIND("|",$AD835,FIND("|",$AD835)+1)-FIND("|",$AD835)-1))</f>
        <v/>
      </c>
      <c r="D835" s="180">
        <f>IF($AD835="","",MID($AD835,FIND("|",$AD835,FIND("|",$AD835)+1)+1,FIND("|",$AD835&amp;"|",FIND("|",$AD835,FIND("|",$AD835)+1)+1)-FIND("|",$AD835,FIND("|",$AD835)+1)-1))</f>
        <v/>
      </c>
      <c r="AD835">
        <f>TRIM(MID(SUBSTITUTE($CA$826,"~",REPT(" ",600)),4801,600))</f>
        <v/>
      </c>
    </row>
    <row r="836">
      <c r="B836" s="180">
        <f>IF($AD836="","",VALUE(LEFT($AD836,FIND("|",$AD836)-1)))</f>
        <v/>
      </c>
      <c r="C836" s="180">
        <f>IF($AD836="","","    "&amp;MID($AD836,FIND("|",$AD836)+1,FIND("|",$AD836,FIND("|",$AD836)+1)-FIND("|",$AD836)-1))</f>
        <v/>
      </c>
      <c r="D836" s="180">
        <f>IF($AD836="","",MID($AD836,FIND("|",$AD836,FIND("|",$AD836)+1)+1,FIND("|",$AD836&amp;"|",FIND("|",$AD836,FIND("|",$AD836)+1)+1)-FIND("|",$AD836,FIND("|",$AD836)+1)-1))</f>
        <v/>
      </c>
      <c r="AD836">
        <f>TRIM(MID(SUBSTITUTE($CA$826,"~",REPT(" ",600)),5401,600))</f>
        <v/>
      </c>
    </row>
    <row r="837">
      <c r="B837" s="180">
        <f>IF($AD837="","",VALUE(LEFT($AD837,FIND("|",$AD837)-1)))</f>
        <v/>
      </c>
      <c r="C837" s="180">
        <f>IF($AD837="","","    "&amp;MID($AD837,FIND("|",$AD837)+1,FIND("|",$AD837,FIND("|",$AD837)+1)-FIND("|",$AD837)-1))</f>
        <v/>
      </c>
      <c r="D837" s="180">
        <f>IF($AD837="","",MID($AD837,FIND("|",$AD837,FIND("|",$AD837)+1)+1,FIND("|",$AD837&amp;"|",FIND("|",$AD837,FIND("|",$AD837)+1)+1)-FIND("|",$AD837,FIND("|",$AD837)+1)-1))</f>
        <v/>
      </c>
      <c r="AD837">
        <f>TRIM(MID(SUBSTITUTE($CA$826,"~",REPT(" ",600)),6001,600))</f>
        <v/>
      </c>
    </row>
    <row r="838">
      <c r="A838" s="178">
        <f>IF($AD$838=0,"",$BK$838)</f>
        <v/>
      </c>
      <c r="B838" s="178">
        <f>IF($AD$838=0,"",$AE$838*N($BA$838))</f>
        <v/>
      </c>
      <c r="C838" s="178">
        <f>IF($AD$838=0,"",$AE$838*N($BA$838)&amp;") "&amp;IF(COUNTIFS(tk_SODG,10,tk_HLEG,"&lt;&gt;"&amp;$BJ$838)=0,INDEX(tk_DLINE,$AD$838),INDEX(tk_DLINEN,$AD$838)))</f>
        <v/>
      </c>
      <c r="D838" s="178" t="n"/>
      <c r="E838" s="179">
        <f t="array" ref="E838">IF($AD$838=0,"",_xlfn.TEXTJOIN(", ",TRUE,IF(tk_SODG=10,"#"&amp;tk_MARK&amp;IF(tk_HLEG="","","("&amp;tk_HLEG&amp;")")&amp;IF(tk_QTY&gt;1," ×"&amp;tk_QTY,""),"")))</f>
        <v/>
      </c>
      <c r="AD838">
        <f>IFERROR(MATCH(10,tk_SODG,0),0)</f>
        <v/>
      </c>
      <c r="AE838">
        <f>IF($AD$838=0,0,SUMIF(tk_SODG,10,tk_QTY))</f>
        <v/>
      </c>
      <c r="AF838">
        <f>IF($AD$838=0,"",INDEX(tk_JAMB,$AD$838))</f>
        <v/>
      </c>
      <c r="AG838">
        <f>IF($AD$838=0,"",INDEX(tk_ANCHOR,$AD$838))</f>
        <v/>
      </c>
      <c r="AH838">
        <f>IF($AD$838=0,"",INDEX(tk_ANCH,$AD$838))</f>
        <v/>
      </c>
      <c r="AI838">
        <f>IF($AD$838=0,"",INDEX(tk_BASEA,$AD$838))</f>
        <v/>
      </c>
      <c r="AJ838">
        <f>IF($AD$838=0,"",INDEX(tk_CONSTR,$AD$838))</f>
        <v/>
      </c>
      <c r="AK838">
        <f>IF($AD$838=0,"",INDEX(tk_CLOSER,$AD$838))</f>
        <v/>
      </c>
      <c r="AL838">
        <f>IF($AD$838=0,"",INDEX(tk_STRIKE,$AD$838))</f>
        <v/>
      </c>
      <c r="AM838">
        <f>IF($AD$838=0,"",INDEX(tk_HDRPREP,$AD$838))</f>
        <v/>
      </c>
      <c r="AN838">
        <f>IF($AD$838=0,"",INDEX(tk_DMIN,$AD$838))</f>
        <v/>
      </c>
      <c r="AO838">
        <f>IF($AD$838=0,"",INDEX(tk_PAIR,$AD$838))</f>
        <v/>
      </c>
      <c r="AP838">
        <f>IF($AD$838=0,"",INDEX(tk_FGA,$AD$838))</f>
        <v/>
      </c>
      <c r="AQ838">
        <f>IF($AD$838=0,"",INDEX(tk_WI,$AD$838))</f>
        <v/>
      </c>
      <c r="AR838">
        <f>IF($AD$838=0,"",INDEX(tk_HI,$AD$838))</f>
        <v/>
      </c>
      <c r="AS838">
        <f>IF($AD$838=0,"",INDEX(tk_FHINGE,$AD$838))</f>
        <v/>
      </c>
      <c r="AT838">
        <f>IF($AD$838=0,"",INDEX(tk_DHINGE,$AD$838))</f>
        <v/>
      </c>
      <c r="AU838">
        <f>IF($AD$838=0,"",INDEX(tk_HWLOC,$AD$838))</f>
        <v/>
      </c>
      <c r="AV838">
        <f>IF($AD$838=0,"",INDEX(tk_MANUF,$AD$838))</f>
        <v/>
      </c>
      <c r="AW838">
        <f>IF($AD$838=0,"",INDEX(tk_JH,$AD$838))</f>
        <v/>
      </c>
      <c r="AX838">
        <f>IF($AD$838=0,"",INDEX(tk_FDESC,$AD$838))</f>
        <v/>
      </c>
      <c r="AY838">
        <f>IF($AD$838=0,"",INDEX(tk_TRANS,$AD$838))</f>
        <v/>
      </c>
      <c r="AZ838">
        <f>IF($AD$838=0,"",INDEX(tk_SLW,$AD$838))</f>
        <v/>
      </c>
      <c r="BA838">
        <f>IF($AD$838=0,"",INDEX(tk_LEAVES,$AD$838))</f>
        <v/>
      </c>
      <c r="BB838">
        <f>IF($AD$838=0,"",INDEX(tk_LEAFW,$AD$838))</f>
        <v/>
      </c>
      <c r="BC838">
        <f>IF($AD$838=0,"",INDEX(tk_LEAFH,$AD$838))</f>
        <v/>
      </c>
      <c r="BD838">
        <f>IF($AD$838=0,"",INDEX(tk_DMAT,$AD$838))</f>
        <v/>
      </c>
      <c r="BE838">
        <f>IF($AD$838=0,"",INDEX(tk_DGA,$AD$838))</f>
        <v/>
      </c>
      <c r="BF838">
        <f>IF($AD$838=0,"",INDEX(tk_SERIES,$AD$838))</f>
        <v/>
      </c>
      <c r="BG838">
        <f>IF($AD$838=0,"",INDEX(tk_LOCK,$AD$838))</f>
        <v/>
      </c>
      <c r="BH838">
        <f>IF($AD$838=0,"",INDEX(tk_LITEKIT,$AD$838))</f>
        <v/>
      </c>
      <c r="BI838">
        <f>IF($AD$838=0,"",INDEX(tk_FACE,$AD$838))</f>
        <v/>
      </c>
      <c r="BJ838">
        <f>IF($AD$838=0,"",INDEX(tk_HLEG,$AD$838))</f>
        <v/>
      </c>
      <c r="BK838">
        <f>IF($AD$838=0,"",INDEX(tk_SOITEM,$AD$838))</f>
        <v/>
      </c>
      <c r="BL838">
        <f>IFERROR(VLOOKUP($AF$838,CODES,2,FALSE),"")</f>
        <v/>
      </c>
      <c r="BM838">
        <f>IF($AJ$838="KD","C","M")</f>
        <v/>
      </c>
      <c r="BN838">
        <f>IF(N($AR$838)&lt;=80,80,IF(N($AR$838)&lt;=84,84,IF(N($AR$838)&lt;=96,96,N($AR$838))))</f>
        <v/>
      </c>
      <c r="BO838">
        <f>INT($BN$838/12)&amp;MOD($BN$838,12)</f>
        <v/>
      </c>
      <c r="BP838">
        <f>INT(N($AQ$838)/12)&amp;MOD(N($AQ$838),12)</f>
        <v/>
      </c>
      <c r="BQ838">
        <f>IF(OR($AU$838="",$AU$838="ANSI/SDI",$AU$838="CUSTOM LOC"),IF($AV$838="CU","CURRIES","STEELCRAFT"),$AU$838)</f>
        <v/>
      </c>
      <c r="BR838">
        <f>$AO$838="Y"</f>
        <v/>
      </c>
      <c r="BS838">
        <f>"~"</f>
        <v/>
      </c>
      <c r="BT838">
        <f>$AE$838*N($BA$838)</f>
        <v/>
      </c>
      <c r="BU838">
        <f>OR(LEFT($BD$838,3)="OAK",LEFT($BD$838,3)="BIR",LEFT($BD$838,3)="MAP",$BD$838="PC",$BD$838="MC",$BD$838="SCLC",$BD$838="P-LAM")</f>
        <v/>
      </c>
      <c r="BV838">
        <f>INT(N($AQ$838)/MAX(1,N($BA$838))/12)&amp;MOD(N($AQ$838)/MAX(1,N($BA$838)),12)</f>
        <v/>
      </c>
      <c r="BW838">
        <f>IF(OR($BG$838="G11",$BG$838="G11A",$BG$838="G12A"),"G2",IF(OR(LEFT($BG$838,2)="G3",$BG$838="G12"),"G3AEO",$BG$838))</f>
        <v/>
      </c>
      <c r="BX838">
        <f>"(Net size: "&amp;TRIM(TEXT(N($BB$838),"# ?/??"))&amp;CHAR(34)&amp;" x "&amp;TRIM(TEXT(N($BC$838),"# ?/??"))&amp;CHAR(34)&amp;")"</f>
        <v/>
      </c>
      <c r="BY838">
        <f>IF(LEFT($BD$838,3)="OAK","RED OAK",IF(LEFT($BD$838,3)="BIR","BIRCH",IF(LEFT($BD$838,3)="MAP","MAPLE","WOOD")))</f>
        <v/>
      </c>
      <c r="BZ838">
        <f>IF(OR($AT$838="U454",AND($AT$838="",$AS$838="U454")),"454","453")</f>
        <v/>
      </c>
      <c r="CA838">
        <f>IF($AD$838=0,"",IF($BU$838,$BT$838&amp;"|"&amp;$BV$838&amp;$BO$838&amp;" "&amp;$BY$838&amp;" SLAB "&amp;IF(N($AN$838)&gt;0,$AN$838&amp;" MINUTE",IF(RIGHT($BD$838,2)="MC","MC","SC")&amp;" WOOD DOOR")&amp;"|"&amp;$BX$838&amp;"|"&amp;$BS$838,$BT$838&amp;"|"&amp;$BV$838&amp;$BO$838&amp;$BW$838&amp;" BSC "&amp;$BQ$838&amp;" DOOR "&amp;$BE$838&amp;"Ga. Non-Handed "&amp;IF($BF$838="","707",$BF$838)&amp;"S Flush HM|"&amp;$BX$838&amp;"|"&amp;$BS$838)&amp;IF(N($AN$838)&gt;0,$BT$838&amp;"|"&amp;$AN$838&amp;IF($BU$838," MINUTE WARNOCK HERSHEY FIRE RATED WOOD LABEL"," MINUTE FOAM CORE STEEL DOOR LABEL (MODELS 607 &amp; 707)")&amp;"||"&amp;$BS$838,"")&amp;IF(AND(NOT($BU$838),OR($BG$838="G11",$BG$838="G11A",$BG$838="G12",$BG$838="G12A")),$AE$838&amp;"|EXIT DEVICE PREP FOR HM DOOR||"&amp;$BS$838,"")&amp;IF(AND(NOT($BU$838),$BG$838="G12"),$AE$838&amp;"|DR 350 MORTISE LOCK FILLER PLATE||"&amp;$BS$838,"")&amp;IF(AND(NOT($BU$838),LEFT($BG$838,2)="G3"),$AE$838&amp;"|MORTISE LOCK PREP||"&amp;$BS$838,"")&amp;IF($BU$838,$BT$838&amp;"|"&amp;IF($BG$838="G18",$BZ$838&amp;"-4 1/2"&amp;CHAR(34)&amp;"X4 1/2"&amp;CHAR(34)&amp;" HINGES ONLY PREP","HINGE PREP "&amp;$BZ$838&amp;" WITH LOCK PREP")&amp;"|"&amp;$BQ$838&amp;" LOC|"&amp;$BS$838,"")&amp;IF(OR($BG$838="G2G2",$BG$838="G17",$BG$838="E1E4"),$AE$838&amp;"|"&amp;IF($BU$838,"DDLP CYLINDRICAL DEADLOCK PREP","DOOR DEADLOCK PREP")&amp;"||"&amp;$BS$838,"")&amp;IF(OR($BH$838="FG",$BH$838="HG",$BH$838="FNV",$BH$838="FV"),$BT$838&amp;"|"&amp;$BI$838&amp;" LITE KIT||"&amp;$BS$838,IF($BH$838="FL",$BT$838&amp;"|"&amp;$BI$838&amp;" LOUVER||"&amp;$BS$838,IF($BH$838="FP",$BT$838&amp;"|DVP DOOR VIEWER PREP||"&amp;$BS$838,"")))&amp;IF($BN$838&gt;N($AR$838),$BT$838&amp;"|DCO DOOR CUT DOWN ONLY (HEIGHT)|Cut "&amp;TRIM(TEXT($BN$838-N($AR$838),"# ?/??"))&amp;CHAR(34)&amp;" OFF THE BOTTOM|"&amp;$BS$838,""))</f>
        <v/>
      </c>
    </row>
    <row r="839">
      <c r="B839" s="180">
        <f>IF($AD839="","",VALUE(LEFT($AD839,FIND("|",$AD839)-1)))</f>
        <v/>
      </c>
      <c r="C839" s="180">
        <f>IF($AD839="","","    "&amp;MID($AD839,FIND("|",$AD839)+1,FIND("|",$AD839,FIND("|",$AD839)+1)-FIND("|",$AD839)-1))</f>
        <v/>
      </c>
      <c r="D839" s="180">
        <f>IF($AD839="","",MID($AD839,FIND("|",$AD839,FIND("|",$AD839)+1)+1,FIND("|",$AD839&amp;"|",FIND("|",$AD839,FIND("|",$AD839)+1)+1)-FIND("|",$AD839,FIND("|",$AD839)+1)-1))</f>
        <v/>
      </c>
      <c r="AD839">
        <f>TRIM(MID(SUBSTITUTE($CA$838,"~",REPT(" ",600)),1,600))</f>
        <v/>
      </c>
    </row>
    <row r="840">
      <c r="B840" s="180">
        <f>IF($AD840="","",VALUE(LEFT($AD840,FIND("|",$AD840)-1)))</f>
        <v/>
      </c>
      <c r="C840" s="180">
        <f>IF($AD840="","","    "&amp;MID($AD840,FIND("|",$AD840)+1,FIND("|",$AD840,FIND("|",$AD840)+1)-FIND("|",$AD840)-1))</f>
        <v/>
      </c>
      <c r="D840" s="180">
        <f>IF($AD840="","",MID($AD840,FIND("|",$AD840,FIND("|",$AD840)+1)+1,FIND("|",$AD840&amp;"|",FIND("|",$AD840,FIND("|",$AD840)+1)+1)-FIND("|",$AD840,FIND("|",$AD840)+1)-1))</f>
        <v/>
      </c>
      <c r="AD840">
        <f>TRIM(MID(SUBSTITUTE($CA$838,"~",REPT(" ",600)),601,600))</f>
        <v/>
      </c>
    </row>
    <row r="841">
      <c r="B841" s="180">
        <f>IF($AD841="","",VALUE(LEFT($AD841,FIND("|",$AD841)-1)))</f>
        <v/>
      </c>
      <c r="C841" s="180">
        <f>IF($AD841="","","    "&amp;MID($AD841,FIND("|",$AD841)+1,FIND("|",$AD841,FIND("|",$AD841)+1)-FIND("|",$AD841)-1))</f>
        <v/>
      </c>
      <c r="D841" s="180">
        <f>IF($AD841="","",MID($AD841,FIND("|",$AD841,FIND("|",$AD841)+1)+1,FIND("|",$AD841&amp;"|",FIND("|",$AD841,FIND("|",$AD841)+1)+1)-FIND("|",$AD841,FIND("|",$AD841)+1)-1))</f>
        <v/>
      </c>
      <c r="AD841">
        <f>TRIM(MID(SUBSTITUTE($CA$838,"~",REPT(" ",600)),1201,600))</f>
        <v/>
      </c>
    </row>
    <row r="842">
      <c r="B842" s="180">
        <f>IF($AD842="","",VALUE(LEFT($AD842,FIND("|",$AD842)-1)))</f>
        <v/>
      </c>
      <c r="C842" s="180">
        <f>IF($AD842="","","    "&amp;MID($AD842,FIND("|",$AD842)+1,FIND("|",$AD842,FIND("|",$AD842)+1)-FIND("|",$AD842)-1))</f>
        <v/>
      </c>
      <c r="D842" s="180">
        <f>IF($AD842="","",MID($AD842,FIND("|",$AD842,FIND("|",$AD842)+1)+1,FIND("|",$AD842&amp;"|",FIND("|",$AD842,FIND("|",$AD842)+1)+1)-FIND("|",$AD842,FIND("|",$AD842)+1)-1))</f>
        <v/>
      </c>
      <c r="AD842">
        <f>TRIM(MID(SUBSTITUTE($CA$838,"~",REPT(" ",600)),1801,600))</f>
        <v/>
      </c>
    </row>
    <row r="843">
      <c r="B843" s="180">
        <f>IF($AD843="","",VALUE(LEFT($AD843,FIND("|",$AD843)-1)))</f>
        <v/>
      </c>
      <c r="C843" s="180">
        <f>IF($AD843="","","    "&amp;MID($AD843,FIND("|",$AD843)+1,FIND("|",$AD843,FIND("|",$AD843)+1)-FIND("|",$AD843)-1))</f>
        <v/>
      </c>
      <c r="D843" s="180">
        <f>IF($AD843="","",MID($AD843,FIND("|",$AD843,FIND("|",$AD843)+1)+1,FIND("|",$AD843&amp;"|",FIND("|",$AD843,FIND("|",$AD843)+1)+1)-FIND("|",$AD843,FIND("|",$AD843)+1)-1))</f>
        <v/>
      </c>
      <c r="AD843">
        <f>TRIM(MID(SUBSTITUTE($CA$838,"~",REPT(" ",600)),2401,600))</f>
        <v/>
      </c>
    </row>
    <row r="844">
      <c r="B844" s="180">
        <f>IF($AD844="","",VALUE(LEFT($AD844,FIND("|",$AD844)-1)))</f>
        <v/>
      </c>
      <c r="C844" s="180">
        <f>IF($AD844="","","    "&amp;MID($AD844,FIND("|",$AD844)+1,FIND("|",$AD844,FIND("|",$AD844)+1)-FIND("|",$AD844)-1))</f>
        <v/>
      </c>
      <c r="D844" s="180">
        <f>IF($AD844="","",MID($AD844,FIND("|",$AD844,FIND("|",$AD844)+1)+1,FIND("|",$AD844&amp;"|",FIND("|",$AD844,FIND("|",$AD844)+1)+1)-FIND("|",$AD844,FIND("|",$AD844)+1)-1))</f>
        <v/>
      </c>
      <c r="AD844">
        <f>TRIM(MID(SUBSTITUTE($CA$838,"~",REPT(" ",600)),3001,600))</f>
        <v/>
      </c>
    </row>
    <row r="845">
      <c r="B845" s="180">
        <f>IF($AD845="","",VALUE(LEFT($AD845,FIND("|",$AD845)-1)))</f>
        <v/>
      </c>
      <c r="C845" s="180">
        <f>IF($AD845="","","    "&amp;MID($AD845,FIND("|",$AD845)+1,FIND("|",$AD845,FIND("|",$AD845)+1)-FIND("|",$AD845)-1))</f>
        <v/>
      </c>
      <c r="D845" s="180">
        <f>IF($AD845="","",MID($AD845,FIND("|",$AD845,FIND("|",$AD845)+1)+1,FIND("|",$AD845&amp;"|",FIND("|",$AD845,FIND("|",$AD845)+1)+1)-FIND("|",$AD845,FIND("|",$AD845)+1)-1))</f>
        <v/>
      </c>
      <c r="AD845">
        <f>TRIM(MID(SUBSTITUTE($CA$838,"~",REPT(" ",600)),3601,600))</f>
        <v/>
      </c>
    </row>
    <row r="846">
      <c r="B846" s="180">
        <f>IF($AD846="","",VALUE(LEFT($AD846,FIND("|",$AD846)-1)))</f>
        <v/>
      </c>
      <c r="C846" s="180">
        <f>IF($AD846="","","    "&amp;MID($AD846,FIND("|",$AD846)+1,FIND("|",$AD846,FIND("|",$AD846)+1)-FIND("|",$AD846)-1))</f>
        <v/>
      </c>
      <c r="D846" s="180">
        <f>IF($AD846="","",MID($AD846,FIND("|",$AD846,FIND("|",$AD846)+1)+1,FIND("|",$AD846&amp;"|",FIND("|",$AD846,FIND("|",$AD846)+1)+1)-FIND("|",$AD846,FIND("|",$AD846)+1)-1))</f>
        <v/>
      </c>
      <c r="AD846">
        <f>TRIM(MID(SUBSTITUTE($CA$838,"~",REPT(" ",600)),4201,600))</f>
        <v/>
      </c>
    </row>
    <row r="847">
      <c r="B847" s="180">
        <f>IF($AD847="","",VALUE(LEFT($AD847,FIND("|",$AD847)-1)))</f>
        <v/>
      </c>
      <c r="C847" s="180">
        <f>IF($AD847="","","    "&amp;MID($AD847,FIND("|",$AD847)+1,FIND("|",$AD847,FIND("|",$AD847)+1)-FIND("|",$AD847)-1))</f>
        <v/>
      </c>
      <c r="D847" s="180">
        <f>IF($AD847="","",MID($AD847,FIND("|",$AD847,FIND("|",$AD847)+1)+1,FIND("|",$AD847&amp;"|",FIND("|",$AD847,FIND("|",$AD847)+1)+1)-FIND("|",$AD847,FIND("|",$AD847)+1)-1))</f>
        <v/>
      </c>
      <c r="AD847">
        <f>TRIM(MID(SUBSTITUTE($CA$838,"~",REPT(" ",600)),4801,600))</f>
        <v/>
      </c>
    </row>
    <row r="848">
      <c r="B848" s="180">
        <f>IF($AD848="","",VALUE(LEFT($AD848,FIND("|",$AD848)-1)))</f>
        <v/>
      </c>
      <c r="C848" s="180">
        <f>IF($AD848="","","    "&amp;MID($AD848,FIND("|",$AD848)+1,FIND("|",$AD848,FIND("|",$AD848)+1)-FIND("|",$AD848)-1))</f>
        <v/>
      </c>
      <c r="D848" s="180">
        <f>IF($AD848="","",MID($AD848,FIND("|",$AD848,FIND("|",$AD848)+1)+1,FIND("|",$AD848&amp;"|",FIND("|",$AD848,FIND("|",$AD848)+1)+1)-FIND("|",$AD848,FIND("|",$AD848)+1)-1))</f>
        <v/>
      </c>
      <c r="AD848">
        <f>TRIM(MID(SUBSTITUTE($CA$838,"~",REPT(" ",600)),5401,600))</f>
        <v/>
      </c>
    </row>
    <row r="849">
      <c r="B849" s="180">
        <f>IF($AD849="","",VALUE(LEFT($AD849,FIND("|",$AD849)-1)))</f>
        <v/>
      </c>
      <c r="C849" s="180">
        <f>IF($AD849="","","    "&amp;MID($AD849,FIND("|",$AD849)+1,FIND("|",$AD849,FIND("|",$AD849)+1)-FIND("|",$AD849)-1))</f>
        <v/>
      </c>
      <c r="D849" s="180">
        <f>IF($AD849="","",MID($AD849,FIND("|",$AD849,FIND("|",$AD849)+1)+1,FIND("|",$AD849&amp;"|",FIND("|",$AD849,FIND("|",$AD849)+1)+1)-FIND("|",$AD849,FIND("|",$AD849)+1)-1))</f>
        <v/>
      </c>
      <c r="AD849">
        <f>TRIM(MID(SUBSTITUTE($CA$838,"~",REPT(" ",600)),6001,600))</f>
        <v/>
      </c>
    </row>
    <row r="850">
      <c r="A850" s="178">
        <f>IF($AD$850=0,"",$BK$850)</f>
        <v/>
      </c>
      <c r="B850" s="178">
        <f>IF($AD$850=0,"",$AE$850*N($BA$850))</f>
        <v/>
      </c>
      <c r="C850" s="178">
        <f>IF($AD$850=0,"",$AE$850*N($BA$850)&amp;") "&amp;IF(COUNTIFS(tk_SODG,11,tk_HLEG,"&lt;&gt;"&amp;$BJ$850)=0,INDEX(tk_DLINE,$AD$850),INDEX(tk_DLINEN,$AD$850)))</f>
        <v/>
      </c>
      <c r="D850" s="178" t="n"/>
      <c r="E850" s="179">
        <f t="array" ref="E850">IF($AD$850=0,"",_xlfn.TEXTJOIN(", ",TRUE,IF(tk_SODG=11,"#"&amp;tk_MARK&amp;IF(tk_HLEG="","","("&amp;tk_HLEG&amp;")")&amp;IF(tk_QTY&gt;1," ×"&amp;tk_QTY,""),"")))</f>
        <v/>
      </c>
      <c r="AD850">
        <f>IFERROR(MATCH(11,tk_SODG,0),0)</f>
        <v/>
      </c>
      <c r="AE850">
        <f>IF($AD$850=0,0,SUMIF(tk_SODG,11,tk_QTY))</f>
        <v/>
      </c>
      <c r="AF850">
        <f>IF($AD$850=0,"",INDEX(tk_JAMB,$AD$850))</f>
        <v/>
      </c>
      <c r="AG850">
        <f>IF($AD$850=0,"",INDEX(tk_ANCHOR,$AD$850))</f>
        <v/>
      </c>
      <c r="AH850">
        <f>IF($AD$850=0,"",INDEX(tk_ANCH,$AD$850))</f>
        <v/>
      </c>
      <c r="AI850">
        <f>IF($AD$850=0,"",INDEX(tk_BASEA,$AD$850))</f>
        <v/>
      </c>
      <c r="AJ850">
        <f>IF($AD$850=0,"",INDEX(tk_CONSTR,$AD$850))</f>
        <v/>
      </c>
      <c r="AK850">
        <f>IF($AD$850=0,"",INDEX(tk_CLOSER,$AD$850))</f>
        <v/>
      </c>
      <c r="AL850">
        <f>IF($AD$850=0,"",INDEX(tk_STRIKE,$AD$850))</f>
        <v/>
      </c>
      <c r="AM850">
        <f>IF($AD$850=0,"",INDEX(tk_HDRPREP,$AD$850))</f>
        <v/>
      </c>
      <c r="AN850">
        <f>IF($AD$850=0,"",INDEX(tk_DMIN,$AD$850))</f>
        <v/>
      </c>
      <c r="AO850">
        <f>IF($AD$850=0,"",INDEX(tk_PAIR,$AD$850))</f>
        <v/>
      </c>
      <c r="AP850">
        <f>IF($AD$850=0,"",INDEX(tk_FGA,$AD$850))</f>
        <v/>
      </c>
      <c r="AQ850">
        <f>IF($AD$850=0,"",INDEX(tk_WI,$AD$850))</f>
        <v/>
      </c>
      <c r="AR850">
        <f>IF($AD$850=0,"",INDEX(tk_HI,$AD$850))</f>
        <v/>
      </c>
      <c r="AS850">
        <f>IF($AD$850=0,"",INDEX(tk_FHINGE,$AD$850))</f>
        <v/>
      </c>
      <c r="AT850">
        <f>IF($AD$850=0,"",INDEX(tk_DHINGE,$AD$850))</f>
        <v/>
      </c>
      <c r="AU850">
        <f>IF($AD$850=0,"",INDEX(tk_HWLOC,$AD$850))</f>
        <v/>
      </c>
      <c r="AV850">
        <f>IF($AD$850=0,"",INDEX(tk_MANUF,$AD$850))</f>
        <v/>
      </c>
      <c r="AW850">
        <f>IF($AD$850=0,"",INDEX(tk_JH,$AD$850))</f>
        <v/>
      </c>
      <c r="AX850">
        <f>IF($AD$850=0,"",INDEX(tk_FDESC,$AD$850))</f>
        <v/>
      </c>
      <c r="AY850">
        <f>IF($AD$850=0,"",INDEX(tk_TRANS,$AD$850))</f>
        <v/>
      </c>
      <c r="AZ850">
        <f>IF($AD$850=0,"",INDEX(tk_SLW,$AD$850))</f>
        <v/>
      </c>
      <c r="BA850">
        <f>IF($AD$850=0,"",INDEX(tk_LEAVES,$AD$850))</f>
        <v/>
      </c>
      <c r="BB850">
        <f>IF($AD$850=0,"",INDEX(tk_LEAFW,$AD$850))</f>
        <v/>
      </c>
      <c r="BC850">
        <f>IF($AD$850=0,"",INDEX(tk_LEAFH,$AD$850))</f>
        <v/>
      </c>
      <c r="BD850">
        <f>IF($AD$850=0,"",INDEX(tk_DMAT,$AD$850))</f>
        <v/>
      </c>
      <c r="BE850">
        <f>IF($AD$850=0,"",INDEX(tk_DGA,$AD$850))</f>
        <v/>
      </c>
      <c r="BF850">
        <f>IF($AD$850=0,"",INDEX(tk_SERIES,$AD$850))</f>
        <v/>
      </c>
      <c r="BG850">
        <f>IF($AD$850=0,"",INDEX(tk_LOCK,$AD$850))</f>
        <v/>
      </c>
      <c r="BH850">
        <f>IF($AD$850=0,"",INDEX(tk_LITEKIT,$AD$850))</f>
        <v/>
      </c>
      <c r="BI850">
        <f>IF($AD$850=0,"",INDEX(tk_FACE,$AD$850))</f>
        <v/>
      </c>
      <c r="BJ850">
        <f>IF($AD$850=0,"",INDEX(tk_HLEG,$AD$850))</f>
        <v/>
      </c>
      <c r="BK850">
        <f>IF($AD$850=0,"",INDEX(tk_SOITEM,$AD$850))</f>
        <v/>
      </c>
      <c r="BL850">
        <f>IFERROR(VLOOKUP($AF$850,CODES,2,FALSE),"")</f>
        <v/>
      </c>
      <c r="BM850">
        <f>IF($AJ$850="KD","C","M")</f>
        <v/>
      </c>
      <c r="BN850">
        <f>IF(N($AR$850)&lt;=80,80,IF(N($AR$850)&lt;=84,84,IF(N($AR$850)&lt;=96,96,N($AR$850))))</f>
        <v/>
      </c>
      <c r="BO850">
        <f>INT($BN$850/12)&amp;MOD($BN$850,12)</f>
        <v/>
      </c>
      <c r="BP850">
        <f>INT(N($AQ$850)/12)&amp;MOD(N($AQ$850),12)</f>
        <v/>
      </c>
      <c r="BQ850">
        <f>IF(OR($AU$850="",$AU$850="ANSI/SDI",$AU$850="CUSTOM LOC"),IF($AV$850="CU","CURRIES","STEELCRAFT"),$AU$850)</f>
        <v/>
      </c>
      <c r="BR850">
        <f>$AO$850="Y"</f>
        <v/>
      </c>
      <c r="BS850">
        <f>"~"</f>
        <v/>
      </c>
      <c r="BT850">
        <f>$AE$850*N($BA$850)</f>
        <v/>
      </c>
      <c r="BU850">
        <f>OR(LEFT($BD$850,3)="OAK",LEFT($BD$850,3)="BIR",LEFT($BD$850,3)="MAP",$BD$850="PC",$BD$850="MC",$BD$850="SCLC",$BD$850="P-LAM")</f>
        <v/>
      </c>
      <c r="BV850">
        <f>INT(N($AQ$850)/MAX(1,N($BA$850))/12)&amp;MOD(N($AQ$850)/MAX(1,N($BA$850)),12)</f>
        <v/>
      </c>
      <c r="BW850">
        <f>IF(OR($BG$850="G11",$BG$850="G11A",$BG$850="G12A"),"G2",IF(OR(LEFT($BG$850,2)="G3",$BG$850="G12"),"G3AEO",$BG$850))</f>
        <v/>
      </c>
      <c r="BX850">
        <f>"(Net size: "&amp;TRIM(TEXT(N($BB$850),"# ?/??"))&amp;CHAR(34)&amp;" x "&amp;TRIM(TEXT(N($BC$850),"# ?/??"))&amp;CHAR(34)&amp;")"</f>
        <v/>
      </c>
      <c r="BY850">
        <f>IF(LEFT($BD$850,3)="OAK","RED OAK",IF(LEFT($BD$850,3)="BIR","BIRCH",IF(LEFT($BD$850,3)="MAP","MAPLE","WOOD")))</f>
        <v/>
      </c>
      <c r="BZ850">
        <f>IF(OR($AT$850="U454",AND($AT$850="",$AS$850="U454")),"454","453")</f>
        <v/>
      </c>
      <c r="CA850">
        <f>IF($AD$850=0,"",IF($BU$850,$BT$850&amp;"|"&amp;$BV$850&amp;$BO$850&amp;" "&amp;$BY$850&amp;" SLAB "&amp;IF(N($AN$850)&gt;0,$AN$850&amp;" MINUTE",IF(RIGHT($BD$850,2)="MC","MC","SC")&amp;" WOOD DOOR")&amp;"|"&amp;$BX$850&amp;"|"&amp;$BS$850,$BT$850&amp;"|"&amp;$BV$850&amp;$BO$850&amp;$BW$850&amp;" BSC "&amp;$BQ$850&amp;" DOOR "&amp;$BE$850&amp;"Ga. Non-Handed "&amp;IF($BF$850="","707",$BF$850)&amp;"S Flush HM|"&amp;$BX$850&amp;"|"&amp;$BS$850)&amp;IF(N($AN$850)&gt;0,$BT$850&amp;"|"&amp;$AN$850&amp;IF($BU$850," MINUTE WARNOCK HERSHEY FIRE RATED WOOD LABEL"," MINUTE FOAM CORE STEEL DOOR LABEL (MODELS 607 &amp; 707)")&amp;"||"&amp;$BS$850,"")&amp;IF(AND(NOT($BU$850),OR($BG$850="G11",$BG$850="G11A",$BG$850="G12",$BG$850="G12A")),$AE$850&amp;"|EXIT DEVICE PREP FOR HM DOOR||"&amp;$BS$850,"")&amp;IF(AND(NOT($BU$850),$BG$850="G12"),$AE$850&amp;"|DR 350 MORTISE LOCK FILLER PLATE||"&amp;$BS$850,"")&amp;IF(AND(NOT($BU$850),LEFT($BG$850,2)="G3"),$AE$850&amp;"|MORTISE LOCK PREP||"&amp;$BS$850,"")&amp;IF($BU$850,$BT$850&amp;"|"&amp;IF($BG$850="G18",$BZ$850&amp;"-4 1/2"&amp;CHAR(34)&amp;"X4 1/2"&amp;CHAR(34)&amp;" HINGES ONLY PREP","HINGE PREP "&amp;$BZ$850&amp;" WITH LOCK PREP")&amp;"|"&amp;$BQ$850&amp;" LOC|"&amp;$BS$850,"")&amp;IF(OR($BG$850="G2G2",$BG$850="G17",$BG$850="E1E4"),$AE$850&amp;"|"&amp;IF($BU$850,"DDLP CYLINDRICAL DEADLOCK PREP","DOOR DEADLOCK PREP")&amp;"||"&amp;$BS$850,"")&amp;IF(OR($BH$850="FG",$BH$850="HG",$BH$850="FNV",$BH$850="FV"),$BT$850&amp;"|"&amp;$BI$850&amp;" LITE KIT||"&amp;$BS$850,IF($BH$850="FL",$BT$850&amp;"|"&amp;$BI$850&amp;" LOUVER||"&amp;$BS$850,IF($BH$850="FP",$BT$850&amp;"|DVP DOOR VIEWER PREP||"&amp;$BS$850,"")))&amp;IF($BN$850&gt;N($AR$850),$BT$850&amp;"|DCO DOOR CUT DOWN ONLY (HEIGHT)|Cut "&amp;TRIM(TEXT($BN$850-N($AR$850),"# ?/??"))&amp;CHAR(34)&amp;" OFF THE BOTTOM|"&amp;$BS$850,""))</f>
        <v/>
      </c>
    </row>
    <row r="851">
      <c r="B851" s="180">
        <f>IF($AD851="","",VALUE(LEFT($AD851,FIND("|",$AD851)-1)))</f>
        <v/>
      </c>
      <c r="C851" s="180">
        <f>IF($AD851="","","    "&amp;MID($AD851,FIND("|",$AD851)+1,FIND("|",$AD851,FIND("|",$AD851)+1)-FIND("|",$AD851)-1))</f>
        <v/>
      </c>
      <c r="D851" s="180">
        <f>IF($AD851="","",MID($AD851,FIND("|",$AD851,FIND("|",$AD851)+1)+1,FIND("|",$AD851&amp;"|",FIND("|",$AD851,FIND("|",$AD851)+1)+1)-FIND("|",$AD851,FIND("|",$AD851)+1)-1))</f>
        <v/>
      </c>
      <c r="AD851">
        <f>TRIM(MID(SUBSTITUTE($CA$850,"~",REPT(" ",600)),1,600))</f>
        <v/>
      </c>
    </row>
    <row r="852">
      <c r="B852" s="180">
        <f>IF($AD852="","",VALUE(LEFT($AD852,FIND("|",$AD852)-1)))</f>
        <v/>
      </c>
      <c r="C852" s="180">
        <f>IF($AD852="","","    "&amp;MID($AD852,FIND("|",$AD852)+1,FIND("|",$AD852,FIND("|",$AD852)+1)-FIND("|",$AD852)-1))</f>
        <v/>
      </c>
      <c r="D852" s="180">
        <f>IF($AD852="","",MID($AD852,FIND("|",$AD852,FIND("|",$AD852)+1)+1,FIND("|",$AD852&amp;"|",FIND("|",$AD852,FIND("|",$AD852)+1)+1)-FIND("|",$AD852,FIND("|",$AD852)+1)-1))</f>
        <v/>
      </c>
      <c r="AD852">
        <f>TRIM(MID(SUBSTITUTE($CA$850,"~",REPT(" ",600)),601,600))</f>
        <v/>
      </c>
    </row>
    <row r="853">
      <c r="B853" s="180">
        <f>IF($AD853="","",VALUE(LEFT($AD853,FIND("|",$AD853)-1)))</f>
        <v/>
      </c>
      <c r="C853" s="180">
        <f>IF($AD853="","","    "&amp;MID($AD853,FIND("|",$AD853)+1,FIND("|",$AD853,FIND("|",$AD853)+1)-FIND("|",$AD853)-1))</f>
        <v/>
      </c>
      <c r="D853" s="180">
        <f>IF($AD853="","",MID($AD853,FIND("|",$AD853,FIND("|",$AD853)+1)+1,FIND("|",$AD853&amp;"|",FIND("|",$AD853,FIND("|",$AD853)+1)+1)-FIND("|",$AD853,FIND("|",$AD853)+1)-1))</f>
        <v/>
      </c>
      <c r="AD853">
        <f>TRIM(MID(SUBSTITUTE($CA$850,"~",REPT(" ",600)),1201,600))</f>
        <v/>
      </c>
    </row>
    <row r="854">
      <c r="B854" s="180">
        <f>IF($AD854="","",VALUE(LEFT($AD854,FIND("|",$AD854)-1)))</f>
        <v/>
      </c>
      <c r="C854" s="180">
        <f>IF($AD854="","","    "&amp;MID($AD854,FIND("|",$AD854)+1,FIND("|",$AD854,FIND("|",$AD854)+1)-FIND("|",$AD854)-1))</f>
        <v/>
      </c>
      <c r="D854" s="180">
        <f>IF($AD854="","",MID($AD854,FIND("|",$AD854,FIND("|",$AD854)+1)+1,FIND("|",$AD854&amp;"|",FIND("|",$AD854,FIND("|",$AD854)+1)+1)-FIND("|",$AD854,FIND("|",$AD854)+1)-1))</f>
        <v/>
      </c>
      <c r="AD854">
        <f>TRIM(MID(SUBSTITUTE($CA$850,"~",REPT(" ",600)),1801,600))</f>
        <v/>
      </c>
    </row>
    <row r="855">
      <c r="B855" s="180">
        <f>IF($AD855="","",VALUE(LEFT($AD855,FIND("|",$AD855)-1)))</f>
        <v/>
      </c>
      <c r="C855" s="180">
        <f>IF($AD855="","","    "&amp;MID($AD855,FIND("|",$AD855)+1,FIND("|",$AD855,FIND("|",$AD855)+1)-FIND("|",$AD855)-1))</f>
        <v/>
      </c>
      <c r="D855" s="180">
        <f>IF($AD855="","",MID($AD855,FIND("|",$AD855,FIND("|",$AD855)+1)+1,FIND("|",$AD855&amp;"|",FIND("|",$AD855,FIND("|",$AD855)+1)+1)-FIND("|",$AD855,FIND("|",$AD855)+1)-1))</f>
        <v/>
      </c>
      <c r="AD855">
        <f>TRIM(MID(SUBSTITUTE($CA$850,"~",REPT(" ",600)),2401,600))</f>
        <v/>
      </c>
    </row>
    <row r="856">
      <c r="B856" s="180">
        <f>IF($AD856="","",VALUE(LEFT($AD856,FIND("|",$AD856)-1)))</f>
        <v/>
      </c>
      <c r="C856" s="180">
        <f>IF($AD856="","","    "&amp;MID($AD856,FIND("|",$AD856)+1,FIND("|",$AD856,FIND("|",$AD856)+1)-FIND("|",$AD856)-1))</f>
        <v/>
      </c>
      <c r="D856" s="180">
        <f>IF($AD856="","",MID($AD856,FIND("|",$AD856,FIND("|",$AD856)+1)+1,FIND("|",$AD856&amp;"|",FIND("|",$AD856,FIND("|",$AD856)+1)+1)-FIND("|",$AD856,FIND("|",$AD856)+1)-1))</f>
        <v/>
      </c>
      <c r="AD856">
        <f>TRIM(MID(SUBSTITUTE($CA$850,"~",REPT(" ",600)),3001,600))</f>
        <v/>
      </c>
    </row>
    <row r="857">
      <c r="B857" s="180">
        <f>IF($AD857="","",VALUE(LEFT($AD857,FIND("|",$AD857)-1)))</f>
        <v/>
      </c>
      <c r="C857" s="180">
        <f>IF($AD857="","","    "&amp;MID($AD857,FIND("|",$AD857)+1,FIND("|",$AD857,FIND("|",$AD857)+1)-FIND("|",$AD857)-1))</f>
        <v/>
      </c>
      <c r="D857" s="180">
        <f>IF($AD857="","",MID($AD857,FIND("|",$AD857,FIND("|",$AD857)+1)+1,FIND("|",$AD857&amp;"|",FIND("|",$AD857,FIND("|",$AD857)+1)+1)-FIND("|",$AD857,FIND("|",$AD857)+1)-1))</f>
        <v/>
      </c>
      <c r="AD857">
        <f>TRIM(MID(SUBSTITUTE($CA$850,"~",REPT(" ",600)),3601,600))</f>
        <v/>
      </c>
    </row>
    <row r="858">
      <c r="B858" s="180">
        <f>IF($AD858="","",VALUE(LEFT($AD858,FIND("|",$AD858)-1)))</f>
        <v/>
      </c>
      <c r="C858" s="180">
        <f>IF($AD858="","","    "&amp;MID($AD858,FIND("|",$AD858)+1,FIND("|",$AD858,FIND("|",$AD858)+1)-FIND("|",$AD858)-1))</f>
        <v/>
      </c>
      <c r="D858" s="180">
        <f>IF($AD858="","",MID($AD858,FIND("|",$AD858,FIND("|",$AD858)+1)+1,FIND("|",$AD858&amp;"|",FIND("|",$AD858,FIND("|",$AD858)+1)+1)-FIND("|",$AD858,FIND("|",$AD858)+1)-1))</f>
        <v/>
      </c>
      <c r="AD858">
        <f>TRIM(MID(SUBSTITUTE($CA$850,"~",REPT(" ",600)),4201,600))</f>
        <v/>
      </c>
    </row>
    <row r="859">
      <c r="B859" s="180">
        <f>IF($AD859="","",VALUE(LEFT($AD859,FIND("|",$AD859)-1)))</f>
        <v/>
      </c>
      <c r="C859" s="180">
        <f>IF($AD859="","","    "&amp;MID($AD859,FIND("|",$AD859)+1,FIND("|",$AD859,FIND("|",$AD859)+1)-FIND("|",$AD859)-1))</f>
        <v/>
      </c>
      <c r="D859" s="180">
        <f>IF($AD859="","",MID($AD859,FIND("|",$AD859,FIND("|",$AD859)+1)+1,FIND("|",$AD859&amp;"|",FIND("|",$AD859,FIND("|",$AD859)+1)+1)-FIND("|",$AD859,FIND("|",$AD859)+1)-1))</f>
        <v/>
      </c>
      <c r="AD859">
        <f>TRIM(MID(SUBSTITUTE($CA$850,"~",REPT(" ",600)),4801,600))</f>
        <v/>
      </c>
    </row>
    <row r="860">
      <c r="B860" s="180">
        <f>IF($AD860="","",VALUE(LEFT($AD860,FIND("|",$AD860)-1)))</f>
        <v/>
      </c>
      <c r="C860" s="180">
        <f>IF($AD860="","","    "&amp;MID($AD860,FIND("|",$AD860)+1,FIND("|",$AD860,FIND("|",$AD860)+1)-FIND("|",$AD860)-1))</f>
        <v/>
      </c>
      <c r="D860" s="180">
        <f>IF($AD860="","",MID($AD860,FIND("|",$AD860,FIND("|",$AD860)+1)+1,FIND("|",$AD860&amp;"|",FIND("|",$AD860,FIND("|",$AD860)+1)+1)-FIND("|",$AD860,FIND("|",$AD860)+1)-1))</f>
        <v/>
      </c>
      <c r="AD860">
        <f>TRIM(MID(SUBSTITUTE($CA$850,"~",REPT(" ",600)),5401,600))</f>
        <v/>
      </c>
    </row>
    <row r="861">
      <c r="B861" s="180">
        <f>IF($AD861="","",VALUE(LEFT($AD861,FIND("|",$AD861)-1)))</f>
        <v/>
      </c>
      <c r="C861" s="180">
        <f>IF($AD861="","","    "&amp;MID($AD861,FIND("|",$AD861)+1,FIND("|",$AD861,FIND("|",$AD861)+1)-FIND("|",$AD861)-1))</f>
        <v/>
      </c>
      <c r="D861" s="180">
        <f>IF($AD861="","",MID($AD861,FIND("|",$AD861,FIND("|",$AD861)+1)+1,FIND("|",$AD861&amp;"|",FIND("|",$AD861,FIND("|",$AD861)+1)+1)-FIND("|",$AD861,FIND("|",$AD861)+1)-1))</f>
        <v/>
      </c>
      <c r="AD861">
        <f>TRIM(MID(SUBSTITUTE($CA$850,"~",REPT(" ",600)),6001,600))</f>
        <v/>
      </c>
    </row>
    <row r="862">
      <c r="A862" s="178">
        <f>IF($AD$862=0,"",$BK$862)</f>
        <v/>
      </c>
      <c r="B862" s="178">
        <f>IF($AD$862=0,"",$AE$862*N($BA$862))</f>
        <v/>
      </c>
      <c r="C862" s="178">
        <f>IF($AD$862=0,"",$AE$862*N($BA$862)&amp;") "&amp;IF(COUNTIFS(tk_SODG,12,tk_HLEG,"&lt;&gt;"&amp;$BJ$862)=0,INDEX(tk_DLINE,$AD$862),INDEX(tk_DLINEN,$AD$862)))</f>
        <v/>
      </c>
      <c r="D862" s="178" t="n"/>
      <c r="E862" s="179">
        <f t="array" ref="E862">IF($AD$862=0,"",_xlfn.TEXTJOIN(", ",TRUE,IF(tk_SODG=12,"#"&amp;tk_MARK&amp;IF(tk_HLEG="","","("&amp;tk_HLEG&amp;")")&amp;IF(tk_QTY&gt;1," ×"&amp;tk_QTY,""),"")))</f>
        <v/>
      </c>
      <c r="AD862">
        <f>IFERROR(MATCH(12,tk_SODG,0),0)</f>
        <v/>
      </c>
      <c r="AE862">
        <f>IF($AD$862=0,0,SUMIF(tk_SODG,12,tk_QTY))</f>
        <v/>
      </c>
      <c r="AF862">
        <f>IF($AD$862=0,"",INDEX(tk_JAMB,$AD$862))</f>
        <v/>
      </c>
      <c r="AG862">
        <f>IF($AD$862=0,"",INDEX(tk_ANCHOR,$AD$862))</f>
        <v/>
      </c>
      <c r="AH862">
        <f>IF($AD$862=0,"",INDEX(tk_ANCH,$AD$862))</f>
        <v/>
      </c>
      <c r="AI862">
        <f>IF($AD$862=0,"",INDEX(tk_BASEA,$AD$862))</f>
        <v/>
      </c>
      <c r="AJ862">
        <f>IF($AD$862=0,"",INDEX(tk_CONSTR,$AD$862))</f>
        <v/>
      </c>
      <c r="AK862">
        <f>IF($AD$862=0,"",INDEX(tk_CLOSER,$AD$862))</f>
        <v/>
      </c>
      <c r="AL862">
        <f>IF($AD$862=0,"",INDEX(tk_STRIKE,$AD$862))</f>
        <v/>
      </c>
      <c r="AM862">
        <f>IF($AD$862=0,"",INDEX(tk_HDRPREP,$AD$862))</f>
        <v/>
      </c>
      <c r="AN862">
        <f>IF($AD$862=0,"",INDEX(tk_DMIN,$AD$862))</f>
        <v/>
      </c>
      <c r="AO862">
        <f>IF($AD$862=0,"",INDEX(tk_PAIR,$AD$862))</f>
        <v/>
      </c>
      <c r="AP862">
        <f>IF($AD$862=0,"",INDEX(tk_FGA,$AD$862))</f>
        <v/>
      </c>
      <c r="AQ862">
        <f>IF($AD$862=0,"",INDEX(tk_WI,$AD$862))</f>
        <v/>
      </c>
      <c r="AR862">
        <f>IF($AD$862=0,"",INDEX(tk_HI,$AD$862))</f>
        <v/>
      </c>
      <c r="AS862">
        <f>IF($AD$862=0,"",INDEX(tk_FHINGE,$AD$862))</f>
        <v/>
      </c>
      <c r="AT862">
        <f>IF($AD$862=0,"",INDEX(tk_DHINGE,$AD$862))</f>
        <v/>
      </c>
      <c r="AU862">
        <f>IF($AD$862=0,"",INDEX(tk_HWLOC,$AD$862))</f>
        <v/>
      </c>
      <c r="AV862">
        <f>IF($AD$862=0,"",INDEX(tk_MANUF,$AD$862))</f>
        <v/>
      </c>
      <c r="AW862">
        <f>IF($AD$862=0,"",INDEX(tk_JH,$AD$862))</f>
        <v/>
      </c>
      <c r="AX862">
        <f>IF($AD$862=0,"",INDEX(tk_FDESC,$AD$862))</f>
        <v/>
      </c>
      <c r="AY862">
        <f>IF($AD$862=0,"",INDEX(tk_TRANS,$AD$862))</f>
        <v/>
      </c>
      <c r="AZ862">
        <f>IF($AD$862=0,"",INDEX(tk_SLW,$AD$862))</f>
        <v/>
      </c>
      <c r="BA862">
        <f>IF($AD$862=0,"",INDEX(tk_LEAVES,$AD$862))</f>
        <v/>
      </c>
      <c r="BB862">
        <f>IF($AD$862=0,"",INDEX(tk_LEAFW,$AD$862))</f>
        <v/>
      </c>
      <c r="BC862">
        <f>IF($AD$862=0,"",INDEX(tk_LEAFH,$AD$862))</f>
        <v/>
      </c>
      <c r="BD862">
        <f>IF($AD$862=0,"",INDEX(tk_DMAT,$AD$862))</f>
        <v/>
      </c>
      <c r="BE862">
        <f>IF($AD$862=0,"",INDEX(tk_DGA,$AD$862))</f>
        <v/>
      </c>
      <c r="BF862">
        <f>IF($AD$862=0,"",INDEX(tk_SERIES,$AD$862))</f>
        <v/>
      </c>
      <c r="BG862">
        <f>IF($AD$862=0,"",INDEX(tk_LOCK,$AD$862))</f>
        <v/>
      </c>
      <c r="BH862">
        <f>IF($AD$862=0,"",INDEX(tk_LITEKIT,$AD$862))</f>
        <v/>
      </c>
      <c r="BI862">
        <f>IF($AD$862=0,"",INDEX(tk_FACE,$AD$862))</f>
        <v/>
      </c>
      <c r="BJ862">
        <f>IF($AD$862=0,"",INDEX(tk_HLEG,$AD$862))</f>
        <v/>
      </c>
      <c r="BK862">
        <f>IF($AD$862=0,"",INDEX(tk_SOITEM,$AD$862))</f>
        <v/>
      </c>
      <c r="BL862">
        <f>IFERROR(VLOOKUP($AF$862,CODES,2,FALSE),"")</f>
        <v/>
      </c>
      <c r="BM862">
        <f>IF($AJ$862="KD","C","M")</f>
        <v/>
      </c>
      <c r="BN862">
        <f>IF(N($AR$862)&lt;=80,80,IF(N($AR$862)&lt;=84,84,IF(N($AR$862)&lt;=96,96,N($AR$862))))</f>
        <v/>
      </c>
      <c r="BO862">
        <f>INT($BN$862/12)&amp;MOD($BN$862,12)</f>
        <v/>
      </c>
      <c r="BP862">
        <f>INT(N($AQ$862)/12)&amp;MOD(N($AQ$862),12)</f>
        <v/>
      </c>
      <c r="BQ862">
        <f>IF(OR($AU$862="",$AU$862="ANSI/SDI",$AU$862="CUSTOM LOC"),IF($AV$862="CU","CURRIES","STEELCRAFT"),$AU$862)</f>
        <v/>
      </c>
      <c r="BR862">
        <f>$AO$862="Y"</f>
        <v/>
      </c>
      <c r="BS862">
        <f>"~"</f>
        <v/>
      </c>
      <c r="BT862">
        <f>$AE$862*N($BA$862)</f>
        <v/>
      </c>
      <c r="BU862">
        <f>OR(LEFT($BD$862,3)="OAK",LEFT($BD$862,3)="BIR",LEFT($BD$862,3)="MAP",$BD$862="PC",$BD$862="MC",$BD$862="SCLC",$BD$862="P-LAM")</f>
        <v/>
      </c>
      <c r="BV862">
        <f>INT(N($AQ$862)/MAX(1,N($BA$862))/12)&amp;MOD(N($AQ$862)/MAX(1,N($BA$862)),12)</f>
        <v/>
      </c>
      <c r="BW862">
        <f>IF(OR($BG$862="G11",$BG$862="G11A",$BG$862="G12A"),"G2",IF(OR(LEFT($BG$862,2)="G3",$BG$862="G12"),"G3AEO",$BG$862))</f>
        <v/>
      </c>
      <c r="BX862">
        <f>"(Net size: "&amp;TRIM(TEXT(N($BB$862),"# ?/??"))&amp;CHAR(34)&amp;" x "&amp;TRIM(TEXT(N($BC$862),"# ?/??"))&amp;CHAR(34)&amp;")"</f>
        <v/>
      </c>
      <c r="BY862">
        <f>IF(LEFT($BD$862,3)="OAK","RED OAK",IF(LEFT($BD$862,3)="BIR","BIRCH",IF(LEFT($BD$862,3)="MAP","MAPLE","WOOD")))</f>
        <v/>
      </c>
      <c r="BZ862">
        <f>IF(OR($AT$862="U454",AND($AT$862="",$AS$862="U454")),"454","453")</f>
        <v/>
      </c>
      <c r="CA862">
        <f>IF($AD$862=0,"",IF($BU$862,$BT$862&amp;"|"&amp;$BV$862&amp;$BO$862&amp;" "&amp;$BY$862&amp;" SLAB "&amp;IF(N($AN$862)&gt;0,$AN$862&amp;" MINUTE",IF(RIGHT($BD$862,2)="MC","MC","SC")&amp;" WOOD DOOR")&amp;"|"&amp;$BX$862&amp;"|"&amp;$BS$862,$BT$862&amp;"|"&amp;$BV$862&amp;$BO$862&amp;$BW$862&amp;" BSC "&amp;$BQ$862&amp;" DOOR "&amp;$BE$862&amp;"Ga. Non-Handed "&amp;IF($BF$862="","707",$BF$862)&amp;"S Flush HM|"&amp;$BX$862&amp;"|"&amp;$BS$862)&amp;IF(N($AN$862)&gt;0,$BT$862&amp;"|"&amp;$AN$862&amp;IF($BU$862," MINUTE WARNOCK HERSHEY FIRE RATED WOOD LABEL"," MINUTE FOAM CORE STEEL DOOR LABEL (MODELS 607 &amp; 707)")&amp;"||"&amp;$BS$862,"")&amp;IF(AND(NOT($BU$862),OR($BG$862="G11",$BG$862="G11A",$BG$862="G12",$BG$862="G12A")),$AE$862&amp;"|EXIT DEVICE PREP FOR HM DOOR||"&amp;$BS$862,"")&amp;IF(AND(NOT($BU$862),$BG$862="G12"),$AE$862&amp;"|DR 350 MORTISE LOCK FILLER PLATE||"&amp;$BS$862,"")&amp;IF(AND(NOT($BU$862),LEFT($BG$862,2)="G3"),$AE$862&amp;"|MORTISE LOCK PREP||"&amp;$BS$862,"")&amp;IF($BU$862,$BT$862&amp;"|"&amp;IF($BG$862="G18",$BZ$862&amp;"-4 1/2"&amp;CHAR(34)&amp;"X4 1/2"&amp;CHAR(34)&amp;" HINGES ONLY PREP","HINGE PREP "&amp;$BZ$862&amp;" WITH LOCK PREP")&amp;"|"&amp;$BQ$862&amp;" LOC|"&amp;$BS$862,"")&amp;IF(OR($BG$862="G2G2",$BG$862="G17",$BG$862="E1E4"),$AE$862&amp;"|"&amp;IF($BU$862,"DDLP CYLINDRICAL DEADLOCK PREP","DOOR DEADLOCK PREP")&amp;"||"&amp;$BS$862,"")&amp;IF(OR($BH$862="FG",$BH$862="HG",$BH$862="FNV",$BH$862="FV"),$BT$862&amp;"|"&amp;$BI$862&amp;" LITE KIT||"&amp;$BS$862,IF($BH$862="FL",$BT$862&amp;"|"&amp;$BI$862&amp;" LOUVER||"&amp;$BS$862,IF($BH$862="FP",$BT$862&amp;"|DVP DOOR VIEWER PREP||"&amp;$BS$862,"")))&amp;IF($BN$862&gt;N($AR$862),$BT$862&amp;"|DCO DOOR CUT DOWN ONLY (HEIGHT)|Cut "&amp;TRIM(TEXT($BN$862-N($AR$862),"# ?/??"))&amp;CHAR(34)&amp;" OFF THE BOTTOM|"&amp;$BS$862,""))</f>
        <v/>
      </c>
    </row>
    <row r="863">
      <c r="B863" s="180">
        <f>IF($AD863="","",VALUE(LEFT($AD863,FIND("|",$AD863)-1)))</f>
        <v/>
      </c>
      <c r="C863" s="180">
        <f>IF($AD863="","","    "&amp;MID($AD863,FIND("|",$AD863)+1,FIND("|",$AD863,FIND("|",$AD863)+1)-FIND("|",$AD863)-1))</f>
        <v/>
      </c>
      <c r="D863" s="180">
        <f>IF($AD863="","",MID($AD863,FIND("|",$AD863,FIND("|",$AD863)+1)+1,FIND("|",$AD863&amp;"|",FIND("|",$AD863,FIND("|",$AD863)+1)+1)-FIND("|",$AD863,FIND("|",$AD863)+1)-1))</f>
        <v/>
      </c>
      <c r="AD863">
        <f>TRIM(MID(SUBSTITUTE($CA$862,"~",REPT(" ",600)),1,600))</f>
        <v/>
      </c>
    </row>
    <row r="864">
      <c r="B864" s="180">
        <f>IF($AD864="","",VALUE(LEFT($AD864,FIND("|",$AD864)-1)))</f>
        <v/>
      </c>
      <c r="C864" s="180">
        <f>IF($AD864="","","    "&amp;MID($AD864,FIND("|",$AD864)+1,FIND("|",$AD864,FIND("|",$AD864)+1)-FIND("|",$AD864)-1))</f>
        <v/>
      </c>
      <c r="D864" s="180">
        <f>IF($AD864="","",MID($AD864,FIND("|",$AD864,FIND("|",$AD864)+1)+1,FIND("|",$AD864&amp;"|",FIND("|",$AD864,FIND("|",$AD864)+1)+1)-FIND("|",$AD864,FIND("|",$AD864)+1)-1))</f>
        <v/>
      </c>
      <c r="AD864">
        <f>TRIM(MID(SUBSTITUTE($CA$862,"~",REPT(" ",600)),601,600))</f>
        <v/>
      </c>
    </row>
    <row r="865">
      <c r="B865" s="180">
        <f>IF($AD865="","",VALUE(LEFT($AD865,FIND("|",$AD865)-1)))</f>
        <v/>
      </c>
      <c r="C865" s="180">
        <f>IF($AD865="","","    "&amp;MID($AD865,FIND("|",$AD865)+1,FIND("|",$AD865,FIND("|",$AD865)+1)-FIND("|",$AD865)-1))</f>
        <v/>
      </c>
      <c r="D865" s="180">
        <f>IF($AD865="","",MID($AD865,FIND("|",$AD865,FIND("|",$AD865)+1)+1,FIND("|",$AD865&amp;"|",FIND("|",$AD865,FIND("|",$AD865)+1)+1)-FIND("|",$AD865,FIND("|",$AD865)+1)-1))</f>
        <v/>
      </c>
      <c r="AD865">
        <f>TRIM(MID(SUBSTITUTE($CA$862,"~",REPT(" ",600)),1201,600))</f>
        <v/>
      </c>
    </row>
    <row r="866">
      <c r="B866" s="180">
        <f>IF($AD866="","",VALUE(LEFT($AD866,FIND("|",$AD866)-1)))</f>
        <v/>
      </c>
      <c r="C866" s="180">
        <f>IF($AD866="","","    "&amp;MID($AD866,FIND("|",$AD866)+1,FIND("|",$AD866,FIND("|",$AD866)+1)-FIND("|",$AD866)-1))</f>
        <v/>
      </c>
      <c r="D866" s="180">
        <f>IF($AD866="","",MID($AD866,FIND("|",$AD866,FIND("|",$AD866)+1)+1,FIND("|",$AD866&amp;"|",FIND("|",$AD866,FIND("|",$AD866)+1)+1)-FIND("|",$AD866,FIND("|",$AD866)+1)-1))</f>
        <v/>
      </c>
      <c r="AD866">
        <f>TRIM(MID(SUBSTITUTE($CA$862,"~",REPT(" ",600)),1801,600))</f>
        <v/>
      </c>
    </row>
    <row r="867">
      <c r="B867" s="180">
        <f>IF($AD867="","",VALUE(LEFT($AD867,FIND("|",$AD867)-1)))</f>
        <v/>
      </c>
      <c r="C867" s="180">
        <f>IF($AD867="","","    "&amp;MID($AD867,FIND("|",$AD867)+1,FIND("|",$AD867,FIND("|",$AD867)+1)-FIND("|",$AD867)-1))</f>
        <v/>
      </c>
      <c r="D867" s="180">
        <f>IF($AD867="","",MID($AD867,FIND("|",$AD867,FIND("|",$AD867)+1)+1,FIND("|",$AD867&amp;"|",FIND("|",$AD867,FIND("|",$AD867)+1)+1)-FIND("|",$AD867,FIND("|",$AD867)+1)-1))</f>
        <v/>
      </c>
      <c r="AD867">
        <f>TRIM(MID(SUBSTITUTE($CA$862,"~",REPT(" ",600)),2401,600))</f>
        <v/>
      </c>
    </row>
    <row r="868">
      <c r="B868" s="180">
        <f>IF($AD868="","",VALUE(LEFT($AD868,FIND("|",$AD868)-1)))</f>
        <v/>
      </c>
      <c r="C868" s="180">
        <f>IF($AD868="","","    "&amp;MID($AD868,FIND("|",$AD868)+1,FIND("|",$AD868,FIND("|",$AD868)+1)-FIND("|",$AD868)-1))</f>
        <v/>
      </c>
      <c r="D868" s="180">
        <f>IF($AD868="","",MID($AD868,FIND("|",$AD868,FIND("|",$AD868)+1)+1,FIND("|",$AD868&amp;"|",FIND("|",$AD868,FIND("|",$AD868)+1)+1)-FIND("|",$AD868,FIND("|",$AD868)+1)-1))</f>
        <v/>
      </c>
      <c r="AD868">
        <f>TRIM(MID(SUBSTITUTE($CA$862,"~",REPT(" ",600)),3001,600))</f>
        <v/>
      </c>
    </row>
    <row r="869">
      <c r="B869" s="180">
        <f>IF($AD869="","",VALUE(LEFT($AD869,FIND("|",$AD869)-1)))</f>
        <v/>
      </c>
      <c r="C869" s="180">
        <f>IF($AD869="","","    "&amp;MID($AD869,FIND("|",$AD869)+1,FIND("|",$AD869,FIND("|",$AD869)+1)-FIND("|",$AD869)-1))</f>
        <v/>
      </c>
      <c r="D869" s="180">
        <f>IF($AD869="","",MID($AD869,FIND("|",$AD869,FIND("|",$AD869)+1)+1,FIND("|",$AD869&amp;"|",FIND("|",$AD869,FIND("|",$AD869)+1)+1)-FIND("|",$AD869,FIND("|",$AD869)+1)-1))</f>
        <v/>
      </c>
      <c r="AD869">
        <f>TRIM(MID(SUBSTITUTE($CA$862,"~",REPT(" ",600)),3601,600))</f>
        <v/>
      </c>
    </row>
    <row r="870">
      <c r="B870" s="180">
        <f>IF($AD870="","",VALUE(LEFT($AD870,FIND("|",$AD870)-1)))</f>
        <v/>
      </c>
      <c r="C870" s="180">
        <f>IF($AD870="","","    "&amp;MID($AD870,FIND("|",$AD870)+1,FIND("|",$AD870,FIND("|",$AD870)+1)-FIND("|",$AD870)-1))</f>
        <v/>
      </c>
      <c r="D870" s="180">
        <f>IF($AD870="","",MID($AD870,FIND("|",$AD870,FIND("|",$AD870)+1)+1,FIND("|",$AD870&amp;"|",FIND("|",$AD870,FIND("|",$AD870)+1)+1)-FIND("|",$AD870,FIND("|",$AD870)+1)-1))</f>
        <v/>
      </c>
      <c r="AD870">
        <f>TRIM(MID(SUBSTITUTE($CA$862,"~",REPT(" ",600)),4201,600))</f>
        <v/>
      </c>
    </row>
    <row r="871">
      <c r="B871" s="180">
        <f>IF($AD871="","",VALUE(LEFT($AD871,FIND("|",$AD871)-1)))</f>
        <v/>
      </c>
      <c r="C871" s="180">
        <f>IF($AD871="","","    "&amp;MID($AD871,FIND("|",$AD871)+1,FIND("|",$AD871,FIND("|",$AD871)+1)-FIND("|",$AD871)-1))</f>
        <v/>
      </c>
      <c r="D871" s="180">
        <f>IF($AD871="","",MID($AD871,FIND("|",$AD871,FIND("|",$AD871)+1)+1,FIND("|",$AD871&amp;"|",FIND("|",$AD871,FIND("|",$AD871)+1)+1)-FIND("|",$AD871,FIND("|",$AD871)+1)-1))</f>
        <v/>
      </c>
      <c r="AD871">
        <f>TRIM(MID(SUBSTITUTE($CA$862,"~",REPT(" ",600)),4801,600))</f>
        <v/>
      </c>
    </row>
    <row r="872">
      <c r="B872" s="180">
        <f>IF($AD872="","",VALUE(LEFT($AD872,FIND("|",$AD872)-1)))</f>
        <v/>
      </c>
      <c r="C872" s="180">
        <f>IF($AD872="","","    "&amp;MID($AD872,FIND("|",$AD872)+1,FIND("|",$AD872,FIND("|",$AD872)+1)-FIND("|",$AD872)-1))</f>
        <v/>
      </c>
      <c r="D872" s="180">
        <f>IF($AD872="","",MID($AD872,FIND("|",$AD872,FIND("|",$AD872)+1)+1,FIND("|",$AD872&amp;"|",FIND("|",$AD872,FIND("|",$AD872)+1)+1)-FIND("|",$AD872,FIND("|",$AD872)+1)-1))</f>
        <v/>
      </c>
      <c r="AD872">
        <f>TRIM(MID(SUBSTITUTE($CA$862,"~",REPT(" ",600)),5401,600))</f>
        <v/>
      </c>
    </row>
    <row r="873">
      <c r="B873" s="180">
        <f>IF($AD873="","",VALUE(LEFT($AD873,FIND("|",$AD873)-1)))</f>
        <v/>
      </c>
      <c r="C873" s="180">
        <f>IF($AD873="","","    "&amp;MID($AD873,FIND("|",$AD873)+1,FIND("|",$AD873,FIND("|",$AD873)+1)-FIND("|",$AD873)-1))</f>
        <v/>
      </c>
      <c r="D873" s="180">
        <f>IF($AD873="","",MID($AD873,FIND("|",$AD873,FIND("|",$AD873)+1)+1,FIND("|",$AD873&amp;"|",FIND("|",$AD873,FIND("|",$AD873)+1)+1)-FIND("|",$AD873,FIND("|",$AD873)+1)-1))</f>
        <v/>
      </c>
      <c r="AD873">
        <f>TRIM(MID(SUBSTITUTE($CA$862,"~",REPT(" ",600)),6001,600))</f>
        <v/>
      </c>
    </row>
    <row r="874">
      <c r="A874" s="178">
        <f>IF($AD$874=0,"",$BK$874)</f>
        <v/>
      </c>
      <c r="B874" s="178">
        <f>IF($AD$874=0,"",$AE$874*N($BA$874))</f>
        <v/>
      </c>
      <c r="C874" s="178">
        <f>IF($AD$874=0,"",$AE$874*N($BA$874)&amp;") "&amp;IF(COUNTIFS(tk_SODG,13,tk_HLEG,"&lt;&gt;"&amp;$BJ$874)=0,INDEX(tk_DLINE,$AD$874),INDEX(tk_DLINEN,$AD$874)))</f>
        <v/>
      </c>
      <c r="D874" s="178" t="n"/>
      <c r="E874" s="179">
        <f t="array" ref="E874">IF($AD$874=0,"",_xlfn.TEXTJOIN(", ",TRUE,IF(tk_SODG=13,"#"&amp;tk_MARK&amp;IF(tk_HLEG="","","("&amp;tk_HLEG&amp;")")&amp;IF(tk_QTY&gt;1," ×"&amp;tk_QTY,""),"")))</f>
        <v/>
      </c>
      <c r="AD874">
        <f>IFERROR(MATCH(13,tk_SODG,0),0)</f>
        <v/>
      </c>
      <c r="AE874">
        <f>IF($AD$874=0,0,SUMIF(tk_SODG,13,tk_QTY))</f>
        <v/>
      </c>
      <c r="AF874">
        <f>IF($AD$874=0,"",INDEX(tk_JAMB,$AD$874))</f>
        <v/>
      </c>
      <c r="AG874">
        <f>IF($AD$874=0,"",INDEX(tk_ANCHOR,$AD$874))</f>
        <v/>
      </c>
      <c r="AH874">
        <f>IF($AD$874=0,"",INDEX(tk_ANCH,$AD$874))</f>
        <v/>
      </c>
      <c r="AI874">
        <f>IF($AD$874=0,"",INDEX(tk_BASEA,$AD$874))</f>
        <v/>
      </c>
      <c r="AJ874">
        <f>IF($AD$874=0,"",INDEX(tk_CONSTR,$AD$874))</f>
        <v/>
      </c>
      <c r="AK874">
        <f>IF($AD$874=0,"",INDEX(tk_CLOSER,$AD$874))</f>
        <v/>
      </c>
      <c r="AL874">
        <f>IF($AD$874=0,"",INDEX(tk_STRIKE,$AD$874))</f>
        <v/>
      </c>
      <c r="AM874">
        <f>IF($AD$874=0,"",INDEX(tk_HDRPREP,$AD$874))</f>
        <v/>
      </c>
      <c r="AN874">
        <f>IF($AD$874=0,"",INDEX(tk_DMIN,$AD$874))</f>
        <v/>
      </c>
      <c r="AO874">
        <f>IF($AD$874=0,"",INDEX(tk_PAIR,$AD$874))</f>
        <v/>
      </c>
      <c r="AP874">
        <f>IF($AD$874=0,"",INDEX(tk_FGA,$AD$874))</f>
        <v/>
      </c>
      <c r="AQ874">
        <f>IF($AD$874=0,"",INDEX(tk_WI,$AD$874))</f>
        <v/>
      </c>
      <c r="AR874">
        <f>IF($AD$874=0,"",INDEX(tk_HI,$AD$874))</f>
        <v/>
      </c>
      <c r="AS874">
        <f>IF($AD$874=0,"",INDEX(tk_FHINGE,$AD$874))</f>
        <v/>
      </c>
      <c r="AT874">
        <f>IF($AD$874=0,"",INDEX(tk_DHINGE,$AD$874))</f>
        <v/>
      </c>
      <c r="AU874">
        <f>IF($AD$874=0,"",INDEX(tk_HWLOC,$AD$874))</f>
        <v/>
      </c>
      <c r="AV874">
        <f>IF($AD$874=0,"",INDEX(tk_MANUF,$AD$874))</f>
        <v/>
      </c>
      <c r="AW874">
        <f>IF($AD$874=0,"",INDEX(tk_JH,$AD$874))</f>
        <v/>
      </c>
      <c r="AX874">
        <f>IF($AD$874=0,"",INDEX(tk_FDESC,$AD$874))</f>
        <v/>
      </c>
      <c r="AY874">
        <f>IF($AD$874=0,"",INDEX(tk_TRANS,$AD$874))</f>
        <v/>
      </c>
      <c r="AZ874">
        <f>IF($AD$874=0,"",INDEX(tk_SLW,$AD$874))</f>
        <v/>
      </c>
      <c r="BA874">
        <f>IF($AD$874=0,"",INDEX(tk_LEAVES,$AD$874))</f>
        <v/>
      </c>
      <c r="BB874">
        <f>IF($AD$874=0,"",INDEX(tk_LEAFW,$AD$874))</f>
        <v/>
      </c>
      <c r="BC874">
        <f>IF($AD$874=0,"",INDEX(tk_LEAFH,$AD$874))</f>
        <v/>
      </c>
      <c r="BD874">
        <f>IF($AD$874=0,"",INDEX(tk_DMAT,$AD$874))</f>
        <v/>
      </c>
      <c r="BE874">
        <f>IF($AD$874=0,"",INDEX(tk_DGA,$AD$874))</f>
        <v/>
      </c>
      <c r="BF874">
        <f>IF($AD$874=0,"",INDEX(tk_SERIES,$AD$874))</f>
        <v/>
      </c>
      <c r="BG874">
        <f>IF($AD$874=0,"",INDEX(tk_LOCK,$AD$874))</f>
        <v/>
      </c>
      <c r="BH874">
        <f>IF($AD$874=0,"",INDEX(tk_LITEKIT,$AD$874))</f>
        <v/>
      </c>
      <c r="BI874">
        <f>IF($AD$874=0,"",INDEX(tk_FACE,$AD$874))</f>
        <v/>
      </c>
      <c r="BJ874">
        <f>IF($AD$874=0,"",INDEX(tk_HLEG,$AD$874))</f>
        <v/>
      </c>
      <c r="BK874">
        <f>IF($AD$874=0,"",INDEX(tk_SOITEM,$AD$874))</f>
        <v/>
      </c>
      <c r="BL874">
        <f>IFERROR(VLOOKUP($AF$874,CODES,2,FALSE),"")</f>
        <v/>
      </c>
      <c r="BM874">
        <f>IF($AJ$874="KD","C","M")</f>
        <v/>
      </c>
      <c r="BN874">
        <f>IF(N($AR$874)&lt;=80,80,IF(N($AR$874)&lt;=84,84,IF(N($AR$874)&lt;=96,96,N($AR$874))))</f>
        <v/>
      </c>
      <c r="BO874">
        <f>INT($BN$874/12)&amp;MOD($BN$874,12)</f>
        <v/>
      </c>
      <c r="BP874">
        <f>INT(N($AQ$874)/12)&amp;MOD(N($AQ$874),12)</f>
        <v/>
      </c>
      <c r="BQ874">
        <f>IF(OR($AU$874="",$AU$874="ANSI/SDI",$AU$874="CUSTOM LOC"),IF($AV$874="CU","CURRIES","STEELCRAFT"),$AU$874)</f>
        <v/>
      </c>
      <c r="BR874">
        <f>$AO$874="Y"</f>
        <v/>
      </c>
      <c r="BS874">
        <f>"~"</f>
        <v/>
      </c>
      <c r="BT874">
        <f>$AE$874*N($BA$874)</f>
        <v/>
      </c>
      <c r="BU874">
        <f>OR(LEFT($BD$874,3)="OAK",LEFT($BD$874,3)="BIR",LEFT($BD$874,3)="MAP",$BD$874="PC",$BD$874="MC",$BD$874="SCLC",$BD$874="P-LAM")</f>
        <v/>
      </c>
      <c r="BV874">
        <f>INT(N($AQ$874)/MAX(1,N($BA$874))/12)&amp;MOD(N($AQ$874)/MAX(1,N($BA$874)),12)</f>
        <v/>
      </c>
      <c r="BW874">
        <f>IF(OR($BG$874="G11",$BG$874="G11A",$BG$874="G12A"),"G2",IF(OR(LEFT($BG$874,2)="G3",$BG$874="G12"),"G3AEO",$BG$874))</f>
        <v/>
      </c>
      <c r="BX874">
        <f>"(Net size: "&amp;TRIM(TEXT(N($BB$874),"# ?/??"))&amp;CHAR(34)&amp;" x "&amp;TRIM(TEXT(N($BC$874),"# ?/??"))&amp;CHAR(34)&amp;")"</f>
        <v/>
      </c>
      <c r="BY874">
        <f>IF(LEFT($BD$874,3)="OAK","RED OAK",IF(LEFT($BD$874,3)="BIR","BIRCH",IF(LEFT($BD$874,3)="MAP","MAPLE","WOOD")))</f>
        <v/>
      </c>
      <c r="BZ874">
        <f>IF(OR($AT$874="U454",AND($AT$874="",$AS$874="U454")),"454","453")</f>
        <v/>
      </c>
      <c r="CA874">
        <f>IF($AD$874=0,"",IF($BU$874,$BT$874&amp;"|"&amp;$BV$874&amp;$BO$874&amp;" "&amp;$BY$874&amp;" SLAB "&amp;IF(N($AN$874)&gt;0,$AN$874&amp;" MINUTE",IF(RIGHT($BD$874,2)="MC","MC","SC")&amp;" WOOD DOOR")&amp;"|"&amp;$BX$874&amp;"|"&amp;$BS$874,$BT$874&amp;"|"&amp;$BV$874&amp;$BO$874&amp;$BW$874&amp;" BSC "&amp;$BQ$874&amp;" DOOR "&amp;$BE$874&amp;"Ga. Non-Handed "&amp;IF($BF$874="","707",$BF$874)&amp;"S Flush HM|"&amp;$BX$874&amp;"|"&amp;$BS$874)&amp;IF(N($AN$874)&gt;0,$BT$874&amp;"|"&amp;$AN$874&amp;IF($BU$874," MINUTE WARNOCK HERSHEY FIRE RATED WOOD LABEL"," MINUTE FOAM CORE STEEL DOOR LABEL (MODELS 607 &amp; 707)")&amp;"||"&amp;$BS$874,"")&amp;IF(AND(NOT($BU$874),OR($BG$874="G11",$BG$874="G11A",$BG$874="G12",$BG$874="G12A")),$AE$874&amp;"|EXIT DEVICE PREP FOR HM DOOR||"&amp;$BS$874,"")&amp;IF(AND(NOT($BU$874),$BG$874="G12"),$AE$874&amp;"|DR 350 MORTISE LOCK FILLER PLATE||"&amp;$BS$874,"")&amp;IF(AND(NOT($BU$874),LEFT($BG$874,2)="G3"),$AE$874&amp;"|MORTISE LOCK PREP||"&amp;$BS$874,"")&amp;IF($BU$874,$BT$874&amp;"|"&amp;IF($BG$874="G18",$BZ$874&amp;"-4 1/2"&amp;CHAR(34)&amp;"X4 1/2"&amp;CHAR(34)&amp;" HINGES ONLY PREP","HINGE PREP "&amp;$BZ$874&amp;" WITH LOCK PREP")&amp;"|"&amp;$BQ$874&amp;" LOC|"&amp;$BS$874,"")&amp;IF(OR($BG$874="G2G2",$BG$874="G17",$BG$874="E1E4"),$AE$874&amp;"|"&amp;IF($BU$874,"DDLP CYLINDRICAL DEADLOCK PREP","DOOR DEADLOCK PREP")&amp;"||"&amp;$BS$874,"")&amp;IF(OR($BH$874="FG",$BH$874="HG",$BH$874="FNV",$BH$874="FV"),$BT$874&amp;"|"&amp;$BI$874&amp;" LITE KIT||"&amp;$BS$874,IF($BH$874="FL",$BT$874&amp;"|"&amp;$BI$874&amp;" LOUVER||"&amp;$BS$874,IF($BH$874="FP",$BT$874&amp;"|DVP DOOR VIEWER PREP||"&amp;$BS$874,"")))&amp;IF($BN$874&gt;N($AR$874),$BT$874&amp;"|DCO DOOR CUT DOWN ONLY (HEIGHT)|Cut "&amp;TRIM(TEXT($BN$874-N($AR$874),"# ?/??"))&amp;CHAR(34)&amp;" OFF THE BOTTOM|"&amp;$BS$874,""))</f>
        <v/>
      </c>
    </row>
    <row r="875">
      <c r="B875" s="180">
        <f>IF($AD875="","",VALUE(LEFT($AD875,FIND("|",$AD875)-1)))</f>
        <v/>
      </c>
      <c r="C875" s="180">
        <f>IF($AD875="","","    "&amp;MID($AD875,FIND("|",$AD875)+1,FIND("|",$AD875,FIND("|",$AD875)+1)-FIND("|",$AD875)-1))</f>
        <v/>
      </c>
      <c r="D875" s="180">
        <f>IF($AD875="","",MID($AD875,FIND("|",$AD875,FIND("|",$AD875)+1)+1,FIND("|",$AD875&amp;"|",FIND("|",$AD875,FIND("|",$AD875)+1)+1)-FIND("|",$AD875,FIND("|",$AD875)+1)-1))</f>
        <v/>
      </c>
      <c r="AD875">
        <f>TRIM(MID(SUBSTITUTE($CA$874,"~",REPT(" ",600)),1,600))</f>
        <v/>
      </c>
    </row>
    <row r="876">
      <c r="B876" s="180">
        <f>IF($AD876="","",VALUE(LEFT($AD876,FIND("|",$AD876)-1)))</f>
        <v/>
      </c>
      <c r="C876" s="180">
        <f>IF($AD876="","","    "&amp;MID($AD876,FIND("|",$AD876)+1,FIND("|",$AD876,FIND("|",$AD876)+1)-FIND("|",$AD876)-1))</f>
        <v/>
      </c>
      <c r="D876" s="180">
        <f>IF($AD876="","",MID($AD876,FIND("|",$AD876,FIND("|",$AD876)+1)+1,FIND("|",$AD876&amp;"|",FIND("|",$AD876,FIND("|",$AD876)+1)+1)-FIND("|",$AD876,FIND("|",$AD876)+1)-1))</f>
        <v/>
      </c>
      <c r="AD876">
        <f>TRIM(MID(SUBSTITUTE($CA$874,"~",REPT(" ",600)),601,600))</f>
        <v/>
      </c>
    </row>
    <row r="877">
      <c r="B877" s="180">
        <f>IF($AD877="","",VALUE(LEFT($AD877,FIND("|",$AD877)-1)))</f>
        <v/>
      </c>
      <c r="C877" s="180">
        <f>IF($AD877="","","    "&amp;MID($AD877,FIND("|",$AD877)+1,FIND("|",$AD877,FIND("|",$AD877)+1)-FIND("|",$AD877)-1))</f>
        <v/>
      </c>
      <c r="D877" s="180">
        <f>IF($AD877="","",MID($AD877,FIND("|",$AD877,FIND("|",$AD877)+1)+1,FIND("|",$AD877&amp;"|",FIND("|",$AD877,FIND("|",$AD877)+1)+1)-FIND("|",$AD877,FIND("|",$AD877)+1)-1))</f>
        <v/>
      </c>
      <c r="AD877">
        <f>TRIM(MID(SUBSTITUTE($CA$874,"~",REPT(" ",600)),1201,600))</f>
        <v/>
      </c>
    </row>
    <row r="878">
      <c r="B878" s="180">
        <f>IF($AD878="","",VALUE(LEFT($AD878,FIND("|",$AD878)-1)))</f>
        <v/>
      </c>
      <c r="C878" s="180">
        <f>IF($AD878="","","    "&amp;MID($AD878,FIND("|",$AD878)+1,FIND("|",$AD878,FIND("|",$AD878)+1)-FIND("|",$AD878)-1))</f>
        <v/>
      </c>
      <c r="D878" s="180">
        <f>IF($AD878="","",MID($AD878,FIND("|",$AD878,FIND("|",$AD878)+1)+1,FIND("|",$AD878&amp;"|",FIND("|",$AD878,FIND("|",$AD878)+1)+1)-FIND("|",$AD878,FIND("|",$AD878)+1)-1))</f>
        <v/>
      </c>
      <c r="AD878">
        <f>TRIM(MID(SUBSTITUTE($CA$874,"~",REPT(" ",600)),1801,600))</f>
        <v/>
      </c>
    </row>
    <row r="879">
      <c r="B879" s="180">
        <f>IF($AD879="","",VALUE(LEFT($AD879,FIND("|",$AD879)-1)))</f>
        <v/>
      </c>
      <c r="C879" s="180">
        <f>IF($AD879="","","    "&amp;MID($AD879,FIND("|",$AD879)+1,FIND("|",$AD879,FIND("|",$AD879)+1)-FIND("|",$AD879)-1))</f>
        <v/>
      </c>
      <c r="D879" s="180">
        <f>IF($AD879="","",MID($AD879,FIND("|",$AD879,FIND("|",$AD879)+1)+1,FIND("|",$AD879&amp;"|",FIND("|",$AD879,FIND("|",$AD879)+1)+1)-FIND("|",$AD879,FIND("|",$AD879)+1)-1))</f>
        <v/>
      </c>
      <c r="AD879">
        <f>TRIM(MID(SUBSTITUTE($CA$874,"~",REPT(" ",600)),2401,600))</f>
        <v/>
      </c>
    </row>
    <row r="880">
      <c r="B880" s="180">
        <f>IF($AD880="","",VALUE(LEFT($AD880,FIND("|",$AD880)-1)))</f>
        <v/>
      </c>
      <c r="C880" s="180">
        <f>IF($AD880="","","    "&amp;MID($AD880,FIND("|",$AD880)+1,FIND("|",$AD880,FIND("|",$AD880)+1)-FIND("|",$AD880)-1))</f>
        <v/>
      </c>
      <c r="D880" s="180">
        <f>IF($AD880="","",MID($AD880,FIND("|",$AD880,FIND("|",$AD880)+1)+1,FIND("|",$AD880&amp;"|",FIND("|",$AD880,FIND("|",$AD880)+1)+1)-FIND("|",$AD880,FIND("|",$AD880)+1)-1))</f>
        <v/>
      </c>
      <c r="AD880">
        <f>TRIM(MID(SUBSTITUTE($CA$874,"~",REPT(" ",600)),3001,600))</f>
        <v/>
      </c>
    </row>
    <row r="881">
      <c r="B881" s="180">
        <f>IF($AD881="","",VALUE(LEFT($AD881,FIND("|",$AD881)-1)))</f>
        <v/>
      </c>
      <c r="C881" s="180">
        <f>IF($AD881="","","    "&amp;MID($AD881,FIND("|",$AD881)+1,FIND("|",$AD881,FIND("|",$AD881)+1)-FIND("|",$AD881)-1))</f>
        <v/>
      </c>
      <c r="D881" s="180">
        <f>IF($AD881="","",MID($AD881,FIND("|",$AD881,FIND("|",$AD881)+1)+1,FIND("|",$AD881&amp;"|",FIND("|",$AD881,FIND("|",$AD881)+1)+1)-FIND("|",$AD881,FIND("|",$AD881)+1)-1))</f>
        <v/>
      </c>
      <c r="AD881">
        <f>TRIM(MID(SUBSTITUTE($CA$874,"~",REPT(" ",600)),3601,600))</f>
        <v/>
      </c>
    </row>
    <row r="882">
      <c r="B882" s="180">
        <f>IF($AD882="","",VALUE(LEFT($AD882,FIND("|",$AD882)-1)))</f>
        <v/>
      </c>
      <c r="C882" s="180">
        <f>IF($AD882="","","    "&amp;MID($AD882,FIND("|",$AD882)+1,FIND("|",$AD882,FIND("|",$AD882)+1)-FIND("|",$AD882)-1))</f>
        <v/>
      </c>
      <c r="D882" s="180">
        <f>IF($AD882="","",MID($AD882,FIND("|",$AD882,FIND("|",$AD882)+1)+1,FIND("|",$AD882&amp;"|",FIND("|",$AD882,FIND("|",$AD882)+1)+1)-FIND("|",$AD882,FIND("|",$AD882)+1)-1))</f>
        <v/>
      </c>
      <c r="AD882">
        <f>TRIM(MID(SUBSTITUTE($CA$874,"~",REPT(" ",600)),4201,600))</f>
        <v/>
      </c>
    </row>
    <row r="883">
      <c r="B883" s="180">
        <f>IF($AD883="","",VALUE(LEFT($AD883,FIND("|",$AD883)-1)))</f>
        <v/>
      </c>
      <c r="C883" s="180">
        <f>IF($AD883="","","    "&amp;MID($AD883,FIND("|",$AD883)+1,FIND("|",$AD883,FIND("|",$AD883)+1)-FIND("|",$AD883)-1))</f>
        <v/>
      </c>
      <c r="D883" s="180">
        <f>IF($AD883="","",MID($AD883,FIND("|",$AD883,FIND("|",$AD883)+1)+1,FIND("|",$AD883&amp;"|",FIND("|",$AD883,FIND("|",$AD883)+1)+1)-FIND("|",$AD883,FIND("|",$AD883)+1)-1))</f>
        <v/>
      </c>
      <c r="AD883">
        <f>TRIM(MID(SUBSTITUTE($CA$874,"~",REPT(" ",600)),4801,600))</f>
        <v/>
      </c>
    </row>
    <row r="884">
      <c r="B884" s="180">
        <f>IF($AD884="","",VALUE(LEFT($AD884,FIND("|",$AD884)-1)))</f>
        <v/>
      </c>
      <c r="C884" s="180">
        <f>IF($AD884="","","    "&amp;MID($AD884,FIND("|",$AD884)+1,FIND("|",$AD884,FIND("|",$AD884)+1)-FIND("|",$AD884)-1))</f>
        <v/>
      </c>
      <c r="D884" s="180">
        <f>IF($AD884="","",MID($AD884,FIND("|",$AD884,FIND("|",$AD884)+1)+1,FIND("|",$AD884&amp;"|",FIND("|",$AD884,FIND("|",$AD884)+1)+1)-FIND("|",$AD884,FIND("|",$AD884)+1)-1))</f>
        <v/>
      </c>
      <c r="AD884">
        <f>TRIM(MID(SUBSTITUTE($CA$874,"~",REPT(" ",600)),5401,600))</f>
        <v/>
      </c>
    </row>
    <row r="885">
      <c r="B885" s="180">
        <f>IF($AD885="","",VALUE(LEFT($AD885,FIND("|",$AD885)-1)))</f>
        <v/>
      </c>
      <c r="C885" s="180">
        <f>IF($AD885="","","    "&amp;MID($AD885,FIND("|",$AD885)+1,FIND("|",$AD885,FIND("|",$AD885)+1)-FIND("|",$AD885)-1))</f>
        <v/>
      </c>
      <c r="D885" s="180">
        <f>IF($AD885="","",MID($AD885,FIND("|",$AD885,FIND("|",$AD885)+1)+1,FIND("|",$AD885&amp;"|",FIND("|",$AD885,FIND("|",$AD885)+1)+1)-FIND("|",$AD885,FIND("|",$AD885)+1)-1))</f>
        <v/>
      </c>
      <c r="AD885">
        <f>TRIM(MID(SUBSTITUTE($CA$874,"~",REPT(" ",600)),6001,600))</f>
        <v/>
      </c>
    </row>
    <row r="886">
      <c r="A886" s="178">
        <f>IF($AD$886=0,"",$BK$886)</f>
        <v/>
      </c>
      <c r="B886" s="178">
        <f>IF($AD$886=0,"",$AE$886*N($BA$886))</f>
        <v/>
      </c>
      <c r="C886" s="178">
        <f>IF($AD$886=0,"",$AE$886*N($BA$886)&amp;") "&amp;IF(COUNTIFS(tk_SODG,14,tk_HLEG,"&lt;&gt;"&amp;$BJ$886)=0,INDEX(tk_DLINE,$AD$886),INDEX(tk_DLINEN,$AD$886)))</f>
        <v/>
      </c>
      <c r="D886" s="178" t="n"/>
      <c r="E886" s="179">
        <f t="array" ref="E886">IF($AD$886=0,"",_xlfn.TEXTJOIN(", ",TRUE,IF(tk_SODG=14,"#"&amp;tk_MARK&amp;IF(tk_HLEG="","","("&amp;tk_HLEG&amp;")")&amp;IF(tk_QTY&gt;1," ×"&amp;tk_QTY,""),"")))</f>
        <v/>
      </c>
      <c r="AD886">
        <f>IFERROR(MATCH(14,tk_SODG,0),0)</f>
        <v/>
      </c>
      <c r="AE886">
        <f>IF($AD$886=0,0,SUMIF(tk_SODG,14,tk_QTY))</f>
        <v/>
      </c>
      <c r="AF886">
        <f>IF($AD$886=0,"",INDEX(tk_JAMB,$AD$886))</f>
        <v/>
      </c>
      <c r="AG886">
        <f>IF($AD$886=0,"",INDEX(tk_ANCHOR,$AD$886))</f>
        <v/>
      </c>
      <c r="AH886">
        <f>IF($AD$886=0,"",INDEX(tk_ANCH,$AD$886))</f>
        <v/>
      </c>
      <c r="AI886">
        <f>IF($AD$886=0,"",INDEX(tk_BASEA,$AD$886))</f>
        <v/>
      </c>
      <c r="AJ886">
        <f>IF($AD$886=0,"",INDEX(tk_CONSTR,$AD$886))</f>
        <v/>
      </c>
      <c r="AK886">
        <f>IF($AD$886=0,"",INDEX(tk_CLOSER,$AD$886))</f>
        <v/>
      </c>
      <c r="AL886">
        <f>IF($AD$886=0,"",INDEX(tk_STRIKE,$AD$886))</f>
        <v/>
      </c>
      <c r="AM886">
        <f>IF($AD$886=0,"",INDEX(tk_HDRPREP,$AD$886))</f>
        <v/>
      </c>
      <c r="AN886">
        <f>IF($AD$886=0,"",INDEX(tk_DMIN,$AD$886))</f>
        <v/>
      </c>
      <c r="AO886">
        <f>IF($AD$886=0,"",INDEX(tk_PAIR,$AD$886))</f>
        <v/>
      </c>
      <c r="AP886">
        <f>IF($AD$886=0,"",INDEX(tk_FGA,$AD$886))</f>
        <v/>
      </c>
      <c r="AQ886">
        <f>IF($AD$886=0,"",INDEX(tk_WI,$AD$886))</f>
        <v/>
      </c>
      <c r="AR886">
        <f>IF($AD$886=0,"",INDEX(tk_HI,$AD$886))</f>
        <v/>
      </c>
      <c r="AS886">
        <f>IF($AD$886=0,"",INDEX(tk_FHINGE,$AD$886))</f>
        <v/>
      </c>
      <c r="AT886">
        <f>IF($AD$886=0,"",INDEX(tk_DHINGE,$AD$886))</f>
        <v/>
      </c>
      <c r="AU886">
        <f>IF($AD$886=0,"",INDEX(tk_HWLOC,$AD$886))</f>
        <v/>
      </c>
      <c r="AV886">
        <f>IF($AD$886=0,"",INDEX(tk_MANUF,$AD$886))</f>
        <v/>
      </c>
      <c r="AW886">
        <f>IF($AD$886=0,"",INDEX(tk_JH,$AD$886))</f>
        <v/>
      </c>
      <c r="AX886">
        <f>IF($AD$886=0,"",INDEX(tk_FDESC,$AD$886))</f>
        <v/>
      </c>
      <c r="AY886">
        <f>IF($AD$886=0,"",INDEX(tk_TRANS,$AD$886))</f>
        <v/>
      </c>
      <c r="AZ886">
        <f>IF($AD$886=0,"",INDEX(tk_SLW,$AD$886))</f>
        <v/>
      </c>
      <c r="BA886">
        <f>IF($AD$886=0,"",INDEX(tk_LEAVES,$AD$886))</f>
        <v/>
      </c>
      <c r="BB886">
        <f>IF($AD$886=0,"",INDEX(tk_LEAFW,$AD$886))</f>
        <v/>
      </c>
      <c r="BC886">
        <f>IF($AD$886=0,"",INDEX(tk_LEAFH,$AD$886))</f>
        <v/>
      </c>
      <c r="BD886">
        <f>IF($AD$886=0,"",INDEX(tk_DMAT,$AD$886))</f>
        <v/>
      </c>
      <c r="BE886">
        <f>IF($AD$886=0,"",INDEX(tk_DGA,$AD$886))</f>
        <v/>
      </c>
      <c r="BF886">
        <f>IF($AD$886=0,"",INDEX(tk_SERIES,$AD$886))</f>
        <v/>
      </c>
      <c r="BG886">
        <f>IF($AD$886=0,"",INDEX(tk_LOCK,$AD$886))</f>
        <v/>
      </c>
      <c r="BH886">
        <f>IF($AD$886=0,"",INDEX(tk_LITEKIT,$AD$886))</f>
        <v/>
      </c>
      <c r="BI886">
        <f>IF($AD$886=0,"",INDEX(tk_FACE,$AD$886))</f>
        <v/>
      </c>
      <c r="BJ886">
        <f>IF($AD$886=0,"",INDEX(tk_HLEG,$AD$886))</f>
        <v/>
      </c>
      <c r="BK886">
        <f>IF($AD$886=0,"",INDEX(tk_SOITEM,$AD$886))</f>
        <v/>
      </c>
      <c r="BL886">
        <f>IFERROR(VLOOKUP($AF$886,CODES,2,FALSE),"")</f>
        <v/>
      </c>
      <c r="BM886">
        <f>IF($AJ$886="KD","C","M")</f>
        <v/>
      </c>
      <c r="BN886">
        <f>IF(N($AR$886)&lt;=80,80,IF(N($AR$886)&lt;=84,84,IF(N($AR$886)&lt;=96,96,N($AR$886))))</f>
        <v/>
      </c>
      <c r="BO886">
        <f>INT($BN$886/12)&amp;MOD($BN$886,12)</f>
        <v/>
      </c>
      <c r="BP886">
        <f>INT(N($AQ$886)/12)&amp;MOD(N($AQ$886),12)</f>
        <v/>
      </c>
      <c r="BQ886">
        <f>IF(OR($AU$886="",$AU$886="ANSI/SDI",$AU$886="CUSTOM LOC"),IF($AV$886="CU","CURRIES","STEELCRAFT"),$AU$886)</f>
        <v/>
      </c>
      <c r="BR886">
        <f>$AO$886="Y"</f>
        <v/>
      </c>
      <c r="BS886">
        <f>"~"</f>
        <v/>
      </c>
      <c r="BT886">
        <f>$AE$886*N($BA$886)</f>
        <v/>
      </c>
      <c r="BU886">
        <f>OR(LEFT($BD$886,3)="OAK",LEFT($BD$886,3)="BIR",LEFT($BD$886,3)="MAP",$BD$886="PC",$BD$886="MC",$BD$886="SCLC",$BD$886="P-LAM")</f>
        <v/>
      </c>
      <c r="BV886">
        <f>INT(N($AQ$886)/MAX(1,N($BA$886))/12)&amp;MOD(N($AQ$886)/MAX(1,N($BA$886)),12)</f>
        <v/>
      </c>
      <c r="BW886">
        <f>IF(OR($BG$886="G11",$BG$886="G11A",$BG$886="G12A"),"G2",IF(OR(LEFT($BG$886,2)="G3",$BG$886="G12"),"G3AEO",$BG$886))</f>
        <v/>
      </c>
      <c r="BX886">
        <f>"(Net size: "&amp;TRIM(TEXT(N($BB$886),"# ?/??"))&amp;CHAR(34)&amp;" x "&amp;TRIM(TEXT(N($BC$886),"# ?/??"))&amp;CHAR(34)&amp;")"</f>
        <v/>
      </c>
      <c r="BY886">
        <f>IF(LEFT($BD$886,3)="OAK","RED OAK",IF(LEFT($BD$886,3)="BIR","BIRCH",IF(LEFT($BD$886,3)="MAP","MAPLE","WOOD")))</f>
        <v/>
      </c>
      <c r="BZ886">
        <f>IF(OR($AT$886="U454",AND($AT$886="",$AS$886="U454")),"454","453")</f>
        <v/>
      </c>
      <c r="CA886">
        <f>IF($AD$886=0,"",IF($BU$886,$BT$886&amp;"|"&amp;$BV$886&amp;$BO$886&amp;" "&amp;$BY$886&amp;" SLAB "&amp;IF(N($AN$886)&gt;0,$AN$886&amp;" MINUTE",IF(RIGHT($BD$886,2)="MC","MC","SC")&amp;" WOOD DOOR")&amp;"|"&amp;$BX$886&amp;"|"&amp;$BS$886,$BT$886&amp;"|"&amp;$BV$886&amp;$BO$886&amp;$BW$886&amp;" BSC "&amp;$BQ$886&amp;" DOOR "&amp;$BE$886&amp;"Ga. Non-Handed "&amp;IF($BF$886="","707",$BF$886)&amp;"S Flush HM|"&amp;$BX$886&amp;"|"&amp;$BS$886)&amp;IF(N($AN$886)&gt;0,$BT$886&amp;"|"&amp;$AN$886&amp;IF($BU$886," MINUTE WARNOCK HERSHEY FIRE RATED WOOD LABEL"," MINUTE FOAM CORE STEEL DOOR LABEL (MODELS 607 &amp; 707)")&amp;"||"&amp;$BS$886,"")&amp;IF(AND(NOT($BU$886),OR($BG$886="G11",$BG$886="G11A",$BG$886="G12",$BG$886="G12A")),$AE$886&amp;"|EXIT DEVICE PREP FOR HM DOOR||"&amp;$BS$886,"")&amp;IF(AND(NOT($BU$886),$BG$886="G12"),$AE$886&amp;"|DR 350 MORTISE LOCK FILLER PLATE||"&amp;$BS$886,"")&amp;IF(AND(NOT($BU$886),LEFT($BG$886,2)="G3"),$AE$886&amp;"|MORTISE LOCK PREP||"&amp;$BS$886,"")&amp;IF($BU$886,$BT$886&amp;"|"&amp;IF($BG$886="G18",$BZ$886&amp;"-4 1/2"&amp;CHAR(34)&amp;"X4 1/2"&amp;CHAR(34)&amp;" HINGES ONLY PREP","HINGE PREP "&amp;$BZ$886&amp;" WITH LOCK PREP")&amp;"|"&amp;$BQ$886&amp;" LOC|"&amp;$BS$886,"")&amp;IF(OR($BG$886="G2G2",$BG$886="G17",$BG$886="E1E4"),$AE$886&amp;"|"&amp;IF($BU$886,"DDLP CYLINDRICAL DEADLOCK PREP","DOOR DEADLOCK PREP")&amp;"||"&amp;$BS$886,"")&amp;IF(OR($BH$886="FG",$BH$886="HG",$BH$886="FNV",$BH$886="FV"),$BT$886&amp;"|"&amp;$BI$886&amp;" LITE KIT||"&amp;$BS$886,IF($BH$886="FL",$BT$886&amp;"|"&amp;$BI$886&amp;" LOUVER||"&amp;$BS$886,IF($BH$886="FP",$BT$886&amp;"|DVP DOOR VIEWER PREP||"&amp;$BS$886,"")))&amp;IF($BN$886&gt;N($AR$886),$BT$886&amp;"|DCO DOOR CUT DOWN ONLY (HEIGHT)|Cut "&amp;TRIM(TEXT($BN$886-N($AR$886),"# ?/??"))&amp;CHAR(34)&amp;" OFF THE BOTTOM|"&amp;$BS$886,""))</f>
        <v/>
      </c>
    </row>
    <row r="887">
      <c r="B887" s="180">
        <f>IF($AD887="","",VALUE(LEFT($AD887,FIND("|",$AD887)-1)))</f>
        <v/>
      </c>
      <c r="C887" s="180">
        <f>IF($AD887="","","    "&amp;MID($AD887,FIND("|",$AD887)+1,FIND("|",$AD887,FIND("|",$AD887)+1)-FIND("|",$AD887)-1))</f>
        <v/>
      </c>
      <c r="D887" s="180">
        <f>IF($AD887="","",MID($AD887,FIND("|",$AD887,FIND("|",$AD887)+1)+1,FIND("|",$AD887&amp;"|",FIND("|",$AD887,FIND("|",$AD887)+1)+1)-FIND("|",$AD887,FIND("|",$AD887)+1)-1))</f>
        <v/>
      </c>
      <c r="AD887">
        <f>TRIM(MID(SUBSTITUTE($CA$886,"~",REPT(" ",600)),1,600))</f>
        <v/>
      </c>
    </row>
    <row r="888">
      <c r="B888" s="180">
        <f>IF($AD888="","",VALUE(LEFT($AD888,FIND("|",$AD888)-1)))</f>
        <v/>
      </c>
      <c r="C888" s="180">
        <f>IF($AD888="","","    "&amp;MID($AD888,FIND("|",$AD888)+1,FIND("|",$AD888,FIND("|",$AD888)+1)-FIND("|",$AD888)-1))</f>
        <v/>
      </c>
      <c r="D888" s="180">
        <f>IF($AD888="","",MID($AD888,FIND("|",$AD888,FIND("|",$AD888)+1)+1,FIND("|",$AD888&amp;"|",FIND("|",$AD888,FIND("|",$AD888)+1)+1)-FIND("|",$AD888,FIND("|",$AD888)+1)-1))</f>
        <v/>
      </c>
      <c r="AD888">
        <f>TRIM(MID(SUBSTITUTE($CA$886,"~",REPT(" ",600)),601,600))</f>
        <v/>
      </c>
    </row>
    <row r="889">
      <c r="B889" s="180">
        <f>IF($AD889="","",VALUE(LEFT($AD889,FIND("|",$AD889)-1)))</f>
        <v/>
      </c>
      <c r="C889" s="180">
        <f>IF($AD889="","","    "&amp;MID($AD889,FIND("|",$AD889)+1,FIND("|",$AD889,FIND("|",$AD889)+1)-FIND("|",$AD889)-1))</f>
        <v/>
      </c>
      <c r="D889" s="180">
        <f>IF($AD889="","",MID($AD889,FIND("|",$AD889,FIND("|",$AD889)+1)+1,FIND("|",$AD889&amp;"|",FIND("|",$AD889,FIND("|",$AD889)+1)+1)-FIND("|",$AD889,FIND("|",$AD889)+1)-1))</f>
        <v/>
      </c>
      <c r="AD889">
        <f>TRIM(MID(SUBSTITUTE($CA$886,"~",REPT(" ",600)),1201,600))</f>
        <v/>
      </c>
    </row>
    <row r="890">
      <c r="B890" s="180">
        <f>IF($AD890="","",VALUE(LEFT($AD890,FIND("|",$AD890)-1)))</f>
        <v/>
      </c>
      <c r="C890" s="180">
        <f>IF($AD890="","","    "&amp;MID($AD890,FIND("|",$AD890)+1,FIND("|",$AD890,FIND("|",$AD890)+1)-FIND("|",$AD890)-1))</f>
        <v/>
      </c>
      <c r="D890" s="180">
        <f>IF($AD890="","",MID($AD890,FIND("|",$AD890,FIND("|",$AD890)+1)+1,FIND("|",$AD890&amp;"|",FIND("|",$AD890,FIND("|",$AD890)+1)+1)-FIND("|",$AD890,FIND("|",$AD890)+1)-1))</f>
        <v/>
      </c>
      <c r="AD890">
        <f>TRIM(MID(SUBSTITUTE($CA$886,"~",REPT(" ",600)),1801,600))</f>
        <v/>
      </c>
    </row>
    <row r="891">
      <c r="B891" s="180">
        <f>IF($AD891="","",VALUE(LEFT($AD891,FIND("|",$AD891)-1)))</f>
        <v/>
      </c>
      <c r="C891" s="180">
        <f>IF($AD891="","","    "&amp;MID($AD891,FIND("|",$AD891)+1,FIND("|",$AD891,FIND("|",$AD891)+1)-FIND("|",$AD891)-1))</f>
        <v/>
      </c>
      <c r="D891" s="180">
        <f>IF($AD891="","",MID($AD891,FIND("|",$AD891,FIND("|",$AD891)+1)+1,FIND("|",$AD891&amp;"|",FIND("|",$AD891,FIND("|",$AD891)+1)+1)-FIND("|",$AD891,FIND("|",$AD891)+1)-1))</f>
        <v/>
      </c>
      <c r="AD891">
        <f>TRIM(MID(SUBSTITUTE($CA$886,"~",REPT(" ",600)),2401,600))</f>
        <v/>
      </c>
    </row>
    <row r="892">
      <c r="B892" s="180">
        <f>IF($AD892="","",VALUE(LEFT($AD892,FIND("|",$AD892)-1)))</f>
        <v/>
      </c>
      <c r="C892" s="180">
        <f>IF($AD892="","","    "&amp;MID($AD892,FIND("|",$AD892)+1,FIND("|",$AD892,FIND("|",$AD892)+1)-FIND("|",$AD892)-1))</f>
        <v/>
      </c>
      <c r="D892" s="180">
        <f>IF($AD892="","",MID($AD892,FIND("|",$AD892,FIND("|",$AD892)+1)+1,FIND("|",$AD892&amp;"|",FIND("|",$AD892,FIND("|",$AD892)+1)+1)-FIND("|",$AD892,FIND("|",$AD892)+1)-1))</f>
        <v/>
      </c>
      <c r="AD892">
        <f>TRIM(MID(SUBSTITUTE($CA$886,"~",REPT(" ",600)),3001,600))</f>
        <v/>
      </c>
    </row>
    <row r="893">
      <c r="B893" s="180">
        <f>IF($AD893="","",VALUE(LEFT($AD893,FIND("|",$AD893)-1)))</f>
        <v/>
      </c>
      <c r="C893" s="180">
        <f>IF($AD893="","","    "&amp;MID($AD893,FIND("|",$AD893)+1,FIND("|",$AD893,FIND("|",$AD893)+1)-FIND("|",$AD893)-1))</f>
        <v/>
      </c>
      <c r="D893" s="180">
        <f>IF($AD893="","",MID($AD893,FIND("|",$AD893,FIND("|",$AD893)+1)+1,FIND("|",$AD893&amp;"|",FIND("|",$AD893,FIND("|",$AD893)+1)+1)-FIND("|",$AD893,FIND("|",$AD893)+1)-1))</f>
        <v/>
      </c>
      <c r="AD893">
        <f>TRIM(MID(SUBSTITUTE($CA$886,"~",REPT(" ",600)),3601,600))</f>
        <v/>
      </c>
    </row>
    <row r="894">
      <c r="B894" s="180">
        <f>IF($AD894="","",VALUE(LEFT($AD894,FIND("|",$AD894)-1)))</f>
        <v/>
      </c>
      <c r="C894" s="180">
        <f>IF($AD894="","","    "&amp;MID($AD894,FIND("|",$AD894)+1,FIND("|",$AD894,FIND("|",$AD894)+1)-FIND("|",$AD894)-1))</f>
        <v/>
      </c>
      <c r="D894" s="180">
        <f>IF($AD894="","",MID($AD894,FIND("|",$AD894,FIND("|",$AD894)+1)+1,FIND("|",$AD894&amp;"|",FIND("|",$AD894,FIND("|",$AD894)+1)+1)-FIND("|",$AD894,FIND("|",$AD894)+1)-1))</f>
        <v/>
      </c>
      <c r="AD894">
        <f>TRIM(MID(SUBSTITUTE($CA$886,"~",REPT(" ",600)),4201,600))</f>
        <v/>
      </c>
    </row>
    <row r="895">
      <c r="B895" s="180">
        <f>IF($AD895="","",VALUE(LEFT($AD895,FIND("|",$AD895)-1)))</f>
        <v/>
      </c>
      <c r="C895" s="180">
        <f>IF($AD895="","","    "&amp;MID($AD895,FIND("|",$AD895)+1,FIND("|",$AD895,FIND("|",$AD895)+1)-FIND("|",$AD895)-1))</f>
        <v/>
      </c>
      <c r="D895" s="180">
        <f>IF($AD895="","",MID($AD895,FIND("|",$AD895,FIND("|",$AD895)+1)+1,FIND("|",$AD895&amp;"|",FIND("|",$AD895,FIND("|",$AD895)+1)+1)-FIND("|",$AD895,FIND("|",$AD895)+1)-1))</f>
        <v/>
      </c>
      <c r="AD895">
        <f>TRIM(MID(SUBSTITUTE($CA$886,"~",REPT(" ",600)),4801,600))</f>
        <v/>
      </c>
    </row>
    <row r="896">
      <c r="B896" s="180">
        <f>IF($AD896="","",VALUE(LEFT($AD896,FIND("|",$AD896)-1)))</f>
        <v/>
      </c>
      <c r="C896" s="180">
        <f>IF($AD896="","","    "&amp;MID($AD896,FIND("|",$AD896)+1,FIND("|",$AD896,FIND("|",$AD896)+1)-FIND("|",$AD896)-1))</f>
        <v/>
      </c>
      <c r="D896" s="180">
        <f>IF($AD896="","",MID($AD896,FIND("|",$AD896,FIND("|",$AD896)+1)+1,FIND("|",$AD896&amp;"|",FIND("|",$AD896,FIND("|",$AD896)+1)+1)-FIND("|",$AD896,FIND("|",$AD896)+1)-1))</f>
        <v/>
      </c>
      <c r="AD896">
        <f>TRIM(MID(SUBSTITUTE($CA$886,"~",REPT(" ",600)),5401,600))</f>
        <v/>
      </c>
    </row>
    <row r="897">
      <c r="B897" s="180">
        <f>IF($AD897="","",VALUE(LEFT($AD897,FIND("|",$AD897)-1)))</f>
        <v/>
      </c>
      <c r="C897" s="180">
        <f>IF($AD897="","","    "&amp;MID($AD897,FIND("|",$AD897)+1,FIND("|",$AD897,FIND("|",$AD897)+1)-FIND("|",$AD897)-1))</f>
        <v/>
      </c>
      <c r="D897" s="180">
        <f>IF($AD897="","",MID($AD897,FIND("|",$AD897,FIND("|",$AD897)+1)+1,FIND("|",$AD897&amp;"|",FIND("|",$AD897,FIND("|",$AD897)+1)+1)-FIND("|",$AD897,FIND("|",$AD897)+1)-1))</f>
        <v/>
      </c>
      <c r="AD897">
        <f>TRIM(MID(SUBSTITUTE($CA$886,"~",REPT(" ",600)),6001,600))</f>
        <v/>
      </c>
    </row>
    <row r="898">
      <c r="A898" s="178">
        <f>IF($AD$898=0,"",$BK$898)</f>
        <v/>
      </c>
      <c r="B898" s="178">
        <f>IF($AD$898=0,"",$AE$898*N($BA$898))</f>
        <v/>
      </c>
      <c r="C898" s="178">
        <f>IF($AD$898=0,"",$AE$898*N($BA$898)&amp;") "&amp;IF(COUNTIFS(tk_SODG,15,tk_HLEG,"&lt;&gt;"&amp;$BJ$898)=0,INDEX(tk_DLINE,$AD$898),INDEX(tk_DLINEN,$AD$898)))</f>
        <v/>
      </c>
      <c r="D898" s="178" t="n"/>
      <c r="E898" s="179">
        <f t="array" ref="E898">IF($AD$898=0,"",_xlfn.TEXTJOIN(", ",TRUE,IF(tk_SODG=15,"#"&amp;tk_MARK&amp;IF(tk_HLEG="","","("&amp;tk_HLEG&amp;")")&amp;IF(tk_QTY&gt;1," ×"&amp;tk_QTY,""),"")))</f>
        <v/>
      </c>
      <c r="AD898">
        <f>IFERROR(MATCH(15,tk_SODG,0),0)</f>
        <v/>
      </c>
      <c r="AE898">
        <f>IF($AD$898=0,0,SUMIF(tk_SODG,15,tk_QTY))</f>
        <v/>
      </c>
      <c r="AF898">
        <f>IF($AD$898=0,"",INDEX(tk_JAMB,$AD$898))</f>
        <v/>
      </c>
      <c r="AG898">
        <f>IF($AD$898=0,"",INDEX(tk_ANCHOR,$AD$898))</f>
        <v/>
      </c>
      <c r="AH898">
        <f>IF($AD$898=0,"",INDEX(tk_ANCH,$AD$898))</f>
        <v/>
      </c>
      <c r="AI898">
        <f>IF($AD$898=0,"",INDEX(tk_BASEA,$AD$898))</f>
        <v/>
      </c>
      <c r="AJ898">
        <f>IF($AD$898=0,"",INDEX(tk_CONSTR,$AD$898))</f>
        <v/>
      </c>
      <c r="AK898">
        <f>IF($AD$898=0,"",INDEX(tk_CLOSER,$AD$898))</f>
        <v/>
      </c>
      <c r="AL898">
        <f>IF($AD$898=0,"",INDEX(tk_STRIKE,$AD$898))</f>
        <v/>
      </c>
      <c r="AM898">
        <f>IF($AD$898=0,"",INDEX(tk_HDRPREP,$AD$898))</f>
        <v/>
      </c>
      <c r="AN898">
        <f>IF($AD$898=0,"",INDEX(tk_DMIN,$AD$898))</f>
        <v/>
      </c>
      <c r="AO898">
        <f>IF($AD$898=0,"",INDEX(tk_PAIR,$AD$898))</f>
        <v/>
      </c>
      <c r="AP898">
        <f>IF($AD$898=0,"",INDEX(tk_FGA,$AD$898))</f>
        <v/>
      </c>
      <c r="AQ898">
        <f>IF($AD$898=0,"",INDEX(tk_WI,$AD$898))</f>
        <v/>
      </c>
      <c r="AR898">
        <f>IF($AD$898=0,"",INDEX(tk_HI,$AD$898))</f>
        <v/>
      </c>
      <c r="AS898">
        <f>IF($AD$898=0,"",INDEX(tk_FHINGE,$AD$898))</f>
        <v/>
      </c>
      <c r="AT898">
        <f>IF($AD$898=0,"",INDEX(tk_DHINGE,$AD$898))</f>
        <v/>
      </c>
      <c r="AU898">
        <f>IF($AD$898=0,"",INDEX(tk_HWLOC,$AD$898))</f>
        <v/>
      </c>
      <c r="AV898">
        <f>IF($AD$898=0,"",INDEX(tk_MANUF,$AD$898))</f>
        <v/>
      </c>
      <c r="AW898">
        <f>IF($AD$898=0,"",INDEX(tk_JH,$AD$898))</f>
        <v/>
      </c>
      <c r="AX898">
        <f>IF($AD$898=0,"",INDEX(tk_FDESC,$AD$898))</f>
        <v/>
      </c>
      <c r="AY898">
        <f>IF($AD$898=0,"",INDEX(tk_TRANS,$AD$898))</f>
        <v/>
      </c>
      <c r="AZ898">
        <f>IF($AD$898=0,"",INDEX(tk_SLW,$AD$898))</f>
        <v/>
      </c>
      <c r="BA898">
        <f>IF($AD$898=0,"",INDEX(tk_LEAVES,$AD$898))</f>
        <v/>
      </c>
      <c r="BB898">
        <f>IF($AD$898=0,"",INDEX(tk_LEAFW,$AD$898))</f>
        <v/>
      </c>
      <c r="BC898">
        <f>IF($AD$898=0,"",INDEX(tk_LEAFH,$AD$898))</f>
        <v/>
      </c>
      <c r="BD898">
        <f>IF($AD$898=0,"",INDEX(tk_DMAT,$AD$898))</f>
        <v/>
      </c>
      <c r="BE898">
        <f>IF($AD$898=0,"",INDEX(tk_DGA,$AD$898))</f>
        <v/>
      </c>
      <c r="BF898">
        <f>IF($AD$898=0,"",INDEX(tk_SERIES,$AD$898))</f>
        <v/>
      </c>
      <c r="BG898">
        <f>IF($AD$898=0,"",INDEX(tk_LOCK,$AD$898))</f>
        <v/>
      </c>
      <c r="BH898">
        <f>IF($AD$898=0,"",INDEX(tk_LITEKIT,$AD$898))</f>
        <v/>
      </c>
      <c r="BI898">
        <f>IF($AD$898=0,"",INDEX(tk_FACE,$AD$898))</f>
        <v/>
      </c>
      <c r="BJ898">
        <f>IF($AD$898=0,"",INDEX(tk_HLEG,$AD$898))</f>
        <v/>
      </c>
      <c r="BK898">
        <f>IF($AD$898=0,"",INDEX(tk_SOITEM,$AD$898))</f>
        <v/>
      </c>
      <c r="BL898">
        <f>IFERROR(VLOOKUP($AF$898,CODES,2,FALSE),"")</f>
        <v/>
      </c>
      <c r="BM898">
        <f>IF($AJ$898="KD","C","M")</f>
        <v/>
      </c>
      <c r="BN898">
        <f>IF(N($AR$898)&lt;=80,80,IF(N($AR$898)&lt;=84,84,IF(N($AR$898)&lt;=96,96,N($AR$898))))</f>
        <v/>
      </c>
      <c r="BO898">
        <f>INT($BN$898/12)&amp;MOD($BN$898,12)</f>
        <v/>
      </c>
      <c r="BP898">
        <f>INT(N($AQ$898)/12)&amp;MOD(N($AQ$898),12)</f>
        <v/>
      </c>
      <c r="BQ898">
        <f>IF(OR($AU$898="",$AU$898="ANSI/SDI",$AU$898="CUSTOM LOC"),IF($AV$898="CU","CURRIES","STEELCRAFT"),$AU$898)</f>
        <v/>
      </c>
      <c r="BR898">
        <f>$AO$898="Y"</f>
        <v/>
      </c>
      <c r="BS898">
        <f>"~"</f>
        <v/>
      </c>
      <c r="BT898">
        <f>$AE$898*N($BA$898)</f>
        <v/>
      </c>
      <c r="BU898">
        <f>OR(LEFT($BD$898,3)="OAK",LEFT($BD$898,3)="BIR",LEFT($BD$898,3)="MAP",$BD$898="PC",$BD$898="MC",$BD$898="SCLC",$BD$898="P-LAM")</f>
        <v/>
      </c>
      <c r="BV898">
        <f>INT(N($AQ$898)/MAX(1,N($BA$898))/12)&amp;MOD(N($AQ$898)/MAX(1,N($BA$898)),12)</f>
        <v/>
      </c>
      <c r="BW898">
        <f>IF(OR($BG$898="G11",$BG$898="G11A",$BG$898="G12A"),"G2",IF(OR(LEFT($BG$898,2)="G3",$BG$898="G12"),"G3AEO",$BG$898))</f>
        <v/>
      </c>
      <c r="BX898">
        <f>"(Net size: "&amp;TRIM(TEXT(N($BB$898),"# ?/??"))&amp;CHAR(34)&amp;" x "&amp;TRIM(TEXT(N($BC$898),"# ?/??"))&amp;CHAR(34)&amp;")"</f>
        <v/>
      </c>
      <c r="BY898">
        <f>IF(LEFT($BD$898,3)="OAK","RED OAK",IF(LEFT($BD$898,3)="BIR","BIRCH",IF(LEFT($BD$898,3)="MAP","MAPLE","WOOD")))</f>
        <v/>
      </c>
      <c r="BZ898">
        <f>IF(OR($AT$898="U454",AND($AT$898="",$AS$898="U454")),"454","453")</f>
        <v/>
      </c>
      <c r="CA898">
        <f>IF($AD$898=0,"",IF($BU$898,$BT$898&amp;"|"&amp;$BV$898&amp;$BO$898&amp;" "&amp;$BY$898&amp;" SLAB "&amp;IF(N($AN$898)&gt;0,$AN$898&amp;" MINUTE",IF(RIGHT($BD$898,2)="MC","MC","SC")&amp;" WOOD DOOR")&amp;"|"&amp;$BX$898&amp;"|"&amp;$BS$898,$BT$898&amp;"|"&amp;$BV$898&amp;$BO$898&amp;$BW$898&amp;" BSC "&amp;$BQ$898&amp;" DOOR "&amp;$BE$898&amp;"Ga. Non-Handed "&amp;IF($BF$898="","707",$BF$898)&amp;"S Flush HM|"&amp;$BX$898&amp;"|"&amp;$BS$898)&amp;IF(N($AN$898)&gt;0,$BT$898&amp;"|"&amp;$AN$898&amp;IF($BU$898," MINUTE WARNOCK HERSHEY FIRE RATED WOOD LABEL"," MINUTE FOAM CORE STEEL DOOR LABEL (MODELS 607 &amp; 707)")&amp;"||"&amp;$BS$898,"")&amp;IF(AND(NOT($BU$898),OR($BG$898="G11",$BG$898="G11A",$BG$898="G12",$BG$898="G12A")),$AE$898&amp;"|EXIT DEVICE PREP FOR HM DOOR||"&amp;$BS$898,"")&amp;IF(AND(NOT($BU$898),$BG$898="G12"),$AE$898&amp;"|DR 350 MORTISE LOCK FILLER PLATE||"&amp;$BS$898,"")&amp;IF(AND(NOT($BU$898),LEFT($BG$898,2)="G3"),$AE$898&amp;"|MORTISE LOCK PREP||"&amp;$BS$898,"")&amp;IF($BU$898,$BT$898&amp;"|"&amp;IF($BG$898="G18",$BZ$898&amp;"-4 1/2"&amp;CHAR(34)&amp;"X4 1/2"&amp;CHAR(34)&amp;" HINGES ONLY PREP","HINGE PREP "&amp;$BZ$898&amp;" WITH LOCK PREP")&amp;"|"&amp;$BQ$898&amp;" LOC|"&amp;$BS$898,"")&amp;IF(OR($BG$898="G2G2",$BG$898="G17",$BG$898="E1E4"),$AE$898&amp;"|"&amp;IF($BU$898,"DDLP CYLINDRICAL DEADLOCK PREP","DOOR DEADLOCK PREP")&amp;"||"&amp;$BS$898,"")&amp;IF(OR($BH$898="FG",$BH$898="HG",$BH$898="FNV",$BH$898="FV"),$BT$898&amp;"|"&amp;$BI$898&amp;" LITE KIT||"&amp;$BS$898,IF($BH$898="FL",$BT$898&amp;"|"&amp;$BI$898&amp;" LOUVER||"&amp;$BS$898,IF($BH$898="FP",$BT$898&amp;"|DVP DOOR VIEWER PREP||"&amp;$BS$898,"")))&amp;IF($BN$898&gt;N($AR$898),$BT$898&amp;"|DCO DOOR CUT DOWN ONLY (HEIGHT)|Cut "&amp;TRIM(TEXT($BN$898-N($AR$898),"# ?/??"))&amp;CHAR(34)&amp;" OFF THE BOTTOM|"&amp;$BS$898,""))</f>
        <v/>
      </c>
    </row>
    <row r="899">
      <c r="B899" s="180">
        <f>IF($AD899="","",VALUE(LEFT($AD899,FIND("|",$AD899)-1)))</f>
        <v/>
      </c>
      <c r="C899" s="180">
        <f>IF($AD899="","","    "&amp;MID($AD899,FIND("|",$AD899)+1,FIND("|",$AD899,FIND("|",$AD899)+1)-FIND("|",$AD899)-1))</f>
        <v/>
      </c>
      <c r="D899" s="180">
        <f>IF($AD899="","",MID($AD899,FIND("|",$AD899,FIND("|",$AD899)+1)+1,FIND("|",$AD899&amp;"|",FIND("|",$AD899,FIND("|",$AD899)+1)+1)-FIND("|",$AD899,FIND("|",$AD899)+1)-1))</f>
        <v/>
      </c>
      <c r="AD899">
        <f>TRIM(MID(SUBSTITUTE($CA$898,"~",REPT(" ",600)),1,600))</f>
        <v/>
      </c>
    </row>
    <row r="900">
      <c r="B900" s="180">
        <f>IF($AD900="","",VALUE(LEFT($AD900,FIND("|",$AD900)-1)))</f>
        <v/>
      </c>
      <c r="C900" s="180">
        <f>IF($AD900="","","    "&amp;MID($AD900,FIND("|",$AD900)+1,FIND("|",$AD900,FIND("|",$AD900)+1)-FIND("|",$AD900)-1))</f>
        <v/>
      </c>
      <c r="D900" s="180">
        <f>IF($AD900="","",MID($AD900,FIND("|",$AD900,FIND("|",$AD900)+1)+1,FIND("|",$AD900&amp;"|",FIND("|",$AD900,FIND("|",$AD900)+1)+1)-FIND("|",$AD900,FIND("|",$AD900)+1)-1))</f>
        <v/>
      </c>
      <c r="AD900">
        <f>TRIM(MID(SUBSTITUTE($CA$898,"~",REPT(" ",600)),601,600))</f>
        <v/>
      </c>
    </row>
    <row r="901">
      <c r="B901" s="180">
        <f>IF($AD901="","",VALUE(LEFT($AD901,FIND("|",$AD901)-1)))</f>
        <v/>
      </c>
      <c r="C901" s="180">
        <f>IF($AD901="","","    "&amp;MID($AD901,FIND("|",$AD901)+1,FIND("|",$AD901,FIND("|",$AD901)+1)-FIND("|",$AD901)-1))</f>
        <v/>
      </c>
      <c r="D901" s="180">
        <f>IF($AD901="","",MID($AD901,FIND("|",$AD901,FIND("|",$AD901)+1)+1,FIND("|",$AD901&amp;"|",FIND("|",$AD901,FIND("|",$AD901)+1)+1)-FIND("|",$AD901,FIND("|",$AD901)+1)-1))</f>
        <v/>
      </c>
      <c r="AD901">
        <f>TRIM(MID(SUBSTITUTE($CA$898,"~",REPT(" ",600)),1201,600))</f>
        <v/>
      </c>
    </row>
    <row r="902">
      <c r="B902" s="180">
        <f>IF($AD902="","",VALUE(LEFT($AD902,FIND("|",$AD902)-1)))</f>
        <v/>
      </c>
      <c r="C902" s="180">
        <f>IF($AD902="","","    "&amp;MID($AD902,FIND("|",$AD902)+1,FIND("|",$AD902,FIND("|",$AD902)+1)-FIND("|",$AD902)-1))</f>
        <v/>
      </c>
      <c r="D902" s="180">
        <f>IF($AD902="","",MID($AD902,FIND("|",$AD902,FIND("|",$AD902)+1)+1,FIND("|",$AD902&amp;"|",FIND("|",$AD902,FIND("|",$AD902)+1)+1)-FIND("|",$AD902,FIND("|",$AD902)+1)-1))</f>
        <v/>
      </c>
      <c r="AD902">
        <f>TRIM(MID(SUBSTITUTE($CA$898,"~",REPT(" ",600)),1801,600))</f>
        <v/>
      </c>
    </row>
    <row r="903">
      <c r="B903" s="180">
        <f>IF($AD903="","",VALUE(LEFT($AD903,FIND("|",$AD903)-1)))</f>
        <v/>
      </c>
      <c r="C903" s="180">
        <f>IF($AD903="","","    "&amp;MID($AD903,FIND("|",$AD903)+1,FIND("|",$AD903,FIND("|",$AD903)+1)-FIND("|",$AD903)-1))</f>
        <v/>
      </c>
      <c r="D903" s="180">
        <f>IF($AD903="","",MID($AD903,FIND("|",$AD903,FIND("|",$AD903)+1)+1,FIND("|",$AD903&amp;"|",FIND("|",$AD903,FIND("|",$AD903)+1)+1)-FIND("|",$AD903,FIND("|",$AD903)+1)-1))</f>
        <v/>
      </c>
      <c r="AD903">
        <f>TRIM(MID(SUBSTITUTE($CA$898,"~",REPT(" ",600)),2401,600))</f>
        <v/>
      </c>
    </row>
    <row r="904">
      <c r="B904" s="180">
        <f>IF($AD904="","",VALUE(LEFT($AD904,FIND("|",$AD904)-1)))</f>
        <v/>
      </c>
      <c r="C904" s="180">
        <f>IF($AD904="","","    "&amp;MID($AD904,FIND("|",$AD904)+1,FIND("|",$AD904,FIND("|",$AD904)+1)-FIND("|",$AD904)-1))</f>
        <v/>
      </c>
      <c r="D904" s="180">
        <f>IF($AD904="","",MID($AD904,FIND("|",$AD904,FIND("|",$AD904)+1)+1,FIND("|",$AD904&amp;"|",FIND("|",$AD904,FIND("|",$AD904)+1)+1)-FIND("|",$AD904,FIND("|",$AD904)+1)-1))</f>
        <v/>
      </c>
      <c r="AD904">
        <f>TRIM(MID(SUBSTITUTE($CA$898,"~",REPT(" ",600)),3001,600))</f>
        <v/>
      </c>
    </row>
    <row r="905">
      <c r="B905" s="180">
        <f>IF($AD905="","",VALUE(LEFT($AD905,FIND("|",$AD905)-1)))</f>
        <v/>
      </c>
      <c r="C905" s="180">
        <f>IF($AD905="","","    "&amp;MID($AD905,FIND("|",$AD905)+1,FIND("|",$AD905,FIND("|",$AD905)+1)-FIND("|",$AD905)-1))</f>
        <v/>
      </c>
      <c r="D905" s="180">
        <f>IF($AD905="","",MID($AD905,FIND("|",$AD905,FIND("|",$AD905)+1)+1,FIND("|",$AD905&amp;"|",FIND("|",$AD905,FIND("|",$AD905)+1)+1)-FIND("|",$AD905,FIND("|",$AD905)+1)-1))</f>
        <v/>
      </c>
      <c r="AD905">
        <f>TRIM(MID(SUBSTITUTE($CA$898,"~",REPT(" ",600)),3601,600))</f>
        <v/>
      </c>
    </row>
    <row r="906">
      <c r="B906" s="180">
        <f>IF($AD906="","",VALUE(LEFT($AD906,FIND("|",$AD906)-1)))</f>
        <v/>
      </c>
      <c r="C906" s="180">
        <f>IF($AD906="","","    "&amp;MID($AD906,FIND("|",$AD906)+1,FIND("|",$AD906,FIND("|",$AD906)+1)-FIND("|",$AD906)-1))</f>
        <v/>
      </c>
      <c r="D906" s="180">
        <f>IF($AD906="","",MID($AD906,FIND("|",$AD906,FIND("|",$AD906)+1)+1,FIND("|",$AD906&amp;"|",FIND("|",$AD906,FIND("|",$AD906)+1)+1)-FIND("|",$AD906,FIND("|",$AD906)+1)-1))</f>
        <v/>
      </c>
      <c r="AD906">
        <f>TRIM(MID(SUBSTITUTE($CA$898,"~",REPT(" ",600)),4201,600))</f>
        <v/>
      </c>
    </row>
    <row r="907">
      <c r="B907" s="180">
        <f>IF($AD907="","",VALUE(LEFT($AD907,FIND("|",$AD907)-1)))</f>
        <v/>
      </c>
      <c r="C907" s="180">
        <f>IF($AD907="","","    "&amp;MID($AD907,FIND("|",$AD907)+1,FIND("|",$AD907,FIND("|",$AD907)+1)-FIND("|",$AD907)-1))</f>
        <v/>
      </c>
      <c r="D907" s="180">
        <f>IF($AD907="","",MID($AD907,FIND("|",$AD907,FIND("|",$AD907)+1)+1,FIND("|",$AD907&amp;"|",FIND("|",$AD907,FIND("|",$AD907)+1)+1)-FIND("|",$AD907,FIND("|",$AD907)+1)-1))</f>
        <v/>
      </c>
      <c r="AD907">
        <f>TRIM(MID(SUBSTITUTE($CA$898,"~",REPT(" ",600)),4801,600))</f>
        <v/>
      </c>
    </row>
    <row r="908">
      <c r="B908" s="180">
        <f>IF($AD908="","",VALUE(LEFT($AD908,FIND("|",$AD908)-1)))</f>
        <v/>
      </c>
      <c r="C908" s="180">
        <f>IF($AD908="","","    "&amp;MID($AD908,FIND("|",$AD908)+1,FIND("|",$AD908,FIND("|",$AD908)+1)-FIND("|",$AD908)-1))</f>
        <v/>
      </c>
      <c r="D908" s="180">
        <f>IF($AD908="","",MID($AD908,FIND("|",$AD908,FIND("|",$AD908)+1)+1,FIND("|",$AD908&amp;"|",FIND("|",$AD908,FIND("|",$AD908)+1)+1)-FIND("|",$AD908,FIND("|",$AD908)+1)-1))</f>
        <v/>
      </c>
      <c r="AD908">
        <f>TRIM(MID(SUBSTITUTE($CA$898,"~",REPT(" ",600)),5401,600))</f>
        <v/>
      </c>
    </row>
    <row r="909">
      <c r="B909" s="180">
        <f>IF($AD909="","",VALUE(LEFT($AD909,FIND("|",$AD909)-1)))</f>
        <v/>
      </c>
      <c r="C909" s="180">
        <f>IF($AD909="","","    "&amp;MID($AD909,FIND("|",$AD909)+1,FIND("|",$AD909,FIND("|",$AD909)+1)-FIND("|",$AD909)-1))</f>
        <v/>
      </c>
      <c r="D909" s="180">
        <f>IF($AD909="","",MID($AD909,FIND("|",$AD909,FIND("|",$AD909)+1)+1,FIND("|",$AD909&amp;"|",FIND("|",$AD909,FIND("|",$AD909)+1)+1)-FIND("|",$AD909,FIND("|",$AD909)+1)-1))</f>
        <v/>
      </c>
      <c r="AD909">
        <f>TRIM(MID(SUBSTITUTE($CA$898,"~",REPT(" ",600)),6001,600))</f>
        <v/>
      </c>
    </row>
    <row r="910">
      <c r="A910" s="178">
        <f>IF($AD$910=0,"",$BK$910)</f>
        <v/>
      </c>
      <c r="B910" s="178">
        <f>IF($AD$910=0,"",$AE$910*N($BA$910))</f>
        <v/>
      </c>
      <c r="C910" s="178">
        <f>IF($AD$910=0,"",$AE$910*N($BA$910)&amp;") "&amp;IF(COUNTIFS(tk_SODG,16,tk_HLEG,"&lt;&gt;"&amp;$BJ$910)=0,INDEX(tk_DLINE,$AD$910),INDEX(tk_DLINEN,$AD$910)))</f>
        <v/>
      </c>
      <c r="D910" s="178" t="n"/>
      <c r="E910" s="179">
        <f t="array" ref="E910">IF($AD$910=0,"",_xlfn.TEXTJOIN(", ",TRUE,IF(tk_SODG=16,"#"&amp;tk_MARK&amp;IF(tk_HLEG="","","("&amp;tk_HLEG&amp;")")&amp;IF(tk_QTY&gt;1," ×"&amp;tk_QTY,""),"")))</f>
        <v/>
      </c>
      <c r="AD910">
        <f>IFERROR(MATCH(16,tk_SODG,0),0)</f>
        <v/>
      </c>
      <c r="AE910">
        <f>IF($AD$910=0,0,SUMIF(tk_SODG,16,tk_QTY))</f>
        <v/>
      </c>
      <c r="AF910">
        <f>IF($AD$910=0,"",INDEX(tk_JAMB,$AD$910))</f>
        <v/>
      </c>
      <c r="AG910">
        <f>IF($AD$910=0,"",INDEX(tk_ANCHOR,$AD$910))</f>
        <v/>
      </c>
      <c r="AH910">
        <f>IF($AD$910=0,"",INDEX(tk_ANCH,$AD$910))</f>
        <v/>
      </c>
      <c r="AI910">
        <f>IF($AD$910=0,"",INDEX(tk_BASEA,$AD$910))</f>
        <v/>
      </c>
      <c r="AJ910">
        <f>IF($AD$910=0,"",INDEX(tk_CONSTR,$AD$910))</f>
        <v/>
      </c>
      <c r="AK910">
        <f>IF($AD$910=0,"",INDEX(tk_CLOSER,$AD$910))</f>
        <v/>
      </c>
      <c r="AL910">
        <f>IF($AD$910=0,"",INDEX(tk_STRIKE,$AD$910))</f>
        <v/>
      </c>
      <c r="AM910">
        <f>IF($AD$910=0,"",INDEX(tk_HDRPREP,$AD$910))</f>
        <v/>
      </c>
      <c r="AN910">
        <f>IF($AD$910=0,"",INDEX(tk_DMIN,$AD$910))</f>
        <v/>
      </c>
      <c r="AO910">
        <f>IF($AD$910=0,"",INDEX(tk_PAIR,$AD$910))</f>
        <v/>
      </c>
      <c r="AP910">
        <f>IF($AD$910=0,"",INDEX(tk_FGA,$AD$910))</f>
        <v/>
      </c>
      <c r="AQ910">
        <f>IF($AD$910=0,"",INDEX(tk_WI,$AD$910))</f>
        <v/>
      </c>
      <c r="AR910">
        <f>IF($AD$910=0,"",INDEX(tk_HI,$AD$910))</f>
        <v/>
      </c>
      <c r="AS910">
        <f>IF($AD$910=0,"",INDEX(tk_FHINGE,$AD$910))</f>
        <v/>
      </c>
      <c r="AT910">
        <f>IF($AD$910=0,"",INDEX(tk_DHINGE,$AD$910))</f>
        <v/>
      </c>
      <c r="AU910">
        <f>IF($AD$910=0,"",INDEX(tk_HWLOC,$AD$910))</f>
        <v/>
      </c>
      <c r="AV910">
        <f>IF($AD$910=0,"",INDEX(tk_MANUF,$AD$910))</f>
        <v/>
      </c>
      <c r="AW910">
        <f>IF($AD$910=0,"",INDEX(tk_JH,$AD$910))</f>
        <v/>
      </c>
      <c r="AX910">
        <f>IF($AD$910=0,"",INDEX(tk_FDESC,$AD$910))</f>
        <v/>
      </c>
      <c r="AY910">
        <f>IF($AD$910=0,"",INDEX(tk_TRANS,$AD$910))</f>
        <v/>
      </c>
      <c r="AZ910">
        <f>IF($AD$910=0,"",INDEX(tk_SLW,$AD$910))</f>
        <v/>
      </c>
      <c r="BA910">
        <f>IF($AD$910=0,"",INDEX(tk_LEAVES,$AD$910))</f>
        <v/>
      </c>
      <c r="BB910">
        <f>IF($AD$910=0,"",INDEX(tk_LEAFW,$AD$910))</f>
        <v/>
      </c>
      <c r="BC910">
        <f>IF($AD$910=0,"",INDEX(tk_LEAFH,$AD$910))</f>
        <v/>
      </c>
      <c r="BD910">
        <f>IF($AD$910=0,"",INDEX(tk_DMAT,$AD$910))</f>
        <v/>
      </c>
      <c r="BE910">
        <f>IF($AD$910=0,"",INDEX(tk_DGA,$AD$910))</f>
        <v/>
      </c>
      <c r="BF910">
        <f>IF($AD$910=0,"",INDEX(tk_SERIES,$AD$910))</f>
        <v/>
      </c>
      <c r="BG910">
        <f>IF($AD$910=0,"",INDEX(tk_LOCK,$AD$910))</f>
        <v/>
      </c>
      <c r="BH910">
        <f>IF($AD$910=0,"",INDEX(tk_LITEKIT,$AD$910))</f>
        <v/>
      </c>
      <c r="BI910">
        <f>IF($AD$910=0,"",INDEX(tk_FACE,$AD$910))</f>
        <v/>
      </c>
      <c r="BJ910">
        <f>IF($AD$910=0,"",INDEX(tk_HLEG,$AD$910))</f>
        <v/>
      </c>
      <c r="BK910">
        <f>IF($AD$910=0,"",INDEX(tk_SOITEM,$AD$910))</f>
        <v/>
      </c>
      <c r="BL910">
        <f>IFERROR(VLOOKUP($AF$910,CODES,2,FALSE),"")</f>
        <v/>
      </c>
      <c r="BM910">
        <f>IF($AJ$910="KD","C","M")</f>
        <v/>
      </c>
      <c r="BN910">
        <f>IF(N($AR$910)&lt;=80,80,IF(N($AR$910)&lt;=84,84,IF(N($AR$910)&lt;=96,96,N($AR$910))))</f>
        <v/>
      </c>
      <c r="BO910">
        <f>INT($BN$910/12)&amp;MOD($BN$910,12)</f>
        <v/>
      </c>
      <c r="BP910">
        <f>INT(N($AQ$910)/12)&amp;MOD(N($AQ$910),12)</f>
        <v/>
      </c>
      <c r="BQ910">
        <f>IF(OR($AU$910="",$AU$910="ANSI/SDI",$AU$910="CUSTOM LOC"),IF($AV$910="CU","CURRIES","STEELCRAFT"),$AU$910)</f>
        <v/>
      </c>
      <c r="BR910">
        <f>$AO$910="Y"</f>
        <v/>
      </c>
      <c r="BS910">
        <f>"~"</f>
        <v/>
      </c>
      <c r="BT910">
        <f>$AE$910*N($BA$910)</f>
        <v/>
      </c>
      <c r="BU910">
        <f>OR(LEFT($BD$910,3)="OAK",LEFT($BD$910,3)="BIR",LEFT($BD$910,3)="MAP",$BD$910="PC",$BD$910="MC",$BD$910="SCLC",$BD$910="P-LAM")</f>
        <v/>
      </c>
      <c r="BV910">
        <f>INT(N($AQ$910)/MAX(1,N($BA$910))/12)&amp;MOD(N($AQ$910)/MAX(1,N($BA$910)),12)</f>
        <v/>
      </c>
      <c r="BW910">
        <f>IF(OR($BG$910="G11",$BG$910="G11A",$BG$910="G12A"),"G2",IF(OR(LEFT($BG$910,2)="G3",$BG$910="G12"),"G3AEO",$BG$910))</f>
        <v/>
      </c>
      <c r="BX910">
        <f>"(Net size: "&amp;TRIM(TEXT(N($BB$910),"# ?/??"))&amp;CHAR(34)&amp;" x "&amp;TRIM(TEXT(N($BC$910),"# ?/??"))&amp;CHAR(34)&amp;")"</f>
        <v/>
      </c>
      <c r="BY910">
        <f>IF(LEFT($BD$910,3)="OAK","RED OAK",IF(LEFT($BD$910,3)="BIR","BIRCH",IF(LEFT($BD$910,3)="MAP","MAPLE","WOOD")))</f>
        <v/>
      </c>
      <c r="BZ910">
        <f>IF(OR($AT$910="U454",AND($AT$910="",$AS$910="U454")),"454","453")</f>
        <v/>
      </c>
      <c r="CA910">
        <f>IF($AD$910=0,"",IF($BU$910,$BT$910&amp;"|"&amp;$BV$910&amp;$BO$910&amp;" "&amp;$BY$910&amp;" SLAB "&amp;IF(N($AN$910)&gt;0,$AN$910&amp;" MINUTE",IF(RIGHT($BD$910,2)="MC","MC","SC")&amp;" WOOD DOOR")&amp;"|"&amp;$BX$910&amp;"|"&amp;$BS$910,$BT$910&amp;"|"&amp;$BV$910&amp;$BO$910&amp;$BW$910&amp;" BSC "&amp;$BQ$910&amp;" DOOR "&amp;$BE$910&amp;"Ga. Non-Handed "&amp;IF($BF$910="","707",$BF$910)&amp;"S Flush HM|"&amp;$BX$910&amp;"|"&amp;$BS$910)&amp;IF(N($AN$910)&gt;0,$BT$910&amp;"|"&amp;$AN$910&amp;IF($BU$910," MINUTE WARNOCK HERSHEY FIRE RATED WOOD LABEL"," MINUTE FOAM CORE STEEL DOOR LABEL (MODELS 607 &amp; 707)")&amp;"||"&amp;$BS$910,"")&amp;IF(AND(NOT($BU$910),OR($BG$910="G11",$BG$910="G11A",$BG$910="G12",$BG$910="G12A")),$AE$910&amp;"|EXIT DEVICE PREP FOR HM DOOR||"&amp;$BS$910,"")&amp;IF(AND(NOT($BU$910),$BG$910="G12"),$AE$910&amp;"|DR 350 MORTISE LOCK FILLER PLATE||"&amp;$BS$910,"")&amp;IF(AND(NOT($BU$910),LEFT($BG$910,2)="G3"),$AE$910&amp;"|MORTISE LOCK PREP||"&amp;$BS$910,"")&amp;IF($BU$910,$BT$910&amp;"|"&amp;IF($BG$910="G18",$BZ$910&amp;"-4 1/2"&amp;CHAR(34)&amp;"X4 1/2"&amp;CHAR(34)&amp;" HINGES ONLY PREP","HINGE PREP "&amp;$BZ$910&amp;" WITH LOCK PREP")&amp;"|"&amp;$BQ$910&amp;" LOC|"&amp;$BS$910,"")&amp;IF(OR($BG$910="G2G2",$BG$910="G17",$BG$910="E1E4"),$AE$910&amp;"|"&amp;IF($BU$910,"DDLP CYLINDRICAL DEADLOCK PREP","DOOR DEADLOCK PREP")&amp;"||"&amp;$BS$910,"")&amp;IF(OR($BH$910="FG",$BH$910="HG",$BH$910="FNV",$BH$910="FV"),$BT$910&amp;"|"&amp;$BI$910&amp;" LITE KIT||"&amp;$BS$910,IF($BH$910="FL",$BT$910&amp;"|"&amp;$BI$910&amp;" LOUVER||"&amp;$BS$910,IF($BH$910="FP",$BT$910&amp;"|DVP DOOR VIEWER PREP||"&amp;$BS$910,"")))&amp;IF($BN$910&gt;N($AR$910),$BT$910&amp;"|DCO DOOR CUT DOWN ONLY (HEIGHT)|Cut "&amp;TRIM(TEXT($BN$910-N($AR$910),"# ?/??"))&amp;CHAR(34)&amp;" OFF THE BOTTOM|"&amp;$BS$910,""))</f>
        <v/>
      </c>
    </row>
    <row r="911">
      <c r="B911" s="180">
        <f>IF($AD911="","",VALUE(LEFT($AD911,FIND("|",$AD911)-1)))</f>
        <v/>
      </c>
      <c r="C911" s="180">
        <f>IF($AD911="","","    "&amp;MID($AD911,FIND("|",$AD911)+1,FIND("|",$AD911,FIND("|",$AD911)+1)-FIND("|",$AD911)-1))</f>
        <v/>
      </c>
      <c r="D911" s="180">
        <f>IF($AD911="","",MID($AD911,FIND("|",$AD911,FIND("|",$AD911)+1)+1,FIND("|",$AD911&amp;"|",FIND("|",$AD911,FIND("|",$AD911)+1)+1)-FIND("|",$AD911,FIND("|",$AD911)+1)-1))</f>
        <v/>
      </c>
      <c r="AD911">
        <f>TRIM(MID(SUBSTITUTE($CA$910,"~",REPT(" ",600)),1,600))</f>
        <v/>
      </c>
    </row>
    <row r="912">
      <c r="B912" s="180">
        <f>IF($AD912="","",VALUE(LEFT($AD912,FIND("|",$AD912)-1)))</f>
        <v/>
      </c>
      <c r="C912" s="180">
        <f>IF($AD912="","","    "&amp;MID($AD912,FIND("|",$AD912)+1,FIND("|",$AD912,FIND("|",$AD912)+1)-FIND("|",$AD912)-1))</f>
        <v/>
      </c>
      <c r="D912" s="180">
        <f>IF($AD912="","",MID($AD912,FIND("|",$AD912,FIND("|",$AD912)+1)+1,FIND("|",$AD912&amp;"|",FIND("|",$AD912,FIND("|",$AD912)+1)+1)-FIND("|",$AD912,FIND("|",$AD912)+1)-1))</f>
        <v/>
      </c>
      <c r="AD912">
        <f>TRIM(MID(SUBSTITUTE($CA$910,"~",REPT(" ",600)),601,600))</f>
        <v/>
      </c>
    </row>
    <row r="913">
      <c r="B913" s="180">
        <f>IF($AD913="","",VALUE(LEFT($AD913,FIND("|",$AD913)-1)))</f>
        <v/>
      </c>
      <c r="C913" s="180">
        <f>IF($AD913="","","    "&amp;MID($AD913,FIND("|",$AD913)+1,FIND("|",$AD913,FIND("|",$AD913)+1)-FIND("|",$AD913)-1))</f>
        <v/>
      </c>
      <c r="D913" s="180">
        <f>IF($AD913="","",MID($AD913,FIND("|",$AD913,FIND("|",$AD913)+1)+1,FIND("|",$AD913&amp;"|",FIND("|",$AD913,FIND("|",$AD913)+1)+1)-FIND("|",$AD913,FIND("|",$AD913)+1)-1))</f>
        <v/>
      </c>
      <c r="AD913">
        <f>TRIM(MID(SUBSTITUTE($CA$910,"~",REPT(" ",600)),1201,600))</f>
        <v/>
      </c>
    </row>
    <row r="914">
      <c r="B914" s="180">
        <f>IF($AD914="","",VALUE(LEFT($AD914,FIND("|",$AD914)-1)))</f>
        <v/>
      </c>
      <c r="C914" s="180">
        <f>IF($AD914="","","    "&amp;MID($AD914,FIND("|",$AD914)+1,FIND("|",$AD914,FIND("|",$AD914)+1)-FIND("|",$AD914)-1))</f>
        <v/>
      </c>
      <c r="D914" s="180">
        <f>IF($AD914="","",MID($AD914,FIND("|",$AD914,FIND("|",$AD914)+1)+1,FIND("|",$AD914&amp;"|",FIND("|",$AD914,FIND("|",$AD914)+1)+1)-FIND("|",$AD914,FIND("|",$AD914)+1)-1))</f>
        <v/>
      </c>
      <c r="AD914">
        <f>TRIM(MID(SUBSTITUTE($CA$910,"~",REPT(" ",600)),1801,600))</f>
        <v/>
      </c>
    </row>
    <row r="915">
      <c r="B915" s="180">
        <f>IF($AD915="","",VALUE(LEFT($AD915,FIND("|",$AD915)-1)))</f>
        <v/>
      </c>
      <c r="C915" s="180">
        <f>IF($AD915="","","    "&amp;MID($AD915,FIND("|",$AD915)+1,FIND("|",$AD915,FIND("|",$AD915)+1)-FIND("|",$AD915)-1))</f>
        <v/>
      </c>
      <c r="D915" s="180">
        <f>IF($AD915="","",MID($AD915,FIND("|",$AD915,FIND("|",$AD915)+1)+1,FIND("|",$AD915&amp;"|",FIND("|",$AD915,FIND("|",$AD915)+1)+1)-FIND("|",$AD915,FIND("|",$AD915)+1)-1))</f>
        <v/>
      </c>
      <c r="AD915">
        <f>TRIM(MID(SUBSTITUTE($CA$910,"~",REPT(" ",600)),2401,600))</f>
        <v/>
      </c>
    </row>
    <row r="916">
      <c r="B916" s="180">
        <f>IF($AD916="","",VALUE(LEFT($AD916,FIND("|",$AD916)-1)))</f>
        <v/>
      </c>
      <c r="C916" s="180">
        <f>IF($AD916="","","    "&amp;MID($AD916,FIND("|",$AD916)+1,FIND("|",$AD916,FIND("|",$AD916)+1)-FIND("|",$AD916)-1))</f>
        <v/>
      </c>
      <c r="D916" s="180">
        <f>IF($AD916="","",MID($AD916,FIND("|",$AD916,FIND("|",$AD916)+1)+1,FIND("|",$AD916&amp;"|",FIND("|",$AD916,FIND("|",$AD916)+1)+1)-FIND("|",$AD916,FIND("|",$AD916)+1)-1))</f>
        <v/>
      </c>
      <c r="AD916">
        <f>TRIM(MID(SUBSTITUTE($CA$910,"~",REPT(" ",600)),3001,600))</f>
        <v/>
      </c>
    </row>
    <row r="917">
      <c r="B917" s="180">
        <f>IF($AD917="","",VALUE(LEFT($AD917,FIND("|",$AD917)-1)))</f>
        <v/>
      </c>
      <c r="C917" s="180">
        <f>IF($AD917="","","    "&amp;MID($AD917,FIND("|",$AD917)+1,FIND("|",$AD917,FIND("|",$AD917)+1)-FIND("|",$AD917)-1))</f>
        <v/>
      </c>
      <c r="D917" s="180">
        <f>IF($AD917="","",MID($AD917,FIND("|",$AD917,FIND("|",$AD917)+1)+1,FIND("|",$AD917&amp;"|",FIND("|",$AD917,FIND("|",$AD917)+1)+1)-FIND("|",$AD917,FIND("|",$AD917)+1)-1))</f>
        <v/>
      </c>
      <c r="AD917">
        <f>TRIM(MID(SUBSTITUTE($CA$910,"~",REPT(" ",600)),3601,600))</f>
        <v/>
      </c>
    </row>
    <row r="918">
      <c r="B918" s="180">
        <f>IF($AD918="","",VALUE(LEFT($AD918,FIND("|",$AD918)-1)))</f>
        <v/>
      </c>
      <c r="C918" s="180">
        <f>IF($AD918="","","    "&amp;MID($AD918,FIND("|",$AD918)+1,FIND("|",$AD918,FIND("|",$AD918)+1)-FIND("|",$AD918)-1))</f>
        <v/>
      </c>
      <c r="D918" s="180">
        <f>IF($AD918="","",MID($AD918,FIND("|",$AD918,FIND("|",$AD918)+1)+1,FIND("|",$AD918&amp;"|",FIND("|",$AD918,FIND("|",$AD918)+1)+1)-FIND("|",$AD918,FIND("|",$AD918)+1)-1))</f>
        <v/>
      </c>
      <c r="AD918">
        <f>TRIM(MID(SUBSTITUTE($CA$910,"~",REPT(" ",600)),4201,600))</f>
        <v/>
      </c>
    </row>
    <row r="919">
      <c r="B919" s="180">
        <f>IF($AD919="","",VALUE(LEFT($AD919,FIND("|",$AD919)-1)))</f>
        <v/>
      </c>
      <c r="C919" s="180">
        <f>IF($AD919="","","    "&amp;MID($AD919,FIND("|",$AD919)+1,FIND("|",$AD919,FIND("|",$AD919)+1)-FIND("|",$AD919)-1))</f>
        <v/>
      </c>
      <c r="D919" s="180">
        <f>IF($AD919="","",MID($AD919,FIND("|",$AD919,FIND("|",$AD919)+1)+1,FIND("|",$AD919&amp;"|",FIND("|",$AD919,FIND("|",$AD919)+1)+1)-FIND("|",$AD919,FIND("|",$AD919)+1)-1))</f>
        <v/>
      </c>
      <c r="AD919">
        <f>TRIM(MID(SUBSTITUTE($CA$910,"~",REPT(" ",600)),4801,600))</f>
        <v/>
      </c>
    </row>
    <row r="920">
      <c r="B920" s="180">
        <f>IF($AD920="","",VALUE(LEFT($AD920,FIND("|",$AD920)-1)))</f>
        <v/>
      </c>
      <c r="C920" s="180">
        <f>IF($AD920="","","    "&amp;MID($AD920,FIND("|",$AD920)+1,FIND("|",$AD920,FIND("|",$AD920)+1)-FIND("|",$AD920)-1))</f>
        <v/>
      </c>
      <c r="D920" s="180">
        <f>IF($AD920="","",MID($AD920,FIND("|",$AD920,FIND("|",$AD920)+1)+1,FIND("|",$AD920&amp;"|",FIND("|",$AD920,FIND("|",$AD920)+1)+1)-FIND("|",$AD920,FIND("|",$AD920)+1)-1))</f>
        <v/>
      </c>
      <c r="AD920">
        <f>TRIM(MID(SUBSTITUTE($CA$910,"~",REPT(" ",600)),5401,600))</f>
        <v/>
      </c>
    </row>
    <row r="921">
      <c r="B921" s="180">
        <f>IF($AD921="","",VALUE(LEFT($AD921,FIND("|",$AD921)-1)))</f>
        <v/>
      </c>
      <c r="C921" s="180">
        <f>IF($AD921="","","    "&amp;MID($AD921,FIND("|",$AD921)+1,FIND("|",$AD921,FIND("|",$AD921)+1)-FIND("|",$AD921)-1))</f>
        <v/>
      </c>
      <c r="D921" s="180">
        <f>IF($AD921="","",MID($AD921,FIND("|",$AD921,FIND("|",$AD921)+1)+1,FIND("|",$AD921&amp;"|",FIND("|",$AD921,FIND("|",$AD921)+1)+1)-FIND("|",$AD921,FIND("|",$AD921)+1)-1))</f>
        <v/>
      </c>
      <c r="AD921">
        <f>TRIM(MID(SUBSTITUTE($CA$910,"~",REPT(" ",600)),6001,600))</f>
        <v/>
      </c>
    </row>
    <row r="922">
      <c r="A922" s="178">
        <f>IF($AD$922=0,"",$BK$922)</f>
        <v/>
      </c>
      <c r="B922" s="178">
        <f>IF($AD$922=0,"",$AE$922*N($BA$922))</f>
        <v/>
      </c>
      <c r="C922" s="178">
        <f>IF($AD$922=0,"",$AE$922*N($BA$922)&amp;") "&amp;IF(COUNTIFS(tk_SODG,17,tk_HLEG,"&lt;&gt;"&amp;$BJ$922)=0,INDEX(tk_DLINE,$AD$922),INDEX(tk_DLINEN,$AD$922)))</f>
        <v/>
      </c>
      <c r="D922" s="178" t="n"/>
      <c r="E922" s="179">
        <f t="array" ref="E922">IF($AD$922=0,"",_xlfn.TEXTJOIN(", ",TRUE,IF(tk_SODG=17,"#"&amp;tk_MARK&amp;IF(tk_HLEG="","","("&amp;tk_HLEG&amp;")")&amp;IF(tk_QTY&gt;1," ×"&amp;tk_QTY,""),"")))</f>
        <v/>
      </c>
      <c r="AD922">
        <f>IFERROR(MATCH(17,tk_SODG,0),0)</f>
        <v/>
      </c>
      <c r="AE922">
        <f>IF($AD$922=0,0,SUMIF(tk_SODG,17,tk_QTY))</f>
        <v/>
      </c>
      <c r="AF922">
        <f>IF($AD$922=0,"",INDEX(tk_JAMB,$AD$922))</f>
        <v/>
      </c>
      <c r="AG922">
        <f>IF($AD$922=0,"",INDEX(tk_ANCHOR,$AD$922))</f>
        <v/>
      </c>
      <c r="AH922">
        <f>IF($AD$922=0,"",INDEX(tk_ANCH,$AD$922))</f>
        <v/>
      </c>
      <c r="AI922">
        <f>IF($AD$922=0,"",INDEX(tk_BASEA,$AD$922))</f>
        <v/>
      </c>
      <c r="AJ922">
        <f>IF($AD$922=0,"",INDEX(tk_CONSTR,$AD$922))</f>
        <v/>
      </c>
      <c r="AK922">
        <f>IF($AD$922=0,"",INDEX(tk_CLOSER,$AD$922))</f>
        <v/>
      </c>
      <c r="AL922">
        <f>IF($AD$922=0,"",INDEX(tk_STRIKE,$AD$922))</f>
        <v/>
      </c>
      <c r="AM922">
        <f>IF($AD$922=0,"",INDEX(tk_HDRPREP,$AD$922))</f>
        <v/>
      </c>
      <c r="AN922">
        <f>IF($AD$922=0,"",INDEX(tk_DMIN,$AD$922))</f>
        <v/>
      </c>
      <c r="AO922">
        <f>IF($AD$922=0,"",INDEX(tk_PAIR,$AD$922))</f>
        <v/>
      </c>
      <c r="AP922">
        <f>IF($AD$922=0,"",INDEX(tk_FGA,$AD$922))</f>
        <v/>
      </c>
      <c r="AQ922">
        <f>IF($AD$922=0,"",INDEX(tk_WI,$AD$922))</f>
        <v/>
      </c>
      <c r="AR922">
        <f>IF($AD$922=0,"",INDEX(tk_HI,$AD$922))</f>
        <v/>
      </c>
      <c r="AS922">
        <f>IF($AD$922=0,"",INDEX(tk_FHINGE,$AD$922))</f>
        <v/>
      </c>
      <c r="AT922">
        <f>IF($AD$922=0,"",INDEX(tk_DHINGE,$AD$922))</f>
        <v/>
      </c>
      <c r="AU922">
        <f>IF($AD$922=0,"",INDEX(tk_HWLOC,$AD$922))</f>
        <v/>
      </c>
      <c r="AV922">
        <f>IF($AD$922=0,"",INDEX(tk_MANUF,$AD$922))</f>
        <v/>
      </c>
      <c r="AW922">
        <f>IF($AD$922=0,"",INDEX(tk_JH,$AD$922))</f>
        <v/>
      </c>
      <c r="AX922">
        <f>IF($AD$922=0,"",INDEX(tk_FDESC,$AD$922))</f>
        <v/>
      </c>
      <c r="AY922">
        <f>IF($AD$922=0,"",INDEX(tk_TRANS,$AD$922))</f>
        <v/>
      </c>
      <c r="AZ922">
        <f>IF($AD$922=0,"",INDEX(tk_SLW,$AD$922))</f>
        <v/>
      </c>
      <c r="BA922">
        <f>IF($AD$922=0,"",INDEX(tk_LEAVES,$AD$922))</f>
        <v/>
      </c>
      <c r="BB922">
        <f>IF($AD$922=0,"",INDEX(tk_LEAFW,$AD$922))</f>
        <v/>
      </c>
      <c r="BC922">
        <f>IF($AD$922=0,"",INDEX(tk_LEAFH,$AD$922))</f>
        <v/>
      </c>
      <c r="BD922">
        <f>IF($AD$922=0,"",INDEX(tk_DMAT,$AD$922))</f>
        <v/>
      </c>
      <c r="BE922">
        <f>IF($AD$922=0,"",INDEX(tk_DGA,$AD$922))</f>
        <v/>
      </c>
      <c r="BF922">
        <f>IF($AD$922=0,"",INDEX(tk_SERIES,$AD$922))</f>
        <v/>
      </c>
      <c r="BG922">
        <f>IF($AD$922=0,"",INDEX(tk_LOCK,$AD$922))</f>
        <v/>
      </c>
      <c r="BH922">
        <f>IF($AD$922=0,"",INDEX(tk_LITEKIT,$AD$922))</f>
        <v/>
      </c>
      <c r="BI922">
        <f>IF($AD$922=0,"",INDEX(tk_FACE,$AD$922))</f>
        <v/>
      </c>
      <c r="BJ922">
        <f>IF($AD$922=0,"",INDEX(tk_HLEG,$AD$922))</f>
        <v/>
      </c>
      <c r="BK922">
        <f>IF($AD$922=0,"",INDEX(tk_SOITEM,$AD$922))</f>
        <v/>
      </c>
      <c r="BL922">
        <f>IFERROR(VLOOKUP($AF$922,CODES,2,FALSE),"")</f>
        <v/>
      </c>
      <c r="BM922">
        <f>IF($AJ$922="KD","C","M")</f>
        <v/>
      </c>
      <c r="BN922">
        <f>IF(N($AR$922)&lt;=80,80,IF(N($AR$922)&lt;=84,84,IF(N($AR$922)&lt;=96,96,N($AR$922))))</f>
        <v/>
      </c>
      <c r="BO922">
        <f>INT($BN$922/12)&amp;MOD($BN$922,12)</f>
        <v/>
      </c>
      <c r="BP922">
        <f>INT(N($AQ$922)/12)&amp;MOD(N($AQ$922),12)</f>
        <v/>
      </c>
      <c r="BQ922">
        <f>IF(OR($AU$922="",$AU$922="ANSI/SDI",$AU$922="CUSTOM LOC"),IF($AV$922="CU","CURRIES","STEELCRAFT"),$AU$922)</f>
        <v/>
      </c>
      <c r="BR922">
        <f>$AO$922="Y"</f>
        <v/>
      </c>
      <c r="BS922">
        <f>"~"</f>
        <v/>
      </c>
      <c r="BT922">
        <f>$AE$922*N($BA$922)</f>
        <v/>
      </c>
      <c r="BU922">
        <f>OR(LEFT($BD$922,3)="OAK",LEFT($BD$922,3)="BIR",LEFT($BD$922,3)="MAP",$BD$922="PC",$BD$922="MC",$BD$922="SCLC",$BD$922="P-LAM")</f>
        <v/>
      </c>
      <c r="BV922">
        <f>INT(N($AQ$922)/MAX(1,N($BA$922))/12)&amp;MOD(N($AQ$922)/MAX(1,N($BA$922)),12)</f>
        <v/>
      </c>
      <c r="BW922">
        <f>IF(OR($BG$922="G11",$BG$922="G11A",$BG$922="G12A"),"G2",IF(OR(LEFT($BG$922,2)="G3",$BG$922="G12"),"G3AEO",$BG$922))</f>
        <v/>
      </c>
      <c r="BX922">
        <f>"(Net size: "&amp;TRIM(TEXT(N($BB$922),"# ?/??"))&amp;CHAR(34)&amp;" x "&amp;TRIM(TEXT(N($BC$922),"# ?/??"))&amp;CHAR(34)&amp;")"</f>
        <v/>
      </c>
      <c r="BY922">
        <f>IF(LEFT($BD$922,3)="OAK","RED OAK",IF(LEFT($BD$922,3)="BIR","BIRCH",IF(LEFT($BD$922,3)="MAP","MAPLE","WOOD")))</f>
        <v/>
      </c>
      <c r="BZ922">
        <f>IF(OR($AT$922="U454",AND($AT$922="",$AS$922="U454")),"454","453")</f>
        <v/>
      </c>
      <c r="CA922">
        <f>IF($AD$922=0,"",IF($BU$922,$BT$922&amp;"|"&amp;$BV$922&amp;$BO$922&amp;" "&amp;$BY$922&amp;" SLAB "&amp;IF(N($AN$922)&gt;0,$AN$922&amp;" MINUTE",IF(RIGHT($BD$922,2)="MC","MC","SC")&amp;" WOOD DOOR")&amp;"|"&amp;$BX$922&amp;"|"&amp;$BS$922,$BT$922&amp;"|"&amp;$BV$922&amp;$BO$922&amp;$BW$922&amp;" BSC "&amp;$BQ$922&amp;" DOOR "&amp;$BE$922&amp;"Ga. Non-Handed "&amp;IF($BF$922="","707",$BF$922)&amp;"S Flush HM|"&amp;$BX$922&amp;"|"&amp;$BS$922)&amp;IF(N($AN$922)&gt;0,$BT$922&amp;"|"&amp;$AN$922&amp;IF($BU$922," MINUTE WARNOCK HERSHEY FIRE RATED WOOD LABEL"," MINUTE FOAM CORE STEEL DOOR LABEL (MODELS 607 &amp; 707)")&amp;"||"&amp;$BS$922,"")&amp;IF(AND(NOT($BU$922),OR($BG$922="G11",$BG$922="G11A",$BG$922="G12",$BG$922="G12A")),$AE$922&amp;"|EXIT DEVICE PREP FOR HM DOOR||"&amp;$BS$922,"")&amp;IF(AND(NOT($BU$922),$BG$922="G12"),$AE$922&amp;"|DR 350 MORTISE LOCK FILLER PLATE||"&amp;$BS$922,"")&amp;IF(AND(NOT($BU$922),LEFT($BG$922,2)="G3"),$AE$922&amp;"|MORTISE LOCK PREP||"&amp;$BS$922,"")&amp;IF($BU$922,$BT$922&amp;"|"&amp;IF($BG$922="G18",$BZ$922&amp;"-4 1/2"&amp;CHAR(34)&amp;"X4 1/2"&amp;CHAR(34)&amp;" HINGES ONLY PREP","HINGE PREP "&amp;$BZ$922&amp;" WITH LOCK PREP")&amp;"|"&amp;$BQ$922&amp;" LOC|"&amp;$BS$922,"")&amp;IF(OR($BG$922="G2G2",$BG$922="G17",$BG$922="E1E4"),$AE$922&amp;"|"&amp;IF($BU$922,"DDLP CYLINDRICAL DEADLOCK PREP","DOOR DEADLOCK PREP")&amp;"||"&amp;$BS$922,"")&amp;IF(OR($BH$922="FG",$BH$922="HG",$BH$922="FNV",$BH$922="FV"),$BT$922&amp;"|"&amp;$BI$922&amp;" LITE KIT||"&amp;$BS$922,IF($BH$922="FL",$BT$922&amp;"|"&amp;$BI$922&amp;" LOUVER||"&amp;$BS$922,IF($BH$922="FP",$BT$922&amp;"|DVP DOOR VIEWER PREP||"&amp;$BS$922,"")))&amp;IF($BN$922&gt;N($AR$922),$BT$922&amp;"|DCO DOOR CUT DOWN ONLY (HEIGHT)|Cut "&amp;TRIM(TEXT($BN$922-N($AR$922),"# ?/??"))&amp;CHAR(34)&amp;" OFF THE BOTTOM|"&amp;$BS$922,""))</f>
        <v/>
      </c>
    </row>
    <row r="923">
      <c r="B923" s="180">
        <f>IF($AD923="","",VALUE(LEFT($AD923,FIND("|",$AD923)-1)))</f>
        <v/>
      </c>
      <c r="C923" s="180">
        <f>IF($AD923="","","    "&amp;MID($AD923,FIND("|",$AD923)+1,FIND("|",$AD923,FIND("|",$AD923)+1)-FIND("|",$AD923)-1))</f>
        <v/>
      </c>
      <c r="D923" s="180">
        <f>IF($AD923="","",MID($AD923,FIND("|",$AD923,FIND("|",$AD923)+1)+1,FIND("|",$AD923&amp;"|",FIND("|",$AD923,FIND("|",$AD923)+1)+1)-FIND("|",$AD923,FIND("|",$AD923)+1)-1))</f>
        <v/>
      </c>
      <c r="AD923">
        <f>TRIM(MID(SUBSTITUTE($CA$922,"~",REPT(" ",600)),1,600))</f>
        <v/>
      </c>
    </row>
    <row r="924">
      <c r="B924" s="180">
        <f>IF($AD924="","",VALUE(LEFT($AD924,FIND("|",$AD924)-1)))</f>
        <v/>
      </c>
      <c r="C924" s="180">
        <f>IF($AD924="","","    "&amp;MID($AD924,FIND("|",$AD924)+1,FIND("|",$AD924,FIND("|",$AD924)+1)-FIND("|",$AD924)-1))</f>
        <v/>
      </c>
      <c r="D924" s="180">
        <f>IF($AD924="","",MID($AD924,FIND("|",$AD924,FIND("|",$AD924)+1)+1,FIND("|",$AD924&amp;"|",FIND("|",$AD924,FIND("|",$AD924)+1)+1)-FIND("|",$AD924,FIND("|",$AD924)+1)-1))</f>
        <v/>
      </c>
      <c r="AD924">
        <f>TRIM(MID(SUBSTITUTE($CA$922,"~",REPT(" ",600)),601,600))</f>
        <v/>
      </c>
    </row>
    <row r="925">
      <c r="B925" s="180">
        <f>IF($AD925="","",VALUE(LEFT($AD925,FIND("|",$AD925)-1)))</f>
        <v/>
      </c>
      <c r="C925" s="180">
        <f>IF($AD925="","","    "&amp;MID($AD925,FIND("|",$AD925)+1,FIND("|",$AD925,FIND("|",$AD925)+1)-FIND("|",$AD925)-1))</f>
        <v/>
      </c>
      <c r="D925" s="180">
        <f>IF($AD925="","",MID($AD925,FIND("|",$AD925,FIND("|",$AD925)+1)+1,FIND("|",$AD925&amp;"|",FIND("|",$AD925,FIND("|",$AD925)+1)+1)-FIND("|",$AD925,FIND("|",$AD925)+1)-1))</f>
        <v/>
      </c>
      <c r="AD925">
        <f>TRIM(MID(SUBSTITUTE($CA$922,"~",REPT(" ",600)),1201,600))</f>
        <v/>
      </c>
    </row>
    <row r="926">
      <c r="B926" s="180">
        <f>IF($AD926="","",VALUE(LEFT($AD926,FIND("|",$AD926)-1)))</f>
        <v/>
      </c>
      <c r="C926" s="180">
        <f>IF($AD926="","","    "&amp;MID($AD926,FIND("|",$AD926)+1,FIND("|",$AD926,FIND("|",$AD926)+1)-FIND("|",$AD926)-1))</f>
        <v/>
      </c>
      <c r="D926" s="180">
        <f>IF($AD926="","",MID($AD926,FIND("|",$AD926,FIND("|",$AD926)+1)+1,FIND("|",$AD926&amp;"|",FIND("|",$AD926,FIND("|",$AD926)+1)+1)-FIND("|",$AD926,FIND("|",$AD926)+1)-1))</f>
        <v/>
      </c>
      <c r="AD926">
        <f>TRIM(MID(SUBSTITUTE($CA$922,"~",REPT(" ",600)),1801,600))</f>
        <v/>
      </c>
    </row>
    <row r="927">
      <c r="B927" s="180">
        <f>IF($AD927="","",VALUE(LEFT($AD927,FIND("|",$AD927)-1)))</f>
        <v/>
      </c>
      <c r="C927" s="180">
        <f>IF($AD927="","","    "&amp;MID($AD927,FIND("|",$AD927)+1,FIND("|",$AD927,FIND("|",$AD927)+1)-FIND("|",$AD927)-1))</f>
        <v/>
      </c>
      <c r="D927" s="180">
        <f>IF($AD927="","",MID($AD927,FIND("|",$AD927,FIND("|",$AD927)+1)+1,FIND("|",$AD927&amp;"|",FIND("|",$AD927,FIND("|",$AD927)+1)+1)-FIND("|",$AD927,FIND("|",$AD927)+1)-1))</f>
        <v/>
      </c>
      <c r="AD927">
        <f>TRIM(MID(SUBSTITUTE($CA$922,"~",REPT(" ",600)),2401,600))</f>
        <v/>
      </c>
    </row>
    <row r="928">
      <c r="B928" s="180">
        <f>IF($AD928="","",VALUE(LEFT($AD928,FIND("|",$AD928)-1)))</f>
        <v/>
      </c>
      <c r="C928" s="180">
        <f>IF($AD928="","","    "&amp;MID($AD928,FIND("|",$AD928)+1,FIND("|",$AD928,FIND("|",$AD928)+1)-FIND("|",$AD928)-1))</f>
        <v/>
      </c>
      <c r="D928" s="180">
        <f>IF($AD928="","",MID($AD928,FIND("|",$AD928,FIND("|",$AD928)+1)+1,FIND("|",$AD928&amp;"|",FIND("|",$AD928,FIND("|",$AD928)+1)+1)-FIND("|",$AD928,FIND("|",$AD928)+1)-1))</f>
        <v/>
      </c>
      <c r="AD928">
        <f>TRIM(MID(SUBSTITUTE($CA$922,"~",REPT(" ",600)),3001,600))</f>
        <v/>
      </c>
    </row>
    <row r="929">
      <c r="B929" s="180">
        <f>IF($AD929="","",VALUE(LEFT($AD929,FIND("|",$AD929)-1)))</f>
        <v/>
      </c>
      <c r="C929" s="180">
        <f>IF($AD929="","","    "&amp;MID($AD929,FIND("|",$AD929)+1,FIND("|",$AD929,FIND("|",$AD929)+1)-FIND("|",$AD929)-1))</f>
        <v/>
      </c>
      <c r="D929" s="180">
        <f>IF($AD929="","",MID($AD929,FIND("|",$AD929,FIND("|",$AD929)+1)+1,FIND("|",$AD929&amp;"|",FIND("|",$AD929,FIND("|",$AD929)+1)+1)-FIND("|",$AD929,FIND("|",$AD929)+1)-1))</f>
        <v/>
      </c>
      <c r="AD929">
        <f>TRIM(MID(SUBSTITUTE($CA$922,"~",REPT(" ",600)),3601,600))</f>
        <v/>
      </c>
    </row>
    <row r="930">
      <c r="B930" s="180">
        <f>IF($AD930="","",VALUE(LEFT($AD930,FIND("|",$AD930)-1)))</f>
        <v/>
      </c>
      <c r="C930" s="180">
        <f>IF($AD930="","","    "&amp;MID($AD930,FIND("|",$AD930)+1,FIND("|",$AD930,FIND("|",$AD930)+1)-FIND("|",$AD930)-1))</f>
        <v/>
      </c>
      <c r="D930" s="180">
        <f>IF($AD930="","",MID($AD930,FIND("|",$AD930,FIND("|",$AD930)+1)+1,FIND("|",$AD930&amp;"|",FIND("|",$AD930,FIND("|",$AD930)+1)+1)-FIND("|",$AD930,FIND("|",$AD930)+1)-1))</f>
        <v/>
      </c>
      <c r="AD930">
        <f>TRIM(MID(SUBSTITUTE($CA$922,"~",REPT(" ",600)),4201,600))</f>
        <v/>
      </c>
    </row>
    <row r="931">
      <c r="B931" s="180">
        <f>IF($AD931="","",VALUE(LEFT($AD931,FIND("|",$AD931)-1)))</f>
        <v/>
      </c>
      <c r="C931" s="180">
        <f>IF($AD931="","","    "&amp;MID($AD931,FIND("|",$AD931)+1,FIND("|",$AD931,FIND("|",$AD931)+1)-FIND("|",$AD931)-1))</f>
        <v/>
      </c>
      <c r="D931" s="180">
        <f>IF($AD931="","",MID($AD931,FIND("|",$AD931,FIND("|",$AD931)+1)+1,FIND("|",$AD931&amp;"|",FIND("|",$AD931,FIND("|",$AD931)+1)+1)-FIND("|",$AD931,FIND("|",$AD931)+1)-1))</f>
        <v/>
      </c>
      <c r="AD931">
        <f>TRIM(MID(SUBSTITUTE($CA$922,"~",REPT(" ",600)),4801,600))</f>
        <v/>
      </c>
    </row>
    <row r="932">
      <c r="B932" s="180">
        <f>IF($AD932="","",VALUE(LEFT($AD932,FIND("|",$AD932)-1)))</f>
        <v/>
      </c>
      <c r="C932" s="180">
        <f>IF($AD932="","","    "&amp;MID($AD932,FIND("|",$AD932)+1,FIND("|",$AD932,FIND("|",$AD932)+1)-FIND("|",$AD932)-1))</f>
        <v/>
      </c>
      <c r="D932" s="180">
        <f>IF($AD932="","",MID($AD932,FIND("|",$AD932,FIND("|",$AD932)+1)+1,FIND("|",$AD932&amp;"|",FIND("|",$AD932,FIND("|",$AD932)+1)+1)-FIND("|",$AD932,FIND("|",$AD932)+1)-1))</f>
        <v/>
      </c>
      <c r="AD932">
        <f>TRIM(MID(SUBSTITUTE($CA$922,"~",REPT(" ",600)),5401,600))</f>
        <v/>
      </c>
    </row>
    <row r="933">
      <c r="B933" s="180">
        <f>IF($AD933="","",VALUE(LEFT($AD933,FIND("|",$AD933)-1)))</f>
        <v/>
      </c>
      <c r="C933" s="180">
        <f>IF($AD933="","","    "&amp;MID($AD933,FIND("|",$AD933)+1,FIND("|",$AD933,FIND("|",$AD933)+1)-FIND("|",$AD933)-1))</f>
        <v/>
      </c>
      <c r="D933" s="180">
        <f>IF($AD933="","",MID($AD933,FIND("|",$AD933,FIND("|",$AD933)+1)+1,FIND("|",$AD933&amp;"|",FIND("|",$AD933,FIND("|",$AD933)+1)+1)-FIND("|",$AD933,FIND("|",$AD933)+1)-1))</f>
        <v/>
      </c>
      <c r="AD933">
        <f>TRIM(MID(SUBSTITUTE($CA$922,"~",REPT(" ",600)),6001,600))</f>
        <v/>
      </c>
    </row>
    <row r="934">
      <c r="A934" s="178">
        <f>IF($AD$934=0,"",$BK$934)</f>
        <v/>
      </c>
      <c r="B934" s="178">
        <f>IF($AD$934=0,"",$AE$934*N($BA$934))</f>
        <v/>
      </c>
      <c r="C934" s="178">
        <f>IF($AD$934=0,"",$AE$934*N($BA$934)&amp;") "&amp;IF(COUNTIFS(tk_SODG,18,tk_HLEG,"&lt;&gt;"&amp;$BJ$934)=0,INDEX(tk_DLINE,$AD$934),INDEX(tk_DLINEN,$AD$934)))</f>
        <v/>
      </c>
      <c r="D934" s="178" t="n"/>
      <c r="E934" s="179">
        <f t="array" ref="E934">IF($AD$934=0,"",_xlfn.TEXTJOIN(", ",TRUE,IF(tk_SODG=18,"#"&amp;tk_MARK&amp;IF(tk_HLEG="","","("&amp;tk_HLEG&amp;")")&amp;IF(tk_QTY&gt;1," ×"&amp;tk_QTY,""),"")))</f>
        <v/>
      </c>
      <c r="AD934">
        <f>IFERROR(MATCH(18,tk_SODG,0),0)</f>
        <v/>
      </c>
      <c r="AE934">
        <f>IF($AD$934=0,0,SUMIF(tk_SODG,18,tk_QTY))</f>
        <v/>
      </c>
      <c r="AF934">
        <f>IF($AD$934=0,"",INDEX(tk_JAMB,$AD$934))</f>
        <v/>
      </c>
      <c r="AG934">
        <f>IF($AD$934=0,"",INDEX(tk_ANCHOR,$AD$934))</f>
        <v/>
      </c>
      <c r="AH934">
        <f>IF($AD$934=0,"",INDEX(tk_ANCH,$AD$934))</f>
        <v/>
      </c>
      <c r="AI934">
        <f>IF($AD$934=0,"",INDEX(tk_BASEA,$AD$934))</f>
        <v/>
      </c>
      <c r="AJ934">
        <f>IF($AD$934=0,"",INDEX(tk_CONSTR,$AD$934))</f>
        <v/>
      </c>
      <c r="AK934">
        <f>IF($AD$934=0,"",INDEX(tk_CLOSER,$AD$934))</f>
        <v/>
      </c>
      <c r="AL934">
        <f>IF($AD$934=0,"",INDEX(tk_STRIKE,$AD$934))</f>
        <v/>
      </c>
      <c r="AM934">
        <f>IF($AD$934=0,"",INDEX(tk_HDRPREP,$AD$934))</f>
        <v/>
      </c>
      <c r="AN934">
        <f>IF($AD$934=0,"",INDEX(tk_DMIN,$AD$934))</f>
        <v/>
      </c>
      <c r="AO934">
        <f>IF($AD$934=0,"",INDEX(tk_PAIR,$AD$934))</f>
        <v/>
      </c>
      <c r="AP934">
        <f>IF($AD$934=0,"",INDEX(tk_FGA,$AD$934))</f>
        <v/>
      </c>
      <c r="AQ934">
        <f>IF($AD$934=0,"",INDEX(tk_WI,$AD$934))</f>
        <v/>
      </c>
      <c r="AR934">
        <f>IF($AD$934=0,"",INDEX(tk_HI,$AD$934))</f>
        <v/>
      </c>
      <c r="AS934">
        <f>IF($AD$934=0,"",INDEX(tk_FHINGE,$AD$934))</f>
        <v/>
      </c>
      <c r="AT934">
        <f>IF($AD$934=0,"",INDEX(tk_DHINGE,$AD$934))</f>
        <v/>
      </c>
      <c r="AU934">
        <f>IF($AD$934=0,"",INDEX(tk_HWLOC,$AD$934))</f>
        <v/>
      </c>
      <c r="AV934">
        <f>IF($AD$934=0,"",INDEX(tk_MANUF,$AD$934))</f>
        <v/>
      </c>
      <c r="AW934">
        <f>IF($AD$934=0,"",INDEX(tk_JH,$AD$934))</f>
        <v/>
      </c>
      <c r="AX934">
        <f>IF($AD$934=0,"",INDEX(tk_FDESC,$AD$934))</f>
        <v/>
      </c>
      <c r="AY934">
        <f>IF($AD$934=0,"",INDEX(tk_TRANS,$AD$934))</f>
        <v/>
      </c>
      <c r="AZ934">
        <f>IF($AD$934=0,"",INDEX(tk_SLW,$AD$934))</f>
        <v/>
      </c>
      <c r="BA934">
        <f>IF($AD$934=0,"",INDEX(tk_LEAVES,$AD$934))</f>
        <v/>
      </c>
      <c r="BB934">
        <f>IF($AD$934=0,"",INDEX(tk_LEAFW,$AD$934))</f>
        <v/>
      </c>
      <c r="BC934">
        <f>IF($AD$934=0,"",INDEX(tk_LEAFH,$AD$934))</f>
        <v/>
      </c>
      <c r="BD934">
        <f>IF($AD$934=0,"",INDEX(tk_DMAT,$AD$934))</f>
        <v/>
      </c>
      <c r="BE934">
        <f>IF($AD$934=0,"",INDEX(tk_DGA,$AD$934))</f>
        <v/>
      </c>
      <c r="BF934">
        <f>IF($AD$934=0,"",INDEX(tk_SERIES,$AD$934))</f>
        <v/>
      </c>
      <c r="BG934">
        <f>IF($AD$934=0,"",INDEX(tk_LOCK,$AD$934))</f>
        <v/>
      </c>
      <c r="BH934">
        <f>IF($AD$934=0,"",INDEX(tk_LITEKIT,$AD$934))</f>
        <v/>
      </c>
      <c r="BI934">
        <f>IF($AD$934=0,"",INDEX(tk_FACE,$AD$934))</f>
        <v/>
      </c>
      <c r="BJ934">
        <f>IF($AD$934=0,"",INDEX(tk_HLEG,$AD$934))</f>
        <v/>
      </c>
      <c r="BK934">
        <f>IF($AD$934=0,"",INDEX(tk_SOITEM,$AD$934))</f>
        <v/>
      </c>
      <c r="BL934">
        <f>IFERROR(VLOOKUP($AF$934,CODES,2,FALSE),"")</f>
        <v/>
      </c>
      <c r="BM934">
        <f>IF($AJ$934="KD","C","M")</f>
        <v/>
      </c>
      <c r="BN934">
        <f>IF(N($AR$934)&lt;=80,80,IF(N($AR$934)&lt;=84,84,IF(N($AR$934)&lt;=96,96,N($AR$934))))</f>
        <v/>
      </c>
      <c r="BO934">
        <f>INT($BN$934/12)&amp;MOD($BN$934,12)</f>
        <v/>
      </c>
      <c r="BP934">
        <f>INT(N($AQ$934)/12)&amp;MOD(N($AQ$934),12)</f>
        <v/>
      </c>
      <c r="BQ934">
        <f>IF(OR($AU$934="",$AU$934="ANSI/SDI",$AU$934="CUSTOM LOC"),IF($AV$934="CU","CURRIES","STEELCRAFT"),$AU$934)</f>
        <v/>
      </c>
      <c r="BR934">
        <f>$AO$934="Y"</f>
        <v/>
      </c>
      <c r="BS934">
        <f>"~"</f>
        <v/>
      </c>
      <c r="BT934">
        <f>$AE$934*N($BA$934)</f>
        <v/>
      </c>
      <c r="BU934">
        <f>OR(LEFT($BD$934,3)="OAK",LEFT($BD$934,3)="BIR",LEFT($BD$934,3)="MAP",$BD$934="PC",$BD$934="MC",$BD$934="SCLC",$BD$934="P-LAM")</f>
        <v/>
      </c>
      <c r="BV934">
        <f>INT(N($AQ$934)/MAX(1,N($BA$934))/12)&amp;MOD(N($AQ$934)/MAX(1,N($BA$934)),12)</f>
        <v/>
      </c>
      <c r="BW934">
        <f>IF(OR($BG$934="G11",$BG$934="G11A",$BG$934="G12A"),"G2",IF(OR(LEFT($BG$934,2)="G3",$BG$934="G12"),"G3AEO",$BG$934))</f>
        <v/>
      </c>
      <c r="BX934">
        <f>"(Net size: "&amp;TRIM(TEXT(N($BB$934),"# ?/??"))&amp;CHAR(34)&amp;" x "&amp;TRIM(TEXT(N($BC$934),"# ?/??"))&amp;CHAR(34)&amp;")"</f>
        <v/>
      </c>
      <c r="BY934">
        <f>IF(LEFT($BD$934,3)="OAK","RED OAK",IF(LEFT($BD$934,3)="BIR","BIRCH",IF(LEFT($BD$934,3)="MAP","MAPLE","WOOD")))</f>
        <v/>
      </c>
      <c r="BZ934">
        <f>IF(OR($AT$934="U454",AND($AT$934="",$AS$934="U454")),"454","453")</f>
        <v/>
      </c>
      <c r="CA934">
        <f>IF($AD$934=0,"",IF($BU$934,$BT$934&amp;"|"&amp;$BV$934&amp;$BO$934&amp;" "&amp;$BY$934&amp;" SLAB "&amp;IF(N($AN$934)&gt;0,$AN$934&amp;" MINUTE",IF(RIGHT($BD$934,2)="MC","MC","SC")&amp;" WOOD DOOR")&amp;"|"&amp;$BX$934&amp;"|"&amp;$BS$934,$BT$934&amp;"|"&amp;$BV$934&amp;$BO$934&amp;$BW$934&amp;" BSC "&amp;$BQ$934&amp;" DOOR "&amp;$BE$934&amp;"Ga. Non-Handed "&amp;IF($BF$934="","707",$BF$934)&amp;"S Flush HM|"&amp;$BX$934&amp;"|"&amp;$BS$934)&amp;IF(N($AN$934)&gt;0,$BT$934&amp;"|"&amp;$AN$934&amp;IF($BU$934," MINUTE WARNOCK HERSHEY FIRE RATED WOOD LABEL"," MINUTE FOAM CORE STEEL DOOR LABEL (MODELS 607 &amp; 707)")&amp;"||"&amp;$BS$934,"")&amp;IF(AND(NOT($BU$934),OR($BG$934="G11",$BG$934="G11A",$BG$934="G12",$BG$934="G12A")),$AE$934&amp;"|EXIT DEVICE PREP FOR HM DOOR||"&amp;$BS$934,"")&amp;IF(AND(NOT($BU$934),$BG$934="G12"),$AE$934&amp;"|DR 350 MORTISE LOCK FILLER PLATE||"&amp;$BS$934,"")&amp;IF(AND(NOT($BU$934),LEFT($BG$934,2)="G3"),$AE$934&amp;"|MORTISE LOCK PREP||"&amp;$BS$934,"")&amp;IF($BU$934,$BT$934&amp;"|"&amp;IF($BG$934="G18",$BZ$934&amp;"-4 1/2"&amp;CHAR(34)&amp;"X4 1/2"&amp;CHAR(34)&amp;" HINGES ONLY PREP","HINGE PREP "&amp;$BZ$934&amp;" WITH LOCK PREP")&amp;"|"&amp;$BQ$934&amp;" LOC|"&amp;$BS$934,"")&amp;IF(OR($BG$934="G2G2",$BG$934="G17",$BG$934="E1E4"),$AE$934&amp;"|"&amp;IF($BU$934,"DDLP CYLINDRICAL DEADLOCK PREP","DOOR DEADLOCK PREP")&amp;"||"&amp;$BS$934,"")&amp;IF(OR($BH$934="FG",$BH$934="HG",$BH$934="FNV",$BH$934="FV"),$BT$934&amp;"|"&amp;$BI$934&amp;" LITE KIT||"&amp;$BS$934,IF($BH$934="FL",$BT$934&amp;"|"&amp;$BI$934&amp;" LOUVER||"&amp;$BS$934,IF($BH$934="FP",$BT$934&amp;"|DVP DOOR VIEWER PREP||"&amp;$BS$934,"")))&amp;IF($BN$934&gt;N($AR$934),$BT$934&amp;"|DCO DOOR CUT DOWN ONLY (HEIGHT)|Cut "&amp;TRIM(TEXT($BN$934-N($AR$934),"# ?/??"))&amp;CHAR(34)&amp;" OFF THE BOTTOM|"&amp;$BS$934,""))</f>
        <v/>
      </c>
    </row>
    <row r="935">
      <c r="B935" s="180">
        <f>IF($AD935="","",VALUE(LEFT($AD935,FIND("|",$AD935)-1)))</f>
        <v/>
      </c>
      <c r="C935" s="180">
        <f>IF($AD935="","","    "&amp;MID($AD935,FIND("|",$AD935)+1,FIND("|",$AD935,FIND("|",$AD935)+1)-FIND("|",$AD935)-1))</f>
        <v/>
      </c>
      <c r="D935" s="180">
        <f>IF($AD935="","",MID($AD935,FIND("|",$AD935,FIND("|",$AD935)+1)+1,FIND("|",$AD935&amp;"|",FIND("|",$AD935,FIND("|",$AD935)+1)+1)-FIND("|",$AD935,FIND("|",$AD935)+1)-1))</f>
        <v/>
      </c>
      <c r="AD935">
        <f>TRIM(MID(SUBSTITUTE($CA$934,"~",REPT(" ",600)),1,600))</f>
        <v/>
      </c>
    </row>
    <row r="936">
      <c r="B936" s="180">
        <f>IF($AD936="","",VALUE(LEFT($AD936,FIND("|",$AD936)-1)))</f>
        <v/>
      </c>
      <c r="C936" s="180">
        <f>IF($AD936="","","    "&amp;MID($AD936,FIND("|",$AD936)+1,FIND("|",$AD936,FIND("|",$AD936)+1)-FIND("|",$AD936)-1))</f>
        <v/>
      </c>
      <c r="D936" s="180">
        <f>IF($AD936="","",MID($AD936,FIND("|",$AD936,FIND("|",$AD936)+1)+1,FIND("|",$AD936&amp;"|",FIND("|",$AD936,FIND("|",$AD936)+1)+1)-FIND("|",$AD936,FIND("|",$AD936)+1)-1))</f>
        <v/>
      </c>
      <c r="AD936">
        <f>TRIM(MID(SUBSTITUTE($CA$934,"~",REPT(" ",600)),601,600))</f>
        <v/>
      </c>
    </row>
    <row r="937">
      <c r="B937" s="180">
        <f>IF($AD937="","",VALUE(LEFT($AD937,FIND("|",$AD937)-1)))</f>
        <v/>
      </c>
      <c r="C937" s="180">
        <f>IF($AD937="","","    "&amp;MID($AD937,FIND("|",$AD937)+1,FIND("|",$AD937,FIND("|",$AD937)+1)-FIND("|",$AD937)-1))</f>
        <v/>
      </c>
      <c r="D937" s="180">
        <f>IF($AD937="","",MID($AD937,FIND("|",$AD937,FIND("|",$AD937)+1)+1,FIND("|",$AD937&amp;"|",FIND("|",$AD937,FIND("|",$AD937)+1)+1)-FIND("|",$AD937,FIND("|",$AD937)+1)-1))</f>
        <v/>
      </c>
      <c r="AD937">
        <f>TRIM(MID(SUBSTITUTE($CA$934,"~",REPT(" ",600)),1201,600))</f>
        <v/>
      </c>
    </row>
    <row r="938">
      <c r="B938" s="180">
        <f>IF($AD938="","",VALUE(LEFT($AD938,FIND("|",$AD938)-1)))</f>
        <v/>
      </c>
      <c r="C938" s="180">
        <f>IF($AD938="","","    "&amp;MID($AD938,FIND("|",$AD938)+1,FIND("|",$AD938,FIND("|",$AD938)+1)-FIND("|",$AD938)-1))</f>
        <v/>
      </c>
      <c r="D938" s="180">
        <f>IF($AD938="","",MID($AD938,FIND("|",$AD938,FIND("|",$AD938)+1)+1,FIND("|",$AD938&amp;"|",FIND("|",$AD938,FIND("|",$AD938)+1)+1)-FIND("|",$AD938,FIND("|",$AD938)+1)-1))</f>
        <v/>
      </c>
      <c r="AD938">
        <f>TRIM(MID(SUBSTITUTE($CA$934,"~",REPT(" ",600)),1801,600))</f>
        <v/>
      </c>
    </row>
    <row r="939">
      <c r="B939" s="180">
        <f>IF($AD939="","",VALUE(LEFT($AD939,FIND("|",$AD939)-1)))</f>
        <v/>
      </c>
      <c r="C939" s="180">
        <f>IF($AD939="","","    "&amp;MID($AD939,FIND("|",$AD939)+1,FIND("|",$AD939,FIND("|",$AD939)+1)-FIND("|",$AD939)-1))</f>
        <v/>
      </c>
      <c r="D939" s="180">
        <f>IF($AD939="","",MID($AD939,FIND("|",$AD939,FIND("|",$AD939)+1)+1,FIND("|",$AD939&amp;"|",FIND("|",$AD939,FIND("|",$AD939)+1)+1)-FIND("|",$AD939,FIND("|",$AD939)+1)-1))</f>
        <v/>
      </c>
      <c r="AD939">
        <f>TRIM(MID(SUBSTITUTE($CA$934,"~",REPT(" ",600)),2401,600))</f>
        <v/>
      </c>
    </row>
    <row r="940">
      <c r="B940" s="180">
        <f>IF($AD940="","",VALUE(LEFT($AD940,FIND("|",$AD940)-1)))</f>
        <v/>
      </c>
      <c r="C940" s="180">
        <f>IF($AD940="","","    "&amp;MID($AD940,FIND("|",$AD940)+1,FIND("|",$AD940,FIND("|",$AD940)+1)-FIND("|",$AD940)-1))</f>
        <v/>
      </c>
      <c r="D940" s="180">
        <f>IF($AD940="","",MID($AD940,FIND("|",$AD940,FIND("|",$AD940)+1)+1,FIND("|",$AD940&amp;"|",FIND("|",$AD940,FIND("|",$AD940)+1)+1)-FIND("|",$AD940,FIND("|",$AD940)+1)-1))</f>
        <v/>
      </c>
      <c r="AD940">
        <f>TRIM(MID(SUBSTITUTE($CA$934,"~",REPT(" ",600)),3001,600))</f>
        <v/>
      </c>
    </row>
    <row r="941">
      <c r="B941" s="180">
        <f>IF($AD941="","",VALUE(LEFT($AD941,FIND("|",$AD941)-1)))</f>
        <v/>
      </c>
      <c r="C941" s="180">
        <f>IF($AD941="","","    "&amp;MID($AD941,FIND("|",$AD941)+1,FIND("|",$AD941,FIND("|",$AD941)+1)-FIND("|",$AD941)-1))</f>
        <v/>
      </c>
      <c r="D941" s="180">
        <f>IF($AD941="","",MID($AD941,FIND("|",$AD941,FIND("|",$AD941)+1)+1,FIND("|",$AD941&amp;"|",FIND("|",$AD941,FIND("|",$AD941)+1)+1)-FIND("|",$AD941,FIND("|",$AD941)+1)-1))</f>
        <v/>
      </c>
      <c r="AD941">
        <f>TRIM(MID(SUBSTITUTE($CA$934,"~",REPT(" ",600)),3601,600))</f>
        <v/>
      </c>
    </row>
    <row r="942">
      <c r="B942" s="180">
        <f>IF($AD942="","",VALUE(LEFT($AD942,FIND("|",$AD942)-1)))</f>
        <v/>
      </c>
      <c r="C942" s="180">
        <f>IF($AD942="","","    "&amp;MID($AD942,FIND("|",$AD942)+1,FIND("|",$AD942,FIND("|",$AD942)+1)-FIND("|",$AD942)-1))</f>
        <v/>
      </c>
      <c r="D942" s="180">
        <f>IF($AD942="","",MID($AD942,FIND("|",$AD942,FIND("|",$AD942)+1)+1,FIND("|",$AD942&amp;"|",FIND("|",$AD942,FIND("|",$AD942)+1)+1)-FIND("|",$AD942,FIND("|",$AD942)+1)-1))</f>
        <v/>
      </c>
      <c r="AD942">
        <f>TRIM(MID(SUBSTITUTE($CA$934,"~",REPT(" ",600)),4201,600))</f>
        <v/>
      </c>
    </row>
    <row r="943">
      <c r="B943" s="180">
        <f>IF($AD943="","",VALUE(LEFT($AD943,FIND("|",$AD943)-1)))</f>
        <v/>
      </c>
      <c r="C943" s="180">
        <f>IF($AD943="","","    "&amp;MID($AD943,FIND("|",$AD943)+1,FIND("|",$AD943,FIND("|",$AD943)+1)-FIND("|",$AD943)-1))</f>
        <v/>
      </c>
      <c r="D943" s="180">
        <f>IF($AD943="","",MID($AD943,FIND("|",$AD943,FIND("|",$AD943)+1)+1,FIND("|",$AD943&amp;"|",FIND("|",$AD943,FIND("|",$AD943)+1)+1)-FIND("|",$AD943,FIND("|",$AD943)+1)-1))</f>
        <v/>
      </c>
      <c r="AD943">
        <f>TRIM(MID(SUBSTITUTE($CA$934,"~",REPT(" ",600)),4801,600))</f>
        <v/>
      </c>
    </row>
    <row r="944">
      <c r="B944" s="180">
        <f>IF($AD944="","",VALUE(LEFT($AD944,FIND("|",$AD944)-1)))</f>
        <v/>
      </c>
      <c r="C944" s="180">
        <f>IF($AD944="","","    "&amp;MID($AD944,FIND("|",$AD944)+1,FIND("|",$AD944,FIND("|",$AD944)+1)-FIND("|",$AD944)-1))</f>
        <v/>
      </c>
      <c r="D944" s="180">
        <f>IF($AD944="","",MID($AD944,FIND("|",$AD944,FIND("|",$AD944)+1)+1,FIND("|",$AD944&amp;"|",FIND("|",$AD944,FIND("|",$AD944)+1)+1)-FIND("|",$AD944,FIND("|",$AD944)+1)-1))</f>
        <v/>
      </c>
      <c r="AD944">
        <f>TRIM(MID(SUBSTITUTE($CA$934,"~",REPT(" ",600)),5401,600))</f>
        <v/>
      </c>
    </row>
    <row r="945">
      <c r="B945" s="180">
        <f>IF($AD945="","",VALUE(LEFT($AD945,FIND("|",$AD945)-1)))</f>
        <v/>
      </c>
      <c r="C945" s="180">
        <f>IF($AD945="","","    "&amp;MID($AD945,FIND("|",$AD945)+1,FIND("|",$AD945,FIND("|",$AD945)+1)-FIND("|",$AD945)-1))</f>
        <v/>
      </c>
      <c r="D945" s="180">
        <f>IF($AD945="","",MID($AD945,FIND("|",$AD945,FIND("|",$AD945)+1)+1,FIND("|",$AD945&amp;"|",FIND("|",$AD945,FIND("|",$AD945)+1)+1)-FIND("|",$AD945,FIND("|",$AD945)+1)-1))</f>
        <v/>
      </c>
      <c r="AD945">
        <f>TRIM(MID(SUBSTITUTE($CA$934,"~",REPT(" ",600)),6001,600))</f>
        <v/>
      </c>
    </row>
    <row r="946">
      <c r="A946" s="178">
        <f>IF($AD$946=0,"",$BK$946)</f>
        <v/>
      </c>
      <c r="B946" s="178">
        <f>IF($AD$946=0,"",$AE$946*N($BA$946))</f>
        <v/>
      </c>
      <c r="C946" s="178">
        <f>IF($AD$946=0,"",$AE$946*N($BA$946)&amp;") "&amp;IF(COUNTIFS(tk_SODG,19,tk_HLEG,"&lt;&gt;"&amp;$BJ$946)=0,INDEX(tk_DLINE,$AD$946),INDEX(tk_DLINEN,$AD$946)))</f>
        <v/>
      </c>
      <c r="D946" s="178" t="n"/>
      <c r="E946" s="179">
        <f t="array" ref="E946">IF($AD$946=0,"",_xlfn.TEXTJOIN(", ",TRUE,IF(tk_SODG=19,"#"&amp;tk_MARK&amp;IF(tk_HLEG="","","("&amp;tk_HLEG&amp;")")&amp;IF(tk_QTY&gt;1," ×"&amp;tk_QTY,""),"")))</f>
        <v/>
      </c>
      <c r="AD946">
        <f>IFERROR(MATCH(19,tk_SODG,0),0)</f>
        <v/>
      </c>
      <c r="AE946">
        <f>IF($AD$946=0,0,SUMIF(tk_SODG,19,tk_QTY))</f>
        <v/>
      </c>
      <c r="AF946">
        <f>IF($AD$946=0,"",INDEX(tk_JAMB,$AD$946))</f>
        <v/>
      </c>
      <c r="AG946">
        <f>IF($AD$946=0,"",INDEX(tk_ANCHOR,$AD$946))</f>
        <v/>
      </c>
      <c r="AH946">
        <f>IF($AD$946=0,"",INDEX(tk_ANCH,$AD$946))</f>
        <v/>
      </c>
      <c r="AI946">
        <f>IF($AD$946=0,"",INDEX(tk_BASEA,$AD$946))</f>
        <v/>
      </c>
      <c r="AJ946">
        <f>IF($AD$946=0,"",INDEX(tk_CONSTR,$AD$946))</f>
        <v/>
      </c>
      <c r="AK946">
        <f>IF($AD$946=0,"",INDEX(tk_CLOSER,$AD$946))</f>
        <v/>
      </c>
      <c r="AL946">
        <f>IF($AD$946=0,"",INDEX(tk_STRIKE,$AD$946))</f>
        <v/>
      </c>
      <c r="AM946">
        <f>IF($AD$946=0,"",INDEX(tk_HDRPREP,$AD$946))</f>
        <v/>
      </c>
      <c r="AN946">
        <f>IF($AD$946=0,"",INDEX(tk_DMIN,$AD$946))</f>
        <v/>
      </c>
      <c r="AO946">
        <f>IF($AD$946=0,"",INDEX(tk_PAIR,$AD$946))</f>
        <v/>
      </c>
      <c r="AP946">
        <f>IF($AD$946=0,"",INDEX(tk_FGA,$AD$946))</f>
        <v/>
      </c>
      <c r="AQ946">
        <f>IF($AD$946=0,"",INDEX(tk_WI,$AD$946))</f>
        <v/>
      </c>
      <c r="AR946">
        <f>IF($AD$946=0,"",INDEX(tk_HI,$AD$946))</f>
        <v/>
      </c>
      <c r="AS946">
        <f>IF($AD$946=0,"",INDEX(tk_FHINGE,$AD$946))</f>
        <v/>
      </c>
      <c r="AT946">
        <f>IF($AD$946=0,"",INDEX(tk_DHINGE,$AD$946))</f>
        <v/>
      </c>
      <c r="AU946">
        <f>IF($AD$946=0,"",INDEX(tk_HWLOC,$AD$946))</f>
        <v/>
      </c>
      <c r="AV946">
        <f>IF($AD$946=0,"",INDEX(tk_MANUF,$AD$946))</f>
        <v/>
      </c>
      <c r="AW946">
        <f>IF($AD$946=0,"",INDEX(tk_JH,$AD$946))</f>
        <v/>
      </c>
      <c r="AX946">
        <f>IF($AD$946=0,"",INDEX(tk_FDESC,$AD$946))</f>
        <v/>
      </c>
      <c r="AY946">
        <f>IF($AD$946=0,"",INDEX(tk_TRANS,$AD$946))</f>
        <v/>
      </c>
      <c r="AZ946">
        <f>IF($AD$946=0,"",INDEX(tk_SLW,$AD$946))</f>
        <v/>
      </c>
      <c r="BA946">
        <f>IF($AD$946=0,"",INDEX(tk_LEAVES,$AD$946))</f>
        <v/>
      </c>
      <c r="BB946">
        <f>IF($AD$946=0,"",INDEX(tk_LEAFW,$AD$946))</f>
        <v/>
      </c>
      <c r="BC946">
        <f>IF($AD$946=0,"",INDEX(tk_LEAFH,$AD$946))</f>
        <v/>
      </c>
      <c r="BD946">
        <f>IF($AD$946=0,"",INDEX(tk_DMAT,$AD$946))</f>
        <v/>
      </c>
      <c r="BE946">
        <f>IF($AD$946=0,"",INDEX(tk_DGA,$AD$946))</f>
        <v/>
      </c>
      <c r="BF946">
        <f>IF($AD$946=0,"",INDEX(tk_SERIES,$AD$946))</f>
        <v/>
      </c>
      <c r="BG946">
        <f>IF($AD$946=0,"",INDEX(tk_LOCK,$AD$946))</f>
        <v/>
      </c>
      <c r="BH946">
        <f>IF($AD$946=0,"",INDEX(tk_LITEKIT,$AD$946))</f>
        <v/>
      </c>
      <c r="BI946">
        <f>IF($AD$946=0,"",INDEX(tk_FACE,$AD$946))</f>
        <v/>
      </c>
      <c r="BJ946">
        <f>IF($AD$946=0,"",INDEX(tk_HLEG,$AD$946))</f>
        <v/>
      </c>
      <c r="BK946">
        <f>IF($AD$946=0,"",INDEX(tk_SOITEM,$AD$946))</f>
        <v/>
      </c>
      <c r="BL946">
        <f>IFERROR(VLOOKUP($AF$946,CODES,2,FALSE),"")</f>
        <v/>
      </c>
      <c r="BM946">
        <f>IF($AJ$946="KD","C","M")</f>
        <v/>
      </c>
      <c r="BN946">
        <f>IF(N($AR$946)&lt;=80,80,IF(N($AR$946)&lt;=84,84,IF(N($AR$946)&lt;=96,96,N($AR$946))))</f>
        <v/>
      </c>
      <c r="BO946">
        <f>INT($BN$946/12)&amp;MOD($BN$946,12)</f>
        <v/>
      </c>
      <c r="BP946">
        <f>INT(N($AQ$946)/12)&amp;MOD(N($AQ$946),12)</f>
        <v/>
      </c>
      <c r="BQ946">
        <f>IF(OR($AU$946="",$AU$946="ANSI/SDI",$AU$946="CUSTOM LOC"),IF($AV$946="CU","CURRIES","STEELCRAFT"),$AU$946)</f>
        <v/>
      </c>
      <c r="BR946">
        <f>$AO$946="Y"</f>
        <v/>
      </c>
      <c r="BS946">
        <f>"~"</f>
        <v/>
      </c>
      <c r="BT946">
        <f>$AE$946*N($BA$946)</f>
        <v/>
      </c>
      <c r="BU946">
        <f>OR(LEFT($BD$946,3)="OAK",LEFT($BD$946,3)="BIR",LEFT($BD$946,3)="MAP",$BD$946="PC",$BD$946="MC",$BD$946="SCLC",$BD$946="P-LAM")</f>
        <v/>
      </c>
      <c r="BV946">
        <f>INT(N($AQ$946)/MAX(1,N($BA$946))/12)&amp;MOD(N($AQ$946)/MAX(1,N($BA$946)),12)</f>
        <v/>
      </c>
      <c r="BW946">
        <f>IF(OR($BG$946="G11",$BG$946="G11A",$BG$946="G12A"),"G2",IF(OR(LEFT($BG$946,2)="G3",$BG$946="G12"),"G3AEO",$BG$946))</f>
        <v/>
      </c>
      <c r="BX946">
        <f>"(Net size: "&amp;TRIM(TEXT(N($BB$946),"# ?/??"))&amp;CHAR(34)&amp;" x "&amp;TRIM(TEXT(N($BC$946),"# ?/??"))&amp;CHAR(34)&amp;")"</f>
        <v/>
      </c>
      <c r="BY946">
        <f>IF(LEFT($BD$946,3)="OAK","RED OAK",IF(LEFT($BD$946,3)="BIR","BIRCH",IF(LEFT($BD$946,3)="MAP","MAPLE","WOOD")))</f>
        <v/>
      </c>
      <c r="BZ946">
        <f>IF(OR($AT$946="U454",AND($AT$946="",$AS$946="U454")),"454","453")</f>
        <v/>
      </c>
      <c r="CA946">
        <f>IF($AD$946=0,"",IF($BU$946,$BT$946&amp;"|"&amp;$BV$946&amp;$BO$946&amp;" "&amp;$BY$946&amp;" SLAB "&amp;IF(N($AN$946)&gt;0,$AN$946&amp;" MINUTE",IF(RIGHT($BD$946,2)="MC","MC","SC")&amp;" WOOD DOOR")&amp;"|"&amp;$BX$946&amp;"|"&amp;$BS$946,$BT$946&amp;"|"&amp;$BV$946&amp;$BO$946&amp;$BW$946&amp;" BSC "&amp;$BQ$946&amp;" DOOR "&amp;$BE$946&amp;"Ga. Non-Handed "&amp;IF($BF$946="","707",$BF$946)&amp;"S Flush HM|"&amp;$BX$946&amp;"|"&amp;$BS$946)&amp;IF(N($AN$946)&gt;0,$BT$946&amp;"|"&amp;$AN$946&amp;IF($BU$946," MINUTE WARNOCK HERSHEY FIRE RATED WOOD LABEL"," MINUTE FOAM CORE STEEL DOOR LABEL (MODELS 607 &amp; 707)")&amp;"||"&amp;$BS$946,"")&amp;IF(AND(NOT($BU$946),OR($BG$946="G11",$BG$946="G11A",$BG$946="G12",$BG$946="G12A")),$AE$946&amp;"|EXIT DEVICE PREP FOR HM DOOR||"&amp;$BS$946,"")&amp;IF(AND(NOT($BU$946),$BG$946="G12"),$AE$946&amp;"|DR 350 MORTISE LOCK FILLER PLATE||"&amp;$BS$946,"")&amp;IF(AND(NOT($BU$946),LEFT($BG$946,2)="G3"),$AE$946&amp;"|MORTISE LOCK PREP||"&amp;$BS$946,"")&amp;IF($BU$946,$BT$946&amp;"|"&amp;IF($BG$946="G18",$BZ$946&amp;"-4 1/2"&amp;CHAR(34)&amp;"X4 1/2"&amp;CHAR(34)&amp;" HINGES ONLY PREP","HINGE PREP "&amp;$BZ$946&amp;" WITH LOCK PREP")&amp;"|"&amp;$BQ$946&amp;" LOC|"&amp;$BS$946,"")&amp;IF(OR($BG$946="G2G2",$BG$946="G17",$BG$946="E1E4"),$AE$946&amp;"|"&amp;IF($BU$946,"DDLP CYLINDRICAL DEADLOCK PREP","DOOR DEADLOCK PREP")&amp;"||"&amp;$BS$946,"")&amp;IF(OR($BH$946="FG",$BH$946="HG",$BH$946="FNV",$BH$946="FV"),$BT$946&amp;"|"&amp;$BI$946&amp;" LITE KIT||"&amp;$BS$946,IF($BH$946="FL",$BT$946&amp;"|"&amp;$BI$946&amp;" LOUVER||"&amp;$BS$946,IF($BH$946="FP",$BT$946&amp;"|DVP DOOR VIEWER PREP||"&amp;$BS$946,"")))&amp;IF($BN$946&gt;N($AR$946),$BT$946&amp;"|DCO DOOR CUT DOWN ONLY (HEIGHT)|Cut "&amp;TRIM(TEXT($BN$946-N($AR$946),"# ?/??"))&amp;CHAR(34)&amp;" OFF THE BOTTOM|"&amp;$BS$946,""))</f>
        <v/>
      </c>
    </row>
    <row r="947">
      <c r="B947" s="180">
        <f>IF($AD947="","",VALUE(LEFT($AD947,FIND("|",$AD947)-1)))</f>
        <v/>
      </c>
      <c r="C947" s="180">
        <f>IF($AD947="","","    "&amp;MID($AD947,FIND("|",$AD947)+1,FIND("|",$AD947,FIND("|",$AD947)+1)-FIND("|",$AD947)-1))</f>
        <v/>
      </c>
      <c r="D947" s="180">
        <f>IF($AD947="","",MID($AD947,FIND("|",$AD947,FIND("|",$AD947)+1)+1,FIND("|",$AD947&amp;"|",FIND("|",$AD947,FIND("|",$AD947)+1)+1)-FIND("|",$AD947,FIND("|",$AD947)+1)-1))</f>
        <v/>
      </c>
      <c r="AD947">
        <f>TRIM(MID(SUBSTITUTE($CA$946,"~",REPT(" ",600)),1,600))</f>
        <v/>
      </c>
    </row>
    <row r="948">
      <c r="B948" s="180">
        <f>IF($AD948="","",VALUE(LEFT($AD948,FIND("|",$AD948)-1)))</f>
        <v/>
      </c>
      <c r="C948" s="180">
        <f>IF($AD948="","","    "&amp;MID($AD948,FIND("|",$AD948)+1,FIND("|",$AD948,FIND("|",$AD948)+1)-FIND("|",$AD948)-1))</f>
        <v/>
      </c>
      <c r="D948" s="180">
        <f>IF($AD948="","",MID($AD948,FIND("|",$AD948,FIND("|",$AD948)+1)+1,FIND("|",$AD948&amp;"|",FIND("|",$AD948,FIND("|",$AD948)+1)+1)-FIND("|",$AD948,FIND("|",$AD948)+1)-1))</f>
        <v/>
      </c>
      <c r="AD948">
        <f>TRIM(MID(SUBSTITUTE($CA$946,"~",REPT(" ",600)),601,600))</f>
        <v/>
      </c>
    </row>
    <row r="949">
      <c r="B949" s="180">
        <f>IF($AD949="","",VALUE(LEFT($AD949,FIND("|",$AD949)-1)))</f>
        <v/>
      </c>
      <c r="C949" s="180">
        <f>IF($AD949="","","    "&amp;MID($AD949,FIND("|",$AD949)+1,FIND("|",$AD949,FIND("|",$AD949)+1)-FIND("|",$AD949)-1))</f>
        <v/>
      </c>
      <c r="D949" s="180">
        <f>IF($AD949="","",MID($AD949,FIND("|",$AD949,FIND("|",$AD949)+1)+1,FIND("|",$AD949&amp;"|",FIND("|",$AD949,FIND("|",$AD949)+1)+1)-FIND("|",$AD949,FIND("|",$AD949)+1)-1))</f>
        <v/>
      </c>
      <c r="AD949">
        <f>TRIM(MID(SUBSTITUTE($CA$946,"~",REPT(" ",600)),1201,600))</f>
        <v/>
      </c>
    </row>
    <row r="950">
      <c r="B950" s="180">
        <f>IF($AD950="","",VALUE(LEFT($AD950,FIND("|",$AD950)-1)))</f>
        <v/>
      </c>
      <c r="C950" s="180">
        <f>IF($AD950="","","    "&amp;MID($AD950,FIND("|",$AD950)+1,FIND("|",$AD950,FIND("|",$AD950)+1)-FIND("|",$AD950)-1))</f>
        <v/>
      </c>
      <c r="D950" s="180">
        <f>IF($AD950="","",MID($AD950,FIND("|",$AD950,FIND("|",$AD950)+1)+1,FIND("|",$AD950&amp;"|",FIND("|",$AD950,FIND("|",$AD950)+1)+1)-FIND("|",$AD950,FIND("|",$AD950)+1)-1))</f>
        <v/>
      </c>
      <c r="AD950">
        <f>TRIM(MID(SUBSTITUTE($CA$946,"~",REPT(" ",600)),1801,600))</f>
        <v/>
      </c>
    </row>
    <row r="951">
      <c r="B951" s="180">
        <f>IF($AD951="","",VALUE(LEFT($AD951,FIND("|",$AD951)-1)))</f>
        <v/>
      </c>
      <c r="C951" s="180">
        <f>IF($AD951="","","    "&amp;MID($AD951,FIND("|",$AD951)+1,FIND("|",$AD951,FIND("|",$AD951)+1)-FIND("|",$AD951)-1))</f>
        <v/>
      </c>
      <c r="D951" s="180">
        <f>IF($AD951="","",MID($AD951,FIND("|",$AD951,FIND("|",$AD951)+1)+1,FIND("|",$AD951&amp;"|",FIND("|",$AD951,FIND("|",$AD951)+1)+1)-FIND("|",$AD951,FIND("|",$AD951)+1)-1))</f>
        <v/>
      </c>
      <c r="AD951">
        <f>TRIM(MID(SUBSTITUTE($CA$946,"~",REPT(" ",600)),2401,600))</f>
        <v/>
      </c>
    </row>
    <row r="952">
      <c r="B952" s="180">
        <f>IF($AD952="","",VALUE(LEFT($AD952,FIND("|",$AD952)-1)))</f>
        <v/>
      </c>
      <c r="C952" s="180">
        <f>IF($AD952="","","    "&amp;MID($AD952,FIND("|",$AD952)+1,FIND("|",$AD952,FIND("|",$AD952)+1)-FIND("|",$AD952)-1))</f>
        <v/>
      </c>
      <c r="D952" s="180">
        <f>IF($AD952="","",MID($AD952,FIND("|",$AD952,FIND("|",$AD952)+1)+1,FIND("|",$AD952&amp;"|",FIND("|",$AD952,FIND("|",$AD952)+1)+1)-FIND("|",$AD952,FIND("|",$AD952)+1)-1))</f>
        <v/>
      </c>
      <c r="AD952">
        <f>TRIM(MID(SUBSTITUTE($CA$946,"~",REPT(" ",600)),3001,600))</f>
        <v/>
      </c>
    </row>
    <row r="953">
      <c r="B953" s="180">
        <f>IF($AD953="","",VALUE(LEFT($AD953,FIND("|",$AD953)-1)))</f>
        <v/>
      </c>
      <c r="C953" s="180">
        <f>IF($AD953="","","    "&amp;MID($AD953,FIND("|",$AD953)+1,FIND("|",$AD953,FIND("|",$AD953)+1)-FIND("|",$AD953)-1))</f>
        <v/>
      </c>
      <c r="D953" s="180">
        <f>IF($AD953="","",MID($AD953,FIND("|",$AD953,FIND("|",$AD953)+1)+1,FIND("|",$AD953&amp;"|",FIND("|",$AD953,FIND("|",$AD953)+1)+1)-FIND("|",$AD953,FIND("|",$AD953)+1)-1))</f>
        <v/>
      </c>
      <c r="AD953">
        <f>TRIM(MID(SUBSTITUTE($CA$946,"~",REPT(" ",600)),3601,600))</f>
        <v/>
      </c>
    </row>
    <row r="954">
      <c r="B954" s="180">
        <f>IF($AD954="","",VALUE(LEFT($AD954,FIND("|",$AD954)-1)))</f>
        <v/>
      </c>
      <c r="C954" s="180">
        <f>IF($AD954="","","    "&amp;MID($AD954,FIND("|",$AD954)+1,FIND("|",$AD954,FIND("|",$AD954)+1)-FIND("|",$AD954)-1))</f>
        <v/>
      </c>
      <c r="D954" s="180">
        <f>IF($AD954="","",MID($AD954,FIND("|",$AD954,FIND("|",$AD954)+1)+1,FIND("|",$AD954&amp;"|",FIND("|",$AD954,FIND("|",$AD954)+1)+1)-FIND("|",$AD954,FIND("|",$AD954)+1)-1))</f>
        <v/>
      </c>
      <c r="AD954">
        <f>TRIM(MID(SUBSTITUTE($CA$946,"~",REPT(" ",600)),4201,600))</f>
        <v/>
      </c>
    </row>
    <row r="955">
      <c r="B955" s="180">
        <f>IF($AD955="","",VALUE(LEFT($AD955,FIND("|",$AD955)-1)))</f>
        <v/>
      </c>
      <c r="C955" s="180">
        <f>IF($AD955="","","    "&amp;MID($AD955,FIND("|",$AD955)+1,FIND("|",$AD955,FIND("|",$AD955)+1)-FIND("|",$AD955)-1))</f>
        <v/>
      </c>
      <c r="D955" s="180">
        <f>IF($AD955="","",MID($AD955,FIND("|",$AD955,FIND("|",$AD955)+1)+1,FIND("|",$AD955&amp;"|",FIND("|",$AD955,FIND("|",$AD955)+1)+1)-FIND("|",$AD955,FIND("|",$AD955)+1)-1))</f>
        <v/>
      </c>
      <c r="AD955">
        <f>TRIM(MID(SUBSTITUTE($CA$946,"~",REPT(" ",600)),4801,600))</f>
        <v/>
      </c>
    </row>
    <row r="956">
      <c r="B956" s="180">
        <f>IF($AD956="","",VALUE(LEFT($AD956,FIND("|",$AD956)-1)))</f>
        <v/>
      </c>
      <c r="C956" s="180">
        <f>IF($AD956="","","    "&amp;MID($AD956,FIND("|",$AD956)+1,FIND("|",$AD956,FIND("|",$AD956)+1)-FIND("|",$AD956)-1))</f>
        <v/>
      </c>
      <c r="D956" s="180">
        <f>IF($AD956="","",MID($AD956,FIND("|",$AD956,FIND("|",$AD956)+1)+1,FIND("|",$AD956&amp;"|",FIND("|",$AD956,FIND("|",$AD956)+1)+1)-FIND("|",$AD956,FIND("|",$AD956)+1)-1))</f>
        <v/>
      </c>
      <c r="AD956">
        <f>TRIM(MID(SUBSTITUTE($CA$946,"~",REPT(" ",600)),5401,600))</f>
        <v/>
      </c>
    </row>
    <row r="957">
      <c r="B957" s="180">
        <f>IF($AD957="","",VALUE(LEFT($AD957,FIND("|",$AD957)-1)))</f>
        <v/>
      </c>
      <c r="C957" s="180">
        <f>IF($AD957="","","    "&amp;MID($AD957,FIND("|",$AD957)+1,FIND("|",$AD957,FIND("|",$AD957)+1)-FIND("|",$AD957)-1))</f>
        <v/>
      </c>
      <c r="D957" s="180">
        <f>IF($AD957="","",MID($AD957,FIND("|",$AD957,FIND("|",$AD957)+1)+1,FIND("|",$AD957&amp;"|",FIND("|",$AD957,FIND("|",$AD957)+1)+1)-FIND("|",$AD957,FIND("|",$AD957)+1)-1))</f>
        <v/>
      </c>
      <c r="AD957">
        <f>TRIM(MID(SUBSTITUTE($CA$946,"~",REPT(" ",600)),6001,600))</f>
        <v/>
      </c>
    </row>
    <row r="958">
      <c r="A958" s="178">
        <f>IF($AD$958=0,"",$BK$958)</f>
        <v/>
      </c>
      <c r="B958" s="178">
        <f>IF($AD$958=0,"",$AE$958*N($BA$958))</f>
        <v/>
      </c>
      <c r="C958" s="178">
        <f>IF($AD$958=0,"",$AE$958*N($BA$958)&amp;") "&amp;IF(COUNTIFS(tk_SODG,20,tk_HLEG,"&lt;&gt;"&amp;$BJ$958)=0,INDEX(tk_DLINE,$AD$958),INDEX(tk_DLINEN,$AD$958)))</f>
        <v/>
      </c>
      <c r="D958" s="178" t="n"/>
      <c r="E958" s="179">
        <f t="array" ref="E958">IF($AD$958=0,"",_xlfn.TEXTJOIN(", ",TRUE,IF(tk_SODG=20,"#"&amp;tk_MARK&amp;IF(tk_HLEG="","","("&amp;tk_HLEG&amp;")")&amp;IF(tk_QTY&gt;1," ×"&amp;tk_QTY,""),"")))</f>
        <v/>
      </c>
      <c r="AD958">
        <f>IFERROR(MATCH(20,tk_SODG,0),0)</f>
        <v/>
      </c>
      <c r="AE958">
        <f>IF($AD$958=0,0,SUMIF(tk_SODG,20,tk_QTY))</f>
        <v/>
      </c>
      <c r="AF958">
        <f>IF($AD$958=0,"",INDEX(tk_JAMB,$AD$958))</f>
        <v/>
      </c>
      <c r="AG958">
        <f>IF($AD$958=0,"",INDEX(tk_ANCHOR,$AD$958))</f>
        <v/>
      </c>
      <c r="AH958">
        <f>IF($AD$958=0,"",INDEX(tk_ANCH,$AD$958))</f>
        <v/>
      </c>
      <c r="AI958">
        <f>IF($AD$958=0,"",INDEX(tk_BASEA,$AD$958))</f>
        <v/>
      </c>
      <c r="AJ958">
        <f>IF($AD$958=0,"",INDEX(tk_CONSTR,$AD$958))</f>
        <v/>
      </c>
      <c r="AK958">
        <f>IF($AD$958=0,"",INDEX(tk_CLOSER,$AD$958))</f>
        <v/>
      </c>
      <c r="AL958">
        <f>IF($AD$958=0,"",INDEX(tk_STRIKE,$AD$958))</f>
        <v/>
      </c>
      <c r="AM958">
        <f>IF($AD$958=0,"",INDEX(tk_HDRPREP,$AD$958))</f>
        <v/>
      </c>
      <c r="AN958">
        <f>IF($AD$958=0,"",INDEX(tk_DMIN,$AD$958))</f>
        <v/>
      </c>
      <c r="AO958">
        <f>IF($AD$958=0,"",INDEX(tk_PAIR,$AD$958))</f>
        <v/>
      </c>
      <c r="AP958">
        <f>IF($AD$958=0,"",INDEX(tk_FGA,$AD$958))</f>
        <v/>
      </c>
      <c r="AQ958">
        <f>IF($AD$958=0,"",INDEX(tk_WI,$AD$958))</f>
        <v/>
      </c>
      <c r="AR958">
        <f>IF($AD$958=0,"",INDEX(tk_HI,$AD$958))</f>
        <v/>
      </c>
      <c r="AS958">
        <f>IF($AD$958=0,"",INDEX(tk_FHINGE,$AD$958))</f>
        <v/>
      </c>
      <c r="AT958">
        <f>IF($AD$958=0,"",INDEX(tk_DHINGE,$AD$958))</f>
        <v/>
      </c>
      <c r="AU958">
        <f>IF($AD$958=0,"",INDEX(tk_HWLOC,$AD$958))</f>
        <v/>
      </c>
      <c r="AV958">
        <f>IF($AD$958=0,"",INDEX(tk_MANUF,$AD$958))</f>
        <v/>
      </c>
      <c r="AW958">
        <f>IF($AD$958=0,"",INDEX(tk_JH,$AD$958))</f>
        <v/>
      </c>
      <c r="AX958">
        <f>IF($AD$958=0,"",INDEX(tk_FDESC,$AD$958))</f>
        <v/>
      </c>
      <c r="AY958">
        <f>IF($AD$958=0,"",INDEX(tk_TRANS,$AD$958))</f>
        <v/>
      </c>
      <c r="AZ958">
        <f>IF($AD$958=0,"",INDEX(tk_SLW,$AD$958))</f>
        <v/>
      </c>
      <c r="BA958">
        <f>IF($AD$958=0,"",INDEX(tk_LEAVES,$AD$958))</f>
        <v/>
      </c>
      <c r="BB958">
        <f>IF($AD$958=0,"",INDEX(tk_LEAFW,$AD$958))</f>
        <v/>
      </c>
      <c r="BC958">
        <f>IF($AD$958=0,"",INDEX(tk_LEAFH,$AD$958))</f>
        <v/>
      </c>
      <c r="BD958">
        <f>IF($AD$958=0,"",INDEX(tk_DMAT,$AD$958))</f>
        <v/>
      </c>
      <c r="BE958">
        <f>IF($AD$958=0,"",INDEX(tk_DGA,$AD$958))</f>
        <v/>
      </c>
      <c r="BF958">
        <f>IF($AD$958=0,"",INDEX(tk_SERIES,$AD$958))</f>
        <v/>
      </c>
      <c r="BG958">
        <f>IF($AD$958=0,"",INDEX(tk_LOCK,$AD$958))</f>
        <v/>
      </c>
      <c r="BH958">
        <f>IF($AD$958=0,"",INDEX(tk_LITEKIT,$AD$958))</f>
        <v/>
      </c>
      <c r="BI958">
        <f>IF($AD$958=0,"",INDEX(tk_FACE,$AD$958))</f>
        <v/>
      </c>
      <c r="BJ958">
        <f>IF($AD$958=0,"",INDEX(tk_HLEG,$AD$958))</f>
        <v/>
      </c>
      <c r="BK958">
        <f>IF($AD$958=0,"",INDEX(tk_SOITEM,$AD$958))</f>
        <v/>
      </c>
      <c r="BL958">
        <f>IFERROR(VLOOKUP($AF$958,CODES,2,FALSE),"")</f>
        <v/>
      </c>
      <c r="BM958">
        <f>IF($AJ$958="KD","C","M")</f>
        <v/>
      </c>
      <c r="BN958">
        <f>IF(N($AR$958)&lt;=80,80,IF(N($AR$958)&lt;=84,84,IF(N($AR$958)&lt;=96,96,N($AR$958))))</f>
        <v/>
      </c>
      <c r="BO958">
        <f>INT($BN$958/12)&amp;MOD($BN$958,12)</f>
        <v/>
      </c>
      <c r="BP958">
        <f>INT(N($AQ$958)/12)&amp;MOD(N($AQ$958),12)</f>
        <v/>
      </c>
      <c r="BQ958">
        <f>IF(OR($AU$958="",$AU$958="ANSI/SDI",$AU$958="CUSTOM LOC"),IF($AV$958="CU","CURRIES","STEELCRAFT"),$AU$958)</f>
        <v/>
      </c>
      <c r="BR958">
        <f>$AO$958="Y"</f>
        <v/>
      </c>
      <c r="BS958">
        <f>"~"</f>
        <v/>
      </c>
      <c r="BT958">
        <f>$AE$958*N($BA$958)</f>
        <v/>
      </c>
      <c r="BU958">
        <f>OR(LEFT($BD$958,3)="OAK",LEFT($BD$958,3)="BIR",LEFT($BD$958,3)="MAP",$BD$958="PC",$BD$958="MC",$BD$958="SCLC",$BD$958="P-LAM")</f>
        <v/>
      </c>
      <c r="BV958">
        <f>INT(N($AQ$958)/MAX(1,N($BA$958))/12)&amp;MOD(N($AQ$958)/MAX(1,N($BA$958)),12)</f>
        <v/>
      </c>
      <c r="BW958">
        <f>IF(OR($BG$958="G11",$BG$958="G11A",$BG$958="G12A"),"G2",IF(OR(LEFT($BG$958,2)="G3",$BG$958="G12"),"G3AEO",$BG$958))</f>
        <v/>
      </c>
      <c r="BX958">
        <f>"(Net size: "&amp;TRIM(TEXT(N($BB$958),"# ?/??"))&amp;CHAR(34)&amp;" x "&amp;TRIM(TEXT(N($BC$958),"# ?/??"))&amp;CHAR(34)&amp;")"</f>
        <v/>
      </c>
      <c r="BY958">
        <f>IF(LEFT($BD$958,3)="OAK","RED OAK",IF(LEFT($BD$958,3)="BIR","BIRCH",IF(LEFT($BD$958,3)="MAP","MAPLE","WOOD")))</f>
        <v/>
      </c>
      <c r="BZ958">
        <f>IF(OR($AT$958="U454",AND($AT$958="",$AS$958="U454")),"454","453")</f>
        <v/>
      </c>
      <c r="CA958">
        <f>IF($AD$958=0,"",IF($BU$958,$BT$958&amp;"|"&amp;$BV$958&amp;$BO$958&amp;" "&amp;$BY$958&amp;" SLAB "&amp;IF(N($AN$958)&gt;0,$AN$958&amp;" MINUTE",IF(RIGHT($BD$958,2)="MC","MC","SC")&amp;" WOOD DOOR")&amp;"|"&amp;$BX$958&amp;"|"&amp;$BS$958,$BT$958&amp;"|"&amp;$BV$958&amp;$BO$958&amp;$BW$958&amp;" BSC "&amp;$BQ$958&amp;" DOOR "&amp;$BE$958&amp;"Ga. Non-Handed "&amp;IF($BF$958="","707",$BF$958)&amp;"S Flush HM|"&amp;$BX$958&amp;"|"&amp;$BS$958)&amp;IF(N($AN$958)&gt;0,$BT$958&amp;"|"&amp;$AN$958&amp;IF($BU$958," MINUTE WARNOCK HERSHEY FIRE RATED WOOD LABEL"," MINUTE FOAM CORE STEEL DOOR LABEL (MODELS 607 &amp; 707)")&amp;"||"&amp;$BS$958,"")&amp;IF(AND(NOT($BU$958),OR($BG$958="G11",$BG$958="G11A",$BG$958="G12",$BG$958="G12A")),$AE$958&amp;"|EXIT DEVICE PREP FOR HM DOOR||"&amp;$BS$958,"")&amp;IF(AND(NOT($BU$958),$BG$958="G12"),$AE$958&amp;"|DR 350 MORTISE LOCK FILLER PLATE||"&amp;$BS$958,"")&amp;IF(AND(NOT($BU$958),LEFT($BG$958,2)="G3"),$AE$958&amp;"|MORTISE LOCK PREP||"&amp;$BS$958,"")&amp;IF($BU$958,$BT$958&amp;"|"&amp;IF($BG$958="G18",$BZ$958&amp;"-4 1/2"&amp;CHAR(34)&amp;"X4 1/2"&amp;CHAR(34)&amp;" HINGES ONLY PREP","HINGE PREP "&amp;$BZ$958&amp;" WITH LOCK PREP")&amp;"|"&amp;$BQ$958&amp;" LOC|"&amp;$BS$958,"")&amp;IF(OR($BG$958="G2G2",$BG$958="G17",$BG$958="E1E4"),$AE$958&amp;"|"&amp;IF($BU$958,"DDLP CYLINDRICAL DEADLOCK PREP","DOOR DEADLOCK PREP")&amp;"||"&amp;$BS$958,"")&amp;IF(OR($BH$958="FG",$BH$958="HG",$BH$958="FNV",$BH$958="FV"),$BT$958&amp;"|"&amp;$BI$958&amp;" LITE KIT||"&amp;$BS$958,IF($BH$958="FL",$BT$958&amp;"|"&amp;$BI$958&amp;" LOUVER||"&amp;$BS$958,IF($BH$958="FP",$BT$958&amp;"|DVP DOOR VIEWER PREP||"&amp;$BS$958,"")))&amp;IF($BN$958&gt;N($AR$958),$BT$958&amp;"|DCO DOOR CUT DOWN ONLY (HEIGHT)|Cut "&amp;TRIM(TEXT($BN$958-N($AR$958),"# ?/??"))&amp;CHAR(34)&amp;" OFF THE BOTTOM|"&amp;$BS$958,""))</f>
        <v/>
      </c>
    </row>
    <row r="959">
      <c r="B959" s="180">
        <f>IF($AD959="","",VALUE(LEFT($AD959,FIND("|",$AD959)-1)))</f>
        <v/>
      </c>
      <c r="C959" s="180">
        <f>IF($AD959="","","    "&amp;MID($AD959,FIND("|",$AD959)+1,FIND("|",$AD959,FIND("|",$AD959)+1)-FIND("|",$AD959)-1))</f>
        <v/>
      </c>
      <c r="D959" s="180">
        <f>IF($AD959="","",MID($AD959,FIND("|",$AD959,FIND("|",$AD959)+1)+1,FIND("|",$AD959&amp;"|",FIND("|",$AD959,FIND("|",$AD959)+1)+1)-FIND("|",$AD959,FIND("|",$AD959)+1)-1))</f>
        <v/>
      </c>
      <c r="AD959">
        <f>TRIM(MID(SUBSTITUTE($CA$958,"~",REPT(" ",600)),1,600))</f>
        <v/>
      </c>
    </row>
    <row r="960">
      <c r="B960" s="180">
        <f>IF($AD960="","",VALUE(LEFT($AD960,FIND("|",$AD960)-1)))</f>
        <v/>
      </c>
      <c r="C960" s="180">
        <f>IF($AD960="","","    "&amp;MID($AD960,FIND("|",$AD960)+1,FIND("|",$AD960,FIND("|",$AD960)+1)-FIND("|",$AD960)-1))</f>
        <v/>
      </c>
      <c r="D960" s="180">
        <f>IF($AD960="","",MID($AD960,FIND("|",$AD960,FIND("|",$AD960)+1)+1,FIND("|",$AD960&amp;"|",FIND("|",$AD960,FIND("|",$AD960)+1)+1)-FIND("|",$AD960,FIND("|",$AD960)+1)-1))</f>
        <v/>
      </c>
      <c r="AD960">
        <f>TRIM(MID(SUBSTITUTE($CA$958,"~",REPT(" ",600)),601,600))</f>
        <v/>
      </c>
    </row>
    <row r="961">
      <c r="B961" s="180">
        <f>IF($AD961="","",VALUE(LEFT($AD961,FIND("|",$AD961)-1)))</f>
        <v/>
      </c>
      <c r="C961" s="180">
        <f>IF($AD961="","","    "&amp;MID($AD961,FIND("|",$AD961)+1,FIND("|",$AD961,FIND("|",$AD961)+1)-FIND("|",$AD961)-1))</f>
        <v/>
      </c>
      <c r="D961" s="180">
        <f>IF($AD961="","",MID($AD961,FIND("|",$AD961,FIND("|",$AD961)+1)+1,FIND("|",$AD961&amp;"|",FIND("|",$AD961,FIND("|",$AD961)+1)+1)-FIND("|",$AD961,FIND("|",$AD961)+1)-1))</f>
        <v/>
      </c>
      <c r="AD961">
        <f>TRIM(MID(SUBSTITUTE($CA$958,"~",REPT(" ",600)),1201,600))</f>
        <v/>
      </c>
    </row>
    <row r="962">
      <c r="B962" s="180">
        <f>IF($AD962="","",VALUE(LEFT($AD962,FIND("|",$AD962)-1)))</f>
        <v/>
      </c>
      <c r="C962" s="180">
        <f>IF($AD962="","","    "&amp;MID($AD962,FIND("|",$AD962)+1,FIND("|",$AD962,FIND("|",$AD962)+1)-FIND("|",$AD962)-1))</f>
        <v/>
      </c>
      <c r="D962" s="180">
        <f>IF($AD962="","",MID($AD962,FIND("|",$AD962,FIND("|",$AD962)+1)+1,FIND("|",$AD962&amp;"|",FIND("|",$AD962,FIND("|",$AD962)+1)+1)-FIND("|",$AD962,FIND("|",$AD962)+1)-1))</f>
        <v/>
      </c>
      <c r="AD962">
        <f>TRIM(MID(SUBSTITUTE($CA$958,"~",REPT(" ",600)),1801,600))</f>
        <v/>
      </c>
    </row>
    <row r="963">
      <c r="B963" s="180">
        <f>IF($AD963="","",VALUE(LEFT($AD963,FIND("|",$AD963)-1)))</f>
        <v/>
      </c>
      <c r="C963" s="180">
        <f>IF($AD963="","","    "&amp;MID($AD963,FIND("|",$AD963)+1,FIND("|",$AD963,FIND("|",$AD963)+1)-FIND("|",$AD963)-1))</f>
        <v/>
      </c>
      <c r="D963" s="180">
        <f>IF($AD963="","",MID($AD963,FIND("|",$AD963,FIND("|",$AD963)+1)+1,FIND("|",$AD963&amp;"|",FIND("|",$AD963,FIND("|",$AD963)+1)+1)-FIND("|",$AD963,FIND("|",$AD963)+1)-1))</f>
        <v/>
      </c>
      <c r="AD963">
        <f>TRIM(MID(SUBSTITUTE($CA$958,"~",REPT(" ",600)),2401,600))</f>
        <v/>
      </c>
    </row>
    <row r="964">
      <c r="B964" s="180">
        <f>IF($AD964="","",VALUE(LEFT($AD964,FIND("|",$AD964)-1)))</f>
        <v/>
      </c>
      <c r="C964" s="180">
        <f>IF($AD964="","","    "&amp;MID($AD964,FIND("|",$AD964)+1,FIND("|",$AD964,FIND("|",$AD964)+1)-FIND("|",$AD964)-1))</f>
        <v/>
      </c>
      <c r="D964" s="180">
        <f>IF($AD964="","",MID($AD964,FIND("|",$AD964,FIND("|",$AD964)+1)+1,FIND("|",$AD964&amp;"|",FIND("|",$AD964,FIND("|",$AD964)+1)+1)-FIND("|",$AD964,FIND("|",$AD964)+1)-1))</f>
        <v/>
      </c>
      <c r="AD964">
        <f>TRIM(MID(SUBSTITUTE($CA$958,"~",REPT(" ",600)),3001,600))</f>
        <v/>
      </c>
    </row>
    <row r="965">
      <c r="B965" s="180">
        <f>IF($AD965="","",VALUE(LEFT($AD965,FIND("|",$AD965)-1)))</f>
        <v/>
      </c>
      <c r="C965" s="180">
        <f>IF($AD965="","","    "&amp;MID($AD965,FIND("|",$AD965)+1,FIND("|",$AD965,FIND("|",$AD965)+1)-FIND("|",$AD965)-1))</f>
        <v/>
      </c>
      <c r="D965" s="180">
        <f>IF($AD965="","",MID($AD965,FIND("|",$AD965,FIND("|",$AD965)+1)+1,FIND("|",$AD965&amp;"|",FIND("|",$AD965,FIND("|",$AD965)+1)+1)-FIND("|",$AD965,FIND("|",$AD965)+1)-1))</f>
        <v/>
      </c>
      <c r="AD965">
        <f>TRIM(MID(SUBSTITUTE($CA$958,"~",REPT(" ",600)),3601,600))</f>
        <v/>
      </c>
    </row>
    <row r="966">
      <c r="B966" s="180">
        <f>IF($AD966="","",VALUE(LEFT($AD966,FIND("|",$AD966)-1)))</f>
        <v/>
      </c>
      <c r="C966" s="180">
        <f>IF($AD966="","","    "&amp;MID($AD966,FIND("|",$AD966)+1,FIND("|",$AD966,FIND("|",$AD966)+1)-FIND("|",$AD966)-1))</f>
        <v/>
      </c>
      <c r="D966" s="180">
        <f>IF($AD966="","",MID($AD966,FIND("|",$AD966,FIND("|",$AD966)+1)+1,FIND("|",$AD966&amp;"|",FIND("|",$AD966,FIND("|",$AD966)+1)+1)-FIND("|",$AD966,FIND("|",$AD966)+1)-1))</f>
        <v/>
      </c>
      <c r="AD966">
        <f>TRIM(MID(SUBSTITUTE($CA$958,"~",REPT(" ",600)),4201,600))</f>
        <v/>
      </c>
    </row>
    <row r="967">
      <c r="B967" s="180">
        <f>IF($AD967="","",VALUE(LEFT($AD967,FIND("|",$AD967)-1)))</f>
        <v/>
      </c>
      <c r="C967" s="180">
        <f>IF($AD967="","","    "&amp;MID($AD967,FIND("|",$AD967)+1,FIND("|",$AD967,FIND("|",$AD967)+1)-FIND("|",$AD967)-1))</f>
        <v/>
      </c>
      <c r="D967" s="180">
        <f>IF($AD967="","",MID($AD967,FIND("|",$AD967,FIND("|",$AD967)+1)+1,FIND("|",$AD967&amp;"|",FIND("|",$AD967,FIND("|",$AD967)+1)+1)-FIND("|",$AD967,FIND("|",$AD967)+1)-1))</f>
        <v/>
      </c>
      <c r="AD967">
        <f>TRIM(MID(SUBSTITUTE($CA$958,"~",REPT(" ",600)),4801,600))</f>
        <v/>
      </c>
    </row>
    <row r="968">
      <c r="B968" s="180">
        <f>IF($AD968="","",VALUE(LEFT($AD968,FIND("|",$AD968)-1)))</f>
        <v/>
      </c>
      <c r="C968" s="180">
        <f>IF($AD968="","","    "&amp;MID($AD968,FIND("|",$AD968)+1,FIND("|",$AD968,FIND("|",$AD968)+1)-FIND("|",$AD968)-1))</f>
        <v/>
      </c>
      <c r="D968" s="180">
        <f>IF($AD968="","",MID($AD968,FIND("|",$AD968,FIND("|",$AD968)+1)+1,FIND("|",$AD968&amp;"|",FIND("|",$AD968,FIND("|",$AD968)+1)+1)-FIND("|",$AD968,FIND("|",$AD968)+1)-1))</f>
        <v/>
      </c>
      <c r="AD968">
        <f>TRIM(MID(SUBSTITUTE($CA$958,"~",REPT(" ",600)),5401,600))</f>
        <v/>
      </c>
    </row>
    <row r="969">
      <c r="B969" s="180">
        <f>IF($AD969="","",VALUE(LEFT($AD969,FIND("|",$AD969)-1)))</f>
        <v/>
      </c>
      <c r="C969" s="180">
        <f>IF($AD969="","","    "&amp;MID($AD969,FIND("|",$AD969)+1,FIND("|",$AD969,FIND("|",$AD969)+1)-FIND("|",$AD969)-1))</f>
        <v/>
      </c>
      <c r="D969" s="180">
        <f>IF($AD969="","",MID($AD969,FIND("|",$AD969,FIND("|",$AD969)+1)+1,FIND("|",$AD969&amp;"|",FIND("|",$AD969,FIND("|",$AD969)+1)+1)-FIND("|",$AD969,FIND("|",$AD969)+1)-1))</f>
        <v/>
      </c>
      <c r="AD969">
        <f>TRIM(MID(SUBSTITUTE($CA$958,"~",REPT(" ",600)),6001,600))</f>
        <v/>
      </c>
    </row>
    <row r="970">
      <c r="A970" s="178">
        <f>IF($AD$970=0,"",$BK$970)</f>
        <v/>
      </c>
      <c r="B970" s="178">
        <f>IF($AD$970=0,"",$AE$970*N($BA$970))</f>
        <v/>
      </c>
      <c r="C970" s="178">
        <f>IF($AD$970=0,"",$AE$970*N($BA$970)&amp;") "&amp;IF(COUNTIFS(tk_SODG,21,tk_HLEG,"&lt;&gt;"&amp;$BJ$970)=0,INDEX(tk_DLINE,$AD$970),INDEX(tk_DLINEN,$AD$970)))</f>
        <v/>
      </c>
      <c r="D970" s="178" t="n"/>
      <c r="E970" s="179">
        <f t="array" ref="E970">IF($AD$970=0,"",_xlfn.TEXTJOIN(", ",TRUE,IF(tk_SODG=21,"#"&amp;tk_MARK&amp;IF(tk_HLEG="","","("&amp;tk_HLEG&amp;")")&amp;IF(tk_QTY&gt;1," ×"&amp;tk_QTY,""),"")))</f>
        <v/>
      </c>
      <c r="AD970">
        <f>IFERROR(MATCH(21,tk_SODG,0),0)</f>
        <v/>
      </c>
      <c r="AE970">
        <f>IF($AD$970=0,0,SUMIF(tk_SODG,21,tk_QTY))</f>
        <v/>
      </c>
      <c r="AF970">
        <f>IF($AD$970=0,"",INDEX(tk_JAMB,$AD$970))</f>
        <v/>
      </c>
      <c r="AG970">
        <f>IF($AD$970=0,"",INDEX(tk_ANCHOR,$AD$970))</f>
        <v/>
      </c>
      <c r="AH970">
        <f>IF($AD$970=0,"",INDEX(tk_ANCH,$AD$970))</f>
        <v/>
      </c>
      <c r="AI970">
        <f>IF($AD$970=0,"",INDEX(tk_BASEA,$AD$970))</f>
        <v/>
      </c>
      <c r="AJ970">
        <f>IF($AD$970=0,"",INDEX(tk_CONSTR,$AD$970))</f>
        <v/>
      </c>
      <c r="AK970">
        <f>IF($AD$970=0,"",INDEX(tk_CLOSER,$AD$970))</f>
        <v/>
      </c>
      <c r="AL970">
        <f>IF($AD$970=0,"",INDEX(tk_STRIKE,$AD$970))</f>
        <v/>
      </c>
      <c r="AM970">
        <f>IF($AD$970=0,"",INDEX(tk_HDRPREP,$AD$970))</f>
        <v/>
      </c>
      <c r="AN970">
        <f>IF($AD$970=0,"",INDEX(tk_DMIN,$AD$970))</f>
        <v/>
      </c>
      <c r="AO970">
        <f>IF($AD$970=0,"",INDEX(tk_PAIR,$AD$970))</f>
        <v/>
      </c>
      <c r="AP970">
        <f>IF($AD$970=0,"",INDEX(tk_FGA,$AD$970))</f>
        <v/>
      </c>
      <c r="AQ970">
        <f>IF($AD$970=0,"",INDEX(tk_WI,$AD$970))</f>
        <v/>
      </c>
      <c r="AR970">
        <f>IF($AD$970=0,"",INDEX(tk_HI,$AD$970))</f>
        <v/>
      </c>
      <c r="AS970">
        <f>IF($AD$970=0,"",INDEX(tk_FHINGE,$AD$970))</f>
        <v/>
      </c>
      <c r="AT970">
        <f>IF($AD$970=0,"",INDEX(tk_DHINGE,$AD$970))</f>
        <v/>
      </c>
      <c r="AU970">
        <f>IF($AD$970=0,"",INDEX(tk_HWLOC,$AD$970))</f>
        <v/>
      </c>
      <c r="AV970">
        <f>IF($AD$970=0,"",INDEX(tk_MANUF,$AD$970))</f>
        <v/>
      </c>
      <c r="AW970">
        <f>IF($AD$970=0,"",INDEX(tk_JH,$AD$970))</f>
        <v/>
      </c>
      <c r="AX970">
        <f>IF($AD$970=0,"",INDEX(tk_FDESC,$AD$970))</f>
        <v/>
      </c>
      <c r="AY970">
        <f>IF($AD$970=0,"",INDEX(tk_TRANS,$AD$970))</f>
        <v/>
      </c>
      <c r="AZ970">
        <f>IF($AD$970=0,"",INDEX(tk_SLW,$AD$970))</f>
        <v/>
      </c>
      <c r="BA970">
        <f>IF($AD$970=0,"",INDEX(tk_LEAVES,$AD$970))</f>
        <v/>
      </c>
      <c r="BB970">
        <f>IF($AD$970=0,"",INDEX(tk_LEAFW,$AD$970))</f>
        <v/>
      </c>
      <c r="BC970">
        <f>IF($AD$970=0,"",INDEX(tk_LEAFH,$AD$970))</f>
        <v/>
      </c>
      <c r="BD970">
        <f>IF($AD$970=0,"",INDEX(tk_DMAT,$AD$970))</f>
        <v/>
      </c>
      <c r="BE970">
        <f>IF($AD$970=0,"",INDEX(tk_DGA,$AD$970))</f>
        <v/>
      </c>
      <c r="BF970">
        <f>IF($AD$970=0,"",INDEX(tk_SERIES,$AD$970))</f>
        <v/>
      </c>
      <c r="BG970">
        <f>IF($AD$970=0,"",INDEX(tk_LOCK,$AD$970))</f>
        <v/>
      </c>
      <c r="BH970">
        <f>IF($AD$970=0,"",INDEX(tk_LITEKIT,$AD$970))</f>
        <v/>
      </c>
      <c r="BI970">
        <f>IF($AD$970=0,"",INDEX(tk_FACE,$AD$970))</f>
        <v/>
      </c>
      <c r="BJ970">
        <f>IF($AD$970=0,"",INDEX(tk_HLEG,$AD$970))</f>
        <v/>
      </c>
      <c r="BK970">
        <f>IF($AD$970=0,"",INDEX(tk_SOITEM,$AD$970))</f>
        <v/>
      </c>
      <c r="BL970">
        <f>IFERROR(VLOOKUP($AF$970,CODES,2,FALSE),"")</f>
        <v/>
      </c>
      <c r="BM970">
        <f>IF($AJ$970="KD","C","M")</f>
        <v/>
      </c>
      <c r="BN970">
        <f>IF(N($AR$970)&lt;=80,80,IF(N($AR$970)&lt;=84,84,IF(N($AR$970)&lt;=96,96,N($AR$970))))</f>
        <v/>
      </c>
      <c r="BO970">
        <f>INT($BN$970/12)&amp;MOD($BN$970,12)</f>
        <v/>
      </c>
      <c r="BP970">
        <f>INT(N($AQ$970)/12)&amp;MOD(N($AQ$970),12)</f>
        <v/>
      </c>
      <c r="BQ970">
        <f>IF(OR($AU$970="",$AU$970="ANSI/SDI",$AU$970="CUSTOM LOC"),IF($AV$970="CU","CURRIES","STEELCRAFT"),$AU$970)</f>
        <v/>
      </c>
      <c r="BR970">
        <f>$AO$970="Y"</f>
        <v/>
      </c>
      <c r="BS970">
        <f>"~"</f>
        <v/>
      </c>
      <c r="BT970">
        <f>$AE$970*N($BA$970)</f>
        <v/>
      </c>
      <c r="BU970">
        <f>OR(LEFT($BD$970,3)="OAK",LEFT($BD$970,3)="BIR",LEFT($BD$970,3)="MAP",$BD$970="PC",$BD$970="MC",$BD$970="SCLC",$BD$970="P-LAM")</f>
        <v/>
      </c>
      <c r="BV970">
        <f>INT(N($AQ$970)/MAX(1,N($BA$970))/12)&amp;MOD(N($AQ$970)/MAX(1,N($BA$970)),12)</f>
        <v/>
      </c>
      <c r="BW970">
        <f>IF(OR($BG$970="G11",$BG$970="G11A",$BG$970="G12A"),"G2",IF(OR(LEFT($BG$970,2)="G3",$BG$970="G12"),"G3AEO",$BG$970))</f>
        <v/>
      </c>
      <c r="BX970">
        <f>"(Net size: "&amp;TRIM(TEXT(N($BB$970),"# ?/??"))&amp;CHAR(34)&amp;" x "&amp;TRIM(TEXT(N($BC$970),"# ?/??"))&amp;CHAR(34)&amp;")"</f>
        <v/>
      </c>
      <c r="BY970">
        <f>IF(LEFT($BD$970,3)="OAK","RED OAK",IF(LEFT($BD$970,3)="BIR","BIRCH",IF(LEFT($BD$970,3)="MAP","MAPLE","WOOD")))</f>
        <v/>
      </c>
      <c r="BZ970">
        <f>IF(OR($AT$970="U454",AND($AT$970="",$AS$970="U454")),"454","453")</f>
        <v/>
      </c>
      <c r="CA970">
        <f>IF($AD$970=0,"",IF($BU$970,$BT$970&amp;"|"&amp;$BV$970&amp;$BO$970&amp;" "&amp;$BY$970&amp;" SLAB "&amp;IF(N($AN$970)&gt;0,$AN$970&amp;" MINUTE",IF(RIGHT($BD$970,2)="MC","MC","SC")&amp;" WOOD DOOR")&amp;"|"&amp;$BX$970&amp;"|"&amp;$BS$970,$BT$970&amp;"|"&amp;$BV$970&amp;$BO$970&amp;$BW$970&amp;" BSC "&amp;$BQ$970&amp;" DOOR "&amp;$BE$970&amp;"Ga. Non-Handed "&amp;IF($BF$970="","707",$BF$970)&amp;"S Flush HM|"&amp;$BX$970&amp;"|"&amp;$BS$970)&amp;IF(N($AN$970)&gt;0,$BT$970&amp;"|"&amp;$AN$970&amp;IF($BU$970," MINUTE WARNOCK HERSHEY FIRE RATED WOOD LABEL"," MINUTE FOAM CORE STEEL DOOR LABEL (MODELS 607 &amp; 707)")&amp;"||"&amp;$BS$970,"")&amp;IF(AND(NOT($BU$970),OR($BG$970="G11",$BG$970="G11A",$BG$970="G12",$BG$970="G12A")),$AE$970&amp;"|EXIT DEVICE PREP FOR HM DOOR||"&amp;$BS$970,"")&amp;IF(AND(NOT($BU$970),$BG$970="G12"),$AE$970&amp;"|DR 350 MORTISE LOCK FILLER PLATE||"&amp;$BS$970,"")&amp;IF(AND(NOT($BU$970),LEFT($BG$970,2)="G3"),$AE$970&amp;"|MORTISE LOCK PREP||"&amp;$BS$970,"")&amp;IF($BU$970,$BT$970&amp;"|"&amp;IF($BG$970="G18",$BZ$970&amp;"-4 1/2"&amp;CHAR(34)&amp;"X4 1/2"&amp;CHAR(34)&amp;" HINGES ONLY PREP","HINGE PREP "&amp;$BZ$970&amp;" WITH LOCK PREP")&amp;"|"&amp;$BQ$970&amp;" LOC|"&amp;$BS$970,"")&amp;IF(OR($BG$970="G2G2",$BG$970="G17",$BG$970="E1E4"),$AE$970&amp;"|"&amp;IF($BU$970,"DDLP CYLINDRICAL DEADLOCK PREP","DOOR DEADLOCK PREP")&amp;"||"&amp;$BS$970,"")&amp;IF(OR($BH$970="FG",$BH$970="HG",$BH$970="FNV",$BH$970="FV"),$BT$970&amp;"|"&amp;$BI$970&amp;" LITE KIT||"&amp;$BS$970,IF($BH$970="FL",$BT$970&amp;"|"&amp;$BI$970&amp;" LOUVER||"&amp;$BS$970,IF($BH$970="FP",$BT$970&amp;"|DVP DOOR VIEWER PREP||"&amp;$BS$970,"")))&amp;IF($BN$970&gt;N($AR$970),$BT$970&amp;"|DCO DOOR CUT DOWN ONLY (HEIGHT)|Cut "&amp;TRIM(TEXT($BN$970-N($AR$970),"# ?/??"))&amp;CHAR(34)&amp;" OFF THE BOTTOM|"&amp;$BS$970,""))</f>
        <v/>
      </c>
    </row>
    <row r="971">
      <c r="B971" s="180">
        <f>IF($AD971="","",VALUE(LEFT($AD971,FIND("|",$AD971)-1)))</f>
        <v/>
      </c>
      <c r="C971" s="180">
        <f>IF($AD971="","","    "&amp;MID($AD971,FIND("|",$AD971)+1,FIND("|",$AD971,FIND("|",$AD971)+1)-FIND("|",$AD971)-1))</f>
        <v/>
      </c>
      <c r="D971" s="180">
        <f>IF($AD971="","",MID($AD971,FIND("|",$AD971,FIND("|",$AD971)+1)+1,FIND("|",$AD971&amp;"|",FIND("|",$AD971,FIND("|",$AD971)+1)+1)-FIND("|",$AD971,FIND("|",$AD971)+1)-1))</f>
        <v/>
      </c>
      <c r="AD971">
        <f>TRIM(MID(SUBSTITUTE($CA$970,"~",REPT(" ",600)),1,600))</f>
        <v/>
      </c>
    </row>
    <row r="972">
      <c r="B972" s="180">
        <f>IF($AD972="","",VALUE(LEFT($AD972,FIND("|",$AD972)-1)))</f>
        <v/>
      </c>
      <c r="C972" s="180">
        <f>IF($AD972="","","    "&amp;MID($AD972,FIND("|",$AD972)+1,FIND("|",$AD972,FIND("|",$AD972)+1)-FIND("|",$AD972)-1))</f>
        <v/>
      </c>
      <c r="D972" s="180">
        <f>IF($AD972="","",MID($AD972,FIND("|",$AD972,FIND("|",$AD972)+1)+1,FIND("|",$AD972&amp;"|",FIND("|",$AD972,FIND("|",$AD972)+1)+1)-FIND("|",$AD972,FIND("|",$AD972)+1)-1))</f>
        <v/>
      </c>
      <c r="AD972">
        <f>TRIM(MID(SUBSTITUTE($CA$970,"~",REPT(" ",600)),601,600))</f>
        <v/>
      </c>
    </row>
    <row r="973">
      <c r="B973" s="180">
        <f>IF($AD973="","",VALUE(LEFT($AD973,FIND("|",$AD973)-1)))</f>
        <v/>
      </c>
      <c r="C973" s="180">
        <f>IF($AD973="","","    "&amp;MID($AD973,FIND("|",$AD973)+1,FIND("|",$AD973,FIND("|",$AD973)+1)-FIND("|",$AD973)-1))</f>
        <v/>
      </c>
      <c r="D973" s="180">
        <f>IF($AD973="","",MID($AD973,FIND("|",$AD973,FIND("|",$AD973)+1)+1,FIND("|",$AD973&amp;"|",FIND("|",$AD973,FIND("|",$AD973)+1)+1)-FIND("|",$AD973,FIND("|",$AD973)+1)-1))</f>
        <v/>
      </c>
      <c r="AD973">
        <f>TRIM(MID(SUBSTITUTE($CA$970,"~",REPT(" ",600)),1201,600))</f>
        <v/>
      </c>
    </row>
    <row r="974">
      <c r="B974" s="180">
        <f>IF($AD974="","",VALUE(LEFT($AD974,FIND("|",$AD974)-1)))</f>
        <v/>
      </c>
      <c r="C974" s="180">
        <f>IF($AD974="","","    "&amp;MID($AD974,FIND("|",$AD974)+1,FIND("|",$AD974,FIND("|",$AD974)+1)-FIND("|",$AD974)-1))</f>
        <v/>
      </c>
      <c r="D974" s="180">
        <f>IF($AD974="","",MID($AD974,FIND("|",$AD974,FIND("|",$AD974)+1)+1,FIND("|",$AD974&amp;"|",FIND("|",$AD974,FIND("|",$AD974)+1)+1)-FIND("|",$AD974,FIND("|",$AD974)+1)-1))</f>
        <v/>
      </c>
      <c r="AD974">
        <f>TRIM(MID(SUBSTITUTE($CA$970,"~",REPT(" ",600)),1801,600))</f>
        <v/>
      </c>
    </row>
    <row r="975">
      <c r="B975" s="180">
        <f>IF($AD975="","",VALUE(LEFT($AD975,FIND("|",$AD975)-1)))</f>
        <v/>
      </c>
      <c r="C975" s="180">
        <f>IF($AD975="","","    "&amp;MID($AD975,FIND("|",$AD975)+1,FIND("|",$AD975,FIND("|",$AD975)+1)-FIND("|",$AD975)-1))</f>
        <v/>
      </c>
      <c r="D975" s="180">
        <f>IF($AD975="","",MID($AD975,FIND("|",$AD975,FIND("|",$AD975)+1)+1,FIND("|",$AD975&amp;"|",FIND("|",$AD975,FIND("|",$AD975)+1)+1)-FIND("|",$AD975,FIND("|",$AD975)+1)-1))</f>
        <v/>
      </c>
      <c r="AD975">
        <f>TRIM(MID(SUBSTITUTE($CA$970,"~",REPT(" ",600)),2401,600))</f>
        <v/>
      </c>
    </row>
    <row r="976">
      <c r="B976" s="180">
        <f>IF($AD976="","",VALUE(LEFT($AD976,FIND("|",$AD976)-1)))</f>
        <v/>
      </c>
      <c r="C976" s="180">
        <f>IF($AD976="","","    "&amp;MID($AD976,FIND("|",$AD976)+1,FIND("|",$AD976,FIND("|",$AD976)+1)-FIND("|",$AD976)-1))</f>
        <v/>
      </c>
      <c r="D976" s="180">
        <f>IF($AD976="","",MID($AD976,FIND("|",$AD976,FIND("|",$AD976)+1)+1,FIND("|",$AD976&amp;"|",FIND("|",$AD976,FIND("|",$AD976)+1)+1)-FIND("|",$AD976,FIND("|",$AD976)+1)-1))</f>
        <v/>
      </c>
      <c r="AD976">
        <f>TRIM(MID(SUBSTITUTE($CA$970,"~",REPT(" ",600)),3001,600))</f>
        <v/>
      </c>
    </row>
    <row r="977">
      <c r="B977" s="180">
        <f>IF($AD977="","",VALUE(LEFT($AD977,FIND("|",$AD977)-1)))</f>
        <v/>
      </c>
      <c r="C977" s="180">
        <f>IF($AD977="","","    "&amp;MID($AD977,FIND("|",$AD977)+1,FIND("|",$AD977,FIND("|",$AD977)+1)-FIND("|",$AD977)-1))</f>
        <v/>
      </c>
      <c r="D977" s="180">
        <f>IF($AD977="","",MID($AD977,FIND("|",$AD977,FIND("|",$AD977)+1)+1,FIND("|",$AD977&amp;"|",FIND("|",$AD977,FIND("|",$AD977)+1)+1)-FIND("|",$AD977,FIND("|",$AD977)+1)-1))</f>
        <v/>
      </c>
      <c r="AD977">
        <f>TRIM(MID(SUBSTITUTE($CA$970,"~",REPT(" ",600)),3601,600))</f>
        <v/>
      </c>
    </row>
    <row r="978">
      <c r="B978" s="180">
        <f>IF($AD978="","",VALUE(LEFT($AD978,FIND("|",$AD978)-1)))</f>
        <v/>
      </c>
      <c r="C978" s="180">
        <f>IF($AD978="","","    "&amp;MID($AD978,FIND("|",$AD978)+1,FIND("|",$AD978,FIND("|",$AD978)+1)-FIND("|",$AD978)-1))</f>
        <v/>
      </c>
      <c r="D978" s="180">
        <f>IF($AD978="","",MID($AD978,FIND("|",$AD978,FIND("|",$AD978)+1)+1,FIND("|",$AD978&amp;"|",FIND("|",$AD978,FIND("|",$AD978)+1)+1)-FIND("|",$AD978,FIND("|",$AD978)+1)-1))</f>
        <v/>
      </c>
      <c r="AD978">
        <f>TRIM(MID(SUBSTITUTE($CA$970,"~",REPT(" ",600)),4201,600))</f>
        <v/>
      </c>
    </row>
    <row r="979">
      <c r="B979" s="180">
        <f>IF($AD979="","",VALUE(LEFT($AD979,FIND("|",$AD979)-1)))</f>
        <v/>
      </c>
      <c r="C979" s="180">
        <f>IF($AD979="","","    "&amp;MID($AD979,FIND("|",$AD979)+1,FIND("|",$AD979,FIND("|",$AD979)+1)-FIND("|",$AD979)-1))</f>
        <v/>
      </c>
      <c r="D979" s="180">
        <f>IF($AD979="","",MID($AD979,FIND("|",$AD979,FIND("|",$AD979)+1)+1,FIND("|",$AD979&amp;"|",FIND("|",$AD979,FIND("|",$AD979)+1)+1)-FIND("|",$AD979,FIND("|",$AD979)+1)-1))</f>
        <v/>
      </c>
      <c r="AD979">
        <f>TRIM(MID(SUBSTITUTE($CA$970,"~",REPT(" ",600)),4801,600))</f>
        <v/>
      </c>
    </row>
    <row r="980">
      <c r="B980" s="180">
        <f>IF($AD980="","",VALUE(LEFT($AD980,FIND("|",$AD980)-1)))</f>
        <v/>
      </c>
      <c r="C980" s="180">
        <f>IF($AD980="","","    "&amp;MID($AD980,FIND("|",$AD980)+1,FIND("|",$AD980,FIND("|",$AD980)+1)-FIND("|",$AD980)-1))</f>
        <v/>
      </c>
      <c r="D980" s="180">
        <f>IF($AD980="","",MID($AD980,FIND("|",$AD980,FIND("|",$AD980)+1)+1,FIND("|",$AD980&amp;"|",FIND("|",$AD980,FIND("|",$AD980)+1)+1)-FIND("|",$AD980,FIND("|",$AD980)+1)-1))</f>
        <v/>
      </c>
      <c r="AD980">
        <f>TRIM(MID(SUBSTITUTE($CA$970,"~",REPT(" ",600)),5401,600))</f>
        <v/>
      </c>
    </row>
    <row r="981">
      <c r="B981" s="180">
        <f>IF($AD981="","",VALUE(LEFT($AD981,FIND("|",$AD981)-1)))</f>
        <v/>
      </c>
      <c r="C981" s="180">
        <f>IF($AD981="","","    "&amp;MID($AD981,FIND("|",$AD981)+1,FIND("|",$AD981,FIND("|",$AD981)+1)-FIND("|",$AD981)-1))</f>
        <v/>
      </c>
      <c r="D981" s="180">
        <f>IF($AD981="","",MID($AD981,FIND("|",$AD981,FIND("|",$AD981)+1)+1,FIND("|",$AD981&amp;"|",FIND("|",$AD981,FIND("|",$AD981)+1)+1)-FIND("|",$AD981,FIND("|",$AD981)+1)-1))</f>
        <v/>
      </c>
      <c r="AD981">
        <f>TRIM(MID(SUBSTITUTE($CA$970,"~",REPT(" ",600)),6001,600))</f>
        <v/>
      </c>
    </row>
    <row r="982">
      <c r="A982" s="178">
        <f>IF($AD$982=0,"",$BK$982)</f>
        <v/>
      </c>
      <c r="B982" s="178">
        <f>IF($AD$982=0,"",$AE$982*N($BA$982))</f>
        <v/>
      </c>
      <c r="C982" s="178">
        <f>IF($AD$982=0,"",$AE$982*N($BA$982)&amp;") "&amp;IF(COUNTIFS(tk_SODG,22,tk_HLEG,"&lt;&gt;"&amp;$BJ$982)=0,INDEX(tk_DLINE,$AD$982),INDEX(tk_DLINEN,$AD$982)))</f>
        <v/>
      </c>
      <c r="D982" s="178" t="n"/>
      <c r="E982" s="179">
        <f t="array" ref="E982">IF($AD$982=0,"",_xlfn.TEXTJOIN(", ",TRUE,IF(tk_SODG=22,"#"&amp;tk_MARK&amp;IF(tk_HLEG="","","("&amp;tk_HLEG&amp;")")&amp;IF(tk_QTY&gt;1," ×"&amp;tk_QTY,""),"")))</f>
        <v/>
      </c>
      <c r="AD982">
        <f>IFERROR(MATCH(22,tk_SODG,0),0)</f>
        <v/>
      </c>
      <c r="AE982">
        <f>IF($AD$982=0,0,SUMIF(tk_SODG,22,tk_QTY))</f>
        <v/>
      </c>
      <c r="AF982">
        <f>IF($AD$982=0,"",INDEX(tk_JAMB,$AD$982))</f>
        <v/>
      </c>
      <c r="AG982">
        <f>IF($AD$982=0,"",INDEX(tk_ANCHOR,$AD$982))</f>
        <v/>
      </c>
      <c r="AH982">
        <f>IF($AD$982=0,"",INDEX(tk_ANCH,$AD$982))</f>
        <v/>
      </c>
      <c r="AI982">
        <f>IF($AD$982=0,"",INDEX(tk_BASEA,$AD$982))</f>
        <v/>
      </c>
      <c r="AJ982">
        <f>IF($AD$982=0,"",INDEX(tk_CONSTR,$AD$982))</f>
        <v/>
      </c>
      <c r="AK982">
        <f>IF($AD$982=0,"",INDEX(tk_CLOSER,$AD$982))</f>
        <v/>
      </c>
      <c r="AL982">
        <f>IF($AD$982=0,"",INDEX(tk_STRIKE,$AD$982))</f>
        <v/>
      </c>
      <c r="AM982">
        <f>IF($AD$982=0,"",INDEX(tk_HDRPREP,$AD$982))</f>
        <v/>
      </c>
      <c r="AN982">
        <f>IF($AD$982=0,"",INDEX(tk_DMIN,$AD$982))</f>
        <v/>
      </c>
      <c r="AO982">
        <f>IF($AD$982=0,"",INDEX(tk_PAIR,$AD$982))</f>
        <v/>
      </c>
      <c r="AP982">
        <f>IF($AD$982=0,"",INDEX(tk_FGA,$AD$982))</f>
        <v/>
      </c>
      <c r="AQ982">
        <f>IF($AD$982=0,"",INDEX(tk_WI,$AD$982))</f>
        <v/>
      </c>
      <c r="AR982">
        <f>IF($AD$982=0,"",INDEX(tk_HI,$AD$982))</f>
        <v/>
      </c>
      <c r="AS982">
        <f>IF($AD$982=0,"",INDEX(tk_FHINGE,$AD$982))</f>
        <v/>
      </c>
      <c r="AT982">
        <f>IF($AD$982=0,"",INDEX(tk_DHINGE,$AD$982))</f>
        <v/>
      </c>
      <c r="AU982">
        <f>IF($AD$982=0,"",INDEX(tk_HWLOC,$AD$982))</f>
        <v/>
      </c>
      <c r="AV982">
        <f>IF($AD$982=0,"",INDEX(tk_MANUF,$AD$982))</f>
        <v/>
      </c>
      <c r="AW982">
        <f>IF($AD$982=0,"",INDEX(tk_JH,$AD$982))</f>
        <v/>
      </c>
      <c r="AX982">
        <f>IF($AD$982=0,"",INDEX(tk_FDESC,$AD$982))</f>
        <v/>
      </c>
      <c r="AY982">
        <f>IF($AD$982=0,"",INDEX(tk_TRANS,$AD$982))</f>
        <v/>
      </c>
      <c r="AZ982">
        <f>IF($AD$982=0,"",INDEX(tk_SLW,$AD$982))</f>
        <v/>
      </c>
      <c r="BA982">
        <f>IF($AD$982=0,"",INDEX(tk_LEAVES,$AD$982))</f>
        <v/>
      </c>
      <c r="BB982">
        <f>IF($AD$982=0,"",INDEX(tk_LEAFW,$AD$982))</f>
        <v/>
      </c>
      <c r="BC982">
        <f>IF($AD$982=0,"",INDEX(tk_LEAFH,$AD$982))</f>
        <v/>
      </c>
      <c r="BD982">
        <f>IF($AD$982=0,"",INDEX(tk_DMAT,$AD$982))</f>
        <v/>
      </c>
      <c r="BE982">
        <f>IF($AD$982=0,"",INDEX(tk_DGA,$AD$982))</f>
        <v/>
      </c>
      <c r="BF982">
        <f>IF($AD$982=0,"",INDEX(tk_SERIES,$AD$982))</f>
        <v/>
      </c>
      <c r="BG982">
        <f>IF($AD$982=0,"",INDEX(tk_LOCK,$AD$982))</f>
        <v/>
      </c>
      <c r="BH982">
        <f>IF($AD$982=0,"",INDEX(tk_LITEKIT,$AD$982))</f>
        <v/>
      </c>
      <c r="BI982">
        <f>IF($AD$982=0,"",INDEX(tk_FACE,$AD$982))</f>
        <v/>
      </c>
      <c r="BJ982">
        <f>IF($AD$982=0,"",INDEX(tk_HLEG,$AD$982))</f>
        <v/>
      </c>
      <c r="BK982">
        <f>IF($AD$982=0,"",INDEX(tk_SOITEM,$AD$982))</f>
        <v/>
      </c>
      <c r="BL982">
        <f>IFERROR(VLOOKUP($AF$982,CODES,2,FALSE),"")</f>
        <v/>
      </c>
      <c r="BM982">
        <f>IF($AJ$982="KD","C","M")</f>
        <v/>
      </c>
      <c r="BN982">
        <f>IF(N($AR$982)&lt;=80,80,IF(N($AR$982)&lt;=84,84,IF(N($AR$982)&lt;=96,96,N($AR$982))))</f>
        <v/>
      </c>
      <c r="BO982">
        <f>INT($BN$982/12)&amp;MOD($BN$982,12)</f>
        <v/>
      </c>
      <c r="BP982">
        <f>INT(N($AQ$982)/12)&amp;MOD(N($AQ$982),12)</f>
        <v/>
      </c>
      <c r="BQ982">
        <f>IF(OR($AU$982="",$AU$982="ANSI/SDI",$AU$982="CUSTOM LOC"),IF($AV$982="CU","CURRIES","STEELCRAFT"),$AU$982)</f>
        <v/>
      </c>
      <c r="BR982">
        <f>$AO$982="Y"</f>
        <v/>
      </c>
      <c r="BS982">
        <f>"~"</f>
        <v/>
      </c>
      <c r="BT982">
        <f>$AE$982*N($BA$982)</f>
        <v/>
      </c>
      <c r="BU982">
        <f>OR(LEFT($BD$982,3)="OAK",LEFT($BD$982,3)="BIR",LEFT($BD$982,3)="MAP",$BD$982="PC",$BD$982="MC",$BD$982="SCLC",$BD$982="P-LAM")</f>
        <v/>
      </c>
      <c r="BV982">
        <f>INT(N($AQ$982)/MAX(1,N($BA$982))/12)&amp;MOD(N($AQ$982)/MAX(1,N($BA$982)),12)</f>
        <v/>
      </c>
      <c r="BW982">
        <f>IF(OR($BG$982="G11",$BG$982="G11A",$BG$982="G12A"),"G2",IF(OR(LEFT($BG$982,2)="G3",$BG$982="G12"),"G3AEO",$BG$982))</f>
        <v/>
      </c>
      <c r="BX982">
        <f>"(Net size: "&amp;TRIM(TEXT(N($BB$982),"# ?/??"))&amp;CHAR(34)&amp;" x "&amp;TRIM(TEXT(N($BC$982),"# ?/??"))&amp;CHAR(34)&amp;")"</f>
        <v/>
      </c>
      <c r="BY982">
        <f>IF(LEFT($BD$982,3)="OAK","RED OAK",IF(LEFT($BD$982,3)="BIR","BIRCH",IF(LEFT($BD$982,3)="MAP","MAPLE","WOOD")))</f>
        <v/>
      </c>
      <c r="BZ982">
        <f>IF(OR($AT$982="U454",AND($AT$982="",$AS$982="U454")),"454","453")</f>
        <v/>
      </c>
      <c r="CA982">
        <f>IF($AD$982=0,"",IF($BU$982,$BT$982&amp;"|"&amp;$BV$982&amp;$BO$982&amp;" "&amp;$BY$982&amp;" SLAB "&amp;IF(N($AN$982)&gt;0,$AN$982&amp;" MINUTE",IF(RIGHT($BD$982,2)="MC","MC","SC")&amp;" WOOD DOOR")&amp;"|"&amp;$BX$982&amp;"|"&amp;$BS$982,$BT$982&amp;"|"&amp;$BV$982&amp;$BO$982&amp;$BW$982&amp;" BSC "&amp;$BQ$982&amp;" DOOR "&amp;$BE$982&amp;"Ga. Non-Handed "&amp;IF($BF$982="","707",$BF$982)&amp;"S Flush HM|"&amp;$BX$982&amp;"|"&amp;$BS$982)&amp;IF(N($AN$982)&gt;0,$BT$982&amp;"|"&amp;$AN$982&amp;IF($BU$982," MINUTE WARNOCK HERSHEY FIRE RATED WOOD LABEL"," MINUTE FOAM CORE STEEL DOOR LABEL (MODELS 607 &amp; 707)")&amp;"||"&amp;$BS$982,"")&amp;IF(AND(NOT($BU$982),OR($BG$982="G11",$BG$982="G11A",$BG$982="G12",$BG$982="G12A")),$AE$982&amp;"|EXIT DEVICE PREP FOR HM DOOR||"&amp;$BS$982,"")&amp;IF(AND(NOT($BU$982),$BG$982="G12"),$AE$982&amp;"|DR 350 MORTISE LOCK FILLER PLATE||"&amp;$BS$982,"")&amp;IF(AND(NOT($BU$982),LEFT($BG$982,2)="G3"),$AE$982&amp;"|MORTISE LOCK PREP||"&amp;$BS$982,"")&amp;IF($BU$982,$BT$982&amp;"|"&amp;IF($BG$982="G18",$BZ$982&amp;"-4 1/2"&amp;CHAR(34)&amp;"X4 1/2"&amp;CHAR(34)&amp;" HINGES ONLY PREP","HINGE PREP "&amp;$BZ$982&amp;" WITH LOCK PREP")&amp;"|"&amp;$BQ$982&amp;" LOC|"&amp;$BS$982,"")&amp;IF(OR($BG$982="G2G2",$BG$982="G17",$BG$982="E1E4"),$AE$982&amp;"|"&amp;IF($BU$982,"DDLP CYLINDRICAL DEADLOCK PREP","DOOR DEADLOCK PREP")&amp;"||"&amp;$BS$982,"")&amp;IF(OR($BH$982="FG",$BH$982="HG",$BH$982="FNV",$BH$982="FV"),$BT$982&amp;"|"&amp;$BI$982&amp;" LITE KIT||"&amp;$BS$982,IF($BH$982="FL",$BT$982&amp;"|"&amp;$BI$982&amp;" LOUVER||"&amp;$BS$982,IF($BH$982="FP",$BT$982&amp;"|DVP DOOR VIEWER PREP||"&amp;$BS$982,"")))&amp;IF($BN$982&gt;N($AR$982),$BT$982&amp;"|DCO DOOR CUT DOWN ONLY (HEIGHT)|Cut "&amp;TRIM(TEXT($BN$982-N($AR$982),"# ?/??"))&amp;CHAR(34)&amp;" OFF THE BOTTOM|"&amp;$BS$982,""))</f>
        <v/>
      </c>
    </row>
    <row r="983">
      <c r="B983" s="180">
        <f>IF($AD983="","",VALUE(LEFT($AD983,FIND("|",$AD983)-1)))</f>
        <v/>
      </c>
      <c r="C983" s="180">
        <f>IF($AD983="","","    "&amp;MID($AD983,FIND("|",$AD983)+1,FIND("|",$AD983,FIND("|",$AD983)+1)-FIND("|",$AD983)-1))</f>
        <v/>
      </c>
      <c r="D983" s="180">
        <f>IF($AD983="","",MID($AD983,FIND("|",$AD983,FIND("|",$AD983)+1)+1,FIND("|",$AD983&amp;"|",FIND("|",$AD983,FIND("|",$AD983)+1)+1)-FIND("|",$AD983,FIND("|",$AD983)+1)-1))</f>
        <v/>
      </c>
      <c r="AD983">
        <f>TRIM(MID(SUBSTITUTE($CA$982,"~",REPT(" ",600)),1,600))</f>
        <v/>
      </c>
    </row>
    <row r="984">
      <c r="B984" s="180">
        <f>IF($AD984="","",VALUE(LEFT($AD984,FIND("|",$AD984)-1)))</f>
        <v/>
      </c>
      <c r="C984" s="180">
        <f>IF($AD984="","","    "&amp;MID($AD984,FIND("|",$AD984)+1,FIND("|",$AD984,FIND("|",$AD984)+1)-FIND("|",$AD984)-1))</f>
        <v/>
      </c>
      <c r="D984" s="180">
        <f>IF($AD984="","",MID($AD984,FIND("|",$AD984,FIND("|",$AD984)+1)+1,FIND("|",$AD984&amp;"|",FIND("|",$AD984,FIND("|",$AD984)+1)+1)-FIND("|",$AD984,FIND("|",$AD984)+1)-1))</f>
        <v/>
      </c>
      <c r="AD984">
        <f>TRIM(MID(SUBSTITUTE($CA$982,"~",REPT(" ",600)),601,600))</f>
        <v/>
      </c>
    </row>
    <row r="985">
      <c r="B985" s="180">
        <f>IF($AD985="","",VALUE(LEFT($AD985,FIND("|",$AD985)-1)))</f>
        <v/>
      </c>
      <c r="C985" s="180">
        <f>IF($AD985="","","    "&amp;MID($AD985,FIND("|",$AD985)+1,FIND("|",$AD985,FIND("|",$AD985)+1)-FIND("|",$AD985)-1))</f>
        <v/>
      </c>
      <c r="D985" s="180">
        <f>IF($AD985="","",MID($AD985,FIND("|",$AD985,FIND("|",$AD985)+1)+1,FIND("|",$AD985&amp;"|",FIND("|",$AD985,FIND("|",$AD985)+1)+1)-FIND("|",$AD985,FIND("|",$AD985)+1)-1))</f>
        <v/>
      </c>
      <c r="AD985">
        <f>TRIM(MID(SUBSTITUTE($CA$982,"~",REPT(" ",600)),1201,600))</f>
        <v/>
      </c>
    </row>
    <row r="986">
      <c r="B986" s="180">
        <f>IF($AD986="","",VALUE(LEFT($AD986,FIND("|",$AD986)-1)))</f>
        <v/>
      </c>
      <c r="C986" s="180">
        <f>IF($AD986="","","    "&amp;MID($AD986,FIND("|",$AD986)+1,FIND("|",$AD986,FIND("|",$AD986)+1)-FIND("|",$AD986)-1))</f>
        <v/>
      </c>
      <c r="D986" s="180">
        <f>IF($AD986="","",MID($AD986,FIND("|",$AD986,FIND("|",$AD986)+1)+1,FIND("|",$AD986&amp;"|",FIND("|",$AD986,FIND("|",$AD986)+1)+1)-FIND("|",$AD986,FIND("|",$AD986)+1)-1))</f>
        <v/>
      </c>
      <c r="AD986">
        <f>TRIM(MID(SUBSTITUTE($CA$982,"~",REPT(" ",600)),1801,600))</f>
        <v/>
      </c>
    </row>
    <row r="987">
      <c r="B987" s="180">
        <f>IF($AD987="","",VALUE(LEFT($AD987,FIND("|",$AD987)-1)))</f>
        <v/>
      </c>
      <c r="C987" s="180">
        <f>IF($AD987="","","    "&amp;MID($AD987,FIND("|",$AD987)+1,FIND("|",$AD987,FIND("|",$AD987)+1)-FIND("|",$AD987)-1))</f>
        <v/>
      </c>
      <c r="D987" s="180">
        <f>IF($AD987="","",MID($AD987,FIND("|",$AD987,FIND("|",$AD987)+1)+1,FIND("|",$AD987&amp;"|",FIND("|",$AD987,FIND("|",$AD987)+1)+1)-FIND("|",$AD987,FIND("|",$AD987)+1)-1))</f>
        <v/>
      </c>
      <c r="AD987">
        <f>TRIM(MID(SUBSTITUTE($CA$982,"~",REPT(" ",600)),2401,600))</f>
        <v/>
      </c>
    </row>
    <row r="988">
      <c r="B988" s="180">
        <f>IF($AD988="","",VALUE(LEFT($AD988,FIND("|",$AD988)-1)))</f>
        <v/>
      </c>
      <c r="C988" s="180">
        <f>IF($AD988="","","    "&amp;MID($AD988,FIND("|",$AD988)+1,FIND("|",$AD988,FIND("|",$AD988)+1)-FIND("|",$AD988)-1))</f>
        <v/>
      </c>
      <c r="D988" s="180">
        <f>IF($AD988="","",MID($AD988,FIND("|",$AD988,FIND("|",$AD988)+1)+1,FIND("|",$AD988&amp;"|",FIND("|",$AD988,FIND("|",$AD988)+1)+1)-FIND("|",$AD988,FIND("|",$AD988)+1)-1))</f>
        <v/>
      </c>
      <c r="AD988">
        <f>TRIM(MID(SUBSTITUTE($CA$982,"~",REPT(" ",600)),3001,600))</f>
        <v/>
      </c>
    </row>
    <row r="989">
      <c r="B989" s="180">
        <f>IF($AD989="","",VALUE(LEFT($AD989,FIND("|",$AD989)-1)))</f>
        <v/>
      </c>
      <c r="C989" s="180">
        <f>IF($AD989="","","    "&amp;MID($AD989,FIND("|",$AD989)+1,FIND("|",$AD989,FIND("|",$AD989)+1)-FIND("|",$AD989)-1))</f>
        <v/>
      </c>
      <c r="D989" s="180">
        <f>IF($AD989="","",MID($AD989,FIND("|",$AD989,FIND("|",$AD989)+1)+1,FIND("|",$AD989&amp;"|",FIND("|",$AD989,FIND("|",$AD989)+1)+1)-FIND("|",$AD989,FIND("|",$AD989)+1)-1))</f>
        <v/>
      </c>
      <c r="AD989">
        <f>TRIM(MID(SUBSTITUTE($CA$982,"~",REPT(" ",600)),3601,600))</f>
        <v/>
      </c>
    </row>
    <row r="990">
      <c r="B990" s="180">
        <f>IF($AD990="","",VALUE(LEFT($AD990,FIND("|",$AD990)-1)))</f>
        <v/>
      </c>
      <c r="C990" s="180">
        <f>IF($AD990="","","    "&amp;MID($AD990,FIND("|",$AD990)+1,FIND("|",$AD990,FIND("|",$AD990)+1)-FIND("|",$AD990)-1))</f>
        <v/>
      </c>
      <c r="D990" s="180">
        <f>IF($AD990="","",MID($AD990,FIND("|",$AD990,FIND("|",$AD990)+1)+1,FIND("|",$AD990&amp;"|",FIND("|",$AD990,FIND("|",$AD990)+1)+1)-FIND("|",$AD990,FIND("|",$AD990)+1)-1))</f>
        <v/>
      </c>
      <c r="AD990">
        <f>TRIM(MID(SUBSTITUTE($CA$982,"~",REPT(" ",600)),4201,600))</f>
        <v/>
      </c>
    </row>
    <row r="991">
      <c r="B991" s="180">
        <f>IF($AD991="","",VALUE(LEFT($AD991,FIND("|",$AD991)-1)))</f>
        <v/>
      </c>
      <c r="C991" s="180">
        <f>IF($AD991="","","    "&amp;MID($AD991,FIND("|",$AD991)+1,FIND("|",$AD991,FIND("|",$AD991)+1)-FIND("|",$AD991)-1))</f>
        <v/>
      </c>
      <c r="D991" s="180">
        <f>IF($AD991="","",MID($AD991,FIND("|",$AD991,FIND("|",$AD991)+1)+1,FIND("|",$AD991&amp;"|",FIND("|",$AD991,FIND("|",$AD991)+1)+1)-FIND("|",$AD991,FIND("|",$AD991)+1)-1))</f>
        <v/>
      </c>
      <c r="AD991">
        <f>TRIM(MID(SUBSTITUTE($CA$982,"~",REPT(" ",600)),4801,600))</f>
        <v/>
      </c>
    </row>
    <row r="992">
      <c r="B992" s="180">
        <f>IF($AD992="","",VALUE(LEFT($AD992,FIND("|",$AD992)-1)))</f>
        <v/>
      </c>
      <c r="C992" s="180">
        <f>IF($AD992="","","    "&amp;MID($AD992,FIND("|",$AD992)+1,FIND("|",$AD992,FIND("|",$AD992)+1)-FIND("|",$AD992)-1))</f>
        <v/>
      </c>
      <c r="D992" s="180">
        <f>IF($AD992="","",MID($AD992,FIND("|",$AD992,FIND("|",$AD992)+1)+1,FIND("|",$AD992&amp;"|",FIND("|",$AD992,FIND("|",$AD992)+1)+1)-FIND("|",$AD992,FIND("|",$AD992)+1)-1))</f>
        <v/>
      </c>
      <c r="AD992">
        <f>TRIM(MID(SUBSTITUTE($CA$982,"~",REPT(" ",600)),5401,600))</f>
        <v/>
      </c>
    </row>
    <row r="993">
      <c r="B993" s="180">
        <f>IF($AD993="","",VALUE(LEFT($AD993,FIND("|",$AD993)-1)))</f>
        <v/>
      </c>
      <c r="C993" s="180">
        <f>IF($AD993="","","    "&amp;MID($AD993,FIND("|",$AD993)+1,FIND("|",$AD993,FIND("|",$AD993)+1)-FIND("|",$AD993)-1))</f>
        <v/>
      </c>
      <c r="D993" s="180">
        <f>IF($AD993="","",MID($AD993,FIND("|",$AD993,FIND("|",$AD993)+1)+1,FIND("|",$AD993&amp;"|",FIND("|",$AD993,FIND("|",$AD993)+1)+1)-FIND("|",$AD993,FIND("|",$AD993)+1)-1))</f>
        <v/>
      </c>
      <c r="AD993">
        <f>TRIM(MID(SUBSTITUTE($CA$982,"~",REPT(" ",600)),6001,600))</f>
        <v/>
      </c>
    </row>
    <row r="994">
      <c r="A994" s="178">
        <f>IF($AD$994=0,"",$BK$994)</f>
        <v/>
      </c>
      <c r="B994" s="178">
        <f>IF($AD$994=0,"",$AE$994*N($BA$994))</f>
        <v/>
      </c>
      <c r="C994" s="178">
        <f>IF($AD$994=0,"",$AE$994*N($BA$994)&amp;") "&amp;IF(COUNTIFS(tk_SODG,23,tk_HLEG,"&lt;&gt;"&amp;$BJ$994)=0,INDEX(tk_DLINE,$AD$994),INDEX(tk_DLINEN,$AD$994)))</f>
        <v/>
      </c>
      <c r="D994" s="178" t="n"/>
      <c r="E994" s="179">
        <f t="array" ref="E994">IF($AD$994=0,"",_xlfn.TEXTJOIN(", ",TRUE,IF(tk_SODG=23,"#"&amp;tk_MARK&amp;IF(tk_HLEG="","","("&amp;tk_HLEG&amp;")")&amp;IF(tk_QTY&gt;1," ×"&amp;tk_QTY,""),"")))</f>
        <v/>
      </c>
      <c r="AD994">
        <f>IFERROR(MATCH(23,tk_SODG,0),0)</f>
        <v/>
      </c>
      <c r="AE994">
        <f>IF($AD$994=0,0,SUMIF(tk_SODG,23,tk_QTY))</f>
        <v/>
      </c>
      <c r="AF994">
        <f>IF($AD$994=0,"",INDEX(tk_JAMB,$AD$994))</f>
        <v/>
      </c>
      <c r="AG994">
        <f>IF($AD$994=0,"",INDEX(tk_ANCHOR,$AD$994))</f>
        <v/>
      </c>
      <c r="AH994">
        <f>IF($AD$994=0,"",INDEX(tk_ANCH,$AD$994))</f>
        <v/>
      </c>
      <c r="AI994">
        <f>IF($AD$994=0,"",INDEX(tk_BASEA,$AD$994))</f>
        <v/>
      </c>
      <c r="AJ994">
        <f>IF($AD$994=0,"",INDEX(tk_CONSTR,$AD$994))</f>
        <v/>
      </c>
      <c r="AK994">
        <f>IF($AD$994=0,"",INDEX(tk_CLOSER,$AD$994))</f>
        <v/>
      </c>
      <c r="AL994">
        <f>IF($AD$994=0,"",INDEX(tk_STRIKE,$AD$994))</f>
        <v/>
      </c>
      <c r="AM994">
        <f>IF($AD$994=0,"",INDEX(tk_HDRPREP,$AD$994))</f>
        <v/>
      </c>
      <c r="AN994">
        <f>IF($AD$994=0,"",INDEX(tk_DMIN,$AD$994))</f>
        <v/>
      </c>
      <c r="AO994">
        <f>IF($AD$994=0,"",INDEX(tk_PAIR,$AD$994))</f>
        <v/>
      </c>
      <c r="AP994">
        <f>IF($AD$994=0,"",INDEX(tk_FGA,$AD$994))</f>
        <v/>
      </c>
      <c r="AQ994">
        <f>IF($AD$994=0,"",INDEX(tk_WI,$AD$994))</f>
        <v/>
      </c>
      <c r="AR994">
        <f>IF($AD$994=0,"",INDEX(tk_HI,$AD$994))</f>
        <v/>
      </c>
      <c r="AS994">
        <f>IF($AD$994=0,"",INDEX(tk_FHINGE,$AD$994))</f>
        <v/>
      </c>
      <c r="AT994">
        <f>IF($AD$994=0,"",INDEX(tk_DHINGE,$AD$994))</f>
        <v/>
      </c>
      <c r="AU994">
        <f>IF($AD$994=0,"",INDEX(tk_HWLOC,$AD$994))</f>
        <v/>
      </c>
      <c r="AV994">
        <f>IF($AD$994=0,"",INDEX(tk_MANUF,$AD$994))</f>
        <v/>
      </c>
      <c r="AW994">
        <f>IF($AD$994=0,"",INDEX(tk_JH,$AD$994))</f>
        <v/>
      </c>
      <c r="AX994">
        <f>IF($AD$994=0,"",INDEX(tk_FDESC,$AD$994))</f>
        <v/>
      </c>
      <c r="AY994">
        <f>IF($AD$994=0,"",INDEX(tk_TRANS,$AD$994))</f>
        <v/>
      </c>
      <c r="AZ994">
        <f>IF($AD$994=0,"",INDEX(tk_SLW,$AD$994))</f>
        <v/>
      </c>
      <c r="BA994">
        <f>IF($AD$994=0,"",INDEX(tk_LEAVES,$AD$994))</f>
        <v/>
      </c>
      <c r="BB994">
        <f>IF($AD$994=0,"",INDEX(tk_LEAFW,$AD$994))</f>
        <v/>
      </c>
      <c r="BC994">
        <f>IF($AD$994=0,"",INDEX(tk_LEAFH,$AD$994))</f>
        <v/>
      </c>
      <c r="BD994">
        <f>IF($AD$994=0,"",INDEX(tk_DMAT,$AD$994))</f>
        <v/>
      </c>
      <c r="BE994">
        <f>IF($AD$994=0,"",INDEX(tk_DGA,$AD$994))</f>
        <v/>
      </c>
      <c r="BF994">
        <f>IF($AD$994=0,"",INDEX(tk_SERIES,$AD$994))</f>
        <v/>
      </c>
      <c r="BG994">
        <f>IF($AD$994=0,"",INDEX(tk_LOCK,$AD$994))</f>
        <v/>
      </c>
      <c r="BH994">
        <f>IF($AD$994=0,"",INDEX(tk_LITEKIT,$AD$994))</f>
        <v/>
      </c>
      <c r="BI994">
        <f>IF($AD$994=0,"",INDEX(tk_FACE,$AD$994))</f>
        <v/>
      </c>
      <c r="BJ994">
        <f>IF($AD$994=0,"",INDEX(tk_HLEG,$AD$994))</f>
        <v/>
      </c>
      <c r="BK994">
        <f>IF($AD$994=0,"",INDEX(tk_SOITEM,$AD$994))</f>
        <v/>
      </c>
      <c r="BL994">
        <f>IFERROR(VLOOKUP($AF$994,CODES,2,FALSE),"")</f>
        <v/>
      </c>
      <c r="BM994">
        <f>IF($AJ$994="KD","C","M")</f>
        <v/>
      </c>
      <c r="BN994">
        <f>IF(N($AR$994)&lt;=80,80,IF(N($AR$994)&lt;=84,84,IF(N($AR$994)&lt;=96,96,N($AR$994))))</f>
        <v/>
      </c>
      <c r="BO994">
        <f>INT($BN$994/12)&amp;MOD($BN$994,12)</f>
        <v/>
      </c>
      <c r="BP994">
        <f>INT(N($AQ$994)/12)&amp;MOD(N($AQ$994),12)</f>
        <v/>
      </c>
      <c r="BQ994">
        <f>IF(OR($AU$994="",$AU$994="ANSI/SDI",$AU$994="CUSTOM LOC"),IF($AV$994="CU","CURRIES","STEELCRAFT"),$AU$994)</f>
        <v/>
      </c>
      <c r="BR994">
        <f>$AO$994="Y"</f>
        <v/>
      </c>
      <c r="BS994">
        <f>"~"</f>
        <v/>
      </c>
      <c r="BT994">
        <f>$AE$994*N($BA$994)</f>
        <v/>
      </c>
      <c r="BU994">
        <f>OR(LEFT($BD$994,3)="OAK",LEFT($BD$994,3)="BIR",LEFT($BD$994,3)="MAP",$BD$994="PC",$BD$994="MC",$BD$994="SCLC",$BD$994="P-LAM")</f>
        <v/>
      </c>
      <c r="BV994">
        <f>INT(N($AQ$994)/MAX(1,N($BA$994))/12)&amp;MOD(N($AQ$994)/MAX(1,N($BA$994)),12)</f>
        <v/>
      </c>
      <c r="BW994">
        <f>IF(OR($BG$994="G11",$BG$994="G11A",$BG$994="G12A"),"G2",IF(OR(LEFT($BG$994,2)="G3",$BG$994="G12"),"G3AEO",$BG$994))</f>
        <v/>
      </c>
      <c r="BX994">
        <f>"(Net size: "&amp;TRIM(TEXT(N($BB$994),"# ?/??"))&amp;CHAR(34)&amp;" x "&amp;TRIM(TEXT(N($BC$994),"# ?/??"))&amp;CHAR(34)&amp;")"</f>
        <v/>
      </c>
      <c r="BY994">
        <f>IF(LEFT($BD$994,3)="OAK","RED OAK",IF(LEFT($BD$994,3)="BIR","BIRCH",IF(LEFT($BD$994,3)="MAP","MAPLE","WOOD")))</f>
        <v/>
      </c>
      <c r="BZ994">
        <f>IF(OR($AT$994="U454",AND($AT$994="",$AS$994="U454")),"454","453")</f>
        <v/>
      </c>
      <c r="CA994">
        <f>IF($AD$994=0,"",IF($BU$994,$BT$994&amp;"|"&amp;$BV$994&amp;$BO$994&amp;" "&amp;$BY$994&amp;" SLAB "&amp;IF(N($AN$994)&gt;0,$AN$994&amp;" MINUTE",IF(RIGHT($BD$994,2)="MC","MC","SC")&amp;" WOOD DOOR")&amp;"|"&amp;$BX$994&amp;"|"&amp;$BS$994,$BT$994&amp;"|"&amp;$BV$994&amp;$BO$994&amp;$BW$994&amp;" BSC "&amp;$BQ$994&amp;" DOOR "&amp;$BE$994&amp;"Ga. Non-Handed "&amp;IF($BF$994="","707",$BF$994)&amp;"S Flush HM|"&amp;$BX$994&amp;"|"&amp;$BS$994)&amp;IF(N($AN$994)&gt;0,$BT$994&amp;"|"&amp;$AN$994&amp;IF($BU$994," MINUTE WARNOCK HERSHEY FIRE RATED WOOD LABEL"," MINUTE FOAM CORE STEEL DOOR LABEL (MODELS 607 &amp; 707)")&amp;"||"&amp;$BS$994,"")&amp;IF(AND(NOT($BU$994),OR($BG$994="G11",$BG$994="G11A",$BG$994="G12",$BG$994="G12A")),$AE$994&amp;"|EXIT DEVICE PREP FOR HM DOOR||"&amp;$BS$994,"")&amp;IF(AND(NOT($BU$994),$BG$994="G12"),$AE$994&amp;"|DR 350 MORTISE LOCK FILLER PLATE||"&amp;$BS$994,"")&amp;IF(AND(NOT($BU$994),LEFT($BG$994,2)="G3"),$AE$994&amp;"|MORTISE LOCK PREP||"&amp;$BS$994,"")&amp;IF($BU$994,$BT$994&amp;"|"&amp;IF($BG$994="G18",$BZ$994&amp;"-4 1/2"&amp;CHAR(34)&amp;"X4 1/2"&amp;CHAR(34)&amp;" HINGES ONLY PREP","HINGE PREP "&amp;$BZ$994&amp;" WITH LOCK PREP")&amp;"|"&amp;$BQ$994&amp;" LOC|"&amp;$BS$994,"")&amp;IF(OR($BG$994="G2G2",$BG$994="G17",$BG$994="E1E4"),$AE$994&amp;"|"&amp;IF($BU$994,"DDLP CYLINDRICAL DEADLOCK PREP","DOOR DEADLOCK PREP")&amp;"||"&amp;$BS$994,"")&amp;IF(OR($BH$994="FG",$BH$994="HG",$BH$994="FNV",$BH$994="FV"),$BT$994&amp;"|"&amp;$BI$994&amp;" LITE KIT||"&amp;$BS$994,IF($BH$994="FL",$BT$994&amp;"|"&amp;$BI$994&amp;" LOUVER||"&amp;$BS$994,IF($BH$994="FP",$BT$994&amp;"|DVP DOOR VIEWER PREP||"&amp;$BS$994,"")))&amp;IF($BN$994&gt;N($AR$994),$BT$994&amp;"|DCO DOOR CUT DOWN ONLY (HEIGHT)|Cut "&amp;TRIM(TEXT($BN$994-N($AR$994),"# ?/??"))&amp;CHAR(34)&amp;" OFF THE BOTTOM|"&amp;$BS$994,""))</f>
        <v/>
      </c>
    </row>
    <row r="995">
      <c r="B995" s="180">
        <f>IF($AD995="","",VALUE(LEFT($AD995,FIND("|",$AD995)-1)))</f>
        <v/>
      </c>
      <c r="C995" s="180">
        <f>IF($AD995="","","    "&amp;MID($AD995,FIND("|",$AD995)+1,FIND("|",$AD995,FIND("|",$AD995)+1)-FIND("|",$AD995)-1))</f>
        <v/>
      </c>
      <c r="D995" s="180">
        <f>IF($AD995="","",MID($AD995,FIND("|",$AD995,FIND("|",$AD995)+1)+1,FIND("|",$AD995&amp;"|",FIND("|",$AD995,FIND("|",$AD995)+1)+1)-FIND("|",$AD995,FIND("|",$AD995)+1)-1))</f>
        <v/>
      </c>
      <c r="AD995">
        <f>TRIM(MID(SUBSTITUTE($CA$994,"~",REPT(" ",600)),1,600))</f>
        <v/>
      </c>
    </row>
    <row r="996">
      <c r="B996" s="180">
        <f>IF($AD996="","",VALUE(LEFT($AD996,FIND("|",$AD996)-1)))</f>
        <v/>
      </c>
      <c r="C996" s="180">
        <f>IF($AD996="","","    "&amp;MID($AD996,FIND("|",$AD996)+1,FIND("|",$AD996,FIND("|",$AD996)+1)-FIND("|",$AD996)-1))</f>
        <v/>
      </c>
      <c r="D996" s="180">
        <f>IF($AD996="","",MID($AD996,FIND("|",$AD996,FIND("|",$AD996)+1)+1,FIND("|",$AD996&amp;"|",FIND("|",$AD996,FIND("|",$AD996)+1)+1)-FIND("|",$AD996,FIND("|",$AD996)+1)-1))</f>
        <v/>
      </c>
      <c r="AD996">
        <f>TRIM(MID(SUBSTITUTE($CA$994,"~",REPT(" ",600)),601,600))</f>
        <v/>
      </c>
    </row>
    <row r="997">
      <c r="B997" s="180">
        <f>IF($AD997="","",VALUE(LEFT($AD997,FIND("|",$AD997)-1)))</f>
        <v/>
      </c>
      <c r="C997" s="180">
        <f>IF($AD997="","","    "&amp;MID($AD997,FIND("|",$AD997)+1,FIND("|",$AD997,FIND("|",$AD997)+1)-FIND("|",$AD997)-1))</f>
        <v/>
      </c>
      <c r="D997" s="180">
        <f>IF($AD997="","",MID($AD997,FIND("|",$AD997,FIND("|",$AD997)+1)+1,FIND("|",$AD997&amp;"|",FIND("|",$AD997,FIND("|",$AD997)+1)+1)-FIND("|",$AD997,FIND("|",$AD997)+1)-1))</f>
        <v/>
      </c>
      <c r="AD997">
        <f>TRIM(MID(SUBSTITUTE($CA$994,"~",REPT(" ",600)),1201,600))</f>
        <v/>
      </c>
    </row>
    <row r="998">
      <c r="B998" s="180">
        <f>IF($AD998="","",VALUE(LEFT($AD998,FIND("|",$AD998)-1)))</f>
        <v/>
      </c>
      <c r="C998" s="180">
        <f>IF($AD998="","","    "&amp;MID($AD998,FIND("|",$AD998)+1,FIND("|",$AD998,FIND("|",$AD998)+1)-FIND("|",$AD998)-1))</f>
        <v/>
      </c>
      <c r="D998" s="180">
        <f>IF($AD998="","",MID($AD998,FIND("|",$AD998,FIND("|",$AD998)+1)+1,FIND("|",$AD998&amp;"|",FIND("|",$AD998,FIND("|",$AD998)+1)+1)-FIND("|",$AD998,FIND("|",$AD998)+1)-1))</f>
        <v/>
      </c>
      <c r="AD998">
        <f>TRIM(MID(SUBSTITUTE($CA$994,"~",REPT(" ",600)),1801,600))</f>
        <v/>
      </c>
    </row>
    <row r="999">
      <c r="B999" s="180">
        <f>IF($AD999="","",VALUE(LEFT($AD999,FIND("|",$AD999)-1)))</f>
        <v/>
      </c>
      <c r="C999" s="180">
        <f>IF($AD999="","","    "&amp;MID($AD999,FIND("|",$AD999)+1,FIND("|",$AD999,FIND("|",$AD999)+1)-FIND("|",$AD999)-1))</f>
        <v/>
      </c>
      <c r="D999" s="180">
        <f>IF($AD999="","",MID($AD999,FIND("|",$AD999,FIND("|",$AD999)+1)+1,FIND("|",$AD999&amp;"|",FIND("|",$AD999,FIND("|",$AD999)+1)+1)-FIND("|",$AD999,FIND("|",$AD999)+1)-1))</f>
        <v/>
      </c>
      <c r="AD999">
        <f>TRIM(MID(SUBSTITUTE($CA$994,"~",REPT(" ",600)),2401,600))</f>
        <v/>
      </c>
    </row>
    <row r="1000">
      <c r="B1000" s="180">
        <f>IF($AD1000="","",VALUE(LEFT($AD1000,FIND("|",$AD1000)-1)))</f>
        <v/>
      </c>
      <c r="C1000" s="180">
        <f>IF($AD1000="","","    "&amp;MID($AD1000,FIND("|",$AD1000)+1,FIND("|",$AD1000,FIND("|",$AD1000)+1)-FIND("|",$AD1000)-1))</f>
        <v/>
      </c>
      <c r="D1000" s="180">
        <f>IF($AD1000="","",MID($AD1000,FIND("|",$AD1000,FIND("|",$AD1000)+1)+1,FIND("|",$AD1000&amp;"|",FIND("|",$AD1000,FIND("|",$AD1000)+1)+1)-FIND("|",$AD1000,FIND("|",$AD1000)+1)-1))</f>
        <v/>
      </c>
      <c r="AD1000">
        <f>TRIM(MID(SUBSTITUTE($CA$994,"~",REPT(" ",600)),3001,600))</f>
        <v/>
      </c>
    </row>
    <row r="1001">
      <c r="B1001" s="180">
        <f>IF($AD1001="","",VALUE(LEFT($AD1001,FIND("|",$AD1001)-1)))</f>
        <v/>
      </c>
      <c r="C1001" s="180">
        <f>IF($AD1001="","","    "&amp;MID($AD1001,FIND("|",$AD1001)+1,FIND("|",$AD1001,FIND("|",$AD1001)+1)-FIND("|",$AD1001)-1))</f>
        <v/>
      </c>
      <c r="D1001" s="180">
        <f>IF($AD1001="","",MID($AD1001,FIND("|",$AD1001,FIND("|",$AD1001)+1)+1,FIND("|",$AD1001&amp;"|",FIND("|",$AD1001,FIND("|",$AD1001)+1)+1)-FIND("|",$AD1001,FIND("|",$AD1001)+1)-1))</f>
        <v/>
      </c>
      <c r="AD1001">
        <f>TRIM(MID(SUBSTITUTE($CA$994,"~",REPT(" ",600)),3601,600))</f>
        <v/>
      </c>
    </row>
    <row r="1002">
      <c r="B1002" s="180">
        <f>IF($AD1002="","",VALUE(LEFT($AD1002,FIND("|",$AD1002)-1)))</f>
        <v/>
      </c>
      <c r="C1002" s="180">
        <f>IF($AD1002="","","    "&amp;MID($AD1002,FIND("|",$AD1002)+1,FIND("|",$AD1002,FIND("|",$AD1002)+1)-FIND("|",$AD1002)-1))</f>
        <v/>
      </c>
      <c r="D1002" s="180">
        <f>IF($AD1002="","",MID($AD1002,FIND("|",$AD1002,FIND("|",$AD1002)+1)+1,FIND("|",$AD1002&amp;"|",FIND("|",$AD1002,FIND("|",$AD1002)+1)+1)-FIND("|",$AD1002,FIND("|",$AD1002)+1)-1))</f>
        <v/>
      </c>
      <c r="AD1002">
        <f>TRIM(MID(SUBSTITUTE($CA$994,"~",REPT(" ",600)),4201,600))</f>
        <v/>
      </c>
    </row>
    <row r="1003">
      <c r="B1003" s="180">
        <f>IF($AD1003="","",VALUE(LEFT($AD1003,FIND("|",$AD1003)-1)))</f>
        <v/>
      </c>
      <c r="C1003" s="180">
        <f>IF($AD1003="","","    "&amp;MID($AD1003,FIND("|",$AD1003)+1,FIND("|",$AD1003,FIND("|",$AD1003)+1)-FIND("|",$AD1003)-1))</f>
        <v/>
      </c>
      <c r="D1003" s="180">
        <f>IF($AD1003="","",MID($AD1003,FIND("|",$AD1003,FIND("|",$AD1003)+1)+1,FIND("|",$AD1003&amp;"|",FIND("|",$AD1003,FIND("|",$AD1003)+1)+1)-FIND("|",$AD1003,FIND("|",$AD1003)+1)-1))</f>
        <v/>
      </c>
      <c r="AD1003">
        <f>TRIM(MID(SUBSTITUTE($CA$994,"~",REPT(" ",600)),4801,600))</f>
        <v/>
      </c>
    </row>
    <row r="1004">
      <c r="B1004" s="180">
        <f>IF($AD1004="","",VALUE(LEFT($AD1004,FIND("|",$AD1004)-1)))</f>
        <v/>
      </c>
      <c r="C1004" s="180">
        <f>IF($AD1004="","","    "&amp;MID($AD1004,FIND("|",$AD1004)+1,FIND("|",$AD1004,FIND("|",$AD1004)+1)-FIND("|",$AD1004)-1))</f>
        <v/>
      </c>
      <c r="D1004" s="180">
        <f>IF($AD1004="","",MID($AD1004,FIND("|",$AD1004,FIND("|",$AD1004)+1)+1,FIND("|",$AD1004&amp;"|",FIND("|",$AD1004,FIND("|",$AD1004)+1)+1)-FIND("|",$AD1004,FIND("|",$AD1004)+1)-1))</f>
        <v/>
      </c>
      <c r="AD1004">
        <f>TRIM(MID(SUBSTITUTE($CA$994,"~",REPT(" ",600)),5401,600))</f>
        <v/>
      </c>
    </row>
    <row r="1005">
      <c r="B1005" s="180">
        <f>IF($AD1005="","",VALUE(LEFT($AD1005,FIND("|",$AD1005)-1)))</f>
        <v/>
      </c>
      <c r="C1005" s="180">
        <f>IF($AD1005="","","    "&amp;MID($AD1005,FIND("|",$AD1005)+1,FIND("|",$AD1005,FIND("|",$AD1005)+1)-FIND("|",$AD1005)-1))</f>
        <v/>
      </c>
      <c r="D1005" s="180">
        <f>IF($AD1005="","",MID($AD1005,FIND("|",$AD1005,FIND("|",$AD1005)+1)+1,FIND("|",$AD1005&amp;"|",FIND("|",$AD1005,FIND("|",$AD1005)+1)+1)-FIND("|",$AD1005,FIND("|",$AD1005)+1)-1))</f>
        <v/>
      </c>
      <c r="AD1005">
        <f>TRIM(MID(SUBSTITUTE($CA$994,"~",REPT(" ",600)),6001,600))</f>
        <v/>
      </c>
    </row>
    <row r="1006">
      <c r="A1006" s="178">
        <f>IF($AD$1006=0,"",$BK$1006)</f>
        <v/>
      </c>
      <c r="B1006" s="178">
        <f>IF($AD$1006=0,"",$AE$1006*N($BA$1006))</f>
        <v/>
      </c>
      <c r="C1006" s="178">
        <f>IF($AD$1006=0,"",$AE$1006*N($BA$1006)&amp;") "&amp;IF(COUNTIFS(tk_SODG,24,tk_HLEG,"&lt;&gt;"&amp;$BJ$1006)=0,INDEX(tk_DLINE,$AD$1006),INDEX(tk_DLINEN,$AD$1006)))</f>
        <v/>
      </c>
      <c r="D1006" s="178" t="n"/>
      <c r="E1006" s="179">
        <f t="array" ref="E1006">IF($AD$1006=0,"",_xlfn.TEXTJOIN(", ",TRUE,IF(tk_SODG=24,"#"&amp;tk_MARK&amp;IF(tk_HLEG="","","("&amp;tk_HLEG&amp;")")&amp;IF(tk_QTY&gt;1," ×"&amp;tk_QTY,""),"")))</f>
        <v/>
      </c>
      <c r="AD1006">
        <f>IFERROR(MATCH(24,tk_SODG,0),0)</f>
        <v/>
      </c>
      <c r="AE1006">
        <f>IF($AD$1006=0,0,SUMIF(tk_SODG,24,tk_QTY))</f>
        <v/>
      </c>
      <c r="AF1006">
        <f>IF($AD$1006=0,"",INDEX(tk_JAMB,$AD$1006))</f>
        <v/>
      </c>
      <c r="AG1006">
        <f>IF($AD$1006=0,"",INDEX(tk_ANCHOR,$AD$1006))</f>
        <v/>
      </c>
      <c r="AH1006">
        <f>IF($AD$1006=0,"",INDEX(tk_ANCH,$AD$1006))</f>
        <v/>
      </c>
      <c r="AI1006">
        <f>IF($AD$1006=0,"",INDEX(tk_BASEA,$AD$1006))</f>
        <v/>
      </c>
      <c r="AJ1006">
        <f>IF($AD$1006=0,"",INDEX(tk_CONSTR,$AD$1006))</f>
        <v/>
      </c>
      <c r="AK1006">
        <f>IF($AD$1006=0,"",INDEX(tk_CLOSER,$AD$1006))</f>
        <v/>
      </c>
      <c r="AL1006">
        <f>IF($AD$1006=0,"",INDEX(tk_STRIKE,$AD$1006))</f>
        <v/>
      </c>
      <c r="AM1006">
        <f>IF($AD$1006=0,"",INDEX(tk_HDRPREP,$AD$1006))</f>
        <v/>
      </c>
      <c r="AN1006">
        <f>IF($AD$1006=0,"",INDEX(tk_DMIN,$AD$1006))</f>
        <v/>
      </c>
      <c r="AO1006">
        <f>IF($AD$1006=0,"",INDEX(tk_PAIR,$AD$1006))</f>
        <v/>
      </c>
      <c r="AP1006">
        <f>IF($AD$1006=0,"",INDEX(tk_FGA,$AD$1006))</f>
        <v/>
      </c>
      <c r="AQ1006">
        <f>IF($AD$1006=0,"",INDEX(tk_WI,$AD$1006))</f>
        <v/>
      </c>
      <c r="AR1006">
        <f>IF($AD$1006=0,"",INDEX(tk_HI,$AD$1006))</f>
        <v/>
      </c>
      <c r="AS1006">
        <f>IF($AD$1006=0,"",INDEX(tk_FHINGE,$AD$1006))</f>
        <v/>
      </c>
      <c r="AT1006">
        <f>IF($AD$1006=0,"",INDEX(tk_DHINGE,$AD$1006))</f>
        <v/>
      </c>
      <c r="AU1006">
        <f>IF($AD$1006=0,"",INDEX(tk_HWLOC,$AD$1006))</f>
        <v/>
      </c>
      <c r="AV1006">
        <f>IF($AD$1006=0,"",INDEX(tk_MANUF,$AD$1006))</f>
        <v/>
      </c>
      <c r="AW1006">
        <f>IF($AD$1006=0,"",INDEX(tk_JH,$AD$1006))</f>
        <v/>
      </c>
      <c r="AX1006">
        <f>IF($AD$1006=0,"",INDEX(tk_FDESC,$AD$1006))</f>
        <v/>
      </c>
      <c r="AY1006">
        <f>IF($AD$1006=0,"",INDEX(tk_TRANS,$AD$1006))</f>
        <v/>
      </c>
      <c r="AZ1006">
        <f>IF($AD$1006=0,"",INDEX(tk_SLW,$AD$1006))</f>
        <v/>
      </c>
      <c r="BA1006">
        <f>IF($AD$1006=0,"",INDEX(tk_LEAVES,$AD$1006))</f>
        <v/>
      </c>
      <c r="BB1006">
        <f>IF($AD$1006=0,"",INDEX(tk_LEAFW,$AD$1006))</f>
        <v/>
      </c>
      <c r="BC1006">
        <f>IF($AD$1006=0,"",INDEX(tk_LEAFH,$AD$1006))</f>
        <v/>
      </c>
      <c r="BD1006">
        <f>IF($AD$1006=0,"",INDEX(tk_DMAT,$AD$1006))</f>
        <v/>
      </c>
      <c r="BE1006">
        <f>IF($AD$1006=0,"",INDEX(tk_DGA,$AD$1006))</f>
        <v/>
      </c>
      <c r="BF1006">
        <f>IF($AD$1006=0,"",INDEX(tk_SERIES,$AD$1006))</f>
        <v/>
      </c>
      <c r="BG1006">
        <f>IF($AD$1006=0,"",INDEX(tk_LOCK,$AD$1006))</f>
        <v/>
      </c>
      <c r="BH1006">
        <f>IF($AD$1006=0,"",INDEX(tk_LITEKIT,$AD$1006))</f>
        <v/>
      </c>
      <c r="BI1006">
        <f>IF($AD$1006=0,"",INDEX(tk_FACE,$AD$1006))</f>
        <v/>
      </c>
      <c r="BJ1006">
        <f>IF($AD$1006=0,"",INDEX(tk_HLEG,$AD$1006))</f>
        <v/>
      </c>
      <c r="BK1006">
        <f>IF($AD$1006=0,"",INDEX(tk_SOITEM,$AD$1006))</f>
        <v/>
      </c>
      <c r="BL1006">
        <f>IFERROR(VLOOKUP($AF$1006,CODES,2,FALSE),"")</f>
        <v/>
      </c>
      <c r="BM1006">
        <f>IF($AJ$1006="KD","C","M")</f>
        <v/>
      </c>
      <c r="BN1006">
        <f>IF(N($AR$1006)&lt;=80,80,IF(N($AR$1006)&lt;=84,84,IF(N($AR$1006)&lt;=96,96,N($AR$1006))))</f>
        <v/>
      </c>
      <c r="BO1006">
        <f>INT($BN$1006/12)&amp;MOD($BN$1006,12)</f>
        <v/>
      </c>
      <c r="BP1006">
        <f>INT(N($AQ$1006)/12)&amp;MOD(N($AQ$1006),12)</f>
        <v/>
      </c>
      <c r="BQ1006">
        <f>IF(OR($AU$1006="",$AU$1006="ANSI/SDI",$AU$1006="CUSTOM LOC"),IF($AV$1006="CU","CURRIES","STEELCRAFT"),$AU$1006)</f>
        <v/>
      </c>
      <c r="BR1006">
        <f>$AO$1006="Y"</f>
        <v/>
      </c>
      <c r="BS1006">
        <f>"~"</f>
        <v/>
      </c>
      <c r="BT1006">
        <f>$AE$1006*N($BA$1006)</f>
        <v/>
      </c>
      <c r="BU1006">
        <f>OR(LEFT($BD$1006,3)="OAK",LEFT($BD$1006,3)="BIR",LEFT($BD$1006,3)="MAP",$BD$1006="PC",$BD$1006="MC",$BD$1006="SCLC",$BD$1006="P-LAM")</f>
        <v/>
      </c>
      <c r="BV1006">
        <f>INT(N($AQ$1006)/MAX(1,N($BA$1006))/12)&amp;MOD(N($AQ$1006)/MAX(1,N($BA$1006)),12)</f>
        <v/>
      </c>
      <c r="BW1006">
        <f>IF(OR($BG$1006="G11",$BG$1006="G11A",$BG$1006="G12A"),"G2",IF(OR(LEFT($BG$1006,2)="G3",$BG$1006="G12"),"G3AEO",$BG$1006))</f>
        <v/>
      </c>
      <c r="BX1006">
        <f>"(Net size: "&amp;TRIM(TEXT(N($BB$1006),"# ?/??"))&amp;CHAR(34)&amp;" x "&amp;TRIM(TEXT(N($BC$1006),"# ?/??"))&amp;CHAR(34)&amp;")"</f>
        <v/>
      </c>
      <c r="BY1006">
        <f>IF(LEFT($BD$1006,3)="OAK","RED OAK",IF(LEFT($BD$1006,3)="BIR","BIRCH",IF(LEFT($BD$1006,3)="MAP","MAPLE","WOOD")))</f>
        <v/>
      </c>
      <c r="BZ1006">
        <f>IF(OR($AT$1006="U454",AND($AT$1006="",$AS$1006="U454")),"454","453")</f>
        <v/>
      </c>
      <c r="CA1006">
        <f>IF($AD$1006=0,"",IF($BU$1006,$BT$1006&amp;"|"&amp;$BV$1006&amp;$BO$1006&amp;" "&amp;$BY$1006&amp;" SLAB "&amp;IF(N($AN$1006)&gt;0,$AN$1006&amp;" MINUTE",IF(RIGHT($BD$1006,2)="MC","MC","SC")&amp;" WOOD DOOR")&amp;"|"&amp;$BX$1006&amp;"|"&amp;$BS$1006,$BT$1006&amp;"|"&amp;$BV$1006&amp;$BO$1006&amp;$BW$1006&amp;" BSC "&amp;$BQ$1006&amp;" DOOR "&amp;$BE$1006&amp;"Ga. Non-Handed "&amp;IF($BF$1006="","707",$BF$1006)&amp;"S Flush HM|"&amp;$BX$1006&amp;"|"&amp;$BS$1006)&amp;IF(N($AN$1006)&gt;0,$BT$1006&amp;"|"&amp;$AN$1006&amp;IF($BU$1006," MINUTE WARNOCK HERSHEY FIRE RATED WOOD LABEL"," MINUTE FOAM CORE STEEL DOOR LABEL (MODELS 607 &amp; 707)")&amp;"||"&amp;$BS$1006,"")&amp;IF(AND(NOT($BU$1006),OR($BG$1006="G11",$BG$1006="G11A",$BG$1006="G12",$BG$1006="G12A")),$AE$1006&amp;"|EXIT DEVICE PREP FOR HM DOOR||"&amp;$BS$1006,"")&amp;IF(AND(NOT($BU$1006),$BG$1006="G12"),$AE$1006&amp;"|DR 350 MORTISE LOCK FILLER PLATE||"&amp;$BS$1006,"")&amp;IF(AND(NOT($BU$1006),LEFT($BG$1006,2)="G3"),$AE$1006&amp;"|MORTISE LOCK PREP||"&amp;$BS$1006,"")&amp;IF($BU$1006,$BT$1006&amp;"|"&amp;IF($BG$1006="G18",$BZ$1006&amp;"-4 1/2"&amp;CHAR(34)&amp;"X4 1/2"&amp;CHAR(34)&amp;" HINGES ONLY PREP","HINGE PREP "&amp;$BZ$1006&amp;" WITH LOCK PREP")&amp;"|"&amp;$BQ$1006&amp;" LOC|"&amp;$BS$1006,"")&amp;IF(OR($BG$1006="G2G2",$BG$1006="G17",$BG$1006="E1E4"),$AE$1006&amp;"|"&amp;IF($BU$1006,"DDLP CYLINDRICAL DEADLOCK PREP","DOOR DEADLOCK PREP")&amp;"||"&amp;$BS$1006,"")&amp;IF(OR($BH$1006="FG",$BH$1006="HG",$BH$1006="FNV",$BH$1006="FV"),$BT$1006&amp;"|"&amp;$BI$1006&amp;" LITE KIT||"&amp;$BS$1006,IF($BH$1006="FL",$BT$1006&amp;"|"&amp;$BI$1006&amp;" LOUVER||"&amp;$BS$1006,IF($BH$1006="FP",$BT$1006&amp;"|DVP DOOR VIEWER PREP||"&amp;$BS$1006,"")))&amp;IF($BN$1006&gt;N($AR$1006),$BT$1006&amp;"|DCO DOOR CUT DOWN ONLY (HEIGHT)|Cut "&amp;TRIM(TEXT($BN$1006-N($AR$1006),"# ?/??"))&amp;CHAR(34)&amp;" OFF THE BOTTOM|"&amp;$BS$1006,""))</f>
        <v/>
      </c>
    </row>
    <row r="1007">
      <c r="B1007" s="180">
        <f>IF($AD1007="","",VALUE(LEFT($AD1007,FIND("|",$AD1007)-1)))</f>
        <v/>
      </c>
      <c r="C1007" s="180">
        <f>IF($AD1007="","","    "&amp;MID($AD1007,FIND("|",$AD1007)+1,FIND("|",$AD1007,FIND("|",$AD1007)+1)-FIND("|",$AD1007)-1))</f>
        <v/>
      </c>
      <c r="D1007" s="180">
        <f>IF($AD1007="","",MID($AD1007,FIND("|",$AD1007,FIND("|",$AD1007)+1)+1,FIND("|",$AD1007&amp;"|",FIND("|",$AD1007,FIND("|",$AD1007)+1)+1)-FIND("|",$AD1007,FIND("|",$AD1007)+1)-1))</f>
        <v/>
      </c>
      <c r="AD1007">
        <f>TRIM(MID(SUBSTITUTE($CA$1006,"~",REPT(" ",600)),1,600))</f>
        <v/>
      </c>
    </row>
    <row r="1008">
      <c r="B1008" s="180">
        <f>IF($AD1008="","",VALUE(LEFT($AD1008,FIND("|",$AD1008)-1)))</f>
        <v/>
      </c>
      <c r="C1008" s="180">
        <f>IF($AD1008="","","    "&amp;MID($AD1008,FIND("|",$AD1008)+1,FIND("|",$AD1008,FIND("|",$AD1008)+1)-FIND("|",$AD1008)-1))</f>
        <v/>
      </c>
      <c r="D1008" s="180">
        <f>IF($AD1008="","",MID($AD1008,FIND("|",$AD1008,FIND("|",$AD1008)+1)+1,FIND("|",$AD1008&amp;"|",FIND("|",$AD1008,FIND("|",$AD1008)+1)+1)-FIND("|",$AD1008,FIND("|",$AD1008)+1)-1))</f>
        <v/>
      </c>
      <c r="AD1008">
        <f>TRIM(MID(SUBSTITUTE($CA$1006,"~",REPT(" ",600)),601,600))</f>
        <v/>
      </c>
    </row>
    <row r="1009">
      <c r="B1009" s="180">
        <f>IF($AD1009="","",VALUE(LEFT($AD1009,FIND("|",$AD1009)-1)))</f>
        <v/>
      </c>
      <c r="C1009" s="180">
        <f>IF($AD1009="","","    "&amp;MID($AD1009,FIND("|",$AD1009)+1,FIND("|",$AD1009,FIND("|",$AD1009)+1)-FIND("|",$AD1009)-1))</f>
        <v/>
      </c>
      <c r="D1009" s="180">
        <f>IF($AD1009="","",MID($AD1009,FIND("|",$AD1009,FIND("|",$AD1009)+1)+1,FIND("|",$AD1009&amp;"|",FIND("|",$AD1009,FIND("|",$AD1009)+1)+1)-FIND("|",$AD1009,FIND("|",$AD1009)+1)-1))</f>
        <v/>
      </c>
      <c r="AD1009">
        <f>TRIM(MID(SUBSTITUTE($CA$1006,"~",REPT(" ",600)),1201,600))</f>
        <v/>
      </c>
    </row>
    <row r="1010">
      <c r="B1010" s="180">
        <f>IF($AD1010="","",VALUE(LEFT($AD1010,FIND("|",$AD1010)-1)))</f>
        <v/>
      </c>
      <c r="C1010" s="180">
        <f>IF($AD1010="","","    "&amp;MID($AD1010,FIND("|",$AD1010)+1,FIND("|",$AD1010,FIND("|",$AD1010)+1)-FIND("|",$AD1010)-1))</f>
        <v/>
      </c>
      <c r="D1010" s="180">
        <f>IF($AD1010="","",MID($AD1010,FIND("|",$AD1010,FIND("|",$AD1010)+1)+1,FIND("|",$AD1010&amp;"|",FIND("|",$AD1010,FIND("|",$AD1010)+1)+1)-FIND("|",$AD1010,FIND("|",$AD1010)+1)-1))</f>
        <v/>
      </c>
      <c r="AD1010">
        <f>TRIM(MID(SUBSTITUTE($CA$1006,"~",REPT(" ",600)),1801,600))</f>
        <v/>
      </c>
    </row>
    <row r="1011">
      <c r="B1011" s="180">
        <f>IF($AD1011="","",VALUE(LEFT($AD1011,FIND("|",$AD1011)-1)))</f>
        <v/>
      </c>
      <c r="C1011" s="180">
        <f>IF($AD1011="","","    "&amp;MID($AD1011,FIND("|",$AD1011)+1,FIND("|",$AD1011,FIND("|",$AD1011)+1)-FIND("|",$AD1011)-1))</f>
        <v/>
      </c>
      <c r="D1011" s="180">
        <f>IF($AD1011="","",MID($AD1011,FIND("|",$AD1011,FIND("|",$AD1011)+1)+1,FIND("|",$AD1011&amp;"|",FIND("|",$AD1011,FIND("|",$AD1011)+1)+1)-FIND("|",$AD1011,FIND("|",$AD1011)+1)-1))</f>
        <v/>
      </c>
      <c r="AD1011">
        <f>TRIM(MID(SUBSTITUTE($CA$1006,"~",REPT(" ",600)),2401,600))</f>
        <v/>
      </c>
    </row>
    <row r="1012">
      <c r="B1012" s="180">
        <f>IF($AD1012="","",VALUE(LEFT($AD1012,FIND("|",$AD1012)-1)))</f>
        <v/>
      </c>
      <c r="C1012" s="180">
        <f>IF($AD1012="","","    "&amp;MID($AD1012,FIND("|",$AD1012)+1,FIND("|",$AD1012,FIND("|",$AD1012)+1)-FIND("|",$AD1012)-1))</f>
        <v/>
      </c>
      <c r="D1012" s="180">
        <f>IF($AD1012="","",MID($AD1012,FIND("|",$AD1012,FIND("|",$AD1012)+1)+1,FIND("|",$AD1012&amp;"|",FIND("|",$AD1012,FIND("|",$AD1012)+1)+1)-FIND("|",$AD1012,FIND("|",$AD1012)+1)-1))</f>
        <v/>
      </c>
      <c r="AD1012">
        <f>TRIM(MID(SUBSTITUTE($CA$1006,"~",REPT(" ",600)),3001,600))</f>
        <v/>
      </c>
    </row>
    <row r="1013">
      <c r="B1013" s="180">
        <f>IF($AD1013="","",VALUE(LEFT($AD1013,FIND("|",$AD1013)-1)))</f>
        <v/>
      </c>
      <c r="C1013" s="180">
        <f>IF($AD1013="","","    "&amp;MID($AD1013,FIND("|",$AD1013)+1,FIND("|",$AD1013,FIND("|",$AD1013)+1)-FIND("|",$AD1013)-1))</f>
        <v/>
      </c>
      <c r="D1013" s="180">
        <f>IF($AD1013="","",MID($AD1013,FIND("|",$AD1013,FIND("|",$AD1013)+1)+1,FIND("|",$AD1013&amp;"|",FIND("|",$AD1013,FIND("|",$AD1013)+1)+1)-FIND("|",$AD1013,FIND("|",$AD1013)+1)-1))</f>
        <v/>
      </c>
      <c r="AD1013">
        <f>TRIM(MID(SUBSTITUTE($CA$1006,"~",REPT(" ",600)),3601,600))</f>
        <v/>
      </c>
    </row>
    <row r="1014">
      <c r="B1014" s="180">
        <f>IF($AD1014="","",VALUE(LEFT($AD1014,FIND("|",$AD1014)-1)))</f>
        <v/>
      </c>
      <c r="C1014" s="180">
        <f>IF($AD1014="","","    "&amp;MID($AD1014,FIND("|",$AD1014)+1,FIND("|",$AD1014,FIND("|",$AD1014)+1)-FIND("|",$AD1014)-1))</f>
        <v/>
      </c>
      <c r="D1014" s="180">
        <f>IF($AD1014="","",MID($AD1014,FIND("|",$AD1014,FIND("|",$AD1014)+1)+1,FIND("|",$AD1014&amp;"|",FIND("|",$AD1014,FIND("|",$AD1014)+1)+1)-FIND("|",$AD1014,FIND("|",$AD1014)+1)-1))</f>
        <v/>
      </c>
      <c r="AD1014">
        <f>TRIM(MID(SUBSTITUTE($CA$1006,"~",REPT(" ",600)),4201,600))</f>
        <v/>
      </c>
    </row>
    <row r="1015">
      <c r="B1015" s="180">
        <f>IF($AD1015="","",VALUE(LEFT($AD1015,FIND("|",$AD1015)-1)))</f>
        <v/>
      </c>
      <c r="C1015" s="180">
        <f>IF($AD1015="","","    "&amp;MID($AD1015,FIND("|",$AD1015)+1,FIND("|",$AD1015,FIND("|",$AD1015)+1)-FIND("|",$AD1015)-1))</f>
        <v/>
      </c>
      <c r="D1015" s="180">
        <f>IF($AD1015="","",MID($AD1015,FIND("|",$AD1015,FIND("|",$AD1015)+1)+1,FIND("|",$AD1015&amp;"|",FIND("|",$AD1015,FIND("|",$AD1015)+1)+1)-FIND("|",$AD1015,FIND("|",$AD1015)+1)-1))</f>
        <v/>
      </c>
      <c r="AD1015">
        <f>TRIM(MID(SUBSTITUTE($CA$1006,"~",REPT(" ",600)),4801,600))</f>
        <v/>
      </c>
    </row>
    <row r="1016">
      <c r="B1016" s="180">
        <f>IF($AD1016="","",VALUE(LEFT($AD1016,FIND("|",$AD1016)-1)))</f>
        <v/>
      </c>
      <c r="C1016" s="180">
        <f>IF($AD1016="","","    "&amp;MID($AD1016,FIND("|",$AD1016)+1,FIND("|",$AD1016,FIND("|",$AD1016)+1)-FIND("|",$AD1016)-1))</f>
        <v/>
      </c>
      <c r="D1016" s="180">
        <f>IF($AD1016="","",MID($AD1016,FIND("|",$AD1016,FIND("|",$AD1016)+1)+1,FIND("|",$AD1016&amp;"|",FIND("|",$AD1016,FIND("|",$AD1016)+1)+1)-FIND("|",$AD1016,FIND("|",$AD1016)+1)-1))</f>
        <v/>
      </c>
      <c r="AD1016">
        <f>TRIM(MID(SUBSTITUTE($CA$1006,"~",REPT(" ",600)),5401,600))</f>
        <v/>
      </c>
    </row>
    <row r="1017">
      <c r="B1017" s="180">
        <f>IF($AD1017="","",VALUE(LEFT($AD1017,FIND("|",$AD1017)-1)))</f>
        <v/>
      </c>
      <c r="C1017" s="180">
        <f>IF($AD1017="","","    "&amp;MID($AD1017,FIND("|",$AD1017)+1,FIND("|",$AD1017,FIND("|",$AD1017)+1)-FIND("|",$AD1017)-1))</f>
        <v/>
      </c>
      <c r="D1017" s="180">
        <f>IF($AD1017="","",MID($AD1017,FIND("|",$AD1017,FIND("|",$AD1017)+1)+1,FIND("|",$AD1017&amp;"|",FIND("|",$AD1017,FIND("|",$AD1017)+1)+1)-FIND("|",$AD1017,FIND("|",$AD1017)+1)-1))</f>
        <v/>
      </c>
      <c r="AD1017">
        <f>TRIM(MID(SUBSTITUTE($CA$1006,"~",REPT(" ",600)),6001,600))</f>
        <v/>
      </c>
    </row>
    <row r="1018">
      <c r="A1018" s="178">
        <f>IF($AD$1018=0,"",$BK$1018)</f>
        <v/>
      </c>
      <c r="B1018" s="178">
        <f>IF($AD$1018=0,"",$AE$1018*N($BA$1018))</f>
        <v/>
      </c>
      <c r="C1018" s="178">
        <f>IF($AD$1018=0,"",$AE$1018*N($BA$1018)&amp;") "&amp;IF(COUNTIFS(tk_SODG,25,tk_HLEG,"&lt;&gt;"&amp;$BJ$1018)=0,INDEX(tk_DLINE,$AD$1018),INDEX(tk_DLINEN,$AD$1018)))</f>
        <v/>
      </c>
      <c r="D1018" s="178" t="n"/>
      <c r="E1018" s="179">
        <f t="array" ref="E1018">IF($AD$1018=0,"",_xlfn.TEXTJOIN(", ",TRUE,IF(tk_SODG=25,"#"&amp;tk_MARK&amp;IF(tk_HLEG="","","("&amp;tk_HLEG&amp;")")&amp;IF(tk_QTY&gt;1," ×"&amp;tk_QTY,""),"")))</f>
        <v/>
      </c>
      <c r="AD1018">
        <f>IFERROR(MATCH(25,tk_SODG,0),0)</f>
        <v/>
      </c>
      <c r="AE1018">
        <f>IF($AD$1018=0,0,SUMIF(tk_SODG,25,tk_QTY))</f>
        <v/>
      </c>
      <c r="AF1018">
        <f>IF($AD$1018=0,"",INDEX(tk_JAMB,$AD$1018))</f>
        <v/>
      </c>
      <c r="AG1018">
        <f>IF($AD$1018=0,"",INDEX(tk_ANCHOR,$AD$1018))</f>
        <v/>
      </c>
      <c r="AH1018">
        <f>IF($AD$1018=0,"",INDEX(tk_ANCH,$AD$1018))</f>
        <v/>
      </c>
      <c r="AI1018">
        <f>IF($AD$1018=0,"",INDEX(tk_BASEA,$AD$1018))</f>
        <v/>
      </c>
      <c r="AJ1018">
        <f>IF($AD$1018=0,"",INDEX(tk_CONSTR,$AD$1018))</f>
        <v/>
      </c>
      <c r="AK1018">
        <f>IF($AD$1018=0,"",INDEX(tk_CLOSER,$AD$1018))</f>
        <v/>
      </c>
      <c r="AL1018">
        <f>IF($AD$1018=0,"",INDEX(tk_STRIKE,$AD$1018))</f>
        <v/>
      </c>
      <c r="AM1018">
        <f>IF($AD$1018=0,"",INDEX(tk_HDRPREP,$AD$1018))</f>
        <v/>
      </c>
      <c r="AN1018">
        <f>IF($AD$1018=0,"",INDEX(tk_DMIN,$AD$1018))</f>
        <v/>
      </c>
      <c r="AO1018">
        <f>IF($AD$1018=0,"",INDEX(tk_PAIR,$AD$1018))</f>
        <v/>
      </c>
      <c r="AP1018">
        <f>IF($AD$1018=0,"",INDEX(tk_FGA,$AD$1018))</f>
        <v/>
      </c>
      <c r="AQ1018">
        <f>IF($AD$1018=0,"",INDEX(tk_WI,$AD$1018))</f>
        <v/>
      </c>
      <c r="AR1018">
        <f>IF($AD$1018=0,"",INDEX(tk_HI,$AD$1018))</f>
        <v/>
      </c>
      <c r="AS1018">
        <f>IF($AD$1018=0,"",INDEX(tk_FHINGE,$AD$1018))</f>
        <v/>
      </c>
      <c r="AT1018">
        <f>IF($AD$1018=0,"",INDEX(tk_DHINGE,$AD$1018))</f>
        <v/>
      </c>
      <c r="AU1018">
        <f>IF($AD$1018=0,"",INDEX(tk_HWLOC,$AD$1018))</f>
        <v/>
      </c>
      <c r="AV1018">
        <f>IF($AD$1018=0,"",INDEX(tk_MANUF,$AD$1018))</f>
        <v/>
      </c>
      <c r="AW1018">
        <f>IF($AD$1018=0,"",INDEX(tk_JH,$AD$1018))</f>
        <v/>
      </c>
      <c r="AX1018">
        <f>IF($AD$1018=0,"",INDEX(tk_FDESC,$AD$1018))</f>
        <v/>
      </c>
      <c r="AY1018">
        <f>IF($AD$1018=0,"",INDEX(tk_TRANS,$AD$1018))</f>
        <v/>
      </c>
      <c r="AZ1018">
        <f>IF($AD$1018=0,"",INDEX(tk_SLW,$AD$1018))</f>
        <v/>
      </c>
      <c r="BA1018">
        <f>IF($AD$1018=0,"",INDEX(tk_LEAVES,$AD$1018))</f>
        <v/>
      </c>
      <c r="BB1018">
        <f>IF($AD$1018=0,"",INDEX(tk_LEAFW,$AD$1018))</f>
        <v/>
      </c>
      <c r="BC1018">
        <f>IF($AD$1018=0,"",INDEX(tk_LEAFH,$AD$1018))</f>
        <v/>
      </c>
      <c r="BD1018">
        <f>IF($AD$1018=0,"",INDEX(tk_DMAT,$AD$1018))</f>
        <v/>
      </c>
      <c r="BE1018">
        <f>IF($AD$1018=0,"",INDEX(tk_DGA,$AD$1018))</f>
        <v/>
      </c>
      <c r="BF1018">
        <f>IF($AD$1018=0,"",INDEX(tk_SERIES,$AD$1018))</f>
        <v/>
      </c>
      <c r="BG1018">
        <f>IF($AD$1018=0,"",INDEX(tk_LOCK,$AD$1018))</f>
        <v/>
      </c>
      <c r="BH1018">
        <f>IF($AD$1018=0,"",INDEX(tk_LITEKIT,$AD$1018))</f>
        <v/>
      </c>
      <c r="BI1018">
        <f>IF($AD$1018=0,"",INDEX(tk_FACE,$AD$1018))</f>
        <v/>
      </c>
      <c r="BJ1018">
        <f>IF($AD$1018=0,"",INDEX(tk_HLEG,$AD$1018))</f>
        <v/>
      </c>
      <c r="BK1018">
        <f>IF($AD$1018=0,"",INDEX(tk_SOITEM,$AD$1018))</f>
        <v/>
      </c>
      <c r="BL1018">
        <f>IFERROR(VLOOKUP($AF$1018,CODES,2,FALSE),"")</f>
        <v/>
      </c>
      <c r="BM1018">
        <f>IF($AJ$1018="KD","C","M")</f>
        <v/>
      </c>
      <c r="BN1018">
        <f>IF(N($AR$1018)&lt;=80,80,IF(N($AR$1018)&lt;=84,84,IF(N($AR$1018)&lt;=96,96,N($AR$1018))))</f>
        <v/>
      </c>
      <c r="BO1018">
        <f>INT($BN$1018/12)&amp;MOD($BN$1018,12)</f>
        <v/>
      </c>
      <c r="BP1018">
        <f>INT(N($AQ$1018)/12)&amp;MOD(N($AQ$1018),12)</f>
        <v/>
      </c>
      <c r="BQ1018">
        <f>IF(OR($AU$1018="",$AU$1018="ANSI/SDI",$AU$1018="CUSTOM LOC"),IF($AV$1018="CU","CURRIES","STEELCRAFT"),$AU$1018)</f>
        <v/>
      </c>
      <c r="BR1018">
        <f>$AO$1018="Y"</f>
        <v/>
      </c>
      <c r="BS1018">
        <f>"~"</f>
        <v/>
      </c>
      <c r="BT1018">
        <f>$AE$1018*N($BA$1018)</f>
        <v/>
      </c>
      <c r="BU1018">
        <f>OR(LEFT($BD$1018,3)="OAK",LEFT($BD$1018,3)="BIR",LEFT($BD$1018,3)="MAP",$BD$1018="PC",$BD$1018="MC",$BD$1018="SCLC",$BD$1018="P-LAM")</f>
        <v/>
      </c>
      <c r="BV1018">
        <f>INT(N($AQ$1018)/MAX(1,N($BA$1018))/12)&amp;MOD(N($AQ$1018)/MAX(1,N($BA$1018)),12)</f>
        <v/>
      </c>
      <c r="BW1018">
        <f>IF(OR($BG$1018="G11",$BG$1018="G11A",$BG$1018="G12A"),"G2",IF(OR(LEFT($BG$1018,2)="G3",$BG$1018="G12"),"G3AEO",$BG$1018))</f>
        <v/>
      </c>
      <c r="BX1018">
        <f>"(Net size: "&amp;TRIM(TEXT(N($BB$1018),"# ?/??"))&amp;CHAR(34)&amp;" x "&amp;TRIM(TEXT(N($BC$1018),"# ?/??"))&amp;CHAR(34)&amp;")"</f>
        <v/>
      </c>
      <c r="BY1018">
        <f>IF(LEFT($BD$1018,3)="OAK","RED OAK",IF(LEFT($BD$1018,3)="BIR","BIRCH",IF(LEFT($BD$1018,3)="MAP","MAPLE","WOOD")))</f>
        <v/>
      </c>
      <c r="BZ1018">
        <f>IF(OR($AT$1018="U454",AND($AT$1018="",$AS$1018="U454")),"454","453")</f>
        <v/>
      </c>
      <c r="CA1018">
        <f>IF($AD$1018=0,"",IF($BU$1018,$BT$1018&amp;"|"&amp;$BV$1018&amp;$BO$1018&amp;" "&amp;$BY$1018&amp;" SLAB "&amp;IF(N($AN$1018)&gt;0,$AN$1018&amp;" MINUTE",IF(RIGHT($BD$1018,2)="MC","MC","SC")&amp;" WOOD DOOR")&amp;"|"&amp;$BX$1018&amp;"|"&amp;$BS$1018,$BT$1018&amp;"|"&amp;$BV$1018&amp;$BO$1018&amp;$BW$1018&amp;" BSC "&amp;$BQ$1018&amp;" DOOR "&amp;$BE$1018&amp;"Ga. Non-Handed "&amp;IF($BF$1018="","707",$BF$1018)&amp;"S Flush HM|"&amp;$BX$1018&amp;"|"&amp;$BS$1018)&amp;IF(N($AN$1018)&gt;0,$BT$1018&amp;"|"&amp;$AN$1018&amp;IF($BU$1018," MINUTE WARNOCK HERSHEY FIRE RATED WOOD LABEL"," MINUTE FOAM CORE STEEL DOOR LABEL (MODELS 607 &amp; 707)")&amp;"||"&amp;$BS$1018,"")&amp;IF(AND(NOT($BU$1018),OR($BG$1018="G11",$BG$1018="G11A",$BG$1018="G12",$BG$1018="G12A")),$AE$1018&amp;"|EXIT DEVICE PREP FOR HM DOOR||"&amp;$BS$1018,"")&amp;IF(AND(NOT($BU$1018),$BG$1018="G12"),$AE$1018&amp;"|DR 350 MORTISE LOCK FILLER PLATE||"&amp;$BS$1018,"")&amp;IF(AND(NOT($BU$1018),LEFT($BG$1018,2)="G3"),$AE$1018&amp;"|MORTISE LOCK PREP||"&amp;$BS$1018,"")&amp;IF($BU$1018,$BT$1018&amp;"|"&amp;IF($BG$1018="G18",$BZ$1018&amp;"-4 1/2"&amp;CHAR(34)&amp;"X4 1/2"&amp;CHAR(34)&amp;" HINGES ONLY PREP","HINGE PREP "&amp;$BZ$1018&amp;" WITH LOCK PREP")&amp;"|"&amp;$BQ$1018&amp;" LOC|"&amp;$BS$1018,"")&amp;IF(OR($BG$1018="G2G2",$BG$1018="G17",$BG$1018="E1E4"),$AE$1018&amp;"|"&amp;IF($BU$1018,"DDLP CYLINDRICAL DEADLOCK PREP","DOOR DEADLOCK PREP")&amp;"||"&amp;$BS$1018,"")&amp;IF(OR($BH$1018="FG",$BH$1018="HG",$BH$1018="FNV",$BH$1018="FV"),$BT$1018&amp;"|"&amp;$BI$1018&amp;" LITE KIT||"&amp;$BS$1018,IF($BH$1018="FL",$BT$1018&amp;"|"&amp;$BI$1018&amp;" LOUVER||"&amp;$BS$1018,IF($BH$1018="FP",$BT$1018&amp;"|DVP DOOR VIEWER PREP||"&amp;$BS$1018,"")))&amp;IF($BN$1018&gt;N($AR$1018),$BT$1018&amp;"|DCO DOOR CUT DOWN ONLY (HEIGHT)|Cut "&amp;TRIM(TEXT($BN$1018-N($AR$1018),"# ?/??"))&amp;CHAR(34)&amp;" OFF THE BOTTOM|"&amp;$BS$1018,""))</f>
        <v/>
      </c>
    </row>
    <row r="1019">
      <c r="B1019" s="180">
        <f>IF($AD1019="","",VALUE(LEFT($AD1019,FIND("|",$AD1019)-1)))</f>
        <v/>
      </c>
      <c r="C1019" s="180">
        <f>IF($AD1019="","","    "&amp;MID($AD1019,FIND("|",$AD1019)+1,FIND("|",$AD1019,FIND("|",$AD1019)+1)-FIND("|",$AD1019)-1))</f>
        <v/>
      </c>
      <c r="D1019" s="180">
        <f>IF($AD1019="","",MID($AD1019,FIND("|",$AD1019,FIND("|",$AD1019)+1)+1,FIND("|",$AD1019&amp;"|",FIND("|",$AD1019,FIND("|",$AD1019)+1)+1)-FIND("|",$AD1019,FIND("|",$AD1019)+1)-1))</f>
        <v/>
      </c>
      <c r="AD1019">
        <f>TRIM(MID(SUBSTITUTE($CA$1018,"~",REPT(" ",600)),1,600))</f>
        <v/>
      </c>
    </row>
    <row r="1020">
      <c r="B1020" s="180">
        <f>IF($AD1020="","",VALUE(LEFT($AD1020,FIND("|",$AD1020)-1)))</f>
        <v/>
      </c>
      <c r="C1020" s="180">
        <f>IF($AD1020="","","    "&amp;MID($AD1020,FIND("|",$AD1020)+1,FIND("|",$AD1020,FIND("|",$AD1020)+1)-FIND("|",$AD1020)-1))</f>
        <v/>
      </c>
      <c r="D1020" s="180">
        <f>IF($AD1020="","",MID($AD1020,FIND("|",$AD1020,FIND("|",$AD1020)+1)+1,FIND("|",$AD1020&amp;"|",FIND("|",$AD1020,FIND("|",$AD1020)+1)+1)-FIND("|",$AD1020,FIND("|",$AD1020)+1)-1))</f>
        <v/>
      </c>
      <c r="AD1020">
        <f>TRIM(MID(SUBSTITUTE($CA$1018,"~",REPT(" ",600)),601,600))</f>
        <v/>
      </c>
    </row>
    <row r="1021">
      <c r="B1021" s="180">
        <f>IF($AD1021="","",VALUE(LEFT($AD1021,FIND("|",$AD1021)-1)))</f>
        <v/>
      </c>
      <c r="C1021" s="180">
        <f>IF($AD1021="","","    "&amp;MID($AD1021,FIND("|",$AD1021)+1,FIND("|",$AD1021,FIND("|",$AD1021)+1)-FIND("|",$AD1021)-1))</f>
        <v/>
      </c>
      <c r="D1021" s="180">
        <f>IF($AD1021="","",MID($AD1021,FIND("|",$AD1021,FIND("|",$AD1021)+1)+1,FIND("|",$AD1021&amp;"|",FIND("|",$AD1021,FIND("|",$AD1021)+1)+1)-FIND("|",$AD1021,FIND("|",$AD1021)+1)-1))</f>
        <v/>
      </c>
      <c r="AD1021">
        <f>TRIM(MID(SUBSTITUTE($CA$1018,"~",REPT(" ",600)),1201,600))</f>
        <v/>
      </c>
    </row>
    <row r="1022">
      <c r="B1022" s="180">
        <f>IF($AD1022="","",VALUE(LEFT($AD1022,FIND("|",$AD1022)-1)))</f>
        <v/>
      </c>
      <c r="C1022" s="180">
        <f>IF($AD1022="","","    "&amp;MID($AD1022,FIND("|",$AD1022)+1,FIND("|",$AD1022,FIND("|",$AD1022)+1)-FIND("|",$AD1022)-1))</f>
        <v/>
      </c>
      <c r="D1022" s="180">
        <f>IF($AD1022="","",MID($AD1022,FIND("|",$AD1022,FIND("|",$AD1022)+1)+1,FIND("|",$AD1022&amp;"|",FIND("|",$AD1022,FIND("|",$AD1022)+1)+1)-FIND("|",$AD1022,FIND("|",$AD1022)+1)-1))</f>
        <v/>
      </c>
      <c r="AD1022">
        <f>TRIM(MID(SUBSTITUTE($CA$1018,"~",REPT(" ",600)),1801,600))</f>
        <v/>
      </c>
    </row>
    <row r="1023">
      <c r="B1023" s="180">
        <f>IF($AD1023="","",VALUE(LEFT($AD1023,FIND("|",$AD1023)-1)))</f>
        <v/>
      </c>
      <c r="C1023" s="180">
        <f>IF($AD1023="","","    "&amp;MID($AD1023,FIND("|",$AD1023)+1,FIND("|",$AD1023,FIND("|",$AD1023)+1)-FIND("|",$AD1023)-1))</f>
        <v/>
      </c>
      <c r="D1023" s="180">
        <f>IF($AD1023="","",MID($AD1023,FIND("|",$AD1023,FIND("|",$AD1023)+1)+1,FIND("|",$AD1023&amp;"|",FIND("|",$AD1023,FIND("|",$AD1023)+1)+1)-FIND("|",$AD1023,FIND("|",$AD1023)+1)-1))</f>
        <v/>
      </c>
      <c r="AD1023">
        <f>TRIM(MID(SUBSTITUTE($CA$1018,"~",REPT(" ",600)),2401,600))</f>
        <v/>
      </c>
    </row>
    <row r="1024">
      <c r="B1024" s="180">
        <f>IF($AD1024="","",VALUE(LEFT($AD1024,FIND("|",$AD1024)-1)))</f>
        <v/>
      </c>
      <c r="C1024" s="180">
        <f>IF($AD1024="","","    "&amp;MID($AD1024,FIND("|",$AD1024)+1,FIND("|",$AD1024,FIND("|",$AD1024)+1)-FIND("|",$AD1024)-1))</f>
        <v/>
      </c>
      <c r="D1024" s="180">
        <f>IF($AD1024="","",MID($AD1024,FIND("|",$AD1024,FIND("|",$AD1024)+1)+1,FIND("|",$AD1024&amp;"|",FIND("|",$AD1024,FIND("|",$AD1024)+1)+1)-FIND("|",$AD1024,FIND("|",$AD1024)+1)-1))</f>
        <v/>
      </c>
      <c r="AD1024">
        <f>TRIM(MID(SUBSTITUTE($CA$1018,"~",REPT(" ",600)),3001,600))</f>
        <v/>
      </c>
    </row>
    <row r="1025">
      <c r="B1025" s="180">
        <f>IF($AD1025="","",VALUE(LEFT($AD1025,FIND("|",$AD1025)-1)))</f>
        <v/>
      </c>
      <c r="C1025" s="180">
        <f>IF($AD1025="","","    "&amp;MID($AD1025,FIND("|",$AD1025)+1,FIND("|",$AD1025,FIND("|",$AD1025)+1)-FIND("|",$AD1025)-1))</f>
        <v/>
      </c>
      <c r="D1025" s="180">
        <f>IF($AD1025="","",MID($AD1025,FIND("|",$AD1025,FIND("|",$AD1025)+1)+1,FIND("|",$AD1025&amp;"|",FIND("|",$AD1025,FIND("|",$AD1025)+1)+1)-FIND("|",$AD1025,FIND("|",$AD1025)+1)-1))</f>
        <v/>
      </c>
      <c r="AD1025">
        <f>TRIM(MID(SUBSTITUTE($CA$1018,"~",REPT(" ",600)),3601,600))</f>
        <v/>
      </c>
    </row>
    <row r="1026">
      <c r="B1026" s="180">
        <f>IF($AD1026="","",VALUE(LEFT($AD1026,FIND("|",$AD1026)-1)))</f>
        <v/>
      </c>
      <c r="C1026" s="180">
        <f>IF($AD1026="","","    "&amp;MID($AD1026,FIND("|",$AD1026)+1,FIND("|",$AD1026,FIND("|",$AD1026)+1)-FIND("|",$AD1026)-1))</f>
        <v/>
      </c>
      <c r="D1026" s="180">
        <f>IF($AD1026="","",MID($AD1026,FIND("|",$AD1026,FIND("|",$AD1026)+1)+1,FIND("|",$AD1026&amp;"|",FIND("|",$AD1026,FIND("|",$AD1026)+1)+1)-FIND("|",$AD1026,FIND("|",$AD1026)+1)-1))</f>
        <v/>
      </c>
      <c r="AD1026">
        <f>TRIM(MID(SUBSTITUTE($CA$1018,"~",REPT(" ",600)),4201,600))</f>
        <v/>
      </c>
    </row>
    <row r="1027">
      <c r="B1027" s="180">
        <f>IF($AD1027="","",VALUE(LEFT($AD1027,FIND("|",$AD1027)-1)))</f>
        <v/>
      </c>
      <c r="C1027" s="180">
        <f>IF($AD1027="","","    "&amp;MID($AD1027,FIND("|",$AD1027)+1,FIND("|",$AD1027,FIND("|",$AD1027)+1)-FIND("|",$AD1027)-1))</f>
        <v/>
      </c>
      <c r="D1027" s="180">
        <f>IF($AD1027="","",MID($AD1027,FIND("|",$AD1027,FIND("|",$AD1027)+1)+1,FIND("|",$AD1027&amp;"|",FIND("|",$AD1027,FIND("|",$AD1027)+1)+1)-FIND("|",$AD1027,FIND("|",$AD1027)+1)-1))</f>
        <v/>
      </c>
      <c r="AD1027">
        <f>TRIM(MID(SUBSTITUTE($CA$1018,"~",REPT(" ",600)),4801,600))</f>
        <v/>
      </c>
    </row>
    <row r="1028">
      <c r="B1028" s="180">
        <f>IF($AD1028="","",VALUE(LEFT($AD1028,FIND("|",$AD1028)-1)))</f>
        <v/>
      </c>
      <c r="C1028" s="180">
        <f>IF($AD1028="","","    "&amp;MID($AD1028,FIND("|",$AD1028)+1,FIND("|",$AD1028,FIND("|",$AD1028)+1)-FIND("|",$AD1028)-1))</f>
        <v/>
      </c>
      <c r="D1028" s="180">
        <f>IF($AD1028="","",MID($AD1028,FIND("|",$AD1028,FIND("|",$AD1028)+1)+1,FIND("|",$AD1028&amp;"|",FIND("|",$AD1028,FIND("|",$AD1028)+1)+1)-FIND("|",$AD1028,FIND("|",$AD1028)+1)-1))</f>
        <v/>
      </c>
      <c r="AD1028">
        <f>TRIM(MID(SUBSTITUTE($CA$1018,"~",REPT(" ",600)),5401,600))</f>
        <v/>
      </c>
    </row>
    <row r="1029">
      <c r="B1029" s="180">
        <f>IF($AD1029="","",VALUE(LEFT($AD1029,FIND("|",$AD1029)-1)))</f>
        <v/>
      </c>
      <c r="C1029" s="180">
        <f>IF($AD1029="","","    "&amp;MID($AD1029,FIND("|",$AD1029)+1,FIND("|",$AD1029,FIND("|",$AD1029)+1)-FIND("|",$AD1029)-1))</f>
        <v/>
      </c>
      <c r="D1029" s="180">
        <f>IF($AD1029="","",MID($AD1029,FIND("|",$AD1029,FIND("|",$AD1029)+1)+1,FIND("|",$AD1029&amp;"|",FIND("|",$AD1029,FIND("|",$AD1029)+1)+1)-FIND("|",$AD1029,FIND("|",$AD1029)+1)-1))</f>
        <v/>
      </c>
      <c r="AD1029">
        <f>TRIM(MID(SUBSTITUTE($CA$1018,"~",REPT(" ",600)),6001,600))</f>
        <v/>
      </c>
    </row>
    <row r="1030">
      <c r="A1030" s="178">
        <f>IF($AD$1030=0,"",$BK$1030)</f>
        <v/>
      </c>
      <c r="B1030" s="178">
        <f>IF($AD$1030=0,"",$AE$1030*N($BA$1030))</f>
        <v/>
      </c>
      <c r="C1030" s="178">
        <f>IF($AD$1030=0,"",$AE$1030*N($BA$1030)&amp;") "&amp;IF(COUNTIFS(tk_SODG,26,tk_HLEG,"&lt;&gt;"&amp;$BJ$1030)=0,INDEX(tk_DLINE,$AD$1030),INDEX(tk_DLINEN,$AD$1030)))</f>
        <v/>
      </c>
      <c r="D1030" s="178" t="n"/>
      <c r="E1030" s="179">
        <f t="array" ref="E1030">IF($AD$1030=0,"",_xlfn.TEXTJOIN(", ",TRUE,IF(tk_SODG=26,"#"&amp;tk_MARK&amp;IF(tk_HLEG="","","("&amp;tk_HLEG&amp;")")&amp;IF(tk_QTY&gt;1," ×"&amp;tk_QTY,""),"")))</f>
        <v/>
      </c>
      <c r="AD1030">
        <f>IFERROR(MATCH(26,tk_SODG,0),0)</f>
        <v/>
      </c>
      <c r="AE1030">
        <f>IF($AD$1030=0,0,SUMIF(tk_SODG,26,tk_QTY))</f>
        <v/>
      </c>
      <c r="AF1030">
        <f>IF($AD$1030=0,"",INDEX(tk_JAMB,$AD$1030))</f>
        <v/>
      </c>
      <c r="AG1030">
        <f>IF($AD$1030=0,"",INDEX(tk_ANCHOR,$AD$1030))</f>
        <v/>
      </c>
      <c r="AH1030">
        <f>IF($AD$1030=0,"",INDEX(tk_ANCH,$AD$1030))</f>
        <v/>
      </c>
      <c r="AI1030">
        <f>IF($AD$1030=0,"",INDEX(tk_BASEA,$AD$1030))</f>
        <v/>
      </c>
      <c r="AJ1030">
        <f>IF($AD$1030=0,"",INDEX(tk_CONSTR,$AD$1030))</f>
        <v/>
      </c>
      <c r="AK1030">
        <f>IF($AD$1030=0,"",INDEX(tk_CLOSER,$AD$1030))</f>
        <v/>
      </c>
      <c r="AL1030">
        <f>IF($AD$1030=0,"",INDEX(tk_STRIKE,$AD$1030))</f>
        <v/>
      </c>
      <c r="AM1030">
        <f>IF($AD$1030=0,"",INDEX(tk_HDRPREP,$AD$1030))</f>
        <v/>
      </c>
      <c r="AN1030">
        <f>IF($AD$1030=0,"",INDEX(tk_DMIN,$AD$1030))</f>
        <v/>
      </c>
      <c r="AO1030">
        <f>IF($AD$1030=0,"",INDEX(tk_PAIR,$AD$1030))</f>
        <v/>
      </c>
      <c r="AP1030">
        <f>IF($AD$1030=0,"",INDEX(tk_FGA,$AD$1030))</f>
        <v/>
      </c>
      <c r="AQ1030">
        <f>IF($AD$1030=0,"",INDEX(tk_WI,$AD$1030))</f>
        <v/>
      </c>
      <c r="AR1030">
        <f>IF($AD$1030=0,"",INDEX(tk_HI,$AD$1030))</f>
        <v/>
      </c>
      <c r="AS1030">
        <f>IF($AD$1030=0,"",INDEX(tk_FHINGE,$AD$1030))</f>
        <v/>
      </c>
      <c r="AT1030">
        <f>IF($AD$1030=0,"",INDEX(tk_DHINGE,$AD$1030))</f>
        <v/>
      </c>
      <c r="AU1030">
        <f>IF($AD$1030=0,"",INDEX(tk_HWLOC,$AD$1030))</f>
        <v/>
      </c>
      <c r="AV1030">
        <f>IF($AD$1030=0,"",INDEX(tk_MANUF,$AD$1030))</f>
        <v/>
      </c>
      <c r="AW1030">
        <f>IF($AD$1030=0,"",INDEX(tk_JH,$AD$1030))</f>
        <v/>
      </c>
      <c r="AX1030">
        <f>IF($AD$1030=0,"",INDEX(tk_FDESC,$AD$1030))</f>
        <v/>
      </c>
      <c r="AY1030">
        <f>IF($AD$1030=0,"",INDEX(tk_TRANS,$AD$1030))</f>
        <v/>
      </c>
      <c r="AZ1030">
        <f>IF($AD$1030=0,"",INDEX(tk_SLW,$AD$1030))</f>
        <v/>
      </c>
      <c r="BA1030">
        <f>IF($AD$1030=0,"",INDEX(tk_LEAVES,$AD$1030))</f>
        <v/>
      </c>
      <c r="BB1030">
        <f>IF($AD$1030=0,"",INDEX(tk_LEAFW,$AD$1030))</f>
        <v/>
      </c>
      <c r="BC1030">
        <f>IF($AD$1030=0,"",INDEX(tk_LEAFH,$AD$1030))</f>
        <v/>
      </c>
      <c r="BD1030">
        <f>IF($AD$1030=0,"",INDEX(tk_DMAT,$AD$1030))</f>
        <v/>
      </c>
      <c r="BE1030">
        <f>IF($AD$1030=0,"",INDEX(tk_DGA,$AD$1030))</f>
        <v/>
      </c>
      <c r="BF1030">
        <f>IF($AD$1030=0,"",INDEX(tk_SERIES,$AD$1030))</f>
        <v/>
      </c>
      <c r="BG1030">
        <f>IF($AD$1030=0,"",INDEX(tk_LOCK,$AD$1030))</f>
        <v/>
      </c>
      <c r="BH1030">
        <f>IF($AD$1030=0,"",INDEX(tk_LITEKIT,$AD$1030))</f>
        <v/>
      </c>
      <c r="BI1030">
        <f>IF($AD$1030=0,"",INDEX(tk_FACE,$AD$1030))</f>
        <v/>
      </c>
      <c r="BJ1030">
        <f>IF($AD$1030=0,"",INDEX(tk_HLEG,$AD$1030))</f>
        <v/>
      </c>
      <c r="BK1030">
        <f>IF($AD$1030=0,"",INDEX(tk_SOITEM,$AD$1030))</f>
        <v/>
      </c>
      <c r="BL1030">
        <f>IFERROR(VLOOKUP($AF$1030,CODES,2,FALSE),"")</f>
        <v/>
      </c>
      <c r="BM1030">
        <f>IF($AJ$1030="KD","C","M")</f>
        <v/>
      </c>
      <c r="BN1030">
        <f>IF(N($AR$1030)&lt;=80,80,IF(N($AR$1030)&lt;=84,84,IF(N($AR$1030)&lt;=96,96,N($AR$1030))))</f>
        <v/>
      </c>
      <c r="BO1030">
        <f>INT($BN$1030/12)&amp;MOD($BN$1030,12)</f>
        <v/>
      </c>
      <c r="BP1030">
        <f>INT(N($AQ$1030)/12)&amp;MOD(N($AQ$1030),12)</f>
        <v/>
      </c>
      <c r="BQ1030">
        <f>IF(OR($AU$1030="",$AU$1030="ANSI/SDI",$AU$1030="CUSTOM LOC"),IF($AV$1030="CU","CURRIES","STEELCRAFT"),$AU$1030)</f>
        <v/>
      </c>
      <c r="BR1030">
        <f>$AO$1030="Y"</f>
        <v/>
      </c>
      <c r="BS1030">
        <f>"~"</f>
        <v/>
      </c>
      <c r="BT1030">
        <f>$AE$1030*N($BA$1030)</f>
        <v/>
      </c>
      <c r="BU1030">
        <f>OR(LEFT($BD$1030,3)="OAK",LEFT($BD$1030,3)="BIR",LEFT($BD$1030,3)="MAP",$BD$1030="PC",$BD$1030="MC",$BD$1030="SCLC",$BD$1030="P-LAM")</f>
        <v/>
      </c>
      <c r="BV1030">
        <f>INT(N($AQ$1030)/MAX(1,N($BA$1030))/12)&amp;MOD(N($AQ$1030)/MAX(1,N($BA$1030)),12)</f>
        <v/>
      </c>
      <c r="BW1030">
        <f>IF(OR($BG$1030="G11",$BG$1030="G11A",$BG$1030="G12A"),"G2",IF(OR(LEFT($BG$1030,2)="G3",$BG$1030="G12"),"G3AEO",$BG$1030))</f>
        <v/>
      </c>
      <c r="BX1030">
        <f>"(Net size: "&amp;TRIM(TEXT(N($BB$1030),"# ?/??"))&amp;CHAR(34)&amp;" x "&amp;TRIM(TEXT(N($BC$1030),"# ?/??"))&amp;CHAR(34)&amp;")"</f>
        <v/>
      </c>
      <c r="BY1030">
        <f>IF(LEFT($BD$1030,3)="OAK","RED OAK",IF(LEFT($BD$1030,3)="BIR","BIRCH",IF(LEFT($BD$1030,3)="MAP","MAPLE","WOOD")))</f>
        <v/>
      </c>
      <c r="BZ1030">
        <f>IF(OR($AT$1030="U454",AND($AT$1030="",$AS$1030="U454")),"454","453")</f>
        <v/>
      </c>
      <c r="CA1030">
        <f>IF($AD$1030=0,"",IF($BU$1030,$BT$1030&amp;"|"&amp;$BV$1030&amp;$BO$1030&amp;" "&amp;$BY$1030&amp;" SLAB "&amp;IF(N($AN$1030)&gt;0,$AN$1030&amp;" MINUTE",IF(RIGHT($BD$1030,2)="MC","MC","SC")&amp;" WOOD DOOR")&amp;"|"&amp;$BX$1030&amp;"|"&amp;$BS$1030,$BT$1030&amp;"|"&amp;$BV$1030&amp;$BO$1030&amp;$BW$1030&amp;" BSC "&amp;$BQ$1030&amp;" DOOR "&amp;$BE$1030&amp;"Ga. Non-Handed "&amp;IF($BF$1030="","707",$BF$1030)&amp;"S Flush HM|"&amp;$BX$1030&amp;"|"&amp;$BS$1030)&amp;IF(N($AN$1030)&gt;0,$BT$1030&amp;"|"&amp;$AN$1030&amp;IF($BU$1030," MINUTE WARNOCK HERSHEY FIRE RATED WOOD LABEL"," MINUTE FOAM CORE STEEL DOOR LABEL (MODELS 607 &amp; 707)")&amp;"||"&amp;$BS$1030,"")&amp;IF(AND(NOT($BU$1030),OR($BG$1030="G11",$BG$1030="G11A",$BG$1030="G12",$BG$1030="G12A")),$AE$1030&amp;"|EXIT DEVICE PREP FOR HM DOOR||"&amp;$BS$1030,"")&amp;IF(AND(NOT($BU$1030),$BG$1030="G12"),$AE$1030&amp;"|DR 350 MORTISE LOCK FILLER PLATE||"&amp;$BS$1030,"")&amp;IF(AND(NOT($BU$1030),LEFT($BG$1030,2)="G3"),$AE$1030&amp;"|MORTISE LOCK PREP||"&amp;$BS$1030,"")&amp;IF($BU$1030,$BT$1030&amp;"|"&amp;IF($BG$1030="G18",$BZ$1030&amp;"-4 1/2"&amp;CHAR(34)&amp;"X4 1/2"&amp;CHAR(34)&amp;" HINGES ONLY PREP","HINGE PREP "&amp;$BZ$1030&amp;" WITH LOCK PREP")&amp;"|"&amp;$BQ$1030&amp;" LOC|"&amp;$BS$1030,"")&amp;IF(OR($BG$1030="G2G2",$BG$1030="G17",$BG$1030="E1E4"),$AE$1030&amp;"|"&amp;IF($BU$1030,"DDLP CYLINDRICAL DEADLOCK PREP","DOOR DEADLOCK PREP")&amp;"||"&amp;$BS$1030,"")&amp;IF(OR($BH$1030="FG",$BH$1030="HG",$BH$1030="FNV",$BH$1030="FV"),$BT$1030&amp;"|"&amp;$BI$1030&amp;" LITE KIT||"&amp;$BS$1030,IF($BH$1030="FL",$BT$1030&amp;"|"&amp;$BI$1030&amp;" LOUVER||"&amp;$BS$1030,IF($BH$1030="FP",$BT$1030&amp;"|DVP DOOR VIEWER PREP||"&amp;$BS$1030,"")))&amp;IF($BN$1030&gt;N($AR$1030),$BT$1030&amp;"|DCO DOOR CUT DOWN ONLY (HEIGHT)|Cut "&amp;TRIM(TEXT($BN$1030-N($AR$1030),"# ?/??"))&amp;CHAR(34)&amp;" OFF THE BOTTOM|"&amp;$BS$1030,""))</f>
        <v/>
      </c>
    </row>
    <row r="1031">
      <c r="B1031" s="180">
        <f>IF($AD1031="","",VALUE(LEFT($AD1031,FIND("|",$AD1031)-1)))</f>
        <v/>
      </c>
      <c r="C1031" s="180">
        <f>IF($AD1031="","","    "&amp;MID($AD1031,FIND("|",$AD1031)+1,FIND("|",$AD1031,FIND("|",$AD1031)+1)-FIND("|",$AD1031)-1))</f>
        <v/>
      </c>
      <c r="D1031" s="180">
        <f>IF($AD1031="","",MID($AD1031,FIND("|",$AD1031,FIND("|",$AD1031)+1)+1,FIND("|",$AD1031&amp;"|",FIND("|",$AD1031,FIND("|",$AD1031)+1)+1)-FIND("|",$AD1031,FIND("|",$AD1031)+1)-1))</f>
        <v/>
      </c>
      <c r="AD1031">
        <f>TRIM(MID(SUBSTITUTE($CA$1030,"~",REPT(" ",600)),1,600))</f>
        <v/>
      </c>
    </row>
    <row r="1032">
      <c r="B1032" s="180">
        <f>IF($AD1032="","",VALUE(LEFT($AD1032,FIND("|",$AD1032)-1)))</f>
        <v/>
      </c>
      <c r="C1032" s="180">
        <f>IF($AD1032="","","    "&amp;MID($AD1032,FIND("|",$AD1032)+1,FIND("|",$AD1032,FIND("|",$AD1032)+1)-FIND("|",$AD1032)-1))</f>
        <v/>
      </c>
      <c r="D1032" s="180">
        <f>IF($AD1032="","",MID($AD1032,FIND("|",$AD1032,FIND("|",$AD1032)+1)+1,FIND("|",$AD1032&amp;"|",FIND("|",$AD1032,FIND("|",$AD1032)+1)+1)-FIND("|",$AD1032,FIND("|",$AD1032)+1)-1))</f>
        <v/>
      </c>
      <c r="AD1032">
        <f>TRIM(MID(SUBSTITUTE($CA$1030,"~",REPT(" ",600)),601,600))</f>
        <v/>
      </c>
    </row>
    <row r="1033">
      <c r="B1033" s="180">
        <f>IF($AD1033="","",VALUE(LEFT($AD1033,FIND("|",$AD1033)-1)))</f>
        <v/>
      </c>
      <c r="C1033" s="180">
        <f>IF($AD1033="","","    "&amp;MID($AD1033,FIND("|",$AD1033)+1,FIND("|",$AD1033,FIND("|",$AD1033)+1)-FIND("|",$AD1033)-1))</f>
        <v/>
      </c>
      <c r="D1033" s="180">
        <f>IF($AD1033="","",MID($AD1033,FIND("|",$AD1033,FIND("|",$AD1033)+1)+1,FIND("|",$AD1033&amp;"|",FIND("|",$AD1033,FIND("|",$AD1033)+1)+1)-FIND("|",$AD1033,FIND("|",$AD1033)+1)-1))</f>
        <v/>
      </c>
      <c r="AD1033">
        <f>TRIM(MID(SUBSTITUTE($CA$1030,"~",REPT(" ",600)),1201,600))</f>
        <v/>
      </c>
    </row>
    <row r="1034">
      <c r="B1034" s="180">
        <f>IF($AD1034="","",VALUE(LEFT($AD1034,FIND("|",$AD1034)-1)))</f>
        <v/>
      </c>
      <c r="C1034" s="180">
        <f>IF($AD1034="","","    "&amp;MID($AD1034,FIND("|",$AD1034)+1,FIND("|",$AD1034,FIND("|",$AD1034)+1)-FIND("|",$AD1034)-1))</f>
        <v/>
      </c>
      <c r="D1034" s="180">
        <f>IF($AD1034="","",MID($AD1034,FIND("|",$AD1034,FIND("|",$AD1034)+1)+1,FIND("|",$AD1034&amp;"|",FIND("|",$AD1034,FIND("|",$AD1034)+1)+1)-FIND("|",$AD1034,FIND("|",$AD1034)+1)-1))</f>
        <v/>
      </c>
      <c r="AD1034">
        <f>TRIM(MID(SUBSTITUTE($CA$1030,"~",REPT(" ",600)),1801,600))</f>
        <v/>
      </c>
    </row>
    <row r="1035">
      <c r="B1035" s="180">
        <f>IF($AD1035="","",VALUE(LEFT($AD1035,FIND("|",$AD1035)-1)))</f>
        <v/>
      </c>
      <c r="C1035" s="180">
        <f>IF($AD1035="","","    "&amp;MID($AD1035,FIND("|",$AD1035)+1,FIND("|",$AD1035,FIND("|",$AD1035)+1)-FIND("|",$AD1035)-1))</f>
        <v/>
      </c>
      <c r="D1035" s="180">
        <f>IF($AD1035="","",MID($AD1035,FIND("|",$AD1035,FIND("|",$AD1035)+1)+1,FIND("|",$AD1035&amp;"|",FIND("|",$AD1035,FIND("|",$AD1035)+1)+1)-FIND("|",$AD1035,FIND("|",$AD1035)+1)-1))</f>
        <v/>
      </c>
      <c r="AD1035">
        <f>TRIM(MID(SUBSTITUTE($CA$1030,"~",REPT(" ",600)),2401,600))</f>
        <v/>
      </c>
    </row>
    <row r="1036">
      <c r="B1036" s="180">
        <f>IF($AD1036="","",VALUE(LEFT($AD1036,FIND("|",$AD1036)-1)))</f>
        <v/>
      </c>
      <c r="C1036" s="180">
        <f>IF($AD1036="","","    "&amp;MID($AD1036,FIND("|",$AD1036)+1,FIND("|",$AD1036,FIND("|",$AD1036)+1)-FIND("|",$AD1036)-1))</f>
        <v/>
      </c>
      <c r="D1036" s="180">
        <f>IF($AD1036="","",MID($AD1036,FIND("|",$AD1036,FIND("|",$AD1036)+1)+1,FIND("|",$AD1036&amp;"|",FIND("|",$AD1036,FIND("|",$AD1036)+1)+1)-FIND("|",$AD1036,FIND("|",$AD1036)+1)-1))</f>
        <v/>
      </c>
      <c r="AD1036">
        <f>TRIM(MID(SUBSTITUTE($CA$1030,"~",REPT(" ",600)),3001,600))</f>
        <v/>
      </c>
    </row>
    <row r="1037">
      <c r="B1037" s="180">
        <f>IF($AD1037="","",VALUE(LEFT($AD1037,FIND("|",$AD1037)-1)))</f>
        <v/>
      </c>
      <c r="C1037" s="180">
        <f>IF($AD1037="","","    "&amp;MID($AD1037,FIND("|",$AD1037)+1,FIND("|",$AD1037,FIND("|",$AD1037)+1)-FIND("|",$AD1037)-1))</f>
        <v/>
      </c>
      <c r="D1037" s="180">
        <f>IF($AD1037="","",MID($AD1037,FIND("|",$AD1037,FIND("|",$AD1037)+1)+1,FIND("|",$AD1037&amp;"|",FIND("|",$AD1037,FIND("|",$AD1037)+1)+1)-FIND("|",$AD1037,FIND("|",$AD1037)+1)-1))</f>
        <v/>
      </c>
      <c r="AD1037">
        <f>TRIM(MID(SUBSTITUTE($CA$1030,"~",REPT(" ",600)),3601,600))</f>
        <v/>
      </c>
    </row>
    <row r="1038">
      <c r="B1038" s="180">
        <f>IF($AD1038="","",VALUE(LEFT($AD1038,FIND("|",$AD1038)-1)))</f>
        <v/>
      </c>
      <c r="C1038" s="180">
        <f>IF($AD1038="","","    "&amp;MID($AD1038,FIND("|",$AD1038)+1,FIND("|",$AD1038,FIND("|",$AD1038)+1)-FIND("|",$AD1038)-1))</f>
        <v/>
      </c>
      <c r="D1038" s="180">
        <f>IF($AD1038="","",MID($AD1038,FIND("|",$AD1038,FIND("|",$AD1038)+1)+1,FIND("|",$AD1038&amp;"|",FIND("|",$AD1038,FIND("|",$AD1038)+1)+1)-FIND("|",$AD1038,FIND("|",$AD1038)+1)-1))</f>
        <v/>
      </c>
      <c r="AD1038">
        <f>TRIM(MID(SUBSTITUTE($CA$1030,"~",REPT(" ",600)),4201,600))</f>
        <v/>
      </c>
    </row>
    <row r="1039">
      <c r="B1039" s="180">
        <f>IF($AD1039="","",VALUE(LEFT($AD1039,FIND("|",$AD1039)-1)))</f>
        <v/>
      </c>
      <c r="C1039" s="180">
        <f>IF($AD1039="","","    "&amp;MID($AD1039,FIND("|",$AD1039)+1,FIND("|",$AD1039,FIND("|",$AD1039)+1)-FIND("|",$AD1039)-1))</f>
        <v/>
      </c>
      <c r="D1039" s="180">
        <f>IF($AD1039="","",MID($AD1039,FIND("|",$AD1039,FIND("|",$AD1039)+1)+1,FIND("|",$AD1039&amp;"|",FIND("|",$AD1039,FIND("|",$AD1039)+1)+1)-FIND("|",$AD1039,FIND("|",$AD1039)+1)-1))</f>
        <v/>
      </c>
      <c r="AD1039">
        <f>TRIM(MID(SUBSTITUTE($CA$1030,"~",REPT(" ",600)),4801,600))</f>
        <v/>
      </c>
    </row>
    <row r="1040">
      <c r="B1040" s="180">
        <f>IF($AD1040="","",VALUE(LEFT($AD1040,FIND("|",$AD1040)-1)))</f>
        <v/>
      </c>
      <c r="C1040" s="180">
        <f>IF($AD1040="","","    "&amp;MID($AD1040,FIND("|",$AD1040)+1,FIND("|",$AD1040,FIND("|",$AD1040)+1)-FIND("|",$AD1040)-1))</f>
        <v/>
      </c>
      <c r="D1040" s="180">
        <f>IF($AD1040="","",MID($AD1040,FIND("|",$AD1040,FIND("|",$AD1040)+1)+1,FIND("|",$AD1040&amp;"|",FIND("|",$AD1040,FIND("|",$AD1040)+1)+1)-FIND("|",$AD1040,FIND("|",$AD1040)+1)-1))</f>
        <v/>
      </c>
      <c r="AD1040">
        <f>TRIM(MID(SUBSTITUTE($CA$1030,"~",REPT(" ",600)),5401,600))</f>
        <v/>
      </c>
    </row>
    <row r="1041">
      <c r="B1041" s="180">
        <f>IF($AD1041="","",VALUE(LEFT($AD1041,FIND("|",$AD1041)-1)))</f>
        <v/>
      </c>
      <c r="C1041" s="180">
        <f>IF($AD1041="","","    "&amp;MID($AD1041,FIND("|",$AD1041)+1,FIND("|",$AD1041,FIND("|",$AD1041)+1)-FIND("|",$AD1041)-1))</f>
        <v/>
      </c>
      <c r="D1041" s="180">
        <f>IF($AD1041="","",MID($AD1041,FIND("|",$AD1041,FIND("|",$AD1041)+1)+1,FIND("|",$AD1041&amp;"|",FIND("|",$AD1041,FIND("|",$AD1041)+1)+1)-FIND("|",$AD1041,FIND("|",$AD1041)+1)-1))</f>
        <v/>
      </c>
      <c r="AD1041">
        <f>TRIM(MID(SUBSTITUTE($CA$1030,"~",REPT(" ",600)),6001,600))</f>
        <v/>
      </c>
    </row>
    <row r="1042">
      <c r="A1042" s="178">
        <f>IF($AD$1042=0,"",$BK$1042)</f>
        <v/>
      </c>
      <c r="B1042" s="178">
        <f>IF($AD$1042=0,"",$AE$1042*N($BA$1042))</f>
        <v/>
      </c>
      <c r="C1042" s="178">
        <f>IF($AD$1042=0,"",$AE$1042*N($BA$1042)&amp;") "&amp;IF(COUNTIFS(tk_SODG,27,tk_HLEG,"&lt;&gt;"&amp;$BJ$1042)=0,INDEX(tk_DLINE,$AD$1042),INDEX(tk_DLINEN,$AD$1042)))</f>
        <v/>
      </c>
      <c r="D1042" s="178" t="n"/>
      <c r="E1042" s="179">
        <f t="array" ref="E1042">IF($AD$1042=0,"",_xlfn.TEXTJOIN(", ",TRUE,IF(tk_SODG=27,"#"&amp;tk_MARK&amp;IF(tk_HLEG="","","("&amp;tk_HLEG&amp;")")&amp;IF(tk_QTY&gt;1," ×"&amp;tk_QTY,""),"")))</f>
        <v/>
      </c>
      <c r="AD1042">
        <f>IFERROR(MATCH(27,tk_SODG,0),0)</f>
        <v/>
      </c>
      <c r="AE1042">
        <f>IF($AD$1042=0,0,SUMIF(tk_SODG,27,tk_QTY))</f>
        <v/>
      </c>
      <c r="AF1042">
        <f>IF($AD$1042=0,"",INDEX(tk_JAMB,$AD$1042))</f>
        <v/>
      </c>
      <c r="AG1042">
        <f>IF($AD$1042=0,"",INDEX(tk_ANCHOR,$AD$1042))</f>
        <v/>
      </c>
      <c r="AH1042">
        <f>IF($AD$1042=0,"",INDEX(tk_ANCH,$AD$1042))</f>
        <v/>
      </c>
      <c r="AI1042">
        <f>IF($AD$1042=0,"",INDEX(tk_BASEA,$AD$1042))</f>
        <v/>
      </c>
      <c r="AJ1042">
        <f>IF($AD$1042=0,"",INDEX(tk_CONSTR,$AD$1042))</f>
        <v/>
      </c>
      <c r="AK1042">
        <f>IF($AD$1042=0,"",INDEX(tk_CLOSER,$AD$1042))</f>
        <v/>
      </c>
      <c r="AL1042">
        <f>IF($AD$1042=0,"",INDEX(tk_STRIKE,$AD$1042))</f>
        <v/>
      </c>
      <c r="AM1042">
        <f>IF($AD$1042=0,"",INDEX(tk_HDRPREP,$AD$1042))</f>
        <v/>
      </c>
      <c r="AN1042">
        <f>IF($AD$1042=0,"",INDEX(tk_DMIN,$AD$1042))</f>
        <v/>
      </c>
      <c r="AO1042">
        <f>IF($AD$1042=0,"",INDEX(tk_PAIR,$AD$1042))</f>
        <v/>
      </c>
      <c r="AP1042">
        <f>IF($AD$1042=0,"",INDEX(tk_FGA,$AD$1042))</f>
        <v/>
      </c>
      <c r="AQ1042">
        <f>IF($AD$1042=0,"",INDEX(tk_WI,$AD$1042))</f>
        <v/>
      </c>
      <c r="AR1042">
        <f>IF($AD$1042=0,"",INDEX(tk_HI,$AD$1042))</f>
        <v/>
      </c>
      <c r="AS1042">
        <f>IF($AD$1042=0,"",INDEX(tk_FHINGE,$AD$1042))</f>
        <v/>
      </c>
      <c r="AT1042">
        <f>IF($AD$1042=0,"",INDEX(tk_DHINGE,$AD$1042))</f>
        <v/>
      </c>
      <c r="AU1042">
        <f>IF($AD$1042=0,"",INDEX(tk_HWLOC,$AD$1042))</f>
        <v/>
      </c>
      <c r="AV1042">
        <f>IF($AD$1042=0,"",INDEX(tk_MANUF,$AD$1042))</f>
        <v/>
      </c>
      <c r="AW1042">
        <f>IF($AD$1042=0,"",INDEX(tk_JH,$AD$1042))</f>
        <v/>
      </c>
      <c r="AX1042">
        <f>IF($AD$1042=0,"",INDEX(tk_FDESC,$AD$1042))</f>
        <v/>
      </c>
      <c r="AY1042">
        <f>IF($AD$1042=0,"",INDEX(tk_TRANS,$AD$1042))</f>
        <v/>
      </c>
      <c r="AZ1042">
        <f>IF($AD$1042=0,"",INDEX(tk_SLW,$AD$1042))</f>
        <v/>
      </c>
      <c r="BA1042">
        <f>IF($AD$1042=0,"",INDEX(tk_LEAVES,$AD$1042))</f>
        <v/>
      </c>
      <c r="BB1042">
        <f>IF($AD$1042=0,"",INDEX(tk_LEAFW,$AD$1042))</f>
        <v/>
      </c>
      <c r="BC1042">
        <f>IF($AD$1042=0,"",INDEX(tk_LEAFH,$AD$1042))</f>
        <v/>
      </c>
      <c r="BD1042">
        <f>IF($AD$1042=0,"",INDEX(tk_DMAT,$AD$1042))</f>
        <v/>
      </c>
      <c r="BE1042">
        <f>IF($AD$1042=0,"",INDEX(tk_DGA,$AD$1042))</f>
        <v/>
      </c>
      <c r="BF1042">
        <f>IF($AD$1042=0,"",INDEX(tk_SERIES,$AD$1042))</f>
        <v/>
      </c>
      <c r="BG1042">
        <f>IF($AD$1042=0,"",INDEX(tk_LOCK,$AD$1042))</f>
        <v/>
      </c>
      <c r="BH1042">
        <f>IF($AD$1042=0,"",INDEX(tk_LITEKIT,$AD$1042))</f>
        <v/>
      </c>
      <c r="BI1042">
        <f>IF($AD$1042=0,"",INDEX(tk_FACE,$AD$1042))</f>
        <v/>
      </c>
      <c r="BJ1042">
        <f>IF($AD$1042=0,"",INDEX(tk_HLEG,$AD$1042))</f>
        <v/>
      </c>
      <c r="BK1042">
        <f>IF($AD$1042=0,"",INDEX(tk_SOITEM,$AD$1042))</f>
        <v/>
      </c>
      <c r="BL1042">
        <f>IFERROR(VLOOKUP($AF$1042,CODES,2,FALSE),"")</f>
        <v/>
      </c>
      <c r="BM1042">
        <f>IF($AJ$1042="KD","C","M")</f>
        <v/>
      </c>
      <c r="BN1042">
        <f>IF(N($AR$1042)&lt;=80,80,IF(N($AR$1042)&lt;=84,84,IF(N($AR$1042)&lt;=96,96,N($AR$1042))))</f>
        <v/>
      </c>
      <c r="BO1042">
        <f>INT($BN$1042/12)&amp;MOD($BN$1042,12)</f>
        <v/>
      </c>
      <c r="BP1042">
        <f>INT(N($AQ$1042)/12)&amp;MOD(N($AQ$1042),12)</f>
        <v/>
      </c>
      <c r="BQ1042">
        <f>IF(OR($AU$1042="",$AU$1042="ANSI/SDI",$AU$1042="CUSTOM LOC"),IF($AV$1042="CU","CURRIES","STEELCRAFT"),$AU$1042)</f>
        <v/>
      </c>
      <c r="BR1042">
        <f>$AO$1042="Y"</f>
        <v/>
      </c>
      <c r="BS1042">
        <f>"~"</f>
        <v/>
      </c>
      <c r="BT1042">
        <f>$AE$1042*N($BA$1042)</f>
        <v/>
      </c>
      <c r="BU1042">
        <f>OR(LEFT($BD$1042,3)="OAK",LEFT($BD$1042,3)="BIR",LEFT($BD$1042,3)="MAP",$BD$1042="PC",$BD$1042="MC",$BD$1042="SCLC",$BD$1042="P-LAM")</f>
        <v/>
      </c>
      <c r="BV1042">
        <f>INT(N($AQ$1042)/MAX(1,N($BA$1042))/12)&amp;MOD(N($AQ$1042)/MAX(1,N($BA$1042)),12)</f>
        <v/>
      </c>
      <c r="BW1042">
        <f>IF(OR($BG$1042="G11",$BG$1042="G11A",$BG$1042="G12A"),"G2",IF(OR(LEFT($BG$1042,2)="G3",$BG$1042="G12"),"G3AEO",$BG$1042))</f>
        <v/>
      </c>
      <c r="BX1042">
        <f>"(Net size: "&amp;TRIM(TEXT(N($BB$1042),"# ?/??"))&amp;CHAR(34)&amp;" x "&amp;TRIM(TEXT(N($BC$1042),"# ?/??"))&amp;CHAR(34)&amp;")"</f>
        <v/>
      </c>
      <c r="BY1042">
        <f>IF(LEFT($BD$1042,3)="OAK","RED OAK",IF(LEFT($BD$1042,3)="BIR","BIRCH",IF(LEFT($BD$1042,3)="MAP","MAPLE","WOOD")))</f>
        <v/>
      </c>
      <c r="BZ1042">
        <f>IF(OR($AT$1042="U454",AND($AT$1042="",$AS$1042="U454")),"454","453")</f>
        <v/>
      </c>
      <c r="CA1042">
        <f>IF($AD$1042=0,"",IF($BU$1042,$BT$1042&amp;"|"&amp;$BV$1042&amp;$BO$1042&amp;" "&amp;$BY$1042&amp;" SLAB "&amp;IF(N($AN$1042)&gt;0,$AN$1042&amp;" MINUTE",IF(RIGHT($BD$1042,2)="MC","MC","SC")&amp;" WOOD DOOR")&amp;"|"&amp;$BX$1042&amp;"|"&amp;$BS$1042,$BT$1042&amp;"|"&amp;$BV$1042&amp;$BO$1042&amp;$BW$1042&amp;" BSC "&amp;$BQ$1042&amp;" DOOR "&amp;$BE$1042&amp;"Ga. Non-Handed "&amp;IF($BF$1042="","707",$BF$1042)&amp;"S Flush HM|"&amp;$BX$1042&amp;"|"&amp;$BS$1042)&amp;IF(N($AN$1042)&gt;0,$BT$1042&amp;"|"&amp;$AN$1042&amp;IF($BU$1042," MINUTE WARNOCK HERSHEY FIRE RATED WOOD LABEL"," MINUTE FOAM CORE STEEL DOOR LABEL (MODELS 607 &amp; 707)")&amp;"||"&amp;$BS$1042,"")&amp;IF(AND(NOT($BU$1042),OR($BG$1042="G11",$BG$1042="G11A",$BG$1042="G12",$BG$1042="G12A")),$AE$1042&amp;"|EXIT DEVICE PREP FOR HM DOOR||"&amp;$BS$1042,"")&amp;IF(AND(NOT($BU$1042),$BG$1042="G12"),$AE$1042&amp;"|DR 350 MORTISE LOCK FILLER PLATE||"&amp;$BS$1042,"")&amp;IF(AND(NOT($BU$1042),LEFT($BG$1042,2)="G3"),$AE$1042&amp;"|MORTISE LOCK PREP||"&amp;$BS$1042,"")&amp;IF($BU$1042,$BT$1042&amp;"|"&amp;IF($BG$1042="G18",$BZ$1042&amp;"-4 1/2"&amp;CHAR(34)&amp;"X4 1/2"&amp;CHAR(34)&amp;" HINGES ONLY PREP","HINGE PREP "&amp;$BZ$1042&amp;" WITH LOCK PREP")&amp;"|"&amp;$BQ$1042&amp;" LOC|"&amp;$BS$1042,"")&amp;IF(OR($BG$1042="G2G2",$BG$1042="G17",$BG$1042="E1E4"),$AE$1042&amp;"|"&amp;IF($BU$1042,"DDLP CYLINDRICAL DEADLOCK PREP","DOOR DEADLOCK PREP")&amp;"||"&amp;$BS$1042,"")&amp;IF(OR($BH$1042="FG",$BH$1042="HG",$BH$1042="FNV",$BH$1042="FV"),$BT$1042&amp;"|"&amp;$BI$1042&amp;" LITE KIT||"&amp;$BS$1042,IF($BH$1042="FL",$BT$1042&amp;"|"&amp;$BI$1042&amp;" LOUVER||"&amp;$BS$1042,IF($BH$1042="FP",$BT$1042&amp;"|DVP DOOR VIEWER PREP||"&amp;$BS$1042,"")))&amp;IF($BN$1042&gt;N($AR$1042),$BT$1042&amp;"|DCO DOOR CUT DOWN ONLY (HEIGHT)|Cut "&amp;TRIM(TEXT($BN$1042-N($AR$1042),"# ?/??"))&amp;CHAR(34)&amp;" OFF THE BOTTOM|"&amp;$BS$1042,""))</f>
        <v/>
      </c>
    </row>
    <row r="1043">
      <c r="B1043" s="180">
        <f>IF($AD1043="","",VALUE(LEFT($AD1043,FIND("|",$AD1043)-1)))</f>
        <v/>
      </c>
      <c r="C1043" s="180">
        <f>IF($AD1043="","","    "&amp;MID($AD1043,FIND("|",$AD1043)+1,FIND("|",$AD1043,FIND("|",$AD1043)+1)-FIND("|",$AD1043)-1))</f>
        <v/>
      </c>
      <c r="D1043" s="180">
        <f>IF($AD1043="","",MID($AD1043,FIND("|",$AD1043,FIND("|",$AD1043)+1)+1,FIND("|",$AD1043&amp;"|",FIND("|",$AD1043,FIND("|",$AD1043)+1)+1)-FIND("|",$AD1043,FIND("|",$AD1043)+1)-1))</f>
        <v/>
      </c>
      <c r="AD1043">
        <f>TRIM(MID(SUBSTITUTE($CA$1042,"~",REPT(" ",600)),1,600))</f>
        <v/>
      </c>
    </row>
    <row r="1044">
      <c r="B1044" s="180">
        <f>IF($AD1044="","",VALUE(LEFT($AD1044,FIND("|",$AD1044)-1)))</f>
        <v/>
      </c>
      <c r="C1044" s="180">
        <f>IF($AD1044="","","    "&amp;MID($AD1044,FIND("|",$AD1044)+1,FIND("|",$AD1044,FIND("|",$AD1044)+1)-FIND("|",$AD1044)-1))</f>
        <v/>
      </c>
      <c r="D1044" s="180">
        <f>IF($AD1044="","",MID($AD1044,FIND("|",$AD1044,FIND("|",$AD1044)+1)+1,FIND("|",$AD1044&amp;"|",FIND("|",$AD1044,FIND("|",$AD1044)+1)+1)-FIND("|",$AD1044,FIND("|",$AD1044)+1)-1))</f>
        <v/>
      </c>
      <c r="AD1044">
        <f>TRIM(MID(SUBSTITUTE($CA$1042,"~",REPT(" ",600)),601,600))</f>
        <v/>
      </c>
    </row>
    <row r="1045">
      <c r="B1045" s="180">
        <f>IF($AD1045="","",VALUE(LEFT($AD1045,FIND("|",$AD1045)-1)))</f>
        <v/>
      </c>
      <c r="C1045" s="180">
        <f>IF($AD1045="","","    "&amp;MID($AD1045,FIND("|",$AD1045)+1,FIND("|",$AD1045,FIND("|",$AD1045)+1)-FIND("|",$AD1045)-1))</f>
        <v/>
      </c>
      <c r="D1045" s="180">
        <f>IF($AD1045="","",MID($AD1045,FIND("|",$AD1045,FIND("|",$AD1045)+1)+1,FIND("|",$AD1045&amp;"|",FIND("|",$AD1045,FIND("|",$AD1045)+1)+1)-FIND("|",$AD1045,FIND("|",$AD1045)+1)-1))</f>
        <v/>
      </c>
      <c r="AD1045">
        <f>TRIM(MID(SUBSTITUTE($CA$1042,"~",REPT(" ",600)),1201,600))</f>
        <v/>
      </c>
    </row>
    <row r="1046">
      <c r="B1046" s="180">
        <f>IF($AD1046="","",VALUE(LEFT($AD1046,FIND("|",$AD1046)-1)))</f>
        <v/>
      </c>
      <c r="C1046" s="180">
        <f>IF($AD1046="","","    "&amp;MID($AD1046,FIND("|",$AD1046)+1,FIND("|",$AD1046,FIND("|",$AD1046)+1)-FIND("|",$AD1046)-1))</f>
        <v/>
      </c>
      <c r="D1046" s="180">
        <f>IF($AD1046="","",MID($AD1046,FIND("|",$AD1046,FIND("|",$AD1046)+1)+1,FIND("|",$AD1046&amp;"|",FIND("|",$AD1046,FIND("|",$AD1046)+1)+1)-FIND("|",$AD1046,FIND("|",$AD1046)+1)-1))</f>
        <v/>
      </c>
      <c r="AD1046">
        <f>TRIM(MID(SUBSTITUTE($CA$1042,"~",REPT(" ",600)),1801,600))</f>
        <v/>
      </c>
    </row>
    <row r="1047">
      <c r="B1047" s="180">
        <f>IF($AD1047="","",VALUE(LEFT($AD1047,FIND("|",$AD1047)-1)))</f>
        <v/>
      </c>
      <c r="C1047" s="180">
        <f>IF($AD1047="","","    "&amp;MID($AD1047,FIND("|",$AD1047)+1,FIND("|",$AD1047,FIND("|",$AD1047)+1)-FIND("|",$AD1047)-1))</f>
        <v/>
      </c>
      <c r="D1047" s="180">
        <f>IF($AD1047="","",MID($AD1047,FIND("|",$AD1047,FIND("|",$AD1047)+1)+1,FIND("|",$AD1047&amp;"|",FIND("|",$AD1047,FIND("|",$AD1047)+1)+1)-FIND("|",$AD1047,FIND("|",$AD1047)+1)-1))</f>
        <v/>
      </c>
      <c r="AD1047">
        <f>TRIM(MID(SUBSTITUTE($CA$1042,"~",REPT(" ",600)),2401,600))</f>
        <v/>
      </c>
    </row>
    <row r="1048">
      <c r="B1048" s="180">
        <f>IF($AD1048="","",VALUE(LEFT($AD1048,FIND("|",$AD1048)-1)))</f>
        <v/>
      </c>
      <c r="C1048" s="180">
        <f>IF($AD1048="","","    "&amp;MID($AD1048,FIND("|",$AD1048)+1,FIND("|",$AD1048,FIND("|",$AD1048)+1)-FIND("|",$AD1048)-1))</f>
        <v/>
      </c>
      <c r="D1048" s="180">
        <f>IF($AD1048="","",MID($AD1048,FIND("|",$AD1048,FIND("|",$AD1048)+1)+1,FIND("|",$AD1048&amp;"|",FIND("|",$AD1048,FIND("|",$AD1048)+1)+1)-FIND("|",$AD1048,FIND("|",$AD1048)+1)-1))</f>
        <v/>
      </c>
      <c r="AD1048">
        <f>TRIM(MID(SUBSTITUTE($CA$1042,"~",REPT(" ",600)),3001,600))</f>
        <v/>
      </c>
    </row>
    <row r="1049">
      <c r="B1049" s="180">
        <f>IF($AD1049="","",VALUE(LEFT($AD1049,FIND("|",$AD1049)-1)))</f>
        <v/>
      </c>
      <c r="C1049" s="180">
        <f>IF($AD1049="","","    "&amp;MID($AD1049,FIND("|",$AD1049)+1,FIND("|",$AD1049,FIND("|",$AD1049)+1)-FIND("|",$AD1049)-1))</f>
        <v/>
      </c>
      <c r="D1049" s="180">
        <f>IF($AD1049="","",MID($AD1049,FIND("|",$AD1049,FIND("|",$AD1049)+1)+1,FIND("|",$AD1049&amp;"|",FIND("|",$AD1049,FIND("|",$AD1049)+1)+1)-FIND("|",$AD1049,FIND("|",$AD1049)+1)-1))</f>
        <v/>
      </c>
      <c r="AD1049">
        <f>TRIM(MID(SUBSTITUTE($CA$1042,"~",REPT(" ",600)),3601,600))</f>
        <v/>
      </c>
    </row>
    <row r="1050">
      <c r="B1050" s="180">
        <f>IF($AD1050="","",VALUE(LEFT($AD1050,FIND("|",$AD1050)-1)))</f>
        <v/>
      </c>
      <c r="C1050" s="180">
        <f>IF($AD1050="","","    "&amp;MID($AD1050,FIND("|",$AD1050)+1,FIND("|",$AD1050,FIND("|",$AD1050)+1)-FIND("|",$AD1050)-1))</f>
        <v/>
      </c>
      <c r="D1050" s="180">
        <f>IF($AD1050="","",MID($AD1050,FIND("|",$AD1050,FIND("|",$AD1050)+1)+1,FIND("|",$AD1050&amp;"|",FIND("|",$AD1050,FIND("|",$AD1050)+1)+1)-FIND("|",$AD1050,FIND("|",$AD1050)+1)-1))</f>
        <v/>
      </c>
      <c r="AD1050">
        <f>TRIM(MID(SUBSTITUTE($CA$1042,"~",REPT(" ",600)),4201,600))</f>
        <v/>
      </c>
    </row>
    <row r="1051">
      <c r="B1051" s="180">
        <f>IF($AD1051="","",VALUE(LEFT($AD1051,FIND("|",$AD1051)-1)))</f>
        <v/>
      </c>
      <c r="C1051" s="180">
        <f>IF($AD1051="","","    "&amp;MID($AD1051,FIND("|",$AD1051)+1,FIND("|",$AD1051,FIND("|",$AD1051)+1)-FIND("|",$AD1051)-1))</f>
        <v/>
      </c>
      <c r="D1051" s="180">
        <f>IF($AD1051="","",MID($AD1051,FIND("|",$AD1051,FIND("|",$AD1051)+1)+1,FIND("|",$AD1051&amp;"|",FIND("|",$AD1051,FIND("|",$AD1051)+1)+1)-FIND("|",$AD1051,FIND("|",$AD1051)+1)-1))</f>
        <v/>
      </c>
      <c r="AD1051">
        <f>TRIM(MID(SUBSTITUTE($CA$1042,"~",REPT(" ",600)),4801,600))</f>
        <v/>
      </c>
    </row>
    <row r="1052">
      <c r="B1052" s="180">
        <f>IF($AD1052="","",VALUE(LEFT($AD1052,FIND("|",$AD1052)-1)))</f>
        <v/>
      </c>
      <c r="C1052" s="180">
        <f>IF($AD1052="","","    "&amp;MID($AD1052,FIND("|",$AD1052)+1,FIND("|",$AD1052,FIND("|",$AD1052)+1)-FIND("|",$AD1052)-1))</f>
        <v/>
      </c>
      <c r="D1052" s="180">
        <f>IF($AD1052="","",MID($AD1052,FIND("|",$AD1052,FIND("|",$AD1052)+1)+1,FIND("|",$AD1052&amp;"|",FIND("|",$AD1052,FIND("|",$AD1052)+1)+1)-FIND("|",$AD1052,FIND("|",$AD1052)+1)-1))</f>
        <v/>
      </c>
      <c r="AD1052">
        <f>TRIM(MID(SUBSTITUTE($CA$1042,"~",REPT(" ",600)),5401,600))</f>
        <v/>
      </c>
    </row>
    <row r="1053">
      <c r="B1053" s="180">
        <f>IF($AD1053="","",VALUE(LEFT($AD1053,FIND("|",$AD1053)-1)))</f>
        <v/>
      </c>
      <c r="C1053" s="180">
        <f>IF($AD1053="","","    "&amp;MID($AD1053,FIND("|",$AD1053)+1,FIND("|",$AD1053,FIND("|",$AD1053)+1)-FIND("|",$AD1053)-1))</f>
        <v/>
      </c>
      <c r="D1053" s="180">
        <f>IF($AD1053="","",MID($AD1053,FIND("|",$AD1053,FIND("|",$AD1053)+1)+1,FIND("|",$AD1053&amp;"|",FIND("|",$AD1053,FIND("|",$AD1053)+1)+1)-FIND("|",$AD1053,FIND("|",$AD1053)+1)-1))</f>
        <v/>
      </c>
      <c r="AD1053">
        <f>TRIM(MID(SUBSTITUTE($CA$1042,"~",REPT(" ",600)),6001,600))</f>
        <v/>
      </c>
    </row>
    <row r="1054">
      <c r="A1054" s="178">
        <f>IF($AD$1054=0,"",$BK$1054)</f>
        <v/>
      </c>
      <c r="B1054" s="178">
        <f>IF($AD$1054=0,"",$AE$1054*N($BA$1054))</f>
        <v/>
      </c>
      <c r="C1054" s="178">
        <f>IF($AD$1054=0,"",$AE$1054*N($BA$1054)&amp;") "&amp;IF(COUNTIFS(tk_SODG,28,tk_HLEG,"&lt;&gt;"&amp;$BJ$1054)=0,INDEX(tk_DLINE,$AD$1054),INDEX(tk_DLINEN,$AD$1054)))</f>
        <v/>
      </c>
      <c r="D1054" s="178" t="n"/>
      <c r="E1054" s="179">
        <f t="array" ref="E1054">IF($AD$1054=0,"",_xlfn.TEXTJOIN(", ",TRUE,IF(tk_SODG=28,"#"&amp;tk_MARK&amp;IF(tk_HLEG="","","("&amp;tk_HLEG&amp;")")&amp;IF(tk_QTY&gt;1," ×"&amp;tk_QTY,""),"")))</f>
        <v/>
      </c>
      <c r="AD1054">
        <f>IFERROR(MATCH(28,tk_SODG,0),0)</f>
        <v/>
      </c>
      <c r="AE1054">
        <f>IF($AD$1054=0,0,SUMIF(tk_SODG,28,tk_QTY))</f>
        <v/>
      </c>
      <c r="AF1054">
        <f>IF($AD$1054=0,"",INDEX(tk_JAMB,$AD$1054))</f>
        <v/>
      </c>
      <c r="AG1054">
        <f>IF($AD$1054=0,"",INDEX(tk_ANCHOR,$AD$1054))</f>
        <v/>
      </c>
      <c r="AH1054">
        <f>IF($AD$1054=0,"",INDEX(tk_ANCH,$AD$1054))</f>
        <v/>
      </c>
      <c r="AI1054">
        <f>IF($AD$1054=0,"",INDEX(tk_BASEA,$AD$1054))</f>
        <v/>
      </c>
      <c r="AJ1054">
        <f>IF($AD$1054=0,"",INDEX(tk_CONSTR,$AD$1054))</f>
        <v/>
      </c>
      <c r="AK1054">
        <f>IF($AD$1054=0,"",INDEX(tk_CLOSER,$AD$1054))</f>
        <v/>
      </c>
      <c r="AL1054">
        <f>IF($AD$1054=0,"",INDEX(tk_STRIKE,$AD$1054))</f>
        <v/>
      </c>
      <c r="AM1054">
        <f>IF($AD$1054=0,"",INDEX(tk_HDRPREP,$AD$1054))</f>
        <v/>
      </c>
      <c r="AN1054">
        <f>IF($AD$1054=0,"",INDEX(tk_DMIN,$AD$1054))</f>
        <v/>
      </c>
      <c r="AO1054">
        <f>IF($AD$1054=0,"",INDEX(tk_PAIR,$AD$1054))</f>
        <v/>
      </c>
      <c r="AP1054">
        <f>IF($AD$1054=0,"",INDEX(tk_FGA,$AD$1054))</f>
        <v/>
      </c>
      <c r="AQ1054">
        <f>IF($AD$1054=0,"",INDEX(tk_WI,$AD$1054))</f>
        <v/>
      </c>
      <c r="AR1054">
        <f>IF($AD$1054=0,"",INDEX(tk_HI,$AD$1054))</f>
        <v/>
      </c>
      <c r="AS1054">
        <f>IF($AD$1054=0,"",INDEX(tk_FHINGE,$AD$1054))</f>
        <v/>
      </c>
      <c r="AT1054">
        <f>IF($AD$1054=0,"",INDEX(tk_DHINGE,$AD$1054))</f>
        <v/>
      </c>
      <c r="AU1054">
        <f>IF($AD$1054=0,"",INDEX(tk_HWLOC,$AD$1054))</f>
        <v/>
      </c>
      <c r="AV1054">
        <f>IF($AD$1054=0,"",INDEX(tk_MANUF,$AD$1054))</f>
        <v/>
      </c>
      <c r="AW1054">
        <f>IF($AD$1054=0,"",INDEX(tk_JH,$AD$1054))</f>
        <v/>
      </c>
      <c r="AX1054">
        <f>IF($AD$1054=0,"",INDEX(tk_FDESC,$AD$1054))</f>
        <v/>
      </c>
      <c r="AY1054">
        <f>IF($AD$1054=0,"",INDEX(tk_TRANS,$AD$1054))</f>
        <v/>
      </c>
      <c r="AZ1054">
        <f>IF($AD$1054=0,"",INDEX(tk_SLW,$AD$1054))</f>
        <v/>
      </c>
      <c r="BA1054">
        <f>IF($AD$1054=0,"",INDEX(tk_LEAVES,$AD$1054))</f>
        <v/>
      </c>
      <c r="BB1054">
        <f>IF($AD$1054=0,"",INDEX(tk_LEAFW,$AD$1054))</f>
        <v/>
      </c>
      <c r="BC1054">
        <f>IF($AD$1054=0,"",INDEX(tk_LEAFH,$AD$1054))</f>
        <v/>
      </c>
      <c r="BD1054">
        <f>IF($AD$1054=0,"",INDEX(tk_DMAT,$AD$1054))</f>
        <v/>
      </c>
      <c r="BE1054">
        <f>IF($AD$1054=0,"",INDEX(tk_DGA,$AD$1054))</f>
        <v/>
      </c>
      <c r="BF1054">
        <f>IF($AD$1054=0,"",INDEX(tk_SERIES,$AD$1054))</f>
        <v/>
      </c>
      <c r="BG1054">
        <f>IF($AD$1054=0,"",INDEX(tk_LOCK,$AD$1054))</f>
        <v/>
      </c>
      <c r="BH1054">
        <f>IF($AD$1054=0,"",INDEX(tk_LITEKIT,$AD$1054))</f>
        <v/>
      </c>
      <c r="BI1054">
        <f>IF($AD$1054=0,"",INDEX(tk_FACE,$AD$1054))</f>
        <v/>
      </c>
      <c r="BJ1054">
        <f>IF($AD$1054=0,"",INDEX(tk_HLEG,$AD$1054))</f>
        <v/>
      </c>
      <c r="BK1054">
        <f>IF($AD$1054=0,"",INDEX(tk_SOITEM,$AD$1054))</f>
        <v/>
      </c>
      <c r="BL1054">
        <f>IFERROR(VLOOKUP($AF$1054,CODES,2,FALSE),"")</f>
        <v/>
      </c>
      <c r="BM1054">
        <f>IF($AJ$1054="KD","C","M")</f>
        <v/>
      </c>
      <c r="BN1054">
        <f>IF(N($AR$1054)&lt;=80,80,IF(N($AR$1054)&lt;=84,84,IF(N($AR$1054)&lt;=96,96,N($AR$1054))))</f>
        <v/>
      </c>
      <c r="BO1054">
        <f>INT($BN$1054/12)&amp;MOD($BN$1054,12)</f>
        <v/>
      </c>
      <c r="BP1054">
        <f>INT(N($AQ$1054)/12)&amp;MOD(N($AQ$1054),12)</f>
        <v/>
      </c>
      <c r="BQ1054">
        <f>IF(OR($AU$1054="",$AU$1054="ANSI/SDI",$AU$1054="CUSTOM LOC"),IF($AV$1054="CU","CURRIES","STEELCRAFT"),$AU$1054)</f>
        <v/>
      </c>
      <c r="BR1054">
        <f>$AO$1054="Y"</f>
        <v/>
      </c>
      <c r="BS1054">
        <f>"~"</f>
        <v/>
      </c>
      <c r="BT1054">
        <f>$AE$1054*N($BA$1054)</f>
        <v/>
      </c>
      <c r="BU1054">
        <f>OR(LEFT($BD$1054,3)="OAK",LEFT($BD$1054,3)="BIR",LEFT($BD$1054,3)="MAP",$BD$1054="PC",$BD$1054="MC",$BD$1054="SCLC",$BD$1054="P-LAM")</f>
        <v/>
      </c>
      <c r="BV1054">
        <f>INT(N($AQ$1054)/MAX(1,N($BA$1054))/12)&amp;MOD(N($AQ$1054)/MAX(1,N($BA$1054)),12)</f>
        <v/>
      </c>
      <c r="BW1054">
        <f>IF(OR($BG$1054="G11",$BG$1054="G11A",$BG$1054="G12A"),"G2",IF(OR(LEFT($BG$1054,2)="G3",$BG$1054="G12"),"G3AEO",$BG$1054))</f>
        <v/>
      </c>
      <c r="BX1054">
        <f>"(Net size: "&amp;TRIM(TEXT(N($BB$1054),"# ?/??"))&amp;CHAR(34)&amp;" x "&amp;TRIM(TEXT(N($BC$1054),"# ?/??"))&amp;CHAR(34)&amp;")"</f>
        <v/>
      </c>
      <c r="BY1054">
        <f>IF(LEFT($BD$1054,3)="OAK","RED OAK",IF(LEFT($BD$1054,3)="BIR","BIRCH",IF(LEFT($BD$1054,3)="MAP","MAPLE","WOOD")))</f>
        <v/>
      </c>
      <c r="BZ1054">
        <f>IF(OR($AT$1054="U454",AND($AT$1054="",$AS$1054="U454")),"454","453")</f>
        <v/>
      </c>
      <c r="CA1054">
        <f>IF($AD$1054=0,"",IF($BU$1054,$BT$1054&amp;"|"&amp;$BV$1054&amp;$BO$1054&amp;" "&amp;$BY$1054&amp;" SLAB "&amp;IF(N($AN$1054)&gt;0,$AN$1054&amp;" MINUTE",IF(RIGHT($BD$1054,2)="MC","MC","SC")&amp;" WOOD DOOR")&amp;"|"&amp;$BX$1054&amp;"|"&amp;$BS$1054,$BT$1054&amp;"|"&amp;$BV$1054&amp;$BO$1054&amp;$BW$1054&amp;" BSC "&amp;$BQ$1054&amp;" DOOR "&amp;$BE$1054&amp;"Ga. Non-Handed "&amp;IF($BF$1054="","707",$BF$1054)&amp;"S Flush HM|"&amp;$BX$1054&amp;"|"&amp;$BS$1054)&amp;IF(N($AN$1054)&gt;0,$BT$1054&amp;"|"&amp;$AN$1054&amp;IF($BU$1054," MINUTE WARNOCK HERSHEY FIRE RATED WOOD LABEL"," MINUTE FOAM CORE STEEL DOOR LABEL (MODELS 607 &amp; 707)")&amp;"||"&amp;$BS$1054,"")&amp;IF(AND(NOT($BU$1054),OR($BG$1054="G11",$BG$1054="G11A",$BG$1054="G12",$BG$1054="G12A")),$AE$1054&amp;"|EXIT DEVICE PREP FOR HM DOOR||"&amp;$BS$1054,"")&amp;IF(AND(NOT($BU$1054),$BG$1054="G12"),$AE$1054&amp;"|DR 350 MORTISE LOCK FILLER PLATE||"&amp;$BS$1054,"")&amp;IF(AND(NOT($BU$1054),LEFT($BG$1054,2)="G3"),$AE$1054&amp;"|MORTISE LOCK PREP||"&amp;$BS$1054,"")&amp;IF($BU$1054,$BT$1054&amp;"|"&amp;IF($BG$1054="G18",$BZ$1054&amp;"-4 1/2"&amp;CHAR(34)&amp;"X4 1/2"&amp;CHAR(34)&amp;" HINGES ONLY PREP","HINGE PREP "&amp;$BZ$1054&amp;" WITH LOCK PREP")&amp;"|"&amp;$BQ$1054&amp;" LOC|"&amp;$BS$1054,"")&amp;IF(OR($BG$1054="G2G2",$BG$1054="G17",$BG$1054="E1E4"),$AE$1054&amp;"|"&amp;IF($BU$1054,"DDLP CYLINDRICAL DEADLOCK PREP","DOOR DEADLOCK PREP")&amp;"||"&amp;$BS$1054,"")&amp;IF(OR($BH$1054="FG",$BH$1054="HG",$BH$1054="FNV",$BH$1054="FV"),$BT$1054&amp;"|"&amp;$BI$1054&amp;" LITE KIT||"&amp;$BS$1054,IF($BH$1054="FL",$BT$1054&amp;"|"&amp;$BI$1054&amp;" LOUVER||"&amp;$BS$1054,IF($BH$1054="FP",$BT$1054&amp;"|DVP DOOR VIEWER PREP||"&amp;$BS$1054,"")))&amp;IF($BN$1054&gt;N($AR$1054),$BT$1054&amp;"|DCO DOOR CUT DOWN ONLY (HEIGHT)|Cut "&amp;TRIM(TEXT($BN$1054-N($AR$1054),"# ?/??"))&amp;CHAR(34)&amp;" OFF THE BOTTOM|"&amp;$BS$1054,""))</f>
        <v/>
      </c>
    </row>
    <row r="1055">
      <c r="B1055" s="180">
        <f>IF($AD1055="","",VALUE(LEFT($AD1055,FIND("|",$AD1055)-1)))</f>
        <v/>
      </c>
      <c r="C1055" s="180">
        <f>IF($AD1055="","","    "&amp;MID($AD1055,FIND("|",$AD1055)+1,FIND("|",$AD1055,FIND("|",$AD1055)+1)-FIND("|",$AD1055)-1))</f>
        <v/>
      </c>
      <c r="D1055" s="180">
        <f>IF($AD1055="","",MID($AD1055,FIND("|",$AD1055,FIND("|",$AD1055)+1)+1,FIND("|",$AD1055&amp;"|",FIND("|",$AD1055,FIND("|",$AD1055)+1)+1)-FIND("|",$AD1055,FIND("|",$AD1055)+1)-1))</f>
        <v/>
      </c>
      <c r="AD1055">
        <f>TRIM(MID(SUBSTITUTE($CA$1054,"~",REPT(" ",600)),1,600))</f>
        <v/>
      </c>
    </row>
    <row r="1056">
      <c r="B1056" s="180">
        <f>IF($AD1056="","",VALUE(LEFT($AD1056,FIND("|",$AD1056)-1)))</f>
        <v/>
      </c>
      <c r="C1056" s="180">
        <f>IF($AD1056="","","    "&amp;MID($AD1056,FIND("|",$AD1056)+1,FIND("|",$AD1056,FIND("|",$AD1056)+1)-FIND("|",$AD1056)-1))</f>
        <v/>
      </c>
      <c r="D1056" s="180">
        <f>IF($AD1056="","",MID($AD1056,FIND("|",$AD1056,FIND("|",$AD1056)+1)+1,FIND("|",$AD1056&amp;"|",FIND("|",$AD1056,FIND("|",$AD1056)+1)+1)-FIND("|",$AD1056,FIND("|",$AD1056)+1)-1))</f>
        <v/>
      </c>
      <c r="AD1056">
        <f>TRIM(MID(SUBSTITUTE($CA$1054,"~",REPT(" ",600)),601,600))</f>
        <v/>
      </c>
    </row>
    <row r="1057">
      <c r="B1057" s="180">
        <f>IF($AD1057="","",VALUE(LEFT($AD1057,FIND("|",$AD1057)-1)))</f>
        <v/>
      </c>
      <c r="C1057" s="180">
        <f>IF($AD1057="","","    "&amp;MID($AD1057,FIND("|",$AD1057)+1,FIND("|",$AD1057,FIND("|",$AD1057)+1)-FIND("|",$AD1057)-1))</f>
        <v/>
      </c>
      <c r="D1057" s="180">
        <f>IF($AD1057="","",MID($AD1057,FIND("|",$AD1057,FIND("|",$AD1057)+1)+1,FIND("|",$AD1057&amp;"|",FIND("|",$AD1057,FIND("|",$AD1057)+1)+1)-FIND("|",$AD1057,FIND("|",$AD1057)+1)-1))</f>
        <v/>
      </c>
      <c r="AD1057">
        <f>TRIM(MID(SUBSTITUTE($CA$1054,"~",REPT(" ",600)),1201,600))</f>
        <v/>
      </c>
    </row>
    <row r="1058">
      <c r="B1058" s="180">
        <f>IF($AD1058="","",VALUE(LEFT($AD1058,FIND("|",$AD1058)-1)))</f>
        <v/>
      </c>
      <c r="C1058" s="180">
        <f>IF($AD1058="","","    "&amp;MID($AD1058,FIND("|",$AD1058)+1,FIND("|",$AD1058,FIND("|",$AD1058)+1)-FIND("|",$AD1058)-1))</f>
        <v/>
      </c>
      <c r="D1058" s="180">
        <f>IF($AD1058="","",MID($AD1058,FIND("|",$AD1058,FIND("|",$AD1058)+1)+1,FIND("|",$AD1058&amp;"|",FIND("|",$AD1058,FIND("|",$AD1058)+1)+1)-FIND("|",$AD1058,FIND("|",$AD1058)+1)-1))</f>
        <v/>
      </c>
      <c r="AD1058">
        <f>TRIM(MID(SUBSTITUTE($CA$1054,"~",REPT(" ",600)),1801,600))</f>
        <v/>
      </c>
    </row>
    <row r="1059">
      <c r="B1059" s="180">
        <f>IF($AD1059="","",VALUE(LEFT($AD1059,FIND("|",$AD1059)-1)))</f>
        <v/>
      </c>
      <c r="C1059" s="180">
        <f>IF($AD1059="","","    "&amp;MID($AD1059,FIND("|",$AD1059)+1,FIND("|",$AD1059,FIND("|",$AD1059)+1)-FIND("|",$AD1059)-1))</f>
        <v/>
      </c>
      <c r="D1059" s="180">
        <f>IF($AD1059="","",MID($AD1059,FIND("|",$AD1059,FIND("|",$AD1059)+1)+1,FIND("|",$AD1059&amp;"|",FIND("|",$AD1059,FIND("|",$AD1059)+1)+1)-FIND("|",$AD1059,FIND("|",$AD1059)+1)-1))</f>
        <v/>
      </c>
      <c r="AD1059">
        <f>TRIM(MID(SUBSTITUTE($CA$1054,"~",REPT(" ",600)),2401,600))</f>
        <v/>
      </c>
    </row>
    <row r="1060">
      <c r="B1060" s="180">
        <f>IF($AD1060="","",VALUE(LEFT($AD1060,FIND("|",$AD1060)-1)))</f>
        <v/>
      </c>
      <c r="C1060" s="180">
        <f>IF($AD1060="","","    "&amp;MID($AD1060,FIND("|",$AD1060)+1,FIND("|",$AD1060,FIND("|",$AD1060)+1)-FIND("|",$AD1060)-1))</f>
        <v/>
      </c>
      <c r="D1060" s="180">
        <f>IF($AD1060="","",MID($AD1060,FIND("|",$AD1060,FIND("|",$AD1060)+1)+1,FIND("|",$AD1060&amp;"|",FIND("|",$AD1060,FIND("|",$AD1060)+1)+1)-FIND("|",$AD1060,FIND("|",$AD1060)+1)-1))</f>
        <v/>
      </c>
      <c r="AD1060">
        <f>TRIM(MID(SUBSTITUTE($CA$1054,"~",REPT(" ",600)),3001,600))</f>
        <v/>
      </c>
    </row>
    <row r="1061">
      <c r="B1061" s="180">
        <f>IF($AD1061="","",VALUE(LEFT($AD1061,FIND("|",$AD1061)-1)))</f>
        <v/>
      </c>
      <c r="C1061" s="180">
        <f>IF($AD1061="","","    "&amp;MID($AD1061,FIND("|",$AD1061)+1,FIND("|",$AD1061,FIND("|",$AD1061)+1)-FIND("|",$AD1061)-1))</f>
        <v/>
      </c>
      <c r="D1061" s="180">
        <f>IF($AD1061="","",MID($AD1061,FIND("|",$AD1061,FIND("|",$AD1061)+1)+1,FIND("|",$AD1061&amp;"|",FIND("|",$AD1061,FIND("|",$AD1061)+1)+1)-FIND("|",$AD1061,FIND("|",$AD1061)+1)-1))</f>
        <v/>
      </c>
      <c r="AD1061">
        <f>TRIM(MID(SUBSTITUTE($CA$1054,"~",REPT(" ",600)),3601,600))</f>
        <v/>
      </c>
    </row>
    <row r="1062">
      <c r="B1062" s="180">
        <f>IF($AD1062="","",VALUE(LEFT($AD1062,FIND("|",$AD1062)-1)))</f>
        <v/>
      </c>
      <c r="C1062" s="180">
        <f>IF($AD1062="","","    "&amp;MID($AD1062,FIND("|",$AD1062)+1,FIND("|",$AD1062,FIND("|",$AD1062)+1)-FIND("|",$AD1062)-1))</f>
        <v/>
      </c>
      <c r="D1062" s="180">
        <f>IF($AD1062="","",MID($AD1062,FIND("|",$AD1062,FIND("|",$AD1062)+1)+1,FIND("|",$AD1062&amp;"|",FIND("|",$AD1062,FIND("|",$AD1062)+1)+1)-FIND("|",$AD1062,FIND("|",$AD1062)+1)-1))</f>
        <v/>
      </c>
      <c r="AD1062">
        <f>TRIM(MID(SUBSTITUTE($CA$1054,"~",REPT(" ",600)),4201,600))</f>
        <v/>
      </c>
    </row>
    <row r="1063">
      <c r="B1063" s="180">
        <f>IF($AD1063="","",VALUE(LEFT($AD1063,FIND("|",$AD1063)-1)))</f>
        <v/>
      </c>
      <c r="C1063" s="180">
        <f>IF($AD1063="","","    "&amp;MID($AD1063,FIND("|",$AD1063)+1,FIND("|",$AD1063,FIND("|",$AD1063)+1)-FIND("|",$AD1063)-1))</f>
        <v/>
      </c>
      <c r="D1063" s="180">
        <f>IF($AD1063="","",MID($AD1063,FIND("|",$AD1063,FIND("|",$AD1063)+1)+1,FIND("|",$AD1063&amp;"|",FIND("|",$AD1063,FIND("|",$AD1063)+1)+1)-FIND("|",$AD1063,FIND("|",$AD1063)+1)-1))</f>
        <v/>
      </c>
      <c r="AD1063">
        <f>TRIM(MID(SUBSTITUTE($CA$1054,"~",REPT(" ",600)),4801,600))</f>
        <v/>
      </c>
    </row>
    <row r="1064">
      <c r="B1064" s="180">
        <f>IF($AD1064="","",VALUE(LEFT($AD1064,FIND("|",$AD1064)-1)))</f>
        <v/>
      </c>
      <c r="C1064" s="180">
        <f>IF($AD1064="","","    "&amp;MID($AD1064,FIND("|",$AD1064)+1,FIND("|",$AD1064,FIND("|",$AD1064)+1)-FIND("|",$AD1064)-1))</f>
        <v/>
      </c>
      <c r="D1064" s="180">
        <f>IF($AD1064="","",MID($AD1064,FIND("|",$AD1064,FIND("|",$AD1064)+1)+1,FIND("|",$AD1064&amp;"|",FIND("|",$AD1064,FIND("|",$AD1064)+1)+1)-FIND("|",$AD1064,FIND("|",$AD1064)+1)-1))</f>
        <v/>
      </c>
      <c r="AD1064">
        <f>TRIM(MID(SUBSTITUTE($CA$1054,"~",REPT(" ",600)),5401,600))</f>
        <v/>
      </c>
    </row>
    <row r="1065">
      <c r="B1065" s="180">
        <f>IF($AD1065="","",VALUE(LEFT($AD1065,FIND("|",$AD1065)-1)))</f>
        <v/>
      </c>
      <c r="C1065" s="180">
        <f>IF($AD1065="","","    "&amp;MID($AD1065,FIND("|",$AD1065)+1,FIND("|",$AD1065,FIND("|",$AD1065)+1)-FIND("|",$AD1065)-1))</f>
        <v/>
      </c>
      <c r="D1065" s="180">
        <f>IF($AD1065="","",MID($AD1065,FIND("|",$AD1065,FIND("|",$AD1065)+1)+1,FIND("|",$AD1065&amp;"|",FIND("|",$AD1065,FIND("|",$AD1065)+1)+1)-FIND("|",$AD1065,FIND("|",$AD1065)+1)-1))</f>
        <v/>
      </c>
      <c r="AD1065">
        <f>TRIM(MID(SUBSTITUTE($CA$1054,"~",REPT(" ",600)),6001,600))</f>
        <v/>
      </c>
    </row>
    <row r="1066">
      <c r="A1066" s="178">
        <f>IF($AD$1066=0,"",$BK$1066)</f>
        <v/>
      </c>
      <c r="B1066" s="178">
        <f>IF($AD$1066=0,"",$AE$1066*N($BA$1066))</f>
        <v/>
      </c>
      <c r="C1066" s="178">
        <f>IF($AD$1066=0,"",$AE$1066*N($BA$1066)&amp;") "&amp;IF(COUNTIFS(tk_SODG,29,tk_HLEG,"&lt;&gt;"&amp;$BJ$1066)=0,INDEX(tk_DLINE,$AD$1066),INDEX(tk_DLINEN,$AD$1066)))</f>
        <v/>
      </c>
      <c r="D1066" s="178" t="n"/>
      <c r="E1066" s="179">
        <f t="array" ref="E1066">IF($AD$1066=0,"",_xlfn.TEXTJOIN(", ",TRUE,IF(tk_SODG=29,"#"&amp;tk_MARK&amp;IF(tk_HLEG="","","("&amp;tk_HLEG&amp;")")&amp;IF(tk_QTY&gt;1," ×"&amp;tk_QTY,""),"")))</f>
        <v/>
      </c>
      <c r="AD1066">
        <f>IFERROR(MATCH(29,tk_SODG,0),0)</f>
        <v/>
      </c>
      <c r="AE1066">
        <f>IF($AD$1066=0,0,SUMIF(tk_SODG,29,tk_QTY))</f>
        <v/>
      </c>
      <c r="AF1066">
        <f>IF($AD$1066=0,"",INDEX(tk_JAMB,$AD$1066))</f>
        <v/>
      </c>
      <c r="AG1066">
        <f>IF($AD$1066=0,"",INDEX(tk_ANCHOR,$AD$1066))</f>
        <v/>
      </c>
      <c r="AH1066">
        <f>IF($AD$1066=0,"",INDEX(tk_ANCH,$AD$1066))</f>
        <v/>
      </c>
      <c r="AI1066">
        <f>IF($AD$1066=0,"",INDEX(tk_BASEA,$AD$1066))</f>
        <v/>
      </c>
      <c r="AJ1066">
        <f>IF($AD$1066=0,"",INDEX(tk_CONSTR,$AD$1066))</f>
        <v/>
      </c>
      <c r="AK1066">
        <f>IF($AD$1066=0,"",INDEX(tk_CLOSER,$AD$1066))</f>
        <v/>
      </c>
      <c r="AL1066">
        <f>IF($AD$1066=0,"",INDEX(tk_STRIKE,$AD$1066))</f>
        <v/>
      </c>
      <c r="AM1066">
        <f>IF($AD$1066=0,"",INDEX(tk_HDRPREP,$AD$1066))</f>
        <v/>
      </c>
      <c r="AN1066">
        <f>IF($AD$1066=0,"",INDEX(tk_DMIN,$AD$1066))</f>
        <v/>
      </c>
      <c r="AO1066">
        <f>IF($AD$1066=0,"",INDEX(tk_PAIR,$AD$1066))</f>
        <v/>
      </c>
      <c r="AP1066">
        <f>IF($AD$1066=0,"",INDEX(tk_FGA,$AD$1066))</f>
        <v/>
      </c>
      <c r="AQ1066">
        <f>IF($AD$1066=0,"",INDEX(tk_WI,$AD$1066))</f>
        <v/>
      </c>
      <c r="AR1066">
        <f>IF($AD$1066=0,"",INDEX(tk_HI,$AD$1066))</f>
        <v/>
      </c>
      <c r="AS1066">
        <f>IF($AD$1066=0,"",INDEX(tk_FHINGE,$AD$1066))</f>
        <v/>
      </c>
      <c r="AT1066">
        <f>IF($AD$1066=0,"",INDEX(tk_DHINGE,$AD$1066))</f>
        <v/>
      </c>
      <c r="AU1066">
        <f>IF($AD$1066=0,"",INDEX(tk_HWLOC,$AD$1066))</f>
        <v/>
      </c>
      <c r="AV1066">
        <f>IF($AD$1066=0,"",INDEX(tk_MANUF,$AD$1066))</f>
        <v/>
      </c>
      <c r="AW1066">
        <f>IF($AD$1066=0,"",INDEX(tk_JH,$AD$1066))</f>
        <v/>
      </c>
      <c r="AX1066">
        <f>IF($AD$1066=0,"",INDEX(tk_FDESC,$AD$1066))</f>
        <v/>
      </c>
      <c r="AY1066">
        <f>IF($AD$1066=0,"",INDEX(tk_TRANS,$AD$1066))</f>
        <v/>
      </c>
      <c r="AZ1066">
        <f>IF($AD$1066=0,"",INDEX(tk_SLW,$AD$1066))</f>
        <v/>
      </c>
      <c r="BA1066">
        <f>IF($AD$1066=0,"",INDEX(tk_LEAVES,$AD$1066))</f>
        <v/>
      </c>
      <c r="BB1066">
        <f>IF($AD$1066=0,"",INDEX(tk_LEAFW,$AD$1066))</f>
        <v/>
      </c>
      <c r="BC1066">
        <f>IF($AD$1066=0,"",INDEX(tk_LEAFH,$AD$1066))</f>
        <v/>
      </c>
      <c r="BD1066">
        <f>IF($AD$1066=0,"",INDEX(tk_DMAT,$AD$1066))</f>
        <v/>
      </c>
      <c r="BE1066">
        <f>IF($AD$1066=0,"",INDEX(tk_DGA,$AD$1066))</f>
        <v/>
      </c>
      <c r="BF1066">
        <f>IF($AD$1066=0,"",INDEX(tk_SERIES,$AD$1066))</f>
        <v/>
      </c>
      <c r="BG1066">
        <f>IF($AD$1066=0,"",INDEX(tk_LOCK,$AD$1066))</f>
        <v/>
      </c>
      <c r="BH1066">
        <f>IF($AD$1066=0,"",INDEX(tk_LITEKIT,$AD$1066))</f>
        <v/>
      </c>
      <c r="BI1066">
        <f>IF($AD$1066=0,"",INDEX(tk_FACE,$AD$1066))</f>
        <v/>
      </c>
      <c r="BJ1066">
        <f>IF($AD$1066=0,"",INDEX(tk_HLEG,$AD$1066))</f>
        <v/>
      </c>
      <c r="BK1066">
        <f>IF($AD$1066=0,"",INDEX(tk_SOITEM,$AD$1066))</f>
        <v/>
      </c>
      <c r="BL1066">
        <f>IFERROR(VLOOKUP($AF$1066,CODES,2,FALSE),"")</f>
        <v/>
      </c>
      <c r="BM1066">
        <f>IF($AJ$1066="KD","C","M")</f>
        <v/>
      </c>
      <c r="BN1066">
        <f>IF(N($AR$1066)&lt;=80,80,IF(N($AR$1066)&lt;=84,84,IF(N($AR$1066)&lt;=96,96,N($AR$1066))))</f>
        <v/>
      </c>
      <c r="BO1066">
        <f>INT($BN$1066/12)&amp;MOD($BN$1066,12)</f>
        <v/>
      </c>
      <c r="BP1066">
        <f>INT(N($AQ$1066)/12)&amp;MOD(N($AQ$1066),12)</f>
        <v/>
      </c>
      <c r="BQ1066">
        <f>IF(OR($AU$1066="",$AU$1066="ANSI/SDI",$AU$1066="CUSTOM LOC"),IF($AV$1066="CU","CURRIES","STEELCRAFT"),$AU$1066)</f>
        <v/>
      </c>
      <c r="BR1066">
        <f>$AO$1066="Y"</f>
        <v/>
      </c>
      <c r="BS1066">
        <f>"~"</f>
        <v/>
      </c>
      <c r="BT1066">
        <f>$AE$1066*N($BA$1066)</f>
        <v/>
      </c>
      <c r="BU1066">
        <f>OR(LEFT($BD$1066,3)="OAK",LEFT($BD$1066,3)="BIR",LEFT($BD$1066,3)="MAP",$BD$1066="PC",$BD$1066="MC",$BD$1066="SCLC",$BD$1066="P-LAM")</f>
        <v/>
      </c>
      <c r="BV1066">
        <f>INT(N($AQ$1066)/MAX(1,N($BA$1066))/12)&amp;MOD(N($AQ$1066)/MAX(1,N($BA$1066)),12)</f>
        <v/>
      </c>
      <c r="BW1066">
        <f>IF(OR($BG$1066="G11",$BG$1066="G11A",$BG$1066="G12A"),"G2",IF(OR(LEFT($BG$1066,2)="G3",$BG$1066="G12"),"G3AEO",$BG$1066))</f>
        <v/>
      </c>
      <c r="BX1066">
        <f>"(Net size: "&amp;TRIM(TEXT(N($BB$1066),"# ?/??"))&amp;CHAR(34)&amp;" x "&amp;TRIM(TEXT(N($BC$1066),"# ?/??"))&amp;CHAR(34)&amp;")"</f>
        <v/>
      </c>
      <c r="BY1066">
        <f>IF(LEFT($BD$1066,3)="OAK","RED OAK",IF(LEFT($BD$1066,3)="BIR","BIRCH",IF(LEFT($BD$1066,3)="MAP","MAPLE","WOOD")))</f>
        <v/>
      </c>
      <c r="BZ1066">
        <f>IF(OR($AT$1066="U454",AND($AT$1066="",$AS$1066="U454")),"454","453")</f>
        <v/>
      </c>
      <c r="CA1066">
        <f>IF($AD$1066=0,"",IF($BU$1066,$BT$1066&amp;"|"&amp;$BV$1066&amp;$BO$1066&amp;" "&amp;$BY$1066&amp;" SLAB "&amp;IF(N($AN$1066)&gt;0,$AN$1066&amp;" MINUTE",IF(RIGHT($BD$1066,2)="MC","MC","SC")&amp;" WOOD DOOR")&amp;"|"&amp;$BX$1066&amp;"|"&amp;$BS$1066,$BT$1066&amp;"|"&amp;$BV$1066&amp;$BO$1066&amp;$BW$1066&amp;" BSC "&amp;$BQ$1066&amp;" DOOR "&amp;$BE$1066&amp;"Ga. Non-Handed "&amp;IF($BF$1066="","707",$BF$1066)&amp;"S Flush HM|"&amp;$BX$1066&amp;"|"&amp;$BS$1066)&amp;IF(N($AN$1066)&gt;0,$BT$1066&amp;"|"&amp;$AN$1066&amp;IF($BU$1066," MINUTE WARNOCK HERSHEY FIRE RATED WOOD LABEL"," MINUTE FOAM CORE STEEL DOOR LABEL (MODELS 607 &amp; 707)")&amp;"||"&amp;$BS$1066,"")&amp;IF(AND(NOT($BU$1066),OR($BG$1066="G11",$BG$1066="G11A",$BG$1066="G12",$BG$1066="G12A")),$AE$1066&amp;"|EXIT DEVICE PREP FOR HM DOOR||"&amp;$BS$1066,"")&amp;IF(AND(NOT($BU$1066),$BG$1066="G12"),$AE$1066&amp;"|DR 350 MORTISE LOCK FILLER PLATE||"&amp;$BS$1066,"")&amp;IF(AND(NOT($BU$1066),LEFT($BG$1066,2)="G3"),$AE$1066&amp;"|MORTISE LOCK PREP||"&amp;$BS$1066,"")&amp;IF($BU$1066,$BT$1066&amp;"|"&amp;IF($BG$1066="G18",$BZ$1066&amp;"-4 1/2"&amp;CHAR(34)&amp;"X4 1/2"&amp;CHAR(34)&amp;" HINGES ONLY PREP","HINGE PREP "&amp;$BZ$1066&amp;" WITH LOCK PREP")&amp;"|"&amp;$BQ$1066&amp;" LOC|"&amp;$BS$1066,"")&amp;IF(OR($BG$1066="G2G2",$BG$1066="G17",$BG$1066="E1E4"),$AE$1066&amp;"|"&amp;IF($BU$1066,"DDLP CYLINDRICAL DEADLOCK PREP","DOOR DEADLOCK PREP")&amp;"||"&amp;$BS$1066,"")&amp;IF(OR($BH$1066="FG",$BH$1066="HG",$BH$1066="FNV",$BH$1066="FV"),$BT$1066&amp;"|"&amp;$BI$1066&amp;" LITE KIT||"&amp;$BS$1066,IF($BH$1066="FL",$BT$1066&amp;"|"&amp;$BI$1066&amp;" LOUVER||"&amp;$BS$1066,IF($BH$1066="FP",$BT$1066&amp;"|DVP DOOR VIEWER PREP||"&amp;$BS$1066,"")))&amp;IF($BN$1066&gt;N($AR$1066),$BT$1066&amp;"|DCO DOOR CUT DOWN ONLY (HEIGHT)|Cut "&amp;TRIM(TEXT($BN$1066-N($AR$1066),"# ?/??"))&amp;CHAR(34)&amp;" OFF THE BOTTOM|"&amp;$BS$1066,""))</f>
        <v/>
      </c>
    </row>
    <row r="1067">
      <c r="B1067" s="180">
        <f>IF($AD1067="","",VALUE(LEFT($AD1067,FIND("|",$AD1067)-1)))</f>
        <v/>
      </c>
      <c r="C1067" s="180">
        <f>IF($AD1067="","","    "&amp;MID($AD1067,FIND("|",$AD1067)+1,FIND("|",$AD1067,FIND("|",$AD1067)+1)-FIND("|",$AD1067)-1))</f>
        <v/>
      </c>
      <c r="D1067" s="180">
        <f>IF($AD1067="","",MID($AD1067,FIND("|",$AD1067,FIND("|",$AD1067)+1)+1,FIND("|",$AD1067&amp;"|",FIND("|",$AD1067,FIND("|",$AD1067)+1)+1)-FIND("|",$AD1067,FIND("|",$AD1067)+1)-1))</f>
        <v/>
      </c>
      <c r="AD1067">
        <f>TRIM(MID(SUBSTITUTE($CA$1066,"~",REPT(" ",600)),1,600))</f>
        <v/>
      </c>
    </row>
    <row r="1068">
      <c r="B1068" s="180">
        <f>IF($AD1068="","",VALUE(LEFT($AD1068,FIND("|",$AD1068)-1)))</f>
        <v/>
      </c>
      <c r="C1068" s="180">
        <f>IF($AD1068="","","    "&amp;MID($AD1068,FIND("|",$AD1068)+1,FIND("|",$AD1068,FIND("|",$AD1068)+1)-FIND("|",$AD1068)-1))</f>
        <v/>
      </c>
      <c r="D1068" s="180">
        <f>IF($AD1068="","",MID($AD1068,FIND("|",$AD1068,FIND("|",$AD1068)+1)+1,FIND("|",$AD1068&amp;"|",FIND("|",$AD1068,FIND("|",$AD1068)+1)+1)-FIND("|",$AD1068,FIND("|",$AD1068)+1)-1))</f>
        <v/>
      </c>
      <c r="AD1068">
        <f>TRIM(MID(SUBSTITUTE($CA$1066,"~",REPT(" ",600)),601,600))</f>
        <v/>
      </c>
    </row>
    <row r="1069">
      <c r="B1069" s="180">
        <f>IF($AD1069="","",VALUE(LEFT($AD1069,FIND("|",$AD1069)-1)))</f>
        <v/>
      </c>
      <c r="C1069" s="180">
        <f>IF($AD1069="","","    "&amp;MID($AD1069,FIND("|",$AD1069)+1,FIND("|",$AD1069,FIND("|",$AD1069)+1)-FIND("|",$AD1069)-1))</f>
        <v/>
      </c>
      <c r="D1069" s="180">
        <f>IF($AD1069="","",MID($AD1069,FIND("|",$AD1069,FIND("|",$AD1069)+1)+1,FIND("|",$AD1069&amp;"|",FIND("|",$AD1069,FIND("|",$AD1069)+1)+1)-FIND("|",$AD1069,FIND("|",$AD1069)+1)-1))</f>
        <v/>
      </c>
      <c r="AD1069">
        <f>TRIM(MID(SUBSTITUTE($CA$1066,"~",REPT(" ",600)),1201,600))</f>
        <v/>
      </c>
    </row>
    <row r="1070">
      <c r="B1070" s="180">
        <f>IF($AD1070="","",VALUE(LEFT($AD1070,FIND("|",$AD1070)-1)))</f>
        <v/>
      </c>
      <c r="C1070" s="180">
        <f>IF($AD1070="","","    "&amp;MID($AD1070,FIND("|",$AD1070)+1,FIND("|",$AD1070,FIND("|",$AD1070)+1)-FIND("|",$AD1070)-1))</f>
        <v/>
      </c>
      <c r="D1070" s="180">
        <f>IF($AD1070="","",MID($AD1070,FIND("|",$AD1070,FIND("|",$AD1070)+1)+1,FIND("|",$AD1070&amp;"|",FIND("|",$AD1070,FIND("|",$AD1070)+1)+1)-FIND("|",$AD1070,FIND("|",$AD1070)+1)-1))</f>
        <v/>
      </c>
      <c r="AD1070">
        <f>TRIM(MID(SUBSTITUTE($CA$1066,"~",REPT(" ",600)),1801,600))</f>
        <v/>
      </c>
    </row>
    <row r="1071">
      <c r="B1071" s="180">
        <f>IF($AD1071="","",VALUE(LEFT($AD1071,FIND("|",$AD1071)-1)))</f>
        <v/>
      </c>
      <c r="C1071" s="180">
        <f>IF($AD1071="","","    "&amp;MID($AD1071,FIND("|",$AD1071)+1,FIND("|",$AD1071,FIND("|",$AD1071)+1)-FIND("|",$AD1071)-1))</f>
        <v/>
      </c>
      <c r="D1071" s="180">
        <f>IF($AD1071="","",MID($AD1071,FIND("|",$AD1071,FIND("|",$AD1071)+1)+1,FIND("|",$AD1071&amp;"|",FIND("|",$AD1071,FIND("|",$AD1071)+1)+1)-FIND("|",$AD1071,FIND("|",$AD1071)+1)-1))</f>
        <v/>
      </c>
      <c r="AD1071">
        <f>TRIM(MID(SUBSTITUTE($CA$1066,"~",REPT(" ",600)),2401,600))</f>
        <v/>
      </c>
    </row>
    <row r="1072">
      <c r="B1072" s="180">
        <f>IF($AD1072="","",VALUE(LEFT($AD1072,FIND("|",$AD1072)-1)))</f>
        <v/>
      </c>
      <c r="C1072" s="180">
        <f>IF($AD1072="","","    "&amp;MID($AD1072,FIND("|",$AD1072)+1,FIND("|",$AD1072,FIND("|",$AD1072)+1)-FIND("|",$AD1072)-1))</f>
        <v/>
      </c>
      <c r="D1072" s="180">
        <f>IF($AD1072="","",MID($AD1072,FIND("|",$AD1072,FIND("|",$AD1072)+1)+1,FIND("|",$AD1072&amp;"|",FIND("|",$AD1072,FIND("|",$AD1072)+1)+1)-FIND("|",$AD1072,FIND("|",$AD1072)+1)-1))</f>
        <v/>
      </c>
      <c r="AD1072">
        <f>TRIM(MID(SUBSTITUTE($CA$1066,"~",REPT(" ",600)),3001,600))</f>
        <v/>
      </c>
    </row>
    <row r="1073">
      <c r="B1073" s="180">
        <f>IF($AD1073="","",VALUE(LEFT($AD1073,FIND("|",$AD1073)-1)))</f>
        <v/>
      </c>
      <c r="C1073" s="180">
        <f>IF($AD1073="","","    "&amp;MID($AD1073,FIND("|",$AD1073)+1,FIND("|",$AD1073,FIND("|",$AD1073)+1)-FIND("|",$AD1073)-1))</f>
        <v/>
      </c>
      <c r="D1073" s="180">
        <f>IF($AD1073="","",MID($AD1073,FIND("|",$AD1073,FIND("|",$AD1073)+1)+1,FIND("|",$AD1073&amp;"|",FIND("|",$AD1073,FIND("|",$AD1073)+1)+1)-FIND("|",$AD1073,FIND("|",$AD1073)+1)-1))</f>
        <v/>
      </c>
      <c r="AD1073">
        <f>TRIM(MID(SUBSTITUTE($CA$1066,"~",REPT(" ",600)),3601,600))</f>
        <v/>
      </c>
    </row>
    <row r="1074">
      <c r="B1074" s="180">
        <f>IF($AD1074="","",VALUE(LEFT($AD1074,FIND("|",$AD1074)-1)))</f>
        <v/>
      </c>
      <c r="C1074" s="180">
        <f>IF($AD1074="","","    "&amp;MID($AD1074,FIND("|",$AD1074)+1,FIND("|",$AD1074,FIND("|",$AD1074)+1)-FIND("|",$AD1074)-1))</f>
        <v/>
      </c>
      <c r="D1074" s="180">
        <f>IF($AD1074="","",MID($AD1074,FIND("|",$AD1074,FIND("|",$AD1074)+1)+1,FIND("|",$AD1074&amp;"|",FIND("|",$AD1074,FIND("|",$AD1074)+1)+1)-FIND("|",$AD1074,FIND("|",$AD1074)+1)-1))</f>
        <v/>
      </c>
      <c r="AD1074">
        <f>TRIM(MID(SUBSTITUTE($CA$1066,"~",REPT(" ",600)),4201,600))</f>
        <v/>
      </c>
    </row>
    <row r="1075">
      <c r="B1075" s="180">
        <f>IF($AD1075="","",VALUE(LEFT($AD1075,FIND("|",$AD1075)-1)))</f>
        <v/>
      </c>
      <c r="C1075" s="180">
        <f>IF($AD1075="","","    "&amp;MID($AD1075,FIND("|",$AD1075)+1,FIND("|",$AD1075,FIND("|",$AD1075)+1)-FIND("|",$AD1075)-1))</f>
        <v/>
      </c>
      <c r="D1075" s="180">
        <f>IF($AD1075="","",MID($AD1075,FIND("|",$AD1075,FIND("|",$AD1075)+1)+1,FIND("|",$AD1075&amp;"|",FIND("|",$AD1075,FIND("|",$AD1075)+1)+1)-FIND("|",$AD1075,FIND("|",$AD1075)+1)-1))</f>
        <v/>
      </c>
      <c r="AD1075">
        <f>TRIM(MID(SUBSTITUTE($CA$1066,"~",REPT(" ",600)),4801,600))</f>
        <v/>
      </c>
    </row>
    <row r="1076">
      <c r="B1076" s="180">
        <f>IF($AD1076="","",VALUE(LEFT($AD1076,FIND("|",$AD1076)-1)))</f>
        <v/>
      </c>
      <c r="C1076" s="180">
        <f>IF($AD1076="","","    "&amp;MID($AD1076,FIND("|",$AD1076)+1,FIND("|",$AD1076,FIND("|",$AD1076)+1)-FIND("|",$AD1076)-1))</f>
        <v/>
      </c>
      <c r="D1076" s="180">
        <f>IF($AD1076="","",MID($AD1076,FIND("|",$AD1076,FIND("|",$AD1076)+1)+1,FIND("|",$AD1076&amp;"|",FIND("|",$AD1076,FIND("|",$AD1076)+1)+1)-FIND("|",$AD1076,FIND("|",$AD1076)+1)-1))</f>
        <v/>
      </c>
      <c r="AD1076">
        <f>TRIM(MID(SUBSTITUTE($CA$1066,"~",REPT(" ",600)),5401,600))</f>
        <v/>
      </c>
    </row>
    <row r="1077">
      <c r="B1077" s="180">
        <f>IF($AD1077="","",VALUE(LEFT($AD1077,FIND("|",$AD1077)-1)))</f>
        <v/>
      </c>
      <c r="C1077" s="180">
        <f>IF($AD1077="","","    "&amp;MID($AD1077,FIND("|",$AD1077)+1,FIND("|",$AD1077,FIND("|",$AD1077)+1)-FIND("|",$AD1077)-1))</f>
        <v/>
      </c>
      <c r="D1077" s="180">
        <f>IF($AD1077="","",MID($AD1077,FIND("|",$AD1077,FIND("|",$AD1077)+1)+1,FIND("|",$AD1077&amp;"|",FIND("|",$AD1077,FIND("|",$AD1077)+1)+1)-FIND("|",$AD1077,FIND("|",$AD1077)+1)-1))</f>
        <v/>
      </c>
      <c r="AD1077">
        <f>TRIM(MID(SUBSTITUTE($CA$1066,"~",REPT(" ",600)),6001,600))</f>
        <v/>
      </c>
    </row>
    <row r="1078">
      <c r="A1078" s="178">
        <f>IF($AD$1078=0,"",$BK$1078)</f>
        <v/>
      </c>
      <c r="B1078" s="178">
        <f>IF($AD$1078=0,"",$AE$1078*N($BA$1078))</f>
        <v/>
      </c>
      <c r="C1078" s="178">
        <f>IF($AD$1078=0,"",$AE$1078*N($BA$1078)&amp;") "&amp;IF(COUNTIFS(tk_SODG,30,tk_HLEG,"&lt;&gt;"&amp;$BJ$1078)=0,INDEX(tk_DLINE,$AD$1078),INDEX(tk_DLINEN,$AD$1078)))</f>
        <v/>
      </c>
      <c r="D1078" s="178" t="n"/>
      <c r="E1078" s="179">
        <f t="array" ref="E1078">IF($AD$1078=0,"",_xlfn.TEXTJOIN(", ",TRUE,IF(tk_SODG=30,"#"&amp;tk_MARK&amp;IF(tk_HLEG="","","("&amp;tk_HLEG&amp;")")&amp;IF(tk_QTY&gt;1," ×"&amp;tk_QTY,""),"")))</f>
        <v/>
      </c>
      <c r="AD1078">
        <f>IFERROR(MATCH(30,tk_SODG,0),0)</f>
        <v/>
      </c>
      <c r="AE1078">
        <f>IF($AD$1078=0,0,SUMIF(tk_SODG,30,tk_QTY))</f>
        <v/>
      </c>
      <c r="AF1078">
        <f>IF($AD$1078=0,"",INDEX(tk_JAMB,$AD$1078))</f>
        <v/>
      </c>
      <c r="AG1078">
        <f>IF($AD$1078=0,"",INDEX(tk_ANCHOR,$AD$1078))</f>
        <v/>
      </c>
      <c r="AH1078">
        <f>IF($AD$1078=0,"",INDEX(tk_ANCH,$AD$1078))</f>
        <v/>
      </c>
      <c r="AI1078">
        <f>IF($AD$1078=0,"",INDEX(tk_BASEA,$AD$1078))</f>
        <v/>
      </c>
      <c r="AJ1078">
        <f>IF($AD$1078=0,"",INDEX(tk_CONSTR,$AD$1078))</f>
        <v/>
      </c>
      <c r="AK1078">
        <f>IF($AD$1078=0,"",INDEX(tk_CLOSER,$AD$1078))</f>
        <v/>
      </c>
      <c r="AL1078">
        <f>IF($AD$1078=0,"",INDEX(tk_STRIKE,$AD$1078))</f>
        <v/>
      </c>
      <c r="AM1078">
        <f>IF($AD$1078=0,"",INDEX(tk_HDRPREP,$AD$1078))</f>
        <v/>
      </c>
      <c r="AN1078">
        <f>IF($AD$1078=0,"",INDEX(tk_DMIN,$AD$1078))</f>
        <v/>
      </c>
      <c r="AO1078">
        <f>IF($AD$1078=0,"",INDEX(tk_PAIR,$AD$1078))</f>
        <v/>
      </c>
      <c r="AP1078">
        <f>IF($AD$1078=0,"",INDEX(tk_FGA,$AD$1078))</f>
        <v/>
      </c>
      <c r="AQ1078">
        <f>IF($AD$1078=0,"",INDEX(tk_WI,$AD$1078))</f>
        <v/>
      </c>
      <c r="AR1078">
        <f>IF($AD$1078=0,"",INDEX(tk_HI,$AD$1078))</f>
        <v/>
      </c>
      <c r="AS1078">
        <f>IF($AD$1078=0,"",INDEX(tk_FHINGE,$AD$1078))</f>
        <v/>
      </c>
      <c r="AT1078">
        <f>IF($AD$1078=0,"",INDEX(tk_DHINGE,$AD$1078))</f>
        <v/>
      </c>
      <c r="AU1078">
        <f>IF($AD$1078=0,"",INDEX(tk_HWLOC,$AD$1078))</f>
        <v/>
      </c>
      <c r="AV1078">
        <f>IF($AD$1078=0,"",INDEX(tk_MANUF,$AD$1078))</f>
        <v/>
      </c>
      <c r="AW1078">
        <f>IF($AD$1078=0,"",INDEX(tk_JH,$AD$1078))</f>
        <v/>
      </c>
      <c r="AX1078">
        <f>IF($AD$1078=0,"",INDEX(tk_FDESC,$AD$1078))</f>
        <v/>
      </c>
      <c r="AY1078">
        <f>IF($AD$1078=0,"",INDEX(tk_TRANS,$AD$1078))</f>
        <v/>
      </c>
      <c r="AZ1078">
        <f>IF($AD$1078=0,"",INDEX(tk_SLW,$AD$1078))</f>
        <v/>
      </c>
      <c r="BA1078">
        <f>IF($AD$1078=0,"",INDEX(tk_LEAVES,$AD$1078))</f>
        <v/>
      </c>
      <c r="BB1078">
        <f>IF($AD$1078=0,"",INDEX(tk_LEAFW,$AD$1078))</f>
        <v/>
      </c>
      <c r="BC1078">
        <f>IF($AD$1078=0,"",INDEX(tk_LEAFH,$AD$1078))</f>
        <v/>
      </c>
      <c r="BD1078">
        <f>IF($AD$1078=0,"",INDEX(tk_DMAT,$AD$1078))</f>
        <v/>
      </c>
      <c r="BE1078">
        <f>IF($AD$1078=0,"",INDEX(tk_DGA,$AD$1078))</f>
        <v/>
      </c>
      <c r="BF1078">
        <f>IF($AD$1078=0,"",INDEX(tk_SERIES,$AD$1078))</f>
        <v/>
      </c>
      <c r="BG1078">
        <f>IF($AD$1078=0,"",INDEX(tk_LOCK,$AD$1078))</f>
        <v/>
      </c>
      <c r="BH1078">
        <f>IF($AD$1078=0,"",INDEX(tk_LITEKIT,$AD$1078))</f>
        <v/>
      </c>
      <c r="BI1078">
        <f>IF($AD$1078=0,"",INDEX(tk_FACE,$AD$1078))</f>
        <v/>
      </c>
      <c r="BJ1078">
        <f>IF($AD$1078=0,"",INDEX(tk_HLEG,$AD$1078))</f>
        <v/>
      </c>
      <c r="BK1078">
        <f>IF($AD$1078=0,"",INDEX(tk_SOITEM,$AD$1078))</f>
        <v/>
      </c>
      <c r="BL1078">
        <f>IFERROR(VLOOKUP($AF$1078,CODES,2,FALSE),"")</f>
        <v/>
      </c>
      <c r="BM1078">
        <f>IF($AJ$1078="KD","C","M")</f>
        <v/>
      </c>
      <c r="BN1078">
        <f>IF(N($AR$1078)&lt;=80,80,IF(N($AR$1078)&lt;=84,84,IF(N($AR$1078)&lt;=96,96,N($AR$1078))))</f>
        <v/>
      </c>
      <c r="BO1078">
        <f>INT($BN$1078/12)&amp;MOD($BN$1078,12)</f>
        <v/>
      </c>
      <c r="BP1078">
        <f>INT(N($AQ$1078)/12)&amp;MOD(N($AQ$1078),12)</f>
        <v/>
      </c>
      <c r="BQ1078">
        <f>IF(OR($AU$1078="",$AU$1078="ANSI/SDI",$AU$1078="CUSTOM LOC"),IF($AV$1078="CU","CURRIES","STEELCRAFT"),$AU$1078)</f>
        <v/>
      </c>
      <c r="BR1078">
        <f>$AO$1078="Y"</f>
        <v/>
      </c>
      <c r="BS1078">
        <f>"~"</f>
        <v/>
      </c>
      <c r="BT1078">
        <f>$AE$1078*N($BA$1078)</f>
        <v/>
      </c>
      <c r="BU1078">
        <f>OR(LEFT($BD$1078,3)="OAK",LEFT($BD$1078,3)="BIR",LEFT($BD$1078,3)="MAP",$BD$1078="PC",$BD$1078="MC",$BD$1078="SCLC",$BD$1078="P-LAM")</f>
        <v/>
      </c>
      <c r="BV1078">
        <f>INT(N($AQ$1078)/MAX(1,N($BA$1078))/12)&amp;MOD(N($AQ$1078)/MAX(1,N($BA$1078)),12)</f>
        <v/>
      </c>
      <c r="BW1078">
        <f>IF(OR($BG$1078="G11",$BG$1078="G11A",$BG$1078="G12A"),"G2",IF(OR(LEFT($BG$1078,2)="G3",$BG$1078="G12"),"G3AEO",$BG$1078))</f>
        <v/>
      </c>
      <c r="BX1078">
        <f>"(Net size: "&amp;TRIM(TEXT(N($BB$1078),"# ?/??"))&amp;CHAR(34)&amp;" x "&amp;TRIM(TEXT(N($BC$1078),"# ?/??"))&amp;CHAR(34)&amp;")"</f>
        <v/>
      </c>
      <c r="BY1078">
        <f>IF(LEFT($BD$1078,3)="OAK","RED OAK",IF(LEFT($BD$1078,3)="BIR","BIRCH",IF(LEFT($BD$1078,3)="MAP","MAPLE","WOOD")))</f>
        <v/>
      </c>
      <c r="BZ1078">
        <f>IF(OR($AT$1078="U454",AND($AT$1078="",$AS$1078="U454")),"454","453")</f>
        <v/>
      </c>
      <c r="CA1078">
        <f>IF($AD$1078=0,"",IF($BU$1078,$BT$1078&amp;"|"&amp;$BV$1078&amp;$BO$1078&amp;" "&amp;$BY$1078&amp;" SLAB "&amp;IF(N($AN$1078)&gt;0,$AN$1078&amp;" MINUTE",IF(RIGHT($BD$1078,2)="MC","MC","SC")&amp;" WOOD DOOR")&amp;"|"&amp;$BX$1078&amp;"|"&amp;$BS$1078,$BT$1078&amp;"|"&amp;$BV$1078&amp;$BO$1078&amp;$BW$1078&amp;" BSC "&amp;$BQ$1078&amp;" DOOR "&amp;$BE$1078&amp;"Ga. Non-Handed "&amp;IF($BF$1078="","707",$BF$1078)&amp;"S Flush HM|"&amp;$BX$1078&amp;"|"&amp;$BS$1078)&amp;IF(N($AN$1078)&gt;0,$BT$1078&amp;"|"&amp;$AN$1078&amp;IF($BU$1078," MINUTE WARNOCK HERSHEY FIRE RATED WOOD LABEL"," MINUTE FOAM CORE STEEL DOOR LABEL (MODELS 607 &amp; 707)")&amp;"||"&amp;$BS$1078,"")&amp;IF(AND(NOT($BU$1078),OR($BG$1078="G11",$BG$1078="G11A",$BG$1078="G12",$BG$1078="G12A")),$AE$1078&amp;"|EXIT DEVICE PREP FOR HM DOOR||"&amp;$BS$1078,"")&amp;IF(AND(NOT($BU$1078),$BG$1078="G12"),$AE$1078&amp;"|DR 350 MORTISE LOCK FILLER PLATE||"&amp;$BS$1078,"")&amp;IF(AND(NOT($BU$1078),LEFT($BG$1078,2)="G3"),$AE$1078&amp;"|MORTISE LOCK PREP||"&amp;$BS$1078,"")&amp;IF($BU$1078,$BT$1078&amp;"|"&amp;IF($BG$1078="G18",$BZ$1078&amp;"-4 1/2"&amp;CHAR(34)&amp;"X4 1/2"&amp;CHAR(34)&amp;" HINGES ONLY PREP","HINGE PREP "&amp;$BZ$1078&amp;" WITH LOCK PREP")&amp;"|"&amp;$BQ$1078&amp;" LOC|"&amp;$BS$1078,"")&amp;IF(OR($BG$1078="G2G2",$BG$1078="G17",$BG$1078="E1E4"),$AE$1078&amp;"|"&amp;IF($BU$1078,"DDLP CYLINDRICAL DEADLOCK PREP","DOOR DEADLOCK PREP")&amp;"||"&amp;$BS$1078,"")&amp;IF(OR($BH$1078="FG",$BH$1078="HG",$BH$1078="FNV",$BH$1078="FV"),$BT$1078&amp;"|"&amp;$BI$1078&amp;" LITE KIT||"&amp;$BS$1078,IF($BH$1078="FL",$BT$1078&amp;"|"&amp;$BI$1078&amp;" LOUVER||"&amp;$BS$1078,IF($BH$1078="FP",$BT$1078&amp;"|DVP DOOR VIEWER PREP||"&amp;$BS$1078,"")))&amp;IF($BN$1078&gt;N($AR$1078),$BT$1078&amp;"|DCO DOOR CUT DOWN ONLY (HEIGHT)|Cut "&amp;TRIM(TEXT($BN$1078-N($AR$1078),"# ?/??"))&amp;CHAR(34)&amp;" OFF THE BOTTOM|"&amp;$BS$1078,""))</f>
        <v/>
      </c>
    </row>
    <row r="1079">
      <c r="B1079" s="180">
        <f>IF($AD1079="","",VALUE(LEFT($AD1079,FIND("|",$AD1079)-1)))</f>
        <v/>
      </c>
      <c r="C1079" s="180">
        <f>IF($AD1079="","","    "&amp;MID($AD1079,FIND("|",$AD1079)+1,FIND("|",$AD1079,FIND("|",$AD1079)+1)-FIND("|",$AD1079)-1))</f>
        <v/>
      </c>
      <c r="D1079" s="180">
        <f>IF($AD1079="","",MID($AD1079,FIND("|",$AD1079,FIND("|",$AD1079)+1)+1,FIND("|",$AD1079&amp;"|",FIND("|",$AD1079,FIND("|",$AD1079)+1)+1)-FIND("|",$AD1079,FIND("|",$AD1079)+1)-1))</f>
        <v/>
      </c>
      <c r="AD1079">
        <f>TRIM(MID(SUBSTITUTE($CA$1078,"~",REPT(" ",600)),1,600))</f>
        <v/>
      </c>
    </row>
    <row r="1080">
      <c r="B1080" s="180">
        <f>IF($AD1080="","",VALUE(LEFT($AD1080,FIND("|",$AD1080)-1)))</f>
        <v/>
      </c>
      <c r="C1080" s="180">
        <f>IF($AD1080="","","    "&amp;MID($AD1080,FIND("|",$AD1080)+1,FIND("|",$AD1080,FIND("|",$AD1080)+1)-FIND("|",$AD1080)-1))</f>
        <v/>
      </c>
      <c r="D1080" s="180">
        <f>IF($AD1080="","",MID($AD1080,FIND("|",$AD1080,FIND("|",$AD1080)+1)+1,FIND("|",$AD1080&amp;"|",FIND("|",$AD1080,FIND("|",$AD1080)+1)+1)-FIND("|",$AD1080,FIND("|",$AD1080)+1)-1))</f>
        <v/>
      </c>
      <c r="AD1080">
        <f>TRIM(MID(SUBSTITUTE($CA$1078,"~",REPT(" ",600)),601,600))</f>
        <v/>
      </c>
    </row>
    <row r="1081">
      <c r="B1081" s="180">
        <f>IF($AD1081="","",VALUE(LEFT($AD1081,FIND("|",$AD1081)-1)))</f>
        <v/>
      </c>
      <c r="C1081" s="180">
        <f>IF($AD1081="","","    "&amp;MID($AD1081,FIND("|",$AD1081)+1,FIND("|",$AD1081,FIND("|",$AD1081)+1)-FIND("|",$AD1081)-1))</f>
        <v/>
      </c>
      <c r="D1081" s="180">
        <f>IF($AD1081="","",MID($AD1081,FIND("|",$AD1081,FIND("|",$AD1081)+1)+1,FIND("|",$AD1081&amp;"|",FIND("|",$AD1081,FIND("|",$AD1081)+1)+1)-FIND("|",$AD1081,FIND("|",$AD1081)+1)-1))</f>
        <v/>
      </c>
      <c r="AD1081">
        <f>TRIM(MID(SUBSTITUTE($CA$1078,"~",REPT(" ",600)),1201,600))</f>
        <v/>
      </c>
    </row>
    <row r="1082">
      <c r="B1082" s="180">
        <f>IF($AD1082="","",VALUE(LEFT($AD1082,FIND("|",$AD1082)-1)))</f>
        <v/>
      </c>
      <c r="C1082" s="180">
        <f>IF($AD1082="","","    "&amp;MID($AD1082,FIND("|",$AD1082)+1,FIND("|",$AD1082,FIND("|",$AD1082)+1)-FIND("|",$AD1082)-1))</f>
        <v/>
      </c>
      <c r="D1082" s="180">
        <f>IF($AD1082="","",MID($AD1082,FIND("|",$AD1082,FIND("|",$AD1082)+1)+1,FIND("|",$AD1082&amp;"|",FIND("|",$AD1082,FIND("|",$AD1082)+1)+1)-FIND("|",$AD1082,FIND("|",$AD1082)+1)-1))</f>
        <v/>
      </c>
      <c r="AD1082">
        <f>TRIM(MID(SUBSTITUTE($CA$1078,"~",REPT(" ",600)),1801,600))</f>
        <v/>
      </c>
    </row>
    <row r="1083">
      <c r="B1083" s="180">
        <f>IF($AD1083="","",VALUE(LEFT($AD1083,FIND("|",$AD1083)-1)))</f>
        <v/>
      </c>
      <c r="C1083" s="180">
        <f>IF($AD1083="","","    "&amp;MID($AD1083,FIND("|",$AD1083)+1,FIND("|",$AD1083,FIND("|",$AD1083)+1)-FIND("|",$AD1083)-1))</f>
        <v/>
      </c>
      <c r="D1083" s="180">
        <f>IF($AD1083="","",MID($AD1083,FIND("|",$AD1083,FIND("|",$AD1083)+1)+1,FIND("|",$AD1083&amp;"|",FIND("|",$AD1083,FIND("|",$AD1083)+1)+1)-FIND("|",$AD1083,FIND("|",$AD1083)+1)-1))</f>
        <v/>
      </c>
      <c r="AD1083">
        <f>TRIM(MID(SUBSTITUTE($CA$1078,"~",REPT(" ",600)),2401,600))</f>
        <v/>
      </c>
    </row>
    <row r="1084">
      <c r="B1084" s="180">
        <f>IF($AD1084="","",VALUE(LEFT($AD1084,FIND("|",$AD1084)-1)))</f>
        <v/>
      </c>
      <c r="C1084" s="180">
        <f>IF($AD1084="","","    "&amp;MID($AD1084,FIND("|",$AD1084)+1,FIND("|",$AD1084,FIND("|",$AD1084)+1)-FIND("|",$AD1084)-1))</f>
        <v/>
      </c>
      <c r="D1084" s="180">
        <f>IF($AD1084="","",MID($AD1084,FIND("|",$AD1084,FIND("|",$AD1084)+1)+1,FIND("|",$AD1084&amp;"|",FIND("|",$AD1084,FIND("|",$AD1084)+1)+1)-FIND("|",$AD1084,FIND("|",$AD1084)+1)-1))</f>
        <v/>
      </c>
      <c r="AD1084">
        <f>TRIM(MID(SUBSTITUTE($CA$1078,"~",REPT(" ",600)),3001,600))</f>
        <v/>
      </c>
    </row>
    <row r="1085">
      <c r="B1085" s="180">
        <f>IF($AD1085="","",VALUE(LEFT($AD1085,FIND("|",$AD1085)-1)))</f>
        <v/>
      </c>
      <c r="C1085" s="180">
        <f>IF($AD1085="","","    "&amp;MID($AD1085,FIND("|",$AD1085)+1,FIND("|",$AD1085,FIND("|",$AD1085)+1)-FIND("|",$AD1085)-1))</f>
        <v/>
      </c>
      <c r="D1085" s="180">
        <f>IF($AD1085="","",MID($AD1085,FIND("|",$AD1085,FIND("|",$AD1085)+1)+1,FIND("|",$AD1085&amp;"|",FIND("|",$AD1085,FIND("|",$AD1085)+1)+1)-FIND("|",$AD1085,FIND("|",$AD1085)+1)-1))</f>
        <v/>
      </c>
      <c r="AD1085">
        <f>TRIM(MID(SUBSTITUTE($CA$1078,"~",REPT(" ",600)),3601,600))</f>
        <v/>
      </c>
    </row>
    <row r="1086">
      <c r="B1086" s="180">
        <f>IF($AD1086="","",VALUE(LEFT($AD1086,FIND("|",$AD1086)-1)))</f>
        <v/>
      </c>
      <c r="C1086" s="180">
        <f>IF($AD1086="","","    "&amp;MID($AD1086,FIND("|",$AD1086)+1,FIND("|",$AD1086,FIND("|",$AD1086)+1)-FIND("|",$AD1086)-1))</f>
        <v/>
      </c>
      <c r="D1086" s="180">
        <f>IF($AD1086="","",MID($AD1086,FIND("|",$AD1086,FIND("|",$AD1086)+1)+1,FIND("|",$AD1086&amp;"|",FIND("|",$AD1086,FIND("|",$AD1086)+1)+1)-FIND("|",$AD1086,FIND("|",$AD1086)+1)-1))</f>
        <v/>
      </c>
      <c r="AD1086">
        <f>TRIM(MID(SUBSTITUTE($CA$1078,"~",REPT(" ",600)),4201,600))</f>
        <v/>
      </c>
    </row>
    <row r="1087">
      <c r="B1087" s="180">
        <f>IF($AD1087="","",VALUE(LEFT($AD1087,FIND("|",$AD1087)-1)))</f>
        <v/>
      </c>
      <c r="C1087" s="180">
        <f>IF($AD1087="","","    "&amp;MID($AD1087,FIND("|",$AD1087)+1,FIND("|",$AD1087,FIND("|",$AD1087)+1)-FIND("|",$AD1087)-1))</f>
        <v/>
      </c>
      <c r="D1087" s="180">
        <f>IF($AD1087="","",MID($AD1087,FIND("|",$AD1087,FIND("|",$AD1087)+1)+1,FIND("|",$AD1087&amp;"|",FIND("|",$AD1087,FIND("|",$AD1087)+1)+1)-FIND("|",$AD1087,FIND("|",$AD1087)+1)-1))</f>
        <v/>
      </c>
      <c r="AD1087">
        <f>TRIM(MID(SUBSTITUTE($CA$1078,"~",REPT(" ",600)),4801,600))</f>
        <v/>
      </c>
    </row>
    <row r="1088">
      <c r="B1088" s="180">
        <f>IF($AD1088="","",VALUE(LEFT($AD1088,FIND("|",$AD1088)-1)))</f>
        <v/>
      </c>
      <c r="C1088" s="180">
        <f>IF($AD1088="","","    "&amp;MID($AD1088,FIND("|",$AD1088)+1,FIND("|",$AD1088,FIND("|",$AD1088)+1)-FIND("|",$AD1088)-1))</f>
        <v/>
      </c>
      <c r="D1088" s="180">
        <f>IF($AD1088="","",MID($AD1088,FIND("|",$AD1088,FIND("|",$AD1088)+1)+1,FIND("|",$AD1088&amp;"|",FIND("|",$AD1088,FIND("|",$AD1088)+1)+1)-FIND("|",$AD1088,FIND("|",$AD1088)+1)-1))</f>
        <v/>
      </c>
      <c r="AD1088">
        <f>TRIM(MID(SUBSTITUTE($CA$1078,"~",REPT(" ",600)),5401,600))</f>
        <v/>
      </c>
    </row>
    <row r="1089">
      <c r="B1089" s="180">
        <f>IF($AD1089="","",VALUE(LEFT($AD1089,FIND("|",$AD1089)-1)))</f>
        <v/>
      </c>
      <c r="C1089" s="180">
        <f>IF($AD1089="","","    "&amp;MID($AD1089,FIND("|",$AD1089)+1,FIND("|",$AD1089,FIND("|",$AD1089)+1)-FIND("|",$AD1089)-1))</f>
        <v/>
      </c>
      <c r="D1089" s="180">
        <f>IF($AD1089="","",MID($AD1089,FIND("|",$AD1089,FIND("|",$AD1089)+1)+1,FIND("|",$AD1089&amp;"|",FIND("|",$AD1089,FIND("|",$AD1089)+1)+1)-FIND("|",$AD1089,FIND("|",$AD1089)+1)-1))</f>
        <v/>
      </c>
      <c r="AD1089">
        <f>TRIM(MID(SUBSTITUTE($CA$1078,"~",REPT(" ",600)),6001,600))</f>
        <v/>
      </c>
    </row>
    <row r="1090">
      <c r="A1090" s="178">
        <f>IF($AD$1090=0,"",$BK$1090)</f>
        <v/>
      </c>
      <c r="B1090" s="178">
        <f>IF($AD$1090=0,"",$AE$1090*N($BA$1090))</f>
        <v/>
      </c>
      <c r="C1090" s="178">
        <f>IF($AD$1090=0,"",$AE$1090*N($BA$1090)&amp;") "&amp;IF(COUNTIFS(tk_SODG,31,tk_HLEG,"&lt;&gt;"&amp;$BJ$1090)=0,INDEX(tk_DLINE,$AD$1090),INDEX(tk_DLINEN,$AD$1090)))</f>
        <v/>
      </c>
      <c r="D1090" s="178" t="n"/>
      <c r="E1090" s="179">
        <f t="array" ref="E1090">IF($AD$1090=0,"",_xlfn.TEXTJOIN(", ",TRUE,IF(tk_SODG=31,"#"&amp;tk_MARK&amp;IF(tk_HLEG="","","("&amp;tk_HLEG&amp;")")&amp;IF(tk_QTY&gt;1," ×"&amp;tk_QTY,""),"")))</f>
        <v/>
      </c>
      <c r="AD1090">
        <f>IFERROR(MATCH(31,tk_SODG,0),0)</f>
        <v/>
      </c>
      <c r="AE1090">
        <f>IF($AD$1090=0,0,SUMIF(tk_SODG,31,tk_QTY))</f>
        <v/>
      </c>
      <c r="AF1090">
        <f>IF($AD$1090=0,"",INDEX(tk_JAMB,$AD$1090))</f>
        <v/>
      </c>
      <c r="AG1090">
        <f>IF($AD$1090=0,"",INDEX(tk_ANCHOR,$AD$1090))</f>
        <v/>
      </c>
      <c r="AH1090">
        <f>IF($AD$1090=0,"",INDEX(tk_ANCH,$AD$1090))</f>
        <v/>
      </c>
      <c r="AI1090">
        <f>IF($AD$1090=0,"",INDEX(tk_BASEA,$AD$1090))</f>
        <v/>
      </c>
      <c r="AJ1090">
        <f>IF($AD$1090=0,"",INDEX(tk_CONSTR,$AD$1090))</f>
        <v/>
      </c>
      <c r="AK1090">
        <f>IF($AD$1090=0,"",INDEX(tk_CLOSER,$AD$1090))</f>
        <v/>
      </c>
      <c r="AL1090">
        <f>IF($AD$1090=0,"",INDEX(tk_STRIKE,$AD$1090))</f>
        <v/>
      </c>
      <c r="AM1090">
        <f>IF($AD$1090=0,"",INDEX(tk_HDRPREP,$AD$1090))</f>
        <v/>
      </c>
      <c r="AN1090">
        <f>IF($AD$1090=0,"",INDEX(tk_DMIN,$AD$1090))</f>
        <v/>
      </c>
      <c r="AO1090">
        <f>IF($AD$1090=0,"",INDEX(tk_PAIR,$AD$1090))</f>
        <v/>
      </c>
      <c r="AP1090">
        <f>IF($AD$1090=0,"",INDEX(tk_FGA,$AD$1090))</f>
        <v/>
      </c>
      <c r="AQ1090">
        <f>IF($AD$1090=0,"",INDEX(tk_WI,$AD$1090))</f>
        <v/>
      </c>
      <c r="AR1090">
        <f>IF($AD$1090=0,"",INDEX(tk_HI,$AD$1090))</f>
        <v/>
      </c>
      <c r="AS1090">
        <f>IF($AD$1090=0,"",INDEX(tk_FHINGE,$AD$1090))</f>
        <v/>
      </c>
      <c r="AT1090">
        <f>IF($AD$1090=0,"",INDEX(tk_DHINGE,$AD$1090))</f>
        <v/>
      </c>
      <c r="AU1090">
        <f>IF($AD$1090=0,"",INDEX(tk_HWLOC,$AD$1090))</f>
        <v/>
      </c>
      <c r="AV1090">
        <f>IF($AD$1090=0,"",INDEX(tk_MANUF,$AD$1090))</f>
        <v/>
      </c>
      <c r="AW1090">
        <f>IF($AD$1090=0,"",INDEX(tk_JH,$AD$1090))</f>
        <v/>
      </c>
      <c r="AX1090">
        <f>IF($AD$1090=0,"",INDEX(tk_FDESC,$AD$1090))</f>
        <v/>
      </c>
      <c r="AY1090">
        <f>IF($AD$1090=0,"",INDEX(tk_TRANS,$AD$1090))</f>
        <v/>
      </c>
      <c r="AZ1090">
        <f>IF($AD$1090=0,"",INDEX(tk_SLW,$AD$1090))</f>
        <v/>
      </c>
      <c r="BA1090">
        <f>IF($AD$1090=0,"",INDEX(tk_LEAVES,$AD$1090))</f>
        <v/>
      </c>
      <c r="BB1090">
        <f>IF($AD$1090=0,"",INDEX(tk_LEAFW,$AD$1090))</f>
        <v/>
      </c>
      <c r="BC1090">
        <f>IF($AD$1090=0,"",INDEX(tk_LEAFH,$AD$1090))</f>
        <v/>
      </c>
      <c r="BD1090">
        <f>IF($AD$1090=0,"",INDEX(tk_DMAT,$AD$1090))</f>
        <v/>
      </c>
      <c r="BE1090">
        <f>IF($AD$1090=0,"",INDEX(tk_DGA,$AD$1090))</f>
        <v/>
      </c>
      <c r="BF1090">
        <f>IF($AD$1090=0,"",INDEX(tk_SERIES,$AD$1090))</f>
        <v/>
      </c>
      <c r="BG1090">
        <f>IF($AD$1090=0,"",INDEX(tk_LOCK,$AD$1090))</f>
        <v/>
      </c>
      <c r="BH1090">
        <f>IF($AD$1090=0,"",INDEX(tk_LITEKIT,$AD$1090))</f>
        <v/>
      </c>
      <c r="BI1090">
        <f>IF($AD$1090=0,"",INDEX(tk_FACE,$AD$1090))</f>
        <v/>
      </c>
      <c r="BJ1090">
        <f>IF($AD$1090=0,"",INDEX(tk_HLEG,$AD$1090))</f>
        <v/>
      </c>
      <c r="BK1090">
        <f>IF($AD$1090=0,"",INDEX(tk_SOITEM,$AD$1090))</f>
        <v/>
      </c>
      <c r="BL1090">
        <f>IFERROR(VLOOKUP($AF$1090,CODES,2,FALSE),"")</f>
        <v/>
      </c>
      <c r="BM1090">
        <f>IF($AJ$1090="KD","C","M")</f>
        <v/>
      </c>
      <c r="BN1090">
        <f>IF(N($AR$1090)&lt;=80,80,IF(N($AR$1090)&lt;=84,84,IF(N($AR$1090)&lt;=96,96,N($AR$1090))))</f>
        <v/>
      </c>
      <c r="BO1090">
        <f>INT($BN$1090/12)&amp;MOD($BN$1090,12)</f>
        <v/>
      </c>
      <c r="BP1090">
        <f>INT(N($AQ$1090)/12)&amp;MOD(N($AQ$1090),12)</f>
        <v/>
      </c>
      <c r="BQ1090">
        <f>IF(OR($AU$1090="",$AU$1090="ANSI/SDI",$AU$1090="CUSTOM LOC"),IF($AV$1090="CU","CURRIES","STEELCRAFT"),$AU$1090)</f>
        <v/>
      </c>
      <c r="BR1090">
        <f>$AO$1090="Y"</f>
        <v/>
      </c>
      <c r="BS1090">
        <f>"~"</f>
        <v/>
      </c>
      <c r="BT1090">
        <f>$AE$1090*N($BA$1090)</f>
        <v/>
      </c>
      <c r="BU1090">
        <f>OR(LEFT($BD$1090,3)="OAK",LEFT($BD$1090,3)="BIR",LEFT($BD$1090,3)="MAP",$BD$1090="PC",$BD$1090="MC",$BD$1090="SCLC",$BD$1090="P-LAM")</f>
        <v/>
      </c>
      <c r="BV1090">
        <f>INT(N($AQ$1090)/MAX(1,N($BA$1090))/12)&amp;MOD(N($AQ$1090)/MAX(1,N($BA$1090)),12)</f>
        <v/>
      </c>
      <c r="BW1090">
        <f>IF(OR($BG$1090="G11",$BG$1090="G11A",$BG$1090="G12A"),"G2",IF(OR(LEFT($BG$1090,2)="G3",$BG$1090="G12"),"G3AEO",$BG$1090))</f>
        <v/>
      </c>
      <c r="BX1090">
        <f>"(Net size: "&amp;TRIM(TEXT(N($BB$1090),"# ?/??"))&amp;CHAR(34)&amp;" x "&amp;TRIM(TEXT(N($BC$1090),"# ?/??"))&amp;CHAR(34)&amp;")"</f>
        <v/>
      </c>
      <c r="BY1090">
        <f>IF(LEFT($BD$1090,3)="OAK","RED OAK",IF(LEFT($BD$1090,3)="BIR","BIRCH",IF(LEFT($BD$1090,3)="MAP","MAPLE","WOOD")))</f>
        <v/>
      </c>
      <c r="BZ1090">
        <f>IF(OR($AT$1090="U454",AND($AT$1090="",$AS$1090="U454")),"454","453")</f>
        <v/>
      </c>
      <c r="CA1090">
        <f>IF($AD$1090=0,"",IF($BU$1090,$BT$1090&amp;"|"&amp;$BV$1090&amp;$BO$1090&amp;" "&amp;$BY$1090&amp;" SLAB "&amp;IF(N($AN$1090)&gt;0,$AN$1090&amp;" MINUTE",IF(RIGHT($BD$1090,2)="MC","MC","SC")&amp;" WOOD DOOR")&amp;"|"&amp;$BX$1090&amp;"|"&amp;$BS$1090,$BT$1090&amp;"|"&amp;$BV$1090&amp;$BO$1090&amp;$BW$1090&amp;" BSC "&amp;$BQ$1090&amp;" DOOR "&amp;$BE$1090&amp;"Ga. Non-Handed "&amp;IF($BF$1090="","707",$BF$1090)&amp;"S Flush HM|"&amp;$BX$1090&amp;"|"&amp;$BS$1090)&amp;IF(N($AN$1090)&gt;0,$BT$1090&amp;"|"&amp;$AN$1090&amp;IF($BU$1090," MINUTE WARNOCK HERSHEY FIRE RATED WOOD LABEL"," MINUTE FOAM CORE STEEL DOOR LABEL (MODELS 607 &amp; 707)")&amp;"||"&amp;$BS$1090,"")&amp;IF(AND(NOT($BU$1090),OR($BG$1090="G11",$BG$1090="G11A",$BG$1090="G12",$BG$1090="G12A")),$AE$1090&amp;"|EXIT DEVICE PREP FOR HM DOOR||"&amp;$BS$1090,"")&amp;IF(AND(NOT($BU$1090),$BG$1090="G12"),$AE$1090&amp;"|DR 350 MORTISE LOCK FILLER PLATE||"&amp;$BS$1090,"")&amp;IF(AND(NOT($BU$1090),LEFT($BG$1090,2)="G3"),$AE$1090&amp;"|MORTISE LOCK PREP||"&amp;$BS$1090,"")&amp;IF($BU$1090,$BT$1090&amp;"|"&amp;IF($BG$1090="G18",$BZ$1090&amp;"-4 1/2"&amp;CHAR(34)&amp;"X4 1/2"&amp;CHAR(34)&amp;" HINGES ONLY PREP","HINGE PREP "&amp;$BZ$1090&amp;" WITH LOCK PREP")&amp;"|"&amp;$BQ$1090&amp;" LOC|"&amp;$BS$1090,"")&amp;IF(OR($BG$1090="G2G2",$BG$1090="G17",$BG$1090="E1E4"),$AE$1090&amp;"|"&amp;IF($BU$1090,"DDLP CYLINDRICAL DEADLOCK PREP","DOOR DEADLOCK PREP")&amp;"||"&amp;$BS$1090,"")&amp;IF(OR($BH$1090="FG",$BH$1090="HG",$BH$1090="FNV",$BH$1090="FV"),$BT$1090&amp;"|"&amp;$BI$1090&amp;" LITE KIT||"&amp;$BS$1090,IF($BH$1090="FL",$BT$1090&amp;"|"&amp;$BI$1090&amp;" LOUVER||"&amp;$BS$1090,IF($BH$1090="FP",$BT$1090&amp;"|DVP DOOR VIEWER PREP||"&amp;$BS$1090,"")))&amp;IF($BN$1090&gt;N($AR$1090),$BT$1090&amp;"|DCO DOOR CUT DOWN ONLY (HEIGHT)|Cut "&amp;TRIM(TEXT($BN$1090-N($AR$1090),"# ?/??"))&amp;CHAR(34)&amp;" OFF THE BOTTOM|"&amp;$BS$1090,""))</f>
        <v/>
      </c>
    </row>
    <row r="1091">
      <c r="B1091" s="180">
        <f>IF($AD1091="","",VALUE(LEFT($AD1091,FIND("|",$AD1091)-1)))</f>
        <v/>
      </c>
      <c r="C1091" s="180">
        <f>IF($AD1091="","","    "&amp;MID($AD1091,FIND("|",$AD1091)+1,FIND("|",$AD1091,FIND("|",$AD1091)+1)-FIND("|",$AD1091)-1))</f>
        <v/>
      </c>
      <c r="D1091" s="180">
        <f>IF($AD1091="","",MID($AD1091,FIND("|",$AD1091,FIND("|",$AD1091)+1)+1,FIND("|",$AD1091&amp;"|",FIND("|",$AD1091,FIND("|",$AD1091)+1)+1)-FIND("|",$AD1091,FIND("|",$AD1091)+1)-1))</f>
        <v/>
      </c>
      <c r="AD1091">
        <f>TRIM(MID(SUBSTITUTE($CA$1090,"~",REPT(" ",600)),1,600))</f>
        <v/>
      </c>
    </row>
    <row r="1092">
      <c r="B1092" s="180">
        <f>IF($AD1092="","",VALUE(LEFT($AD1092,FIND("|",$AD1092)-1)))</f>
        <v/>
      </c>
      <c r="C1092" s="180">
        <f>IF($AD1092="","","    "&amp;MID($AD1092,FIND("|",$AD1092)+1,FIND("|",$AD1092,FIND("|",$AD1092)+1)-FIND("|",$AD1092)-1))</f>
        <v/>
      </c>
      <c r="D1092" s="180">
        <f>IF($AD1092="","",MID($AD1092,FIND("|",$AD1092,FIND("|",$AD1092)+1)+1,FIND("|",$AD1092&amp;"|",FIND("|",$AD1092,FIND("|",$AD1092)+1)+1)-FIND("|",$AD1092,FIND("|",$AD1092)+1)-1))</f>
        <v/>
      </c>
      <c r="AD1092">
        <f>TRIM(MID(SUBSTITUTE($CA$1090,"~",REPT(" ",600)),601,600))</f>
        <v/>
      </c>
    </row>
    <row r="1093">
      <c r="B1093" s="180">
        <f>IF($AD1093="","",VALUE(LEFT($AD1093,FIND("|",$AD1093)-1)))</f>
        <v/>
      </c>
      <c r="C1093" s="180">
        <f>IF($AD1093="","","    "&amp;MID($AD1093,FIND("|",$AD1093)+1,FIND("|",$AD1093,FIND("|",$AD1093)+1)-FIND("|",$AD1093)-1))</f>
        <v/>
      </c>
      <c r="D1093" s="180">
        <f>IF($AD1093="","",MID($AD1093,FIND("|",$AD1093,FIND("|",$AD1093)+1)+1,FIND("|",$AD1093&amp;"|",FIND("|",$AD1093,FIND("|",$AD1093)+1)+1)-FIND("|",$AD1093,FIND("|",$AD1093)+1)-1))</f>
        <v/>
      </c>
      <c r="AD1093">
        <f>TRIM(MID(SUBSTITUTE($CA$1090,"~",REPT(" ",600)),1201,600))</f>
        <v/>
      </c>
    </row>
    <row r="1094">
      <c r="B1094" s="180">
        <f>IF($AD1094="","",VALUE(LEFT($AD1094,FIND("|",$AD1094)-1)))</f>
        <v/>
      </c>
      <c r="C1094" s="180">
        <f>IF($AD1094="","","    "&amp;MID($AD1094,FIND("|",$AD1094)+1,FIND("|",$AD1094,FIND("|",$AD1094)+1)-FIND("|",$AD1094)-1))</f>
        <v/>
      </c>
      <c r="D1094" s="180">
        <f>IF($AD1094="","",MID($AD1094,FIND("|",$AD1094,FIND("|",$AD1094)+1)+1,FIND("|",$AD1094&amp;"|",FIND("|",$AD1094,FIND("|",$AD1094)+1)+1)-FIND("|",$AD1094,FIND("|",$AD1094)+1)-1))</f>
        <v/>
      </c>
      <c r="AD1094">
        <f>TRIM(MID(SUBSTITUTE($CA$1090,"~",REPT(" ",600)),1801,600))</f>
        <v/>
      </c>
    </row>
    <row r="1095">
      <c r="B1095" s="180">
        <f>IF($AD1095="","",VALUE(LEFT($AD1095,FIND("|",$AD1095)-1)))</f>
        <v/>
      </c>
      <c r="C1095" s="180">
        <f>IF($AD1095="","","    "&amp;MID($AD1095,FIND("|",$AD1095)+1,FIND("|",$AD1095,FIND("|",$AD1095)+1)-FIND("|",$AD1095)-1))</f>
        <v/>
      </c>
      <c r="D1095" s="180">
        <f>IF($AD1095="","",MID($AD1095,FIND("|",$AD1095,FIND("|",$AD1095)+1)+1,FIND("|",$AD1095&amp;"|",FIND("|",$AD1095,FIND("|",$AD1095)+1)+1)-FIND("|",$AD1095,FIND("|",$AD1095)+1)-1))</f>
        <v/>
      </c>
      <c r="AD1095">
        <f>TRIM(MID(SUBSTITUTE($CA$1090,"~",REPT(" ",600)),2401,600))</f>
        <v/>
      </c>
    </row>
    <row r="1096">
      <c r="B1096" s="180">
        <f>IF($AD1096="","",VALUE(LEFT($AD1096,FIND("|",$AD1096)-1)))</f>
        <v/>
      </c>
      <c r="C1096" s="180">
        <f>IF($AD1096="","","    "&amp;MID($AD1096,FIND("|",$AD1096)+1,FIND("|",$AD1096,FIND("|",$AD1096)+1)-FIND("|",$AD1096)-1))</f>
        <v/>
      </c>
      <c r="D1096" s="180">
        <f>IF($AD1096="","",MID($AD1096,FIND("|",$AD1096,FIND("|",$AD1096)+1)+1,FIND("|",$AD1096&amp;"|",FIND("|",$AD1096,FIND("|",$AD1096)+1)+1)-FIND("|",$AD1096,FIND("|",$AD1096)+1)-1))</f>
        <v/>
      </c>
      <c r="AD1096">
        <f>TRIM(MID(SUBSTITUTE($CA$1090,"~",REPT(" ",600)),3001,600))</f>
        <v/>
      </c>
    </row>
    <row r="1097">
      <c r="B1097" s="180">
        <f>IF($AD1097="","",VALUE(LEFT($AD1097,FIND("|",$AD1097)-1)))</f>
        <v/>
      </c>
      <c r="C1097" s="180">
        <f>IF($AD1097="","","    "&amp;MID($AD1097,FIND("|",$AD1097)+1,FIND("|",$AD1097,FIND("|",$AD1097)+1)-FIND("|",$AD1097)-1))</f>
        <v/>
      </c>
      <c r="D1097" s="180">
        <f>IF($AD1097="","",MID($AD1097,FIND("|",$AD1097,FIND("|",$AD1097)+1)+1,FIND("|",$AD1097&amp;"|",FIND("|",$AD1097,FIND("|",$AD1097)+1)+1)-FIND("|",$AD1097,FIND("|",$AD1097)+1)-1))</f>
        <v/>
      </c>
      <c r="AD1097">
        <f>TRIM(MID(SUBSTITUTE($CA$1090,"~",REPT(" ",600)),3601,600))</f>
        <v/>
      </c>
    </row>
    <row r="1098">
      <c r="B1098" s="180">
        <f>IF($AD1098="","",VALUE(LEFT($AD1098,FIND("|",$AD1098)-1)))</f>
        <v/>
      </c>
      <c r="C1098" s="180">
        <f>IF($AD1098="","","    "&amp;MID($AD1098,FIND("|",$AD1098)+1,FIND("|",$AD1098,FIND("|",$AD1098)+1)-FIND("|",$AD1098)-1))</f>
        <v/>
      </c>
      <c r="D1098" s="180">
        <f>IF($AD1098="","",MID($AD1098,FIND("|",$AD1098,FIND("|",$AD1098)+1)+1,FIND("|",$AD1098&amp;"|",FIND("|",$AD1098,FIND("|",$AD1098)+1)+1)-FIND("|",$AD1098,FIND("|",$AD1098)+1)-1))</f>
        <v/>
      </c>
      <c r="AD1098">
        <f>TRIM(MID(SUBSTITUTE($CA$1090,"~",REPT(" ",600)),4201,600))</f>
        <v/>
      </c>
    </row>
    <row r="1099">
      <c r="B1099" s="180">
        <f>IF($AD1099="","",VALUE(LEFT($AD1099,FIND("|",$AD1099)-1)))</f>
        <v/>
      </c>
      <c r="C1099" s="180">
        <f>IF($AD1099="","","    "&amp;MID($AD1099,FIND("|",$AD1099)+1,FIND("|",$AD1099,FIND("|",$AD1099)+1)-FIND("|",$AD1099)-1))</f>
        <v/>
      </c>
      <c r="D1099" s="180">
        <f>IF($AD1099="","",MID($AD1099,FIND("|",$AD1099,FIND("|",$AD1099)+1)+1,FIND("|",$AD1099&amp;"|",FIND("|",$AD1099,FIND("|",$AD1099)+1)+1)-FIND("|",$AD1099,FIND("|",$AD1099)+1)-1))</f>
        <v/>
      </c>
      <c r="AD1099">
        <f>TRIM(MID(SUBSTITUTE($CA$1090,"~",REPT(" ",600)),4801,600))</f>
        <v/>
      </c>
    </row>
    <row r="1100">
      <c r="B1100" s="180">
        <f>IF($AD1100="","",VALUE(LEFT($AD1100,FIND("|",$AD1100)-1)))</f>
        <v/>
      </c>
      <c r="C1100" s="180">
        <f>IF($AD1100="","","    "&amp;MID($AD1100,FIND("|",$AD1100)+1,FIND("|",$AD1100,FIND("|",$AD1100)+1)-FIND("|",$AD1100)-1))</f>
        <v/>
      </c>
      <c r="D1100" s="180">
        <f>IF($AD1100="","",MID($AD1100,FIND("|",$AD1100,FIND("|",$AD1100)+1)+1,FIND("|",$AD1100&amp;"|",FIND("|",$AD1100,FIND("|",$AD1100)+1)+1)-FIND("|",$AD1100,FIND("|",$AD1100)+1)-1))</f>
        <v/>
      </c>
      <c r="AD1100">
        <f>TRIM(MID(SUBSTITUTE($CA$1090,"~",REPT(" ",600)),5401,600))</f>
        <v/>
      </c>
    </row>
    <row r="1101">
      <c r="B1101" s="180">
        <f>IF($AD1101="","",VALUE(LEFT($AD1101,FIND("|",$AD1101)-1)))</f>
        <v/>
      </c>
      <c r="C1101" s="180">
        <f>IF($AD1101="","","    "&amp;MID($AD1101,FIND("|",$AD1101)+1,FIND("|",$AD1101,FIND("|",$AD1101)+1)-FIND("|",$AD1101)-1))</f>
        <v/>
      </c>
      <c r="D1101" s="180">
        <f>IF($AD1101="","",MID($AD1101,FIND("|",$AD1101,FIND("|",$AD1101)+1)+1,FIND("|",$AD1101&amp;"|",FIND("|",$AD1101,FIND("|",$AD1101)+1)+1)-FIND("|",$AD1101,FIND("|",$AD1101)+1)-1))</f>
        <v/>
      </c>
      <c r="AD1101">
        <f>TRIM(MID(SUBSTITUTE($CA$1090,"~",REPT(" ",600)),6001,600))</f>
        <v/>
      </c>
    </row>
    <row r="1102">
      <c r="A1102" s="178">
        <f>IF($AD$1102=0,"",$BK$1102)</f>
        <v/>
      </c>
      <c r="B1102" s="178">
        <f>IF($AD$1102=0,"",$AE$1102*N($BA$1102))</f>
        <v/>
      </c>
      <c r="C1102" s="178">
        <f>IF($AD$1102=0,"",$AE$1102*N($BA$1102)&amp;") "&amp;IF(COUNTIFS(tk_SODG,32,tk_HLEG,"&lt;&gt;"&amp;$BJ$1102)=0,INDEX(tk_DLINE,$AD$1102),INDEX(tk_DLINEN,$AD$1102)))</f>
        <v/>
      </c>
      <c r="D1102" s="178" t="n"/>
      <c r="E1102" s="179">
        <f t="array" ref="E1102">IF($AD$1102=0,"",_xlfn.TEXTJOIN(", ",TRUE,IF(tk_SODG=32,"#"&amp;tk_MARK&amp;IF(tk_HLEG="","","("&amp;tk_HLEG&amp;")")&amp;IF(tk_QTY&gt;1," ×"&amp;tk_QTY,""),"")))</f>
        <v/>
      </c>
      <c r="AD1102">
        <f>IFERROR(MATCH(32,tk_SODG,0),0)</f>
        <v/>
      </c>
      <c r="AE1102">
        <f>IF($AD$1102=0,0,SUMIF(tk_SODG,32,tk_QTY))</f>
        <v/>
      </c>
      <c r="AF1102">
        <f>IF($AD$1102=0,"",INDEX(tk_JAMB,$AD$1102))</f>
        <v/>
      </c>
      <c r="AG1102">
        <f>IF($AD$1102=0,"",INDEX(tk_ANCHOR,$AD$1102))</f>
        <v/>
      </c>
      <c r="AH1102">
        <f>IF($AD$1102=0,"",INDEX(tk_ANCH,$AD$1102))</f>
        <v/>
      </c>
      <c r="AI1102">
        <f>IF($AD$1102=0,"",INDEX(tk_BASEA,$AD$1102))</f>
        <v/>
      </c>
      <c r="AJ1102">
        <f>IF($AD$1102=0,"",INDEX(tk_CONSTR,$AD$1102))</f>
        <v/>
      </c>
      <c r="AK1102">
        <f>IF($AD$1102=0,"",INDEX(tk_CLOSER,$AD$1102))</f>
        <v/>
      </c>
      <c r="AL1102">
        <f>IF($AD$1102=0,"",INDEX(tk_STRIKE,$AD$1102))</f>
        <v/>
      </c>
      <c r="AM1102">
        <f>IF($AD$1102=0,"",INDEX(tk_HDRPREP,$AD$1102))</f>
        <v/>
      </c>
      <c r="AN1102">
        <f>IF($AD$1102=0,"",INDEX(tk_DMIN,$AD$1102))</f>
        <v/>
      </c>
      <c r="AO1102">
        <f>IF($AD$1102=0,"",INDEX(tk_PAIR,$AD$1102))</f>
        <v/>
      </c>
      <c r="AP1102">
        <f>IF($AD$1102=0,"",INDEX(tk_FGA,$AD$1102))</f>
        <v/>
      </c>
      <c r="AQ1102">
        <f>IF($AD$1102=0,"",INDEX(tk_WI,$AD$1102))</f>
        <v/>
      </c>
      <c r="AR1102">
        <f>IF($AD$1102=0,"",INDEX(tk_HI,$AD$1102))</f>
        <v/>
      </c>
      <c r="AS1102">
        <f>IF($AD$1102=0,"",INDEX(tk_FHINGE,$AD$1102))</f>
        <v/>
      </c>
      <c r="AT1102">
        <f>IF($AD$1102=0,"",INDEX(tk_DHINGE,$AD$1102))</f>
        <v/>
      </c>
      <c r="AU1102">
        <f>IF($AD$1102=0,"",INDEX(tk_HWLOC,$AD$1102))</f>
        <v/>
      </c>
      <c r="AV1102">
        <f>IF($AD$1102=0,"",INDEX(tk_MANUF,$AD$1102))</f>
        <v/>
      </c>
      <c r="AW1102">
        <f>IF($AD$1102=0,"",INDEX(tk_JH,$AD$1102))</f>
        <v/>
      </c>
      <c r="AX1102">
        <f>IF($AD$1102=0,"",INDEX(tk_FDESC,$AD$1102))</f>
        <v/>
      </c>
      <c r="AY1102">
        <f>IF($AD$1102=0,"",INDEX(tk_TRANS,$AD$1102))</f>
        <v/>
      </c>
      <c r="AZ1102">
        <f>IF($AD$1102=0,"",INDEX(tk_SLW,$AD$1102))</f>
        <v/>
      </c>
      <c r="BA1102">
        <f>IF($AD$1102=0,"",INDEX(tk_LEAVES,$AD$1102))</f>
        <v/>
      </c>
      <c r="BB1102">
        <f>IF($AD$1102=0,"",INDEX(tk_LEAFW,$AD$1102))</f>
        <v/>
      </c>
      <c r="BC1102">
        <f>IF($AD$1102=0,"",INDEX(tk_LEAFH,$AD$1102))</f>
        <v/>
      </c>
      <c r="BD1102">
        <f>IF($AD$1102=0,"",INDEX(tk_DMAT,$AD$1102))</f>
        <v/>
      </c>
      <c r="BE1102">
        <f>IF($AD$1102=0,"",INDEX(tk_DGA,$AD$1102))</f>
        <v/>
      </c>
      <c r="BF1102">
        <f>IF($AD$1102=0,"",INDEX(tk_SERIES,$AD$1102))</f>
        <v/>
      </c>
      <c r="BG1102">
        <f>IF($AD$1102=0,"",INDEX(tk_LOCK,$AD$1102))</f>
        <v/>
      </c>
      <c r="BH1102">
        <f>IF($AD$1102=0,"",INDEX(tk_LITEKIT,$AD$1102))</f>
        <v/>
      </c>
      <c r="BI1102">
        <f>IF($AD$1102=0,"",INDEX(tk_FACE,$AD$1102))</f>
        <v/>
      </c>
      <c r="BJ1102">
        <f>IF($AD$1102=0,"",INDEX(tk_HLEG,$AD$1102))</f>
        <v/>
      </c>
      <c r="BK1102">
        <f>IF($AD$1102=0,"",INDEX(tk_SOITEM,$AD$1102))</f>
        <v/>
      </c>
      <c r="BL1102">
        <f>IFERROR(VLOOKUP($AF$1102,CODES,2,FALSE),"")</f>
        <v/>
      </c>
      <c r="BM1102">
        <f>IF($AJ$1102="KD","C","M")</f>
        <v/>
      </c>
      <c r="BN1102">
        <f>IF(N($AR$1102)&lt;=80,80,IF(N($AR$1102)&lt;=84,84,IF(N($AR$1102)&lt;=96,96,N($AR$1102))))</f>
        <v/>
      </c>
      <c r="BO1102">
        <f>INT($BN$1102/12)&amp;MOD($BN$1102,12)</f>
        <v/>
      </c>
      <c r="BP1102">
        <f>INT(N($AQ$1102)/12)&amp;MOD(N($AQ$1102),12)</f>
        <v/>
      </c>
      <c r="BQ1102">
        <f>IF(OR($AU$1102="",$AU$1102="ANSI/SDI",$AU$1102="CUSTOM LOC"),IF($AV$1102="CU","CURRIES","STEELCRAFT"),$AU$1102)</f>
        <v/>
      </c>
      <c r="BR1102">
        <f>$AO$1102="Y"</f>
        <v/>
      </c>
      <c r="BS1102">
        <f>"~"</f>
        <v/>
      </c>
      <c r="BT1102">
        <f>$AE$1102*N($BA$1102)</f>
        <v/>
      </c>
      <c r="BU1102">
        <f>OR(LEFT($BD$1102,3)="OAK",LEFT($BD$1102,3)="BIR",LEFT($BD$1102,3)="MAP",$BD$1102="PC",$BD$1102="MC",$BD$1102="SCLC",$BD$1102="P-LAM")</f>
        <v/>
      </c>
      <c r="BV1102">
        <f>INT(N($AQ$1102)/MAX(1,N($BA$1102))/12)&amp;MOD(N($AQ$1102)/MAX(1,N($BA$1102)),12)</f>
        <v/>
      </c>
      <c r="BW1102">
        <f>IF(OR($BG$1102="G11",$BG$1102="G11A",$BG$1102="G12A"),"G2",IF(OR(LEFT($BG$1102,2)="G3",$BG$1102="G12"),"G3AEO",$BG$1102))</f>
        <v/>
      </c>
      <c r="BX1102">
        <f>"(Net size: "&amp;TRIM(TEXT(N($BB$1102),"# ?/??"))&amp;CHAR(34)&amp;" x "&amp;TRIM(TEXT(N($BC$1102),"# ?/??"))&amp;CHAR(34)&amp;")"</f>
        <v/>
      </c>
      <c r="BY1102">
        <f>IF(LEFT($BD$1102,3)="OAK","RED OAK",IF(LEFT($BD$1102,3)="BIR","BIRCH",IF(LEFT($BD$1102,3)="MAP","MAPLE","WOOD")))</f>
        <v/>
      </c>
      <c r="BZ1102">
        <f>IF(OR($AT$1102="U454",AND($AT$1102="",$AS$1102="U454")),"454","453")</f>
        <v/>
      </c>
      <c r="CA1102">
        <f>IF($AD$1102=0,"",IF($BU$1102,$BT$1102&amp;"|"&amp;$BV$1102&amp;$BO$1102&amp;" "&amp;$BY$1102&amp;" SLAB "&amp;IF(N($AN$1102)&gt;0,$AN$1102&amp;" MINUTE",IF(RIGHT($BD$1102,2)="MC","MC","SC")&amp;" WOOD DOOR")&amp;"|"&amp;$BX$1102&amp;"|"&amp;$BS$1102,$BT$1102&amp;"|"&amp;$BV$1102&amp;$BO$1102&amp;$BW$1102&amp;" BSC "&amp;$BQ$1102&amp;" DOOR "&amp;$BE$1102&amp;"Ga. Non-Handed "&amp;IF($BF$1102="","707",$BF$1102)&amp;"S Flush HM|"&amp;$BX$1102&amp;"|"&amp;$BS$1102)&amp;IF(N($AN$1102)&gt;0,$BT$1102&amp;"|"&amp;$AN$1102&amp;IF($BU$1102," MINUTE WARNOCK HERSHEY FIRE RATED WOOD LABEL"," MINUTE FOAM CORE STEEL DOOR LABEL (MODELS 607 &amp; 707)")&amp;"||"&amp;$BS$1102,"")&amp;IF(AND(NOT($BU$1102),OR($BG$1102="G11",$BG$1102="G11A",$BG$1102="G12",$BG$1102="G12A")),$AE$1102&amp;"|EXIT DEVICE PREP FOR HM DOOR||"&amp;$BS$1102,"")&amp;IF(AND(NOT($BU$1102),$BG$1102="G12"),$AE$1102&amp;"|DR 350 MORTISE LOCK FILLER PLATE||"&amp;$BS$1102,"")&amp;IF(AND(NOT($BU$1102),LEFT($BG$1102,2)="G3"),$AE$1102&amp;"|MORTISE LOCK PREP||"&amp;$BS$1102,"")&amp;IF($BU$1102,$BT$1102&amp;"|"&amp;IF($BG$1102="G18",$BZ$1102&amp;"-4 1/2"&amp;CHAR(34)&amp;"X4 1/2"&amp;CHAR(34)&amp;" HINGES ONLY PREP","HINGE PREP "&amp;$BZ$1102&amp;" WITH LOCK PREP")&amp;"|"&amp;$BQ$1102&amp;" LOC|"&amp;$BS$1102,"")&amp;IF(OR($BG$1102="G2G2",$BG$1102="G17",$BG$1102="E1E4"),$AE$1102&amp;"|"&amp;IF($BU$1102,"DDLP CYLINDRICAL DEADLOCK PREP","DOOR DEADLOCK PREP")&amp;"||"&amp;$BS$1102,"")&amp;IF(OR($BH$1102="FG",$BH$1102="HG",$BH$1102="FNV",$BH$1102="FV"),$BT$1102&amp;"|"&amp;$BI$1102&amp;" LITE KIT||"&amp;$BS$1102,IF($BH$1102="FL",$BT$1102&amp;"|"&amp;$BI$1102&amp;" LOUVER||"&amp;$BS$1102,IF($BH$1102="FP",$BT$1102&amp;"|DVP DOOR VIEWER PREP||"&amp;$BS$1102,"")))&amp;IF($BN$1102&gt;N($AR$1102),$BT$1102&amp;"|DCO DOOR CUT DOWN ONLY (HEIGHT)|Cut "&amp;TRIM(TEXT($BN$1102-N($AR$1102),"# ?/??"))&amp;CHAR(34)&amp;" OFF THE BOTTOM|"&amp;$BS$1102,""))</f>
        <v/>
      </c>
    </row>
    <row r="1103">
      <c r="B1103" s="180">
        <f>IF($AD1103="","",VALUE(LEFT($AD1103,FIND("|",$AD1103)-1)))</f>
        <v/>
      </c>
      <c r="C1103" s="180">
        <f>IF($AD1103="","","    "&amp;MID($AD1103,FIND("|",$AD1103)+1,FIND("|",$AD1103,FIND("|",$AD1103)+1)-FIND("|",$AD1103)-1))</f>
        <v/>
      </c>
      <c r="D1103" s="180">
        <f>IF($AD1103="","",MID($AD1103,FIND("|",$AD1103,FIND("|",$AD1103)+1)+1,FIND("|",$AD1103&amp;"|",FIND("|",$AD1103,FIND("|",$AD1103)+1)+1)-FIND("|",$AD1103,FIND("|",$AD1103)+1)-1))</f>
        <v/>
      </c>
      <c r="AD1103">
        <f>TRIM(MID(SUBSTITUTE($CA$1102,"~",REPT(" ",600)),1,600))</f>
        <v/>
      </c>
    </row>
    <row r="1104">
      <c r="B1104" s="180">
        <f>IF($AD1104="","",VALUE(LEFT($AD1104,FIND("|",$AD1104)-1)))</f>
        <v/>
      </c>
      <c r="C1104" s="180">
        <f>IF($AD1104="","","    "&amp;MID($AD1104,FIND("|",$AD1104)+1,FIND("|",$AD1104,FIND("|",$AD1104)+1)-FIND("|",$AD1104)-1))</f>
        <v/>
      </c>
      <c r="D1104" s="180">
        <f>IF($AD1104="","",MID($AD1104,FIND("|",$AD1104,FIND("|",$AD1104)+1)+1,FIND("|",$AD1104&amp;"|",FIND("|",$AD1104,FIND("|",$AD1104)+1)+1)-FIND("|",$AD1104,FIND("|",$AD1104)+1)-1))</f>
        <v/>
      </c>
      <c r="AD1104">
        <f>TRIM(MID(SUBSTITUTE($CA$1102,"~",REPT(" ",600)),601,600))</f>
        <v/>
      </c>
    </row>
    <row r="1105">
      <c r="B1105" s="180">
        <f>IF($AD1105="","",VALUE(LEFT($AD1105,FIND("|",$AD1105)-1)))</f>
        <v/>
      </c>
      <c r="C1105" s="180">
        <f>IF($AD1105="","","    "&amp;MID($AD1105,FIND("|",$AD1105)+1,FIND("|",$AD1105,FIND("|",$AD1105)+1)-FIND("|",$AD1105)-1))</f>
        <v/>
      </c>
      <c r="D1105" s="180">
        <f>IF($AD1105="","",MID($AD1105,FIND("|",$AD1105,FIND("|",$AD1105)+1)+1,FIND("|",$AD1105&amp;"|",FIND("|",$AD1105,FIND("|",$AD1105)+1)+1)-FIND("|",$AD1105,FIND("|",$AD1105)+1)-1))</f>
        <v/>
      </c>
      <c r="AD1105">
        <f>TRIM(MID(SUBSTITUTE($CA$1102,"~",REPT(" ",600)),1201,600))</f>
        <v/>
      </c>
    </row>
    <row r="1106">
      <c r="B1106" s="180">
        <f>IF($AD1106="","",VALUE(LEFT($AD1106,FIND("|",$AD1106)-1)))</f>
        <v/>
      </c>
      <c r="C1106" s="180">
        <f>IF($AD1106="","","    "&amp;MID($AD1106,FIND("|",$AD1106)+1,FIND("|",$AD1106,FIND("|",$AD1106)+1)-FIND("|",$AD1106)-1))</f>
        <v/>
      </c>
      <c r="D1106" s="180">
        <f>IF($AD1106="","",MID($AD1106,FIND("|",$AD1106,FIND("|",$AD1106)+1)+1,FIND("|",$AD1106&amp;"|",FIND("|",$AD1106,FIND("|",$AD1106)+1)+1)-FIND("|",$AD1106,FIND("|",$AD1106)+1)-1))</f>
        <v/>
      </c>
      <c r="AD1106">
        <f>TRIM(MID(SUBSTITUTE($CA$1102,"~",REPT(" ",600)),1801,600))</f>
        <v/>
      </c>
    </row>
    <row r="1107">
      <c r="B1107" s="180">
        <f>IF($AD1107="","",VALUE(LEFT($AD1107,FIND("|",$AD1107)-1)))</f>
        <v/>
      </c>
      <c r="C1107" s="180">
        <f>IF($AD1107="","","    "&amp;MID($AD1107,FIND("|",$AD1107)+1,FIND("|",$AD1107,FIND("|",$AD1107)+1)-FIND("|",$AD1107)-1))</f>
        <v/>
      </c>
      <c r="D1107" s="180">
        <f>IF($AD1107="","",MID($AD1107,FIND("|",$AD1107,FIND("|",$AD1107)+1)+1,FIND("|",$AD1107&amp;"|",FIND("|",$AD1107,FIND("|",$AD1107)+1)+1)-FIND("|",$AD1107,FIND("|",$AD1107)+1)-1))</f>
        <v/>
      </c>
      <c r="AD1107">
        <f>TRIM(MID(SUBSTITUTE($CA$1102,"~",REPT(" ",600)),2401,600))</f>
        <v/>
      </c>
    </row>
    <row r="1108">
      <c r="B1108" s="180">
        <f>IF($AD1108="","",VALUE(LEFT($AD1108,FIND("|",$AD1108)-1)))</f>
        <v/>
      </c>
      <c r="C1108" s="180">
        <f>IF($AD1108="","","    "&amp;MID($AD1108,FIND("|",$AD1108)+1,FIND("|",$AD1108,FIND("|",$AD1108)+1)-FIND("|",$AD1108)-1))</f>
        <v/>
      </c>
      <c r="D1108" s="180">
        <f>IF($AD1108="","",MID($AD1108,FIND("|",$AD1108,FIND("|",$AD1108)+1)+1,FIND("|",$AD1108&amp;"|",FIND("|",$AD1108,FIND("|",$AD1108)+1)+1)-FIND("|",$AD1108,FIND("|",$AD1108)+1)-1))</f>
        <v/>
      </c>
      <c r="AD1108">
        <f>TRIM(MID(SUBSTITUTE($CA$1102,"~",REPT(" ",600)),3001,600))</f>
        <v/>
      </c>
    </row>
    <row r="1109">
      <c r="B1109" s="180">
        <f>IF($AD1109="","",VALUE(LEFT($AD1109,FIND("|",$AD1109)-1)))</f>
        <v/>
      </c>
      <c r="C1109" s="180">
        <f>IF($AD1109="","","    "&amp;MID($AD1109,FIND("|",$AD1109)+1,FIND("|",$AD1109,FIND("|",$AD1109)+1)-FIND("|",$AD1109)-1))</f>
        <v/>
      </c>
      <c r="D1109" s="180">
        <f>IF($AD1109="","",MID($AD1109,FIND("|",$AD1109,FIND("|",$AD1109)+1)+1,FIND("|",$AD1109&amp;"|",FIND("|",$AD1109,FIND("|",$AD1109)+1)+1)-FIND("|",$AD1109,FIND("|",$AD1109)+1)-1))</f>
        <v/>
      </c>
      <c r="AD1109">
        <f>TRIM(MID(SUBSTITUTE($CA$1102,"~",REPT(" ",600)),3601,600))</f>
        <v/>
      </c>
    </row>
    <row r="1110">
      <c r="B1110" s="180">
        <f>IF($AD1110="","",VALUE(LEFT($AD1110,FIND("|",$AD1110)-1)))</f>
        <v/>
      </c>
      <c r="C1110" s="180">
        <f>IF($AD1110="","","    "&amp;MID($AD1110,FIND("|",$AD1110)+1,FIND("|",$AD1110,FIND("|",$AD1110)+1)-FIND("|",$AD1110)-1))</f>
        <v/>
      </c>
      <c r="D1110" s="180">
        <f>IF($AD1110="","",MID($AD1110,FIND("|",$AD1110,FIND("|",$AD1110)+1)+1,FIND("|",$AD1110&amp;"|",FIND("|",$AD1110,FIND("|",$AD1110)+1)+1)-FIND("|",$AD1110,FIND("|",$AD1110)+1)-1))</f>
        <v/>
      </c>
      <c r="AD1110">
        <f>TRIM(MID(SUBSTITUTE($CA$1102,"~",REPT(" ",600)),4201,600))</f>
        <v/>
      </c>
    </row>
    <row r="1111">
      <c r="B1111" s="180">
        <f>IF($AD1111="","",VALUE(LEFT($AD1111,FIND("|",$AD1111)-1)))</f>
        <v/>
      </c>
      <c r="C1111" s="180">
        <f>IF($AD1111="","","    "&amp;MID($AD1111,FIND("|",$AD1111)+1,FIND("|",$AD1111,FIND("|",$AD1111)+1)-FIND("|",$AD1111)-1))</f>
        <v/>
      </c>
      <c r="D1111" s="180">
        <f>IF($AD1111="","",MID($AD1111,FIND("|",$AD1111,FIND("|",$AD1111)+1)+1,FIND("|",$AD1111&amp;"|",FIND("|",$AD1111,FIND("|",$AD1111)+1)+1)-FIND("|",$AD1111,FIND("|",$AD1111)+1)-1))</f>
        <v/>
      </c>
      <c r="AD1111">
        <f>TRIM(MID(SUBSTITUTE($CA$1102,"~",REPT(" ",600)),4801,600))</f>
        <v/>
      </c>
    </row>
    <row r="1112">
      <c r="B1112" s="180">
        <f>IF($AD1112="","",VALUE(LEFT($AD1112,FIND("|",$AD1112)-1)))</f>
        <v/>
      </c>
      <c r="C1112" s="180">
        <f>IF($AD1112="","","    "&amp;MID($AD1112,FIND("|",$AD1112)+1,FIND("|",$AD1112,FIND("|",$AD1112)+1)-FIND("|",$AD1112)-1))</f>
        <v/>
      </c>
      <c r="D1112" s="180">
        <f>IF($AD1112="","",MID($AD1112,FIND("|",$AD1112,FIND("|",$AD1112)+1)+1,FIND("|",$AD1112&amp;"|",FIND("|",$AD1112,FIND("|",$AD1112)+1)+1)-FIND("|",$AD1112,FIND("|",$AD1112)+1)-1))</f>
        <v/>
      </c>
      <c r="AD1112">
        <f>TRIM(MID(SUBSTITUTE($CA$1102,"~",REPT(" ",600)),5401,600))</f>
        <v/>
      </c>
    </row>
    <row r="1113">
      <c r="B1113" s="180">
        <f>IF($AD1113="","",VALUE(LEFT($AD1113,FIND("|",$AD1113)-1)))</f>
        <v/>
      </c>
      <c r="C1113" s="180">
        <f>IF($AD1113="","","    "&amp;MID($AD1113,FIND("|",$AD1113)+1,FIND("|",$AD1113,FIND("|",$AD1113)+1)-FIND("|",$AD1113)-1))</f>
        <v/>
      </c>
      <c r="D1113" s="180">
        <f>IF($AD1113="","",MID($AD1113,FIND("|",$AD1113,FIND("|",$AD1113)+1)+1,FIND("|",$AD1113&amp;"|",FIND("|",$AD1113,FIND("|",$AD1113)+1)+1)-FIND("|",$AD1113,FIND("|",$AD1113)+1)-1))</f>
        <v/>
      </c>
      <c r="AD1113">
        <f>TRIM(MID(SUBSTITUTE($CA$1102,"~",REPT(" ",600)),6001,600))</f>
        <v/>
      </c>
    </row>
    <row r="1114">
      <c r="A1114" s="178">
        <f>IF($AD$1114=0,"",$BK$1114)</f>
        <v/>
      </c>
      <c r="B1114" s="178">
        <f>IF($AD$1114=0,"",$AE$1114*N($BA$1114))</f>
        <v/>
      </c>
      <c r="C1114" s="178">
        <f>IF($AD$1114=0,"",$AE$1114*N($BA$1114)&amp;") "&amp;IF(COUNTIFS(tk_SODG,33,tk_HLEG,"&lt;&gt;"&amp;$BJ$1114)=0,INDEX(tk_DLINE,$AD$1114),INDEX(tk_DLINEN,$AD$1114)))</f>
        <v/>
      </c>
      <c r="D1114" s="178" t="n"/>
      <c r="E1114" s="179">
        <f t="array" ref="E1114">IF($AD$1114=0,"",_xlfn.TEXTJOIN(", ",TRUE,IF(tk_SODG=33,"#"&amp;tk_MARK&amp;IF(tk_HLEG="","","("&amp;tk_HLEG&amp;")")&amp;IF(tk_QTY&gt;1," ×"&amp;tk_QTY,""),"")))</f>
        <v/>
      </c>
      <c r="AD1114">
        <f>IFERROR(MATCH(33,tk_SODG,0),0)</f>
        <v/>
      </c>
      <c r="AE1114">
        <f>IF($AD$1114=0,0,SUMIF(tk_SODG,33,tk_QTY))</f>
        <v/>
      </c>
      <c r="AF1114">
        <f>IF($AD$1114=0,"",INDEX(tk_JAMB,$AD$1114))</f>
        <v/>
      </c>
      <c r="AG1114">
        <f>IF($AD$1114=0,"",INDEX(tk_ANCHOR,$AD$1114))</f>
        <v/>
      </c>
      <c r="AH1114">
        <f>IF($AD$1114=0,"",INDEX(tk_ANCH,$AD$1114))</f>
        <v/>
      </c>
      <c r="AI1114">
        <f>IF($AD$1114=0,"",INDEX(tk_BASEA,$AD$1114))</f>
        <v/>
      </c>
      <c r="AJ1114">
        <f>IF($AD$1114=0,"",INDEX(tk_CONSTR,$AD$1114))</f>
        <v/>
      </c>
      <c r="AK1114">
        <f>IF($AD$1114=0,"",INDEX(tk_CLOSER,$AD$1114))</f>
        <v/>
      </c>
      <c r="AL1114">
        <f>IF($AD$1114=0,"",INDEX(tk_STRIKE,$AD$1114))</f>
        <v/>
      </c>
      <c r="AM1114">
        <f>IF($AD$1114=0,"",INDEX(tk_HDRPREP,$AD$1114))</f>
        <v/>
      </c>
      <c r="AN1114">
        <f>IF($AD$1114=0,"",INDEX(tk_DMIN,$AD$1114))</f>
        <v/>
      </c>
      <c r="AO1114">
        <f>IF($AD$1114=0,"",INDEX(tk_PAIR,$AD$1114))</f>
        <v/>
      </c>
      <c r="AP1114">
        <f>IF($AD$1114=0,"",INDEX(tk_FGA,$AD$1114))</f>
        <v/>
      </c>
      <c r="AQ1114">
        <f>IF($AD$1114=0,"",INDEX(tk_WI,$AD$1114))</f>
        <v/>
      </c>
      <c r="AR1114">
        <f>IF($AD$1114=0,"",INDEX(tk_HI,$AD$1114))</f>
        <v/>
      </c>
      <c r="AS1114">
        <f>IF($AD$1114=0,"",INDEX(tk_FHINGE,$AD$1114))</f>
        <v/>
      </c>
      <c r="AT1114">
        <f>IF($AD$1114=0,"",INDEX(tk_DHINGE,$AD$1114))</f>
        <v/>
      </c>
      <c r="AU1114">
        <f>IF($AD$1114=0,"",INDEX(tk_HWLOC,$AD$1114))</f>
        <v/>
      </c>
      <c r="AV1114">
        <f>IF($AD$1114=0,"",INDEX(tk_MANUF,$AD$1114))</f>
        <v/>
      </c>
      <c r="AW1114">
        <f>IF($AD$1114=0,"",INDEX(tk_JH,$AD$1114))</f>
        <v/>
      </c>
      <c r="AX1114">
        <f>IF($AD$1114=0,"",INDEX(tk_FDESC,$AD$1114))</f>
        <v/>
      </c>
      <c r="AY1114">
        <f>IF($AD$1114=0,"",INDEX(tk_TRANS,$AD$1114))</f>
        <v/>
      </c>
      <c r="AZ1114">
        <f>IF($AD$1114=0,"",INDEX(tk_SLW,$AD$1114))</f>
        <v/>
      </c>
      <c r="BA1114">
        <f>IF($AD$1114=0,"",INDEX(tk_LEAVES,$AD$1114))</f>
        <v/>
      </c>
      <c r="BB1114">
        <f>IF($AD$1114=0,"",INDEX(tk_LEAFW,$AD$1114))</f>
        <v/>
      </c>
      <c r="BC1114">
        <f>IF($AD$1114=0,"",INDEX(tk_LEAFH,$AD$1114))</f>
        <v/>
      </c>
      <c r="BD1114">
        <f>IF($AD$1114=0,"",INDEX(tk_DMAT,$AD$1114))</f>
        <v/>
      </c>
      <c r="BE1114">
        <f>IF($AD$1114=0,"",INDEX(tk_DGA,$AD$1114))</f>
        <v/>
      </c>
      <c r="BF1114">
        <f>IF($AD$1114=0,"",INDEX(tk_SERIES,$AD$1114))</f>
        <v/>
      </c>
      <c r="BG1114">
        <f>IF($AD$1114=0,"",INDEX(tk_LOCK,$AD$1114))</f>
        <v/>
      </c>
      <c r="BH1114">
        <f>IF($AD$1114=0,"",INDEX(tk_LITEKIT,$AD$1114))</f>
        <v/>
      </c>
      <c r="BI1114">
        <f>IF($AD$1114=0,"",INDEX(tk_FACE,$AD$1114))</f>
        <v/>
      </c>
      <c r="BJ1114">
        <f>IF($AD$1114=0,"",INDEX(tk_HLEG,$AD$1114))</f>
        <v/>
      </c>
      <c r="BK1114">
        <f>IF($AD$1114=0,"",INDEX(tk_SOITEM,$AD$1114))</f>
        <v/>
      </c>
      <c r="BL1114">
        <f>IFERROR(VLOOKUP($AF$1114,CODES,2,FALSE),"")</f>
        <v/>
      </c>
      <c r="BM1114">
        <f>IF($AJ$1114="KD","C","M")</f>
        <v/>
      </c>
      <c r="BN1114">
        <f>IF(N($AR$1114)&lt;=80,80,IF(N($AR$1114)&lt;=84,84,IF(N($AR$1114)&lt;=96,96,N($AR$1114))))</f>
        <v/>
      </c>
      <c r="BO1114">
        <f>INT($BN$1114/12)&amp;MOD($BN$1114,12)</f>
        <v/>
      </c>
      <c r="BP1114">
        <f>INT(N($AQ$1114)/12)&amp;MOD(N($AQ$1114),12)</f>
        <v/>
      </c>
      <c r="BQ1114">
        <f>IF(OR($AU$1114="",$AU$1114="ANSI/SDI",$AU$1114="CUSTOM LOC"),IF($AV$1114="CU","CURRIES","STEELCRAFT"),$AU$1114)</f>
        <v/>
      </c>
      <c r="BR1114">
        <f>$AO$1114="Y"</f>
        <v/>
      </c>
      <c r="BS1114">
        <f>"~"</f>
        <v/>
      </c>
      <c r="BT1114">
        <f>$AE$1114*N($BA$1114)</f>
        <v/>
      </c>
      <c r="BU1114">
        <f>OR(LEFT($BD$1114,3)="OAK",LEFT($BD$1114,3)="BIR",LEFT($BD$1114,3)="MAP",$BD$1114="PC",$BD$1114="MC",$BD$1114="SCLC",$BD$1114="P-LAM")</f>
        <v/>
      </c>
      <c r="BV1114">
        <f>INT(N($AQ$1114)/MAX(1,N($BA$1114))/12)&amp;MOD(N($AQ$1114)/MAX(1,N($BA$1114)),12)</f>
        <v/>
      </c>
      <c r="BW1114">
        <f>IF(OR($BG$1114="G11",$BG$1114="G11A",$BG$1114="G12A"),"G2",IF(OR(LEFT($BG$1114,2)="G3",$BG$1114="G12"),"G3AEO",$BG$1114))</f>
        <v/>
      </c>
      <c r="BX1114">
        <f>"(Net size: "&amp;TRIM(TEXT(N($BB$1114),"# ?/??"))&amp;CHAR(34)&amp;" x "&amp;TRIM(TEXT(N($BC$1114),"# ?/??"))&amp;CHAR(34)&amp;")"</f>
        <v/>
      </c>
      <c r="BY1114">
        <f>IF(LEFT($BD$1114,3)="OAK","RED OAK",IF(LEFT($BD$1114,3)="BIR","BIRCH",IF(LEFT($BD$1114,3)="MAP","MAPLE","WOOD")))</f>
        <v/>
      </c>
      <c r="BZ1114">
        <f>IF(OR($AT$1114="U454",AND($AT$1114="",$AS$1114="U454")),"454","453")</f>
        <v/>
      </c>
      <c r="CA1114">
        <f>IF($AD$1114=0,"",IF($BU$1114,$BT$1114&amp;"|"&amp;$BV$1114&amp;$BO$1114&amp;" "&amp;$BY$1114&amp;" SLAB "&amp;IF(N($AN$1114)&gt;0,$AN$1114&amp;" MINUTE",IF(RIGHT($BD$1114,2)="MC","MC","SC")&amp;" WOOD DOOR")&amp;"|"&amp;$BX$1114&amp;"|"&amp;$BS$1114,$BT$1114&amp;"|"&amp;$BV$1114&amp;$BO$1114&amp;$BW$1114&amp;" BSC "&amp;$BQ$1114&amp;" DOOR "&amp;$BE$1114&amp;"Ga. Non-Handed "&amp;IF($BF$1114="","707",$BF$1114)&amp;"S Flush HM|"&amp;$BX$1114&amp;"|"&amp;$BS$1114)&amp;IF(N($AN$1114)&gt;0,$BT$1114&amp;"|"&amp;$AN$1114&amp;IF($BU$1114," MINUTE WARNOCK HERSHEY FIRE RATED WOOD LABEL"," MINUTE FOAM CORE STEEL DOOR LABEL (MODELS 607 &amp; 707)")&amp;"||"&amp;$BS$1114,"")&amp;IF(AND(NOT($BU$1114),OR($BG$1114="G11",$BG$1114="G11A",$BG$1114="G12",$BG$1114="G12A")),$AE$1114&amp;"|EXIT DEVICE PREP FOR HM DOOR||"&amp;$BS$1114,"")&amp;IF(AND(NOT($BU$1114),$BG$1114="G12"),$AE$1114&amp;"|DR 350 MORTISE LOCK FILLER PLATE||"&amp;$BS$1114,"")&amp;IF(AND(NOT($BU$1114),LEFT($BG$1114,2)="G3"),$AE$1114&amp;"|MORTISE LOCK PREP||"&amp;$BS$1114,"")&amp;IF($BU$1114,$BT$1114&amp;"|"&amp;IF($BG$1114="G18",$BZ$1114&amp;"-4 1/2"&amp;CHAR(34)&amp;"X4 1/2"&amp;CHAR(34)&amp;" HINGES ONLY PREP","HINGE PREP "&amp;$BZ$1114&amp;" WITH LOCK PREP")&amp;"|"&amp;$BQ$1114&amp;" LOC|"&amp;$BS$1114,"")&amp;IF(OR($BG$1114="G2G2",$BG$1114="G17",$BG$1114="E1E4"),$AE$1114&amp;"|"&amp;IF($BU$1114,"DDLP CYLINDRICAL DEADLOCK PREP","DOOR DEADLOCK PREP")&amp;"||"&amp;$BS$1114,"")&amp;IF(OR($BH$1114="FG",$BH$1114="HG",$BH$1114="FNV",$BH$1114="FV"),$BT$1114&amp;"|"&amp;$BI$1114&amp;" LITE KIT||"&amp;$BS$1114,IF($BH$1114="FL",$BT$1114&amp;"|"&amp;$BI$1114&amp;" LOUVER||"&amp;$BS$1114,IF($BH$1114="FP",$BT$1114&amp;"|DVP DOOR VIEWER PREP||"&amp;$BS$1114,"")))&amp;IF($BN$1114&gt;N($AR$1114),$BT$1114&amp;"|DCO DOOR CUT DOWN ONLY (HEIGHT)|Cut "&amp;TRIM(TEXT($BN$1114-N($AR$1114),"# ?/??"))&amp;CHAR(34)&amp;" OFF THE BOTTOM|"&amp;$BS$1114,""))</f>
        <v/>
      </c>
    </row>
    <row r="1115">
      <c r="B1115" s="180">
        <f>IF($AD1115="","",VALUE(LEFT($AD1115,FIND("|",$AD1115)-1)))</f>
        <v/>
      </c>
      <c r="C1115" s="180">
        <f>IF($AD1115="","","    "&amp;MID($AD1115,FIND("|",$AD1115)+1,FIND("|",$AD1115,FIND("|",$AD1115)+1)-FIND("|",$AD1115)-1))</f>
        <v/>
      </c>
      <c r="D1115" s="180">
        <f>IF($AD1115="","",MID($AD1115,FIND("|",$AD1115,FIND("|",$AD1115)+1)+1,FIND("|",$AD1115&amp;"|",FIND("|",$AD1115,FIND("|",$AD1115)+1)+1)-FIND("|",$AD1115,FIND("|",$AD1115)+1)-1))</f>
        <v/>
      </c>
      <c r="AD1115">
        <f>TRIM(MID(SUBSTITUTE($CA$1114,"~",REPT(" ",600)),1,600))</f>
        <v/>
      </c>
    </row>
    <row r="1116">
      <c r="B1116" s="180">
        <f>IF($AD1116="","",VALUE(LEFT($AD1116,FIND("|",$AD1116)-1)))</f>
        <v/>
      </c>
      <c r="C1116" s="180">
        <f>IF($AD1116="","","    "&amp;MID($AD1116,FIND("|",$AD1116)+1,FIND("|",$AD1116,FIND("|",$AD1116)+1)-FIND("|",$AD1116)-1))</f>
        <v/>
      </c>
      <c r="D1116" s="180">
        <f>IF($AD1116="","",MID($AD1116,FIND("|",$AD1116,FIND("|",$AD1116)+1)+1,FIND("|",$AD1116&amp;"|",FIND("|",$AD1116,FIND("|",$AD1116)+1)+1)-FIND("|",$AD1116,FIND("|",$AD1116)+1)-1))</f>
        <v/>
      </c>
      <c r="AD1116">
        <f>TRIM(MID(SUBSTITUTE($CA$1114,"~",REPT(" ",600)),601,600))</f>
        <v/>
      </c>
    </row>
    <row r="1117">
      <c r="B1117" s="180">
        <f>IF($AD1117="","",VALUE(LEFT($AD1117,FIND("|",$AD1117)-1)))</f>
        <v/>
      </c>
      <c r="C1117" s="180">
        <f>IF($AD1117="","","    "&amp;MID($AD1117,FIND("|",$AD1117)+1,FIND("|",$AD1117,FIND("|",$AD1117)+1)-FIND("|",$AD1117)-1))</f>
        <v/>
      </c>
      <c r="D1117" s="180">
        <f>IF($AD1117="","",MID($AD1117,FIND("|",$AD1117,FIND("|",$AD1117)+1)+1,FIND("|",$AD1117&amp;"|",FIND("|",$AD1117,FIND("|",$AD1117)+1)+1)-FIND("|",$AD1117,FIND("|",$AD1117)+1)-1))</f>
        <v/>
      </c>
      <c r="AD1117">
        <f>TRIM(MID(SUBSTITUTE($CA$1114,"~",REPT(" ",600)),1201,600))</f>
        <v/>
      </c>
    </row>
    <row r="1118">
      <c r="B1118" s="180">
        <f>IF($AD1118="","",VALUE(LEFT($AD1118,FIND("|",$AD1118)-1)))</f>
        <v/>
      </c>
      <c r="C1118" s="180">
        <f>IF($AD1118="","","    "&amp;MID($AD1118,FIND("|",$AD1118)+1,FIND("|",$AD1118,FIND("|",$AD1118)+1)-FIND("|",$AD1118)-1))</f>
        <v/>
      </c>
      <c r="D1118" s="180">
        <f>IF($AD1118="","",MID($AD1118,FIND("|",$AD1118,FIND("|",$AD1118)+1)+1,FIND("|",$AD1118&amp;"|",FIND("|",$AD1118,FIND("|",$AD1118)+1)+1)-FIND("|",$AD1118,FIND("|",$AD1118)+1)-1))</f>
        <v/>
      </c>
      <c r="AD1118">
        <f>TRIM(MID(SUBSTITUTE($CA$1114,"~",REPT(" ",600)),1801,600))</f>
        <v/>
      </c>
    </row>
    <row r="1119">
      <c r="B1119" s="180">
        <f>IF($AD1119="","",VALUE(LEFT($AD1119,FIND("|",$AD1119)-1)))</f>
        <v/>
      </c>
      <c r="C1119" s="180">
        <f>IF($AD1119="","","    "&amp;MID($AD1119,FIND("|",$AD1119)+1,FIND("|",$AD1119,FIND("|",$AD1119)+1)-FIND("|",$AD1119)-1))</f>
        <v/>
      </c>
      <c r="D1119" s="180">
        <f>IF($AD1119="","",MID($AD1119,FIND("|",$AD1119,FIND("|",$AD1119)+1)+1,FIND("|",$AD1119&amp;"|",FIND("|",$AD1119,FIND("|",$AD1119)+1)+1)-FIND("|",$AD1119,FIND("|",$AD1119)+1)-1))</f>
        <v/>
      </c>
      <c r="AD1119">
        <f>TRIM(MID(SUBSTITUTE($CA$1114,"~",REPT(" ",600)),2401,600))</f>
        <v/>
      </c>
    </row>
    <row r="1120">
      <c r="B1120" s="180">
        <f>IF($AD1120="","",VALUE(LEFT($AD1120,FIND("|",$AD1120)-1)))</f>
        <v/>
      </c>
      <c r="C1120" s="180">
        <f>IF($AD1120="","","    "&amp;MID($AD1120,FIND("|",$AD1120)+1,FIND("|",$AD1120,FIND("|",$AD1120)+1)-FIND("|",$AD1120)-1))</f>
        <v/>
      </c>
      <c r="D1120" s="180">
        <f>IF($AD1120="","",MID($AD1120,FIND("|",$AD1120,FIND("|",$AD1120)+1)+1,FIND("|",$AD1120&amp;"|",FIND("|",$AD1120,FIND("|",$AD1120)+1)+1)-FIND("|",$AD1120,FIND("|",$AD1120)+1)-1))</f>
        <v/>
      </c>
      <c r="AD1120">
        <f>TRIM(MID(SUBSTITUTE($CA$1114,"~",REPT(" ",600)),3001,600))</f>
        <v/>
      </c>
    </row>
    <row r="1121">
      <c r="B1121" s="180">
        <f>IF($AD1121="","",VALUE(LEFT($AD1121,FIND("|",$AD1121)-1)))</f>
        <v/>
      </c>
      <c r="C1121" s="180">
        <f>IF($AD1121="","","    "&amp;MID($AD1121,FIND("|",$AD1121)+1,FIND("|",$AD1121,FIND("|",$AD1121)+1)-FIND("|",$AD1121)-1))</f>
        <v/>
      </c>
      <c r="D1121" s="180">
        <f>IF($AD1121="","",MID($AD1121,FIND("|",$AD1121,FIND("|",$AD1121)+1)+1,FIND("|",$AD1121&amp;"|",FIND("|",$AD1121,FIND("|",$AD1121)+1)+1)-FIND("|",$AD1121,FIND("|",$AD1121)+1)-1))</f>
        <v/>
      </c>
      <c r="AD1121">
        <f>TRIM(MID(SUBSTITUTE($CA$1114,"~",REPT(" ",600)),3601,600))</f>
        <v/>
      </c>
    </row>
    <row r="1122">
      <c r="B1122" s="180">
        <f>IF($AD1122="","",VALUE(LEFT($AD1122,FIND("|",$AD1122)-1)))</f>
        <v/>
      </c>
      <c r="C1122" s="180">
        <f>IF($AD1122="","","    "&amp;MID($AD1122,FIND("|",$AD1122)+1,FIND("|",$AD1122,FIND("|",$AD1122)+1)-FIND("|",$AD1122)-1))</f>
        <v/>
      </c>
      <c r="D1122" s="180">
        <f>IF($AD1122="","",MID($AD1122,FIND("|",$AD1122,FIND("|",$AD1122)+1)+1,FIND("|",$AD1122&amp;"|",FIND("|",$AD1122,FIND("|",$AD1122)+1)+1)-FIND("|",$AD1122,FIND("|",$AD1122)+1)-1))</f>
        <v/>
      </c>
      <c r="AD1122">
        <f>TRIM(MID(SUBSTITUTE($CA$1114,"~",REPT(" ",600)),4201,600))</f>
        <v/>
      </c>
    </row>
    <row r="1123">
      <c r="B1123" s="180">
        <f>IF($AD1123="","",VALUE(LEFT($AD1123,FIND("|",$AD1123)-1)))</f>
        <v/>
      </c>
      <c r="C1123" s="180">
        <f>IF($AD1123="","","    "&amp;MID($AD1123,FIND("|",$AD1123)+1,FIND("|",$AD1123,FIND("|",$AD1123)+1)-FIND("|",$AD1123)-1))</f>
        <v/>
      </c>
      <c r="D1123" s="180">
        <f>IF($AD1123="","",MID($AD1123,FIND("|",$AD1123,FIND("|",$AD1123)+1)+1,FIND("|",$AD1123&amp;"|",FIND("|",$AD1123,FIND("|",$AD1123)+1)+1)-FIND("|",$AD1123,FIND("|",$AD1123)+1)-1))</f>
        <v/>
      </c>
      <c r="AD1123">
        <f>TRIM(MID(SUBSTITUTE($CA$1114,"~",REPT(" ",600)),4801,600))</f>
        <v/>
      </c>
    </row>
    <row r="1124">
      <c r="B1124" s="180">
        <f>IF($AD1124="","",VALUE(LEFT($AD1124,FIND("|",$AD1124)-1)))</f>
        <v/>
      </c>
      <c r="C1124" s="180">
        <f>IF($AD1124="","","    "&amp;MID($AD1124,FIND("|",$AD1124)+1,FIND("|",$AD1124,FIND("|",$AD1124)+1)-FIND("|",$AD1124)-1))</f>
        <v/>
      </c>
      <c r="D1124" s="180">
        <f>IF($AD1124="","",MID($AD1124,FIND("|",$AD1124,FIND("|",$AD1124)+1)+1,FIND("|",$AD1124&amp;"|",FIND("|",$AD1124,FIND("|",$AD1124)+1)+1)-FIND("|",$AD1124,FIND("|",$AD1124)+1)-1))</f>
        <v/>
      </c>
      <c r="AD1124">
        <f>TRIM(MID(SUBSTITUTE($CA$1114,"~",REPT(" ",600)),5401,600))</f>
        <v/>
      </c>
    </row>
    <row r="1125">
      <c r="B1125" s="180">
        <f>IF($AD1125="","",VALUE(LEFT($AD1125,FIND("|",$AD1125)-1)))</f>
        <v/>
      </c>
      <c r="C1125" s="180">
        <f>IF($AD1125="","","    "&amp;MID($AD1125,FIND("|",$AD1125)+1,FIND("|",$AD1125,FIND("|",$AD1125)+1)-FIND("|",$AD1125)-1))</f>
        <v/>
      </c>
      <c r="D1125" s="180">
        <f>IF($AD1125="","",MID($AD1125,FIND("|",$AD1125,FIND("|",$AD1125)+1)+1,FIND("|",$AD1125&amp;"|",FIND("|",$AD1125,FIND("|",$AD1125)+1)+1)-FIND("|",$AD1125,FIND("|",$AD1125)+1)-1))</f>
        <v/>
      </c>
      <c r="AD1125">
        <f>TRIM(MID(SUBSTITUTE($CA$1114,"~",REPT(" ",600)),6001,600))</f>
        <v/>
      </c>
    </row>
    <row r="1126">
      <c r="A1126" s="178">
        <f>IF($AD$1126=0,"",$BK$1126)</f>
        <v/>
      </c>
      <c r="B1126" s="178">
        <f>IF($AD$1126=0,"",$AE$1126*N($BA$1126))</f>
        <v/>
      </c>
      <c r="C1126" s="178">
        <f>IF($AD$1126=0,"",$AE$1126*N($BA$1126)&amp;") "&amp;IF(COUNTIFS(tk_SODG,34,tk_HLEG,"&lt;&gt;"&amp;$BJ$1126)=0,INDEX(tk_DLINE,$AD$1126),INDEX(tk_DLINEN,$AD$1126)))</f>
        <v/>
      </c>
      <c r="D1126" s="178" t="n"/>
      <c r="E1126" s="179">
        <f t="array" ref="E1126">IF($AD$1126=0,"",_xlfn.TEXTJOIN(", ",TRUE,IF(tk_SODG=34,"#"&amp;tk_MARK&amp;IF(tk_HLEG="","","("&amp;tk_HLEG&amp;")")&amp;IF(tk_QTY&gt;1," ×"&amp;tk_QTY,""),"")))</f>
        <v/>
      </c>
      <c r="AD1126">
        <f>IFERROR(MATCH(34,tk_SODG,0),0)</f>
        <v/>
      </c>
      <c r="AE1126">
        <f>IF($AD$1126=0,0,SUMIF(tk_SODG,34,tk_QTY))</f>
        <v/>
      </c>
      <c r="AF1126">
        <f>IF($AD$1126=0,"",INDEX(tk_JAMB,$AD$1126))</f>
        <v/>
      </c>
      <c r="AG1126">
        <f>IF($AD$1126=0,"",INDEX(tk_ANCHOR,$AD$1126))</f>
        <v/>
      </c>
      <c r="AH1126">
        <f>IF($AD$1126=0,"",INDEX(tk_ANCH,$AD$1126))</f>
        <v/>
      </c>
      <c r="AI1126">
        <f>IF($AD$1126=0,"",INDEX(tk_BASEA,$AD$1126))</f>
        <v/>
      </c>
      <c r="AJ1126">
        <f>IF($AD$1126=0,"",INDEX(tk_CONSTR,$AD$1126))</f>
        <v/>
      </c>
      <c r="AK1126">
        <f>IF($AD$1126=0,"",INDEX(tk_CLOSER,$AD$1126))</f>
        <v/>
      </c>
      <c r="AL1126">
        <f>IF($AD$1126=0,"",INDEX(tk_STRIKE,$AD$1126))</f>
        <v/>
      </c>
      <c r="AM1126">
        <f>IF($AD$1126=0,"",INDEX(tk_HDRPREP,$AD$1126))</f>
        <v/>
      </c>
      <c r="AN1126">
        <f>IF($AD$1126=0,"",INDEX(tk_DMIN,$AD$1126))</f>
        <v/>
      </c>
      <c r="AO1126">
        <f>IF($AD$1126=0,"",INDEX(tk_PAIR,$AD$1126))</f>
        <v/>
      </c>
      <c r="AP1126">
        <f>IF($AD$1126=0,"",INDEX(tk_FGA,$AD$1126))</f>
        <v/>
      </c>
      <c r="AQ1126">
        <f>IF($AD$1126=0,"",INDEX(tk_WI,$AD$1126))</f>
        <v/>
      </c>
      <c r="AR1126">
        <f>IF($AD$1126=0,"",INDEX(tk_HI,$AD$1126))</f>
        <v/>
      </c>
      <c r="AS1126">
        <f>IF($AD$1126=0,"",INDEX(tk_FHINGE,$AD$1126))</f>
        <v/>
      </c>
      <c r="AT1126">
        <f>IF($AD$1126=0,"",INDEX(tk_DHINGE,$AD$1126))</f>
        <v/>
      </c>
      <c r="AU1126">
        <f>IF($AD$1126=0,"",INDEX(tk_HWLOC,$AD$1126))</f>
        <v/>
      </c>
      <c r="AV1126">
        <f>IF($AD$1126=0,"",INDEX(tk_MANUF,$AD$1126))</f>
        <v/>
      </c>
      <c r="AW1126">
        <f>IF($AD$1126=0,"",INDEX(tk_JH,$AD$1126))</f>
        <v/>
      </c>
      <c r="AX1126">
        <f>IF($AD$1126=0,"",INDEX(tk_FDESC,$AD$1126))</f>
        <v/>
      </c>
      <c r="AY1126">
        <f>IF($AD$1126=0,"",INDEX(tk_TRANS,$AD$1126))</f>
        <v/>
      </c>
      <c r="AZ1126">
        <f>IF($AD$1126=0,"",INDEX(tk_SLW,$AD$1126))</f>
        <v/>
      </c>
      <c r="BA1126">
        <f>IF($AD$1126=0,"",INDEX(tk_LEAVES,$AD$1126))</f>
        <v/>
      </c>
      <c r="BB1126">
        <f>IF($AD$1126=0,"",INDEX(tk_LEAFW,$AD$1126))</f>
        <v/>
      </c>
      <c r="BC1126">
        <f>IF($AD$1126=0,"",INDEX(tk_LEAFH,$AD$1126))</f>
        <v/>
      </c>
      <c r="BD1126">
        <f>IF($AD$1126=0,"",INDEX(tk_DMAT,$AD$1126))</f>
        <v/>
      </c>
      <c r="BE1126">
        <f>IF($AD$1126=0,"",INDEX(tk_DGA,$AD$1126))</f>
        <v/>
      </c>
      <c r="BF1126">
        <f>IF($AD$1126=0,"",INDEX(tk_SERIES,$AD$1126))</f>
        <v/>
      </c>
      <c r="BG1126">
        <f>IF($AD$1126=0,"",INDEX(tk_LOCK,$AD$1126))</f>
        <v/>
      </c>
      <c r="BH1126">
        <f>IF($AD$1126=0,"",INDEX(tk_LITEKIT,$AD$1126))</f>
        <v/>
      </c>
      <c r="BI1126">
        <f>IF($AD$1126=0,"",INDEX(tk_FACE,$AD$1126))</f>
        <v/>
      </c>
      <c r="BJ1126">
        <f>IF($AD$1126=0,"",INDEX(tk_HLEG,$AD$1126))</f>
        <v/>
      </c>
      <c r="BK1126">
        <f>IF($AD$1126=0,"",INDEX(tk_SOITEM,$AD$1126))</f>
        <v/>
      </c>
      <c r="BL1126">
        <f>IFERROR(VLOOKUP($AF$1126,CODES,2,FALSE),"")</f>
        <v/>
      </c>
      <c r="BM1126">
        <f>IF($AJ$1126="KD","C","M")</f>
        <v/>
      </c>
      <c r="BN1126">
        <f>IF(N($AR$1126)&lt;=80,80,IF(N($AR$1126)&lt;=84,84,IF(N($AR$1126)&lt;=96,96,N($AR$1126))))</f>
        <v/>
      </c>
      <c r="BO1126">
        <f>INT($BN$1126/12)&amp;MOD($BN$1126,12)</f>
        <v/>
      </c>
      <c r="BP1126">
        <f>INT(N($AQ$1126)/12)&amp;MOD(N($AQ$1126),12)</f>
        <v/>
      </c>
      <c r="BQ1126">
        <f>IF(OR($AU$1126="",$AU$1126="ANSI/SDI",$AU$1126="CUSTOM LOC"),IF($AV$1126="CU","CURRIES","STEELCRAFT"),$AU$1126)</f>
        <v/>
      </c>
      <c r="BR1126">
        <f>$AO$1126="Y"</f>
        <v/>
      </c>
      <c r="BS1126">
        <f>"~"</f>
        <v/>
      </c>
      <c r="BT1126">
        <f>$AE$1126*N($BA$1126)</f>
        <v/>
      </c>
      <c r="BU1126">
        <f>OR(LEFT($BD$1126,3)="OAK",LEFT($BD$1126,3)="BIR",LEFT($BD$1126,3)="MAP",$BD$1126="PC",$BD$1126="MC",$BD$1126="SCLC",$BD$1126="P-LAM")</f>
        <v/>
      </c>
      <c r="BV1126">
        <f>INT(N($AQ$1126)/MAX(1,N($BA$1126))/12)&amp;MOD(N($AQ$1126)/MAX(1,N($BA$1126)),12)</f>
        <v/>
      </c>
      <c r="BW1126">
        <f>IF(OR($BG$1126="G11",$BG$1126="G11A",$BG$1126="G12A"),"G2",IF(OR(LEFT($BG$1126,2)="G3",$BG$1126="G12"),"G3AEO",$BG$1126))</f>
        <v/>
      </c>
      <c r="BX1126">
        <f>"(Net size: "&amp;TRIM(TEXT(N($BB$1126),"# ?/??"))&amp;CHAR(34)&amp;" x "&amp;TRIM(TEXT(N($BC$1126),"# ?/??"))&amp;CHAR(34)&amp;")"</f>
        <v/>
      </c>
      <c r="BY1126">
        <f>IF(LEFT($BD$1126,3)="OAK","RED OAK",IF(LEFT($BD$1126,3)="BIR","BIRCH",IF(LEFT($BD$1126,3)="MAP","MAPLE","WOOD")))</f>
        <v/>
      </c>
      <c r="BZ1126">
        <f>IF(OR($AT$1126="U454",AND($AT$1126="",$AS$1126="U454")),"454","453")</f>
        <v/>
      </c>
      <c r="CA1126">
        <f>IF($AD$1126=0,"",IF($BU$1126,$BT$1126&amp;"|"&amp;$BV$1126&amp;$BO$1126&amp;" "&amp;$BY$1126&amp;" SLAB "&amp;IF(N($AN$1126)&gt;0,$AN$1126&amp;" MINUTE",IF(RIGHT($BD$1126,2)="MC","MC","SC")&amp;" WOOD DOOR")&amp;"|"&amp;$BX$1126&amp;"|"&amp;$BS$1126,$BT$1126&amp;"|"&amp;$BV$1126&amp;$BO$1126&amp;$BW$1126&amp;" BSC "&amp;$BQ$1126&amp;" DOOR "&amp;$BE$1126&amp;"Ga. Non-Handed "&amp;IF($BF$1126="","707",$BF$1126)&amp;"S Flush HM|"&amp;$BX$1126&amp;"|"&amp;$BS$1126)&amp;IF(N($AN$1126)&gt;0,$BT$1126&amp;"|"&amp;$AN$1126&amp;IF($BU$1126," MINUTE WARNOCK HERSHEY FIRE RATED WOOD LABEL"," MINUTE FOAM CORE STEEL DOOR LABEL (MODELS 607 &amp; 707)")&amp;"||"&amp;$BS$1126,"")&amp;IF(AND(NOT($BU$1126),OR($BG$1126="G11",$BG$1126="G11A",$BG$1126="G12",$BG$1126="G12A")),$AE$1126&amp;"|EXIT DEVICE PREP FOR HM DOOR||"&amp;$BS$1126,"")&amp;IF(AND(NOT($BU$1126),$BG$1126="G12"),$AE$1126&amp;"|DR 350 MORTISE LOCK FILLER PLATE||"&amp;$BS$1126,"")&amp;IF(AND(NOT($BU$1126),LEFT($BG$1126,2)="G3"),$AE$1126&amp;"|MORTISE LOCK PREP||"&amp;$BS$1126,"")&amp;IF($BU$1126,$BT$1126&amp;"|"&amp;IF($BG$1126="G18",$BZ$1126&amp;"-4 1/2"&amp;CHAR(34)&amp;"X4 1/2"&amp;CHAR(34)&amp;" HINGES ONLY PREP","HINGE PREP "&amp;$BZ$1126&amp;" WITH LOCK PREP")&amp;"|"&amp;$BQ$1126&amp;" LOC|"&amp;$BS$1126,"")&amp;IF(OR($BG$1126="G2G2",$BG$1126="G17",$BG$1126="E1E4"),$AE$1126&amp;"|"&amp;IF($BU$1126,"DDLP CYLINDRICAL DEADLOCK PREP","DOOR DEADLOCK PREP")&amp;"||"&amp;$BS$1126,"")&amp;IF(OR($BH$1126="FG",$BH$1126="HG",$BH$1126="FNV",$BH$1126="FV"),$BT$1126&amp;"|"&amp;$BI$1126&amp;" LITE KIT||"&amp;$BS$1126,IF($BH$1126="FL",$BT$1126&amp;"|"&amp;$BI$1126&amp;" LOUVER||"&amp;$BS$1126,IF($BH$1126="FP",$BT$1126&amp;"|DVP DOOR VIEWER PREP||"&amp;$BS$1126,"")))&amp;IF($BN$1126&gt;N($AR$1126),$BT$1126&amp;"|DCO DOOR CUT DOWN ONLY (HEIGHT)|Cut "&amp;TRIM(TEXT($BN$1126-N($AR$1126),"# ?/??"))&amp;CHAR(34)&amp;" OFF THE BOTTOM|"&amp;$BS$1126,""))</f>
        <v/>
      </c>
    </row>
    <row r="1127">
      <c r="B1127" s="180">
        <f>IF($AD1127="","",VALUE(LEFT($AD1127,FIND("|",$AD1127)-1)))</f>
        <v/>
      </c>
      <c r="C1127" s="180">
        <f>IF($AD1127="","","    "&amp;MID($AD1127,FIND("|",$AD1127)+1,FIND("|",$AD1127,FIND("|",$AD1127)+1)-FIND("|",$AD1127)-1))</f>
        <v/>
      </c>
      <c r="D1127" s="180">
        <f>IF($AD1127="","",MID($AD1127,FIND("|",$AD1127,FIND("|",$AD1127)+1)+1,FIND("|",$AD1127&amp;"|",FIND("|",$AD1127,FIND("|",$AD1127)+1)+1)-FIND("|",$AD1127,FIND("|",$AD1127)+1)-1))</f>
        <v/>
      </c>
      <c r="AD1127">
        <f>TRIM(MID(SUBSTITUTE($CA$1126,"~",REPT(" ",600)),1,600))</f>
        <v/>
      </c>
    </row>
    <row r="1128">
      <c r="B1128" s="180">
        <f>IF($AD1128="","",VALUE(LEFT($AD1128,FIND("|",$AD1128)-1)))</f>
        <v/>
      </c>
      <c r="C1128" s="180">
        <f>IF($AD1128="","","    "&amp;MID($AD1128,FIND("|",$AD1128)+1,FIND("|",$AD1128,FIND("|",$AD1128)+1)-FIND("|",$AD1128)-1))</f>
        <v/>
      </c>
      <c r="D1128" s="180">
        <f>IF($AD1128="","",MID($AD1128,FIND("|",$AD1128,FIND("|",$AD1128)+1)+1,FIND("|",$AD1128&amp;"|",FIND("|",$AD1128,FIND("|",$AD1128)+1)+1)-FIND("|",$AD1128,FIND("|",$AD1128)+1)-1))</f>
        <v/>
      </c>
      <c r="AD1128">
        <f>TRIM(MID(SUBSTITUTE($CA$1126,"~",REPT(" ",600)),601,600))</f>
        <v/>
      </c>
    </row>
    <row r="1129">
      <c r="B1129" s="180">
        <f>IF($AD1129="","",VALUE(LEFT($AD1129,FIND("|",$AD1129)-1)))</f>
        <v/>
      </c>
      <c r="C1129" s="180">
        <f>IF($AD1129="","","    "&amp;MID($AD1129,FIND("|",$AD1129)+1,FIND("|",$AD1129,FIND("|",$AD1129)+1)-FIND("|",$AD1129)-1))</f>
        <v/>
      </c>
      <c r="D1129" s="180">
        <f>IF($AD1129="","",MID($AD1129,FIND("|",$AD1129,FIND("|",$AD1129)+1)+1,FIND("|",$AD1129&amp;"|",FIND("|",$AD1129,FIND("|",$AD1129)+1)+1)-FIND("|",$AD1129,FIND("|",$AD1129)+1)-1))</f>
        <v/>
      </c>
      <c r="AD1129">
        <f>TRIM(MID(SUBSTITUTE($CA$1126,"~",REPT(" ",600)),1201,600))</f>
        <v/>
      </c>
    </row>
    <row r="1130">
      <c r="B1130" s="180">
        <f>IF($AD1130="","",VALUE(LEFT($AD1130,FIND("|",$AD1130)-1)))</f>
        <v/>
      </c>
      <c r="C1130" s="180">
        <f>IF($AD1130="","","    "&amp;MID($AD1130,FIND("|",$AD1130)+1,FIND("|",$AD1130,FIND("|",$AD1130)+1)-FIND("|",$AD1130)-1))</f>
        <v/>
      </c>
      <c r="D1130" s="180">
        <f>IF($AD1130="","",MID($AD1130,FIND("|",$AD1130,FIND("|",$AD1130)+1)+1,FIND("|",$AD1130&amp;"|",FIND("|",$AD1130,FIND("|",$AD1130)+1)+1)-FIND("|",$AD1130,FIND("|",$AD1130)+1)-1))</f>
        <v/>
      </c>
      <c r="AD1130">
        <f>TRIM(MID(SUBSTITUTE($CA$1126,"~",REPT(" ",600)),1801,600))</f>
        <v/>
      </c>
    </row>
    <row r="1131">
      <c r="B1131" s="180">
        <f>IF($AD1131="","",VALUE(LEFT($AD1131,FIND("|",$AD1131)-1)))</f>
        <v/>
      </c>
      <c r="C1131" s="180">
        <f>IF($AD1131="","","    "&amp;MID($AD1131,FIND("|",$AD1131)+1,FIND("|",$AD1131,FIND("|",$AD1131)+1)-FIND("|",$AD1131)-1))</f>
        <v/>
      </c>
      <c r="D1131" s="180">
        <f>IF($AD1131="","",MID($AD1131,FIND("|",$AD1131,FIND("|",$AD1131)+1)+1,FIND("|",$AD1131&amp;"|",FIND("|",$AD1131,FIND("|",$AD1131)+1)+1)-FIND("|",$AD1131,FIND("|",$AD1131)+1)-1))</f>
        <v/>
      </c>
      <c r="AD1131">
        <f>TRIM(MID(SUBSTITUTE($CA$1126,"~",REPT(" ",600)),2401,600))</f>
        <v/>
      </c>
    </row>
    <row r="1132">
      <c r="B1132" s="180">
        <f>IF($AD1132="","",VALUE(LEFT($AD1132,FIND("|",$AD1132)-1)))</f>
        <v/>
      </c>
      <c r="C1132" s="180">
        <f>IF($AD1132="","","    "&amp;MID($AD1132,FIND("|",$AD1132)+1,FIND("|",$AD1132,FIND("|",$AD1132)+1)-FIND("|",$AD1132)-1))</f>
        <v/>
      </c>
      <c r="D1132" s="180">
        <f>IF($AD1132="","",MID($AD1132,FIND("|",$AD1132,FIND("|",$AD1132)+1)+1,FIND("|",$AD1132&amp;"|",FIND("|",$AD1132,FIND("|",$AD1132)+1)+1)-FIND("|",$AD1132,FIND("|",$AD1132)+1)-1))</f>
        <v/>
      </c>
      <c r="AD1132">
        <f>TRIM(MID(SUBSTITUTE($CA$1126,"~",REPT(" ",600)),3001,600))</f>
        <v/>
      </c>
    </row>
    <row r="1133">
      <c r="B1133" s="180">
        <f>IF($AD1133="","",VALUE(LEFT($AD1133,FIND("|",$AD1133)-1)))</f>
        <v/>
      </c>
      <c r="C1133" s="180">
        <f>IF($AD1133="","","    "&amp;MID($AD1133,FIND("|",$AD1133)+1,FIND("|",$AD1133,FIND("|",$AD1133)+1)-FIND("|",$AD1133)-1))</f>
        <v/>
      </c>
      <c r="D1133" s="180">
        <f>IF($AD1133="","",MID($AD1133,FIND("|",$AD1133,FIND("|",$AD1133)+1)+1,FIND("|",$AD1133&amp;"|",FIND("|",$AD1133,FIND("|",$AD1133)+1)+1)-FIND("|",$AD1133,FIND("|",$AD1133)+1)-1))</f>
        <v/>
      </c>
      <c r="AD1133">
        <f>TRIM(MID(SUBSTITUTE($CA$1126,"~",REPT(" ",600)),3601,600))</f>
        <v/>
      </c>
    </row>
    <row r="1134">
      <c r="B1134" s="180">
        <f>IF($AD1134="","",VALUE(LEFT($AD1134,FIND("|",$AD1134)-1)))</f>
        <v/>
      </c>
      <c r="C1134" s="180">
        <f>IF($AD1134="","","    "&amp;MID($AD1134,FIND("|",$AD1134)+1,FIND("|",$AD1134,FIND("|",$AD1134)+1)-FIND("|",$AD1134)-1))</f>
        <v/>
      </c>
      <c r="D1134" s="180">
        <f>IF($AD1134="","",MID($AD1134,FIND("|",$AD1134,FIND("|",$AD1134)+1)+1,FIND("|",$AD1134&amp;"|",FIND("|",$AD1134,FIND("|",$AD1134)+1)+1)-FIND("|",$AD1134,FIND("|",$AD1134)+1)-1))</f>
        <v/>
      </c>
      <c r="AD1134">
        <f>TRIM(MID(SUBSTITUTE($CA$1126,"~",REPT(" ",600)),4201,600))</f>
        <v/>
      </c>
    </row>
    <row r="1135">
      <c r="B1135" s="180">
        <f>IF($AD1135="","",VALUE(LEFT($AD1135,FIND("|",$AD1135)-1)))</f>
        <v/>
      </c>
      <c r="C1135" s="180">
        <f>IF($AD1135="","","    "&amp;MID($AD1135,FIND("|",$AD1135)+1,FIND("|",$AD1135,FIND("|",$AD1135)+1)-FIND("|",$AD1135)-1))</f>
        <v/>
      </c>
      <c r="D1135" s="180">
        <f>IF($AD1135="","",MID($AD1135,FIND("|",$AD1135,FIND("|",$AD1135)+1)+1,FIND("|",$AD1135&amp;"|",FIND("|",$AD1135,FIND("|",$AD1135)+1)+1)-FIND("|",$AD1135,FIND("|",$AD1135)+1)-1))</f>
        <v/>
      </c>
      <c r="AD1135">
        <f>TRIM(MID(SUBSTITUTE($CA$1126,"~",REPT(" ",600)),4801,600))</f>
        <v/>
      </c>
    </row>
    <row r="1136">
      <c r="B1136" s="180">
        <f>IF($AD1136="","",VALUE(LEFT($AD1136,FIND("|",$AD1136)-1)))</f>
        <v/>
      </c>
      <c r="C1136" s="180">
        <f>IF($AD1136="","","    "&amp;MID($AD1136,FIND("|",$AD1136)+1,FIND("|",$AD1136,FIND("|",$AD1136)+1)-FIND("|",$AD1136)-1))</f>
        <v/>
      </c>
      <c r="D1136" s="180">
        <f>IF($AD1136="","",MID($AD1136,FIND("|",$AD1136,FIND("|",$AD1136)+1)+1,FIND("|",$AD1136&amp;"|",FIND("|",$AD1136,FIND("|",$AD1136)+1)+1)-FIND("|",$AD1136,FIND("|",$AD1136)+1)-1))</f>
        <v/>
      </c>
      <c r="AD1136">
        <f>TRIM(MID(SUBSTITUTE($CA$1126,"~",REPT(" ",600)),5401,600))</f>
        <v/>
      </c>
    </row>
    <row r="1137">
      <c r="B1137" s="180">
        <f>IF($AD1137="","",VALUE(LEFT($AD1137,FIND("|",$AD1137)-1)))</f>
        <v/>
      </c>
      <c r="C1137" s="180">
        <f>IF($AD1137="","","    "&amp;MID($AD1137,FIND("|",$AD1137)+1,FIND("|",$AD1137,FIND("|",$AD1137)+1)-FIND("|",$AD1137)-1))</f>
        <v/>
      </c>
      <c r="D1137" s="180">
        <f>IF($AD1137="","",MID($AD1137,FIND("|",$AD1137,FIND("|",$AD1137)+1)+1,FIND("|",$AD1137&amp;"|",FIND("|",$AD1137,FIND("|",$AD1137)+1)+1)-FIND("|",$AD1137,FIND("|",$AD1137)+1)-1))</f>
        <v/>
      </c>
      <c r="AD1137">
        <f>TRIM(MID(SUBSTITUTE($CA$1126,"~",REPT(" ",600)),6001,600))</f>
        <v/>
      </c>
    </row>
    <row r="1138">
      <c r="A1138" s="178">
        <f>IF($AD$1138=0,"",$BK$1138)</f>
        <v/>
      </c>
      <c r="B1138" s="178">
        <f>IF($AD$1138=0,"",$AE$1138*N($BA$1138))</f>
        <v/>
      </c>
      <c r="C1138" s="178">
        <f>IF($AD$1138=0,"",$AE$1138*N($BA$1138)&amp;") "&amp;IF(COUNTIFS(tk_SODG,35,tk_HLEG,"&lt;&gt;"&amp;$BJ$1138)=0,INDEX(tk_DLINE,$AD$1138),INDEX(tk_DLINEN,$AD$1138)))</f>
        <v/>
      </c>
      <c r="D1138" s="178" t="n"/>
      <c r="E1138" s="179">
        <f t="array" ref="E1138">IF($AD$1138=0,"",_xlfn.TEXTJOIN(", ",TRUE,IF(tk_SODG=35,"#"&amp;tk_MARK&amp;IF(tk_HLEG="","","("&amp;tk_HLEG&amp;")")&amp;IF(tk_QTY&gt;1," ×"&amp;tk_QTY,""),"")))</f>
        <v/>
      </c>
      <c r="AD1138">
        <f>IFERROR(MATCH(35,tk_SODG,0),0)</f>
        <v/>
      </c>
      <c r="AE1138">
        <f>IF($AD$1138=0,0,SUMIF(tk_SODG,35,tk_QTY))</f>
        <v/>
      </c>
      <c r="AF1138">
        <f>IF($AD$1138=0,"",INDEX(tk_JAMB,$AD$1138))</f>
        <v/>
      </c>
      <c r="AG1138">
        <f>IF($AD$1138=0,"",INDEX(tk_ANCHOR,$AD$1138))</f>
        <v/>
      </c>
      <c r="AH1138">
        <f>IF($AD$1138=0,"",INDEX(tk_ANCH,$AD$1138))</f>
        <v/>
      </c>
      <c r="AI1138">
        <f>IF($AD$1138=0,"",INDEX(tk_BASEA,$AD$1138))</f>
        <v/>
      </c>
      <c r="AJ1138">
        <f>IF($AD$1138=0,"",INDEX(tk_CONSTR,$AD$1138))</f>
        <v/>
      </c>
      <c r="AK1138">
        <f>IF($AD$1138=0,"",INDEX(tk_CLOSER,$AD$1138))</f>
        <v/>
      </c>
      <c r="AL1138">
        <f>IF($AD$1138=0,"",INDEX(tk_STRIKE,$AD$1138))</f>
        <v/>
      </c>
      <c r="AM1138">
        <f>IF($AD$1138=0,"",INDEX(tk_HDRPREP,$AD$1138))</f>
        <v/>
      </c>
      <c r="AN1138">
        <f>IF($AD$1138=0,"",INDEX(tk_DMIN,$AD$1138))</f>
        <v/>
      </c>
      <c r="AO1138">
        <f>IF($AD$1138=0,"",INDEX(tk_PAIR,$AD$1138))</f>
        <v/>
      </c>
      <c r="AP1138">
        <f>IF($AD$1138=0,"",INDEX(tk_FGA,$AD$1138))</f>
        <v/>
      </c>
      <c r="AQ1138">
        <f>IF($AD$1138=0,"",INDEX(tk_WI,$AD$1138))</f>
        <v/>
      </c>
      <c r="AR1138">
        <f>IF($AD$1138=0,"",INDEX(tk_HI,$AD$1138))</f>
        <v/>
      </c>
      <c r="AS1138">
        <f>IF($AD$1138=0,"",INDEX(tk_FHINGE,$AD$1138))</f>
        <v/>
      </c>
      <c r="AT1138">
        <f>IF($AD$1138=0,"",INDEX(tk_DHINGE,$AD$1138))</f>
        <v/>
      </c>
      <c r="AU1138">
        <f>IF($AD$1138=0,"",INDEX(tk_HWLOC,$AD$1138))</f>
        <v/>
      </c>
      <c r="AV1138">
        <f>IF($AD$1138=0,"",INDEX(tk_MANUF,$AD$1138))</f>
        <v/>
      </c>
      <c r="AW1138">
        <f>IF($AD$1138=0,"",INDEX(tk_JH,$AD$1138))</f>
        <v/>
      </c>
      <c r="AX1138">
        <f>IF($AD$1138=0,"",INDEX(tk_FDESC,$AD$1138))</f>
        <v/>
      </c>
      <c r="AY1138">
        <f>IF($AD$1138=0,"",INDEX(tk_TRANS,$AD$1138))</f>
        <v/>
      </c>
      <c r="AZ1138">
        <f>IF($AD$1138=0,"",INDEX(tk_SLW,$AD$1138))</f>
        <v/>
      </c>
      <c r="BA1138">
        <f>IF($AD$1138=0,"",INDEX(tk_LEAVES,$AD$1138))</f>
        <v/>
      </c>
      <c r="BB1138">
        <f>IF($AD$1138=0,"",INDEX(tk_LEAFW,$AD$1138))</f>
        <v/>
      </c>
      <c r="BC1138">
        <f>IF($AD$1138=0,"",INDEX(tk_LEAFH,$AD$1138))</f>
        <v/>
      </c>
      <c r="BD1138">
        <f>IF($AD$1138=0,"",INDEX(tk_DMAT,$AD$1138))</f>
        <v/>
      </c>
      <c r="BE1138">
        <f>IF($AD$1138=0,"",INDEX(tk_DGA,$AD$1138))</f>
        <v/>
      </c>
      <c r="BF1138">
        <f>IF($AD$1138=0,"",INDEX(tk_SERIES,$AD$1138))</f>
        <v/>
      </c>
      <c r="BG1138">
        <f>IF($AD$1138=0,"",INDEX(tk_LOCK,$AD$1138))</f>
        <v/>
      </c>
      <c r="BH1138">
        <f>IF($AD$1138=0,"",INDEX(tk_LITEKIT,$AD$1138))</f>
        <v/>
      </c>
      <c r="BI1138">
        <f>IF($AD$1138=0,"",INDEX(tk_FACE,$AD$1138))</f>
        <v/>
      </c>
      <c r="BJ1138">
        <f>IF($AD$1138=0,"",INDEX(tk_HLEG,$AD$1138))</f>
        <v/>
      </c>
      <c r="BK1138">
        <f>IF($AD$1138=0,"",INDEX(tk_SOITEM,$AD$1138))</f>
        <v/>
      </c>
      <c r="BL1138">
        <f>IFERROR(VLOOKUP($AF$1138,CODES,2,FALSE),"")</f>
        <v/>
      </c>
      <c r="BM1138">
        <f>IF($AJ$1138="KD","C","M")</f>
        <v/>
      </c>
      <c r="BN1138">
        <f>IF(N($AR$1138)&lt;=80,80,IF(N($AR$1138)&lt;=84,84,IF(N($AR$1138)&lt;=96,96,N($AR$1138))))</f>
        <v/>
      </c>
      <c r="BO1138">
        <f>INT($BN$1138/12)&amp;MOD($BN$1138,12)</f>
        <v/>
      </c>
      <c r="BP1138">
        <f>INT(N($AQ$1138)/12)&amp;MOD(N($AQ$1138),12)</f>
        <v/>
      </c>
      <c r="BQ1138">
        <f>IF(OR($AU$1138="",$AU$1138="ANSI/SDI",$AU$1138="CUSTOM LOC"),IF($AV$1138="CU","CURRIES","STEELCRAFT"),$AU$1138)</f>
        <v/>
      </c>
      <c r="BR1138">
        <f>$AO$1138="Y"</f>
        <v/>
      </c>
      <c r="BS1138">
        <f>"~"</f>
        <v/>
      </c>
      <c r="BT1138">
        <f>$AE$1138*N($BA$1138)</f>
        <v/>
      </c>
      <c r="BU1138">
        <f>OR(LEFT($BD$1138,3)="OAK",LEFT($BD$1138,3)="BIR",LEFT($BD$1138,3)="MAP",$BD$1138="PC",$BD$1138="MC",$BD$1138="SCLC",$BD$1138="P-LAM")</f>
        <v/>
      </c>
      <c r="BV1138">
        <f>INT(N($AQ$1138)/MAX(1,N($BA$1138))/12)&amp;MOD(N($AQ$1138)/MAX(1,N($BA$1138)),12)</f>
        <v/>
      </c>
      <c r="BW1138">
        <f>IF(OR($BG$1138="G11",$BG$1138="G11A",$BG$1138="G12A"),"G2",IF(OR(LEFT($BG$1138,2)="G3",$BG$1138="G12"),"G3AEO",$BG$1138))</f>
        <v/>
      </c>
      <c r="BX1138">
        <f>"(Net size: "&amp;TRIM(TEXT(N($BB$1138),"# ?/??"))&amp;CHAR(34)&amp;" x "&amp;TRIM(TEXT(N($BC$1138),"# ?/??"))&amp;CHAR(34)&amp;")"</f>
        <v/>
      </c>
      <c r="BY1138">
        <f>IF(LEFT($BD$1138,3)="OAK","RED OAK",IF(LEFT($BD$1138,3)="BIR","BIRCH",IF(LEFT($BD$1138,3)="MAP","MAPLE","WOOD")))</f>
        <v/>
      </c>
      <c r="BZ1138">
        <f>IF(OR($AT$1138="U454",AND($AT$1138="",$AS$1138="U454")),"454","453")</f>
        <v/>
      </c>
      <c r="CA1138">
        <f>IF($AD$1138=0,"",IF($BU$1138,$BT$1138&amp;"|"&amp;$BV$1138&amp;$BO$1138&amp;" "&amp;$BY$1138&amp;" SLAB "&amp;IF(N($AN$1138)&gt;0,$AN$1138&amp;" MINUTE",IF(RIGHT($BD$1138,2)="MC","MC","SC")&amp;" WOOD DOOR")&amp;"|"&amp;$BX$1138&amp;"|"&amp;$BS$1138,$BT$1138&amp;"|"&amp;$BV$1138&amp;$BO$1138&amp;$BW$1138&amp;" BSC "&amp;$BQ$1138&amp;" DOOR "&amp;$BE$1138&amp;"Ga. Non-Handed "&amp;IF($BF$1138="","707",$BF$1138)&amp;"S Flush HM|"&amp;$BX$1138&amp;"|"&amp;$BS$1138)&amp;IF(N($AN$1138)&gt;0,$BT$1138&amp;"|"&amp;$AN$1138&amp;IF($BU$1138," MINUTE WARNOCK HERSHEY FIRE RATED WOOD LABEL"," MINUTE FOAM CORE STEEL DOOR LABEL (MODELS 607 &amp; 707)")&amp;"||"&amp;$BS$1138,"")&amp;IF(AND(NOT($BU$1138),OR($BG$1138="G11",$BG$1138="G11A",$BG$1138="G12",$BG$1138="G12A")),$AE$1138&amp;"|EXIT DEVICE PREP FOR HM DOOR||"&amp;$BS$1138,"")&amp;IF(AND(NOT($BU$1138),$BG$1138="G12"),$AE$1138&amp;"|DR 350 MORTISE LOCK FILLER PLATE||"&amp;$BS$1138,"")&amp;IF(AND(NOT($BU$1138),LEFT($BG$1138,2)="G3"),$AE$1138&amp;"|MORTISE LOCK PREP||"&amp;$BS$1138,"")&amp;IF($BU$1138,$BT$1138&amp;"|"&amp;IF($BG$1138="G18",$BZ$1138&amp;"-4 1/2"&amp;CHAR(34)&amp;"X4 1/2"&amp;CHAR(34)&amp;" HINGES ONLY PREP","HINGE PREP "&amp;$BZ$1138&amp;" WITH LOCK PREP")&amp;"|"&amp;$BQ$1138&amp;" LOC|"&amp;$BS$1138,"")&amp;IF(OR($BG$1138="G2G2",$BG$1138="G17",$BG$1138="E1E4"),$AE$1138&amp;"|"&amp;IF($BU$1138,"DDLP CYLINDRICAL DEADLOCK PREP","DOOR DEADLOCK PREP")&amp;"||"&amp;$BS$1138,"")&amp;IF(OR($BH$1138="FG",$BH$1138="HG",$BH$1138="FNV",$BH$1138="FV"),$BT$1138&amp;"|"&amp;$BI$1138&amp;" LITE KIT||"&amp;$BS$1138,IF($BH$1138="FL",$BT$1138&amp;"|"&amp;$BI$1138&amp;" LOUVER||"&amp;$BS$1138,IF($BH$1138="FP",$BT$1138&amp;"|DVP DOOR VIEWER PREP||"&amp;$BS$1138,"")))&amp;IF($BN$1138&gt;N($AR$1138),$BT$1138&amp;"|DCO DOOR CUT DOWN ONLY (HEIGHT)|Cut "&amp;TRIM(TEXT($BN$1138-N($AR$1138),"# ?/??"))&amp;CHAR(34)&amp;" OFF THE BOTTOM|"&amp;$BS$1138,""))</f>
        <v/>
      </c>
    </row>
    <row r="1139">
      <c r="B1139" s="180">
        <f>IF($AD1139="","",VALUE(LEFT($AD1139,FIND("|",$AD1139)-1)))</f>
        <v/>
      </c>
      <c r="C1139" s="180">
        <f>IF($AD1139="","","    "&amp;MID($AD1139,FIND("|",$AD1139)+1,FIND("|",$AD1139,FIND("|",$AD1139)+1)-FIND("|",$AD1139)-1))</f>
        <v/>
      </c>
      <c r="D1139" s="180">
        <f>IF($AD1139="","",MID($AD1139,FIND("|",$AD1139,FIND("|",$AD1139)+1)+1,FIND("|",$AD1139&amp;"|",FIND("|",$AD1139,FIND("|",$AD1139)+1)+1)-FIND("|",$AD1139,FIND("|",$AD1139)+1)-1))</f>
        <v/>
      </c>
      <c r="AD1139">
        <f>TRIM(MID(SUBSTITUTE($CA$1138,"~",REPT(" ",600)),1,600))</f>
        <v/>
      </c>
    </row>
    <row r="1140">
      <c r="B1140" s="180">
        <f>IF($AD1140="","",VALUE(LEFT($AD1140,FIND("|",$AD1140)-1)))</f>
        <v/>
      </c>
      <c r="C1140" s="180">
        <f>IF($AD1140="","","    "&amp;MID($AD1140,FIND("|",$AD1140)+1,FIND("|",$AD1140,FIND("|",$AD1140)+1)-FIND("|",$AD1140)-1))</f>
        <v/>
      </c>
      <c r="D1140" s="180">
        <f>IF($AD1140="","",MID($AD1140,FIND("|",$AD1140,FIND("|",$AD1140)+1)+1,FIND("|",$AD1140&amp;"|",FIND("|",$AD1140,FIND("|",$AD1140)+1)+1)-FIND("|",$AD1140,FIND("|",$AD1140)+1)-1))</f>
        <v/>
      </c>
      <c r="AD1140">
        <f>TRIM(MID(SUBSTITUTE($CA$1138,"~",REPT(" ",600)),601,600))</f>
        <v/>
      </c>
    </row>
    <row r="1141">
      <c r="B1141" s="180">
        <f>IF($AD1141="","",VALUE(LEFT($AD1141,FIND("|",$AD1141)-1)))</f>
        <v/>
      </c>
      <c r="C1141" s="180">
        <f>IF($AD1141="","","    "&amp;MID($AD1141,FIND("|",$AD1141)+1,FIND("|",$AD1141,FIND("|",$AD1141)+1)-FIND("|",$AD1141)-1))</f>
        <v/>
      </c>
      <c r="D1141" s="180">
        <f>IF($AD1141="","",MID($AD1141,FIND("|",$AD1141,FIND("|",$AD1141)+1)+1,FIND("|",$AD1141&amp;"|",FIND("|",$AD1141,FIND("|",$AD1141)+1)+1)-FIND("|",$AD1141,FIND("|",$AD1141)+1)-1))</f>
        <v/>
      </c>
      <c r="AD1141">
        <f>TRIM(MID(SUBSTITUTE($CA$1138,"~",REPT(" ",600)),1201,600))</f>
        <v/>
      </c>
    </row>
    <row r="1142">
      <c r="B1142" s="180">
        <f>IF($AD1142="","",VALUE(LEFT($AD1142,FIND("|",$AD1142)-1)))</f>
        <v/>
      </c>
      <c r="C1142" s="180">
        <f>IF($AD1142="","","    "&amp;MID($AD1142,FIND("|",$AD1142)+1,FIND("|",$AD1142,FIND("|",$AD1142)+1)-FIND("|",$AD1142)-1))</f>
        <v/>
      </c>
      <c r="D1142" s="180">
        <f>IF($AD1142="","",MID($AD1142,FIND("|",$AD1142,FIND("|",$AD1142)+1)+1,FIND("|",$AD1142&amp;"|",FIND("|",$AD1142,FIND("|",$AD1142)+1)+1)-FIND("|",$AD1142,FIND("|",$AD1142)+1)-1))</f>
        <v/>
      </c>
      <c r="AD1142">
        <f>TRIM(MID(SUBSTITUTE($CA$1138,"~",REPT(" ",600)),1801,600))</f>
        <v/>
      </c>
    </row>
    <row r="1143">
      <c r="B1143" s="180">
        <f>IF($AD1143="","",VALUE(LEFT($AD1143,FIND("|",$AD1143)-1)))</f>
        <v/>
      </c>
      <c r="C1143" s="180">
        <f>IF($AD1143="","","    "&amp;MID($AD1143,FIND("|",$AD1143)+1,FIND("|",$AD1143,FIND("|",$AD1143)+1)-FIND("|",$AD1143)-1))</f>
        <v/>
      </c>
      <c r="D1143" s="180">
        <f>IF($AD1143="","",MID($AD1143,FIND("|",$AD1143,FIND("|",$AD1143)+1)+1,FIND("|",$AD1143&amp;"|",FIND("|",$AD1143,FIND("|",$AD1143)+1)+1)-FIND("|",$AD1143,FIND("|",$AD1143)+1)-1))</f>
        <v/>
      </c>
      <c r="AD1143">
        <f>TRIM(MID(SUBSTITUTE($CA$1138,"~",REPT(" ",600)),2401,600))</f>
        <v/>
      </c>
    </row>
    <row r="1144">
      <c r="B1144" s="180">
        <f>IF($AD1144="","",VALUE(LEFT($AD1144,FIND("|",$AD1144)-1)))</f>
        <v/>
      </c>
      <c r="C1144" s="180">
        <f>IF($AD1144="","","    "&amp;MID($AD1144,FIND("|",$AD1144)+1,FIND("|",$AD1144,FIND("|",$AD1144)+1)-FIND("|",$AD1144)-1))</f>
        <v/>
      </c>
      <c r="D1144" s="180">
        <f>IF($AD1144="","",MID($AD1144,FIND("|",$AD1144,FIND("|",$AD1144)+1)+1,FIND("|",$AD1144&amp;"|",FIND("|",$AD1144,FIND("|",$AD1144)+1)+1)-FIND("|",$AD1144,FIND("|",$AD1144)+1)-1))</f>
        <v/>
      </c>
      <c r="AD1144">
        <f>TRIM(MID(SUBSTITUTE($CA$1138,"~",REPT(" ",600)),3001,600))</f>
        <v/>
      </c>
    </row>
    <row r="1145">
      <c r="B1145" s="180">
        <f>IF($AD1145="","",VALUE(LEFT($AD1145,FIND("|",$AD1145)-1)))</f>
        <v/>
      </c>
      <c r="C1145" s="180">
        <f>IF($AD1145="","","    "&amp;MID($AD1145,FIND("|",$AD1145)+1,FIND("|",$AD1145,FIND("|",$AD1145)+1)-FIND("|",$AD1145)-1))</f>
        <v/>
      </c>
      <c r="D1145" s="180">
        <f>IF($AD1145="","",MID($AD1145,FIND("|",$AD1145,FIND("|",$AD1145)+1)+1,FIND("|",$AD1145&amp;"|",FIND("|",$AD1145,FIND("|",$AD1145)+1)+1)-FIND("|",$AD1145,FIND("|",$AD1145)+1)-1))</f>
        <v/>
      </c>
      <c r="AD1145">
        <f>TRIM(MID(SUBSTITUTE($CA$1138,"~",REPT(" ",600)),3601,600))</f>
        <v/>
      </c>
    </row>
    <row r="1146">
      <c r="B1146" s="180">
        <f>IF($AD1146="","",VALUE(LEFT($AD1146,FIND("|",$AD1146)-1)))</f>
        <v/>
      </c>
      <c r="C1146" s="180">
        <f>IF($AD1146="","","    "&amp;MID($AD1146,FIND("|",$AD1146)+1,FIND("|",$AD1146,FIND("|",$AD1146)+1)-FIND("|",$AD1146)-1))</f>
        <v/>
      </c>
      <c r="D1146" s="180">
        <f>IF($AD1146="","",MID($AD1146,FIND("|",$AD1146,FIND("|",$AD1146)+1)+1,FIND("|",$AD1146&amp;"|",FIND("|",$AD1146,FIND("|",$AD1146)+1)+1)-FIND("|",$AD1146,FIND("|",$AD1146)+1)-1))</f>
        <v/>
      </c>
      <c r="AD1146">
        <f>TRIM(MID(SUBSTITUTE($CA$1138,"~",REPT(" ",600)),4201,600))</f>
        <v/>
      </c>
    </row>
    <row r="1147">
      <c r="B1147" s="180">
        <f>IF($AD1147="","",VALUE(LEFT($AD1147,FIND("|",$AD1147)-1)))</f>
        <v/>
      </c>
      <c r="C1147" s="180">
        <f>IF($AD1147="","","    "&amp;MID($AD1147,FIND("|",$AD1147)+1,FIND("|",$AD1147,FIND("|",$AD1147)+1)-FIND("|",$AD1147)-1))</f>
        <v/>
      </c>
      <c r="D1147" s="180">
        <f>IF($AD1147="","",MID($AD1147,FIND("|",$AD1147,FIND("|",$AD1147)+1)+1,FIND("|",$AD1147&amp;"|",FIND("|",$AD1147,FIND("|",$AD1147)+1)+1)-FIND("|",$AD1147,FIND("|",$AD1147)+1)-1))</f>
        <v/>
      </c>
      <c r="AD1147">
        <f>TRIM(MID(SUBSTITUTE($CA$1138,"~",REPT(" ",600)),4801,600))</f>
        <v/>
      </c>
    </row>
    <row r="1148">
      <c r="B1148" s="180">
        <f>IF($AD1148="","",VALUE(LEFT($AD1148,FIND("|",$AD1148)-1)))</f>
        <v/>
      </c>
      <c r="C1148" s="180">
        <f>IF($AD1148="","","    "&amp;MID($AD1148,FIND("|",$AD1148)+1,FIND("|",$AD1148,FIND("|",$AD1148)+1)-FIND("|",$AD1148)-1))</f>
        <v/>
      </c>
      <c r="D1148" s="180">
        <f>IF($AD1148="","",MID($AD1148,FIND("|",$AD1148,FIND("|",$AD1148)+1)+1,FIND("|",$AD1148&amp;"|",FIND("|",$AD1148,FIND("|",$AD1148)+1)+1)-FIND("|",$AD1148,FIND("|",$AD1148)+1)-1))</f>
        <v/>
      </c>
      <c r="AD1148">
        <f>TRIM(MID(SUBSTITUTE($CA$1138,"~",REPT(" ",600)),5401,600))</f>
        <v/>
      </c>
    </row>
    <row r="1149">
      <c r="B1149" s="180">
        <f>IF($AD1149="","",VALUE(LEFT($AD1149,FIND("|",$AD1149)-1)))</f>
        <v/>
      </c>
      <c r="C1149" s="180">
        <f>IF($AD1149="","","    "&amp;MID($AD1149,FIND("|",$AD1149)+1,FIND("|",$AD1149,FIND("|",$AD1149)+1)-FIND("|",$AD1149)-1))</f>
        <v/>
      </c>
      <c r="D1149" s="180">
        <f>IF($AD1149="","",MID($AD1149,FIND("|",$AD1149,FIND("|",$AD1149)+1)+1,FIND("|",$AD1149&amp;"|",FIND("|",$AD1149,FIND("|",$AD1149)+1)+1)-FIND("|",$AD1149,FIND("|",$AD1149)+1)-1))</f>
        <v/>
      </c>
      <c r="AD1149">
        <f>TRIM(MID(SUBSTITUTE($CA$1138,"~",REPT(" ",600)),6001,600))</f>
        <v/>
      </c>
    </row>
    <row r="1150">
      <c r="A1150" s="178">
        <f>IF($AD$1150=0,"",$BK$1150)</f>
        <v/>
      </c>
      <c r="B1150" s="178">
        <f>IF($AD$1150=0,"",$AE$1150*N($BA$1150))</f>
        <v/>
      </c>
      <c r="C1150" s="178">
        <f>IF($AD$1150=0,"",$AE$1150*N($BA$1150)&amp;") "&amp;IF(COUNTIFS(tk_SODG,36,tk_HLEG,"&lt;&gt;"&amp;$BJ$1150)=0,INDEX(tk_DLINE,$AD$1150),INDEX(tk_DLINEN,$AD$1150)))</f>
        <v/>
      </c>
      <c r="D1150" s="178" t="n"/>
      <c r="E1150" s="179">
        <f t="array" ref="E1150">IF($AD$1150=0,"",_xlfn.TEXTJOIN(", ",TRUE,IF(tk_SODG=36,"#"&amp;tk_MARK&amp;IF(tk_HLEG="","","("&amp;tk_HLEG&amp;")")&amp;IF(tk_QTY&gt;1," ×"&amp;tk_QTY,""),"")))</f>
        <v/>
      </c>
      <c r="AD1150">
        <f>IFERROR(MATCH(36,tk_SODG,0),0)</f>
        <v/>
      </c>
      <c r="AE1150">
        <f>IF($AD$1150=0,0,SUMIF(tk_SODG,36,tk_QTY))</f>
        <v/>
      </c>
      <c r="AF1150">
        <f>IF($AD$1150=0,"",INDEX(tk_JAMB,$AD$1150))</f>
        <v/>
      </c>
      <c r="AG1150">
        <f>IF($AD$1150=0,"",INDEX(tk_ANCHOR,$AD$1150))</f>
        <v/>
      </c>
      <c r="AH1150">
        <f>IF($AD$1150=0,"",INDEX(tk_ANCH,$AD$1150))</f>
        <v/>
      </c>
      <c r="AI1150">
        <f>IF($AD$1150=0,"",INDEX(tk_BASEA,$AD$1150))</f>
        <v/>
      </c>
      <c r="AJ1150">
        <f>IF($AD$1150=0,"",INDEX(tk_CONSTR,$AD$1150))</f>
        <v/>
      </c>
      <c r="AK1150">
        <f>IF($AD$1150=0,"",INDEX(tk_CLOSER,$AD$1150))</f>
        <v/>
      </c>
      <c r="AL1150">
        <f>IF($AD$1150=0,"",INDEX(tk_STRIKE,$AD$1150))</f>
        <v/>
      </c>
      <c r="AM1150">
        <f>IF($AD$1150=0,"",INDEX(tk_HDRPREP,$AD$1150))</f>
        <v/>
      </c>
      <c r="AN1150">
        <f>IF($AD$1150=0,"",INDEX(tk_DMIN,$AD$1150))</f>
        <v/>
      </c>
      <c r="AO1150">
        <f>IF($AD$1150=0,"",INDEX(tk_PAIR,$AD$1150))</f>
        <v/>
      </c>
      <c r="AP1150">
        <f>IF($AD$1150=0,"",INDEX(tk_FGA,$AD$1150))</f>
        <v/>
      </c>
      <c r="AQ1150">
        <f>IF($AD$1150=0,"",INDEX(tk_WI,$AD$1150))</f>
        <v/>
      </c>
      <c r="AR1150">
        <f>IF($AD$1150=0,"",INDEX(tk_HI,$AD$1150))</f>
        <v/>
      </c>
      <c r="AS1150">
        <f>IF($AD$1150=0,"",INDEX(tk_FHINGE,$AD$1150))</f>
        <v/>
      </c>
      <c r="AT1150">
        <f>IF($AD$1150=0,"",INDEX(tk_DHINGE,$AD$1150))</f>
        <v/>
      </c>
      <c r="AU1150">
        <f>IF($AD$1150=0,"",INDEX(tk_HWLOC,$AD$1150))</f>
        <v/>
      </c>
      <c r="AV1150">
        <f>IF($AD$1150=0,"",INDEX(tk_MANUF,$AD$1150))</f>
        <v/>
      </c>
      <c r="AW1150">
        <f>IF($AD$1150=0,"",INDEX(tk_JH,$AD$1150))</f>
        <v/>
      </c>
      <c r="AX1150">
        <f>IF($AD$1150=0,"",INDEX(tk_FDESC,$AD$1150))</f>
        <v/>
      </c>
      <c r="AY1150">
        <f>IF($AD$1150=0,"",INDEX(tk_TRANS,$AD$1150))</f>
        <v/>
      </c>
      <c r="AZ1150">
        <f>IF($AD$1150=0,"",INDEX(tk_SLW,$AD$1150))</f>
        <v/>
      </c>
      <c r="BA1150">
        <f>IF($AD$1150=0,"",INDEX(tk_LEAVES,$AD$1150))</f>
        <v/>
      </c>
      <c r="BB1150">
        <f>IF($AD$1150=0,"",INDEX(tk_LEAFW,$AD$1150))</f>
        <v/>
      </c>
      <c r="BC1150">
        <f>IF($AD$1150=0,"",INDEX(tk_LEAFH,$AD$1150))</f>
        <v/>
      </c>
      <c r="BD1150">
        <f>IF($AD$1150=0,"",INDEX(tk_DMAT,$AD$1150))</f>
        <v/>
      </c>
      <c r="BE1150">
        <f>IF($AD$1150=0,"",INDEX(tk_DGA,$AD$1150))</f>
        <v/>
      </c>
      <c r="BF1150">
        <f>IF($AD$1150=0,"",INDEX(tk_SERIES,$AD$1150))</f>
        <v/>
      </c>
      <c r="BG1150">
        <f>IF($AD$1150=0,"",INDEX(tk_LOCK,$AD$1150))</f>
        <v/>
      </c>
      <c r="BH1150">
        <f>IF($AD$1150=0,"",INDEX(tk_LITEKIT,$AD$1150))</f>
        <v/>
      </c>
      <c r="BI1150">
        <f>IF($AD$1150=0,"",INDEX(tk_FACE,$AD$1150))</f>
        <v/>
      </c>
      <c r="BJ1150">
        <f>IF($AD$1150=0,"",INDEX(tk_HLEG,$AD$1150))</f>
        <v/>
      </c>
      <c r="BK1150">
        <f>IF($AD$1150=0,"",INDEX(tk_SOITEM,$AD$1150))</f>
        <v/>
      </c>
      <c r="BL1150">
        <f>IFERROR(VLOOKUP($AF$1150,CODES,2,FALSE),"")</f>
        <v/>
      </c>
      <c r="BM1150">
        <f>IF($AJ$1150="KD","C","M")</f>
        <v/>
      </c>
      <c r="BN1150">
        <f>IF(N($AR$1150)&lt;=80,80,IF(N($AR$1150)&lt;=84,84,IF(N($AR$1150)&lt;=96,96,N($AR$1150))))</f>
        <v/>
      </c>
      <c r="BO1150">
        <f>INT($BN$1150/12)&amp;MOD($BN$1150,12)</f>
        <v/>
      </c>
      <c r="BP1150">
        <f>INT(N($AQ$1150)/12)&amp;MOD(N($AQ$1150),12)</f>
        <v/>
      </c>
      <c r="BQ1150">
        <f>IF(OR($AU$1150="",$AU$1150="ANSI/SDI",$AU$1150="CUSTOM LOC"),IF($AV$1150="CU","CURRIES","STEELCRAFT"),$AU$1150)</f>
        <v/>
      </c>
      <c r="BR1150">
        <f>$AO$1150="Y"</f>
        <v/>
      </c>
      <c r="BS1150">
        <f>"~"</f>
        <v/>
      </c>
      <c r="BT1150">
        <f>$AE$1150*N($BA$1150)</f>
        <v/>
      </c>
      <c r="BU1150">
        <f>OR(LEFT($BD$1150,3)="OAK",LEFT($BD$1150,3)="BIR",LEFT($BD$1150,3)="MAP",$BD$1150="PC",$BD$1150="MC",$BD$1150="SCLC",$BD$1150="P-LAM")</f>
        <v/>
      </c>
      <c r="BV1150">
        <f>INT(N($AQ$1150)/MAX(1,N($BA$1150))/12)&amp;MOD(N($AQ$1150)/MAX(1,N($BA$1150)),12)</f>
        <v/>
      </c>
      <c r="BW1150">
        <f>IF(OR($BG$1150="G11",$BG$1150="G11A",$BG$1150="G12A"),"G2",IF(OR(LEFT($BG$1150,2)="G3",$BG$1150="G12"),"G3AEO",$BG$1150))</f>
        <v/>
      </c>
      <c r="BX1150">
        <f>"(Net size: "&amp;TRIM(TEXT(N($BB$1150),"# ?/??"))&amp;CHAR(34)&amp;" x "&amp;TRIM(TEXT(N($BC$1150),"# ?/??"))&amp;CHAR(34)&amp;")"</f>
        <v/>
      </c>
      <c r="BY1150">
        <f>IF(LEFT($BD$1150,3)="OAK","RED OAK",IF(LEFT($BD$1150,3)="BIR","BIRCH",IF(LEFT($BD$1150,3)="MAP","MAPLE","WOOD")))</f>
        <v/>
      </c>
      <c r="BZ1150">
        <f>IF(OR($AT$1150="U454",AND($AT$1150="",$AS$1150="U454")),"454","453")</f>
        <v/>
      </c>
      <c r="CA1150">
        <f>IF($AD$1150=0,"",IF($BU$1150,$BT$1150&amp;"|"&amp;$BV$1150&amp;$BO$1150&amp;" "&amp;$BY$1150&amp;" SLAB "&amp;IF(N($AN$1150)&gt;0,$AN$1150&amp;" MINUTE",IF(RIGHT($BD$1150,2)="MC","MC","SC")&amp;" WOOD DOOR")&amp;"|"&amp;$BX$1150&amp;"|"&amp;$BS$1150,$BT$1150&amp;"|"&amp;$BV$1150&amp;$BO$1150&amp;$BW$1150&amp;" BSC "&amp;$BQ$1150&amp;" DOOR "&amp;$BE$1150&amp;"Ga. Non-Handed "&amp;IF($BF$1150="","707",$BF$1150)&amp;"S Flush HM|"&amp;$BX$1150&amp;"|"&amp;$BS$1150)&amp;IF(N($AN$1150)&gt;0,$BT$1150&amp;"|"&amp;$AN$1150&amp;IF($BU$1150," MINUTE WARNOCK HERSHEY FIRE RATED WOOD LABEL"," MINUTE FOAM CORE STEEL DOOR LABEL (MODELS 607 &amp; 707)")&amp;"||"&amp;$BS$1150,"")&amp;IF(AND(NOT($BU$1150),OR($BG$1150="G11",$BG$1150="G11A",$BG$1150="G12",$BG$1150="G12A")),$AE$1150&amp;"|EXIT DEVICE PREP FOR HM DOOR||"&amp;$BS$1150,"")&amp;IF(AND(NOT($BU$1150),$BG$1150="G12"),$AE$1150&amp;"|DR 350 MORTISE LOCK FILLER PLATE||"&amp;$BS$1150,"")&amp;IF(AND(NOT($BU$1150),LEFT($BG$1150,2)="G3"),$AE$1150&amp;"|MORTISE LOCK PREP||"&amp;$BS$1150,"")&amp;IF($BU$1150,$BT$1150&amp;"|"&amp;IF($BG$1150="G18",$BZ$1150&amp;"-4 1/2"&amp;CHAR(34)&amp;"X4 1/2"&amp;CHAR(34)&amp;" HINGES ONLY PREP","HINGE PREP "&amp;$BZ$1150&amp;" WITH LOCK PREP")&amp;"|"&amp;$BQ$1150&amp;" LOC|"&amp;$BS$1150,"")&amp;IF(OR($BG$1150="G2G2",$BG$1150="G17",$BG$1150="E1E4"),$AE$1150&amp;"|"&amp;IF($BU$1150,"DDLP CYLINDRICAL DEADLOCK PREP","DOOR DEADLOCK PREP")&amp;"||"&amp;$BS$1150,"")&amp;IF(OR($BH$1150="FG",$BH$1150="HG",$BH$1150="FNV",$BH$1150="FV"),$BT$1150&amp;"|"&amp;$BI$1150&amp;" LITE KIT||"&amp;$BS$1150,IF($BH$1150="FL",$BT$1150&amp;"|"&amp;$BI$1150&amp;" LOUVER||"&amp;$BS$1150,IF($BH$1150="FP",$BT$1150&amp;"|DVP DOOR VIEWER PREP||"&amp;$BS$1150,"")))&amp;IF($BN$1150&gt;N($AR$1150),$BT$1150&amp;"|DCO DOOR CUT DOWN ONLY (HEIGHT)|Cut "&amp;TRIM(TEXT($BN$1150-N($AR$1150),"# ?/??"))&amp;CHAR(34)&amp;" OFF THE BOTTOM|"&amp;$BS$1150,""))</f>
        <v/>
      </c>
    </row>
    <row r="1151">
      <c r="B1151" s="180">
        <f>IF($AD1151="","",VALUE(LEFT($AD1151,FIND("|",$AD1151)-1)))</f>
        <v/>
      </c>
      <c r="C1151" s="180">
        <f>IF($AD1151="","","    "&amp;MID($AD1151,FIND("|",$AD1151)+1,FIND("|",$AD1151,FIND("|",$AD1151)+1)-FIND("|",$AD1151)-1))</f>
        <v/>
      </c>
      <c r="D1151" s="180">
        <f>IF($AD1151="","",MID($AD1151,FIND("|",$AD1151,FIND("|",$AD1151)+1)+1,FIND("|",$AD1151&amp;"|",FIND("|",$AD1151,FIND("|",$AD1151)+1)+1)-FIND("|",$AD1151,FIND("|",$AD1151)+1)-1))</f>
        <v/>
      </c>
      <c r="AD1151">
        <f>TRIM(MID(SUBSTITUTE($CA$1150,"~",REPT(" ",600)),1,600))</f>
        <v/>
      </c>
    </row>
    <row r="1152">
      <c r="B1152" s="180">
        <f>IF($AD1152="","",VALUE(LEFT($AD1152,FIND("|",$AD1152)-1)))</f>
        <v/>
      </c>
      <c r="C1152" s="180">
        <f>IF($AD1152="","","    "&amp;MID($AD1152,FIND("|",$AD1152)+1,FIND("|",$AD1152,FIND("|",$AD1152)+1)-FIND("|",$AD1152)-1))</f>
        <v/>
      </c>
      <c r="D1152" s="180">
        <f>IF($AD1152="","",MID($AD1152,FIND("|",$AD1152,FIND("|",$AD1152)+1)+1,FIND("|",$AD1152&amp;"|",FIND("|",$AD1152,FIND("|",$AD1152)+1)+1)-FIND("|",$AD1152,FIND("|",$AD1152)+1)-1))</f>
        <v/>
      </c>
      <c r="AD1152">
        <f>TRIM(MID(SUBSTITUTE($CA$1150,"~",REPT(" ",600)),601,600))</f>
        <v/>
      </c>
    </row>
    <row r="1153">
      <c r="B1153" s="180">
        <f>IF($AD1153="","",VALUE(LEFT($AD1153,FIND("|",$AD1153)-1)))</f>
        <v/>
      </c>
      <c r="C1153" s="180">
        <f>IF($AD1153="","","    "&amp;MID($AD1153,FIND("|",$AD1153)+1,FIND("|",$AD1153,FIND("|",$AD1153)+1)-FIND("|",$AD1153)-1))</f>
        <v/>
      </c>
      <c r="D1153" s="180">
        <f>IF($AD1153="","",MID($AD1153,FIND("|",$AD1153,FIND("|",$AD1153)+1)+1,FIND("|",$AD1153&amp;"|",FIND("|",$AD1153,FIND("|",$AD1153)+1)+1)-FIND("|",$AD1153,FIND("|",$AD1153)+1)-1))</f>
        <v/>
      </c>
      <c r="AD1153">
        <f>TRIM(MID(SUBSTITUTE($CA$1150,"~",REPT(" ",600)),1201,600))</f>
        <v/>
      </c>
    </row>
    <row r="1154">
      <c r="B1154" s="180">
        <f>IF($AD1154="","",VALUE(LEFT($AD1154,FIND("|",$AD1154)-1)))</f>
        <v/>
      </c>
      <c r="C1154" s="180">
        <f>IF($AD1154="","","    "&amp;MID($AD1154,FIND("|",$AD1154)+1,FIND("|",$AD1154,FIND("|",$AD1154)+1)-FIND("|",$AD1154)-1))</f>
        <v/>
      </c>
      <c r="D1154" s="180">
        <f>IF($AD1154="","",MID($AD1154,FIND("|",$AD1154,FIND("|",$AD1154)+1)+1,FIND("|",$AD1154&amp;"|",FIND("|",$AD1154,FIND("|",$AD1154)+1)+1)-FIND("|",$AD1154,FIND("|",$AD1154)+1)-1))</f>
        <v/>
      </c>
      <c r="AD1154">
        <f>TRIM(MID(SUBSTITUTE($CA$1150,"~",REPT(" ",600)),1801,600))</f>
        <v/>
      </c>
    </row>
    <row r="1155">
      <c r="B1155" s="180">
        <f>IF($AD1155="","",VALUE(LEFT($AD1155,FIND("|",$AD1155)-1)))</f>
        <v/>
      </c>
      <c r="C1155" s="180">
        <f>IF($AD1155="","","    "&amp;MID($AD1155,FIND("|",$AD1155)+1,FIND("|",$AD1155,FIND("|",$AD1155)+1)-FIND("|",$AD1155)-1))</f>
        <v/>
      </c>
      <c r="D1155" s="180">
        <f>IF($AD1155="","",MID($AD1155,FIND("|",$AD1155,FIND("|",$AD1155)+1)+1,FIND("|",$AD1155&amp;"|",FIND("|",$AD1155,FIND("|",$AD1155)+1)+1)-FIND("|",$AD1155,FIND("|",$AD1155)+1)-1))</f>
        <v/>
      </c>
      <c r="AD1155">
        <f>TRIM(MID(SUBSTITUTE($CA$1150,"~",REPT(" ",600)),2401,600))</f>
        <v/>
      </c>
    </row>
    <row r="1156">
      <c r="B1156" s="180">
        <f>IF($AD1156="","",VALUE(LEFT($AD1156,FIND("|",$AD1156)-1)))</f>
        <v/>
      </c>
      <c r="C1156" s="180">
        <f>IF($AD1156="","","    "&amp;MID($AD1156,FIND("|",$AD1156)+1,FIND("|",$AD1156,FIND("|",$AD1156)+1)-FIND("|",$AD1156)-1))</f>
        <v/>
      </c>
      <c r="D1156" s="180">
        <f>IF($AD1156="","",MID($AD1156,FIND("|",$AD1156,FIND("|",$AD1156)+1)+1,FIND("|",$AD1156&amp;"|",FIND("|",$AD1156,FIND("|",$AD1156)+1)+1)-FIND("|",$AD1156,FIND("|",$AD1156)+1)-1))</f>
        <v/>
      </c>
      <c r="AD1156">
        <f>TRIM(MID(SUBSTITUTE($CA$1150,"~",REPT(" ",600)),3001,600))</f>
        <v/>
      </c>
    </row>
    <row r="1157">
      <c r="B1157" s="180">
        <f>IF($AD1157="","",VALUE(LEFT($AD1157,FIND("|",$AD1157)-1)))</f>
        <v/>
      </c>
      <c r="C1157" s="180">
        <f>IF($AD1157="","","    "&amp;MID($AD1157,FIND("|",$AD1157)+1,FIND("|",$AD1157,FIND("|",$AD1157)+1)-FIND("|",$AD1157)-1))</f>
        <v/>
      </c>
      <c r="D1157" s="180">
        <f>IF($AD1157="","",MID($AD1157,FIND("|",$AD1157,FIND("|",$AD1157)+1)+1,FIND("|",$AD1157&amp;"|",FIND("|",$AD1157,FIND("|",$AD1157)+1)+1)-FIND("|",$AD1157,FIND("|",$AD1157)+1)-1))</f>
        <v/>
      </c>
      <c r="AD1157">
        <f>TRIM(MID(SUBSTITUTE($CA$1150,"~",REPT(" ",600)),3601,600))</f>
        <v/>
      </c>
    </row>
    <row r="1158">
      <c r="B1158" s="180">
        <f>IF($AD1158="","",VALUE(LEFT($AD1158,FIND("|",$AD1158)-1)))</f>
        <v/>
      </c>
      <c r="C1158" s="180">
        <f>IF($AD1158="","","    "&amp;MID($AD1158,FIND("|",$AD1158)+1,FIND("|",$AD1158,FIND("|",$AD1158)+1)-FIND("|",$AD1158)-1))</f>
        <v/>
      </c>
      <c r="D1158" s="180">
        <f>IF($AD1158="","",MID($AD1158,FIND("|",$AD1158,FIND("|",$AD1158)+1)+1,FIND("|",$AD1158&amp;"|",FIND("|",$AD1158,FIND("|",$AD1158)+1)+1)-FIND("|",$AD1158,FIND("|",$AD1158)+1)-1))</f>
        <v/>
      </c>
      <c r="AD1158">
        <f>TRIM(MID(SUBSTITUTE($CA$1150,"~",REPT(" ",600)),4201,600))</f>
        <v/>
      </c>
    </row>
    <row r="1159">
      <c r="B1159" s="180">
        <f>IF($AD1159="","",VALUE(LEFT($AD1159,FIND("|",$AD1159)-1)))</f>
        <v/>
      </c>
      <c r="C1159" s="180">
        <f>IF($AD1159="","","    "&amp;MID($AD1159,FIND("|",$AD1159)+1,FIND("|",$AD1159,FIND("|",$AD1159)+1)-FIND("|",$AD1159)-1))</f>
        <v/>
      </c>
      <c r="D1159" s="180">
        <f>IF($AD1159="","",MID($AD1159,FIND("|",$AD1159,FIND("|",$AD1159)+1)+1,FIND("|",$AD1159&amp;"|",FIND("|",$AD1159,FIND("|",$AD1159)+1)+1)-FIND("|",$AD1159,FIND("|",$AD1159)+1)-1))</f>
        <v/>
      </c>
      <c r="AD1159">
        <f>TRIM(MID(SUBSTITUTE($CA$1150,"~",REPT(" ",600)),4801,600))</f>
        <v/>
      </c>
    </row>
    <row r="1160">
      <c r="B1160" s="180">
        <f>IF($AD1160="","",VALUE(LEFT($AD1160,FIND("|",$AD1160)-1)))</f>
        <v/>
      </c>
      <c r="C1160" s="180">
        <f>IF($AD1160="","","    "&amp;MID($AD1160,FIND("|",$AD1160)+1,FIND("|",$AD1160,FIND("|",$AD1160)+1)-FIND("|",$AD1160)-1))</f>
        <v/>
      </c>
      <c r="D1160" s="180">
        <f>IF($AD1160="","",MID($AD1160,FIND("|",$AD1160,FIND("|",$AD1160)+1)+1,FIND("|",$AD1160&amp;"|",FIND("|",$AD1160,FIND("|",$AD1160)+1)+1)-FIND("|",$AD1160,FIND("|",$AD1160)+1)-1))</f>
        <v/>
      </c>
      <c r="AD1160">
        <f>TRIM(MID(SUBSTITUTE($CA$1150,"~",REPT(" ",600)),5401,600))</f>
        <v/>
      </c>
    </row>
    <row r="1161">
      <c r="B1161" s="180">
        <f>IF($AD1161="","",VALUE(LEFT($AD1161,FIND("|",$AD1161)-1)))</f>
        <v/>
      </c>
      <c r="C1161" s="180">
        <f>IF($AD1161="","","    "&amp;MID($AD1161,FIND("|",$AD1161)+1,FIND("|",$AD1161,FIND("|",$AD1161)+1)-FIND("|",$AD1161)-1))</f>
        <v/>
      </c>
      <c r="D1161" s="180">
        <f>IF($AD1161="","",MID($AD1161,FIND("|",$AD1161,FIND("|",$AD1161)+1)+1,FIND("|",$AD1161&amp;"|",FIND("|",$AD1161,FIND("|",$AD1161)+1)+1)-FIND("|",$AD1161,FIND("|",$AD1161)+1)-1))</f>
        <v/>
      </c>
      <c r="AD1161">
        <f>TRIM(MID(SUBSTITUTE($CA$1150,"~",REPT(" ",600)),6001,600))</f>
        <v/>
      </c>
    </row>
    <row r="1162">
      <c r="A1162" s="178">
        <f>IF($AD$1162=0,"",$BK$1162)</f>
        <v/>
      </c>
      <c r="B1162" s="178">
        <f>IF($AD$1162=0,"",$AE$1162*N($BA$1162))</f>
        <v/>
      </c>
      <c r="C1162" s="178">
        <f>IF($AD$1162=0,"",$AE$1162*N($BA$1162)&amp;") "&amp;IF(COUNTIFS(tk_SODG,37,tk_HLEG,"&lt;&gt;"&amp;$BJ$1162)=0,INDEX(tk_DLINE,$AD$1162),INDEX(tk_DLINEN,$AD$1162)))</f>
        <v/>
      </c>
      <c r="D1162" s="178" t="n"/>
      <c r="E1162" s="179">
        <f t="array" ref="E1162">IF($AD$1162=0,"",_xlfn.TEXTJOIN(", ",TRUE,IF(tk_SODG=37,"#"&amp;tk_MARK&amp;IF(tk_HLEG="","","("&amp;tk_HLEG&amp;")")&amp;IF(tk_QTY&gt;1," ×"&amp;tk_QTY,""),"")))</f>
        <v/>
      </c>
      <c r="AD1162">
        <f>IFERROR(MATCH(37,tk_SODG,0),0)</f>
        <v/>
      </c>
      <c r="AE1162">
        <f>IF($AD$1162=0,0,SUMIF(tk_SODG,37,tk_QTY))</f>
        <v/>
      </c>
      <c r="AF1162">
        <f>IF($AD$1162=0,"",INDEX(tk_JAMB,$AD$1162))</f>
        <v/>
      </c>
      <c r="AG1162">
        <f>IF($AD$1162=0,"",INDEX(tk_ANCHOR,$AD$1162))</f>
        <v/>
      </c>
      <c r="AH1162">
        <f>IF($AD$1162=0,"",INDEX(tk_ANCH,$AD$1162))</f>
        <v/>
      </c>
      <c r="AI1162">
        <f>IF($AD$1162=0,"",INDEX(tk_BASEA,$AD$1162))</f>
        <v/>
      </c>
      <c r="AJ1162">
        <f>IF($AD$1162=0,"",INDEX(tk_CONSTR,$AD$1162))</f>
        <v/>
      </c>
      <c r="AK1162">
        <f>IF($AD$1162=0,"",INDEX(tk_CLOSER,$AD$1162))</f>
        <v/>
      </c>
      <c r="AL1162">
        <f>IF($AD$1162=0,"",INDEX(tk_STRIKE,$AD$1162))</f>
        <v/>
      </c>
      <c r="AM1162">
        <f>IF($AD$1162=0,"",INDEX(tk_HDRPREP,$AD$1162))</f>
        <v/>
      </c>
      <c r="AN1162">
        <f>IF($AD$1162=0,"",INDEX(tk_DMIN,$AD$1162))</f>
        <v/>
      </c>
      <c r="AO1162">
        <f>IF($AD$1162=0,"",INDEX(tk_PAIR,$AD$1162))</f>
        <v/>
      </c>
      <c r="AP1162">
        <f>IF($AD$1162=0,"",INDEX(tk_FGA,$AD$1162))</f>
        <v/>
      </c>
      <c r="AQ1162">
        <f>IF($AD$1162=0,"",INDEX(tk_WI,$AD$1162))</f>
        <v/>
      </c>
      <c r="AR1162">
        <f>IF($AD$1162=0,"",INDEX(tk_HI,$AD$1162))</f>
        <v/>
      </c>
      <c r="AS1162">
        <f>IF($AD$1162=0,"",INDEX(tk_FHINGE,$AD$1162))</f>
        <v/>
      </c>
      <c r="AT1162">
        <f>IF($AD$1162=0,"",INDEX(tk_DHINGE,$AD$1162))</f>
        <v/>
      </c>
      <c r="AU1162">
        <f>IF($AD$1162=0,"",INDEX(tk_HWLOC,$AD$1162))</f>
        <v/>
      </c>
      <c r="AV1162">
        <f>IF($AD$1162=0,"",INDEX(tk_MANUF,$AD$1162))</f>
        <v/>
      </c>
      <c r="AW1162">
        <f>IF($AD$1162=0,"",INDEX(tk_JH,$AD$1162))</f>
        <v/>
      </c>
      <c r="AX1162">
        <f>IF($AD$1162=0,"",INDEX(tk_FDESC,$AD$1162))</f>
        <v/>
      </c>
      <c r="AY1162">
        <f>IF($AD$1162=0,"",INDEX(tk_TRANS,$AD$1162))</f>
        <v/>
      </c>
      <c r="AZ1162">
        <f>IF($AD$1162=0,"",INDEX(tk_SLW,$AD$1162))</f>
        <v/>
      </c>
      <c r="BA1162">
        <f>IF($AD$1162=0,"",INDEX(tk_LEAVES,$AD$1162))</f>
        <v/>
      </c>
      <c r="BB1162">
        <f>IF($AD$1162=0,"",INDEX(tk_LEAFW,$AD$1162))</f>
        <v/>
      </c>
      <c r="BC1162">
        <f>IF($AD$1162=0,"",INDEX(tk_LEAFH,$AD$1162))</f>
        <v/>
      </c>
      <c r="BD1162">
        <f>IF($AD$1162=0,"",INDEX(tk_DMAT,$AD$1162))</f>
        <v/>
      </c>
      <c r="BE1162">
        <f>IF($AD$1162=0,"",INDEX(tk_DGA,$AD$1162))</f>
        <v/>
      </c>
      <c r="BF1162">
        <f>IF($AD$1162=0,"",INDEX(tk_SERIES,$AD$1162))</f>
        <v/>
      </c>
      <c r="BG1162">
        <f>IF($AD$1162=0,"",INDEX(tk_LOCK,$AD$1162))</f>
        <v/>
      </c>
      <c r="BH1162">
        <f>IF($AD$1162=0,"",INDEX(tk_LITEKIT,$AD$1162))</f>
        <v/>
      </c>
      <c r="BI1162">
        <f>IF($AD$1162=0,"",INDEX(tk_FACE,$AD$1162))</f>
        <v/>
      </c>
      <c r="BJ1162">
        <f>IF($AD$1162=0,"",INDEX(tk_HLEG,$AD$1162))</f>
        <v/>
      </c>
      <c r="BK1162">
        <f>IF($AD$1162=0,"",INDEX(tk_SOITEM,$AD$1162))</f>
        <v/>
      </c>
      <c r="BL1162">
        <f>IFERROR(VLOOKUP($AF$1162,CODES,2,FALSE),"")</f>
        <v/>
      </c>
      <c r="BM1162">
        <f>IF($AJ$1162="KD","C","M")</f>
        <v/>
      </c>
      <c r="BN1162">
        <f>IF(N($AR$1162)&lt;=80,80,IF(N($AR$1162)&lt;=84,84,IF(N($AR$1162)&lt;=96,96,N($AR$1162))))</f>
        <v/>
      </c>
      <c r="BO1162">
        <f>INT($BN$1162/12)&amp;MOD($BN$1162,12)</f>
        <v/>
      </c>
      <c r="BP1162">
        <f>INT(N($AQ$1162)/12)&amp;MOD(N($AQ$1162),12)</f>
        <v/>
      </c>
      <c r="BQ1162">
        <f>IF(OR($AU$1162="",$AU$1162="ANSI/SDI",$AU$1162="CUSTOM LOC"),IF($AV$1162="CU","CURRIES","STEELCRAFT"),$AU$1162)</f>
        <v/>
      </c>
      <c r="BR1162">
        <f>$AO$1162="Y"</f>
        <v/>
      </c>
      <c r="BS1162">
        <f>"~"</f>
        <v/>
      </c>
      <c r="BT1162">
        <f>$AE$1162*N($BA$1162)</f>
        <v/>
      </c>
      <c r="BU1162">
        <f>OR(LEFT($BD$1162,3)="OAK",LEFT($BD$1162,3)="BIR",LEFT($BD$1162,3)="MAP",$BD$1162="PC",$BD$1162="MC",$BD$1162="SCLC",$BD$1162="P-LAM")</f>
        <v/>
      </c>
      <c r="BV1162">
        <f>INT(N($AQ$1162)/MAX(1,N($BA$1162))/12)&amp;MOD(N($AQ$1162)/MAX(1,N($BA$1162)),12)</f>
        <v/>
      </c>
      <c r="BW1162">
        <f>IF(OR($BG$1162="G11",$BG$1162="G11A",$BG$1162="G12A"),"G2",IF(OR(LEFT($BG$1162,2)="G3",$BG$1162="G12"),"G3AEO",$BG$1162))</f>
        <v/>
      </c>
      <c r="BX1162">
        <f>"(Net size: "&amp;TRIM(TEXT(N($BB$1162),"# ?/??"))&amp;CHAR(34)&amp;" x "&amp;TRIM(TEXT(N($BC$1162),"# ?/??"))&amp;CHAR(34)&amp;")"</f>
        <v/>
      </c>
      <c r="BY1162">
        <f>IF(LEFT($BD$1162,3)="OAK","RED OAK",IF(LEFT($BD$1162,3)="BIR","BIRCH",IF(LEFT($BD$1162,3)="MAP","MAPLE","WOOD")))</f>
        <v/>
      </c>
      <c r="BZ1162">
        <f>IF(OR($AT$1162="U454",AND($AT$1162="",$AS$1162="U454")),"454","453")</f>
        <v/>
      </c>
      <c r="CA1162">
        <f>IF($AD$1162=0,"",IF($BU$1162,$BT$1162&amp;"|"&amp;$BV$1162&amp;$BO$1162&amp;" "&amp;$BY$1162&amp;" SLAB "&amp;IF(N($AN$1162)&gt;0,$AN$1162&amp;" MINUTE",IF(RIGHT($BD$1162,2)="MC","MC","SC")&amp;" WOOD DOOR")&amp;"|"&amp;$BX$1162&amp;"|"&amp;$BS$1162,$BT$1162&amp;"|"&amp;$BV$1162&amp;$BO$1162&amp;$BW$1162&amp;" BSC "&amp;$BQ$1162&amp;" DOOR "&amp;$BE$1162&amp;"Ga. Non-Handed "&amp;IF($BF$1162="","707",$BF$1162)&amp;"S Flush HM|"&amp;$BX$1162&amp;"|"&amp;$BS$1162)&amp;IF(N($AN$1162)&gt;0,$BT$1162&amp;"|"&amp;$AN$1162&amp;IF($BU$1162," MINUTE WARNOCK HERSHEY FIRE RATED WOOD LABEL"," MINUTE FOAM CORE STEEL DOOR LABEL (MODELS 607 &amp; 707)")&amp;"||"&amp;$BS$1162,"")&amp;IF(AND(NOT($BU$1162),OR($BG$1162="G11",$BG$1162="G11A",$BG$1162="G12",$BG$1162="G12A")),$AE$1162&amp;"|EXIT DEVICE PREP FOR HM DOOR||"&amp;$BS$1162,"")&amp;IF(AND(NOT($BU$1162),$BG$1162="G12"),$AE$1162&amp;"|DR 350 MORTISE LOCK FILLER PLATE||"&amp;$BS$1162,"")&amp;IF(AND(NOT($BU$1162),LEFT($BG$1162,2)="G3"),$AE$1162&amp;"|MORTISE LOCK PREP||"&amp;$BS$1162,"")&amp;IF($BU$1162,$BT$1162&amp;"|"&amp;IF($BG$1162="G18",$BZ$1162&amp;"-4 1/2"&amp;CHAR(34)&amp;"X4 1/2"&amp;CHAR(34)&amp;" HINGES ONLY PREP","HINGE PREP "&amp;$BZ$1162&amp;" WITH LOCK PREP")&amp;"|"&amp;$BQ$1162&amp;" LOC|"&amp;$BS$1162,"")&amp;IF(OR($BG$1162="G2G2",$BG$1162="G17",$BG$1162="E1E4"),$AE$1162&amp;"|"&amp;IF($BU$1162,"DDLP CYLINDRICAL DEADLOCK PREP","DOOR DEADLOCK PREP")&amp;"||"&amp;$BS$1162,"")&amp;IF(OR($BH$1162="FG",$BH$1162="HG",$BH$1162="FNV",$BH$1162="FV"),$BT$1162&amp;"|"&amp;$BI$1162&amp;" LITE KIT||"&amp;$BS$1162,IF($BH$1162="FL",$BT$1162&amp;"|"&amp;$BI$1162&amp;" LOUVER||"&amp;$BS$1162,IF($BH$1162="FP",$BT$1162&amp;"|DVP DOOR VIEWER PREP||"&amp;$BS$1162,"")))&amp;IF($BN$1162&gt;N($AR$1162),$BT$1162&amp;"|DCO DOOR CUT DOWN ONLY (HEIGHT)|Cut "&amp;TRIM(TEXT($BN$1162-N($AR$1162),"# ?/??"))&amp;CHAR(34)&amp;" OFF THE BOTTOM|"&amp;$BS$1162,""))</f>
        <v/>
      </c>
    </row>
    <row r="1163">
      <c r="B1163" s="180">
        <f>IF($AD1163="","",VALUE(LEFT($AD1163,FIND("|",$AD1163)-1)))</f>
        <v/>
      </c>
      <c r="C1163" s="180">
        <f>IF($AD1163="","","    "&amp;MID($AD1163,FIND("|",$AD1163)+1,FIND("|",$AD1163,FIND("|",$AD1163)+1)-FIND("|",$AD1163)-1))</f>
        <v/>
      </c>
      <c r="D1163" s="180">
        <f>IF($AD1163="","",MID($AD1163,FIND("|",$AD1163,FIND("|",$AD1163)+1)+1,FIND("|",$AD1163&amp;"|",FIND("|",$AD1163,FIND("|",$AD1163)+1)+1)-FIND("|",$AD1163,FIND("|",$AD1163)+1)-1))</f>
        <v/>
      </c>
      <c r="AD1163">
        <f>TRIM(MID(SUBSTITUTE($CA$1162,"~",REPT(" ",600)),1,600))</f>
        <v/>
      </c>
    </row>
    <row r="1164">
      <c r="B1164" s="180">
        <f>IF($AD1164="","",VALUE(LEFT($AD1164,FIND("|",$AD1164)-1)))</f>
        <v/>
      </c>
      <c r="C1164" s="180">
        <f>IF($AD1164="","","    "&amp;MID($AD1164,FIND("|",$AD1164)+1,FIND("|",$AD1164,FIND("|",$AD1164)+1)-FIND("|",$AD1164)-1))</f>
        <v/>
      </c>
      <c r="D1164" s="180">
        <f>IF($AD1164="","",MID($AD1164,FIND("|",$AD1164,FIND("|",$AD1164)+1)+1,FIND("|",$AD1164&amp;"|",FIND("|",$AD1164,FIND("|",$AD1164)+1)+1)-FIND("|",$AD1164,FIND("|",$AD1164)+1)-1))</f>
        <v/>
      </c>
      <c r="AD1164">
        <f>TRIM(MID(SUBSTITUTE($CA$1162,"~",REPT(" ",600)),601,600))</f>
        <v/>
      </c>
    </row>
    <row r="1165">
      <c r="B1165" s="180">
        <f>IF($AD1165="","",VALUE(LEFT($AD1165,FIND("|",$AD1165)-1)))</f>
        <v/>
      </c>
      <c r="C1165" s="180">
        <f>IF($AD1165="","","    "&amp;MID($AD1165,FIND("|",$AD1165)+1,FIND("|",$AD1165,FIND("|",$AD1165)+1)-FIND("|",$AD1165)-1))</f>
        <v/>
      </c>
      <c r="D1165" s="180">
        <f>IF($AD1165="","",MID($AD1165,FIND("|",$AD1165,FIND("|",$AD1165)+1)+1,FIND("|",$AD1165&amp;"|",FIND("|",$AD1165,FIND("|",$AD1165)+1)+1)-FIND("|",$AD1165,FIND("|",$AD1165)+1)-1))</f>
        <v/>
      </c>
      <c r="AD1165">
        <f>TRIM(MID(SUBSTITUTE($CA$1162,"~",REPT(" ",600)),1201,600))</f>
        <v/>
      </c>
    </row>
    <row r="1166">
      <c r="B1166" s="180">
        <f>IF($AD1166="","",VALUE(LEFT($AD1166,FIND("|",$AD1166)-1)))</f>
        <v/>
      </c>
      <c r="C1166" s="180">
        <f>IF($AD1166="","","    "&amp;MID($AD1166,FIND("|",$AD1166)+1,FIND("|",$AD1166,FIND("|",$AD1166)+1)-FIND("|",$AD1166)-1))</f>
        <v/>
      </c>
      <c r="D1166" s="180">
        <f>IF($AD1166="","",MID($AD1166,FIND("|",$AD1166,FIND("|",$AD1166)+1)+1,FIND("|",$AD1166&amp;"|",FIND("|",$AD1166,FIND("|",$AD1166)+1)+1)-FIND("|",$AD1166,FIND("|",$AD1166)+1)-1))</f>
        <v/>
      </c>
      <c r="AD1166">
        <f>TRIM(MID(SUBSTITUTE($CA$1162,"~",REPT(" ",600)),1801,600))</f>
        <v/>
      </c>
    </row>
    <row r="1167">
      <c r="B1167" s="180">
        <f>IF($AD1167="","",VALUE(LEFT($AD1167,FIND("|",$AD1167)-1)))</f>
        <v/>
      </c>
      <c r="C1167" s="180">
        <f>IF($AD1167="","","    "&amp;MID($AD1167,FIND("|",$AD1167)+1,FIND("|",$AD1167,FIND("|",$AD1167)+1)-FIND("|",$AD1167)-1))</f>
        <v/>
      </c>
      <c r="D1167" s="180">
        <f>IF($AD1167="","",MID($AD1167,FIND("|",$AD1167,FIND("|",$AD1167)+1)+1,FIND("|",$AD1167&amp;"|",FIND("|",$AD1167,FIND("|",$AD1167)+1)+1)-FIND("|",$AD1167,FIND("|",$AD1167)+1)-1))</f>
        <v/>
      </c>
      <c r="AD1167">
        <f>TRIM(MID(SUBSTITUTE($CA$1162,"~",REPT(" ",600)),2401,600))</f>
        <v/>
      </c>
    </row>
    <row r="1168">
      <c r="B1168" s="180">
        <f>IF($AD1168="","",VALUE(LEFT($AD1168,FIND("|",$AD1168)-1)))</f>
        <v/>
      </c>
      <c r="C1168" s="180">
        <f>IF($AD1168="","","    "&amp;MID($AD1168,FIND("|",$AD1168)+1,FIND("|",$AD1168,FIND("|",$AD1168)+1)-FIND("|",$AD1168)-1))</f>
        <v/>
      </c>
      <c r="D1168" s="180">
        <f>IF($AD1168="","",MID($AD1168,FIND("|",$AD1168,FIND("|",$AD1168)+1)+1,FIND("|",$AD1168&amp;"|",FIND("|",$AD1168,FIND("|",$AD1168)+1)+1)-FIND("|",$AD1168,FIND("|",$AD1168)+1)-1))</f>
        <v/>
      </c>
      <c r="AD1168">
        <f>TRIM(MID(SUBSTITUTE($CA$1162,"~",REPT(" ",600)),3001,600))</f>
        <v/>
      </c>
    </row>
    <row r="1169">
      <c r="B1169" s="180">
        <f>IF($AD1169="","",VALUE(LEFT($AD1169,FIND("|",$AD1169)-1)))</f>
        <v/>
      </c>
      <c r="C1169" s="180">
        <f>IF($AD1169="","","    "&amp;MID($AD1169,FIND("|",$AD1169)+1,FIND("|",$AD1169,FIND("|",$AD1169)+1)-FIND("|",$AD1169)-1))</f>
        <v/>
      </c>
      <c r="D1169" s="180">
        <f>IF($AD1169="","",MID($AD1169,FIND("|",$AD1169,FIND("|",$AD1169)+1)+1,FIND("|",$AD1169&amp;"|",FIND("|",$AD1169,FIND("|",$AD1169)+1)+1)-FIND("|",$AD1169,FIND("|",$AD1169)+1)-1))</f>
        <v/>
      </c>
      <c r="AD1169">
        <f>TRIM(MID(SUBSTITUTE($CA$1162,"~",REPT(" ",600)),3601,600))</f>
        <v/>
      </c>
    </row>
    <row r="1170">
      <c r="B1170" s="180">
        <f>IF($AD1170="","",VALUE(LEFT($AD1170,FIND("|",$AD1170)-1)))</f>
        <v/>
      </c>
      <c r="C1170" s="180">
        <f>IF($AD1170="","","    "&amp;MID($AD1170,FIND("|",$AD1170)+1,FIND("|",$AD1170,FIND("|",$AD1170)+1)-FIND("|",$AD1170)-1))</f>
        <v/>
      </c>
      <c r="D1170" s="180">
        <f>IF($AD1170="","",MID($AD1170,FIND("|",$AD1170,FIND("|",$AD1170)+1)+1,FIND("|",$AD1170&amp;"|",FIND("|",$AD1170,FIND("|",$AD1170)+1)+1)-FIND("|",$AD1170,FIND("|",$AD1170)+1)-1))</f>
        <v/>
      </c>
      <c r="AD1170">
        <f>TRIM(MID(SUBSTITUTE($CA$1162,"~",REPT(" ",600)),4201,600))</f>
        <v/>
      </c>
    </row>
    <row r="1171">
      <c r="B1171" s="180">
        <f>IF($AD1171="","",VALUE(LEFT($AD1171,FIND("|",$AD1171)-1)))</f>
        <v/>
      </c>
      <c r="C1171" s="180">
        <f>IF($AD1171="","","    "&amp;MID($AD1171,FIND("|",$AD1171)+1,FIND("|",$AD1171,FIND("|",$AD1171)+1)-FIND("|",$AD1171)-1))</f>
        <v/>
      </c>
      <c r="D1171" s="180">
        <f>IF($AD1171="","",MID($AD1171,FIND("|",$AD1171,FIND("|",$AD1171)+1)+1,FIND("|",$AD1171&amp;"|",FIND("|",$AD1171,FIND("|",$AD1171)+1)+1)-FIND("|",$AD1171,FIND("|",$AD1171)+1)-1))</f>
        <v/>
      </c>
      <c r="AD1171">
        <f>TRIM(MID(SUBSTITUTE($CA$1162,"~",REPT(" ",600)),4801,600))</f>
        <v/>
      </c>
    </row>
    <row r="1172">
      <c r="B1172" s="180">
        <f>IF($AD1172="","",VALUE(LEFT($AD1172,FIND("|",$AD1172)-1)))</f>
        <v/>
      </c>
      <c r="C1172" s="180">
        <f>IF($AD1172="","","    "&amp;MID($AD1172,FIND("|",$AD1172)+1,FIND("|",$AD1172,FIND("|",$AD1172)+1)-FIND("|",$AD1172)-1))</f>
        <v/>
      </c>
      <c r="D1172" s="180">
        <f>IF($AD1172="","",MID($AD1172,FIND("|",$AD1172,FIND("|",$AD1172)+1)+1,FIND("|",$AD1172&amp;"|",FIND("|",$AD1172,FIND("|",$AD1172)+1)+1)-FIND("|",$AD1172,FIND("|",$AD1172)+1)-1))</f>
        <v/>
      </c>
      <c r="AD1172">
        <f>TRIM(MID(SUBSTITUTE($CA$1162,"~",REPT(" ",600)),5401,600))</f>
        <v/>
      </c>
    </row>
    <row r="1173">
      <c r="B1173" s="180">
        <f>IF($AD1173="","",VALUE(LEFT($AD1173,FIND("|",$AD1173)-1)))</f>
        <v/>
      </c>
      <c r="C1173" s="180">
        <f>IF($AD1173="","","    "&amp;MID($AD1173,FIND("|",$AD1173)+1,FIND("|",$AD1173,FIND("|",$AD1173)+1)-FIND("|",$AD1173)-1))</f>
        <v/>
      </c>
      <c r="D1173" s="180">
        <f>IF($AD1173="","",MID($AD1173,FIND("|",$AD1173,FIND("|",$AD1173)+1)+1,FIND("|",$AD1173&amp;"|",FIND("|",$AD1173,FIND("|",$AD1173)+1)+1)-FIND("|",$AD1173,FIND("|",$AD1173)+1)-1))</f>
        <v/>
      </c>
      <c r="AD1173">
        <f>TRIM(MID(SUBSTITUTE($CA$1162,"~",REPT(" ",600)),6001,600))</f>
        <v/>
      </c>
    </row>
    <row r="1174">
      <c r="A1174" s="178">
        <f>IF($AD$1174=0,"",$BK$1174)</f>
        <v/>
      </c>
      <c r="B1174" s="178">
        <f>IF($AD$1174=0,"",$AE$1174*N($BA$1174))</f>
        <v/>
      </c>
      <c r="C1174" s="178">
        <f>IF($AD$1174=0,"",$AE$1174*N($BA$1174)&amp;") "&amp;IF(COUNTIFS(tk_SODG,38,tk_HLEG,"&lt;&gt;"&amp;$BJ$1174)=0,INDEX(tk_DLINE,$AD$1174),INDEX(tk_DLINEN,$AD$1174)))</f>
        <v/>
      </c>
      <c r="D1174" s="178" t="n"/>
      <c r="E1174" s="179">
        <f t="array" ref="E1174">IF($AD$1174=0,"",_xlfn.TEXTJOIN(", ",TRUE,IF(tk_SODG=38,"#"&amp;tk_MARK&amp;IF(tk_HLEG="","","("&amp;tk_HLEG&amp;")")&amp;IF(tk_QTY&gt;1," ×"&amp;tk_QTY,""),"")))</f>
        <v/>
      </c>
      <c r="AD1174">
        <f>IFERROR(MATCH(38,tk_SODG,0),0)</f>
        <v/>
      </c>
      <c r="AE1174">
        <f>IF($AD$1174=0,0,SUMIF(tk_SODG,38,tk_QTY))</f>
        <v/>
      </c>
      <c r="AF1174">
        <f>IF($AD$1174=0,"",INDEX(tk_JAMB,$AD$1174))</f>
        <v/>
      </c>
      <c r="AG1174">
        <f>IF($AD$1174=0,"",INDEX(tk_ANCHOR,$AD$1174))</f>
        <v/>
      </c>
      <c r="AH1174">
        <f>IF($AD$1174=0,"",INDEX(tk_ANCH,$AD$1174))</f>
        <v/>
      </c>
      <c r="AI1174">
        <f>IF($AD$1174=0,"",INDEX(tk_BASEA,$AD$1174))</f>
        <v/>
      </c>
      <c r="AJ1174">
        <f>IF($AD$1174=0,"",INDEX(tk_CONSTR,$AD$1174))</f>
        <v/>
      </c>
      <c r="AK1174">
        <f>IF($AD$1174=0,"",INDEX(tk_CLOSER,$AD$1174))</f>
        <v/>
      </c>
      <c r="AL1174">
        <f>IF($AD$1174=0,"",INDEX(tk_STRIKE,$AD$1174))</f>
        <v/>
      </c>
      <c r="AM1174">
        <f>IF($AD$1174=0,"",INDEX(tk_HDRPREP,$AD$1174))</f>
        <v/>
      </c>
      <c r="AN1174">
        <f>IF($AD$1174=0,"",INDEX(tk_DMIN,$AD$1174))</f>
        <v/>
      </c>
      <c r="AO1174">
        <f>IF($AD$1174=0,"",INDEX(tk_PAIR,$AD$1174))</f>
        <v/>
      </c>
      <c r="AP1174">
        <f>IF($AD$1174=0,"",INDEX(tk_FGA,$AD$1174))</f>
        <v/>
      </c>
      <c r="AQ1174">
        <f>IF($AD$1174=0,"",INDEX(tk_WI,$AD$1174))</f>
        <v/>
      </c>
      <c r="AR1174">
        <f>IF($AD$1174=0,"",INDEX(tk_HI,$AD$1174))</f>
        <v/>
      </c>
      <c r="AS1174">
        <f>IF($AD$1174=0,"",INDEX(tk_FHINGE,$AD$1174))</f>
        <v/>
      </c>
      <c r="AT1174">
        <f>IF($AD$1174=0,"",INDEX(tk_DHINGE,$AD$1174))</f>
        <v/>
      </c>
      <c r="AU1174">
        <f>IF($AD$1174=0,"",INDEX(tk_HWLOC,$AD$1174))</f>
        <v/>
      </c>
      <c r="AV1174">
        <f>IF($AD$1174=0,"",INDEX(tk_MANUF,$AD$1174))</f>
        <v/>
      </c>
      <c r="AW1174">
        <f>IF($AD$1174=0,"",INDEX(tk_JH,$AD$1174))</f>
        <v/>
      </c>
      <c r="AX1174">
        <f>IF($AD$1174=0,"",INDEX(tk_FDESC,$AD$1174))</f>
        <v/>
      </c>
      <c r="AY1174">
        <f>IF($AD$1174=0,"",INDEX(tk_TRANS,$AD$1174))</f>
        <v/>
      </c>
      <c r="AZ1174">
        <f>IF($AD$1174=0,"",INDEX(tk_SLW,$AD$1174))</f>
        <v/>
      </c>
      <c r="BA1174">
        <f>IF($AD$1174=0,"",INDEX(tk_LEAVES,$AD$1174))</f>
        <v/>
      </c>
      <c r="BB1174">
        <f>IF($AD$1174=0,"",INDEX(tk_LEAFW,$AD$1174))</f>
        <v/>
      </c>
      <c r="BC1174">
        <f>IF($AD$1174=0,"",INDEX(tk_LEAFH,$AD$1174))</f>
        <v/>
      </c>
      <c r="BD1174">
        <f>IF($AD$1174=0,"",INDEX(tk_DMAT,$AD$1174))</f>
        <v/>
      </c>
      <c r="BE1174">
        <f>IF($AD$1174=0,"",INDEX(tk_DGA,$AD$1174))</f>
        <v/>
      </c>
      <c r="BF1174">
        <f>IF($AD$1174=0,"",INDEX(tk_SERIES,$AD$1174))</f>
        <v/>
      </c>
      <c r="BG1174">
        <f>IF($AD$1174=0,"",INDEX(tk_LOCK,$AD$1174))</f>
        <v/>
      </c>
      <c r="BH1174">
        <f>IF($AD$1174=0,"",INDEX(tk_LITEKIT,$AD$1174))</f>
        <v/>
      </c>
      <c r="BI1174">
        <f>IF($AD$1174=0,"",INDEX(tk_FACE,$AD$1174))</f>
        <v/>
      </c>
      <c r="BJ1174">
        <f>IF($AD$1174=0,"",INDEX(tk_HLEG,$AD$1174))</f>
        <v/>
      </c>
      <c r="BK1174">
        <f>IF($AD$1174=0,"",INDEX(tk_SOITEM,$AD$1174))</f>
        <v/>
      </c>
      <c r="BL1174">
        <f>IFERROR(VLOOKUP($AF$1174,CODES,2,FALSE),"")</f>
        <v/>
      </c>
      <c r="BM1174">
        <f>IF($AJ$1174="KD","C","M")</f>
        <v/>
      </c>
      <c r="BN1174">
        <f>IF(N($AR$1174)&lt;=80,80,IF(N($AR$1174)&lt;=84,84,IF(N($AR$1174)&lt;=96,96,N($AR$1174))))</f>
        <v/>
      </c>
      <c r="BO1174">
        <f>INT($BN$1174/12)&amp;MOD($BN$1174,12)</f>
        <v/>
      </c>
      <c r="BP1174">
        <f>INT(N($AQ$1174)/12)&amp;MOD(N($AQ$1174),12)</f>
        <v/>
      </c>
      <c r="BQ1174">
        <f>IF(OR($AU$1174="",$AU$1174="ANSI/SDI",$AU$1174="CUSTOM LOC"),IF($AV$1174="CU","CURRIES","STEELCRAFT"),$AU$1174)</f>
        <v/>
      </c>
      <c r="BR1174">
        <f>$AO$1174="Y"</f>
        <v/>
      </c>
      <c r="BS1174">
        <f>"~"</f>
        <v/>
      </c>
      <c r="BT1174">
        <f>$AE$1174*N($BA$1174)</f>
        <v/>
      </c>
      <c r="BU1174">
        <f>OR(LEFT($BD$1174,3)="OAK",LEFT($BD$1174,3)="BIR",LEFT($BD$1174,3)="MAP",$BD$1174="PC",$BD$1174="MC",$BD$1174="SCLC",$BD$1174="P-LAM")</f>
        <v/>
      </c>
      <c r="BV1174">
        <f>INT(N($AQ$1174)/MAX(1,N($BA$1174))/12)&amp;MOD(N($AQ$1174)/MAX(1,N($BA$1174)),12)</f>
        <v/>
      </c>
      <c r="BW1174">
        <f>IF(OR($BG$1174="G11",$BG$1174="G11A",$BG$1174="G12A"),"G2",IF(OR(LEFT($BG$1174,2)="G3",$BG$1174="G12"),"G3AEO",$BG$1174))</f>
        <v/>
      </c>
      <c r="BX1174">
        <f>"(Net size: "&amp;TRIM(TEXT(N($BB$1174),"# ?/??"))&amp;CHAR(34)&amp;" x "&amp;TRIM(TEXT(N($BC$1174),"# ?/??"))&amp;CHAR(34)&amp;")"</f>
        <v/>
      </c>
      <c r="BY1174">
        <f>IF(LEFT($BD$1174,3)="OAK","RED OAK",IF(LEFT($BD$1174,3)="BIR","BIRCH",IF(LEFT($BD$1174,3)="MAP","MAPLE","WOOD")))</f>
        <v/>
      </c>
      <c r="BZ1174">
        <f>IF(OR($AT$1174="U454",AND($AT$1174="",$AS$1174="U454")),"454","453")</f>
        <v/>
      </c>
      <c r="CA1174">
        <f>IF($AD$1174=0,"",IF($BU$1174,$BT$1174&amp;"|"&amp;$BV$1174&amp;$BO$1174&amp;" "&amp;$BY$1174&amp;" SLAB "&amp;IF(N($AN$1174)&gt;0,$AN$1174&amp;" MINUTE",IF(RIGHT($BD$1174,2)="MC","MC","SC")&amp;" WOOD DOOR")&amp;"|"&amp;$BX$1174&amp;"|"&amp;$BS$1174,$BT$1174&amp;"|"&amp;$BV$1174&amp;$BO$1174&amp;$BW$1174&amp;" BSC "&amp;$BQ$1174&amp;" DOOR "&amp;$BE$1174&amp;"Ga. Non-Handed "&amp;IF($BF$1174="","707",$BF$1174)&amp;"S Flush HM|"&amp;$BX$1174&amp;"|"&amp;$BS$1174)&amp;IF(N($AN$1174)&gt;0,$BT$1174&amp;"|"&amp;$AN$1174&amp;IF($BU$1174," MINUTE WARNOCK HERSHEY FIRE RATED WOOD LABEL"," MINUTE FOAM CORE STEEL DOOR LABEL (MODELS 607 &amp; 707)")&amp;"||"&amp;$BS$1174,"")&amp;IF(AND(NOT($BU$1174),OR($BG$1174="G11",$BG$1174="G11A",$BG$1174="G12",$BG$1174="G12A")),$AE$1174&amp;"|EXIT DEVICE PREP FOR HM DOOR||"&amp;$BS$1174,"")&amp;IF(AND(NOT($BU$1174),$BG$1174="G12"),$AE$1174&amp;"|DR 350 MORTISE LOCK FILLER PLATE||"&amp;$BS$1174,"")&amp;IF(AND(NOT($BU$1174),LEFT($BG$1174,2)="G3"),$AE$1174&amp;"|MORTISE LOCK PREP||"&amp;$BS$1174,"")&amp;IF($BU$1174,$BT$1174&amp;"|"&amp;IF($BG$1174="G18",$BZ$1174&amp;"-4 1/2"&amp;CHAR(34)&amp;"X4 1/2"&amp;CHAR(34)&amp;" HINGES ONLY PREP","HINGE PREP "&amp;$BZ$1174&amp;" WITH LOCK PREP")&amp;"|"&amp;$BQ$1174&amp;" LOC|"&amp;$BS$1174,"")&amp;IF(OR($BG$1174="G2G2",$BG$1174="G17",$BG$1174="E1E4"),$AE$1174&amp;"|"&amp;IF($BU$1174,"DDLP CYLINDRICAL DEADLOCK PREP","DOOR DEADLOCK PREP")&amp;"||"&amp;$BS$1174,"")&amp;IF(OR($BH$1174="FG",$BH$1174="HG",$BH$1174="FNV",$BH$1174="FV"),$BT$1174&amp;"|"&amp;$BI$1174&amp;" LITE KIT||"&amp;$BS$1174,IF($BH$1174="FL",$BT$1174&amp;"|"&amp;$BI$1174&amp;" LOUVER||"&amp;$BS$1174,IF($BH$1174="FP",$BT$1174&amp;"|DVP DOOR VIEWER PREP||"&amp;$BS$1174,"")))&amp;IF($BN$1174&gt;N($AR$1174),$BT$1174&amp;"|DCO DOOR CUT DOWN ONLY (HEIGHT)|Cut "&amp;TRIM(TEXT($BN$1174-N($AR$1174),"# ?/??"))&amp;CHAR(34)&amp;" OFF THE BOTTOM|"&amp;$BS$1174,""))</f>
        <v/>
      </c>
    </row>
    <row r="1175">
      <c r="B1175" s="180">
        <f>IF($AD1175="","",VALUE(LEFT($AD1175,FIND("|",$AD1175)-1)))</f>
        <v/>
      </c>
      <c r="C1175" s="180">
        <f>IF($AD1175="","","    "&amp;MID($AD1175,FIND("|",$AD1175)+1,FIND("|",$AD1175,FIND("|",$AD1175)+1)-FIND("|",$AD1175)-1))</f>
        <v/>
      </c>
      <c r="D1175" s="180">
        <f>IF($AD1175="","",MID($AD1175,FIND("|",$AD1175,FIND("|",$AD1175)+1)+1,FIND("|",$AD1175&amp;"|",FIND("|",$AD1175,FIND("|",$AD1175)+1)+1)-FIND("|",$AD1175,FIND("|",$AD1175)+1)-1))</f>
        <v/>
      </c>
      <c r="AD1175">
        <f>TRIM(MID(SUBSTITUTE($CA$1174,"~",REPT(" ",600)),1,600))</f>
        <v/>
      </c>
    </row>
    <row r="1176">
      <c r="B1176" s="180">
        <f>IF($AD1176="","",VALUE(LEFT($AD1176,FIND("|",$AD1176)-1)))</f>
        <v/>
      </c>
      <c r="C1176" s="180">
        <f>IF($AD1176="","","    "&amp;MID($AD1176,FIND("|",$AD1176)+1,FIND("|",$AD1176,FIND("|",$AD1176)+1)-FIND("|",$AD1176)-1))</f>
        <v/>
      </c>
      <c r="D1176" s="180">
        <f>IF($AD1176="","",MID($AD1176,FIND("|",$AD1176,FIND("|",$AD1176)+1)+1,FIND("|",$AD1176&amp;"|",FIND("|",$AD1176,FIND("|",$AD1176)+1)+1)-FIND("|",$AD1176,FIND("|",$AD1176)+1)-1))</f>
        <v/>
      </c>
      <c r="AD1176">
        <f>TRIM(MID(SUBSTITUTE($CA$1174,"~",REPT(" ",600)),601,600))</f>
        <v/>
      </c>
    </row>
    <row r="1177">
      <c r="B1177" s="180">
        <f>IF($AD1177="","",VALUE(LEFT($AD1177,FIND("|",$AD1177)-1)))</f>
        <v/>
      </c>
      <c r="C1177" s="180">
        <f>IF($AD1177="","","    "&amp;MID($AD1177,FIND("|",$AD1177)+1,FIND("|",$AD1177,FIND("|",$AD1177)+1)-FIND("|",$AD1177)-1))</f>
        <v/>
      </c>
      <c r="D1177" s="180">
        <f>IF($AD1177="","",MID($AD1177,FIND("|",$AD1177,FIND("|",$AD1177)+1)+1,FIND("|",$AD1177&amp;"|",FIND("|",$AD1177,FIND("|",$AD1177)+1)+1)-FIND("|",$AD1177,FIND("|",$AD1177)+1)-1))</f>
        <v/>
      </c>
      <c r="AD1177">
        <f>TRIM(MID(SUBSTITUTE($CA$1174,"~",REPT(" ",600)),1201,600))</f>
        <v/>
      </c>
    </row>
    <row r="1178">
      <c r="B1178" s="180">
        <f>IF($AD1178="","",VALUE(LEFT($AD1178,FIND("|",$AD1178)-1)))</f>
        <v/>
      </c>
      <c r="C1178" s="180">
        <f>IF($AD1178="","","    "&amp;MID($AD1178,FIND("|",$AD1178)+1,FIND("|",$AD1178,FIND("|",$AD1178)+1)-FIND("|",$AD1178)-1))</f>
        <v/>
      </c>
      <c r="D1178" s="180">
        <f>IF($AD1178="","",MID($AD1178,FIND("|",$AD1178,FIND("|",$AD1178)+1)+1,FIND("|",$AD1178&amp;"|",FIND("|",$AD1178,FIND("|",$AD1178)+1)+1)-FIND("|",$AD1178,FIND("|",$AD1178)+1)-1))</f>
        <v/>
      </c>
      <c r="AD1178">
        <f>TRIM(MID(SUBSTITUTE($CA$1174,"~",REPT(" ",600)),1801,600))</f>
        <v/>
      </c>
    </row>
    <row r="1179">
      <c r="B1179" s="180">
        <f>IF($AD1179="","",VALUE(LEFT($AD1179,FIND("|",$AD1179)-1)))</f>
        <v/>
      </c>
      <c r="C1179" s="180">
        <f>IF($AD1179="","","    "&amp;MID($AD1179,FIND("|",$AD1179)+1,FIND("|",$AD1179,FIND("|",$AD1179)+1)-FIND("|",$AD1179)-1))</f>
        <v/>
      </c>
      <c r="D1179" s="180">
        <f>IF($AD1179="","",MID($AD1179,FIND("|",$AD1179,FIND("|",$AD1179)+1)+1,FIND("|",$AD1179&amp;"|",FIND("|",$AD1179,FIND("|",$AD1179)+1)+1)-FIND("|",$AD1179,FIND("|",$AD1179)+1)-1))</f>
        <v/>
      </c>
      <c r="AD1179">
        <f>TRIM(MID(SUBSTITUTE($CA$1174,"~",REPT(" ",600)),2401,600))</f>
        <v/>
      </c>
    </row>
    <row r="1180">
      <c r="B1180" s="180">
        <f>IF($AD1180="","",VALUE(LEFT($AD1180,FIND("|",$AD1180)-1)))</f>
        <v/>
      </c>
      <c r="C1180" s="180">
        <f>IF($AD1180="","","    "&amp;MID($AD1180,FIND("|",$AD1180)+1,FIND("|",$AD1180,FIND("|",$AD1180)+1)-FIND("|",$AD1180)-1))</f>
        <v/>
      </c>
      <c r="D1180" s="180">
        <f>IF($AD1180="","",MID($AD1180,FIND("|",$AD1180,FIND("|",$AD1180)+1)+1,FIND("|",$AD1180&amp;"|",FIND("|",$AD1180,FIND("|",$AD1180)+1)+1)-FIND("|",$AD1180,FIND("|",$AD1180)+1)-1))</f>
        <v/>
      </c>
      <c r="AD1180">
        <f>TRIM(MID(SUBSTITUTE($CA$1174,"~",REPT(" ",600)),3001,600))</f>
        <v/>
      </c>
    </row>
    <row r="1181">
      <c r="B1181" s="180">
        <f>IF($AD1181="","",VALUE(LEFT($AD1181,FIND("|",$AD1181)-1)))</f>
        <v/>
      </c>
      <c r="C1181" s="180">
        <f>IF($AD1181="","","    "&amp;MID($AD1181,FIND("|",$AD1181)+1,FIND("|",$AD1181,FIND("|",$AD1181)+1)-FIND("|",$AD1181)-1))</f>
        <v/>
      </c>
      <c r="D1181" s="180">
        <f>IF($AD1181="","",MID($AD1181,FIND("|",$AD1181,FIND("|",$AD1181)+1)+1,FIND("|",$AD1181&amp;"|",FIND("|",$AD1181,FIND("|",$AD1181)+1)+1)-FIND("|",$AD1181,FIND("|",$AD1181)+1)-1))</f>
        <v/>
      </c>
      <c r="AD1181">
        <f>TRIM(MID(SUBSTITUTE($CA$1174,"~",REPT(" ",600)),3601,600))</f>
        <v/>
      </c>
    </row>
    <row r="1182">
      <c r="B1182" s="180">
        <f>IF($AD1182="","",VALUE(LEFT($AD1182,FIND("|",$AD1182)-1)))</f>
        <v/>
      </c>
      <c r="C1182" s="180">
        <f>IF($AD1182="","","    "&amp;MID($AD1182,FIND("|",$AD1182)+1,FIND("|",$AD1182,FIND("|",$AD1182)+1)-FIND("|",$AD1182)-1))</f>
        <v/>
      </c>
      <c r="D1182" s="180">
        <f>IF($AD1182="","",MID($AD1182,FIND("|",$AD1182,FIND("|",$AD1182)+1)+1,FIND("|",$AD1182&amp;"|",FIND("|",$AD1182,FIND("|",$AD1182)+1)+1)-FIND("|",$AD1182,FIND("|",$AD1182)+1)-1))</f>
        <v/>
      </c>
      <c r="AD1182">
        <f>TRIM(MID(SUBSTITUTE($CA$1174,"~",REPT(" ",600)),4201,600))</f>
        <v/>
      </c>
    </row>
    <row r="1183">
      <c r="B1183" s="180">
        <f>IF($AD1183="","",VALUE(LEFT($AD1183,FIND("|",$AD1183)-1)))</f>
        <v/>
      </c>
      <c r="C1183" s="180">
        <f>IF($AD1183="","","    "&amp;MID($AD1183,FIND("|",$AD1183)+1,FIND("|",$AD1183,FIND("|",$AD1183)+1)-FIND("|",$AD1183)-1))</f>
        <v/>
      </c>
      <c r="D1183" s="180">
        <f>IF($AD1183="","",MID($AD1183,FIND("|",$AD1183,FIND("|",$AD1183)+1)+1,FIND("|",$AD1183&amp;"|",FIND("|",$AD1183,FIND("|",$AD1183)+1)+1)-FIND("|",$AD1183,FIND("|",$AD1183)+1)-1))</f>
        <v/>
      </c>
      <c r="AD1183">
        <f>TRIM(MID(SUBSTITUTE($CA$1174,"~",REPT(" ",600)),4801,600))</f>
        <v/>
      </c>
    </row>
    <row r="1184">
      <c r="B1184" s="180">
        <f>IF($AD1184="","",VALUE(LEFT($AD1184,FIND("|",$AD1184)-1)))</f>
        <v/>
      </c>
      <c r="C1184" s="180">
        <f>IF($AD1184="","","    "&amp;MID($AD1184,FIND("|",$AD1184)+1,FIND("|",$AD1184,FIND("|",$AD1184)+1)-FIND("|",$AD1184)-1))</f>
        <v/>
      </c>
      <c r="D1184" s="180">
        <f>IF($AD1184="","",MID($AD1184,FIND("|",$AD1184,FIND("|",$AD1184)+1)+1,FIND("|",$AD1184&amp;"|",FIND("|",$AD1184,FIND("|",$AD1184)+1)+1)-FIND("|",$AD1184,FIND("|",$AD1184)+1)-1))</f>
        <v/>
      </c>
      <c r="AD1184">
        <f>TRIM(MID(SUBSTITUTE($CA$1174,"~",REPT(" ",600)),5401,600))</f>
        <v/>
      </c>
    </row>
    <row r="1185">
      <c r="B1185" s="180">
        <f>IF($AD1185="","",VALUE(LEFT($AD1185,FIND("|",$AD1185)-1)))</f>
        <v/>
      </c>
      <c r="C1185" s="180">
        <f>IF($AD1185="","","    "&amp;MID($AD1185,FIND("|",$AD1185)+1,FIND("|",$AD1185,FIND("|",$AD1185)+1)-FIND("|",$AD1185)-1))</f>
        <v/>
      </c>
      <c r="D1185" s="180">
        <f>IF($AD1185="","",MID($AD1185,FIND("|",$AD1185,FIND("|",$AD1185)+1)+1,FIND("|",$AD1185&amp;"|",FIND("|",$AD1185,FIND("|",$AD1185)+1)+1)-FIND("|",$AD1185,FIND("|",$AD1185)+1)-1))</f>
        <v/>
      </c>
      <c r="AD1185">
        <f>TRIM(MID(SUBSTITUTE($CA$1174,"~",REPT(" ",600)),6001,600))</f>
        <v/>
      </c>
    </row>
    <row r="1186">
      <c r="A1186" s="178">
        <f>IF($AD$1186=0,"",$BK$1186)</f>
        <v/>
      </c>
      <c r="B1186" s="178">
        <f>IF($AD$1186=0,"",$AE$1186*N($BA$1186))</f>
        <v/>
      </c>
      <c r="C1186" s="178">
        <f>IF($AD$1186=0,"",$AE$1186*N($BA$1186)&amp;") "&amp;IF(COUNTIFS(tk_SODG,39,tk_HLEG,"&lt;&gt;"&amp;$BJ$1186)=0,INDEX(tk_DLINE,$AD$1186),INDEX(tk_DLINEN,$AD$1186)))</f>
        <v/>
      </c>
      <c r="D1186" s="178" t="n"/>
      <c r="E1186" s="179">
        <f t="array" ref="E1186">IF($AD$1186=0,"",_xlfn.TEXTJOIN(", ",TRUE,IF(tk_SODG=39,"#"&amp;tk_MARK&amp;IF(tk_HLEG="","","("&amp;tk_HLEG&amp;")")&amp;IF(tk_QTY&gt;1," ×"&amp;tk_QTY,""),"")))</f>
        <v/>
      </c>
      <c r="AD1186">
        <f>IFERROR(MATCH(39,tk_SODG,0),0)</f>
        <v/>
      </c>
      <c r="AE1186">
        <f>IF($AD$1186=0,0,SUMIF(tk_SODG,39,tk_QTY))</f>
        <v/>
      </c>
      <c r="AF1186">
        <f>IF($AD$1186=0,"",INDEX(tk_JAMB,$AD$1186))</f>
        <v/>
      </c>
      <c r="AG1186">
        <f>IF($AD$1186=0,"",INDEX(tk_ANCHOR,$AD$1186))</f>
        <v/>
      </c>
      <c r="AH1186">
        <f>IF($AD$1186=0,"",INDEX(tk_ANCH,$AD$1186))</f>
        <v/>
      </c>
      <c r="AI1186">
        <f>IF($AD$1186=0,"",INDEX(tk_BASEA,$AD$1186))</f>
        <v/>
      </c>
      <c r="AJ1186">
        <f>IF($AD$1186=0,"",INDEX(tk_CONSTR,$AD$1186))</f>
        <v/>
      </c>
      <c r="AK1186">
        <f>IF($AD$1186=0,"",INDEX(tk_CLOSER,$AD$1186))</f>
        <v/>
      </c>
      <c r="AL1186">
        <f>IF($AD$1186=0,"",INDEX(tk_STRIKE,$AD$1186))</f>
        <v/>
      </c>
      <c r="AM1186">
        <f>IF($AD$1186=0,"",INDEX(tk_HDRPREP,$AD$1186))</f>
        <v/>
      </c>
      <c r="AN1186">
        <f>IF($AD$1186=0,"",INDEX(tk_DMIN,$AD$1186))</f>
        <v/>
      </c>
      <c r="AO1186">
        <f>IF($AD$1186=0,"",INDEX(tk_PAIR,$AD$1186))</f>
        <v/>
      </c>
      <c r="AP1186">
        <f>IF($AD$1186=0,"",INDEX(tk_FGA,$AD$1186))</f>
        <v/>
      </c>
      <c r="AQ1186">
        <f>IF($AD$1186=0,"",INDEX(tk_WI,$AD$1186))</f>
        <v/>
      </c>
      <c r="AR1186">
        <f>IF($AD$1186=0,"",INDEX(tk_HI,$AD$1186))</f>
        <v/>
      </c>
      <c r="AS1186">
        <f>IF($AD$1186=0,"",INDEX(tk_FHINGE,$AD$1186))</f>
        <v/>
      </c>
      <c r="AT1186">
        <f>IF($AD$1186=0,"",INDEX(tk_DHINGE,$AD$1186))</f>
        <v/>
      </c>
      <c r="AU1186">
        <f>IF($AD$1186=0,"",INDEX(tk_HWLOC,$AD$1186))</f>
        <v/>
      </c>
      <c r="AV1186">
        <f>IF($AD$1186=0,"",INDEX(tk_MANUF,$AD$1186))</f>
        <v/>
      </c>
      <c r="AW1186">
        <f>IF($AD$1186=0,"",INDEX(tk_JH,$AD$1186))</f>
        <v/>
      </c>
      <c r="AX1186">
        <f>IF($AD$1186=0,"",INDEX(tk_FDESC,$AD$1186))</f>
        <v/>
      </c>
      <c r="AY1186">
        <f>IF($AD$1186=0,"",INDEX(tk_TRANS,$AD$1186))</f>
        <v/>
      </c>
      <c r="AZ1186">
        <f>IF($AD$1186=0,"",INDEX(tk_SLW,$AD$1186))</f>
        <v/>
      </c>
      <c r="BA1186">
        <f>IF($AD$1186=0,"",INDEX(tk_LEAVES,$AD$1186))</f>
        <v/>
      </c>
      <c r="BB1186">
        <f>IF($AD$1186=0,"",INDEX(tk_LEAFW,$AD$1186))</f>
        <v/>
      </c>
      <c r="BC1186">
        <f>IF($AD$1186=0,"",INDEX(tk_LEAFH,$AD$1186))</f>
        <v/>
      </c>
      <c r="BD1186">
        <f>IF($AD$1186=0,"",INDEX(tk_DMAT,$AD$1186))</f>
        <v/>
      </c>
      <c r="BE1186">
        <f>IF($AD$1186=0,"",INDEX(tk_DGA,$AD$1186))</f>
        <v/>
      </c>
      <c r="BF1186">
        <f>IF($AD$1186=0,"",INDEX(tk_SERIES,$AD$1186))</f>
        <v/>
      </c>
      <c r="BG1186">
        <f>IF($AD$1186=0,"",INDEX(tk_LOCK,$AD$1186))</f>
        <v/>
      </c>
      <c r="BH1186">
        <f>IF($AD$1186=0,"",INDEX(tk_LITEKIT,$AD$1186))</f>
        <v/>
      </c>
      <c r="BI1186">
        <f>IF($AD$1186=0,"",INDEX(tk_FACE,$AD$1186))</f>
        <v/>
      </c>
      <c r="BJ1186">
        <f>IF($AD$1186=0,"",INDEX(tk_HLEG,$AD$1186))</f>
        <v/>
      </c>
      <c r="BK1186">
        <f>IF($AD$1186=0,"",INDEX(tk_SOITEM,$AD$1186))</f>
        <v/>
      </c>
      <c r="BL1186">
        <f>IFERROR(VLOOKUP($AF$1186,CODES,2,FALSE),"")</f>
        <v/>
      </c>
      <c r="BM1186">
        <f>IF($AJ$1186="KD","C","M")</f>
        <v/>
      </c>
      <c r="BN1186">
        <f>IF(N($AR$1186)&lt;=80,80,IF(N($AR$1186)&lt;=84,84,IF(N($AR$1186)&lt;=96,96,N($AR$1186))))</f>
        <v/>
      </c>
      <c r="BO1186">
        <f>INT($BN$1186/12)&amp;MOD($BN$1186,12)</f>
        <v/>
      </c>
      <c r="BP1186">
        <f>INT(N($AQ$1186)/12)&amp;MOD(N($AQ$1186),12)</f>
        <v/>
      </c>
      <c r="BQ1186">
        <f>IF(OR($AU$1186="",$AU$1186="ANSI/SDI",$AU$1186="CUSTOM LOC"),IF($AV$1186="CU","CURRIES","STEELCRAFT"),$AU$1186)</f>
        <v/>
      </c>
      <c r="BR1186">
        <f>$AO$1186="Y"</f>
        <v/>
      </c>
      <c r="BS1186">
        <f>"~"</f>
        <v/>
      </c>
      <c r="BT1186">
        <f>$AE$1186*N($BA$1186)</f>
        <v/>
      </c>
      <c r="BU1186">
        <f>OR(LEFT($BD$1186,3)="OAK",LEFT($BD$1186,3)="BIR",LEFT($BD$1186,3)="MAP",$BD$1186="PC",$BD$1186="MC",$BD$1186="SCLC",$BD$1186="P-LAM")</f>
        <v/>
      </c>
      <c r="BV1186">
        <f>INT(N($AQ$1186)/MAX(1,N($BA$1186))/12)&amp;MOD(N($AQ$1186)/MAX(1,N($BA$1186)),12)</f>
        <v/>
      </c>
      <c r="BW1186">
        <f>IF(OR($BG$1186="G11",$BG$1186="G11A",$BG$1186="G12A"),"G2",IF(OR(LEFT($BG$1186,2)="G3",$BG$1186="G12"),"G3AEO",$BG$1186))</f>
        <v/>
      </c>
      <c r="BX1186">
        <f>"(Net size: "&amp;TRIM(TEXT(N($BB$1186),"# ?/??"))&amp;CHAR(34)&amp;" x "&amp;TRIM(TEXT(N($BC$1186),"# ?/??"))&amp;CHAR(34)&amp;")"</f>
        <v/>
      </c>
      <c r="BY1186">
        <f>IF(LEFT($BD$1186,3)="OAK","RED OAK",IF(LEFT($BD$1186,3)="BIR","BIRCH",IF(LEFT($BD$1186,3)="MAP","MAPLE","WOOD")))</f>
        <v/>
      </c>
      <c r="BZ1186">
        <f>IF(OR($AT$1186="U454",AND($AT$1186="",$AS$1186="U454")),"454","453")</f>
        <v/>
      </c>
      <c r="CA1186">
        <f>IF($AD$1186=0,"",IF($BU$1186,$BT$1186&amp;"|"&amp;$BV$1186&amp;$BO$1186&amp;" "&amp;$BY$1186&amp;" SLAB "&amp;IF(N($AN$1186)&gt;0,$AN$1186&amp;" MINUTE",IF(RIGHT($BD$1186,2)="MC","MC","SC")&amp;" WOOD DOOR")&amp;"|"&amp;$BX$1186&amp;"|"&amp;$BS$1186,$BT$1186&amp;"|"&amp;$BV$1186&amp;$BO$1186&amp;$BW$1186&amp;" BSC "&amp;$BQ$1186&amp;" DOOR "&amp;$BE$1186&amp;"Ga. Non-Handed "&amp;IF($BF$1186="","707",$BF$1186)&amp;"S Flush HM|"&amp;$BX$1186&amp;"|"&amp;$BS$1186)&amp;IF(N($AN$1186)&gt;0,$BT$1186&amp;"|"&amp;$AN$1186&amp;IF($BU$1186," MINUTE WARNOCK HERSHEY FIRE RATED WOOD LABEL"," MINUTE FOAM CORE STEEL DOOR LABEL (MODELS 607 &amp; 707)")&amp;"||"&amp;$BS$1186,"")&amp;IF(AND(NOT($BU$1186),OR($BG$1186="G11",$BG$1186="G11A",$BG$1186="G12",$BG$1186="G12A")),$AE$1186&amp;"|EXIT DEVICE PREP FOR HM DOOR||"&amp;$BS$1186,"")&amp;IF(AND(NOT($BU$1186),$BG$1186="G12"),$AE$1186&amp;"|DR 350 MORTISE LOCK FILLER PLATE||"&amp;$BS$1186,"")&amp;IF(AND(NOT($BU$1186),LEFT($BG$1186,2)="G3"),$AE$1186&amp;"|MORTISE LOCK PREP||"&amp;$BS$1186,"")&amp;IF($BU$1186,$BT$1186&amp;"|"&amp;IF($BG$1186="G18",$BZ$1186&amp;"-4 1/2"&amp;CHAR(34)&amp;"X4 1/2"&amp;CHAR(34)&amp;" HINGES ONLY PREP","HINGE PREP "&amp;$BZ$1186&amp;" WITH LOCK PREP")&amp;"|"&amp;$BQ$1186&amp;" LOC|"&amp;$BS$1186,"")&amp;IF(OR($BG$1186="G2G2",$BG$1186="G17",$BG$1186="E1E4"),$AE$1186&amp;"|"&amp;IF($BU$1186,"DDLP CYLINDRICAL DEADLOCK PREP","DOOR DEADLOCK PREP")&amp;"||"&amp;$BS$1186,"")&amp;IF(OR($BH$1186="FG",$BH$1186="HG",$BH$1186="FNV",$BH$1186="FV"),$BT$1186&amp;"|"&amp;$BI$1186&amp;" LITE KIT||"&amp;$BS$1186,IF($BH$1186="FL",$BT$1186&amp;"|"&amp;$BI$1186&amp;" LOUVER||"&amp;$BS$1186,IF($BH$1186="FP",$BT$1186&amp;"|DVP DOOR VIEWER PREP||"&amp;$BS$1186,"")))&amp;IF($BN$1186&gt;N($AR$1186),$BT$1186&amp;"|DCO DOOR CUT DOWN ONLY (HEIGHT)|Cut "&amp;TRIM(TEXT($BN$1186-N($AR$1186),"# ?/??"))&amp;CHAR(34)&amp;" OFF THE BOTTOM|"&amp;$BS$1186,""))</f>
        <v/>
      </c>
    </row>
    <row r="1187">
      <c r="B1187" s="180">
        <f>IF($AD1187="","",VALUE(LEFT($AD1187,FIND("|",$AD1187)-1)))</f>
        <v/>
      </c>
      <c r="C1187" s="180">
        <f>IF($AD1187="","","    "&amp;MID($AD1187,FIND("|",$AD1187)+1,FIND("|",$AD1187,FIND("|",$AD1187)+1)-FIND("|",$AD1187)-1))</f>
        <v/>
      </c>
      <c r="D1187" s="180">
        <f>IF($AD1187="","",MID($AD1187,FIND("|",$AD1187,FIND("|",$AD1187)+1)+1,FIND("|",$AD1187&amp;"|",FIND("|",$AD1187,FIND("|",$AD1187)+1)+1)-FIND("|",$AD1187,FIND("|",$AD1187)+1)-1))</f>
        <v/>
      </c>
      <c r="AD1187">
        <f>TRIM(MID(SUBSTITUTE($CA$1186,"~",REPT(" ",600)),1,600))</f>
        <v/>
      </c>
    </row>
    <row r="1188">
      <c r="B1188" s="180">
        <f>IF($AD1188="","",VALUE(LEFT($AD1188,FIND("|",$AD1188)-1)))</f>
        <v/>
      </c>
      <c r="C1188" s="180">
        <f>IF($AD1188="","","    "&amp;MID($AD1188,FIND("|",$AD1188)+1,FIND("|",$AD1188,FIND("|",$AD1188)+1)-FIND("|",$AD1188)-1))</f>
        <v/>
      </c>
      <c r="D1188" s="180">
        <f>IF($AD1188="","",MID($AD1188,FIND("|",$AD1188,FIND("|",$AD1188)+1)+1,FIND("|",$AD1188&amp;"|",FIND("|",$AD1188,FIND("|",$AD1188)+1)+1)-FIND("|",$AD1188,FIND("|",$AD1188)+1)-1))</f>
        <v/>
      </c>
      <c r="AD1188">
        <f>TRIM(MID(SUBSTITUTE($CA$1186,"~",REPT(" ",600)),601,600))</f>
        <v/>
      </c>
    </row>
    <row r="1189">
      <c r="B1189" s="180">
        <f>IF($AD1189="","",VALUE(LEFT($AD1189,FIND("|",$AD1189)-1)))</f>
        <v/>
      </c>
      <c r="C1189" s="180">
        <f>IF($AD1189="","","    "&amp;MID($AD1189,FIND("|",$AD1189)+1,FIND("|",$AD1189,FIND("|",$AD1189)+1)-FIND("|",$AD1189)-1))</f>
        <v/>
      </c>
      <c r="D1189" s="180">
        <f>IF($AD1189="","",MID($AD1189,FIND("|",$AD1189,FIND("|",$AD1189)+1)+1,FIND("|",$AD1189&amp;"|",FIND("|",$AD1189,FIND("|",$AD1189)+1)+1)-FIND("|",$AD1189,FIND("|",$AD1189)+1)-1))</f>
        <v/>
      </c>
      <c r="AD1189">
        <f>TRIM(MID(SUBSTITUTE($CA$1186,"~",REPT(" ",600)),1201,600))</f>
        <v/>
      </c>
    </row>
    <row r="1190">
      <c r="B1190" s="180">
        <f>IF($AD1190="","",VALUE(LEFT($AD1190,FIND("|",$AD1190)-1)))</f>
        <v/>
      </c>
      <c r="C1190" s="180">
        <f>IF($AD1190="","","    "&amp;MID($AD1190,FIND("|",$AD1190)+1,FIND("|",$AD1190,FIND("|",$AD1190)+1)-FIND("|",$AD1190)-1))</f>
        <v/>
      </c>
      <c r="D1190" s="180">
        <f>IF($AD1190="","",MID($AD1190,FIND("|",$AD1190,FIND("|",$AD1190)+1)+1,FIND("|",$AD1190&amp;"|",FIND("|",$AD1190,FIND("|",$AD1190)+1)+1)-FIND("|",$AD1190,FIND("|",$AD1190)+1)-1))</f>
        <v/>
      </c>
      <c r="AD1190">
        <f>TRIM(MID(SUBSTITUTE($CA$1186,"~",REPT(" ",600)),1801,600))</f>
        <v/>
      </c>
    </row>
    <row r="1191">
      <c r="B1191" s="180">
        <f>IF($AD1191="","",VALUE(LEFT($AD1191,FIND("|",$AD1191)-1)))</f>
        <v/>
      </c>
      <c r="C1191" s="180">
        <f>IF($AD1191="","","    "&amp;MID($AD1191,FIND("|",$AD1191)+1,FIND("|",$AD1191,FIND("|",$AD1191)+1)-FIND("|",$AD1191)-1))</f>
        <v/>
      </c>
      <c r="D1191" s="180">
        <f>IF($AD1191="","",MID($AD1191,FIND("|",$AD1191,FIND("|",$AD1191)+1)+1,FIND("|",$AD1191&amp;"|",FIND("|",$AD1191,FIND("|",$AD1191)+1)+1)-FIND("|",$AD1191,FIND("|",$AD1191)+1)-1))</f>
        <v/>
      </c>
      <c r="AD1191">
        <f>TRIM(MID(SUBSTITUTE($CA$1186,"~",REPT(" ",600)),2401,600))</f>
        <v/>
      </c>
    </row>
    <row r="1192">
      <c r="B1192" s="180">
        <f>IF($AD1192="","",VALUE(LEFT($AD1192,FIND("|",$AD1192)-1)))</f>
        <v/>
      </c>
      <c r="C1192" s="180">
        <f>IF($AD1192="","","    "&amp;MID($AD1192,FIND("|",$AD1192)+1,FIND("|",$AD1192,FIND("|",$AD1192)+1)-FIND("|",$AD1192)-1))</f>
        <v/>
      </c>
      <c r="D1192" s="180">
        <f>IF($AD1192="","",MID($AD1192,FIND("|",$AD1192,FIND("|",$AD1192)+1)+1,FIND("|",$AD1192&amp;"|",FIND("|",$AD1192,FIND("|",$AD1192)+1)+1)-FIND("|",$AD1192,FIND("|",$AD1192)+1)-1))</f>
        <v/>
      </c>
      <c r="AD1192">
        <f>TRIM(MID(SUBSTITUTE($CA$1186,"~",REPT(" ",600)),3001,600))</f>
        <v/>
      </c>
    </row>
    <row r="1193">
      <c r="B1193" s="180">
        <f>IF($AD1193="","",VALUE(LEFT($AD1193,FIND("|",$AD1193)-1)))</f>
        <v/>
      </c>
      <c r="C1193" s="180">
        <f>IF($AD1193="","","    "&amp;MID($AD1193,FIND("|",$AD1193)+1,FIND("|",$AD1193,FIND("|",$AD1193)+1)-FIND("|",$AD1193)-1))</f>
        <v/>
      </c>
      <c r="D1193" s="180">
        <f>IF($AD1193="","",MID($AD1193,FIND("|",$AD1193,FIND("|",$AD1193)+1)+1,FIND("|",$AD1193&amp;"|",FIND("|",$AD1193,FIND("|",$AD1193)+1)+1)-FIND("|",$AD1193,FIND("|",$AD1193)+1)-1))</f>
        <v/>
      </c>
      <c r="AD1193">
        <f>TRIM(MID(SUBSTITUTE($CA$1186,"~",REPT(" ",600)),3601,600))</f>
        <v/>
      </c>
    </row>
    <row r="1194">
      <c r="B1194" s="180">
        <f>IF($AD1194="","",VALUE(LEFT($AD1194,FIND("|",$AD1194)-1)))</f>
        <v/>
      </c>
      <c r="C1194" s="180">
        <f>IF($AD1194="","","    "&amp;MID($AD1194,FIND("|",$AD1194)+1,FIND("|",$AD1194,FIND("|",$AD1194)+1)-FIND("|",$AD1194)-1))</f>
        <v/>
      </c>
      <c r="D1194" s="180">
        <f>IF($AD1194="","",MID($AD1194,FIND("|",$AD1194,FIND("|",$AD1194)+1)+1,FIND("|",$AD1194&amp;"|",FIND("|",$AD1194,FIND("|",$AD1194)+1)+1)-FIND("|",$AD1194,FIND("|",$AD1194)+1)-1))</f>
        <v/>
      </c>
      <c r="AD1194">
        <f>TRIM(MID(SUBSTITUTE($CA$1186,"~",REPT(" ",600)),4201,600))</f>
        <v/>
      </c>
    </row>
    <row r="1195">
      <c r="B1195" s="180">
        <f>IF($AD1195="","",VALUE(LEFT($AD1195,FIND("|",$AD1195)-1)))</f>
        <v/>
      </c>
      <c r="C1195" s="180">
        <f>IF($AD1195="","","    "&amp;MID($AD1195,FIND("|",$AD1195)+1,FIND("|",$AD1195,FIND("|",$AD1195)+1)-FIND("|",$AD1195)-1))</f>
        <v/>
      </c>
      <c r="D1195" s="180">
        <f>IF($AD1195="","",MID($AD1195,FIND("|",$AD1195,FIND("|",$AD1195)+1)+1,FIND("|",$AD1195&amp;"|",FIND("|",$AD1195,FIND("|",$AD1195)+1)+1)-FIND("|",$AD1195,FIND("|",$AD1195)+1)-1))</f>
        <v/>
      </c>
      <c r="AD1195">
        <f>TRIM(MID(SUBSTITUTE($CA$1186,"~",REPT(" ",600)),4801,600))</f>
        <v/>
      </c>
    </row>
    <row r="1196">
      <c r="B1196" s="180">
        <f>IF($AD1196="","",VALUE(LEFT($AD1196,FIND("|",$AD1196)-1)))</f>
        <v/>
      </c>
      <c r="C1196" s="180">
        <f>IF($AD1196="","","    "&amp;MID($AD1196,FIND("|",$AD1196)+1,FIND("|",$AD1196,FIND("|",$AD1196)+1)-FIND("|",$AD1196)-1))</f>
        <v/>
      </c>
      <c r="D1196" s="180">
        <f>IF($AD1196="","",MID($AD1196,FIND("|",$AD1196,FIND("|",$AD1196)+1)+1,FIND("|",$AD1196&amp;"|",FIND("|",$AD1196,FIND("|",$AD1196)+1)+1)-FIND("|",$AD1196,FIND("|",$AD1196)+1)-1))</f>
        <v/>
      </c>
      <c r="AD1196">
        <f>TRIM(MID(SUBSTITUTE($CA$1186,"~",REPT(" ",600)),5401,600))</f>
        <v/>
      </c>
    </row>
    <row r="1197">
      <c r="B1197" s="180">
        <f>IF($AD1197="","",VALUE(LEFT($AD1197,FIND("|",$AD1197)-1)))</f>
        <v/>
      </c>
      <c r="C1197" s="180">
        <f>IF($AD1197="","","    "&amp;MID($AD1197,FIND("|",$AD1197)+1,FIND("|",$AD1197,FIND("|",$AD1197)+1)-FIND("|",$AD1197)-1))</f>
        <v/>
      </c>
      <c r="D1197" s="180">
        <f>IF($AD1197="","",MID($AD1197,FIND("|",$AD1197,FIND("|",$AD1197)+1)+1,FIND("|",$AD1197&amp;"|",FIND("|",$AD1197,FIND("|",$AD1197)+1)+1)-FIND("|",$AD1197,FIND("|",$AD1197)+1)-1))</f>
        <v/>
      </c>
      <c r="AD1197">
        <f>TRIM(MID(SUBSTITUTE($CA$1186,"~",REPT(" ",600)),6001,600))</f>
        <v/>
      </c>
    </row>
    <row r="1198">
      <c r="A1198" s="178">
        <f>IF($AD$1198=0,"",$BK$1198)</f>
        <v/>
      </c>
      <c r="B1198" s="178">
        <f>IF($AD$1198=0,"",$AE$1198*N($BA$1198))</f>
        <v/>
      </c>
      <c r="C1198" s="178">
        <f>IF($AD$1198=0,"",$AE$1198*N($BA$1198)&amp;") "&amp;IF(COUNTIFS(tk_SODG,40,tk_HLEG,"&lt;&gt;"&amp;$BJ$1198)=0,INDEX(tk_DLINE,$AD$1198),INDEX(tk_DLINEN,$AD$1198)))</f>
        <v/>
      </c>
      <c r="D1198" s="178" t="n"/>
      <c r="E1198" s="179">
        <f t="array" ref="E1198">IF($AD$1198=0,"",_xlfn.TEXTJOIN(", ",TRUE,IF(tk_SODG=40,"#"&amp;tk_MARK&amp;IF(tk_HLEG="","","("&amp;tk_HLEG&amp;")")&amp;IF(tk_QTY&gt;1," ×"&amp;tk_QTY,""),"")))</f>
        <v/>
      </c>
      <c r="AD1198">
        <f>IFERROR(MATCH(40,tk_SODG,0),0)</f>
        <v/>
      </c>
      <c r="AE1198">
        <f>IF($AD$1198=0,0,SUMIF(tk_SODG,40,tk_QTY))</f>
        <v/>
      </c>
      <c r="AF1198">
        <f>IF($AD$1198=0,"",INDEX(tk_JAMB,$AD$1198))</f>
        <v/>
      </c>
      <c r="AG1198">
        <f>IF($AD$1198=0,"",INDEX(tk_ANCHOR,$AD$1198))</f>
        <v/>
      </c>
      <c r="AH1198">
        <f>IF($AD$1198=0,"",INDEX(tk_ANCH,$AD$1198))</f>
        <v/>
      </c>
      <c r="AI1198">
        <f>IF($AD$1198=0,"",INDEX(tk_BASEA,$AD$1198))</f>
        <v/>
      </c>
      <c r="AJ1198">
        <f>IF($AD$1198=0,"",INDEX(tk_CONSTR,$AD$1198))</f>
        <v/>
      </c>
      <c r="AK1198">
        <f>IF($AD$1198=0,"",INDEX(tk_CLOSER,$AD$1198))</f>
        <v/>
      </c>
      <c r="AL1198">
        <f>IF($AD$1198=0,"",INDEX(tk_STRIKE,$AD$1198))</f>
        <v/>
      </c>
      <c r="AM1198">
        <f>IF($AD$1198=0,"",INDEX(tk_HDRPREP,$AD$1198))</f>
        <v/>
      </c>
      <c r="AN1198">
        <f>IF($AD$1198=0,"",INDEX(tk_DMIN,$AD$1198))</f>
        <v/>
      </c>
      <c r="AO1198">
        <f>IF($AD$1198=0,"",INDEX(tk_PAIR,$AD$1198))</f>
        <v/>
      </c>
      <c r="AP1198">
        <f>IF($AD$1198=0,"",INDEX(tk_FGA,$AD$1198))</f>
        <v/>
      </c>
      <c r="AQ1198">
        <f>IF($AD$1198=0,"",INDEX(tk_WI,$AD$1198))</f>
        <v/>
      </c>
      <c r="AR1198">
        <f>IF($AD$1198=0,"",INDEX(tk_HI,$AD$1198))</f>
        <v/>
      </c>
      <c r="AS1198">
        <f>IF($AD$1198=0,"",INDEX(tk_FHINGE,$AD$1198))</f>
        <v/>
      </c>
      <c r="AT1198">
        <f>IF($AD$1198=0,"",INDEX(tk_DHINGE,$AD$1198))</f>
        <v/>
      </c>
      <c r="AU1198">
        <f>IF($AD$1198=0,"",INDEX(tk_HWLOC,$AD$1198))</f>
        <v/>
      </c>
      <c r="AV1198">
        <f>IF($AD$1198=0,"",INDEX(tk_MANUF,$AD$1198))</f>
        <v/>
      </c>
      <c r="AW1198">
        <f>IF($AD$1198=0,"",INDEX(tk_JH,$AD$1198))</f>
        <v/>
      </c>
      <c r="AX1198">
        <f>IF($AD$1198=0,"",INDEX(tk_FDESC,$AD$1198))</f>
        <v/>
      </c>
      <c r="AY1198">
        <f>IF($AD$1198=0,"",INDEX(tk_TRANS,$AD$1198))</f>
        <v/>
      </c>
      <c r="AZ1198">
        <f>IF($AD$1198=0,"",INDEX(tk_SLW,$AD$1198))</f>
        <v/>
      </c>
      <c r="BA1198">
        <f>IF($AD$1198=0,"",INDEX(tk_LEAVES,$AD$1198))</f>
        <v/>
      </c>
      <c r="BB1198">
        <f>IF($AD$1198=0,"",INDEX(tk_LEAFW,$AD$1198))</f>
        <v/>
      </c>
      <c r="BC1198">
        <f>IF($AD$1198=0,"",INDEX(tk_LEAFH,$AD$1198))</f>
        <v/>
      </c>
      <c r="BD1198">
        <f>IF($AD$1198=0,"",INDEX(tk_DMAT,$AD$1198))</f>
        <v/>
      </c>
      <c r="BE1198">
        <f>IF($AD$1198=0,"",INDEX(tk_DGA,$AD$1198))</f>
        <v/>
      </c>
      <c r="BF1198">
        <f>IF($AD$1198=0,"",INDEX(tk_SERIES,$AD$1198))</f>
        <v/>
      </c>
      <c r="BG1198">
        <f>IF($AD$1198=0,"",INDEX(tk_LOCK,$AD$1198))</f>
        <v/>
      </c>
      <c r="BH1198">
        <f>IF($AD$1198=0,"",INDEX(tk_LITEKIT,$AD$1198))</f>
        <v/>
      </c>
      <c r="BI1198">
        <f>IF($AD$1198=0,"",INDEX(tk_FACE,$AD$1198))</f>
        <v/>
      </c>
      <c r="BJ1198">
        <f>IF($AD$1198=0,"",INDEX(tk_HLEG,$AD$1198))</f>
        <v/>
      </c>
      <c r="BK1198">
        <f>IF($AD$1198=0,"",INDEX(tk_SOITEM,$AD$1198))</f>
        <v/>
      </c>
      <c r="BL1198">
        <f>IFERROR(VLOOKUP($AF$1198,CODES,2,FALSE),"")</f>
        <v/>
      </c>
      <c r="BM1198">
        <f>IF($AJ$1198="KD","C","M")</f>
        <v/>
      </c>
      <c r="BN1198">
        <f>IF(N($AR$1198)&lt;=80,80,IF(N($AR$1198)&lt;=84,84,IF(N($AR$1198)&lt;=96,96,N($AR$1198))))</f>
        <v/>
      </c>
      <c r="BO1198">
        <f>INT($BN$1198/12)&amp;MOD($BN$1198,12)</f>
        <v/>
      </c>
      <c r="BP1198">
        <f>INT(N($AQ$1198)/12)&amp;MOD(N($AQ$1198),12)</f>
        <v/>
      </c>
      <c r="BQ1198">
        <f>IF(OR($AU$1198="",$AU$1198="ANSI/SDI",$AU$1198="CUSTOM LOC"),IF($AV$1198="CU","CURRIES","STEELCRAFT"),$AU$1198)</f>
        <v/>
      </c>
      <c r="BR1198">
        <f>$AO$1198="Y"</f>
        <v/>
      </c>
      <c r="BS1198">
        <f>"~"</f>
        <v/>
      </c>
      <c r="BT1198">
        <f>$AE$1198*N($BA$1198)</f>
        <v/>
      </c>
      <c r="BU1198">
        <f>OR(LEFT($BD$1198,3)="OAK",LEFT($BD$1198,3)="BIR",LEFT($BD$1198,3)="MAP",$BD$1198="PC",$BD$1198="MC",$BD$1198="SCLC",$BD$1198="P-LAM")</f>
        <v/>
      </c>
      <c r="BV1198">
        <f>INT(N($AQ$1198)/MAX(1,N($BA$1198))/12)&amp;MOD(N($AQ$1198)/MAX(1,N($BA$1198)),12)</f>
        <v/>
      </c>
      <c r="BW1198">
        <f>IF(OR($BG$1198="G11",$BG$1198="G11A",$BG$1198="G12A"),"G2",IF(OR(LEFT($BG$1198,2)="G3",$BG$1198="G12"),"G3AEO",$BG$1198))</f>
        <v/>
      </c>
      <c r="BX1198">
        <f>"(Net size: "&amp;TRIM(TEXT(N($BB$1198),"# ?/??"))&amp;CHAR(34)&amp;" x "&amp;TRIM(TEXT(N($BC$1198),"# ?/??"))&amp;CHAR(34)&amp;")"</f>
        <v/>
      </c>
      <c r="BY1198">
        <f>IF(LEFT($BD$1198,3)="OAK","RED OAK",IF(LEFT($BD$1198,3)="BIR","BIRCH",IF(LEFT($BD$1198,3)="MAP","MAPLE","WOOD")))</f>
        <v/>
      </c>
      <c r="BZ1198">
        <f>IF(OR($AT$1198="U454",AND($AT$1198="",$AS$1198="U454")),"454","453")</f>
        <v/>
      </c>
      <c r="CA1198">
        <f>IF($AD$1198=0,"",IF($BU$1198,$BT$1198&amp;"|"&amp;$BV$1198&amp;$BO$1198&amp;" "&amp;$BY$1198&amp;" SLAB "&amp;IF(N($AN$1198)&gt;0,$AN$1198&amp;" MINUTE",IF(RIGHT($BD$1198,2)="MC","MC","SC")&amp;" WOOD DOOR")&amp;"|"&amp;$BX$1198&amp;"|"&amp;$BS$1198,$BT$1198&amp;"|"&amp;$BV$1198&amp;$BO$1198&amp;$BW$1198&amp;" BSC "&amp;$BQ$1198&amp;" DOOR "&amp;$BE$1198&amp;"Ga. Non-Handed "&amp;IF($BF$1198="","707",$BF$1198)&amp;"S Flush HM|"&amp;$BX$1198&amp;"|"&amp;$BS$1198)&amp;IF(N($AN$1198)&gt;0,$BT$1198&amp;"|"&amp;$AN$1198&amp;IF($BU$1198," MINUTE WARNOCK HERSHEY FIRE RATED WOOD LABEL"," MINUTE FOAM CORE STEEL DOOR LABEL (MODELS 607 &amp; 707)")&amp;"||"&amp;$BS$1198,"")&amp;IF(AND(NOT($BU$1198),OR($BG$1198="G11",$BG$1198="G11A",$BG$1198="G12",$BG$1198="G12A")),$AE$1198&amp;"|EXIT DEVICE PREP FOR HM DOOR||"&amp;$BS$1198,"")&amp;IF(AND(NOT($BU$1198),$BG$1198="G12"),$AE$1198&amp;"|DR 350 MORTISE LOCK FILLER PLATE||"&amp;$BS$1198,"")&amp;IF(AND(NOT($BU$1198),LEFT($BG$1198,2)="G3"),$AE$1198&amp;"|MORTISE LOCK PREP||"&amp;$BS$1198,"")&amp;IF($BU$1198,$BT$1198&amp;"|"&amp;IF($BG$1198="G18",$BZ$1198&amp;"-4 1/2"&amp;CHAR(34)&amp;"X4 1/2"&amp;CHAR(34)&amp;" HINGES ONLY PREP","HINGE PREP "&amp;$BZ$1198&amp;" WITH LOCK PREP")&amp;"|"&amp;$BQ$1198&amp;" LOC|"&amp;$BS$1198,"")&amp;IF(OR($BG$1198="G2G2",$BG$1198="G17",$BG$1198="E1E4"),$AE$1198&amp;"|"&amp;IF($BU$1198,"DDLP CYLINDRICAL DEADLOCK PREP","DOOR DEADLOCK PREP")&amp;"||"&amp;$BS$1198,"")&amp;IF(OR($BH$1198="FG",$BH$1198="HG",$BH$1198="FNV",$BH$1198="FV"),$BT$1198&amp;"|"&amp;$BI$1198&amp;" LITE KIT||"&amp;$BS$1198,IF($BH$1198="FL",$BT$1198&amp;"|"&amp;$BI$1198&amp;" LOUVER||"&amp;$BS$1198,IF($BH$1198="FP",$BT$1198&amp;"|DVP DOOR VIEWER PREP||"&amp;$BS$1198,"")))&amp;IF($BN$1198&gt;N($AR$1198),$BT$1198&amp;"|DCO DOOR CUT DOWN ONLY (HEIGHT)|Cut "&amp;TRIM(TEXT($BN$1198-N($AR$1198),"# ?/??"))&amp;CHAR(34)&amp;" OFF THE BOTTOM|"&amp;$BS$1198,""))</f>
        <v/>
      </c>
    </row>
    <row r="1199">
      <c r="B1199" s="180">
        <f>IF($AD1199="","",VALUE(LEFT($AD1199,FIND("|",$AD1199)-1)))</f>
        <v/>
      </c>
      <c r="C1199" s="180">
        <f>IF($AD1199="","","    "&amp;MID($AD1199,FIND("|",$AD1199)+1,FIND("|",$AD1199,FIND("|",$AD1199)+1)-FIND("|",$AD1199)-1))</f>
        <v/>
      </c>
      <c r="D1199" s="180">
        <f>IF($AD1199="","",MID($AD1199,FIND("|",$AD1199,FIND("|",$AD1199)+1)+1,FIND("|",$AD1199&amp;"|",FIND("|",$AD1199,FIND("|",$AD1199)+1)+1)-FIND("|",$AD1199,FIND("|",$AD1199)+1)-1))</f>
        <v/>
      </c>
      <c r="AD1199">
        <f>TRIM(MID(SUBSTITUTE($CA$1198,"~",REPT(" ",600)),1,600))</f>
        <v/>
      </c>
    </row>
    <row r="1200">
      <c r="B1200" s="180">
        <f>IF($AD1200="","",VALUE(LEFT($AD1200,FIND("|",$AD1200)-1)))</f>
        <v/>
      </c>
      <c r="C1200" s="180">
        <f>IF($AD1200="","","    "&amp;MID($AD1200,FIND("|",$AD1200)+1,FIND("|",$AD1200,FIND("|",$AD1200)+1)-FIND("|",$AD1200)-1))</f>
        <v/>
      </c>
      <c r="D1200" s="180">
        <f>IF($AD1200="","",MID($AD1200,FIND("|",$AD1200,FIND("|",$AD1200)+1)+1,FIND("|",$AD1200&amp;"|",FIND("|",$AD1200,FIND("|",$AD1200)+1)+1)-FIND("|",$AD1200,FIND("|",$AD1200)+1)-1))</f>
        <v/>
      </c>
      <c r="AD1200">
        <f>TRIM(MID(SUBSTITUTE($CA$1198,"~",REPT(" ",600)),601,600))</f>
        <v/>
      </c>
    </row>
    <row r="1201">
      <c r="B1201" s="180">
        <f>IF($AD1201="","",VALUE(LEFT($AD1201,FIND("|",$AD1201)-1)))</f>
        <v/>
      </c>
      <c r="C1201" s="180">
        <f>IF($AD1201="","","    "&amp;MID($AD1201,FIND("|",$AD1201)+1,FIND("|",$AD1201,FIND("|",$AD1201)+1)-FIND("|",$AD1201)-1))</f>
        <v/>
      </c>
      <c r="D1201" s="180">
        <f>IF($AD1201="","",MID($AD1201,FIND("|",$AD1201,FIND("|",$AD1201)+1)+1,FIND("|",$AD1201&amp;"|",FIND("|",$AD1201,FIND("|",$AD1201)+1)+1)-FIND("|",$AD1201,FIND("|",$AD1201)+1)-1))</f>
        <v/>
      </c>
      <c r="AD1201">
        <f>TRIM(MID(SUBSTITUTE($CA$1198,"~",REPT(" ",600)),1201,600))</f>
        <v/>
      </c>
    </row>
    <row r="1202">
      <c r="B1202" s="180">
        <f>IF($AD1202="","",VALUE(LEFT($AD1202,FIND("|",$AD1202)-1)))</f>
        <v/>
      </c>
      <c r="C1202" s="180">
        <f>IF($AD1202="","","    "&amp;MID($AD1202,FIND("|",$AD1202)+1,FIND("|",$AD1202,FIND("|",$AD1202)+1)-FIND("|",$AD1202)-1))</f>
        <v/>
      </c>
      <c r="D1202" s="180">
        <f>IF($AD1202="","",MID($AD1202,FIND("|",$AD1202,FIND("|",$AD1202)+1)+1,FIND("|",$AD1202&amp;"|",FIND("|",$AD1202,FIND("|",$AD1202)+1)+1)-FIND("|",$AD1202,FIND("|",$AD1202)+1)-1))</f>
        <v/>
      </c>
      <c r="AD1202">
        <f>TRIM(MID(SUBSTITUTE($CA$1198,"~",REPT(" ",600)),1801,600))</f>
        <v/>
      </c>
    </row>
    <row r="1203">
      <c r="B1203" s="180">
        <f>IF($AD1203="","",VALUE(LEFT($AD1203,FIND("|",$AD1203)-1)))</f>
        <v/>
      </c>
      <c r="C1203" s="180">
        <f>IF($AD1203="","","    "&amp;MID($AD1203,FIND("|",$AD1203)+1,FIND("|",$AD1203,FIND("|",$AD1203)+1)-FIND("|",$AD1203)-1))</f>
        <v/>
      </c>
      <c r="D1203" s="180">
        <f>IF($AD1203="","",MID($AD1203,FIND("|",$AD1203,FIND("|",$AD1203)+1)+1,FIND("|",$AD1203&amp;"|",FIND("|",$AD1203,FIND("|",$AD1203)+1)+1)-FIND("|",$AD1203,FIND("|",$AD1203)+1)-1))</f>
        <v/>
      </c>
      <c r="AD1203">
        <f>TRIM(MID(SUBSTITUTE($CA$1198,"~",REPT(" ",600)),2401,600))</f>
        <v/>
      </c>
    </row>
    <row r="1204">
      <c r="B1204" s="180">
        <f>IF($AD1204="","",VALUE(LEFT($AD1204,FIND("|",$AD1204)-1)))</f>
        <v/>
      </c>
      <c r="C1204" s="180">
        <f>IF($AD1204="","","    "&amp;MID($AD1204,FIND("|",$AD1204)+1,FIND("|",$AD1204,FIND("|",$AD1204)+1)-FIND("|",$AD1204)-1))</f>
        <v/>
      </c>
      <c r="D1204" s="180">
        <f>IF($AD1204="","",MID($AD1204,FIND("|",$AD1204,FIND("|",$AD1204)+1)+1,FIND("|",$AD1204&amp;"|",FIND("|",$AD1204,FIND("|",$AD1204)+1)+1)-FIND("|",$AD1204,FIND("|",$AD1204)+1)-1))</f>
        <v/>
      </c>
      <c r="AD1204">
        <f>TRIM(MID(SUBSTITUTE($CA$1198,"~",REPT(" ",600)),3001,600))</f>
        <v/>
      </c>
    </row>
    <row r="1205">
      <c r="B1205" s="180">
        <f>IF($AD1205="","",VALUE(LEFT($AD1205,FIND("|",$AD1205)-1)))</f>
        <v/>
      </c>
      <c r="C1205" s="180">
        <f>IF($AD1205="","","    "&amp;MID($AD1205,FIND("|",$AD1205)+1,FIND("|",$AD1205,FIND("|",$AD1205)+1)-FIND("|",$AD1205)-1))</f>
        <v/>
      </c>
      <c r="D1205" s="180">
        <f>IF($AD1205="","",MID($AD1205,FIND("|",$AD1205,FIND("|",$AD1205)+1)+1,FIND("|",$AD1205&amp;"|",FIND("|",$AD1205,FIND("|",$AD1205)+1)+1)-FIND("|",$AD1205,FIND("|",$AD1205)+1)-1))</f>
        <v/>
      </c>
      <c r="AD1205">
        <f>TRIM(MID(SUBSTITUTE($CA$1198,"~",REPT(" ",600)),3601,600))</f>
        <v/>
      </c>
    </row>
    <row r="1206">
      <c r="B1206" s="180">
        <f>IF($AD1206="","",VALUE(LEFT($AD1206,FIND("|",$AD1206)-1)))</f>
        <v/>
      </c>
      <c r="C1206" s="180">
        <f>IF($AD1206="","","    "&amp;MID($AD1206,FIND("|",$AD1206)+1,FIND("|",$AD1206,FIND("|",$AD1206)+1)-FIND("|",$AD1206)-1))</f>
        <v/>
      </c>
      <c r="D1206" s="180">
        <f>IF($AD1206="","",MID($AD1206,FIND("|",$AD1206,FIND("|",$AD1206)+1)+1,FIND("|",$AD1206&amp;"|",FIND("|",$AD1206,FIND("|",$AD1206)+1)+1)-FIND("|",$AD1206,FIND("|",$AD1206)+1)-1))</f>
        <v/>
      </c>
      <c r="AD1206">
        <f>TRIM(MID(SUBSTITUTE($CA$1198,"~",REPT(" ",600)),4201,600))</f>
        <v/>
      </c>
    </row>
    <row r="1207">
      <c r="B1207" s="180">
        <f>IF($AD1207="","",VALUE(LEFT($AD1207,FIND("|",$AD1207)-1)))</f>
        <v/>
      </c>
      <c r="C1207" s="180">
        <f>IF($AD1207="","","    "&amp;MID($AD1207,FIND("|",$AD1207)+1,FIND("|",$AD1207,FIND("|",$AD1207)+1)-FIND("|",$AD1207)-1))</f>
        <v/>
      </c>
      <c r="D1207" s="180">
        <f>IF($AD1207="","",MID($AD1207,FIND("|",$AD1207,FIND("|",$AD1207)+1)+1,FIND("|",$AD1207&amp;"|",FIND("|",$AD1207,FIND("|",$AD1207)+1)+1)-FIND("|",$AD1207,FIND("|",$AD1207)+1)-1))</f>
        <v/>
      </c>
      <c r="AD1207">
        <f>TRIM(MID(SUBSTITUTE($CA$1198,"~",REPT(" ",600)),4801,600))</f>
        <v/>
      </c>
    </row>
    <row r="1208">
      <c r="B1208" s="180">
        <f>IF($AD1208="","",VALUE(LEFT($AD1208,FIND("|",$AD1208)-1)))</f>
        <v/>
      </c>
      <c r="C1208" s="180">
        <f>IF($AD1208="","","    "&amp;MID($AD1208,FIND("|",$AD1208)+1,FIND("|",$AD1208,FIND("|",$AD1208)+1)-FIND("|",$AD1208)-1))</f>
        <v/>
      </c>
      <c r="D1208" s="180">
        <f>IF($AD1208="","",MID($AD1208,FIND("|",$AD1208,FIND("|",$AD1208)+1)+1,FIND("|",$AD1208&amp;"|",FIND("|",$AD1208,FIND("|",$AD1208)+1)+1)-FIND("|",$AD1208,FIND("|",$AD1208)+1)-1))</f>
        <v/>
      </c>
      <c r="AD1208">
        <f>TRIM(MID(SUBSTITUTE($CA$1198,"~",REPT(" ",600)),5401,600))</f>
        <v/>
      </c>
    </row>
    <row r="1209">
      <c r="B1209" s="180">
        <f>IF($AD1209="","",VALUE(LEFT($AD1209,FIND("|",$AD1209)-1)))</f>
        <v/>
      </c>
      <c r="C1209" s="180">
        <f>IF($AD1209="","","    "&amp;MID($AD1209,FIND("|",$AD1209)+1,FIND("|",$AD1209,FIND("|",$AD1209)+1)-FIND("|",$AD1209)-1))</f>
        <v/>
      </c>
      <c r="D1209" s="180">
        <f>IF($AD1209="","",MID($AD1209,FIND("|",$AD1209,FIND("|",$AD1209)+1)+1,FIND("|",$AD1209&amp;"|",FIND("|",$AD1209,FIND("|",$AD1209)+1)+1)-FIND("|",$AD1209,FIND("|",$AD1209)+1)-1))</f>
        <v/>
      </c>
      <c r="AD1209">
        <f>TRIM(MID(SUBSTITUTE($CA$1198,"~",REPT(" ",600)),6001,600))</f>
        <v/>
      </c>
    </row>
    <row r="1210">
      <c r="A1210" s="178">
        <f>IF($AD$1210=0,"",$BK$1210)</f>
        <v/>
      </c>
      <c r="B1210" s="178">
        <f>IF($AD$1210=0,"",$AE$1210*N($BA$1210))</f>
        <v/>
      </c>
      <c r="C1210" s="178">
        <f>IF($AD$1210=0,"",$AE$1210*N($BA$1210)&amp;") "&amp;IF(COUNTIFS(tk_SODG,41,tk_HLEG,"&lt;&gt;"&amp;$BJ$1210)=0,INDEX(tk_DLINE,$AD$1210),INDEX(tk_DLINEN,$AD$1210)))</f>
        <v/>
      </c>
      <c r="D1210" s="178" t="n"/>
      <c r="E1210" s="179">
        <f t="array" ref="E1210">IF($AD$1210=0,"",_xlfn.TEXTJOIN(", ",TRUE,IF(tk_SODG=41,"#"&amp;tk_MARK&amp;IF(tk_HLEG="","","("&amp;tk_HLEG&amp;")")&amp;IF(tk_QTY&gt;1," ×"&amp;tk_QTY,""),"")))</f>
        <v/>
      </c>
      <c r="AD1210">
        <f>IFERROR(MATCH(41,tk_SODG,0),0)</f>
        <v/>
      </c>
      <c r="AE1210">
        <f>IF($AD$1210=0,0,SUMIF(tk_SODG,41,tk_QTY))</f>
        <v/>
      </c>
      <c r="AF1210">
        <f>IF($AD$1210=0,"",INDEX(tk_JAMB,$AD$1210))</f>
        <v/>
      </c>
      <c r="AG1210">
        <f>IF($AD$1210=0,"",INDEX(tk_ANCHOR,$AD$1210))</f>
        <v/>
      </c>
      <c r="AH1210">
        <f>IF($AD$1210=0,"",INDEX(tk_ANCH,$AD$1210))</f>
        <v/>
      </c>
      <c r="AI1210">
        <f>IF($AD$1210=0,"",INDEX(tk_BASEA,$AD$1210))</f>
        <v/>
      </c>
      <c r="AJ1210">
        <f>IF($AD$1210=0,"",INDEX(tk_CONSTR,$AD$1210))</f>
        <v/>
      </c>
      <c r="AK1210">
        <f>IF($AD$1210=0,"",INDEX(tk_CLOSER,$AD$1210))</f>
        <v/>
      </c>
      <c r="AL1210">
        <f>IF($AD$1210=0,"",INDEX(tk_STRIKE,$AD$1210))</f>
        <v/>
      </c>
      <c r="AM1210">
        <f>IF($AD$1210=0,"",INDEX(tk_HDRPREP,$AD$1210))</f>
        <v/>
      </c>
      <c r="AN1210">
        <f>IF($AD$1210=0,"",INDEX(tk_DMIN,$AD$1210))</f>
        <v/>
      </c>
      <c r="AO1210">
        <f>IF($AD$1210=0,"",INDEX(tk_PAIR,$AD$1210))</f>
        <v/>
      </c>
      <c r="AP1210">
        <f>IF($AD$1210=0,"",INDEX(tk_FGA,$AD$1210))</f>
        <v/>
      </c>
      <c r="AQ1210">
        <f>IF($AD$1210=0,"",INDEX(tk_WI,$AD$1210))</f>
        <v/>
      </c>
      <c r="AR1210">
        <f>IF($AD$1210=0,"",INDEX(tk_HI,$AD$1210))</f>
        <v/>
      </c>
      <c r="AS1210">
        <f>IF($AD$1210=0,"",INDEX(tk_FHINGE,$AD$1210))</f>
        <v/>
      </c>
      <c r="AT1210">
        <f>IF($AD$1210=0,"",INDEX(tk_DHINGE,$AD$1210))</f>
        <v/>
      </c>
      <c r="AU1210">
        <f>IF($AD$1210=0,"",INDEX(tk_HWLOC,$AD$1210))</f>
        <v/>
      </c>
      <c r="AV1210">
        <f>IF($AD$1210=0,"",INDEX(tk_MANUF,$AD$1210))</f>
        <v/>
      </c>
      <c r="AW1210">
        <f>IF($AD$1210=0,"",INDEX(tk_JH,$AD$1210))</f>
        <v/>
      </c>
      <c r="AX1210">
        <f>IF($AD$1210=0,"",INDEX(tk_FDESC,$AD$1210))</f>
        <v/>
      </c>
      <c r="AY1210">
        <f>IF($AD$1210=0,"",INDEX(tk_TRANS,$AD$1210))</f>
        <v/>
      </c>
      <c r="AZ1210">
        <f>IF($AD$1210=0,"",INDEX(tk_SLW,$AD$1210))</f>
        <v/>
      </c>
      <c r="BA1210">
        <f>IF($AD$1210=0,"",INDEX(tk_LEAVES,$AD$1210))</f>
        <v/>
      </c>
      <c r="BB1210">
        <f>IF($AD$1210=0,"",INDEX(tk_LEAFW,$AD$1210))</f>
        <v/>
      </c>
      <c r="BC1210">
        <f>IF($AD$1210=0,"",INDEX(tk_LEAFH,$AD$1210))</f>
        <v/>
      </c>
      <c r="BD1210">
        <f>IF($AD$1210=0,"",INDEX(tk_DMAT,$AD$1210))</f>
        <v/>
      </c>
      <c r="BE1210">
        <f>IF($AD$1210=0,"",INDEX(tk_DGA,$AD$1210))</f>
        <v/>
      </c>
      <c r="BF1210">
        <f>IF($AD$1210=0,"",INDEX(tk_SERIES,$AD$1210))</f>
        <v/>
      </c>
      <c r="BG1210">
        <f>IF($AD$1210=0,"",INDEX(tk_LOCK,$AD$1210))</f>
        <v/>
      </c>
      <c r="BH1210">
        <f>IF($AD$1210=0,"",INDEX(tk_LITEKIT,$AD$1210))</f>
        <v/>
      </c>
      <c r="BI1210">
        <f>IF($AD$1210=0,"",INDEX(tk_FACE,$AD$1210))</f>
        <v/>
      </c>
      <c r="BJ1210">
        <f>IF($AD$1210=0,"",INDEX(tk_HLEG,$AD$1210))</f>
        <v/>
      </c>
      <c r="BK1210">
        <f>IF($AD$1210=0,"",INDEX(tk_SOITEM,$AD$1210))</f>
        <v/>
      </c>
      <c r="BL1210">
        <f>IFERROR(VLOOKUP($AF$1210,CODES,2,FALSE),"")</f>
        <v/>
      </c>
      <c r="BM1210">
        <f>IF($AJ$1210="KD","C","M")</f>
        <v/>
      </c>
      <c r="BN1210">
        <f>IF(N($AR$1210)&lt;=80,80,IF(N($AR$1210)&lt;=84,84,IF(N($AR$1210)&lt;=96,96,N($AR$1210))))</f>
        <v/>
      </c>
      <c r="BO1210">
        <f>INT($BN$1210/12)&amp;MOD($BN$1210,12)</f>
        <v/>
      </c>
      <c r="BP1210">
        <f>INT(N($AQ$1210)/12)&amp;MOD(N($AQ$1210),12)</f>
        <v/>
      </c>
      <c r="BQ1210">
        <f>IF(OR($AU$1210="",$AU$1210="ANSI/SDI",$AU$1210="CUSTOM LOC"),IF($AV$1210="CU","CURRIES","STEELCRAFT"),$AU$1210)</f>
        <v/>
      </c>
      <c r="BR1210">
        <f>$AO$1210="Y"</f>
        <v/>
      </c>
      <c r="BS1210">
        <f>"~"</f>
        <v/>
      </c>
      <c r="BT1210">
        <f>$AE$1210*N($BA$1210)</f>
        <v/>
      </c>
      <c r="BU1210">
        <f>OR(LEFT($BD$1210,3)="OAK",LEFT($BD$1210,3)="BIR",LEFT($BD$1210,3)="MAP",$BD$1210="PC",$BD$1210="MC",$BD$1210="SCLC",$BD$1210="P-LAM")</f>
        <v/>
      </c>
      <c r="BV1210">
        <f>INT(N($AQ$1210)/MAX(1,N($BA$1210))/12)&amp;MOD(N($AQ$1210)/MAX(1,N($BA$1210)),12)</f>
        <v/>
      </c>
      <c r="BW1210">
        <f>IF(OR($BG$1210="G11",$BG$1210="G11A",$BG$1210="G12A"),"G2",IF(OR(LEFT($BG$1210,2)="G3",$BG$1210="G12"),"G3AEO",$BG$1210))</f>
        <v/>
      </c>
      <c r="BX1210">
        <f>"(Net size: "&amp;TRIM(TEXT(N($BB$1210),"# ?/??"))&amp;CHAR(34)&amp;" x "&amp;TRIM(TEXT(N($BC$1210),"# ?/??"))&amp;CHAR(34)&amp;")"</f>
        <v/>
      </c>
      <c r="BY1210">
        <f>IF(LEFT($BD$1210,3)="OAK","RED OAK",IF(LEFT($BD$1210,3)="BIR","BIRCH",IF(LEFT($BD$1210,3)="MAP","MAPLE","WOOD")))</f>
        <v/>
      </c>
      <c r="BZ1210">
        <f>IF(OR($AT$1210="U454",AND($AT$1210="",$AS$1210="U454")),"454","453")</f>
        <v/>
      </c>
      <c r="CA1210">
        <f>IF($AD$1210=0,"",IF($BU$1210,$BT$1210&amp;"|"&amp;$BV$1210&amp;$BO$1210&amp;" "&amp;$BY$1210&amp;" SLAB "&amp;IF(N($AN$1210)&gt;0,$AN$1210&amp;" MINUTE",IF(RIGHT($BD$1210,2)="MC","MC","SC")&amp;" WOOD DOOR")&amp;"|"&amp;$BX$1210&amp;"|"&amp;$BS$1210,$BT$1210&amp;"|"&amp;$BV$1210&amp;$BO$1210&amp;$BW$1210&amp;" BSC "&amp;$BQ$1210&amp;" DOOR "&amp;$BE$1210&amp;"Ga. Non-Handed "&amp;IF($BF$1210="","707",$BF$1210)&amp;"S Flush HM|"&amp;$BX$1210&amp;"|"&amp;$BS$1210)&amp;IF(N($AN$1210)&gt;0,$BT$1210&amp;"|"&amp;$AN$1210&amp;IF($BU$1210," MINUTE WARNOCK HERSHEY FIRE RATED WOOD LABEL"," MINUTE FOAM CORE STEEL DOOR LABEL (MODELS 607 &amp; 707)")&amp;"||"&amp;$BS$1210,"")&amp;IF(AND(NOT($BU$1210),OR($BG$1210="G11",$BG$1210="G11A",$BG$1210="G12",$BG$1210="G12A")),$AE$1210&amp;"|EXIT DEVICE PREP FOR HM DOOR||"&amp;$BS$1210,"")&amp;IF(AND(NOT($BU$1210),$BG$1210="G12"),$AE$1210&amp;"|DR 350 MORTISE LOCK FILLER PLATE||"&amp;$BS$1210,"")&amp;IF(AND(NOT($BU$1210),LEFT($BG$1210,2)="G3"),$AE$1210&amp;"|MORTISE LOCK PREP||"&amp;$BS$1210,"")&amp;IF($BU$1210,$BT$1210&amp;"|"&amp;IF($BG$1210="G18",$BZ$1210&amp;"-4 1/2"&amp;CHAR(34)&amp;"X4 1/2"&amp;CHAR(34)&amp;" HINGES ONLY PREP","HINGE PREP "&amp;$BZ$1210&amp;" WITH LOCK PREP")&amp;"|"&amp;$BQ$1210&amp;" LOC|"&amp;$BS$1210,"")&amp;IF(OR($BG$1210="G2G2",$BG$1210="G17",$BG$1210="E1E4"),$AE$1210&amp;"|"&amp;IF($BU$1210,"DDLP CYLINDRICAL DEADLOCK PREP","DOOR DEADLOCK PREP")&amp;"||"&amp;$BS$1210,"")&amp;IF(OR($BH$1210="FG",$BH$1210="HG",$BH$1210="FNV",$BH$1210="FV"),$BT$1210&amp;"|"&amp;$BI$1210&amp;" LITE KIT||"&amp;$BS$1210,IF($BH$1210="FL",$BT$1210&amp;"|"&amp;$BI$1210&amp;" LOUVER||"&amp;$BS$1210,IF($BH$1210="FP",$BT$1210&amp;"|DVP DOOR VIEWER PREP||"&amp;$BS$1210,"")))&amp;IF($BN$1210&gt;N($AR$1210),$BT$1210&amp;"|DCO DOOR CUT DOWN ONLY (HEIGHT)|Cut "&amp;TRIM(TEXT($BN$1210-N($AR$1210),"# ?/??"))&amp;CHAR(34)&amp;" OFF THE BOTTOM|"&amp;$BS$1210,""))</f>
        <v/>
      </c>
    </row>
    <row r="1211">
      <c r="B1211" s="180">
        <f>IF($AD1211="","",VALUE(LEFT($AD1211,FIND("|",$AD1211)-1)))</f>
        <v/>
      </c>
      <c r="C1211" s="180">
        <f>IF($AD1211="","","    "&amp;MID($AD1211,FIND("|",$AD1211)+1,FIND("|",$AD1211,FIND("|",$AD1211)+1)-FIND("|",$AD1211)-1))</f>
        <v/>
      </c>
      <c r="D1211" s="180">
        <f>IF($AD1211="","",MID($AD1211,FIND("|",$AD1211,FIND("|",$AD1211)+1)+1,FIND("|",$AD1211&amp;"|",FIND("|",$AD1211,FIND("|",$AD1211)+1)+1)-FIND("|",$AD1211,FIND("|",$AD1211)+1)-1))</f>
        <v/>
      </c>
      <c r="AD1211">
        <f>TRIM(MID(SUBSTITUTE($CA$1210,"~",REPT(" ",600)),1,600))</f>
        <v/>
      </c>
    </row>
    <row r="1212">
      <c r="B1212" s="180">
        <f>IF($AD1212="","",VALUE(LEFT($AD1212,FIND("|",$AD1212)-1)))</f>
        <v/>
      </c>
      <c r="C1212" s="180">
        <f>IF($AD1212="","","    "&amp;MID($AD1212,FIND("|",$AD1212)+1,FIND("|",$AD1212,FIND("|",$AD1212)+1)-FIND("|",$AD1212)-1))</f>
        <v/>
      </c>
      <c r="D1212" s="180">
        <f>IF($AD1212="","",MID($AD1212,FIND("|",$AD1212,FIND("|",$AD1212)+1)+1,FIND("|",$AD1212&amp;"|",FIND("|",$AD1212,FIND("|",$AD1212)+1)+1)-FIND("|",$AD1212,FIND("|",$AD1212)+1)-1))</f>
        <v/>
      </c>
      <c r="AD1212">
        <f>TRIM(MID(SUBSTITUTE($CA$1210,"~",REPT(" ",600)),601,600))</f>
        <v/>
      </c>
    </row>
    <row r="1213">
      <c r="B1213" s="180">
        <f>IF($AD1213="","",VALUE(LEFT($AD1213,FIND("|",$AD1213)-1)))</f>
        <v/>
      </c>
      <c r="C1213" s="180">
        <f>IF($AD1213="","","    "&amp;MID($AD1213,FIND("|",$AD1213)+1,FIND("|",$AD1213,FIND("|",$AD1213)+1)-FIND("|",$AD1213)-1))</f>
        <v/>
      </c>
      <c r="D1213" s="180">
        <f>IF($AD1213="","",MID($AD1213,FIND("|",$AD1213,FIND("|",$AD1213)+1)+1,FIND("|",$AD1213&amp;"|",FIND("|",$AD1213,FIND("|",$AD1213)+1)+1)-FIND("|",$AD1213,FIND("|",$AD1213)+1)-1))</f>
        <v/>
      </c>
      <c r="AD1213">
        <f>TRIM(MID(SUBSTITUTE($CA$1210,"~",REPT(" ",600)),1201,600))</f>
        <v/>
      </c>
    </row>
    <row r="1214">
      <c r="B1214" s="180">
        <f>IF($AD1214="","",VALUE(LEFT($AD1214,FIND("|",$AD1214)-1)))</f>
        <v/>
      </c>
      <c r="C1214" s="180">
        <f>IF($AD1214="","","    "&amp;MID($AD1214,FIND("|",$AD1214)+1,FIND("|",$AD1214,FIND("|",$AD1214)+1)-FIND("|",$AD1214)-1))</f>
        <v/>
      </c>
      <c r="D1214" s="180">
        <f>IF($AD1214="","",MID($AD1214,FIND("|",$AD1214,FIND("|",$AD1214)+1)+1,FIND("|",$AD1214&amp;"|",FIND("|",$AD1214,FIND("|",$AD1214)+1)+1)-FIND("|",$AD1214,FIND("|",$AD1214)+1)-1))</f>
        <v/>
      </c>
      <c r="AD1214">
        <f>TRIM(MID(SUBSTITUTE($CA$1210,"~",REPT(" ",600)),1801,600))</f>
        <v/>
      </c>
    </row>
    <row r="1215">
      <c r="B1215" s="180">
        <f>IF($AD1215="","",VALUE(LEFT($AD1215,FIND("|",$AD1215)-1)))</f>
        <v/>
      </c>
      <c r="C1215" s="180">
        <f>IF($AD1215="","","    "&amp;MID($AD1215,FIND("|",$AD1215)+1,FIND("|",$AD1215,FIND("|",$AD1215)+1)-FIND("|",$AD1215)-1))</f>
        <v/>
      </c>
      <c r="D1215" s="180">
        <f>IF($AD1215="","",MID($AD1215,FIND("|",$AD1215,FIND("|",$AD1215)+1)+1,FIND("|",$AD1215&amp;"|",FIND("|",$AD1215,FIND("|",$AD1215)+1)+1)-FIND("|",$AD1215,FIND("|",$AD1215)+1)-1))</f>
        <v/>
      </c>
      <c r="AD1215">
        <f>TRIM(MID(SUBSTITUTE($CA$1210,"~",REPT(" ",600)),2401,600))</f>
        <v/>
      </c>
    </row>
    <row r="1216">
      <c r="B1216" s="180">
        <f>IF($AD1216="","",VALUE(LEFT($AD1216,FIND("|",$AD1216)-1)))</f>
        <v/>
      </c>
      <c r="C1216" s="180">
        <f>IF($AD1216="","","    "&amp;MID($AD1216,FIND("|",$AD1216)+1,FIND("|",$AD1216,FIND("|",$AD1216)+1)-FIND("|",$AD1216)-1))</f>
        <v/>
      </c>
      <c r="D1216" s="180">
        <f>IF($AD1216="","",MID($AD1216,FIND("|",$AD1216,FIND("|",$AD1216)+1)+1,FIND("|",$AD1216&amp;"|",FIND("|",$AD1216,FIND("|",$AD1216)+1)+1)-FIND("|",$AD1216,FIND("|",$AD1216)+1)-1))</f>
        <v/>
      </c>
      <c r="AD1216">
        <f>TRIM(MID(SUBSTITUTE($CA$1210,"~",REPT(" ",600)),3001,600))</f>
        <v/>
      </c>
    </row>
    <row r="1217">
      <c r="B1217" s="180">
        <f>IF($AD1217="","",VALUE(LEFT($AD1217,FIND("|",$AD1217)-1)))</f>
        <v/>
      </c>
      <c r="C1217" s="180">
        <f>IF($AD1217="","","    "&amp;MID($AD1217,FIND("|",$AD1217)+1,FIND("|",$AD1217,FIND("|",$AD1217)+1)-FIND("|",$AD1217)-1))</f>
        <v/>
      </c>
      <c r="D1217" s="180">
        <f>IF($AD1217="","",MID($AD1217,FIND("|",$AD1217,FIND("|",$AD1217)+1)+1,FIND("|",$AD1217&amp;"|",FIND("|",$AD1217,FIND("|",$AD1217)+1)+1)-FIND("|",$AD1217,FIND("|",$AD1217)+1)-1))</f>
        <v/>
      </c>
      <c r="AD1217">
        <f>TRIM(MID(SUBSTITUTE($CA$1210,"~",REPT(" ",600)),3601,600))</f>
        <v/>
      </c>
    </row>
    <row r="1218">
      <c r="B1218" s="180">
        <f>IF($AD1218="","",VALUE(LEFT($AD1218,FIND("|",$AD1218)-1)))</f>
        <v/>
      </c>
      <c r="C1218" s="180">
        <f>IF($AD1218="","","    "&amp;MID($AD1218,FIND("|",$AD1218)+1,FIND("|",$AD1218,FIND("|",$AD1218)+1)-FIND("|",$AD1218)-1))</f>
        <v/>
      </c>
      <c r="D1218" s="180">
        <f>IF($AD1218="","",MID($AD1218,FIND("|",$AD1218,FIND("|",$AD1218)+1)+1,FIND("|",$AD1218&amp;"|",FIND("|",$AD1218,FIND("|",$AD1218)+1)+1)-FIND("|",$AD1218,FIND("|",$AD1218)+1)-1))</f>
        <v/>
      </c>
      <c r="AD1218">
        <f>TRIM(MID(SUBSTITUTE($CA$1210,"~",REPT(" ",600)),4201,600))</f>
        <v/>
      </c>
    </row>
    <row r="1219">
      <c r="B1219" s="180">
        <f>IF($AD1219="","",VALUE(LEFT($AD1219,FIND("|",$AD1219)-1)))</f>
        <v/>
      </c>
      <c r="C1219" s="180">
        <f>IF($AD1219="","","    "&amp;MID($AD1219,FIND("|",$AD1219)+1,FIND("|",$AD1219,FIND("|",$AD1219)+1)-FIND("|",$AD1219)-1))</f>
        <v/>
      </c>
      <c r="D1219" s="180">
        <f>IF($AD1219="","",MID($AD1219,FIND("|",$AD1219,FIND("|",$AD1219)+1)+1,FIND("|",$AD1219&amp;"|",FIND("|",$AD1219,FIND("|",$AD1219)+1)+1)-FIND("|",$AD1219,FIND("|",$AD1219)+1)-1))</f>
        <v/>
      </c>
      <c r="AD1219">
        <f>TRIM(MID(SUBSTITUTE($CA$1210,"~",REPT(" ",600)),4801,600))</f>
        <v/>
      </c>
    </row>
    <row r="1220">
      <c r="B1220" s="180">
        <f>IF($AD1220="","",VALUE(LEFT($AD1220,FIND("|",$AD1220)-1)))</f>
        <v/>
      </c>
      <c r="C1220" s="180">
        <f>IF($AD1220="","","    "&amp;MID($AD1220,FIND("|",$AD1220)+1,FIND("|",$AD1220,FIND("|",$AD1220)+1)-FIND("|",$AD1220)-1))</f>
        <v/>
      </c>
      <c r="D1220" s="180">
        <f>IF($AD1220="","",MID($AD1220,FIND("|",$AD1220,FIND("|",$AD1220)+1)+1,FIND("|",$AD1220&amp;"|",FIND("|",$AD1220,FIND("|",$AD1220)+1)+1)-FIND("|",$AD1220,FIND("|",$AD1220)+1)-1))</f>
        <v/>
      </c>
      <c r="AD1220">
        <f>TRIM(MID(SUBSTITUTE($CA$1210,"~",REPT(" ",600)),5401,600))</f>
        <v/>
      </c>
    </row>
    <row r="1221">
      <c r="B1221" s="180">
        <f>IF($AD1221="","",VALUE(LEFT($AD1221,FIND("|",$AD1221)-1)))</f>
        <v/>
      </c>
      <c r="C1221" s="180">
        <f>IF($AD1221="","","    "&amp;MID($AD1221,FIND("|",$AD1221)+1,FIND("|",$AD1221,FIND("|",$AD1221)+1)-FIND("|",$AD1221)-1))</f>
        <v/>
      </c>
      <c r="D1221" s="180">
        <f>IF($AD1221="","",MID($AD1221,FIND("|",$AD1221,FIND("|",$AD1221)+1)+1,FIND("|",$AD1221&amp;"|",FIND("|",$AD1221,FIND("|",$AD1221)+1)+1)-FIND("|",$AD1221,FIND("|",$AD1221)+1)-1))</f>
        <v/>
      </c>
      <c r="AD1221">
        <f>TRIM(MID(SUBSTITUTE($CA$1210,"~",REPT(" ",600)),6001,600))</f>
        <v/>
      </c>
    </row>
    <row r="1222">
      <c r="A1222" s="178">
        <f>IF($AD$1222=0,"",$BK$1222)</f>
        <v/>
      </c>
      <c r="B1222" s="178">
        <f>IF($AD$1222=0,"",$AE$1222*N($BA$1222))</f>
        <v/>
      </c>
      <c r="C1222" s="178">
        <f>IF($AD$1222=0,"",$AE$1222*N($BA$1222)&amp;") "&amp;IF(COUNTIFS(tk_SODG,42,tk_HLEG,"&lt;&gt;"&amp;$BJ$1222)=0,INDEX(tk_DLINE,$AD$1222),INDEX(tk_DLINEN,$AD$1222)))</f>
        <v/>
      </c>
      <c r="D1222" s="178" t="n"/>
      <c r="E1222" s="179">
        <f t="array" ref="E1222">IF($AD$1222=0,"",_xlfn.TEXTJOIN(", ",TRUE,IF(tk_SODG=42,"#"&amp;tk_MARK&amp;IF(tk_HLEG="","","("&amp;tk_HLEG&amp;")")&amp;IF(tk_QTY&gt;1," ×"&amp;tk_QTY,""),"")))</f>
        <v/>
      </c>
      <c r="AD1222">
        <f>IFERROR(MATCH(42,tk_SODG,0),0)</f>
        <v/>
      </c>
      <c r="AE1222">
        <f>IF($AD$1222=0,0,SUMIF(tk_SODG,42,tk_QTY))</f>
        <v/>
      </c>
      <c r="AF1222">
        <f>IF($AD$1222=0,"",INDEX(tk_JAMB,$AD$1222))</f>
        <v/>
      </c>
      <c r="AG1222">
        <f>IF($AD$1222=0,"",INDEX(tk_ANCHOR,$AD$1222))</f>
        <v/>
      </c>
      <c r="AH1222">
        <f>IF($AD$1222=0,"",INDEX(tk_ANCH,$AD$1222))</f>
        <v/>
      </c>
      <c r="AI1222">
        <f>IF($AD$1222=0,"",INDEX(tk_BASEA,$AD$1222))</f>
        <v/>
      </c>
      <c r="AJ1222">
        <f>IF($AD$1222=0,"",INDEX(tk_CONSTR,$AD$1222))</f>
        <v/>
      </c>
      <c r="AK1222">
        <f>IF($AD$1222=0,"",INDEX(tk_CLOSER,$AD$1222))</f>
        <v/>
      </c>
      <c r="AL1222">
        <f>IF($AD$1222=0,"",INDEX(tk_STRIKE,$AD$1222))</f>
        <v/>
      </c>
      <c r="AM1222">
        <f>IF($AD$1222=0,"",INDEX(tk_HDRPREP,$AD$1222))</f>
        <v/>
      </c>
      <c r="AN1222">
        <f>IF($AD$1222=0,"",INDEX(tk_DMIN,$AD$1222))</f>
        <v/>
      </c>
      <c r="AO1222">
        <f>IF($AD$1222=0,"",INDEX(tk_PAIR,$AD$1222))</f>
        <v/>
      </c>
      <c r="AP1222">
        <f>IF($AD$1222=0,"",INDEX(tk_FGA,$AD$1222))</f>
        <v/>
      </c>
      <c r="AQ1222">
        <f>IF($AD$1222=0,"",INDEX(tk_WI,$AD$1222))</f>
        <v/>
      </c>
      <c r="AR1222">
        <f>IF($AD$1222=0,"",INDEX(tk_HI,$AD$1222))</f>
        <v/>
      </c>
      <c r="AS1222">
        <f>IF($AD$1222=0,"",INDEX(tk_FHINGE,$AD$1222))</f>
        <v/>
      </c>
      <c r="AT1222">
        <f>IF($AD$1222=0,"",INDEX(tk_DHINGE,$AD$1222))</f>
        <v/>
      </c>
      <c r="AU1222">
        <f>IF($AD$1222=0,"",INDEX(tk_HWLOC,$AD$1222))</f>
        <v/>
      </c>
      <c r="AV1222">
        <f>IF($AD$1222=0,"",INDEX(tk_MANUF,$AD$1222))</f>
        <v/>
      </c>
      <c r="AW1222">
        <f>IF($AD$1222=0,"",INDEX(tk_JH,$AD$1222))</f>
        <v/>
      </c>
      <c r="AX1222">
        <f>IF($AD$1222=0,"",INDEX(tk_FDESC,$AD$1222))</f>
        <v/>
      </c>
      <c r="AY1222">
        <f>IF($AD$1222=0,"",INDEX(tk_TRANS,$AD$1222))</f>
        <v/>
      </c>
      <c r="AZ1222">
        <f>IF($AD$1222=0,"",INDEX(tk_SLW,$AD$1222))</f>
        <v/>
      </c>
      <c r="BA1222">
        <f>IF($AD$1222=0,"",INDEX(tk_LEAVES,$AD$1222))</f>
        <v/>
      </c>
      <c r="BB1222">
        <f>IF($AD$1222=0,"",INDEX(tk_LEAFW,$AD$1222))</f>
        <v/>
      </c>
      <c r="BC1222">
        <f>IF($AD$1222=0,"",INDEX(tk_LEAFH,$AD$1222))</f>
        <v/>
      </c>
      <c r="BD1222">
        <f>IF($AD$1222=0,"",INDEX(tk_DMAT,$AD$1222))</f>
        <v/>
      </c>
      <c r="BE1222">
        <f>IF($AD$1222=0,"",INDEX(tk_DGA,$AD$1222))</f>
        <v/>
      </c>
      <c r="BF1222">
        <f>IF($AD$1222=0,"",INDEX(tk_SERIES,$AD$1222))</f>
        <v/>
      </c>
      <c r="BG1222">
        <f>IF($AD$1222=0,"",INDEX(tk_LOCK,$AD$1222))</f>
        <v/>
      </c>
      <c r="BH1222">
        <f>IF($AD$1222=0,"",INDEX(tk_LITEKIT,$AD$1222))</f>
        <v/>
      </c>
      <c r="BI1222">
        <f>IF($AD$1222=0,"",INDEX(tk_FACE,$AD$1222))</f>
        <v/>
      </c>
      <c r="BJ1222">
        <f>IF($AD$1222=0,"",INDEX(tk_HLEG,$AD$1222))</f>
        <v/>
      </c>
      <c r="BK1222">
        <f>IF($AD$1222=0,"",INDEX(tk_SOITEM,$AD$1222))</f>
        <v/>
      </c>
      <c r="BL1222">
        <f>IFERROR(VLOOKUP($AF$1222,CODES,2,FALSE),"")</f>
        <v/>
      </c>
      <c r="BM1222">
        <f>IF($AJ$1222="KD","C","M")</f>
        <v/>
      </c>
      <c r="BN1222">
        <f>IF(N($AR$1222)&lt;=80,80,IF(N($AR$1222)&lt;=84,84,IF(N($AR$1222)&lt;=96,96,N($AR$1222))))</f>
        <v/>
      </c>
      <c r="BO1222">
        <f>INT($BN$1222/12)&amp;MOD($BN$1222,12)</f>
        <v/>
      </c>
      <c r="BP1222">
        <f>INT(N($AQ$1222)/12)&amp;MOD(N($AQ$1222),12)</f>
        <v/>
      </c>
      <c r="BQ1222">
        <f>IF(OR($AU$1222="",$AU$1222="ANSI/SDI",$AU$1222="CUSTOM LOC"),IF($AV$1222="CU","CURRIES","STEELCRAFT"),$AU$1222)</f>
        <v/>
      </c>
      <c r="BR1222">
        <f>$AO$1222="Y"</f>
        <v/>
      </c>
      <c r="BS1222">
        <f>"~"</f>
        <v/>
      </c>
      <c r="BT1222">
        <f>$AE$1222*N($BA$1222)</f>
        <v/>
      </c>
      <c r="BU1222">
        <f>OR(LEFT($BD$1222,3)="OAK",LEFT($BD$1222,3)="BIR",LEFT($BD$1222,3)="MAP",$BD$1222="PC",$BD$1222="MC",$BD$1222="SCLC",$BD$1222="P-LAM")</f>
        <v/>
      </c>
      <c r="BV1222">
        <f>INT(N($AQ$1222)/MAX(1,N($BA$1222))/12)&amp;MOD(N($AQ$1222)/MAX(1,N($BA$1222)),12)</f>
        <v/>
      </c>
      <c r="BW1222">
        <f>IF(OR($BG$1222="G11",$BG$1222="G11A",$BG$1222="G12A"),"G2",IF(OR(LEFT($BG$1222,2)="G3",$BG$1222="G12"),"G3AEO",$BG$1222))</f>
        <v/>
      </c>
      <c r="BX1222">
        <f>"(Net size: "&amp;TRIM(TEXT(N($BB$1222),"# ?/??"))&amp;CHAR(34)&amp;" x "&amp;TRIM(TEXT(N($BC$1222),"# ?/??"))&amp;CHAR(34)&amp;")"</f>
        <v/>
      </c>
      <c r="BY1222">
        <f>IF(LEFT($BD$1222,3)="OAK","RED OAK",IF(LEFT($BD$1222,3)="BIR","BIRCH",IF(LEFT($BD$1222,3)="MAP","MAPLE","WOOD")))</f>
        <v/>
      </c>
      <c r="BZ1222">
        <f>IF(OR($AT$1222="U454",AND($AT$1222="",$AS$1222="U454")),"454","453")</f>
        <v/>
      </c>
      <c r="CA1222">
        <f>IF($AD$1222=0,"",IF($BU$1222,$BT$1222&amp;"|"&amp;$BV$1222&amp;$BO$1222&amp;" "&amp;$BY$1222&amp;" SLAB "&amp;IF(N($AN$1222)&gt;0,$AN$1222&amp;" MINUTE",IF(RIGHT($BD$1222,2)="MC","MC","SC")&amp;" WOOD DOOR")&amp;"|"&amp;$BX$1222&amp;"|"&amp;$BS$1222,$BT$1222&amp;"|"&amp;$BV$1222&amp;$BO$1222&amp;$BW$1222&amp;" BSC "&amp;$BQ$1222&amp;" DOOR "&amp;$BE$1222&amp;"Ga. Non-Handed "&amp;IF($BF$1222="","707",$BF$1222)&amp;"S Flush HM|"&amp;$BX$1222&amp;"|"&amp;$BS$1222)&amp;IF(N($AN$1222)&gt;0,$BT$1222&amp;"|"&amp;$AN$1222&amp;IF($BU$1222," MINUTE WARNOCK HERSHEY FIRE RATED WOOD LABEL"," MINUTE FOAM CORE STEEL DOOR LABEL (MODELS 607 &amp; 707)")&amp;"||"&amp;$BS$1222,"")&amp;IF(AND(NOT($BU$1222),OR($BG$1222="G11",$BG$1222="G11A",$BG$1222="G12",$BG$1222="G12A")),$AE$1222&amp;"|EXIT DEVICE PREP FOR HM DOOR||"&amp;$BS$1222,"")&amp;IF(AND(NOT($BU$1222),$BG$1222="G12"),$AE$1222&amp;"|DR 350 MORTISE LOCK FILLER PLATE||"&amp;$BS$1222,"")&amp;IF(AND(NOT($BU$1222),LEFT($BG$1222,2)="G3"),$AE$1222&amp;"|MORTISE LOCK PREP||"&amp;$BS$1222,"")&amp;IF($BU$1222,$BT$1222&amp;"|"&amp;IF($BG$1222="G18",$BZ$1222&amp;"-4 1/2"&amp;CHAR(34)&amp;"X4 1/2"&amp;CHAR(34)&amp;" HINGES ONLY PREP","HINGE PREP "&amp;$BZ$1222&amp;" WITH LOCK PREP")&amp;"|"&amp;$BQ$1222&amp;" LOC|"&amp;$BS$1222,"")&amp;IF(OR($BG$1222="G2G2",$BG$1222="G17",$BG$1222="E1E4"),$AE$1222&amp;"|"&amp;IF($BU$1222,"DDLP CYLINDRICAL DEADLOCK PREP","DOOR DEADLOCK PREP")&amp;"||"&amp;$BS$1222,"")&amp;IF(OR($BH$1222="FG",$BH$1222="HG",$BH$1222="FNV",$BH$1222="FV"),$BT$1222&amp;"|"&amp;$BI$1222&amp;" LITE KIT||"&amp;$BS$1222,IF($BH$1222="FL",$BT$1222&amp;"|"&amp;$BI$1222&amp;" LOUVER||"&amp;$BS$1222,IF($BH$1222="FP",$BT$1222&amp;"|DVP DOOR VIEWER PREP||"&amp;$BS$1222,"")))&amp;IF($BN$1222&gt;N($AR$1222),$BT$1222&amp;"|DCO DOOR CUT DOWN ONLY (HEIGHT)|Cut "&amp;TRIM(TEXT($BN$1222-N($AR$1222),"# ?/??"))&amp;CHAR(34)&amp;" OFF THE BOTTOM|"&amp;$BS$1222,""))</f>
        <v/>
      </c>
    </row>
    <row r="1223">
      <c r="B1223" s="180">
        <f>IF($AD1223="","",VALUE(LEFT($AD1223,FIND("|",$AD1223)-1)))</f>
        <v/>
      </c>
      <c r="C1223" s="180">
        <f>IF($AD1223="","","    "&amp;MID($AD1223,FIND("|",$AD1223)+1,FIND("|",$AD1223,FIND("|",$AD1223)+1)-FIND("|",$AD1223)-1))</f>
        <v/>
      </c>
      <c r="D1223" s="180">
        <f>IF($AD1223="","",MID($AD1223,FIND("|",$AD1223,FIND("|",$AD1223)+1)+1,FIND("|",$AD1223&amp;"|",FIND("|",$AD1223,FIND("|",$AD1223)+1)+1)-FIND("|",$AD1223,FIND("|",$AD1223)+1)-1))</f>
        <v/>
      </c>
      <c r="AD1223">
        <f>TRIM(MID(SUBSTITUTE($CA$1222,"~",REPT(" ",600)),1,600))</f>
        <v/>
      </c>
    </row>
    <row r="1224">
      <c r="B1224" s="180">
        <f>IF($AD1224="","",VALUE(LEFT($AD1224,FIND("|",$AD1224)-1)))</f>
        <v/>
      </c>
      <c r="C1224" s="180">
        <f>IF($AD1224="","","    "&amp;MID($AD1224,FIND("|",$AD1224)+1,FIND("|",$AD1224,FIND("|",$AD1224)+1)-FIND("|",$AD1224)-1))</f>
        <v/>
      </c>
      <c r="D1224" s="180">
        <f>IF($AD1224="","",MID($AD1224,FIND("|",$AD1224,FIND("|",$AD1224)+1)+1,FIND("|",$AD1224&amp;"|",FIND("|",$AD1224,FIND("|",$AD1224)+1)+1)-FIND("|",$AD1224,FIND("|",$AD1224)+1)-1))</f>
        <v/>
      </c>
      <c r="AD1224">
        <f>TRIM(MID(SUBSTITUTE($CA$1222,"~",REPT(" ",600)),601,600))</f>
        <v/>
      </c>
    </row>
    <row r="1225">
      <c r="B1225" s="180">
        <f>IF($AD1225="","",VALUE(LEFT($AD1225,FIND("|",$AD1225)-1)))</f>
        <v/>
      </c>
      <c r="C1225" s="180">
        <f>IF($AD1225="","","    "&amp;MID($AD1225,FIND("|",$AD1225)+1,FIND("|",$AD1225,FIND("|",$AD1225)+1)-FIND("|",$AD1225)-1))</f>
        <v/>
      </c>
      <c r="D1225" s="180">
        <f>IF($AD1225="","",MID($AD1225,FIND("|",$AD1225,FIND("|",$AD1225)+1)+1,FIND("|",$AD1225&amp;"|",FIND("|",$AD1225,FIND("|",$AD1225)+1)+1)-FIND("|",$AD1225,FIND("|",$AD1225)+1)-1))</f>
        <v/>
      </c>
      <c r="AD1225">
        <f>TRIM(MID(SUBSTITUTE($CA$1222,"~",REPT(" ",600)),1201,600))</f>
        <v/>
      </c>
    </row>
    <row r="1226">
      <c r="B1226" s="180">
        <f>IF($AD1226="","",VALUE(LEFT($AD1226,FIND("|",$AD1226)-1)))</f>
        <v/>
      </c>
      <c r="C1226" s="180">
        <f>IF($AD1226="","","    "&amp;MID($AD1226,FIND("|",$AD1226)+1,FIND("|",$AD1226,FIND("|",$AD1226)+1)-FIND("|",$AD1226)-1))</f>
        <v/>
      </c>
      <c r="D1226" s="180">
        <f>IF($AD1226="","",MID($AD1226,FIND("|",$AD1226,FIND("|",$AD1226)+1)+1,FIND("|",$AD1226&amp;"|",FIND("|",$AD1226,FIND("|",$AD1226)+1)+1)-FIND("|",$AD1226,FIND("|",$AD1226)+1)-1))</f>
        <v/>
      </c>
      <c r="AD1226">
        <f>TRIM(MID(SUBSTITUTE($CA$1222,"~",REPT(" ",600)),1801,600))</f>
        <v/>
      </c>
    </row>
    <row r="1227">
      <c r="B1227" s="180">
        <f>IF($AD1227="","",VALUE(LEFT($AD1227,FIND("|",$AD1227)-1)))</f>
        <v/>
      </c>
      <c r="C1227" s="180">
        <f>IF($AD1227="","","    "&amp;MID($AD1227,FIND("|",$AD1227)+1,FIND("|",$AD1227,FIND("|",$AD1227)+1)-FIND("|",$AD1227)-1))</f>
        <v/>
      </c>
      <c r="D1227" s="180">
        <f>IF($AD1227="","",MID($AD1227,FIND("|",$AD1227,FIND("|",$AD1227)+1)+1,FIND("|",$AD1227&amp;"|",FIND("|",$AD1227,FIND("|",$AD1227)+1)+1)-FIND("|",$AD1227,FIND("|",$AD1227)+1)-1))</f>
        <v/>
      </c>
      <c r="AD1227">
        <f>TRIM(MID(SUBSTITUTE($CA$1222,"~",REPT(" ",600)),2401,600))</f>
        <v/>
      </c>
    </row>
    <row r="1228">
      <c r="B1228" s="180">
        <f>IF($AD1228="","",VALUE(LEFT($AD1228,FIND("|",$AD1228)-1)))</f>
        <v/>
      </c>
      <c r="C1228" s="180">
        <f>IF($AD1228="","","    "&amp;MID($AD1228,FIND("|",$AD1228)+1,FIND("|",$AD1228,FIND("|",$AD1228)+1)-FIND("|",$AD1228)-1))</f>
        <v/>
      </c>
      <c r="D1228" s="180">
        <f>IF($AD1228="","",MID($AD1228,FIND("|",$AD1228,FIND("|",$AD1228)+1)+1,FIND("|",$AD1228&amp;"|",FIND("|",$AD1228,FIND("|",$AD1228)+1)+1)-FIND("|",$AD1228,FIND("|",$AD1228)+1)-1))</f>
        <v/>
      </c>
      <c r="AD1228">
        <f>TRIM(MID(SUBSTITUTE($CA$1222,"~",REPT(" ",600)),3001,600))</f>
        <v/>
      </c>
    </row>
    <row r="1229">
      <c r="B1229" s="180">
        <f>IF($AD1229="","",VALUE(LEFT($AD1229,FIND("|",$AD1229)-1)))</f>
        <v/>
      </c>
      <c r="C1229" s="180">
        <f>IF($AD1229="","","    "&amp;MID($AD1229,FIND("|",$AD1229)+1,FIND("|",$AD1229,FIND("|",$AD1229)+1)-FIND("|",$AD1229)-1))</f>
        <v/>
      </c>
      <c r="D1229" s="180">
        <f>IF($AD1229="","",MID($AD1229,FIND("|",$AD1229,FIND("|",$AD1229)+1)+1,FIND("|",$AD1229&amp;"|",FIND("|",$AD1229,FIND("|",$AD1229)+1)+1)-FIND("|",$AD1229,FIND("|",$AD1229)+1)-1))</f>
        <v/>
      </c>
      <c r="AD1229">
        <f>TRIM(MID(SUBSTITUTE($CA$1222,"~",REPT(" ",600)),3601,600))</f>
        <v/>
      </c>
    </row>
    <row r="1230">
      <c r="B1230" s="180">
        <f>IF($AD1230="","",VALUE(LEFT($AD1230,FIND("|",$AD1230)-1)))</f>
        <v/>
      </c>
      <c r="C1230" s="180">
        <f>IF($AD1230="","","    "&amp;MID($AD1230,FIND("|",$AD1230)+1,FIND("|",$AD1230,FIND("|",$AD1230)+1)-FIND("|",$AD1230)-1))</f>
        <v/>
      </c>
      <c r="D1230" s="180">
        <f>IF($AD1230="","",MID($AD1230,FIND("|",$AD1230,FIND("|",$AD1230)+1)+1,FIND("|",$AD1230&amp;"|",FIND("|",$AD1230,FIND("|",$AD1230)+1)+1)-FIND("|",$AD1230,FIND("|",$AD1230)+1)-1))</f>
        <v/>
      </c>
      <c r="AD1230">
        <f>TRIM(MID(SUBSTITUTE($CA$1222,"~",REPT(" ",600)),4201,600))</f>
        <v/>
      </c>
    </row>
    <row r="1231">
      <c r="B1231" s="180">
        <f>IF($AD1231="","",VALUE(LEFT($AD1231,FIND("|",$AD1231)-1)))</f>
        <v/>
      </c>
      <c r="C1231" s="180">
        <f>IF($AD1231="","","    "&amp;MID($AD1231,FIND("|",$AD1231)+1,FIND("|",$AD1231,FIND("|",$AD1231)+1)-FIND("|",$AD1231)-1))</f>
        <v/>
      </c>
      <c r="D1231" s="180">
        <f>IF($AD1231="","",MID($AD1231,FIND("|",$AD1231,FIND("|",$AD1231)+1)+1,FIND("|",$AD1231&amp;"|",FIND("|",$AD1231,FIND("|",$AD1231)+1)+1)-FIND("|",$AD1231,FIND("|",$AD1231)+1)-1))</f>
        <v/>
      </c>
      <c r="AD1231">
        <f>TRIM(MID(SUBSTITUTE($CA$1222,"~",REPT(" ",600)),4801,600))</f>
        <v/>
      </c>
    </row>
    <row r="1232">
      <c r="B1232" s="180">
        <f>IF($AD1232="","",VALUE(LEFT($AD1232,FIND("|",$AD1232)-1)))</f>
        <v/>
      </c>
      <c r="C1232" s="180">
        <f>IF($AD1232="","","    "&amp;MID($AD1232,FIND("|",$AD1232)+1,FIND("|",$AD1232,FIND("|",$AD1232)+1)-FIND("|",$AD1232)-1))</f>
        <v/>
      </c>
      <c r="D1232" s="180">
        <f>IF($AD1232="","",MID($AD1232,FIND("|",$AD1232,FIND("|",$AD1232)+1)+1,FIND("|",$AD1232&amp;"|",FIND("|",$AD1232,FIND("|",$AD1232)+1)+1)-FIND("|",$AD1232,FIND("|",$AD1232)+1)-1))</f>
        <v/>
      </c>
      <c r="AD1232">
        <f>TRIM(MID(SUBSTITUTE($CA$1222,"~",REPT(" ",600)),5401,600))</f>
        <v/>
      </c>
    </row>
    <row r="1233">
      <c r="B1233" s="180">
        <f>IF($AD1233="","",VALUE(LEFT($AD1233,FIND("|",$AD1233)-1)))</f>
        <v/>
      </c>
      <c r="C1233" s="180">
        <f>IF($AD1233="","","    "&amp;MID($AD1233,FIND("|",$AD1233)+1,FIND("|",$AD1233,FIND("|",$AD1233)+1)-FIND("|",$AD1233)-1))</f>
        <v/>
      </c>
      <c r="D1233" s="180">
        <f>IF($AD1233="","",MID($AD1233,FIND("|",$AD1233,FIND("|",$AD1233)+1)+1,FIND("|",$AD1233&amp;"|",FIND("|",$AD1233,FIND("|",$AD1233)+1)+1)-FIND("|",$AD1233,FIND("|",$AD1233)+1)-1))</f>
        <v/>
      </c>
      <c r="AD1233">
        <f>TRIM(MID(SUBSTITUTE($CA$1222,"~",REPT(" ",600)),6001,600))</f>
        <v/>
      </c>
    </row>
    <row r="1234">
      <c r="A1234" s="178">
        <f>IF($AD$1234=0,"",$BK$1234)</f>
        <v/>
      </c>
      <c r="B1234" s="178">
        <f>IF($AD$1234=0,"",$AE$1234*N($BA$1234))</f>
        <v/>
      </c>
      <c r="C1234" s="178">
        <f>IF($AD$1234=0,"",$AE$1234*N($BA$1234)&amp;") "&amp;IF(COUNTIFS(tk_SODG,43,tk_HLEG,"&lt;&gt;"&amp;$BJ$1234)=0,INDEX(tk_DLINE,$AD$1234),INDEX(tk_DLINEN,$AD$1234)))</f>
        <v/>
      </c>
      <c r="D1234" s="178" t="n"/>
      <c r="E1234" s="179">
        <f t="array" ref="E1234">IF($AD$1234=0,"",_xlfn.TEXTJOIN(", ",TRUE,IF(tk_SODG=43,"#"&amp;tk_MARK&amp;IF(tk_HLEG="","","("&amp;tk_HLEG&amp;")")&amp;IF(tk_QTY&gt;1," ×"&amp;tk_QTY,""),"")))</f>
        <v/>
      </c>
      <c r="AD1234">
        <f>IFERROR(MATCH(43,tk_SODG,0),0)</f>
        <v/>
      </c>
      <c r="AE1234">
        <f>IF($AD$1234=0,0,SUMIF(tk_SODG,43,tk_QTY))</f>
        <v/>
      </c>
      <c r="AF1234">
        <f>IF($AD$1234=0,"",INDEX(tk_JAMB,$AD$1234))</f>
        <v/>
      </c>
      <c r="AG1234">
        <f>IF($AD$1234=0,"",INDEX(tk_ANCHOR,$AD$1234))</f>
        <v/>
      </c>
      <c r="AH1234">
        <f>IF($AD$1234=0,"",INDEX(tk_ANCH,$AD$1234))</f>
        <v/>
      </c>
      <c r="AI1234">
        <f>IF($AD$1234=0,"",INDEX(tk_BASEA,$AD$1234))</f>
        <v/>
      </c>
      <c r="AJ1234">
        <f>IF($AD$1234=0,"",INDEX(tk_CONSTR,$AD$1234))</f>
        <v/>
      </c>
      <c r="AK1234">
        <f>IF($AD$1234=0,"",INDEX(tk_CLOSER,$AD$1234))</f>
        <v/>
      </c>
      <c r="AL1234">
        <f>IF($AD$1234=0,"",INDEX(tk_STRIKE,$AD$1234))</f>
        <v/>
      </c>
      <c r="AM1234">
        <f>IF($AD$1234=0,"",INDEX(tk_HDRPREP,$AD$1234))</f>
        <v/>
      </c>
      <c r="AN1234">
        <f>IF($AD$1234=0,"",INDEX(tk_DMIN,$AD$1234))</f>
        <v/>
      </c>
      <c r="AO1234">
        <f>IF($AD$1234=0,"",INDEX(tk_PAIR,$AD$1234))</f>
        <v/>
      </c>
      <c r="AP1234">
        <f>IF($AD$1234=0,"",INDEX(tk_FGA,$AD$1234))</f>
        <v/>
      </c>
      <c r="AQ1234">
        <f>IF($AD$1234=0,"",INDEX(tk_WI,$AD$1234))</f>
        <v/>
      </c>
      <c r="AR1234">
        <f>IF($AD$1234=0,"",INDEX(tk_HI,$AD$1234))</f>
        <v/>
      </c>
      <c r="AS1234">
        <f>IF($AD$1234=0,"",INDEX(tk_FHINGE,$AD$1234))</f>
        <v/>
      </c>
      <c r="AT1234">
        <f>IF($AD$1234=0,"",INDEX(tk_DHINGE,$AD$1234))</f>
        <v/>
      </c>
      <c r="AU1234">
        <f>IF($AD$1234=0,"",INDEX(tk_HWLOC,$AD$1234))</f>
        <v/>
      </c>
      <c r="AV1234">
        <f>IF($AD$1234=0,"",INDEX(tk_MANUF,$AD$1234))</f>
        <v/>
      </c>
      <c r="AW1234">
        <f>IF($AD$1234=0,"",INDEX(tk_JH,$AD$1234))</f>
        <v/>
      </c>
      <c r="AX1234">
        <f>IF($AD$1234=0,"",INDEX(tk_FDESC,$AD$1234))</f>
        <v/>
      </c>
      <c r="AY1234">
        <f>IF($AD$1234=0,"",INDEX(tk_TRANS,$AD$1234))</f>
        <v/>
      </c>
      <c r="AZ1234">
        <f>IF($AD$1234=0,"",INDEX(tk_SLW,$AD$1234))</f>
        <v/>
      </c>
      <c r="BA1234">
        <f>IF($AD$1234=0,"",INDEX(tk_LEAVES,$AD$1234))</f>
        <v/>
      </c>
      <c r="BB1234">
        <f>IF($AD$1234=0,"",INDEX(tk_LEAFW,$AD$1234))</f>
        <v/>
      </c>
      <c r="BC1234">
        <f>IF($AD$1234=0,"",INDEX(tk_LEAFH,$AD$1234))</f>
        <v/>
      </c>
      <c r="BD1234">
        <f>IF($AD$1234=0,"",INDEX(tk_DMAT,$AD$1234))</f>
        <v/>
      </c>
      <c r="BE1234">
        <f>IF($AD$1234=0,"",INDEX(tk_DGA,$AD$1234))</f>
        <v/>
      </c>
      <c r="BF1234">
        <f>IF($AD$1234=0,"",INDEX(tk_SERIES,$AD$1234))</f>
        <v/>
      </c>
      <c r="BG1234">
        <f>IF($AD$1234=0,"",INDEX(tk_LOCK,$AD$1234))</f>
        <v/>
      </c>
      <c r="BH1234">
        <f>IF($AD$1234=0,"",INDEX(tk_LITEKIT,$AD$1234))</f>
        <v/>
      </c>
      <c r="BI1234">
        <f>IF($AD$1234=0,"",INDEX(tk_FACE,$AD$1234))</f>
        <v/>
      </c>
      <c r="BJ1234">
        <f>IF($AD$1234=0,"",INDEX(tk_HLEG,$AD$1234))</f>
        <v/>
      </c>
      <c r="BK1234">
        <f>IF($AD$1234=0,"",INDEX(tk_SOITEM,$AD$1234))</f>
        <v/>
      </c>
      <c r="BL1234">
        <f>IFERROR(VLOOKUP($AF$1234,CODES,2,FALSE),"")</f>
        <v/>
      </c>
      <c r="BM1234">
        <f>IF($AJ$1234="KD","C","M")</f>
        <v/>
      </c>
      <c r="BN1234">
        <f>IF(N($AR$1234)&lt;=80,80,IF(N($AR$1234)&lt;=84,84,IF(N($AR$1234)&lt;=96,96,N($AR$1234))))</f>
        <v/>
      </c>
      <c r="BO1234">
        <f>INT($BN$1234/12)&amp;MOD($BN$1234,12)</f>
        <v/>
      </c>
      <c r="BP1234">
        <f>INT(N($AQ$1234)/12)&amp;MOD(N($AQ$1234),12)</f>
        <v/>
      </c>
      <c r="BQ1234">
        <f>IF(OR($AU$1234="",$AU$1234="ANSI/SDI",$AU$1234="CUSTOM LOC"),IF($AV$1234="CU","CURRIES","STEELCRAFT"),$AU$1234)</f>
        <v/>
      </c>
      <c r="BR1234">
        <f>$AO$1234="Y"</f>
        <v/>
      </c>
      <c r="BS1234">
        <f>"~"</f>
        <v/>
      </c>
      <c r="BT1234">
        <f>$AE$1234*N($BA$1234)</f>
        <v/>
      </c>
      <c r="BU1234">
        <f>OR(LEFT($BD$1234,3)="OAK",LEFT($BD$1234,3)="BIR",LEFT($BD$1234,3)="MAP",$BD$1234="PC",$BD$1234="MC",$BD$1234="SCLC",$BD$1234="P-LAM")</f>
        <v/>
      </c>
      <c r="BV1234">
        <f>INT(N($AQ$1234)/MAX(1,N($BA$1234))/12)&amp;MOD(N($AQ$1234)/MAX(1,N($BA$1234)),12)</f>
        <v/>
      </c>
      <c r="BW1234">
        <f>IF(OR($BG$1234="G11",$BG$1234="G11A",$BG$1234="G12A"),"G2",IF(OR(LEFT($BG$1234,2)="G3",$BG$1234="G12"),"G3AEO",$BG$1234))</f>
        <v/>
      </c>
      <c r="BX1234">
        <f>"(Net size: "&amp;TRIM(TEXT(N($BB$1234),"# ?/??"))&amp;CHAR(34)&amp;" x "&amp;TRIM(TEXT(N($BC$1234),"# ?/??"))&amp;CHAR(34)&amp;")"</f>
        <v/>
      </c>
      <c r="BY1234">
        <f>IF(LEFT($BD$1234,3)="OAK","RED OAK",IF(LEFT($BD$1234,3)="BIR","BIRCH",IF(LEFT($BD$1234,3)="MAP","MAPLE","WOOD")))</f>
        <v/>
      </c>
      <c r="BZ1234">
        <f>IF(OR($AT$1234="U454",AND($AT$1234="",$AS$1234="U454")),"454","453")</f>
        <v/>
      </c>
      <c r="CA1234">
        <f>IF($AD$1234=0,"",IF($BU$1234,$BT$1234&amp;"|"&amp;$BV$1234&amp;$BO$1234&amp;" "&amp;$BY$1234&amp;" SLAB "&amp;IF(N($AN$1234)&gt;0,$AN$1234&amp;" MINUTE",IF(RIGHT($BD$1234,2)="MC","MC","SC")&amp;" WOOD DOOR")&amp;"|"&amp;$BX$1234&amp;"|"&amp;$BS$1234,$BT$1234&amp;"|"&amp;$BV$1234&amp;$BO$1234&amp;$BW$1234&amp;" BSC "&amp;$BQ$1234&amp;" DOOR "&amp;$BE$1234&amp;"Ga. Non-Handed "&amp;IF($BF$1234="","707",$BF$1234)&amp;"S Flush HM|"&amp;$BX$1234&amp;"|"&amp;$BS$1234)&amp;IF(N($AN$1234)&gt;0,$BT$1234&amp;"|"&amp;$AN$1234&amp;IF($BU$1234," MINUTE WARNOCK HERSHEY FIRE RATED WOOD LABEL"," MINUTE FOAM CORE STEEL DOOR LABEL (MODELS 607 &amp; 707)")&amp;"||"&amp;$BS$1234,"")&amp;IF(AND(NOT($BU$1234),OR($BG$1234="G11",$BG$1234="G11A",$BG$1234="G12",$BG$1234="G12A")),$AE$1234&amp;"|EXIT DEVICE PREP FOR HM DOOR||"&amp;$BS$1234,"")&amp;IF(AND(NOT($BU$1234),$BG$1234="G12"),$AE$1234&amp;"|DR 350 MORTISE LOCK FILLER PLATE||"&amp;$BS$1234,"")&amp;IF(AND(NOT($BU$1234),LEFT($BG$1234,2)="G3"),$AE$1234&amp;"|MORTISE LOCK PREP||"&amp;$BS$1234,"")&amp;IF($BU$1234,$BT$1234&amp;"|"&amp;IF($BG$1234="G18",$BZ$1234&amp;"-4 1/2"&amp;CHAR(34)&amp;"X4 1/2"&amp;CHAR(34)&amp;" HINGES ONLY PREP","HINGE PREP "&amp;$BZ$1234&amp;" WITH LOCK PREP")&amp;"|"&amp;$BQ$1234&amp;" LOC|"&amp;$BS$1234,"")&amp;IF(OR($BG$1234="G2G2",$BG$1234="G17",$BG$1234="E1E4"),$AE$1234&amp;"|"&amp;IF($BU$1234,"DDLP CYLINDRICAL DEADLOCK PREP","DOOR DEADLOCK PREP")&amp;"||"&amp;$BS$1234,"")&amp;IF(OR($BH$1234="FG",$BH$1234="HG",$BH$1234="FNV",$BH$1234="FV"),$BT$1234&amp;"|"&amp;$BI$1234&amp;" LITE KIT||"&amp;$BS$1234,IF($BH$1234="FL",$BT$1234&amp;"|"&amp;$BI$1234&amp;" LOUVER||"&amp;$BS$1234,IF($BH$1234="FP",$BT$1234&amp;"|DVP DOOR VIEWER PREP||"&amp;$BS$1234,"")))&amp;IF($BN$1234&gt;N($AR$1234),$BT$1234&amp;"|DCO DOOR CUT DOWN ONLY (HEIGHT)|Cut "&amp;TRIM(TEXT($BN$1234-N($AR$1234),"# ?/??"))&amp;CHAR(34)&amp;" OFF THE BOTTOM|"&amp;$BS$1234,""))</f>
        <v/>
      </c>
    </row>
    <row r="1235">
      <c r="B1235" s="180">
        <f>IF($AD1235="","",VALUE(LEFT($AD1235,FIND("|",$AD1235)-1)))</f>
        <v/>
      </c>
      <c r="C1235" s="180">
        <f>IF($AD1235="","","    "&amp;MID($AD1235,FIND("|",$AD1235)+1,FIND("|",$AD1235,FIND("|",$AD1235)+1)-FIND("|",$AD1235)-1))</f>
        <v/>
      </c>
      <c r="D1235" s="180">
        <f>IF($AD1235="","",MID($AD1235,FIND("|",$AD1235,FIND("|",$AD1235)+1)+1,FIND("|",$AD1235&amp;"|",FIND("|",$AD1235,FIND("|",$AD1235)+1)+1)-FIND("|",$AD1235,FIND("|",$AD1235)+1)-1))</f>
        <v/>
      </c>
      <c r="AD1235">
        <f>TRIM(MID(SUBSTITUTE($CA$1234,"~",REPT(" ",600)),1,600))</f>
        <v/>
      </c>
    </row>
    <row r="1236">
      <c r="B1236" s="180">
        <f>IF($AD1236="","",VALUE(LEFT($AD1236,FIND("|",$AD1236)-1)))</f>
        <v/>
      </c>
      <c r="C1236" s="180">
        <f>IF($AD1236="","","    "&amp;MID($AD1236,FIND("|",$AD1236)+1,FIND("|",$AD1236,FIND("|",$AD1236)+1)-FIND("|",$AD1236)-1))</f>
        <v/>
      </c>
      <c r="D1236" s="180">
        <f>IF($AD1236="","",MID($AD1236,FIND("|",$AD1236,FIND("|",$AD1236)+1)+1,FIND("|",$AD1236&amp;"|",FIND("|",$AD1236,FIND("|",$AD1236)+1)+1)-FIND("|",$AD1236,FIND("|",$AD1236)+1)-1))</f>
        <v/>
      </c>
      <c r="AD1236">
        <f>TRIM(MID(SUBSTITUTE($CA$1234,"~",REPT(" ",600)),601,600))</f>
        <v/>
      </c>
    </row>
    <row r="1237">
      <c r="B1237" s="180">
        <f>IF($AD1237="","",VALUE(LEFT($AD1237,FIND("|",$AD1237)-1)))</f>
        <v/>
      </c>
      <c r="C1237" s="180">
        <f>IF($AD1237="","","    "&amp;MID($AD1237,FIND("|",$AD1237)+1,FIND("|",$AD1237,FIND("|",$AD1237)+1)-FIND("|",$AD1237)-1))</f>
        <v/>
      </c>
      <c r="D1237" s="180">
        <f>IF($AD1237="","",MID($AD1237,FIND("|",$AD1237,FIND("|",$AD1237)+1)+1,FIND("|",$AD1237&amp;"|",FIND("|",$AD1237,FIND("|",$AD1237)+1)+1)-FIND("|",$AD1237,FIND("|",$AD1237)+1)-1))</f>
        <v/>
      </c>
      <c r="AD1237">
        <f>TRIM(MID(SUBSTITUTE($CA$1234,"~",REPT(" ",600)),1201,600))</f>
        <v/>
      </c>
    </row>
    <row r="1238">
      <c r="B1238" s="180">
        <f>IF($AD1238="","",VALUE(LEFT($AD1238,FIND("|",$AD1238)-1)))</f>
        <v/>
      </c>
      <c r="C1238" s="180">
        <f>IF($AD1238="","","    "&amp;MID($AD1238,FIND("|",$AD1238)+1,FIND("|",$AD1238,FIND("|",$AD1238)+1)-FIND("|",$AD1238)-1))</f>
        <v/>
      </c>
      <c r="D1238" s="180">
        <f>IF($AD1238="","",MID($AD1238,FIND("|",$AD1238,FIND("|",$AD1238)+1)+1,FIND("|",$AD1238&amp;"|",FIND("|",$AD1238,FIND("|",$AD1238)+1)+1)-FIND("|",$AD1238,FIND("|",$AD1238)+1)-1))</f>
        <v/>
      </c>
      <c r="AD1238">
        <f>TRIM(MID(SUBSTITUTE($CA$1234,"~",REPT(" ",600)),1801,600))</f>
        <v/>
      </c>
    </row>
    <row r="1239">
      <c r="B1239" s="180">
        <f>IF($AD1239="","",VALUE(LEFT($AD1239,FIND("|",$AD1239)-1)))</f>
        <v/>
      </c>
      <c r="C1239" s="180">
        <f>IF($AD1239="","","    "&amp;MID($AD1239,FIND("|",$AD1239)+1,FIND("|",$AD1239,FIND("|",$AD1239)+1)-FIND("|",$AD1239)-1))</f>
        <v/>
      </c>
      <c r="D1239" s="180">
        <f>IF($AD1239="","",MID($AD1239,FIND("|",$AD1239,FIND("|",$AD1239)+1)+1,FIND("|",$AD1239&amp;"|",FIND("|",$AD1239,FIND("|",$AD1239)+1)+1)-FIND("|",$AD1239,FIND("|",$AD1239)+1)-1))</f>
        <v/>
      </c>
      <c r="AD1239">
        <f>TRIM(MID(SUBSTITUTE($CA$1234,"~",REPT(" ",600)),2401,600))</f>
        <v/>
      </c>
    </row>
    <row r="1240">
      <c r="B1240" s="180">
        <f>IF($AD1240="","",VALUE(LEFT($AD1240,FIND("|",$AD1240)-1)))</f>
        <v/>
      </c>
      <c r="C1240" s="180">
        <f>IF($AD1240="","","    "&amp;MID($AD1240,FIND("|",$AD1240)+1,FIND("|",$AD1240,FIND("|",$AD1240)+1)-FIND("|",$AD1240)-1))</f>
        <v/>
      </c>
      <c r="D1240" s="180">
        <f>IF($AD1240="","",MID($AD1240,FIND("|",$AD1240,FIND("|",$AD1240)+1)+1,FIND("|",$AD1240&amp;"|",FIND("|",$AD1240,FIND("|",$AD1240)+1)+1)-FIND("|",$AD1240,FIND("|",$AD1240)+1)-1))</f>
        <v/>
      </c>
      <c r="AD1240">
        <f>TRIM(MID(SUBSTITUTE($CA$1234,"~",REPT(" ",600)),3001,600))</f>
        <v/>
      </c>
    </row>
    <row r="1241">
      <c r="B1241" s="180">
        <f>IF($AD1241="","",VALUE(LEFT($AD1241,FIND("|",$AD1241)-1)))</f>
        <v/>
      </c>
      <c r="C1241" s="180">
        <f>IF($AD1241="","","    "&amp;MID($AD1241,FIND("|",$AD1241)+1,FIND("|",$AD1241,FIND("|",$AD1241)+1)-FIND("|",$AD1241)-1))</f>
        <v/>
      </c>
      <c r="D1241" s="180">
        <f>IF($AD1241="","",MID($AD1241,FIND("|",$AD1241,FIND("|",$AD1241)+1)+1,FIND("|",$AD1241&amp;"|",FIND("|",$AD1241,FIND("|",$AD1241)+1)+1)-FIND("|",$AD1241,FIND("|",$AD1241)+1)-1))</f>
        <v/>
      </c>
      <c r="AD1241">
        <f>TRIM(MID(SUBSTITUTE($CA$1234,"~",REPT(" ",600)),3601,600))</f>
        <v/>
      </c>
    </row>
    <row r="1242">
      <c r="B1242" s="180">
        <f>IF($AD1242="","",VALUE(LEFT($AD1242,FIND("|",$AD1242)-1)))</f>
        <v/>
      </c>
      <c r="C1242" s="180">
        <f>IF($AD1242="","","    "&amp;MID($AD1242,FIND("|",$AD1242)+1,FIND("|",$AD1242,FIND("|",$AD1242)+1)-FIND("|",$AD1242)-1))</f>
        <v/>
      </c>
      <c r="D1242" s="180">
        <f>IF($AD1242="","",MID($AD1242,FIND("|",$AD1242,FIND("|",$AD1242)+1)+1,FIND("|",$AD1242&amp;"|",FIND("|",$AD1242,FIND("|",$AD1242)+1)+1)-FIND("|",$AD1242,FIND("|",$AD1242)+1)-1))</f>
        <v/>
      </c>
      <c r="AD1242">
        <f>TRIM(MID(SUBSTITUTE($CA$1234,"~",REPT(" ",600)),4201,600))</f>
        <v/>
      </c>
    </row>
    <row r="1243">
      <c r="B1243" s="180">
        <f>IF($AD1243="","",VALUE(LEFT($AD1243,FIND("|",$AD1243)-1)))</f>
        <v/>
      </c>
      <c r="C1243" s="180">
        <f>IF($AD1243="","","    "&amp;MID($AD1243,FIND("|",$AD1243)+1,FIND("|",$AD1243,FIND("|",$AD1243)+1)-FIND("|",$AD1243)-1))</f>
        <v/>
      </c>
      <c r="D1243" s="180">
        <f>IF($AD1243="","",MID($AD1243,FIND("|",$AD1243,FIND("|",$AD1243)+1)+1,FIND("|",$AD1243&amp;"|",FIND("|",$AD1243,FIND("|",$AD1243)+1)+1)-FIND("|",$AD1243,FIND("|",$AD1243)+1)-1))</f>
        <v/>
      </c>
      <c r="AD1243">
        <f>TRIM(MID(SUBSTITUTE($CA$1234,"~",REPT(" ",600)),4801,600))</f>
        <v/>
      </c>
    </row>
    <row r="1244">
      <c r="B1244" s="180">
        <f>IF($AD1244="","",VALUE(LEFT($AD1244,FIND("|",$AD1244)-1)))</f>
        <v/>
      </c>
      <c r="C1244" s="180">
        <f>IF($AD1244="","","    "&amp;MID($AD1244,FIND("|",$AD1244)+1,FIND("|",$AD1244,FIND("|",$AD1244)+1)-FIND("|",$AD1244)-1))</f>
        <v/>
      </c>
      <c r="D1244" s="180">
        <f>IF($AD1244="","",MID($AD1244,FIND("|",$AD1244,FIND("|",$AD1244)+1)+1,FIND("|",$AD1244&amp;"|",FIND("|",$AD1244,FIND("|",$AD1244)+1)+1)-FIND("|",$AD1244,FIND("|",$AD1244)+1)-1))</f>
        <v/>
      </c>
      <c r="AD1244">
        <f>TRIM(MID(SUBSTITUTE($CA$1234,"~",REPT(" ",600)),5401,600))</f>
        <v/>
      </c>
    </row>
    <row r="1245">
      <c r="B1245" s="180">
        <f>IF($AD1245="","",VALUE(LEFT($AD1245,FIND("|",$AD1245)-1)))</f>
        <v/>
      </c>
      <c r="C1245" s="180">
        <f>IF($AD1245="","","    "&amp;MID($AD1245,FIND("|",$AD1245)+1,FIND("|",$AD1245,FIND("|",$AD1245)+1)-FIND("|",$AD1245)-1))</f>
        <v/>
      </c>
      <c r="D1245" s="180">
        <f>IF($AD1245="","",MID($AD1245,FIND("|",$AD1245,FIND("|",$AD1245)+1)+1,FIND("|",$AD1245&amp;"|",FIND("|",$AD1245,FIND("|",$AD1245)+1)+1)-FIND("|",$AD1245,FIND("|",$AD1245)+1)-1))</f>
        <v/>
      </c>
      <c r="AD1245">
        <f>TRIM(MID(SUBSTITUTE($CA$1234,"~",REPT(" ",600)),6001,600))</f>
        <v/>
      </c>
    </row>
    <row r="1246">
      <c r="A1246" s="178">
        <f>IF($AD$1246=0,"",$BK$1246)</f>
        <v/>
      </c>
      <c r="B1246" s="178">
        <f>IF($AD$1246=0,"",$AE$1246*N($BA$1246))</f>
        <v/>
      </c>
      <c r="C1246" s="178">
        <f>IF($AD$1246=0,"",$AE$1246*N($BA$1246)&amp;") "&amp;IF(COUNTIFS(tk_SODG,44,tk_HLEG,"&lt;&gt;"&amp;$BJ$1246)=0,INDEX(tk_DLINE,$AD$1246),INDEX(tk_DLINEN,$AD$1246)))</f>
        <v/>
      </c>
      <c r="D1246" s="178" t="n"/>
      <c r="E1246" s="179">
        <f t="array" ref="E1246">IF($AD$1246=0,"",_xlfn.TEXTJOIN(", ",TRUE,IF(tk_SODG=44,"#"&amp;tk_MARK&amp;IF(tk_HLEG="","","("&amp;tk_HLEG&amp;")")&amp;IF(tk_QTY&gt;1," ×"&amp;tk_QTY,""),"")))</f>
        <v/>
      </c>
      <c r="AD1246">
        <f>IFERROR(MATCH(44,tk_SODG,0),0)</f>
        <v/>
      </c>
      <c r="AE1246">
        <f>IF($AD$1246=0,0,SUMIF(tk_SODG,44,tk_QTY))</f>
        <v/>
      </c>
      <c r="AF1246">
        <f>IF($AD$1246=0,"",INDEX(tk_JAMB,$AD$1246))</f>
        <v/>
      </c>
      <c r="AG1246">
        <f>IF($AD$1246=0,"",INDEX(tk_ANCHOR,$AD$1246))</f>
        <v/>
      </c>
      <c r="AH1246">
        <f>IF($AD$1246=0,"",INDEX(tk_ANCH,$AD$1246))</f>
        <v/>
      </c>
      <c r="AI1246">
        <f>IF($AD$1246=0,"",INDEX(tk_BASEA,$AD$1246))</f>
        <v/>
      </c>
      <c r="AJ1246">
        <f>IF($AD$1246=0,"",INDEX(tk_CONSTR,$AD$1246))</f>
        <v/>
      </c>
      <c r="AK1246">
        <f>IF($AD$1246=0,"",INDEX(tk_CLOSER,$AD$1246))</f>
        <v/>
      </c>
      <c r="AL1246">
        <f>IF($AD$1246=0,"",INDEX(tk_STRIKE,$AD$1246))</f>
        <v/>
      </c>
      <c r="AM1246">
        <f>IF($AD$1246=0,"",INDEX(tk_HDRPREP,$AD$1246))</f>
        <v/>
      </c>
      <c r="AN1246">
        <f>IF($AD$1246=0,"",INDEX(tk_DMIN,$AD$1246))</f>
        <v/>
      </c>
      <c r="AO1246">
        <f>IF($AD$1246=0,"",INDEX(tk_PAIR,$AD$1246))</f>
        <v/>
      </c>
      <c r="AP1246">
        <f>IF($AD$1246=0,"",INDEX(tk_FGA,$AD$1246))</f>
        <v/>
      </c>
      <c r="AQ1246">
        <f>IF($AD$1246=0,"",INDEX(tk_WI,$AD$1246))</f>
        <v/>
      </c>
      <c r="AR1246">
        <f>IF($AD$1246=0,"",INDEX(tk_HI,$AD$1246))</f>
        <v/>
      </c>
      <c r="AS1246">
        <f>IF($AD$1246=0,"",INDEX(tk_FHINGE,$AD$1246))</f>
        <v/>
      </c>
      <c r="AT1246">
        <f>IF($AD$1246=0,"",INDEX(tk_DHINGE,$AD$1246))</f>
        <v/>
      </c>
      <c r="AU1246">
        <f>IF($AD$1246=0,"",INDEX(tk_HWLOC,$AD$1246))</f>
        <v/>
      </c>
      <c r="AV1246">
        <f>IF($AD$1246=0,"",INDEX(tk_MANUF,$AD$1246))</f>
        <v/>
      </c>
      <c r="AW1246">
        <f>IF($AD$1246=0,"",INDEX(tk_JH,$AD$1246))</f>
        <v/>
      </c>
      <c r="AX1246">
        <f>IF($AD$1246=0,"",INDEX(tk_FDESC,$AD$1246))</f>
        <v/>
      </c>
      <c r="AY1246">
        <f>IF($AD$1246=0,"",INDEX(tk_TRANS,$AD$1246))</f>
        <v/>
      </c>
      <c r="AZ1246">
        <f>IF($AD$1246=0,"",INDEX(tk_SLW,$AD$1246))</f>
        <v/>
      </c>
      <c r="BA1246">
        <f>IF($AD$1246=0,"",INDEX(tk_LEAVES,$AD$1246))</f>
        <v/>
      </c>
      <c r="BB1246">
        <f>IF($AD$1246=0,"",INDEX(tk_LEAFW,$AD$1246))</f>
        <v/>
      </c>
      <c r="BC1246">
        <f>IF($AD$1246=0,"",INDEX(tk_LEAFH,$AD$1246))</f>
        <v/>
      </c>
      <c r="BD1246">
        <f>IF($AD$1246=0,"",INDEX(tk_DMAT,$AD$1246))</f>
        <v/>
      </c>
      <c r="BE1246">
        <f>IF($AD$1246=0,"",INDEX(tk_DGA,$AD$1246))</f>
        <v/>
      </c>
      <c r="BF1246">
        <f>IF($AD$1246=0,"",INDEX(tk_SERIES,$AD$1246))</f>
        <v/>
      </c>
      <c r="BG1246">
        <f>IF($AD$1246=0,"",INDEX(tk_LOCK,$AD$1246))</f>
        <v/>
      </c>
      <c r="BH1246">
        <f>IF($AD$1246=0,"",INDEX(tk_LITEKIT,$AD$1246))</f>
        <v/>
      </c>
      <c r="BI1246">
        <f>IF($AD$1246=0,"",INDEX(tk_FACE,$AD$1246))</f>
        <v/>
      </c>
      <c r="BJ1246">
        <f>IF($AD$1246=0,"",INDEX(tk_HLEG,$AD$1246))</f>
        <v/>
      </c>
      <c r="BK1246">
        <f>IF($AD$1246=0,"",INDEX(tk_SOITEM,$AD$1246))</f>
        <v/>
      </c>
      <c r="BL1246">
        <f>IFERROR(VLOOKUP($AF$1246,CODES,2,FALSE),"")</f>
        <v/>
      </c>
      <c r="BM1246">
        <f>IF($AJ$1246="KD","C","M")</f>
        <v/>
      </c>
      <c r="BN1246">
        <f>IF(N($AR$1246)&lt;=80,80,IF(N($AR$1246)&lt;=84,84,IF(N($AR$1246)&lt;=96,96,N($AR$1246))))</f>
        <v/>
      </c>
      <c r="BO1246">
        <f>INT($BN$1246/12)&amp;MOD($BN$1246,12)</f>
        <v/>
      </c>
      <c r="BP1246">
        <f>INT(N($AQ$1246)/12)&amp;MOD(N($AQ$1246),12)</f>
        <v/>
      </c>
      <c r="BQ1246">
        <f>IF(OR($AU$1246="",$AU$1246="ANSI/SDI",$AU$1246="CUSTOM LOC"),IF($AV$1246="CU","CURRIES","STEELCRAFT"),$AU$1246)</f>
        <v/>
      </c>
      <c r="BR1246">
        <f>$AO$1246="Y"</f>
        <v/>
      </c>
      <c r="BS1246">
        <f>"~"</f>
        <v/>
      </c>
      <c r="BT1246">
        <f>$AE$1246*N($BA$1246)</f>
        <v/>
      </c>
      <c r="BU1246">
        <f>OR(LEFT($BD$1246,3)="OAK",LEFT($BD$1246,3)="BIR",LEFT($BD$1246,3)="MAP",$BD$1246="PC",$BD$1246="MC",$BD$1246="SCLC",$BD$1246="P-LAM")</f>
        <v/>
      </c>
      <c r="BV1246">
        <f>INT(N($AQ$1246)/MAX(1,N($BA$1246))/12)&amp;MOD(N($AQ$1246)/MAX(1,N($BA$1246)),12)</f>
        <v/>
      </c>
      <c r="BW1246">
        <f>IF(OR($BG$1246="G11",$BG$1246="G11A",$BG$1246="G12A"),"G2",IF(OR(LEFT($BG$1246,2)="G3",$BG$1246="G12"),"G3AEO",$BG$1246))</f>
        <v/>
      </c>
      <c r="BX1246">
        <f>"(Net size: "&amp;TRIM(TEXT(N($BB$1246),"# ?/??"))&amp;CHAR(34)&amp;" x "&amp;TRIM(TEXT(N($BC$1246),"# ?/??"))&amp;CHAR(34)&amp;")"</f>
        <v/>
      </c>
      <c r="BY1246">
        <f>IF(LEFT($BD$1246,3)="OAK","RED OAK",IF(LEFT($BD$1246,3)="BIR","BIRCH",IF(LEFT($BD$1246,3)="MAP","MAPLE","WOOD")))</f>
        <v/>
      </c>
      <c r="BZ1246">
        <f>IF(OR($AT$1246="U454",AND($AT$1246="",$AS$1246="U454")),"454","453")</f>
        <v/>
      </c>
      <c r="CA1246">
        <f>IF($AD$1246=0,"",IF($BU$1246,$BT$1246&amp;"|"&amp;$BV$1246&amp;$BO$1246&amp;" "&amp;$BY$1246&amp;" SLAB "&amp;IF(N($AN$1246)&gt;0,$AN$1246&amp;" MINUTE",IF(RIGHT($BD$1246,2)="MC","MC","SC")&amp;" WOOD DOOR")&amp;"|"&amp;$BX$1246&amp;"|"&amp;$BS$1246,$BT$1246&amp;"|"&amp;$BV$1246&amp;$BO$1246&amp;$BW$1246&amp;" BSC "&amp;$BQ$1246&amp;" DOOR "&amp;$BE$1246&amp;"Ga. Non-Handed "&amp;IF($BF$1246="","707",$BF$1246)&amp;"S Flush HM|"&amp;$BX$1246&amp;"|"&amp;$BS$1246)&amp;IF(N($AN$1246)&gt;0,$BT$1246&amp;"|"&amp;$AN$1246&amp;IF($BU$1246," MINUTE WARNOCK HERSHEY FIRE RATED WOOD LABEL"," MINUTE FOAM CORE STEEL DOOR LABEL (MODELS 607 &amp; 707)")&amp;"||"&amp;$BS$1246,"")&amp;IF(AND(NOT($BU$1246),OR($BG$1246="G11",$BG$1246="G11A",$BG$1246="G12",$BG$1246="G12A")),$AE$1246&amp;"|EXIT DEVICE PREP FOR HM DOOR||"&amp;$BS$1246,"")&amp;IF(AND(NOT($BU$1246),$BG$1246="G12"),$AE$1246&amp;"|DR 350 MORTISE LOCK FILLER PLATE||"&amp;$BS$1246,"")&amp;IF(AND(NOT($BU$1246),LEFT($BG$1246,2)="G3"),$AE$1246&amp;"|MORTISE LOCK PREP||"&amp;$BS$1246,"")&amp;IF($BU$1246,$BT$1246&amp;"|"&amp;IF($BG$1246="G18",$BZ$1246&amp;"-4 1/2"&amp;CHAR(34)&amp;"X4 1/2"&amp;CHAR(34)&amp;" HINGES ONLY PREP","HINGE PREP "&amp;$BZ$1246&amp;" WITH LOCK PREP")&amp;"|"&amp;$BQ$1246&amp;" LOC|"&amp;$BS$1246,"")&amp;IF(OR($BG$1246="G2G2",$BG$1246="G17",$BG$1246="E1E4"),$AE$1246&amp;"|"&amp;IF($BU$1246,"DDLP CYLINDRICAL DEADLOCK PREP","DOOR DEADLOCK PREP")&amp;"||"&amp;$BS$1246,"")&amp;IF(OR($BH$1246="FG",$BH$1246="HG",$BH$1246="FNV",$BH$1246="FV"),$BT$1246&amp;"|"&amp;$BI$1246&amp;" LITE KIT||"&amp;$BS$1246,IF($BH$1246="FL",$BT$1246&amp;"|"&amp;$BI$1246&amp;" LOUVER||"&amp;$BS$1246,IF($BH$1246="FP",$BT$1246&amp;"|DVP DOOR VIEWER PREP||"&amp;$BS$1246,"")))&amp;IF($BN$1246&gt;N($AR$1246),$BT$1246&amp;"|DCO DOOR CUT DOWN ONLY (HEIGHT)|Cut "&amp;TRIM(TEXT($BN$1246-N($AR$1246),"# ?/??"))&amp;CHAR(34)&amp;" OFF THE BOTTOM|"&amp;$BS$1246,""))</f>
        <v/>
      </c>
    </row>
    <row r="1247">
      <c r="B1247" s="180">
        <f>IF($AD1247="","",VALUE(LEFT($AD1247,FIND("|",$AD1247)-1)))</f>
        <v/>
      </c>
      <c r="C1247" s="180">
        <f>IF($AD1247="","","    "&amp;MID($AD1247,FIND("|",$AD1247)+1,FIND("|",$AD1247,FIND("|",$AD1247)+1)-FIND("|",$AD1247)-1))</f>
        <v/>
      </c>
      <c r="D1247" s="180">
        <f>IF($AD1247="","",MID($AD1247,FIND("|",$AD1247,FIND("|",$AD1247)+1)+1,FIND("|",$AD1247&amp;"|",FIND("|",$AD1247,FIND("|",$AD1247)+1)+1)-FIND("|",$AD1247,FIND("|",$AD1247)+1)-1))</f>
        <v/>
      </c>
      <c r="AD1247">
        <f>TRIM(MID(SUBSTITUTE($CA$1246,"~",REPT(" ",600)),1,600))</f>
        <v/>
      </c>
    </row>
    <row r="1248">
      <c r="B1248" s="180">
        <f>IF($AD1248="","",VALUE(LEFT($AD1248,FIND("|",$AD1248)-1)))</f>
        <v/>
      </c>
      <c r="C1248" s="180">
        <f>IF($AD1248="","","    "&amp;MID($AD1248,FIND("|",$AD1248)+1,FIND("|",$AD1248,FIND("|",$AD1248)+1)-FIND("|",$AD1248)-1))</f>
        <v/>
      </c>
      <c r="D1248" s="180">
        <f>IF($AD1248="","",MID($AD1248,FIND("|",$AD1248,FIND("|",$AD1248)+1)+1,FIND("|",$AD1248&amp;"|",FIND("|",$AD1248,FIND("|",$AD1248)+1)+1)-FIND("|",$AD1248,FIND("|",$AD1248)+1)-1))</f>
        <v/>
      </c>
      <c r="AD1248">
        <f>TRIM(MID(SUBSTITUTE($CA$1246,"~",REPT(" ",600)),601,600))</f>
        <v/>
      </c>
    </row>
    <row r="1249">
      <c r="B1249" s="180">
        <f>IF($AD1249="","",VALUE(LEFT($AD1249,FIND("|",$AD1249)-1)))</f>
        <v/>
      </c>
      <c r="C1249" s="180">
        <f>IF($AD1249="","","    "&amp;MID($AD1249,FIND("|",$AD1249)+1,FIND("|",$AD1249,FIND("|",$AD1249)+1)-FIND("|",$AD1249)-1))</f>
        <v/>
      </c>
      <c r="D1249" s="180">
        <f>IF($AD1249="","",MID($AD1249,FIND("|",$AD1249,FIND("|",$AD1249)+1)+1,FIND("|",$AD1249&amp;"|",FIND("|",$AD1249,FIND("|",$AD1249)+1)+1)-FIND("|",$AD1249,FIND("|",$AD1249)+1)-1))</f>
        <v/>
      </c>
      <c r="AD1249">
        <f>TRIM(MID(SUBSTITUTE($CA$1246,"~",REPT(" ",600)),1201,600))</f>
        <v/>
      </c>
    </row>
    <row r="1250">
      <c r="B1250" s="180">
        <f>IF($AD1250="","",VALUE(LEFT($AD1250,FIND("|",$AD1250)-1)))</f>
        <v/>
      </c>
      <c r="C1250" s="180">
        <f>IF($AD1250="","","    "&amp;MID($AD1250,FIND("|",$AD1250)+1,FIND("|",$AD1250,FIND("|",$AD1250)+1)-FIND("|",$AD1250)-1))</f>
        <v/>
      </c>
      <c r="D1250" s="180">
        <f>IF($AD1250="","",MID($AD1250,FIND("|",$AD1250,FIND("|",$AD1250)+1)+1,FIND("|",$AD1250&amp;"|",FIND("|",$AD1250,FIND("|",$AD1250)+1)+1)-FIND("|",$AD1250,FIND("|",$AD1250)+1)-1))</f>
        <v/>
      </c>
      <c r="AD1250">
        <f>TRIM(MID(SUBSTITUTE($CA$1246,"~",REPT(" ",600)),1801,600))</f>
        <v/>
      </c>
    </row>
    <row r="1251">
      <c r="B1251" s="180">
        <f>IF($AD1251="","",VALUE(LEFT($AD1251,FIND("|",$AD1251)-1)))</f>
        <v/>
      </c>
      <c r="C1251" s="180">
        <f>IF($AD1251="","","    "&amp;MID($AD1251,FIND("|",$AD1251)+1,FIND("|",$AD1251,FIND("|",$AD1251)+1)-FIND("|",$AD1251)-1))</f>
        <v/>
      </c>
      <c r="D1251" s="180">
        <f>IF($AD1251="","",MID($AD1251,FIND("|",$AD1251,FIND("|",$AD1251)+1)+1,FIND("|",$AD1251&amp;"|",FIND("|",$AD1251,FIND("|",$AD1251)+1)+1)-FIND("|",$AD1251,FIND("|",$AD1251)+1)-1))</f>
        <v/>
      </c>
      <c r="AD1251">
        <f>TRIM(MID(SUBSTITUTE($CA$1246,"~",REPT(" ",600)),2401,600))</f>
        <v/>
      </c>
    </row>
    <row r="1252">
      <c r="B1252" s="180">
        <f>IF($AD1252="","",VALUE(LEFT($AD1252,FIND("|",$AD1252)-1)))</f>
        <v/>
      </c>
      <c r="C1252" s="180">
        <f>IF($AD1252="","","    "&amp;MID($AD1252,FIND("|",$AD1252)+1,FIND("|",$AD1252,FIND("|",$AD1252)+1)-FIND("|",$AD1252)-1))</f>
        <v/>
      </c>
      <c r="D1252" s="180">
        <f>IF($AD1252="","",MID($AD1252,FIND("|",$AD1252,FIND("|",$AD1252)+1)+1,FIND("|",$AD1252&amp;"|",FIND("|",$AD1252,FIND("|",$AD1252)+1)+1)-FIND("|",$AD1252,FIND("|",$AD1252)+1)-1))</f>
        <v/>
      </c>
      <c r="AD1252">
        <f>TRIM(MID(SUBSTITUTE($CA$1246,"~",REPT(" ",600)),3001,600))</f>
        <v/>
      </c>
    </row>
    <row r="1253">
      <c r="B1253" s="180">
        <f>IF($AD1253="","",VALUE(LEFT($AD1253,FIND("|",$AD1253)-1)))</f>
        <v/>
      </c>
      <c r="C1253" s="180">
        <f>IF($AD1253="","","    "&amp;MID($AD1253,FIND("|",$AD1253)+1,FIND("|",$AD1253,FIND("|",$AD1253)+1)-FIND("|",$AD1253)-1))</f>
        <v/>
      </c>
      <c r="D1253" s="180">
        <f>IF($AD1253="","",MID($AD1253,FIND("|",$AD1253,FIND("|",$AD1253)+1)+1,FIND("|",$AD1253&amp;"|",FIND("|",$AD1253,FIND("|",$AD1253)+1)+1)-FIND("|",$AD1253,FIND("|",$AD1253)+1)-1))</f>
        <v/>
      </c>
      <c r="AD1253">
        <f>TRIM(MID(SUBSTITUTE($CA$1246,"~",REPT(" ",600)),3601,600))</f>
        <v/>
      </c>
    </row>
    <row r="1254">
      <c r="B1254" s="180">
        <f>IF($AD1254="","",VALUE(LEFT($AD1254,FIND("|",$AD1254)-1)))</f>
        <v/>
      </c>
      <c r="C1254" s="180">
        <f>IF($AD1254="","","    "&amp;MID($AD1254,FIND("|",$AD1254)+1,FIND("|",$AD1254,FIND("|",$AD1254)+1)-FIND("|",$AD1254)-1))</f>
        <v/>
      </c>
      <c r="D1254" s="180">
        <f>IF($AD1254="","",MID($AD1254,FIND("|",$AD1254,FIND("|",$AD1254)+1)+1,FIND("|",$AD1254&amp;"|",FIND("|",$AD1254,FIND("|",$AD1254)+1)+1)-FIND("|",$AD1254,FIND("|",$AD1254)+1)-1))</f>
        <v/>
      </c>
      <c r="AD1254">
        <f>TRIM(MID(SUBSTITUTE($CA$1246,"~",REPT(" ",600)),4201,600))</f>
        <v/>
      </c>
    </row>
    <row r="1255">
      <c r="B1255" s="180">
        <f>IF($AD1255="","",VALUE(LEFT($AD1255,FIND("|",$AD1255)-1)))</f>
        <v/>
      </c>
      <c r="C1255" s="180">
        <f>IF($AD1255="","","    "&amp;MID($AD1255,FIND("|",$AD1255)+1,FIND("|",$AD1255,FIND("|",$AD1255)+1)-FIND("|",$AD1255)-1))</f>
        <v/>
      </c>
      <c r="D1255" s="180">
        <f>IF($AD1255="","",MID($AD1255,FIND("|",$AD1255,FIND("|",$AD1255)+1)+1,FIND("|",$AD1255&amp;"|",FIND("|",$AD1255,FIND("|",$AD1255)+1)+1)-FIND("|",$AD1255,FIND("|",$AD1255)+1)-1))</f>
        <v/>
      </c>
      <c r="AD1255">
        <f>TRIM(MID(SUBSTITUTE($CA$1246,"~",REPT(" ",600)),4801,600))</f>
        <v/>
      </c>
    </row>
    <row r="1256">
      <c r="B1256" s="180">
        <f>IF($AD1256="","",VALUE(LEFT($AD1256,FIND("|",$AD1256)-1)))</f>
        <v/>
      </c>
      <c r="C1256" s="180">
        <f>IF($AD1256="","","    "&amp;MID($AD1256,FIND("|",$AD1256)+1,FIND("|",$AD1256,FIND("|",$AD1256)+1)-FIND("|",$AD1256)-1))</f>
        <v/>
      </c>
      <c r="D1256" s="180">
        <f>IF($AD1256="","",MID($AD1256,FIND("|",$AD1256,FIND("|",$AD1256)+1)+1,FIND("|",$AD1256&amp;"|",FIND("|",$AD1256,FIND("|",$AD1256)+1)+1)-FIND("|",$AD1256,FIND("|",$AD1256)+1)-1))</f>
        <v/>
      </c>
      <c r="AD1256">
        <f>TRIM(MID(SUBSTITUTE($CA$1246,"~",REPT(" ",600)),5401,600))</f>
        <v/>
      </c>
    </row>
    <row r="1257">
      <c r="B1257" s="180">
        <f>IF($AD1257="","",VALUE(LEFT($AD1257,FIND("|",$AD1257)-1)))</f>
        <v/>
      </c>
      <c r="C1257" s="180">
        <f>IF($AD1257="","","    "&amp;MID($AD1257,FIND("|",$AD1257)+1,FIND("|",$AD1257,FIND("|",$AD1257)+1)-FIND("|",$AD1257)-1))</f>
        <v/>
      </c>
      <c r="D1257" s="180">
        <f>IF($AD1257="","",MID($AD1257,FIND("|",$AD1257,FIND("|",$AD1257)+1)+1,FIND("|",$AD1257&amp;"|",FIND("|",$AD1257,FIND("|",$AD1257)+1)+1)-FIND("|",$AD1257,FIND("|",$AD1257)+1)-1))</f>
        <v/>
      </c>
      <c r="AD1257">
        <f>TRIM(MID(SUBSTITUTE($CA$1246,"~",REPT(" ",600)),6001,600))</f>
        <v/>
      </c>
    </row>
    <row r="1258">
      <c r="A1258" s="178">
        <f>IF($AD$1258=0,"",$BK$1258)</f>
        <v/>
      </c>
      <c r="B1258" s="178">
        <f>IF($AD$1258=0,"",$AE$1258*N($BA$1258))</f>
        <v/>
      </c>
      <c r="C1258" s="178">
        <f>IF($AD$1258=0,"",$AE$1258*N($BA$1258)&amp;") "&amp;IF(COUNTIFS(tk_SODG,45,tk_HLEG,"&lt;&gt;"&amp;$BJ$1258)=0,INDEX(tk_DLINE,$AD$1258),INDEX(tk_DLINEN,$AD$1258)))</f>
        <v/>
      </c>
      <c r="D1258" s="178" t="n"/>
      <c r="E1258" s="179">
        <f t="array" ref="E1258">IF($AD$1258=0,"",_xlfn.TEXTJOIN(", ",TRUE,IF(tk_SODG=45,"#"&amp;tk_MARK&amp;IF(tk_HLEG="","","("&amp;tk_HLEG&amp;")")&amp;IF(tk_QTY&gt;1," ×"&amp;tk_QTY,""),"")))</f>
        <v/>
      </c>
      <c r="AD1258">
        <f>IFERROR(MATCH(45,tk_SODG,0),0)</f>
        <v/>
      </c>
      <c r="AE1258">
        <f>IF($AD$1258=0,0,SUMIF(tk_SODG,45,tk_QTY))</f>
        <v/>
      </c>
      <c r="AF1258">
        <f>IF($AD$1258=0,"",INDEX(tk_JAMB,$AD$1258))</f>
        <v/>
      </c>
      <c r="AG1258">
        <f>IF($AD$1258=0,"",INDEX(tk_ANCHOR,$AD$1258))</f>
        <v/>
      </c>
      <c r="AH1258">
        <f>IF($AD$1258=0,"",INDEX(tk_ANCH,$AD$1258))</f>
        <v/>
      </c>
      <c r="AI1258">
        <f>IF($AD$1258=0,"",INDEX(tk_BASEA,$AD$1258))</f>
        <v/>
      </c>
      <c r="AJ1258">
        <f>IF($AD$1258=0,"",INDEX(tk_CONSTR,$AD$1258))</f>
        <v/>
      </c>
      <c r="AK1258">
        <f>IF($AD$1258=0,"",INDEX(tk_CLOSER,$AD$1258))</f>
        <v/>
      </c>
      <c r="AL1258">
        <f>IF($AD$1258=0,"",INDEX(tk_STRIKE,$AD$1258))</f>
        <v/>
      </c>
      <c r="AM1258">
        <f>IF($AD$1258=0,"",INDEX(tk_HDRPREP,$AD$1258))</f>
        <v/>
      </c>
      <c r="AN1258">
        <f>IF($AD$1258=0,"",INDEX(tk_DMIN,$AD$1258))</f>
        <v/>
      </c>
      <c r="AO1258">
        <f>IF($AD$1258=0,"",INDEX(tk_PAIR,$AD$1258))</f>
        <v/>
      </c>
      <c r="AP1258">
        <f>IF($AD$1258=0,"",INDEX(tk_FGA,$AD$1258))</f>
        <v/>
      </c>
      <c r="AQ1258">
        <f>IF($AD$1258=0,"",INDEX(tk_WI,$AD$1258))</f>
        <v/>
      </c>
      <c r="AR1258">
        <f>IF($AD$1258=0,"",INDEX(tk_HI,$AD$1258))</f>
        <v/>
      </c>
      <c r="AS1258">
        <f>IF($AD$1258=0,"",INDEX(tk_FHINGE,$AD$1258))</f>
        <v/>
      </c>
      <c r="AT1258">
        <f>IF($AD$1258=0,"",INDEX(tk_DHINGE,$AD$1258))</f>
        <v/>
      </c>
      <c r="AU1258">
        <f>IF($AD$1258=0,"",INDEX(tk_HWLOC,$AD$1258))</f>
        <v/>
      </c>
      <c r="AV1258">
        <f>IF($AD$1258=0,"",INDEX(tk_MANUF,$AD$1258))</f>
        <v/>
      </c>
      <c r="AW1258">
        <f>IF($AD$1258=0,"",INDEX(tk_JH,$AD$1258))</f>
        <v/>
      </c>
      <c r="AX1258">
        <f>IF($AD$1258=0,"",INDEX(tk_FDESC,$AD$1258))</f>
        <v/>
      </c>
      <c r="AY1258">
        <f>IF($AD$1258=0,"",INDEX(tk_TRANS,$AD$1258))</f>
        <v/>
      </c>
      <c r="AZ1258">
        <f>IF($AD$1258=0,"",INDEX(tk_SLW,$AD$1258))</f>
        <v/>
      </c>
      <c r="BA1258">
        <f>IF($AD$1258=0,"",INDEX(tk_LEAVES,$AD$1258))</f>
        <v/>
      </c>
      <c r="BB1258">
        <f>IF($AD$1258=0,"",INDEX(tk_LEAFW,$AD$1258))</f>
        <v/>
      </c>
      <c r="BC1258">
        <f>IF($AD$1258=0,"",INDEX(tk_LEAFH,$AD$1258))</f>
        <v/>
      </c>
      <c r="BD1258">
        <f>IF($AD$1258=0,"",INDEX(tk_DMAT,$AD$1258))</f>
        <v/>
      </c>
      <c r="BE1258">
        <f>IF($AD$1258=0,"",INDEX(tk_DGA,$AD$1258))</f>
        <v/>
      </c>
      <c r="BF1258">
        <f>IF($AD$1258=0,"",INDEX(tk_SERIES,$AD$1258))</f>
        <v/>
      </c>
      <c r="BG1258">
        <f>IF($AD$1258=0,"",INDEX(tk_LOCK,$AD$1258))</f>
        <v/>
      </c>
      <c r="BH1258">
        <f>IF($AD$1258=0,"",INDEX(tk_LITEKIT,$AD$1258))</f>
        <v/>
      </c>
      <c r="BI1258">
        <f>IF($AD$1258=0,"",INDEX(tk_FACE,$AD$1258))</f>
        <v/>
      </c>
      <c r="BJ1258">
        <f>IF($AD$1258=0,"",INDEX(tk_HLEG,$AD$1258))</f>
        <v/>
      </c>
      <c r="BK1258">
        <f>IF($AD$1258=0,"",INDEX(tk_SOITEM,$AD$1258))</f>
        <v/>
      </c>
      <c r="BL1258">
        <f>IFERROR(VLOOKUP($AF$1258,CODES,2,FALSE),"")</f>
        <v/>
      </c>
      <c r="BM1258">
        <f>IF($AJ$1258="KD","C","M")</f>
        <v/>
      </c>
      <c r="BN1258">
        <f>IF(N($AR$1258)&lt;=80,80,IF(N($AR$1258)&lt;=84,84,IF(N($AR$1258)&lt;=96,96,N($AR$1258))))</f>
        <v/>
      </c>
      <c r="BO1258">
        <f>INT($BN$1258/12)&amp;MOD($BN$1258,12)</f>
        <v/>
      </c>
      <c r="BP1258">
        <f>INT(N($AQ$1258)/12)&amp;MOD(N($AQ$1258),12)</f>
        <v/>
      </c>
      <c r="BQ1258">
        <f>IF(OR($AU$1258="",$AU$1258="ANSI/SDI",$AU$1258="CUSTOM LOC"),IF($AV$1258="CU","CURRIES","STEELCRAFT"),$AU$1258)</f>
        <v/>
      </c>
      <c r="BR1258">
        <f>$AO$1258="Y"</f>
        <v/>
      </c>
      <c r="BS1258">
        <f>"~"</f>
        <v/>
      </c>
      <c r="BT1258">
        <f>$AE$1258*N($BA$1258)</f>
        <v/>
      </c>
      <c r="BU1258">
        <f>OR(LEFT($BD$1258,3)="OAK",LEFT($BD$1258,3)="BIR",LEFT($BD$1258,3)="MAP",$BD$1258="PC",$BD$1258="MC",$BD$1258="SCLC",$BD$1258="P-LAM")</f>
        <v/>
      </c>
      <c r="BV1258">
        <f>INT(N($AQ$1258)/MAX(1,N($BA$1258))/12)&amp;MOD(N($AQ$1258)/MAX(1,N($BA$1258)),12)</f>
        <v/>
      </c>
      <c r="BW1258">
        <f>IF(OR($BG$1258="G11",$BG$1258="G11A",$BG$1258="G12A"),"G2",IF(OR(LEFT($BG$1258,2)="G3",$BG$1258="G12"),"G3AEO",$BG$1258))</f>
        <v/>
      </c>
      <c r="BX1258">
        <f>"(Net size: "&amp;TRIM(TEXT(N($BB$1258),"# ?/??"))&amp;CHAR(34)&amp;" x "&amp;TRIM(TEXT(N($BC$1258),"# ?/??"))&amp;CHAR(34)&amp;")"</f>
        <v/>
      </c>
      <c r="BY1258">
        <f>IF(LEFT($BD$1258,3)="OAK","RED OAK",IF(LEFT($BD$1258,3)="BIR","BIRCH",IF(LEFT($BD$1258,3)="MAP","MAPLE","WOOD")))</f>
        <v/>
      </c>
      <c r="BZ1258">
        <f>IF(OR($AT$1258="U454",AND($AT$1258="",$AS$1258="U454")),"454","453")</f>
        <v/>
      </c>
      <c r="CA1258">
        <f>IF($AD$1258=0,"",IF($BU$1258,$BT$1258&amp;"|"&amp;$BV$1258&amp;$BO$1258&amp;" "&amp;$BY$1258&amp;" SLAB "&amp;IF(N($AN$1258)&gt;0,$AN$1258&amp;" MINUTE",IF(RIGHT($BD$1258,2)="MC","MC","SC")&amp;" WOOD DOOR")&amp;"|"&amp;$BX$1258&amp;"|"&amp;$BS$1258,$BT$1258&amp;"|"&amp;$BV$1258&amp;$BO$1258&amp;$BW$1258&amp;" BSC "&amp;$BQ$1258&amp;" DOOR "&amp;$BE$1258&amp;"Ga. Non-Handed "&amp;IF($BF$1258="","707",$BF$1258)&amp;"S Flush HM|"&amp;$BX$1258&amp;"|"&amp;$BS$1258)&amp;IF(N($AN$1258)&gt;0,$BT$1258&amp;"|"&amp;$AN$1258&amp;IF($BU$1258," MINUTE WARNOCK HERSHEY FIRE RATED WOOD LABEL"," MINUTE FOAM CORE STEEL DOOR LABEL (MODELS 607 &amp; 707)")&amp;"||"&amp;$BS$1258,"")&amp;IF(AND(NOT($BU$1258),OR($BG$1258="G11",$BG$1258="G11A",$BG$1258="G12",$BG$1258="G12A")),$AE$1258&amp;"|EXIT DEVICE PREP FOR HM DOOR||"&amp;$BS$1258,"")&amp;IF(AND(NOT($BU$1258),$BG$1258="G12"),$AE$1258&amp;"|DR 350 MORTISE LOCK FILLER PLATE||"&amp;$BS$1258,"")&amp;IF(AND(NOT($BU$1258),LEFT($BG$1258,2)="G3"),$AE$1258&amp;"|MORTISE LOCK PREP||"&amp;$BS$1258,"")&amp;IF($BU$1258,$BT$1258&amp;"|"&amp;IF($BG$1258="G18",$BZ$1258&amp;"-4 1/2"&amp;CHAR(34)&amp;"X4 1/2"&amp;CHAR(34)&amp;" HINGES ONLY PREP","HINGE PREP "&amp;$BZ$1258&amp;" WITH LOCK PREP")&amp;"|"&amp;$BQ$1258&amp;" LOC|"&amp;$BS$1258,"")&amp;IF(OR($BG$1258="G2G2",$BG$1258="G17",$BG$1258="E1E4"),$AE$1258&amp;"|"&amp;IF($BU$1258,"DDLP CYLINDRICAL DEADLOCK PREP","DOOR DEADLOCK PREP")&amp;"||"&amp;$BS$1258,"")&amp;IF(OR($BH$1258="FG",$BH$1258="HG",$BH$1258="FNV",$BH$1258="FV"),$BT$1258&amp;"|"&amp;$BI$1258&amp;" LITE KIT||"&amp;$BS$1258,IF($BH$1258="FL",$BT$1258&amp;"|"&amp;$BI$1258&amp;" LOUVER||"&amp;$BS$1258,IF($BH$1258="FP",$BT$1258&amp;"|DVP DOOR VIEWER PREP||"&amp;$BS$1258,"")))&amp;IF($BN$1258&gt;N($AR$1258),$BT$1258&amp;"|DCO DOOR CUT DOWN ONLY (HEIGHT)|Cut "&amp;TRIM(TEXT($BN$1258-N($AR$1258),"# ?/??"))&amp;CHAR(34)&amp;" OFF THE BOTTOM|"&amp;$BS$1258,""))</f>
        <v/>
      </c>
    </row>
    <row r="1259">
      <c r="B1259" s="180">
        <f>IF($AD1259="","",VALUE(LEFT($AD1259,FIND("|",$AD1259)-1)))</f>
        <v/>
      </c>
      <c r="C1259" s="180">
        <f>IF($AD1259="","","    "&amp;MID($AD1259,FIND("|",$AD1259)+1,FIND("|",$AD1259,FIND("|",$AD1259)+1)-FIND("|",$AD1259)-1))</f>
        <v/>
      </c>
      <c r="D1259" s="180">
        <f>IF($AD1259="","",MID($AD1259,FIND("|",$AD1259,FIND("|",$AD1259)+1)+1,FIND("|",$AD1259&amp;"|",FIND("|",$AD1259,FIND("|",$AD1259)+1)+1)-FIND("|",$AD1259,FIND("|",$AD1259)+1)-1))</f>
        <v/>
      </c>
      <c r="AD1259">
        <f>TRIM(MID(SUBSTITUTE($CA$1258,"~",REPT(" ",600)),1,600))</f>
        <v/>
      </c>
    </row>
    <row r="1260">
      <c r="B1260" s="180">
        <f>IF($AD1260="","",VALUE(LEFT($AD1260,FIND("|",$AD1260)-1)))</f>
        <v/>
      </c>
      <c r="C1260" s="180">
        <f>IF($AD1260="","","    "&amp;MID($AD1260,FIND("|",$AD1260)+1,FIND("|",$AD1260,FIND("|",$AD1260)+1)-FIND("|",$AD1260)-1))</f>
        <v/>
      </c>
      <c r="D1260" s="180">
        <f>IF($AD1260="","",MID($AD1260,FIND("|",$AD1260,FIND("|",$AD1260)+1)+1,FIND("|",$AD1260&amp;"|",FIND("|",$AD1260,FIND("|",$AD1260)+1)+1)-FIND("|",$AD1260,FIND("|",$AD1260)+1)-1))</f>
        <v/>
      </c>
      <c r="AD1260">
        <f>TRIM(MID(SUBSTITUTE($CA$1258,"~",REPT(" ",600)),601,600))</f>
        <v/>
      </c>
    </row>
    <row r="1261">
      <c r="B1261" s="180">
        <f>IF($AD1261="","",VALUE(LEFT($AD1261,FIND("|",$AD1261)-1)))</f>
        <v/>
      </c>
      <c r="C1261" s="180">
        <f>IF($AD1261="","","    "&amp;MID($AD1261,FIND("|",$AD1261)+1,FIND("|",$AD1261,FIND("|",$AD1261)+1)-FIND("|",$AD1261)-1))</f>
        <v/>
      </c>
      <c r="D1261" s="180">
        <f>IF($AD1261="","",MID($AD1261,FIND("|",$AD1261,FIND("|",$AD1261)+1)+1,FIND("|",$AD1261&amp;"|",FIND("|",$AD1261,FIND("|",$AD1261)+1)+1)-FIND("|",$AD1261,FIND("|",$AD1261)+1)-1))</f>
        <v/>
      </c>
      <c r="AD1261">
        <f>TRIM(MID(SUBSTITUTE($CA$1258,"~",REPT(" ",600)),1201,600))</f>
        <v/>
      </c>
    </row>
    <row r="1262">
      <c r="B1262" s="180">
        <f>IF($AD1262="","",VALUE(LEFT($AD1262,FIND("|",$AD1262)-1)))</f>
        <v/>
      </c>
      <c r="C1262" s="180">
        <f>IF($AD1262="","","    "&amp;MID($AD1262,FIND("|",$AD1262)+1,FIND("|",$AD1262,FIND("|",$AD1262)+1)-FIND("|",$AD1262)-1))</f>
        <v/>
      </c>
      <c r="D1262" s="180">
        <f>IF($AD1262="","",MID($AD1262,FIND("|",$AD1262,FIND("|",$AD1262)+1)+1,FIND("|",$AD1262&amp;"|",FIND("|",$AD1262,FIND("|",$AD1262)+1)+1)-FIND("|",$AD1262,FIND("|",$AD1262)+1)-1))</f>
        <v/>
      </c>
      <c r="AD1262">
        <f>TRIM(MID(SUBSTITUTE($CA$1258,"~",REPT(" ",600)),1801,600))</f>
        <v/>
      </c>
    </row>
    <row r="1263">
      <c r="B1263" s="180">
        <f>IF($AD1263="","",VALUE(LEFT($AD1263,FIND("|",$AD1263)-1)))</f>
        <v/>
      </c>
      <c r="C1263" s="180">
        <f>IF($AD1263="","","    "&amp;MID($AD1263,FIND("|",$AD1263)+1,FIND("|",$AD1263,FIND("|",$AD1263)+1)-FIND("|",$AD1263)-1))</f>
        <v/>
      </c>
      <c r="D1263" s="180">
        <f>IF($AD1263="","",MID($AD1263,FIND("|",$AD1263,FIND("|",$AD1263)+1)+1,FIND("|",$AD1263&amp;"|",FIND("|",$AD1263,FIND("|",$AD1263)+1)+1)-FIND("|",$AD1263,FIND("|",$AD1263)+1)-1))</f>
        <v/>
      </c>
      <c r="AD1263">
        <f>TRIM(MID(SUBSTITUTE($CA$1258,"~",REPT(" ",600)),2401,600))</f>
        <v/>
      </c>
    </row>
    <row r="1264">
      <c r="B1264" s="180">
        <f>IF($AD1264="","",VALUE(LEFT($AD1264,FIND("|",$AD1264)-1)))</f>
        <v/>
      </c>
      <c r="C1264" s="180">
        <f>IF($AD1264="","","    "&amp;MID($AD1264,FIND("|",$AD1264)+1,FIND("|",$AD1264,FIND("|",$AD1264)+1)-FIND("|",$AD1264)-1))</f>
        <v/>
      </c>
      <c r="D1264" s="180">
        <f>IF($AD1264="","",MID($AD1264,FIND("|",$AD1264,FIND("|",$AD1264)+1)+1,FIND("|",$AD1264&amp;"|",FIND("|",$AD1264,FIND("|",$AD1264)+1)+1)-FIND("|",$AD1264,FIND("|",$AD1264)+1)-1))</f>
        <v/>
      </c>
      <c r="AD1264">
        <f>TRIM(MID(SUBSTITUTE($CA$1258,"~",REPT(" ",600)),3001,600))</f>
        <v/>
      </c>
    </row>
    <row r="1265">
      <c r="B1265" s="180">
        <f>IF($AD1265="","",VALUE(LEFT($AD1265,FIND("|",$AD1265)-1)))</f>
        <v/>
      </c>
      <c r="C1265" s="180">
        <f>IF($AD1265="","","    "&amp;MID($AD1265,FIND("|",$AD1265)+1,FIND("|",$AD1265,FIND("|",$AD1265)+1)-FIND("|",$AD1265)-1))</f>
        <v/>
      </c>
      <c r="D1265" s="180">
        <f>IF($AD1265="","",MID($AD1265,FIND("|",$AD1265,FIND("|",$AD1265)+1)+1,FIND("|",$AD1265&amp;"|",FIND("|",$AD1265,FIND("|",$AD1265)+1)+1)-FIND("|",$AD1265,FIND("|",$AD1265)+1)-1))</f>
        <v/>
      </c>
      <c r="AD1265">
        <f>TRIM(MID(SUBSTITUTE($CA$1258,"~",REPT(" ",600)),3601,600))</f>
        <v/>
      </c>
    </row>
    <row r="1266">
      <c r="B1266" s="180">
        <f>IF($AD1266="","",VALUE(LEFT($AD1266,FIND("|",$AD1266)-1)))</f>
        <v/>
      </c>
      <c r="C1266" s="180">
        <f>IF($AD1266="","","    "&amp;MID($AD1266,FIND("|",$AD1266)+1,FIND("|",$AD1266,FIND("|",$AD1266)+1)-FIND("|",$AD1266)-1))</f>
        <v/>
      </c>
      <c r="D1266" s="180">
        <f>IF($AD1266="","",MID($AD1266,FIND("|",$AD1266,FIND("|",$AD1266)+1)+1,FIND("|",$AD1266&amp;"|",FIND("|",$AD1266,FIND("|",$AD1266)+1)+1)-FIND("|",$AD1266,FIND("|",$AD1266)+1)-1))</f>
        <v/>
      </c>
      <c r="AD1266">
        <f>TRIM(MID(SUBSTITUTE($CA$1258,"~",REPT(" ",600)),4201,600))</f>
        <v/>
      </c>
    </row>
    <row r="1267">
      <c r="B1267" s="180">
        <f>IF($AD1267="","",VALUE(LEFT($AD1267,FIND("|",$AD1267)-1)))</f>
        <v/>
      </c>
      <c r="C1267" s="180">
        <f>IF($AD1267="","","    "&amp;MID($AD1267,FIND("|",$AD1267)+1,FIND("|",$AD1267,FIND("|",$AD1267)+1)-FIND("|",$AD1267)-1))</f>
        <v/>
      </c>
      <c r="D1267" s="180">
        <f>IF($AD1267="","",MID($AD1267,FIND("|",$AD1267,FIND("|",$AD1267)+1)+1,FIND("|",$AD1267&amp;"|",FIND("|",$AD1267,FIND("|",$AD1267)+1)+1)-FIND("|",$AD1267,FIND("|",$AD1267)+1)-1))</f>
        <v/>
      </c>
      <c r="AD1267">
        <f>TRIM(MID(SUBSTITUTE($CA$1258,"~",REPT(" ",600)),4801,600))</f>
        <v/>
      </c>
    </row>
    <row r="1268">
      <c r="B1268" s="180">
        <f>IF($AD1268="","",VALUE(LEFT($AD1268,FIND("|",$AD1268)-1)))</f>
        <v/>
      </c>
      <c r="C1268" s="180">
        <f>IF($AD1268="","","    "&amp;MID($AD1268,FIND("|",$AD1268)+1,FIND("|",$AD1268,FIND("|",$AD1268)+1)-FIND("|",$AD1268)-1))</f>
        <v/>
      </c>
      <c r="D1268" s="180">
        <f>IF($AD1268="","",MID($AD1268,FIND("|",$AD1268,FIND("|",$AD1268)+1)+1,FIND("|",$AD1268&amp;"|",FIND("|",$AD1268,FIND("|",$AD1268)+1)+1)-FIND("|",$AD1268,FIND("|",$AD1268)+1)-1))</f>
        <v/>
      </c>
      <c r="AD1268">
        <f>TRIM(MID(SUBSTITUTE($CA$1258,"~",REPT(" ",600)),5401,600))</f>
        <v/>
      </c>
    </row>
    <row r="1269">
      <c r="B1269" s="180">
        <f>IF($AD1269="","",VALUE(LEFT($AD1269,FIND("|",$AD1269)-1)))</f>
        <v/>
      </c>
      <c r="C1269" s="180">
        <f>IF($AD1269="","","    "&amp;MID($AD1269,FIND("|",$AD1269)+1,FIND("|",$AD1269,FIND("|",$AD1269)+1)-FIND("|",$AD1269)-1))</f>
        <v/>
      </c>
      <c r="D1269" s="180">
        <f>IF($AD1269="","",MID($AD1269,FIND("|",$AD1269,FIND("|",$AD1269)+1)+1,FIND("|",$AD1269&amp;"|",FIND("|",$AD1269,FIND("|",$AD1269)+1)+1)-FIND("|",$AD1269,FIND("|",$AD1269)+1)-1))</f>
        <v/>
      </c>
      <c r="AD1269">
        <f>TRIM(MID(SUBSTITUTE($CA$1258,"~",REPT(" ",600)),6001,600))</f>
        <v/>
      </c>
    </row>
    <row r="1270">
      <c r="A1270" s="178">
        <f>IF($AD$1270=0,"",$BK$1270)</f>
        <v/>
      </c>
      <c r="B1270" s="178">
        <f>IF($AD$1270=0,"",$AE$1270*N($BA$1270))</f>
        <v/>
      </c>
      <c r="C1270" s="178">
        <f>IF($AD$1270=0,"",$AE$1270*N($BA$1270)&amp;") "&amp;IF(COUNTIFS(tk_SODG,46,tk_HLEG,"&lt;&gt;"&amp;$BJ$1270)=0,INDEX(tk_DLINE,$AD$1270),INDEX(tk_DLINEN,$AD$1270)))</f>
        <v/>
      </c>
      <c r="D1270" s="178" t="n"/>
      <c r="E1270" s="179">
        <f t="array" ref="E1270">IF($AD$1270=0,"",_xlfn.TEXTJOIN(", ",TRUE,IF(tk_SODG=46,"#"&amp;tk_MARK&amp;IF(tk_HLEG="","","("&amp;tk_HLEG&amp;")")&amp;IF(tk_QTY&gt;1," ×"&amp;tk_QTY,""),"")))</f>
        <v/>
      </c>
      <c r="AD1270">
        <f>IFERROR(MATCH(46,tk_SODG,0),0)</f>
        <v/>
      </c>
      <c r="AE1270">
        <f>IF($AD$1270=0,0,SUMIF(tk_SODG,46,tk_QTY))</f>
        <v/>
      </c>
      <c r="AF1270">
        <f>IF($AD$1270=0,"",INDEX(tk_JAMB,$AD$1270))</f>
        <v/>
      </c>
      <c r="AG1270">
        <f>IF($AD$1270=0,"",INDEX(tk_ANCHOR,$AD$1270))</f>
        <v/>
      </c>
      <c r="AH1270">
        <f>IF($AD$1270=0,"",INDEX(tk_ANCH,$AD$1270))</f>
        <v/>
      </c>
      <c r="AI1270">
        <f>IF($AD$1270=0,"",INDEX(tk_BASEA,$AD$1270))</f>
        <v/>
      </c>
      <c r="AJ1270">
        <f>IF($AD$1270=0,"",INDEX(tk_CONSTR,$AD$1270))</f>
        <v/>
      </c>
      <c r="AK1270">
        <f>IF($AD$1270=0,"",INDEX(tk_CLOSER,$AD$1270))</f>
        <v/>
      </c>
      <c r="AL1270">
        <f>IF($AD$1270=0,"",INDEX(tk_STRIKE,$AD$1270))</f>
        <v/>
      </c>
      <c r="AM1270">
        <f>IF($AD$1270=0,"",INDEX(tk_HDRPREP,$AD$1270))</f>
        <v/>
      </c>
      <c r="AN1270">
        <f>IF($AD$1270=0,"",INDEX(tk_DMIN,$AD$1270))</f>
        <v/>
      </c>
      <c r="AO1270">
        <f>IF($AD$1270=0,"",INDEX(tk_PAIR,$AD$1270))</f>
        <v/>
      </c>
      <c r="AP1270">
        <f>IF($AD$1270=0,"",INDEX(tk_FGA,$AD$1270))</f>
        <v/>
      </c>
      <c r="AQ1270">
        <f>IF($AD$1270=0,"",INDEX(tk_WI,$AD$1270))</f>
        <v/>
      </c>
      <c r="AR1270">
        <f>IF($AD$1270=0,"",INDEX(tk_HI,$AD$1270))</f>
        <v/>
      </c>
      <c r="AS1270">
        <f>IF($AD$1270=0,"",INDEX(tk_FHINGE,$AD$1270))</f>
        <v/>
      </c>
      <c r="AT1270">
        <f>IF($AD$1270=0,"",INDEX(tk_DHINGE,$AD$1270))</f>
        <v/>
      </c>
      <c r="AU1270">
        <f>IF($AD$1270=0,"",INDEX(tk_HWLOC,$AD$1270))</f>
        <v/>
      </c>
      <c r="AV1270">
        <f>IF($AD$1270=0,"",INDEX(tk_MANUF,$AD$1270))</f>
        <v/>
      </c>
      <c r="AW1270">
        <f>IF($AD$1270=0,"",INDEX(tk_JH,$AD$1270))</f>
        <v/>
      </c>
      <c r="AX1270">
        <f>IF($AD$1270=0,"",INDEX(tk_FDESC,$AD$1270))</f>
        <v/>
      </c>
      <c r="AY1270">
        <f>IF($AD$1270=0,"",INDEX(tk_TRANS,$AD$1270))</f>
        <v/>
      </c>
      <c r="AZ1270">
        <f>IF($AD$1270=0,"",INDEX(tk_SLW,$AD$1270))</f>
        <v/>
      </c>
      <c r="BA1270">
        <f>IF($AD$1270=0,"",INDEX(tk_LEAVES,$AD$1270))</f>
        <v/>
      </c>
      <c r="BB1270">
        <f>IF($AD$1270=0,"",INDEX(tk_LEAFW,$AD$1270))</f>
        <v/>
      </c>
      <c r="BC1270">
        <f>IF($AD$1270=0,"",INDEX(tk_LEAFH,$AD$1270))</f>
        <v/>
      </c>
      <c r="BD1270">
        <f>IF($AD$1270=0,"",INDEX(tk_DMAT,$AD$1270))</f>
        <v/>
      </c>
      <c r="BE1270">
        <f>IF($AD$1270=0,"",INDEX(tk_DGA,$AD$1270))</f>
        <v/>
      </c>
      <c r="BF1270">
        <f>IF($AD$1270=0,"",INDEX(tk_SERIES,$AD$1270))</f>
        <v/>
      </c>
      <c r="BG1270">
        <f>IF($AD$1270=0,"",INDEX(tk_LOCK,$AD$1270))</f>
        <v/>
      </c>
      <c r="BH1270">
        <f>IF($AD$1270=0,"",INDEX(tk_LITEKIT,$AD$1270))</f>
        <v/>
      </c>
      <c r="BI1270">
        <f>IF($AD$1270=0,"",INDEX(tk_FACE,$AD$1270))</f>
        <v/>
      </c>
      <c r="BJ1270">
        <f>IF($AD$1270=0,"",INDEX(tk_HLEG,$AD$1270))</f>
        <v/>
      </c>
      <c r="BK1270">
        <f>IF($AD$1270=0,"",INDEX(tk_SOITEM,$AD$1270))</f>
        <v/>
      </c>
      <c r="BL1270">
        <f>IFERROR(VLOOKUP($AF$1270,CODES,2,FALSE),"")</f>
        <v/>
      </c>
      <c r="BM1270">
        <f>IF($AJ$1270="KD","C","M")</f>
        <v/>
      </c>
      <c r="BN1270">
        <f>IF(N($AR$1270)&lt;=80,80,IF(N($AR$1270)&lt;=84,84,IF(N($AR$1270)&lt;=96,96,N($AR$1270))))</f>
        <v/>
      </c>
      <c r="BO1270">
        <f>INT($BN$1270/12)&amp;MOD($BN$1270,12)</f>
        <v/>
      </c>
      <c r="BP1270">
        <f>INT(N($AQ$1270)/12)&amp;MOD(N($AQ$1270),12)</f>
        <v/>
      </c>
      <c r="BQ1270">
        <f>IF(OR($AU$1270="",$AU$1270="ANSI/SDI",$AU$1270="CUSTOM LOC"),IF($AV$1270="CU","CURRIES","STEELCRAFT"),$AU$1270)</f>
        <v/>
      </c>
      <c r="BR1270">
        <f>$AO$1270="Y"</f>
        <v/>
      </c>
      <c r="BS1270">
        <f>"~"</f>
        <v/>
      </c>
      <c r="BT1270">
        <f>$AE$1270*N($BA$1270)</f>
        <v/>
      </c>
      <c r="BU1270">
        <f>OR(LEFT($BD$1270,3)="OAK",LEFT($BD$1270,3)="BIR",LEFT($BD$1270,3)="MAP",$BD$1270="PC",$BD$1270="MC",$BD$1270="SCLC",$BD$1270="P-LAM")</f>
        <v/>
      </c>
      <c r="BV1270">
        <f>INT(N($AQ$1270)/MAX(1,N($BA$1270))/12)&amp;MOD(N($AQ$1270)/MAX(1,N($BA$1270)),12)</f>
        <v/>
      </c>
      <c r="BW1270">
        <f>IF(OR($BG$1270="G11",$BG$1270="G11A",$BG$1270="G12A"),"G2",IF(OR(LEFT($BG$1270,2)="G3",$BG$1270="G12"),"G3AEO",$BG$1270))</f>
        <v/>
      </c>
      <c r="BX1270">
        <f>"(Net size: "&amp;TRIM(TEXT(N($BB$1270),"# ?/??"))&amp;CHAR(34)&amp;" x "&amp;TRIM(TEXT(N($BC$1270),"# ?/??"))&amp;CHAR(34)&amp;")"</f>
        <v/>
      </c>
      <c r="BY1270">
        <f>IF(LEFT($BD$1270,3)="OAK","RED OAK",IF(LEFT($BD$1270,3)="BIR","BIRCH",IF(LEFT($BD$1270,3)="MAP","MAPLE","WOOD")))</f>
        <v/>
      </c>
      <c r="BZ1270">
        <f>IF(OR($AT$1270="U454",AND($AT$1270="",$AS$1270="U454")),"454","453")</f>
        <v/>
      </c>
      <c r="CA1270">
        <f>IF($AD$1270=0,"",IF($BU$1270,$BT$1270&amp;"|"&amp;$BV$1270&amp;$BO$1270&amp;" "&amp;$BY$1270&amp;" SLAB "&amp;IF(N($AN$1270)&gt;0,$AN$1270&amp;" MINUTE",IF(RIGHT($BD$1270,2)="MC","MC","SC")&amp;" WOOD DOOR")&amp;"|"&amp;$BX$1270&amp;"|"&amp;$BS$1270,$BT$1270&amp;"|"&amp;$BV$1270&amp;$BO$1270&amp;$BW$1270&amp;" BSC "&amp;$BQ$1270&amp;" DOOR "&amp;$BE$1270&amp;"Ga. Non-Handed "&amp;IF($BF$1270="","707",$BF$1270)&amp;"S Flush HM|"&amp;$BX$1270&amp;"|"&amp;$BS$1270)&amp;IF(N($AN$1270)&gt;0,$BT$1270&amp;"|"&amp;$AN$1270&amp;IF($BU$1270," MINUTE WARNOCK HERSHEY FIRE RATED WOOD LABEL"," MINUTE FOAM CORE STEEL DOOR LABEL (MODELS 607 &amp; 707)")&amp;"||"&amp;$BS$1270,"")&amp;IF(AND(NOT($BU$1270),OR($BG$1270="G11",$BG$1270="G11A",$BG$1270="G12",$BG$1270="G12A")),$AE$1270&amp;"|EXIT DEVICE PREP FOR HM DOOR||"&amp;$BS$1270,"")&amp;IF(AND(NOT($BU$1270),$BG$1270="G12"),$AE$1270&amp;"|DR 350 MORTISE LOCK FILLER PLATE||"&amp;$BS$1270,"")&amp;IF(AND(NOT($BU$1270),LEFT($BG$1270,2)="G3"),$AE$1270&amp;"|MORTISE LOCK PREP||"&amp;$BS$1270,"")&amp;IF($BU$1270,$BT$1270&amp;"|"&amp;IF($BG$1270="G18",$BZ$1270&amp;"-4 1/2"&amp;CHAR(34)&amp;"X4 1/2"&amp;CHAR(34)&amp;" HINGES ONLY PREP","HINGE PREP "&amp;$BZ$1270&amp;" WITH LOCK PREP")&amp;"|"&amp;$BQ$1270&amp;" LOC|"&amp;$BS$1270,"")&amp;IF(OR($BG$1270="G2G2",$BG$1270="G17",$BG$1270="E1E4"),$AE$1270&amp;"|"&amp;IF($BU$1270,"DDLP CYLINDRICAL DEADLOCK PREP","DOOR DEADLOCK PREP")&amp;"||"&amp;$BS$1270,"")&amp;IF(OR($BH$1270="FG",$BH$1270="HG",$BH$1270="FNV",$BH$1270="FV"),$BT$1270&amp;"|"&amp;$BI$1270&amp;" LITE KIT||"&amp;$BS$1270,IF($BH$1270="FL",$BT$1270&amp;"|"&amp;$BI$1270&amp;" LOUVER||"&amp;$BS$1270,IF($BH$1270="FP",$BT$1270&amp;"|DVP DOOR VIEWER PREP||"&amp;$BS$1270,"")))&amp;IF($BN$1270&gt;N($AR$1270),$BT$1270&amp;"|DCO DOOR CUT DOWN ONLY (HEIGHT)|Cut "&amp;TRIM(TEXT($BN$1270-N($AR$1270),"# ?/??"))&amp;CHAR(34)&amp;" OFF THE BOTTOM|"&amp;$BS$1270,""))</f>
        <v/>
      </c>
    </row>
    <row r="1271">
      <c r="B1271" s="180">
        <f>IF($AD1271="","",VALUE(LEFT($AD1271,FIND("|",$AD1271)-1)))</f>
        <v/>
      </c>
      <c r="C1271" s="180">
        <f>IF($AD1271="","","    "&amp;MID($AD1271,FIND("|",$AD1271)+1,FIND("|",$AD1271,FIND("|",$AD1271)+1)-FIND("|",$AD1271)-1))</f>
        <v/>
      </c>
      <c r="D1271" s="180">
        <f>IF($AD1271="","",MID($AD1271,FIND("|",$AD1271,FIND("|",$AD1271)+1)+1,FIND("|",$AD1271&amp;"|",FIND("|",$AD1271,FIND("|",$AD1271)+1)+1)-FIND("|",$AD1271,FIND("|",$AD1271)+1)-1))</f>
        <v/>
      </c>
      <c r="AD1271">
        <f>TRIM(MID(SUBSTITUTE($CA$1270,"~",REPT(" ",600)),1,600))</f>
        <v/>
      </c>
    </row>
    <row r="1272">
      <c r="B1272" s="180">
        <f>IF($AD1272="","",VALUE(LEFT($AD1272,FIND("|",$AD1272)-1)))</f>
        <v/>
      </c>
      <c r="C1272" s="180">
        <f>IF($AD1272="","","    "&amp;MID($AD1272,FIND("|",$AD1272)+1,FIND("|",$AD1272,FIND("|",$AD1272)+1)-FIND("|",$AD1272)-1))</f>
        <v/>
      </c>
      <c r="D1272" s="180">
        <f>IF($AD1272="","",MID($AD1272,FIND("|",$AD1272,FIND("|",$AD1272)+1)+1,FIND("|",$AD1272&amp;"|",FIND("|",$AD1272,FIND("|",$AD1272)+1)+1)-FIND("|",$AD1272,FIND("|",$AD1272)+1)-1))</f>
        <v/>
      </c>
      <c r="AD1272">
        <f>TRIM(MID(SUBSTITUTE($CA$1270,"~",REPT(" ",600)),601,600))</f>
        <v/>
      </c>
    </row>
    <row r="1273">
      <c r="B1273" s="180">
        <f>IF($AD1273="","",VALUE(LEFT($AD1273,FIND("|",$AD1273)-1)))</f>
        <v/>
      </c>
      <c r="C1273" s="180">
        <f>IF($AD1273="","","    "&amp;MID($AD1273,FIND("|",$AD1273)+1,FIND("|",$AD1273,FIND("|",$AD1273)+1)-FIND("|",$AD1273)-1))</f>
        <v/>
      </c>
      <c r="D1273" s="180">
        <f>IF($AD1273="","",MID($AD1273,FIND("|",$AD1273,FIND("|",$AD1273)+1)+1,FIND("|",$AD1273&amp;"|",FIND("|",$AD1273,FIND("|",$AD1273)+1)+1)-FIND("|",$AD1273,FIND("|",$AD1273)+1)-1))</f>
        <v/>
      </c>
      <c r="AD1273">
        <f>TRIM(MID(SUBSTITUTE($CA$1270,"~",REPT(" ",600)),1201,600))</f>
        <v/>
      </c>
    </row>
    <row r="1274">
      <c r="B1274" s="180">
        <f>IF($AD1274="","",VALUE(LEFT($AD1274,FIND("|",$AD1274)-1)))</f>
        <v/>
      </c>
      <c r="C1274" s="180">
        <f>IF($AD1274="","","    "&amp;MID($AD1274,FIND("|",$AD1274)+1,FIND("|",$AD1274,FIND("|",$AD1274)+1)-FIND("|",$AD1274)-1))</f>
        <v/>
      </c>
      <c r="D1274" s="180">
        <f>IF($AD1274="","",MID($AD1274,FIND("|",$AD1274,FIND("|",$AD1274)+1)+1,FIND("|",$AD1274&amp;"|",FIND("|",$AD1274,FIND("|",$AD1274)+1)+1)-FIND("|",$AD1274,FIND("|",$AD1274)+1)-1))</f>
        <v/>
      </c>
      <c r="AD1274">
        <f>TRIM(MID(SUBSTITUTE($CA$1270,"~",REPT(" ",600)),1801,600))</f>
        <v/>
      </c>
    </row>
    <row r="1275">
      <c r="B1275" s="180">
        <f>IF($AD1275="","",VALUE(LEFT($AD1275,FIND("|",$AD1275)-1)))</f>
        <v/>
      </c>
      <c r="C1275" s="180">
        <f>IF($AD1275="","","    "&amp;MID($AD1275,FIND("|",$AD1275)+1,FIND("|",$AD1275,FIND("|",$AD1275)+1)-FIND("|",$AD1275)-1))</f>
        <v/>
      </c>
      <c r="D1275" s="180">
        <f>IF($AD1275="","",MID($AD1275,FIND("|",$AD1275,FIND("|",$AD1275)+1)+1,FIND("|",$AD1275&amp;"|",FIND("|",$AD1275,FIND("|",$AD1275)+1)+1)-FIND("|",$AD1275,FIND("|",$AD1275)+1)-1))</f>
        <v/>
      </c>
      <c r="AD1275">
        <f>TRIM(MID(SUBSTITUTE($CA$1270,"~",REPT(" ",600)),2401,600))</f>
        <v/>
      </c>
    </row>
    <row r="1276">
      <c r="B1276" s="180">
        <f>IF($AD1276="","",VALUE(LEFT($AD1276,FIND("|",$AD1276)-1)))</f>
        <v/>
      </c>
      <c r="C1276" s="180">
        <f>IF($AD1276="","","    "&amp;MID($AD1276,FIND("|",$AD1276)+1,FIND("|",$AD1276,FIND("|",$AD1276)+1)-FIND("|",$AD1276)-1))</f>
        <v/>
      </c>
      <c r="D1276" s="180">
        <f>IF($AD1276="","",MID($AD1276,FIND("|",$AD1276,FIND("|",$AD1276)+1)+1,FIND("|",$AD1276&amp;"|",FIND("|",$AD1276,FIND("|",$AD1276)+1)+1)-FIND("|",$AD1276,FIND("|",$AD1276)+1)-1))</f>
        <v/>
      </c>
      <c r="AD1276">
        <f>TRIM(MID(SUBSTITUTE($CA$1270,"~",REPT(" ",600)),3001,600))</f>
        <v/>
      </c>
    </row>
    <row r="1277">
      <c r="B1277" s="180">
        <f>IF($AD1277="","",VALUE(LEFT($AD1277,FIND("|",$AD1277)-1)))</f>
        <v/>
      </c>
      <c r="C1277" s="180">
        <f>IF($AD1277="","","    "&amp;MID($AD1277,FIND("|",$AD1277)+1,FIND("|",$AD1277,FIND("|",$AD1277)+1)-FIND("|",$AD1277)-1))</f>
        <v/>
      </c>
      <c r="D1277" s="180">
        <f>IF($AD1277="","",MID($AD1277,FIND("|",$AD1277,FIND("|",$AD1277)+1)+1,FIND("|",$AD1277&amp;"|",FIND("|",$AD1277,FIND("|",$AD1277)+1)+1)-FIND("|",$AD1277,FIND("|",$AD1277)+1)-1))</f>
        <v/>
      </c>
      <c r="AD1277">
        <f>TRIM(MID(SUBSTITUTE($CA$1270,"~",REPT(" ",600)),3601,600))</f>
        <v/>
      </c>
    </row>
    <row r="1278">
      <c r="B1278" s="180">
        <f>IF($AD1278="","",VALUE(LEFT($AD1278,FIND("|",$AD1278)-1)))</f>
        <v/>
      </c>
      <c r="C1278" s="180">
        <f>IF($AD1278="","","    "&amp;MID($AD1278,FIND("|",$AD1278)+1,FIND("|",$AD1278,FIND("|",$AD1278)+1)-FIND("|",$AD1278)-1))</f>
        <v/>
      </c>
      <c r="D1278" s="180">
        <f>IF($AD1278="","",MID($AD1278,FIND("|",$AD1278,FIND("|",$AD1278)+1)+1,FIND("|",$AD1278&amp;"|",FIND("|",$AD1278,FIND("|",$AD1278)+1)+1)-FIND("|",$AD1278,FIND("|",$AD1278)+1)-1))</f>
        <v/>
      </c>
      <c r="AD1278">
        <f>TRIM(MID(SUBSTITUTE($CA$1270,"~",REPT(" ",600)),4201,600))</f>
        <v/>
      </c>
    </row>
    <row r="1279">
      <c r="B1279" s="180">
        <f>IF($AD1279="","",VALUE(LEFT($AD1279,FIND("|",$AD1279)-1)))</f>
        <v/>
      </c>
      <c r="C1279" s="180">
        <f>IF($AD1279="","","    "&amp;MID($AD1279,FIND("|",$AD1279)+1,FIND("|",$AD1279,FIND("|",$AD1279)+1)-FIND("|",$AD1279)-1))</f>
        <v/>
      </c>
      <c r="D1279" s="180">
        <f>IF($AD1279="","",MID($AD1279,FIND("|",$AD1279,FIND("|",$AD1279)+1)+1,FIND("|",$AD1279&amp;"|",FIND("|",$AD1279,FIND("|",$AD1279)+1)+1)-FIND("|",$AD1279,FIND("|",$AD1279)+1)-1))</f>
        <v/>
      </c>
      <c r="AD1279">
        <f>TRIM(MID(SUBSTITUTE($CA$1270,"~",REPT(" ",600)),4801,600))</f>
        <v/>
      </c>
    </row>
    <row r="1280">
      <c r="B1280" s="180">
        <f>IF($AD1280="","",VALUE(LEFT($AD1280,FIND("|",$AD1280)-1)))</f>
        <v/>
      </c>
      <c r="C1280" s="180">
        <f>IF($AD1280="","","    "&amp;MID($AD1280,FIND("|",$AD1280)+1,FIND("|",$AD1280,FIND("|",$AD1280)+1)-FIND("|",$AD1280)-1))</f>
        <v/>
      </c>
      <c r="D1280" s="180">
        <f>IF($AD1280="","",MID($AD1280,FIND("|",$AD1280,FIND("|",$AD1280)+1)+1,FIND("|",$AD1280&amp;"|",FIND("|",$AD1280,FIND("|",$AD1280)+1)+1)-FIND("|",$AD1280,FIND("|",$AD1280)+1)-1))</f>
        <v/>
      </c>
      <c r="AD1280">
        <f>TRIM(MID(SUBSTITUTE($CA$1270,"~",REPT(" ",600)),5401,600))</f>
        <v/>
      </c>
    </row>
    <row r="1281">
      <c r="B1281" s="180">
        <f>IF($AD1281="","",VALUE(LEFT($AD1281,FIND("|",$AD1281)-1)))</f>
        <v/>
      </c>
      <c r="C1281" s="180">
        <f>IF($AD1281="","","    "&amp;MID($AD1281,FIND("|",$AD1281)+1,FIND("|",$AD1281,FIND("|",$AD1281)+1)-FIND("|",$AD1281)-1))</f>
        <v/>
      </c>
      <c r="D1281" s="180">
        <f>IF($AD1281="","",MID($AD1281,FIND("|",$AD1281,FIND("|",$AD1281)+1)+1,FIND("|",$AD1281&amp;"|",FIND("|",$AD1281,FIND("|",$AD1281)+1)+1)-FIND("|",$AD1281,FIND("|",$AD1281)+1)-1))</f>
        <v/>
      </c>
      <c r="AD1281">
        <f>TRIM(MID(SUBSTITUTE($CA$1270,"~",REPT(" ",600)),6001,600))</f>
        <v/>
      </c>
    </row>
    <row r="1282">
      <c r="A1282" s="178">
        <f>IF($AD$1282=0,"",$BK$1282)</f>
        <v/>
      </c>
      <c r="B1282" s="178">
        <f>IF($AD$1282=0,"",$AE$1282*N($BA$1282))</f>
        <v/>
      </c>
      <c r="C1282" s="178">
        <f>IF($AD$1282=0,"",$AE$1282*N($BA$1282)&amp;") "&amp;IF(COUNTIFS(tk_SODG,47,tk_HLEG,"&lt;&gt;"&amp;$BJ$1282)=0,INDEX(tk_DLINE,$AD$1282),INDEX(tk_DLINEN,$AD$1282)))</f>
        <v/>
      </c>
      <c r="D1282" s="178" t="n"/>
      <c r="E1282" s="179">
        <f t="array" ref="E1282">IF($AD$1282=0,"",_xlfn.TEXTJOIN(", ",TRUE,IF(tk_SODG=47,"#"&amp;tk_MARK&amp;IF(tk_HLEG="","","("&amp;tk_HLEG&amp;")")&amp;IF(tk_QTY&gt;1," ×"&amp;tk_QTY,""),"")))</f>
        <v/>
      </c>
      <c r="AD1282">
        <f>IFERROR(MATCH(47,tk_SODG,0),0)</f>
        <v/>
      </c>
      <c r="AE1282">
        <f>IF($AD$1282=0,0,SUMIF(tk_SODG,47,tk_QTY))</f>
        <v/>
      </c>
      <c r="AF1282">
        <f>IF($AD$1282=0,"",INDEX(tk_JAMB,$AD$1282))</f>
        <v/>
      </c>
      <c r="AG1282">
        <f>IF($AD$1282=0,"",INDEX(tk_ANCHOR,$AD$1282))</f>
        <v/>
      </c>
      <c r="AH1282">
        <f>IF($AD$1282=0,"",INDEX(tk_ANCH,$AD$1282))</f>
        <v/>
      </c>
      <c r="AI1282">
        <f>IF($AD$1282=0,"",INDEX(tk_BASEA,$AD$1282))</f>
        <v/>
      </c>
      <c r="AJ1282">
        <f>IF($AD$1282=0,"",INDEX(tk_CONSTR,$AD$1282))</f>
        <v/>
      </c>
      <c r="AK1282">
        <f>IF($AD$1282=0,"",INDEX(tk_CLOSER,$AD$1282))</f>
        <v/>
      </c>
      <c r="AL1282">
        <f>IF($AD$1282=0,"",INDEX(tk_STRIKE,$AD$1282))</f>
        <v/>
      </c>
      <c r="AM1282">
        <f>IF($AD$1282=0,"",INDEX(tk_HDRPREP,$AD$1282))</f>
        <v/>
      </c>
      <c r="AN1282">
        <f>IF($AD$1282=0,"",INDEX(tk_DMIN,$AD$1282))</f>
        <v/>
      </c>
      <c r="AO1282">
        <f>IF($AD$1282=0,"",INDEX(tk_PAIR,$AD$1282))</f>
        <v/>
      </c>
      <c r="AP1282">
        <f>IF($AD$1282=0,"",INDEX(tk_FGA,$AD$1282))</f>
        <v/>
      </c>
      <c r="AQ1282">
        <f>IF($AD$1282=0,"",INDEX(tk_WI,$AD$1282))</f>
        <v/>
      </c>
      <c r="AR1282">
        <f>IF($AD$1282=0,"",INDEX(tk_HI,$AD$1282))</f>
        <v/>
      </c>
      <c r="AS1282">
        <f>IF($AD$1282=0,"",INDEX(tk_FHINGE,$AD$1282))</f>
        <v/>
      </c>
      <c r="AT1282">
        <f>IF($AD$1282=0,"",INDEX(tk_DHINGE,$AD$1282))</f>
        <v/>
      </c>
      <c r="AU1282">
        <f>IF($AD$1282=0,"",INDEX(tk_HWLOC,$AD$1282))</f>
        <v/>
      </c>
      <c r="AV1282">
        <f>IF($AD$1282=0,"",INDEX(tk_MANUF,$AD$1282))</f>
        <v/>
      </c>
      <c r="AW1282">
        <f>IF($AD$1282=0,"",INDEX(tk_JH,$AD$1282))</f>
        <v/>
      </c>
      <c r="AX1282">
        <f>IF($AD$1282=0,"",INDEX(tk_FDESC,$AD$1282))</f>
        <v/>
      </c>
      <c r="AY1282">
        <f>IF($AD$1282=0,"",INDEX(tk_TRANS,$AD$1282))</f>
        <v/>
      </c>
      <c r="AZ1282">
        <f>IF($AD$1282=0,"",INDEX(tk_SLW,$AD$1282))</f>
        <v/>
      </c>
      <c r="BA1282">
        <f>IF($AD$1282=0,"",INDEX(tk_LEAVES,$AD$1282))</f>
        <v/>
      </c>
      <c r="BB1282">
        <f>IF($AD$1282=0,"",INDEX(tk_LEAFW,$AD$1282))</f>
        <v/>
      </c>
      <c r="BC1282">
        <f>IF($AD$1282=0,"",INDEX(tk_LEAFH,$AD$1282))</f>
        <v/>
      </c>
      <c r="BD1282">
        <f>IF($AD$1282=0,"",INDEX(tk_DMAT,$AD$1282))</f>
        <v/>
      </c>
      <c r="BE1282">
        <f>IF($AD$1282=0,"",INDEX(tk_DGA,$AD$1282))</f>
        <v/>
      </c>
      <c r="BF1282">
        <f>IF($AD$1282=0,"",INDEX(tk_SERIES,$AD$1282))</f>
        <v/>
      </c>
      <c r="BG1282">
        <f>IF($AD$1282=0,"",INDEX(tk_LOCK,$AD$1282))</f>
        <v/>
      </c>
      <c r="BH1282">
        <f>IF($AD$1282=0,"",INDEX(tk_LITEKIT,$AD$1282))</f>
        <v/>
      </c>
      <c r="BI1282">
        <f>IF($AD$1282=0,"",INDEX(tk_FACE,$AD$1282))</f>
        <v/>
      </c>
      <c r="BJ1282">
        <f>IF($AD$1282=0,"",INDEX(tk_HLEG,$AD$1282))</f>
        <v/>
      </c>
      <c r="BK1282">
        <f>IF($AD$1282=0,"",INDEX(tk_SOITEM,$AD$1282))</f>
        <v/>
      </c>
      <c r="BL1282">
        <f>IFERROR(VLOOKUP($AF$1282,CODES,2,FALSE),"")</f>
        <v/>
      </c>
      <c r="BM1282">
        <f>IF($AJ$1282="KD","C","M")</f>
        <v/>
      </c>
      <c r="BN1282">
        <f>IF(N($AR$1282)&lt;=80,80,IF(N($AR$1282)&lt;=84,84,IF(N($AR$1282)&lt;=96,96,N($AR$1282))))</f>
        <v/>
      </c>
      <c r="BO1282">
        <f>INT($BN$1282/12)&amp;MOD($BN$1282,12)</f>
        <v/>
      </c>
      <c r="BP1282">
        <f>INT(N($AQ$1282)/12)&amp;MOD(N($AQ$1282),12)</f>
        <v/>
      </c>
      <c r="BQ1282">
        <f>IF(OR($AU$1282="",$AU$1282="ANSI/SDI",$AU$1282="CUSTOM LOC"),IF($AV$1282="CU","CURRIES","STEELCRAFT"),$AU$1282)</f>
        <v/>
      </c>
      <c r="BR1282">
        <f>$AO$1282="Y"</f>
        <v/>
      </c>
      <c r="BS1282">
        <f>"~"</f>
        <v/>
      </c>
      <c r="BT1282">
        <f>$AE$1282*N($BA$1282)</f>
        <v/>
      </c>
      <c r="BU1282">
        <f>OR(LEFT($BD$1282,3)="OAK",LEFT($BD$1282,3)="BIR",LEFT($BD$1282,3)="MAP",$BD$1282="PC",$BD$1282="MC",$BD$1282="SCLC",$BD$1282="P-LAM")</f>
        <v/>
      </c>
      <c r="BV1282">
        <f>INT(N($AQ$1282)/MAX(1,N($BA$1282))/12)&amp;MOD(N($AQ$1282)/MAX(1,N($BA$1282)),12)</f>
        <v/>
      </c>
      <c r="BW1282">
        <f>IF(OR($BG$1282="G11",$BG$1282="G11A",$BG$1282="G12A"),"G2",IF(OR(LEFT($BG$1282,2)="G3",$BG$1282="G12"),"G3AEO",$BG$1282))</f>
        <v/>
      </c>
      <c r="BX1282">
        <f>"(Net size: "&amp;TRIM(TEXT(N($BB$1282),"# ?/??"))&amp;CHAR(34)&amp;" x "&amp;TRIM(TEXT(N($BC$1282),"# ?/??"))&amp;CHAR(34)&amp;")"</f>
        <v/>
      </c>
      <c r="BY1282">
        <f>IF(LEFT($BD$1282,3)="OAK","RED OAK",IF(LEFT($BD$1282,3)="BIR","BIRCH",IF(LEFT($BD$1282,3)="MAP","MAPLE","WOOD")))</f>
        <v/>
      </c>
      <c r="BZ1282">
        <f>IF(OR($AT$1282="U454",AND($AT$1282="",$AS$1282="U454")),"454","453")</f>
        <v/>
      </c>
      <c r="CA1282">
        <f>IF($AD$1282=0,"",IF($BU$1282,$BT$1282&amp;"|"&amp;$BV$1282&amp;$BO$1282&amp;" "&amp;$BY$1282&amp;" SLAB "&amp;IF(N($AN$1282)&gt;0,$AN$1282&amp;" MINUTE",IF(RIGHT($BD$1282,2)="MC","MC","SC")&amp;" WOOD DOOR")&amp;"|"&amp;$BX$1282&amp;"|"&amp;$BS$1282,$BT$1282&amp;"|"&amp;$BV$1282&amp;$BO$1282&amp;$BW$1282&amp;" BSC "&amp;$BQ$1282&amp;" DOOR "&amp;$BE$1282&amp;"Ga. Non-Handed "&amp;IF($BF$1282="","707",$BF$1282)&amp;"S Flush HM|"&amp;$BX$1282&amp;"|"&amp;$BS$1282)&amp;IF(N($AN$1282)&gt;0,$BT$1282&amp;"|"&amp;$AN$1282&amp;IF($BU$1282," MINUTE WARNOCK HERSHEY FIRE RATED WOOD LABEL"," MINUTE FOAM CORE STEEL DOOR LABEL (MODELS 607 &amp; 707)")&amp;"||"&amp;$BS$1282,"")&amp;IF(AND(NOT($BU$1282),OR($BG$1282="G11",$BG$1282="G11A",$BG$1282="G12",$BG$1282="G12A")),$AE$1282&amp;"|EXIT DEVICE PREP FOR HM DOOR||"&amp;$BS$1282,"")&amp;IF(AND(NOT($BU$1282),$BG$1282="G12"),$AE$1282&amp;"|DR 350 MORTISE LOCK FILLER PLATE||"&amp;$BS$1282,"")&amp;IF(AND(NOT($BU$1282),LEFT($BG$1282,2)="G3"),$AE$1282&amp;"|MORTISE LOCK PREP||"&amp;$BS$1282,"")&amp;IF($BU$1282,$BT$1282&amp;"|"&amp;IF($BG$1282="G18",$BZ$1282&amp;"-4 1/2"&amp;CHAR(34)&amp;"X4 1/2"&amp;CHAR(34)&amp;" HINGES ONLY PREP","HINGE PREP "&amp;$BZ$1282&amp;" WITH LOCK PREP")&amp;"|"&amp;$BQ$1282&amp;" LOC|"&amp;$BS$1282,"")&amp;IF(OR($BG$1282="G2G2",$BG$1282="G17",$BG$1282="E1E4"),$AE$1282&amp;"|"&amp;IF($BU$1282,"DDLP CYLINDRICAL DEADLOCK PREP","DOOR DEADLOCK PREP")&amp;"||"&amp;$BS$1282,"")&amp;IF(OR($BH$1282="FG",$BH$1282="HG",$BH$1282="FNV",$BH$1282="FV"),$BT$1282&amp;"|"&amp;$BI$1282&amp;" LITE KIT||"&amp;$BS$1282,IF($BH$1282="FL",$BT$1282&amp;"|"&amp;$BI$1282&amp;" LOUVER||"&amp;$BS$1282,IF($BH$1282="FP",$BT$1282&amp;"|DVP DOOR VIEWER PREP||"&amp;$BS$1282,"")))&amp;IF($BN$1282&gt;N($AR$1282),$BT$1282&amp;"|DCO DOOR CUT DOWN ONLY (HEIGHT)|Cut "&amp;TRIM(TEXT($BN$1282-N($AR$1282),"# ?/??"))&amp;CHAR(34)&amp;" OFF THE BOTTOM|"&amp;$BS$1282,""))</f>
        <v/>
      </c>
    </row>
    <row r="1283">
      <c r="B1283" s="180">
        <f>IF($AD1283="","",VALUE(LEFT($AD1283,FIND("|",$AD1283)-1)))</f>
        <v/>
      </c>
      <c r="C1283" s="180">
        <f>IF($AD1283="","","    "&amp;MID($AD1283,FIND("|",$AD1283)+1,FIND("|",$AD1283,FIND("|",$AD1283)+1)-FIND("|",$AD1283)-1))</f>
        <v/>
      </c>
      <c r="D1283" s="180">
        <f>IF($AD1283="","",MID($AD1283,FIND("|",$AD1283,FIND("|",$AD1283)+1)+1,FIND("|",$AD1283&amp;"|",FIND("|",$AD1283,FIND("|",$AD1283)+1)+1)-FIND("|",$AD1283,FIND("|",$AD1283)+1)-1))</f>
        <v/>
      </c>
      <c r="AD1283">
        <f>TRIM(MID(SUBSTITUTE($CA$1282,"~",REPT(" ",600)),1,600))</f>
        <v/>
      </c>
    </row>
    <row r="1284">
      <c r="B1284" s="180">
        <f>IF($AD1284="","",VALUE(LEFT($AD1284,FIND("|",$AD1284)-1)))</f>
        <v/>
      </c>
      <c r="C1284" s="180">
        <f>IF($AD1284="","","    "&amp;MID($AD1284,FIND("|",$AD1284)+1,FIND("|",$AD1284,FIND("|",$AD1284)+1)-FIND("|",$AD1284)-1))</f>
        <v/>
      </c>
      <c r="D1284" s="180">
        <f>IF($AD1284="","",MID($AD1284,FIND("|",$AD1284,FIND("|",$AD1284)+1)+1,FIND("|",$AD1284&amp;"|",FIND("|",$AD1284,FIND("|",$AD1284)+1)+1)-FIND("|",$AD1284,FIND("|",$AD1284)+1)-1))</f>
        <v/>
      </c>
      <c r="AD1284">
        <f>TRIM(MID(SUBSTITUTE($CA$1282,"~",REPT(" ",600)),601,600))</f>
        <v/>
      </c>
    </row>
    <row r="1285">
      <c r="B1285" s="180">
        <f>IF($AD1285="","",VALUE(LEFT($AD1285,FIND("|",$AD1285)-1)))</f>
        <v/>
      </c>
      <c r="C1285" s="180">
        <f>IF($AD1285="","","    "&amp;MID($AD1285,FIND("|",$AD1285)+1,FIND("|",$AD1285,FIND("|",$AD1285)+1)-FIND("|",$AD1285)-1))</f>
        <v/>
      </c>
      <c r="D1285" s="180">
        <f>IF($AD1285="","",MID($AD1285,FIND("|",$AD1285,FIND("|",$AD1285)+1)+1,FIND("|",$AD1285&amp;"|",FIND("|",$AD1285,FIND("|",$AD1285)+1)+1)-FIND("|",$AD1285,FIND("|",$AD1285)+1)-1))</f>
        <v/>
      </c>
      <c r="AD1285">
        <f>TRIM(MID(SUBSTITUTE($CA$1282,"~",REPT(" ",600)),1201,600))</f>
        <v/>
      </c>
    </row>
    <row r="1286">
      <c r="B1286" s="180">
        <f>IF($AD1286="","",VALUE(LEFT($AD1286,FIND("|",$AD1286)-1)))</f>
        <v/>
      </c>
      <c r="C1286" s="180">
        <f>IF($AD1286="","","    "&amp;MID($AD1286,FIND("|",$AD1286)+1,FIND("|",$AD1286,FIND("|",$AD1286)+1)-FIND("|",$AD1286)-1))</f>
        <v/>
      </c>
      <c r="D1286" s="180">
        <f>IF($AD1286="","",MID($AD1286,FIND("|",$AD1286,FIND("|",$AD1286)+1)+1,FIND("|",$AD1286&amp;"|",FIND("|",$AD1286,FIND("|",$AD1286)+1)+1)-FIND("|",$AD1286,FIND("|",$AD1286)+1)-1))</f>
        <v/>
      </c>
      <c r="AD1286">
        <f>TRIM(MID(SUBSTITUTE($CA$1282,"~",REPT(" ",600)),1801,600))</f>
        <v/>
      </c>
    </row>
    <row r="1287">
      <c r="B1287" s="180">
        <f>IF($AD1287="","",VALUE(LEFT($AD1287,FIND("|",$AD1287)-1)))</f>
        <v/>
      </c>
      <c r="C1287" s="180">
        <f>IF($AD1287="","","    "&amp;MID($AD1287,FIND("|",$AD1287)+1,FIND("|",$AD1287,FIND("|",$AD1287)+1)-FIND("|",$AD1287)-1))</f>
        <v/>
      </c>
      <c r="D1287" s="180">
        <f>IF($AD1287="","",MID($AD1287,FIND("|",$AD1287,FIND("|",$AD1287)+1)+1,FIND("|",$AD1287&amp;"|",FIND("|",$AD1287,FIND("|",$AD1287)+1)+1)-FIND("|",$AD1287,FIND("|",$AD1287)+1)-1))</f>
        <v/>
      </c>
      <c r="AD1287">
        <f>TRIM(MID(SUBSTITUTE($CA$1282,"~",REPT(" ",600)),2401,600))</f>
        <v/>
      </c>
    </row>
    <row r="1288">
      <c r="B1288" s="180">
        <f>IF($AD1288="","",VALUE(LEFT($AD1288,FIND("|",$AD1288)-1)))</f>
        <v/>
      </c>
      <c r="C1288" s="180">
        <f>IF($AD1288="","","    "&amp;MID($AD1288,FIND("|",$AD1288)+1,FIND("|",$AD1288,FIND("|",$AD1288)+1)-FIND("|",$AD1288)-1))</f>
        <v/>
      </c>
      <c r="D1288" s="180">
        <f>IF($AD1288="","",MID($AD1288,FIND("|",$AD1288,FIND("|",$AD1288)+1)+1,FIND("|",$AD1288&amp;"|",FIND("|",$AD1288,FIND("|",$AD1288)+1)+1)-FIND("|",$AD1288,FIND("|",$AD1288)+1)-1))</f>
        <v/>
      </c>
      <c r="AD1288">
        <f>TRIM(MID(SUBSTITUTE($CA$1282,"~",REPT(" ",600)),3001,600))</f>
        <v/>
      </c>
    </row>
    <row r="1289">
      <c r="B1289" s="180">
        <f>IF($AD1289="","",VALUE(LEFT($AD1289,FIND("|",$AD1289)-1)))</f>
        <v/>
      </c>
      <c r="C1289" s="180">
        <f>IF($AD1289="","","    "&amp;MID($AD1289,FIND("|",$AD1289)+1,FIND("|",$AD1289,FIND("|",$AD1289)+1)-FIND("|",$AD1289)-1))</f>
        <v/>
      </c>
      <c r="D1289" s="180">
        <f>IF($AD1289="","",MID($AD1289,FIND("|",$AD1289,FIND("|",$AD1289)+1)+1,FIND("|",$AD1289&amp;"|",FIND("|",$AD1289,FIND("|",$AD1289)+1)+1)-FIND("|",$AD1289,FIND("|",$AD1289)+1)-1))</f>
        <v/>
      </c>
      <c r="AD1289">
        <f>TRIM(MID(SUBSTITUTE($CA$1282,"~",REPT(" ",600)),3601,600))</f>
        <v/>
      </c>
    </row>
    <row r="1290">
      <c r="B1290" s="180">
        <f>IF($AD1290="","",VALUE(LEFT($AD1290,FIND("|",$AD1290)-1)))</f>
        <v/>
      </c>
      <c r="C1290" s="180">
        <f>IF($AD1290="","","    "&amp;MID($AD1290,FIND("|",$AD1290)+1,FIND("|",$AD1290,FIND("|",$AD1290)+1)-FIND("|",$AD1290)-1))</f>
        <v/>
      </c>
      <c r="D1290" s="180">
        <f>IF($AD1290="","",MID($AD1290,FIND("|",$AD1290,FIND("|",$AD1290)+1)+1,FIND("|",$AD1290&amp;"|",FIND("|",$AD1290,FIND("|",$AD1290)+1)+1)-FIND("|",$AD1290,FIND("|",$AD1290)+1)-1))</f>
        <v/>
      </c>
      <c r="AD1290">
        <f>TRIM(MID(SUBSTITUTE($CA$1282,"~",REPT(" ",600)),4201,600))</f>
        <v/>
      </c>
    </row>
    <row r="1291">
      <c r="B1291" s="180">
        <f>IF($AD1291="","",VALUE(LEFT($AD1291,FIND("|",$AD1291)-1)))</f>
        <v/>
      </c>
      <c r="C1291" s="180">
        <f>IF($AD1291="","","    "&amp;MID($AD1291,FIND("|",$AD1291)+1,FIND("|",$AD1291,FIND("|",$AD1291)+1)-FIND("|",$AD1291)-1))</f>
        <v/>
      </c>
      <c r="D1291" s="180">
        <f>IF($AD1291="","",MID($AD1291,FIND("|",$AD1291,FIND("|",$AD1291)+1)+1,FIND("|",$AD1291&amp;"|",FIND("|",$AD1291,FIND("|",$AD1291)+1)+1)-FIND("|",$AD1291,FIND("|",$AD1291)+1)-1))</f>
        <v/>
      </c>
      <c r="AD1291">
        <f>TRIM(MID(SUBSTITUTE($CA$1282,"~",REPT(" ",600)),4801,600))</f>
        <v/>
      </c>
    </row>
    <row r="1292">
      <c r="B1292" s="180">
        <f>IF($AD1292="","",VALUE(LEFT($AD1292,FIND("|",$AD1292)-1)))</f>
        <v/>
      </c>
      <c r="C1292" s="180">
        <f>IF($AD1292="","","    "&amp;MID($AD1292,FIND("|",$AD1292)+1,FIND("|",$AD1292,FIND("|",$AD1292)+1)-FIND("|",$AD1292)-1))</f>
        <v/>
      </c>
      <c r="D1292" s="180">
        <f>IF($AD1292="","",MID($AD1292,FIND("|",$AD1292,FIND("|",$AD1292)+1)+1,FIND("|",$AD1292&amp;"|",FIND("|",$AD1292,FIND("|",$AD1292)+1)+1)-FIND("|",$AD1292,FIND("|",$AD1292)+1)-1))</f>
        <v/>
      </c>
      <c r="AD1292">
        <f>TRIM(MID(SUBSTITUTE($CA$1282,"~",REPT(" ",600)),5401,600))</f>
        <v/>
      </c>
    </row>
    <row r="1293">
      <c r="B1293" s="180">
        <f>IF($AD1293="","",VALUE(LEFT($AD1293,FIND("|",$AD1293)-1)))</f>
        <v/>
      </c>
      <c r="C1293" s="180">
        <f>IF($AD1293="","","    "&amp;MID($AD1293,FIND("|",$AD1293)+1,FIND("|",$AD1293,FIND("|",$AD1293)+1)-FIND("|",$AD1293)-1))</f>
        <v/>
      </c>
      <c r="D1293" s="180">
        <f>IF($AD1293="","",MID($AD1293,FIND("|",$AD1293,FIND("|",$AD1293)+1)+1,FIND("|",$AD1293&amp;"|",FIND("|",$AD1293,FIND("|",$AD1293)+1)+1)-FIND("|",$AD1293,FIND("|",$AD1293)+1)-1))</f>
        <v/>
      </c>
      <c r="AD1293">
        <f>TRIM(MID(SUBSTITUTE($CA$1282,"~",REPT(" ",600)),6001,600))</f>
        <v/>
      </c>
    </row>
    <row r="1294">
      <c r="A1294" s="178">
        <f>IF($AD$1294=0,"",$BK$1294)</f>
        <v/>
      </c>
      <c r="B1294" s="178">
        <f>IF($AD$1294=0,"",$AE$1294*N($BA$1294))</f>
        <v/>
      </c>
      <c r="C1294" s="178">
        <f>IF($AD$1294=0,"",$AE$1294*N($BA$1294)&amp;") "&amp;IF(COUNTIFS(tk_SODG,48,tk_HLEG,"&lt;&gt;"&amp;$BJ$1294)=0,INDEX(tk_DLINE,$AD$1294),INDEX(tk_DLINEN,$AD$1294)))</f>
        <v/>
      </c>
      <c r="D1294" s="178" t="n"/>
      <c r="E1294" s="179">
        <f t="array" ref="E1294">IF($AD$1294=0,"",_xlfn.TEXTJOIN(", ",TRUE,IF(tk_SODG=48,"#"&amp;tk_MARK&amp;IF(tk_HLEG="","","("&amp;tk_HLEG&amp;")")&amp;IF(tk_QTY&gt;1," ×"&amp;tk_QTY,""),"")))</f>
        <v/>
      </c>
      <c r="AD1294">
        <f>IFERROR(MATCH(48,tk_SODG,0),0)</f>
        <v/>
      </c>
      <c r="AE1294">
        <f>IF($AD$1294=0,0,SUMIF(tk_SODG,48,tk_QTY))</f>
        <v/>
      </c>
      <c r="AF1294">
        <f>IF($AD$1294=0,"",INDEX(tk_JAMB,$AD$1294))</f>
        <v/>
      </c>
      <c r="AG1294">
        <f>IF($AD$1294=0,"",INDEX(tk_ANCHOR,$AD$1294))</f>
        <v/>
      </c>
      <c r="AH1294">
        <f>IF($AD$1294=0,"",INDEX(tk_ANCH,$AD$1294))</f>
        <v/>
      </c>
      <c r="AI1294">
        <f>IF($AD$1294=0,"",INDEX(tk_BASEA,$AD$1294))</f>
        <v/>
      </c>
      <c r="AJ1294">
        <f>IF($AD$1294=0,"",INDEX(tk_CONSTR,$AD$1294))</f>
        <v/>
      </c>
      <c r="AK1294">
        <f>IF($AD$1294=0,"",INDEX(tk_CLOSER,$AD$1294))</f>
        <v/>
      </c>
      <c r="AL1294">
        <f>IF($AD$1294=0,"",INDEX(tk_STRIKE,$AD$1294))</f>
        <v/>
      </c>
      <c r="AM1294">
        <f>IF($AD$1294=0,"",INDEX(tk_HDRPREP,$AD$1294))</f>
        <v/>
      </c>
      <c r="AN1294">
        <f>IF($AD$1294=0,"",INDEX(tk_DMIN,$AD$1294))</f>
        <v/>
      </c>
      <c r="AO1294">
        <f>IF($AD$1294=0,"",INDEX(tk_PAIR,$AD$1294))</f>
        <v/>
      </c>
      <c r="AP1294">
        <f>IF($AD$1294=0,"",INDEX(tk_FGA,$AD$1294))</f>
        <v/>
      </c>
      <c r="AQ1294">
        <f>IF($AD$1294=0,"",INDEX(tk_WI,$AD$1294))</f>
        <v/>
      </c>
      <c r="AR1294">
        <f>IF($AD$1294=0,"",INDEX(tk_HI,$AD$1294))</f>
        <v/>
      </c>
      <c r="AS1294">
        <f>IF($AD$1294=0,"",INDEX(tk_FHINGE,$AD$1294))</f>
        <v/>
      </c>
      <c r="AT1294">
        <f>IF($AD$1294=0,"",INDEX(tk_DHINGE,$AD$1294))</f>
        <v/>
      </c>
      <c r="AU1294">
        <f>IF($AD$1294=0,"",INDEX(tk_HWLOC,$AD$1294))</f>
        <v/>
      </c>
      <c r="AV1294">
        <f>IF($AD$1294=0,"",INDEX(tk_MANUF,$AD$1294))</f>
        <v/>
      </c>
      <c r="AW1294">
        <f>IF($AD$1294=0,"",INDEX(tk_JH,$AD$1294))</f>
        <v/>
      </c>
      <c r="AX1294">
        <f>IF($AD$1294=0,"",INDEX(tk_FDESC,$AD$1294))</f>
        <v/>
      </c>
      <c r="AY1294">
        <f>IF($AD$1294=0,"",INDEX(tk_TRANS,$AD$1294))</f>
        <v/>
      </c>
      <c r="AZ1294">
        <f>IF($AD$1294=0,"",INDEX(tk_SLW,$AD$1294))</f>
        <v/>
      </c>
      <c r="BA1294">
        <f>IF($AD$1294=0,"",INDEX(tk_LEAVES,$AD$1294))</f>
        <v/>
      </c>
      <c r="BB1294">
        <f>IF($AD$1294=0,"",INDEX(tk_LEAFW,$AD$1294))</f>
        <v/>
      </c>
      <c r="BC1294">
        <f>IF($AD$1294=0,"",INDEX(tk_LEAFH,$AD$1294))</f>
        <v/>
      </c>
      <c r="BD1294">
        <f>IF($AD$1294=0,"",INDEX(tk_DMAT,$AD$1294))</f>
        <v/>
      </c>
      <c r="BE1294">
        <f>IF($AD$1294=0,"",INDEX(tk_DGA,$AD$1294))</f>
        <v/>
      </c>
      <c r="BF1294">
        <f>IF($AD$1294=0,"",INDEX(tk_SERIES,$AD$1294))</f>
        <v/>
      </c>
      <c r="BG1294">
        <f>IF($AD$1294=0,"",INDEX(tk_LOCK,$AD$1294))</f>
        <v/>
      </c>
      <c r="BH1294">
        <f>IF($AD$1294=0,"",INDEX(tk_LITEKIT,$AD$1294))</f>
        <v/>
      </c>
      <c r="BI1294">
        <f>IF($AD$1294=0,"",INDEX(tk_FACE,$AD$1294))</f>
        <v/>
      </c>
      <c r="BJ1294">
        <f>IF($AD$1294=0,"",INDEX(tk_HLEG,$AD$1294))</f>
        <v/>
      </c>
      <c r="BK1294">
        <f>IF($AD$1294=0,"",INDEX(tk_SOITEM,$AD$1294))</f>
        <v/>
      </c>
      <c r="BL1294">
        <f>IFERROR(VLOOKUP($AF$1294,CODES,2,FALSE),"")</f>
        <v/>
      </c>
      <c r="BM1294">
        <f>IF($AJ$1294="KD","C","M")</f>
        <v/>
      </c>
      <c r="BN1294">
        <f>IF(N($AR$1294)&lt;=80,80,IF(N($AR$1294)&lt;=84,84,IF(N($AR$1294)&lt;=96,96,N($AR$1294))))</f>
        <v/>
      </c>
      <c r="BO1294">
        <f>INT($BN$1294/12)&amp;MOD($BN$1294,12)</f>
        <v/>
      </c>
      <c r="BP1294">
        <f>INT(N($AQ$1294)/12)&amp;MOD(N($AQ$1294),12)</f>
        <v/>
      </c>
      <c r="BQ1294">
        <f>IF(OR($AU$1294="",$AU$1294="ANSI/SDI",$AU$1294="CUSTOM LOC"),IF($AV$1294="CU","CURRIES","STEELCRAFT"),$AU$1294)</f>
        <v/>
      </c>
      <c r="BR1294">
        <f>$AO$1294="Y"</f>
        <v/>
      </c>
      <c r="BS1294">
        <f>"~"</f>
        <v/>
      </c>
      <c r="BT1294">
        <f>$AE$1294*N($BA$1294)</f>
        <v/>
      </c>
      <c r="BU1294">
        <f>OR(LEFT($BD$1294,3)="OAK",LEFT($BD$1294,3)="BIR",LEFT($BD$1294,3)="MAP",$BD$1294="PC",$BD$1294="MC",$BD$1294="SCLC",$BD$1294="P-LAM")</f>
        <v/>
      </c>
      <c r="BV1294">
        <f>INT(N($AQ$1294)/MAX(1,N($BA$1294))/12)&amp;MOD(N($AQ$1294)/MAX(1,N($BA$1294)),12)</f>
        <v/>
      </c>
      <c r="BW1294">
        <f>IF(OR($BG$1294="G11",$BG$1294="G11A",$BG$1294="G12A"),"G2",IF(OR(LEFT($BG$1294,2)="G3",$BG$1294="G12"),"G3AEO",$BG$1294))</f>
        <v/>
      </c>
      <c r="BX1294">
        <f>"(Net size: "&amp;TRIM(TEXT(N($BB$1294),"# ?/??"))&amp;CHAR(34)&amp;" x "&amp;TRIM(TEXT(N($BC$1294),"# ?/??"))&amp;CHAR(34)&amp;")"</f>
        <v/>
      </c>
      <c r="BY1294">
        <f>IF(LEFT($BD$1294,3)="OAK","RED OAK",IF(LEFT($BD$1294,3)="BIR","BIRCH",IF(LEFT($BD$1294,3)="MAP","MAPLE","WOOD")))</f>
        <v/>
      </c>
      <c r="BZ1294">
        <f>IF(OR($AT$1294="U454",AND($AT$1294="",$AS$1294="U454")),"454","453")</f>
        <v/>
      </c>
      <c r="CA1294">
        <f>IF($AD$1294=0,"",IF($BU$1294,$BT$1294&amp;"|"&amp;$BV$1294&amp;$BO$1294&amp;" "&amp;$BY$1294&amp;" SLAB "&amp;IF(N($AN$1294)&gt;0,$AN$1294&amp;" MINUTE",IF(RIGHT($BD$1294,2)="MC","MC","SC")&amp;" WOOD DOOR")&amp;"|"&amp;$BX$1294&amp;"|"&amp;$BS$1294,$BT$1294&amp;"|"&amp;$BV$1294&amp;$BO$1294&amp;$BW$1294&amp;" BSC "&amp;$BQ$1294&amp;" DOOR "&amp;$BE$1294&amp;"Ga. Non-Handed "&amp;IF($BF$1294="","707",$BF$1294)&amp;"S Flush HM|"&amp;$BX$1294&amp;"|"&amp;$BS$1294)&amp;IF(N($AN$1294)&gt;0,$BT$1294&amp;"|"&amp;$AN$1294&amp;IF($BU$1294," MINUTE WARNOCK HERSHEY FIRE RATED WOOD LABEL"," MINUTE FOAM CORE STEEL DOOR LABEL (MODELS 607 &amp; 707)")&amp;"||"&amp;$BS$1294,"")&amp;IF(AND(NOT($BU$1294),OR($BG$1294="G11",$BG$1294="G11A",$BG$1294="G12",$BG$1294="G12A")),$AE$1294&amp;"|EXIT DEVICE PREP FOR HM DOOR||"&amp;$BS$1294,"")&amp;IF(AND(NOT($BU$1294),$BG$1294="G12"),$AE$1294&amp;"|DR 350 MORTISE LOCK FILLER PLATE||"&amp;$BS$1294,"")&amp;IF(AND(NOT($BU$1294),LEFT($BG$1294,2)="G3"),$AE$1294&amp;"|MORTISE LOCK PREP||"&amp;$BS$1294,"")&amp;IF($BU$1294,$BT$1294&amp;"|"&amp;IF($BG$1294="G18",$BZ$1294&amp;"-4 1/2"&amp;CHAR(34)&amp;"X4 1/2"&amp;CHAR(34)&amp;" HINGES ONLY PREP","HINGE PREP "&amp;$BZ$1294&amp;" WITH LOCK PREP")&amp;"|"&amp;$BQ$1294&amp;" LOC|"&amp;$BS$1294,"")&amp;IF(OR($BG$1294="G2G2",$BG$1294="G17",$BG$1294="E1E4"),$AE$1294&amp;"|"&amp;IF($BU$1294,"DDLP CYLINDRICAL DEADLOCK PREP","DOOR DEADLOCK PREP")&amp;"||"&amp;$BS$1294,"")&amp;IF(OR($BH$1294="FG",$BH$1294="HG",$BH$1294="FNV",$BH$1294="FV"),$BT$1294&amp;"|"&amp;$BI$1294&amp;" LITE KIT||"&amp;$BS$1294,IF($BH$1294="FL",$BT$1294&amp;"|"&amp;$BI$1294&amp;" LOUVER||"&amp;$BS$1294,IF($BH$1294="FP",$BT$1294&amp;"|DVP DOOR VIEWER PREP||"&amp;$BS$1294,"")))&amp;IF($BN$1294&gt;N($AR$1294),$BT$1294&amp;"|DCO DOOR CUT DOWN ONLY (HEIGHT)|Cut "&amp;TRIM(TEXT($BN$1294-N($AR$1294),"# ?/??"))&amp;CHAR(34)&amp;" OFF THE BOTTOM|"&amp;$BS$1294,""))</f>
        <v/>
      </c>
    </row>
    <row r="1295">
      <c r="B1295" s="180">
        <f>IF($AD1295="","",VALUE(LEFT($AD1295,FIND("|",$AD1295)-1)))</f>
        <v/>
      </c>
      <c r="C1295" s="180">
        <f>IF($AD1295="","","    "&amp;MID($AD1295,FIND("|",$AD1295)+1,FIND("|",$AD1295,FIND("|",$AD1295)+1)-FIND("|",$AD1295)-1))</f>
        <v/>
      </c>
      <c r="D1295" s="180">
        <f>IF($AD1295="","",MID($AD1295,FIND("|",$AD1295,FIND("|",$AD1295)+1)+1,FIND("|",$AD1295&amp;"|",FIND("|",$AD1295,FIND("|",$AD1295)+1)+1)-FIND("|",$AD1295,FIND("|",$AD1295)+1)-1))</f>
        <v/>
      </c>
      <c r="AD1295">
        <f>TRIM(MID(SUBSTITUTE($CA$1294,"~",REPT(" ",600)),1,600))</f>
        <v/>
      </c>
    </row>
    <row r="1296">
      <c r="B1296" s="180">
        <f>IF($AD1296="","",VALUE(LEFT($AD1296,FIND("|",$AD1296)-1)))</f>
        <v/>
      </c>
      <c r="C1296" s="180">
        <f>IF($AD1296="","","    "&amp;MID($AD1296,FIND("|",$AD1296)+1,FIND("|",$AD1296,FIND("|",$AD1296)+1)-FIND("|",$AD1296)-1))</f>
        <v/>
      </c>
      <c r="D1296" s="180">
        <f>IF($AD1296="","",MID($AD1296,FIND("|",$AD1296,FIND("|",$AD1296)+1)+1,FIND("|",$AD1296&amp;"|",FIND("|",$AD1296,FIND("|",$AD1296)+1)+1)-FIND("|",$AD1296,FIND("|",$AD1296)+1)-1))</f>
        <v/>
      </c>
      <c r="AD1296">
        <f>TRIM(MID(SUBSTITUTE($CA$1294,"~",REPT(" ",600)),601,600))</f>
        <v/>
      </c>
    </row>
    <row r="1297">
      <c r="B1297" s="180">
        <f>IF($AD1297="","",VALUE(LEFT($AD1297,FIND("|",$AD1297)-1)))</f>
        <v/>
      </c>
      <c r="C1297" s="180">
        <f>IF($AD1297="","","    "&amp;MID($AD1297,FIND("|",$AD1297)+1,FIND("|",$AD1297,FIND("|",$AD1297)+1)-FIND("|",$AD1297)-1))</f>
        <v/>
      </c>
      <c r="D1297" s="180">
        <f>IF($AD1297="","",MID($AD1297,FIND("|",$AD1297,FIND("|",$AD1297)+1)+1,FIND("|",$AD1297&amp;"|",FIND("|",$AD1297,FIND("|",$AD1297)+1)+1)-FIND("|",$AD1297,FIND("|",$AD1297)+1)-1))</f>
        <v/>
      </c>
      <c r="AD1297">
        <f>TRIM(MID(SUBSTITUTE($CA$1294,"~",REPT(" ",600)),1201,600))</f>
        <v/>
      </c>
    </row>
    <row r="1298">
      <c r="B1298" s="180">
        <f>IF($AD1298="","",VALUE(LEFT($AD1298,FIND("|",$AD1298)-1)))</f>
        <v/>
      </c>
      <c r="C1298" s="180">
        <f>IF($AD1298="","","    "&amp;MID($AD1298,FIND("|",$AD1298)+1,FIND("|",$AD1298,FIND("|",$AD1298)+1)-FIND("|",$AD1298)-1))</f>
        <v/>
      </c>
      <c r="D1298" s="180">
        <f>IF($AD1298="","",MID($AD1298,FIND("|",$AD1298,FIND("|",$AD1298)+1)+1,FIND("|",$AD1298&amp;"|",FIND("|",$AD1298,FIND("|",$AD1298)+1)+1)-FIND("|",$AD1298,FIND("|",$AD1298)+1)-1))</f>
        <v/>
      </c>
      <c r="AD1298">
        <f>TRIM(MID(SUBSTITUTE($CA$1294,"~",REPT(" ",600)),1801,600))</f>
        <v/>
      </c>
    </row>
    <row r="1299">
      <c r="B1299" s="180">
        <f>IF($AD1299="","",VALUE(LEFT($AD1299,FIND("|",$AD1299)-1)))</f>
        <v/>
      </c>
      <c r="C1299" s="180">
        <f>IF($AD1299="","","    "&amp;MID($AD1299,FIND("|",$AD1299)+1,FIND("|",$AD1299,FIND("|",$AD1299)+1)-FIND("|",$AD1299)-1))</f>
        <v/>
      </c>
      <c r="D1299" s="180">
        <f>IF($AD1299="","",MID($AD1299,FIND("|",$AD1299,FIND("|",$AD1299)+1)+1,FIND("|",$AD1299&amp;"|",FIND("|",$AD1299,FIND("|",$AD1299)+1)+1)-FIND("|",$AD1299,FIND("|",$AD1299)+1)-1))</f>
        <v/>
      </c>
      <c r="AD1299">
        <f>TRIM(MID(SUBSTITUTE($CA$1294,"~",REPT(" ",600)),2401,600))</f>
        <v/>
      </c>
    </row>
    <row r="1300">
      <c r="B1300" s="180">
        <f>IF($AD1300="","",VALUE(LEFT($AD1300,FIND("|",$AD1300)-1)))</f>
        <v/>
      </c>
      <c r="C1300" s="180">
        <f>IF($AD1300="","","    "&amp;MID($AD1300,FIND("|",$AD1300)+1,FIND("|",$AD1300,FIND("|",$AD1300)+1)-FIND("|",$AD1300)-1))</f>
        <v/>
      </c>
      <c r="D1300" s="180">
        <f>IF($AD1300="","",MID($AD1300,FIND("|",$AD1300,FIND("|",$AD1300)+1)+1,FIND("|",$AD1300&amp;"|",FIND("|",$AD1300,FIND("|",$AD1300)+1)+1)-FIND("|",$AD1300,FIND("|",$AD1300)+1)-1))</f>
        <v/>
      </c>
      <c r="AD1300">
        <f>TRIM(MID(SUBSTITUTE($CA$1294,"~",REPT(" ",600)),3001,600))</f>
        <v/>
      </c>
    </row>
    <row r="1301">
      <c r="B1301" s="180">
        <f>IF($AD1301="","",VALUE(LEFT($AD1301,FIND("|",$AD1301)-1)))</f>
        <v/>
      </c>
      <c r="C1301" s="180">
        <f>IF($AD1301="","","    "&amp;MID($AD1301,FIND("|",$AD1301)+1,FIND("|",$AD1301,FIND("|",$AD1301)+1)-FIND("|",$AD1301)-1))</f>
        <v/>
      </c>
      <c r="D1301" s="180">
        <f>IF($AD1301="","",MID($AD1301,FIND("|",$AD1301,FIND("|",$AD1301)+1)+1,FIND("|",$AD1301&amp;"|",FIND("|",$AD1301,FIND("|",$AD1301)+1)+1)-FIND("|",$AD1301,FIND("|",$AD1301)+1)-1))</f>
        <v/>
      </c>
      <c r="AD1301">
        <f>TRIM(MID(SUBSTITUTE($CA$1294,"~",REPT(" ",600)),3601,600))</f>
        <v/>
      </c>
    </row>
    <row r="1302">
      <c r="B1302" s="180">
        <f>IF($AD1302="","",VALUE(LEFT($AD1302,FIND("|",$AD1302)-1)))</f>
        <v/>
      </c>
      <c r="C1302" s="180">
        <f>IF($AD1302="","","    "&amp;MID($AD1302,FIND("|",$AD1302)+1,FIND("|",$AD1302,FIND("|",$AD1302)+1)-FIND("|",$AD1302)-1))</f>
        <v/>
      </c>
      <c r="D1302" s="180">
        <f>IF($AD1302="","",MID($AD1302,FIND("|",$AD1302,FIND("|",$AD1302)+1)+1,FIND("|",$AD1302&amp;"|",FIND("|",$AD1302,FIND("|",$AD1302)+1)+1)-FIND("|",$AD1302,FIND("|",$AD1302)+1)-1))</f>
        <v/>
      </c>
      <c r="AD1302">
        <f>TRIM(MID(SUBSTITUTE($CA$1294,"~",REPT(" ",600)),4201,600))</f>
        <v/>
      </c>
    </row>
    <row r="1303">
      <c r="B1303" s="180">
        <f>IF($AD1303="","",VALUE(LEFT($AD1303,FIND("|",$AD1303)-1)))</f>
        <v/>
      </c>
      <c r="C1303" s="180">
        <f>IF($AD1303="","","    "&amp;MID($AD1303,FIND("|",$AD1303)+1,FIND("|",$AD1303,FIND("|",$AD1303)+1)-FIND("|",$AD1303)-1))</f>
        <v/>
      </c>
      <c r="D1303" s="180">
        <f>IF($AD1303="","",MID($AD1303,FIND("|",$AD1303,FIND("|",$AD1303)+1)+1,FIND("|",$AD1303&amp;"|",FIND("|",$AD1303,FIND("|",$AD1303)+1)+1)-FIND("|",$AD1303,FIND("|",$AD1303)+1)-1))</f>
        <v/>
      </c>
      <c r="AD1303">
        <f>TRIM(MID(SUBSTITUTE($CA$1294,"~",REPT(" ",600)),4801,600))</f>
        <v/>
      </c>
    </row>
    <row r="1304">
      <c r="B1304" s="180">
        <f>IF($AD1304="","",VALUE(LEFT($AD1304,FIND("|",$AD1304)-1)))</f>
        <v/>
      </c>
      <c r="C1304" s="180">
        <f>IF($AD1304="","","    "&amp;MID($AD1304,FIND("|",$AD1304)+1,FIND("|",$AD1304,FIND("|",$AD1304)+1)-FIND("|",$AD1304)-1))</f>
        <v/>
      </c>
      <c r="D1304" s="180">
        <f>IF($AD1304="","",MID($AD1304,FIND("|",$AD1304,FIND("|",$AD1304)+1)+1,FIND("|",$AD1304&amp;"|",FIND("|",$AD1304,FIND("|",$AD1304)+1)+1)-FIND("|",$AD1304,FIND("|",$AD1304)+1)-1))</f>
        <v/>
      </c>
      <c r="AD1304">
        <f>TRIM(MID(SUBSTITUTE($CA$1294,"~",REPT(" ",600)),5401,600))</f>
        <v/>
      </c>
    </row>
    <row r="1305">
      <c r="B1305" s="180">
        <f>IF($AD1305="","",VALUE(LEFT($AD1305,FIND("|",$AD1305)-1)))</f>
        <v/>
      </c>
      <c r="C1305" s="180">
        <f>IF($AD1305="","","    "&amp;MID($AD1305,FIND("|",$AD1305)+1,FIND("|",$AD1305,FIND("|",$AD1305)+1)-FIND("|",$AD1305)-1))</f>
        <v/>
      </c>
      <c r="D1305" s="180">
        <f>IF($AD1305="","",MID($AD1305,FIND("|",$AD1305,FIND("|",$AD1305)+1)+1,FIND("|",$AD1305&amp;"|",FIND("|",$AD1305,FIND("|",$AD1305)+1)+1)-FIND("|",$AD1305,FIND("|",$AD1305)+1)-1))</f>
        <v/>
      </c>
      <c r="AD1305">
        <f>TRIM(MID(SUBSTITUTE($CA$1294,"~",REPT(" ",600)),6001,600))</f>
        <v/>
      </c>
    </row>
    <row r="1306">
      <c r="A1306" s="178">
        <f>IF($AD$1306=0,"",$BK$1306)</f>
        <v/>
      </c>
      <c r="B1306" s="178">
        <f>IF($AD$1306=0,"",$AE$1306*N($BA$1306))</f>
        <v/>
      </c>
      <c r="C1306" s="178">
        <f>IF($AD$1306=0,"",$AE$1306*N($BA$1306)&amp;") "&amp;IF(COUNTIFS(tk_SODG,49,tk_HLEG,"&lt;&gt;"&amp;$BJ$1306)=0,INDEX(tk_DLINE,$AD$1306),INDEX(tk_DLINEN,$AD$1306)))</f>
        <v/>
      </c>
      <c r="D1306" s="178" t="n"/>
      <c r="E1306" s="179">
        <f t="array" ref="E1306">IF($AD$1306=0,"",_xlfn.TEXTJOIN(", ",TRUE,IF(tk_SODG=49,"#"&amp;tk_MARK&amp;IF(tk_HLEG="","","("&amp;tk_HLEG&amp;")")&amp;IF(tk_QTY&gt;1," ×"&amp;tk_QTY,""),"")))</f>
        <v/>
      </c>
      <c r="AD1306">
        <f>IFERROR(MATCH(49,tk_SODG,0),0)</f>
        <v/>
      </c>
      <c r="AE1306">
        <f>IF($AD$1306=0,0,SUMIF(tk_SODG,49,tk_QTY))</f>
        <v/>
      </c>
      <c r="AF1306">
        <f>IF($AD$1306=0,"",INDEX(tk_JAMB,$AD$1306))</f>
        <v/>
      </c>
      <c r="AG1306">
        <f>IF($AD$1306=0,"",INDEX(tk_ANCHOR,$AD$1306))</f>
        <v/>
      </c>
      <c r="AH1306">
        <f>IF($AD$1306=0,"",INDEX(tk_ANCH,$AD$1306))</f>
        <v/>
      </c>
      <c r="AI1306">
        <f>IF($AD$1306=0,"",INDEX(tk_BASEA,$AD$1306))</f>
        <v/>
      </c>
      <c r="AJ1306">
        <f>IF($AD$1306=0,"",INDEX(tk_CONSTR,$AD$1306))</f>
        <v/>
      </c>
      <c r="AK1306">
        <f>IF($AD$1306=0,"",INDEX(tk_CLOSER,$AD$1306))</f>
        <v/>
      </c>
      <c r="AL1306">
        <f>IF($AD$1306=0,"",INDEX(tk_STRIKE,$AD$1306))</f>
        <v/>
      </c>
      <c r="AM1306">
        <f>IF($AD$1306=0,"",INDEX(tk_HDRPREP,$AD$1306))</f>
        <v/>
      </c>
      <c r="AN1306">
        <f>IF($AD$1306=0,"",INDEX(tk_DMIN,$AD$1306))</f>
        <v/>
      </c>
      <c r="AO1306">
        <f>IF($AD$1306=0,"",INDEX(tk_PAIR,$AD$1306))</f>
        <v/>
      </c>
      <c r="AP1306">
        <f>IF($AD$1306=0,"",INDEX(tk_FGA,$AD$1306))</f>
        <v/>
      </c>
      <c r="AQ1306">
        <f>IF($AD$1306=0,"",INDEX(tk_WI,$AD$1306))</f>
        <v/>
      </c>
      <c r="AR1306">
        <f>IF($AD$1306=0,"",INDEX(tk_HI,$AD$1306))</f>
        <v/>
      </c>
      <c r="AS1306">
        <f>IF($AD$1306=0,"",INDEX(tk_FHINGE,$AD$1306))</f>
        <v/>
      </c>
      <c r="AT1306">
        <f>IF($AD$1306=0,"",INDEX(tk_DHINGE,$AD$1306))</f>
        <v/>
      </c>
      <c r="AU1306">
        <f>IF($AD$1306=0,"",INDEX(tk_HWLOC,$AD$1306))</f>
        <v/>
      </c>
      <c r="AV1306">
        <f>IF($AD$1306=0,"",INDEX(tk_MANUF,$AD$1306))</f>
        <v/>
      </c>
      <c r="AW1306">
        <f>IF($AD$1306=0,"",INDEX(tk_JH,$AD$1306))</f>
        <v/>
      </c>
      <c r="AX1306">
        <f>IF($AD$1306=0,"",INDEX(tk_FDESC,$AD$1306))</f>
        <v/>
      </c>
      <c r="AY1306">
        <f>IF($AD$1306=0,"",INDEX(tk_TRANS,$AD$1306))</f>
        <v/>
      </c>
      <c r="AZ1306">
        <f>IF($AD$1306=0,"",INDEX(tk_SLW,$AD$1306))</f>
        <v/>
      </c>
      <c r="BA1306">
        <f>IF($AD$1306=0,"",INDEX(tk_LEAVES,$AD$1306))</f>
        <v/>
      </c>
      <c r="BB1306">
        <f>IF($AD$1306=0,"",INDEX(tk_LEAFW,$AD$1306))</f>
        <v/>
      </c>
      <c r="BC1306">
        <f>IF($AD$1306=0,"",INDEX(tk_LEAFH,$AD$1306))</f>
        <v/>
      </c>
      <c r="BD1306">
        <f>IF($AD$1306=0,"",INDEX(tk_DMAT,$AD$1306))</f>
        <v/>
      </c>
      <c r="BE1306">
        <f>IF($AD$1306=0,"",INDEX(tk_DGA,$AD$1306))</f>
        <v/>
      </c>
      <c r="BF1306">
        <f>IF($AD$1306=0,"",INDEX(tk_SERIES,$AD$1306))</f>
        <v/>
      </c>
      <c r="BG1306">
        <f>IF($AD$1306=0,"",INDEX(tk_LOCK,$AD$1306))</f>
        <v/>
      </c>
      <c r="BH1306">
        <f>IF($AD$1306=0,"",INDEX(tk_LITEKIT,$AD$1306))</f>
        <v/>
      </c>
      <c r="BI1306">
        <f>IF($AD$1306=0,"",INDEX(tk_FACE,$AD$1306))</f>
        <v/>
      </c>
      <c r="BJ1306">
        <f>IF($AD$1306=0,"",INDEX(tk_HLEG,$AD$1306))</f>
        <v/>
      </c>
      <c r="BK1306">
        <f>IF($AD$1306=0,"",INDEX(tk_SOITEM,$AD$1306))</f>
        <v/>
      </c>
      <c r="BL1306">
        <f>IFERROR(VLOOKUP($AF$1306,CODES,2,FALSE),"")</f>
        <v/>
      </c>
      <c r="BM1306">
        <f>IF($AJ$1306="KD","C","M")</f>
        <v/>
      </c>
      <c r="BN1306">
        <f>IF(N($AR$1306)&lt;=80,80,IF(N($AR$1306)&lt;=84,84,IF(N($AR$1306)&lt;=96,96,N($AR$1306))))</f>
        <v/>
      </c>
      <c r="BO1306">
        <f>INT($BN$1306/12)&amp;MOD($BN$1306,12)</f>
        <v/>
      </c>
      <c r="BP1306">
        <f>INT(N($AQ$1306)/12)&amp;MOD(N($AQ$1306),12)</f>
        <v/>
      </c>
      <c r="BQ1306">
        <f>IF(OR($AU$1306="",$AU$1306="ANSI/SDI",$AU$1306="CUSTOM LOC"),IF($AV$1306="CU","CURRIES","STEELCRAFT"),$AU$1306)</f>
        <v/>
      </c>
      <c r="BR1306">
        <f>$AO$1306="Y"</f>
        <v/>
      </c>
      <c r="BS1306">
        <f>"~"</f>
        <v/>
      </c>
      <c r="BT1306">
        <f>$AE$1306*N($BA$1306)</f>
        <v/>
      </c>
      <c r="BU1306">
        <f>OR(LEFT($BD$1306,3)="OAK",LEFT($BD$1306,3)="BIR",LEFT($BD$1306,3)="MAP",$BD$1306="PC",$BD$1306="MC",$BD$1306="SCLC",$BD$1306="P-LAM")</f>
        <v/>
      </c>
      <c r="BV1306">
        <f>INT(N($AQ$1306)/MAX(1,N($BA$1306))/12)&amp;MOD(N($AQ$1306)/MAX(1,N($BA$1306)),12)</f>
        <v/>
      </c>
      <c r="BW1306">
        <f>IF(OR($BG$1306="G11",$BG$1306="G11A",$BG$1306="G12A"),"G2",IF(OR(LEFT($BG$1306,2)="G3",$BG$1306="G12"),"G3AEO",$BG$1306))</f>
        <v/>
      </c>
      <c r="BX1306">
        <f>"(Net size: "&amp;TRIM(TEXT(N($BB$1306),"# ?/??"))&amp;CHAR(34)&amp;" x "&amp;TRIM(TEXT(N($BC$1306),"# ?/??"))&amp;CHAR(34)&amp;")"</f>
        <v/>
      </c>
      <c r="BY1306">
        <f>IF(LEFT($BD$1306,3)="OAK","RED OAK",IF(LEFT($BD$1306,3)="BIR","BIRCH",IF(LEFT($BD$1306,3)="MAP","MAPLE","WOOD")))</f>
        <v/>
      </c>
      <c r="BZ1306">
        <f>IF(OR($AT$1306="U454",AND($AT$1306="",$AS$1306="U454")),"454","453")</f>
        <v/>
      </c>
      <c r="CA1306">
        <f>IF($AD$1306=0,"",IF($BU$1306,$BT$1306&amp;"|"&amp;$BV$1306&amp;$BO$1306&amp;" "&amp;$BY$1306&amp;" SLAB "&amp;IF(N($AN$1306)&gt;0,$AN$1306&amp;" MINUTE",IF(RIGHT($BD$1306,2)="MC","MC","SC")&amp;" WOOD DOOR")&amp;"|"&amp;$BX$1306&amp;"|"&amp;$BS$1306,$BT$1306&amp;"|"&amp;$BV$1306&amp;$BO$1306&amp;$BW$1306&amp;" BSC "&amp;$BQ$1306&amp;" DOOR "&amp;$BE$1306&amp;"Ga. Non-Handed "&amp;IF($BF$1306="","707",$BF$1306)&amp;"S Flush HM|"&amp;$BX$1306&amp;"|"&amp;$BS$1306)&amp;IF(N($AN$1306)&gt;0,$BT$1306&amp;"|"&amp;$AN$1306&amp;IF($BU$1306," MINUTE WARNOCK HERSHEY FIRE RATED WOOD LABEL"," MINUTE FOAM CORE STEEL DOOR LABEL (MODELS 607 &amp; 707)")&amp;"||"&amp;$BS$1306,"")&amp;IF(AND(NOT($BU$1306),OR($BG$1306="G11",$BG$1306="G11A",$BG$1306="G12",$BG$1306="G12A")),$AE$1306&amp;"|EXIT DEVICE PREP FOR HM DOOR||"&amp;$BS$1306,"")&amp;IF(AND(NOT($BU$1306),$BG$1306="G12"),$AE$1306&amp;"|DR 350 MORTISE LOCK FILLER PLATE||"&amp;$BS$1306,"")&amp;IF(AND(NOT($BU$1306),LEFT($BG$1306,2)="G3"),$AE$1306&amp;"|MORTISE LOCK PREP||"&amp;$BS$1306,"")&amp;IF($BU$1306,$BT$1306&amp;"|"&amp;IF($BG$1306="G18",$BZ$1306&amp;"-4 1/2"&amp;CHAR(34)&amp;"X4 1/2"&amp;CHAR(34)&amp;" HINGES ONLY PREP","HINGE PREP "&amp;$BZ$1306&amp;" WITH LOCK PREP")&amp;"|"&amp;$BQ$1306&amp;" LOC|"&amp;$BS$1306,"")&amp;IF(OR($BG$1306="G2G2",$BG$1306="G17",$BG$1306="E1E4"),$AE$1306&amp;"|"&amp;IF($BU$1306,"DDLP CYLINDRICAL DEADLOCK PREP","DOOR DEADLOCK PREP")&amp;"||"&amp;$BS$1306,"")&amp;IF(OR($BH$1306="FG",$BH$1306="HG",$BH$1306="FNV",$BH$1306="FV"),$BT$1306&amp;"|"&amp;$BI$1306&amp;" LITE KIT||"&amp;$BS$1306,IF($BH$1306="FL",$BT$1306&amp;"|"&amp;$BI$1306&amp;" LOUVER||"&amp;$BS$1306,IF($BH$1306="FP",$BT$1306&amp;"|DVP DOOR VIEWER PREP||"&amp;$BS$1306,"")))&amp;IF($BN$1306&gt;N($AR$1306),$BT$1306&amp;"|DCO DOOR CUT DOWN ONLY (HEIGHT)|Cut "&amp;TRIM(TEXT($BN$1306-N($AR$1306),"# ?/??"))&amp;CHAR(34)&amp;" OFF THE BOTTOM|"&amp;$BS$1306,""))</f>
        <v/>
      </c>
    </row>
    <row r="1307">
      <c r="B1307" s="180">
        <f>IF($AD1307="","",VALUE(LEFT($AD1307,FIND("|",$AD1307)-1)))</f>
        <v/>
      </c>
      <c r="C1307" s="180">
        <f>IF($AD1307="","","    "&amp;MID($AD1307,FIND("|",$AD1307)+1,FIND("|",$AD1307,FIND("|",$AD1307)+1)-FIND("|",$AD1307)-1))</f>
        <v/>
      </c>
      <c r="D1307" s="180">
        <f>IF($AD1307="","",MID($AD1307,FIND("|",$AD1307,FIND("|",$AD1307)+1)+1,FIND("|",$AD1307&amp;"|",FIND("|",$AD1307,FIND("|",$AD1307)+1)+1)-FIND("|",$AD1307,FIND("|",$AD1307)+1)-1))</f>
        <v/>
      </c>
      <c r="AD1307">
        <f>TRIM(MID(SUBSTITUTE($CA$1306,"~",REPT(" ",600)),1,600))</f>
        <v/>
      </c>
    </row>
    <row r="1308">
      <c r="B1308" s="180">
        <f>IF($AD1308="","",VALUE(LEFT($AD1308,FIND("|",$AD1308)-1)))</f>
        <v/>
      </c>
      <c r="C1308" s="180">
        <f>IF($AD1308="","","    "&amp;MID($AD1308,FIND("|",$AD1308)+1,FIND("|",$AD1308,FIND("|",$AD1308)+1)-FIND("|",$AD1308)-1))</f>
        <v/>
      </c>
      <c r="D1308" s="180">
        <f>IF($AD1308="","",MID($AD1308,FIND("|",$AD1308,FIND("|",$AD1308)+1)+1,FIND("|",$AD1308&amp;"|",FIND("|",$AD1308,FIND("|",$AD1308)+1)+1)-FIND("|",$AD1308,FIND("|",$AD1308)+1)-1))</f>
        <v/>
      </c>
      <c r="AD1308">
        <f>TRIM(MID(SUBSTITUTE($CA$1306,"~",REPT(" ",600)),601,600))</f>
        <v/>
      </c>
    </row>
    <row r="1309">
      <c r="B1309" s="180">
        <f>IF($AD1309="","",VALUE(LEFT($AD1309,FIND("|",$AD1309)-1)))</f>
        <v/>
      </c>
      <c r="C1309" s="180">
        <f>IF($AD1309="","","    "&amp;MID($AD1309,FIND("|",$AD1309)+1,FIND("|",$AD1309,FIND("|",$AD1309)+1)-FIND("|",$AD1309)-1))</f>
        <v/>
      </c>
      <c r="D1309" s="180">
        <f>IF($AD1309="","",MID($AD1309,FIND("|",$AD1309,FIND("|",$AD1309)+1)+1,FIND("|",$AD1309&amp;"|",FIND("|",$AD1309,FIND("|",$AD1309)+1)+1)-FIND("|",$AD1309,FIND("|",$AD1309)+1)-1))</f>
        <v/>
      </c>
      <c r="AD1309">
        <f>TRIM(MID(SUBSTITUTE($CA$1306,"~",REPT(" ",600)),1201,600))</f>
        <v/>
      </c>
    </row>
    <row r="1310">
      <c r="B1310" s="180">
        <f>IF($AD1310="","",VALUE(LEFT($AD1310,FIND("|",$AD1310)-1)))</f>
        <v/>
      </c>
      <c r="C1310" s="180">
        <f>IF($AD1310="","","    "&amp;MID($AD1310,FIND("|",$AD1310)+1,FIND("|",$AD1310,FIND("|",$AD1310)+1)-FIND("|",$AD1310)-1))</f>
        <v/>
      </c>
      <c r="D1310" s="180">
        <f>IF($AD1310="","",MID($AD1310,FIND("|",$AD1310,FIND("|",$AD1310)+1)+1,FIND("|",$AD1310&amp;"|",FIND("|",$AD1310,FIND("|",$AD1310)+1)+1)-FIND("|",$AD1310,FIND("|",$AD1310)+1)-1))</f>
        <v/>
      </c>
      <c r="AD1310">
        <f>TRIM(MID(SUBSTITUTE($CA$1306,"~",REPT(" ",600)),1801,600))</f>
        <v/>
      </c>
    </row>
    <row r="1311">
      <c r="B1311" s="180">
        <f>IF($AD1311="","",VALUE(LEFT($AD1311,FIND("|",$AD1311)-1)))</f>
        <v/>
      </c>
      <c r="C1311" s="180">
        <f>IF($AD1311="","","    "&amp;MID($AD1311,FIND("|",$AD1311)+1,FIND("|",$AD1311,FIND("|",$AD1311)+1)-FIND("|",$AD1311)-1))</f>
        <v/>
      </c>
      <c r="D1311" s="180">
        <f>IF($AD1311="","",MID($AD1311,FIND("|",$AD1311,FIND("|",$AD1311)+1)+1,FIND("|",$AD1311&amp;"|",FIND("|",$AD1311,FIND("|",$AD1311)+1)+1)-FIND("|",$AD1311,FIND("|",$AD1311)+1)-1))</f>
        <v/>
      </c>
      <c r="AD1311">
        <f>TRIM(MID(SUBSTITUTE($CA$1306,"~",REPT(" ",600)),2401,600))</f>
        <v/>
      </c>
    </row>
    <row r="1312">
      <c r="B1312" s="180">
        <f>IF($AD1312="","",VALUE(LEFT($AD1312,FIND("|",$AD1312)-1)))</f>
        <v/>
      </c>
      <c r="C1312" s="180">
        <f>IF($AD1312="","","    "&amp;MID($AD1312,FIND("|",$AD1312)+1,FIND("|",$AD1312,FIND("|",$AD1312)+1)-FIND("|",$AD1312)-1))</f>
        <v/>
      </c>
      <c r="D1312" s="180">
        <f>IF($AD1312="","",MID($AD1312,FIND("|",$AD1312,FIND("|",$AD1312)+1)+1,FIND("|",$AD1312&amp;"|",FIND("|",$AD1312,FIND("|",$AD1312)+1)+1)-FIND("|",$AD1312,FIND("|",$AD1312)+1)-1))</f>
        <v/>
      </c>
      <c r="AD1312">
        <f>TRIM(MID(SUBSTITUTE($CA$1306,"~",REPT(" ",600)),3001,600))</f>
        <v/>
      </c>
    </row>
    <row r="1313">
      <c r="B1313" s="180">
        <f>IF($AD1313="","",VALUE(LEFT($AD1313,FIND("|",$AD1313)-1)))</f>
        <v/>
      </c>
      <c r="C1313" s="180">
        <f>IF($AD1313="","","    "&amp;MID($AD1313,FIND("|",$AD1313)+1,FIND("|",$AD1313,FIND("|",$AD1313)+1)-FIND("|",$AD1313)-1))</f>
        <v/>
      </c>
      <c r="D1313" s="180">
        <f>IF($AD1313="","",MID($AD1313,FIND("|",$AD1313,FIND("|",$AD1313)+1)+1,FIND("|",$AD1313&amp;"|",FIND("|",$AD1313,FIND("|",$AD1313)+1)+1)-FIND("|",$AD1313,FIND("|",$AD1313)+1)-1))</f>
        <v/>
      </c>
      <c r="AD1313">
        <f>TRIM(MID(SUBSTITUTE($CA$1306,"~",REPT(" ",600)),3601,600))</f>
        <v/>
      </c>
    </row>
    <row r="1314">
      <c r="B1314" s="180">
        <f>IF($AD1314="","",VALUE(LEFT($AD1314,FIND("|",$AD1314)-1)))</f>
        <v/>
      </c>
      <c r="C1314" s="180">
        <f>IF($AD1314="","","    "&amp;MID($AD1314,FIND("|",$AD1314)+1,FIND("|",$AD1314,FIND("|",$AD1314)+1)-FIND("|",$AD1314)-1))</f>
        <v/>
      </c>
      <c r="D1314" s="180">
        <f>IF($AD1314="","",MID($AD1314,FIND("|",$AD1314,FIND("|",$AD1314)+1)+1,FIND("|",$AD1314&amp;"|",FIND("|",$AD1314,FIND("|",$AD1314)+1)+1)-FIND("|",$AD1314,FIND("|",$AD1314)+1)-1))</f>
        <v/>
      </c>
      <c r="AD1314">
        <f>TRIM(MID(SUBSTITUTE($CA$1306,"~",REPT(" ",600)),4201,600))</f>
        <v/>
      </c>
    </row>
    <row r="1315">
      <c r="B1315" s="180">
        <f>IF($AD1315="","",VALUE(LEFT($AD1315,FIND("|",$AD1315)-1)))</f>
        <v/>
      </c>
      <c r="C1315" s="180">
        <f>IF($AD1315="","","    "&amp;MID($AD1315,FIND("|",$AD1315)+1,FIND("|",$AD1315,FIND("|",$AD1315)+1)-FIND("|",$AD1315)-1))</f>
        <v/>
      </c>
      <c r="D1315" s="180">
        <f>IF($AD1315="","",MID($AD1315,FIND("|",$AD1315,FIND("|",$AD1315)+1)+1,FIND("|",$AD1315&amp;"|",FIND("|",$AD1315,FIND("|",$AD1315)+1)+1)-FIND("|",$AD1315,FIND("|",$AD1315)+1)-1))</f>
        <v/>
      </c>
      <c r="AD1315">
        <f>TRIM(MID(SUBSTITUTE($CA$1306,"~",REPT(" ",600)),4801,600))</f>
        <v/>
      </c>
    </row>
    <row r="1316">
      <c r="B1316" s="180">
        <f>IF($AD1316="","",VALUE(LEFT($AD1316,FIND("|",$AD1316)-1)))</f>
        <v/>
      </c>
      <c r="C1316" s="180">
        <f>IF($AD1316="","","    "&amp;MID($AD1316,FIND("|",$AD1316)+1,FIND("|",$AD1316,FIND("|",$AD1316)+1)-FIND("|",$AD1316)-1))</f>
        <v/>
      </c>
      <c r="D1316" s="180">
        <f>IF($AD1316="","",MID($AD1316,FIND("|",$AD1316,FIND("|",$AD1316)+1)+1,FIND("|",$AD1316&amp;"|",FIND("|",$AD1316,FIND("|",$AD1316)+1)+1)-FIND("|",$AD1316,FIND("|",$AD1316)+1)-1))</f>
        <v/>
      </c>
      <c r="AD1316">
        <f>TRIM(MID(SUBSTITUTE($CA$1306,"~",REPT(" ",600)),5401,600))</f>
        <v/>
      </c>
    </row>
    <row r="1317">
      <c r="B1317" s="180">
        <f>IF($AD1317="","",VALUE(LEFT($AD1317,FIND("|",$AD1317)-1)))</f>
        <v/>
      </c>
      <c r="C1317" s="180">
        <f>IF($AD1317="","","    "&amp;MID($AD1317,FIND("|",$AD1317)+1,FIND("|",$AD1317,FIND("|",$AD1317)+1)-FIND("|",$AD1317)-1))</f>
        <v/>
      </c>
      <c r="D1317" s="180">
        <f>IF($AD1317="","",MID($AD1317,FIND("|",$AD1317,FIND("|",$AD1317)+1)+1,FIND("|",$AD1317&amp;"|",FIND("|",$AD1317,FIND("|",$AD1317)+1)+1)-FIND("|",$AD1317,FIND("|",$AD1317)+1)-1))</f>
        <v/>
      </c>
      <c r="AD1317">
        <f>TRIM(MID(SUBSTITUTE($CA$1306,"~",REPT(" ",600)),6001,600))</f>
        <v/>
      </c>
    </row>
    <row r="1318">
      <c r="A1318" s="178">
        <f>IF($AD$1318=0,"",$BK$1318)</f>
        <v/>
      </c>
      <c r="B1318" s="178">
        <f>IF($AD$1318=0,"",$AE$1318*N($BA$1318))</f>
        <v/>
      </c>
      <c r="C1318" s="178">
        <f>IF($AD$1318=0,"",$AE$1318*N($BA$1318)&amp;") "&amp;IF(COUNTIFS(tk_SODG,50,tk_HLEG,"&lt;&gt;"&amp;$BJ$1318)=0,INDEX(tk_DLINE,$AD$1318),INDEX(tk_DLINEN,$AD$1318)))</f>
        <v/>
      </c>
      <c r="D1318" s="178" t="n"/>
      <c r="E1318" s="179">
        <f t="array" ref="E1318">IF($AD$1318=0,"",_xlfn.TEXTJOIN(", ",TRUE,IF(tk_SODG=50,"#"&amp;tk_MARK&amp;IF(tk_HLEG="","","("&amp;tk_HLEG&amp;")")&amp;IF(tk_QTY&gt;1," ×"&amp;tk_QTY,""),"")))</f>
        <v/>
      </c>
      <c r="AD1318">
        <f>IFERROR(MATCH(50,tk_SODG,0),0)</f>
        <v/>
      </c>
      <c r="AE1318">
        <f>IF($AD$1318=0,0,SUMIF(tk_SODG,50,tk_QTY))</f>
        <v/>
      </c>
      <c r="AF1318">
        <f>IF($AD$1318=0,"",INDEX(tk_JAMB,$AD$1318))</f>
        <v/>
      </c>
      <c r="AG1318">
        <f>IF($AD$1318=0,"",INDEX(tk_ANCHOR,$AD$1318))</f>
        <v/>
      </c>
      <c r="AH1318">
        <f>IF($AD$1318=0,"",INDEX(tk_ANCH,$AD$1318))</f>
        <v/>
      </c>
      <c r="AI1318">
        <f>IF($AD$1318=0,"",INDEX(tk_BASEA,$AD$1318))</f>
        <v/>
      </c>
      <c r="AJ1318">
        <f>IF($AD$1318=0,"",INDEX(tk_CONSTR,$AD$1318))</f>
        <v/>
      </c>
      <c r="AK1318">
        <f>IF($AD$1318=0,"",INDEX(tk_CLOSER,$AD$1318))</f>
        <v/>
      </c>
      <c r="AL1318">
        <f>IF($AD$1318=0,"",INDEX(tk_STRIKE,$AD$1318))</f>
        <v/>
      </c>
      <c r="AM1318">
        <f>IF($AD$1318=0,"",INDEX(tk_HDRPREP,$AD$1318))</f>
        <v/>
      </c>
      <c r="AN1318">
        <f>IF($AD$1318=0,"",INDEX(tk_DMIN,$AD$1318))</f>
        <v/>
      </c>
      <c r="AO1318">
        <f>IF($AD$1318=0,"",INDEX(tk_PAIR,$AD$1318))</f>
        <v/>
      </c>
      <c r="AP1318">
        <f>IF($AD$1318=0,"",INDEX(tk_FGA,$AD$1318))</f>
        <v/>
      </c>
      <c r="AQ1318">
        <f>IF($AD$1318=0,"",INDEX(tk_WI,$AD$1318))</f>
        <v/>
      </c>
      <c r="AR1318">
        <f>IF($AD$1318=0,"",INDEX(tk_HI,$AD$1318))</f>
        <v/>
      </c>
      <c r="AS1318">
        <f>IF($AD$1318=0,"",INDEX(tk_FHINGE,$AD$1318))</f>
        <v/>
      </c>
      <c r="AT1318">
        <f>IF($AD$1318=0,"",INDEX(tk_DHINGE,$AD$1318))</f>
        <v/>
      </c>
      <c r="AU1318">
        <f>IF($AD$1318=0,"",INDEX(tk_HWLOC,$AD$1318))</f>
        <v/>
      </c>
      <c r="AV1318">
        <f>IF($AD$1318=0,"",INDEX(tk_MANUF,$AD$1318))</f>
        <v/>
      </c>
      <c r="AW1318">
        <f>IF($AD$1318=0,"",INDEX(tk_JH,$AD$1318))</f>
        <v/>
      </c>
      <c r="AX1318">
        <f>IF($AD$1318=0,"",INDEX(tk_FDESC,$AD$1318))</f>
        <v/>
      </c>
      <c r="AY1318">
        <f>IF($AD$1318=0,"",INDEX(tk_TRANS,$AD$1318))</f>
        <v/>
      </c>
      <c r="AZ1318">
        <f>IF($AD$1318=0,"",INDEX(tk_SLW,$AD$1318))</f>
        <v/>
      </c>
      <c r="BA1318">
        <f>IF($AD$1318=0,"",INDEX(tk_LEAVES,$AD$1318))</f>
        <v/>
      </c>
      <c r="BB1318">
        <f>IF($AD$1318=0,"",INDEX(tk_LEAFW,$AD$1318))</f>
        <v/>
      </c>
      <c r="BC1318">
        <f>IF($AD$1318=0,"",INDEX(tk_LEAFH,$AD$1318))</f>
        <v/>
      </c>
      <c r="BD1318">
        <f>IF($AD$1318=0,"",INDEX(tk_DMAT,$AD$1318))</f>
        <v/>
      </c>
      <c r="BE1318">
        <f>IF($AD$1318=0,"",INDEX(tk_DGA,$AD$1318))</f>
        <v/>
      </c>
      <c r="BF1318">
        <f>IF($AD$1318=0,"",INDEX(tk_SERIES,$AD$1318))</f>
        <v/>
      </c>
      <c r="BG1318">
        <f>IF($AD$1318=0,"",INDEX(tk_LOCK,$AD$1318))</f>
        <v/>
      </c>
      <c r="BH1318">
        <f>IF($AD$1318=0,"",INDEX(tk_LITEKIT,$AD$1318))</f>
        <v/>
      </c>
      <c r="BI1318">
        <f>IF($AD$1318=0,"",INDEX(tk_FACE,$AD$1318))</f>
        <v/>
      </c>
      <c r="BJ1318">
        <f>IF($AD$1318=0,"",INDEX(tk_HLEG,$AD$1318))</f>
        <v/>
      </c>
      <c r="BK1318">
        <f>IF($AD$1318=0,"",INDEX(tk_SOITEM,$AD$1318))</f>
        <v/>
      </c>
      <c r="BL1318">
        <f>IFERROR(VLOOKUP($AF$1318,CODES,2,FALSE),"")</f>
        <v/>
      </c>
      <c r="BM1318">
        <f>IF($AJ$1318="KD","C","M")</f>
        <v/>
      </c>
      <c r="BN1318">
        <f>IF(N($AR$1318)&lt;=80,80,IF(N($AR$1318)&lt;=84,84,IF(N($AR$1318)&lt;=96,96,N($AR$1318))))</f>
        <v/>
      </c>
      <c r="BO1318">
        <f>INT($BN$1318/12)&amp;MOD($BN$1318,12)</f>
        <v/>
      </c>
      <c r="BP1318">
        <f>INT(N($AQ$1318)/12)&amp;MOD(N($AQ$1318),12)</f>
        <v/>
      </c>
      <c r="BQ1318">
        <f>IF(OR($AU$1318="",$AU$1318="ANSI/SDI",$AU$1318="CUSTOM LOC"),IF($AV$1318="CU","CURRIES","STEELCRAFT"),$AU$1318)</f>
        <v/>
      </c>
      <c r="BR1318">
        <f>$AO$1318="Y"</f>
        <v/>
      </c>
      <c r="BS1318">
        <f>"~"</f>
        <v/>
      </c>
      <c r="BT1318">
        <f>$AE$1318*N($BA$1318)</f>
        <v/>
      </c>
      <c r="BU1318">
        <f>OR(LEFT($BD$1318,3)="OAK",LEFT($BD$1318,3)="BIR",LEFT($BD$1318,3)="MAP",$BD$1318="PC",$BD$1318="MC",$BD$1318="SCLC",$BD$1318="P-LAM")</f>
        <v/>
      </c>
      <c r="BV1318">
        <f>INT(N($AQ$1318)/MAX(1,N($BA$1318))/12)&amp;MOD(N($AQ$1318)/MAX(1,N($BA$1318)),12)</f>
        <v/>
      </c>
      <c r="BW1318">
        <f>IF(OR($BG$1318="G11",$BG$1318="G11A",$BG$1318="G12A"),"G2",IF(OR(LEFT($BG$1318,2)="G3",$BG$1318="G12"),"G3AEO",$BG$1318))</f>
        <v/>
      </c>
      <c r="BX1318">
        <f>"(Net size: "&amp;TRIM(TEXT(N($BB$1318),"# ?/??"))&amp;CHAR(34)&amp;" x "&amp;TRIM(TEXT(N($BC$1318),"# ?/??"))&amp;CHAR(34)&amp;")"</f>
        <v/>
      </c>
      <c r="BY1318">
        <f>IF(LEFT($BD$1318,3)="OAK","RED OAK",IF(LEFT($BD$1318,3)="BIR","BIRCH",IF(LEFT($BD$1318,3)="MAP","MAPLE","WOOD")))</f>
        <v/>
      </c>
      <c r="BZ1318">
        <f>IF(OR($AT$1318="U454",AND($AT$1318="",$AS$1318="U454")),"454","453")</f>
        <v/>
      </c>
      <c r="CA1318">
        <f>IF($AD$1318=0,"",IF($BU$1318,$BT$1318&amp;"|"&amp;$BV$1318&amp;$BO$1318&amp;" "&amp;$BY$1318&amp;" SLAB "&amp;IF(N($AN$1318)&gt;0,$AN$1318&amp;" MINUTE",IF(RIGHT($BD$1318,2)="MC","MC","SC")&amp;" WOOD DOOR")&amp;"|"&amp;$BX$1318&amp;"|"&amp;$BS$1318,$BT$1318&amp;"|"&amp;$BV$1318&amp;$BO$1318&amp;$BW$1318&amp;" BSC "&amp;$BQ$1318&amp;" DOOR "&amp;$BE$1318&amp;"Ga. Non-Handed "&amp;IF($BF$1318="","707",$BF$1318)&amp;"S Flush HM|"&amp;$BX$1318&amp;"|"&amp;$BS$1318)&amp;IF(N($AN$1318)&gt;0,$BT$1318&amp;"|"&amp;$AN$1318&amp;IF($BU$1318," MINUTE WARNOCK HERSHEY FIRE RATED WOOD LABEL"," MINUTE FOAM CORE STEEL DOOR LABEL (MODELS 607 &amp; 707)")&amp;"||"&amp;$BS$1318,"")&amp;IF(AND(NOT($BU$1318),OR($BG$1318="G11",$BG$1318="G11A",$BG$1318="G12",$BG$1318="G12A")),$AE$1318&amp;"|EXIT DEVICE PREP FOR HM DOOR||"&amp;$BS$1318,"")&amp;IF(AND(NOT($BU$1318),$BG$1318="G12"),$AE$1318&amp;"|DR 350 MORTISE LOCK FILLER PLATE||"&amp;$BS$1318,"")&amp;IF(AND(NOT($BU$1318),LEFT($BG$1318,2)="G3"),$AE$1318&amp;"|MORTISE LOCK PREP||"&amp;$BS$1318,"")&amp;IF($BU$1318,$BT$1318&amp;"|"&amp;IF($BG$1318="G18",$BZ$1318&amp;"-4 1/2"&amp;CHAR(34)&amp;"X4 1/2"&amp;CHAR(34)&amp;" HINGES ONLY PREP","HINGE PREP "&amp;$BZ$1318&amp;" WITH LOCK PREP")&amp;"|"&amp;$BQ$1318&amp;" LOC|"&amp;$BS$1318,"")&amp;IF(OR($BG$1318="G2G2",$BG$1318="G17",$BG$1318="E1E4"),$AE$1318&amp;"|"&amp;IF($BU$1318,"DDLP CYLINDRICAL DEADLOCK PREP","DOOR DEADLOCK PREP")&amp;"||"&amp;$BS$1318,"")&amp;IF(OR($BH$1318="FG",$BH$1318="HG",$BH$1318="FNV",$BH$1318="FV"),$BT$1318&amp;"|"&amp;$BI$1318&amp;" LITE KIT||"&amp;$BS$1318,IF($BH$1318="FL",$BT$1318&amp;"|"&amp;$BI$1318&amp;" LOUVER||"&amp;$BS$1318,IF($BH$1318="FP",$BT$1318&amp;"|DVP DOOR VIEWER PREP||"&amp;$BS$1318,"")))&amp;IF($BN$1318&gt;N($AR$1318),$BT$1318&amp;"|DCO DOOR CUT DOWN ONLY (HEIGHT)|Cut "&amp;TRIM(TEXT($BN$1318-N($AR$1318),"# ?/??"))&amp;CHAR(34)&amp;" OFF THE BOTTOM|"&amp;$BS$1318,""))</f>
        <v/>
      </c>
    </row>
    <row r="1319">
      <c r="B1319" s="180">
        <f>IF($AD1319="","",VALUE(LEFT($AD1319,FIND("|",$AD1319)-1)))</f>
        <v/>
      </c>
      <c r="C1319" s="180">
        <f>IF($AD1319="","","    "&amp;MID($AD1319,FIND("|",$AD1319)+1,FIND("|",$AD1319,FIND("|",$AD1319)+1)-FIND("|",$AD1319)-1))</f>
        <v/>
      </c>
      <c r="D1319" s="180">
        <f>IF($AD1319="","",MID($AD1319,FIND("|",$AD1319,FIND("|",$AD1319)+1)+1,FIND("|",$AD1319&amp;"|",FIND("|",$AD1319,FIND("|",$AD1319)+1)+1)-FIND("|",$AD1319,FIND("|",$AD1319)+1)-1))</f>
        <v/>
      </c>
      <c r="AD1319">
        <f>TRIM(MID(SUBSTITUTE($CA$1318,"~",REPT(" ",600)),1,600))</f>
        <v/>
      </c>
    </row>
    <row r="1320">
      <c r="B1320" s="180">
        <f>IF($AD1320="","",VALUE(LEFT($AD1320,FIND("|",$AD1320)-1)))</f>
        <v/>
      </c>
      <c r="C1320" s="180">
        <f>IF($AD1320="","","    "&amp;MID($AD1320,FIND("|",$AD1320)+1,FIND("|",$AD1320,FIND("|",$AD1320)+1)-FIND("|",$AD1320)-1))</f>
        <v/>
      </c>
      <c r="D1320" s="180">
        <f>IF($AD1320="","",MID($AD1320,FIND("|",$AD1320,FIND("|",$AD1320)+1)+1,FIND("|",$AD1320&amp;"|",FIND("|",$AD1320,FIND("|",$AD1320)+1)+1)-FIND("|",$AD1320,FIND("|",$AD1320)+1)-1))</f>
        <v/>
      </c>
      <c r="AD1320">
        <f>TRIM(MID(SUBSTITUTE($CA$1318,"~",REPT(" ",600)),601,600))</f>
        <v/>
      </c>
    </row>
    <row r="1321">
      <c r="B1321" s="180">
        <f>IF($AD1321="","",VALUE(LEFT($AD1321,FIND("|",$AD1321)-1)))</f>
        <v/>
      </c>
      <c r="C1321" s="180">
        <f>IF($AD1321="","","    "&amp;MID($AD1321,FIND("|",$AD1321)+1,FIND("|",$AD1321,FIND("|",$AD1321)+1)-FIND("|",$AD1321)-1))</f>
        <v/>
      </c>
      <c r="D1321" s="180">
        <f>IF($AD1321="","",MID($AD1321,FIND("|",$AD1321,FIND("|",$AD1321)+1)+1,FIND("|",$AD1321&amp;"|",FIND("|",$AD1321,FIND("|",$AD1321)+1)+1)-FIND("|",$AD1321,FIND("|",$AD1321)+1)-1))</f>
        <v/>
      </c>
      <c r="AD1321">
        <f>TRIM(MID(SUBSTITUTE($CA$1318,"~",REPT(" ",600)),1201,600))</f>
        <v/>
      </c>
    </row>
    <row r="1322">
      <c r="B1322" s="180">
        <f>IF($AD1322="","",VALUE(LEFT($AD1322,FIND("|",$AD1322)-1)))</f>
        <v/>
      </c>
      <c r="C1322" s="180">
        <f>IF($AD1322="","","    "&amp;MID($AD1322,FIND("|",$AD1322)+1,FIND("|",$AD1322,FIND("|",$AD1322)+1)-FIND("|",$AD1322)-1))</f>
        <v/>
      </c>
      <c r="D1322" s="180">
        <f>IF($AD1322="","",MID($AD1322,FIND("|",$AD1322,FIND("|",$AD1322)+1)+1,FIND("|",$AD1322&amp;"|",FIND("|",$AD1322,FIND("|",$AD1322)+1)+1)-FIND("|",$AD1322,FIND("|",$AD1322)+1)-1))</f>
        <v/>
      </c>
      <c r="AD1322">
        <f>TRIM(MID(SUBSTITUTE($CA$1318,"~",REPT(" ",600)),1801,600))</f>
        <v/>
      </c>
    </row>
    <row r="1323">
      <c r="B1323" s="180">
        <f>IF($AD1323="","",VALUE(LEFT($AD1323,FIND("|",$AD1323)-1)))</f>
        <v/>
      </c>
      <c r="C1323" s="180">
        <f>IF($AD1323="","","    "&amp;MID($AD1323,FIND("|",$AD1323)+1,FIND("|",$AD1323,FIND("|",$AD1323)+1)-FIND("|",$AD1323)-1))</f>
        <v/>
      </c>
      <c r="D1323" s="180">
        <f>IF($AD1323="","",MID($AD1323,FIND("|",$AD1323,FIND("|",$AD1323)+1)+1,FIND("|",$AD1323&amp;"|",FIND("|",$AD1323,FIND("|",$AD1323)+1)+1)-FIND("|",$AD1323,FIND("|",$AD1323)+1)-1))</f>
        <v/>
      </c>
      <c r="AD1323">
        <f>TRIM(MID(SUBSTITUTE($CA$1318,"~",REPT(" ",600)),2401,600))</f>
        <v/>
      </c>
    </row>
    <row r="1324">
      <c r="B1324" s="180">
        <f>IF($AD1324="","",VALUE(LEFT($AD1324,FIND("|",$AD1324)-1)))</f>
        <v/>
      </c>
      <c r="C1324" s="180">
        <f>IF($AD1324="","","    "&amp;MID($AD1324,FIND("|",$AD1324)+1,FIND("|",$AD1324,FIND("|",$AD1324)+1)-FIND("|",$AD1324)-1))</f>
        <v/>
      </c>
      <c r="D1324" s="180">
        <f>IF($AD1324="","",MID($AD1324,FIND("|",$AD1324,FIND("|",$AD1324)+1)+1,FIND("|",$AD1324&amp;"|",FIND("|",$AD1324,FIND("|",$AD1324)+1)+1)-FIND("|",$AD1324,FIND("|",$AD1324)+1)-1))</f>
        <v/>
      </c>
      <c r="AD1324">
        <f>TRIM(MID(SUBSTITUTE($CA$1318,"~",REPT(" ",600)),3001,600))</f>
        <v/>
      </c>
    </row>
    <row r="1325">
      <c r="B1325" s="180">
        <f>IF($AD1325="","",VALUE(LEFT($AD1325,FIND("|",$AD1325)-1)))</f>
        <v/>
      </c>
      <c r="C1325" s="180">
        <f>IF($AD1325="","","    "&amp;MID($AD1325,FIND("|",$AD1325)+1,FIND("|",$AD1325,FIND("|",$AD1325)+1)-FIND("|",$AD1325)-1))</f>
        <v/>
      </c>
      <c r="D1325" s="180">
        <f>IF($AD1325="","",MID($AD1325,FIND("|",$AD1325,FIND("|",$AD1325)+1)+1,FIND("|",$AD1325&amp;"|",FIND("|",$AD1325,FIND("|",$AD1325)+1)+1)-FIND("|",$AD1325,FIND("|",$AD1325)+1)-1))</f>
        <v/>
      </c>
      <c r="AD1325">
        <f>TRIM(MID(SUBSTITUTE($CA$1318,"~",REPT(" ",600)),3601,600))</f>
        <v/>
      </c>
    </row>
    <row r="1326">
      <c r="B1326" s="180">
        <f>IF($AD1326="","",VALUE(LEFT($AD1326,FIND("|",$AD1326)-1)))</f>
        <v/>
      </c>
      <c r="C1326" s="180">
        <f>IF($AD1326="","","    "&amp;MID($AD1326,FIND("|",$AD1326)+1,FIND("|",$AD1326,FIND("|",$AD1326)+1)-FIND("|",$AD1326)-1))</f>
        <v/>
      </c>
      <c r="D1326" s="180">
        <f>IF($AD1326="","",MID($AD1326,FIND("|",$AD1326,FIND("|",$AD1326)+1)+1,FIND("|",$AD1326&amp;"|",FIND("|",$AD1326,FIND("|",$AD1326)+1)+1)-FIND("|",$AD1326,FIND("|",$AD1326)+1)-1))</f>
        <v/>
      </c>
      <c r="AD1326">
        <f>TRIM(MID(SUBSTITUTE($CA$1318,"~",REPT(" ",600)),4201,600))</f>
        <v/>
      </c>
    </row>
    <row r="1327">
      <c r="B1327" s="180">
        <f>IF($AD1327="","",VALUE(LEFT($AD1327,FIND("|",$AD1327)-1)))</f>
        <v/>
      </c>
      <c r="C1327" s="180">
        <f>IF($AD1327="","","    "&amp;MID($AD1327,FIND("|",$AD1327)+1,FIND("|",$AD1327,FIND("|",$AD1327)+1)-FIND("|",$AD1327)-1))</f>
        <v/>
      </c>
      <c r="D1327" s="180">
        <f>IF($AD1327="","",MID($AD1327,FIND("|",$AD1327,FIND("|",$AD1327)+1)+1,FIND("|",$AD1327&amp;"|",FIND("|",$AD1327,FIND("|",$AD1327)+1)+1)-FIND("|",$AD1327,FIND("|",$AD1327)+1)-1))</f>
        <v/>
      </c>
      <c r="AD1327">
        <f>TRIM(MID(SUBSTITUTE($CA$1318,"~",REPT(" ",600)),4801,600))</f>
        <v/>
      </c>
    </row>
    <row r="1328">
      <c r="B1328" s="180">
        <f>IF($AD1328="","",VALUE(LEFT($AD1328,FIND("|",$AD1328)-1)))</f>
        <v/>
      </c>
      <c r="C1328" s="180">
        <f>IF($AD1328="","","    "&amp;MID($AD1328,FIND("|",$AD1328)+1,FIND("|",$AD1328,FIND("|",$AD1328)+1)-FIND("|",$AD1328)-1))</f>
        <v/>
      </c>
      <c r="D1328" s="180">
        <f>IF($AD1328="","",MID($AD1328,FIND("|",$AD1328,FIND("|",$AD1328)+1)+1,FIND("|",$AD1328&amp;"|",FIND("|",$AD1328,FIND("|",$AD1328)+1)+1)-FIND("|",$AD1328,FIND("|",$AD1328)+1)-1))</f>
        <v/>
      </c>
      <c r="AD1328">
        <f>TRIM(MID(SUBSTITUTE($CA$1318,"~",REPT(" ",600)),5401,600))</f>
        <v/>
      </c>
    </row>
    <row r="1329">
      <c r="B1329" s="180">
        <f>IF($AD1329="","",VALUE(LEFT($AD1329,FIND("|",$AD1329)-1)))</f>
        <v/>
      </c>
      <c r="C1329" s="180">
        <f>IF($AD1329="","","    "&amp;MID($AD1329,FIND("|",$AD1329)+1,FIND("|",$AD1329,FIND("|",$AD1329)+1)-FIND("|",$AD1329)-1))</f>
        <v/>
      </c>
      <c r="D1329" s="180">
        <f>IF($AD1329="","",MID($AD1329,FIND("|",$AD1329,FIND("|",$AD1329)+1)+1,FIND("|",$AD1329&amp;"|",FIND("|",$AD1329,FIND("|",$AD1329)+1)+1)-FIND("|",$AD1329,FIND("|",$AD1329)+1)-1))</f>
        <v/>
      </c>
      <c r="AD1329">
        <f>TRIM(MID(SUBSTITUTE($CA$1318,"~",REPT(" ",600)),6001,600))</f>
        <v/>
      </c>
    </row>
    <row r="1330">
      <c r="A1330" s="178">
        <f>IF($AD$1330=0,"",$BK$1330)</f>
        <v/>
      </c>
      <c r="B1330" s="178">
        <f>IF($AD$1330=0,"",$AE$1330*N($BA$1330))</f>
        <v/>
      </c>
      <c r="C1330" s="178">
        <f>IF($AD$1330=0,"",$AE$1330*N($BA$1330)&amp;") "&amp;IF(COUNTIFS(tk_SODG,51,tk_HLEG,"&lt;&gt;"&amp;$BJ$1330)=0,INDEX(tk_DLINE,$AD$1330),INDEX(tk_DLINEN,$AD$1330)))</f>
        <v/>
      </c>
      <c r="D1330" s="178" t="n"/>
      <c r="E1330" s="179">
        <f t="array" ref="E1330">IF($AD$1330=0,"",_xlfn.TEXTJOIN(", ",TRUE,IF(tk_SODG=51,"#"&amp;tk_MARK&amp;IF(tk_HLEG="","","("&amp;tk_HLEG&amp;")")&amp;IF(tk_QTY&gt;1," ×"&amp;tk_QTY,""),"")))</f>
        <v/>
      </c>
      <c r="AD1330">
        <f>IFERROR(MATCH(51,tk_SODG,0),0)</f>
        <v/>
      </c>
      <c r="AE1330">
        <f>IF($AD$1330=0,0,SUMIF(tk_SODG,51,tk_QTY))</f>
        <v/>
      </c>
      <c r="AF1330">
        <f>IF($AD$1330=0,"",INDEX(tk_JAMB,$AD$1330))</f>
        <v/>
      </c>
      <c r="AG1330">
        <f>IF($AD$1330=0,"",INDEX(tk_ANCHOR,$AD$1330))</f>
        <v/>
      </c>
      <c r="AH1330">
        <f>IF($AD$1330=0,"",INDEX(tk_ANCH,$AD$1330))</f>
        <v/>
      </c>
      <c r="AI1330">
        <f>IF($AD$1330=0,"",INDEX(tk_BASEA,$AD$1330))</f>
        <v/>
      </c>
      <c r="AJ1330">
        <f>IF($AD$1330=0,"",INDEX(tk_CONSTR,$AD$1330))</f>
        <v/>
      </c>
      <c r="AK1330">
        <f>IF($AD$1330=0,"",INDEX(tk_CLOSER,$AD$1330))</f>
        <v/>
      </c>
      <c r="AL1330">
        <f>IF($AD$1330=0,"",INDEX(tk_STRIKE,$AD$1330))</f>
        <v/>
      </c>
      <c r="AM1330">
        <f>IF($AD$1330=0,"",INDEX(tk_HDRPREP,$AD$1330))</f>
        <v/>
      </c>
      <c r="AN1330">
        <f>IF($AD$1330=0,"",INDEX(tk_DMIN,$AD$1330))</f>
        <v/>
      </c>
      <c r="AO1330">
        <f>IF($AD$1330=0,"",INDEX(tk_PAIR,$AD$1330))</f>
        <v/>
      </c>
      <c r="AP1330">
        <f>IF($AD$1330=0,"",INDEX(tk_FGA,$AD$1330))</f>
        <v/>
      </c>
      <c r="AQ1330">
        <f>IF($AD$1330=0,"",INDEX(tk_WI,$AD$1330))</f>
        <v/>
      </c>
      <c r="AR1330">
        <f>IF($AD$1330=0,"",INDEX(tk_HI,$AD$1330))</f>
        <v/>
      </c>
      <c r="AS1330">
        <f>IF($AD$1330=0,"",INDEX(tk_FHINGE,$AD$1330))</f>
        <v/>
      </c>
      <c r="AT1330">
        <f>IF($AD$1330=0,"",INDEX(tk_DHINGE,$AD$1330))</f>
        <v/>
      </c>
      <c r="AU1330">
        <f>IF($AD$1330=0,"",INDEX(tk_HWLOC,$AD$1330))</f>
        <v/>
      </c>
      <c r="AV1330">
        <f>IF($AD$1330=0,"",INDEX(tk_MANUF,$AD$1330))</f>
        <v/>
      </c>
      <c r="AW1330">
        <f>IF($AD$1330=0,"",INDEX(tk_JH,$AD$1330))</f>
        <v/>
      </c>
      <c r="AX1330">
        <f>IF($AD$1330=0,"",INDEX(tk_FDESC,$AD$1330))</f>
        <v/>
      </c>
      <c r="AY1330">
        <f>IF($AD$1330=0,"",INDEX(tk_TRANS,$AD$1330))</f>
        <v/>
      </c>
      <c r="AZ1330">
        <f>IF($AD$1330=0,"",INDEX(tk_SLW,$AD$1330))</f>
        <v/>
      </c>
      <c r="BA1330">
        <f>IF($AD$1330=0,"",INDEX(tk_LEAVES,$AD$1330))</f>
        <v/>
      </c>
      <c r="BB1330">
        <f>IF($AD$1330=0,"",INDEX(tk_LEAFW,$AD$1330))</f>
        <v/>
      </c>
      <c r="BC1330">
        <f>IF($AD$1330=0,"",INDEX(tk_LEAFH,$AD$1330))</f>
        <v/>
      </c>
      <c r="BD1330">
        <f>IF($AD$1330=0,"",INDEX(tk_DMAT,$AD$1330))</f>
        <v/>
      </c>
      <c r="BE1330">
        <f>IF($AD$1330=0,"",INDEX(tk_DGA,$AD$1330))</f>
        <v/>
      </c>
      <c r="BF1330">
        <f>IF($AD$1330=0,"",INDEX(tk_SERIES,$AD$1330))</f>
        <v/>
      </c>
      <c r="BG1330">
        <f>IF($AD$1330=0,"",INDEX(tk_LOCK,$AD$1330))</f>
        <v/>
      </c>
      <c r="BH1330">
        <f>IF($AD$1330=0,"",INDEX(tk_LITEKIT,$AD$1330))</f>
        <v/>
      </c>
      <c r="BI1330">
        <f>IF($AD$1330=0,"",INDEX(tk_FACE,$AD$1330))</f>
        <v/>
      </c>
      <c r="BJ1330">
        <f>IF($AD$1330=0,"",INDEX(tk_HLEG,$AD$1330))</f>
        <v/>
      </c>
      <c r="BK1330">
        <f>IF($AD$1330=0,"",INDEX(tk_SOITEM,$AD$1330))</f>
        <v/>
      </c>
      <c r="BL1330">
        <f>IFERROR(VLOOKUP($AF$1330,CODES,2,FALSE),"")</f>
        <v/>
      </c>
      <c r="BM1330">
        <f>IF($AJ$1330="KD","C","M")</f>
        <v/>
      </c>
      <c r="BN1330">
        <f>IF(N($AR$1330)&lt;=80,80,IF(N($AR$1330)&lt;=84,84,IF(N($AR$1330)&lt;=96,96,N($AR$1330))))</f>
        <v/>
      </c>
      <c r="BO1330">
        <f>INT($BN$1330/12)&amp;MOD($BN$1330,12)</f>
        <v/>
      </c>
      <c r="BP1330">
        <f>INT(N($AQ$1330)/12)&amp;MOD(N($AQ$1330),12)</f>
        <v/>
      </c>
      <c r="BQ1330">
        <f>IF(OR($AU$1330="",$AU$1330="ANSI/SDI",$AU$1330="CUSTOM LOC"),IF($AV$1330="CU","CURRIES","STEELCRAFT"),$AU$1330)</f>
        <v/>
      </c>
      <c r="BR1330">
        <f>$AO$1330="Y"</f>
        <v/>
      </c>
      <c r="BS1330">
        <f>"~"</f>
        <v/>
      </c>
      <c r="BT1330">
        <f>$AE$1330*N($BA$1330)</f>
        <v/>
      </c>
      <c r="BU1330">
        <f>OR(LEFT($BD$1330,3)="OAK",LEFT($BD$1330,3)="BIR",LEFT($BD$1330,3)="MAP",$BD$1330="PC",$BD$1330="MC",$BD$1330="SCLC",$BD$1330="P-LAM")</f>
        <v/>
      </c>
      <c r="BV1330">
        <f>INT(N($AQ$1330)/MAX(1,N($BA$1330))/12)&amp;MOD(N($AQ$1330)/MAX(1,N($BA$1330)),12)</f>
        <v/>
      </c>
      <c r="BW1330">
        <f>IF(OR($BG$1330="G11",$BG$1330="G11A",$BG$1330="G12A"),"G2",IF(OR(LEFT($BG$1330,2)="G3",$BG$1330="G12"),"G3AEO",$BG$1330))</f>
        <v/>
      </c>
      <c r="BX1330">
        <f>"(Net size: "&amp;TRIM(TEXT(N($BB$1330),"# ?/??"))&amp;CHAR(34)&amp;" x "&amp;TRIM(TEXT(N($BC$1330),"# ?/??"))&amp;CHAR(34)&amp;")"</f>
        <v/>
      </c>
      <c r="BY1330">
        <f>IF(LEFT($BD$1330,3)="OAK","RED OAK",IF(LEFT($BD$1330,3)="BIR","BIRCH",IF(LEFT($BD$1330,3)="MAP","MAPLE","WOOD")))</f>
        <v/>
      </c>
      <c r="BZ1330">
        <f>IF(OR($AT$1330="U454",AND($AT$1330="",$AS$1330="U454")),"454","453")</f>
        <v/>
      </c>
      <c r="CA1330">
        <f>IF($AD$1330=0,"",IF($BU$1330,$BT$1330&amp;"|"&amp;$BV$1330&amp;$BO$1330&amp;" "&amp;$BY$1330&amp;" SLAB "&amp;IF(N($AN$1330)&gt;0,$AN$1330&amp;" MINUTE",IF(RIGHT($BD$1330,2)="MC","MC","SC")&amp;" WOOD DOOR")&amp;"|"&amp;$BX$1330&amp;"|"&amp;$BS$1330,$BT$1330&amp;"|"&amp;$BV$1330&amp;$BO$1330&amp;$BW$1330&amp;" BSC "&amp;$BQ$1330&amp;" DOOR "&amp;$BE$1330&amp;"Ga. Non-Handed "&amp;IF($BF$1330="","707",$BF$1330)&amp;"S Flush HM|"&amp;$BX$1330&amp;"|"&amp;$BS$1330)&amp;IF(N($AN$1330)&gt;0,$BT$1330&amp;"|"&amp;$AN$1330&amp;IF($BU$1330," MINUTE WARNOCK HERSHEY FIRE RATED WOOD LABEL"," MINUTE FOAM CORE STEEL DOOR LABEL (MODELS 607 &amp; 707)")&amp;"||"&amp;$BS$1330,"")&amp;IF(AND(NOT($BU$1330),OR($BG$1330="G11",$BG$1330="G11A",$BG$1330="G12",$BG$1330="G12A")),$AE$1330&amp;"|EXIT DEVICE PREP FOR HM DOOR||"&amp;$BS$1330,"")&amp;IF(AND(NOT($BU$1330),$BG$1330="G12"),$AE$1330&amp;"|DR 350 MORTISE LOCK FILLER PLATE||"&amp;$BS$1330,"")&amp;IF(AND(NOT($BU$1330),LEFT($BG$1330,2)="G3"),$AE$1330&amp;"|MORTISE LOCK PREP||"&amp;$BS$1330,"")&amp;IF($BU$1330,$BT$1330&amp;"|"&amp;IF($BG$1330="G18",$BZ$1330&amp;"-4 1/2"&amp;CHAR(34)&amp;"X4 1/2"&amp;CHAR(34)&amp;" HINGES ONLY PREP","HINGE PREP "&amp;$BZ$1330&amp;" WITH LOCK PREP")&amp;"|"&amp;$BQ$1330&amp;" LOC|"&amp;$BS$1330,"")&amp;IF(OR($BG$1330="G2G2",$BG$1330="G17",$BG$1330="E1E4"),$AE$1330&amp;"|"&amp;IF($BU$1330,"DDLP CYLINDRICAL DEADLOCK PREP","DOOR DEADLOCK PREP")&amp;"||"&amp;$BS$1330,"")&amp;IF(OR($BH$1330="FG",$BH$1330="HG",$BH$1330="FNV",$BH$1330="FV"),$BT$1330&amp;"|"&amp;$BI$1330&amp;" LITE KIT||"&amp;$BS$1330,IF($BH$1330="FL",$BT$1330&amp;"|"&amp;$BI$1330&amp;" LOUVER||"&amp;$BS$1330,IF($BH$1330="FP",$BT$1330&amp;"|DVP DOOR VIEWER PREP||"&amp;$BS$1330,"")))&amp;IF($BN$1330&gt;N($AR$1330),$BT$1330&amp;"|DCO DOOR CUT DOWN ONLY (HEIGHT)|Cut "&amp;TRIM(TEXT($BN$1330-N($AR$1330),"# ?/??"))&amp;CHAR(34)&amp;" OFF THE BOTTOM|"&amp;$BS$1330,""))</f>
        <v/>
      </c>
    </row>
    <row r="1331">
      <c r="B1331" s="180">
        <f>IF($AD1331="","",VALUE(LEFT($AD1331,FIND("|",$AD1331)-1)))</f>
        <v/>
      </c>
      <c r="C1331" s="180">
        <f>IF($AD1331="","","    "&amp;MID($AD1331,FIND("|",$AD1331)+1,FIND("|",$AD1331,FIND("|",$AD1331)+1)-FIND("|",$AD1331)-1))</f>
        <v/>
      </c>
      <c r="D1331" s="180">
        <f>IF($AD1331="","",MID($AD1331,FIND("|",$AD1331,FIND("|",$AD1331)+1)+1,FIND("|",$AD1331&amp;"|",FIND("|",$AD1331,FIND("|",$AD1331)+1)+1)-FIND("|",$AD1331,FIND("|",$AD1331)+1)-1))</f>
        <v/>
      </c>
      <c r="AD1331">
        <f>TRIM(MID(SUBSTITUTE($CA$1330,"~",REPT(" ",600)),1,600))</f>
        <v/>
      </c>
    </row>
    <row r="1332">
      <c r="B1332" s="180">
        <f>IF($AD1332="","",VALUE(LEFT($AD1332,FIND("|",$AD1332)-1)))</f>
        <v/>
      </c>
      <c r="C1332" s="180">
        <f>IF($AD1332="","","    "&amp;MID($AD1332,FIND("|",$AD1332)+1,FIND("|",$AD1332,FIND("|",$AD1332)+1)-FIND("|",$AD1332)-1))</f>
        <v/>
      </c>
      <c r="D1332" s="180">
        <f>IF($AD1332="","",MID($AD1332,FIND("|",$AD1332,FIND("|",$AD1332)+1)+1,FIND("|",$AD1332&amp;"|",FIND("|",$AD1332,FIND("|",$AD1332)+1)+1)-FIND("|",$AD1332,FIND("|",$AD1332)+1)-1))</f>
        <v/>
      </c>
      <c r="AD1332">
        <f>TRIM(MID(SUBSTITUTE($CA$1330,"~",REPT(" ",600)),601,600))</f>
        <v/>
      </c>
    </row>
    <row r="1333">
      <c r="B1333" s="180">
        <f>IF($AD1333="","",VALUE(LEFT($AD1333,FIND("|",$AD1333)-1)))</f>
        <v/>
      </c>
      <c r="C1333" s="180">
        <f>IF($AD1333="","","    "&amp;MID($AD1333,FIND("|",$AD1333)+1,FIND("|",$AD1333,FIND("|",$AD1333)+1)-FIND("|",$AD1333)-1))</f>
        <v/>
      </c>
      <c r="D1333" s="180">
        <f>IF($AD1333="","",MID($AD1333,FIND("|",$AD1333,FIND("|",$AD1333)+1)+1,FIND("|",$AD1333&amp;"|",FIND("|",$AD1333,FIND("|",$AD1333)+1)+1)-FIND("|",$AD1333,FIND("|",$AD1333)+1)-1))</f>
        <v/>
      </c>
      <c r="AD1333">
        <f>TRIM(MID(SUBSTITUTE($CA$1330,"~",REPT(" ",600)),1201,600))</f>
        <v/>
      </c>
    </row>
    <row r="1334">
      <c r="B1334" s="180">
        <f>IF($AD1334="","",VALUE(LEFT($AD1334,FIND("|",$AD1334)-1)))</f>
        <v/>
      </c>
      <c r="C1334" s="180">
        <f>IF($AD1334="","","    "&amp;MID($AD1334,FIND("|",$AD1334)+1,FIND("|",$AD1334,FIND("|",$AD1334)+1)-FIND("|",$AD1334)-1))</f>
        <v/>
      </c>
      <c r="D1334" s="180">
        <f>IF($AD1334="","",MID($AD1334,FIND("|",$AD1334,FIND("|",$AD1334)+1)+1,FIND("|",$AD1334&amp;"|",FIND("|",$AD1334,FIND("|",$AD1334)+1)+1)-FIND("|",$AD1334,FIND("|",$AD1334)+1)-1))</f>
        <v/>
      </c>
      <c r="AD1334">
        <f>TRIM(MID(SUBSTITUTE($CA$1330,"~",REPT(" ",600)),1801,600))</f>
        <v/>
      </c>
    </row>
    <row r="1335">
      <c r="B1335" s="180">
        <f>IF($AD1335="","",VALUE(LEFT($AD1335,FIND("|",$AD1335)-1)))</f>
        <v/>
      </c>
      <c r="C1335" s="180">
        <f>IF($AD1335="","","    "&amp;MID($AD1335,FIND("|",$AD1335)+1,FIND("|",$AD1335,FIND("|",$AD1335)+1)-FIND("|",$AD1335)-1))</f>
        <v/>
      </c>
      <c r="D1335" s="180">
        <f>IF($AD1335="","",MID($AD1335,FIND("|",$AD1335,FIND("|",$AD1335)+1)+1,FIND("|",$AD1335&amp;"|",FIND("|",$AD1335,FIND("|",$AD1335)+1)+1)-FIND("|",$AD1335,FIND("|",$AD1335)+1)-1))</f>
        <v/>
      </c>
      <c r="AD1335">
        <f>TRIM(MID(SUBSTITUTE($CA$1330,"~",REPT(" ",600)),2401,600))</f>
        <v/>
      </c>
    </row>
    <row r="1336">
      <c r="B1336" s="180">
        <f>IF($AD1336="","",VALUE(LEFT($AD1336,FIND("|",$AD1336)-1)))</f>
        <v/>
      </c>
      <c r="C1336" s="180">
        <f>IF($AD1336="","","    "&amp;MID($AD1336,FIND("|",$AD1336)+1,FIND("|",$AD1336,FIND("|",$AD1336)+1)-FIND("|",$AD1336)-1))</f>
        <v/>
      </c>
      <c r="D1336" s="180">
        <f>IF($AD1336="","",MID($AD1336,FIND("|",$AD1336,FIND("|",$AD1336)+1)+1,FIND("|",$AD1336&amp;"|",FIND("|",$AD1336,FIND("|",$AD1336)+1)+1)-FIND("|",$AD1336,FIND("|",$AD1336)+1)-1))</f>
        <v/>
      </c>
      <c r="AD1336">
        <f>TRIM(MID(SUBSTITUTE($CA$1330,"~",REPT(" ",600)),3001,600))</f>
        <v/>
      </c>
    </row>
    <row r="1337">
      <c r="B1337" s="180">
        <f>IF($AD1337="","",VALUE(LEFT($AD1337,FIND("|",$AD1337)-1)))</f>
        <v/>
      </c>
      <c r="C1337" s="180">
        <f>IF($AD1337="","","    "&amp;MID($AD1337,FIND("|",$AD1337)+1,FIND("|",$AD1337,FIND("|",$AD1337)+1)-FIND("|",$AD1337)-1))</f>
        <v/>
      </c>
      <c r="D1337" s="180">
        <f>IF($AD1337="","",MID($AD1337,FIND("|",$AD1337,FIND("|",$AD1337)+1)+1,FIND("|",$AD1337&amp;"|",FIND("|",$AD1337,FIND("|",$AD1337)+1)+1)-FIND("|",$AD1337,FIND("|",$AD1337)+1)-1))</f>
        <v/>
      </c>
      <c r="AD1337">
        <f>TRIM(MID(SUBSTITUTE($CA$1330,"~",REPT(" ",600)),3601,600))</f>
        <v/>
      </c>
    </row>
    <row r="1338">
      <c r="B1338" s="180">
        <f>IF($AD1338="","",VALUE(LEFT($AD1338,FIND("|",$AD1338)-1)))</f>
        <v/>
      </c>
      <c r="C1338" s="180">
        <f>IF($AD1338="","","    "&amp;MID($AD1338,FIND("|",$AD1338)+1,FIND("|",$AD1338,FIND("|",$AD1338)+1)-FIND("|",$AD1338)-1))</f>
        <v/>
      </c>
      <c r="D1338" s="180">
        <f>IF($AD1338="","",MID($AD1338,FIND("|",$AD1338,FIND("|",$AD1338)+1)+1,FIND("|",$AD1338&amp;"|",FIND("|",$AD1338,FIND("|",$AD1338)+1)+1)-FIND("|",$AD1338,FIND("|",$AD1338)+1)-1))</f>
        <v/>
      </c>
      <c r="AD1338">
        <f>TRIM(MID(SUBSTITUTE($CA$1330,"~",REPT(" ",600)),4201,600))</f>
        <v/>
      </c>
    </row>
    <row r="1339">
      <c r="B1339" s="180">
        <f>IF($AD1339="","",VALUE(LEFT($AD1339,FIND("|",$AD1339)-1)))</f>
        <v/>
      </c>
      <c r="C1339" s="180">
        <f>IF($AD1339="","","    "&amp;MID($AD1339,FIND("|",$AD1339)+1,FIND("|",$AD1339,FIND("|",$AD1339)+1)-FIND("|",$AD1339)-1))</f>
        <v/>
      </c>
      <c r="D1339" s="180">
        <f>IF($AD1339="","",MID($AD1339,FIND("|",$AD1339,FIND("|",$AD1339)+1)+1,FIND("|",$AD1339&amp;"|",FIND("|",$AD1339,FIND("|",$AD1339)+1)+1)-FIND("|",$AD1339,FIND("|",$AD1339)+1)-1))</f>
        <v/>
      </c>
      <c r="AD1339">
        <f>TRIM(MID(SUBSTITUTE($CA$1330,"~",REPT(" ",600)),4801,600))</f>
        <v/>
      </c>
    </row>
    <row r="1340">
      <c r="B1340" s="180">
        <f>IF($AD1340="","",VALUE(LEFT($AD1340,FIND("|",$AD1340)-1)))</f>
        <v/>
      </c>
      <c r="C1340" s="180">
        <f>IF($AD1340="","","    "&amp;MID($AD1340,FIND("|",$AD1340)+1,FIND("|",$AD1340,FIND("|",$AD1340)+1)-FIND("|",$AD1340)-1))</f>
        <v/>
      </c>
      <c r="D1340" s="180">
        <f>IF($AD1340="","",MID($AD1340,FIND("|",$AD1340,FIND("|",$AD1340)+1)+1,FIND("|",$AD1340&amp;"|",FIND("|",$AD1340,FIND("|",$AD1340)+1)+1)-FIND("|",$AD1340,FIND("|",$AD1340)+1)-1))</f>
        <v/>
      </c>
      <c r="AD1340">
        <f>TRIM(MID(SUBSTITUTE($CA$1330,"~",REPT(" ",600)),5401,600))</f>
        <v/>
      </c>
    </row>
    <row r="1341">
      <c r="B1341" s="180">
        <f>IF($AD1341="","",VALUE(LEFT($AD1341,FIND("|",$AD1341)-1)))</f>
        <v/>
      </c>
      <c r="C1341" s="180">
        <f>IF($AD1341="","","    "&amp;MID($AD1341,FIND("|",$AD1341)+1,FIND("|",$AD1341,FIND("|",$AD1341)+1)-FIND("|",$AD1341)-1))</f>
        <v/>
      </c>
      <c r="D1341" s="180">
        <f>IF($AD1341="","",MID($AD1341,FIND("|",$AD1341,FIND("|",$AD1341)+1)+1,FIND("|",$AD1341&amp;"|",FIND("|",$AD1341,FIND("|",$AD1341)+1)+1)-FIND("|",$AD1341,FIND("|",$AD1341)+1)-1))</f>
        <v/>
      </c>
      <c r="AD1341">
        <f>TRIM(MID(SUBSTITUTE($CA$1330,"~",REPT(" ",600)),6001,600))</f>
        <v/>
      </c>
    </row>
    <row r="1342">
      <c r="A1342" s="178">
        <f>IF($AD$1342=0,"",$BK$1342)</f>
        <v/>
      </c>
      <c r="B1342" s="178">
        <f>IF($AD$1342=0,"",$AE$1342*N($BA$1342))</f>
        <v/>
      </c>
      <c r="C1342" s="178">
        <f>IF($AD$1342=0,"",$AE$1342*N($BA$1342)&amp;") "&amp;IF(COUNTIFS(tk_SODG,52,tk_HLEG,"&lt;&gt;"&amp;$BJ$1342)=0,INDEX(tk_DLINE,$AD$1342),INDEX(tk_DLINEN,$AD$1342)))</f>
        <v/>
      </c>
      <c r="D1342" s="178" t="n"/>
      <c r="E1342" s="179">
        <f t="array" ref="E1342">IF($AD$1342=0,"",_xlfn.TEXTJOIN(", ",TRUE,IF(tk_SODG=52,"#"&amp;tk_MARK&amp;IF(tk_HLEG="","","("&amp;tk_HLEG&amp;")")&amp;IF(tk_QTY&gt;1," ×"&amp;tk_QTY,""),"")))</f>
        <v/>
      </c>
      <c r="AD1342">
        <f>IFERROR(MATCH(52,tk_SODG,0),0)</f>
        <v/>
      </c>
      <c r="AE1342">
        <f>IF($AD$1342=0,0,SUMIF(tk_SODG,52,tk_QTY))</f>
        <v/>
      </c>
      <c r="AF1342">
        <f>IF($AD$1342=0,"",INDEX(tk_JAMB,$AD$1342))</f>
        <v/>
      </c>
      <c r="AG1342">
        <f>IF($AD$1342=0,"",INDEX(tk_ANCHOR,$AD$1342))</f>
        <v/>
      </c>
      <c r="AH1342">
        <f>IF($AD$1342=0,"",INDEX(tk_ANCH,$AD$1342))</f>
        <v/>
      </c>
      <c r="AI1342">
        <f>IF($AD$1342=0,"",INDEX(tk_BASEA,$AD$1342))</f>
        <v/>
      </c>
      <c r="AJ1342">
        <f>IF($AD$1342=0,"",INDEX(tk_CONSTR,$AD$1342))</f>
        <v/>
      </c>
      <c r="AK1342">
        <f>IF($AD$1342=0,"",INDEX(tk_CLOSER,$AD$1342))</f>
        <v/>
      </c>
      <c r="AL1342">
        <f>IF($AD$1342=0,"",INDEX(tk_STRIKE,$AD$1342))</f>
        <v/>
      </c>
      <c r="AM1342">
        <f>IF($AD$1342=0,"",INDEX(tk_HDRPREP,$AD$1342))</f>
        <v/>
      </c>
      <c r="AN1342">
        <f>IF($AD$1342=0,"",INDEX(tk_DMIN,$AD$1342))</f>
        <v/>
      </c>
      <c r="AO1342">
        <f>IF($AD$1342=0,"",INDEX(tk_PAIR,$AD$1342))</f>
        <v/>
      </c>
      <c r="AP1342">
        <f>IF($AD$1342=0,"",INDEX(tk_FGA,$AD$1342))</f>
        <v/>
      </c>
      <c r="AQ1342">
        <f>IF($AD$1342=0,"",INDEX(tk_WI,$AD$1342))</f>
        <v/>
      </c>
      <c r="AR1342">
        <f>IF($AD$1342=0,"",INDEX(tk_HI,$AD$1342))</f>
        <v/>
      </c>
      <c r="AS1342">
        <f>IF($AD$1342=0,"",INDEX(tk_FHINGE,$AD$1342))</f>
        <v/>
      </c>
      <c r="AT1342">
        <f>IF($AD$1342=0,"",INDEX(tk_DHINGE,$AD$1342))</f>
        <v/>
      </c>
      <c r="AU1342">
        <f>IF($AD$1342=0,"",INDEX(tk_HWLOC,$AD$1342))</f>
        <v/>
      </c>
      <c r="AV1342">
        <f>IF($AD$1342=0,"",INDEX(tk_MANUF,$AD$1342))</f>
        <v/>
      </c>
      <c r="AW1342">
        <f>IF($AD$1342=0,"",INDEX(tk_JH,$AD$1342))</f>
        <v/>
      </c>
      <c r="AX1342">
        <f>IF($AD$1342=0,"",INDEX(tk_FDESC,$AD$1342))</f>
        <v/>
      </c>
      <c r="AY1342">
        <f>IF($AD$1342=0,"",INDEX(tk_TRANS,$AD$1342))</f>
        <v/>
      </c>
      <c r="AZ1342">
        <f>IF($AD$1342=0,"",INDEX(tk_SLW,$AD$1342))</f>
        <v/>
      </c>
      <c r="BA1342">
        <f>IF($AD$1342=0,"",INDEX(tk_LEAVES,$AD$1342))</f>
        <v/>
      </c>
      <c r="BB1342">
        <f>IF($AD$1342=0,"",INDEX(tk_LEAFW,$AD$1342))</f>
        <v/>
      </c>
      <c r="BC1342">
        <f>IF($AD$1342=0,"",INDEX(tk_LEAFH,$AD$1342))</f>
        <v/>
      </c>
      <c r="BD1342">
        <f>IF($AD$1342=0,"",INDEX(tk_DMAT,$AD$1342))</f>
        <v/>
      </c>
      <c r="BE1342">
        <f>IF($AD$1342=0,"",INDEX(tk_DGA,$AD$1342))</f>
        <v/>
      </c>
      <c r="BF1342">
        <f>IF($AD$1342=0,"",INDEX(tk_SERIES,$AD$1342))</f>
        <v/>
      </c>
      <c r="BG1342">
        <f>IF($AD$1342=0,"",INDEX(tk_LOCK,$AD$1342))</f>
        <v/>
      </c>
      <c r="BH1342">
        <f>IF($AD$1342=0,"",INDEX(tk_LITEKIT,$AD$1342))</f>
        <v/>
      </c>
      <c r="BI1342">
        <f>IF($AD$1342=0,"",INDEX(tk_FACE,$AD$1342))</f>
        <v/>
      </c>
      <c r="BJ1342">
        <f>IF($AD$1342=0,"",INDEX(tk_HLEG,$AD$1342))</f>
        <v/>
      </c>
      <c r="BK1342">
        <f>IF($AD$1342=0,"",INDEX(tk_SOITEM,$AD$1342))</f>
        <v/>
      </c>
      <c r="BL1342">
        <f>IFERROR(VLOOKUP($AF$1342,CODES,2,FALSE),"")</f>
        <v/>
      </c>
      <c r="BM1342">
        <f>IF($AJ$1342="KD","C","M")</f>
        <v/>
      </c>
      <c r="BN1342">
        <f>IF(N($AR$1342)&lt;=80,80,IF(N($AR$1342)&lt;=84,84,IF(N($AR$1342)&lt;=96,96,N($AR$1342))))</f>
        <v/>
      </c>
      <c r="BO1342">
        <f>INT($BN$1342/12)&amp;MOD($BN$1342,12)</f>
        <v/>
      </c>
      <c r="BP1342">
        <f>INT(N($AQ$1342)/12)&amp;MOD(N($AQ$1342),12)</f>
        <v/>
      </c>
      <c r="BQ1342">
        <f>IF(OR($AU$1342="",$AU$1342="ANSI/SDI",$AU$1342="CUSTOM LOC"),IF($AV$1342="CU","CURRIES","STEELCRAFT"),$AU$1342)</f>
        <v/>
      </c>
      <c r="BR1342">
        <f>$AO$1342="Y"</f>
        <v/>
      </c>
      <c r="BS1342">
        <f>"~"</f>
        <v/>
      </c>
      <c r="BT1342">
        <f>$AE$1342*N($BA$1342)</f>
        <v/>
      </c>
      <c r="BU1342">
        <f>OR(LEFT($BD$1342,3)="OAK",LEFT($BD$1342,3)="BIR",LEFT($BD$1342,3)="MAP",$BD$1342="PC",$BD$1342="MC",$BD$1342="SCLC",$BD$1342="P-LAM")</f>
        <v/>
      </c>
      <c r="BV1342">
        <f>INT(N($AQ$1342)/MAX(1,N($BA$1342))/12)&amp;MOD(N($AQ$1342)/MAX(1,N($BA$1342)),12)</f>
        <v/>
      </c>
      <c r="BW1342">
        <f>IF(OR($BG$1342="G11",$BG$1342="G11A",$BG$1342="G12A"),"G2",IF(OR(LEFT($BG$1342,2)="G3",$BG$1342="G12"),"G3AEO",$BG$1342))</f>
        <v/>
      </c>
      <c r="BX1342">
        <f>"(Net size: "&amp;TRIM(TEXT(N($BB$1342),"# ?/??"))&amp;CHAR(34)&amp;" x "&amp;TRIM(TEXT(N($BC$1342),"# ?/??"))&amp;CHAR(34)&amp;")"</f>
        <v/>
      </c>
      <c r="BY1342">
        <f>IF(LEFT($BD$1342,3)="OAK","RED OAK",IF(LEFT($BD$1342,3)="BIR","BIRCH",IF(LEFT($BD$1342,3)="MAP","MAPLE","WOOD")))</f>
        <v/>
      </c>
      <c r="BZ1342">
        <f>IF(OR($AT$1342="U454",AND($AT$1342="",$AS$1342="U454")),"454","453")</f>
        <v/>
      </c>
      <c r="CA1342">
        <f>IF($AD$1342=0,"",IF($BU$1342,$BT$1342&amp;"|"&amp;$BV$1342&amp;$BO$1342&amp;" "&amp;$BY$1342&amp;" SLAB "&amp;IF(N($AN$1342)&gt;0,$AN$1342&amp;" MINUTE",IF(RIGHT($BD$1342,2)="MC","MC","SC")&amp;" WOOD DOOR")&amp;"|"&amp;$BX$1342&amp;"|"&amp;$BS$1342,$BT$1342&amp;"|"&amp;$BV$1342&amp;$BO$1342&amp;$BW$1342&amp;" BSC "&amp;$BQ$1342&amp;" DOOR "&amp;$BE$1342&amp;"Ga. Non-Handed "&amp;IF($BF$1342="","707",$BF$1342)&amp;"S Flush HM|"&amp;$BX$1342&amp;"|"&amp;$BS$1342)&amp;IF(N($AN$1342)&gt;0,$BT$1342&amp;"|"&amp;$AN$1342&amp;IF($BU$1342," MINUTE WARNOCK HERSHEY FIRE RATED WOOD LABEL"," MINUTE FOAM CORE STEEL DOOR LABEL (MODELS 607 &amp; 707)")&amp;"||"&amp;$BS$1342,"")&amp;IF(AND(NOT($BU$1342),OR($BG$1342="G11",$BG$1342="G11A",$BG$1342="G12",$BG$1342="G12A")),$AE$1342&amp;"|EXIT DEVICE PREP FOR HM DOOR||"&amp;$BS$1342,"")&amp;IF(AND(NOT($BU$1342),$BG$1342="G12"),$AE$1342&amp;"|DR 350 MORTISE LOCK FILLER PLATE||"&amp;$BS$1342,"")&amp;IF(AND(NOT($BU$1342),LEFT($BG$1342,2)="G3"),$AE$1342&amp;"|MORTISE LOCK PREP||"&amp;$BS$1342,"")&amp;IF($BU$1342,$BT$1342&amp;"|"&amp;IF($BG$1342="G18",$BZ$1342&amp;"-4 1/2"&amp;CHAR(34)&amp;"X4 1/2"&amp;CHAR(34)&amp;" HINGES ONLY PREP","HINGE PREP "&amp;$BZ$1342&amp;" WITH LOCK PREP")&amp;"|"&amp;$BQ$1342&amp;" LOC|"&amp;$BS$1342,"")&amp;IF(OR($BG$1342="G2G2",$BG$1342="G17",$BG$1342="E1E4"),$AE$1342&amp;"|"&amp;IF($BU$1342,"DDLP CYLINDRICAL DEADLOCK PREP","DOOR DEADLOCK PREP")&amp;"||"&amp;$BS$1342,"")&amp;IF(OR($BH$1342="FG",$BH$1342="HG",$BH$1342="FNV",$BH$1342="FV"),$BT$1342&amp;"|"&amp;$BI$1342&amp;" LITE KIT||"&amp;$BS$1342,IF($BH$1342="FL",$BT$1342&amp;"|"&amp;$BI$1342&amp;" LOUVER||"&amp;$BS$1342,IF($BH$1342="FP",$BT$1342&amp;"|DVP DOOR VIEWER PREP||"&amp;$BS$1342,"")))&amp;IF($BN$1342&gt;N($AR$1342),$BT$1342&amp;"|DCO DOOR CUT DOWN ONLY (HEIGHT)|Cut "&amp;TRIM(TEXT($BN$1342-N($AR$1342),"# ?/??"))&amp;CHAR(34)&amp;" OFF THE BOTTOM|"&amp;$BS$1342,""))</f>
        <v/>
      </c>
    </row>
    <row r="1343">
      <c r="B1343" s="180">
        <f>IF($AD1343="","",VALUE(LEFT($AD1343,FIND("|",$AD1343)-1)))</f>
        <v/>
      </c>
      <c r="C1343" s="180">
        <f>IF($AD1343="","","    "&amp;MID($AD1343,FIND("|",$AD1343)+1,FIND("|",$AD1343,FIND("|",$AD1343)+1)-FIND("|",$AD1343)-1))</f>
        <v/>
      </c>
      <c r="D1343" s="180">
        <f>IF($AD1343="","",MID($AD1343,FIND("|",$AD1343,FIND("|",$AD1343)+1)+1,FIND("|",$AD1343&amp;"|",FIND("|",$AD1343,FIND("|",$AD1343)+1)+1)-FIND("|",$AD1343,FIND("|",$AD1343)+1)-1))</f>
        <v/>
      </c>
      <c r="AD1343">
        <f>TRIM(MID(SUBSTITUTE($CA$1342,"~",REPT(" ",600)),1,600))</f>
        <v/>
      </c>
    </row>
    <row r="1344">
      <c r="B1344" s="180">
        <f>IF($AD1344="","",VALUE(LEFT($AD1344,FIND("|",$AD1344)-1)))</f>
        <v/>
      </c>
      <c r="C1344" s="180">
        <f>IF($AD1344="","","    "&amp;MID($AD1344,FIND("|",$AD1344)+1,FIND("|",$AD1344,FIND("|",$AD1344)+1)-FIND("|",$AD1344)-1))</f>
        <v/>
      </c>
      <c r="D1344" s="180">
        <f>IF($AD1344="","",MID($AD1344,FIND("|",$AD1344,FIND("|",$AD1344)+1)+1,FIND("|",$AD1344&amp;"|",FIND("|",$AD1344,FIND("|",$AD1344)+1)+1)-FIND("|",$AD1344,FIND("|",$AD1344)+1)-1))</f>
        <v/>
      </c>
      <c r="AD1344">
        <f>TRIM(MID(SUBSTITUTE($CA$1342,"~",REPT(" ",600)),601,600))</f>
        <v/>
      </c>
    </row>
    <row r="1345">
      <c r="B1345" s="180">
        <f>IF($AD1345="","",VALUE(LEFT($AD1345,FIND("|",$AD1345)-1)))</f>
        <v/>
      </c>
      <c r="C1345" s="180">
        <f>IF($AD1345="","","    "&amp;MID($AD1345,FIND("|",$AD1345)+1,FIND("|",$AD1345,FIND("|",$AD1345)+1)-FIND("|",$AD1345)-1))</f>
        <v/>
      </c>
      <c r="D1345" s="180">
        <f>IF($AD1345="","",MID($AD1345,FIND("|",$AD1345,FIND("|",$AD1345)+1)+1,FIND("|",$AD1345&amp;"|",FIND("|",$AD1345,FIND("|",$AD1345)+1)+1)-FIND("|",$AD1345,FIND("|",$AD1345)+1)-1))</f>
        <v/>
      </c>
      <c r="AD1345">
        <f>TRIM(MID(SUBSTITUTE($CA$1342,"~",REPT(" ",600)),1201,600))</f>
        <v/>
      </c>
    </row>
    <row r="1346">
      <c r="B1346" s="180">
        <f>IF($AD1346="","",VALUE(LEFT($AD1346,FIND("|",$AD1346)-1)))</f>
        <v/>
      </c>
      <c r="C1346" s="180">
        <f>IF($AD1346="","","    "&amp;MID($AD1346,FIND("|",$AD1346)+1,FIND("|",$AD1346,FIND("|",$AD1346)+1)-FIND("|",$AD1346)-1))</f>
        <v/>
      </c>
      <c r="D1346" s="180">
        <f>IF($AD1346="","",MID($AD1346,FIND("|",$AD1346,FIND("|",$AD1346)+1)+1,FIND("|",$AD1346&amp;"|",FIND("|",$AD1346,FIND("|",$AD1346)+1)+1)-FIND("|",$AD1346,FIND("|",$AD1346)+1)-1))</f>
        <v/>
      </c>
      <c r="AD1346">
        <f>TRIM(MID(SUBSTITUTE($CA$1342,"~",REPT(" ",600)),1801,600))</f>
        <v/>
      </c>
    </row>
    <row r="1347">
      <c r="B1347" s="180">
        <f>IF($AD1347="","",VALUE(LEFT($AD1347,FIND("|",$AD1347)-1)))</f>
        <v/>
      </c>
      <c r="C1347" s="180">
        <f>IF($AD1347="","","    "&amp;MID($AD1347,FIND("|",$AD1347)+1,FIND("|",$AD1347,FIND("|",$AD1347)+1)-FIND("|",$AD1347)-1))</f>
        <v/>
      </c>
      <c r="D1347" s="180">
        <f>IF($AD1347="","",MID($AD1347,FIND("|",$AD1347,FIND("|",$AD1347)+1)+1,FIND("|",$AD1347&amp;"|",FIND("|",$AD1347,FIND("|",$AD1347)+1)+1)-FIND("|",$AD1347,FIND("|",$AD1347)+1)-1))</f>
        <v/>
      </c>
      <c r="AD1347">
        <f>TRIM(MID(SUBSTITUTE($CA$1342,"~",REPT(" ",600)),2401,600))</f>
        <v/>
      </c>
    </row>
    <row r="1348">
      <c r="B1348" s="180">
        <f>IF($AD1348="","",VALUE(LEFT($AD1348,FIND("|",$AD1348)-1)))</f>
        <v/>
      </c>
      <c r="C1348" s="180">
        <f>IF($AD1348="","","    "&amp;MID($AD1348,FIND("|",$AD1348)+1,FIND("|",$AD1348,FIND("|",$AD1348)+1)-FIND("|",$AD1348)-1))</f>
        <v/>
      </c>
      <c r="D1348" s="180">
        <f>IF($AD1348="","",MID($AD1348,FIND("|",$AD1348,FIND("|",$AD1348)+1)+1,FIND("|",$AD1348&amp;"|",FIND("|",$AD1348,FIND("|",$AD1348)+1)+1)-FIND("|",$AD1348,FIND("|",$AD1348)+1)-1))</f>
        <v/>
      </c>
      <c r="AD1348">
        <f>TRIM(MID(SUBSTITUTE($CA$1342,"~",REPT(" ",600)),3001,600))</f>
        <v/>
      </c>
    </row>
    <row r="1349">
      <c r="B1349" s="180">
        <f>IF($AD1349="","",VALUE(LEFT($AD1349,FIND("|",$AD1349)-1)))</f>
        <v/>
      </c>
      <c r="C1349" s="180">
        <f>IF($AD1349="","","    "&amp;MID($AD1349,FIND("|",$AD1349)+1,FIND("|",$AD1349,FIND("|",$AD1349)+1)-FIND("|",$AD1349)-1))</f>
        <v/>
      </c>
      <c r="D1349" s="180">
        <f>IF($AD1349="","",MID($AD1349,FIND("|",$AD1349,FIND("|",$AD1349)+1)+1,FIND("|",$AD1349&amp;"|",FIND("|",$AD1349,FIND("|",$AD1349)+1)+1)-FIND("|",$AD1349,FIND("|",$AD1349)+1)-1))</f>
        <v/>
      </c>
      <c r="AD1349">
        <f>TRIM(MID(SUBSTITUTE($CA$1342,"~",REPT(" ",600)),3601,600))</f>
        <v/>
      </c>
    </row>
    <row r="1350">
      <c r="B1350" s="180">
        <f>IF($AD1350="","",VALUE(LEFT($AD1350,FIND("|",$AD1350)-1)))</f>
        <v/>
      </c>
      <c r="C1350" s="180">
        <f>IF($AD1350="","","    "&amp;MID($AD1350,FIND("|",$AD1350)+1,FIND("|",$AD1350,FIND("|",$AD1350)+1)-FIND("|",$AD1350)-1))</f>
        <v/>
      </c>
      <c r="D1350" s="180">
        <f>IF($AD1350="","",MID($AD1350,FIND("|",$AD1350,FIND("|",$AD1350)+1)+1,FIND("|",$AD1350&amp;"|",FIND("|",$AD1350,FIND("|",$AD1350)+1)+1)-FIND("|",$AD1350,FIND("|",$AD1350)+1)-1))</f>
        <v/>
      </c>
      <c r="AD1350">
        <f>TRIM(MID(SUBSTITUTE($CA$1342,"~",REPT(" ",600)),4201,600))</f>
        <v/>
      </c>
    </row>
    <row r="1351">
      <c r="B1351" s="180">
        <f>IF($AD1351="","",VALUE(LEFT($AD1351,FIND("|",$AD1351)-1)))</f>
        <v/>
      </c>
      <c r="C1351" s="180">
        <f>IF($AD1351="","","    "&amp;MID($AD1351,FIND("|",$AD1351)+1,FIND("|",$AD1351,FIND("|",$AD1351)+1)-FIND("|",$AD1351)-1))</f>
        <v/>
      </c>
      <c r="D1351" s="180">
        <f>IF($AD1351="","",MID($AD1351,FIND("|",$AD1351,FIND("|",$AD1351)+1)+1,FIND("|",$AD1351&amp;"|",FIND("|",$AD1351,FIND("|",$AD1351)+1)+1)-FIND("|",$AD1351,FIND("|",$AD1351)+1)-1))</f>
        <v/>
      </c>
      <c r="AD1351">
        <f>TRIM(MID(SUBSTITUTE($CA$1342,"~",REPT(" ",600)),4801,600))</f>
        <v/>
      </c>
    </row>
    <row r="1352">
      <c r="B1352" s="180">
        <f>IF($AD1352="","",VALUE(LEFT($AD1352,FIND("|",$AD1352)-1)))</f>
        <v/>
      </c>
      <c r="C1352" s="180">
        <f>IF($AD1352="","","    "&amp;MID($AD1352,FIND("|",$AD1352)+1,FIND("|",$AD1352,FIND("|",$AD1352)+1)-FIND("|",$AD1352)-1))</f>
        <v/>
      </c>
      <c r="D1352" s="180">
        <f>IF($AD1352="","",MID($AD1352,FIND("|",$AD1352,FIND("|",$AD1352)+1)+1,FIND("|",$AD1352&amp;"|",FIND("|",$AD1352,FIND("|",$AD1352)+1)+1)-FIND("|",$AD1352,FIND("|",$AD1352)+1)-1))</f>
        <v/>
      </c>
      <c r="AD1352">
        <f>TRIM(MID(SUBSTITUTE($CA$1342,"~",REPT(" ",600)),5401,600))</f>
        <v/>
      </c>
    </row>
    <row r="1353">
      <c r="B1353" s="180">
        <f>IF($AD1353="","",VALUE(LEFT($AD1353,FIND("|",$AD1353)-1)))</f>
        <v/>
      </c>
      <c r="C1353" s="180">
        <f>IF($AD1353="","","    "&amp;MID($AD1353,FIND("|",$AD1353)+1,FIND("|",$AD1353,FIND("|",$AD1353)+1)-FIND("|",$AD1353)-1))</f>
        <v/>
      </c>
      <c r="D1353" s="180">
        <f>IF($AD1353="","",MID($AD1353,FIND("|",$AD1353,FIND("|",$AD1353)+1)+1,FIND("|",$AD1353&amp;"|",FIND("|",$AD1353,FIND("|",$AD1353)+1)+1)-FIND("|",$AD1353,FIND("|",$AD1353)+1)-1))</f>
        <v/>
      </c>
      <c r="AD1353">
        <f>TRIM(MID(SUBSTITUTE($CA$1342,"~",REPT(" ",600)),6001,600))</f>
        <v/>
      </c>
    </row>
    <row r="1354">
      <c r="A1354" s="178">
        <f>IF($AD$1354=0,"",$BK$1354)</f>
        <v/>
      </c>
      <c r="B1354" s="178">
        <f>IF($AD$1354=0,"",$AE$1354*N($BA$1354))</f>
        <v/>
      </c>
      <c r="C1354" s="178">
        <f>IF($AD$1354=0,"",$AE$1354*N($BA$1354)&amp;") "&amp;IF(COUNTIFS(tk_SODG,53,tk_HLEG,"&lt;&gt;"&amp;$BJ$1354)=0,INDEX(tk_DLINE,$AD$1354),INDEX(tk_DLINEN,$AD$1354)))</f>
        <v/>
      </c>
      <c r="D1354" s="178" t="n"/>
      <c r="E1354" s="179">
        <f t="array" ref="E1354">IF($AD$1354=0,"",_xlfn.TEXTJOIN(", ",TRUE,IF(tk_SODG=53,"#"&amp;tk_MARK&amp;IF(tk_HLEG="","","("&amp;tk_HLEG&amp;")")&amp;IF(tk_QTY&gt;1," ×"&amp;tk_QTY,""),"")))</f>
        <v/>
      </c>
      <c r="AD1354">
        <f>IFERROR(MATCH(53,tk_SODG,0),0)</f>
        <v/>
      </c>
      <c r="AE1354">
        <f>IF($AD$1354=0,0,SUMIF(tk_SODG,53,tk_QTY))</f>
        <v/>
      </c>
      <c r="AF1354">
        <f>IF($AD$1354=0,"",INDEX(tk_JAMB,$AD$1354))</f>
        <v/>
      </c>
      <c r="AG1354">
        <f>IF($AD$1354=0,"",INDEX(tk_ANCHOR,$AD$1354))</f>
        <v/>
      </c>
      <c r="AH1354">
        <f>IF($AD$1354=0,"",INDEX(tk_ANCH,$AD$1354))</f>
        <v/>
      </c>
      <c r="AI1354">
        <f>IF($AD$1354=0,"",INDEX(tk_BASEA,$AD$1354))</f>
        <v/>
      </c>
      <c r="AJ1354">
        <f>IF($AD$1354=0,"",INDEX(tk_CONSTR,$AD$1354))</f>
        <v/>
      </c>
      <c r="AK1354">
        <f>IF($AD$1354=0,"",INDEX(tk_CLOSER,$AD$1354))</f>
        <v/>
      </c>
      <c r="AL1354">
        <f>IF($AD$1354=0,"",INDEX(tk_STRIKE,$AD$1354))</f>
        <v/>
      </c>
      <c r="AM1354">
        <f>IF($AD$1354=0,"",INDEX(tk_HDRPREP,$AD$1354))</f>
        <v/>
      </c>
      <c r="AN1354">
        <f>IF($AD$1354=0,"",INDEX(tk_DMIN,$AD$1354))</f>
        <v/>
      </c>
      <c r="AO1354">
        <f>IF($AD$1354=0,"",INDEX(tk_PAIR,$AD$1354))</f>
        <v/>
      </c>
      <c r="AP1354">
        <f>IF($AD$1354=0,"",INDEX(tk_FGA,$AD$1354))</f>
        <v/>
      </c>
      <c r="AQ1354">
        <f>IF($AD$1354=0,"",INDEX(tk_WI,$AD$1354))</f>
        <v/>
      </c>
      <c r="AR1354">
        <f>IF($AD$1354=0,"",INDEX(tk_HI,$AD$1354))</f>
        <v/>
      </c>
      <c r="AS1354">
        <f>IF($AD$1354=0,"",INDEX(tk_FHINGE,$AD$1354))</f>
        <v/>
      </c>
      <c r="AT1354">
        <f>IF($AD$1354=0,"",INDEX(tk_DHINGE,$AD$1354))</f>
        <v/>
      </c>
      <c r="AU1354">
        <f>IF($AD$1354=0,"",INDEX(tk_HWLOC,$AD$1354))</f>
        <v/>
      </c>
      <c r="AV1354">
        <f>IF($AD$1354=0,"",INDEX(tk_MANUF,$AD$1354))</f>
        <v/>
      </c>
      <c r="AW1354">
        <f>IF($AD$1354=0,"",INDEX(tk_JH,$AD$1354))</f>
        <v/>
      </c>
      <c r="AX1354">
        <f>IF($AD$1354=0,"",INDEX(tk_FDESC,$AD$1354))</f>
        <v/>
      </c>
      <c r="AY1354">
        <f>IF($AD$1354=0,"",INDEX(tk_TRANS,$AD$1354))</f>
        <v/>
      </c>
      <c r="AZ1354">
        <f>IF($AD$1354=0,"",INDEX(tk_SLW,$AD$1354))</f>
        <v/>
      </c>
      <c r="BA1354">
        <f>IF($AD$1354=0,"",INDEX(tk_LEAVES,$AD$1354))</f>
        <v/>
      </c>
      <c r="BB1354">
        <f>IF($AD$1354=0,"",INDEX(tk_LEAFW,$AD$1354))</f>
        <v/>
      </c>
      <c r="BC1354">
        <f>IF($AD$1354=0,"",INDEX(tk_LEAFH,$AD$1354))</f>
        <v/>
      </c>
      <c r="BD1354">
        <f>IF($AD$1354=0,"",INDEX(tk_DMAT,$AD$1354))</f>
        <v/>
      </c>
      <c r="BE1354">
        <f>IF($AD$1354=0,"",INDEX(tk_DGA,$AD$1354))</f>
        <v/>
      </c>
      <c r="BF1354">
        <f>IF($AD$1354=0,"",INDEX(tk_SERIES,$AD$1354))</f>
        <v/>
      </c>
      <c r="BG1354">
        <f>IF($AD$1354=0,"",INDEX(tk_LOCK,$AD$1354))</f>
        <v/>
      </c>
      <c r="BH1354">
        <f>IF($AD$1354=0,"",INDEX(tk_LITEKIT,$AD$1354))</f>
        <v/>
      </c>
      <c r="BI1354">
        <f>IF($AD$1354=0,"",INDEX(tk_FACE,$AD$1354))</f>
        <v/>
      </c>
      <c r="BJ1354">
        <f>IF($AD$1354=0,"",INDEX(tk_HLEG,$AD$1354))</f>
        <v/>
      </c>
      <c r="BK1354">
        <f>IF($AD$1354=0,"",INDEX(tk_SOITEM,$AD$1354))</f>
        <v/>
      </c>
      <c r="BL1354">
        <f>IFERROR(VLOOKUP($AF$1354,CODES,2,FALSE),"")</f>
        <v/>
      </c>
      <c r="BM1354">
        <f>IF($AJ$1354="KD","C","M")</f>
        <v/>
      </c>
      <c r="BN1354">
        <f>IF(N($AR$1354)&lt;=80,80,IF(N($AR$1354)&lt;=84,84,IF(N($AR$1354)&lt;=96,96,N($AR$1354))))</f>
        <v/>
      </c>
      <c r="BO1354">
        <f>INT($BN$1354/12)&amp;MOD($BN$1354,12)</f>
        <v/>
      </c>
      <c r="BP1354">
        <f>INT(N($AQ$1354)/12)&amp;MOD(N($AQ$1354),12)</f>
        <v/>
      </c>
      <c r="BQ1354">
        <f>IF(OR($AU$1354="",$AU$1354="ANSI/SDI",$AU$1354="CUSTOM LOC"),IF($AV$1354="CU","CURRIES","STEELCRAFT"),$AU$1354)</f>
        <v/>
      </c>
      <c r="BR1354">
        <f>$AO$1354="Y"</f>
        <v/>
      </c>
      <c r="BS1354">
        <f>"~"</f>
        <v/>
      </c>
      <c r="BT1354">
        <f>$AE$1354*N($BA$1354)</f>
        <v/>
      </c>
      <c r="BU1354">
        <f>OR(LEFT($BD$1354,3)="OAK",LEFT($BD$1354,3)="BIR",LEFT($BD$1354,3)="MAP",$BD$1354="PC",$BD$1354="MC",$BD$1354="SCLC",$BD$1354="P-LAM")</f>
        <v/>
      </c>
      <c r="BV1354">
        <f>INT(N($AQ$1354)/MAX(1,N($BA$1354))/12)&amp;MOD(N($AQ$1354)/MAX(1,N($BA$1354)),12)</f>
        <v/>
      </c>
      <c r="BW1354">
        <f>IF(OR($BG$1354="G11",$BG$1354="G11A",$BG$1354="G12A"),"G2",IF(OR(LEFT($BG$1354,2)="G3",$BG$1354="G12"),"G3AEO",$BG$1354))</f>
        <v/>
      </c>
      <c r="BX1354">
        <f>"(Net size: "&amp;TRIM(TEXT(N($BB$1354),"# ?/??"))&amp;CHAR(34)&amp;" x "&amp;TRIM(TEXT(N($BC$1354),"# ?/??"))&amp;CHAR(34)&amp;")"</f>
        <v/>
      </c>
      <c r="BY1354">
        <f>IF(LEFT($BD$1354,3)="OAK","RED OAK",IF(LEFT($BD$1354,3)="BIR","BIRCH",IF(LEFT($BD$1354,3)="MAP","MAPLE","WOOD")))</f>
        <v/>
      </c>
      <c r="BZ1354">
        <f>IF(OR($AT$1354="U454",AND($AT$1354="",$AS$1354="U454")),"454","453")</f>
        <v/>
      </c>
      <c r="CA1354">
        <f>IF($AD$1354=0,"",IF($BU$1354,$BT$1354&amp;"|"&amp;$BV$1354&amp;$BO$1354&amp;" "&amp;$BY$1354&amp;" SLAB "&amp;IF(N($AN$1354)&gt;0,$AN$1354&amp;" MINUTE",IF(RIGHT($BD$1354,2)="MC","MC","SC")&amp;" WOOD DOOR")&amp;"|"&amp;$BX$1354&amp;"|"&amp;$BS$1354,$BT$1354&amp;"|"&amp;$BV$1354&amp;$BO$1354&amp;$BW$1354&amp;" BSC "&amp;$BQ$1354&amp;" DOOR "&amp;$BE$1354&amp;"Ga. Non-Handed "&amp;IF($BF$1354="","707",$BF$1354)&amp;"S Flush HM|"&amp;$BX$1354&amp;"|"&amp;$BS$1354)&amp;IF(N($AN$1354)&gt;0,$BT$1354&amp;"|"&amp;$AN$1354&amp;IF($BU$1354," MINUTE WARNOCK HERSHEY FIRE RATED WOOD LABEL"," MINUTE FOAM CORE STEEL DOOR LABEL (MODELS 607 &amp; 707)")&amp;"||"&amp;$BS$1354,"")&amp;IF(AND(NOT($BU$1354),OR($BG$1354="G11",$BG$1354="G11A",$BG$1354="G12",$BG$1354="G12A")),$AE$1354&amp;"|EXIT DEVICE PREP FOR HM DOOR||"&amp;$BS$1354,"")&amp;IF(AND(NOT($BU$1354),$BG$1354="G12"),$AE$1354&amp;"|DR 350 MORTISE LOCK FILLER PLATE||"&amp;$BS$1354,"")&amp;IF(AND(NOT($BU$1354),LEFT($BG$1354,2)="G3"),$AE$1354&amp;"|MORTISE LOCK PREP||"&amp;$BS$1354,"")&amp;IF($BU$1354,$BT$1354&amp;"|"&amp;IF($BG$1354="G18",$BZ$1354&amp;"-4 1/2"&amp;CHAR(34)&amp;"X4 1/2"&amp;CHAR(34)&amp;" HINGES ONLY PREP","HINGE PREP "&amp;$BZ$1354&amp;" WITH LOCK PREP")&amp;"|"&amp;$BQ$1354&amp;" LOC|"&amp;$BS$1354,"")&amp;IF(OR($BG$1354="G2G2",$BG$1354="G17",$BG$1354="E1E4"),$AE$1354&amp;"|"&amp;IF($BU$1354,"DDLP CYLINDRICAL DEADLOCK PREP","DOOR DEADLOCK PREP")&amp;"||"&amp;$BS$1354,"")&amp;IF(OR($BH$1354="FG",$BH$1354="HG",$BH$1354="FNV",$BH$1354="FV"),$BT$1354&amp;"|"&amp;$BI$1354&amp;" LITE KIT||"&amp;$BS$1354,IF($BH$1354="FL",$BT$1354&amp;"|"&amp;$BI$1354&amp;" LOUVER||"&amp;$BS$1354,IF($BH$1354="FP",$BT$1354&amp;"|DVP DOOR VIEWER PREP||"&amp;$BS$1354,"")))&amp;IF($BN$1354&gt;N($AR$1354),$BT$1354&amp;"|DCO DOOR CUT DOWN ONLY (HEIGHT)|Cut "&amp;TRIM(TEXT($BN$1354-N($AR$1354),"# ?/??"))&amp;CHAR(34)&amp;" OFF THE BOTTOM|"&amp;$BS$1354,""))</f>
        <v/>
      </c>
    </row>
    <row r="1355">
      <c r="B1355" s="180">
        <f>IF($AD1355="","",VALUE(LEFT($AD1355,FIND("|",$AD1355)-1)))</f>
        <v/>
      </c>
      <c r="C1355" s="180">
        <f>IF($AD1355="","","    "&amp;MID($AD1355,FIND("|",$AD1355)+1,FIND("|",$AD1355,FIND("|",$AD1355)+1)-FIND("|",$AD1355)-1))</f>
        <v/>
      </c>
      <c r="D1355" s="180">
        <f>IF($AD1355="","",MID($AD1355,FIND("|",$AD1355,FIND("|",$AD1355)+1)+1,FIND("|",$AD1355&amp;"|",FIND("|",$AD1355,FIND("|",$AD1355)+1)+1)-FIND("|",$AD1355,FIND("|",$AD1355)+1)-1))</f>
        <v/>
      </c>
      <c r="AD1355">
        <f>TRIM(MID(SUBSTITUTE($CA$1354,"~",REPT(" ",600)),1,600))</f>
        <v/>
      </c>
    </row>
    <row r="1356">
      <c r="B1356" s="180">
        <f>IF($AD1356="","",VALUE(LEFT($AD1356,FIND("|",$AD1356)-1)))</f>
        <v/>
      </c>
      <c r="C1356" s="180">
        <f>IF($AD1356="","","    "&amp;MID($AD1356,FIND("|",$AD1356)+1,FIND("|",$AD1356,FIND("|",$AD1356)+1)-FIND("|",$AD1356)-1))</f>
        <v/>
      </c>
      <c r="D1356" s="180">
        <f>IF($AD1356="","",MID($AD1356,FIND("|",$AD1356,FIND("|",$AD1356)+1)+1,FIND("|",$AD1356&amp;"|",FIND("|",$AD1356,FIND("|",$AD1356)+1)+1)-FIND("|",$AD1356,FIND("|",$AD1356)+1)-1))</f>
        <v/>
      </c>
      <c r="AD1356">
        <f>TRIM(MID(SUBSTITUTE($CA$1354,"~",REPT(" ",600)),601,600))</f>
        <v/>
      </c>
    </row>
    <row r="1357">
      <c r="B1357" s="180">
        <f>IF($AD1357="","",VALUE(LEFT($AD1357,FIND("|",$AD1357)-1)))</f>
        <v/>
      </c>
      <c r="C1357" s="180">
        <f>IF($AD1357="","","    "&amp;MID($AD1357,FIND("|",$AD1357)+1,FIND("|",$AD1357,FIND("|",$AD1357)+1)-FIND("|",$AD1357)-1))</f>
        <v/>
      </c>
      <c r="D1357" s="180">
        <f>IF($AD1357="","",MID($AD1357,FIND("|",$AD1357,FIND("|",$AD1357)+1)+1,FIND("|",$AD1357&amp;"|",FIND("|",$AD1357,FIND("|",$AD1357)+1)+1)-FIND("|",$AD1357,FIND("|",$AD1357)+1)-1))</f>
        <v/>
      </c>
      <c r="AD1357">
        <f>TRIM(MID(SUBSTITUTE($CA$1354,"~",REPT(" ",600)),1201,600))</f>
        <v/>
      </c>
    </row>
    <row r="1358">
      <c r="B1358" s="180">
        <f>IF($AD1358="","",VALUE(LEFT($AD1358,FIND("|",$AD1358)-1)))</f>
        <v/>
      </c>
      <c r="C1358" s="180">
        <f>IF($AD1358="","","    "&amp;MID($AD1358,FIND("|",$AD1358)+1,FIND("|",$AD1358,FIND("|",$AD1358)+1)-FIND("|",$AD1358)-1))</f>
        <v/>
      </c>
      <c r="D1358" s="180">
        <f>IF($AD1358="","",MID($AD1358,FIND("|",$AD1358,FIND("|",$AD1358)+1)+1,FIND("|",$AD1358&amp;"|",FIND("|",$AD1358,FIND("|",$AD1358)+1)+1)-FIND("|",$AD1358,FIND("|",$AD1358)+1)-1))</f>
        <v/>
      </c>
      <c r="AD1358">
        <f>TRIM(MID(SUBSTITUTE($CA$1354,"~",REPT(" ",600)),1801,600))</f>
        <v/>
      </c>
    </row>
    <row r="1359">
      <c r="B1359" s="180">
        <f>IF($AD1359="","",VALUE(LEFT($AD1359,FIND("|",$AD1359)-1)))</f>
        <v/>
      </c>
      <c r="C1359" s="180">
        <f>IF($AD1359="","","    "&amp;MID($AD1359,FIND("|",$AD1359)+1,FIND("|",$AD1359,FIND("|",$AD1359)+1)-FIND("|",$AD1359)-1))</f>
        <v/>
      </c>
      <c r="D1359" s="180">
        <f>IF($AD1359="","",MID($AD1359,FIND("|",$AD1359,FIND("|",$AD1359)+1)+1,FIND("|",$AD1359&amp;"|",FIND("|",$AD1359,FIND("|",$AD1359)+1)+1)-FIND("|",$AD1359,FIND("|",$AD1359)+1)-1))</f>
        <v/>
      </c>
      <c r="AD1359">
        <f>TRIM(MID(SUBSTITUTE($CA$1354,"~",REPT(" ",600)),2401,600))</f>
        <v/>
      </c>
    </row>
    <row r="1360">
      <c r="B1360" s="180">
        <f>IF($AD1360="","",VALUE(LEFT($AD1360,FIND("|",$AD1360)-1)))</f>
        <v/>
      </c>
      <c r="C1360" s="180">
        <f>IF($AD1360="","","    "&amp;MID($AD1360,FIND("|",$AD1360)+1,FIND("|",$AD1360,FIND("|",$AD1360)+1)-FIND("|",$AD1360)-1))</f>
        <v/>
      </c>
      <c r="D1360" s="180">
        <f>IF($AD1360="","",MID($AD1360,FIND("|",$AD1360,FIND("|",$AD1360)+1)+1,FIND("|",$AD1360&amp;"|",FIND("|",$AD1360,FIND("|",$AD1360)+1)+1)-FIND("|",$AD1360,FIND("|",$AD1360)+1)-1))</f>
        <v/>
      </c>
      <c r="AD1360">
        <f>TRIM(MID(SUBSTITUTE($CA$1354,"~",REPT(" ",600)),3001,600))</f>
        <v/>
      </c>
    </row>
    <row r="1361">
      <c r="B1361" s="180">
        <f>IF($AD1361="","",VALUE(LEFT($AD1361,FIND("|",$AD1361)-1)))</f>
        <v/>
      </c>
      <c r="C1361" s="180">
        <f>IF($AD1361="","","    "&amp;MID($AD1361,FIND("|",$AD1361)+1,FIND("|",$AD1361,FIND("|",$AD1361)+1)-FIND("|",$AD1361)-1))</f>
        <v/>
      </c>
      <c r="D1361" s="180">
        <f>IF($AD1361="","",MID($AD1361,FIND("|",$AD1361,FIND("|",$AD1361)+1)+1,FIND("|",$AD1361&amp;"|",FIND("|",$AD1361,FIND("|",$AD1361)+1)+1)-FIND("|",$AD1361,FIND("|",$AD1361)+1)-1))</f>
        <v/>
      </c>
      <c r="AD1361">
        <f>TRIM(MID(SUBSTITUTE($CA$1354,"~",REPT(" ",600)),3601,600))</f>
        <v/>
      </c>
    </row>
    <row r="1362">
      <c r="B1362" s="180">
        <f>IF($AD1362="","",VALUE(LEFT($AD1362,FIND("|",$AD1362)-1)))</f>
        <v/>
      </c>
      <c r="C1362" s="180">
        <f>IF($AD1362="","","    "&amp;MID($AD1362,FIND("|",$AD1362)+1,FIND("|",$AD1362,FIND("|",$AD1362)+1)-FIND("|",$AD1362)-1))</f>
        <v/>
      </c>
      <c r="D1362" s="180">
        <f>IF($AD1362="","",MID($AD1362,FIND("|",$AD1362,FIND("|",$AD1362)+1)+1,FIND("|",$AD1362&amp;"|",FIND("|",$AD1362,FIND("|",$AD1362)+1)+1)-FIND("|",$AD1362,FIND("|",$AD1362)+1)-1))</f>
        <v/>
      </c>
      <c r="AD1362">
        <f>TRIM(MID(SUBSTITUTE($CA$1354,"~",REPT(" ",600)),4201,600))</f>
        <v/>
      </c>
    </row>
    <row r="1363">
      <c r="B1363" s="180">
        <f>IF($AD1363="","",VALUE(LEFT($AD1363,FIND("|",$AD1363)-1)))</f>
        <v/>
      </c>
      <c r="C1363" s="180">
        <f>IF($AD1363="","","    "&amp;MID($AD1363,FIND("|",$AD1363)+1,FIND("|",$AD1363,FIND("|",$AD1363)+1)-FIND("|",$AD1363)-1))</f>
        <v/>
      </c>
      <c r="D1363" s="180">
        <f>IF($AD1363="","",MID($AD1363,FIND("|",$AD1363,FIND("|",$AD1363)+1)+1,FIND("|",$AD1363&amp;"|",FIND("|",$AD1363,FIND("|",$AD1363)+1)+1)-FIND("|",$AD1363,FIND("|",$AD1363)+1)-1))</f>
        <v/>
      </c>
      <c r="AD1363">
        <f>TRIM(MID(SUBSTITUTE($CA$1354,"~",REPT(" ",600)),4801,600))</f>
        <v/>
      </c>
    </row>
    <row r="1364">
      <c r="B1364" s="180">
        <f>IF($AD1364="","",VALUE(LEFT($AD1364,FIND("|",$AD1364)-1)))</f>
        <v/>
      </c>
      <c r="C1364" s="180">
        <f>IF($AD1364="","","    "&amp;MID($AD1364,FIND("|",$AD1364)+1,FIND("|",$AD1364,FIND("|",$AD1364)+1)-FIND("|",$AD1364)-1))</f>
        <v/>
      </c>
      <c r="D1364" s="180">
        <f>IF($AD1364="","",MID($AD1364,FIND("|",$AD1364,FIND("|",$AD1364)+1)+1,FIND("|",$AD1364&amp;"|",FIND("|",$AD1364,FIND("|",$AD1364)+1)+1)-FIND("|",$AD1364,FIND("|",$AD1364)+1)-1))</f>
        <v/>
      </c>
      <c r="AD1364">
        <f>TRIM(MID(SUBSTITUTE($CA$1354,"~",REPT(" ",600)),5401,600))</f>
        <v/>
      </c>
    </row>
    <row r="1365">
      <c r="B1365" s="180">
        <f>IF($AD1365="","",VALUE(LEFT($AD1365,FIND("|",$AD1365)-1)))</f>
        <v/>
      </c>
      <c r="C1365" s="180">
        <f>IF($AD1365="","","    "&amp;MID($AD1365,FIND("|",$AD1365)+1,FIND("|",$AD1365,FIND("|",$AD1365)+1)-FIND("|",$AD1365)-1))</f>
        <v/>
      </c>
      <c r="D1365" s="180">
        <f>IF($AD1365="","",MID($AD1365,FIND("|",$AD1365,FIND("|",$AD1365)+1)+1,FIND("|",$AD1365&amp;"|",FIND("|",$AD1365,FIND("|",$AD1365)+1)+1)-FIND("|",$AD1365,FIND("|",$AD1365)+1)-1))</f>
        <v/>
      </c>
      <c r="AD1365">
        <f>TRIM(MID(SUBSTITUTE($CA$1354,"~",REPT(" ",600)),6001,600))</f>
        <v/>
      </c>
    </row>
    <row r="1366">
      <c r="A1366" s="178">
        <f>IF($AD$1366=0,"",$BK$1366)</f>
        <v/>
      </c>
      <c r="B1366" s="178">
        <f>IF($AD$1366=0,"",$AE$1366*N($BA$1366))</f>
        <v/>
      </c>
      <c r="C1366" s="178">
        <f>IF($AD$1366=0,"",$AE$1366*N($BA$1366)&amp;") "&amp;IF(COUNTIFS(tk_SODG,54,tk_HLEG,"&lt;&gt;"&amp;$BJ$1366)=0,INDEX(tk_DLINE,$AD$1366),INDEX(tk_DLINEN,$AD$1366)))</f>
        <v/>
      </c>
      <c r="D1366" s="178" t="n"/>
      <c r="E1366" s="179">
        <f t="array" ref="E1366">IF($AD$1366=0,"",_xlfn.TEXTJOIN(", ",TRUE,IF(tk_SODG=54,"#"&amp;tk_MARK&amp;IF(tk_HLEG="","","("&amp;tk_HLEG&amp;")")&amp;IF(tk_QTY&gt;1," ×"&amp;tk_QTY,""),"")))</f>
        <v/>
      </c>
      <c r="AD1366">
        <f>IFERROR(MATCH(54,tk_SODG,0),0)</f>
        <v/>
      </c>
      <c r="AE1366">
        <f>IF($AD$1366=0,0,SUMIF(tk_SODG,54,tk_QTY))</f>
        <v/>
      </c>
      <c r="AF1366">
        <f>IF($AD$1366=0,"",INDEX(tk_JAMB,$AD$1366))</f>
        <v/>
      </c>
      <c r="AG1366">
        <f>IF($AD$1366=0,"",INDEX(tk_ANCHOR,$AD$1366))</f>
        <v/>
      </c>
      <c r="AH1366">
        <f>IF($AD$1366=0,"",INDEX(tk_ANCH,$AD$1366))</f>
        <v/>
      </c>
      <c r="AI1366">
        <f>IF($AD$1366=0,"",INDEX(tk_BASEA,$AD$1366))</f>
        <v/>
      </c>
      <c r="AJ1366">
        <f>IF($AD$1366=0,"",INDEX(tk_CONSTR,$AD$1366))</f>
        <v/>
      </c>
      <c r="AK1366">
        <f>IF($AD$1366=0,"",INDEX(tk_CLOSER,$AD$1366))</f>
        <v/>
      </c>
      <c r="AL1366">
        <f>IF($AD$1366=0,"",INDEX(tk_STRIKE,$AD$1366))</f>
        <v/>
      </c>
      <c r="AM1366">
        <f>IF($AD$1366=0,"",INDEX(tk_HDRPREP,$AD$1366))</f>
        <v/>
      </c>
      <c r="AN1366">
        <f>IF($AD$1366=0,"",INDEX(tk_DMIN,$AD$1366))</f>
        <v/>
      </c>
      <c r="AO1366">
        <f>IF($AD$1366=0,"",INDEX(tk_PAIR,$AD$1366))</f>
        <v/>
      </c>
      <c r="AP1366">
        <f>IF($AD$1366=0,"",INDEX(tk_FGA,$AD$1366))</f>
        <v/>
      </c>
      <c r="AQ1366">
        <f>IF($AD$1366=0,"",INDEX(tk_WI,$AD$1366))</f>
        <v/>
      </c>
      <c r="AR1366">
        <f>IF($AD$1366=0,"",INDEX(tk_HI,$AD$1366))</f>
        <v/>
      </c>
      <c r="AS1366">
        <f>IF($AD$1366=0,"",INDEX(tk_FHINGE,$AD$1366))</f>
        <v/>
      </c>
      <c r="AT1366">
        <f>IF($AD$1366=0,"",INDEX(tk_DHINGE,$AD$1366))</f>
        <v/>
      </c>
      <c r="AU1366">
        <f>IF($AD$1366=0,"",INDEX(tk_HWLOC,$AD$1366))</f>
        <v/>
      </c>
      <c r="AV1366">
        <f>IF($AD$1366=0,"",INDEX(tk_MANUF,$AD$1366))</f>
        <v/>
      </c>
      <c r="AW1366">
        <f>IF($AD$1366=0,"",INDEX(tk_JH,$AD$1366))</f>
        <v/>
      </c>
      <c r="AX1366">
        <f>IF($AD$1366=0,"",INDEX(tk_FDESC,$AD$1366))</f>
        <v/>
      </c>
      <c r="AY1366">
        <f>IF($AD$1366=0,"",INDEX(tk_TRANS,$AD$1366))</f>
        <v/>
      </c>
      <c r="AZ1366">
        <f>IF($AD$1366=0,"",INDEX(tk_SLW,$AD$1366))</f>
        <v/>
      </c>
      <c r="BA1366">
        <f>IF($AD$1366=0,"",INDEX(tk_LEAVES,$AD$1366))</f>
        <v/>
      </c>
      <c r="BB1366">
        <f>IF($AD$1366=0,"",INDEX(tk_LEAFW,$AD$1366))</f>
        <v/>
      </c>
      <c r="BC1366">
        <f>IF($AD$1366=0,"",INDEX(tk_LEAFH,$AD$1366))</f>
        <v/>
      </c>
      <c r="BD1366">
        <f>IF($AD$1366=0,"",INDEX(tk_DMAT,$AD$1366))</f>
        <v/>
      </c>
      <c r="BE1366">
        <f>IF($AD$1366=0,"",INDEX(tk_DGA,$AD$1366))</f>
        <v/>
      </c>
      <c r="BF1366">
        <f>IF($AD$1366=0,"",INDEX(tk_SERIES,$AD$1366))</f>
        <v/>
      </c>
      <c r="BG1366">
        <f>IF($AD$1366=0,"",INDEX(tk_LOCK,$AD$1366))</f>
        <v/>
      </c>
      <c r="BH1366">
        <f>IF($AD$1366=0,"",INDEX(tk_LITEKIT,$AD$1366))</f>
        <v/>
      </c>
      <c r="BI1366">
        <f>IF($AD$1366=0,"",INDEX(tk_FACE,$AD$1366))</f>
        <v/>
      </c>
      <c r="BJ1366">
        <f>IF($AD$1366=0,"",INDEX(tk_HLEG,$AD$1366))</f>
        <v/>
      </c>
      <c r="BK1366">
        <f>IF($AD$1366=0,"",INDEX(tk_SOITEM,$AD$1366))</f>
        <v/>
      </c>
      <c r="BL1366">
        <f>IFERROR(VLOOKUP($AF$1366,CODES,2,FALSE),"")</f>
        <v/>
      </c>
      <c r="BM1366">
        <f>IF($AJ$1366="KD","C","M")</f>
        <v/>
      </c>
      <c r="BN1366">
        <f>IF(N($AR$1366)&lt;=80,80,IF(N($AR$1366)&lt;=84,84,IF(N($AR$1366)&lt;=96,96,N($AR$1366))))</f>
        <v/>
      </c>
      <c r="BO1366">
        <f>INT($BN$1366/12)&amp;MOD($BN$1366,12)</f>
        <v/>
      </c>
      <c r="BP1366">
        <f>INT(N($AQ$1366)/12)&amp;MOD(N($AQ$1366),12)</f>
        <v/>
      </c>
      <c r="BQ1366">
        <f>IF(OR($AU$1366="",$AU$1366="ANSI/SDI",$AU$1366="CUSTOM LOC"),IF($AV$1366="CU","CURRIES","STEELCRAFT"),$AU$1366)</f>
        <v/>
      </c>
      <c r="BR1366">
        <f>$AO$1366="Y"</f>
        <v/>
      </c>
      <c r="BS1366">
        <f>"~"</f>
        <v/>
      </c>
      <c r="BT1366">
        <f>$AE$1366*N($BA$1366)</f>
        <v/>
      </c>
      <c r="BU1366">
        <f>OR(LEFT($BD$1366,3)="OAK",LEFT($BD$1366,3)="BIR",LEFT($BD$1366,3)="MAP",$BD$1366="PC",$BD$1366="MC",$BD$1366="SCLC",$BD$1366="P-LAM")</f>
        <v/>
      </c>
      <c r="BV1366">
        <f>INT(N($AQ$1366)/MAX(1,N($BA$1366))/12)&amp;MOD(N($AQ$1366)/MAX(1,N($BA$1366)),12)</f>
        <v/>
      </c>
      <c r="BW1366">
        <f>IF(OR($BG$1366="G11",$BG$1366="G11A",$BG$1366="G12A"),"G2",IF(OR(LEFT($BG$1366,2)="G3",$BG$1366="G12"),"G3AEO",$BG$1366))</f>
        <v/>
      </c>
      <c r="BX1366">
        <f>"(Net size: "&amp;TRIM(TEXT(N($BB$1366),"# ?/??"))&amp;CHAR(34)&amp;" x "&amp;TRIM(TEXT(N($BC$1366),"# ?/??"))&amp;CHAR(34)&amp;")"</f>
        <v/>
      </c>
      <c r="BY1366">
        <f>IF(LEFT($BD$1366,3)="OAK","RED OAK",IF(LEFT($BD$1366,3)="BIR","BIRCH",IF(LEFT($BD$1366,3)="MAP","MAPLE","WOOD")))</f>
        <v/>
      </c>
      <c r="BZ1366">
        <f>IF(OR($AT$1366="U454",AND($AT$1366="",$AS$1366="U454")),"454","453")</f>
        <v/>
      </c>
      <c r="CA1366">
        <f>IF($AD$1366=0,"",IF($BU$1366,$BT$1366&amp;"|"&amp;$BV$1366&amp;$BO$1366&amp;" "&amp;$BY$1366&amp;" SLAB "&amp;IF(N($AN$1366)&gt;0,$AN$1366&amp;" MINUTE",IF(RIGHT($BD$1366,2)="MC","MC","SC")&amp;" WOOD DOOR")&amp;"|"&amp;$BX$1366&amp;"|"&amp;$BS$1366,$BT$1366&amp;"|"&amp;$BV$1366&amp;$BO$1366&amp;$BW$1366&amp;" BSC "&amp;$BQ$1366&amp;" DOOR "&amp;$BE$1366&amp;"Ga. Non-Handed "&amp;IF($BF$1366="","707",$BF$1366)&amp;"S Flush HM|"&amp;$BX$1366&amp;"|"&amp;$BS$1366)&amp;IF(N($AN$1366)&gt;0,$BT$1366&amp;"|"&amp;$AN$1366&amp;IF($BU$1366," MINUTE WARNOCK HERSHEY FIRE RATED WOOD LABEL"," MINUTE FOAM CORE STEEL DOOR LABEL (MODELS 607 &amp; 707)")&amp;"||"&amp;$BS$1366,"")&amp;IF(AND(NOT($BU$1366),OR($BG$1366="G11",$BG$1366="G11A",$BG$1366="G12",$BG$1366="G12A")),$AE$1366&amp;"|EXIT DEVICE PREP FOR HM DOOR||"&amp;$BS$1366,"")&amp;IF(AND(NOT($BU$1366),$BG$1366="G12"),$AE$1366&amp;"|DR 350 MORTISE LOCK FILLER PLATE||"&amp;$BS$1366,"")&amp;IF(AND(NOT($BU$1366),LEFT($BG$1366,2)="G3"),$AE$1366&amp;"|MORTISE LOCK PREP||"&amp;$BS$1366,"")&amp;IF($BU$1366,$BT$1366&amp;"|"&amp;IF($BG$1366="G18",$BZ$1366&amp;"-4 1/2"&amp;CHAR(34)&amp;"X4 1/2"&amp;CHAR(34)&amp;" HINGES ONLY PREP","HINGE PREP "&amp;$BZ$1366&amp;" WITH LOCK PREP")&amp;"|"&amp;$BQ$1366&amp;" LOC|"&amp;$BS$1366,"")&amp;IF(OR($BG$1366="G2G2",$BG$1366="G17",$BG$1366="E1E4"),$AE$1366&amp;"|"&amp;IF($BU$1366,"DDLP CYLINDRICAL DEADLOCK PREP","DOOR DEADLOCK PREP")&amp;"||"&amp;$BS$1366,"")&amp;IF(OR($BH$1366="FG",$BH$1366="HG",$BH$1366="FNV",$BH$1366="FV"),$BT$1366&amp;"|"&amp;$BI$1366&amp;" LITE KIT||"&amp;$BS$1366,IF($BH$1366="FL",$BT$1366&amp;"|"&amp;$BI$1366&amp;" LOUVER||"&amp;$BS$1366,IF($BH$1366="FP",$BT$1366&amp;"|DVP DOOR VIEWER PREP||"&amp;$BS$1366,"")))&amp;IF($BN$1366&gt;N($AR$1366),$BT$1366&amp;"|DCO DOOR CUT DOWN ONLY (HEIGHT)|Cut "&amp;TRIM(TEXT($BN$1366-N($AR$1366),"# ?/??"))&amp;CHAR(34)&amp;" OFF THE BOTTOM|"&amp;$BS$1366,""))</f>
        <v/>
      </c>
    </row>
    <row r="1367">
      <c r="B1367" s="180">
        <f>IF($AD1367="","",VALUE(LEFT($AD1367,FIND("|",$AD1367)-1)))</f>
        <v/>
      </c>
      <c r="C1367" s="180">
        <f>IF($AD1367="","","    "&amp;MID($AD1367,FIND("|",$AD1367)+1,FIND("|",$AD1367,FIND("|",$AD1367)+1)-FIND("|",$AD1367)-1))</f>
        <v/>
      </c>
      <c r="D1367" s="180">
        <f>IF($AD1367="","",MID($AD1367,FIND("|",$AD1367,FIND("|",$AD1367)+1)+1,FIND("|",$AD1367&amp;"|",FIND("|",$AD1367,FIND("|",$AD1367)+1)+1)-FIND("|",$AD1367,FIND("|",$AD1367)+1)-1))</f>
        <v/>
      </c>
      <c r="AD1367">
        <f>TRIM(MID(SUBSTITUTE($CA$1366,"~",REPT(" ",600)),1,600))</f>
        <v/>
      </c>
    </row>
    <row r="1368">
      <c r="B1368" s="180">
        <f>IF($AD1368="","",VALUE(LEFT($AD1368,FIND("|",$AD1368)-1)))</f>
        <v/>
      </c>
      <c r="C1368" s="180">
        <f>IF($AD1368="","","    "&amp;MID($AD1368,FIND("|",$AD1368)+1,FIND("|",$AD1368,FIND("|",$AD1368)+1)-FIND("|",$AD1368)-1))</f>
        <v/>
      </c>
      <c r="D1368" s="180">
        <f>IF($AD1368="","",MID($AD1368,FIND("|",$AD1368,FIND("|",$AD1368)+1)+1,FIND("|",$AD1368&amp;"|",FIND("|",$AD1368,FIND("|",$AD1368)+1)+1)-FIND("|",$AD1368,FIND("|",$AD1368)+1)-1))</f>
        <v/>
      </c>
      <c r="AD1368">
        <f>TRIM(MID(SUBSTITUTE($CA$1366,"~",REPT(" ",600)),601,600))</f>
        <v/>
      </c>
    </row>
    <row r="1369">
      <c r="B1369" s="180">
        <f>IF($AD1369="","",VALUE(LEFT($AD1369,FIND("|",$AD1369)-1)))</f>
        <v/>
      </c>
      <c r="C1369" s="180">
        <f>IF($AD1369="","","    "&amp;MID($AD1369,FIND("|",$AD1369)+1,FIND("|",$AD1369,FIND("|",$AD1369)+1)-FIND("|",$AD1369)-1))</f>
        <v/>
      </c>
      <c r="D1369" s="180">
        <f>IF($AD1369="","",MID($AD1369,FIND("|",$AD1369,FIND("|",$AD1369)+1)+1,FIND("|",$AD1369&amp;"|",FIND("|",$AD1369,FIND("|",$AD1369)+1)+1)-FIND("|",$AD1369,FIND("|",$AD1369)+1)-1))</f>
        <v/>
      </c>
      <c r="AD1369">
        <f>TRIM(MID(SUBSTITUTE($CA$1366,"~",REPT(" ",600)),1201,600))</f>
        <v/>
      </c>
    </row>
    <row r="1370">
      <c r="B1370" s="180">
        <f>IF($AD1370="","",VALUE(LEFT($AD1370,FIND("|",$AD1370)-1)))</f>
        <v/>
      </c>
      <c r="C1370" s="180">
        <f>IF($AD1370="","","    "&amp;MID($AD1370,FIND("|",$AD1370)+1,FIND("|",$AD1370,FIND("|",$AD1370)+1)-FIND("|",$AD1370)-1))</f>
        <v/>
      </c>
      <c r="D1370" s="180">
        <f>IF($AD1370="","",MID($AD1370,FIND("|",$AD1370,FIND("|",$AD1370)+1)+1,FIND("|",$AD1370&amp;"|",FIND("|",$AD1370,FIND("|",$AD1370)+1)+1)-FIND("|",$AD1370,FIND("|",$AD1370)+1)-1))</f>
        <v/>
      </c>
      <c r="AD1370">
        <f>TRIM(MID(SUBSTITUTE($CA$1366,"~",REPT(" ",600)),1801,600))</f>
        <v/>
      </c>
    </row>
    <row r="1371">
      <c r="B1371" s="180">
        <f>IF($AD1371="","",VALUE(LEFT($AD1371,FIND("|",$AD1371)-1)))</f>
        <v/>
      </c>
      <c r="C1371" s="180">
        <f>IF($AD1371="","","    "&amp;MID($AD1371,FIND("|",$AD1371)+1,FIND("|",$AD1371,FIND("|",$AD1371)+1)-FIND("|",$AD1371)-1))</f>
        <v/>
      </c>
      <c r="D1371" s="180">
        <f>IF($AD1371="","",MID($AD1371,FIND("|",$AD1371,FIND("|",$AD1371)+1)+1,FIND("|",$AD1371&amp;"|",FIND("|",$AD1371,FIND("|",$AD1371)+1)+1)-FIND("|",$AD1371,FIND("|",$AD1371)+1)-1))</f>
        <v/>
      </c>
      <c r="AD1371">
        <f>TRIM(MID(SUBSTITUTE($CA$1366,"~",REPT(" ",600)),2401,600))</f>
        <v/>
      </c>
    </row>
    <row r="1372">
      <c r="B1372" s="180">
        <f>IF($AD1372="","",VALUE(LEFT($AD1372,FIND("|",$AD1372)-1)))</f>
        <v/>
      </c>
      <c r="C1372" s="180">
        <f>IF($AD1372="","","    "&amp;MID($AD1372,FIND("|",$AD1372)+1,FIND("|",$AD1372,FIND("|",$AD1372)+1)-FIND("|",$AD1372)-1))</f>
        <v/>
      </c>
      <c r="D1372" s="180">
        <f>IF($AD1372="","",MID($AD1372,FIND("|",$AD1372,FIND("|",$AD1372)+1)+1,FIND("|",$AD1372&amp;"|",FIND("|",$AD1372,FIND("|",$AD1372)+1)+1)-FIND("|",$AD1372,FIND("|",$AD1372)+1)-1))</f>
        <v/>
      </c>
      <c r="AD1372">
        <f>TRIM(MID(SUBSTITUTE($CA$1366,"~",REPT(" ",600)),3001,600))</f>
        <v/>
      </c>
    </row>
    <row r="1373">
      <c r="B1373" s="180">
        <f>IF($AD1373="","",VALUE(LEFT($AD1373,FIND("|",$AD1373)-1)))</f>
        <v/>
      </c>
      <c r="C1373" s="180">
        <f>IF($AD1373="","","    "&amp;MID($AD1373,FIND("|",$AD1373)+1,FIND("|",$AD1373,FIND("|",$AD1373)+1)-FIND("|",$AD1373)-1))</f>
        <v/>
      </c>
      <c r="D1373" s="180">
        <f>IF($AD1373="","",MID($AD1373,FIND("|",$AD1373,FIND("|",$AD1373)+1)+1,FIND("|",$AD1373&amp;"|",FIND("|",$AD1373,FIND("|",$AD1373)+1)+1)-FIND("|",$AD1373,FIND("|",$AD1373)+1)-1))</f>
        <v/>
      </c>
      <c r="AD1373">
        <f>TRIM(MID(SUBSTITUTE($CA$1366,"~",REPT(" ",600)),3601,600))</f>
        <v/>
      </c>
    </row>
    <row r="1374">
      <c r="B1374" s="180">
        <f>IF($AD1374="","",VALUE(LEFT($AD1374,FIND("|",$AD1374)-1)))</f>
        <v/>
      </c>
      <c r="C1374" s="180">
        <f>IF($AD1374="","","    "&amp;MID($AD1374,FIND("|",$AD1374)+1,FIND("|",$AD1374,FIND("|",$AD1374)+1)-FIND("|",$AD1374)-1))</f>
        <v/>
      </c>
      <c r="D1374" s="180">
        <f>IF($AD1374="","",MID($AD1374,FIND("|",$AD1374,FIND("|",$AD1374)+1)+1,FIND("|",$AD1374&amp;"|",FIND("|",$AD1374,FIND("|",$AD1374)+1)+1)-FIND("|",$AD1374,FIND("|",$AD1374)+1)-1))</f>
        <v/>
      </c>
      <c r="AD1374">
        <f>TRIM(MID(SUBSTITUTE($CA$1366,"~",REPT(" ",600)),4201,600))</f>
        <v/>
      </c>
    </row>
    <row r="1375">
      <c r="B1375" s="180">
        <f>IF($AD1375="","",VALUE(LEFT($AD1375,FIND("|",$AD1375)-1)))</f>
        <v/>
      </c>
      <c r="C1375" s="180">
        <f>IF($AD1375="","","    "&amp;MID($AD1375,FIND("|",$AD1375)+1,FIND("|",$AD1375,FIND("|",$AD1375)+1)-FIND("|",$AD1375)-1))</f>
        <v/>
      </c>
      <c r="D1375" s="180">
        <f>IF($AD1375="","",MID($AD1375,FIND("|",$AD1375,FIND("|",$AD1375)+1)+1,FIND("|",$AD1375&amp;"|",FIND("|",$AD1375,FIND("|",$AD1375)+1)+1)-FIND("|",$AD1375,FIND("|",$AD1375)+1)-1))</f>
        <v/>
      </c>
      <c r="AD1375">
        <f>TRIM(MID(SUBSTITUTE($CA$1366,"~",REPT(" ",600)),4801,600))</f>
        <v/>
      </c>
    </row>
    <row r="1376">
      <c r="B1376" s="180">
        <f>IF($AD1376="","",VALUE(LEFT($AD1376,FIND("|",$AD1376)-1)))</f>
        <v/>
      </c>
      <c r="C1376" s="180">
        <f>IF($AD1376="","","    "&amp;MID($AD1376,FIND("|",$AD1376)+1,FIND("|",$AD1376,FIND("|",$AD1376)+1)-FIND("|",$AD1376)-1))</f>
        <v/>
      </c>
      <c r="D1376" s="180">
        <f>IF($AD1376="","",MID($AD1376,FIND("|",$AD1376,FIND("|",$AD1376)+1)+1,FIND("|",$AD1376&amp;"|",FIND("|",$AD1376,FIND("|",$AD1376)+1)+1)-FIND("|",$AD1376,FIND("|",$AD1376)+1)-1))</f>
        <v/>
      </c>
      <c r="AD1376">
        <f>TRIM(MID(SUBSTITUTE($CA$1366,"~",REPT(" ",600)),5401,600))</f>
        <v/>
      </c>
    </row>
    <row r="1377">
      <c r="B1377" s="180">
        <f>IF($AD1377="","",VALUE(LEFT($AD1377,FIND("|",$AD1377)-1)))</f>
        <v/>
      </c>
      <c r="C1377" s="180">
        <f>IF($AD1377="","","    "&amp;MID($AD1377,FIND("|",$AD1377)+1,FIND("|",$AD1377,FIND("|",$AD1377)+1)-FIND("|",$AD1377)-1))</f>
        <v/>
      </c>
      <c r="D1377" s="180">
        <f>IF($AD1377="","",MID($AD1377,FIND("|",$AD1377,FIND("|",$AD1377)+1)+1,FIND("|",$AD1377&amp;"|",FIND("|",$AD1377,FIND("|",$AD1377)+1)+1)-FIND("|",$AD1377,FIND("|",$AD1377)+1)-1))</f>
        <v/>
      </c>
      <c r="AD1377">
        <f>TRIM(MID(SUBSTITUTE($CA$1366,"~",REPT(" ",600)),6001,600))</f>
        <v/>
      </c>
    </row>
    <row r="1378">
      <c r="A1378" s="178">
        <f>IF($AD$1378=0,"",$BK$1378)</f>
        <v/>
      </c>
      <c r="B1378" s="178">
        <f>IF($AD$1378=0,"",$AE$1378*N($BA$1378))</f>
        <v/>
      </c>
      <c r="C1378" s="178">
        <f>IF($AD$1378=0,"",$AE$1378*N($BA$1378)&amp;") "&amp;IF(COUNTIFS(tk_SODG,55,tk_HLEG,"&lt;&gt;"&amp;$BJ$1378)=0,INDEX(tk_DLINE,$AD$1378),INDEX(tk_DLINEN,$AD$1378)))</f>
        <v/>
      </c>
      <c r="D1378" s="178" t="n"/>
      <c r="E1378" s="179">
        <f t="array" ref="E1378">IF($AD$1378=0,"",_xlfn.TEXTJOIN(", ",TRUE,IF(tk_SODG=55,"#"&amp;tk_MARK&amp;IF(tk_HLEG="","","("&amp;tk_HLEG&amp;")")&amp;IF(tk_QTY&gt;1," ×"&amp;tk_QTY,""),"")))</f>
        <v/>
      </c>
      <c r="AD1378">
        <f>IFERROR(MATCH(55,tk_SODG,0),0)</f>
        <v/>
      </c>
      <c r="AE1378">
        <f>IF($AD$1378=0,0,SUMIF(tk_SODG,55,tk_QTY))</f>
        <v/>
      </c>
      <c r="AF1378">
        <f>IF($AD$1378=0,"",INDEX(tk_JAMB,$AD$1378))</f>
        <v/>
      </c>
      <c r="AG1378">
        <f>IF($AD$1378=0,"",INDEX(tk_ANCHOR,$AD$1378))</f>
        <v/>
      </c>
      <c r="AH1378">
        <f>IF($AD$1378=0,"",INDEX(tk_ANCH,$AD$1378))</f>
        <v/>
      </c>
      <c r="AI1378">
        <f>IF($AD$1378=0,"",INDEX(tk_BASEA,$AD$1378))</f>
        <v/>
      </c>
      <c r="AJ1378">
        <f>IF($AD$1378=0,"",INDEX(tk_CONSTR,$AD$1378))</f>
        <v/>
      </c>
      <c r="AK1378">
        <f>IF($AD$1378=0,"",INDEX(tk_CLOSER,$AD$1378))</f>
        <v/>
      </c>
      <c r="AL1378">
        <f>IF($AD$1378=0,"",INDEX(tk_STRIKE,$AD$1378))</f>
        <v/>
      </c>
      <c r="AM1378">
        <f>IF($AD$1378=0,"",INDEX(tk_HDRPREP,$AD$1378))</f>
        <v/>
      </c>
      <c r="AN1378">
        <f>IF($AD$1378=0,"",INDEX(tk_DMIN,$AD$1378))</f>
        <v/>
      </c>
      <c r="AO1378">
        <f>IF($AD$1378=0,"",INDEX(tk_PAIR,$AD$1378))</f>
        <v/>
      </c>
      <c r="AP1378">
        <f>IF($AD$1378=0,"",INDEX(tk_FGA,$AD$1378))</f>
        <v/>
      </c>
      <c r="AQ1378">
        <f>IF($AD$1378=0,"",INDEX(tk_WI,$AD$1378))</f>
        <v/>
      </c>
      <c r="AR1378">
        <f>IF($AD$1378=0,"",INDEX(tk_HI,$AD$1378))</f>
        <v/>
      </c>
      <c r="AS1378">
        <f>IF($AD$1378=0,"",INDEX(tk_FHINGE,$AD$1378))</f>
        <v/>
      </c>
      <c r="AT1378">
        <f>IF($AD$1378=0,"",INDEX(tk_DHINGE,$AD$1378))</f>
        <v/>
      </c>
      <c r="AU1378">
        <f>IF($AD$1378=0,"",INDEX(tk_HWLOC,$AD$1378))</f>
        <v/>
      </c>
      <c r="AV1378">
        <f>IF($AD$1378=0,"",INDEX(tk_MANUF,$AD$1378))</f>
        <v/>
      </c>
      <c r="AW1378">
        <f>IF($AD$1378=0,"",INDEX(tk_JH,$AD$1378))</f>
        <v/>
      </c>
      <c r="AX1378">
        <f>IF($AD$1378=0,"",INDEX(tk_FDESC,$AD$1378))</f>
        <v/>
      </c>
      <c r="AY1378">
        <f>IF($AD$1378=0,"",INDEX(tk_TRANS,$AD$1378))</f>
        <v/>
      </c>
      <c r="AZ1378">
        <f>IF($AD$1378=0,"",INDEX(tk_SLW,$AD$1378))</f>
        <v/>
      </c>
      <c r="BA1378">
        <f>IF($AD$1378=0,"",INDEX(tk_LEAVES,$AD$1378))</f>
        <v/>
      </c>
      <c r="BB1378">
        <f>IF($AD$1378=0,"",INDEX(tk_LEAFW,$AD$1378))</f>
        <v/>
      </c>
      <c r="BC1378">
        <f>IF($AD$1378=0,"",INDEX(tk_LEAFH,$AD$1378))</f>
        <v/>
      </c>
      <c r="BD1378">
        <f>IF($AD$1378=0,"",INDEX(tk_DMAT,$AD$1378))</f>
        <v/>
      </c>
      <c r="BE1378">
        <f>IF($AD$1378=0,"",INDEX(tk_DGA,$AD$1378))</f>
        <v/>
      </c>
      <c r="BF1378">
        <f>IF($AD$1378=0,"",INDEX(tk_SERIES,$AD$1378))</f>
        <v/>
      </c>
      <c r="BG1378">
        <f>IF($AD$1378=0,"",INDEX(tk_LOCK,$AD$1378))</f>
        <v/>
      </c>
      <c r="BH1378">
        <f>IF($AD$1378=0,"",INDEX(tk_LITEKIT,$AD$1378))</f>
        <v/>
      </c>
      <c r="BI1378">
        <f>IF($AD$1378=0,"",INDEX(tk_FACE,$AD$1378))</f>
        <v/>
      </c>
      <c r="BJ1378">
        <f>IF($AD$1378=0,"",INDEX(tk_HLEG,$AD$1378))</f>
        <v/>
      </c>
      <c r="BK1378">
        <f>IF($AD$1378=0,"",INDEX(tk_SOITEM,$AD$1378))</f>
        <v/>
      </c>
      <c r="BL1378">
        <f>IFERROR(VLOOKUP($AF$1378,CODES,2,FALSE),"")</f>
        <v/>
      </c>
      <c r="BM1378">
        <f>IF($AJ$1378="KD","C","M")</f>
        <v/>
      </c>
      <c r="BN1378">
        <f>IF(N($AR$1378)&lt;=80,80,IF(N($AR$1378)&lt;=84,84,IF(N($AR$1378)&lt;=96,96,N($AR$1378))))</f>
        <v/>
      </c>
      <c r="BO1378">
        <f>INT($BN$1378/12)&amp;MOD($BN$1378,12)</f>
        <v/>
      </c>
      <c r="BP1378">
        <f>INT(N($AQ$1378)/12)&amp;MOD(N($AQ$1378),12)</f>
        <v/>
      </c>
      <c r="BQ1378">
        <f>IF(OR($AU$1378="",$AU$1378="ANSI/SDI",$AU$1378="CUSTOM LOC"),IF($AV$1378="CU","CURRIES","STEELCRAFT"),$AU$1378)</f>
        <v/>
      </c>
      <c r="BR1378">
        <f>$AO$1378="Y"</f>
        <v/>
      </c>
      <c r="BS1378">
        <f>"~"</f>
        <v/>
      </c>
      <c r="BT1378">
        <f>$AE$1378*N($BA$1378)</f>
        <v/>
      </c>
      <c r="BU1378">
        <f>OR(LEFT($BD$1378,3)="OAK",LEFT($BD$1378,3)="BIR",LEFT($BD$1378,3)="MAP",$BD$1378="PC",$BD$1378="MC",$BD$1378="SCLC",$BD$1378="P-LAM")</f>
        <v/>
      </c>
      <c r="BV1378">
        <f>INT(N($AQ$1378)/MAX(1,N($BA$1378))/12)&amp;MOD(N($AQ$1378)/MAX(1,N($BA$1378)),12)</f>
        <v/>
      </c>
      <c r="BW1378">
        <f>IF(OR($BG$1378="G11",$BG$1378="G11A",$BG$1378="G12A"),"G2",IF(OR(LEFT($BG$1378,2)="G3",$BG$1378="G12"),"G3AEO",$BG$1378))</f>
        <v/>
      </c>
      <c r="BX1378">
        <f>"(Net size: "&amp;TRIM(TEXT(N($BB$1378),"# ?/??"))&amp;CHAR(34)&amp;" x "&amp;TRIM(TEXT(N($BC$1378),"# ?/??"))&amp;CHAR(34)&amp;")"</f>
        <v/>
      </c>
      <c r="BY1378">
        <f>IF(LEFT($BD$1378,3)="OAK","RED OAK",IF(LEFT($BD$1378,3)="BIR","BIRCH",IF(LEFT($BD$1378,3)="MAP","MAPLE","WOOD")))</f>
        <v/>
      </c>
      <c r="BZ1378">
        <f>IF(OR($AT$1378="U454",AND($AT$1378="",$AS$1378="U454")),"454","453")</f>
        <v/>
      </c>
      <c r="CA1378">
        <f>IF($AD$1378=0,"",IF($BU$1378,$BT$1378&amp;"|"&amp;$BV$1378&amp;$BO$1378&amp;" "&amp;$BY$1378&amp;" SLAB "&amp;IF(N($AN$1378)&gt;0,$AN$1378&amp;" MINUTE",IF(RIGHT($BD$1378,2)="MC","MC","SC")&amp;" WOOD DOOR")&amp;"|"&amp;$BX$1378&amp;"|"&amp;$BS$1378,$BT$1378&amp;"|"&amp;$BV$1378&amp;$BO$1378&amp;$BW$1378&amp;" BSC "&amp;$BQ$1378&amp;" DOOR "&amp;$BE$1378&amp;"Ga. Non-Handed "&amp;IF($BF$1378="","707",$BF$1378)&amp;"S Flush HM|"&amp;$BX$1378&amp;"|"&amp;$BS$1378)&amp;IF(N($AN$1378)&gt;0,$BT$1378&amp;"|"&amp;$AN$1378&amp;IF($BU$1378," MINUTE WARNOCK HERSHEY FIRE RATED WOOD LABEL"," MINUTE FOAM CORE STEEL DOOR LABEL (MODELS 607 &amp; 707)")&amp;"||"&amp;$BS$1378,"")&amp;IF(AND(NOT($BU$1378),OR($BG$1378="G11",$BG$1378="G11A",$BG$1378="G12",$BG$1378="G12A")),$AE$1378&amp;"|EXIT DEVICE PREP FOR HM DOOR||"&amp;$BS$1378,"")&amp;IF(AND(NOT($BU$1378),$BG$1378="G12"),$AE$1378&amp;"|DR 350 MORTISE LOCK FILLER PLATE||"&amp;$BS$1378,"")&amp;IF(AND(NOT($BU$1378),LEFT($BG$1378,2)="G3"),$AE$1378&amp;"|MORTISE LOCK PREP||"&amp;$BS$1378,"")&amp;IF($BU$1378,$BT$1378&amp;"|"&amp;IF($BG$1378="G18",$BZ$1378&amp;"-4 1/2"&amp;CHAR(34)&amp;"X4 1/2"&amp;CHAR(34)&amp;" HINGES ONLY PREP","HINGE PREP "&amp;$BZ$1378&amp;" WITH LOCK PREP")&amp;"|"&amp;$BQ$1378&amp;" LOC|"&amp;$BS$1378,"")&amp;IF(OR($BG$1378="G2G2",$BG$1378="G17",$BG$1378="E1E4"),$AE$1378&amp;"|"&amp;IF($BU$1378,"DDLP CYLINDRICAL DEADLOCK PREP","DOOR DEADLOCK PREP")&amp;"||"&amp;$BS$1378,"")&amp;IF(OR($BH$1378="FG",$BH$1378="HG",$BH$1378="FNV",$BH$1378="FV"),$BT$1378&amp;"|"&amp;$BI$1378&amp;" LITE KIT||"&amp;$BS$1378,IF($BH$1378="FL",$BT$1378&amp;"|"&amp;$BI$1378&amp;" LOUVER||"&amp;$BS$1378,IF($BH$1378="FP",$BT$1378&amp;"|DVP DOOR VIEWER PREP||"&amp;$BS$1378,"")))&amp;IF($BN$1378&gt;N($AR$1378),$BT$1378&amp;"|DCO DOOR CUT DOWN ONLY (HEIGHT)|Cut "&amp;TRIM(TEXT($BN$1378-N($AR$1378),"# ?/??"))&amp;CHAR(34)&amp;" OFF THE BOTTOM|"&amp;$BS$1378,""))</f>
        <v/>
      </c>
    </row>
    <row r="1379">
      <c r="B1379" s="180">
        <f>IF($AD1379="","",VALUE(LEFT($AD1379,FIND("|",$AD1379)-1)))</f>
        <v/>
      </c>
      <c r="C1379" s="180">
        <f>IF($AD1379="","","    "&amp;MID($AD1379,FIND("|",$AD1379)+1,FIND("|",$AD1379,FIND("|",$AD1379)+1)-FIND("|",$AD1379)-1))</f>
        <v/>
      </c>
      <c r="D1379" s="180">
        <f>IF($AD1379="","",MID($AD1379,FIND("|",$AD1379,FIND("|",$AD1379)+1)+1,FIND("|",$AD1379&amp;"|",FIND("|",$AD1379,FIND("|",$AD1379)+1)+1)-FIND("|",$AD1379,FIND("|",$AD1379)+1)-1))</f>
        <v/>
      </c>
      <c r="AD1379">
        <f>TRIM(MID(SUBSTITUTE($CA$1378,"~",REPT(" ",600)),1,600))</f>
        <v/>
      </c>
    </row>
    <row r="1380">
      <c r="B1380" s="180">
        <f>IF($AD1380="","",VALUE(LEFT($AD1380,FIND("|",$AD1380)-1)))</f>
        <v/>
      </c>
      <c r="C1380" s="180">
        <f>IF($AD1380="","","    "&amp;MID($AD1380,FIND("|",$AD1380)+1,FIND("|",$AD1380,FIND("|",$AD1380)+1)-FIND("|",$AD1380)-1))</f>
        <v/>
      </c>
      <c r="D1380" s="180">
        <f>IF($AD1380="","",MID($AD1380,FIND("|",$AD1380,FIND("|",$AD1380)+1)+1,FIND("|",$AD1380&amp;"|",FIND("|",$AD1380,FIND("|",$AD1380)+1)+1)-FIND("|",$AD1380,FIND("|",$AD1380)+1)-1))</f>
        <v/>
      </c>
      <c r="AD1380">
        <f>TRIM(MID(SUBSTITUTE($CA$1378,"~",REPT(" ",600)),601,600))</f>
        <v/>
      </c>
    </row>
    <row r="1381">
      <c r="B1381" s="180">
        <f>IF($AD1381="","",VALUE(LEFT($AD1381,FIND("|",$AD1381)-1)))</f>
        <v/>
      </c>
      <c r="C1381" s="180">
        <f>IF($AD1381="","","    "&amp;MID($AD1381,FIND("|",$AD1381)+1,FIND("|",$AD1381,FIND("|",$AD1381)+1)-FIND("|",$AD1381)-1))</f>
        <v/>
      </c>
      <c r="D1381" s="180">
        <f>IF($AD1381="","",MID($AD1381,FIND("|",$AD1381,FIND("|",$AD1381)+1)+1,FIND("|",$AD1381&amp;"|",FIND("|",$AD1381,FIND("|",$AD1381)+1)+1)-FIND("|",$AD1381,FIND("|",$AD1381)+1)-1))</f>
        <v/>
      </c>
      <c r="AD1381">
        <f>TRIM(MID(SUBSTITUTE($CA$1378,"~",REPT(" ",600)),1201,600))</f>
        <v/>
      </c>
    </row>
    <row r="1382">
      <c r="B1382" s="180">
        <f>IF($AD1382="","",VALUE(LEFT($AD1382,FIND("|",$AD1382)-1)))</f>
        <v/>
      </c>
      <c r="C1382" s="180">
        <f>IF($AD1382="","","    "&amp;MID($AD1382,FIND("|",$AD1382)+1,FIND("|",$AD1382,FIND("|",$AD1382)+1)-FIND("|",$AD1382)-1))</f>
        <v/>
      </c>
      <c r="D1382" s="180">
        <f>IF($AD1382="","",MID($AD1382,FIND("|",$AD1382,FIND("|",$AD1382)+1)+1,FIND("|",$AD1382&amp;"|",FIND("|",$AD1382,FIND("|",$AD1382)+1)+1)-FIND("|",$AD1382,FIND("|",$AD1382)+1)-1))</f>
        <v/>
      </c>
      <c r="AD1382">
        <f>TRIM(MID(SUBSTITUTE($CA$1378,"~",REPT(" ",600)),1801,600))</f>
        <v/>
      </c>
    </row>
    <row r="1383">
      <c r="B1383" s="180">
        <f>IF($AD1383="","",VALUE(LEFT($AD1383,FIND("|",$AD1383)-1)))</f>
        <v/>
      </c>
      <c r="C1383" s="180">
        <f>IF($AD1383="","","    "&amp;MID($AD1383,FIND("|",$AD1383)+1,FIND("|",$AD1383,FIND("|",$AD1383)+1)-FIND("|",$AD1383)-1))</f>
        <v/>
      </c>
      <c r="D1383" s="180">
        <f>IF($AD1383="","",MID($AD1383,FIND("|",$AD1383,FIND("|",$AD1383)+1)+1,FIND("|",$AD1383&amp;"|",FIND("|",$AD1383,FIND("|",$AD1383)+1)+1)-FIND("|",$AD1383,FIND("|",$AD1383)+1)-1))</f>
        <v/>
      </c>
      <c r="AD1383">
        <f>TRIM(MID(SUBSTITUTE($CA$1378,"~",REPT(" ",600)),2401,600))</f>
        <v/>
      </c>
    </row>
    <row r="1384">
      <c r="B1384" s="180">
        <f>IF($AD1384="","",VALUE(LEFT($AD1384,FIND("|",$AD1384)-1)))</f>
        <v/>
      </c>
      <c r="C1384" s="180">
        <f>IF($AD1384="","","    "&amp;MID($AD1384,FIND("|",$AD1384)+1,FIND("|",$AD1384,FIND("|",$AD1384)+1)-FIND("|",$AD1384)-1))</f>
        <v/>
      </c>
      <c r="D1384" s="180">
        <f>IF($AD1384="","",MID($AD1384,FIND("|",$AD1384,FIND("|",$AD1384)+1)+1,FIND("|",$AD1384&amp;"|",FIND("|",$AD1384,FIND("|",$AD1384)+1)+1)-FIND("|",$AD1384,FIND("|",$AD1384)+1)-1))</f>
        <v/>
      </c>
      <c r="AD1384">
        <f>TRIM(MID(SUBSTITUTE($CA$1378,"~",REPT(" ",600)),3001,600))</f>
        <v/>
      </c>
    </row>
    <row r="1385">
      <c r="B1385" s="180">
        <f>IF($AD1385="","",VALUE(LEFT($AD1385,FIND("|",$AD1385)-1)))</f>
        <v/>
      </c>
      <c r="C1385" s="180">
        <f>IF($AD1385="","","    "&amp;MID($AD1385,FIND("|",$AD1385)+1,FIND("|",$AD1385,FIND("|",$AD1385)+1)-FIND("|",$AD1385)-1))</f>
        <v/>
      </c>
      <c r="D1385" s="180">
        <f>IF($AD1385="","",MID($AD1385,FIND("|",$AD1385,FIND("|",$AD1385)+1)+1,FIND("|",$AD1385&amp;"|",FIND("|",$AD1385,FIND("|",$AD1385)+1)+1)-FIND("|",$AD1385,FIND("|",$AD1385)+1)-1))</f>
        <v/>
      </c>
      <c r="AD1385">
        <f>TRIM(MID(SUBSTITUTE($CA$1378,"~",REPT(" ",600)),3601,600))</f>
        <v/>
      </c>
    </row>
    <row r="1386">
      <c r="B1386" s="180">
        <f>IF($AD1386="","",VALUE(LEFT($AD1386,FIND("|",$AD1386)-1)))</f>
        <v/>
      </c>
      <c r="C1386" s="180">
        <f>IF($AD1386="","","    "&amp;MID($AD1386,FIND("|",$AD1386)+1,FIND("|",$AD1386,FIND("|",$AD1386)+1)-FIND("|",$AD1386)-1))</f>
        <v/>
      </c>
      <c r="D1386" s="180">
        <f>IF($AD1386="","",MID($AD1386,FIND("|",$AD1386,FIND("|",$AD1386)+1)+1,FIND("|",$AD1386&amp;"|",FIND("|",$AD1386,FIND("|",$AD1386)+1)+1)-FIND("|",$AD1386,FIND("|",$AD1386)+1)-1))</f>
        <v/>
      </c>
      <c r="AD1386">
        <f>TRIM(MID(SUBSTITUTE($CA$1378,"~",REPT(" ",600)),4201,600))</f>
        <v/>
      </c>
    </row>
    <row r="1387">
      <c r="B1387" s="180">
        <f>IF($AD1387="","",VALUE(LEFT($AD1387,FIND("|",$AD1387)-1)))</f>
        <v/>
      </c>
      <c r="C1387" s="180">
        <f>IF($AD1387="","","    "&amp;MID($AD1387,FIND("|",$AD1387)+1,FIND("|",$AD1387,FIND("|",$AD1387)+1)-FIND("|",$AD1387)-1))</f>
        <v/>
      </c>
      <c r="D1387" s="180">
        <f>IF($AD1387="","",MID($AD1387,FIND("|",$AD1387,FIND("|",$AD1387)+1)+1,FIND("|",$AD1387&amp;"|",FIND("|",$AD1387,FIND("|",$AD1387)+1)+1)-FIND("|",$AD1387,FIND("|",$AD1387)+1)-1))</f>
        <v/>
      </c>
      <c r="AD1387">
        <f>TRIM(MID(SUBSTITUTE($CA$1378,"~",REPT(" ",600)),4801,600))</f>
        <v/>
      </c>
    </row>
    <row r="1388">
      <c r="B1388" s="180">
        <f>IF($AD1388="","",VALUE(LEFT($AD1388,FIND("|",$AD1388)-1)))</f>
        <v/>
      </c>
      <c r="C1388" s="180">
        <f>IF($AD1388="","","    "&amp;MID($AD1388,FIND("|",$AD1388)+1,FIND("|",$AD1388,FIND("|",$AD1388)+1)-FIND("|",$AD1388)-1))</f>
        <v/>
      </c>
      <c r="D1388" s="180">
        <f>IF($AD1388="","",MID($AD1388,FIND("|",$AD1388,FIND("|",$AD1388)+1)+1,FIND("|",$AD1388&amp;"|",FIND("|",$AD1388,FIND("|",$AD1388)+1)+1)-FIND("|",$AD1388,FIND("|",$AD1388)+1)-1))</f>
        <v/>
      </c>
      <c r="AD1388">
        <f>TRIM(MID(SUBSTITUTE($CA$1378,"~",REPT(" ",600)),5401,600))</f>
        <v/>
      </c>
    </row>
    <row r="1389">
      <c r="B1389" s="180">
        <f>IF($AD1389="","",VALUE(LEFT($AD1389,FIND("|",$AD1389)-1)))</f>
        <v/>
      </c>
      <c r="C1389" s="180">
        <f>IF($AD1389="","","    "&amp;MID($AD1389,FIND("|",$AD1389)+1,FIND("|",$AD1389,FIND("|",$AD1389)+1)-FIND("|",$AD1389)-1))</f>
        <v/>
      </c>
      <c r="D1389" s="180">
        <f>IF($AD1389="","",MID($AD1389,FIND("|",$AD1389,FIND("|",$AD1389)+1)+1,FIND("|",$AD1389&amp;"|",FIND("|",$AD1389,FIND("|",$AD1389)+1)+1)-FIND("|",$AD1389,FIND("|",$AD1389)+1)-1))</f>
        <v/>
      </c>
      <c r="AD1389">
        <f>TRIM(MID(SUBSTITUTE($CA$1378,"~",REPT(" ",600)),6001,600))</f>
        <v/>
      </c>
    </row>
    <row r="1390">
      <c r="A1390" s="178">
        <f>IF($AD$1390=0,"",$BK$1390)</f>
        <v/>
      </c>
      <c r="B1390" s="178">
        <f>IF($AD$1390=0,"",$AE$1390*N($BA$1390))</f>
        <v/>
      </c>
      <c r="C1390" s="178">
        <f>IF($AD$1390=0,"",$AE$1390*N($BA$1390)&amp;") "&amp;IF(COUNTIFS(tk_SODG,56,tk_HLEG,"&lt;&gt;"&amp;$BJ$1390)=0,INDEX(tk_DLINE,$AD$1390),INDEX(tk_DLINEN,$AD$1390)))</f>
        <v/>
      </c>
      <c r="D1390" s="178" t="n"/>
      <c r="E1390" s="179">
        <f t="array" ref="E1390">IF($AD$1390=0,"",_xlfn.TEXTJOIN(", ",TRUE,IF(tk_SODG=56,"#"&amp;tk_MARK&amp;IF(tk_HLEG="","","("&amp;tk_HLEG&amp;")")&amp;IF(tk_QTY&gt;1," ×"&amp;tk_QTY,""),"")))</f>
        <v/>
      </c>
      <c r="AD1390">
        <f>IFERROR(MATCH(56,tk_SODG,0),0)</f>
        <v/>
      </c>
      <c r="AE1390">
        <f>IF($AD$1390=0,0,SUMIF(tk_SODG,56,tk_QTY))</f>
        <v/>
      </c>
      <c r="AF1390">
        <f>IF($AD$1390=0,"",INDEX(tk_JAMB,$AD$1390))</f>
        <v/>
      </c>
      <c r="AG1390">
        <f>IF($AD$1390=0,"",INDEX(tk_ANCHOR,$AD$1390))</f>
        <v/>
      </c>
      <c r="AH1390">
        <f>IF($AD$1390=0,"",INDEX(tk_ANCH,$AD$1390))</f>
        <v/>
      </c>
      <c r="AI1390">
        <f>IF($AD$1390=0,"",INDEX(tk_BASEA,$AD$1390))</f>
        <v/>
      </c>
      <c r="AJ1390">
        <f>IF($AD$1390=0,"",INDEX(tk_CONSTR,$AD$1390))</f>
        <v/>
      </c>
      <c r="AK1390">
        <f>IF($AD$1390=0,"",INDEX(tk_CLOSER,$AD$1390))</f>
        <v/>
      </c>
      <c r="AL1390">
        <f>IF($AD$1390=0,"",INDEX(tk_STRIKE,$AD$1390))</f>
        <v/>
      </c>
      <c r="AM1390">
        <f>IF($AD$1390=0,"",INDEX(tk_HDRPREP,$AD$1390))</f>
        <v/>
      </c>
      <c r="AN1390">
        <f>IF($AD$1390=0,"",INDEX(tk_DMIN,$AD$1390))</f>
        <v/>
      </c>
      <c r="AO1390">
        <f>IF($AD$1390=0,"",INDEX(tk_PAIR,$AD$1390))</f>
        <v/>
      </c>
      <c r="AP1390">
        <f>IF($AD$1390=0,"",INDEX(tk_FGA,$AD$1390))</f>
        <v/>
      </c>
      <c r="AQ1390">
        <f>IF($AD$1390=0,"",INDEX(tk_WI,$AD$1390))</f>
        <v/>
      </c>
      <c r="AR1390">
        <f>IF($AD$1390=0,"",INDEX(tk_HI,$AD$1390))</f>
        <v/>
      </c>
      <c r="AS1390">
        <f>IF($AD$1390=0,"",INDEX(tk_FHINGE,$AD$1390))</f>
        <v/>
      </c>
      <c r="AT1390">
        <f>IF($AD$1390=0,"",INDEX(tk_DHINGE,$AD$1390))</f>
        <v/>
      </c>
      <c r="AU1390">
        <f>IF($AD$1390=0,"",INDEX(tk_HWLOC,$AD$1390))</f>
        <v/>
      </c>
      <c r="AV1390">
        <f>IF($AD$1390=0,"",INDEX(tk_MANUF,$AD$1390))</f>
        <v/>
      </c>
      <c r="AW1390">
        <f>IF($AD$1390=0,"",INDEX(tk_JH,$AD$1390))</f>
        <v/>
      </c>
      <c r="AX1390">
        <f>IF($AD$1390=0,"",INDEX(tk_FDESC,$AD$1390))</f>
        <v/>
      </c>
      <c r="AY1390">
        <f>IF($AD$1390=0,"",INDEX(tk_TRANS,$AD$1390))</f>
        <v/>
      </c>
      <c r="AZ1390">
        <f>IF($AD$1390=0,"",INDEX(tk_SLW,$AD$1390))</f>
        <v/>
      </c>
      <c r="BA1390">
        <f>IF($AD$1390=0,"",INDEX(tk_LEAVES,$AD$1390))</f>
        <v/>
      </c>
      <c r="BB1390">
        <f>IF($AD$1390=0,"",INDEX(tk_LEAFW,$AD$1390))</f>
        <v/>
      </c>
      <c r="BC1390">
        <f>IF($AD$1390=0,"",INDEX(tk_LEAFH,$AD$1390))</f>
        <v/>
      </c>
      <c r="BD1390">
        <f>IF($AD$1390=0,"",INDEX(tk_DMAT,$AD$1390))</f>
        <v/>
      </c>
      <c r="BE1390">
        <f>IF($AD$1390=0,"",INDEX(tk_DGA,$AD$1390))</f>
        <v/>
      </c>
      <c r="BF1390">
        <f>IF($AD$1390=0,"",INDEX(tk_SERIES,$AD$1390))</f>
        <v/>
      </c>
      <c r="BG1390">
        <f>IF($AD$1390=0,"",INDEX(tk_LOCK,$AD$1390))</f>
        <v/>
      </c>
      <c r="BH1390">
        <f>IF($AD$1390=0,"",INDEX(tk_LITEKIT,$AD$1390))</f>
        <v/>
      </c>
      <c r="BI1390">
        <f>IF($AD$1390=0,"",INDEX(tk_FACE,$AD$1390))</f>
        <v/>
      </c>
      <c r="BJ1390">
        <f>IF($AD$1390=0,"",INDEX(tk_HLEG,$AD$1390))</f>
        <v/>
      </c>
      <c r="BK1390">
        <f>IF($AD$1390=0,"",INDEX(tk_SOITEM,$AD$1390))</f>
        <v/>
      </c>
      <c r="BL1390">
        <f>IFERROR(VLOOKUP($AF$1390,CODES,2,FALSE),"")</f>
        <v/>
      </c>
      <c r="BM1390">
        <f>IF($AJ$1390="KD","C","M")</f>
        <v/>
      </c>
      <c r="BN1390">
        <f>IF(N($AR$1390)&lt;=80,80,IF(N($AR$1390)&lt;=84,84,IF(N($AR$1390)&lt;=96,96,N($AR$1390))))</f>
        <v/>
      </c>
      <c r="BO1390">
        <f>INT($BN$1390/12)&amp;MOD($BN$1390,12)</f>
        <v/>
      </c>
      <c r="BP1390">
        <f>INT(N($AQ$1390)/12)&amp;MOD(N($AQ$1390),12)</f>
        <v/>
      </c>
      <c r="BQ1390">
        <f>IF(OR($AU$1390="",$AU$1390="ANSI/SDI",$AU$1390="CUSTOM LOC"),IF($AV$1390="CU","CURRIES","STEELCRAFT"),$AU$1390)</f>
        <v/>
      </c>
      <c r="BR1390">
        <f>$AO$1390="Y"</f>
        <v/>
      </c>
      <c r="BS1390">
        <f>"~"</f>
        <v/>
      </c>
      <c r="BT1390">
        <f>$AE$1390*N($BA$1390)</f>
        <v/>
      </c>
      <c r="BU1390">
        <f>OR(LEFT($BD$1390,3)="OAK",LEFT($BD$1390,3)="BIR",LEFT($BD$1390,3)="MAP",$BD$1390="PC",$BD$1390="MC",$BD$1390="SCLC",$BD$1390="P-LAM")</f>
        <v/>
      </c>
      <c r="BV1390">
        <f>INT(N($AQ$1390)/MAX(1,N($BA$1390))/12)&amp;MOD(N($AQ$1390)/MAX(1,N($BA$1390)),12)</f>
        <v/>
      </c>
      <c r="BW1390">
        <f>IF(OR($BG$1390="G11",$BG$1390="G11A",$BG$1390="G12A"),"G2",IF(OR(LEFT($BG$1390,2)="G3",$BG$1390="G12"),"G3AEO",$BG$1390))</f>
        <v/>
      </c>
      <c r="BX1390">
        <f>"(Net size: "&amp;TRIM(TEXT(N($BB$1390),"# ?/??"))&amp;CHAR(34)&amp;" x "&amp;TRIM(TEXT(N($BC$1390),"# ?/??"))&amp;CHAR(34)&amp;")"</f>
        <v/>
      </c>
      <c r="BY1390">
        <f>IF(LEFT($BD$1390,3)="OAK","RED OAK",IF(LEFT($BD$1390,3)="BIR","BIRCH",IF(LEFT($BD$1390,3)="MAP","MAPLE","WOOD")))</f>
        <v/>
      </c>
      <c r="BZ1390">
        <f>IF(OR($AT$1390="U454",AND($AT$1390="",$AS$1390="U454")),"454","453")</f>
        <v/>
      </c>
      <c r="CA1390">
        <f>IF($AD$1390=0,"",IF($BU$1390,$BT$1390&amp;"|"&amp;$BV$1390&amp;$BO$1390&amp;" "&amp;$BY$1390&amp;" SLAB "&amp;IF(N($AN$1390)&gt;0,$AN$1390&amp;" MINUTE",IF(RIGHT($BD$1390,2)="MC","MC","SC")&amp;" WOOD DOOR")&amp;"|"&amp;$BX$1390&amp;"|"&amp;$BS$1390,$BT$1390&amp;"|"&amp;$BV$1390&amp;$BO$1390&amp;$BW$1390&amp;" BSC "&amp;$BQ$1390&amp;" DOOR "&amp;$BE$1390&amp;"Ga. Non-Handed "&amp;IF($BF$1390="","707",$BF$1390)&amp;"S Flush HM|"&amp;$BX$1390&amp;"|"&amp;$BS$1390)&amp;IF(N($AN$1390)&gt;0,$BT$1390&amp;"|"&amp;$AN$1390&amp;IF($BU$1390," MINUTE WARNOCK HERSHEY FIRE RATED WOOD LABEL"," MINUTE FOAM CORE STEEL DOOR LABEL (MODELS 607 &amp; 707)")&amp;"||"&amp;$BS$1390,"")&amp;IF(AND(NOT($BU$1390),OR($BG$1390="G11",$BG$1390="G11A",$BG$1390="G12",$BG$1390="G12A")),$AE$1390&amp;"|EXIT DEVICE PREP FOR HM DOOR||"&amp;$BS$1390,"")&amp;IF(AND(NOT($BU$1390),$BG$1390="G12"),$AE$1390&amp;"|DR 350 MORTISE LOCK FILLER PLATE||"&amp;$BS$1390,"")&amp;IF(AND(NOT($BU$1390),LEFT($BG$1390,2)="G3"),$AE$1390&amp;"|MORTISE LOCK PREP||"&amp;$BS$1390,"")&amp;IF($BU$1390,$BT$1390&amp;"|"&amp;IF($BG$1390="G18",$BZ$1390&amp;"-4 1/2"&amp;CHAR(34)&amp;"X4 1/2"&amp;CHAR(34)&amp;" HINGES ONLY PREP","HINGE PREP "&amp;$BZ$1390&amp;" WITH LOCK PREP")&amp;"|"&amp;$BQ$1390&amp;" LOC|"&amp;$BS$1390,"")&amp;IF(OR($BG$1390="G2G2",$BG$1390="G17",$BG$1390="E1E4"),$AE$1390&amp;"|"&amp;IF($BU$1390,"DDLP CYLINDRICAL DEADLOCK PREP","DOOR DEADLOCK PREP")&amp;"||"&amp;$BS$1390,"")&amp;IF(OR($BH$1390="FG",$BH$1390="HG",$BH$1390="FNV",$BH$1390="FV"),$BT$1390&amp;"|"&amp;$BI$1390&amp;" LITE KIT||"&amp;$BS$1390,IF($BH$1390="FL",$BT$1390&amp;"|"&amp;$BI$1390&amp;" LOUVER||"&amp;$BS$1390,IF($BH$1390="FP",$BT$1390&amp;"|DVP DOOR VIEWER PREP||"&amp;$BS$1390,"")))&amp;IF($BN$1390&gt;N($AR$1390),$BT$1390&amp;"|DCO DOOR CUT DOWN ONLY (HEIGHT)|Cut "&amp;TRIM(TEXT($BN$1390-N($AR$1390),"# ?/??"))&amp;CHAR(34)&amp;" OFF THE BOTTOM|"&amp;$BS$1390,""))</f>
        <v/>
      </c>
    </row>
    <row r="1391">
      <c r="B1391" s="180">
        <f>IF($AD1391="","",VALUE(LEFT($AD1391,FIND("|",$AD1391)-1)))</f>
        <v/>
      </c>
      <c r="C1391" s="180">
        <f>IF($AD1391="","","    "&amp;MID($AD1391,FIND("|",$AD1391)+1,FIND("|",$AD1391,FIND("|",$AD1391)+1)-FIND("|",$AD1391)-1))</f>
        <v/>
      </c>
      <c r="D1391" s="180">
        <f>IF($AD1391="","",MID($AD1391,FIND("|",$AD1391,FIND("|",$AD1391)+1)+1,FIND("|",$AD1391&amp;"|",FIND("|",$AD1391,FIND("|",$AD1391)+1)+1)-FIND("|",$AD1391,FIND("|",$AD1391)+1)-1))</f>
        <v/>
      </c>
      <c r="AD1391">
        <f>TRIM(MID(SUBSTITUTE($CA$1390,"~",REPT(" ",600)),1,600))</f>
        <v/>
      </c>
    </row>
    <row r="1392">
      <c r="B1392" s="180">
        <f>IF($AD1392="","",VALUE(LEFT($AD1392,FIND("|",$AD1392)-1)))</f>
        <v/>
      </c>
      <c r="C1392" s="180">
        <f>IF($AD1392="","","    "&amp;MID($AD1392,FIND("|",$AD1392)+1,FIND("|",$AD1392,FIND("|",$AD1392)+1)-FIND("|",$AD1392)-1))</f>
        <v/>
      </c>
      <c r="D1392" s="180">
        <f>IF($AD1392="","",MID($AD1392,FIND("|",$AD1392,FIND("|",$AD1392)+1)+1,FIND("|",$AD1392&amp;"|",FIND("|",$AD1392,FIND("|",$AD1392)+1)+1)-FIND("|",$AD1392,FIND("|",$AD1392)+1)-1))</f>
        <v/>
      </c>
      <c r="AD1392">
        <f>TRIM(MID(SUBSTITUTE($CA$1390,"~",REPT(" ",600)),601,600))</f>
        <v/>
      </c>
    </row>
    <row r="1393">
      <c r="B1393" s="180">
        <f>IF($AD1393="","",VALUE(LEFT($AD1393,FIND("|",$AD1393)-1)))</f>
        <v/>
      </c>
      <c r="C1393" s="180">
        <f>IF($AD1393="","","    "&amp;MID($AD1393,FIND("|",$AD1393)+1,FIND("|",$AD1393,FIND("|",$AD1393)+1)-FIND("|",$AD1393)-1))</f>
        <v/>
      </c>
      <c r="D1393" s="180">
        <f>IF($AD1393="","",MID($AD1393,FIND("|",$AD1393,FIND("|",$AD1393)+1)+1,FIND("|",$AD1393&amp;"|",FIND("|",$AD1393,FIND("|",$AD1393)+1)+1)-FIND("|",$AD1393,FIND("|",$AD1393)+1)-1))</f>
        <v/>
      </c>
      <c r="AD1393">
        <f>TRIM(MID(SUBSTITUTE($CA$1390,"~",REPT(" ",600)),1201,600))</f>
        <v/>
      </c>
    </row>
    <row r="1394">
      <c r="B1394" s="180">
        <f>IF($AD1394="","",VALUE(LEFT($AD1394,FIND("|",$AD1394)-1)))</f>
        <v/>
      </c>
      <c r="C1394" s="180">
        <f>IF($AD1394="","","    "&amp;MID($AD1394,FIND("|",$AD1394)+1,FIND("|",$AD1394,FIND("|",$AD1394)+1)-FIND("|",$AD1394)-1))</f>
        <v/>
      </c>
      <c r="D1394" s="180">
        <f>IF($AD1394="","",MID($AD1394,FIND("|",$AD1394,FIND("|",$AD1394)+1)+1,FIND("|",$AD1394&amp;"|",FIND("|",$AD1394,FIND("|",$AD1394)+1)+1)-FIND("|",$AD1394,FIND("|",$AD1394)+1)-1))</f>
        <v/>
      </c>
      <c r="AD1394">
        <f>TRIM(MID(SUBSTITUTE($CA$1390,"~",REPT(" ",600)),1801,600))</f>
        <v/>
      </c>
    </row>
    <row r="1395">
      <c r="B1395" s="180">
        <f>IF($AD1395="","",VALUE(LEFT($AD1395,FIND("|",$AD1395)-1)))</f>
        <v/>
      </c>
      <c r="C1395" s="180">
        <f>IF($AD1395="","","    "&amp;MID($AD1395,FIND("|",$AD1395)+1,FIND("|",$AD1395,FIND("|",$AD1395)+1)-FIND("|",$AD1395)-1))</f>
        <v/>
      </c>
      <c r="D1395" s="180">
        <f>IF($AD1395="","",MID($AD1395,FIND("|",$AD1395,FIND("|",$AD1395)+1)+1,FIND("|",$AD1395&amp;"|",FIND("|",$AD1395,FIND("|",$AD1395)+1)+1)-FIND("|",$AD1395,FIND("|",$AD1395)+1)-1))</f>
        <v/>
      </c>
      <c r="AD1395">
        <f>TRIM(MID(SUBSTITUTE($CA$1390,"~",REPT(" ",600)),2401,600))</f>
        <v/>
      </c>
    </row>
    <row r="1396">
      <c r="B1396" s="180">
        <f>IF($AD1396="","",VALUE(LEFT($AD1396,FIND("|",$AD1396)-1)))</f>
        <v/>
      </c>
      <c r="C1396" s="180">
        <f>IF($AD1396="","","    "&amp;MID($AD1396,FIND("|",$AD1396)+1,FIND("|",$AD1396,FIND("|",$AD1396)+1)-FIND("|",$AD1396)-1))</f>
        <v/>
      </c>
      <c r="D1396" s="180">
        <f>IF($AD1396="","",MID($AD1396,FIND("|",$AD1396,FIND("|",$AD1396)+1)+1,FIND("|",$AD1396&amp;"|",FIND("|",$AD1396,FIND("|",$AD1396)+1)+1)-FIND("|",$AD1396,FIND("|",$AD1396)+1)-1))</f>
        <v/>
      </c>
      <c r="AD1396">
        <f>TRIM(MID(SUBSTITUTE($CA$1390,"~",REPT(" ",600)),3001,600))</f>
        <v/>
      </c>
    </row>
    <row r="1397">
      <c r="B1397" s="180">
        <f>IF($AD1397="","",VALUE(LEFT($AD1397,FIND("|",$AD1397)-1)))</f>
        <v/>
      </c>
      <c r="C1397" s="180">
        <f>IF($AD1397="","","    "&amp;MID($AD1397,FIND("|",$AD1397)+1,FIND("|",$AD1397,FIND("|",$AD1397)+1)-FIND("|",$AD1397)-1))</f>
        <v/>
      </c>
      <c r="D1397" s="180">
        <f>IF($AD1397="","",MID($AD1397,FIND("|",$AD1397,FIND("|",$AD1397)+1)+1,FIND("|",$AD1397&amp;"|",FIND("|",$AD1397,FIND("|",$AD1397)+1)+1)-FIND("|",$AD1397,FIND("|",$AD1397)+1)-1))</f>
        <v/>
      </c>
      <c r="AD1397">
        <f>TRIM(MID(SUBSTITUTE($CA$1390,"~",REPT(" ",600)),3601,600))</f>
        <v/>
      </c>
    </row>
    <row r="1398">
      <c r="B1398" s="180">
        <f>IF($AD1398="","",VALUE(LEFT($AD1398,FIND("|",$AD1398)-1)))</f>
        <v/>
      </c>
      <c r="C1398" s="180">
        <f>IF($AD1398="","","    "&amp;MID($AD1398,FIND("|",$AD1398)+1,FIND("|",$AD1398,FIND("|",$AD1398)+1)-FIND("|",$AD1398)-1))</f>
        <v/>
      </c>
      <c r="D1398" s="180">
        <f>IF($AD1398="","",MID($AD1398,FIND("|",$AD1398,FIND("|",$AD1398)+1)+1,FIND("|",$AD1398&amp;"|",FIND("|",$AD1398,FIND("|",$AD1398)+1)+1)-FIND("|",$AD1398,FIND("|",$AD1398)+1)-1))</f>
        <v/>
      </c>
      <c r="AD1398">
        <f>TRIM(MID(SUBSTITUTE($CA$1390,"~",REPT(" ",600)),4201,600))</f>
        <v/>
      </c>
    </row>
    <row r="1399">
      <c r="B1399" s="180">
        <f>IF($AD1399="","",VALUE(LEFT($AD1399,FIND("|",$AD1399)-1)))</f>
        <v/>
      </c>
      <c r="C1399" s="180">
        <f>IF($AD1399="","","    "&amp;MID($AD1399,FIND("|",$AD1399)+1,FIND("|",$AD1399,FIND("|",$AD1399)+1)-FIND("|",$AD1399)-1))</f>
        <v/>
      </c>
      <c r="D1399" s="180">
        <f>IF($AD1399="","",MID($AD1399,FIND("|",$AD1399,FIND("|",$AD1399)+1)+1,FIND("|",$AD1399&amp;"|",FIND("|",$AD1399,FIND("|",$AD1399)+1)+1)-FIND("|",$AD1399,FIND("|",$AD1399)+1)-1))</f>
        <v/>
      </c>
      <c r="AD1399">
        <f>TRIM(MID(SUBSTITUTE($CA$1390,"~",REPT(" ",600)),4801,600))</f>
        <v/>
      </c>
    </row>
    <row r="1400">
      <c r="B1400" s="180">
        <f>IF($AD1400="","",VALUE(LEFT($AD1400,FIND("|",$AD1400)-1)))</f>
        <v/>
      </c>
      <c r="C1400" s="180">
        <f>IF($AD1400="","","    "&amp;MID($AD1400,FIND("|",$AD1400)+1,FIND("|",$AD1400,FIND("|",$AD1400)+1)-FIND("|",$AD1400)-1))</f>
        <v/>
      </c>
      <c r="D1400" s="180">
        <f>IF($AD1400="","",MID($AD1400,FIND("|",$AD1400,FIND("|",$AD1400)+1)+1,FIND("|",$AD1400&amp;"|",FIND("|",$AD1400,FIND("|",$AD1400)+1)+1)-FIND("|",$AD1400,FIND("|",$AD1400)+1)-1))</f>
        <v/>
      </c>
      <c r="AD1400">
        <f>TRIM(MID(SUBSTITUTE($CA$1390,"~",REPT(" ",600)),5401,600))</f>
        <v/>
      </c>
    </row>
    <row r="1401">
      <c r="B1401" s="180">
        <f>IF($AD1401="","",VALUE(LEFT($AD1401,FIND("|",$AD1401)-1)))</f>
        <v/>
      </c>
      <c r="C1401" s="180">
        <f>IF($AD1401="","","    "&amp;MID($AD1401,FIND("|",$AD1401)+1,FIND("|",$AD1401,FIND("|",$AD1401)+1)-FIND("|",$AD1401)-1))</f>
        <v/>
      </c>
      <c r="D1401" s="180">
        <f>IF($AD1401="","",MID($AD1401,FIND("|",$AD1401,FIND("|",$AD1401)+1)+1,FIND("|",$AD1401&amp;"|",FIND("|",$AD1401,FIND("|",$AD1401)+1)+1)-FIND("|",$AD1401,FIND("|",$AD1401)+1)-1))</f>
        <v/>
      </c>
      <c r="AD1401">
        <f>TRIM(MID(SUBSTITUTE($CA$1390,"~",REPT(" ",600)),6001,600))</f>
        <v/>
      </c>
    </row>
    <row r="1402">
      <c r="A1402" s="178">
        <f>IF($AD$1402=0,"",$BK$1402)</f>
        <v/>
      </c>
      <c r="B1402" s="178">
        <f>IF($AD$1402=0,"",$AE$1402*N($BA$1402))</f>
        <v/>
      </c>
      <c r="C1402" s="178">
        <f>IF($AD$1402=0,"",$AE$1402*N($BA$1402)&amp;") "&amp;IF(COUNTIFS(tk_SODG,57,tk_HLEG,"&lt;&gt;"&amp;$BJ$1402)=0,INDEX(tk_DLINE,$AD$1402),INDEX(tk_DLINEN,$AD$1402)))</f>
        <v/>
      </c>
      <c r="D1402" s="178" t="n"/>
      <c r="E1402" s="179">
        <f t="array" ref="E1402">IF($AD$1402=0,"",_xlfn.TEXTJOIN(", ",TRUE,IF(tk_SODG=57,"#"&amp;tk_MARK&amp;IF(tk_HLEG="","","("&amp;tk_HLEG&amp;")")&amp;IF(tk_QTY&gt;1," ×"&amp;tk_QTY,""),"")))</f>
        <v/>
      </c>
      <c r="AD1402">
        <f>IFERROR(MATCH(57,tk_SODG,0),0)</f>
        <v/>
      </c>
      <c r="AE1402">
        <f>IF($AD$1402=0,0,SUMIF(tk_SODG,57,tk_QTY))</f>
        <v/>
      </c>
      <c r="AF1402">
        <f>IF($AD$1402=0,"",INDEX(tk_JAMB,$AD$1402))</f>
        <v/>
      </c>
      <c r="AG1402">
        <f>IF($AD$1402=0,"",INDEX(tk_ANCHOR,$AD$1402))</f>
        <v/>
      </c>
      <c r="AH1402">
        <f>IF($AD$1402=0,"",INDEX(tk_ANCH,$AD$1402))</f>
        <v/>
      </c>
      <c r="AI1402">
        <f>IF($AD$1402=0,"",INDEX(tk_BASEA,$AD$1402))</f>
        <v/>
      </c>
      <c r="AJ1402">
        <f>IF($AD$1402=0,"",INDEX(tk_CONSTR,$AD$1402))</f>
        <v/>
      </c>
      <c r="AK1402">
        <f>IF($AD$1402=0,"",INDEX(tk_CLOSER,$AD$1402))</f>
        <v/>
      </c>
      <c r="AL1402">
        <f>IF($AD$1402=0,"",INDEX(tk_STRIKE,$AD$1402))</f>
        <v/>
      </c>
      <c r="AM1402">
        <f>IF($AD$1402=0,"",INDEX(tk_HDRPREP,$AD$1402))</f>
        <v/>
      </c>
      <c r="AN1402">
        <f>IF($AD$1402=0,"",INDEX(tk_DMIN,$AD$1402))</f>
        <v/>
      </c>
      <c r="AO1402">
        <f>IF($AD$1402=0,"",INDEX(tk_PAIR,$AD$1402))</f>
        <v/>
      </c>
      <c r="AP1402">
        <f>IF($AD$1402=0,"",INDEX(tk_FGA,$AD$1402))</f>
        <v/>
      </c>
      <c r="AQ1402">
        <f>IF($AD$1402=0,"",INDEX(tk_WI,$AD$1402))</f>
        <v/>
      </c>
      <c r="AR1402">
        <f>IF($AD$1402=0,"",INDEX(tk_HI,$AD$1402))</f>
        <v/>
      </c>
      <c r="AS1402">
        <f>IF($AD$1402=0,"",INDEX(tk_FHINGE,$AD$1402))</f>
        <v/>
      </c>
      <c r="AT1402">
        <f>IF($AD$1402=0,"",INDEX(tk_DHINGE,$AD$1402))</f>
        <v/>
      </c>
      <c r="AU1402">
        <f>IF($AD$1402=0,"",INDEX(tk_HWLOC,$AD$1402))</f>
        <v/>
      </c>
      <c r="AV1402">
        <f>IF($AD$1402=0,"",INDEX(tk_MANUF,$AD$1402))</f>
        <v/>
      </c>
      <c r="AW1402">
        <f>IF($AD$1402=0,"",INDEX(tk_JH,$AD$1402))</f>
        <v/>
      </c>
      <c r="AX1402">
        <f>IF($AD$1402=0,"",INDEX(tk_FDESC,$AD$1402))</f>
        <v/>
      </c>
      <c r="AY1402">
        <f>IF($AD$1402=0,"",INDEX(tk_TRANS,$AD$1402))</f>
        <v/>
      </c>
      <c r="AZ1402">
        <f>IF($AD$1402=0,"",INDEX(tk_SLW,$AD$1402))</f>
        <v/>
      </c>
      <c r="BA1402">
        <f>IF($AD$1402=0,"",INDEX(tk_LEAVES,$AD$1402))</f>
        <v/>
      </c>
      <c r="BB1402">
        <f>IF($AD$1402=0,"",INDEX(tk_LEAFW,$AD$1402))</f>
        <v/>
      </c>
      <c r="BC1402">
        <f>IF($AD$1402=0,"",INDEX(tk_LEAFH,$AD$1402))</f>
        <v/>
      </c>
      <c r="BD1402">
        <f>IF($AD$1402=0,"",INDEX(tk_DMAT,$AD$1402))</f>
        <v/>
      </c>
      <c r="BE1402">
        <f>IF($AD$1402=0,"",INDEX(tk_DGA,$AD$1402))</f>
        <v/>
      </c>
      <c r="BF1402">
        <f>IF($AD$1402=0,"",INDEX(tk_SERIES,$AD$1402))</f>
        <v/>
      </c>
      <c r="BG1402">
        <f>IF($AD$1402=0,"",INDEX(tk_LOCK,$AD$1402))</f>
        <v/>
      </c>
      <c r="BH1402">
        <f>IF($AD$1402=0,"",INDEX(tk_LITEKIT,$AD$1402))</f>
        <v/>
      </c>
      <c r="BI1402">
        <f>IF($AD$1402=0,"",INDEX(tk_FACE,$AD$1402))</f>
        <v/>
      </c>
      <c r="BJ1402">
        <f>IF($AD$1402=0,"",INDEX(tk_HLEG,$AD$1402))</f>
        <v/>
      </c>
      <c r="BK1402">
        <f>IF($AD$1402=0,"",INDEX(tk_SOITEM,$AD$1402))</f>
        <v/>
      </c>
      <c r="BL1402">
        <f>IFERROR(VLOOKUP($AF$1402,CODES,2,FALSE),"")</f>
        <v/>
      </c>
      <c r="BM1402">
        <f>IF($AJ$1402="KD","C","M")</f>
        <v/>
      </c>
      <c r="BN1402">
        <f>IF(N($AR$1402)&lt;=80,80,IF(N($AR$1402)&lt;=84,84,IF(N($AR$1402)&lt;=96,96,N($AR$1402))))</f>
        <v/>
      </c>
      <c r="BO1402">
        <f>INT($BN$1402/12)&amp;MOD($BN$1402,12)</f>
        <v/>
      </c>
      <c r="BP1402">
        <f>INT(N($AQ$1402)/12)&amp;MOD(N($AQ$1402),12)</f>
        <v/>
      </c>
      <c r="BQ1402">
        <f>IF(OR($AU$1402="",$AU$1402="ANSI/SDI",$AU$1402="CUSTOM LOC"),IF($AV$1402="CU","CURRIES","STEELCRAFT"),$AU$1402)</f>
        <v/>
      </c>
      <c r="BR1402">
        <f>$AO$1402="Y"</f>
        <v/>
      </c>
      <c r="BS1402">
        <f>"~"</f>
        <v/>
      </c>
      <c r="BT1402">
        <f>$AE$1402*N($BA$1402)</f>
        <v/>
      </c>
      <c r="BU1402">
        <f>OR(LEFT($BD$1402,3)="OAK",LEFT($BD$1402,3)="BIR",LEFT($BD$1402,3)="MAP",$BD$1402="PC",$BD$1402="MC",$BD$1402="SCLC",$BD$1402="P-LAM")</f>
        <v/>
      </c>
      <c r="BV1402">
        <f>INT(N($AQ$1402)/MAX(1,N($BA$1402))/12)&amp;MOD(N($AQ$1402)/MAX(1,N($BA$1402)),12)</f>
        <v/>
      </c>
      <c r="BW1402">
        <f>IF(OR($BG$1402="G11",$BG$1402="G11A",$BG$1402="G12A"),"G2",IF(OR(LEFT($BG$1402,2)="G3",$BG$1402="G12"),"G3AEO",$BG$1402))</f>
        <v/>
      </c>
      <c r="BX1402">
        <f>"(Net size: "&amp;TRIM(TEXT(N($BB$1402),"# ?/??"))&amp;CHAR(34)&amp;" x "&amp;TRIM(TEXT(N($BC$1402),"# ?/??"))&amp;CHAR(34)&amp;")"</f>
        <v/>
      </c>
      <c r="BY1402">
        <f>IF(LEFT($BD$1402,3)="OAK","RED OAK",IF(LEFT($BD$1402,3)="BIR","BIRCH",IF(LEFT($BD$1402,3)="MAP","MAPLE","WOOD")))</f>
        <v/>
      </c>
      <c r="BZ1402">
        <f>IF(OR($AT$1402="U454",AND($AT$1402="",$AS$1402="U454")),"454","453")</f>
        <v/>
      </c>
      <c r="CA1402">
        <f>IF($AD$1402=0,"",IF($BU$1402,$BT$1402&amp;"|"&amp;$BV$1402&amp;$BO$1402&amp;" "&amp;$BY$1402&amp;" SLAB "&amp;IF(N($AN$1402)&gt;0,$AN$1402&amp;" MINUTE",IF(RIGHT($BD$1402,2)="MC","MC","SC")&amp;" WOOD DOOR")&amp;"|"&amp;$BX$1402&amp;"|"&amp;$BS$1402,$BT$1402&amp;"|"&amp;$BV$1402&amp;$BO$1402&amp;$BW$1402&amp;" BSC "&amp;$BQ$1402&amp;" DOOR "&amp;$BE$1402&amp;"Ga. Non-Handed "&amp;IF($BF$1402="","707",$BF$1402)&amp;"S Flush HM|"&amp;$BX$1402&amp;"|"&amp;$BS$1402)&amp;IF(N($AN$1402)&gt;0,$BT$1402&amp;"|"&amp;$AN$1402&amp;IF($BU$1402," MINUTE WARNOCK HERSHEY FIRE RATED WOOD LABEL"," MINUTE FOAM CORE STEEL DOOR LABEL (MODELS 607 &amp; 707)")&amp;"||"&amp;$BS$1402,"")&amp;IF(AND(NOT($BU$1402),OR($BG$1402="G11",$BG$1402="G11A",$BG$1402="G12",$BG$1402="G12A")),$AE$1402&amp;"|EXIT DEVICE PREP FOR HM DOOR||"&amp;$BS$1402,"")&amp;IF(AND(NOT($BU$1402),$BG$1402="G12"),$AE$1402&amp;"|DR 350 MORTISE LOCK FILLER PLATE||"&amp;$BS$1402,"")&amp;IF(AND(NOT($BU$1402),LEFT($BG$1402,2)="G3"),$AE$1402&amp;"|MORTISE LOCK PREP||"&amp;$BS$1402,"")&amp;IF($BU$1402,$BT$1402&amp;"|"&amp;IF($BG$1402="G18",$BZ$1402&amp;"-4 1/2"&amp;CHAR(34)&amp;"X4 1/2"&amp;CHAR(34)&amp;" HINGES ONLY PREP","HINGE PREP "&amp;$BZ$1402&amp;" WITH LOCK PREP")&amp;"|"&amp;$BQ$1402&amp;" LOC|"&amp;$BS$1402,"")&amp;IF(OR($BG$1402="G2G2",$BG$1402="G17",$BG$1402="E1E4"),$AE$1402&amp;"|"&amp;IF($BU$1402,"DDLP CYLINDRICAL DEADLOCK PREP","DOOR DEADLOCK PREP")&amp;"||"&amp;$BS$1402,"")&amp;IF(OR($BH$1402="FG",$BH$1402="HG",$BH$1402="FNV",$BH$1402="FV"),$BT$1402&amp;"|"&amp;$BI$1402&amp;" LITE KIT||"&amp;$BS$1402,IF($BH$1402="FL",$BT$1402&amp;"|"&amp;$BI$1402&amp;" LOUVER||"&amp;$BS$1402,IF($BH$1402="FP",$BT$1402&amp;"|DVP DOOR VIEWER PREP||"&amp;$BS$1402,"")))&amp;IF($BN$1402&gt;N($AR$1402),$BT$1402&amp;"|DCO DOOR CUT DOWN ONLY (HEIGHT)|Cut "&amp;TRIM(TEXT($BN$1402-N($AR$1402),"# ?/??"))&amp;CHAR(34)&amp;" OFF THE BOTTOM|"&amp;$BS$1402,""))</f>
        <v/>
      </c>
    </row>
    <row r="1403">
      <c r="B1403" s="180">
        <f>IF($AD1403="","",VALUE(LEFT($AD1403,FIND("|",$AD1403)-1)))</f>
        <v/>
      </c>
      <c r="C1403" s="180">
        <f>IF($AD1403="","","    "&amp;MID($AD1403,FIND("|",$AD1403)+1,FIND("|",$AD1403,FIND("|",$AD1403)+1)-FIND("|",$AD1403)-1))</f>
        <v/>
      </c>
      <c r="D1403" s="180">
        <f>IF($AD1403="","",MID($AD1403,FIND("|",$AD1403,FIND("|",$AD1403)+1)+1,FIND("|",$AD1403&amp;"|",FIND("|",$AD1403,FIND("|",$AD1403)+1)+1)-FIND("|",$AD1403,FIND("|",$AD1403)+1)-1))</f>
        <v/>
      </c>
      <c r="AD1403">
        <f>TRIM(MID(SUBSTITUTE($CA$1402,"~",REPT(" ",600)),1,600))</f>
        <v/>
      </c>
    </row>
    <row r="1404">
      <c r="B1404" s="180">
        <f>IF($AD1404="","",VALUE(LEFT($AD1404,FIND("|",$AD1404)-1)))</f>
        <v/>
      </c>
      <c r="C1404" s="180">
        <f>IF($AD1404="","","    "&amp;MID($AD1404,FIND("|",$AD1404)+1,FIND("|",$AD1404,FIND("|",$AD1404)+1)-FIND("|",$AD1404)-1))</f>
        <v/>
      </c>
      <c r="D1404" s="180">
        <f>IF($AD1404="","",MID($AD1404,FIND("|",$AD1404,FIND("|",$AD1404)+1)+1,FIND("|",$AD1404&amp;"|",FIND("|",$AD1404,FIND("|",$AD1404)+1)+1)-FIND("|",$AD1404,FIND("|",$AD1404)+1)-1))</f>
        <v/>
      </c>
      <c r="AD1404">
        <f>TRIM(MID(SUBSTITUTE($CA$1402,"~",REPT(" ",600)),601,600))</f>
        <v/>
      </c>
    </row>
    <row r="1405">
      <c r="B1405" s="180">
        <f>IF($AD1405="","",VALUE(LEFT($AD1405,FIND("|",$AD1405)-1)))</f>
        <v/>
      </c>
      <c r="C1405" s="180">
        <f>IF($AD1405="","","    "&amp;MID($AD1405,FIND("|",$AD1405)+1,FIND("|",$AD1405,FIND("|",$AD1405)+1)-FIND("|",$AD1405)-1))</f>
        <v/>
      </c>
      <c r="D1405" s="180">
        <f>IF($AD1405="","",MID($AD1405,FIND("|",$AD1405,FIND("|",$AD1405)+1)+1,FIND("|",$AD1405&amp;"|",FIND("|",$AD1405,FIND("|",$AD1405)+1)+1)-FIND("|",$AD1405,FIND("|",$AD1405)+1)-1))</f>
        <v/>
      </c>
      <c r="AD1405">
        <f>TRIM(MID(SUBSTITUTE($CA$1402,"~",REPT(" ",600)),1201,600))</f>
        <v/>
      </c>
    </row>
    <row r="1406">
      <c r="B1406" s="180">
        <f>IF($AD1406="","",VALUE(LEFT($AD1406,FIND("|",$AD1406)-1)))</f>
        <v/>
      </c>
      <c r="C1406" s="180">
        <f>IF($AD1406="","","    "&amp;MID($AD1406,FIND("|",$AD1406)+1,FIND("|",$AD1406,FIND("|",$AD1406)+1)-FIND("|",$AD1406)-1))</f>
        <v/>
      </c>
      <c r="D1406" s="180">
        <f>IF($AD1406="","",MID($AD1406,FIND("|",$AD1406,FIND("|",$AD1406)+1)+1,FIND("|",$AD1406&amp;"|",FIND("|",$AD1406,FIND("|",$AD1406)+1)+1)-FIND("|",$AD1406,FIND("|",$AD1406)+1)-1))</f>
        <v/>
      </c>
      <c r="AD1406">
        <f>TRIM(MID(SUBSTITUTE($CA$1402,"~",REPT(" ",600)),1801,600))</f>
        <v/>
      </c>
    </row>
    <row r="1407">
      <c r="B1407" s="180">
        <f>IF($AD1407="","",VALUE(LEFT($AD1407,FIND("|",$AD1407)-1)))</f>
        <v/>
      </c>
      <c r="C1407" s="180">
        <f>IF($AD1407="","","    "&amp;MID($AD1407,FIND("|",$AD1407)+1,FIND("|",$AD1407,FIND("|",$AD1407)+1)-FIND("|",$AD1407)-1))</f>
        <v/>
      </c>
      <c r="D1407" s="180">
        <f>IF($AD1407="","",MID($AD1407,FIND("|",$AD1407,FIND("|",$AD1407)+1)+1,FIND("|",$AD1407&amp;"|",FIND("|",$AD1407,FIND("|",$AD1407)+1)+1)-FIND("|",$AD1407,FIND("|",$AD1407)+1)-1))</f>
        <v/>
      </c>
      <c r="AD1407">
        <f>TRIM(MID(SUBSTITUTE($CA$1402,"~",REPT(" ",600)),2401,600))</f>
        <v/>
      </c>
    </row>
    <row r="1408">
      <c r="B1408" s="180">
        <f>IF($AD1408="","",VALUE(LEFT($AD1408,FIND("|",$AD1408)-1)))</f>
        <v/>
      </c>
      <c r="C1408" s="180">
        <f>IF($AD1408="","","    "&amp;MID($AD1408,FIND("|",$AD1408)+1,FIND("|",$AD1408,FIND("|",$AD1408)+1)-FIND("|",$AD1408)-1))</f>
        <v/>
      </c>
      <c r="D1408" s="180">
        <f>IF($AD1408="","",MID($AD1408,FIND("|",$AD1408,FIND("|",$AD1408)+1)+1,FIND("|",$AD1408&amp;"|",FIND("|",$AD1408,FIND("|",$AD1408)+1)+1)-FIND("|",$AD1408,FIND("|",$AD1408)+1)-1))</f>
        <v/>
      </c>
      <c r="AD1408">
        <f>TRIM(MID(SUBSTITUTE($CA$1402,"~",REPT(" ",600)),3001,600))</f>
        <v/>
      </c>
    </row>
    <row r="1409">
      <c r="B1409" s="180">
        <f>IF($AD1409="","",VALUE(LEFT($AD1409,FIND("|",$AD1409)-1)))</f>
        <v/>
      </c>
      <c r="C1409" s="180">
        <f>IF($AD1409="","","    "&amp;MID($AD1409,FIND("|",$AD1409)+1,FIND("|",$AD1409,FIND("|",$AD1409)+1)-FIND("|",$AD1409)-1))</f>
        <v/>
      </c>
      <c r="D1409" s="180">
        <f>IF($AD1409="","",MID($AD1409,FIND("|",$AD1409,FIND("|",$AD1409)+1)+1,FIND("|",$AD1409&amp;"|",FIND("|",$AD1409,FIND("|",$AD1409)+1)+1)-FIND("|",$AD1409,FIND("|",$AD1409)+1)-1))</f>
        <v/>
      </c>
      <c r="AD1409">
        <f>TRIM(MID(SUBSTITUTE($CA$1402,"~",REPT(" ",600)),3601,600))</f>
        <v/>
      </c>
    </row>
    <row r="1410">
      <c r="B1410" s="180">
        <f>IF($AD1410="","",VALUE(LEFT($AD1410,FIND("|",$AD1410)-1)))</f>
        <v/>
      </c>
      <c r="C1410" s="180">
        <f>IF($AD1410="","","    "&amp;MID($AD1410,FIND("|",$AD1410)+1,FIND("|",$AD1410,FIND("|",$AD1410)+1)-FIND("|",$AD1410)-1))</f>
        <v/>
      </c>
      <c r="D1410" s="180">
        <f>IF($AD1410="","",MID($AD1410,FIND("|",$AD1410,FIND("|",$AD1410)+1)+1,FIND("|",$AD1410&amp;"|",FIND("|",$AD1410,FIND("|",$AD1410)+1)+1)-FIND("|",$AD1410,FIND("|",$AD1410)+1)-1))</f>
        <v/>
      </c>
      <c r="AD1410">
        <f>TRIM(MID(SUBSTITUTE($CA$1402,"~",REPT(" ",600)),4201,600))</f>
        <v/>
      </c>
    </row>
    <row r="1411">
      <c r="B1411" s="180">
        <f>IF($AD1411="","",VALUE(LEFT($AD1411,FIND("|",$AD1411)-1)))</f>
        <v/>
      </c>
      <c r="C1411" s="180">
        <f>IF($AD1411="","","    "&amp;MID($AD1411,FIND("|",$AD1411)+1,FIND("|",$AD1411,FIND("|",$AD1411)+1)-FIND("|",$AD1411)-1))</f>
        <v/>
      </c>
      <c r="D1411" s="180">
        <f>IF($AD1411="","",MID($AD1411,FIND("|",$AD1411,FIND("|",$AD1411)+1)+1,FIND("|",$AD1411&amp;"|",FIND("|",$AD1411,FIND("|",$AD1411)+1)+1)-FIND("|",$AD1411,FIND("|",$AD1411)+1)-1))</f>
        <v/>
      </c>
      <c r="AD1411">
        <f>TRIM(MID(SUBSTITUTE($CA$1402,"~",REPT(" ",600)),4801,600))</f>
        <v/>
      </c>
    </row>
    <row r="1412">
      <c r="B1412" s="180">
        <f>IF($AD1412="","",VALUE(LEFT($AD1412,FIND("|",$AD1412)-1)))</f>
        <v/>
      </c>
      <c r="C1412" s="180">
        <f>IF($AD1412="","","    "&amp;MID($AD1412,FIND("|",$AD1412)+1,FIND("|",$AD1412,FIND("|",$AD1412)+1)-FIND("|",$AD1412)-1))</f>
        <v/>
      </c>
      <c r="D1412" s="180">
        <f>IF($AD1412="","",MID($AD1412,FIND("|",$AD1412,FIND("|",$AD1412)+1)+1,FIND("|",$AD1412&amp;"|",FIND("|",$AD1412,FIND("|",$AD1412)+1)+1)-FIND("|",$AD1412,FIND("|",$AD1412)+1)-1))</f>
        <v/>
      </c>
      <c r="AD1412">
        <f>TRIM(MID(SUBSTITUTE($CA$1402,"~",REPT(" ",600)),5401,600))</f>
        <v/>
      </c>
    </row>
    <row r="1413">
      <c r="B1413" s="180">
        <f>IF($AD1413="","",VALUE(LEFT($AD1413,FIND("|",$AD1413)-1)))</f>
        <v/>
      </c>
      <c r="C1413" s="180">
        <f>IF($AD1413="","","    "&amp;MID($AD1413,FIND("|",$AD1413)+1,FIND("|",$AD1413,FIND("|",$AD1413)+1)-FIND("|",$AD1413)-1))</f>
        <v/>
      </c>
      <c r="D1413" s="180">
        <f>IF($AD1413="","",MID($AD1413,FIND("|",$AD1413,FIND("|",$AD1413)+1)+1,FIND("|",$AD1413&amp;"|",FIND("|",$AD1413,FIND("|",$AD1413)+1)+1)-FIND("|",$AD1413,FIND("|",$AD1413)+1)-1))</f>
        <v/>
      </c>
      <c r="AD1413">
        <f>TRIM(MID(SUBSTITUTE($CA$1402,"~",REPT(" ",600)),6001,600))</f>
        <v/>
      </c>
    </row>
    <row r="1414">
      <c r="A1414" s="178">
        <f>IF($AD$1414=0,"",$BK$1414)</f>
        <v/>
      </c>
      <c r="B1414" s="178">
        <f>IF($AD$1414=0,"",$AE$1414*N($BA$1414))</f>
        <v/>
      </c>
      <c r="C1414" s="178">
        <f>IF($AD$1414=0,"",$AE$1414*N($BA$1414)&amp;") "&amp;IF(COUNTIFS(tk_SODG,58,tk_HLEG,"&lt;&gt;"&amp;$BJ$1414)=0,INDEX(tk_DLINE,$AD$1414),INDEX(tk_DLINEN,$AD$1414)))</f>
        <v/>
      </c>
      <c r="D1414" s="178" t="n"/>
      <c r="E1414" s="179">
        <f t="array" ref="E1414">IF($AD$1414=0,"",_xlfn.TEXTJOIN(", ",TRUE,IF(tk_SODG=58,"#"&amp;tk_MARK&amp;IF(tk_HLEG="","","("&amp;tk_HLEG&amp;")")&amp;IF(tk_QTY&gt;1," ×"&amp;tk_QTY,""),"")))</f>
        <v/>
      </c>
      <c r="AD1414">
        <f>IFERROR(MATCH(58,tk_SODG,0),0)</f>
        <v/>
      </c>
      <c r="AE1414">
        <f>IF($AD$1414=0,0,SUMIF(tk_SODG,58,tk_QTY))</f>
        <v/>
      </c>
      <c r="AF1414">
        <f>IF($AD$1414=0,"",INDEX(tk_JAMB,$AD$1414))</f>
        <v/>
      </c>
      <c r="AG1414">
        <f>IF($AD$1414=0,"",INDEX(tk_ANCHOR,$AD$1414))</f>
        <v/>
      </c>
      <c r="AH1414">
        <f>IF($AD$1414=0,"",INDEX(tk_ANCH,$AD$1414))</f>
        <v/>
      </c>
      <c r="AI1414">
        <f>IF($AD$1414=0,"",INDEX(tk_BASEA,$AD$1414))</f>
        <v/>
      </c>
      <c r="AJ1414">
        <f>IF($AD$1414=0,"",INDEX(tk_CONSTR,$AD$1414))</f>
        <v/>
      </c>
      <c r="AK1414">
        <f>IF($AD$1414=0,"",INDEX(tk_CLOSER,$AD$1414))</f>
        <v/>
      </c>
      <c r="AL1414">
        <f>IF($AD$1414=0,"",INDEX(tk_STRIKE,$AD$1414))</f>
        <v/>
      </c>
      <c r="AM1414">
        <f>IF($AD$1414=0,"",INDEX(tk_HDRPREP,$AD$1414))</f>
        <v/>
      </c>
      <c r="AN1414">
        <f>IF($AD$1414=0,"",INDEX(tk_DMIN,$AD$1414))</f>
        <v/>
      </c>
      <c r="AO1414">
        <f>IF($AD$1414=0,"",INDEX(tk_PAIR,$AD$1414))</f>
        <v/>
      </c>
      <c r="AP1414">
        <f>IF($AD$1414=0,"",INDEX(tk_FGA,$AD$1414))</f>
        <v/>
      </c>
      <c r="AQ1414">
        <f>IF($AD$1414=0,"",INDEX(tk_WI,$AD$1414))</f>
        <v/>
      </c>
      <c r="AR1414">
        <f>IF($AD$1414=0,"",INDEX(tk_HI,$AD$1414))</f>
        <v/>
      </c>
      <c r="AS1414">
        <f>IF($AD$1414=0,"",INDEX(tk_FHINGE,$AD$1414))</f>
        <v/>
      </c>
      <c r="AT1414">
        <f>IF($AD$1414=0,"",INDEX(tk_DHINGE,$AD$1414))</f>
        <v/>
      </c>
      <c r="AU1414">
        <f>IF($AD$1414=0,"",INDEX(tk_HWLOC,$AD$1414))</f>
        <v/>
      </c>
      <c r="AV1414">
        <f>IF($AD$1414=0,"",INDEX(tk_MANUF,$AD$1414))</f>
        <v/>
      </c>
      <c r="AW1414">
        <f>IF($AD$1414=0,"",INDEX(tk_JH,$AD$1414))</f>
        <v/>
      </c>
      <c r="AX1414">
        <f>IF($AD$1414=0,"",INDEX(tk_FDESC,$AD$1414))</f>
        <v/>
      </c>
      <c r="AY1414">
        <f>IF($AD$1414=0,"",INDEX(tk_TRANS,$AD$1414))</f>
        <v/>
      </c>
      <c r="AZ1414">
        <f>IF($AD$1414=0,"",INDEX(tk_SLW,$AD$1414))</f>
        <v/>
      </c>
      <c r="BA1414">
        <f>IF($AD$1414=0,"",INDEX(tk_LEAVES,$AD$1414))</f>
        <v/>
      </c>
      <c r="BB1414">
        <f>IF($AD$1414=0,"",INDEX(tk_LEAFW,$AD$1414))</f>
        <v/>
      </c>
      <c r="BC1414">
        <f>IF($AD$1414=0,"",INDEX(tk_LEAFH,$AD$1414))</f>
        <v/>
      </c>
      <c r="BD1414">
        <f>IF($AD$1414=0,"",INDEX(tk_DMAT,$AD$1414))</f>
        <v/>
      </c>
      <c r="BE1414">
        <f>IF($AD$1414=0,"",INDEX(tk_DGA,$AD$1414))</f>
        <v/>
      </c>
      <c r="BF1414">
        <f>IF($AD$1414=0,"",INDEX(tk_SERIES,$AD$1414))</f>
        <v/>
      </c>
      <c r="BG1414">
        <f>IF($AD$1414=0,"",INDEX(tk_LOCK,$AD$1414))</f>
        <v/>
      </c>
      <c r="BH1414">
        <f>IF($AD$1414=0,"",INDEX(tk_LITEKIT,$AD$1414))</f>
        <v/>
      </c>
      <c r="BI1414">
        <f>IF($AD$1414=0,"",INDEX(tk_FACE,$AD$1414))</f>
        <v/>
      </c>
      <c r="BJ1414">
        <f>IF($AD$1414=0,"",INDEX(tk_HLEG,$AD$1414))</f>
        <v/>
      </c>
      <c r="BK1414">
        <f>IF($AD$1414=0,"",INDEX(tk_SOITEM,$AD$1414))</f>
        <v/>
      </c>
      <c r="BL1414">
        <f>IFERROR(VLOOKUP($AF$1414,CODES,2,FALSE),"")</f>
        <v/>
      </c>
      <c r="BM1414">
        <f>IF($AJ$1414="KD","C","M")</f>
        <v/>
      </c>
      <c r="BN1414">
        <f>IF(N($AR$1414)&lt;=80,80,IF(N($AR$1414)&lt;=84,84,IF(N($AR$1414)&lt;=96,96,N($AR$1414))))</f>
        <v/>
      </c>
      <c r="BO1414">
        <f>INT($BN$1414/12)&amp;MOD($BN$1414,12)</f>
        <v/>
      </c>
      <c r="BP1414">
        <f>INT(N($AQ$1414)/12)&amp;MOD(N($AQ$1414),12)</f>
        <v/>
      </c>
      <c r="BQ1414">
        <f>IF(OR($AU$1414="",$AU$1414="ANSI/SDI",$AU$1414="CUSTOM LOC"),IF($AV$1414="CU","CURRIES","STEELCRAFT"),$AU$1414)</f>
        <v/>
      </c>
      <c r="BR1414">
        <f>$AO$1414="Y"</f>
        <v/>
      </c>
      <c r="BS1414">
        <f>"~"</f>
        <v/>
      </c>
      <c r="BT1414">
        <f>$AE$1414*N($BA$1414)</f>
        <v/>
      </c>
      <c r="BU1414">
        <f>OR(LEFT($BD$1414,3)="OAK",LEFT($BD$1414,3)="BIR",LEFT($BD$1414,3)="MAP",$BD$1414="PC",$BD$1414="MC",$BD$1414="SCLC",$BD$1414="P-LAM")</f>
        <v/>
      </c>
      <c r="BV1414">
        <f>INT(N($AQ$1414)/MAX(1,N($BA$1414))/12)&amp;MOD(N($AQ$1414)/MAX(1,N($BA$1414)),12)</f>
        <v/>
      </c>
      <c r="BW1414">
        <f>IF(OR($BG$1414="G11",$BG$1414="G11A",$BG$1414="G12A"),"G2",IF(OR(LEFT($BG$1414,2)="G3",$BG$1414="G12"),"G3AEO",$BG$1414))</f>
        <v/>
      </c>
      <c r="BX1414">
        <f>"(Net size: "&amp;TRIM(TEXT(N($BB$1414),"# ?/??"))&amp;CHAR(34)&amp;" x "&amp;TRIM(TEXT(N($BC$1414),"# ?/??"))&amp;CHAR(34)&amp;")"</f>
        <v/>
      </c>
      <c r="BY1414">
        <f>IF(LEFT($BD$1414,3)="OAK","RED OAK",IF(LEFT($BD$1414,3)="BIR","BIRCH",IF(LEFT($BD$1414,3)="MAP","MAPLE","WOOD")))</f>
        <v/>
      </c>
      <c r="BZ1414">
        <f>IF(OR($AT$1414="U454",AND($AT$1414="",$AS$1414="U454")),"454","453")</f>
        <v/>
      </c>
      <c r="CA1414">
        <f>IF($AD$1414=0,"",IF($BU$1414,$BT$1414&amp;"|"&amp;$BV$1414&amp;$BO$1414&amp;" "&amp;$BY$1414&amp;" SLAB "&amp;IF(N($AN$1414)&gt;0,$AN$1414&amp;" MINUTE",IF(RIGHT($BD$1414,2)="MC","MC","SC")&amp;" WOOD DOOR")&amp;"|"&amp;$BX$1414&amp;"|"&amp;$BS$1414,$BT$1414&amp;"|"&amp;$BV$1414&amp;$BO$1414&amp;$BW$1414&amp;" BSC "&amp;$BQ$1414&amp;" DOOR "&amp;$BE$1414&amp;"Ga. Non-Handed "&amp;IF($BF$1414="","707",$BF$1414)&amp;"S Flush HM|"&amp;$BX$1414&amp;"|"&amp;$BS$1414)&amp;IF(N($AN$1414)&gt;0,$BT$1414&amp;"|"&amp;$AN$1414&amp;IF($BU$1414," MINUTE WARNOCK HERSHEY FIRE RATED WOOD LABEL"," MINUTE FOAM CORE STEEL DOOR LABEL (MODELS 607 &amp; 707)")&amp;"||"&amp;$BS$1414,"")&amp;IF(AND(NOT($BU$1414),OR($BG$1414="G11",$BG$1414="G11A",$BG$1414="G12",$BG$1414="G12A")),$AE$1414&amp;"|EXIT DEVICE PREP FOR HM DOOR||"&amp;$BS$1414,"")&amp;IF(AND(NOT($BU$1414),$BG$1414="G12"),$AE$1414&amp;"|DR 350 MORTISE LOCK FILLER PLATE||"&amp;$BS$1414,"")&amp;IF(AND(NOT($BU$1414),LEFT($BG$1414,2)="G3"),$AE$1414&amp;"|MORTISE LOCK PREP||"&amp;$BS$1414,"")&amp;IF($BU$1414,$BT$1414&amp;"|"&amp;IF($BG$1414="G18",$BZ$1414&amp;"-4 1/2"&amp;CHAR(34)&amp;"X4 1/2"&amp;CHAR(34)&amp;" HINGES ONLY PREP","HINGE PREP "&amp;$BZ$1414&amp;" WITH LOCK PREP")&amp;"|"&amp;$BQ$1414&amp;" LOC|"&amp;$BS$1414,"")&amp;IF(OR($BG$1414="G2G2",$BG$1414="G17",$BG$1414="E1E4"),$AE$1414&amp;"|"&amp;IF($BU$1414,"DDLP CYLINDRICAL DEADLOCK PREP","DOOR DEADLOCK PREP")&amp;"||"&amp;$BS$1414,"")&amp;IF(OR($BH$1414="FG",$BH$1414="HG",$BH$1414="FNV",$BH$1414="FV"),$BT$1414&amp;"|"&amp;$BI$1414&amp;" LITE KIT||"&amp;$BS$1414,IF($BH$1414="FL",$BT$1414&amp;"|"&amp;$BI$1414&amp;" LOUVER||"&amp;$BS$1414,IF($BH$1414="FP",$BT$1414&amp;"|DVP DOOR VIEWER PREP||"&amp;$BS$1414,"")))&amp;IF($BN$1414&gt;N($AR$1414),$BT$1414&amp;"|DCO DOOR CUT DOWN ONLY (HEIGHT)|Cut "&amp;TRIM(TEXT($BN$1414-N($AR$1414),"# ?/??"))&amp;CHAR(34)&amp;" OFF THE BOTTOM|"&amp;$BS$1414,""))</f>
        <v/>
      </c>
    </row>
    <row r="1415">
      <c r="B1415" s="180">
        <f>IF($AD1415="","",VALUE(LEFT($AD1415,FIND("|",$AD1415)-1)))</f>
        <v/>
      </c>
      <c r="C1415" s="180">
        <f>IF($AD1415="","","    "&amp;MID($AD1415,FIND("|",$AD1415)+1,FIND("|",$AD1415,FIND("|",$AD1415)+1)-FIND("|",$AD1415)-1))</f>
        <v/>
      </c>
      <c r="D1415" s="180">
        <f>IF($AD1415="","",MID($AD1415,FIND("|",$AD1415,FIND("|",$AD1415)+1)+1,FIND("|",$AD1415&amp;"|",FIND("|",$AD1415,FIND("|",$AD1415)+1)+1)-FIND("|",$AD1415,FIND("|",$AD1415)+1)-1))</f>
        <v/>
      </c>
      <c r="AD1415">
        <f>TRIM(MID(SUBSTITUTE($CA$1414,"~",REPT(" ",600)),1,600))</f>
        <v/>
      </c>
    </row>
    <row r="1416">
      <c r="B1416" s="180">
        <f>IF($AD1416="","",VALUE(LEFT($AD1416,FIND("|",$AD1416)-1)))</f>
        <v/>
      </c>
      <c r="C1416" s="180">
        <f>IF($AD1416="","","    "&amp;MID($AD1416,FIND("|",$AD1416)+1,FIND("|",$AD1416,FIND("|",$AD1416)+1)-FIND("|",$AD1416)-1))</f>
        <v/>
      </c>
      <c r="D1416" s="180">
        <f>IF($AD1416="","",MID($AD1416,FIND("|",$AD1416,FIND("|",$AD1416)+1)+1,FIND("|",$AD1416&amp;"|",FIND("|",$AD1416,FIND("|",$AD1416)+1)+1)-FIND("|",$AD1416,FIND("|",$AD1416)+1)-1))</f>
        <v/>
      </c>
      <c r="AD1416">
        <f>TRIM(MID(SUBSTITUTE($CA$1414,"~",REPT(" ",600)),601,600))</f>
        <v/>
      </c>
    </row>
    <row r="1417">
      <c r="B1417" s="180">
        <f>IF($AD1417="","",VALUE(LEFT($AD1417,FIND("|",$AD1417)-1)))</f>
        <v/>
      </c>
      <c r="C1417" s="180">
        <f>IF($AD1417="","","    "&amp;MID($AD1417,FIND("|",$AD1417)+1,FIND("|",$AD1417,FIND("|",$AD1417)+1)-FIND("|",$AD1417)-1))</f>
        <v/>
      </c>
      <c r="D1417" s="180">
        <f>IF($AD1417="","",MID($AD1417,FIND("|",$AD1417,FIND("|",$AD1417)+1)+1,FIND("|",$AD1417&amp;"|",FIND("|",$AD1417,FIND("|",$AD1417)+1)+1)-FIND("|",$AD1417,FIND("|",$AD1417)+1)-1))</f>
        <v/>
      </c>
      <c r="AD1417">
        <f>TRIM(MID(SUBSTITUTE($CA$1414,"~",REPT(" ",600)),1201,600))</f>
        <v/>
      </c>
    </row>
    <row r="1418">
      <c r="B1418" s="180">
        <f>IF($AD1418="","",VALUE(LEFT($AD1418,FIND("|",$AD1418)-1)))</f>
        <v/>
      </c>
      <c r="C1418" s="180">
        <f>IF($AD1418="","","    "&amp;MID($AD1418,FIND("|",$AD1418)+1,FIND("|",$AD1418,FIND("|",$AD1418)+1)-FIND("|",$AD1418)-1))</f>
        <v/>
      </c>
      <c r="D1418" s="180">
        <f>IF($AD1418="","",MID($AD1418,FIND("|",$AD1418,FIND("|",$AD1418)+1)+1,FIND("|",$AD1418&amp;"|",FIND("|",$AD1418,FIND("|",$AD1418)+1)+1)-FIND("|",$AD1418,FIND("|",$AD1418)+1)-1))</f>
        <v/>
      </c>
      <c r="AD1418">
        <f>TRIM(MID(SUBSTITUTE($CA$1414,"~",REPT(" ",600)),1801,600))</f>
        <v/>
      </c>
    </row>
    <row r="1419">
      <c r="B1419" s="180">
        <f>IF($AD1419="","",VALUE(LEFT($AD1419,FIND("|",$AD1419)-1)))</f>
        <v/>
      </c>
      <c r="C1419" s="180">
        <f>IF($AD1419="","","    "&amp;MID($AD1419,FIND("|",$AD1419)+1,FIND("|",$AD1419,FIND("|",$AD1419)+1)-FIND("|",$AD1419)-1))</f>
        <v/>
      </c>
      <c r="D1419" s="180">
        <f>IF($AD1419="","",MID($AD1419,FIND("|",$AD1419,FIND("|",$AD1419)+1)+1,FIND("|",$AD1419&amp;"|",FIND("|",$AD1419,FIND("|",$AD1419)+1)+1)-FIND("|",$AD1419,FIND("|",$AD1419)+1)-1))</f>
        <v/>
      </c>
      <c r="AD1419">
        <f>TRIM(MID(SUBSTITUTE($CA$1414,"~",REPT(" ",600)),2401,600))</f>
        <v/>
      </c>
    </row>
    <row r="1420">
      <c r="B1420" s="180">
        <f>IF($AD1420="","",VALUE(LEFT($AD1420,FIND("|",$AD1420)-1)))</f>
        <v/>
      </c>
      <c r="C1420" s="180">
        <f>IF($AD1420="","","    "&amp;MID($AD1420,FIND("|",$AD1420)+1,FIND("|",$AD1420,FIND("|",$AD1420)+1)-FIND("|",$AD1420)-1))</f>
        <v/>
      </c>
      <c r="D1420" s="180">
        <f>IF($AD1420="","",MID($AD1420,FIND("|",$AD1420,FIND("|",$AD1420)+1)+1,FIND("|",$AD1420&amp;"|",FIND("|",$AD1420,FIND("|",$AD1420)+1)+1)-FIND("|",$AD1420,FIND("|",$AD1420)+1)-1))</f>
        <v/>
      </c>
      <c r="AD1420">
        <f>TRIM(MID(SUBSTITUTE($CA$1414,"~",REPT(" ",600)),3001,600))</f>
        <v/>
      </c>
    </row>
    <row r="1421">
      <c r="B1421" s="180">
        <f>IF($AD1421="","",VALUE(LEFT($AD1421,FIND("|",$AD1421)-1)))</f>
        <v/>
      </c>
      <c r="C1421" s="180">
        <f>IF($AD1421="","","    "&amp;MID($AD1421,FIND("|",$AD1421)+1,FIND("|",$AD1421,FIND("|",$AD1421)+1)-FIND("|",$AD1421)-1))</f>
        <v/>
      </c>
      <c r="D1421" s="180">
        <f>IF($AD1421="","",MID($AD1421,FIND("|",$AD1421,FIND("|",$AD1421)+1)+1,FIND("|",$AD1421&amp;"|",FIND("|",$AD1421,FIND("|",$AD1421)+1)+1)-FIND("|",$AD1421,FIND("|",$AD1421)+1)-1))</f>
        <v/>
      </c>
      <c r="AD1421">
        <f>TRIM(MID(SUBSTITUTE($CA$1414,"~",REPT(" ",600)),3601,600))</f>
        <v/>
      </c>
    </row>
    <row r="1422">
      <c r="B1422" s="180">
        <f>IF($AD1422="","",VALUE(LEFT($AD1422,FIND("|",$AD1422)-1)))</f>
        <v/>
      </c>
      <c r="C1422" s="180">
        <f>IF($AD1422="","","    "&amp;MID($AD1422,FIND("|",$AD1422)+1,FIND("|",$AD1422,FIND("|",$AD1422)+1)-FIND("|",$AD1422)-1))</f>
        <v/>
      </c>
      <c r="D1422" s="180">
        <f>IF($AD1422="","",MID($AD1422,FIND("|",$AD1422,FIND("|",$AD1422)+1)+1,FIND("|",$AD1422&amp;"|",FIND("|",$AD1422,FIND("|",$AD1422)+1)+1)-FIND("|",$AD1422,FIND("|",$AD1422)+1)-1))</f>
        <v/>
      </c>
      <c r="AD1422">
        <f>TRIM(MID(SUBSTITUTE($CA$1414,"~",REPT(" ",600)),4201,600))</f>
        <v/>
      </c>
    </row>
    <row r="1423">
      <c r="B1423" s="180">
        <f>IF($AD1423="","",VALUE(LEFT($AD1423,FIND("|",$AD1423)-1)))</f>
        <v/>
      </c>
      <c r="C1423" s="180">
        <f>IF($AD1423="","","    "&amp;MID($AD1423,FIND("|",$AD1423)+1,FIND("|",$AD1423,FIND("|",$AD1423)+1)-FIND("|",$AD1423)-1))</f>
        <v/>
      </c>
      <c r="D1423" s="180">
        <f>IF($AD1423="","",MID($AD1423,FIND("|",$AD1423,FIND("|",$AD1423)+1)+1,FIND("|",$AD1423&amp;"|",FIND("|",$AD1423,FIND("|",$AD1423)+1)+1)-FIND("|",$AD1423,FIND("|",$AD1423)+1)-1))</f>
        <v/>
      </c>
      <c r="AD1423">
        <f>TRIM(MID(SUBSTITUTE($CA$1414,"~",REPT(" ",600)),4801,600))</f>
        <v/>
      </c>
    </row>
    <row r="1424">
      <c r="B1424" s="180">
        <f>IF($AD1424="","",VALUE(LEFT($AD1424,FIND("|",$AD1424)-1)))</f>
        <v/>
      </c>
      <c r="C1424" s="180">
        <f>IF($AD1424="","","    "&amp;MID($AD1424,FIND("|",$AD1424)+1,FIND("|",$AD1424,FIND("|",$AD1424)+1)-FIND("|",$AD1424)-1))</f>
        <v/>
      </c>
      <c r="D1424" s="180">
        <f>IF($AD1424="","",MID($AD1424,FIND("|",$AD1424,FIND("|",$AD1424)+1)+1,FIND("|",$AD1424&amp;"|",FIND("|",$AD1424,FIND("|",$AD1424)+1)+1)-FIND("|",$AD1424,FIND("|",$AD1424)+1)-1))</f>
        <v/>
      </c>
      <c r="AD1424">
        <f>TRIM(MID(SUBSTITUTE($CA$1414,"~",REPT(" ",600)),5401,600))</f>
        <v/>
      </c>
    </row>
    <row r="1425">
      <c r="B1425" s="180">
        <f>IF($AD1425="","",VALUE(LEFT($AD1425,FIND("|",$AD1425)-1)))</f>
        <v/>
      </c>
      <c r="C1425" s="180">
        <f>IF($AD1425="","","    "&amp;MID($AD1425,FIND("|",$AD1425)+1,FIND("|",$AD1425,FIND("|",$AD1425)+1)-FIND("|",$AD1425)-1))</f>
        <v/>
      </c>
      <c r="D1425" s="180">
        <f>IF($AD1425="","",MID($AD1425,FIND("|",$AD1425,FIND("|",$AD1425)+1)+1,FIND("|",$AD1425&amp;"|",FIND("|",$AD1425,FIND("|",$AD1425)+1)+1)-FIND("|",$AD1425,FIND("|",$AD1425)+1)-1))</f>
        <v/>
      </c>
      <c r="AD1425">
        <f>TRIM(MID(SUBSTITUTE($CA$1414,"~",REPT(" ",600)),6001,600))</f>
        <v/>
      </c>
    </row>
    <row r="1426">
      <c r="A1426" s="178">
        <f>IF($AD$1426=0,"",$BK$1426)</f>
        <v/>
      </c>
      <c r="B1426" s="178">
        <f>IF($AD$1426=0,"",$AE$1426*N($BA$1426))</f>
        <v/>
      </c>
      <c r="C1426" s="178">
        <f>IF($AD$1426=0,"",$AE$1426*N($BA$1426)&amp;") "&amp;IF(COUNTIFS(tk_SODG,59,tk_HLEG,"&lt;&gt;"&amp;$BJ$1426)=0,INDEX(tk_DLINE,$AD$1426),INDEX(tk_DLINEN,$AD$1426)))</f>
        <v/>
      </c>
      <c r="D1426" s="178" t="n"/>
      <c r="E1426" s="179">
        <f t="array" ref="E1426">IF($AD$1426=0,"",_xlfn.TEXTJOIN(", ",TRUE,IF(tk_SODG=59,"#"&amp;tk_MARK&amp;IF(tk_HLEG="","","("&amp;tk_HLEG&amp;")")&amp;IF(tk_QTY&gt;1," ×"&amp;tk_QTY,""),"")))</f>
        <v/>
      </c>
      <c r="AD1426">
        <f>IFERROR(MATCH(59,tk_SODG,0),0)</f>
        <v/>
      </c>
      <c r="AE1426">
        <f>IF($AD$1426=0,0,SUMIF(tk_SODG,59,tk_QTY))</f>
        <v/>
      </c>
      <c r="AF1426">
        <f>IF($AD$1426=0,"",INDEX(tk_JAMB,$AD$1426))</f>
        <v/>
      </c>
      <c r="AG1426">
        <f>IF($AD$1426=0,"",INDEX(tk_ANCHOR,$AD$1426))</f>
        <v/>
      </c>
      <c r="AH1426">
        <f>IF($AD$1426=0,"",INDEX(tk_ANCH,$AD$1426))</f>
        <v/>
      </c>
      <c r="AI1426">
        <f>IF($AD$1426=0,"",INDEX(tk_BASEA,$AD$1426))</f>
        <v/>
      </c>
      <c r="AJ1426">
        <f>IF($AD$1426=0,"",INDEX(tk_CONSTR,$AD$1426))</f>
        <v/>
      </c>
      <c r="AK1426">
        <f>IF($AD$1426=0,"",INDEX(tk_CLOSER,$AD$1426))</f>
        <v/>
      </c>
      <c r="AL1426">
        <f>IF($AD$1426=0,"",INDEX(tk_STRIKE,$AD$1426))</f>
        <v/>
      </c>
      <c r="AM1426">
        <f>IF($AD$1426=0,"",INDEX(tk_HDRPREP,$AD$1426))</f>
        <v/>
      </c>
      <c r="AN1426">
        <f>IF($AD$1426=0,"",INDEX(tk_DMIN,$AD$1426))</f>
        <v/>
      </c>
      <c r="AO1426">
        <f>IF($AD$1426=0,"",INDEX(tk_PAIR,$AD$1426))</f>
        <v/>
      </c>
      <c r="AP1426">
        <f>IF($AD$1426=0,"",INDEX(tk_FGA,$AD$1426))</f>
        <v/>
      </c>
      <c r="AQ1426">
        <f>IF($AD$1426=0,"",INDEX(tk_WI,$AD$1426))</f>
        <v/>
      </c>
      <c r="AR1426">
        <f>IF($AD$1426=0,"",INDEX(tk_HI,$AD$1426))</f>
        <v/>
      </c>
      <c r="AS1426">
        <f>IF($AD$1426=0,"",INDEX(tk_FHINGE,$AD$1426))</f>
        <v/>
      </c>
      <c r="AT1426">
        <f>IF($AD$1426=0,"",INDEX(tk_DHINGE,$AD$1426))</f>
        <v/>
      </c>
      <c r="AU1426">
        <f>IF($AD$1426=0,"",INDEX(tk_HWLOC,$AD$1426))</f>
        <v/>
      </c>
      <c r="AV1426">
        <f>IF($AD$1426=0,"",INDEX(tk_MANUF,$AD$1426))</f>
        <v/>
      </c>
      <c r="AW1426">
        <f>IF($AD$1426=0,"",INDEX(tk_JH,$AD$1426))</f>
        <v/>
      </c>
      <c r="AX1426">
        <f>IF($AD$1426=0,"",INDEX(tk_FDESC,$AD$1426))</f>
        <v/>
      </c>
      <c r="AY1426">
        <f>IF($AD$1426=0,"",INDEX(tk_TRANS,$AD$1426))</f>
        <v/>
      </c>
      <c r="AZ1426">
        <f>IF($AD$1426=0,"",INDEX(tk_SLW,$AD$1426))</f>
        <v/>
      </c>
      <c r="BA1426">
        <f>IF($AD$1426=0,"",INDEX(tk_LEAVES,$AD$1426))</f>
        <v/>
      </c>
      <c r="BB1426">
        <f>IF($AD$1426=0,"",INDEX(tk_LEAFW,$AD$1426))</f>
        <v/>
      </c>
      <c r="BC1426">
        <f>IF($AD$1426=0,"",INDEX(tk_LEAFH,$AD$1426))</f>
        <v/>
      </c>
      <c r="BD1426">
        <f>IF($AD$1426=0,"",INDEX(tk_DMAT,$AD$1426))</f>
        <v/>
      </c>
      <c r="BE1426">
        <f>IF($AD$1426=0,"",INDEX(tk_DGA,$AD$1426))</f>
        <v/>
      </c>
      <c r="BF1426">
        <f>IF($AD$1426=0,"",INDEX(tk_SERIES,$AD$1426))</f>
        <v/>
      </c>
      <c r="BG1426">
        <f>IF($AD$1426=0,"",INDEX(tk_LOCK,$AD$1426))</f>
        <v/>
      </c>
      <c r="BH1426">
        <f>IF($AD$1426=0,"",INDEX(tk_LITEKIT,$AD$1426))</f>
        <v/>
      </c>
      <c r="BI1426">
        <f>IF($AD$1426=0,"",INDEX(tk_FACE,$AD$1426))</f>
        <v/>
      </c>
      <c r="BJ1426">
        <f>IF($AD$1426=0,"",INDEX(tk_HLEG,$AD$1426))</f>
        <v/>
      </c>
      <c r="BK1426">
        <f>IF($AD$1426=0,"",INDEX(tk_SOITEM,$AD$1426))</f>
        <v/>
      </c>
      <c r="BL1426">
        <f>IFERROR(VLOOKUP($AF$1426,CODES,2,FALSE),"")</f>
        <v/>
      </c>
      <c r="BM1426">
        <f>IF($AJ$1426="KD","C","M")</f>
        <v/>
      </c>
      <c r="BN1426">
        <f>IF(N($AR$1426)&lt;=80,80,IF(N($AR$1426)&lt;=84,84,IF(N($AR$1426)&lt;=96,96,N($AR$1426))))</f>
        <v/>
      </c>
      <c r="BO1426">
        <f>INT($BN$1426/12)&amp;MOD($BN$1426,12)</f>
        <v/>
      </c>
      <c r="BP1426">
        <f>INT(N($AQ$1426)/12)&amp;MOD(N($AQ$1426),12)</f>
        <v/>
      </c>
      <c r="BQ1426">
        <f>IF(OR($AU$1426="",$AU$1426="ANSI/SDI",$AU$1426="CUSTOM LOC"),IF($AV$1426="CU","CURRIES","STEELCRAFT"),$AU$1426)</f>
        <v/>
      </c>
      <c r="BR1426">
        <f>$AO$1426="Y"</f>
        <v/>
      </c>
      <c r="BS1426">
        <f>"~"</f>
        <v/>
      </c>
      <c r="BT1426">
        <f>$AE$1426*N($BA$1426)</f>
        <v/>
      </c>
      <c r="BU1426">
        <f>OR(LEFT($BD$1426,3)="OAK",LEFT($BD$1426,3)="BIR",LEFT($BD$1426,3)="MAP",$BD$1426="PC",$BD$1426="MC",$BD$1426="SCLC",$BD$1426="P-LAM")</f>
        <v/>
      </c>
      <c r="BV1426">
        <f>INT(N($AQ$1426)/MAX(1,N($BA$1426))/12)&amp;MOD(N($AQ$1426)/MAX(1,N($BA$1426)),12)</f>
        <v/>
      </c>
      <c r="BW1426">
        <f>IF(OR($BG$1426="G11",$BG$1426="G11A",$BG$1426="G12A"),"G2",IF(OR(LEFT($BG$1426,2)="G3",$BG$1426="G12"),"G3AEO",$BG$1426))</f>
        <v/>
      </c>
      <c r="BX1426">
        <f>"(Net size: "&amp;TRIM(TEXT(N($BB$1426),"# ?/??"))&amp;CHAR(34)&amp;" x "&amp;TRIM(TEXT(N($BC$1426),"# ?/??"))&amp;CHAR(34)&amp;")"</f>
        <v/>
      </c>
      <c r="BY1426">
        <f>IF(LEFT($BD$1426,3)="OAK","RED OAK",IF(LEFT($BD$1426,3)="BIR","BIRCH",IF(LEFT($BD$1426,3)="MAP","MAPLE","WOOD")))</f>
        <v/>
      </c>
      <c r="BZ1426">
        <f>IF(OR($AT$1426="U454",AND($AT$1426="",$AS$1426="U454")),"454","453")</f>
        <v/>
      </c>
      <c r="CA1426">
        <f>IF($AD$1426=0,"",IF($BU$1426,$BT$1426&amp;"|"&amp;$BV$1426&amp;$BO$1426&amp;" "&amp;$BY$1426&amp;" SLAB "&amp;IF(N($AN$1426)&gt;0,$AN$1426&amp;" MINUTE",IF(RIGHT($BD$1426,2)="MC","MC","SC")&amp;" WOOD DOOR")&amp;"|"&amp;$BX$1426&amp;"|"&amp;$BS$1426,$BT$1426&amp;"|"&amp;$BV$1426&amp;$BO$1426&amp;$BW$1426&amp;" BSC "&amp;$BQ$1426&amp;" DOOR "&amp;$BE$1426&amp;"Ga. Non-Handed "&amp;IF($BF$1426="","707",$BF$1426)&amp;"S Flush HM|"&amp;$BX$1426&amp;"|"&amp;$BS$1426)&amp;IF(N($AN$1426)&gt;0,$BT$1426&amp;"|"&amp;$AN$1426&amp;IF($BU$1426," MINUTE WARNOCK HERSHEY FIRE RATED WOOD LABEL"," MINUTE FOAM CORE STEEL DOOR LABEL (MODELS 607 &amp; 707)")&amp;"||"&amp;$BS$1426,"")&amp;IF(AND(NOT($BU$1426),OR($BG$1426="G11",$BG$1426="G11A",$BG$1426="G12",$BG$1426="G12A")),$AE$1426&amp;"|EXIT DEVICE PREP FOR HM DOOR||"&amp;$BS$1426,"")&amp;IF(AND(NOT($BU$1426),$BG$1426="G12"),$AE$1426&amp;"|DR 350 MORTISE LOCK FILLER PLATE||"&amp;$BS$1426,"")&amp;IF(AND(NOT($BU$1426),LEFT($BG$1426,2)="G3"),$AE$1426&amp;"|MORTISE LOCK PREP||"&amp;$BS$1426,"")&amp;IF($BU$1426,$BT$1426&amp;"|"&amp;IF($BG$1426="G18",$BZ$1426&amp;"-4 1/2"&amp;CHAR(34)&amp;"X4 1/2"&amp;CHAR(34)&amp;" HINGES ONLY PREP","HINGE PREP "&amp;$BZ$1426&amp;" WITH LOCK PREP")&amp;"|"&amp;$BQ$1426&amp;" LOC|"&amp;$BS$1426,"")&amp;IF(OR($BG$1426="G2G2",$BG$1426="G17",$BG$1426="E1E4"),$AE$1426&amp;"|"&amp;IF($BU$1426,"DDLP CYLINDRICAL DEADLOCK PREP","DOOR DEADLOCK PREP")&amp;"||"&amp;$BS$1426,"")&amp;IF(OR($BH$1426="FG",$BH$1426="HG",$BH$1426="FNV",$BH$1426="FV"),$BT$1426&amp;"|"&amp;$BI$1426&amp;" LITE KIT||"&amp;$BS$1426,IF($BH$1426="FL",$BT$1426&amp;"|"&amp;$BI$1426&amp;" LOUVER||"&amp;$BS$1426,IF($BH$1426="FP",$BT$1426&amp;"|DVP DOOR VIEWER PREP||"&amp;$BS$1426,"")))&amp;IF($BN$1426&gt;N($AR$1426),$BT$1426&amp;"|DCO DOOR CUT DOWN ONLY (HEIGHT)|Cut "&amp;TRIM(TEXT($BN$1426-N($AR$1426),"# ?/??"))&amp;CHAR(34)&amp;" OFF THE BOTTOM|"&amp;$BS$1426,""))</f>
        <v/>
      </c>
    </row>
    <row r="1427">
      <c r="B1427" s="180">
        <f>IF($AD1427="","",VALUE(LEFT($AD1427,FIND("|",$AD1427)-1)))</f>
        <v/>
      </c>
      <c r="C1427" s="180">
        <f>IF($AD1427="","","    "&amp;MID($AD1427,FIND("|",$AD1427)+1,FIND("|",$AD1427,FIND("|",$AD1427)+1)-FIND("|",$AD1427)-1))</f>
        <v/>
      </c>
      <c r="D1427" s="180">
        <f>IF($AD1427="","",MID($AD1427,FIND("|",$AD1427,FIND("|",$AD1427)+1)+1,FIND("|",$AD1427&amp;"|",FIND("|",$AD1427,FIND("|",$AD1427)+1)+1)-FIND("|",$AD1427,FIND("|",$AD1427)+1)-1))</f>
        <v/>
      </c>
      <c r="AD1427">
        <f>TRIM(MID(SUBSTITUTE($CA$1426,"~",REPT(" ",600)),1,600))</f>
        <v/>
      </c>
    </row>
    <row r="1428">
      <c r="B1428" s="180">
        <f>IF($AD1428="","",VALUE(LEFT($AD1428,FIND("|",$AD1428)-1)))</f>
        <v/>
      </c>
      <c r="C1428" s="180">
        <f>IF($AD1428="","","    "&amp;MID($AD1428,FIND("|",$AD1428)+1,FIND("|",$AD1428,FIND("|",$AD1428)+1)-FIND("|",$AD1428)-1))</f>
        <v/>
      </c>
      <c r="D1428" s="180">
        <f>IF($AD1428="","",MID($AD1428,FIND("|",$AD1428,FIND("|",$AD1428)+1)+1,FIND("|",$AD1428&amp;"|",FIND("|",$AD1428,FIND("|",$AD1428)+1)+1)-FIND("|",$AD1428,FIND("|",$AD1428)+1)-1))</f>
        <v/>
      </c>
      <c r="AD1428">
        <f>TRIM(MID(SUBSTITUTE($CA$1426,"~",REPT(" ",600)),601,600))</f>
        <v/>
      </c>
    </row>
    <row r="1429">
      <c r="B1429" s="180">
        <f>IF($AD1429="","",VALUE(LEFT($AD1429,FIND("|",$AD1429)-1)))</f>
        <v/>
      </c>
      <c r="C1429" s="180">
        <f>IF($AD1429="","","    "&amp;MID($AD1429,FIND("|",$AD1429)+1,FIND("|",$AD1429,FIND("|",$AD1429)+1)-FIND("|",$AD1429)-1))</f>
        <v/>
      </c>
      <c r="D1429" s="180">
        <f>IF($AD1429="","",MID($AD1429,FIND("|",$AD1429,FIND("|",$AD1429)+1)+1,FIND("|",$AD1429&amp;"|",FIND("|",$AD1429,FIND("|",$AD1429)+1)+1)-FIND("|",$AD1429,FIND("|",$AD1429)+1)-1))</f>
        <v/>
      </c>
      <c r="AD1429">
        <f>TRIM(MID(SUBSTITUTE($CA$1426,"~",REPT(" ",600)),1201,600))</f>
        <v/>
      </c>
    </row>
    <row r="1430">
      <c r="B1430" s="180">
        <f>IF($AD1430="","",VALUE(LEFT($AD1430,FIND("|",$AD1430)-1)))</f>
        <v/>
      </c>
      <c r="C1430" s="180">
        <f>IF($AD1430="","","    "&amp;MID($AD1430,FIND("|",$AD1430)+1,FIND("|",$AD1430,FIND("|",$AD1430)+1)-FIND("|",$AD1430)-1))</f>
        <v/>
      </c>
      <c r="D1430" s="180">
        <f>IF($AD1430="","",MID($AD1430,FIND("|",$AD1430,FIND("|",$AD1430)+1)+1,FIND("|",$AD1430&amp;"|",FIND("|",$AD1430,FIND("|",$AD1430)+1)+1)-FIND("|",$AD1430,FIND("|",$AD1430)+1)-1))</f>
        <v/>
      </c>
      <c r="AD1430">
        <f>TRIM(MID(SUBSTITUTE($CA$1426,"~",REPT(" ",600)),1801,600))</f>
        <v/>
      </c>
    </row>
    <row r="1431">
      <c r="B1431" s="180">
        <f>IF($AD1431="","",VALUE(LEFT($AD1431,FIND("|",$AD1431)-1)))</f>
        <v/>
      </c>
      <c r="C1431" s="180">
        <f>IF($AD1431="","","    "&amp;MID($AD1431,FIND("|",$AD1431)+1,FIND("|",$AD1431,FIND("|",$AD1431)+1)-FIND("|",$AD1431)-1))</f>
        <v/>
      </c>
      <c r="D1431" s="180">
        <f>IF($AD1431="","",MID($AD1431,FIND("|",$AD1431,FIND("|",$AD1431)+1)+1,FIND("|",$AD1431&amp;"|",FIND("|",$AD1431,FIND("|",$AD1431)+1)+1)-FIND("|",$AD1431,FIND("|",$AD1431)+1)-1))</f>
        <v/>
      </c>
      <c r="AD1431">
        <f>TRIM(MID(SUBSTITUTE($CA$1426,"~",REPT(" ",600)),2401,600))</f>
        <v/>
      </c>
    </row>
    <row r="1432">
      <c r="B1432" s="180">
        <f>IF($AD1432="","",VALUE(LEFT($AD1432,FIND("|",$AD1432)-1)))</f>
        <v/>
      </c>
      <c r="C1432" s="180">
        <f>IF($AD1432="","","    "&amp;MID($AD1432,FIND("|",$AD1432)+1,FIND("|",$AD1432,FIND("|",$AD1432)+1)-FIND("|",$AD1432)-1))</f>
        <v/>
      </c>
      <c r="D1432" s="180">
        <f>IF($AD1432="","",MID($AD1432,FIND("|",$AD1432,FIND("|",$AD1432)+1)+1,FIND("|",$AD1432&amp;"|",FIND("|",$AD1432,FIND("|",$AD1432)+1)+1)-FIND("|",$AD1432,FIND("|",$AD1432)+1)-1))</f>
        <v/>
      </c>
      <c r="AD1432">
        <f>TRIM(MID(SUBSTITUTE($CA$1426,"~",REPT(" ",600)),3001,600))</f>
        <v/>
      </c>
    </row>
    <row r="1433">
      <c r="B1433" s="180">
        <f>IF($AD1433="","",VALUE(LEFT($AD1433,FIND("|",$AD1433)-1)))</f>
        <v/>
      </c>
      <c r="C1433" s="180">
        <f>IF($AD1433="","","    "&amp;MID($AD1433,FIND("|",$AD1433)+1,FIND("|",$AD1433,FIND("|",$AD1433)+1)-FIND("|",$AD1433)-1))</f>
        <v/>
      </c>
      <c r="D1433" s="180">
        <f>IF($AD1433="","",MID($AD1433,FIND("|",$AD1433,FIND("|",$AD1433)+1)+1,FIND("|",$AD1433&amp;"|",FIND("|",$AD1433,FIND("|",$AD1433)+1)+1)-FIND("|",$AD1433,FIND("|",$AD1433)+1)-1))</f>
        <v/>
      </c>
      <c r="AD1433">
        <f>TRIM(MID(SUBSTITUTE($CA$1426,"~",REPT(" ",600)),3601,600))</f>
        <v/>
      </c>
    </row>
    <row r="1434">
      <c r="B1434" s="180">
        <f>IF($AD1434="","",VALUE(LEFT($AD1434,FIND("|",$AD1434)-1)))</f>
        <v/>
      </c>
      <c r="C1434" s="180">
        <f>IF($AD1434="","","    "&amp;MID($AD1434,FIND("|",$AD1434)+1,FIND("|",$AD1434,FIND("|",$AD1434)+1)-FIND("|",$AD1434)-1))</f>
        <v/>
      </c>
      <c r="D1434" s="180">
        <f>IF($AD1434="","",MID($AD1434,FIND("|",$AD1434,FIND("|",$AD1434)+1)+1,FIND("|",$AD1434&amp;"|",FIND("|",$AD1434,FIND("|",$AD1434)+1)+1)-FIND("|",$AD1434,FIND("|",$AD1434)+1)-1))</f>
        <v/>
      </c>
      <c r="AD1434">
        <f>TRIM(MID(SUBSTITUTE($CA$1426,"~",REPT(" ",600)),4201,600))</f>
        <v/>
      </c>
    </row>
    <row r="1435">
      <c r="B1435" s="180">
        <f>IF($AD1435="","",VALUE(LEFT($AD1435,FIND("|",$AD1435)-1)))</f>
        <v/>
      </c>
      <c r="C1435" s="180">
        <f>IF($AD1435="","","    "&amp;MID($AD1435,FIND("|",$AD1435)+1,FIND("|",$AD1435,FIND("|",$AD1435)+1)-FIND("|",$AD1435)-1))</f>
        <v/>
      </c>
      <c r="D1435" s="180">
        <f>IF($AD1435="","",MID($AD1435,FIND("|",$AD1435,FIND("|",$AD1435)+1)+1,FIND("|",$AD1435&amp;"|",FIND("|",$AD1435,FIND("|",$AD1435)+1)+1)-FIND("|",$AD1435,FIND("|",$AD1435)+1)-1))</f>
        <v/>
      </c>
      <c r="AD1435">
        <f>TRIM(MID(SUBSTITUTE($CA$1426,"~",REPT(" ",600)),4801,600))</f>
        <v/>
      </c>
    </row>
    <row r="1436">
      <c r="B1436" s="180">
        <f>IF($AD1436="","",VALUE(LEFT($AD1436,FIND("|",$AD1436)-1)))</f>
        <v/>
      </c>
      <c r="C1436" s="180">
        <f>IF($AD1436="","","    "&amp;MID($AD1436,FIND("|",$AD1436)+1,FIND("|",$AD1436,FIND("|",$AD1436)+1)-FIND("|",$AD1436)-1))</f>
        <v/>
      </c>
      <c r="D1436" s="180">
        <f>IF($AD1436="","",MID($AD1436,FIND("|",$AD1436,FIND("|",$AD1436)+1)+1,FIND("|",$AD1436&amp;"|",FIND("|",$AD1436,FIND("|",$AD1436)+1)+1)-FIND("|",$AD1436,FIND("|",$AD1436)+1)-1))</f>
        <v/>
      </c>
      <c r="AD1436">
        <f>TRIM(MID(SUBSTITUTE($CA$1426,"~",REPT(" ",600)),5401,600))</f>
        <v/>
      </c>
    </row>
    <row r="1437">
      <c r="B1437" s="180">
        <f>IF($AD1437="","",VALUE(LEFT($AD1437,FIND("|",$AD1437)-1)))</f>
        <v/>
      </c>
      <c r="C1437" s="180">
        <f>IF($AD1437="","","    "&amp;MID($AD1437,FIND("|",$AD1437)+1,FIND("|",$AD1437,FIND("|",$AD1437)+1)-FIND("|",$AD1437)-1))</f>
        <v/>
      </c>
      <c r="D1437" s="180">
        <f>IF($AD1437="","",MID($AD1437,FIND("|",$AD1437,FIND("|",$AD1437)+1)+1,FIND("|",$AD1437&amp;"|",FIND("|",$AD1437,FIND("|",$AD1437)+1)+1)-FIND("|",$AD1437,FIND("|",$AD1437)+1)-1))</f>
        <v/>
      </c>
      <c r="AD1437">
        <f>TRIM(MID(SUBSTITUTE($CA$1426,"~",REPT(" ",600)),6001,600))</f>
        <v/>
      </c>
    </row>
    <row r="1438">
      <c r="A1438" s="178">
        <f>IF($AD$1438=0,"",$BK$1438)</f>
        <v/>
      </c>
      <c r="B1438" s="178">
        <f>IF($AD$1438=0,"",$AE$1438*N($BA$1438))</f>
        <v/>
      </c>
      <c r="C1438" s="178">
        <f>IF($AD$1438=0,"",$AE$1438*N($BA$1438)&amp;") "&amp;IF(COUNTIFS(tk_SODG,60,tk_HLEG,"&lt;&gt;"&amp;$BJ$1438)=0,INDEX(tk_DLINE,$AD$1438),INDEX(tk_DLINEN,$AD$1438)))</f>
        <v/>
      </c>
      <c r="D1438" s="178" t="n"/>
      <c r="E1438" s="179">
        <f t="array" ref="E1438">IF($AD$1438=0,"",_xlfn.TEXTJOIN(", ",TRUE,IF(tk_SODG=60,"#"&amp;tk_MARK&amp;IF(tk_HLEG="","","("&amp;tk_HLEG&amp;")")&amp;IF(tk_QTY&gt;1," ×"&amp;tk_QTY,""),"")))</f>
        <v/>
      </c>
      <c r="AD1438">
        <f>IFERROR(MATCH(60,tk_SODG,0),0)</f>
        <v/>
      </c>
      <c r="AE1438">
        <f>IF($AD$1438=0,0,SUMIF(tk_SODG,60,tk_QTY))</f>
        <v/>
      </c>
      <c r="AF1438">
        <f>IF($AD$1438=0,"",INDEX(tk_JAMB,$AD$1438))</f>
        <v/>
      </c>
      <c r="AG1438">
        <f>IF($AD$1438=0,"",INDEX(tk_ANCHOR,$AD$1438))</f>
        <v/>
      </c>
      <c r="AH1438">
        <f>IF($AD$1438=0,"",INDEX(tk_ANCH,$AD$1438))</f>
        <v/>
      </c>
      <c r="AI1438">
        <f>IF($AD$1438=0,"",INDEX(tk_BASEA,$AD$1438))</f>
        <v/>
      </c>
      <c r="AJ1438">
        <f>IF($AD$1438=0,"",INDEX(tk_CONSTR,$AD$1438))</f>
        <v/>
      </c>
      <c r="AK1438">
        <f>IF($AD$1438=0,"",INDEX(tk_CLOSER,$AD$1438))</f>
        <v/>
      </c>
      <c r="AL1438">
        <f>IF($AD$1438=0,"",INDEX(tk_STRIKE,$AD$1438))</f>
        <v/>
      </c>
      <c r="AM1438">
        <f>IF($AD$1438=0,"",INDEX(tk_HDRPREP,$AD$1438))</f>
        <v/>
      </c>
      <c r="AN1438">
        <f>IF($AD$1438=0,"",INDEX(tk_DMIN,$AD$1438))</f>
        <v/>
      </c>
      <c r="AO1438">
        <f>IF($AD$1438=0,"",INDEX(tk_PAIR,$AD$1438))</f>
        <v/>
      </c>
      <c r="AP1438">
        <f>IF($AD$1438=0,"",INDEX(tk_FGA,$AD$1438))</f>
        <v/>
      </c>
      <c r="AQ1438">
        <f>IF($AD$1438=0,"",INDEX(tk_WI,$AD$1438))</f>
        <v/>
      </c>
      <c r="AR1438">
        <f>IF($AD$1438=0,"",INDEX(tk_HI,$AD$1438))</f>
        <v/>
      </c>
      <c r="AS1438">
        <f>IF($AD$1438=0,"",INDEX(tk_FHINGE,$AD$1438))</f>
        <v/>
      </c>
      <c r="AT1438">
        <f>IF($AD$1438=0,"",INDEX(tk_DHINGE,$AD$1438))</f>
        <v/>
      </c>
      <c r="AU1438">
        <f>IF($AD$1438=0,"",INDEX(tk_HWLOC,$AD$1438))</f>
        <v/>
      </c>
      <c r="AV1438">
        <f>IF($AD$1438=0,"",INDEX(tk_MANUF,$AD$1438))</f>
        <v/>
      </c>
      <c r="AW1438">
        <f>IF($AD$1438=0,"",INDEX(tk_JH,$AD$1438))</f>
        <v/>
      </c>
      <c r="AX1438">
        <f>IF($AD$1438=0,"",INDEX(tk_FDESC,$AD$1438))</f>
        <v/>
      </c>
      <c r="AY1438">
        <f>IF($AD$1438=0,"",INDEX(tk_TRANS,$AD$1438))</f>
        <v/>
      </c>
      <c r="AZ1438">
        <f>IF($AD$1438=0,"",INDEX(tk_SLW,$AD$1438))</f>
        <v/>
      </c>
      <c r="BA1438">
        <f>IF($AD$1438=0,"",INDEX(tk_LEAVES,$AD$1438))</f>
        <v/>
      </c>
      <c r="BB1438">
        <f>IF($AD$1438=0,"",INDEX(tk_LEAFW,$AD$1438))</f>
        <v/>
      </c>
      <c r="BC1438">
        <f>IF($AD$1438=0,"",INDEX(tk_LEAFH,$AD$1438))</f>
        <v/>
      </c>
      <c r="BD1438">
        <f>IF($AD$1438=0,"",INDEX(tk_DMAT,$AD$1438))</f>
        <v/>
      </c>
      <c r="BE1438">
        <f>IF($AD$1438=0,"",INDEX(tk_DGA,$AD$1438))</f>
        <v/>
      </c>
      <c r="BF1438">
        <f>IF($AD$1438=0,"",INDEX(tk_SERIES,$AD$1438))</f>
        <v/>
      </c>
      <c r="BG1438">
        <f>IF($AD$1438=0,"",INDEX(tk_LOCK,$AD$1438))</f>
        <v/>
      </c>
      <c r="BH1438">
        <f>IF($AD$1438=0,"",INDEX(tk_LITEKIT,$AD$1438))</f>
        <v/>
      </c>
      <c r="BI1438">
        <f>IF($AD$1438=0,"",INDEX(tk_FACE,$AD$1438))</f>
        <v/>
      </c>
      <c r="BJ1438">
        <f>IF($AD$1438=0,"",INDEX(tk_HLEG,$AD$1438))</f>
        <v/>
      </c>
      <c r="BK1438">
        <f>IF($AD$1438=0,"",INDEX(tk_SOITEM,$AD$1438))</f>
        <v/>
      </c>
      <c r="BL1438">
        <f>IFERROR(VLOOKUP($AF$1438,CODES,2,FALSE),"")</f>
        <v/>
      </c>
      <c r="BM1438">
        <f>IF($AJ$1438="KD","C","M")</f>
        <v/>
      </c>
      <c r="BN1438">
        <f>IF(N($AR$1438)&lt;=80,80,IF(N($AR$1438)&lt;=84,84,IF(N($AR$1438)&lt;=96,96,N($AR$1438))))</f>
        <v/>
      </c>
      <c r="BO1438">
        <f>INT($BN$1438/12)&amp;MOD($BN$1438,12)</f>
        <v/>
      </c>
      <c r="BP1438">
        <f>INT(N($AQ$1438)/12)&amp;MOD(N($AQ$1438),12)</f>
        <v/>
      </c>
      <c r="BQ1438">
        <f>IF(OR($AU$1438="",$AU$1438="ANSI/SDI",$AU$1438="CUSTOM LOC"),IF($AV$1438="CU","CURRIES","STEELCRAFT"),$AU$1438)</f>
        <v/>
      </c>
      <c r="BR1438">
        <f>$AO$1438="Y"</f>
        <v/>
      </c>
      <c r="BS1438">
        <f>"~"</f>
        <v/>
      </c>
      <c r="BT1438">
        <f>$AE$1438*N($BA$1438)</f>
        <v/>
      </c>
      <c r="BU1438">
        <f>OR(LEFT($BD$1438,3)="OAK",LEFT($BD$1438,3)="BIR",LEFT($BD$1438,3)="MAP",$BD$1438="PC",$BD$1438="MC",$BD$1438="SCLC",$BD$1438="P-LAM")</f>
        <v/>
      </c>
      <c r="BV1438">
        <f>INT(N($AQ$1438)/MAX(1,N($BA$1438))/12)&amp;MOD(N($AQ$1438)/MAX(1,N($BA$1438)),12)</f>
        <v/>
      </c>
      <c r="BW1438">
        <f>IF(OR($BG$1438="G11",$BG$1438="G11A",$BG$1438="G12A"),"G2",IF(OR(LEFT($BG$1438,2)="G3",$BG$1438="G12"),"G3AEO",$BG$1438))</f>
        <v/>
      </c>
      <c r="BX1438">
        <f>"(Net size: "&amp;TRIM(TEXT(N($BB$1438),"# ?/??"))&amp;CHAR(34)&amp;" x "&amp;TRIM(TEXT(N($BC$1438),"# ?/??"))&amp;CHAR(34)&amp;")"</f>
        <v/>
      </c>
      <c r="BY1438">
        <f>IF(LEFT($BD$1438,3)="OAK","RED OAK",IF(LEFT($BD$1438,3)="BIR","BIRCH",IF(LEFT($BD$1438,3)="MAP","MAPLE","WOOD")))</f>
        <v/>
      </c>
      <c r="BZ1438">
        <f>IF(OR($AT$1438="U454",AND($AT$1438="",$AS$1438="U454")),"454","453")</f>
        <v/>
      </c>
      <c r="CA1438">
        <f>IF($AD$1438=0,"",IF($BU$1438,$BT$1438&amp;"|"&amp;$BV$1438&amp;$BO$1438&amp;" "&amp;$BY$1438&amp;" SLAB "&amp;IF(N($AN$1438)&gt;0,$AN$1438&amp;" MINUTE",IF(RIGHT($BD$1438,2)="MC","MC","SC")&amp;" WOOD DOOR")&amp;"|"&amp;$BX$1438&amp;"|"&amp;$BS$1438,$BT$1438&amp;"|"&amp;$BV$1438&amp;$BO$1438&amp;$BW$1438&amp;" BSC "&amp;$BQ$1438&amp;" DOOR "&amp;$BE$1438&amp;"Ga. Non-Handed "&amp;IF($BF$1438="","707",$BF$1438)&amp;"S Flush HM|"&amp;$BX$1438&amp;"|"&amp;$BS$1438)&amp;IF(N($AN$1438)&gt;0,$BT$1438&amp;"|"&amp;$AN$1438&amp;IF($BU$1438," MINUTE WARNOCK HERSHEY FIRE RATED WOOD LABEL"," MINUTE FOAM CORE STEEL DOOR LABEL (MODELS 607 &amp; 707)")&amp;"||"&amp;$BS$1438,"")&amp;IF(AND(NOT($BU$1438),OR($BG$1438="G11",$BG$1438="G11A",$BG$1438="G12",$BG$1438="G12A")),$AE$1438&amp;"|EXIT DEVICE PREP FOR HM DOOR||"&amp;$BS$1438,"")&amp;IF(AND(NOT($BU$1438),$BG$1438="G12"),$AE$1438&amp;"|DR 350 MORTISE LOCK FILLER PLATE||"&amp;$BS$1438,"")&amp;IF(AND(NOT($BU$1438),LEFT($BG$1438,2)="G3"),$AE$1438&amp;"|MORTISE LOCK PREP||"&amp;$BS$1438,"")&amp;IF($BU$1438,$BT$1438&amp;"|"&amp;IF($BG$1438="G18",$BZ$1438&amp;"-4 1/2"&amp;CHAR(34)&amp;"X4 1/2"&amp;CHAR(34)&amp;" HINGES ONLY PREP","HINGE PREP "&amp;$BZ$1438&amp;" WITH LOCK PREP")&amp;"|"&amp;$BQ$1438&amp;" LOC|"&amp;$BS$1438,"")&amp;IF(OR($BG$1438="G2G2",$BG$1438="G17",$BG$1438="E1E4"),$AE$1438&amp;"|"&amp;IF($BU$1438,"DDLP CYLINDRICAL DEADLOCK PREP","DOOR DEADLOCK PREP")&amp;"||"&amp;$BS$1438,"")&amp;IF(OR($BH$1438="FG",$BH$1438="HG",$BH$1438="FNV",$BH$1438="FV"),$BT$1438&amp;"|"&amp;$BI$1438&amp;" LITE KIT||"&amp;$BS$1438,IF($BH$1438="FL",$BT$1438&amp;"|"&amp;$BI$1438&amp;" LOUVER||"&amp;$BS$1438,IF($BH$1438="FP",$BT$1438&amp;"|DVP DOOR VIEWER PREP||"&amp;$BS$1438,"")))&amp;IF($BN$1438&gt;N($AR$1438),$BT$1438&amp;"|DCO DOOR CUT DOWN ONLY (HEIGHT)|Cut "&amp;TRIM(TEXT($BN$1438-N($AR$1438),"# ?/??"))&amp;CHAR(34)&amp;" OFF THE BOTTOM|"&amp;$BS$1438,""))</f>
        <v/>
      </c>
    </row>
    <row r="1439">
      <c r="B1439" s="180">
        <f>IF($AD1439="","",VALUE(LEFT($AD1439,FIND("|",$AD1439)-1)))</f>
        <v/>
      </c>
      <c r="C1439" s="180">
        <f>IF($AD1439="","","    "&amp;MID($AD1439,FIND("|",$AD1439)+1,FIND("|",$AD1439,FIND("|",$AD1439)+1)-FIND("|",$AD1439)-1))</f>
        <v/>
      </c>
      <c r="D1439" s="180">
        <f>IF($AD1439="","",MID($AD1439,FIND("|",$AD1439,FIND("|",$AD1439)+1)+1,FIND("|",$AD1439&amp;"|",FIND("|",$AD1439,FIND("|",$AD1439)+1)+1)-FIND("|",$AD1439,FIND("|",$AD1439)+1)-1))</f>
        <v/>
      </c>
      <c r="AD1439">
        <f>TRIM(MID(SUBSTITUTE($CA$1438,"~",REPT(" ",600)),1,600))</f>
        <v/>
      </c>
    </row>
    <row r="1440">
      <c r="B1440" s="180">
        <f>IF($AD1440="","",VALUE(LEFT($AD1440,FIND("|",$AD1440)-1)))</f>
        <v/>
      </c>
      <c r="C1440" s="180">
        <f>IF($AD1440="","","    "&amp;MID($AD1440,FIND("|",$AD1440)+1,FIND("|",$AD1440,FIND("|",$AD1440)+1)-FIND("|",$AD1440)-1))</f>
        <v/>
      </c>
      <c r="D1440" s="180">
        <f>IF($AD1440="","",MID($AD1440,FIND("|",$AD1440,FIND("|",$AD1440)+1)+1,FIND("|",$AD1440&amp;"|",FIND("|",$AD1440,FIND("|",$AD1440)+1)+1)-FIND("|",$AD1440,FIND("|",$AD1440)+1)-1))</f>
        <v/>
      </c>
      <c r="AD1440">
        <f>TRIM(MID(SUBSTITUTE($CA$1438,"~",REPT(" ",600)),601,600))</f>
        <v/>
      </c>
    </row>
    <row r="1441">
      <c r="B1441" s="180">
        <f>IF($AD1441="","",VALUE(LEFT($AD1441,FIND("|",$AD1441)-1)))</f>
        <v/>
      </c>
      <c r="C1441" s="180">
        <f>IF($AD1441="","","    "&amp;MID($AD1441,FIND("|",$AD1441)+1,FIND("|",$AD1441,FIND("|",$AD1441)+1)-FIND("|",$AD1441)-1))</f>
        <v/>
      </c>
      <c r="D1441" s="180">
        <f>IF($AD1441="","",MID($AD1441,FIND("|",$AD1441,FIND("|",$AD1441)+1)+1,FIND("|",$AD1441&amp;"|",FIND("|",$AD1441,FIND("|",$AD1441)+1)+1)-FIND("|",$AD1441,FIND("|",$AD1441)+1)-1))</f>
        <v/>
      </c>
      <c r="AD1441">
        <f>TRIM(MID(SUBSTITUTE($CA$1438,"~",REPT(" ",600)),1201,600))</f>
        <v/>
      </c>
    </row>
    <row r="1442">
      <c r="B1442" s="180">
        <f>IF($AD1442="","",VALUE(LEFT($AD1442,FIND("|",$AD1442)-1)))</f>
        <v/>
      </c>
      <c r="C1442" s="180">
        <f>IF($AD1442="","","    "&amp;MID($AD1442,FIND("|",$AD1442)+1,FIND("|",$AD1442,FIND("|",$AD1442)+1)-FIND("|",$AD1442)-1))</f>
        <v/>
      </c>
      <c r="D1442" s="180">
        <f>IF($AD1442="","",MID($AD1442,FIND("|",$AD1442,FIND("|",$AD1442)+1)+1,FIND("|",$AD1442&amp;"|",FIND("|",$AD1442,FIND("|",$AD1442)+1)+1)-FIND("|",$AD1442,FIND("|",$AD1442)+1)-1))</f>
        <v/>
      </c>
      <c r="AD1442">
        <f>TRIM(MID(SUBSTITUTE($CA$1438,"~",REPT(" ",600)),1801,600))</f>
        <v/>
      </c>
    </row>
    <row r="1443">
      <c r="B1443" s="180">
        <f>IF($AD1443="","",VALUE(LEFT($AD1443,FIND("|",$AD1443)-1)))</f>
        <v/>
      </c>
      <c r="C1443" s="180">
        <f>IF($AD1443="","","    "&amp;MID($AD1443,FIND("|",$AD1443)+1,FIND("|",$AD1443,FIND("|",$AD1443)+1)-FIND("|",$AD1443)-1))</f>
        <v/>
      </c>
      <c r="D1443" s="180">
        <f>IF($AD1443="","",MID($AD1443,FIND("|",$AD1443,FIND("|",$AD1443)+1)+1,FIND("|",$AD1443&amp;"|",FIND("|",$AD1443,FIND("|",$AD1443)+1)+1)-FIND("|",$AD1443,FIND("|",$AD1443)+1)-1))</f>
        <v/>
      </c>
      <c r="AD1443">
        <f>TRIM(MID(SUBSTITUTE($CA$1438,"~",REPT(" ",600)),2401,600))</f>
        <v/>
      </c>
    </row>
    <row r="1444">
      <c r="B1444" s="180">
        <f>IF($AD1444="","",VALUE(LEFT($AD1444,FIND("|",$AD1444)-1)))</f>
        <v/>
      </c>
      <c r="C1444" s="180">
        <f>IF($AD1444="","","    "&amp;MID($AD1444,FIND("|",$AD1444)+1,FIND("|",$AD1444,FIND("|",$AD1444)+1)-FIND("|",$AD1444)-1))</f>
        <v/>
      </c>
      <c r="D1444" s="180">
        <f>IF($AD1444="","",MID($AD1444,FIND("|",$AD1444,FIND("|",$AD1444)+1)+1,FIND("|",$AD1444&amp;"|",FIND("|",$AD1444,FIND("|",$AD1444)+1)+1)-FIND("|",$AD1444,FIND("|",$AD1444)+1)-1))</f>
        <v/>
      </c>
      <c r="AD1444">
        <f>TRIM(MID(SUBSTITUTE($CA$1438,"~",REPT(" ",600)),3001,600))</f>
        <v/>
      </c>
    </row>
    <row r="1445">
      <c r="B1445" s="180">
        <f>IF($AD1445="","",VALUE(LEFT($AD1445,FIND("|",$AD1445)-1)))</f>
        <v/>
      </c>
      <c r="C1445" s="180">
        <f>IF($AD1445="","","    "&amp;MID($AD1445,FIND("|",$AD1445)+1,FIND("|",$AD1445,FIND("|",$AD1445)+1)-FIND("|",$AD1445)-1))</f>
        <v/>
      </c>
      <c r="D1445" s="180">
        <f>IF($AD1445="","",MID($AD1445,FIND("|",$AD1445,FIND("|",$AD1445)+1)+1,FIND("|",$AD1445&amp;"|",FIND("|",$AD1445,FIND("|",$AD1445)+1)+1)-FIND("|",$AD1445,FIND("|",$AD1445)+1)-1))</f>
        <v/>
      </c>
      <c r="AD1445">
        <f>TRIM(MID(SUBSTITUTE($CA$1438,"~",REPT(" ",600)),3601,600))</f>
        <v/>
      </c>
    </row>
    <row r="1446">
      <c r="B1446" s="180">
        <f>IF($AD1446="","",VALUE(LEFT($AD1446,FIND("|",$AD1446)-1)))</f>
        <v/>
      </c>
      <c r="C1446" s="180">
        <f>IF($AD1446="","","    "&amp;MID($AD1446,FIND("|",$AD1446)+1,FIND("|",$AD1446,FIND("|",$AD1446)+1)-FIND("|",$AD1446)-1))</f>
        <v/>
      </c>
      <c r="D1446" s="180">
        <f>IF($AD1446="","",MID($AD1446,FIND("|",$AD1446,FIND("|",$AD1446)+1)+1,FIND("|",$AD1446&amp;"|",FIND("|",$AD1446,FIND("|",$AD1446)+1)+1)-FIND("|",$AD1446,FIND("|",$AD1446)+1)-1))</f>
        <v/>
      </c>
      <c r="AD1446">
        <f>TRIM(MID(SUBSTITUTE($CA$1438,"~",REPT(" ",600)),4201,600))</f>
        <v/>
      </c>
    </row>
    <row r="1447">
      <c r="B1447" s="180">
        <f>IF($AD1447="","",VALUE(LEFT($AD1447,FIND("|",$AD1447)-1)))</f>
        <v/>
      </c>
      <c r="C1447" s="180">
        <f>IF($AD1447="","","    "&amp;MID($AD1447,FIND("|",$AD1447)+1,FIND("|",$AD1447,FIND("|",$AD1447)+1)-FIND("|",$AD1447)-1))</f>
        <v/>
      </c>
      <c r="D1447" s="180">
        <f>IF($AD1447="","",MID($AD1447,FIND("|",$AD1447,FIND("|",$AD1447)+1)+1,FIND("|",$AD1447&amp;"|",FIND("|",$AD1447,FIND("|",$AD1447)+1)+1)-FIND("|",$AD1447,FIND("|",$AD1447)+1)-1))</f>
        <v/>
      </c>
      <c r="AD1447">
        <f>TRIM(MID(SUBSTITUTE($CA$1438,"~",REPT(" ",600)),4801,600))</f>
        <v/>
      </c>
    </row>
    <row r="1448">
      <c r="B1448" s="180">
        <f>IF($AD1448="","",VALUE(LEFT($AD1448,FIND("|",$AD1448)-1)))</f>
        <v/>
      </c>
      <c r="C1448" s="180">
        <f>IF($AD1448="","","    "&amp;MID($AD1448,FIND("|",$AD1448)+1,FIND("|",$AD1448,FIND("|",$AD1448)+1)-FIND("|",$AD1448)-1))</f>
        <v/>
      </c>
      <c r="D1448" s="180">
        <f>IF($AD1448="","",MID($AD1448,FIND("|",$AD1448,FIND("|",$AD1448)+1)+1,FIND("|",$AD1448&amp;"|",FIND("|",$AD1448,FIND("|",$AD1448)+1)+1)-FIND("|",$AD1448,FIND("|",$AD1448)+1)-1))</f>
        <v/>
      </c>
      <c r="AD1448">
        <f>TRIM(MID(SUBSTITUTE($CA$1438,"~",REPT(" ",600)),5401,600))</f>
        <v/>
      </c>
    </row>
    <row r="1449">
      <c r="B1449" s="180">
        <f>IF($AD1449="","",VALUE(LEFT($AD1449,FIND("|",$AD1449)-1)))</f>
        <v/>
      </c>
      <c r="C1449" s="180">
        <f>IF($AD1449="","","    "&amp;MID($AD1449,FIND("|",$AD1449)+1,FIND("|",$AD1449,FIND("|",$AD1449)+1)-FIND("|",$AD1449)-1))</f>
        <v/>
      </c>
      <c r="D1449" s="180">
        <f>IF($AD1449="","",MID($AD1449,FIND("|",$AD1449,FIND("|",$AD1449)+1)+1,FIND("|",$AD1449&amp;"|",FIND("|",$AD1449,FIND("|",$AD1449)+1)+1)-FIND("|",$AD1449,FIND("|",$AD1449)+1)-1))</f>
        <v/>
      </c>
      <c r="AD1449">
        <f>TRIM(MID(SUBSTITUTE($CA$1438,"~",REPT(" ",600)),6001,600))</f>
        <v/>
      </c>
    </row>
  </sheetData>
  <pageMargins left="0.75" right="0.75" top="1" bottom="1" header="0.5" footer="0.5"/>
  <pageSetup orientation="landscape" fitToHeight="0" fitToWidth="1"/>
</worksheet>
</file>

<file path=xl/worksheets/sheet10.xml><?xml version="1.0" encoding="utf-8"?>
<worksheet xmlns="http://schemas.openxmlformats.org/spreadsheetml/2006/main">
  <sheetPr>
    <tabColor rgb="002E6B4F"/>
    <outlinePr summaryBelow="1" summaryRight="1"/>
    <pageSetUpPr fitToPage="1"/>
  </sheetPr>
  <dimension ref="A1:J5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26" customWidth="1" min="3" max="3"/>
    <col width="13" customWidth="1" min="4" max="4"/>
    <col width="9" customWidth="1" min="5" max="5"/>
    <col width="16" customWidth="1" min="6" max="6"/>
    <col width="11" customWidth="1" min="7" max="7"/>
    <col width="84" customWidth="1" min="8" max="8"/>
    <col width="34" customWidth="1" min="9" max="9"/>
    <col width="24" customWidth="1" min="10" max="10"/>
  </cols>
  <sheetData>
    <row r="1" ht="30" customHeight="1">
      <c r="A1" s="1" t="n"/>
      <c r="B1" s="38" t="inlineStr">
        <is>
          <t>FRAME ORDER</t>
        </is>
      </c>
      <c r="C1" s="1" t="n"/>
      <c r="D1" s="1" t="n"/>
      <c r="E1" s="1" t="n"/>
      <c r="F1" s="1" t="n"/>
      <c r="G1" s="1" t="n"/>
      <c r="H1" s="1" t="n"/>
      <c r="I1" s="1" t="n"/>
      <c r="J1" s="39">
        <f>IF(JobName="","OPENING TAKEOFF  ·  FORM 3.2",JobName&amp;IF(JobNo="",""," · JOB "&amp;JobNo))</f>
        <v/>
      </c>
    </row>
    <row r="2" ht="18" customHeight="1">
      <c r="A2" s="1" t="n"/>
      <c r="B2" s="40" t="inlineStr">
        <is>
          <t>Builds itself from the Takeoff — one line per frame, ready for the supplier.</t>
        </is>
      </c>
      <c r="C2" s="1" t="n"/>
      <c r="D2" s="1" t="n"/>
      <c r="E2" s="1" t="n"/>
      <c r="F2" s="1" t="n"/>
      <c r="G2" s="1" t="n"/>
      <c r="H2" s="1" t="n"/>
      <c r="I2" s="1" t="n"/>
      <c r="J2" s="41">
        <f>TEXT(JobDate,"mmm d, yyyy")&amp;IF(JobRev="",""," · "&amp;JobRev)</f>
        <v/>
      </c>
    </row>
    <row r="3" ht="4" customHeight="1">
      <c r="A3" s="6" t="n"/>
      <c r="B3" s="6" t="n"/>
      <c r="C3" s="6" t="n"/>
      <c r="D3" s="6" t="n"/>
      <c r="E3" s="6" t="n"/>
      <c r="F3" s="6" t="n"/>
      <c r="G3" s="6" t="n"/>
      <c r="H3" s="6" t="n"/>
      <c r="I3" s="6" t="n"/>
      <c r="J3" s="6" t="n"/>
    </row>
    <row r="4">
      <c r="A4" s="155">
        <f>COUNT(tk_FSEQ)&amp;" lines  ·  "&amp;SUMPRODUCT(tk_QTY,--(tk_FSEQ&lt;&gt;""))&amp;" openings"</f>
        <v/>
      </c>
    </row>
    <row r="5" ht="30" customHeight="1">
      <c r="A5" s="160" t="inlineStr">
        <is>
          <t>MARK</t>
        </is>
      </c>
      <c r="B5" s="160" t="inlineStr">
        <is>
          <t>QTY</t>
        </is>
      </c>
      <c r="C5" s="160" t="inlineStr">
        <is>
          <t>ROOM</t>
        </is>
      </c>
      <c r="D5" s="160" t="inlineStr">
        <is>
          <t>SIZE</t>
        </is>
      </c>
      <c r="E5" s="160" t="inlineStr">
        <is>
          <t>RATING</t>
        </is>
      </c>
      <c r="F5" s="160" t="inlineStr">
        <is>
          <t>O/A W x H</t>
        </is>
      </c>
      <c r="G5" s="160" t="inlineStr">
        <is>
          <t>ANCHORS (JAMB + BASE)</t>
        </is>
      </c>
      <c r="H5" s="160" t="inlineStr">
        <is>
          <t>FRAME ORDER LINE</t>
        </is>
      </c>
      <c r="I5" s="160" t="inlineStr">
        <is>
          <t>HINGE / STRIKE LOCATIONS (from top of frame)</t>
        </is>
      </c>
      <c r="J5" s="160" t="inlineStr">
        <is>
          <t>NOTES</t>
        </is>
      </c>
    </row>
    <row r="6">
      <c r="A6" s="161">
        <f>IFERROR(""&amp;INDEX(tk_MARK,MATCH(1,tk_FSEQ,0)),"")</f>
        <v/>
      </c>
      <c r="B6" s="162">
        <f>IFERROR(INDEX(tk_QTY,MATCH(1,tk_FSEQ,0)),"")</f>
        <v/>
      </c>
      <c r="C6" s="162">
        <f>IFERROR(INDEX(tk_ROOMF,MATCH(1,tk_FSEQ,0))&amp;IF(INDEX(tk_ROOMT,MATCH(1,tk_FSEQ,0))="",""," → "&amp;INDEX(tk_ROOMT,MATCH(1,tk_FSEQ,0))),"")</f>
        <v/>
      </c>
      <c r="D6" s="162">
        <f>IFERROR(""&amp;INDEX(tk_SIZE,MATCH(1,tk_FSEQ,0)),"")</f>
        <v/>
      </c>
      <c r="E6" s="162">
        <f>IFERROR(""&amp;INDEX(tk_RATING,MATCH(1,tk_FSEQ,0)),"")</f>
        <v/>
      </c>
      <c r="F6" s="162">
        <f>IFERROR(TEXT(INDEX(tk_OAW,MATCH(1,tk_FSEQ,0)),"0.000")&amp;" x "&amp;TEXT(INDEX(tk_OAH,MATCH(1,tk_FSEQ,0)),"0.000"),"")</f>
        <v/>
      </c>
      <c r="G6" s="162">
        <f>IFERROR(IF(INDEX(tk_ANCHT,MATCH(1,tk_FSEQ,0))="","",INDEX(tk_ANCHT,MATCH(1,tk_FSEQ,0))&amp;" + "&amp;INDEX(tk_BASEA,MATCH(1,tk_FSEQ,0))),"")</f>
        <v/>
      </c>
      <c r="H6" s="181">
        <f>IFERROR(""&amp;INDEX(tk_FLINE,MATCH(1,tk_FSEQ,0)),"")</f>
        <v/>
      </c>
      <c r="I6" s="181">
        <f>IFERROR(""&amp;INDEX(tk_LOCTXT,MATCH(1,tk_FSEQ,0)),"")</f>
        <v/>
      </c>
      <c r="J6" s="162">
        <f>IFERROR(""&amp;INDEX(tk_FNOTES,MATCH(1,tk_FSEQ,0)),"")</f>
        <v/>
      </c>
    </row>
    <row r="7">
      <c r="A7" s="161">
        <f>IFERROR(""&amp;INDEX(tk_MARK,MATCH(2,tk_FSEQ,0)),"")</f>
        <v/>
      </c>
      <c r="B7" s="162">
        <f>IFERROR(INDEX(tk_QTY,MATCH(2,tk_FSEQ,0)),"")</f>
        <v/>
      </c>
      <c r="C7" s="162">
        <f>IFERROR(INDEX(tk_ROOMF,MATCH(2,tk_FSEQ,0))&amp;IF(INDEX(tk_ROOMT,MATCH(2,tk_FSEQ,0))="",""," → "&amp;INDEX(tk_ROOMT,MATCH(2,tk_FSEQ,0))),"")</f>
        <v/>
      </c>
      <c r="D7" s="162">
        <f>IFERROR(""&amp;INDEX(tk_SIZE,MATCH(2,tk_FSEQ,0)),"")</f>
        <v/>
      </c>
      <c r="E7" s="162">
        <f>IFERROR(""&amp;INDEX(tk_RATING,MATCH(2,tk_FSEQ,0)),"")</f>
        <v/>
      </c>
      <c r="F7" s="162">
        <f>IFERROR(TEXT(INDEX(tk_OAW,MATCH(2,tk_FSEQ,0)),"0.000")&amp;" x "&amp;TEXT(INDEX(tk_OAH,MATCH(2,tk_FSEQ,0)),"0.000"),"")</f>
        <v/>
      </c>
      <c r="G7" s="162">
        <f>IFERROR(IF(INDEX(tk_ANCHT,MATCH(2,tk_FSEQ,0))="","",INDEX(tk_ANCHT,MATCH(2,tk_FSEQ,0))&amp;" + "&amp;INDEX(tk_BASEA,MATCH(2,tk_FSEQ,0))),"")</f>
        <v/>
      </c>
      <c r="H7" s="181">
        <f>IFERROR(""&amp;INDEX(tk_FLINE,MATCH(2,tk_FSEQ,0)),"")</f>
        <v/>
      </c>
      <c r="I7" s="181">
        <f>IFERROR(""&amp;INDEX(tk_LOCTXT,MATCH(2,tk_FSEQ,0)),"")</f>
        <v/>
      </c>
      <c r="J7" s="162">
        <f>IFERROR(""&amp;INDEX(tk_FNOTES,MATCH(2,tk_FSEQ,0)),"")</f>
        <v/>
      </c>
    </row>
    <row r="8">
      <c r="A8" s="161">
        <f>IFERROR(""&amp;INDEX(tk_MARK,MATCH(3,tk_FSEQ,0)),"")</f>
        <v/>
      </c>
      <c r="B8" s="162">
        <f>IFERROR(INDEX(tk_QTY,MATCH(3,tk_FSEQ,0)),"")</f>
        <v/>
      </c>
      <c r="C8" s="162">
        <f>IFERROR(INDEX(tk_ROOMF,MATCH(3,tk_FSEQ,0))&amp;IF(INDEX(tk_ROOMT,MATCH(3,tk_FSEQ,0))="",""," → "&amp;INDEX(tk_ROOMT,MATCH(3,tk_FSEQ,0))),"")</f>
        <v/>
      </c>
      <c r="D8" s="162">
        <f>IFERROR(""&amp;INDEX(tk_SIZE,MATCH(3,tk_FSEQ,0)),"")</f>
        <v/>
      </c>
      <c r="E8" s="162">
        <f>IFERROR(""&amp;INDEX(tk_RATING,MATCH(3,tk_FSEQ,0)),"")</f>
        <v/>
      </c>
      <c r="F8" s="162">
        <f>IFERROR(TEXT(INDEX(tk_OAW,MATCH(3,tk_FSEQ,0)),"0.000")&amp;" x "&amp;TEXT(INDEX(tk_OAH,MATCH(3,tk_FSEQ,0)),"0.000"),"")</f>
        <v/>
      </c>
      <c r="G8" s="162">
        <f>IFERROR(IF(INDEX(tk_ANCHT,MATCH(3,tk_FSEQ,0))="","",INDEX(tk_ANCHT,MATCH(3,tk_FSEQ,0))&amp;" + "&amp;INDEX(tk_BASEA,MATCH(3,tk_FSEQ,0))),"")</f>
        <v/>
      </c>
      <c r="H8" s="181">
        <f>IFERROR(""&amp;INDEX(tk_FLINE,MATCH(3,tk_FSEQ,0)),"")</f>
        <v/>
      </c>
      <c r="I8" s="181">
        <f>IFERROR(""&amp;INDEX(tk_LOCTXT,MATCH(3,tk_FSEQ,0)),"")</f>
        <v/>
      </c>
      <c r="J8" s="162">
        <f>IFERROR(""&amp;INDEX(tk_FNOTES,MATCH(3,tk_FSEQ,0)),"")</f>
        <v/>
      </c>
    </row>
    <row r="9">
      <c r="A9" s="161">
        <f>IFERROR(""&amp;INDEX(tk_MARK,MATCH(4,tk_FSEQ,0)),"")</f>
        <v/>
      </c>
      <c r="B9" s="162">
        <f>IFERROR(INDEX(tk_QTY,MATCH(4,tk_FSEQ,0)),"")</f>
        <v/>
      </c>
      <c r="C9" s="162">
        <f>IFERROR(INDEX(tk_ROOMF,MATCH(4,tk_FSEQ,0))&amp;IF(INDEX(tk_ROOMT,MATCH(4,tk_FSEQ,0))="",""," → "&amp;INDEX(tk_ROOMT,MATCH(4,tk_FSEQ,0))),"")</f>
        <v/>
      </c>
      <c r="D9" s="162">
        <f>IFERROR(""&amp;INDEX(tk_SIZE,MATCH(4,tk_FSEQ,0)),"")</f>
        <v/>
      </c>
      <c r="E9" s="162">
        <f>IFERROR(""&amp;INDEX(tk_RATING,MATCH(4,tk_FSEQ,0)),"")</f>
        <v/>
      </c>
      <c r="F9" s="162">
        <f>IFERROR(TEXT(INDEX(tk_OAW,MATCH(4,tk_FSEQ,0)),"0.000")&amp;" x "&amp;TEXT(INDEX(tk_OAH,MATCH(4,tk_FSEQ,0)),"0.000"),"")</f>
        <v/>
      </c>
      <c r="G9" s="162">
        <f>IFERROR(IF(INDEX(tk_ANCHT,MATCH(4,tk_FSEQ,0))="","",INDEX(tk_ANCHT,MATCH(4,tk_FSEQ,0))&amp;" + "&amp;INDEX(tk_BASEA,MATCH(4,tk_FSEQ,0))),"")</f>
        <v/>
      </c>
      <c r="H9" s="181">
        <f>IFERROR(""&amp;INDEX(tk_FLINE,MATCH(4,tk_FSEQ,0)),"")</f>
        <v/>
      </c>
      <c r="I9" s="181">
        <f>IFERROR(""&amp;INDEX(tk_LOCTXT,MATCH(4,tk_FSEQ,0)),"")</f>
        <v/>
      </c>
      <c r="J9" s="162">
        <f>IFERROR(""&amp;INDEX(tk_FNOTES,MATCH(4,tk_FSEQ,0)),"")</f>
        <v/>
      </c>
    </row>
    <row r="10">
      <c r="A10" s="161">
        <f>IFERROR(""&amp;INDEX(tk_MARK,MATCH(5,tk_FSEQ,0)),"")</f>
        <v/>
      </c>
      <c r="B10" s="162">
        <f>IFERROR(INDEX(tk_QTY,MATCH(5,tk_FSEQ,0)),"")</f>
        <v/>
      </c>
      <c r="C10" s="162">
        <f>IFERROR(INDEX(tk_ROOMF,MATCH(5,tk_FSEQ,0))&amp;IF(INDEX(tk_ROOMT,MATCH(5,tk_FSEQ,0))="",""," → "&amp;INDEX(tk_ROOMT,MATCH(5,tk_FSEQ,0))),"")</f>
        <v/>
      </c>
      <c r="D10" s="162">
        <f>IFERROR(""&amp;INDEX(tk_SIZE,MATCH(5,tk_FSEQ,0)),"")</f>
        <v/>
      </c>
      <c r="E10" s="162">
        <f>IFERROR(""&amp;INDEX(tk_RATING,MATCH(5,tk_FSEQ,0)),"")</f>
        <v/>
      </c>
      <c r="F10" s="162">
        <f>IFERROR(TEXT(INDEX(tk_OAW,MATCH(5,tk_FSEQ,0)),"0.000")&amp;" x "&amp;TEXT(INDEX(tk_OAH,MATCH(5,tk_FSEQ,0)),"0.000"),"")</f>
        <v/>
      </c>
      <c r="G10" s="162">
        <f>IFERROR(IF(INDEX(tk_ANCHT,MATCH(5,tk_FSEQ,0))="","",INDEX(tk_ANCHT,MATCH(5,tk_FSEQ,0))&amp;" + "&amp;INDEX(tk_BASEA,MATCH(5,tk_FSEQ,0))),"")</f>
        <v/>
      </c>
      <c r="H10" s="181">
        <f>IFERROR(""&amp;INDEX(tk_FLINE,MATCH(5,tk_FSEQ,0)),"")</f>
        <v/>
      </c>
      <c r="I10" s="181">
        <f>IFERROR(""&amp;INDEX(tk_LOCTXT,MATCH(5,tk_FSEQ,0)),"")</f>
        <v/>
      </c>
      <c r="J10" s="162">
        <f>IFERROR(""&amp;INDEX(tk_FNOTES,MATCH(5,tk_FSEQ,0)),"")</f>
        <v/>
      </c>
    </row>
    <row r="11">
      <c r="A11" s="161">
        <f>IFERROR(""&amp;INDEX(tk_MARK,MATCH(6,tk_FSEQ,0)),"")</f>
        <v/>
      </c>
      <c r="B11" s="162">
        <f>IFERROR(INDEX(tk_QTY,MATCH(6,tk_FSEQ,0)),"")</f>
        <v/>
      </c>
      <c r="C11" s="162">
        <f>IFERROR(INDEX(tk_ROOMF,MATCH(6,tk_FSEQ,0))&amp;IF(INDEX(tk_ROOMT,MATCH(6,tk_FSEQ,0))="",""," → "&amp;INDEX(tk_ROOMT,MATCH(6,tk_FSEQ,0))),"")</f>
        <v/>
      </c>
      <c r="D11" s="162">
        <f>IFERROR(""&amp;INDEX(tk_SIZE,MATCH(6,tk_FSEQ,0)),"")</f>
        <v/>
      </c>
      <c r="E11" s="162">
        <f>IFERROR(""&amp;INDEX(tk_RATING,MATCH(6,tk_FSEQ,0)),"")</f>
        <v/>
      </c>
      <c r="F11" s="162">
        <f>IFERROR(TEXT(INDEX(tk_OAW,MATCH(6,tk_FSEQ,0)),"0.000")&amp;" x "&amp;TEXT(INDEX(tk_OAH,MATCH(6,tk_FSEQ,0)),"0.000"),"")</f>
        <v/>
      </c>
      <c r="G11" s="162">
        <f>IFERROR(IF(INDEX(tk_ANCHT,MATCH(6,tk_FSEQ,0))="","",INDEX(tk_ANCHT,MATCH(6,tk_FSEQ,0))&amp;" + "&amp;INDEX(tk_BASEA,MATCH(6,tk_FSEQ,0))),"")</f>
        <v/>
      </c>
      <c r="H11" s="181">
        <f>IFERROR(""&amp;INDEX(tk_FLINE,MATCH(6,tk_FSEQ,0)),"")</f>
        <v/>
      </c>
      <c r="I11" s="181">
        <f>IFERROR(""&amp;INDEX(tk_LOCTXT,MATCH(6,tk_FSEQ,0)),"")</f>
        <v/>
      </c>
      <c r="J11" s="162">
        <f>IFERROR(""&amp;INDEX(tk_FNOTES,MATCH(6,tk_FSEQ,0)),"")</f>
        <v/>
      </c>
    </row>
    <row r="12">
      <c r="A12" s="161">
        <f>IFERROR(""&amp;INDEX(tk_MARK,MATCH(7,tk_FSEQ,0)),"")</f>
        <v/>
      </c>
      <c r="B12" s="162">
        <f>IFERROR(INDEX(tk_QTY,MATCH(7,tk_FSEQ,0)),"")</f>
        <v/>
      </c>
      <c r="C12" s="162">
        <f>IFERROR(INDEX(tk_ROOMF,MATCH(7,tk_FSEQ,0))&amp;IF(INDEX(tk_ROOMT,MATCH(7,tk_FSEQ,0))="",""," → "&amp;INDEX(tk_ROOMT,MATCH(7,tk_FSEQ,0))),"")</f>
        <v/>
      </c>
      <c r="D12" s="162">
        <f>IFERROR(""&amp;INDEX(tk_SIZE,MATCH(7,tk_FSEQ,0)),"")</f>
        <v/>
      </c>
      <c r="E12" s="162">
        <f>IFERROR(""&amp;INDEX(tk_RATING,MATCH(7,tk_FSEQ,0)),"")</f>
        <v/>
      </c>
      <c r="F12" s="162">
        <f>IFERROR(TEXT(INDEX(tk_OAW,MATCH(7,tk_FSEQ,0)),"0.000")&amp;" x "&amp;TEXT(INDEX(tk_OAH,MATCH(7,tk_FSEQ,0)),"0.000"),"")</f>
        <v/>
      </c>
      <c r="G12" s="162">
        <f>IFERROR(IF(INDEX(tk_ANCHT,MATCH(7,tk_FSEQ,0))="","",INDEX(tk_ANCHT,MATCH(7,tk_FSEQ,0))&amp;" + "&amp;INDEX(tk_BASEA,MATCH(7,tk_FSEQ,0))),"")</f>
        <v/>
      </c>
      <c r="H12" s="181">
        <f>IFERROR(""&amp;INDEX(tk_FLINE,MATCH(7,tk_FSEQ,0)),"")</f>
        <v/>
      </c>
      <c r="I12" s="181">
        <f>IFERROR(""&amp;INDEX(tk_LOCTXT,MATCH(7,tk_FSEQ,0)),"")</f>
        <v/>
      </c>
      <c r="J12" s="162">
        <f>IFERROR(""&amp;INDEX(tk_FNOTES,MATCH(7,tk_FSEQ,0)),"")</f>
        <v/>
      </c>
    </row>
    <row r="13">
      <c r="A13" s="161">
        <f>IFERROR(""&amp;INDEX(tk_MARK,MATCH(8,tk_FSEQ,0)),"")</f>
        <v/>
      </c>
      <c r="B13" s="162">
        <f>IFERROR(INDEX(tk_QTY,MATCH(8,tk_FSEQ,0)),"")</f>
        <v/>
      </c>
      <c r="C13" s="162">
        <f>IFERROR(INDEX(tk_ROOMF,MATCH(8,tk_FSEQ,0))&amp;IF(INDEX(tk_ROOMT,MATCH(8,tk_FSEQ,0))="",""," → "&amp;INDEX(tk_ROOMT,MATCH(8,tk_FSEQ,0))),"")</f>
        <v/>
      </c>
      <c r="D13" s="162">
        <f>IFERROR(""&amp;INDEX(tk_SIZE,MATCH(8,tk_FSEQ,0)),"")</f>
        <v/>
      </c>
      <c r="E13" s="162">
        <f>IFERROR(""&amp;INDEX(tk_RATING,MATCH(8,tk_FSEQ,0)),"")</f>
        <v/>
      </c>
      <c r="F13" s="162">
        <f>IFERROR(TEXT(INDEX(tk_OAW,MATCH(8,tk_FSEQ,0)),"0.000")&amp;" x "&amp;TEXT(INDEX(tk_OAH,MATCH(8,tk_FSEQ,0)),"0.000"),"")</f>
        <v/>
      </c>
      <c r="G13" s="162">
        <f>IFERROR(IF(INDEX(tk_ANCHT,MATCH(8,tk_FSEQ,0))="","",INDEX(tk_ANCHT,MATCH(8,tk_FSEQ,0))&amp;" + "&amp;INDEX(tk_BASEA,MATCH(8,tk_FSEQ,0))),"")</f>
        <v/>
      </c>
      <c r="H13" s="181">
        <f>IFERROR(""&amp;INDEX(tk_FLINE,MATCH(8,tk_FSEQ,0)),"")</f>
        <v/>
      </c>
      <c r="I13" s="181">
        <f>IFERROR(""&amp;INDEX(tk_LOCTXT,MATCH(8,tk_FSEQ,0)),"")</f>
        <v/>
      </c>
      <c r="J13" s="162">
        <f>IFERROR(""&amp;INDEX(tk_FNOTES,MATCH(8,tk_FSEQ,0)),"")</f>
        <v/>
      </c>
    </row>
    <row r="14">
      <c r="A14" s="161">
        <f>IFERROR(""&amp;INDEX(tk_MARK,MATCH(9,tk_FSEQ,0)),"")</f>
        <v/>
      </c>
      <c r="B14" s="162">
        <f>IFERROR(INDEX(tk_QTY,MATCH(9,tk_FSEQ,0)),"")</f>
        <v/>
      </c>
      <c r="C14" s="162">
        <f>IFERROR(INDEX(tk_ROOMF,MATCH(9,tk_FSEQ,0))&amp;IF(INDEX(tk_ROOMT,MATCH(9,tk_FSEQ,0))="",""," → "&amp;INDEX(tk_ROOMT,MATCH(9,tk_FSEQ,0))),"")</f>
        <v/>
      </c>
      <c r="D14" s="162">
        <f>IFERROR(""&amp;INDEX(tk_SIZE,MATCH(9,tk_FSEQ,0)),"")</f>
        <v/>
      </c>
      <c r="E14" s="162">
        <f>IFERROR(""&amp;INDEX(tk_RATING,MATCH(9,tk_FSEQ,0)),"")</f>
        <v/>
      </c>
      <c r="F14" s="162">
        <f>IFERROR(TEXT(INDEX(tk_OAW,MATCH(9,tk_FSEQ,0)),"0.000")&amp;" x "&amp;TEXT(INDEX(tk_OAH,MATCH(9,tk_FSEQ,0)),"0.000"),"")</f>
        <v/>
      </c>
      <c r="G14" s="162">
        <f>IFERROR(IF(INDEX(tk_ANCHT,MATCH(9,tk_FSEQ,0))="","",INDEX(tk_ANCHT,MATCH(9,tk_FSEQ,0))&amp;" + "&amp;INDEX(tk_BASEA,MATCH(9,tk_FSEQ,0))),"")</f>
        <v/>
      </c>
      <c r="H14" s="181">
        <f>IFERROR(""&amp;INDEX(tk_FLINE,MATCH(9,tk_FSEQ,0)),"")</f>
        <v/>
      </c>
      <c r="I14" s="181">
        <f>IFERROR(""&amp;INDEX(tk_LOCTXT,MATCH(9,tk_FSEQ,0)),"")</f>
        <v/>
      </c>
      <c r="J14" s="162">
        <f>IFERROR(""&amp;INDEX(tk_FNOTES,MATCH(9,tk_FSEQ,0)),"")</f>
        <v/>
      </c>
    </row>
    <row r="15">
      <c r="A15" s="161">
        <f>IFERROR(""&amp;INDEX(tk_MARK,MATCH(10,tk_FSEQ,0)),"")</f>
        <v/>
      </c>
      <c r="B15" s="162">
        <f>IFERROR(INDEX(tk_QTY,MATCH(10,tk_FSEQ,0)),"")</f>
        <v/>
      </c>
      <c r="C15" s="162">
        <f>IFERROR(INDEX(tk_ROOMF,MATCH(10,tk_FSEQ,0))&amp;IF(INDEX(tk_ROOMT,MATCH(10,tk_FSEQ,0))="",""," → "&amp;INDEX(tk_ROOMT,MATCH(10,tk_FSEQ,0))),"")</f>
        <v/>
      </c>
      <c r="D15" s="162">
        <f>IFERROR(""&amp;INDEX(tk_SIZE,MATCH(10,tk_FSEQ,0)),"")</f>
        <v/>
      </c>
      <c r="E15" s="162">
        <f>IFERROR(""&amp;INDEX(tk_RATING,MATCH(10,tk_FSEQ,0)),"")</f>
        <v/>
      </c>
      <c r="F15" s="162">
        <f>IFERROR(TEXT(INDEX(tk_OAW,MATCH(10,tk_FSEQ,0)),"0.000")&amp;" x "&amp;TEXT(INDEX(tk_OAH,MATCH(10,tk_FSEQ,0)),"0.000"),"")</f>
        <v/>
      </c>
      <c r="G15" s="162">
        <f>IFERROR(IF(INDEX(tk_ANCHT,MATCH(10,tk_FSEQ,0))="","",INDEX(tk_ANCHT,MATCH(10,tk_FSEQ,0))&amp;" + "&amp;INDEX(tk_BASEA,MATCH(10,tk_FSEQ,0))),"")</f>
        <v/>
      </c>
      <c r="H15" s="181">
        <f>IFERROR(""&amp;INDEX(tk_FLINE,MATCH(10,tk_FSEQ,0)),"")</f>
        <v/>
      </c>
      <c r="I15" s="181">
        <f>IFERROR(""&amp;INDEX(tk_LOCTXT,MATCH(10,tk_FSEQ,0)),"")</f>
        <v/>
      </c>
      <c r="J15" s="162">
        <f>IFERROR(""&amp;INDEX(tk_FNOTES,MATCH(10,tk_FSEQ,0)),"")</f>
        <v/>
      </c>
    </row>
    <row r="16">
      <c r="A16" s="161">
        <f>IFERROR(""&amp;INDEX(tk_MARK,MATCH(11,tk_FSEQ,0)),"")</f>
        <v/>
      </c>
      <c r="B16" s="162">
        <f>IFERROR(INDEX(tk_QTY,MATCH(11,tk_FSEQ,0)),"")</f>
        <v/>
      </c>
      <c r="C16" s="162">
        <f>IFERROR(INDEX(tk_ROOMF,MATCH(11,tk_FSEQ,0))&amp;IF(INDEX(tk_ROOMT,MATCH(11,tk_FSEQ,0))="",""," → "&amp;INDEX(tk_ROOMT,MATCH(11,tk_FSEQ,0))),"")</f>
        <v/>
      </c>
      <c r="D16" s="162">
        <f>IFERROR(""&amp;INDEX(tk_SIZE,MATCH(11,tk_FSEQ,0)),"")</f>
        <v/>
      </c>
      <c r="E16" s="162">
        <f>IFERROR(""&amp;INDEX(tk_RATING,MATCH(11,tk_FSEQ,0)),"")</f>
        <v/>
      </c>
      <c r="F16" s="162">
        <f>IFERROR(TEXT(INDEX(tk_OAW,MATCH(11,tk_FSEQ,0)),"0.000")&amp;" x "&amp;TEXT(INDEX(tk_OAH,MATCH(11,tk_FSEQ,0)),"0.000"),"")</f>
        <v/>
      </c>
      <c r="G16" s="162">
        <f>IFERROR(IF(INDEX(tk_ANCHT,MATCH(11,tk_FSEQ,0))="","",INDEX(tk_ANCHT,MATCH(11,tk_FSEQ,0))&amp;" + "&amp;INDEX(tk_BASEA,MATCH(11,tk_FSEQ,0))),"")</f>
        <v/>
      </c>
      <c r="H16" s="181">
        <f>IFERROR(""&amp;INDEX(tk_FLINE,MATCH(11,tk_FSEQ,0)),"")</f>
        <v/>
      </c>
      <c r="I16" s="181">
        <f>IFERROR(""&amp;INDEX(tk_LOCTXT,MATCH(11,tk_FSEQ,0)),"")</f>
        <v/>
      </c>
      <c r="J16" s="162">
        <f>IFERROR(""&amp;INDEX(tk_FNOTES,MATCH(11,tk_FSEQ,0)),"")</f>
        <v/>
      </c>
    </row>
    <row r="17">
      <c r="A17" s="161">
        <f>IFERROR(""&amp;INDEX(tk_MARK,MATCH(12,tk_FSEQ,0)),"")</f>
        <v/>
      </c>
      <c r="B17" s="162">
        <f>IFERROR(INDEX(tk_QTY,MATCH(12,tk_FSEQ,0)),"")</f>
        <v/>
      </c>
      <c r="C17" s="162">
        <f>IFERROR(INDEX(tk_ROOMF,MATCH(12,tk_FSEQ,0))&amp;IF(INDEX(tk_ROOMT,MATCH(12,tk_FSEQ,0))="",""," → "&amp;INDEX(tk_ROOMT,MATCH(12,tk_FSEQ,0))),"")</f>
        <v/>
      </c>
      <c r="D17" s="162">
        <f>IFERROR(""&amp;INDEX(tk_SIZE,MATCH(12,tk_FSEQ,0)),"")</f>
        <v/>
      </c>
      <c r="E17" s="162">
        <f>IFERROR(""&amp;INDEX(tk_RATING,MATCH(12,tk_FSEQ,0)),"")</f>
        <v/>
      </c>
      <c r="F17" s="162">
        <f>IFERROR(TEXT(INDEX(tk_OAW,MATCH(12,tk_FSEQ,0)),"0.000")&amp;" x "&amp;TEXT(INDEX(tk_OAH,MATCH(12,tk_FSEQ,0)),"0.000"),"")</f>
        <v/>
      </c>
      <c r="G17" s="162">
        <f>IFERROR(IF(INDEX(tk_ANCHT,MATCH(12,tk_FSEQ,0))="","",INDEX(tk_ANCHT,MATCH(12,tk_FSEQ,0))&amp;" + "&amp;INDEX(tk_BASEA,MATCH(12,tk_FSEQ,0))),"")</f>
        <v/>
      </c>
      <c r="H17" s="181">
        <f>IFERROR(""&amp;INDEX(tk_FLINE,MATCH(12,tk_FSEQ,0)),"")</f>
        <v/>
      </c>
      <c r="I17" s="181">
        <f>IFERROR(""&amp;INDEX(tk_LOCTXT,MATCH(12,tk_FSEQ,0)),"")</f>
        <v/>
      </c>
      <c r="J17" s="162">
        <f>IFERROR(""&amp;INDEX(tk_FNOTES,MATCH(12,tk_FSEQ,0)),"")</f>
        <v/>
      </c>
    </row>
    <row r="18">
      <c r="A18" s="161">
        <f>IFERROR(""&amp;INDEX(tk_MARK,MATCH(13,tk_FSEQ,0)),"")</f>
        <v/>
      </c>
      <c r="B18" s="162">
        <f>IFERROR(INDEX(tk_QTY,MATCH(13,tk_FSEQ,0)),"")</f>
        <v/>
      </c>
      <c r="C18" s="162">
        <f>IFERROR(INDEX(tk_ROOMF,MATCH(13,tk_FSEQ,0))&amp;IF(INDEX(tk_ROOMT,MATCH(13,tk_FSEQ,0))="",""," → "&amp;INDEX(tk_ROOMT,MATCH(13,tk_FSEQ,0))),"")</f>
        <v/>
      </c>
      <c r="D18" s="162">
        <f>IFERROR(""&amp;INDEX(tk_SIZE,MATCH(13,tk_FSEQ,0)),"")</f>
        <v/>
      </c>
      <c r="E18" s="162">
        <f>IFERROR(""&amp;INDEX(tk_RATING,MATCH(13,tk_FSEQ,0)),"")</f>
        <v/>
      </c>
      <c r="F18" s="162">
        <f>IFERROR(TEXT(INDEX(tk_OAW,MATCH(13,tk_FSEQ,0)),"0.000")&amp;" x "&amp;TEXT(INDEX(tk_OAH,MATCH(13,tk_FSEQ,0)),"0.000"),"")</f>
        <v/>
      </c>
      <c r="G18" s="162">
        <f>IFERROR(IF(INDEX(tk_ANCHT,MATCH(13,tk_FSEQ,0))="","",INDEX(tk_ANCHT,MATCH(13,tk_FSEQ,0))&amp;" + "&amp;INDEX(tk_BASEA,MATCH(13,tk_FSEQ,0))),"")</f>
        <v/>
      </c>
      <c r="H18" s="181">
        <f>IFERROR(""&amp;INDEX(tk_FLINE,MATCH(13,tk_FSEQ,0)),"")</f>
        <v/>
      </c>
      <c r="I18" s="181">
        <f>IFERROR(""&amp;INDEX(tk_LOCTXT,MATCH(13,tk_FSEQ,0)),"")</f>
        <v/>
      </c>
      <c r="J18" s="162">
        <f>IFERROR(""&amp;INDEX(tk_FNOTES,MATCH(13,tk_FSEQ,0)),"")</f>
        <v/>
      </c>
    </row>
    <row r="19">
      <c r="A19" s="161">
        <f>IFERROR(""&amp;INDEX(tk_MARK,MATCH(14,tk_FSEQ,0)),"")</f>
        <v/>
      </c>
      <c r="B19" s="162">
        <f>IFERROR(INDEX(tk_QTY,MATCH(14,tk_FSEQ,0)),"")</f>
        <v/>
      </c>
      <c r="C19" s="162">
        <f>IFERROR(INDEX(tk_ROOMF,MATCH(14,tk_FSEQ,0))&amp;IF(INDEX(tk_ROOMT,MATCH(14,tk_FSEQ,0))="",""," → "&amp;INDEX(tk_ROOMT,MATCH(14,tk_FSEQ,0))),"")</f>
        <v/>
      </c>
      <c r="D19" s="162">
        <f>IFERROR(""&amp;INDEX(tk_SIZE,MATCH(14,tk_FSEQ,0)),"")</f>
        <v/>
      </c>
      <c r="E19" s="162">
        <f>IFERROR(""&amp;INDEX(tk_RATING,MATCH(14,tk_FSEQ,0)),"")</f>
        <v/>
      </c>
      <c r="F19" s="162">
        <f>IFERROR(TEXT(INDEX(tk_OAW,MATCH(14,tk_FSEQ,0)),"0.000")&amp;" x "&amp;TEXT(INDEX(tk_OAH,MATCH(14,tk_FSEQ,0)),"0.000"),"")</f>
        <v/>
      </c>
      <c r="G19" s="162">
        <f>IFERROR(IF(INDEX(tk_ANCHT,MATCH(14,tk_FSEQ,0))="","",INDEX(tk_ANCHT,MATCH(14,tk_FSEQ,0))&amp;" + "&amp;INDEX(tk_BASEA,MATCH(14,tk_FSEQ,0))),"")</f>
        <v/>
      </c>
      <c r="H19" s="181">
        <f>IFERROR(""&amp;INDEX(tk_FLINE,MATCH(14,tk_FSEQ,0)),"")</f>
        <v/>
      </c>
      <c r="I19" s="181">
        <f>IFERROR(""&amp;INDEX(tk_LOCTXT,MATCH(14,tk_FSEQ,0)),"")</f>
        <v/>
      </c>
      <c r="J19" s="162">
        <f>IFERROR(""&amp;INDEX(tk_FNOTES,MATCH(14,tk_FSEQ,0)),"")</f>
        <v/>
      </c>
    </row>
    <row r="20">
      <c r="A20" s="161">
        <f>IFERROR(""&amp;INDEX(tk_MARK,MATCH(15,tk_FSEQ,0)),"")</f>
        <v/>
      </c>
      <c r="B20" s="162">
        <f>IFERROR(INDEX(tk_QTY,MATCH(15,tk_FSEQ,0)),"")</f>
        <v/>
      </c>
      <c r="C20" s="162">
        <f>IFERROR(INDEX(tk_ROOMF,MATCH(15,tk_FSEQ,0))&amp;IF(INDEX(tk_ROOMT,MATCH(15,tk_FSEQ,0))="",""," → "&amp;INDEX(tk_ROOMT,MATCH(15,tk_FSEQ,0))),"")</f>
        <v/>
      </c>
      <c r="D20" s="162">
        <f>IFERROR(""&amp;INDEX(tk_SIZE,MATCH(15,tk_FSEQ,0)),"")</f>
        <v/>
      </c>
      <c r="E20" s="162">
        <f>IFERROR(""&amp;INDEX(tk_RATING,MATCH(15,tk_FSEQ,0)),"")</f>
        <v/>
      </c>
      <c r="F20" s="162">
        <f>IFERROR(TEXT(INDEX(tk_OAW,MATCH(15,tk_FSEQ,0)),"0.000")&amp;" x "&amp;TEXT(INDEX(tk_OAH,MATCH(15,tk_FSEQ,0)),"0.000"),"")</f>
        <v/>
      </c>
      <c r="G20" s="162">
        <f>IFERROR(IF(INDEX(tk_ANCHT,MATCH(15,tk_FSEQ,0))="","",INDEX(tk_ANCHT,MATCH(15,tk_FSEQ,0))&amp;" + "&amp;INDEX(tk_BASEA,MATCH(15,tk_FSEQ,0))),"")</f>
        <v/>
      </c>
      <c r="H20" s="181">
        <f>IFERROR(""&amp;INDEX(tk_FLINE,MATCH(15,tk_FSEQ,0)),"")</f>
        <v/>
      </c>
      <c r="I20" s="181">
        <f>IFERROR(""&amp;INDEX(tk_LOCTXT,MATCH(15,tk_FSEQ,0)),"")</f>
        <v/>
      </c>
      <c r="J20" s="162">
        <f>IFERROR(""&amp;INDEX(tk_FNOTES,MATCH(15,tk_FSEQ,0)),"")</f>
        <v/>
      </c>
    </row>
    <row r="21">
      <c r="A21" s="161">
        <f>IFERROR(""&amp;INDEX(tk_MARK,MATCH(16,tk_FSEQ,0)),"")</f>
        <v/>
      </c>
      <c r="B21" s="162">
        <f>IFERROR(INDEX(tk_QTY,MATCH(16,tk_FSEQ,0)),"")</f>
        <v/>
      </c>
      <c r="C21" s="162">
        <f>IFERROR(INDEX(tk_ROOMF,MATCH(16,tk_FSEQ,0))&amp;IF(INDEX(tk_ROOMT,MATCH(16,tk_FSEQ,0))="",""," → "&amp;INDEX(tk_ROOMT,MATCH(16,tk_FSEQ,0))),"")</f>
        <v/>
      </c>
      <c r="D21" s="162">
        <f>IFERROR(""&amp;INDEX(tk_SIZE,MATCH(16,tk_FSEQ,0)),"")</f>
        <v/>
      </c>
      <c r="E21" s="162">
        <f>IFERROR(""&amp;INDEX(tk_RATING,MATCH(16,tk_FSEQ,0)),"")</f>
        <v/>
      </c>
      <c r="F21" s="162">
        <f>IFERROR(TEXT(INDEX(tk_OAW,MATCH(16,tk_FSEQ,0)),"0.000")&amp;" x "&amp;TEXT(INDEX(tk_OAH,MATCH(16,tk_FSEQ,0)),"0.000"),"")</f>
        <v/>
      </c>
      <c r="G21" s="162">
        <f>IFERROR(IF(INDEX(tk_ANCHT,MATCH(16,tk_FSEQ,0))="","",INDEX(tk_ANCHT,MATCH(16,tk_FSEQ,0))&amp;" + "&amp;INDEX(tk_BASEA,MATCH(16,tk_FSEQ,0))),"")</f>
        <v/>
      </c>
      <c r="H21" s="181">
        <f>IFERROR(""&amp;INDEX(tk_FLINE,MATCH(16,tk_FSEQ,0)),"")</f>
        <v/>
      </c>
      <c r="I21" s="181">
        <f>IFERROR(""&amp;INDEX(tk_LOCTXT,MATCH(16,tk_FSEQ,0)),"")</f>
        <v/>
      </c>
      <c r="J21" s="162">
        <f>IFERROR(""&amp;INDEX(tk_FNOTES,MATCH(16,tk_FSEQ,0)),"")</f>
        <v/>
      </c>
    </row>
    <row r="22">
      <c r="A22" s="161">
        <f>IFERROR(""&amp;INDEX(tk_MARK,MATCH(17,tk_FSEQ,0)),"")</f>
        <v/>
      </c>
      <c r="B22" s="162">
        <f>IFERROR(INDEX(tk_QTY,MATCH(17,tk_FSEQ,0)),"")</f>
        <v/>
      </c>
      <c r="C22" s="162">
        <f>IFERROR(INDEX(tk_ROOMF,MATCH(17,tk_FSEQ,0))&amp;IF(INDEX(tk_ROOMT,MATCH(17,tk_FSEQ,0))="",""," → "&amp;INDEX(tk_ROOMT,MATCH(17,tk_FSEQ,0))),"")</f>
        <v/>
      </c>
      <c r="D22" s="162">
        <f>IFERROR(""&amp;INDEX(tk_SIZE,MATCH(17,tk_FSEQ,0)),"")</f>
        <v/>
      </c>
      <c r="E22" s="162">
        <f>IFERROR(""&amp;INDEX(tk_RATING,MATCH(17,tk_FSEQ,0)),"")</f>
        <v/>
      </c>
      <c r="F22" s="162">
        <f>IFERROR(TEXT(INDEX(tk_OAW,MATCH(17,tk_FSEQ,0)),"0.000")&amp;" x "&amp;TEXT(INDEX(tk_OAH,MATCH(17,tk_FSEQ,0)),"0.000"),"")</f>
        <v/>
      </c>
      <c r="G22" s="162">
        <f>IFERROR(IF(INDEX(tk_ANCHT,MATCH(17,tk_FSEQ,0))="","",INDEX(tk_ANCHT,MATCH(17,tk_FSEQ,0))&amp;" + "&amp;INDEX(tk_BASEA,MATCH(17,tk_FSEQ,0))),"")</f>
        <v/>
      </c>
      <c r="H22" s="181">
        <f>IFERROR(""&amp;INDEX(tk_FLINE,MATCH(17,tk_FSEQ,0)),"")</f>
        <v/>
      </c>
      <c r="I22" s="181">
        <f>IFERROR(""&amp;INDEX(tk_LOCTXT,MATCH(17,tk_FSEQ,0)),"")</f>
        <v/>
      </c>
      <c r="J22" s="162">
        <f>IFERROR(""&amp;INDEX(tk_FNOTES,MATCH(17,tk_FSEQ,0)),"")</f>
        <v/>
      </c>
    </row>
    <row r="23">
      <c r="A23" s="161">
        <f>IFERROR(""&amp;INDEX(tk_MARK,MATCH(18,tk_FSEQ,0)),"")</f>
        <v/>
      </c>
      <c r="B23" s="162">
        <f>IFERROR(INDEX(tk_QTY,MATCH(18,tk_FSEQ,0)),"")</f>
        <v/>
      </c>
      <c r="C23" s="162">
        <f>IFERROR(INDEX(tk_ROOMF,MATCH(18,tk_FSEQ,0))&amp;IF(INDEX(tk_ROOMT,MATCH(18,tk_FSEQ,0))="",""," → "&amp;INDEX(tk_ROOMT,MATCH(18,tk_FSEQ,0))),"")</f>
        <v/>
      </c>
      <c r="D23" s="162">
        <f>IFERROR(""&amp;INDEX(tk_SIZE,MATCH(18,tk_FSEQ,0)),"")</f>
        <v/>
      </c>
      <c r="E23" s="162">
        <f>IFERROR(""&amp;INDEX(tk_RATING,MATCH(18,tk_FSEQ,0)),"")</f>
        <v/>
      </c>
      <c r="F23" s="162">
        <f>IFERROR(TEXT(INDEX(tk_OAW,MATCH(18,tk_FSEQ,0)),"0.000")&amp;" x "&amp;TEXT(INDEX(tk_OAH,MATCH(18,tk_FSEQ,0)),"0.000"),"")</f>
        <v/>
      </c>
      <c r="G23" s="162">
        <f>IFERROR(IF(INDEX(tk_ANCHT,MATCH(18,tk_FSEQ,0))="","",INDEX(tk_ANCHT,MATCH(18,tk_FSEQ,0))&amp;" + "&amp;INDEX(tk_BASEA,MATCH(18,tk_FSEQ,0))),"")</f>
        <v/>
      </c>
      <c r="H23" s="181">
        <f>IFERROR(""&amp;INDEX(tk_FLINE,MATCH(18,tk_FSEQ,0)),"")</f>
        <v/>
      </c>
      <c r="I23" s="181">
        <f>IFERROR(""&amp;INDEX(tk_LOCTXT,MATCH(18,tk_FSEQ,0)),"")</f>
        <v/>
      </c>
      <c r="J23" s="162">
        <f>IFERROR(""&amp;INDEX(tk_FNOTES,MATCH(18,tk_FSEQ,0)),"")</f>
        <v/>
      </c>
    </row>
    <row r="24">
      <c r="A24" s="161">
        <f>IFERROR(""&amp;INDEX(tk_MARK,MATCH(19,tk_FSEQ,0)),"")</f>
        <v/>
      </c>
      <c r="B24" s="162">
        <f>IFERROR(INDEX(tk_QTY,MATCH(19,tk_FSEQ,0)),"")</f>
        <v/>
      </c>
      <c r="C24" s="162">
        <f>IFERROR(INDEX(tk_ROOMF,MATCH(19,tk_FSEQ,0))&amp;IF(INDEX(tk_ROOMT,MATCH(19,tk_FSEQ,0))="",""," → "&amp;INDEX(tk_ROOMT,MATCH(19,tk_FSEQ,0))),"")</f>
        <v/>
      </c>
      <c r="D24" s="162">
        <f>IFERROR(""&amp;INDEX(tk_SIZE,MATCH(19,tk_FSEQ,0)),"")</f>
        <v/>
      </c>
      <c r="E24" s="162">
        <f>IFERROR(""&amp;INDEX(tk_RATING,MATCH(19,tk_FSEQ,0)),"")</f>
        <v/>
      </c>
      <c r="F24" s="162">
        <f>IFERROR(TEXT(INDEX(tk_OAW,MATCH(19,tk_FSEQ,0)),"0.000")&amp;" x "&amp;TEXT(INDEX(tk_OAH,MATCH(19,tk_FSEQ,0)),"0.000"),"")</f>
        <v/>
      </c>
      <c r="G24" s="162">
        <f>IFERROR(IF(INDEX(tk_ANCHT,MATCH(19,tk_FSEQ,0))="","",INDEX(tk_ANCHT,MATCH(19,tk_FSEQ,0))&amp;" + "&amp;INDEX(tk_BASEA,MATCH(19,tk_FSEQ,0))),"")</f>
        <v/>
      </c>
      <c r="H24" s="181">
        <f>IFERROR(""&amp;INDEX(tk_FLINE,MATCH(19,tk_FSEQ,0)),"")</f>
        <v/>
      </c>
      <c r="I24" s="181">
        <f>IFERROR(""&amp;INDEX(tk_LOCTXT,MATCH(19,tk_FSEQ,0)),"")</f>
        <v/>
      </c>
      <c r="J24" s="162">
        <f>IFERROR(""&amp;INDEX(tk_FNOTES,MATCH(19,tk_FSEQ,0)),"")</f>
        <v/>
      </c>
    </row>
    <row r="25">
      <c r="A25" s="161">
        <f>IFERROR(""&amp;INDEX(tk_MARK,MATCH(20,tk_FSEQ,0)),"")</f>
        <v/>
      </c>
      <c r="B25" s="162">
        <f>IFERROR(INDEX(tk_QTY,MATCH(20,tk_FSEQ,0)),"")</f>
        <v/>
      </c>
      <c r="C25" s="162">
        <f>IFERROR(INDEX(tk_ROOMF,MATCH(20,tk_FSEQ,0))&amp;IF(INDEX(tk_ROOMT,MATCH(20,tk_FSEQ,0))="",""," → "&amp;INDEX(tk_ROOMT,MATCH(20,tk_FSEQ,0))),"")</f>
        <v/>
      </c>
      <c r="D25" s="162">
        <f>IFERROR(""&amp;INDEX(tk_SIZE,MATCH(20,tk_FSEQ,0)),"")</f>
        <v/>
      </c>
      <c r="E25" s="162">
        <f>IFERROR(""&amp;INDEX(tk_RATING,MATCH(20,tk_FSEQ,0)),"")</f>
        <v/>
      </c>
      <c r="F25" s="162">
        <f>IFERROR(TEXT(INDEX(tk_OAW,MATCH(20,tk_FSEQ,0)),"0.000")&amp;" x "&amp;TEXT(INDEX(tk_OAH,MATCH(20,tk_FSEQ,0)),"0.000"),"")</f>
        <v/>
      </c>
      <c r="G25" s="162">
        <f>IFERROR(IF(INDEX(tk_ANCHT,MATCH(20,tk_FSEQ,0))="","",INDEX(tk_ANCHT,MATCH(20,tk_FSEQ,0))&amp;" + "&amp;INDEX(tk_BASEA,MATCH(20,tk_FSEQ,0))),"")</f>
        <v/>
      </c>
      <c r="H25" s="181">
        <f>IFERROR(""&amp;INDEX(tk_FLINE,MATCH(20,tk_FSEQ,0)),"")</f>
        <v/>
      </c>
      <c r="I25" s="181">
        <f>IFERROR(""&amp;INDEX(tk_LOCTXT,MATCH(20,tk_FSEQ,0)),"")</f>
        <v/>
      </c>
      <c r="J25" s="162">
        <f>IFERROR(""&amp;INDEX(tk_FNOTES,MATCH(20,tk_FSEQ,0)),"")</f>
        <v/>
      </c>
    </row>
    <row r="26">
      <c r="A26" s="161">
        <f>IFERROR(""&amp;INDEX(tk_MARK,MATCH(21,tk_FSEQ,0)),"")</f>
        <v/>
      </c>
      <c r="B26" s="162">
        <f>IFERROR(INDEX(tk_QTY,MATCH(21,tk_FSEQ,0)),"")</f>
        <v/>
      </c>
      <c r="C26" s="162">
        <f>IFERROR(INDEX(tk_ROOMF,MATCH(21,tk_FSEQ,0))&amp;IF(INDEX(tk_ROOMT,MATCH(21,tk_FSEQ,0))="",""," → "&amp;INDEX(tk_ROOMT,MATCH(21,tk_FSEQ,0))),"")</f>
        <v/>
      </c>
      <c r="D26" s="162">
        <f>IFERROR(""&amp;INDEX(tk_SIZE,MATCH(21,tk_FSEQ,0)),"")</f>
        <v/>
      </c>
      <c r="E26" s="162">
        <f>IFERROR(""&amp;INDEX(tk_RATING,MATCH(21,tk_FSEQ,0)),"")</f>
        <v/>
      </c>
      <c r="F26" s="162">
        <f>IFERROR(TEXT(INDEX(tk_OAW,MATCH(21,tk_FSEQ,0)),"0.000")&amp;" x "&amp;TEXT(INDEX(tk_OAH,MATCH(21,tk_FSEQ,0)),"0.000"),"")</f>
        <v/>
      </c>
      <c r="G26" s="162">
        <f>IFERROR(IF(INDEX(tk_ANCHT,MATCH(21,tk_FSEQ,0))="","",INDEX(tk_ANCHT,MATCH(21,tk_FSEQ,0))&amp;" + "&amp;INDEX(tk_BASEA,MATCH(21,tk_FSEQ,0))),"")</f>
        <v/>
      </c>
      <c r="H26" s="181">
        <f>IFERROR(""&amp;INDEX(tk_FLINE,MATCH(21,tk_FSEQ,0)),"")</f>
        <v/>
      </c>
      <c r="I26" s="181">
        <f>IFERROR(""&amp;INDEX(tk_LOCTXT,MATCH(21,tk_FSEQ,0)),"")</f>
        <v/>
      </c>
      <c r="J26" s="162">
        <f>IFERROR(""&amp;INDEX(tk_FNOTES,MATCH(21,tk_FSEQ,0)),"")</f>
        <v/>
      </c>
    </row>
    <row r="27">
      <c r="A27" s="161">
        <f>IFERROR(""&amp;INDEX(tk_MARK,MATCH(22,tk_FSEQ,0)),"")</f>
        <v/>
      </c>
      <c r="B27" s="162">
        <f>IFERROR(INDEX(tk_QTY,MATCH(22,tk_FSEQ,0)),"")</f>
        <v/>
      </c>
      <c r="C27" s="162">
        <f>IFERROR(INDEX(tk_ROOMF,MATCH(22,tk_FSEQ,0))&amp;IF(INDEX(tk_ROOMT,MATCH(22,tk_FSEQ,0))="",""," → "&amp;INDEX(tk_ROOMT,MATCH(22,tk_FSEQ,0))),"")</f>
        <v/>
      </c>
      <c r="D27" s="162">
        <f>IFERROR(""&amp;INDEX(tk_SIZE,MATCH(22,tk_FSEQ,0)),"")</f>
        <v/>
      </c>
      <c r="E27" s="162">
        <f>IFERROR(""&amp;INDEX(tk_RATING,MATCH(22,tk_FSEQ,0)),"")</f>
        <v/>
      </c>
      <c r="F27" s="162">
        <f>IFERROR(TEXT(INDEX(tk_OAW,MATCH(22,tk_FSEQ,0)),"0.000")&amp;" x "&amp;TEXT(INDEX(tk_OAH,MATCH(22,tk_FSEQ,0)),"0.000"),"")</f>
        <v/>
      </c>
      <c r="G27" s="162">
        <f>IFERROR(IF(INDEX(tk_ANCHT,MATCH(22,tk_FSEQ,0))="","",INDEX(tk_ANCHT,MATCH(22,tk_FSEQ,0))&amp;" + "&amp;INDEX(tk_BASEA,MATCH(22,tk_FSEQ,0))),"")</f>
        <v/>
      </c>
      <c r="H27" s="181">
        <f>IFERROR(""&amp;INDEX(tk_FLINE,MATCH(22,tk_FSEQ,0)),"")</f>
        <v/>
      </c>
      <c r="I27" s="181">
        <f>IFERROR(""&amp;INDEX(tk_LOCTXT,MATCH(22,tk_FSEQ,0)),"")</f>
        <v/>
      </c>
      <c r="J27" s="162">
        <f>IFERROR(""&amp;INDEX(tk_FNOTES,MATCH(22,tk_FSEQ,0)),"")</f>
        <v/>
      </c>
    </row>
    <row r="28">
      <c r="A28" s="161">
        <f>IFERROR(""&amp;INDEX(tk_MARK,MATCH(23,tk_FSEQ,0)),"")</f>
        <v/>
      </c>
      <c r="B28" s="162">
        <f>IFERROR(INDEX(tk_QTY,MATCH(23,tk_FSEQ,0)),"")</f>
        <v/>
      </c>
      <c r="C28" s="162">
        <f>IFERROR(INDEX(tk_ROOMF,MATCH(23,tk_FSEQ,0))&amp;IF(INDEX(tk_ROOMT,MATCH(23,tk_FSEQ,0))="",""," → "&amp;INDEX(tk_ROOMT,MATCH(23,tk_FSEQ,0))),"")</f>
        <v/>
      </c>
      <c r="D28" s="162">
        <f>IFERROR(""&amp;INDEX(tk_SIZE,MATCH(23,tk_FSEQ,0)),"")</f>
        <v/>
      </c>
      <c r="E28" s="162">
        <f>IFERROR(""&amp;INDEX(tk_RATING,MATCH(23,tk_FSEQ,0)),"")</f>
        <v/>
      </c>
      <c r="F28" s="162">
        <f>IFERROR(TEXT(INDEX(tk_OAW,MATCH(23,tk_FSEQ,0)),"0.000")&amp;" x "&amp;TEXT(INDEX(tk_OAH,MATCH(23,tk_FSEQ,0)),"0.000"),"")</f>
        <v/>
      </c>
      <c r="G28" s="162">
        <f>IFERROR(IF(INDEX(tk_ANCHT,MATCH(23,tk_FSEQ,0))="","",INDEX(tk_ANCHT,MATCH(23,tk_FSEQ,0))&amp;" + "&amp;INDEX(tk_BASEA,MATCH(23,tk_FSEQ,0))),"")</f>
        <v/>
      </c>
      <c r="H28" s="181">
        <f>IFERROR(""&amp;INDEX(tk_FLINE,MATCH(23,tk_FSEQ,0)),"")</f>
        <v/>
      </c>
      <c r="I28" s="181">
        <f>IFERROR(""&amp;INDEX(tk_LOCTXT,MATCH(23,tk_FSEQ,0)),"")</f>
        <v/>
      </c>
      <c r="J28" s="162">
        <f>IFERROR(""&amp;INDEX(tk_FNOTES,MATCH(23,tk_FSEQ,0)),"")</f>
        <v/>
      </c>
    </row>
    <row r="29">
      <c r="A29" s="161">
        <f>IFERROR(""&amp;INDEX(tk_MARK,MATCH(24,tk_FSEQ,0)),"")</f>
        <v/>
      </c>
      <c r="B29" s="162">
        <f>IFERROR(INDEX(tk_QTY,MATCH(24,tk_FSEQ,0)),"")</f>
        <v/>
      </c>
      <c r="C29" s="162">
        <f>IFERROR(INDEX(tk_ROOMF,MATCH(24,tk_FSEQ,0))&amp;IF(INDEX(tk_ROOMT,MATCH(24,tk_FSEQ,0))="",""," → "&amp;INDEX(tk_ROOMT,MATCH(24,tk_FSEQ,0))),"")</f>
        <v/>
      </c>
      <c r="D29" s="162">
        <f>IFERROR(""&amp;INDEX(tk_SIZE,MATCH(24,tk_FSEQ,0)),"")</f>
        <v/>
      </c>
      <c r="E29" s="162">
        <f>IFERROR(""&amp;INDEX(tk_RATING,MATCH(24,tk_FSEQ,0)),"")</f>
        <v/>
      </c>
      <c r="F29" s="162">
        <f>IFERROR(TEXT(INDEX(tk_OAW,MATCH(24,tk_FSEQ,0)),"0.000")&amp;" x "&amp;TEXT(INDEX(tk_OAH,MATCH(24,tk_FSEQ,0)),"0.000"),"")</f>
        <v/>
      </c>
      <c r="G29" s="162">
        <f>IFERROR(IF(INDEX(tk_ANCHT,MATCH(24,tk_FSEQ,0))="","",INDEX(tk_ANCHT,MATCH(24,tk_FSEQ,0))&amp;" + "&amp;INDEX(tk_BASEA,MATCH(24,tk_FSEQ,0))),"")</f>
        <v/>
      </c>
      <c r="H29" s="181">
        <f>IFERROR(""&amp;INDEX(tk_FLINE,MATCH(24,tk_FSEQ,0)),"")</f>
        <v/>
      </c>
      <c r="I29" s="181">
        <f>IFERROR(""&amp;INDEX(tk_LOCTXT,MATCH(24,tk_FSEQ,0)),"")</f>
        <v/>
      </c>
      <c r="J29" s="162">
        <f>IFERROR(""&amp;INDEX(tk_FNOTES,MATCH(24,tk_FSEQ,0)),"")</f>
        <v/>
      </c>
    </row>
    <row r="30">
      <c r="A30" s="161">
        <f>IFERROR(""&amp;INDEX(tk_MARK,MATCH(25,tk_FSEQ,0)),"")</f>
        <v/>
      </c>
      <c r="B30" s="162">
        <f>IFERROR(INDEX(tk_QTY,MATCH(25,tk_FSEQ,0)),"")</f>
        <v/>
      </c>
      <c r="C30" s="162">
        <f>IFERROR(INDEX(tk_ROOMF,MATCH(25,tk_FSEQ,0))&amp;IF(INDEX(tk_ROOMT,MATCH(25,tk_FSEQ,0))="",""," → "&amp;INDEX(tk_ROOMT,MATCH(25,tk_FSEQ,0))),"")</f>
        <v/>
      </c>
      <c r="D30" s="162">
        <f>IFERROR(""&amp;INDEX(tk_SIZE,MATCH(25,tk_FSEQ,0)),"")</f>
        <v/>
      </c>
      <c r="E30" s="162">
        <f>IFERROR(""&amp;INDEX(tk_RATING,MATCH(25,tk_FSEQ,0)),"")</f>
        <v/>
      </c>
      <c r="F30" s="162">
        <f>IFERROR(TEXT(INDEX(tk_OAW,MATCH(25,tk_FSEQ,0)),"0.000")&amp;" x "&amp;TEXT(INDEX(tk_OAH,MATCH(25,tk_FSEQ,0)),"0.000"),"")</f>
        <v/>
      </c>
      <c r="G30" s="162">
        <f>IFERROR(IF(INDEX(tk_ANCHT,MATCH(25,tk_FSEQ,0))="","",INDEX(tk_ANCHT,MATCH(25,tk_FSEQ,0))&amp;" + "&amp;INDEX(tk_BASEA,MATCH(25,tk_FSEQ,0))),"")</f>
        <v/>
      </c>
      <c r="H30" s="181">
        <f>IFERROR(""&amp;INDEX(tk_FLINE,MATCH(25,tk_FSEQ,0)),"")</f>
        <v/>
      </c>
      <c r="I30" s="181">
        <f>IFERROR(""&amp;INDEX(tk_LOCTXT,MATCH(25,tk_FSEQ,0)),"")</f>
        <v/>
      </c>
      <c r="J30" s="162">
        <f>IFERROR(""&amp;INDEX(tk_FNOTES,MATCH(25,tk_FSEQ,0)),"")</f>
        <v/>
      </c>
    </row>
    <row r="31">
      <c r="A31" s="161">
        <f>IFERROR(""&amp;INDEX(tk_MARK,MATCH(26,tk_FSEQ,0)),"")</f>
        <v/>
      </c>
      <c r="B31" s="162">
        <f>IFERROR(INDEX(tk_QTY,MATCH(26,tk_FSEQ,0)),"")</f>
        <v/>
      </c>
      <c r="C31" s="162">
        <f>IFERROR(INDEX(tk_ROOMF,MATCH(26,tk_FSEQ,0))&amp;IF(INDEX(tk_ROOMT,MATCH(26,tk_FSEQ,0))="",""," → "&amp;INDEX(tk_ROOMT,MATCH(26,tk_FSEQ,0))),"")</f>
        <v/>
      </c>
      <c r="D31" s="162">
        <f>IFERROR(""&amp;INDEX(tk_SIZE,MATCH(26,tk_FSEQ,0)),"")</f>
        <v/>
      </c>
      <c r="E31" s="162">
        <f>IFERROR(""&amp;INDEX(tk_RATING,MATCH(26,tk_FSEQ,0)),"")</f>
        <v/>
      </c>
      <c r="F31" s="162">
        <f>IFERROR(TEXT(INDEX(tk_OAW,MATCH(26,tk_FSEQ,0)),"0.000")&amp;" x "&amp;TEXT(INDEX(tk_OAH,MATCH(26,tk_FSEQ,0)),"0.000"),"")</f>
        <v/>
      </c>
      <c r="G31" s="162">
        <f>IFERROR(IF(INDEX(tk_ANCHT,MATCH(26,tk_FSEQ,0))="","",INDEX(tk_ANCHT,MATCH(26,tk_FSEQ,0))&amp;" + "&amp;INDEX(tk_BASEA,MATCH(26,tk_FSEQ,0))),"")</f>
        <v/>
      </c>
      <c r="H31" s="181">
        <f>IFERROR(""&amp;INDEX(tk_FLINE,MATCH(26,tk_FSEQ,0)),"")</f>
        <v/>
      </c>
      <c r="I31" s="181">
        <f>IFERROR(""&amp;INDEX(tk_LOCTXT,MATCH(26,tk_FSEQ,0)),"")</f>
        <v/>
      </c>
      <c r="J31" s="162">
        <f>IFERROR(""&amp;INDEX(tk_FNOTES,MATCH(26,tk_FSEQ,0)),"")</f>
        <v/>
      </c>
    </row>
    <row r="32">
      <c r="A32" s="161">
        <f>IFERROR(""&amp;INDEX(tk_MARK,MATCH(27,tk_FSEQ,0)),"")</f>
        <v/>
      </c>
      <c r="B32" s="162">
        <f>IFERROR(INDEX(tk_QTY,MATCH(27,tk_FSEQ,0)),"")</f>
        <v/>
      </c>
      <c r="C32" s="162">
        <f>IFERROR(INDEX(tk_ROOMF,MATCH(27,tk_FSEQ,0))&amp;IF(INDEX(tk_ROOMT,MATCH(27,tk_FSEQ,0))="",""," → "&amp;INDEX(tk_ROOMT,MATCH(27,tk_FSEQ,0))),"")</f>
        <v/>
      </c>
      <c r="D32" s="162">
        <f>IFERROR(""&amp;INDEX(tk_SIZE,MATCH(27,tk_FSEQ,0)),"")</f>
        <v/>
      </c>
      <c r="E32" s="162">
        <f>IFERROR(""&amp;INDEX(tk_RATING,MATCH(27,tk_FSEQ,0)),"")</f>
        <v/>
      </c>
      <c r="F32" s="162">
        <f>IFERROR(TEXT(INDEX(tk_OAW,MATCH(27,tk_FSEQ,0)),"0.000")&amp;" x "&amp;TEXT(INDEX(tk_OAH,MATCH(27,tk_FSEQ,0)),"0.000"),"")</f>
        <v/>
      </c>
      <c r="G32" s="162">
        <f>IFERROR(IF(INDEX(tk_ANCHT,MATCH(27,tk_FSEQ,0))="","",INDEX(tk_ANCHT,MATCH(27,tk_FSEQ,0))&amp;" + "&amp;INDEX(tk_BASEA,MATCH(27,tk_FSEQ,0))),"")</f>
        <v/>
      </c>
      <c r="H32" s="181">
        <f>IFERROR(""&amp;INDEX(tk_FLINE,MATCH(27,tk_FSEQ,0)),"")</f>
        <v/>
      </c>
      <c r="I32" s="181">
        <f>IFERROR(""&amp;INDEX(tk_LOCTXT,MATCH(27,tk_FSEQ,0)),"")</f>
        <v/>
      </c>
      <c r="J32" s="162">
        <f>IFERROR(""&amp;INDEX(tk_FNOTES,MATCH(27,tk_FSEQ,0)),"")</f>
        <v/>
      </c>
    </row>
    <row r="33">
      <c r="A33" s="161">
        <f>IFERROR(""&amp;INDEX(tk_MARK,MATCH(28,tk_FSEQ,0)),"")</f>
        <v/>
      </c>
      <c r="B33" s="162">
        <f>IFERROR(INDEX(tk_QTY,MATCH(28,tk_FSEQ,0)),"")</f>
        <v/>
      </c>
      <c r="C33" s="162">
        <f>IFERROR(INDEX(tk_ROOMF,MATCH(28,tk_FSEQ,0))&amp;IF(INDEX(tk_ROOMT,MATCH(28,tk_FSEQ,0))="",""," → "&amp;INDEX(tk_ROOMT,MATCH(28,tk_FSEQ,0))),"")</f>
        <v/>
      </c>
      <c r="D33" s="162">
        <f>IFERROR(""&amp;INDEX(tk_SIZE,MATCH(28,tk_FSEQ,0)),"")</f>
        <v/>
      </c>
      <c r="E33" s="162">
        <f>IFERROR(""&amp;INDEX(tk_RATING,MATCH(28,tk_FSEQ,0)),"")</f>
        <v/>
      </c>
      <c r="F33" s="162">
        <f>IFERROR(TEXT(INDEX(tk_OAW,MATCH(28,tk_FSEQ,0)),"0.000")&amp;" x "&amp;TEXT(INDEX(tk_OAH,MATCH(28,tk_FSEQ,0)),"0.000"),"")</f>
        <v/>
      </c>
      <c r="G33" s="162">
        <f>IFERROR(IF(INDEX(tk_ANCHT,MATCH(28,tk_FSEQ,0))="","",INDEX(tk_ANCHT,MATCH(28,tk_FSEQ,0))&amp;" + "&amp;INDEX(tk_BASEA,MATCH(28,tk_FSEQ,0))),"")</f>
        <v/>
      </c>
      <c r="H33" s="181">
        <f>IFERROR(""&amp;INDEX(tk_FLINE,MATCH(28,tk_FSEQ,0)),"")</f>
        <v/>
      </c>
      <c r="I33" s="181">
        <f>IFERROR(""&amp;INDEX(tk_LOCTXT,MATCH(28,tk_FSEQ,0)),"")</f>
        <v/>
      </c>
      <c r="J33" s="162">
        <f>IFERROR(""&amp;INDEX(tk_FNOTES,MATCH(28,tk_FSEQ,0)),"")</f>
        <v/>
      </c>
    </row>
    <row r="34">
      <c r="A34" s="161">
        <f>IFERROR(""&amp;INDEX(tk_MARK,MATCH(29,tk_FSEQ,0)),"")</f>
        <v/>
      </c>
      <c r="B34" s="162">
        <f>IFERROR(INDEX(tk_QTY,MATCH(29,tk_FSEQ,0)),"")</f>
        <v/>
      </c>
      <c r="C34" s="162">
        <f>IFERROR(INDEX(tk_ROOMF,MATCH(29,tk_FSEQ,0))&amp;IF(INDEX(tk_ROOMT,MATCH(29,tk_FSEQ,0))="",""," → "&amp;INDEX(tk_ROOMT,MATCH(29,tk_FSEQ,0))),"")</f>
        <v/>
      </c>
      <c r="D34" s="162">
        <f>IFERROR(""&amp;INDEX(tk_SIZE,MATCH(29,tk_FSEQ,0)),"")</f>
        <v/>
      </c>
      <c r="E34" s="162">
        <f>IFERROR(""&amp;INDEX(tk_RATING,MATCH(29,tk_FSEQ,0)),"")</f>
        <v/>
      </c>
      <c r="F34" s="162">
        <f>IFERROR(TEXT(INDEX(tk_OAW,MATCH(29,tk_FSEQ,0)),"0.000")&amp;" x "&amp;TEXT(INDEX(tk_OAH,MATCH(29,tk_FSEQ,0)),"0.000"),"")</f>
        <v/>
      </c>
      <c r="G34" s="162">
        <f>IFERROR(IF(INDEX(tk_ANCHT,MATCH(29,tk_FSEQ,0))="","",INDEX(tk_ANCHT,MATCH(29,tk_FSEQ,0))&amp;" + "&amp;INDEX(tk_BASEA,MATCH(29,tk_FSEQ,0))),"")</f>
        <v/>
      </c>
      <c r="H34" s="181">
        <f>IFERROR(""&amp;INDEX(tk_FLINE,MATCH(29,tk_FSEQ,0)),"")</f>
        <v/>
      </c>
      <c r="I34" s="181">
        <f>IFERROR(""&amp;INDEX(tk_LOCTXT,MATCH(29,tk_FSEQ,0)),"")</f>
        <v/>
      </c>
      <c r="J34" s="162">
        <f>IFERROR(""&amp;INDEX(tk_FNOTES,MATCH(29,tk_FSEQ,0)),"")</f>
        <v/>
      </c>
    </row>
    <row r="35">
      <c r="A35" s="161">
        <f>IFERROR(""&amp;INDEX(tk_MARK,MATCH(30,tk_FSEQ,0)),"")</f>
        <v/>
      </c>
      <c r="B35" s="162">
        <f>IFERROR(INDEX(tk_QTY,MATCH(30,tk_FSEQ,0)),"")</f>
        <v/>
      </c>
      <c r="C35" s="162">
        <f>IFERROR(INDEX(tk_ROOMF,MATCH(30,tk_FSEQ,0))&amp;IF(INDEX(tk_ROOMT,MATCH(30,tk_FSEQ,0))="",""," → "&amp;INDEX(tk_ROOMT,MATCH(30,tk_FSEQ,0))),"")</f>
        <v/>
      </c>
      <c r="D35" s="162">
        <f>IFERROR(""&amp;INDEX(tk_SIZE,MATCH(30,tk_FSEQ,0)),"")</f>
        <v/>
      </c>
      <c r="E35" s="162">
        <f>IFERROR(""&amp;INDEX(tk_RATING,MATCH(30,tk_FSEQ,0)),"")</f>
        <v/>
      </c>
      <c r="F35" s="162">
        <f>IFERROR(TEXT(INDEX(tk_OAW,MATCH(30,tk_FSEQ,0)),"0.000")&amp;" x "&amp;TEXT(INDEX(tk_OAH,MATCH(30,tk_FSEQ,0)),"0.000"),"")</f>
        <v/>
      </c>
      <c r="G35" s="162">
        <f>IFERROR(IF(INDEX(tk_ANCHT,MATCH(30,tk_FSEQ,0))="","",INDEX(tk_ANCHT,MATCH(30,tk_FSEQ,0))&amp;" + "&amp;INDEX(tk_BASEA,MATCH(30,tk_FSEQ,0))),"")</f>
        <v/>
      </c>
      <c r="H35" s="181">
        <f>IFERROR(""&amp;INDEX(tk_FLINE,MATCH(30,tk_FSEQ,0)),"")</f>
        <v/>
      </c>
      <c r="I35" s="181">
        <f>IFERROR(""&amp;INDEX(tk_LOCTXT,MATCH(30,tk_FSEQ,0)),"")</f>
        <v/>
      </c>
      <c r="J35" s="162">
        <f>IFERROR(""&amp;INDEX(tk_FNOTES,MATCH(30,tk_FSEQ,0)),"")</f>
        <v/>
      </c>
    </row>
    <row r="36">
      <c r="A36" s="161">
        <f>IFERROR(""&amp;INDEX(tk_MARK,MATCH(31,tk_FSEQ,0)),"")</f>
        <v/>
      </c>
      <c r="B36" s="162">
        <f>IFERROR(INDEX(tk_QTY,MATCH(31,tk_FSEQ,0)),"")</f>
        <v/>
      </c>
      <c r="C36" s="162">
        <f>IFERROR(INDEX(tk_ROOMF,MATCH(31,tk_FSEQ,0))&amp;IF(INDEX(tk_ROOMT,MATCH(31,tk_FSEQ,0))="",""," → "&amp;INDEX(tk_ROOMT,MATCH(31,tk_FSEQ,0))),"")</f>
        <v/>
      </c>
      <c r="D36" s="162">
        <f>IFERROR(""&amp;INDEX(tk_SIZE,MATCH(31,tk_FSEQ,0)),"")</f>
        <v/>
      </c>
      <c r="E36" s="162">
        <f>IFERROR(""&amp;INDEX(tk_RATING,MATCH(31,tk_FSEQ,0)),"")</f>
        <v/>
      </c>
      <c r="F36" s="162">
        <f>IFERROR(TEXT(INDEX(tk_OAW,MATCH(31,tk_FSEQ,0)),"0.000")&amp;" x "&amp;TEXT(INDEX(tk_OAH,MATCH(31,tk_FSEQ,0)),"0.000"),"")</f>
        <v/>
      </c>
      <c r="G36" s="162">
        <f>IFERROR(IF(INDEX(tk_ANCHT,MATCH(31,tk_FSEQ,0))="","",INDEX(tk_ANCHT,MATCH(31,tk_FSEQ,0))&amp;" + "&amp;INDEX(tk_BASEA,MATCH(31,tk_FSEQ,0))),"")</f>
        <v/>
      </c>
      <c r="H36" s="181">
        <f>IFERROR(""&amp;INDEX(tk_FLINE,MATCH(31,tk_FSEQ,0)),"")</f>
        <v/>
      </c>
      <c r="I36" s="181">
        <f>IFERROR(""&amp;INDEX(tk_LOCTXT,MATCH(31,tk_FSEQ,0)),"")</f>
        <v/>
      </c>
      <c r="J36" s="162">
        <f>IFERROR(""&amp;INDEX(tk_FNOTES,MATCH(31,tk_FSEQ,0)),"")</f>
        <v/>
      </c>
    </row>
    <row r="37">
      <c r="A37" s="161">
        <f>IFERROR(""&amp;INDEX(tk_MARK,MATCH(32,tk_FSEQ,0)),"")</f>
        <v/>
      </c>
      <c r="B37" s="162">
        <f>IFERROR(INDEX(tk_QTY,MATCH(32,tk_FSEQ,0)),"")</f>
        <v/>
      </c>
      <c r="C37" s="162">
        <f>IFERROR(INDEX(tk_ROOMF,MATCH(32,tk_FSEQ,0))&amp;IF(INDEX(tk_ROOMT,MATCH(32,tk_FSEQ,0))="",""," → "&amp;INDEX(tk_ROOMT,MATCH(32,tk_FSEQ,0))),"")</f>
        <v/>
      </c>
      <c r="D37" s="162">
        <f>IFERROR(""&amp;INDEX(tk_SIZE,MATCH(32,tk_FSEQ,0)),"")</f>
        <v/>
      </c>
      <c r="E37" s="162">
        <f>IFERROR(""&amp;INDEX(tk_RATING,MATCH(32,tk_FSEQ,0)),"")</f>
        <v/>
      </c>
      <c r="F37" s="162">
        <f>IFERROR(TEXT(INDEX(tk_OAW,MATCH(32,tk_FSEQ,0)),"0.000")&amp;" x "&amp;TEXT(INDEX(tk_OAH,MATCH(32,tk_FSEQ,0)),"0.000"),"")</f>
        <v/>
      </c>
      <c r="G37" s="162">
        <f>IFERROR(IF(INDEX(tk_ANCHT,MATCH(32,tk_FSEQ,0))="","",INDEX(tk_ANCHT,MATCH(32,tk_FSEQ,0))&amp;" + "&amp;INDEX(tk_BASEA,MATCH(32,tk_FSEQ,0))),"")</f>
        <v/>
      </c>
      <c r="H37" s="181">
        <f>IFERROR(""&amp;INDEX(tk_FLINE,MATCH(32,tk_FSEQ,0)),"")</f>
        <v/>
      </c>
      <c r="I37" s="181">
        <f>IFERROR(""&amp;INDEX(tk_LOCTXT,MATCH(32,tk_FSEQ,0)),"")</f>
        <v/>
      </c>
      <c r="J37" s="162">
        <f>IFERROR(""&amp;INDEX(tk_FNOTES,MATCH(32,tk_FSEQ,0)),"")</f>
        <v/>
      </c>
    </row>
    <row r="38">
      <c r="A38" s="161">
        <f>IFERROR(""&amp;INDEX(tk_MARK,MATCH(33,tk_FSEQ,0)),"")</f>
        <v/>
      </c>
      <c r="B38" s="162">
        <f>IFERROR(INDEX(tk_QTY,MATCH(33,tk_FSEQ,0)),"")</f>
        <v/>
      </c>
      <c r="C38" s="162">
        <f>IFERROR(INDEX(tk_ROOMF,MATCH(33,tk_FSEQ,0))&amp;IF(INDEX(tk_ROOMT,MATCH(33,tk_FSEQ,0))="",""," → "&amp;INDEX(tk_ROOMT,MATCH(33,tk_FSEQ,0))),"")</f>
        <v/>
      </c>
      <c r="D38" s="162">
        <f>IFERROR(""&amp;INDEX(tk_SIZE,MATCH(33,tk_FSEQ,0)),"")</f>
        <v/>
      </c>
      <c r="E38" s="162">
        <f>IFERROR(""&amp;INDEX(tk_RATING,MATCH(33,tk_FSEQ,0)),"")</f>
        <v/>
      </c>
      <c r="F38" s="162">
        <f>IFERROR(TEXT(INDEX(tk_OAW,MATCH(33,tk_FSEQ,0)),"0.000")&amp;" x "&amp;TEXT(INDEX(tk_OAH,MATCH(33,tk_FSEQ,0)),"0.000"),"")</f>
        <v/>
      </c>
      <c r="G38" s="162">
        <f>IFERROR(IF(INDEX(tk_ANCHT,MATCH(33,tk_FSEQ,0))="","",INDEX(tk_ANCHT,MATCH(33,tk_FSEQ,0))&amp;" + "&amp;INDEX(tk_BASEA,MATCH(33,tk_FSEQ,0))),"")</f>
        <v/>
      </c>
      <c r="H38" s="181">
        <f>IFERROR(""&amp;INDEX(tk_FLINE,MATCH(33,tk_FSEQ,0)),"")</f>
        <v/>
      </c>
      <c r="I38" s="181">
        <f>IFERROR(""&amp;INDEX(tk_LOCTXT,MATCH(33,tk_FSEQ,0)),"")</f>
        <v/>
      </c>
      <c r="J38" s="162">
        <f>IFERROR(""&amp;INDEX(tk_FNOTES,MATCH(33,tk_FSEQ,0)),"")</f>
        <v/>
      </c>
    </row>
    <row r="39">
      <c r="A39" s="161">
        <f>IFERROR(""&amp;INDEX(tk_MARK,MATCH(34,tk_FSEQ,0)),"")</f>
        <v/>
      </c>
      <c r="B39" s="162">
        <f>IFERROR(INDEX(tk_QTY,MATCH(34,tk_FSEQ,0)),"")</f>
        <v/>
      </c>
      <c r="C39" s="162">
        <f>IFERROR(INDEX(tk_ROOMF,MATCH(34,tk_FSEQ,0))&amp;IF(INDEX(tk_ROOMT,MATCH(34,tk_FSEQ,0))="",""," → "&amp;INDEX(tk_ROOMT,MATCH(34,tk_FSEQ,0))),"")</f>
        <v/>
      </c>
      <c r="D39" s="162">
        <f>IFERROR(""&amp;INDEX(tk_SIZE,MATCH(34,tk_FSEQ,0)),"")</f>
        <v/>
      </c>
      <c r="E39" s="162">
        <f>IFERROR(""&amp;INDEX(tk_RATING,MATCH(34,tk_FSEQ,0)),"")</f>
        <v/>
      </c>
      <c r="F39" s="162">
        <f>IFERROR(TEXT(INDEX(tk_OAW,MATCH(34,tk_FSEQ,0)),"0.000")&amp;" x "&amp;TEXT(INDEX(tk_OAH,MATCH(34,tk_FSEQ,0)),"0.000"),"")</f>
        <v/>
      </c>
      <c r="G39" s="162">
        <f>IFERROR(IF(INDEX(tk_ANCHT,MATCH(34,tk_FSEQ,0))="","",INDEX(tk_ANCHT,MATCH(34,tk_FSEQ,0))&amp;" + "&amp;INDEX(tk_BASEA,MATCH(34,tk_FSEQ,0))),"")</f>
        <v/>
      </c>
      <c r="H39" s="181">
        <f>IFERROR(""&amp;INDEX(tk_FLINE,MATCH(34,tk_FSEQ,0)),"")</f>
        <v/>
      </c>
      <c r="I39" s="181">
        <f>IFERROR(""&amp;INDEX(tk_LOCTXT,MATCH(34,tk_FSEQ,0)),"")</f>
        <v/>
      </c>
      <c r="J39" s="162">
        <f>IFERROR(""&amp;INDEX(tk_FNOTES,MATCH(34,tk_FSEQ,0)),"")</f>
        <v/>
      </c>
    </row>
    <row r="40">
      <c r="A40" s="161">
        <f>IFERROR(""&amp;INDEX(tk_MARK,MATCH(35,tk_FSEQ,0)),"")</f>
        <v/>
      </c>
      <c r="B40" s="162">
        <f>IFERROR(INDEX(tk_QTY,MATCH(35,tk_FSEQ,0)),"")</f>
        <v/>
      </c>
      <c r="C40" s="162">
        <f>IFERROR(INDEX(tk_ROOMF,MATCH(35,tk_FSEQ,0))&amp;IF(INDEX(tk_ROOMT,MATCH(35,tk_FSEQ,0))="",""," → "&amp;INDEX(tk_ROOMT,MATCH(35,tk_FSEQ,0))),"")</f>
        <v/>
      </c>
      <c r="D40" s="162">
        <f>IFERROR(""&amp;INDEX(tk_SIZE,MATCH(35,tk_FSEQ,0)),"")</f>
        <v/>
      </c>
      <c r="E40" s="162">
        <f>IFERROR(""&amp;INDEX(tk_RATING,MATCH(35,tk_FSEQ,0)),"")</f>
        <v/>
      </c>
      <c r="F40" s="162">
        <f>IFERROR(TEXT(INDEX(tk_OAW,MATCH(35,tk_FSEQ,0)),"0.000")&amp;" x "&amp;TEXT(INDEX(tk_OAH,MATCH(35,tk_FSEQ,0)),"0.000"),"")</f>
        <v/>
      </c>
      <c r="G40" s="162">
        <f>IFERROR(IF(INDEX(tk_ANCHT,MATCH(35,tk_FSEQ,0))="","",INDEX(tk_ANCHT,MATCH(35,tk_FSEQ,0))&amp;" + "&amp;INDEX(tk_BASEA,MATCH(35,tk_FSEQ,0))),"")</f>
        <v/>
      </c>
      <c r="H40" s="181">
        <f>IFERROR(""&amp;INDEX(tk_FLINE,MATCH(35,tk_FSEQ,0)),"")</f>
        <v/>
      </c>
      <c r="I40" s="181">
        <f>IFERROR(""&amp;INDEX(tk_LOCTXT,MATCH(35,tk_FSEQ,0)),"")</f>
        <v/>
      </c>
      <c r="J40" s="162">
        <f>IFERROR(""&amp;INDEX(tk_FNOTES,MATCH(35,tk_FSEQ,0)),"")</f>
        <v/>
      </c>
    </row>
    <row r="41">
      <c r="A41" s="161">
        <f>IFERROR(""&amp;INDEX(tk_MARK,MATCH(36,tk_FSEQ,0)),"")</f>
        <v/>
      </c>
      <c r="B41" s="162">
        <f>IFERROR(INDEX(tk_QTY,MATCH(36,tk_FSEQ,0)),"")</f>
        <v/>
      </c>
      <c r="C41" s="162">
        <f>IFERROR(INDEX(tk_ROOMF,MATCH(36,tk_FSEQ,0))&amp;IF(INDEX(tk_ROOMT,MATCH(36,tk_FSEQ,0))="",""," → "&amp;INDEX(tk_ROOMT,MATCH(36,tk_FSEQ,0))),"")</f>
        <v/>
      </c>
      <c r="D41" s="162">
        <f>IFERROR(""&amp;INDEX(tk_SIZE,MATCH(36,tk_FSEQ,0)),"")</f>
        <v/>
      </c>
      <c r="E41" s="162">
        <f>IFERROR(""&amp;INDEX(tk_RATING,MATCH(36,tk_FSEQ,0)),"")</f>
        <v/>
      </c>
      <c r="F41" s="162">
        <f>IFERROR(TEXT(INDEX(tk_OAW,MATCH(36,tk_FSEQ,0)),"0.000")&amp;" x "&amp;TEXT(INDEX(tk_OAH,MATCH(36,tk_FSEQ,0)),"0.000"),"")</f>
        <v/>
      </c>
      <c r="G41" s="162">
        <f>IFERROR(IF(INDEX(tk_ANCHT,MATCH(36,tk_FSEQ,0))="","",INDEX(tk_ANCHT,MATCH(36,tk_FSEQ,0))&amp;" + "&amp;INDEX(tk_BASEA,MATCH(36,tk_FSEQ,0))),"")</f>
        <v/>
      </c>
      <c r="H41" s="181">
        <f>IFERROR(""&amp;INDEX(tk_FLINE,MATCH(36,tk_FSEQ,0)),"")</f>
        <v/>
      </c>
      <c r="I41" s="181">
        <f>IFERROR(""&amp;INDEX(tk_LOCTXT,MATCH(36,tk_FSEQ,0)),"")</f>
        <v/>
      </c>
      <c r="J41" s="162">
        <f>IFERROR(""&amp;INDEX(tk_FNOTES,MATCH(36,tk_FSEQ,0)),"")</f>
        <v/>
      </c>
    </row>
    <row r="42">
      <c r="A42" s="161">
        <f>IFERROR(""&amp;INDEX(tk_MARK,MATCH(37,tk_FSEQ,0)),"")</f>
        <v/>
      </c>
      <c r="B42" s="162">
        <f>IFERROR(INDEX(tk_QTY,MATCH(37,tk_FSEQ,0)),"")</f>
        <v/>
      </c>
      <c r="C42" s="162">
        <f>IFERROR(INDEX(tk_ROOMF,MATCH(37,tk_FSEQ,0))&amp;IF(INDEX(tk_ROOMT,MATCH(37,tk_FSEQ,0))="",""," → "&amp;INDEX(tk_ROOMT,MATCH(37,tk_FSEQ,0))),"")</f>
        <v/>
      </c>
      <c r="D42" s="162">
        <f>IFERROR(""&amp;INDEX(tk_SIZE,MATCH(37,tk_FSEQ,0)),"")</f>
        <v/>
      </c>
      <c r="E42" s="162">
        <f>IFERROR(""&amp;INDEX(tk_RATING,MATCH(37,tk_FSEQ,0)),"")</f>
        <v/>
      </c>
      <c r="F42" s="162">
        <f>IFERROR(TEXT(INDEX(tk_OAW,MATCH(37,tk_FSEQ,0)),"0.000")&amp;" x "&amp;TEXT(INDEX(tk_OAH,MATCH(37,tk_FSEQ,0)),"0.000"),"")</f>
        <v/>
      </c>
      <c r="G42" s="162">
        <f>IFERROR(IF(INDEX(tk_ANCHT,MATCH(37,tk_FSEQ,0))="","",INDEX(tk_ANCHT,MATCH(37,tk_FSEQ,0))&amp;" + "&amp;INDEX(tk_BASEA,MATCH(37,tk_FSEQ,0))),"")</f>
        <v/>
      </c>
      <c r="H42" s="181">
        <f>IFERROR(""&amp;INDEX(tk_FLINE,MATCH(37,tk_FSEQ,0)),"")</f>
        <v/>
      </c>
      <c r="I42" s="181">
        <f>IFERROR(""&amp;INDEX(tk_LOCTXT,MATCH(37,tk_FSEQ,0)),"")</f>
        <v/>
      </c>
      <c r="J42" s="162">
        <f>IFERROR(""&amp;INDEX(tk_FNOTES,MATCH(37,tk_FSEQ,0)),"")</f>
        <v/>
      </c>
    </row>
    <row r="43">
      <c r="A43" s="161">
        <f>IFERROR(""&amp;INDEX(tk_MARK,MATCH(38,tk_FSEQ,0)),"")</f>
        <v/>
      </c>
      <c r="B43" s="162">
        <f>IFERROR(INDEX(tk_QTY,MATCH(38,tk_FSEQ,0)),"")</f>
        <v/>
      </c>
      <c r="C43" s="162">
        <f>IFERROR(INDEX(tk_ROOMF,MATCH(38,tk_FSEQ,0))&amp;IF(INDEX(tk_ROOMT,MATCH(38,tk_FSEQ,0))="",""," → "&amp;INDEX(tk_ROOMT,MATCH(38,tk_FSEQ,0))),"")</f>
        <v/>
      </c>
      <c r="D43" s="162">
        <f>IFERROR(""&amp;INDEX(tk_SIZE,MATCH(38,tk_FSEQ,0)),"")</f>
        <v/>
      </c>
      <c r="E43" s="162">
        <f>IFERROR(""&amp;INDEX(tk_RATING,MATCH(38,tk_FSEQ,0)),"")</f>
        <v/>
      </c>
      <c r="F43" s="162">
        <f>IFERROR(TEXT(INDEX(tk_OAW,MATCH(38,tk_FSEQ,0)),"0.000")&amp;" x "&amp;TEXT(INDEX(tk_OAH,MATCH(38,tk_FSEQ,0)),"0.000"),"")</f>
        <v/>
      </c>
      <c r="G43" s="162">
        <f>IFERROR(IF(INDEX(tk_ANCHT,MATCH(38,tk_FSEQ,0))="","",INDEX(tk_ANCHT,MATCH(38,tk_FSEQ,0))&amp;" + "&amp;INDEX(tk_BASEA,MATCH(38,tk_FSEQ,0))),"")</f>
        <v/>
      </c>
      <c r="H43" s="181">
        <f>IFERROR(""&amp;INDEX(tk_FLINE,MATCH(38,tk_FSEQ,0)),"")</f>
        <v/>
      </c>
      <c r="I43" s="181">
        <f>IFERROR(""&amp;INDEX(tk_LOCTXT,MATCH(38,tk_FSEQ,0)),"")</f>
        <v/>
      </c>
      <c r="J43" s="162">
        <f>IFERROR(""&amp;INDEX(tk_FNOTES,MATCH(38,tk_FSEQ,0)),"")</f>
        <v/>
      </c>
    </row>
    <row r="44">
      <c r="A44" s="161">
        <f>IFERROR(""&amp;INDEX(tk_MARK,MATCH(39,tk_FSEQ,0)),"")</f>
        <v/>
      </c>
      <c r="B44" s="162">
        <f>IFERROR(INDEX(tk_QTY,MATCH(39,tk_FSEQ,0)),"")</f>
        <v/>
      </c>
      <c r="C44" s="162">
        <f>IFERROR(INDEX(tk_ROOMF,MATCH(39,tk_FSEQ,0))&amp;IF(INDEX(tk_ROOMT,MATCH(39,tk_FSEQ,0))="",""," → "&amp;INDEX(tk_ROOMT,MATCH(39,tk_FSEQ,0))),"")</f>
        <v/>
      </c>
      <c r="D44" s="162">
        <f>IFERROR(""&amp;INDEX(tk_SIZE,MATCH(39,tk_FSEQ,0)),"")</f>
        <v/>
      </c>
      <c r="E44" s="162">
        <f>IFERROR(""&amp;INDEX(tk_RATING,MATCH(39,tk_FSEQ,0)),"")</f>
        <v/>
      </c>
      <c r="F44" s="162">
        <f>IFERROR(TEXT(INDEX(tk_OAW,MATCH(39,tk_FSEQ,0)),"0.000")&amp;" x "&amp;TEXT(INDEX(tk_OAH,MATCH(39,tk_FSEQ,0)),"0.000"),"")</f>
        <v/>
      </c>
      <c r="G44" s="162">
        <f>IFERROR(IF(INDEX(tk_ANCHT,MATCH(39,tk_FSEQ,0))="","",INDEX(tk_ANCHT,MATCH(39,tk_FSEQ,0))&amp;" + "&amp;INDEX(tk_BASEA,MATCH(39,tk_FSEQ,0))),"")</f>
        <v/>
      </c>
      <c r="H44" s="181">
        <f>IFERROR(""&amp;INDEX(tk_FLINE,MATCH(39,tk_FSEQ,0)),"")</f>
        <v/>
      </c>
      <c r="I44" s="181">
        <f>IFERROR(""&amp;INDEX(tk_LOCTXT,MATCH(39,tk_FSEQ,0)),"")</f>
        <v/>
      </c>
      <c r="J44" s="162">
        <f>IFERROR(""&amp;INDEX(tk_FNOTES,MATCH(39,tk_FSEQ,0)),"")</f>
        <v/>
      </c>
    </row>
    <row r="45">
      <c r="A45" s="161">
        <f>IFERROR(""&amp;INDEX(tk_MARK,MATCH(40,tk_FSEQ,0)),"")</f>
        <v/>
      </c>
      <c r="B45" s="162">
        <f>IFERROR(INDEX(tk_QTY,MATCH(40,tk_FSEQ,0)),"")</f>
        <v/>
      </c>
      <c r="C45" s="162">
        <f>IFERROR(INDEX(tk_ROOMF,MATCH(40,tk_FSEQ,0))&amp;IF(INDEX(tk_ROOMT,MATCH(40,tk_FSEQ,0))="",""," → "&amp;INDEX(tk_ROOMT,MATCH(40,tk_FSEQ,0))),"")</f>
        <v/>
      </c>
      <c r="D45" s="162">
        <f>IFERROR(""&amp;INDEX(tk_SIZE,MATCH(40,tk_FSEQ,0)),"")</f>
        <v/>
      </c>
      <c r="E45" s="162">
        <f>IFERROR(""&amp;INDEX(tk_RATING,MATCH(40,tk_FSEQ,0)),"")</f>
        <v/>
      </c>
      <c r="F45" s="162">
        <f>IFERROR(TEXT(INDEX(tk_OAW,MATCH(40,tk_FSEQ,0)),"0.000")&amp;" x "&amp;TEXT(INDEX(tk_OAH,MATCH(40,tk_FSEQ,0)),"0.000"),"")</f>
        <v/>
      </c>
      <c r="G45" s="162">
        <f>IFERROR(IF(INDEX(tk_ANCHT,MATCH(40,tk_FSEQ,0))="","",INDEX(tk_ANCHT,MATCH(40,tk_FSEQ,0))&amp;" + "&amp;INDEX(tk_BASEA,MATCH(40,tk_FSEQ,0))),"")</f>
        <v/>
      </c>
      <c r="H45" s="181">
        <f>IFERROR(""&amp;INDEX(tk_FLINE,MATCH(40,tk_FSEQ,0)),"")</f>
        <v/>
      </c>
      <c r="I45" s="181">
        <f>IFERROR(""&amp;INDEX(tk_LOCTXT,MATCH(40,tk_FSEQ,0)),"")</f>
        <v/>
      </c>
      <c r="J45" s="162">
        <f>IFERROR(""&amp;INDEX(tk_FNOTES,MATCH(40,tk_FSEQ,0)),"")</f>
        <v/>
      </c>
    </row>
    <row r="46">
      <c r="A46" s="161">
        <f>IFERROR(""&amp;INDEX(tk_MARK,MATCH(41,tk_FSEQ,0)),"")</f>
        <v/>
      </c>
      <c r="B46" s="162">
        <f>IFERROR(INDEX(tk_QTY,MATCH(41,tk_FSEQ,0)),"")</f>
        <v/>
      </c>
      <c r="C46" s="162">
        <f>IFERROR(INDEX(tk_ROOMF,MATCH(41,tk_FSEQ,0))&amp;IF(INDEX(tk_ROOMT,MATCH(41,tk_FSEQ,0))="",""," → "&amp;INDEX(tk_ROOMT,MATCH(41,tk_FSEQ,0))),"")</f>
        <v/>
      </c>
      <c r="D46" s="162">
        <f>IFERROR(""&amp;INDEX(tk_SIZE,MATCH(41,tk_FSEQ,0)),"")</f>
        <v/>
      </c>
      <c r="E46" s="162">
        <f>IFERROR(""&amp;INDEX(tk_RATING,MATCH(41,tk_FSEQ,0)),"")</f>
        <v/>
      </c>
      <c r="F46" s="162">
        <f>IFERROR(TEXT(INDEX(tk_OAW,MATCH(41,tk_FSEQ,0)),"0.000")&amp;" x "&amp;TEXT(INDEX(tk_OAH,MATCH(41,tk_FSEQ,0)),"0.000"),"")</f>
        <v/>
      </c>
      <c r="G46" s="162">
        <f>IFERROR(IF(INDEX(tk_ANCHT,MATCH(41,tk_FSEQ,0))="","",INDEX(tk_ANCHT,MATCH(41,tk_FSEQ,0))&amp;" + "&amp;INDEX(tk_BASEA,MATCH(41,tk_FSEQ,0))),"")</f>
        <v/>
      </c>
      <c r="H46" s="181">
        <f>IFERROR(""&amp;INDEX(tk_FLINE,MATCH(41,tk_FSEQ,0)),"")</f>
        <v/>
      </c>
      <c r="I46" s="181">
        <f>IFERROR(""&amp;INDEX(tk_LOCTXT,MATCH(41,tk_FSEQ,0)),"")</f>
        <v/>
      </c>
      <c r="J46" s="162">
        <f>IFERROR(""&amp;INDEX(tk_FNOTES,MATCH(41,tk_FSEQ,0)),"")</f>
        <v/>
      </c>
    </row>
    <row r="47">
      <c r="A47" s="161">
        <f>IFERROR(""&amp;INDEX(tk_MARK,MATCH(42,tk_FSEQ,0)),"")</f>
        <v/>
      </c>
      <c r="B47" s="162">
        <f>IFERROR(INDEX(tk_QTY,MATCH(42,tk_FSEQ,0)),"")</f>
        <v/>
      </c>
      <c r="C47" s="162">
        <f>IFERROR(INDEX(tk_ROOMF,MATCH(42,tk_FSEQ,0))&amp;IF(INDEX(tk_ROOMT,MATCH(42,tk_FSEQ,0))="",""," → "&amp;INDEX(tk_ROOMT,MATCH(42,tk_FSEQ,0))),"")</f>
        <v/>
      </c>
      <c r="D47" s="162">
        <f>IFERROR(""&amp;INDEX(tk_SIZE,MATCH(42,tk_FSEQ,0)),"")</f>
        <v/>
      </c>
      <c r="E47" s="162">
        <f>IFERROR(""&amp;INDEX(tk_RATING,MATCH(42,tk_FSEQ,0)),"")</f>
        <v/>
      </c>
      <c r="F47" s="162">
        <f>IFERROR(TEXT(INDEX(tk_OAW,MATCH(42,tk_FSEQ,0)),"0.000")&amp;" x "&amp;TEXT(INDEX(tk_OAH,MATCH(42,tk_FSEQ,0)),"0.000"),"")</f>
        <v/>
      </c>
      <c r="G47" s="162">
        <f>IFERROR(IF(INDEX(tk_ANCHT,MATCH(42,tk_FSEQ,0))="","",INDEX(tk_ANCHT,MATCH(42,tk_FSEQ,0))&amp;" + "&amp;INDEX(tk_BASEA,MATCH(42,tk_FSEQ,0))),"")</f>
        <v/>
      </c>
      <c r="H47" s="181">
        <f>IFERROR(""&amp;INDEX(tk_FLINE,MATCH(42,tk_FSEQ,0)),"")</f>
        <v/>
      </c>
      <c r="I47" s="181">
        <f>IFERROR(""&amp;INDEX(tk_LOCTXT,MATCH(42,tk_FSEQ,0)),"")</f>
        <v/>
      </c>
      <c r="J47" s="162">
        <f>IFERROR(""&amp;INDEX(tk_FNOTES,MATCH(42,tk_FSEQ,0)),"")</f>
        <v/>
      </c>
    </row>
    <row r="48">
      <c r="A48" s="161">
        <f>IFERROR(""&amp;INDEX(tk_MARK,MATCH(43,tk_FSEQ,0)),"")</f>
        <v/>
      </c>
      <c r="B48" s="162">
        <f>IFERROR(INDEX(tk_QTY,MATCH(43,tk_FSEQ,0)),"")</f>
        <v/>
      </c>
      <c r="C48" s="162">
        <f>IFERROR(INDEX(tk_ROOMF,MATCH(43,tk_FSEQ,0))&amp;IF(INDEX(tk_ROOMT,MATCH(43,tk_FSEQ,0))="",""," → "&amp;INDEX(tk_ROOMT,MATCH(43,tk_FSEQ,0))),"")</f>
        <v/>
      </c>
      <c r="D48" s="162">
        <f>IFERROR(""&amp;INDEX(tk_SIZE,MATCH(43,tk_FSEQ,0)),"")</f>
        <v/>
      </c>
      <c r="E48" s="162">
        <f>IFERROR(""&amp;INDEX(tk_RATING,MATCH(43,tk_FSEQ,0)),"")</f>
        <v/>
      </c>
      <c r="F48" s="162">
        <f>IFERROR(TEXT(INDEX(tk_OAW,MATCH(43,tk_FSEQ,0)),"0.000")&amp;" x "&amp;TEXT(INDEX(tk_OAH,MATCH(43,tk_FSEQ,0)),"0.000"),"")</f>
        <v/>
      </c>
      <c r="G48" s="162">
        <f>IFERROR(IF(INDEX(tk_ANCHT,MATCH(43,tk_FSEQ,0))="","",INDEX(tk_ANCHT,MATCH(43,tk_FSEQ,0))&amp;" + "&amp;INDEX(tk_BASEA,MATCH(43,tk_FSEQ,0))),"")</f>
        <v/>
      </c>
      <c r="H48" s="181">
        <f>IFERROR(""&amp;INDEX(tk_FLINE,MATCH(43,tk_FSEQ,0)),"")</f>
        <v/>
      </c>
      <c r="I48" s="181">
        <f>IFERROR(""&amp;INDEX(tk_LOCTXT,MATCH(43,tk_FSEQ,0)),"")</f>
        <v/>
      </c>
      <c r="J48" s="162">
        <f>IFERROR(""&amp;INDEX(tk_FNOTES,MATCH(43,tk_FSEQ,0)),"")</f>
        <v/>
      </c>
    </row>
    <row r="49">
      <c r="A49" s="161">
        <f>IFERROR(""&amp;INDEX(tk_MARK,MATCH(44,tk_FSEQ,0)),"")</f>
        <v/>
      </c>
      <c r="B49" s="162">
        <f>IFERROR(INDEX(tk_QTY,MATCH(44,tk_FSEQ,0)),"")</f>
        <v/>
      </c>
      <c r="C49" s="162">
        <f>IFERROR(INDEX(tk_ROOMF,MATCH(44,tk_FSEQ,0))&amp;IF(INDEX(tk_ROOMT,MATCH(44,tk_FSEQ,0))="",""," → "&amp;INDEX(tk_ROOMT,MATCH(44,tk_FSEQ,0))),"")</f>
        <v/>
      </c>
      <c r="D49" s="162">
        <f>IFERROR(""&amp;INDEX(tk_SIZE,MATCH(44,tk_FSEQ,0)),"")</f>
        <v/>
      </c>
      <c r="E49" s="162">
        <f>IFERROR(""&amp;INDEX(tk_RATING,MATCH(44,tk_FSEQ,0)),"")</f>
        <v/>
      </c>
      <c r="F49" s="162">
        <f>IFERROR(TEXT(INDEX(tk_OAW,MATCH(44,tk_FSEQ,0)),"0.000")&amp;" x "&amp;TEXT(INDEX(tk_OAH,MATCH(44,tk_FSEQ,0)),"0.000"),"")</f>
        <v/>
      </c>
      <c r="G49" s="162">
        <f>IFERROR(IF(INDEX(tk_ANCHT,MATCH(44,tk_FSEQ,0))="","",INDEX(tk_ANCHT,MATCH(44,tk_FSEQ,0))&amp;" + "&amp;INDEX(tk_BASEA,MATCH(44,tk_FSEQ,0))),"")</f>
        <v/>
      </c>
      <c r="H49" s="181">
        <f>IFERROR(""&amp;INDEX(tk_FLINE,MATCH(44,tk_FSEQ,0)),"")</f>
        <v/>
      </c>
      <c r="I49" s="181">
        <f>IFERROR(""&amp;INDEX(tk_LOCTXT,MATCH(44,tk_FSEQ,0)),"")</f>
        <v/>
      </c>
      <c r="J49" s="162">
        <f>IFERROR(""&amp;INDEX(tk_FNOTES,MATCH(44,tk_FSEQ,0)),"")</f>
        <v/>
      </c>
    </row>
    <row r="50">
      <c r="A50" s="161">
        <f>IFERROR(""&amp;INDEX(tk_MARK,MATCH(45,tk_FSEQ,0)),"")</f>
        <v/>
      </c>
      <c r="B50" s="162">
        <f>IFERROR(INDEX(tk_QTY,MATCH(45,tk_FSEQ,0)),"")</f>
        <v/>
      </c>
      <c r="C50" s="162">
        <f>IFERROR(INDEX(tk_ROOMF,MATCH(45,tk_FSEQ,0))&amp;IF(INDEX(tk_ROOMT,MATCH(45,tk_FSEQ,0))="",""," → "&amp;INDEX(tk_ROOMT,MATCH(45,tk_FSEQ,0))),"")</f>
        <v/>
      </c>
      <c r="D50" s="162">
        <f>IFERROR(""&amp;INDEX(tk_SIZE,MATCH(45,tk_FSEQ,0)),"")</f>
        <v/>
      </c>
      <c r="E50" s="162">
        <f>IFERROR(""&amp;INDEX(tk_RATING,MATCH(45,tk_FSEQ,0)),"")</f>
        <v/>
      </c>
      <c r="F50" s="162">
        <f>IFERROR(TEXT(INDEX(tk_OAW,MATCH(45,tk_FSEQ,0)),"0.000")&amp;" x "&amp;TEXT(INDEX(tk_OAH,MATCH(45,tk_FSEQ,0)),"0.000"),"")</f>
        <v/>
      </c>
      <c r="G50" s="162">
        <f>IFERROR(IF(INDEX(tk_ANCHT,MATCH(45,tk_FSEQ,0))="","",INDEX(tk_ANCHT,MATCH(45,tk_FSEQ,0))&amp;" + "&amp;INDEX(tk_BASEA,MATCH(45,tk_FSEQ,0))),"")</f>
        <v/>
      </c>
      <c r="H50" s="181">
        <f>IFERROR(""&amp;INDEX(tk_FLINE,MATCH(45,tk_FSEQ,0)),"")</f>
        <v/>
      </c>
      <c r="I50" s="181">
        <f>IFERROR(""&amp;INDEX(tk_LOCTXT,MATCH(45,tk_FSEQ,0)),"")</f>
        <v/>
      </c>
      <c r="J50" s="162">
        <f>IFERROR(""&amp;INDEX(tk_FNOTES,MATCH(45,tk_FSEQ,0)),"")</f>
        <v/>
      </c>
    </row>
    <row r="51">
      <c r="A51" s="161">
        <f>IFERROR(""&amp;INDEX(tk_MARK,MATCH(46,tk_FSEQ,0)),"")</f>
        <v/>
      </c>
      <c r="B51" s="162">
        <f>IFERROR(INDEX(tk_QTY,MATCH(46,tk_FSEQ,0)),"")</f>
        <v/>
      </c>
      <c r="C51" s="162">
        <f>IFERROR(INDEX(tk_ROOMF,MATCH(46,tk_FSEQ,0))&amp;IF(INDEX(tk_ROOMT,MATCH(46,tk_FSEQ,0))="",""," → "&amp;INDEX(tk_ROOMT,MATCH(46,tk_FSEQ,0))),"")</f>
        <v/>
      </c>
      <c r="D51" s="162">
        <f>IFERROR(""&amp;INDEX(tk_SIZE,MATCH(46,tk_FSEQ,0)),"")</f>
        <v/>
      </c>
      <c r="E51" s="162">
        <f>IFERROR(""&amp;INDEX(tk_RATING,MATCH(46,tk_FSEQ,0)),"")</f>
        <v/>
      </c>
      <c r="F51" s="162">
        <f>IFERROR(TEXT(INDEX(tk_OAW,MATCH(46,tk_FSEQ,0)),"0.000")&amp;" x "&amp;TEXT(INDEX(tk_OAH,MATCH(46,tk_FSEQ,0)),"0.000"),"")</f>
        <v/>
      </c>
      <c r="G51" s="162">
        <f>IFERROR(IF(INDEX(tk_ANCHT,MATCH(46,tk_FSEQ,0))="","",INDEX(tk_ANCHT,MATCH(46,tk_FSEQ,0))&amp;" + "&amp;INDEX(tk_BASEA,MATCH(46,tk_FSEQ,0))),"")</f>
        <v/>
      </c>
      <c r="H51" s="181">
        <f>IFERROR(""&amp;INDEX(tk_FLINE,MATCH(46,tk_FSEQ,0)),"")</f>
        <v/>
      </c>
      <c r="I51" s="181">
        <f>IFERROR(""&amp;INDEX(tk_LOCTXT,MATCH(46,tk_FSEQ,0)),"")</f>
        <v/>
      </c>
      <c r="J51" s="162">
        <f>IFERROR(""&amp;INDEX(tk_FNOTES,MATCH(46,tk_FSEQ,0)),"")</f>
        <v/>
      </c>
    </row>
    <row r="52">
      <c r="A52" s="161">
        <f>IFERROR(""&amp;INDEX(tk_MARK,MATCH(47,tk_FSEQ,0)),"")</f>
        <v/>
      </c>
      <c r="B52" s="162">
        <f>IFERROR(INDEX(tk_QTY,MATCH(47,tk_FSEQ,0)),"")</f>
        <v/>
      </c>
      <c r="C52" s="162">
        <f>IFERROR(INDEX(tk_ROOMF,MATCH(47,tk_FSEQ,0))&amp;IF(INDEX(tk_ROOMT,MATCH(47,tk_FSEQ,0))="",""," → "&amp;INDEX(tk_ROOMT,MATCH(47,tk_FSEQ,0))),"")</f>
        <v/>
      </c>
      <c r="D52" s="162">
        <f>IFERROR(""&amp;INDEX(tk_SIZE,MATCH(47,tk_FSEQ,0)),"")</f>
        <v/>
      </c>
      <c r="E52" s="162">
        <f>IFERROR(""&amp;INDEX(tk_RATING,MATCH(47,tk_FSEQ,0)),"")</f>
        <v/>
      </c>
      <c r="F52" s="162">
        <f>IFERROR(TEXT(INDEX(tk_OAW,MATCH(47,tk_FSEQ,0)),"0.000")&amp;" x "&amp;TEXT(INDEX(tk_OAH,MATCH(47,tk_FSEQ,0)),"0.000"),"")</f>
        <v/>
      </c>
      <c r="G52" s="162">
        <f>IFERROR(IF(INDEX(tk_ANCHT,MATCH(47,tk_FSEQ,0))="","",INDEX(tk_ANCHT,MATCH(47,tk_FSEQ,0))&amp;" + "&amp;INDEX(tk_BASEA,MATCH(47,tk_FSEQ,0))),"")</f>
        <v/>
      </c>
      <c r="H52" s="181">
        <f>IFERROR(""&amp;INDEX(tk_FLINE,MATCH(47,tk_FSEQ,0)),"")</f>
        <v/>
      </c>
      <c r="I52" s="181">
        <f>IFERROR(""&amp;INDEX(tk_LOCTXT,MATCH(47,tk_FSEQ,0)),"")</f>
        <v/>
      </c>
      <c r="J52" s="162">
        <f>IFERROR(""&amp;INDEX(tk_FNOTES,MATCH(47,tk_FSEQ,0)),"")</f>
        <v/>
      </c>
    </row>
    <row r="53">
      <c r="A53" s="161">
        <f>IFERROR(""&amp;INDEX(tk_MARK,MATCH(48,tk_FSEQ,0)),"")</f>
        <v/>
      </c>
      <c r="B53" s="162">
        <f>IFERROR(INDEX(tk_QTY,MATCH(48,tk_FSEQ,0)),"")</f>
        <v/>
      </c>
      <c r="C53" s="162">
        <f>IFERROR(INDEX(tk_ROOMF,MATCH(48,tk_FSEQ,0))&amp;IF(INDEX(tk_ROOMT,MATCH(48,tk_FSEQ,0))="",""," → "&amp;INDEX(tk_ROOMT,MATCH(48,tk_FSEQ,0))),"")</f>
        <v/>
      </c>
      <c r="D53" s="162">
        <f>IFERROR(""&amp;INDEX(tk_SIZE,MATCH(48,tk_FSEQ,0)),"")</f>
        <v/>
      </c>
      <c r="E53" s="162">
        <f>IFERROR(""&amp;INDEX(tk_RATING,MATCH(48,tk_FSEQ,0)),"")</f>
        <v/>
      </c>
      <c r="F53" s="162">
        <f>IFERROR(TEXT(INDEX(tk_OAW,MATCH(48,tk_FSEQ,0)),"0.000")&amp;" x "&amp;TEXT(INDEX(tk_OAH,MATCH(48,tk_FSEQ,0)),"0.000"),"")</f>
        <v/>
      </c>
      <c r="G53" s="162">
        <f>IFERROR(IF(INDEX(tk_ANCHT,MATCH(48,tk_FSEQ,0))="","",INDEX(tk_ANCHT,MATCH(48,tk_FSEQ,0))&amp;" + "&amp;INDEX(tk_BASEA,MATCH(48,tk_FSEQ,0))),"")</f>
        <v/>
      </c>
      <c r="H53" s="181">
        <f>IFERROR(""&amp;INDEX(tk_FLINE,MATCH(48,tk_FSEQ,0)),"")</f>
        <v/>
      </c>
      <c r="I53" s="181">
        <f>IFERROR(""&amp;INDEX(tk_LOCTXT,MATCH(48,tk_FSEQ,0)),"")</f>
        <v/>
      </c>
      <c r="J53" s="162">
        <f>IFERROR(""&amp;INDEX(tk_FNOTES,MATCH(48,tk_FSEQ,0)),"")</f>
        <v/>
      </c>
    </row>
    <row r="54">
      <c r="A54" s="161">
        <f>IFERROR(""&amp;INDEX(tk_MARK,MATCH(49,tk_FSEQ,0)),"")</f>
        <v/>
      </c>
      <c r="B54" s="162">
        <f>IFERROR(INDEX(tk_QTY,MATCH(49,tk_FSEQ,0)),"")</f>
        <v/>
      </c>
      <c r="C54" s="162">
        <f>IFERROR(INDEX(tk_ROOMF,MATCH(49,tk_FSEQ,0))&amp;IF(INDEX(tk_ROOMT,MATCH(49,tk_FSEQ,0))="",""," → "&amp;INDEX(tk_ROOMT,MATCH(49,tk_FSEQ,0))),"")</f>
        <v/>
      </c>
      <c r="D54" s="162">
        <f>IFERROR(""&amp;INDEX(tk_SIZE,MATCH(49,tk_FSEQ,0)),"")</f>
        <v/>
      </c>
      <c r="E54" s="162">
        <f>IFERROR(""&amp;INDEX(tk_RATING,MATCH(49,tk_FSEQ,0)),"")</f>
        <v/>
      </c>
      <c r="F54" s="162">
        <f>IFERROR(TEXT(INDEX(tk_OAW,MATCH(49,tk_FSEQ,0)),"0.000")&amp;" x "&amp;TEXT(INDEX(tk_OAH,MATCH(49,tk_FSEQ,0)),"0.000"),"")</f>
        <v/>
      </c>
      <c r="G54" s="162">
        <f>IFERROR(IF(INDEX(tk_ANCHT,MATCH(49,tk_FSEQ,0))="","",INDEX(tk_ANCHT,MATCH(49,tk_FSEQ,0))&amp;" + "&amp;INDEX(tk_BASEA,MATCH(49,tk_FSEQ,0))),"")</f>
        <v/>
      </c>
      <c r="H54" s="181">
        <f>IFERROR(""&amp;INDEX(tk_FLINE,MATCH(49,tk_FSEQ,0)),"")</f>
        <v/>
      </c>
      <c r="I54" s="181">
        <f>IFERROR(""&amp;INDEX(tk_LOCTXT,MATCH(49,tk_FSEQ,0)),"")</f>
        <v/>
      </c>
      <c r="J54" s="162">
        <f>IFERROR(""&amp;INDEX(tk_FNOTES,MATCH(49,tk_FSEQ,0)),"")</f>
        <v/>
      </c>
    </row>
    <row r="55">
      <c r="A55" s="161">
        <f>IFERROR(""&amp;INDEX(tk_MARK,MATCH(50,tk_FSEQ,0)),"")</f>
        <v/>
      </c>
      <c r="B55" s="162">
        <f>IFERROR(INDEX(tk_QTY,MATCH(50,tk_FSEQ,0)),"")</f>
        <v/>
      </c>
      <c r="C55" s="162">
        <f>IFERROR(INDEX(tk_ROOMF,MATCH(50,tk_FSEQ,0))&amp;IF(INDEX(tk_ROOMT,MATCH(50,tk_FSEQ,0))="",""," → "&amp;INDEX(tk_ROOMT,MATCH(50,tk_FSEQ,0))),"")</f>
        <v/>
      </c>
      <c r="D55" s="162">
        <f>IFERROR(""&amp;INDEX(tk_SIZE,MATCH(50,tk_FSEQ,0)),"")</f>
        <v/>
      </c>
      <c r="E55" s="162">
        <f>IFERROR(""&amp;INDEX(tk_RATING,MATCH(50,tk_FSEQ,0)),"")</f>
        <v/>
      </c>
      <c r="F55" s="162">
        <f>IFERROR(TEXT(INDEX(tk_OAW,MATCH(50,tk_FSEQ,0)),"0.000")&amp;" x "&amp;TEXT(INDEX(tk_OAH,MATCH(50,tk_FSEQ,0)),"0.000"),"")</f>
        <v/>
      </c>
      <c r="G55" s="162">
        <f>IFERROR(IF(INDEX(tk_ANCHT,MATCH(50,tk_FSEQ,0))="","",INDEX(tk_ANCHT,MATCH(50,tk_FSEQ,0))&amp;" + "&amp;INDEX(tk_BASEA,MATCH(50,tk_FSEQ,0))),"")</f>
        <v/>
      </c>
      <c r="H55" s="181">
        <f>IFERROR(""&amp;INDEX(tk_FLINE,MATCH(50,tk_FSEQ,0)),"")</f>
        <v/>
      </c>
      <c r="I55" s="181">
        <f>IFERROR(""&amp;INDEX(tk_LOCTXT,MATCH(50,tk_FSEQ,0)),"")</f>
        <v/>
      </c>
      <c r="J55" s="162">
        <f>IFERROR(""&amp;INDEX(tk_FNOTES,MATCH(50,tk_FSEQ,0)),"")</f>
        <v/>
      </c>
    </row>
    <row r="56">
      <c r="A56" s="161">
        <f>IFERROR(""&amp;INDEX(tk_MARK,MATCH(51,tk_FSEQ,0)),"")</f>
        <v/>
      </c>
      <c r="B56" s="162">
        <f>IFERROR(INDEX(tk_QTY,MATCH(51,tk_FSEQ,0)),"")</f>
        <v/>
      </c>
      <c r="C56" s="162">
        <f>IFERROR(INDEX(tk_ROOMF,MATCH(51,tk_FSEQ,0))&amp;IF(INDEX(tk_ROOMT,MATCH(51,tk_FSEQ,0))="",""," → "&amp;INDEX(tk_ROOMT,MATCH(51,tk_FSEQ,0))),"")</f>
        <v/>
      </c>
      <c r="D56" s="162">
        <f>IFERROR(""&amp;INDEX(tk_SIZE,MATCH(51,tk_FSEQ,0)),"")</f>
        <v/>
      </c>
      <c r="E56" s="162">
        <f>IFERROR(""&amp;INDEX(tk_RATING,MATCH(51,tk_FSEQ,0)),"")</f>
        <v/>
      </c>
      <c r="F56" s="162">
        <f>IFERROR(TEXT(INDEX(tk_OAW,MATCH(51,tk_FSEQ,0)),"0.000")&amp;" x "&amp;TEXT(INDEX(tk_OAH,MATCH(51,tk_FSEQ,0)),"0.000"),"")</f>
        <v/>
      </c>
      <c r="G56" s="162">
        <f>IFERROR(IF(INDEX(tk_ANCHT,MATCH(51,tk_FSEQ,0))="","",INDEX(tk_ANCHT,MATCH(51,tk_FSEQ,0))&amp;" + "&amp;INDEX(tk_BASEA,MATCH(51,tk_FSEQ,0))),"")</f>
        <v/>
      </c>
      <c r="H56" s="181">
        <f>IFERROR(""&amp;INDEX(tk_FLINE,MATCH(51,tk_FSEQ,0)),"")</f>
        <v/>
      </c>
      <c r="I56" s="181">
        <f>IFERROR(""&amp;INDEX(tk_LOCTXT,MATCH(51,tk_FSEQ,0)),"")</f>
        <v/>
      </c>
      <c r="J56" s="162">
        <f>IFERROR(""&amp;INDEX(tk_FNOTES,MATCH(51,tk_FSEQ,0)),"")</f>
        <v/>
      </c>
    </row>
    <row r="57">
      <c r="A57" s="161">
        <f>IFERROR(""&amp;INDEX(tk_MARK,MATCH(52,tk_FSEQ,0)),"")</f>
        <v/>
      </c>
      <c r="B57" s="162">
        <f>IFERROR(INDEX(tk_QTY,MATCH(52,tk_FSEQ,0)),"")</f>
        <v/>
      </c>
      <c r="C57" s="162">
        <f>IFERROR(INDEX(tk_ROOMF,MATCH(52,tk_FSEQ,0))&amp;IF(INDEX(tk_ROOMT,MATCH(52,tk_FSEQ,0))="",""," → "&amp;INDEX(tk_ROOMT,MATCH(52,tk_FSEQ,0))),"")</f>
        <v/>
      </c>
      <c r="D57" s="162">
        <f>IFERROR(""&amp;INDEX(tk_SIZE,MATCH(52,tk_FSEQ,0)),"")</f>
        <v/>
      </c>
      <c r="E57" s="162">
        <f>IFERROR(""&amp;INDEX(tk_RATING,MATCH(52,tk_FSEQ,0)),"")</f>
        <v/>
      </c>
      <c r="F57" s="162">
        <f>IFERROR(TEXT(INDEX(tk_OAW,MATCH(52,tk_FSEQ,0)),"0.000")&amp;" x "&amp;TEXT(INDEX(tk_OAH,MATCH(52,tk_FSEQ,0)),"0.000"),"")</f>
        <v/>
      </c>
      <c r="G57" s="162">
        <f>IFERROR(IF(INDEX(tk_ANCHT,MATCH(52,tk_FSEQ,0))="","",INDEX(tk_ANCHT,MATCH(52,tk_FSEQ,0))&amp;" + "&amp;INDEX(tk_BASEA,MATCH(52,tk_FSEQ,0))),"")</f>
        <v/>
      </c>
      <c r="H57" s="181">
        <f>IFERROR(""&amp;INDEX(tk_FLINE,MATCH(52,tk_FSEQ,0)),"")</f>
        <v/>
      </c>
      <c r="I57" s="181">
        <f>IFERROR(""&amp;INDEX(tk_LOCTXT,MATCH(52,tk_FSEQ,0)),"")</f>
        <v/>
      </c>
      <c r="J57" s="162">
        <f>IFERROR(""&amp;INDEX(tk_FNOTES,MATCH(52,tk_FSEQ,0)),"")</f>
        <v/>
      </c>
    </row>
    <row r="58">
      <c r="A58" s="161">
        <f>IFERROR(""&amp;INDEX(tk_MARK,MATCH(53,tk_FSEQ,0)),"")</f>
        <v/>
      </c>
      <c r="B58" s="162">
        <f>IFERROR(INDEX(tk_QTY,MATCH(53,tk_FSEQ,0)),"")</f>
        <v/>
      </c>
      <c r="C58" s="162">
        <f>IFERROR(INDEX(tk_ROOMF,MATCH(53,tk_FSEQ,0))&amp;IF(INDEX(tk_ROOMT,MATCH(53,tk_FSEQ,0))="",""," → "&amp;INDEX(tk_ROOMT,MATCH(53,tk_FSEQ,0))),"")</f>
        <v/>
      </c>
      <c r="D58" s="162">
        <f>IFERROR(""&amp;INDEX(tk_SIZE,MATCH(53,tk_FSEQ,0)),"")</f>
        <v/>
      </c>
      <c r="E58" s="162">
        <f>IFERROR(""&amp;INDEX(tk_RATING,MATCH(53,tk_FSEQ,0)),"")</f>
        <v/>
      </c>
      <c r="F58" s="162">
        <f>IFERROR(TEXT(INDEX(tk_OAW,MATCH(53,tk_FSEQ,0)),"0.000")&amp;" x "&amp;TEXT(INDEX(tk_OAH,MATCH(53,tk_FSEQ,0)),"0.000"),"")</f>
        <v/>
      </c>
      <c r="G58" s="162">
        <f>IFERROR(IF(INDEX(tk_ANCHT,MATCH(53,tk_FSEQ,0))="","",INDEX(tk_ANCHT,MATCH(53,tk_FSEQ,0))&amp;" + "&amp;INDEX(tk_BASEA,MATCH(53,tk_FSEQ,0))),"")</f>
        <v/>
      </c>
      <c r="H58" s="181">
        <f>IFERROR(""&amp;INDEX(tk_FLINE,MATCH(53,tk_FSEQ,0)),"")</f>
        <v/>
      </c>
      <c r="I58" s="181">
        <f>IFERROR(""&amp;INDEX(tk_LOCTXT,MATCH(53,tk_FSEQ,0)),"")</f>
        <v/>
      </c>
      <c r="J58" s="162">
        <f>IFERROR(""&amp;INDEX(tk_FNOTES,MATCH(53,tk_FSEQ,0)),"")</f>
        <v/>
      </c>
    </row>
    <row r="59">
      <c r="A59" s="161">
        <f>IFERROR(""&amp;INDEX(tk_MARK,MATCH(54,tk_FSEQ,0)),"")</f>
        <v/>
      </c>
      <c r="B59" s="162">
        <f>IFERROR(INDEX(tk_QTY,MATCH(54,tk_FSEQ,0)),"")</f>
        <v/>
      </c>
      <c r="C59" s="162">
        <f>IFERROR(INDEX(tk_ROOMF,MATCH(54,tk_FSEQ,0))&amp;IF(INDEX(tk_ROOMT,MATCH(54,tk_FSEQ,0))="",""," → "&amp;INDEX(tk_ROOMT,MATCH(54,tk_FSEQ,0))),"")</f>
        <v/>
      </c>
      <c r="D59" s="162">
        <f>IFERROR(""&amp;INDEX(tk_SIZE,MATCH(54,tk_FSEQ,0)),"")</f>
        <v/>
      </c>
      <c r="E59" s="162">
        <f>IFERROR(""&amp;INDEX(tk_RATING,MATCH(54,tk_FSEQ,0)),"")</f>
        <v/>
      </c>
      <c r="F59" s="162">
        <f>IFERROR(TEXT(INDEX(tk_OAW,MATCH(54,tk_FSEQ,0)),"0.000")&amp;" x "&amp;TEXT(INDEX(tk_OAH,MATCH(54,tk_FSEQ,0)),"0.000"),"")</f>
        <v/>
      </c>
      <c r="G59" s="162">
        <f>IFERROR(IF(INDEX(tk_ANCHT,MATCH(54,tk_FSEQ,0))="","",INDEX(tk_ANCHT,MATCH(54,tk_FSEQ,0))&amp;" + "&amp;INDEX(tk_BASEA,MATCH(54,tk_FSEQ,0))),"")</f>
        <v/>
      </c>
      <c r="H59" s="181">
        <f>IFERROR(""&amp;INDEX(tk_FLINE,MATCH(54,tk_FSEQ,0)),"")</f>
        <v/>
      </c>
      <c r="I59" s="181">
        <f>IFERROR(""&amp;INDEX(tk_LOCTXT,MATCH(54,tk_FSEQ,0)),"")</f>
        <v/>
      </c>
      <c r="J59" s="162">
        <f>IFERROR(""&amp;INDEX(tk_FNOTES,MATCH(54,tk_FSEQ,0)),"")</f>
        <v/>
      </c>
    </row>
    <row r="60">
      <c r="A60" s="161">
        <f>IFERROR(""&amp;INDEX(tk_MARK,MATCH(55,tk_FSEQ,0)),"")</f>
        <v/>
      </c>
      <c r="B60" s="162">
        <f>IFERROR(INDEX(tk_QTY,MATCH(55,tk_FSEQ,0)),"")</f>
        <v/>
      </c>
      <c r="C60" s="162">
        <f>IFERROR(INDEX(tk_ROOMF,MATCH(55,tk_FSEQ,0))&amp;IF(INDEX(tk_ROOMT,MATCH(55,tk_FSEQ,0))="",""," → "&amp;INDEX(tk_ROOMT,MATCH(55,tk_FSEQ,0))),"")</f>
        <v/>
      </c>
      <c r="D60" s="162">
        <f>IFERROR(""&amp;INDEX(tk_SIZE,MATCH(55,tk_FSEQ,0)),"")</f>
        <v/>
      </c>
      <c r="E60" s="162">
        <f>IFERROR(""&amp;INDEX(tk_RATING,MATCH(55,tk_FSEQ,0)),"")</f>
        <v/>
      </c>
      <c r="F60" s="162">
        <f>IFERROR(TEXT(INDEX(tk_OAW,MATCH(55,tk_FSEQ,0)),"0.000")&amp;" x "&amp;TEXT(INDEX(tk_OAH,MATCH(55,tk_FSEQ,0)),"0.000"),"")</f>
        <v/>
      </c>
      <c r="G60" s="162">
        <f>IFERROR(IF(INDEX(tk_ANCHT,MATCH(55,tk_FSEQ,0))="","",INDEX(tk_ANCHT,MATCH(55,tk_FSEQ,0))&amp;" + "&amp;INDEX(tk_BASEA,MATCH(55,tk_FSEQ,0))),"")</f>
        <v/>
      </c>
      <c r="H60" s="181">
        <f>IFERROR(""&amp;INDEX(tk_FLINE,MATCH(55,tk_FSEQ,0)),"")</f>
        <v/>
      </c>
      <c r="I60" s="181">
        <f>IFERROR(""&amp;INDEX(tk_LOCTXT,MATCH(55,tk_FSEQ,0)),"")</f>
        <v/>
      </c>
      <c r="J60" s="162">
        <f>IFERROR(""&amp;INDEX(tk_FNOTES,MATCH(55,tk_FSEQ,0)),"")</f>
        <v/>
      </c>
    </row>
    <row r="61">
      <c r="A61" s="161">
        <f>IFERROR(""&amp;INDEX(tk_MARK,MATCH(56,tk_FSEQ,0)),"")</f>
        <v/>
      </c>
      <c r="B61" s="162">
        <f>IFERROR(INDEX(tk_QTY,MATCH(56,tk_FSEQ,0)),"")</f>
        <v/>
      </c>
      <c r="C61" s="162">
        <f>IFERROR(INDEX(tk_ROOMF,MATCH(56,tk_FSEQ,0))&amp;IF(INDEX(tk_ROOMT,MATCH(56,tk_FSEQ,0))="",""," → "&amp;INDEX(tk_ROOMT,MATCH(56,tk_FSEQ,0))),"")</f>
        <v/>
      </c>
      <c r="D61" s="162">
        <f>IFERROR(""&amp;INDEX(tk_SIZE,MATCH(56,tk_FSEQ,0)),"")</f>
        <v/>
      </c>
      <c r="E61" s="162">
        <f>IFERROR(""&amp;INDEX(tk_RATING,MATCH(56,tk_FSEQ,0)),"")</f>
        <v/>
      </c>
      <c r="F61" s="162">
        <f>IFERROR(TEXT(INDEX(tk_OAW,MATCH(56,tk_FSEQ,0)),"0.000")&amp;" x "&amp;TEXT(INDEX(tk_OAH,MATCH(56,tk_FSEQ,0)),"0.000"),"")</f>
        <v/>
      </c>
      <c r="G61" s="162">
        <f>IFERROR(IF(INDEX(tk_ANCHT,MATCH(56,tk_FSEQ,0))="","",INDEX(tk_ANCHT,MATCH(56,tk_FSEQ,0))&amp;" + "&amp;INDEX(tk_BASEA,MATCH(56,tk_FSEQ,0))),"")</f>
        <v/>
      </c>
      <c r="H61" s="181">
        <f>IFERROR(""&amp;INDEX(tk_FLINE,MATCH(56,tk_FSEQ,0)),"")</f>
        <v/>
      </c>
      <c r="I61" s="181">
        <f>IFERROR(""&amp;INDEX(tk_LOCTXT,MATCH(56,tk_FSEQ,0)),"")</f>
        <v/>
      </c>
      <c r="J61" s="162">
        <f>IFERROR(""&amp;INDEX(tk_FNOTES,MATCH(56,tk_FSEQ,0)),"")</f>
        <v/>
      </c>
    </row>
    <row r="62">
      <c r="A62" s="161">
        <f>IFERROR(""&amp;INDEX(tk_MARK,MATCH(57,tk_FSEQ,0)),"")</f>
        <v/>
      </c>
      <c r="B62" s="162">
        <f>IFERROR(INDEX(tk_QTY,MATCH(57,tk_FSEQ,0)),"")</f>
        <v/>
      </c>
      <c r="C62" s="162">
        <f>IFERROR(INDEX(tk_ROOMF,MATCH(57,tk_FSEQ,0))&amp;IF(INDEX(tk_ROOMT,MATCH(57,tk_FSEQ,0))="",""," → "&amp;INDEX(tk_ROOMT,MATCH(57,tk_FSEQ,0))),"")</f>
        <v/>
      </c>
      <c r="D62" s="162">
        <f>IFERROR(""&amp;INDEX(tk_SIZE,MATCH(57,tk_FSEQ,0)),"")</f>
        <v/>
      </c>
      <c r="E62" s="162">
        <f>IFERROR(""&amp;INDEX(tk_RATING,MATCH(57,tk_FSEQ,0)),"")</f>
        <v/>
      </c>
      <c r="F62" s="162">
        <f>IFERROR(TEXT(INDEX(tk_OAW,MATCH(57,tk_FSEQ,0)),"0.000")&amp;" x "&amp;TEXT(INDEX(tk_OAH,MATCH(57,tk_FSEQ,0)),"0.000"),"")</f>
        <v/>
      </c>
      <c r="G62" s="162">
        <f>IFERROR(IF(INDEX(tk_ANCHT,MATCH(57,tk_FSEQ,0))="","",INDEX(tk_ANCHT,MATCH(57,tk_FSEQ,0))&amp;" + "&amp;INDEX(tk_BASEA,MATCH(57,tk_FSEQ,0))),"")</f>
        <v/>
      </c>
      <c r="H62" s="181">
        <f>IFERROR(""&amp;INDEX(tk_FLINE,MATCH(57,tk_FSEQ,0)),"")</f>
        <v/>
      </c>
      <c r="I62" s="181">
        <f>IFERROR(""&amp;INDEX(tk_LOCTXT,MATCH(57,tk_FSEQ,0)),"")</f>
        <v/>
      </c>
      <c r="J62" s="162">
        <f>IFERROR(""&amp;INDEX(tk_FNOTES,MATCH(57,tk_FSEQ,0)),"")</f>
        <v/>
      </c>
    </row>
    <row r="63">
      <c r="A63" s="161">
        <f>IFERROR(""&amp;INDEX(tk_MARK,MATCH(58,tk_FSEQ,0)),"")</f>
        <v/>
      </c>
      <c r="B63" s="162">
        <f>IFERROR(INDEX(tk_QTY,MATCH(58,tk_FSEQ,0)),"")</f>
        <v/>
      </c>
      <c r="C63" s="162">
        <f>IFERROR(INDEX(tk_ROOMF,MATCH(58,tk_FSEQ,0))&amp;IF(INDEX(tk_ROOMT,MATCH(58,tk_FSEQ,0))="",""," → "&amp;INDEX(tk_ROOMT,MATCH(58,tk_FSEQ,0))),"")</f>
        <v/>
      </c>
      <c r="D63" s="162">
        <f>IFERROR(""&amp;INDEX(tk_SIZE,MATCH(58,tk_FSEQ,0)),"")</f>
        <v/>
      </c>
      <c r="E63" s="162">
        <f>IFERROR(""&amp;INDEX(tk_RATING,MATCH(58,tk_FSEQ,0)),"")</f>
        <v/>
      </c>
      <c r="F63" s="162">
        <f>IFERROR(TEXT(INDEX(tk_OAW,MATCH(58,tk_FSEQ,0)),"0.000")&amp;" x "&amp;TEXT(INDEX(tk_OAH,MATCH(58,tk_FSEQ,0)),"0.000"),"")</f>
        <v/>
      </c>
      <c r="G63" s="162">
        <f>IFERROR(IF(INDEX(tk_ANCHT,MATCH(58,tk_FSEQ,0))="","",INDEX(tk_ANCHT,MATCH(58,tk_FSEQ,0))&amp;" + "&amp;INDEX(tk_BASEA,MATCH(58,tk_FSEQ,0))),"")</f>
        <v/>
      </c>
      <c r="H63" s="181">
        <f>IFERROR(""&amp;INDEX(tk_FLINE,MATCH(58,tk_FSEQ,0)),"")</f>
        <v/>
      </c>
      <c r="I63" s="181">
        <f>IFERROR(""&amp;INDEX(tk_LOCTXT,MATCH(58,tk_FSEQ,0)),"")</f>
        <v/>
      </c>
      <c r="J63" s="162">
        <f>IFERROR(""&amp;INDEX(tk_FNOTES,MATCH(58,tk_FSEQ,0)),"")</f>
        <v/>
      </c>
    </row>
    <row r="64">
      <c r="A64" s="161">
        <f>IFERROR(""&amp;INDEX(tk_MARK,MATCH(59,tk_FSEQ,0)),"")</f>
        <v/>
      </c>
      <c r="B64" s="162">
        <f>IFERROR(INDEX(tk_QTY,MATCH(59,tk_FSEQ,0)),"")</f>
        <v/>
      </c>
      <c r="C64" s="162">
        <f>IFERROR(INDEX(tk_ROOMF,MATCH(59,tk_FSEQ,0))&amp;IF(INDEX(tk_ROOMT,MATCH(59,tk_FSEQ,0))="",""," → "&amp;INDEX(tk_ROOMT,MATCH(59,tk_FSEQ,0))),"")</f>
        <v/>
      </c>
      <c r="D64" s="162">
        <f>IFERROR(""&amp;INDEX(tk_SIZE,MATCH(59,tk_FSEQ,0)),"")</f>
        <v/>
      </c>
      <c r="E64" s="162">
        <f>IFERROR(""&amp;INDEX(tk_RATING,MATCH(59,tk_FSEQ,0)),"")</f>
        <v/>
      </c>
      <c r="F64" s="162">
        <f>IFERROR(TEXT(INDEX(tk_OAW,MATCH(59,tk_FSEQ,0)),"0.000")&amp;" x "&amp;TEXT(INDEX(tk_OAH,MATCH(59,tk_FSEQ,0)),"0.000"),"")</f>
        <v/>
      </c>
      <c r="G64" s="162">
        <f>IFERROR(IF(INDEX(tk_ANCHT,MATCH(59,tk_FSEQ,0))="","",INDEX(tk_ANCHT,MATCH(59,tk_FSEQ,0))&amp;" + "&amp;INDEX(tk_BASEA,MATCH(59,tk_FSEQ,0))),"")</f>
        <v/>
      </c>
      <c r="H64" s="181">
        <f>IFERROR(""&amp;INDEX(tk_FLINE,MATCH(59,tk_FSEQ,0)),"")</f>
        <v/>
      </c>
      <c r="I64" s="181">
        <f>IFERROR(""&amp;INDEX(tk_LOCTXT,MATCH(59,tk_FSEQ,0)),"")</f>
        <v/>
      </c>
      <c r="J64" s="162">
        <f>IFERROR(""&amp;INDEX(tk_FNOTES,MATCH(59,tk_FSEQ,0)),"")</f>
        <v/>
      </c>
    </row>
    <row r="65">
      <c r="A65" s="161">
        <f>IFERROR(""&amp;INDEX(tk_MARK,MATCH(60,tk_FSEQ,0)),"")</f>
        <v/>
      </c>
      <c r="B65" s="162">
        <f>IFERROR(INDEX(tk_QTY,MATCH(60,tk_FSEQ,0)),"")</f>
        <v/>
      </c>
      <c r="C65" s="162">
        <f>IFERROR(INDEX(tk_ROOMF,MATCH(60,tk_FSEQ,0))&amp;IF(INDEX(tk_ROOMT,MATCH(60,tk_FSEQ,0))="",""," → "&amp;INDEX(tk_ROOMT,MATCH(60,tk_FSEQ,0))),"")</f>
        <v/>
      </c>
      <c r="D65" s="162">
        <f>IFERROR(""&amp;INDEX(tk_SIZE,MATCH(60,tk_FSEQ,0)),"")</f>
        <v/>
      </c>
      <c r="E65" s="162">
        <f>IFERROR(""&amp;INDEX(tk_RATING,MATCH(60,tk_FSEQ,0)),"")</f>
        <v/>
      </c>
      <c r="F65" s="162">
        <f>IFERROR(TEXT(INDEX(tk_OAW,MATCH(60,tk_FSEQ,0)),"0.000")&amp;" x "&amp;TEXT(INDEX(tk_OAH,MATCH(60,tk_FSEQ,0)),"0.000"),"")</f>
        <v/>
      </c>
      <c r="G65" s="162">
        <f>IFERROR(IF(INDEX(tk_ANCHT,MATCH(60,tk_FSEQ,0))="","",INDEX(tk_ANCHT,MATCH(60,tk_FSEQ,0))&amp;" + "&amp;INDEX(tk_BASEA,MATCH(60,tk_FSEQ,0))),"")</f>
        <v/>
      </c>
      <c r="H65" s="181">
        <f>IFERROR(""&amp;INDEX(tk_FLINE,MATCH(60,tk_FSEQ,0)),"")</f>
        <v/>
      </c>
      <c r="I65" s="181">
        <f>IFERROR(""&amp;INDEX(tk_LOCTXT,MATCH(60,tk_FSEQ,0)),"")</f>
        <v/>
      </c>
      <c r="J65" s="162">
        <f>IFERROR(""&amp;INDEX(tk_FNOTES,MATCH(60,tk_FSEQ,0)),"")</f>
        <v/>
      </c>
    </row>
    <row r="66">
      <c r="A66" s="161">
        <f>IFERROR(""&amp;INDEX(tk_MARK,MATCH(61,tk_FSEQ,0)),"")</f>
        <v/>
      </c>
      <c r="B66" s="162">
        <f>IFERROR(INDEX(tk_QTY,MATCH(61,tk_FSEQ,0)),"")</f>
        <v/>
      </c>
      <c r="C66" s="162">
        <f>IFERROR(INDEX(tk_ROOMF,MATCH(61,tk_FSEQ,0))&amp;IF(INDEX(tk_ROOMT,MATCH(61,tk_FSEQ,0))="",""," → "&amp;INDEX(tk_ROOMT,MATCH(61,tk_FSEQ,0))),"")</f>
        <v/>
      </c>
      <c r="D66" s="162">
        <f>IFERROR(""&amp;INDEX(tk_SIZE,MATCH(61,tk_FSEQ,0)),"")</f>
        <v/>
      </c>
      <c r="E66" s="162">
        <f>IFERROR(""&amp;INDEX(tk_RATING,MATCH(61,tk_FSEQ,0)),"")</f>
        <v/>
      </c>
      <c r="F66" s="162">
        <f>IFERROR(TEXT(INDEX(tk_OAW,MATCH(61,tk_FSEQ,0)),"0.000")&amp;" x "&amp;TEXT(INDEX(tk_OAH,MATCH(61,tk_FSEQ,0)),"0.000"),"")</f>
        <v/>
      </c>
      <c r="G66" s="162">
        <f>IFERROR(IF(INDEX(tk_ANCHT,MATCH(61,tk_FSEQ,0))="","",INDEX(tk_ANCHT,MATCH(61,tk_FSEQ,0))&amp;" + "&amp;INDEX(tk_BASEA,MATCH(61,tk_FSEQ,0))),"")</f>
        <v/>
      </c>
      <c r="H66" s="181">
        <f>IFERROR(""&amp;INDEX(tk_FLINE,MATCH(61,tk_FSEQ,0)),"")</f>
        <v/>
      </c>
      <c r="I66" s="181">
        <f>IFERROR(""&amp;INDEX(tk_LOCTXT,MATCH(61,tk_FSEQ,0)),"")</f>
        <v/>
      </c>
      <c r="J66" s="162">
        <f>IFERROR(""&amp;INDEX(tk_FNOTES,MATCH(61,tk_FSEQ,0)),"")</f>
        <v/>
      </c>
    </row>
    <row r="67">
      <c r="A67" s="161">
        <f>IFERROR(""&amp;INDEX(tk_MARK,MATCH(62,tk_FSEQ,0)),"")</f>
        <v/>
      </c>
      <c r="B67" s="162">
        <f>IFERROR(INDEX(tk_QTY,MATCH(62,tk_FSEQ,0)),"")</f>
        <v/>
      </c>
      <c r="C67" s="162">
        <f>IFERROR(INDEX(tk_ROOMF,MATCH(62,tk_FSEQ,0))&amp;IF(INDEX(tk_ROOMT,MATCH(62,tk_FSEQ,0))="",""," → "&amp;INDEX(tk_ROOMT,MATCH(62,tk_FSEQ,0))),"")</f>
        <v/>
      </c>
      <c r="D67" s="162">
        <f>IFERROR(""&amp;INDEX(tk_SIZE,MATCH(62,tk_FSEQ,0)),"")</f>
        <v/>
      </c>
      <c r="E67" s="162">
        <f>IFERROR(""&amp;INDEX(tk_RATING,MATCH(62,tk_FSEQ,0)),"")</f>
        <v/>
      </c>
      <c r="F67" s="162">
        <f>IFERROR(TEXT(INDEX(tk_OAW,MATCH(62,tk_FSEQ,0)),"0.000")&amp;" x "&amp;TEXT(INDEX(tk_OAH,MATCH(62,tk_FSEQ,0)),"0.000"),"")</f>
        <v/>
      </c>
      <c r="G67" s="162">
        <f>IFERROR(IF(INDEX(tk_ANCHT,MATCH(62,tk_FSEQ,0))="","",INDEX(tk_ANCHT,MATCH(62,tk_FSEQ,0))&amp;" + "&amp;INDEX(tk_BASEA,MATCH(62,tk_FSEQ,0))),"")</f>
        <v/>
      </c>
      <c r="H67" s="181">
        <f>IFERROR(""&amp;INDEX(tk_FLINE,MATCH(62,tk_FSEQ,0)),"")</f>
        <v/>
      </c>
      <c r="I67" s="181">
        <f>IFERROR(""&amp;INDEX(tk_LOCTXT,MATCH(62,tk_FSEQ,0)),"")</f>
        <v/>
      </c>
      <c r="J67" s="162">
        <f>IFERROR(""&amp;INDEX(tk_FNOTES,MATCH(62,tk_FSEQ,0)),"")</f>
        <v/>
      </c>
    </row>
    <row r="68">
      <c r="A68" s="161">
        <f>IFERROR(""&amp;INDEX(tk_MARK,MATCH(63,tk_FSEQ,0)),"")</f>
        <v/>
      </c>
      <c r="B68" s="162">
        <f>IFERROR(INDEX(tk_QTY,MATCH(63,tk_FSEQ,0)),"")</f>
        <v/>
      </c>
      <c r="C68" s="162">
        <f>IFERROR(INDEX(tk_ROOMF,MATCH(63,tk_FSEQ,0))&amp;IF(INDEX(tk_ROOMT,MATCH(63,tk_FSEQ,0))="",""," → "&amp;INDEX(tk_ROOMT,MATCH(63,tk_FSEQ,0))),"")</f>
        <v/>
      </c>
      <c r="D68" s="162">
        <f>IFERROR(""&amp;INDEX(tk_SIZE,MATCH(63,tk_FSEQ,0)),"")</f>
        <v/>
      </c>
      <c r="E68" s="162">
        <f>IFERROR(""&amp;INDEX(tk_RATING,MATCH(63,tk_FSEQ,0)),"")</f>
        <v/>
      </c>
      <c r="F68" s="162">
        <f>IFERROR(TEXT(INDEX(tk_OAW,MATCH(63,tk_FSEQ,0)),"0.000")&amp;" x "&amp;TEXT(INDEX(tk_OAH,MATCH(63,tk_FSEQ,0)),"0.000"),"")</f>
        <v/>
      </c>
      <c r="G68" s="162">
        <f>IFERROR(IF(INDEX(tk_ANCHT,MATCH(63,tk_FSEQ,0))="","",INDEX(tk_ANCHT,MATCH(63,tk_FSEQ,0))&amp;" + "&amp;INDEX(tk_BASEA,MATCH(63,tk_FSEQ,0))),"")</f>
        <v/>
      </c>
      <c r="H68" s="181">
        <f>IFERROR(""&amp;INDEX(tk_FLINE,MATCH(63,tk_FSEQ,0)),"")</f>
        <v/>
      </c>
      <c r="I68" s="181">
        <f>IFERROR(""&amp;INDEX(tk_LOCTXT,MATCH(63,tk_FSEQ,0)),"")</f>
        <v/>
      </c>
      <c r="J68" s="162">
        <f>IFERROR(""&amp;INDEX(tk_FNOTES,MATCH(63,tk_FSEQ,0)),"")</f>
        <v/>
      </c>
    </row>
    <row r="69">
      <c r="A69" s="161">
        <f>IFERROR(""&amp;INDEX(tk_MARK,MATCH(64,tk_FSEQ,0)),"")</f>
        <v/>
      </c>
      <c r="B69" s="162">
        <f>IFERROR(INDEX(tk_QTY,MATCH(64,tk_FSEQ,0)),"")</f>
        <v/>
      </c>
      <c r="C69" s="162">
        <f>IFERROR(INDEX(tk_ROOMF,MATCH(64,tk_FSEQ,0))&amp;IF(INDEX(tk_ROOMT,MATCH(64,tk_FSEQ,0))="",""," → "&amp;INDEX(tk_ROOMT,MATCH(64,tk_FSEQ,0))),"")</f>
        <v/>
      </c>
      <c r="D69" s="162">
        <f>IFERROR(""&amp;INDEX(tk_SIZE,MATCH(64,tk_FSEQ,0)),"")</f>
        <v/>
      </c>
      <c r="E69" s="162">
        <f>IFERROR(""&amp;INDEX(tk_RATING,MATCH(64,tk_FSEQ,0)),"")</f>
        <v/>
      </c>
      <c r="F69" s="162">
        <f>IFERROR(TEXT(INDEX(tk_OAW,MATCH(64,tk_FSEQ,0)),"0.000")&amp;" x "&amp;TEXT(INDEX(tk_OAH,MATCH(64,tk_FSEQ,0)),"0.000"),"")</f>
        <v/>
      </c>
      <c r="G69" s="162">
        <f>IFERROR(IF(INDEX(tk_ANCHT,MATCH(64,tk_FSEQ,0))="","",INDEX(tk_ANCHT,MATCH(64,tk_FSEQ,0))&amp;" + "&amp;INDEX(tk_BASEA,MATCH(64,tk_FSEQ,0))),"")</f>
        <v/>
      </c>
      <c r="H69" s="181">
        <f>IFERROR(""&amp;INDEX(tk_FLINE,MATCH(64,tk_FSEQ,0)),"")</f>
        <v/>
      </c>
      <c r="I69" s="181">
        <f>IFERROR(""&amp;INDEX(tk_LOCTXT,MATCH(64,tk_FSEQ,0)),"")</f>
        <v/>
      </c>
      <c r="J69" s="162">
        <f>IFERROR(""&amp;INDEX(tk_FNOTES,MATCH(64,tk_FSEQ,0)),"")</f>
        <v/>
      </c>
    </row>
    <row r="70">
      <c r="A70" s="161">
        <f>IFERROR(""&amp;INDEX(tk_MARK,MATCH(65,tk_FSEQ,0)),"")</f>
        <v/>
      </c>
      <c r="B70" s="162">
        <f>IFERROR(INDEX(tk_QTY,MATCH(65,tk_FSEQ,0)),"")</f>
        <v/>
      </c>
      <c r="C70" s="162">
        <f>IFERROR(INDEX(tk_ROOMF,MATCH(65,tk_FSEQ,0))&amp;IF(INDEX(tk_ROOMT,MATCH(65,tk_FSEQ,0))="",""," → "&amp;INDEX(tk_ROOMT,MATCH(65,tk_FSEQ,0))),"")</f>
        <v/>
      </c>
      <c r="D70" s="162">
        <f>IFERROR(""&amp;INDEX(tk_SIZE,MATCH(65,tk_FSEQ,0)),"")</f>
        <v/>
      </c>
      <c r="E70" s="162">
        <f>IFERROR(""&amp;INDEX(tk_RATING,MATCH(65,tk_FSEQ,0)),"")</f>
        <v/>
      </c>
      <c r="F70" s="162">
        <f>IFERROR(TEXT(INDEX(tk_OAW,MATCH(65,tk_FSEQ,0)),"0.000")&amp;" x "&amp;TEXT(INDEX(tk_OAH,MATCH(65,tk_FSEQ,0)),"0.000"),"")</f>
        <v/>
      </c>
      <c r="G70" s="162">
        <f>IFERROR(IF(INDEX(tk_ANCHT,MATCH(65,tk_FSEQ,0))="","",INDEX(tk_ANCHT,MATCH(65,tk_FSEQ,0))&amp;" + "&amp;INDEX(tk_BASEA,MATCH(65,tk_FSEQ,0))),"")</f>
        <v/>
      </c>
      <c r="H70" s="181">
        <f>IFERROR(""&amp;INDEX(tk_FLINE,MATCH(65,tk_FSEQ,0)),"")</f>
        <v/>
      </c>
      <c r="I70" s="181">
        <f>IFERROR(""&amp;INDEX(tk_LOCTXT,MATCH(65,tk_FSEQ,0)),"")</f>
        <v/>
      </c>
      <c r="J70" s="162">
        <f>IFERROR(""&amp;INDEX(tk_FNOTES,MATCH(65,tk_FSEQ,0)),"")</f>
        <v/>
      </c>
    </row>
    <row r="71">
      <c r="A71" s="161">
        <f>IFERROR(""&amp;INDEX(tk_MARK,MATCH(66,tk_FSEQ,0)),"")</f>
        <v/>
      </c>
      <c r="B71" s="162">
        <f>IFERROR(INDEX(tk_QTY,MATCH(66,tk_FSEQ,0)),"")</f>
        <v/>
      </c>
      <c r="C71" s="162">
        <f>IFERROR(INDEX(tk_ROOMF,MATCH(66,tk_FSEQ,0))&amp;IF(INDEX(tk_ROOMT,MATCH(66,tk_FSEQ,0))="",""," → "&amp;INDEX(tk_ROOMT,MATCH(66,tk_FSEQ,0))),"")</f>
        <v/>
      </c>
      <c r="D71" s="162">
        <f>IFERROR(""&amp;INDEX(tk_SIZE,MATCH(66,tk_FSEQ,0)),"")</f>
        <v/>
      </c>
      <c r="E71" s="162">
        <f>IFERROR(""&amp;INDEX(tk_RATING,MATCH(66,tk_FSEQ,0)),"")</f>
        <v/>
      </c>
      <c r="F71" s="162">
        <f>IFERROR(TEXT(INDEX(tk_OAW,MATCH(66,tk_FSEQ,0)),"0.000")&amp;" x "&amp;TEXT(INDEX(tk_OAH,MATCH(66,tk_FSEQ,0)),"0.000"),"")</f>
        <v/>
      </c>
      <c r="G71" s="162">
        <f>IFERROR(IF(INDEX(tk_ANCHT,MATCH(66,tk_FSEQ,0))="","",INDEX(tk_ANCHT,MATCH(66,tk_FSEQ,0))&amp;" + "&amp;INDEX(tk_BASEA,MATCH(66,tk_FSEQ,0))),"")</f>
        <v/>
      </c>
      <c r="H71" s="181">
        <f>IFERROR(""&amp;INDEX(tk_FLINE,MATCH(66,tk_FSEQ,0)),"")</f>
        <v/>
      </c>
      <c r="I71" s="181">
        <f>IFERROR(""&amp;INDEX(tk_LOCTXT,MATCH(66,tk_FSEQ,0)),"")</f>
        <v/>
      </c>
      <c r="J71" s="162">
        <f>IFERROR(""&amp;INDEX(tk_FNOTES,MATCH(66,tk_FSEQ,0)),"")</f>
        <v/>
      </c>
    </row>
    <row r="72">
      <c r="A72" s="161">
        <f>IFERROR(""&amp;INDEX(tk_MARK,MATCH(67,tk_FSEQ,0)),"")</f>
        <v/>
      </c>
      <c r="B72" s="162">
        <f>IFERROR(INDEX(tk_QTY,MATCH(67,tk_FSEQ,0)),"")</f>
        <v/>
      </c>
      <c r="C72" s="162">
        <f>IFERROR(INDEX(tk_ROOMF,MATCH(67,tk_FSEQ,0))&amp;IF(INDEX(tk_ROOMT,MATCH(67,tk_FSEQ,0))="",""," → "&amp;INDEX(tk_ROOMT,MATCH(67,tk_FSEQ,0))),"")</f>
        <v/>
      </c>
      <c r="D72" s="162">
        <f>IFERROR(""&amp;INDEX(tk_SIZE,MATCH(67,tk_FSEQ,0)),"")</f>
        <v/>
      </c>
      <c r="E72" s="162">
        <f>IFERROR(""&amp;INDEX(tk_RATING,MATCH(67,tk_FSEQ,0)),"")</f>
        <v/>
      </c>
      <c r="F72" s="162">
        <f>IFERROR(TEXT(INDEX(tk_OAW,MATCH(67,tk_FSEQ,0)),"0.000")&amp;" x "&amp;TEXT(INDEX(tk_OAH,MATCH(67,tk_FSEQ,0)),"0.000"),"")</f>
        <v/>
      </c>
      <c r="G72" s="162">
        <f>IFERROR(IF(INDEX(tk_ANCHT,MATCH(67,tk_FSEQ,0))="","",INDEX(tk_ANCHT,MATCH(67,tk_FSEQ,0))&amp;" + "&amp;INDEX(tk_BASEA,MATCH(67,tk_FSEQ,0))),"")</f>
        <v/>
      </c>
      <c r="H72" s="181">
        <f>IFERROR(""&amp;INDEX(tk_FLINE,MATCH(67,tk_FSEQ,0)),"")</f>
        <v/>
      </c>
      <c r="I72" s="181">
        <f>IFERROR(""&amp;INDEX(tk_LOCTXT,MATCH(67,tk_FSEQ,0)),"")</f>
        <v/>
      </c>
      <c r="J72" s="162">
        <f>IFERROR(""&amp;INDEX(tk_FNOTES,MATCH(67,tk_FSEQ,0)),"")</f>
        <v/>
      </c>
    </row>
    <row r="73">
      <c r="A73" s="161">
        <f>IFERROR(""&amp;INDEX(tk_MARK,MATCH(68,tk_FSEQ,0)),"")</f>
        <v/>
      </c>
      <c r="B73" s="162">
        <f>IFERROR(INDEX(tk_QTY,MATCH(68,tk_FSEQ,0)),"")</f>
        <v/>
      </c>
      <c r="C73" s="162">
        <f>IFERROR(INDEX(tk_ROOMF,MATCH(68,tk_FSEQ,0))&amp;IF(INDEX(tk_ROOMT,MATCH(68,tk_FSEQ,0))="",""," → "&amp;INDEX(tk_ROOMT,MATCH(68,tk_FSEQ,0))),"")</f>
        <v/>
      </c>
      <c r="D73" s="162">
        <f>IFERROR(""&amp;INDEX(tk_SIZE,MATCH(68,tk_FSEQ,0)),"")</f>
        <v/>
      </c>
      <c r="E73" s="162">
        <f>IFERROR(""&amp;INDEX(tk_RATING,MATCH(68,tk_FSEQ,0)),"")</f>
        <v/>
      </c>
      <c r="F73" s="162">
        <f>IFERROR(TEXT(INDEX(tk_OAW,MATCH(68,tk_FSEQ,0)),"0.000")&amp;" x "&amp;TEXT(INDEX(tk_OAH,MATCH(68,tk_FSEQ,0)),"0.000"),"")</f>
        <v/>
      </c>
      <c r="G73" s="162">
        <f>IFERROR(IF(INDEX(tk_ANCHT,MATCH(68,tk_FSEQ,0))="","",INDEX(tk_ANCHT,MATCH(68,tk_FSEQ,0))&amp;" + "&amp;INDEX(tk_BASEA,MATCH(68,tk_FSEQ,0))),"")</f>
        <v/>
      </c>
      <c r="H73" s="181">
        <f>IFERROR(""&amp;INDEX(tk_FLINE,MATCH(68,tk_FSEQ,0)),"")</f>
        <v/>
      </c>
      <c r="I73" s="181">
        <f>IFERROR(""&amp;INDEX(tk_LOCTXT,MATCH(68,tk_FSEQ,0)),"")</f>
        <v/>
      </c>
      <c r="J73" s="162">
        <f>IFERROR(""&amp;INDEX(tk_FNOTES,MATCH(68,tk_FSEQ,0)),"")</f>
        <v/>
      </c>
    </row>
    <row r="74">
      <c r="A74" s="161">
        <f>IFERROR(""&amp;INDEX(tk_MARK,MATCH(69,tk_FSEQ,0)),"")</f>
        <v/>
      </c>
      <c r="B74" s="162">
        <f>IFERROR(INDEX(tk_QTY,MATCH(69,tk_FSEQ,0)),"")</f>
        <v/>
      </c>
      <c r="C74" s="162">
        <f>IFERROR(INDEX(tk_ROOMF,MATCH(69,tk_FSEQ,0))&amp;IF(INDEX(tk_ROOMT,MATCH(69,tk_FSEQ,0))="",""," → "&amp;INDEX(tk_ROOMT,MATCH(69,tk_FSEQ,0))),"")</f>
        <v/>
      </c>
      <c r="D74" s="162">
        <f>IFERROR(""&amp;INDEX(tk_SIZE,MATCH(69,tk_FSEQ,0)),"")</f>
        <v/>
      </c>
      <c r="E74" s="162">
        <f>IFERROR(""&amp;INDEX(tk_RATING,MATCH(69,tk_FSEQ,0)),"")</f>
        <v/>
      </c>
      <c r="F74" s="162">
        <f>IFERROR(TEXT(INDEX(tk_OAW,MATCH(69,tk_FSEQ,0)),"0.000")&amp;" x "&amp;TEXT(INDEX(tk_OAH,MATCH(69,tk_FSEQ,0)),"0.000"),"")</f>
        <v/>
      </c>
      <c r="G74" s="162">
        <f>IFERROR(IF(INDEX(tk_ANCHT,MATCH(69,tk_FSEQ,0))="","",INDEX(tk_ANCHT,MATCH(69,tk_FSEQ,0))&amp;" + "&amp;INDEX(tk_BASEA,MATCH(69,tk_FSEQ,0))),"")</f>
        <v/>
      </c>
      <c r="H74" s="181">
        <f>IFERROR(""&amp;INDEX(tk_FLINE,MATCH(69,tk_FSEQ,0)),"")</f>
        <v/>
      </c>
      <c r="I74" s="181">
        <f>IFERROR(""&amp;INDEX(tk_LOCTXT,MATCH(69,tk_FSEQ,0)),"")</f>
        <v/>
      </c>
      <c r="J74" s="162">
        <f>IFERROR(""&amp;INDEX(tk_FNOTES,MATCH(69,tk_FSEQ,0)),"")</f>
        <v/>
      </c>
    </row>
    <row r="75">
      <c r="A75" s="161">
        <f>IFERROR(""&amp;INDEX(tk_MARK,MATCH(70,tk_FSEQ,0)),"")</f>
        <v/>
      </c>
      <c r="B75" s="162">
        <f>IFERROR(INDEX(tk_QTY,MATCH(70,tk_FSEQ,0)),"")</f>
        <v/>
      </c>
      <c r="C75" s="162">
        <f>IFERROR(INDEX(tk_ROOMF,MATCH(70,tk_FSEQ,0))&amp;IF(INDEX(tk_ROOMT,MATCH(70,tk_FSEQ,0))="",""," → "&amp;INDEX(tk_ROOMT,MATCH(70,tk_FSEQ,0))),"")</f>
        <v/>
      </c>
      <c r="D75" s="162">
        <f>IFERROR(""&amp;INDEX(tk_SIZE,MATCH(70,tk_FSEQ,0)),"")</f>
        <v/>
      </c>
      <c r="E75" s="162">
        <f>IFERROR(""&amp;INDEX(tk_RATING,MATCH(70,tk_FSEQ,0)),"")</f>
        <v/>
      </c>
      <c r="F75" s="162">
        <f>IFERROR(TEXT(INDEX(tk_OAW,MATCH(70,tk_FSEQ,0)),"0.000")&amp;" x "&amp;TEXT(INDEX(tk_OAH,MATCH(70,tk_FSEQ,0)),"0.000"),"")</f>
        <v/>
      </c>
      <c r="G75" s="162">
        <f>IFERROR(IF(INDEX(tk_ANCHT,MATCH(70,tk_FSEQ,0))="","",INDEX(tk_ANCHT,MATCH(70,tk_FSEQ,0))&amp;" + "&amp;INDEX(tk_BASEA,MATCH(70,tk_FSEQ,0))),"")</f>
        <v/>
      </c>
      <c r="H75" s="181">
        <f>IFERROR(""&amp;INDEX(tk_FLINE,MATCH(70,tk_FSEQ,0)),"")</f>
        <v/>
      </c>
      <c r="I75" s="181">
        <f>IFERROR(""&amp;INDEX(tk_LOCTXT,MATCH(70,tk_FSEQ,0)),"")</f>
        <v/>
      </c>
      <c r="J75" s="162">
        <f>IFERROR(""&amp;INDEX(tk_FNOTES,MATCH(70,tk_FSEQ,0)),"")</f>
        <v/>
      </c>
    </row>
    <row r="76">
      <c r="A76" s="161">
        <f>IFERROR(""&amp;INDEX(tk_MARK,MATCH(71,tk_FSEQ,0)),"")</f>
        <v/>
      </c>
      <c r="B76" s="162">
        <f>IFERROR(INDEX(tk_QTY,MATCH(71,tk_FSEQ,0)),"")</f>
        <v/>
      </c>
      <c r="C76" s="162">
        <f>IFERROR(INDEX(tk_ROOMF,MATCH(71,tk_FSEQ,0))&amp;IF(INDEX(tk_ROOMT,MATCH(71,tk_FSEQ,0))="",""," → "&amp;INDEX(tk_ROOMT,MATCH(71,tk_FSEQ,0))),"")</f>
        <v/>
      </c>
      <c r="D76" s="162">
        <f>IFERROR(""&amp;INDEX(tk_SIZE,MATCH(71,tk_FSEQ,0)),"")</f>
        <v/>
      </c>
      <c r="E76" s="162">
        <f>IFERROR(""&amp;INDEX(tk_RATING,MATCH(71,tk_FSEQ,0)),"")</f>
        <v/>
      </c>
      <c r="F76" s="162">
        <f>IFERROR(TEXT(INDEX(tk_OAW,MATCH(71,tk_FSEQ,0)),"0.000")&amp;" x "&amp;TEXT(INDEX(tk_OAH,MATCH(71,tk_FSEQ,0)),"0.000"),"")</f>
        <v/>
      </c>
      <c r="G76" s="162">
        <f>IFERROR(IF(INDEX(tk_ANCHT,MATCH(71,tk_FSEQ,0))="","",INDEX(tk_ANCHT,MATCH(71,tk_FSEQ,0))&amp;" + "&amp;INDEX(tk_BASEA,MATCH(71,tk_FSEQ,0))),"")</f>
        <v/>
      </c>
      <c r="H76" s="181">
        <f>IFERROR(""&amp;INDEX(tk_FLINE,MATCH(71,tk_FSEQ,0)),"")</f>
        <v/>
      </c>
      <c r="I76" s="181">
        <f>IFERROR(""&amp;INDEX(tk_LOCTXT,MATCH(71,tk_FSEQ,0)),"")</f>
        <v/>
      </c>
      <c r="J76" s="162">
        <f>IFERROR(""&amp;INDEX(tk_FNOTES,MATCH(71,tk_FSEQ,0)),"")</f>
        <v/>
      </c>
    </row>
    <row r="77">
      <c r="A77" s="161">
        <f>IFERROR(""&amp;INDEX(tk_MARK,MATCH(72,tk_FSEQ,0)),"")</f>
        <v/>
      </c>
      <c r="B77" s="162">
        <f>IFERROR(INDEX(tk_QTY,MATCH(72,tk_FSEQ,0)),"")</f>
        <v/>
      </c>
      <c r="C77" s="162">
        <f>IFERROR(INDEX(tk_ROOMF,MATCH(72,tk_FSEQ,0))&amp;IF(INDEX(tk_ROOMT,MATCH(72,tk_FSEQ,0))="",""," → "&amp;INDEX(tk_ROOMT,MATCH(72,tk_FSEQ,0))),"")</f>
        <v/>
      </c>
      <c r="D77" s="162">
        <f>IFERROR(""&amp;INDEX(tk_SIZE,MATCH(72,tk_FSEQ,0)),"")</f>
        <v/>
      </c>
      <c r="E77" s="162">
        <f>IFERROR(""&amp;INDEX(tk_RATING,MATCH(72,tk_FSEQ,0)),"")</f>
        <v/>
      </c>
      <c r="F77" s="162">
        <f>IFERROR(TEXT(INDEX(tk_OAW,MATCH(72,tk_FSEQ,0)),"0.000")&amp;" x "&amp;TEXT(INDEX(tk_OAH,MATCH(72,tk_FSEQ,0)),"0.000"),"")</f>
        <v/>
      </c>
      <c r="G77" s="162">
        <f>IFERROR(IF(INDEX(tk_ANCHT,MATCH(72,tk_FSEQ,0))="","",INDEX(tk_ANCHT,MATCH(72,tk_FSEQ,0))&amp;" + "&amp;INDEX(tk_BASEA,MATCH(72,tk_FSEQ,0))),"")</f>
        <v/>
      </c>
      <c r="H77" s="181">
        <f>IFERROR(""&amp;INDEX(tk_FLINE,MATCH(72,tk_FSEQ,0)),"")</f>
        <v/>
      </c>
      <c r="I77" s="181">
        <f>IFERROR(""&amp;INDEX(tk_LOCTXT,MATCH(72,tk_FSEQ,0)),"")</f>
        <v/>
      </c>
      <c r="J77" s="162">
        <f>IFERROR(""&amp;INDEX(tk_FNOTES,MATCH(72,tk_FSEQ,0)),"")</f>
        <v/>
      </c>
    </row>
    <row r="78">
      <c r="A78" s="161">
        <f>IFERROR(""&amp;INDEX(tk_MARK,MATCH(73,tk_FSEQ,0)),"")</f>
        <v/>
      </c>
      <c r="B78" s="162">
        <f>IFERROR(INDEX(tk_QTY,MATCH(73,tk_FSEQ,0)),"")</f>
        <v/>
      </c>
      <c r="C78" s="162">
        <f>IFERROR(INDEX(tk_ROOMF,MATCH(73,tk_FSEQ,0))&amp;IF(INDEX(tk_ROOMT,MATCH(73,tk_FSEQ,0))="",""," → "&amp;INDEX(tk_ROOMT,MATCH(73,tk_FSEQ,0))),"")</f>
        <v/>
      </c>
      <c r="D78" s="162">
        <f>IFERROR(""&amp;INDEX(tk_SIZE,MATCH(73,tk_FSEQ,0)),"")</f>
        <v/>
      </c>
      <c r="E78" s="162">
        <f>IFERROR(""&amp;INDEX(tk_RATING,MATCH(73,tk_FSEQ,0)),"")</f>
        <v/>
      </c>
      <c r="F78" s="162">
        <f>IFERROR(TEXT(INDEX(tk_OAW,MATCH(73,tk_FSEQ,0)),"0.000")&amp;" x "&amp;TEXT(INDEX(tk_OAH,MATCH(73,tk_FSEQ,0)),"0.000"),"")</f>
        <v/>
      </c>
      <c r="G78" s="162">
        <f>IFERROR(IF(INDEX(tk_ANCHT,MATCH(73,tk_FSEQ,0))="","",INDEX(tk_ANCHT,MATCH(73,tk_FSEQ,0))&amp;" + "&amp;INDEX(tk_BASEA,MATCH(73,tk_FSEQ,0))),"")</f>
        <v/>
      </c>
      <c r="H78" s="181">
        <f>IFERROR(""&amp;INDEX(tk_FLINE,MATCH(73,tk_FSEQ,0)),"")</f>
        <v/>
      </c>
      <c r="I78" s="181">
        <f>IFERROR(""&amp;INDEX(tk_LOCTXT,MATCH(73,tk_FSEQ,0)),"")</f>
        <v/>
      </c>
      <c r="J78" s="162">
        <f>IFERROR(""&amp;INDEX(tk_FNOTES,MATCH(73,tk_FSEQ,0)),"")</f>
        <v/>
      </c>
    </row>
    <row r="79">
      <c r="A79" s="161">
        <f>IFERROR(""&amp;INDEX(tk_MARK,MATCH(74,tk_FSEQ,0)),"")</f>
        <v/>
      </c>
      <c r="B79" s="162">
        <f>IFERROR(INDEX(tk_QTY,MATCH(74,tk_FSEQ,0)),"")</f>
        <v/>
      </c>
      <c r="C79" s="162">
        <f>IFERROR(INDEX(tk_ROOMF,MATCH(74,tk_FSEQ,0))&amp;IF(INDEX(tk_ROOMT,MATCH(74,tk_FSEQ,0))="",""," → "&amp;INDEX(tk_ROOMT,MATCH(74,tk_FSEQ,0))),"")</f>
        <v/>
      </c>
      <c r="D79" s="162">
        <f>IFERROR(""&amp;INDEX(tk_SIZE,MATCH(74,tk_FSEQ,0)),"")</f>
        <v/>
      </c>
      <c r="E79" s="162">
        <f>IFERROR(""&amp;INDEX(tk_RATING,MATCH(74,tk_FSEQ,0)),"")</f>
        <v/>
      </c>
      <c r="F79" s="162">
        <f>IFERROR(TEXT(INDEX(tk_OAW,MATCH(74,tk_FSEQ,0)),"0.000")&amp;" x "&amp;TEXT(INDEX(tk_OAH,MATCH(74,tk_FSEQ,0)),"0.000"),"")</f>
        <v/>
      </c>
      <c r="G79" s="162">
        <f>IFERROR(IF(INDEX(tk_ANCHT,MATCH(74,tk_FSEQ,0))="","",INDEX(tk_ANCHT,MATCH(74,tk_FSEQ,0))&amp;" + "&amp;INDEX(tk_BASEA,MATCH(74,tk_FSEQ,0))),"")</f>
        <v/>
      </c>
      <c r="H79" s="181">
        <f>IFERROR(""&amp;INDEX(tk_FLINE,MATCH(74,tk_FSEQ,0)),"")</f>
        <v/>
      </c>
      <c r="I79" s="181">
        <f>IFERROR(""&amp;INDEX(tk_LOCTXT,MATCH(74,tk_FSEQ,0)),"")</f>
        <v/>
      </c>
      <c r="J79" s="162">
        <f>IFERROR(""&amp;INDEX(tk_FNOTES,MATCH(74,tk_FSEQ,0)),"")</f>
        <v/>
      </c>
    </row>
    <row r="80">
      <c r="A80" s="161">
        <f>IFERROR(""&amp;INDEX(tk_MARK,MATCH(75,tk_FSEQ,0)),"")</f>
        <v/>
      </c>
      <c r="B80" s="162">
        <f>IFERROR(INDEX(tk_QTY,MATCH(75,tk_FSEQ,0)),"")</f>
        <v/>
      </c>
      <c r="C80" s="162">
        <f>IFERROR(INDEX(tk_ROOMF,MATCH(75,tk_FSEQ,0))&amp;IF(INDEX(tk_ROOMT,MATCH(75,tk_FSEQ,0))="",""," → "&amp;INDEX(tk_ROOMT,MATCH(75,tk_FSEQ,0))),"")</f>
        <v/>
      </c>
      <c r="D80" s="162">
        <f>IFERROR(""&amp;INDEX(tk_SIZE,MATCH(75,tk_FSEQ,0)),"")</f>
        <v/>
      </c>
      <c r="E80" s="162">
        <f>IFERROR(""&amp;INDEX(tk_RATING,MATCH(75,tk_FSEQ,0)),"")</f>
        <v/>
      </c>
      <c r="F80" s="162">
        <f>IFERROR(TEXT(INDEX(tk_OAW,MATCH(75,tk_FSEQ,0)),"0.000")&amp;" x "&amp;TEXT(INDEX(tk_OAH,MATCH(75,tk_FSEQ,0)),"0.000"),"")</f>
        <v/>
      </c>
      <c r="G80" s="162">
        <f>IFERROR(IF(INDEX(tk_ANCHT,MATCH(75,tk_FSEQ,0))="","",INDEX(tk_ANCHT,MATCH(75,tk_FSEQ,0))&amp;" + "&amp;INDEX(tk_BASEA,MATCH(75,tk_FSEQ,0))),"")</f>
        <v/>
      </c>
      <c r="H80" s="181">
        <f>IFERROR(""&amp;INDEX(tk_FLINE,MATCH(75,tk_FSEQ,0)),"")</f>
        <v/>
      </c>
      <c r="I80" s="181">
        <f>IFERROR(""&amp;INDEX(tk_LOCTXT,MATCH(75,tk_FSEQ,0)),"")</f>
        <v/>
      </c>
      <c r="J80" s="162">
        <f>IFERROR(""&amp;INDEX(tk_FNOTES,MATCH(75,tk_FSEQ,0)),"")</f>
        <v/>
      </c>
    </row>
    <row r="81">
      <c r="A81" s="161">
        <f>IFERROR(""&amp;INDEX(tk_MARK,MATCH(76,tk_FSEQ,0)),"")</f>
        <v/>
      </c>
      <c r="B81" s="162">
        <f>IFERROR(INDEX(tk_QTY,MATCH(76,tk_FSEQ,0)),"")</f>
        <v/>
      </c>
      <c r="C81" s="162">
        <f>IFERROR(INDEX(tk_ROOMF,MATCH(76,tk_FSEQ,0))&amp;IF(INDEX(tk_ROOMT,MATCH(76,tk_FSEQ,0))="",""," → "&amp;INDEX(tk_ROOMT,MATCH(76,tk_FSEQ,0))),"")</f>
        <v/>
      </c>
      <c r="D81" s="162">
        <f>IFERROR(""&amp;INDEX(tk_SIZE,MATCH(76,tk_FSEQ,0)),"")</f>
        <v/>
      </c>
      <c r="E81" s="162">
        <f>IFERROR(""&amp;INDEX(tk_RATING,MATCH(76,tk_FSEQ,0)),"")</f>
        <v/>
      </c>
      <c r="F81" s="162">
        <f>IFERROR(TEXT(INDEX(tk_OAW,MATCH(76,tk_FSEQ,0)),"0.000")&amp;" x "&amp;TEXT(INDEX(tk_OAH,MATCH(76,tk_FSEQ,0)),"0.000"),"")</f>
        <v/>
      </c>
      <c r="G81" s="162">
        <f>IFERROR(IF(INDEX(tk_ANCHT,MATCH(76,tk_FSEQ,0))="","",INDEX(tk_ANCHT,MATCH(76,tk_FSEQ,0))&amp;" + "&amp;INDEX(tk_BASEA,MATCH(76,tk_FSEQ,0))),"")</f>
        <v/>
      </c>
      <c r="H81" s="181">
        <f>IFERROR(""&amp;INDEX(tk_FLINE,MATCH(76,tk_FSEQ,0)),"")</f>
        <v/>
      </c>
      <c r="I81" s="181">
        <f>IFERROR(""&amp;INDEX(tk_LOCTXT,MATCH(76,tk_FSEQ,0)),"")</f>
        <v/>
      </c>
      <c r="J81" s="162">
        <f>IFERROR(""&amp;INDEX(tk_FNOTES,MATCH(76,tk_FSEQ,0)),"")</f>
        <v/>
      </c>
    </row>
    <row r="82">
      <c r="A82" s="161">
        <f>IFERROR(""&amp;INDEX(tk_MARK,MATCH(77,tk_FSEQ,0)),"")</f>
        <v/>
      </c>
      <c r="B82" s="162">
        <f>IFERROR(INDEX(tk_QTY,MATCH(77,tk_FSEQ,0)),"")</f>
        <v/>
      </c>
      <c r="C82" s="162">
        <f>IFERROR(INDEX(tk_ROOMF,MATCH(77,tk_FSEQ,0))&amp;IF(INDEX(tk_ROOMT,MATCH(77,tk_FSEQ,0))="",""," → "&amp;INDEX(tk_ROOMT,MATCH(77,tk_FSEQ,0))),"")</f>
        <v/>
      </c>
      <c r="D82" s="162">
        <f>IFERROR(""&amp;INDEX(tk_SIZE,MATCH(77,tk_FSEQ,0)),"")</f>
        <v/>
      </c>
      <c r="E82" s="162">
        <f>IFERROR(""&amp;INDEX(tk_RATING,MATCH(77,tk_FSEQ,0)),"")</f>
        <v/>
      </c>
      <c r="F82" s="162">
        <f>IFERROR(TEXT(INDEX(tk_OAW,MATCH(77,tk_FSEQ,0)),"0.000")&amp;" x "&amp;TEXT(INDEX(tk_OAH,MATCH(77,tk_FSEQ,0)),"0.000"),"")</f>
        <v/>
      </c>
      <c r="G82" s="162">
        <f>IFERROR(IF(INDEX(tk_ANCHT,MATCH(77,tk_FSEQ,0))="","",INDEX(tk_ANCHT,MATCH(77,tk_FSEQ,0))&amp;" + "&amp;INDEX(tk_BASEA,MATCH(77,tk_FSEQ,0))),"")</f>
        <v/>
      </c>
      <c r="H82" s="181">
        <f>IFERROR(""&amp;INDEX(tk_FLINE,MATCH(77,tk_FSEQ,0)),"")</f>
        <v/>
      </c>
      <c r="I82" s="181">
        <f>IFERROR(""&amp;INDEX(tk_LOCTXT,MATCH(77,tk_FSEQ,0)),"")</f>
        <v/>
      </c>
      <c r="J82" s="162">
        <f>IFERROR(""&amp;INDEX(tk_FNOTES,MATCH(77,tk_FSEQ,0)),"")</f>
        <v/>
      </c>
    </row>
    <row r="83">
      <c r="A83" s="161">
        <f>IFERROR(""&amp;INDEX(tk_MARK,MATCH(78,tk_FSEQ,0)),"")</f>
        <v/>
      </c>
      <c r="B83" s="162">
        <f>IFERROR(INDEX(tk_QTY,MATCH(78,tk_FSEQ,0)),"")</f>
        <v/>
      </c>
      <c r="C83" s="162">
        <f>IFERROR(INDEX(tk_ROOMF,MATCH(78,tk_FSEQ,0))&amp;IF(INDEX(tk_ROOMT,MATCH(78,tk_FSEQ,0))="",""," → "&amp;INDEX(tk_ROOMT,MATCH(78,tk_FSEQ,0))),"")</f>
        <v/>
      </c>
      <c r="D83" s="162">
        <f>IFERROR(""&amp;INDEX(tk_SIZE,MATCH(78,tk_FSEQ,0)),"")</f>
        <v/>
      </c>
      <c r="E83" s="162">
        <f>IFERROR(""&amp;INDEX(tk_RATING,MATCH(78,tk_FSEQ,0)),"")</f>
        <v/>
      </c>
      <c r="F83" s="162">
        <f>IFERROR(TEXT(INDEX(tk_OAW,MATCH(78,tk_FSEQ,0)),"0.000")&amp;" x "&amp;TEXT(INDEX(tk_OAH,MATCH(78,tk_FSEQ,0)),"0.000"),"")</f>
        <v/>
      </c>
      <c r="G83" s="162">
        <f>IFERROR(IF(INDEX(tk_ANCHT,MATCH(78,tk_FSEQ,0))="","",INDEX(tk_ANCHT,MATCH(78,tk_FSEQ,0))&amp;" + "&amp;INDEX(tk_BASEA,MATCH(78,tk_FSEQ,0))),"")</f>
        <v/>
      </c>
      <c r="H83" s="181">
        <f>IFERROR(""&amp;INDEX(tk_FLINE,MATCH(78,tk_FSEQ,0)),"")</f>
        <v/>
      </c>
      <c r="I83" s="181">
        <f>IFERROR(""&amp;INDEX(tk_LOCTXT,MATCH(78,tk_FSEQ,0)),"")</f>
        <v/>
      </c>
      <c r="J83" s="162">
        <f>IFERROR(""&amp;INDEX(tk_FNOTES,MATCH(78,tk_FSEQ,0)),"")</f>
        <v/>
      </c>
    </row>
    <row r="84">
      <c r="A84" s="161">
        <f>IFERROR(""&amp;INDEX(tk_MARK,MATCH(79,tk_FSEQ,0)),"")</f>
        <v/>
      </c>
      <c r="B84" s="162">
        <f>IFERROR(INDEX(tk_QTY,MATCH(79,tk_FSEQ,0)),"")</f>
        <v/>
      </c>
      <c r="C84" s="162">
        <f>IFERROR(INDEX(tk_ROOMF,MATCH(79,tk_FSEQ,0))&amp;IF(INDEX(tk_ROOMT,MATCH(79,tk_FSEQ,0))="",""," → "&amp;INDEX(tk_ROOMT,MATCH(79,tk_FSEQ,0))),"")</f>
        <v/>
      </c>
      <c r="D84" s="162">
        <f>IFERROR(""&amp;INDEX(tk_SIZE,MATCH(79,tk_FSEQ,0)),"")</f>
        <v/>
      </c>
      <c r="E84" s="162">
        <f>IFERROR(""&amp;INDEX(tk_RATING,MATCH(79,tk_FSEQ,0)),"")</f>
        <v/>
      </c>
      <c r="F84" s="162">
        <f>IFERROR(TEXT(INDEX(tk_OAW,MATCH(79,tk_FSEQ,0)),"0.000")&amp;" x "&amp;TEXT(INDEX(tk_OAH,MATCH(79,tk_FSEQ,0)),"0.000"),"")</f>
        <v/>
      </c>
      <c r="G84" s="162">
        <f>IFERROR(IF(INDEX(tk_ANCHT,MATCH(79,tk_FSEQ,0))="","",INDEX(tk_ANCHT,MATCH(79,tk_FSEQ,0))&amp;" + "&amp;INDEX(tk_BASEA,MATCH(79,tk_FSEQ,0))),"")</f>
        <v/>
      </c>
      <c r="H84" s="181">
        <f>IFERROR(""&amp;INDEX(tk_FLINE,MATCH(79,tk_FSEQ,0)),"")</f>
        <v/>
      </c>
      <c r="I84" s="181">
        <f>IFERROR(""&amp;INDEX(tk_LOCTXT,MATCH(79,tk_FSEQ,0)),"")</f>
        <v/>
      </c>
      <c r="J84" s="162">
        <f>IFERROR(""&amp;INDEX(tk_FNOTES,MATCH(79,tk_FSEQ,0)),"")</f>
        <v/>
      </c>
    </row>
    <row r="85">
      <c r="A85" s="161">
        <f>IFERROR(""&amp;INDEX(tk_MARK,MATCH(80,tk_FSEQ,0)),"")</f>
        <v/>
      </c>
      <c r="B85" s="162">
        <f>IFERROR(INDEX(tk_QTY,MATCH(80,tk_FSEQ,0)),"")</f>
        <v/>
      </c>
      <c r="C85" s="162">
        <f>IFERROR(INDEX(tk_ROOMF,MATCH(80,tk_FSEQ,0))&amp;IF(INDEX(tk_ROOMT,MATCH(80,tk_FSEQ,0))="",""," → "&amp;INDEX(tk_ROOMT,MATCH(80,tk_FSEQ,0))),"")</f>
        <v/>
      </c>
      <c r="D85" s="162">
        <f>IFERROR(""&amp;INDEX(tk_SIZE,MATCH(80,tk_FSEQ,0)),"")</f>
        <v/>
      </c>
      <c r="E85" s="162">
        <f>IFERROR(""&amp;INDEX(tk_RATING,MATCH(80,tk_FSEQ,0)),"")</f>
        <v/>
      </c>
      <c r="F85" s="162">
        <f>IFERROR(TEXT(INDEX(tk_OAW,MATCH(80,tk_FSEQ,0)),"0.000")&amp;" x "&amp;TEXT(INDEX(tk_OAH,MATCH(80,tk_FSEQ,0)),"0.000"),"")</f>
        <v/>
      </c>
      <c r="G85" s="162">
        <f>IFERROR(IF(INDEX(tk_ANCHT,MATCH(80,tk_FSEQ,0))="","",INDEX(tk_ANCHT,MATCH(80,tk_FSEQ,0))&amp;" + "&amp;INDEX(tk_BASEA,MATCH(80,tk_FSEQ,0))),"")</f>
        <v/>
      </c>
      <c r="H85" s="181">
        <f>IFERROR(""&amp;INDEX(tk_FLINE,MATCH(80,tk_FSEQ,0)),"")</f>
        <v/>
      </c>
      <c r="I85" s="181">
        <f>IFERROR(""&amp;INDEX(tk_LOCTXT,MATCH(80,tk_FSEQ,0)),"")</f>
        <v/>
      </c>
      <c r="J85" s="162">
        <f>IFERROR(""&amp;INDEX(tk_FNOTES,MATCH(80,tk_FSEQ,0)),"")</f>
        <v/>
      </c>
    </row>
    <row r="86">
      <c r="A86" s="161">
        <f>IFERROR(""&amp;INDEX(tk_MARK,MATCH(81,tk_FSEQ,0)),"")</f>
        <v/>
      </c>
      <c r="B86" s="162">
        <f>IFERROR(INDEX(tk_QTY,MATCH(81,tk_FSEQ,0)),"")</f>
        <v/>
      </c>
      <c r="C86" s="162">
        <f>IFERROR(INDEX(tk_ROOMF,MATCH(81,tk_FSEQ,0))&amp;IF(INDEX(tk_ROOMT,MATCH(81,tk_FSEQ,0))="",""," → "&amp;INDEX(tk_ROOMT,MATCH(81,tk_FSEQ,0))),"")</f>
        <v/>
      </c>
      <c r="D86" s="162">
        <f>IFERROR(""&amp;INDEX(tk_SIZE,MATCH(81,tk_FSEQ,0)),"")</f>
        <v/>
      </c>
      <c r="E86" s="162">
        <f>IFERROR(""&amp;INDEX(tk_RATING,MATCH(81,tk_FSEQ,0)),"")</f>
        <v/>
      </c>
      <c r="F86" s="162">
        <f>IFERROR(TEXT(INDEX(tk_OAW,MATCH(81,tk_FSEQ,0)),"0.000")&amp;" x "&amp;TEXT(INDEX(tk_OAH,MATCH(81,tk_FSEQ,0)),"0.000"),"")</f>
        <v/>
      </c>
      <c r="G86" s="162">
        <f>IFERROR(IF(INDEX(tk_ANCHT,MATCH(81,tk_FSEQ,0))="","",INDEX(tk_ANCHT,MATCH(81,tk_FSEQ,0))&amp;" + "&amp;INDEX(tk_BASEA,MATCH(81,tk_FSEQ,0))),"")</f>
        <v/>
      </c>
      <c r="H86" s="181">
        <f>IFERROR(""&amp;INDEX(tk_FLINE,MATCH(81,tk_FSEQ,0)),"")</f>
        <v/>
      </c>
      <c r="I86" s="181">
        <f>IFERROR(""&amp;INDEX(tk_LOCTXT,MATCH(81,tk_FSEQ,0)),"")</f>
        <v/>
      </c>
      <c r="J86" s="162">
        <f>IFERROR(""&amp;INDEX(tk_FNOTES,MATCH(81,tk_FSEQ,0)),"")</f>
        <v/>
      </c>
    </row>
    <row r="87">
      <c r="A87" s="161">
        <f>IFERROR(""&amp;INDEX(tk_MARK,MATCH(82,tk_FSEQ,0)),"")</f>
        <v/>
      </c>
      <c r="B87" s="162">
        <f>IFERROR(INDEX(tk_QTY,MATCH(82,tk_FSEQ,0)),"")</f>
        <v/>
      </c>
      <c r="C87" s="162">
        <f>IFERROR(INDEX(tk_ROOMF,MATCH(82,tk_FSEQ,0))&amp;IF(INDEX(tk_ROOMT,MATCH(82,tk_FSEQ,0))="",""," → "&amp;INDEX(tk_ROOMT,MATCH(82,tk_FSEQ,0))),"")</f>
        <v/>
      </c>
      <c r="D87" s="162">
        <f>IFERROR(""&amp;INDEX(tk_SIZE,MATCH(82,tk_FSEQ,0)),"")</f>
        <v/>
      </c>
      <c r="E87" s="162">
        <f>IFERROR(""&amp;INDEX(tk_RATING,MATCH(82,tk_FSEQ,0)),"")</f>
        <v/>
      </c>
      <c r="F87" s="162">
        <f>IFERROR(TEXT(INDEX(tk_OAW,MATCH(82,tk_FSEQ,0)),"0.000")&amp;" x "&amp;TEXT(INDEX(tk_OAH,MATCH(82,tk_FSEQ,0)),"0.000"),"")</f>
        <v/>
      </c>
      <c r="G87" s="162">
        <f>IFERROR(IF(INDEX(tk_ANCHT,MATCH(82,tk_FSEQ,0))="","",INDEX(tk_ANCHT,MATCH(82,tk_FSEQ,0))&amp;" + "&amp;INDEX(tk_BASEA,MATCH(82,tk_FSEQ,0))),"")</f>
        <v/>
      </c>
      <c r="H87" s="181">
        <f>IFERROR(""&amp;INDEX(tk_FLINE,MATCH(82,tk_FSEQ,0)),"")</f>
        <v/>
      </c>
      <c r="I87" s="181">
        <f>IFERROR(""&amp;INDEX(tk_LOCTXT,MATCH(82,tk_FSEQ,0)),"")</f>
        <v/>
      </c>
      <c r="J87" s="162">
        <f>IFERROR(""&amp;INDEX(tk_FNOTES,MATCH(82,tk_FSEQ,0)),"")</f>
        <v/>
      </c>
    </row>
    <row r="88">
      <c r="A88" s="161">
        <f>IFERROR(""&amp;INDEX(tk_MARK,MATCH(83,tk_FSEQ,0)),"")</f>
        <v/>
      </c>
      <c r="B88" s="162">
        <f>IFERROR(INDEX(tk_QTY,MATCH(83,tk_FSEQ,0)),"")</f>
        <v/>
      </c>
      <c r="C88" s="162">
        <f>IFERROR(INDEX(tk_ROOMF,MATCH(83,tk_FSEQ,0))&amp;IF(INDEX(tk_ROOMT,MATCH(83,tk_FSEQ,0))="",""," → "&amp;INDEX(tk_ROOMT,MATCH(83,tk_FSEQ,0))),"")</f>
        <v/>
      </c>
      <c r="D88" s="162">
        <f>IFERROR(""&amp;INDEX(tk_SIZE,MATCH(83,tk_FSEQ,0)),"")</f>
        <v/>
      </c>
      <c r="E88" s="162">
        <f>IFERROR(""&amp;INDEX(tk_RATING,MATCH(83,tk_FSEQ,0)),"")</f>
        <v/>
      </c>
      <c r="F88" s="162">
        <f>IFERROR(TEXT(INDEX(tk_OAW,MATCH(83,tk_FSEQ,0)),"0.000")&amp;" x "&amp;TEXT(INDEX(tk_OAH,MATCH(83,tk_FSEQ,0)),"0.000"),"")</f>
        <v/>
      </c>
      <c r="G88" s="162">
        <f>IFERROR(IF(INDEX(tk_ANCHT,MATCH(83,tk_FSEQ,0))="","",INDEX(tk_ANCHT,MATCH(83,tk_FSEQ,0))&amp;" + "&amp;INDEX(tk_BASEA,MATCH(83,tk_FSEQ,0))),"")</f>
        <v/>
      </c>
      <c r="H88" s="181">
        <f>IFERROR(""&amp;INDEX(tk_FLINE,MATCH(83,tk_FSEQ,0)),"")</f>
        <v/>
      </c>
      <c r="I88" s="181">
        <f>IFERROR(""&amp;INDEX(tk_LOCTXT,MATCH(83,tk_FSEQ,0)),"")</f>
        <v/>
      </c>
      <c r="J88" s="162">
        <f>IFERROR(""&amp;INDEX(tk_FNOTES,MATCH(83,tk_FSEQ,0)),"")</f>
        <v/>
      </c>
    </row>
    <row r="89">
      <c r="A89" s="161">
        <f>IFERROR(""&amp;INDEX(tk_MARK,MATCH(84,tk_FSEQ,0)),"")</f>
        <v/>
      </c>
      <c r="B89" s="162">
        <f>IFERROR(INDEX(tk_QTY,MATCH(84,tk_FSEQ,0)),"")</f>
        <v/>
      </c>
      <c r="C89" s="162">
        <f>IFERROR(INDEX(tk_ROOMF,MATCH(84,tk_FSEQ,0))&amp;IF(INDEX(tk_ROOMT,MATCH(84,tk_FSEQ,0))="",""," → "&amp;INDEX(tk_ROOMT,MATCH(84,tk_FSEQ,0))),"")</f>
        <v/>
      </c>
      <c r="D89" s="162">
        <f>IFERROR(""&amp;INDEX(tk_SIZE,MATCH(84,tk_FSEQ,0)),"")</f>
        <v/>
      </c>
      <c r="E89" s="162">
        <f>IFERROR(""&amp;INDEX(tk_RATING,MATCH(84,tk_FSEQ,0)),"")</f>
        <v/>
      </c>
      <c r="F89" s="162">
        <f>IFERROR(TEXT(INDEX(tk_OAW,MATCH(84,tk_FSEQ,0)),"0.000")&amp;" x "&amp;TEXT(INDEX(tk_OAH,MATCH(84,tk_FSEQ,0)),"0.000"),"")</f>
        <v/>
      </c>
      <c r="G89" s="162">
        <f>IFERROR(IF(INDEX(tk_ANCHT,MATCH(84,tk_FSEQ,0))="","",INDEX(tk_ANCHT,MATCH(84,tk_FSEQ,0))&amp;" + "&amp;INDEX(tk_BASEA,MATCH(84,tk_FSEQ,0))),"")</f>
        <v/>
      </c>
      <c r="H89" s="181">
        <f>IFERROR(""&amp;INDEX(tk_FLINE,MATCH(84,tk_FSEQ,0)),"")</f>
        <v/>
      </c>
      <c r="I89" s="181">
        <f>IFERROR(""&amp;INDEX(tk_LOCTXT,MATCH(84,tk_FSEQ,0)),"")</f>
        <v/>
      </c>
      <c r="J89" s="162">
        <f>IFERROR(""&amp;INDEX(tk_FNOTES,MATCH(84,tk_FSEQ,0)),"")</f>
        <v/>
      </c>
    </row>
    <row r="90">
      <c r="A90" s="161">
        <f>IFERROR(""&amp;INDEX(tk_MARK,MATCH(85,tk_FSEQ,0)),"")</f>
        <v/>
      </c>
      <c r="B90" s="162">
        <f>IFERROR(INDEX(tk_QTY,MATCH(85,tk_FSEQ,0)),"")</f>
        <v/>
      </c>
      <c r="C90" s="162">
        <f>IFERROR(INDEX(tk_ROOMF,MATCH(85,tk_FSEQ,0))&amp;IF(INDEX(tk_ROOMT,MATCH(85,tk_FSEQ,0))="",""," → "&amp;INDEX(tk_ROOMT,MATCH(85,tk_FSEQ,0))),"")</f>
        <v/>
      </c>
      <c r="D90" s="162">
        <f>IFERROR(""&amp;INDEX(tk_SIZE,MATCH(85,tk_FSEQ,0)),"")</f>
        <v/>
      </c>
      <c r="E90" s="162">
        <f>IFERROR(""&amp;INDEX(tk_RATING,MATCH(85,tk_FSEQ,0)),"")</f>
        <v/>
      </c>
      <c r="F90" s="162">
        <f>IFERROR(TEXT(INDEX(tk_OAW,MATCH(85,tk_FSEQ,0)),"0.000")&amp;" x "&amp;TEXT(INDEX(tk_OAH,MATCH(85,tk_FSEQ,0)),"0.000"),"")</f>
        <v/>
      </c>
      <c r="G90" s="162">
        <f>IFERROR(IF(INDEX(tk_ANCHT,MATCH(85,tk_FSEQ,0))="","",INDEX(tk_ANCHT,MATCH(85,tk_FSEQ,0))&amp;" + "&amp;INDEX(tk_BASEA,MATCH(85,tk_FSEQ,0))),"")</f>
        <v/>
      </c>
      <c r="H90" s="181">
        <f>IFERROR(""&amp;INDEX(tk_FLINE,MATCH(85,tk_FSEQ,0)),"")</f>
        <v/>
      </c>
      <c r="I90" s="181">
        <f>IFERROR(""&amp;INDEX(tk_LOCTXT,MATCH(85,tk_FSEQ,0)),"")</f>
        <v/>
      </c>
      <c r="J90" s="162">
        <f>IFERROR(""&amp;INDEX(tk_FNOTES,MATCH(85,tk_FSEQ,0)),"")</f>
        <v/>
      </c>
    </row>
    <row r="91">
      <c r="A91" s="161">
        <f>IFERROR(""&amp;INDEX(tk_MARK,MATCH(86,tk_FSEQ,0)),"")</f>
        <v/>
      </c>
      <c r="B91" s="162">
        <f>IFERROR(INDEX(tk_QTY,MATCH(86,tk_FSEQ,0)),"")</f>
        <v/>
      </c>
      <c r="C91" s="162">
        <f>IFERROR(INDEX(tk_ROOMF,MATCH(86,tk_FSEQ,0))&amp;IF(INDEX(tk_ROOMT,MATCH(86,tk_FSEQ,0))="",""," → "&amp;INDEX(tk_ROOMT,MATCH(86,tk_FSEQ,0))),"")</f>
        <v/>
      </c>
      <c r="D91" s="162">
        <f>IFERROR(""&amp;INDEX(tk_SIZE,MATCH(86,tk_FSEQ,0)),"")</f>
        <v/>
      </c>
      <c r="E91" s="162">
        <f>IFERROR(""&amp;INDEX(tk_RATING,MATCH(86,tk_FSEQ,0)),"")</f>
        <v/>
      </c>
      <c r="F91" s="162">
        <f>IFERROR(TEXT(INDEX(tk_OAW,MATCH(86,tk_FSEQ,0)),"0.000")&amp;" x "&amp;TEXT(INDEX(tk_OAH,MATCH(86,tk_FSEQ,0)),"0.000"),"")</f>
        <v/>
      </c>
      <c r="G91" s="162">
        <f>IFERROR(IF(INDEX(tk_ANCHT,MATCH(86,tk_FSEQ,0))="","",INDEX(tk_ANCHT,MATCH(86,tk_FSEQ,0))&amp;" + "&amp;INDEX(tk_BASEA,MATCH(86,tk_FSEQ,0))),"")</f>
        <v/>
      </c>
      <c r="H91" s="181">
        <f>IFERROR(""&amp;INDEX(tk_FLINE,MATCH(86,tk_FSEQ,0)),"")</f>
        <v/>
      </c>
      <c r="I91" s="181">
        <f>IFERROR(""&amp;INDEX(tk_LOCTXT,MATCH(86,tk_FSEQ,0)),"")</f>
        <v/>
      </c>
      <c r="J91" s="162">
        <f>IFERROR(""&amp;INDEX(tk_FNOTES,MATCH(86,tk_FSEQ,0)),"")</f>
        <v/>
      </c>
    </row>
    <row r="92">
      <c r="A92" s="161">
        <f>IFERROR(""&amp;INDEX(tk_MARK,MATCH(87,tk_FSEQ,0)),"")</f>
        <v/>
      </c>
      <c r="B92" s="162">
        <f>IFERROR(INDEX(tk_QTY,MATCH(87,tk_FSEQ,0)),"")</f>
        <v/>
      </c>
      <c r="C92" s="162">
        <f>IFERROR(INDEX(tk_ROOMF,MATCH(87,tk_FSEQ,0))&amp;IF(INDEX(tk_ROOMT,MATCH(87,tk_FSEQ,0))="",""," → "&amp;INDEX(tk_ROOMT,MATCH(87,tk_FSEQ,0))),"")</f>
        <v/>
      </c>
      <c r="D92" s="162">
        <f>IFERROR(""&amp;INDEX(tk_SIZE,MATCH(87,tk_FSEQ,0)),"")</f>
        <v/>
      </c>
      <c r="E92" s="162">
        <f>IFERROR(""&amp;INDEX(tk_RATING,MATCH(87,tk_FSEQ,0)),"")</f>
        <v/>
      </c>
      <c r="F92" s="162">
        <f>IFERROR(TEXT(INDEX(tk_OAW,MATCH(87,tk_FSEQ,0)),"0.000")&amp;" x "&amp;TEXT(INDEX(tk_OAH,MATCH(87,tk_FSEQ,0)),"0.000"),"")</f>
        <v/>
      </c>
      <c r="G92" s="162">
        <f>IFERROR(IF(INDEX(tk_ANCHT,MATCH(87,tk_FSEQ,0))="","",INDEX(tk_ANCHT,MATCH(87,tk_FSEQ,0))&amp;" + "&amp;INDEX(tk_BASEA,MATCH(87,tk_FSEQ,0))),"")</f>
        <v/>
      </c>
      <c r="H92" s="181">
        <f>IFERROR(""&amp;INDEX(tk_FLINE,MATCH(87,tk_FSEQ,0)),"")</f>
        <v/>
      </c>
      <c r="I92" s="181">
        <f>IFERROR(""&amp;INDEX(tk_LOCTXT,MATCH(87,tk_FSEQ,0)),"")</f>
        <v/>
      </c>
      <c r="J92" s="162">
        <f>IFERROR(""&amp;INDEX(tk_FNOTES,MATCH(87,tk_FSEQ,0)),"")</f>
        <v/>
      </c>
    </row>
    <row r="93">
      <c r="A93" s="161">
        <f>IFERROR(""&amp;INDEX(tk_MARK,MATCH(88,tk_FSEQ,0)),"")</f>
        <v/>
      </c>
      <c r="B93" s="162">
        <f>IFERROR(INDEX(tk_QTY,MATCH(88,tk_FSEQ,0)),"")</f>
        <v/>
      </c>
      <c r="C93" s="162">
        <f>IFERROR(INDEX(tk_ROOMF,MATCH(88,tk_FSEQ,0))&amp;IF(INDEX(tk_ROOMT,MATCH(88,tk_FSEQ,0))="",""," → "&amp;INDEX(tk_ROOMT,MATCH(88,tk_FSEQ,0))),"")</f>
        <v/>
      </c>
      <c r="D93" s="162">
        <f>IFERROR(""&amp;INDEX(tk_SIZE,MATCH(88,tk_FSEQ,0)),"")</f>
        <v/>
      </c>
      <c r="E93" s="162">
        <f>IFERROR(""&amp;INDEX(tk_RATING,MATCH(88,tk_FSEQ,0)),"")</f>
        <v/>
      </c>
      <c r="F93" s="162">
        <f>IFERROR(TEXT(INDEX(tk_OAW,MATCH(88,tk_FSEQ,0)),"0.000")&amp;" x "&amp;TEXT(INDEX(tk_OAH,MATCH(88,tk_FSEQ,0)),"0.000"),"")</f>
        <v/>
      </c>
      <c r="G93" s="162">
        <f>IFERROR(IF(INDEX(tk_ANCHT,MATCH(88,tk_FSEQ,0))="","",INDEX(tk_ANCHT,MATCH(88,tk_FSEQ,0))&amp;" + "&amp;INDEX(tk_BASEA,MATCH(88,tk_FSEQ,0))),"")</f>
        <v/>
      </c>
      <c r="H93" s="181">
        <f>IFERROR(""&amp;INDEX(tk_FLINE,MATCH(88,tk_FSEQ,0)),"")</f>
        <v/>
      </c>
      <c r="I93" s="181">
        <f>IFERROR(""&amp;INDEX(tk_LOCTXT,MATCH(88,tk_FSEQ,0)),"")</f>
        <v/>
      </c>
      <c r="J93" s="162">
        <f>IFERROR(""&amp;INDEX(tk_FNOTES,MATCH(88,tk_FSEQ,0)),"")</f>
        <v/>
      </c>
    </row>
    <row r="94">
      <c r="A94" s="161">
        <f>IFERROR(""&amp;INDEX(tk_MARK,MATCH(89,tk_FSEQ,0)),"")</f>
        <v/>
      </c>
      <c r="B94" s="162">
        <f>IFERROR(INDEX(tk_QTY,MATCH(89,tk_FSEQ,0)),"")</f>
        <v/>
      </c>
      <c r="C94" s="162">
        <f>IFERROR(INDEX(tk_ROOMF,MATCH(89,tk_FSEQ,0))&amp;IF(INDEX(tk_ROOMT,MATCH(89,tk_FSEQ,0))="",""," → "&amp;INDEX(tk_ROOMT,MATCH(89,tk_FSEQ,0))),"")</f>
        <v/>
      </c>
      <c r="D94" s="162">
        <f>IFERROR(""&amp;INDEX(tk_SIZE,MATCH(89,tk_FSEQ,0)),"")</f>
        <v/>
      </c>
      <c r="E94" s="162">
        <f>IFERROR(""&amp;INDEX(tk_RATING,MATCH(89,tk_FSEQ,0)),"")</f>
        <v/>
      </c>
      <c r="F94" s="162">
        <f>IFERROR(TEXT(INDEX(tk_OAW,MATCH(89,tk_FSEQ,0)),"0.000")&amp;" x "&amp;TEXT(INDEX(tk_OAH,MATCH(89,tk_FSEQ,0)),"0.000"),"")</f>
        <v/>
      </c>
      <c r="G94" s="162">
        <f>IFERROR(IF(INDEX(tk_ANCHT,MATCH(89,tk_FSEQ,0))="","",INDEX(tk_ANCHT,MATCH(89,tk_FSEQ,0))&amp;" + "&amp;INDEX(tk_BASEA,MATCH(89,tk_FSEQ,0))),"")</f>
        <v/>
      </c>
      <c r="H94" s="181">
        <f>IFERROR(""&amp;INDEX(tk_FLINE,MATCH(89,tk_FSEQ,0)),"")</f>
        <v/>
      </c>
      <c r="I94" s="181">
        <f>IFERROR(""&amp;INDEX(tk_LOCTXT,MATCH(89,tk_FSEQ,0)),"")</f>
        <v/>
      </c>
      <c r="J94" s="162">
        <f>IFERROR(""&amp;INDEX(tk_FNOTES,MATCH(89,tk_FSEQ,0)),"")</f>
        <v/>
      </c>
    </row>
    <row r="95">
      <c r="A95" s="161">
        <f>IFERROR(""&amp;INDEX(tk_MARK,MATCH(90,tk_FSEQ,0)),"")</f>
        <v/>
      </c>
      <c r="B95" s="162">
        <f>IFERROR(INDEX(tk_QTY,MATCH(90,tk_FSEQ,0)),"")</f>
        <v/>
      </c>
      <c r="C95" s="162">
        <f>IFERROR(INDEX(tk_ROOMF,MATCH(90,tk_FSEQ,0))&amp;IF(INDEX(tk_ROOMT,MATCH(90,tk_FSEQ,0))="",""," → "&amp;INDEX(tk_ROOMT,MATCH(90,tk_FSEQ,0))),"")</f>
        <v/>
      </c>
      <c r="D95" s="162">
        <f>IFERROR(""&amp;INDEX(tk_SIZE,MATCH(90,tk_FSEQ,0)),"")</f>
        <v/>
      </c>
      <c r="E95" s="162">
        <f>IFERROR(""&amp;INDEX(tk_RATING,MATCH(90,tk_FSEQ,0)),"")</f>
        <v/>
      </c>
      <c r="F95" s="162">
        <f>IFERROR(TEXT(INDEX(tk_OAW,MATCH(90,tk_FSEQ,0)),"0.000")&amp;" x "&amp;TEXT(INDEX(tk_OAH,MATCH(90,tk_FSEQ,0)),"0.000"),"")</f>
        <v/>
      </c>
      <c r="G95" s="162">
        <f>IFERROR(IF(INDEX(tk_ANCHT,MATCH(90,tk_FSEQ,0))="","",INDEX(tk_ANCHT,MATCH(90,tk_FSEQ,0))&amp;" + "&amp;INDEX(tk_BASEA,MATCH(90,tk_FSEQ,0))),"")</f>
        <v/>
      </c>
      <c r="H95" s="181">
        <f>IFERROR(""&amp;INDEX(tk_FLINE,MATCH(90,tk_FSEQ,0)),"")</f>
        <v/>
      </c>
      <c r="I95" s="181">
        <f>IFERROR(""&amp;INDEX(tk_LOCTXT,MATCH(90,tk_FSEQ,0)),"")</f>
        <v/>
      </c>
      <c r="J95" s="162">
        <f>IFERROR(""&amp;INDEX(tk_FNOTES,MATCH(90,tk_FSEQ,0)),"")</f>
        <v/>
      </c>
    </row>
    <row r="96">
      <c r="A96" s="161">
        <f>IFERROR(""&amp;INDEX(tk_MARK,MATCH(91,tk_FSEQ,0)),"")</f>
        <v/>
      </c>
      <c r="B96" s="162">
        <f>IFERROR(INDEX(tk_QTY,MATCH(91,tk_FSEQ,0)),"")</f>
        <v/>
      </c>
      <c r="C96" s="162">
        <f>IFERROR(INDEX(tk_ROOMF,MATCH(91,tk_FSEQ,0))&amp;IF(INDEX(tk_ROOMT,MATCH(91,tk_FSEQ,0))="",""," → "&amp;INDEX(tk_ROOMT,MATCH(91,tk_FSEQ,0))),"")</f>
        <v/>
      </c>
      <c r="D96" s="162">
        <f>IFERROR(""&amp;INDEX(tk_SIZE,MATCH(91,tk_FSEQ,0)),"")</f>
        <v/>
      </c>
      <c r="E96" s="162">
        <f>IFERROR(""&amp;INDEX(tk_RATING,MATCH(91,tk_FSEQ,0)),"")</f>
        <v/>
      </c>
      <c r="F96" s="162">
        <f>IFERROR(TEXT(INDEX(tk_OAW,MATCH(91,tk_FSEQ,0)),"0.000")&amp;" x "&amp;TEXT(INDEX(tk_OAH,MATCH(91,tk_FSEQ,0)),"0.000"),"")</f>
        <v/>
      </c>
      <c r="G96" s="162">
        <f>IFERROR(IF(INDEX(tk_ANCHT,MATCH(91,tk_FSEQ,0))="","",INDEX(tk_ANCHT,MATCH(91,tk_FSEQ,0))&amp;" + "&amp;INDEX(tk_BASEA,MATCH(91,tk_FSEQ,0))),"")</f>
        <v/>
      </c>
      <c r="H96" s="181">
        <f>IFERROR(""&amp;INDEX(tk_FLINE,MATCH(91,tk_FSEQ,0)),"")</f>
        <v/>
      </c>
      <c r="I96" s="181">
        <f>IFERROR(""&amp;INDEX(tk_LOCTXT,MATCH(91,tk_FSEQ,0)),"")</f>
        <v/>
      </c>
      <c r="J96" s="162">
        <f>IFERROR(""&amp;INDEX(tk_FNOTES,MATCH(91,tk_FSEQ,0)),"")</f>
        <v/>
      </c>
    </row>
    <row r="97">
      <c r="A97" s="161">
        <f>IFERROR(""&amp;INDEX(tk_MARK,MATCH(92,tk_FSEQ,0)),"")</f>
        <v/>
      </c>
      <c r="B97" s="162">
        <f>IFERROR(INDEX(tk_QTY,MATCH(92,tk_FSEQ,0)),"")</f>
        <v/>
      </c>
      <c r="C97" s="162">
        <f>IFERROR(INDEX(tk_ROOMF,MATCH(92,tk_FSEQ,0))&amp;IF(INDEX(tk_ROOMT,MATCH(92,tk_FSEQ,0))="",""," → "&amp;INDEX(tk_ROOMT,MATCH(92,tk_FSEQ,0))),"")</f>
        <v/>
      </c>
      <c r="D97" s="162">
        <f>IFERROR(""&amp;INDEX(tk_SIZE,MATCH(92,tk_FSEQ,0)),"")</f>
        <v/>
      </c>
      <c r="E97" s="162">
        <f>IFERROR(""&amp;INDEX(tk_RATING,MATCH(92,tk_FSEQ,0)),"")</f>
        <v/>
      </c>
      <c r="F97" s="162">
        <f>IFERROR(TEXT(INDEX(tk_OAW,MATCH(92,tk_FSEQ,0)),"0.000")&amp;" x "&amp;TEXT(INDEX(tk_OAH,MATCH(92,tk_FSEQ,0)),"0.000"),"")</f>
        <v/>
      </c>
      <c r="G97" s="162">
        <f>IFERROR(IF(INDEX(tk_ANCHT,MATCH(92,tk_FSEQ,0))="","",INDEX(tk_ANCHT,MATCH(92,tk_FSEQ,0))&amp;" + "&amp;INDEX(tk_BASEA,MATCH(92,tk_FSEQ,0))),"")</f>
        <v/>
      </c>
      <c r="H97" s="181">
        <f>IFERROR(""&amp;INDEX(tk_FLINE,MATCH(92,tk_FSEQ,0)),"")</f>
        <v/>
      </c>
      <c r="I97" s="181">
        <f>IFERROR(""&amp;INDEX(tk_LOCTXT,MATCH(92,tk_FSEQ,0)),"")</f>
        <v/>
      </c>
      <c r="J97" s="162">
        <f>IFERROR(""&amp;INDEX(tk_FNOTES,MATCH(92,tk_FSEQ,0)),"")</f>
        <v/>
      </c>
    </row>
    <row r="98">
      <c r="A98" s="161">
        <f>IFERROR(""&amp;INDEX(tk_MARK,MATCH(93,tk_FSEQ,0)),"")</f>
        <v/>
      </c>
      <c r="B98" s="162">
        <f>IFERROR(INDEX(tk_QTY,MATCH(93,tk_FSEQ,0)),"")</f>
        <v/>
      </c>
      <c r="C98" s="162">
        <f>IFERROR(INDEX(tk_ROOMF,MATCH(93,tk_FSEQ,0))&amp;IF(INDEX(tk_ROOMT,MATCH(93,tk_FSEQ,0))="",""," → "&amp;INDEX(tk_ROOMT,MATCH(93,tk_FSEQ,0))),"")</f>
        <v/>
      </c>
      <c r="D98" s="162">
        <f>IFERROR(""&amp;INDEX(tk_SIZE,MATCH(93,tk_FSEQ,0)),"")</f>
        <v/>
      </c>
      <c r="E98" s="162">
        <f>IFERROR(""&amp;INDEX(tk_RATING,MATCH(93,tk_FSEQ,0)),"")</f>
        <v/>
      </c>
      <c r="F98" s="162">
        <f>IFERROR(TEXT(INDEX(tk_OAW,MATCH(93,tk_FSEQ,0)),"0.000")&amp;" x "&amp;TEXT(INDEX(tk_OAH,MATCH(93,tk_FSEQ,0)),"0.000"),"")</f>
        <v/>
      </c>
      <c r="G98" s="162">
        <f>IFERROR(IF(INDEX(tk_ANCHT,MATCH(93,tk_FSEQ,0))="","",INDEX(tk_ANCHT,MATCH(93,tk_FSEQ,0))&amp;" + "&amp;INDEX(tk_BASEA,MATCH(93,tk_FSEQ,0))),"")</f>
        <v/>
      </c>
      <c r="H98" s="181">
        <f>IFERROR(""&amp;INDEX(tk_FLINE,MATCH(93,tk_FSEQ,0)),"")</f>
        <v/>
      </c>
      <c r="I98" s="181">
        <f>IFERROR(""&amp;INDEX(tk_LOCTXT,MATCH(93,tk_FSEQ,0)),"")</f>
        <v/>
      </c>
      <c r="J98" s="162">
        <f>IFERROR(""&amp;INDEX(tk_FNOTES,MATCH(93,tk_FSEQ,0)),"")</f>
        <v/>
      </c>
    </row>
    <row r="99">
      <c r="A99" s="161">
        <f>IFERROR(""&amp;INDEX(tk_MARK,MATCH(94,tk_FSEQ,0)),"")</f>
        <v/>
      </c>
      <c r="B99" s="162">
        <f>IFERROR(INDEX(tk_QTY,MATCH(94,tk_FSEQ,0)),"")</f>
        <v/>
      </c>
      <c r="C99" s="162">
        <f>IFERROR(INDEX(tk_ROOMF,MATCH(94,tk_FSEQ,0))&amp;IF(INDEX(tk_ROOMT,MATCH(94,tk_FSEQ,0))="",""," → "&amp;INDEX(tk_ROOMT,MATCH(94,tk_FSEQ,0))),"")</f>
        <v/>
      </c>
      <c r="D99" s="162">
        <f>IFERROR(""&amp;INDEX(tk_SIZE,MATCH(94,tk_FSEQ,0)),"")</f>
        <v/>
      </c>
      <c r="E99" s="162">
        <f>IFERROR(""&amp;INDEX(tk_RATING,MATCH(94,tk_FSEQ,0)),"")</f>
        <v/>
      </c>
      <c r="F99" s="162">
        <f>IFERROR(TEXT(INDEX(tk_OAW,MATCH(94,tk_FSEQ,0)),"0.000")&amp;" x "&amp;TEXT(INDEX(tk_OAH,MATCH(94,tk_FSEQ,0)),"0.000"),"")</f>
        <v/>
      </c>
      <c r="G99" s="162">
        <f>IFERROR(IF(INDEX(tk_ANCHT,MATCH(94,tk_FSEQ,0))="","",INDEX(tk_ANCHT,MATCH(94,tk_FSEQ,0))&amp;" + "&amp;INDEX(tk_BASEA,MATCH(94,tk_FSEQ,0))),"")</f>
        <v/>
      </c>
      <c r="H99" s="181">
        <f>IFERROR(""&amp;INDEX(tk_FLINE,MATCH(94,tk_FSEQ,0)),"")</f>
        <v/>
      </c>
      <c r="I99" s="181">
        <f>IFERROR(""&amp;INDEX(tk_LOCTXT,MATCH(94,tk_FSEQ,0)),"")</f>
        <v/>
      </c>
      <c r="J99" s="162">
        <f>IFERROR(""&amp;INDEX(tk_FNOTES,MATCH(94,tk_FSEQ,0)),"")</f>
        <v/>
      </c>
    </row>
    <row r="100">
      <c r="A100" s="161">
        <f>IFERROR(""&amp;INDEX(tk_MARK,MATCH(95,tk_FSEQ,0)),"")</f>
        <v/>
      </c>
      <c r="B100" s="162">
        <f>IFERROR(INDEX(tk_QTY,MATCH(95,tk_FSEQ,0)),"")</f>
        <v/>
      </c>
      <c r="C100" s="162">
        <f>IFERROR(INDEX(tk_ROOMF,MATCH(95,tk_FSEQ,0))&amp;IF(INDEX(tk_ROOMT,MATCH(95,tk_FSEQ,0))="",""," → "&amp;INDEX(tk_ROOMT,MATCH(95,tk_FSEQ,0))),"")</f>
        <v/>
      </c>
      <c r="D100" s="162">
        <f>IFERROR(""&amp;INDEX(tk_SIZE,MATCH(95,tk_FSEQ,0)),"")</f>
        <v/>
      </c>
      <c r="E100" s="162">
        <f>IFERROR(""&amp;INDEX(tk_RATING,MATCH(95,tk_FSEQ,0)),"")</f>
        <v/>
      </c>
      <c r="F100" s="162">
        <f>IFERROR(TEXT(INDEX(tk_OAW,MATCH(95,tk_FSEQ,0)),"0.000")&amp;" x "&amp;TEXT(INDEX(tk_OAH,MATCH(95,tk_FSEQ,0)),"0.000"),"")</f>
        <v/>
      </c>
      <c r="G100" s="162">
        <f>IFERROR(IF(INDEX(tk_ANCHT,MATCH(95,tk_FSEQ,0))="","",INDEX(tk_ANCHT,MATCH(95,tk_FSEQ,0))&amp;" + "&amp;INDEX(tk_BASEA,MATCH(95,tk_FSEQ,0))),"")</f>
        <v/>
      </c>
      <c r="H100" s="181">
        <f>IFERROR(""&amp;INDEX(tk_FLINE,MATCH(95,tk_FSEQ,0)),"")</f>
        <v/>
      </c>
      <c r="I100" s="181">
        <f>IFERROR(""&amp;INDEX(tk_LOCTXT,MATCH(95,tk_FSEQ,0)),"")</f>
        <v/>
      </c>
      <c r="J100" s="162">
        <f>IFERROR(""&amp;INDEX(tk_FNOTES,MATCH(95,tk_FSEQ,0)),"")</f>
        <v/>
      </c>
    </row>
    <row r="101">
      <c r="A101" s="161">
        <f>IFERROR(""&amp;INDEX(tk_MARK,MATCH(96,tk_FSEQ,0)),"")</f>
        <v/>
      </c>
      <c r="B101" s="162">
        <f>IFERROR(INDEX(tk_QTY,MATCH(96,tk_FSEQ,0)),"")</f>
        <v/>
      </c>
      <c r="C101" s="162">
        <f>IFERROR(INDEX(tk_ROOMF,MATCH(96,tk_FSEQ,0))&amp;IF(INDEX(tk_ROOMT,MATCH(96,tk_FSEQ,0))="",""," → "&amp;INDEX(tk_ROOMT,MATCH(96,tk_FSEQ,0))),"")</f>
        <v/>
      </c>
      <c r="D101" s="162">
        <f>IFERROR(""&amp;INDEX(tk_SIZE,MATCH(96,tk_FSEQ,0)),"")</f>
        <v/>
      </c>
      <c r="E101" s="162">
        <f>IFERROR(""&amp;INDEX(tk_RATING,MATCH(96,tk_FSEQ,0)),"")</f>
        <v/>
      </c>
      <c r="F101" s="162">
        <f>IFERROR(TEXT(INDEX(tk_OAW,MATCH(96,tk_FSEQ,0)),"0.000")&amp;" x "&amp;TEXT(INDEX(tk_OAH,MATCH(96,tk_FSEQ,0)),"0.000"),"")</f>
        <v/>
      </c>
      <c r="G101" s="162">
        <f>IFERROR(IF(INDEX(tk_ANCHT,MATCH(96,tk_FSEQ,0))="","",INDEX(tk_ANCHT,MATCH(96,tk_FSEQ,0))&amp;" + "&amp;INDEX(tk_BASEA,MATCH(96,tk_FSEQ,0))),"")</f>
        <v/>
      </c>
      <c r="H101" s="181">
        <f>IFERROR(""&amp;INDEX(tk_FLINE,MATCH(96,tk_FSEQ,0)),"")</f>
        <v/>
      </c>
      <c r="I101" s="181">
        <f>IFERROR(""&amp;INDEX(tk_LOCTXT,MATCH(96,tk_FSEQ,0)),"")</f>
        <v/>
      </c>
      <c r="J101" s="162">
        <f>IFERROR(""&amp;INDEX(tk_FNOTES,MATCH(96,tk_FSEQ,0)),"")</f>
        <v/>
      </c>
    </row>
    <row r="102">
      <c r="A102" s="161">
        <f>IFERROR(""&amp;INDEX(tk_MARK,MATCH(97,tk_FSEQ,0)),"")</f>
        <v/>
      </c>
      <c r="B102" s="162">
        <f>IFERROR(INDEX(tk_QTY,MATCH(97,tk_FSEQ,0)),"")</f>
        <v/>
      </c>
      <c r="C102" s="162">
        <f>IFERROR(INDEX(tk_ROOMF,MATCH(97,tk_FSEQ,0))&amp;IF(INDEX(tk_ROOMT,MATCH(97,tk_FSEQ,0))="",""," → "&amp;INDEX(tk_ROOMT,MATCH(97,tk_FSEQ,0))),"")</f>
        <v/>
      </c>
      <c r="D102" s="162">
        <f>IFERROR(""&amp;INDEX(tk_SIZE,MATCH(97,tk_FSEQ,0)),"")</f>
        <v/>
      </c>
      <c r="E102" s="162">
        <f>IFERROR(""&amp;INDEX(tk_RATING,MATCH(97,tk_FSEQ,0)),"")</f>
        <v/>
      </c>
      <c r="F102" s="162">
        <f>IFERROR(TEXT(INDEX(tk_OAW,MATCH(97,tk_FSEQ,0)),"0.000")&amp;" x "&amp;TEXT(INDEX(tk_OAH,MATCH(97,tk_FSEQ,0)),"0.000"),"")</f>
        <v/>
      </c>
      <c r="G102" s="162">
        <f>IFERROR(IF(INDEX(tk_ANCHT,MATCH(97,tk_FSEQ,0))="","",INDEX(tk_ANCHT,MATCH(97,tk_FSEQ,0))&amp;" + "&amp;INDEX(tk_BASEA,MATCH(97,tk_FSEQ,0))),"")</f>
        <v/>
      </c>
      <c r="H102" s="181">
        <f>IFERROR(""&amp;INDEX(tk_FLINE,MATCH(97,tk_FSEQ,0)),"")</f>
        <v/>
      </c>
      <c r="I102" s="181">
        <f>IFERROR(""&amp;INDEX(tk_LOCTXT,MATCH(97,tk_FSEQ,0)),"")</f>
        <v/>
      </c>
      <c r="J102" s="162">
        <f>IFERROR(""&amp;INDEX(tk_FNOTES,MATCH(97,tk_FSEQ,0)),"")</f>
        <v/>
      </c>
    </row>
    <row r="103">
      <c r="A103" s="161">
        <f>IFERROR(""&amp;INDEX(tk_MARK,MATCH(98,tk_FSEQ,0)),"")</f>
        <v/>
      </c>
      <c r="B103" s="162">
        <f>IFERROR(INDEX(tk_QTY,MATCH(98,tk_FSEQ,0)),"")</f>
        <v/>
      </c>
      <c r="C103" s="162">
        <f>IFERROR(INDEX(tk_ROOMF,MATCH(98,tk_FSEQ,0))&amp;IF(INDEX(tk_ROOMT,MATCH(98,tk_FSEQ,0))="",""," → "&amp;INDEX(tk_ROOMT,MATCH(98,tk_FSEQ,0))),"")</f>
        <v/>
      </c>
      <c r="D103" s="162">
        <f>IFERROR(""&amp;INDEX(tk_SIZE,MATCH(98,tk_FSEQ,0)),"")</f>
        <v/>
      </c>
      <c r="E103" s="162">
        <f>IFERROR(""&amp;INDEX(tk_RATING,MATCH(98,tk_FSEQ,0)),"")</f>
        <v/>
      </c>
      <c r="F103" s="162">
        <f>IFERROR(TEXT(INDEX(tk_OAW,MATCH(98,tk_FSEQ,0)),"0.000")&amp;" x "&amp;TEXT(INDEX(tk_OAH,MATCH(98,tk_FSEQ,0)),"0.000"),"")</f>
        <v/>
      </c>
      <c r="G103" s="162">
        <f>IFERROR(IF(INDEX(tk_ANCHT,MATCH(98,tk_FSEQ,0))="","",INDEX(tk_ANCHT,MATCH(98,tk_FSEQ,0))&amp;" + "&amp;INDEX(tk_BASEA,MATCH(98,tk_FSEQ,0))),"")</f>
        <v/>
      </c>
      <c r="H103" s="181">
        <f>IFERROR(""&amp;INDEX(tk_FLINE,MATCH(98,tk_FSEQ,0)),"")</f>
        <v/>
      </c>
      <c r="I103" s="181">
        <f>IFERROR(""&amp;INDEX(tk_LOCTXT,MATCH(98,tk_FSEQ,0)),"")</f>
        <v/>
      </c>
      <c r="J103" s="162">
        <f>IFERROR(""&amp;INDEX(tk_FNOTES,MATCH(98,tk_FSEQ,0)),"")</f>
        <v/>
      </c>
    </row>
    <row r="104">
      <c r="A104" s="161">
        <f>IFERROR(""&amp;INDEX(tk_MARK,MATCH(99,tk_FSEQ,0)),"")</f>
        <v/>
      </c>
      <c r="B104" s="162">
        <f>IFERROR(INDEX(tk_QTY,MATCH(99,tk_FSEQ,0)),"")</f>
        <v/>
      </c>
      <c r="C104" s="162">
        <f>IFERROR(INDEX(tk_ROOMF,MATCH(99,tk_FSEQ,0))&amp;IF(INDEX(tk_ROOMT,MATCH(99,tk_FSEQ,0))="",""," → "&amp;INDEX(tk_ROOMT,MATCH(99,tk_FSEQ,0))),"")</f>
        <v/>
      </c>
      <c r="D104" s="162">
        <f>IFERROR(""&amp;INDEX(tk_SIZE,MATCH(99,tk_FSEQ,0)),"")</f>
        <v/>
      </c>
      <c r="E104" s="162">
        <f>IFERROR(""&amp;INDEX(tk_RATING,MATCH(99,tk_FSEQ,0)),"")</f>
        <v/>
      </c>
      <c r="F104" s="162">
        <f>IFERROR(TEXT(INDEX(tk_OAW,MATCH(99,tk_FSEQ,0)),"0.000")&amp;" x "&amp;TEXT(INDEX(tk_OAH,MATCH(99,tk_FSEQ,0)),"0.000"),"")</f>
        <v/>
      </c>
      <c r="G104" s="162">
        <f>IFERROR(IF(INDEX(tk_ANCHT,MATCH(99,tk_FSEQ,0))="","",INDEX(tk_ANCHT,MATCH(99,tk_FSEQ,0))&amp;" + "&amp;INDEX(tk_BASEA,MATCH(99,tk_FSEQ,0))),"")</f>
        <v/>
      </c>
      <c r="H104" s="181">
        <f>IFERROR(""&amp;INDEX(tk_FLINE,MATCH(99,tk_FSEQ,0)),"")</f>
        <v/>
      </c>
      <c r="I104" s="181">
        <f>IFERROR(""&amp;INDEX(tk_LOCTXT,MATCH(99,tk_FSEQ,0)),"")</f>
        <v/>
      </c>
      <c r="J104" s="162">
        <f>IFERROR(""&amp;INDEX(tk_FNOTES,MATCH(99,tk_FSEQ,0)),"")</f>
        <v/>
      </c>
    </row>
    <row r="105">
      <c r="A105" s="161">
        <f>IFERROR(""&amp;INDEX(tk_MARK,MATCH(100,tk_FSEQ,0)),"")</f>
        <v/>
      </c>
      <c r="B105" s="162">
        <f>IFERROR(INDEX(tk_QTY,MATCH(100,tk_FSEQ,0)),"")</f>
        <v/>
      </c>
      <c r="C105" s="162">
        <f>IFERROR(INDEX(tk_ROOMF,MATCH(100,tk_FSEQ,0))&amp;IF(INDEX(tk_ROOMT,MATCH(100,tk_FSEQ,0))="",""," → "&amp;INDEX(tk_ROOMT,MATCH(100,tk_FSEQ,0))),"")</f>
        <v/>
      </c>
      <c r="D105" s="162">
        <f>IFERROR(""&amp;INDEX(tk_SIZE,MATCH(100,tk_FSEQ,0)),"")</f>
        <v/>
      </c>
      <c r="E105" s="162">
        <f>IFERROR(""&amp;INDEX(tk_RATING,MATCH(100,tk_FSEQ,0)),"")</f>
        <v/>
      </c>
      <c r="F105" s="162">
        <f>IFERROR(TEXT(INDEX(tk_OAW,MATCH(100,tk_FSEQ,0)),"0.000")&amp;" x "&amp;TEXT(INDEX(tk_OAH,MATCH(100,tk_FSEQ,0)),"0.000"),"")</f>
        <v/>
      </c>
      <c r="G105" s="162">
        <f>IFERROR(IF(INDEX(tk_ANCHT,MATCH(100,tk_FSEQ,0))="","",INDEX(tk_ANCHT,MATCH(100,tk_FSEQ,0))&amp;" + "&amp;INDEX(tk_BASEA,MATCH(100,tk_FSEQ,0))),"")</f>
        <v/>
      </c>
      <c r="H105" s="181">
        <f>IFERROR(""&amp;INDEX(tk_FLINE,MATCH(100,tk_FSEQ,0)),"")</f>
        <v/>
      </c>
      <c r="I105" s="181">
        <f>IFERROR(""&amp;INDEX(tk_LOCTXT,MATCH(100,tk_FSEQ,0)),"")</f>
        <v/>
      </c>
      <c r="J105" s="162">
        <f>IFERROR(""&amp;INDEX(tk_FNOTES,MATCH(100,tk_FSEQ,0)),"")</f>
        <v/>
      </c>
    </row>
    <row r="106">
      <c r="A106" s="161">
        <f>IFERROR(""&amp;INDEX(tk_MARK,MATCH(101,tk_FSEQ,0)),"")</f>
        <v/>
      </c>
      <c r="B106" s="162">
        <f>IFERROR(INDEX(tk_QTY,MATCH(101,tk_FSEQ,0)),"")</f>
        <v/>
      </c>
      <c r="C106" s="162">
        <f>IFERROR(INDEX(tk_ROOMF,MATCH(101,tk_FSEQ,0))&amp;IF(INDEX(tk_ROOMT,MATCH(101,tk_FSEQ,0))="",""," → "&amp;INDEX(tk_ROOMT,MATCH(101,tk_FSEQ,0))),"")</f>
        <v/>
      </c>
      <c r="D106" s="162">
        <f>IFERROR(""&amp;INDEX(tk_SIZE,MATCH(101,tk_FSEQ,0)),"")</f>
        <v/>
      </c>
      <c r="E106" s="162">
        <f>IFERROR(""&amp;INDEX(tk_RATING,MATCH(101,tk_FSEQ,0)),"")</f>
        <v/>
      </c>
      <c r="F106" s="162">
        <f>IFERROR(TEXT(INDEX(tk_OAW,MATCH(101,tk_FSEQ,0)),"0.000")&amp;" x "&amp;TEXT(INDEX(tk_OAH,MATCH(101,tk_FSEQ,0)),"0.000"),"")</f>
        <v/>
      </c>
      <c r="G106" s="162">
        <f>IFERROR(IF(INDEX(tk_ANCHT,MATCH(101,tk_FSEQ,0))="","",INDEX(tk_ANCHT,MATCH(101,tk_FSEQ,0))&amp;" + "&amp;INDEX(tk_BASEA,MATCH(101,tk_FSEQ,0))),"")</f>
        <v/>
      </c>
      <c r="H106" s="181">
        <f>IFERROR(""&amp;INDEX(tk_FLINE,MATCH(101,tk_FSEQ,0)),"")</f>
        <v/>
      </c>
      <c r="I106" s="181">
        <f>IFERROR(""&amp;INDEX(tk_LOCTXT,MATCH(101,tk_FSEQ,0)),"")</f>
        <v/>
      </c>
      <c r="J106" s="162">
        <f>IFERROR(""&amp;INDEX(tk_FNOTES,MATCH(101,tk_FSEQ,0)),"")</f>
        <v/>
      </c>
    </row>
    <row r="107">
      <c r="A107" s="161">
        <f>IFERROR(""&amp;INDEX(tk_MARK,MATCH(102,tk_FSEQ,0)),"")</f>
        <v/>
      </c>
      <c r="B107" s="162">
        <f>IFERROR(INDEX(tk_QTY,MATCH(102,tk_FSEQ,0)),"")</f>
        <v/>
      </c>
      <c r="C107" s="162">
        <f>IFERROR(INDEX(tk_ROOMF,MATCH(102,tk_FSEQ,0))&amp;IF(INDEX(tk_ROOMT,MATCH(102,tk_FSEQ,0))="",""," → "&amp;INDEX(tk_ROOMT,MATCH(102,tk_FSEQ,0))),"")</f>
        <v/>
      </c>
      <c r="D107" s="162">
        <f>IFERROR(""&amp;INDEX(tk_SIZE,MATCH(102,tk_FSEQ,0)),"")</f>
        <v/>
      </c>
      <c r="E107" s="162">
        <f>IFERROR(""&amp;INDEX(tk_RATING,MATCH(102,tk_FSEQ,0)),"")</f>
        <v/>
      </c>
      <c r="F107" s="162">
        <f>IFERROR(TEXT(INDEX(tk_OAW,MATCH(102,tk_FSEQ,0)),"0.000")&amp;" x "&amp;TEXT(INDEX(tk_OAH,MATCH(102,tk_FSEQ,0)),"0.000"),"")</f>
        <v/>
      </c>
      <c r="G107" s="162">
        <f>IFERROR(IF(INDEX(tk_ANCHT,MATCH(102,tk_FSEQ,0))="","",INDEX(tk_ANCHT,MATCH(102,tk_FSEQ,0))&amp;" + "&amp;INDEX(tk_BASEA,MATCH(102,tk_FSEQ,0))),"")</f>
        <v/>
      </c>
      <c r="H107" s="181">
        <f>IFERROR(""&amp;INDEX(tk_FLINE,MATCH(102,tk_FSEQ,0)),"")</f>
        <v/>
      </c>
      <c r="I107" s="181">
        <f>IFERROR(""&amp;INDEX(tk_LOCTXT,MATCH(102,tk_FSEQ,0)),"")</f>
        <v/>
      </c>
      <c r="J107" s="162">
        <f>IFERROR(""&amp;INDEX(tk_FNOTES,MATCH(102,tk_FSEQ,0)),"")</f>
        <v/>
      </c>
    </row>
    <row r="108">
      <c r="A108" s="161">
        <f>IFERROR(""&amp;INDEX(tk_MARK,MATCH(103,tk_FSEQ,0)),"")</f>
        <v/>
      </c>
      <c r="B108" s="162">
        <f>IFERROR(INDEX(tk_QTY,MATCH(103,tk_FSEQ,0)),"")</f>
        <v/>
      </c>
      <c r="C108" s="162">
        <f>IFERROR(INDEX(tk_ROOMF,MATCH(103,tk_FSEQ,0))&amp;IF(INDEX(tk_ROOMT,MATCH(103,tk_FSEQ,0))="",""," → "&amp;INDEX(tk_ROOMT,MATCH(103,tk_FSEQ,0))),"")</f>
        <v/>
      </c>
      <c r="D108" s="162">
        <f>IFERROR(""&amp;INDEX(tk_SIZE,MATCH(103,tk_FSEQ,0)),"")</f>
        <v/>
      </c>
      <c r="E108" s="162">
        <f>IFERROR(""&amp;INDEX(tk_RATING,MATCH(103,tk_FSEQ,0)),"")</f>
        <v/>
      </c>
      <c r="F108" s="162">
        <f>IFERROR(TEXT(INDEX(tk_OAW,MATCH(103,tk_FSEQ,0)),"0.000")&amp;" x "&amp;TEXT(INDEX(tk_OAH,MATCH(103,tk_FSEQ,0)),"0.000"),"")</f>
        <v/>
      </c>
      <c r="G108" s="162">
        <f>IFERROR(IF(INDEX(tk_ANCHT,MATCH(103,tk_FSEQ,0))="","",INDEX(tk_ANCHT,MATCH(103,tk_FSEQ,0))&amp;" + "&amp;INDEX(tk_BASEA,MATCH(103,tk_FSEQ,0))),"")</f>
        <v/>
      </c>
      <c r="H108" s="181">
        <f>IFERROR(""&amp;INDEX(tk_FLINE,MATCH(103,tk_FSEQ,0)),"")</f>
        <v/>
      </c>
      <c r="I108" s="181">
        <f>IFERROR(""&amp;INDEX(tk_LOCTXT,MATCH(103,tk_FSEQ,0)),"")</f>
        <v/>
      </c>
      <c r="J108" s="162">
        <f>IFERROR(""&amp;INDEX(tk_FNOTES,MATCH(103,tk_FSEQ,0)),"")</f>
        <v/>
      </c>
    </row>
    <row r="109">
      <c r="A109" s="161">
        <f>IFERROR(""&amp;INDEX(tk_MARK,MATCH(104,tk_FSEQ,0)),"")</f>
        <v/>
      </c>
      <c r="B109" s="162">
        <f>IFERROR(INDEX(tk_QTY,MATCH(104,tk_FSEQ,0)),"")</f>
        <v/>
      </c>
      <c r="C109" s="162">
        <f>IFERROR(INDEX(tk_ROOMF,MATCH(104,tk_FSEQ,0))&amp;IF(INDEX(tk_ROOMT,MATCH(104,tk_FSEQ,0))="",""," → "&amp;INDEX(tk_ROOMT,MATCH(104,tk_FSEQ,0))),"")</f>
        <v/>
      </c>
      <c r="D109" s="162">
        <f>IFERROR(""&amp;INDEX(tk_SIZE,MATCH(104,tk_FSEQ,0)),"")</f>
        <v/>
      </c>
      <c r="E109" s="162">
        <f>IFERROR(""&amp;INDEX(tk_RATING,MATCH(104,tk_FSEQ,0)),"")</f>
        <v/>
      </c>
      <c r="F109" s="162">
        <f>IFERROR(TEXT(INDEX(tk_OAW,MATCH(104,tk_FSEQ,0)),"0.000")&amp;" x "&amp;TEXT(INDEX(tk_OAH,MATCH(104,tk_FSEQ,0)),"0.000"),"")</f>
        <v/>
      </c>
      <c r="G109" s="162">
        <f>IFERROR(IF(INDEX(tk_ANCHT,MATCH(104,tk_FSEQ,0))="","",INDEX(tk_ANCHT,MATCH(104,tk_FSEQ,0))&amp;" + "&amp;INDEX(tk_BASEA,MATCH(104,tk_FSEQ,0))),"")</f>
        <v/>
      </c>
      <c r="H109" s="181">
        <f>IFERROR(""&amp;INDEX(tk_FLINE,MATCH(104,tk_FSEQ,0)),"")</f>
        <v/>
      </c>
      <c r="I109" s="181">
        <f>IFERROR(""&amp;INDEX(tk_LOCTXT,MATCH(104,tk_FSEQ,0)),"")</f>
        <v/>
      </c>
      <c r="J109" s="162">
        <f>IFERROR(""&amp;INDEX(tk_FNOTES,MATCH(104,tk_FSEQ,0)),"")</f>
        <v/>
      </c>
    </row>
    <row r="110">
      <c r="A110" s="161">
        <f>IFERROR(""&amp;INDEX(tk_MARK,MATCH(105,tk_FSEQ,0)),"")</f>
        <v/>
      </c>
      <c r="B110" s="162">
        <f>IFERROR(INDEX(tk_QTY,MATCH(105,tk_FSEQ,0)),"")</f>
        <v/>
      </c>
      <c r="C110" s="162">
        <f>IFERROR(INDEX(tk_ROOMF,MATCH(105,tk_FSEQ,0))&amp;IF(INDEX(tk_ROOMT,MATCH(105,tk_FSEQ,0))="",""," → "&amp;INDEX(tk_ROOMT,MATCH(105,tk_FSEQ,0))),"")</f>
        <v/>
      </c>
      <c r="D110" s="162">
        <f>IFERROR(""&amp;INDEX(tk_SIZE,MATCH(105,tk_FSEQ,0)),"")</f>
        <v/>
      </c>
      <c r="E110" s="162">
        <f>IFERROR(""&amp;INDEX(tk_RATING,MATCH(105,tk_FSEQ,0)),"")</f>
        <v/>
      </c>
      <c r="F110" s="162">
        <f>IFERROR(TEXT(INDEX(tk_OAW,MATCH(105,tk_FSEQ,0)),"0.000")&amp;" x "&amp;TEXT(INDEX(tk_OAH,MATCH(105,tk_FSEQ,0)),"0.000"),"")</f>
        <v/>
      </c>
      <c r="G110" s="162">
        <f>IFERROR(IF(INDEX(tk_ANCHT,MATCH(105,tk_FSEQ,0))="","",INDEX(tk_ANCHT,MATCH(105,tk_FSEQ,0))&amp;" + "&amp;INDEX(tk_BASEA,MATCH(105,tk_FSEQ,0))),"")</f>
        <v/>
      </c>
      <c r="H110" s="181">
        <f>IFERROR(""&amp;INDEX(tk_FLINE,MATCH(105,tk_FSEQ,0)),"")</f>
        <v/>
      </c>
      <c r="I110" s="181">
        <f>IFERROR(""&amp;INDEX(tk_LOCTXT,MATCH(105,tk_FSEQ,0)),"")</f>
        <v/>
      </c>
      <c r="J110" s="162">
        <f>IFERROR(""&amp;INDEX(tk_FNOTES,MATCH(105,tk_FSEQ,0)),"")</f>
        <v/>
      </c>
    </row>
    <row r="111">
      <c r="A111" s="161">
        <f>IFERROR(""&amp;INDEX(tk_MARK,MATCH(106,tk_FSEQ,0)),"")</f>
        <v/>
      </c>
      <c r="B111" s="162">
        <f>IFERROR(INDEX(tk_QTY,MATCH(106,tk_FSEQ,0)),"")</f>
        <v/>
      </c>
      <c r="C111" s="162">
        <f>IFERROR(INDEX(tk_ROOMF,MATCH(106,tk_FSEQ,0))&amp;IF(INDEX(tk_ROOMT,MATCH(106,tk_FSEQ,0))="",""," → "&amp;INDEX(tk_ROOMT,MATCH(106,tk_FSEQ,0))),"")</f>
        <v/>
      </c>
      <c r="D111" s="162">
        <f>IFERROR(""&amp;INDEX(tk_SIZE,MATCH(106,tk_FSEQ,0)),"")</f>
        <v/>
      </c>
      <c r="E111" s="162">
        <f>IFERROR(""&amp;INDEX(tk_RATING,MATCH(106,tk_FSEQ,0)),"")</f>
        <v/>
      </c>
      <c r="F111" s="162">
        <f>IFERROR(TEXT(INDEX(tk_OAW,MATCH(106,tk_FSEQ,0)),"0.000")&amp;" x "&amp;TEXT(INDEX(tk_OAH,MATCH(106,tk_FSEQ,0)),"0.000"),"")</f>
        <v/>
      </c>
      <c r="G111" s="162">
        <f>IFERROR(IF(INDEX(tk_ANCHT,MATCH(106,tk_FSEQ,0))="","",INDEX(tk_ANCHT,MATCH(106,tk_FSEQ,0))&amp;" + "&amp;INDEX(tk_BASEA,MATCH(106,tk_FSEQ,0))),"")</f>
        <v/>
      </c>
      <c r="H111" s="181">
        <f>IFERROR(""&amp;INDEX(tk_FLINE,MATCH(106,tk_FSEQ,0)),"")</f>
        <v/>
      </c>
      <c r="I111" s="181">
        <f>IFERROR(""&amp;INDEX(tk_LOCTXT,MATCH(106,tk_FSEQ,0)),"")</f>
        <v/>
      </c>
      <c r="J111" s="162">
        <f>IFERROR(""&amp;INDEX(tk_FNOTES,MATCH(106,tk_FSEQ,0)),"")</f>
        <v/>
      </c>
    </row>
    <row r="112">
      <c r="A112" s="161">
        <f>IFERROR(""&amp;INDEX(tk_MARK,MATCH(107,tk_FSEQ,0)),"")</f>
        <v/>
      </c>
      <c r="B112" s="162">
        <f>IFERROR(INDEX(tk_QTY,MATCH(107,tk_FSEQ,0)),"")</f>
        <v/>
      </c>
      <c r="C112" s="162">
        <f>IFERROR(INDEX(tk_ROOMF,MATCH(107,tk_FSEQ,0))&amp;IF(INDEX(tk_ROOMT,MATCH(107,tk_FSEQ,0))="",""," → "&amp;INDEX(tk_ROOMT,MATCH(107,tk_FSEQ,0))),"")</f>
        <v/>
      </c>
      <c r="D112" s="162">
        <f>IFERROR(""&amp;INDEX(tk_SIZE,MATCH(107,tk_FSEQ,0)),"")</f>
        <v/>
      </c>
      <c r="E112" s="162">
        <f>IFERROR(""&amp;INDEX(tk_RATING,MATCH(107,tk_FSEQ,0)),"")</f>
        <v/>
      </c>
      <c r="F112" s="162">
        <f>IFERROR(TEXT(INDEX(tk_OAW,MATCH(107,tk_FSEQ,0)),"0.000")&amp;" x "&amp;TEXT(INDEX(tk_OAH,MATCH(107,tk_FSEQ,0)),"0.000"),"")</f>
        <v/>
      </c>
      <c r="G112" s="162">
        <f>IFERROR(IF(INDEX(tk_ANCHT,MATCH(107,tk_FSEQ,0))="","",INDEX(tk_ANCHT,MATCH(107,tk_FSEQ,0))&amp;" + "&amp;INDEX(tk_BASEA,MATCH(107,tk_FSEQ,0))),"")</f>
        <v/>
      </c>
      <c r="H112" s="181">
        <f>IFERROR(""&amp;INDEX(tk_FLINE,MATCH(107,tk_FSEQ,0)),"")</f>
        <v/>
      </c>
      <c r="I112" s="181">
        <f>IFERROR(""&amp;INDEX(tk_LOCTXT,MATCH(107,tk_FSEQ,0)),"")</f>
        <v/>
      </c>
      <c r="J112" s="162">
        <f>IFERROR(""&amp;INDEX(tk_FNOTES,MATCH(107,tk_FSEQ,0)),"")</f>
        <v/>
      </c>
    </row>
    <row r="113">
      <c r="A113" s="161">
        <f>IFERROR(""&amp;INDEX(tk_MARK,MATCH(108,tk_FSEQ,0)),"")</f>
        <v/>
      </c>
      <c r="B113" s="162">
        <f>IFERROR(INDEX(tk_QTY,MATCH(108,tk_FSEQ,0)),"")</f>
        <v/>
      </c>
      <c r="C113" s="162">
        <f>IFERROR(INDEX(tk_ROOMF,MATCH(108,tk_FSEQ,0))&amp;IF(INDEX(tk_ROOMT,MATCH(108,tk_FSEQ,0))="",""," → "&amp;INDEX(tk_ROOMT,MATCH(108,tk_FSEQ,0))),"")</f>
        <v/>
      </c>
      <c r="D113" s="162">
        <f>IFERROR(""&amp;INDEX(tk_SIZE,MATCH(108,tk_FSEQ,0)),"")</f>
        <v/>
      </c>
      <c r="E113" s="162">
        <f>IFERROR(""&amp;INDEX(tk_RATING,MATCH(108,tk_FSEQ,0)),"")</f>
        <v/>
      </c>
      <c r="F113" s="162">
        <f>IFERROR(TEXT(INDEX(tk_OAW,MATCH(108,tk_FSEQ,0)),"0.000")&amp;" x "&amp;TEXT(INDEX(tk_OAH,MATCH(108,tk_FSEQ,0)),"0.000"),"")</f>
        <v/>
      </c>
      <c r="G113" s="162">
        <f>IFERROR(IF(INDEX(tk_ANCHT,MATCH(108,tk_FSEQ,0))="","",INDEX(tk_ANCHT,MATCH(108,tk_FSEQ,0))&amp;" + "&amp;INDEX(tk_BASEA,MATCH(108,tk_FSEQ,0))),"")</f>
        <v/>
      </c>
      <c r="H113" s="181">
        <f>IFERROR(""&amp;INDEX(tk_FLINE,MATCH(108,tk_FSEQ,0)),"")</f>
        <v/>
      </c>
      <c r="I113" s="181">
        <f>IFERROR(""&amp;INDEX(tk_LOCTXT,MATCH(108,tk_FSEQ,0)),"")</f>
        <v/>
      </c>
      <c r="J113" s="162">
        <f>IFERROR(""&amp;INDEX(tk_FNOTES,MATCH(108,tk_FSEQ,0)),"")</f>
        <v/>
      </c>
    </row>
    <row r="114">
      <c r="A114" s="161">
        <f>IFERROR(""&amp;INDEX(tk_MARK,MATCH(109,tk_FSEQ,0)),"")</f>
        <v/>
      </c>
      <c r="B114" s="162">
        <f>IFERROR(INDEX(tk_QTY,MATCH(109,tk_FSEQ,0)),"")</f>
        <v/>
      </c>
      <c r="C114" s="162">
        <f>IFERROR(INDEX(tk_ROOMF,MATCH(109,tk_FSEQ,0))&amp;IF(INDEX(tk_ROOMT,MATCH(109,tk_FSEQ,0))="",""," → "&amp;INDEX(tk_ROOMT,MATCH(109,tk_FSEQ,0))),"")</f>
        <v/>
      </c>
      <c r="D114" s="162">
        <f>IFERROR(""&amp;INDEX(tk_SIZE,MATCH(109,tk_FSEQ,0)),"")</f>
        <v/>
      </c>
      <c r="E114" s="162">
        <f>IFERROR(""&amp;INDEX(tk_RATING,MATCH(109,tk_FSEQ,0)),"")</f>
        <v/>
      </c>
      <c r="F114" s="162">
        <f>IFERROR(TEXT(INDEX(tk_OAW,MATCH(109,tk_FSEQ,0)),"0.000")&amp;" x "&amp;TEXT(INDEX(tk_OAH,MATCH(109,tk_FSEQ,0)),"0.000"),"")</f>
        <v/>
      </c>
      <c r="G114" s="162">
        <f>IFERROR(IF(INDEX(tk_ANCHT,MATCH(109,tk_FSEQ,0))="","",INDEX(tk_ANCHT,MATCH(109,tk_FSEQ,0))&amp;" + "&amp;INDEX(tk_BASEA,MATCH(109,tk_FSEQ,0))),"")</f>
        <v/>
      </c>
      <c r="H114" s="181">
        <f>IFERROR(""&amp;INDEX(tk_FLINE,MATCH(109,tk_FSEQ,0)),"")</f>
        <v/>
      </c>
      <c r="I114" s="181">
        <f>IFERROR(""&amp;INDEX(tk_LOCTXT,MATCH(109,tk_FSEQ,0)),"")</f>
        <v/>
      </c>
      <c r="J114" s="162">
        <f>IFERROR(""&amp;INDEX(tk_FNOTES,MATCH(109,tk_FSEQ,0)),"")</f>
        <v/>
      </c>
    </row>
    <row r="115">
      <c r="A115" s="161">
        <f>IFERROR(""&amp;INDEX(tk_MARK,MATCH(110,tk_FSEQ,0)),"")</f>
        <v/>
      </c>
      <c r="B115" s="162">
        <f>IFERROR(INDEX(tk_QTY,MATCH(110,tk_FSEQ,0)),"")</f>
        <v/>
      </c>
      <c r="C115" s="162">
        <f>IFERROR(INDEX(tk_ROOMF,MATCH(110,tk_FSEQ,0))&amp;IF(INDEX(tk_ROOMT,MATCH(110,tk_FSEQ,0))="",""," → "&amp;INDEX(tk_ROOMT,MATCH(110,tk_FSEQ,0))),"")</f>
        <v/>
      </c>
      <c r="D115" s="162">
        <f>IFERROR(""&amp;INDEX(tk_SIZE,MATCH(110,tk_FSEQ,0)),"")</f>
        <v/>
      </c>
      <c r="E115" s="162">
        <f>IFERROR(""&amp;INDEX(tk_RATING,MATCH(110,tk_FSEQ,0)),"")</f>
        <v/>
      </c>
      <c r="F115" s="162">
        <f>IFERROR(TEXT(INDEX(tk_OAW,MATCH(110,tk_FSEQ,0)),"0.000")&amp;" x "&amp;TEXT(INDEX(tk_OAH,MATCH(110,tk_FSEQ,0)),"0.000"),"")</f>
        <v/>
      </c>
      <c r="G115" s="162">
        <f>IFERROR(IF(INDEX(tk_ANCHT,MATCH(110,tk_FSEQ,0))="","",INDEX(tk_ANCHT,MATCH(110,tk_FSEQ,0))&amp;" + "&amp;INDEX(tk_BASEA,MATCH(110,tk_FSEQ,0))),"")</f>
        <v/>
      </c>
      <c r="H115" s="181">
        <f>IFERROR(""&amp;INDEX(tk_FLINE,MATCH(110,tk_FSEQ,0)),"")</f>
        <v/>
      </c>
      <c r="I115" s="181">
        <f>IFERROR(""&amp;INDEX(tk_LOCTXT,MATCH(110,tk_FSEQ,0)),"")</f>
        <v/>
      </c>
      <c r="J115" s="162">
        <f>IFERROR(""&amp;INDEX(tk_FNOTES,MATCH(110,tk_FSEQ,0)),"")</f>
        <v/>
      </c>
    </row>
    <row r="116">
      <c r="A116" s="161">
        <f>IFERROR(""&amp;INDEX(tk_MARK,MATCH(111,tk_FSEQ,0)),"")</f>
        <v/>
      </c>
      <c r="B116" s="162">
        <f>IFERROR(INDEX(tk_QTY,MATCH(111,tk_FSEQ,0)),"")</f>
        <v/>
      </c>
      <c r="C116" s="162">
        <f>IFERROR(INDEX(tk_ROOMF,MATCH(111,tk_FSEQ,0))&amp;IF(INDEX(tk_ROOMT,MATCH(111,tk_FSEQ,0))="",""," → "&amp;INDEX(tk_ROOMT,MATCH(111,tk_FSEQ,0))),"")</f>
        <v/>
      </c>
      <c r="D116" s="162">
        <f>IFERROR(""&amp;INDEX(tk_SIZE,MATCH(111,tk_FSEQ,0)),"")</f>
        <v/>
      </c>
      <c r="E116" s="162">
        <f>IFERROR(""&amp;INDEX(tk_RATING,MATCH(111,tk_FSEQ,0)),"")</f>
        <v/>
      </c>
      <c r="F116" s="162">
        <f>IFERROR(TEXT(INDEX(tk_OAW,MATCH(111,tk_FSEQ,0)),"0.000")&amp;" x "&amp;TEXT(INDEX(tk_OAH,MATCH(111,tk_FSEQ,0)),"0.000"),"")</f>
        <v/>
      </c>
      <c r="G116" s="162">
        <f>IFERROR(IF(INDEX(tk_ANCHT,MATCH(111,tk_FSEQ,0))="","",INDEX(tk_ANCHT,MATCH(111,tk_FSEQ,0))&amp;" + "&amp;INDEX(tk_BASEA,MATCH(111,tk_FSEQ,0))),"")</f>
        <v/>
      </c>
      <c r="H116" s="181">
        <f>IFERROR(""&amp;INDEX(tk_FLINE,MATCH(111,tk_FSEQ,0)),"")</f>
        <v/>
      </c>
      <c r="I116" s="181">
        <f>IFERROR(""&amp;INDEX(tk_LOCTXT,MATCH(111,tk_FSEQ,0)),"")</f>
        <v/>
      </c>
      <c r="J116" s="162">
        <f>IFERROR(""&amp;INDEX(tk_FNOTES,MATCH(111,tk_FSEQ,0)),"")</f>
        <v/>
      </c>
    </row>
    <row r="117">
      <c r="A117" s="161">
        <f>IFERROR(""&amp;INDEX(tk_MARK,MATCH(112,tk_FSEQ,0)),"")</f>
        <v/>
      </c>
      <c r="B117" s="162">
        <f>IFERROR(INDEX(tk_QTY,MATCH(112,tk_FSEQ,0)),"")</f>
        <v/>
      </c>
      <c r="C117" s="162">
        <f>IFERROR(INDEX(tk_ROOMF,MATCH(112,tk_FSEQ,0))&amp;IF(INDEX(tk_ROOMT,MATCH(112,tk_FSEQ,0))="",""," → "&amp;INDEX(tk_ROOMT,MATCH(112,tk_FSEQ,0))),"")</f>
        <v/>
      </c>
      <c r="D117" s="162">
        <f>IFERROR(""&amp;INDEX(tk_SIZE,MATCH(112,tk_FSEQ,0)),"")</f>
        <v/>
      </c>
      <c r="E117" s="162">
        <f>IFERROR(""&amp;INDEX(tk_RATING,MATCH(112,tk_FSEQ,0)),"")</f>
        <v/>
      </c>
      <c r="F117" s="162">
        <f>IFERROR(TEXT(INDEX(tk_OAW,MATCH(112,tk_FSEQ,0)),"0.000")&amp;" x "&amp;TEXT(INDEX(tk_OAH,MATCH(112,tk_FSEQ,0)),"0.000"),"")</f>
        <v/>
      </c>
      <c r="G117" s="162">
        <f>IFERROR(IF(INDEX(tk_ANCHT,MATCH(112,tk_FSEQ,0))="","",INDEX(tk_ANCHT,MATCH(112,tk_FSEQ,0))&amp;" + "&amp;INDEX(tk_BASEA,MATCH(112,tk_FSEQ,0))),"")</f>
        <v/>
      </c>
      <c r="H117" s="181">
        <f>IFERROR(""&amp;INDEX(tk_FLINE,MATCH(112,tk_FSEQ,0)),"")</f>
        <v/>
      </c>
      <c r="I117" s="181">
        <f>IFERROR(""&amp;INDEX(tk_LOCTXT,MATCH(112,tk_FSEQ,0)),"")</f>
        <v/>
      </c>
      <c r="J117" s="162">
        <f>IFERROR(""&amp;INDEX(tk_FNOTES,MATCH(112,tk_FSEQ,0)),"")</f>
        <v/>
      </c>
    </row>
    <row r="118">
      <c r="A118" s="161">
        <f>IFERROR(""&amp;INDEX(tk_MARK,MATCH(113,tk_FSEQ,0)),"")</f>
        <v/>
      </c>
      <c r="B118" s="162">
        <f>IFERROR(INDEX(tk_QTY,MATCH(113,tk_FSEQ,0)),"")</f>
        <v/>
      </c>
      <c r="C118" s="162">
        <f>IFERROR(INDEX(tk_ROOMF,MATCH(113,tk_FSEQ,0))&amp;IF(INDEX(tk_ROOMT,MATCH(113,tk_FSEQ,0))="",""," → "&amp;INDEX(tk_ROOMT,MATCH(113,tk_FSEQ,0))),"")</f>
        <v/>
      </c>
      <c r="D118" s="162">
        <f>IFERROR(""&amp;INDEX(tk_SIZE,MATCH(113,tk_FSEQ,0)),"")</f>
        <v/>
      </c>
      <c r="E118" s="162">
        <f>IFERROR(""&amp;INDEX(tk_RATING,MATCH(113,tk_FSEQ,0)),"")</f>
        <v/>
      </c>
      <c r="F118" s="162">
        <f>IFERROR(TEXT(INDEX(tk_OAW,MATCH(113,tk_FSEQ,0)),"0.000")&amp;" x "&amp;TEXT(INDEX(tk_OAH,MATCH(113,tk_FSEQ,0)),"0.000"),"")</f>
        <v/>
      </c>
      <c r="G118" s="162">
        <f>IFERROR(IF(INDEX(tk_ANCHT,MATCH(113,tk_FSEQ,0))="","",INDEX(tk_ANCHT,MATCH(113,tk_FSEQ,0))&amp;" + "&amp;INDEX(tk_BASEA,MATCH(113,tk_FSEQ,0))),"")</f>
        <v/>
      </c>
      <c r="H118" s="181">
        <f>IFERROR(""&amp;INDEX(tk_FLINE,MATCH(113,tk_FSEQ,0)),"")</f>
        <v/>
      </c>
      <c r="I118" s="181">
        <f>IFERROR(""&amp;INDEX(tk_LOCTXT,MATCH(113,tk_FSEQ,0)),"")</f>
        <v/>
      </c>
      <c r="J118" s="162">
        <f>IFERROR(""&amp;INDEX(tk_FNOTES,MATCH(113,tk_FSEQ,0)),"")</f>
        <v/>
      </c>
    </row>
    <row r="119">
      <c r="A119" s="161">
        <f>IFERROR(""&amp;INDEX(tk_MARK,MATCH(114,tk_FSEQ,0)),"")</f>
        <v/>
      </c>
      <c r="B119" s="162">
        <f>IFERROR(INDEX(tk_QTY,MATCH(114,tk_FSEQ,0)),"")</f>
        <v/>
      </c>
      <c r="C119" s="162">
        <f>IFERROR(INDEX(tk_ROOMF,MATCH(114,tk_FSEQ,0))&amp;IF(INDEX(tk_ROOMT,MATCH(114,tk_FSEQ,0))="",""," → "&amp;INDEX(tk_ROOMT,MATCH(114,tk_FSEQ,0))),"")</f>
        <v/>
      </c>
      <c r="D119" s="162">
        <f>IFERROR(""&amp;INDEX(tk_SIZE,MATCH(114,tk_FSEQ,0)),"")</f>
        <v/>
      </c>
      <c r="E119" s="162">
        <f>IFERROR(""&amp;INDEX(tk_RATING,MATCH(114,tk_FSEQ,0)),"")</f>
        <v/>
      </c>
      <c r="F119" s="162">
        <f>IFERROR(TEXT(INDEX(tk_OAW,MATCH(114,tk_FSEQ,0)),"0.000")&amp;" x "&amp;TEXT(INDEX(tk_OAH,MATCH(114,tk_FSEQ,0)),"0.000"),"")</f>
        <v/>
      </c>
      <c r="G119" s="162">
        <f>IFERROR(IF(INDEX(tk_ANCHT,MATCH(114,tk_FSEQ,0))="","",INDEX(tk_ANCHT,MATCH(114,tk_FSEQ,0))&amp;" + "&amp;INDEX(tk_BASEA,MATCH(114,tk_FSEQ,0))),"")</f>
        <v/>
      </c>
      <c r="H119" s="181">
        <f>IFERROR(""&amp;INDEX(tk_FLINE,MATCH(114,tk_FSEQ,0)),"")</f>
        <v/>
      </c>
      <c r="I119" s="181">
        <f>IFERROR(""&amp;INDEX(tk_LOCTXT,MATCH(114,tk_FSEQ,0)),"")</f>
        <v/>
      </c>
      <c r="J119" s="162">
        <f>IFERROR(""&amp;INDEX(tk_FNOTES,MATCH(114,tk_FSEQ,0)),"")</f>
        <v/>
      </c>
    </row>
    <row r="120">
      <c r="A120" s="161">
        <f>IFERROR(""&amp;INDEX(tk_MARK,MATCH(115,tk_FSEQ,0)),"")</f>
        <v/>
      </c>
      <c r="B120" s="162">
        <f>IFERROR(INDEX(tk_QTY,MATCH(115,tk_FSEQ,0)),"")</f>
        <v/>
      </c>
      <c r="C120" s="162">
        <f>IFERROR(INDEX(tk_ROOMF,MATCH(115,tk_FSEQ,0))&amp;IF(INDEX(tk_ROOMT,MATCH(115,tk_FSEQ,0))="",""," → "&amp;INDEX(tk_ROOMT,MATCH(115,tk_FSEQ,0))),"")</f>
        <v/>
      </c>
      <c r="D120" s="162">
        <f>IFERROR(""&amp;INDEX(tk_SIZE,MATCH(115,tk_FSEQ,0)),"")</f>
        <v/>
      </c>
      <c r="E120" s="162">
        <f>IFERROR(""&amp;INDEX(tk_RATING,MATCH(115,tk_FSEQ,0)),"")</f>
        <v/>
      </c>
      <c r="F120" s="162">
        <f>IFERROR(TEXT(INDEX(tk_OAW,MATCH(115,tk_FSEQ,0)),"0.000")&amp;" x "&amp;TEXT(INDEX(tk_OAH,MATCH(115,tk_FSEQ,0)),"0.000"),"")</f>
        <v/>
      </c>
      <c r="G120" s="162">
        <f>IFERROR(IF(INDEX(tk_ANCHT,MATCH(115,tk_FSEQ,0))="","",INDEX(tk_ANCHT,MATCH(115,tk_FSEQ,0))&amp;" + "&amp;INDEX(tk_BASEA,MATCH(115,tk_FSEQ,0))),"")</f>
        <v/>
      </c>
      <c r="H120" s="181">
        <f>IFERROR(""&amp;INDEX(tk_FLINE,MATCH(115,tk_FSEQ,0)),"")</f>
        <v/>
      </c>
      <c r="I120" s="181">
        <f>IFERROR(""&amp;INDEX(tk_LOCTXT,MATCH(115,tk_FSEQ,0)),"")</f>
        <v/>
      </c>
      <c r="J120" s="162">
        <f>IFERROR(""&amp;INDEX(tk_FNOTES,MATCH(115,tk_FSEQ,0)),"")</f>
        <v/>
      </c>
    </row>
    <row r="121">
      <c r="A121" s="161">
        <f>IFERROR(""&amp;INDEX(tk_MARK,MATCH(116,tk_FSEQ,0)),"")</f>
        <v/>
      </c>
      <c r="B121" s="162">
        <f>IFERROR(INDEX(tk_QTY,MATCH(116,tk_FSEQ,0)),"")</f>
        <v/>
      </c>
      <c r="C121" s="162">
        <f>IFERROR(INDEX(tk_ROOMF,MATCH(116,tk_FSEQ,0))&amp;IF(INDEX(tk_ROOMT,MATCH(116,tk_FSEQ,0))="",""," → "&amp;INDEX(tk_ROOMT,MATCH(116,tk_FSEQ,0))),"")</f>
        <v/>
      </c>
      <c r="D121" s="162">
        <f>IFERROR(""&amp;INDEX(tk_SIZE,MATCH(116,tk_FSEQ,0)),"")</f>
        <v/>
      </c>
      <c r="E121" s="162">
        <f>IFERROR(""&amp;INDEX(tk_RATING,MATCH(116,tk_FSEQ,0)),"")</f>
        <v/>
      </c>
      <c r="F121" s="162">
        <f>IFERROR(TEXT(INDEX(tk_OAW,MATCH(116,tk_FSEQ,0)),"0.000")&amp;" x "&amp;TEXT(INDEX(tk_OAH,MATCH(116,tk_FSEQ,0)),"0.000"),"")</f>
        <v/>
      </c>
      <c r="G121" s="162">
        <f>IFERROR(IF(INDEX(tk_ANCHT,MATCH(116,tk_FSEQ,0))="","",INDEX(tk_ANCHT,MATCH(116,tk_FSEQ,0))&amp;" + "&amp;INDEX(tk_BASEA,MATCH(116,tk_FSEQ,0))),"")</f>
        <v/>
      </c>
      <c r="H121" s="181">
        <f>IFERROR(""&amp;INDEX(tk_FLINE,MATCH(116,tk_FSEQ,0)),"")</f>
        <v/>
      </c>
      <c r="I121" s="181">
        <f>IFERROR(""&amp;INDEX(tk_LOCTXT,MATCH(116,tk_FSEQ,0)),"")</f>
        <v/>
      </c>
      <c r="J121" s="162">
        <f>IFERROR(""&amp;INDEX(tk_FNOTES,MATCH(116,tk_FSEQ,0)),"")</f>
        <v/>
      </c>
    </row>
    <row r="122">
      <c r="A122" s="161">
        <f>IFERROR(""&amp;INDEX(tk_MARK,MATCH(117,tk_FSEQ,0)),"")</f>
        <v/>
      </c>
      <c r="B122" s="162">
        <f>IFERROR(INDEX(tk_QTY,MATCH(117,tk_FSEQ,0)),"")</f>
        <v/>
      </c>
      <c r="C122" s="162">
        <f>IFERROR(INDEX(tk_ROOMF,MATCH(117,tk_FSEQ,0))&amp;IF(INDEX(tk_ROOMT,MATCH(117,tk_FSEQ,0))="",""," → "&amp;INDEX(tk_ROOMT,MATCH(117,tk_FSEQ,0))),"")</f>
        <v/>
      </c>
      <c r="D122" s="162">
        <f>IFERROR(""&amp;INDEX(tk_SIZE,MATCH(117,tk_FSEQ,0)),"")</f>
        <v/>
      </c>
      <c r="E122" s="162">
        <f>IFERROR(""&amp;INDEX(tk_RATING,MATCH(117,tk_FSEQ,0)),"")</f>
        <v/>
      </c>
      <c r="F122" s="162">
        <f>IFERROR(TEXT(INDEX(tk_OAW,MATCH(117,tk_FSEQ,0)),"0.000")&amp;" x "&amp;TEXT(INDEX(tk_OAH,MATCH(117,tk_FSEQ,0)),"0.000"),"")</f>
        <v/>
      </c>
      <c r="G122" s="162">
        <f>IFERROR(IF(INDEX(tk_ANCHT,MATCH(117,tk_FSEQ,0))="","",INDEX(tk_ANCHT,MATCH(117,tk_FSEQ,0))&amp;" + "&amp;INDEX(tk_BASEA,MATCH(117,tk_FSEQ,0))),"")</f>
        <v/>
      </c>
      <c r="H122" s="181">
        <f>IFERROR(""&amp;INDEX(tk_FLINE,MATCH(117,tk_FSEQ,0)),"")</f>
        <v/>
      </c>
      <c r="I122" s="181">
        <f>IFERROR(""&amp;INDEX(tk_LOCTXT,MATCH(117,tk_FSEQ,0)),"")</f>
        <v/>
      </c>
      <c r="J122" s="162">
        <f>IFERROR(""&amp;INDEX(tk_FNOTES,MATCH(117,tk_FSEQ,0)),"")</f>
        <v/>
      </c>
    </row>
    <row r="123">
      <c r="A123" s="161">
        <f>IFERROR(""&amp;INDEX(tk_MARK,MATCH(118,tk_FSEQ,0)),"")</f>
        <v/>
      </c>
      <c r="B123" s="162">
        <f>IFERROR(INDEX(tk_QTY,MATCH(118,tk_FSEQ,0)),"")</f>
        <v/>
      </c>
      <c r="C123" s="162">
        <f>IFERROR(INDEX(tk_ROOMF,MATCH(118,tk_FSEQ,0))&amp;IF(INDEX(tk_ROOMT,MATCH(118,tk_FSEQ,0))="",""," → "&amp;INDEX(tk_ROOMT,MATCH(118,tk_FSEQ,0))),"")</f>
        <v/>
      </c>
      <c r="D123" s="162">
        <f>IFERROR(""&amp;INDEX(tk_SIZE,MATCH(118,tk_FSEQ,0)),"")</f>
        <v/>
      </c>
      <c r="E123" s="162">
        <f>IFERROR(""&amp;INDEX(tk_RATING,MATCH(118,tk_FSEQ,0)),"")</f>
        <v/>
      </c>
      <c r="F123" s="162">
        <f>IFERROR(TEXT(INDEX(tk_OAW,MATCH(118,tk_FSEQ,0)),"0.000")&amp;" x "&amp;TEXT(INDEX(tk_OAH,MATCH(118,tk_FSEQ,0)),"0.000"),"")</f>
        <v/>
      </c>
      <c r="G123" s="162">
        <f>IFERROR(IF(INDEX(tk_ANCHT,MATCH(118,tk_FSEQ,0))="","",INDEX(tk_ANCHT,MATCH(118,tk_FSEQ,0))&amp;" + "&amp;INDEX(tk_BASEA,MATCH(118,tk_FSEQ,0))),"")</f>
        <v/>
      </c>
      <c r="H123" s="181">
        <f>IFERROR(""&amp;INDEX(tk_FLINE,MATCH(118,tk_FSEQ,0)),"")</f>
        <v/>
      </c>
      <c r="I123" s="181">
        <f>IFERROR(""&amp;INDEX(tk_LOCTXT,MATCH(118,tk_FSEQ,0)),"")</f>
        <v/>
      </c>
      <c r="J123" s="162">
        <f>IFERROR(""&amp;INDEX(tk_FNOTES,MATCH(118,tk_FSEQ,0)),"")</f>
        <v/>
      </c>
    </row>
    <row r="124">
      <c r="A124" s="161">
        <f>IFERROR(""&amp;INDEX(tk_MARK,MATCH(119,tk_FSEQ,0)),"")</f>
        <v/>
      </c>
      <c r="B124" s="162">
        <f>IFERROR(INDEX(tk_QTY,MATCH(119,tk_FSEQ,0)),"")</f>
        <v/>
      </c>
      <c r="C124" s="162">
        <f>IFERROR(INDEX(tk_ROOMF,MATCH(119,tk_FSEQ,0))&amp;IF(INDEX(tk_ROOMT,MATCH(119,tk_FSEQ,0))="",""," → "&amp;INDEX(tk_ROOMT,MATCH(119,tk_FSEQ,0))),"")</f>
        <v/>
      </c>
      <c r="D124" s="162">
        <f>IFERROR(""&amp;INDEX(tk_SIZE,MATCH(119,tk_FSEQ,0)),"")</f>
        <v/>
      </c>
      <c r="E124" s="162">
        <f>IFERROR(""&amp;INDEX(tk_RATING,MATCH(119,tk_FSEQ,0)),"")</f>
        <v/>
      </c>
      <c r="F124" s="162">
        <f>IFERROR(TEXT(INDEX(tk_OAW,MATCH(119,tk_FSEQ,0)),"0.000")&amp;" x "&amp;TEXT(INDEX(tk_OAH,MATCH(119,tk_FSEQ,0)),"0.000"),"")</f>
        <v/>
      </c>
      <c r="G124" s="162">
        <f>IFERROR(IF(INDEX(tk_ANCHT,MATCH(119,tk_FSEQ,0))="","",INDEX(tk_ANCHT,MATCH(119,tk_FSEQ,0))&amp;" + "&amp;INDEX(tk_BASEA,MATCH(119,tk_FSEQ,0))),"")</f>
        <v/>
      </c>
      <c r="H124" s="181">
        <f>IFERROR(""&amp;INDEX(tk_FLINE,MATCH(119,tk_FSEQ,0)),"")</f>
        <v/>
      </c>
      <c r="I124" s="181">
        <f>IFERROR(""&amp;INDEX(tk_LOCTXT,MATCH(119,tk_FSEQ,0)),"")</f>
        <v/>
      </c>
      <c r="J124" s="162">
        <f>IFERROR(""&amp;INDEX(tk_FNOTES,MATCH(119,tk_FSEQ,0)),"")</f>
        <v/>
      </c>
    </row>
    <row r="125">
      <c r="A125" s="161">
        <f>IFERROR(""&amp;INDEX(tk_MARK,MATCH(120,tk_FSEQ,0)),"")</f>
        <v/>
      </c>
      <c r="B125" s="162">
        <f>IFERROR(INDEX(tk_QTY,MATCH(120,tk_FSEQ,0)),"")</f>
        <v/>
      </c>
      <c r="C125" s="162">
        <f>IFERROR(INDEX(tk_ROOMF,MATCH(120,tk_FSEQ,0))&amp;IF(INDEX(tk_ROOMT,MATCH(120,tk_FSEQ,0))="",""," → "&amp;INDEX(tk_ROOMT,MATCH(120,tk_FSEQ,0))),"")</f>
        <v/>
      </c>
      <c r="D125" s="162">
        <f>IFERROR(""&amp;INDEX(tk_SIZE,MATCH(120,tk_FSEQ,0)),"")</f>
        <v/>
      </c>
      <c r="E125" s="162">
        <f>IFERROR(""&amp;INDEX(tk_RATING,MATCH(120,tk_FSEQ,0)),"")</f>
        <v/>
      </c>
      <c r="F125" s="162">
        <f>IFERROR(TEXT(INDEX(tk_OAW,MATCH(120,tk_FSEQ,0)),"0.000")&amp;" x "&amp;TEXT(INDEX(tk_OAH,MATCH(120,tk_FSEQ,0)),"0.000"),"")</f>
        <v/>
      </c>
      <c r="G125" s="162">
        <f>IFERROR(IF(INDEX(tk_ANCHT,MATCH(120,tk_FSEQ,0))="","",INDEX(tk_ANCHT,MATCH(120,tk_FSEQ,0))&amp;" + "&amp;INDEX(tk_BASEA,MATCH(120,tk_FSEQ,0))),"")</f>
        <v/>
      </c>
      <c r="H125" s="181">
        <f>IFERROR(""&amp;INDEX(tk_FLINE,MATCH(120,tk_FSEQ,0)),"")</f>
        <v/>
      </c>
      <c r="I125" s="181">
        <f>IFERROR(""&amp;INDEX(tk_LOCTXT,MATCH(120,tk_FSEQ,0)),"")</f>
        <v/>
      </c>
      <c r="J125" s="162">
        <f>IFERROR(""&amp;INDEX(tk_FNOTES,MATCH(120,tk_FSEQ,0)),"")</f>
        <v/>
      </c>
    </row>
    <row r="126">
      <c r="A126" s="161">
        <f>IFERROR(""&amp;INDEX(tk_MARK,MATCH(121,tk_FSEQ,0)),"")</f>
        <v/>
      </c>
      <c r="B126" s="162">
        <f>IFERROR(INDEX(tk_QTY,MATCH(121,tk_FSEQ,0)),"")</f>
        <v/>
      </c>
      <c r="C126" s="162">
        <f>IFERROR(INDEX(tk_ROOMF,MATCH(121,tk_FSEQ,0))&amp;IF(INDEX(tk_ROOMT,MATCH(121,tk_FSEQ,0))="",""," → "&amp;INDEX(tk_ROOMT,MATCH(121,tk_FSEQ,0))),"")</f>
        <v/>
      </c>
      <c r="D126" s="162">
        <f>IFERROR(""&amp;INDEX(tk_SIZE,MATCH(121,tk_FSEQ,0)),"")</f>
        <v/>
      </c>
      <c r="E126" s="162">
        <f>IFERROR(""&amp;INDEX(tk_RATING,MATCH(121,tk_FSEQ,0)),"")</f>
        <v/>
      </c>
      <c r="F126" s="162">
        <f>IFERROR(TEXT(INDEX(tk_OAW,MATCH(121,tk_FSEQ,0)),"0.000")&amp;" x "&amp;TEXT(INDEX(tk_OAH,MATCH(121,tk_FSEQ,0)),"0.000"),"")</f>
        <v/>
      </c>
      <c r="G126" s="162">
        <f>IFERROR(IF(INDEX(tk_ANCHT,MATCH(121,tk_FSEQ,0))="","",INDEX(tk_ANCHT,MATCH(121,tk_FSEQ,0))&amp;" + "&amp;INDEX(tk_BASEA,MATCH(121,tk_FSEQ,0))),"")</f>
        <v/>
      </c>
      <c r="H126" s="181">
        <f>IFERROR(""&amp;INDEX(tk_FLINE,MATCH(121,tk_FSEQ,0)),"")</f>
        <v/>
      </c>
      <c r="I126" s="181">
        <f>IFERROR(""&amp;INDEX(tk_LOCTXT,MATCH(121,tk_FSEQ,0)),"")</f>
        <v/>
      </c>
      <c r="J126" s="162">
        <f>IFERROR(""&amp;INDEX(tk_FNOTES,MATCH(121,tk_FSEQ,0)),"")</f>
        <v/>
      </c>
    </row>
    <row r="127">
      <c r="A127" s="161">
        <f>IFERROR(""&amp;INDEX(tk_MARK,MATCH(122,tk_FSEQ,0)),"")</f>
        <v/>
      </c>
      <c r="B127" s="162">
        <f>IFERROR(INDEX(tk_QTY,MATCH(122,tk_FSEQ,0)),"")</f>
        <v/>
      </c>
      <c r="C127" s="162">
        <f>IFERROR(INDEX(tk_ROOMF,MATCH(122,tk_FSEQ,0))&amp;IF(INDEX(tk_ROOMT,MATCH(122,tk_FSEQ,0))="",""," → "&amp;INDEX(tk_ROOMT,MATCH(122,tk_FSEQ,0))),"")</f>
        <v/>
      </c>
      <c r="D127" s="162">
        <f>IFERROR(""&amp;INDEX(tk_SIZE,MATCH(122,tk_FSEQ,0)),"")</f>
        <v/>
      </c>
      <c r="E127" s="162">
        <f>IFERROR(""&amp;INDEX(tk_RATING,MATCH(122,tk_FSEQ,0)),"")</f>
        <v/>
      </c>
      <c r="F127" s="162">
        <f>IFERROR(TEXT(INDEX(tk_OAW,MATCH(122,tk_FSEQ,0)),"0.000")&amp;" x "&amp;TEXT(INDEX(tk_OAH,MATCH(122,tk_FSEQ,0)),"0.000"),"")</f>
        <v/>
      </c>
      <c r="G127" s="162">
        <f>IFERROR(IF(INDEX(tk_ANCHT,MATCH(122,tk_FSEQ,0))="","",INDEX(tk_ANCHT,MATCH(122,tk_FSEQ,0))&amp;" + "&amp;INDEX(tk_BASEA,MATCH(122,tk_FSEQ,0))),"")</f>
        <v/>
      </c>
      <c r="H127" s="181">
        <f>IFERROR(""&amp;INDEX(tk_FLINE,MATCH(122,tk_FSEQ,0)),"")</f>
        <v/>
      </c>
      <c r="I127" s="181">
        <f>IFERROR(""&amp;INDEX(tk_LOCTXT,MATCH(122,tk_FSEQ,0)),"")</f>
        <v/>
      </c>
      <c r="J127" s="162">
        <f>IFERROR(""&amp;INDEX(tk_FNOTES,MATCH(122,tk_FSEQ,0)),"")</f>
        <v/>
      </c>
    </row>
    <row r="128">
      <c r="A128" s="161">
        <f>IFERROR(""&amp;INDEX(tk_MARK,MATCH(123,tk_FSEQ,0)),"")</f>
        <v/>
      </c>
      <c r="B128" s="162">
        <f>IFERROR(INDEX(tk_QTY,MATCH(123,tk_FSEQ,0)),"")</f>
        <v/>
      </c>
      <c r="C128" s="162">
        <f>IFERROR(INDEX(tk_ROOMF,MATCH(123,tk_FSEQ,0))&amp;IF(INDEX(tk_ROOMT,MATCH(123,tk_FSEQ,0))="",""," → "&amp;INDEX(tk_ROOMT,MATCH(123,tk_FSEQ,0))),"")</f>
        <v/>
      </c>
      <c r="D128" s="162">
        <f>IFERROR(""&amp;INDEX(tk_SIZE,MATCH(123,tk_FSEQ,0)),"")</f>
        <v/>
      </c>
      <c r="E128" s="162">
        <f>IFERROR(""&amp;INDEX(tk_RATING,MATCH(123,tk_FSEQ,0)),"")</f>
        <v/>
      </c>
      <c r="F128" s="162">
        <f>IFERROR(TEXT(INDEX(tk_OAW,MATCH(123,tk_FSEQ,0)),"0.000")&amp;" x "&amp;TEXT(INDEX(tk_OAH,MATCH(123,tk_FSEQ,0)),"0.000"),"")</f>
        <v/>
      </c>
      <c r="G128" s="162">
        <f>IFERROR(IF(INDEX(tk_ANCHT,MATCH(123,tk_FSEQ,0))="","",INDEX(tk_ANCHT,MATCH(123,tk_FSEQ,0))&amp;" + "&amp;INDEX(tk_BASEA,MATCH(123,tk_FSEQ,0))),"")</f>
        <v/>
      </c>
      <c r="H128" s="181">
        <f>IFERROR(""&amp;INDEX(tk_FLINE,MATCH(123,tk_FSEQ,0)),"")</f>
        <v/>
      </c>
      <c r="I128" s="181">
        <f>IFERROR(""&amp;INDEX(tk_LOCTXT,MATCH(123,tk_FSEQ,0)),"")</f>
        <v/>
      </c>
      <c r="J128" s="162">
        <f>IFERROR(""&amp;INDEX(tk_FNOTES,MATCH(123,tk_FSEQ,0)),"")</f>
        <v/>
      </c>
    </row>
    <row r="129">
      <c r="A129" s="161">
        <f>IFERROR(""&amp;INDEX(tk_MARK,MATCH(124,tk_FSEQ,0)),"")</f>
        <v/>
      </c>
      <c r="B129" s="162">
        <f>IFERROR(INDEX(tk_QTY,MATCH(124,tk_FSEQ,0)),"")</f>
        <v/>
      </c>
      <c r="C129" s="162">
        <f>IFERROR(INDEX(tk_ROOMF,MATCH(124,tk_FSEQ,0))&amp;IF(INDEX(tk_ROOMT,MATCH(124,tk_FSEQ,0))="",""," → "&amp;INDEX(tk_ROOMT,MATCH(124,tk_FSEQ,0))),"")</f>
        <v/>
      </c>
      <c r="D129" s="162">
        <f>IFERROR(""&amp;INDEX(tk_SIZE,MATCH(124,tk_FSEQ,0)),"")</f>
        <v/>
      </c>
      <c r="E129" s="162">
        <f>IFERROR(""&amp;INDEX(tk_RATING,MATCH(124,tk_FSEQ,0)),"")</f>
        <v/>
      </c>
      <c r="F129" s="162">
        <f>IFERROR(TEXT(INDEX(tk_OAW,MATCH(124,tk_FSEQ,0)),"0.000")&amp;" x "&amp;TEXT(INDEX(tk_OAH,MATCH(124,tk_FSEQ,0)),"0.000"),"")</f>
        <v/>
      </c>
      <c r="G129" s="162">
        <f>IFERROR(IF(INDEX(tk_ANCHT,MATCH(124,tk_FSEQ,0))="","",INDEX(tk_ANCHT,MATCH(124,tk_FSEQ,0))&amp;" + "&amp;INDEX(tk_BASEA,MATCH(124,tk_FSEQ,0))),"")</f>
        <v/>
      </c>
      <c r="H129" s="181">
        <f>IFERROR(""&amp;INDEX(tk_FLINE,MATCH(124,tk_FSEQ,0)),"")</f>
        <v/>
      </c>
      <c r="I129" s="181">
        <f>IFERROR(""&amp;INDEX(tk_LOCTXT,MATCH(124,tk_FSEQ,0)),"")</f>
        <v/>
      </c>
      <c r="J129" s="162">
        <f>IFERROR(""&amp;INDEX(tk_FNOTES,MATCH(124,tk_FSEQ,0)),"")</f>
        <v/>
      </c>
    </row>
    <row r="130">
      <c r="A130" s="161">
        <f>IFERROR(""&amp;INDEX(tk_MARK,MATCH(125,tk_FSEQ,0)),"")</f>
        <v/>
      </c>
      <c r="B130" s="162">
        <f>IFERROR(INDEX(tk_QTY,MATCH(125,tk_FSEQ,0)),"")</f>
        <v/>
      </c>
      <c r="C130" s="162">
        <f>IFERROR(INDEX(tk_ROOMF,MATCH(125,tk_FSEQ,0))&amp;IF(INDEX(tk_ROOMT,MATCH(125,tk_FSEQ,0))="",""," → "&amp;INDEX(tk_ROOMT,MATCH(125,tk_FSEQ,0))),"")</f>
        <v/>
      </c>
      <c r="D130" s="162">
        <f>IFERROR(""&amp;INDEX(tk_SIZE,MATCH(125,tk_FSEQ,0)),"")</f>
        <v/>
      </c>
      <c r="E130" s="162">
        <f>IFERROR(""&amp;INDEX(tk_RATING,MATCH(125,tk_FSEQ,0)),"")</f>
        <v/>
      </c>
      <c r="F130" s="162">
        <f>IFERROR(TEXT(INDEX(tk_OAW,MATCH(125,tk_FSEQ,0)),"0.000")&amp;" x "&amp;TEXT(INDEX(tk_OAH,MATCH(125,tk_FSEQ,0)),"0.000"),"")</f>
        <v/>
      </c>
      <c r="G130" s="162">
        <f>IFERROR(IF(INDEX(tk_ANCHT,MATCH(125,tk_FSEQ,0))="","",INDEX(tk_ANCHT,MATCH(125,tk_FSEQ,0))&amp;" + "&amp;INDEX(tk_BASEA,MATCH(125,tk_FSEQ,0))),"")</f>
        <v/>
      </c>
      <c r="H130" s="181">
        <f>IFERROR(""&amp;INDEX(tk_FLINE,MATCH(125,tk_FSEQ,0)),"")</f>
        <v/>
      </c>
      <c r="I130" s="181">
        <f>IFERROR(""&amp;INDEX(tk_LOCTXT,MATCH(125,tk_FSEQ,0)),"")</f>
        <v/>
      </c>
      <c r="J130" s="162">
        <f>IFERROR(""&amp;INDEX(tk_FNOTES,MATCH(125,tk_FSEQ,0)),"")</f>
        <v/>
      </c>
    </row>
    <row r="131">
      <c r="A131" s="161">
        <f>IFERROR(""&amp;INDEX(tk_MARK,MATCH(126,tk_FSEQ,0)),"")</f>
        <v/>
      </c>
      <c r="B131" s="162">
        <f>IFERROR(INDEX(tk_QTY,MATCH(126,tk_FSEQ,0)),"")</f>
        <v/>
      </c>
      <c r="C131" s="162">
        <f>IFERROR(INDEX(tk_ROOMF,MATCH(126,tk_FSEQ,0))&amp;IF(INDEX(tk_ROOMT,MATCH(126,tk_FSEQ,0))="",""," → "&amp;INDEX(tk_ROOMT,MATCH(126,tk_FSEQ,0))),"")</f>
        <v/>
      </c>
      <c r="D131" s="162">
        <f>IFERROR(""&amp;INDEX(tk_SIZE,MATCH(126,tk_FSEQ,0)),"")</f>
        <v/>
      </c>
      <c r="E131" s="162">
        <f>IFERROR(""&amp;INDEX(tk_RATING,MATCH(126,tk_FSEQ,0)),"")</f>
        <v/>
      </c>
      <c r="F131" s="162">
        <f>IFERROR(TEXT(INDEX(tk_OAW,MATCH(126,tk_FSEQ,0)),"0.000")&amp;" x "&amp;TEXT(INDEX(tk_OAH,MATCH(126,tk_FSEQ,0)),"0.000"),"")</f>
        <v/>
      </c>
      <c r="G131" s="162">
        <f>IFERROR(IF(INDEX(tk_ANCHT,MATCH(126,tk_FSEQ,0))="","",INDEX(tk_ANCHT,MATCH(126,tk_FSEQ,0))&amp;" + "&amp;INDEX(tk_BASEA,MATCH(126,tk_FSEQ,0))),"")</f>
        <v/>
      </c>
      <c r="H131" s="181">
        <f>IFERROR(""&amp;INDEX(tk_FLINE,MATCH(126,tk_FSEQ,0)),"")</f>
        <v/>
      </c>
      <c r="I131" s="181">
        <f>IFERROR(""&amp;INDEX(tk_LOCTXT,MATCH(126,tk_FSEQ,0)),"")</f>
        <v/>
      </c>
      <c r="J131" s="162">
        <f>IFERROR(""&amp;INDEX(tk_FNOTES,MATCH(126,tk_FSEQ,0)),"")</f>
        <v/>
      </c>
    </row>
    <row r="132">
      <c r="A132" s="161">
        <f>IFERROR(""&amp;INDEX(tk_MARK,MATCH(127,tk_FSEQ,0)),"")</f>
        <v/>
      </c>
      <c r="B132" s="162">
        <f>IFERROR(INDEX(tk_QTY,MATCH(127,tk_FSEQ,0)),"")</f>
        <v/>
      </c>
      <c r="C132" s="162">
        <f>IFERROR(INDEX(tk_ROOMF,MATCH(127,tk_FSEQ,0))&amp;IF(INDEX(tk_ROOMT,MATCH(127,tk_FSEQ,0))="",""," → "&amp;INDEX(tk_ROOMT,MATCH(127,tk_FSEQ,0))),"")</f>
        <v/>
      </c>
      <c r="D132" s="162">
        <f>IFERROR(""&amp;INDEX(tk_SIZE,MATCH(127,tk_FSEQ,0)),"")</f>
        <v/>
      </c>
      <c r="E132" s="162">
        <f>IFERROR(""&amp;INDEX(tk_RATING,MATCH(127,tk_FSEQ,0)),"")</f>
        <v/>
      </c>
      <c r="F132" s="162">
        <f>IFERROR(TEXT(INDEX(tk_OAW,MATCH(127,tk_FSEQ,0)),"0.000")&amp;" x "&amp;TEXT(INDEX(tk_OAH,MATCH(127,tk_FSEQ,0)),"0.000"),"")</f>
        <v/>
      </c>
      <c r="G132" s="162">
        <f>IFERROR(IF(INDEX(tk_ANCHT,MATCH(127,tk_FSEQ,0))="","",INDEX(tk_ANCHT,MATCH(127,tk_FSEQ,0))&amp;" + "&amp;INDEX(tk_BASEA,MATCH(127,tk_FSEQ,0))),"")</f>
        <v/>
      </c>
      <c r="H132" s="181">
        <f>IFERROR(""&amp;INDEX(tk_FLINE,MATCH(127,tk_FSEQ,0)),"")</f>
        <v/>
      </c>
      <c r="I132" s="181">
        <f>IFERROR(""&amp;INDEX(tk_LOCTXT,MATCH(127,tk_FSEQ,0)),"")</f>
        <v/>
      </c>
      <c r="J132" s="162">
        <f>IFERROR(""&amp;INDEX(tk_FNOTES,MATCH(127,tk_FSEQ,0)),"")</f>
        <v/>
      </c>
    </row>
    <row r="133">
      <c r="A133" s="161">
        <f>IFERROR(""&amp;INDEX(tk_MARK,MATCH(128,tk_FSEQ,0)),"")</f>
        <v/>
      </c>
      <c r="B133" s="162">
        <f>IFERROR(INDEX(tk_QTY,MATCH(128,tk_FSEQ,0)),"")</f>
        <v/>
      </c>
      <c r="C133" s="162">
        <f>IFERROR(INDEX(tk_ROOMF,MATCH(128,tk_FSEQ,0))&amp;IF(INDEX(tk_ROOMT,MATCH(128,tk_FSEQ,0))="",""," → "&amp;INDEX(tk_ROOMT,MATCH(128,tk_FSEQ,0))),"")</f>
        <v/>
      </c>
      <c r="D133" s="162">
        <f>IFERROR(""&amp;INDEX(tk_SIZE,MATCH(128,tk_FSEQ,0)),"")</f>
        <v/>
      </c>
      <c r="E133" s="162">
        <f>IFERROR(""&amp;INDEX(tk_RATING,MATCH(128,tk_FSEQ,0)),"")</f>
        <v/>
      </c>
      <c r="F133" s="162">
        <f>IFERROR(TEXT(INDEX(tk_OAW,MATCH(128,tk_FSEQ,0)),"0.000")&amp;" x "&amp;TEXT(INDEX(tk_OAH,MATCH(128,tk_FSEQ,0)),"0.000"),"")</f>
        <v/>
      </c>
      <c r="G133" s="162">
        <f>IFERROR(IF(INDEX(tk_ANCHT,MATCH(128,tk_FSEQ,0))="","",INDEX(tk_ANCHT,MATCH(128,tk_FSEQ,0))&amp;" + "&amp;INDEX(tk_BASEA,MATCH(128,tk_FSEQ,0))),"")</f>
        <v/>
      </c>
      <c r="H133" s="181">
        <f>IFERROR(""&amp;INDEX(tk_FLINE,MATCH(128,tk_FSEQ,0)),"")</f>
        <v/>
      </c>
      <c r="I133" s="181">
        <f>IFERROR(""&amp;INDEX(tk_LOCTXT,MATCH(128,tk_FSEQ,0)),"")</f>
        <v/>
      </c>
      <c r="J133" s="162">
        <f>IFERROR(""&amp;INDEX(tk_FNOTES,MATCH(128,tk_FSEQ,0)),"")</f>
        <v/>
      </c>
    </row>
    <row r="134">
      <c r="A134" s="161">
        <f>IFERROR(""&amp;INDEX(tk_MARK,MATCH(129,tk_FSEQ,0)),"")</f>
        <v/>
      </c>
      <c r="B134" s="162">
        <f>IFERROR(INDEX(tk_QTY,MATCH(129,tk_FSEQ,0)),"")</f>
        <v/>
      </c>
      <c r="C134" s="162">
        <f>IFERROR(INDEX(tk_ROOMF,MATCH(129,tk_FSEQ,0))&amp;IF(INDEX(tk_ROOMT,MATCH(129,tk_FSEQ,0))="",""," → "&amp;INDEX(tk_ROOMT,MATCH(129,tk_FSEQ,0))),"")</f>
        <v/>
      </c>
      <c r="D134" s="162">
        <f>IFERROR(""&amp;INDEX(tk_SIZE,MATCH(129,tk_FSEQ,0)),"")</f>
        <v/>
      </c>
      <c r="E134" s="162">
        <f>IFERROR(""&amp;INDEX(tk_RATING,MATCH(129,tk_FSEQ,0)),"")</f>
        <v/>
      </c>
      <c r="F134" s="162">
        <f>IFERROR(TEXT(INDEX(tk_OAW,MATCH(129,tk_FSEQ,0)),"0.000")&amp;" x "&amp;TEXT(INDEX(tk_OAH,MATCH(129,tk_FSEQ,0)),"0.000"),"")</f>
        <v/>
      </c>
      <c r="G134" s="162">
        <f>IFERROR(IF(INDEX(tk_ANCHT,MATCH(129,tk_FSEQ,0))="","",INDEX(tk_ANCHT,MATCH(129,tk_FSEQ,0))&amp;" + "&amp;INDEX(tk_BASEA,MATCH(129,tk_FSEQ,0))),"")</f>
        <v/>
      </c>
      <c r="H134" s="181">
        <f>IFERROR(""&amp;INDEX(tk_FLINE,MATCH(129,tk_FSEQ,0)),"")</f>
        <v/>
      </c>
      <c r="I134" s="181">
        <f>IFERROR(""&amp;INDEX(tk_LOCTXT,MATCH(129,tk_FSEQ,0)),"")</f>
        <v/>
      </c>
      <c r="J134" s="162">
        <f>IFERROR(""&amp;INDEX(tk_FNOTES,MATCH(129,tk_FSEQ,0)),"")</f>
        <v/>
      </c>
    </row>
    <row r="135">
      <c r="A135" s="161">
        <f>IFERROR(""&amp;INDEX(tk_MARK,MATCH(130,tk_FSEQ,0)),"")</f>
        <v/>
      </c>
      <c r="B135" s="162">
        <f>IFERROR(INDEX(tk_QTY,MATCH(130,tk_FSEQ,0)),"")</f>
        <v/>
      </c>
      <c r="C135" s="162">
        <f>IFERROR(INDEX(tk_ROOMF,MATCH(130,tk_FSEQ,0))&amp;IF(INDEX(tk_ROOMT,MATCH(130,tk_FSEQ,0))="",""," → "&amp;INDEX(tk_ROOMT,MATCH(130,tk_FSEQ,0))),"")</f>
        <v/>
      </c>
      <c r="D135" s="162">
        <f>IFERROR(""&amp;INDEX(tk_SIZE,MATCH(130,tk_FSEQ,0)),"")</f>
        <v/>
      </c>
      <c r="E135" s="162">
        <f>IFERROR(""&amp;INDEX(tk_RATING,MATCH(130,tk_FSEQ,0)),"")</f>
        <v/>
      </c>
      <c r="F135" s="162">
        <f>IFERROR(TEXT(INDEX(tk_OAW,MATCH(130,tk_FSEQ,0)),"0.000")&amp;" x "&amp;TEXT(INDEX(tk_OAH,MATCH(130,tk_FSEQ,0)),"0.000"),"")</f>
        <v/>
      </c>
      <c r="G135" s="162">
        <f>IFERROR(IF(INDEX(tk_ANCHT,MATCH(130,tk_FSEQ,0))="","",INDEX(tk_ANCHT,MATCH(130,tk_FSEQ,0))&amp;" + "&amp;INDEX(tk_BASEA,MATCH(130,tk_FSEQ,0))),"")</f>
        <v/>
      </c>
      <c r="H135" s="181">
        <f>IFERROR(""&amp;INDEX(tk_FLINE,MATCH(130,tk_FSEQ,0)),"")</f>
        <v/>
      </c>
      <c r="I135" s="181">
        <f>IFERROR(""&amp;INDEX(tk_LOCTXT,MATCH(130,tk_FSEQ,0)),"")</f>
        <v/>
      </c>
      <c r="J135" s="162">
        <f>IFERROR(""&amp;INDEX(tk_FNOTES,MATCH(130,tk_FSEQ,0)),"")</f>
        <v/>
      </c>
    </row>
    <row r="136">
      <c r="A136" s="161">
        <f>IFERROR(""&amp;INDEX(tk_MARK,MATCH(131,tk_FSEQ,0)),"")</f>
        <v/>
      </c>
      <c r="B136" s="162">
        <f>IFERROR(INDEX(tk_QTY,MATCH(131,tk_FSEQ,0)),"")</f>
        <v/>
      </c>
      <c r="C136" s="162">
        <f>IFERROR(INDEX(tk_ROOMF,MATCH(131,tk_FSEQ,0))&amp;IF(INDEX(tk_ROOMT,MATCH(131,tk_FSEQ,0))="",""," → "&amp;INDEX(tk_ROOMT,MATCH(131,tk_FSEQ,0))),"")</f>
        <v/>
      </c>
      <c r="D136" s="162">
        <f>IFERROR(""&amp;INDEX(tk_SIZE,MATCH(131,tk_FSEQ,0)),"")</f>
        <v/>
      </c>
      <c r="E136" s="162">
        <f>IFERROR(""&amp;INDEX(tk_RATING,MATCH(131,tk_FSEQ,0)),"")</f>
        <v/>
      </c>
      <c r="F136" s="162">
        <f>IFERROR(TEXT(INDEX(tk_OAW,MATCH(131,tk_FSEQ,0)),"0.000")&amp;" x "&amp;TEXT(INDEX(tk_OAH,MATCH(131,tk_FSEQ,0)),"0.000"),"")</f>
        <v/>
      </c>
      <c r="G136" s="162">
        <f>IFERROR(IF(INDEX(tk_ANCHT,MATCH(131,tk_FSEQ,0))="","",INDEX(tk_ANCHT,MATCH(131,tk_FSEQ,0))&amp;" + "&amp;INDEX(tk_BASEA,MATCH(131,tk_FSEQ,0))),"")</f>
        <v/>
      </c>
      <c r="H136" s="181">
        <f>IFERROR(""&amp;INDEX(tk_FLINE,MATCH(131,tk_FSEQ,0)),"")</f>
        <v/>
      </c>
      <c r="I136" s="181">
        <f>IFERROR(""&amp;INDEX(tk_LOCTXT,MATCH(131,tk_FSEQ,0)),"")</f>
        <v/>
      </c>
      <c r="J136" s="162">
        <f>IFERROR(""&amp;INDEX(tk_FNOTES,MATCH(131,tk_FSEQ,0)),"")</f>
        <v/>
      </c>
    </row>
    <row r="137">
      <c r="A137" s="161">
        <f>IFERROR(""&amp;INDEX(tk_MARK,MATCH(132,tk_FSEQ,0)),"")</f>
        <v/>
      </c>
      <c r="B137" s="162">
        <f>IFERROR(INDEX(tk_QTY,MATCH(132,tk_FSEQ,0)),"")</f>
        <v/>
      </c>
      <c r="C137" s="162">
        <f>IFERROR(INDEX(tk_ROOMF,MATCH(132,tk_FSEQ,0))&amp;IF(INDEX(tk_ROOMT,MATCH(132,tk_FSEQ,0))="",""," → "&amp;INDEX(tk_ROOMT,MATCH(132,tk_FSEQ,0))),"")</f>
        <v/>
      </c>
      <c r="D137" s="162">
        <f>IFERROR(""&amp;INDEX(tk_SIZE,MATCH(132,tk_FSEQ,0)),"")</f>
        <v/>
      </c>
      <c r="E137" s="162">
        <f>IFERROR(""&amp;INDEX(tk_RATING,MATCH(132,tk_FSEQ,0)),"")</f>
        <v/>
      </c>
      <c r="F137" s="162">
        <f>IFERROR(TEXT(INDEX(tk_OAW,MATCH(132,tk_FSEQ,0)),"0.000")&amp;" x "&amp;TEXT(INDEX(tk_OAH,MATCH(132,tk_FSEQ,0)),"0.000"),"")</f>
        <v/>
      </c>
      <c r="G137" s="162">
        <f>IFERROR(IF(INDEX(tk_ANCHT,MATCH(132,tk_FSEQ,0))="","",INDEX(tk_ANCHT,MATCH(132,tk_FSEQ,0))&amp;" + "&amp;INDEX(tk_BASEA,MATCH(132,tk_FSEQ,0))),"")</f>
        <v/>
      </c>
      <c r="H137" s="181">
        <f>IFERROR(""&amp;INDEX(tk_FLINE,MATCH(132,tk_FSEQ,0)),"")</f>
        <v/>
      </c>
      <c r="I137" s="181">
        <f>IFERROR(""&amp;INDEX(tk_LOCTXT,MATCH(132,tk_FSEQ,0)),"")</f>
        <v/>
      </c>
      <c r="J137" s="162">
        <f>IFERROR(""&amp;INDEX(tk_FNOTES,MATCH(132,tk_FSEQ,0)),"")</f>
        <v/>
      </c>
    </row>
    <row r="138">
      <c r="A138" s="161">
        <f>IFERROR(""&amp;INDEX(tk_MARK,MATCH(133,tk_FSEQ,0)),"")</f>
        <v/>
      </c>
      <c r="B138" s="162">
        <f>IFERROR(INDEX(tk_QTY,MATCH(133,tk_FSEQ,0)),"")</f>
        <v/>
      </c>
      <c r="C138" s="162">
        <f>IFERROR(INDEX(tk_ROOMF,MATCH(133,tk_FSEQ,0))&amp;IF(INDEX(tk_ROOMT,MATCH(133,tk_FSEQ,0))="",""," → "&amp;INDEX(tk_ROOMT,MATCH(133,tk_FSEQ,0))),"")</f>
        <v/>
      </c>
      <c r="D138" s="162">
        <f>IFERROR(""&amp;INDEX(tk_SIZE,MATCH(133,tk_FSEQ,0)),"")</f>
        <v/>
      </c>
      <c r="E138" s="162">
        <f>IFERROR(""&amp;INDEX(tk_RATING,MATCH(133,tk_FSEQ,0)),"")</f>
        <v/>
      </c>
      <c r="F138" s="162">
        <f>IFERROR(TEXT(INDEX(tk_OAW,MATCH(133,tk_FSEQ,0)),"0.000")&amp;" x "&amp;TEXT(INDEX(tk_OAH,MATCH(133,tk_FSEQ,0)),"0.000"),"")</f>
        <v/>
      </c>
      <c r="G138" s="162">
        <f>IFERROR(IF(INDEX(tk_ANCHT,MATCH(133,tk_FSEQ,0))="","",INDEX(tk_ANCHT,MATCH(133,tk_FSEQ,0))&amp;" + "&amp;INDEX(tk_BASEA,MATCH(133,tk_FSEQ,0))),"")</f>
        <v/>
      </c>
      <c r="H138" s="181">
        <f>IFERROR(""&amp;INDEX(tk_FLINE,MATCH(133,tk_FSEQ,0)),"")</f>
        <v/>
      </c>
      <c r="I138" s="181">
        <f>IFERROR(""&amp;INDEX(tk_LOCTXT,MATCH(133,tk_FSEQ,0)),"")</f>
        <v/>
      </c>
      <c r="J138" s="162">
        <f>IFERROR(""&amp;INDEX(tk_FNOTES,MATCH(133,tk_FSEQ,0)),"")</f>
        <v/>
      </c>
    </row>
    <row r="139">
      <c r="A139" s="161">
        <f>IFERROR(""&amp;INDEX(tk_MARK,MATCH(134,tk_FSEQ,0)),"")</f>
        <v/>
      </c>
      <c r="B139" s="162">
        <f>IFERROR(INDEX(tk_QTY,MATCH(134,tk_FSEQ,0)),"")</f>
        <v/>
      </c>
      <c r="C139" s="162">
        <f>IFERROR(INDEX(tk_ROOMF,MATCH(134,tk_FSEQ,0))&amp;IF(INDEX(tk_ROOMT,MATCH(134,tk_FSEQ,0))="",""," → "&amp;INDEX(tk_ROOMT,MATCH(134,tk_FSEQ,0))),"")</f>
        <v/>
      </c>
      <c r="D139" s="162">
        <f>IFERROR(""&amp;INDEX(tk_SIZE,MATCH(134,tk_FSEQ,0)),"")</f>
        <v/>
      </c>
      <c r="E139" s="162">
        <f>IFERROR(""&amp;INDEX(tk_RATING,MATCH(134,tk_FSEQ,0)),"")</f>
        <v/>
      </c>
      <c r="F139" s="162">
        <f>IFERROR(TEXT(INDEX(tk_OAW,MATCH(134,tk_FSEQ,0)),"0.000")&amp;" x "&amp;TEXT(INDEX(tk_OAH,MATCH(134,tk_FSEQ,0)),"0.000"),"")</f>
        <v/>
      </c>
      <c r="G139" s="162">
        <f>IFERROR(IF(INDEX(tk_ANCHT,MATCH(134,tk_FSEQ,0))="","",INDEX(tk_ANCHT,MATCH(134,tk_FSEQ,0))&amp;" + "&amp;INDEX(tk_BASEA,MATCH(134,tk_FSEQ,0))),"")</f>
        <v/>
      </c>
      <c r="H139" s="181">
        <f>IFERROR(""&amp;INDEX(tk_FLINE,MATCH(134,tk_FSEQ,0)),"")</f>
        <v/>
      </c>
      <c r="I139" s="181">
        <f>IFERROR(""&amp;INDEX(tk_LOCTXT,MATCH(134,tk_FSEQ,0)),"")</f>
        <v/>
      </c>
      <c r="J139" s="162">
        <f>IFERROR(""&amp;INDEX(tk_FNOTES,MATCH(134,tk_FSEQ,0)),"")</f>
        <v/>
      </c>
    </row>
    <row r="140">
      <c r="A140" s="161">
        <f>IFERROR(""&amp;INDEX(tk_MARK,MATCH(135,tk_FSEQ,0)),"")</f>
        <v/>
      </c>
      <c r="B140" s="162">
        <f>IFERROR(INDEX(tk_QTY,MATCH(135,tk_FSEQ,0)),"")</f>
        <v/>
      </c>
      <c r="C140" s="162">
        <f>IFERROR(INDEX(tk_ROOMF,MATCH(135,tk_FSEQ,0))&amp;IF(INDEX(tk_ROOMT,MATCH(135,tk_FSEQ,0))="",""," → "&amp;INDEX(tk_ROOMT,MATCH(135,tk_FSEQ,0))),"")</f>
        <v/>
      </c>
      <c r="D140" s="162">
        <f>IFERROR(""&amp;INDEX(tk_SIZE,MATCH(135,tk_FSEQ,0)),"")</f>
        <v/>
      </c>
      <c r="E140" s="162">
        <f>IFERROR(""&amp;INDEX(tk_RATING,MATCH(135,tk_FSEQ,0)),"")</f>
        <v/>
      </c>
      <c r="F140" s="162">
        <f>IFERROR(TEXT(INDEX(tk_OAW,MATCH(135,tk_FSEQ,0)),"0.000")&amp;" x "&amp;TEXT(INDEX(tk_OAH,MATCH(135,tk_FSEQ,0)),"0.000"),"")</f>
        <v/>
      </c>
      <c r="G140" s="162">
        <f>IFERROR(IF(INDEX(tk_ANCHT,MATCH(135,tk_FSEQ,0))="","",INDEX(tk_ANCHT,MATCH(135,tk_FSEQ,0))&amp;" + "&amp;INDEX(tk_BASEA,MATCH(135,tk_FSEQ,0))),"")</f>
        <v/>
      </c>
      <c r="H140" s="181">
        <f>IFERROR(""&amp;INDEX(tk_FLINE,MATCH(135,tk_FSEQ,0)),"")</f>
        <v/>
      </c>
      <c r="I140" s="181">
        <f>IFERROR(""&amp;INDEX(tk_LOCTXT,MATCH(135,tk_FSEQ,0)),"")</f>
        <v/>
      </c>
      <c r="J140" s="162">
        <f>IFERROR(""&amp;INDEX(tk_FNOTES,MATCH(135,tk_FSEQ,0)),"")</f>
        <v/>
      </c>
    </row>
    <row r="141">
      <c r="A141" s="161">
        <f>IFERROR(""&amp;INDEX(tk_MARK,MATCH(136,tk_FSEQ,0)),"")</f>
        <v/>
      </c>
      <c r="B141" s="162">
        <f>IFERROR(INDEX(tk_QTY,MATCH(136,tk_FSEQ,0)),"")</f>
        <v/>
      </c>
      <c r="C141" s="162">
        <f>IFERROR(INDEX(tk_ROOMF,MATCH(136,tk_FSEQ,0))&amp;IF(INDEX(tk_ROOMT,MATCH(136,tk_FSEQ,0))="",""," → "&amp;INDEX(tk_ROOMT,MATCH(136,tk_FSEQ,0))),"")</f>
        <v/>
      </c>
      <c r="D141" s="162">
        <f>IFERROR(""&amp;INDEX(tk_SIZE,MATCH(136,tk_FSEQ,0)),"")</f>
        <v/>
      </c>
      <c r="E141" s="162">
        <f>IFERROR(""&amp;INDEX(tk_RATING,MATCH(136,tk_FSEQ,0)),"")</f>
        <v/>
      </c>
      <c r="F141" s="162">
        <f>IFERROR(TEXT(INDEX(tk_OAW,MATCH(136,tk_FSEQ,0)),"0.000")&amp;" x "&amp;TEXT(INDEX(tk_OAH,MATCH(136,tk_FSEQ,0)),"0.000"),"")</f>
        <v/>
      </c>
      <c r="G141" s="162">
        <f>IFERROR(IF(INDEX(tk_ANCHT,MATCH(136,tk_FSEQ,0))="","",INDEX(tk_ANCHT,MATCH(136,tk_FSEQ,0))&amp;" + "&amp;INDEX(tk_BASEA,MATCH(136,tk_FSEQ,0))),"")</f>
        <v/>
      </c>
      <c r="H141" s="181">
        <f>IFERROR(""&amp;INDEX(tk_FLINE,MATCH(136,tk_FSEQ,0)),"")</f>
        <v/>
      </c>
      <c r="I141" s="181">
        <f>IFERROR(""&amp;INDEX(tk_LOCTXT,MATCH(136,tk_FSEQ,0)),"")</f>
        <v/>
      </c>
      <c r="J141" s="162">
        <f>IFERROR(""&amp;INDEX(tk_FNOTES,MATCH(136,tk_FSEQ,0)),"")</f>
        <v/>
      </c>
    </row>
    <row r="142">
      <c r="A142" s="161">
        <f>IFERROR(""&amp;INDEX(tk_MARK,MATCH(137,tk_FSEQ,0)),"")</f>
        <v/>
      </c>
      <c r="B142" s="162">
        <f>IFERROR(INDEX(tk_QTY,MATCH(137,tk_FSEQ,0)),"")</f>
        <v/>
      </c>
      <c r="C142" s="162">
        <f>IFERROR(INDEX(tk_ROOMF,MATCH(137,tk_FSEQ,0))&amp;IF(INDEX(tk_ROOMT,MATCH(137,tk_FSEQ,0))="",""," → "&amp;INDEX(tk_ROOMT,MATCH(137,tk_FSEQ,0))),"")</f>
        <v/>
      </c>
      <c r="D142" s="162">
        <f>IFERROR(""&amp;INDEX(tk_SIZE,MATCH(137,tk_FSEQ,0)),"")</f>
        <v/>
      </c>
      <c r="E142" s="162">
        <f>IFERROR(""&amp;INDEX(tk_RATING,MATCH(137,tk_FSEQ,0)),"")</f>
        <v/>
      </c>
      <c r="F142" s="162">
        <f>IFERROR(TEXT(INDEX(tk_OAW,MATCH(137,tk_FSEQ,0)),"0.000")&amp;" x "&amp;TEXT(INDEX(tk_OAH,MATCH(137,tk_FSEQ,0)),"0.000"),"")</f>
        <v/>
      </c>
      <c r="G142" s="162">
        <f>IFERROR(IF(INDEX(tk_ANCHT,MATCH(137,tk_FSEQ,0))="","",INDEX(tk_ANCHT,MATCH(137,tk_FSEQ,0))&amp;" + "&amp;INDEX(tk_BASEA,MATCH(137,tk_FSEQ,0))),"")</f>
        <v/>
      </c>
      <c r="H142" s="181">
        <f>IFERROR(""&amp;INDEX(tk_FLINE,MATCH(137,tk_FSEQ,0)),"")</f>
        <v/>
      </c>
      <c r="I142" s="181">
        <f>IFERROR(""&amp;INDEX(tk_LOCTXT,MATCH(137,tk_FSEQ,0)),"")</f>
        <v/>
      </c>
      <c r="J142" s="162">
        <f>IFERROR(""&amp;INDEX(tk_FNOTES,MATCH(137,tk_FSEQ,0)),"")</f>
        <v/>
      </c>
    </row>
    <row r="143">
      <c r="A143" s="161">
        <f>IFERROR(""&amp;INDEX(tk_MARK,MATCH(138,tk_FSEQ,0)),"")</f>
        <v/>
      </c>
      <c r="B143" s="162">
        <f>IFERROR(INDEX(tk_QTY,MATCH(138,tk_FSEQ,0)),"")</f>
        <v/>
      </c>
      <c r="C143" s="162">
        <f>IFERROR(INDEX(tk_ROOMF,MATCH(138,tk_FSEQ,0))&amp;IF(INDEX(tk_ROOMT,MATCH(138,tk_FSEQ,0))="",""," → "&amp;INDEX(tk_ROOMT,MATCH(138,tk_FSEQ,0))),"")</f>
        <v/>
      </c>
      <c r="D143" s="162">
        <f>IFERROR(""&amp;INDEX(tk_SIZE,MATCH(138,tk_FSEQ,0)),"")</f>
        <v/>
      </c>
      <c r="E143" s="162">
        <f>IFERROR(""&amp;INDEX(tk_RATING,MATCH(138,tk_FSEQ,0)),"")</f>
        <v/>
      </c>
      <c r="F143" s="162">
        <f>IFERROR(TEXT(INDEX(tk_OAW,MATCH(138,tk_FSEQ,0)),"0.000")&amp;" x "&amp;TEXT(INDEX(tk_OAH,MATCH(138,tk_FSEQ,0)),"0.000"),"")</f>
        <v/>
      </c>
      <c r="G143" s="162">
        <f>IFERROR(IF(INDEX(tk_ANCHT,MATCH(138,tk_FSEQ,0))="","",INDEX(tk_ANCHT,MATCH(138,tk_FSEQ,0))&amp;" + "&amp;INDEX(tk_BASEA,MATCH(138,tk_FSEQ,0))),"")</f>
        <v/>
      </c>
      <c r="H143" s="181">
        <f>IFERROR(""&amp;INDEX(tk_FLINE,MATCH(138,tk_FSEQ,0)),"")</f>
        <v/>
      </c>
      <c r="I143" s="181">
        <f>IFERROR(""&amp;INDEX(tk_LOCTXT,MATCH(138,tk_FSEQ,0)),"")</f>
        <v/>
      </c>
      <c r="J143" s="162">
        <f>IFERROR(""&amp;INDEX(tk_FNOTES,MATCH(138,tk_FSEQ,0)),"")</f>
        <v/>
      </c>
    </row>
    <row r="144">
      <c r="A144" s="161">
        <f>IFERROR(""&amp;INDEX(tk_MARK,MATCH(139,tk_FSEQ,0)),"")</f>
        <v/>
      </c>
      <c r="B144" s="162">
        <f>IFERROR(INDEX(tk_QTY,MATCH(139,tk_FSEQ,0)),"")</f>
        <v/>
      </c>
      <c r="C144" s="162">
        <f>IFERROR(INDEX(tk_ROOMF,MATCH(139,tk_FSEQ,0))&amp;IF(INDEX(tk_ROOMT,MATCH(139,tk_FSEQ,0))="",""," → "&amp;INDEX(tk_ROOMT,MATCH(139,tk_FSEQ,0))),"")</f>
        <v/>
      </c>
      <c r="D144" s="162">
        <f>IFERROR(""&amp;INDEX(tk_SIZE,MATCH(139,tk_FSEQ,0)),"")</f>
        <v/>
      </c>
      <c r="E144" s="162">
        <f>IFERROR(""&amp;INDEX(tk_RATING,MATCH(139,tk_FSEQ,0)),"")</f>
        <v/>
      </c>
      <c r="F144" s="162">
        <f>IFERROR(TEXT(INDEX(tk_OAW,MATCH(139,tk_FSEQ,0)),"0.000")&amp;" x "&amp;TEXT(INDEX(tk_OAH,MATCH(139,tk_FSEQ,0)),"0.000"),"")</f>
        <v/>
      </c>
      <c r="G144" s="162">
        <f>IFERROR(IF(INDEX(tk_ANCHT,MATCH(139,tk_FSEQ,0))="","",INDEX(tk_ANCHT,MATCH(139,tk_FSEQ,0))&amp;" + "&amp;INDEX(tk_BASEA,MATCH(139,tk_FSEQ,0))),"")</f>
        <v/>
      </c>
      <c r="H144" s="181">
        <f>IFERROR(""&amp;INDEX(tk_FLINE,MATCH(139,tk_FSEQ,0)),"")</f>
        <v/>
      </c>
      <c r="I144" s="181">
        <f>IFERROR(""&amp;INDEX(tk_LOCTXT,MATCH(139,tk_FSEQ,0)),"")</f>
        <v/>
      </c>
      <c r="J144" s="162">
        <f>IFERROR(""&amp;INDEX(tk_FNOTES,MATCH(139,tk_FSEQ,0)),"")</f>
        <v/>
      </c>
    </row>
    <row r="145">
      <c r="A145" s="161">
        <f>IFERROR(""&amp;INDEX(tk_MARK,MATCH(140,tk_FSEQ,0)),"")</f>
        <v/>
      </c>
      <c r="B145" s="162">
        <f>IFERROR(INDEX(tk_QTY,MATCH(140,tk_FSEQ,0)),"")</f>
        <v/>
      </c>
      <c r="C145" s="162">
        <f>IFERROR(INDEX(tk_ROOMF,MATCH(140,tk_FSEQ,0))&amp;IF(INDEX(tk_ROOMT,MATCH(140,tk_FSEQ,0))="",""," → "&amp;INDEX(tk_ROOMT,MATCH(140,tk_FSEQ,0))),"")</f>
        <v/>
      </c>
      <c r="D145" s="162">
        <f>IFERROR(""&amp;INDEX(tk_SIZE,MATCH(140,tk_FSEQ,0)),"")</f>
        <v/>
      </c>
      <c r="E145" s="162">
        <f>IFERROR(""&amp;INDEX(tk_RATING,MATCH(140,tk_FSEQ,0)),"")</f>
        <v/>
      </c>
      <c r="F145" s="162">
        <f>IFERROR(TEXT(INDEX(tk_OAW,MATCH(140,tk_FSEQ,0)),"0.000")&amp;" x "&amp;TEXT(INDEX(tk_OAH,MATCH(140,tk_FSEQ,0)),"0.000"),"")</f>
        <v/>
      </c>
      <c r="G145" s="162">
        <f>IFERROR(IF(INDEX(tk_ANCHT,MATCH(140,tk_FSEQ,0))="","",INDEX(tk_ANCHT,MATCH(140,tk_FSEQ,0))&amp;" + "&amp;INDEX(tk_BASEA,MATCH(140,tk_FSEQ,0))),"")</f>
        <v/>
      </c>
      <c r="H145" s="181">
        <f>IFERROR(""&amp;INDEX(tk_FLINE,MATCH(140,tk_FSEQ,0)),"")</f>
        <v/>
      </c>
      <c r="I145" s="181">
        <f>IFERROR(""&amp;INDEX(tk_LOCTXT,MATCH(140,tk_FSEQ,0)),"")</f>
        <v/>
      </c>
      <c r="J145" s="162">
        <f>IFERROR(""&amp;INDEX(tk_FNOTES,MATCH(140,tk_FSEQ,0)),"")</f>
        <v/>
      </c>
    </row>
    <row r="146">
      <c r="A146" s="161">
        <f>IFERROR(""&amp;INDEX(tk_MARK,MATCH(141,tk_FSEQ,0)),"")</f>
        <v/>
      </c>
      <c r="B146" s="162">
        <f>IFERROR(INDEX(tk_QTY,MATCH(141,tk_FSEQ,0)),"")</f>
        <v/>
      </c>
      <c r="C146" s="162">
        <f>IFERROR(INDEX(tk_ROOMF,MATCH(141,tk_FSEQ,0))&amp;IF(INDEX(tk_ROOMT,MATCH(141,tk_FSEQ,0))="",""," → "&amp;INDEX(tk_ROOMT,MATCH(141,tk_FSEQ,0))),"")</f>
        <v/>
      </c>
      <c r="D146" s="162">
        <f>IFERROR(""&amp;INDEX(tk_SIZE,MATCH(141,tk_FSEQ,0)),"")</f>
        <v/>
      </c>
      <c r="E146" s="162">
        <f>IFERROR(""&amp;INDEX(tk_RATING,MATCH(141,tk_FSEQ,0)),"")</f>
        <v/>
      </c>
      <c r="F146" s="162">
        <f>IFERROR(TEXT(INDEX(tk_OAW,MATCH(141,tk_FSEQ,0)),"0.000")&amp;" x "&amp;TEXT(INDEX(tk_OAH,MATCH(141,tk_FSEQ,0)),"0.000"),"")</f>
        <v/>
      </c>
      <c r="G146" s="162">
        <f>IFERROR(IF(INDEX(tk_ANCHT,MATCH(141,tk_FSEQ,0))="","",INDEX(tk_ANCHT,MATCH(141,tk_FSEQ,0))&amp;" + "&amp;INDEX(tk_BASEA,MATCH(141,tk_FSEQ,0))),"")</f>
        <v/>
      </c>
      <c r="H146" s="181">
        <f>IFERROR(""&amp;INDEX(tk_FLINE,MATCH(141,tk_FSEQ,0)),"")</f>
        <v/>
      </c>
      <c r="I146" s="181">
        <f>IFERROR(""&amp;INDEX(tk_LOCTXT,MATCH(141,tk_FSEQ,0)),"")</f>
        <v/>
      </c>
      <c r="J146" s="162">
        <f>IFERROR(""&amp;INDEX(tk_FNOTES,MATCH(141,tk_FSEQ,0)),"")</f>
        <v/>
      </c>
    </row>
    <row r="147">
      <c r="A147" s="161">
        <f>IFERROR(""&amp;INDEX(tk_MARK,MATCH(142,tk_FSEQ,0)),"")</f>
        <v/>
      </c>
      <c r="B147" s="162">
        <f>IFERROR(INDEX(tk_QTY,MATCH(142,tk_FSEQ,0)),"")</f>
        <v/>
      </c>
      <c r="C147" s="162">
        <f>IFERROR(INDEX(tk_ROOMF,MATCH(142,tk_FSEQ,0))&amp;IF(INDEX(tk_ROOMT,MATCH(142,tk_FSEQ,0))="",""," → "&amp;INDEX(tk_ROOMT,MATCH(142,tk_FSEQ,0))),"")</f>
        <v/>
      </c>
      <c r="D147" s="162">
        <f>IFERROR(""&amp;INDEX(tk_SIZE,MATCH(142,tk_FSEQ,0)),"")</f>
        <v/>
      </c>
      <c r="E147" s="162">
        <f>IFERROR(""&amp;INDEX(tk_RATING,MATCH(142,tk_FSEQ,0)),"")</f>
        <v/>
      </c>
      <c r="F147" s="162">
        <f>IFERROR(TEXT(INDEX(tk_OAW,MATCH(142,tk_FSEQ,0)),"0.000")&amp;" x "&amp;TEXT(INDEX(tk_OAH,MATCH(142,tk_FSEQ,0)),"0.000"),"")</f>
        <v/>
      </c>
      <c r="G147" s="162">
        <f>IFERROR(IF(INDEX(tk_ANCHT,MATCH(142,tk_FSEQ,0))="","",INDEX(tk_ANCHT,MATCH(142,tk_FSEQ,0))&amp;" + "&amp;INDEX(tk_BASEA,MATCH(142,tk_FSEQ,0))),"")</f>
        <v/>
      </c>
      <c r="H147" s="181">
        <f>IFERROR(""&amp;INDEX(tk_FLINE,MATCH(142,tk_FSEQ,0)),"")</f>
        <v/>
      </c>
      <c r="I147" s="181">
        <f>IFERROR(""&amp;INDEX(tk_LOCTXT,MATCH(142,tk_FSEQ,0)),"")</f>
        <v/>
      </c>
      <c r="J147" s="162">
        <f>IFERROR(""&amp;INDEX(tk_FNOTES,MATCH(142,tk_FSEQ,0)),"")</f>
        <v/>
      </c>
    </row>
    <row r="148">
      <c r="A148" s="161">
        <f>IFERROR(""&amp;INDEX(tk_MARK,MATCH(143,tk_FSEQ,0)),"")</f>
        <v/>
      </c>
      <c r="B148" s="162">
        <f>IFERROR(INDEX(tk_QTY,MATCH(143,tk_FSEQ,0)),"")</f>
        <v/>
      </c>
      <c r="C148" s="162">
        <f>IFERROR(INDEX(tk_ROOMF,MATCH(143,tk_FSEQ,0))&amp;IF(INDEX(tk_ROOMT,MATCH(143,tk_FSEQ,0))="",""," → "&amp;INDEX(tk_ROOMT,MATCH(143,tk_FSEQ,0))),"")</f>
        <v/>
      </c>
      <c r="D148" s="162">
        <f>IFERROR(""&amp;INDEX(tk_SIZE,MATCH(143,tk_FSEQ,0)),"")</f>
        <v/>
      </c>
      <c r="E148" s="162">
        <f>IFERROR(""&amp;INDEX(tk_RATING,MATCH(143,tk_FSEQ,0)),"")</f>
        <v/>
      </c>
      <c r="F148" s="162">
        <f>IFERROR(TEXT(INDEX(tk_OAW,MATCH(143,tk_FSEQ,0)),"0.000")&amp;" x "&amp;TEXT(INDEX(tk_OAH,MATCH(143,tk_FSEQ,0)),"0.000"),"")</f>
        <v/>
      </c>
      <c r="G148" s="162">
        <f>IFERROR(IF(INDEX(tk_ANCHT,MATCH(143,tk_FSEQ,0))="","",INDEX(tk_ANCHT,MATCH(143,tk_FSEQ,0))&amp;" + "&amp;INDEX(tk_BASEA,MATCH(143,tk_FSEQ,0))),"")</f>
        <v/>
      </c>
      <c r="H148" s="181">
        <f>IFERROR(""&amp;INDEX(tk_FLINE,MATCH(143,tk_FSEQ,0)),"")</f>
        <v/>
      </c>
      <c r="I148" s="181">
        <f>IFERROR(""&amp;INDEX(tk_LOCTXT,MATCH(143,tk_FSEQ,0)),"")</f>
        <v/>
      </c>
      <c r="J148" s="162">
        <f>IFERROR(""&amp;INDEX(tk_FNOTES,MATCH(143,tk_FSEQ,0)),"")</f>
        <v/>
      </c>
    </row>
    <row r="149">
      <c r="A149" s="161">
        <f>IFERROR(""&amp;INDEX(tk_MARK,MATCH(144,tk_FSEQ,0)),"")</f>
        <v/>
      </c>
      <c r="B149" s="162">
        <f>IFERROR(INDEX(tk_QTY,MATCH(144,tk_FSEQ,0)),"")</f>
        <v/>
      </c>
      <c r="C149" s="162">
        <f>IFERROR(INDEX(tk_ROOMF,MATCH(144,tk_FSEQ,0))&amp;IF(INDEX(tk_ROOMT,MATCH(144,tk_FSEQ,0))="",""," → "&amp;INDEX(tk_ROOMT,MATCH(144,tk_FSEQ,0))),"")</f>
        <v/>
      </c>
      <c r="D149" s="162">
        <f>IFERROR(""&amp;INDEX(tk_SIZE,MATCH(144,tk_FSEQ,0)),"")</f>
        <v/>
      </c>
      <c r="E149" s="162">
        <f>IFERROR(""&amp;INDEX(tk_RATING,MATCH(144,tk_FSEQ,0)),"")</f>
        <v/>
      </c>
      <c r="F149" s="162">
        <f>IFERROR(TEXT(INDEX(tk_OAW,MATCH(144,tk_FSEQ,0)),"0.000")&amp;" x "&amp;TEXT(INDEX(tk_OAH,MATCH(144,tk_FSEQ,0)),"0.000"),"")</f>
        <v/>
      </c>
      <c r="G149" s="162">
        <f>IFERROR(IF(INDEX(tk_ANCHT,MATCH(144,tk_FSEQ,0))="","",INDEX(tk_ANCHT,MATCH(144,tk_FSEQ,0))&amp;" + "&amp;INDEX(tk_BASEA,MATCH(144,tk_FSEQ,0))),"")</f>
        <v/>
      </c>
      <c r="H149" s="181">
        <f>IFERROR(""&amp;INDEX(tk_FLINE,MATCH(144,tk_FSEQ,0)),"")</f>
        <v/>
      </c>
      <c r="I149" s="181">
        <f>IFERROR(""&amp;INDEX(tk_LOCTXT,MATCH(144,tk_FSEQ,0)),"")</f>
        <v/>
      </c>
      <c r="J149" s="162">
        <f>IFERROR(""&amp;INDEX(tk_FNOTES,MATCH(144,tk_FSEQ,0)),"")</f>
        <v/>
      </c>
    </row>
    <row r="150">
      <c r="A150" s="161">
        <f>IFERROR(""&amp;INDEX(tk_MARK,MATCH(145,tk_FSEQ,0)),"")</f>
        <v/>
      </c>
      <c r="B150" s="162">
        <f>IFERROR(INDEX(tk_QTY,MATCH(145,tk_FSEQ,0)),"")</f>
        <v/>
      </c>
      <c r="C150" s="162">
        <f>IFERROR(INDEX(tk_ROOMF,MATCH(145,tk_FSEQ,0))&amp;IF(INDEX(tk_ROOMT,MATCH(145,tk_FSEQ,0))="",""," → "&amp;INDEX(tk_ROOMT,MATCH(145,tk_FSEQ,0))),"")</f>
        <v/>
      </c>
      <c r="D150" s="162">
        <f>IFERROR(""&amp;INDEX(tk_SIZE,MATCH(145,tk_FSEQ,0)),"")</f>
        <v/>
      </c>
      <c r="E150" s="162">
        <f>IFERROR(""&amp;INDEX(tk_RATING,MATCH(145,tk_FSEQ,0)),"")</f>
        <v/>
      </c>
      <c r="F150" s="162">
        <f>IFERROR(TEXT(INDEX(tk_OAW,MATCH(145,tk_FSEQ,0)),"0.000")&amp;" x "&amp;TEXT(INDEX(tk_OAH,MATCH(145,tk_FSEQ,0)),"0.000"),"")</f>
        <v/>
      </c>
      <c r="G150" s="162">
        <f>IFERROR(IF(INDEX(tk_ANCHT,MATCH(145,tk_FSEQ,0))="","",INDEX(tk_ANCHT,MATCH(145,tk_FSEQ,0))&amp;" + "&amp;INDEX(tk_BASEA,MATCH(145,tk_FSEQ,0))),"")</f>
        <v/>
      </c>
      <c r="H150" s="181">
        <f>IFERROR(""&amp;INDEX(tk_FLINE,MATCH(145,tk_FSEQ,0)),"")</f>
        <v/>
      </c>
      <c r="I150" s="181">
        <f>IFERROR(""&amp;INDEX(tk_LOCTXT,MATCH(145,tk_FSEQ,0)),"")</f>
        <v/>
      </c>
      <c r="J150" s="162">
        <f>IFERROR(""&amp;INDEX(tk_FNOTES,MATCH(145,tk_FSEQ,0)),"")</f>
        <v/>
      </c>
    </row>
    <row r="151">
      <c r="A151" s="161">
        <f>IFERROR(""&amp;INDEX(tk_MARK,MATCH(146,tk_FSEQ,0)),"")</f>
        <v/>
      </c>
      <c r="B151" s="162">
        <f>IFERROR(INDEX(tk_QTY,MATCH(146,tk_FSEQ,0)),"")</f>
        <v/>
      </c>
      <c r="C151" s="162">
        <f>IFERROR(INDEX(tk_ROOMF,MATCH(146,tk_FSEQ,0))&amp;IF(INDEX(tk_ROOMT,MATCH(146,tk_FSEQ,0))="",""," → "&amp;INDEX(tk_ROOMT,MATCH(146,tk_FSEQ,0))),"")</f>
        <v/>
      </c>
      <c r="D151" s="162">
        <f>IFERROR(""&amp;INDEX(tk_SIZE,MATCH(146,tk_FSEQ,0)),"")</f>
        <v/>
      </c>
      <c r="E151" s="162">
        <f>IFERROR(""&amp;INDEX(tk_RATING,MATCH(146,tk_FSEQ,0)),"")</f>
        <v/>
      </c>
      <c r="F151" s="162">
        <f>IFERROR(TEXT(INDEX(tk_OAW,MATCH(146,tk_FSEQ,0)),"0.000")&amp;" x "&amp;TEXT(INDEX(tk_OAH,MATCH(146,tk_FSEQ,0)),"0.000"),"")</f>
        <v/>
      </c>
      <c r="G151" s="162">
        <f>IFERROR(IF(INDEX(tk_ANCHT,MATCH(146,tk_FSEQ,0))="","",INDEX(tk_ANCHT,MATCH(146,tk_FSEQ,0))&amp;" + "&amp;INDEX(tk_BASEA,MATCH(146,tk_FSEQ,0))),"")</f>
        <v/>
      </c>
      <c r="H151" s="181">
        <f>IFERROR(""&amp;INDEX(tk_FLINE,MATCH(146,tk_FSEQ,0)),"")</f>
        <v/>
      </c>
      <c r="I151" s="181">
        <f>IFERROR(""&amp;INDEX(tk_LOCTXT,MATCH(146,tk_FSEQ,0)),"")</f>
        <v/>
      </c>
      <c r="J151" s="162">
        <f>IFERROR(""&amp;INDEX(tk_FNOTES,MATCH(146,tk_FSEQ,0)),"")</f>
        <v/>
      </c>
    </row>
    <row r="152">
      <c r="A152" s="161">
        <f>IFERROR(""&amp;INDEX(tk_MARK,MATCH(147,tk_FSEQ,0)),"")</f>
        <v/>
      </c>
      <c r="B152" s="162">
        <f>IFERROR(INDEX(tk_QTY,MATCH(147,tk_FSEQ,0)),"")</f>
        <v/>
      </c>
      <c r="C152" s="162">
        <f>IFERROR(INDEX(tk_ROOMF,MATCH(147,tk_FSEQ,0))&amp;IF(INDEX(tk_ROOMT,MATCH(147,tk_FSEQ,0))="",""," → "&amp;INDEX(tk_ROOMT,MATCH(147,tk_FSEQ,0))),"")</f>
        <v/>
      </c>
      <c r="D152" s="162">
        <f>IFERROR(""&amp;INDEX(tk_SIZE,MATCH(147,tk_FSEQ,0)),"")</f>
        <v/>
      </c>
      <c r="E152" s="162">
        <f>IFERROR(""&amp;INDEX(tk_RATING,MATCH(147,tk_FSEQ,0)),"")</f>
        <v/>
      </c>
      <c r="F152" s="162">
        <f>IFERROR(TEXT(INDEX(tk_OAW,MATCH(147,tk_FSEQ,0)),"0.000")&amp;" x "&amp;TEXT(INDEX(tk_OAH,MATCH(147,tk_FSEQ,0)),"0.000"),"")</f>
        <v/>
      </c>
      <c r="G152" s="162">
        <f>IFERROR(IF(INDEX(tk_ANCHT,MATCH(147,tk_FSEQ,0))="","",INDEX(tk_ANCHT,MATCH(147,tk_FSEQ,0))&amp;" + "&amp;INDEX(tk_BASEA,MATCH(147,tk_FSEQ,0))),"")</f>
        <v/>
      </c>
      <c r="H152" s="181">
        <f>IFERROR(""&amp;INDEX(tk_FLINE,MATCH(147,tk_FSEQ,0)),"")</f>
        <v/>
      </c>
      <c r="I152" s="181">
        <f>IFERROR(""&amp;INDEX(tk_LOCTXT,MATCH(147,tk_FSEQ,0)),"")</f>
        <v/>
      </c>
      <c r="J152" s="162">
        <f>IFERROR(""&amp;INDEX(tk_FNOTES,MATCH(147,tk_FSEQ,0)),"")</f>
        <v/>
      </c>
    </row>
    <row r="153">
      <c r="A153" s="161">
        <f>IFERROR(""&amp;INDEX(tk_MARK,MATCH(148,tk_FSEQ,0)),"")</f>
        <v/>
      </c>
      <c r="B153" s="162">
        <f>IFERROR(INDEX(tk_QTY,MATCH(148,tk_FSEQ,0)),"")</f>
        <v/>
      </c>
      <c r="C153" s="162">
        <f>IFERROR(INDEX(tk_ROOMF,MATCH(148,tk_FSEQ,0))&amp;IF(INDEX(tk_ROOMT,MATCH(148,tk_FSEQ,0))="",""," → "&amp;INDEX(tk_ROOMT,MATCH(148,tk_FSEQ,0))),"")</f>
        <v/>
      </c>
      <c r="D153" s="162">
        <f>IFERROR(""&amp;INDEX(tk_SIZE,MATCH(148,tk_FSEQ,0)),"")</f>
        <v/>
      </c>
      <c r="E153" s="162">
        <f>IFERROR(""&amp;INDEX(tk_RATING,MATCH(148,tk_FSEQ,0)),"")</f>
        <v/>
      </c>
      <c r="F153" s="162">
        <f>IFERROR(TEXT(INDEX(tk_OAW,MATCH(148,tk_FSEQ,0)),"0.000")&amp;" x "&amp;TEXT(INDEX(tk_OAH,MATCH(148,tk_FSEQ,0)),"0.000"),"")</f>
        <v/>
      </c>
      <c r="G153" s="162">
        <f>IFERROR(IF(INDEX(tk_ANCHT,MATCH(148,tk_FSEQ,0))="","",INDEX(tk_ANCHT,MATCH(148,tk_FSEQ,0))&amp;" + "&amp;INDEX(tk_BASEA,MATCH(148,tk_FSEQ,0))),"")</f>
        <v/>
      </c>
      <c r="H153" s="181">
        <f>IFERROR(""&amp;INDEX(tk_FLINE,MATCH(148,tk_FSEQ,0)),"")</f>
        <v/>
      </c>
      <c r="I153" s="181">
        <f>IFERROR(""&amp;INDEX(tk_LOCTXT,MATCH(148,tk_FSEQ,0)),"")</f>
        <v/>
      </c>
      <c r="J153" s="162">
        <f>IFERROR(""&amp;INDEX(tk_FNOTES,MATCH(148,tk_FSEQ,0)),"")</f>
        <v/>
      </c>
    </row>
    <row r="154">
      <c r="A154" s="161">
        <f>IFERROR(""&amp;INDEX(tk_MARK,MATCH(149,tk_FSEQ,0)),"")</f>
        <v/>
      </c>
      <c r="B154" s="162">
        <f>IFERROR(INDEX(tk_QTY,MATCH(149,tk_FSEQ,0)),"")</f>
        <v/>
      </c>
      <c r="C154" s="162">
        <f>IFERROR(INDEX(tk_ROOMF,MATCH(149,tk_FSEQ,0))&amp;IF(INDEX(tk_ROOMT,MATCH(149,tk_FSEQ,0))="",""," → "&amp;INDEX(tk_ROOMT,MATCH(149,tk_FSEQ,0))),"")</f>
        <v/>
      </c>
      <c r="D154" s="162">
        <f>IFERROR(""&amp;INDEX(tk_SIZE,MATCH(149,tk_FSEQ,0)),"")</f>
        <v/>
      </c>
      <c r="E154" s="162">
        <f>IFERROR(""&amp;INDEX(tk_RATING,MATCH(149,tk_FSEQ,0)),"")</f>
        <v/>
      </c>
      <c r="F154" s="162">
        <f>IFERROR(TEXT(INDEX(tk_OAW,MATCH(149,tk_FSEQ,0)),"0.000")&amp;" x "&amp;TEXT(INDEX(tk_OAH,MATCH(149,tk_FSEQ,0)),"0.000"),"")</f>
        <v/>
      </c>
      <c r="G154" s="162">
        <f>IFERROR(IF(INDEX(tk_ANCHT,MATCH(149,tk_FSEQ,0))="","",INDEX(tk_ANCHT,MATCH(149,tk_FSEQ,0))&amp;" + "&amp;INDEX(tk_BASEA,MATCH(149,tk_FSEQ,0))),"")</f>
        <v/>
      </c>
      <c r="H154" s="181">
        <f>IFERROR(""&amp;INDEX(tk_FLINE,MATCH(149,tk_FSEQ,0)),"")</f>
        <v/>
      </c>
      <c r="I154" s="181">
        <f>IFERROR(""&amp;INDEX(tk_LOCTXT,MATCH(149,tk_FSEQ,0)),"")</f>
        <v/>
      </c>
      <c r="J154" s="162">
        <f>IFERROR(""&amp;INDEX(tk_FNOTES,MATCH(149,tk_FSEQ,0)),"")</f>
        <v/>
      </c>
    </row>
    <row r="155">
      <c r="A155" s="161">
        <f>IFERROR(""&amp;INDEX(tk_MARK,MATCH(150,tk_FSEQ,0)),"")</f>
        <v/>
      </c>
      <c r="B155" s="162">
        <f>IFERROR(INDEX(tk_QTY,MATCH(150,tk_FSEQ,0)),"")</f>
        <v/>
      </c>
      <c r="C155" s="162">
        <f>IFERROR(INDEX(tk_ROOMF,MATCH(150,tk_FSEQ,0))&amp;IF(INDEX(tk_ROOMT,MATCH(150,tk_FSEQ,0))="",""," → "&amp;INDEX(tk_ROOMT,MATCH(150,tk_FSEQ,0))),"")</f>
        <v/>
      </c>
      <c r="D155" s="162">
        <f>IFERROR(""&amp;INDEX(tk_SIZE,MATCH(150,tk_FSEQ,0)),"")</f>
        <v/>
      </c>
      <c r="E155" s="162">
        <f>IFERROR(""&amp;INDEX(tk_RATING,MATCH(150,tk_FSEQ,0)),"")</f>
        <v/>
      </c>
      <c r="F155" s="162">
        <f>IFERROR(TEXT(INDEX(tk_OAW,MATCH(150,tk_FSEQ,0)),"0.000")&amp;" x "&amp;TEXT(INDEX(tk_OAH,MATCH(150,tk_FSEQ,0)),"0.000"),"")</f>
        <v/>
      </c>
      <c r="G155" s="162">
        <f>IFERROR(IF(INDEX(tk_ANCHT,MATCH(150,tk_FSEQ,0))="","",INDEX(tk_ANCHT,MATCH(150,tk_FSEQ,0))&amp;" + "&amp;INDEX(tk_BASEA,MATCH(150,tk_FSEQ,0))),"")</f>
        <v/>
      </c>
      <c r="H155" s="181">
        <f>IFERROR(""&amp;INDEX(tk_FLINE,MATCH(150,tk_FSEQ,0)),"")</f>
        <v/>
      </c>
      <c r="I155" s="181">
        <f>IFERROR(""&amp;INDEX(tk_LOCTXT,MATCH(150,tk_FSEQ,0)),"")</f>
        <v/>
      </c>
      <c r="J155" s="162">
        <f>IFERROR(""&amp;INDEX(tk_FNOTES,MATCH(150,tk_FSEQ,0)),"")</f>
        <v/>
      </c>
    </row>
    <row r="156">
      <c r="A156" s="161">
        <f>IFERROR(""&amp;INDEX(tk_MARK,MATCH(151,tk_FSEQ,0)),"")</f>
        <v/>
      </c>
      <c r="B156" s="162">
        <f>IFERROR(INDEX(tk_QTY,MATCH(151,tk_FSEQ,0)),"")</f>
        <v/>
      </c>
      <c r="C156" s="162">
        <f>IFERROR(INDEX(tk_ROOMF,MATCH(151,tk_FSEQ,0))&amp;IF(INDEX(tk_ROOMT,MATCH(151,tk_FSEQ,0))="",""," → "&amp;INDEX(tk_ROOMT,MATCH(151,tk_FSEQ,0))),"")</f>
        <v/>
      </c>
      <c r="D156" s="162">
        <f>IFERROR(""&amp;INDEX(tk_SIZE,MATCH(151,tk_FSEQ,0)),"")</f>
        <v/>
      </c>
      <c r="E156" s="162">
        <f>IFERROR(""&amp;INDEX(tk_RATING,MATCH(151,tk_FSEQ,0)),"")</f>
        <v/>
      </c>
      <c r="F156" s="162">
        <f>IFERROR(TEXT(INDEX(tk_OAW,MATCH(151,tk_FSEQ,0)),"0.000")&amp;" x "&amp;TEXT(INDEX(tk_OAH,MATCH(151,tk_FSEQ,0)),"0.000"),"")</f>
        <v/>
      </c>
      <c r="G156" s="162">
        <f>IFERROR(IF(INDEX(tk_ANCHT,MATCH(151,tk_FSEQ,0))="","",INDEX(tk_ANCHT,MATCH(151,tk_FSEQ,0))&amp;" + "&amp;INDEX(tk_BASEA,MATCH(151,tk_FSEQ,0))),"")</f>
        <v/>
      </c>
      <c r="H156" s="181">
        <f>IFERROR(""&amp;INDEX(tk_FLINE,MATCH(151,tk_FSEQ,0)),"")</f>
        <v/>
      </c>
      <c r="I156" s="181">
        <f>IFERROR(""&amp;INDEX(tk_LOCTXT,MATCH(151,tk_FSEQ,0)),"")</f>
        <v/>
      </c>
      <c r="J156" s="162">
        <f>IFERROR(""&amp;INDEX(tk_FNOTES,MATCH(151,tk_FSEQ,0)),"")</f>
        <v/>
      </c>
    </row>
    <row r="157">
      <c r="A157" s="161">
        <f>IFERROR(""&amp;INDEX(tk_MARK,MATCH(152,tk_FSEQ,0)),"")</f>
        <v/>
      </c>
      <c r="B157" s="162">
        <f>IFERROR(INDEX(tk_QTY,MATCH(152,tk_FSEQ,0)),"")</f>
        <v/>
      </c>
      <c r="C157" s="162">
        <f>IFERROR(INDEX(tk_ROOMF,MATCH(152,tk_FSEQ,0))&amp;IF(INDEX(tk_ROOMT,MATCH(152,tk_FSEQ,0))="",""," → "&amp;INDEX(tk_ROOMT,MATCH(152,tk_FSEQ,0))),"")</f>
        <v/>
      </c>
      <c r="D157" s="162">
        <f>IFERROR(""&amp;INDEX(tk_SIZE,MATCH(152,tk_FSEQ,0)),"")</f>
        <v/>
      </c>
      <c r="E157" s="162">
        <f>IFERROR(""&amp;INDEX(tk_RATING,MATCH(152,tk_FSEQ,0)),"")</f>
        <v/>
      </c>
      <c r="F157" s="162">
        <f>IFERROR(TEXT(INDEX(tk_OAW,MATCH(152,tk_FSEQ,0)),"0.000")&amp;" x "&amp;TEXT(INDEX(tk_OAH,MATCH(152,tk_FSEQ,0)),"0.000"),"")</f>
        <v/>
      </c>
      <c r="G157" s="162">
        <f>IFERROR(IF(INDEX(tk_ANCHT,MATCH(152,tk_FSEQ,0))="","",INDEX(tk_ANCHT,MATCH(152,tk_FSEQ,0))&amp;" + "&amp;INDEX(tk_BASEA,MATCH(152,tk_FSEQ,0))),"")</f>
        <v/>
      </c>
      <c r="H157" s="181">
        <f>IFERROR(""&amp;INDEX(tk_FLINE,MATCH(152,tk_FSEQ,0)),"")</f>
        <v/>
      </c>
      <c r="I157" s="181">
        <f>IFERROR(""&amp;INDEX(tk_LOCTXT,MATCH(152,tk_FSEQ,0)),"")</f>
        <v/>
      </c>
      <c r="J157" s="162">
        <f>IFERROR(""&amp;INDEX(tk_FNOTES,MATCH(152,tk_FSEQ,0)),"")</f>
        <v/>
      </c>
    </row>
    <row r="158">
      <c r="A158" s="161">
        <f>IFERROR(""&amp;INDEX(tk_MARK,MATCH(153,tk_FSEQ,0)),"")</f>
        <v/>
      </c>
      <c r="B158" s="162">
        <f>IFERROR(INDEX(tk_QTY,MATCH(153,tk_FSEQ,0)),"")</f>
        <v/>
      </c>
      <c r="C158" s="162">
        <f>IFERROR(INDEX(tk_ROOMF,MATCH(153,tk_FSEQ,0))&amp;IF(INDEX(tk_ROOMT,MATCH(153,tk_FSEQ,0))="",""," → "&amp;INDEX(tk_ROOMT,MATCH(153,tk_FSEQ,0))),"")</f>
        <v/>
      </c>
      <c r="D158" s="162">
        <f>IFERROR(""&amp;INDEX(tk_SIZE,MATCH(153,tk_FSEQ,0)),"")</f>
        <v/>
      </c>
      <c r="E158" s="162">
        <f>IFERROR(""&amp;INDEX(tk_RATING,MATCH(153,tk_FSEQ,0)),"")</f>
        <v/>
      </c>
      <c r="F158" s="162">
        <f>IFERROR(TEXT(INDEX(tk_OAW,MATCH(153,tk_FSEQ,0)),"0.000")&amp;" x "&amp;TEXT(INDEX(tk_OAH,MATCH(153,tk_FSEQ,0)),"0.000"),"")</f>
        <v/>
      </c>
      <c r="G158" s="162">
        <f>IFERROR(IF(INDEX(tk_ANCHT,MATCH(153,tk_FSEQ,0))="","",INDEX(tk_ANCHT,MATCH(153,tk_FSEQ,0))&amp;" + "&amp;INDEX(tk_BASEA,MATCH(153,tk_FSEQ,0))),"")</f>
        <v/>
      </c>
      <c r="H158" s="181">
        <f>IFERROR(""&amp;INDEX(tk_FLINE,MATCH(153,tk_FSEQ,0)),"")</f>
        <v/>
      </c>
      <c r="I158" s="181">
        <f>IFERROR(""&amp;INDEX(tk_LOCTXT,MATCH(153,tk_FSEQ,0)),"")</f>
        <v/>
      </c>
      <c r="J158" s="162">
        <f>IFERROR(""&amp;INDEX(tk_FNOTES,MATCH(153,tk_FSEQ,0)),"")</f>
        <v/>
      </c>
    </row>
    <row r="159">
      <c r="A159" s="161">
        <f>IFERROR(""&amp;INDEX(tk_MARK,MATCH(154,tk_FSEQ,0)),"")</f>
        <v/>
      </c>
      <c r="B159" s="162">
        <f>IFERROR(INDEX(tk_QTY,MATCH(154,tk_FSEQ,0)),"")</f>
        <v/>
      </c>
      <c r="C159" s="162">
        <f>IFERROR(INDEX(tk_ROOMF,MATCH(154,tk_FSEQ,0))&amp;IF(INDEX(tk_ROOMT,MATCH(154,tk_FSEQ,0))="",""," → "&amp;INDEX(tk_ROOMT,MATCH(154,tk_FSEQ,0))),"")</f>
        <v/>
      </c>
      <c r="D159" s="162">
        <f>IFERROR(""&amp;INDEX(tk_SIZE,MATCH(154,tk_FSEQ,0)),"")</f>
        <v/>
      </c>
      <c r="E159" s="162">
        <f>IFERROR(""&amp;INDEX(tk_RATING,MATCH(154,tk_FSEQ,0)),"")</f>
        <v/>
      </c>
      <c r="F159" s="162">
        <f>IFERROR(TEXT(INDEX(tk_OAW,MATCH(154,tk_FSEQ,0)),"0.000")&amp;" x "&amp;TEXT(INDEX(tk_OAH,MATCH(154,tk_FSEQ,0)),"0.000"),"")</f>
        <v/>
      </c>
      <c r="G159" s="162">
        <f>IFERROR(IF(INDEX(tk_ANCHT,MATCH(154,tk_FSEQ,0))="","",INDEX(tk_ANCHT,MATCH(154,tk_FSEQ,0))&amp;" + "&amp;INDEX(tk_BASEA,MATCH(154,tk_FSEQ,0))),"")</f>
        <v/>
      </c>
      <c r="H159" s="181">
        <f>IFERROR(""&amp;INDEX(tk_FLINE,MATCH(154,tk_FSEQ,0)),"")</f>
        <v/>
      </c>
      <c r="I159" s="181">
        <f>IFERROR(""&amp;INDEX(tk_LOCTXT,MATCH(154,tk_FSEQ,0)),"")</f>
        <v/>
      </c>
      <c r="J159" s="162">
        <f>IFERROR(""&amp;INDEX(tk_FNOTES,MATCH(154,tk_FSEQ,0)),"")</f>
        <v/>
      </c>
    </row>
    <row r="160">
      <c r="A160" s="161">
        <f>IFERROR(""&amp;INDEX(tk_MARK,MATCH(155,tk_FSEQ,0)),"")</f>
        <v/>
      </c>
      <c r="B160" s="162">
        <f>IFERROR(INDEX(tk_QTY,MATCH(155,tk_FSEQ,0)),"")</f>
        <v/>
      </c>
      <c r="C160" s="162">
        <f>IFERROR(INDEX(tk_ROOMF,MATCH(155,tk_FSEQ,0))&amp;IF(INDEX(tk_ROOMT,MATCH(155,tk_FSEQ,0))="",""," → "&amp;INDEX(tk_ROOMT,MATCH(155,tk_FSEQ,0))),"")</f>
        <v/>
      </c>
      <c r="D160" s="162">
        <f>IFERROR(""&amp;INDEX(tk_SIZE,MATCH(155,tk_FSEQ,0)),"")</f>
        <v/>
      </c>
      <c r="E160" s="162">
        <f>IFERROR(""&amp;INDEX(tk_RATING,MATCH(155,tk_FSEQ,0)),"")</f>
        <v/>
      </c>
      <c r="F160" s="162">
        <f>IFERROR(TEXT(INDEX(tk_OAW,MATCH(155,tk_FSEQ,0)),"0.000")&amp;" x "&amp;TEXT(INDEX(tk_OAH,MATCH(155,tk_FSEQ,0)),"0.000"),"")</f>
        <v/>
      </c>
      <c r="G160" s="162">
        <f>IFERROR(IF(INDEX(tk_ANCHT,MATCH(155,tk_FSEQ,0))="","",INDEX(tk_ANCHT,MATCH(155,tk_FSEQ,0))&amp;" + "&amp;INDEX(tk_BASEA,MATCH(155,tk_FSEQ,0))),"")</f>
        <v/>
      </c>
      <c r="H160" s="181">
        <f>IFERROR(""&amp;INDEX(tk_FLINE,MATCH(155,tk_FSEQ,0)),"")</f>
        <v/>
      </c>
      <c r="I160" s="181">
        <f>IFERROR(""&amp;INDEX(tk_LOCTXT,MATCH(155,tk_FSEQ,0)),"")</f>
        <v/>
      </c>
      <c r="J160" s="162">
        <f>IFERROR(""&amp;INDEX(tk_FNOTES,MATCH(155,tk_FSEQ,0)),"")</f>
        <v/>
      </c>
    </row>
    <row r="161">
      <c r="A161" s="161">
        <f>IFERROR(""&amp;INDEX(tk_MARK,MATCH(156,tk_FSEQ,0)),"")</f>
        <v/>
      </c>
      <c r="B161" s="162">
        <f>IFERROR(INDEX(tk_QTY,MATCH(156,tk_FSEQ,0)),"")</f>
        <v/>
      </c>
      <c r="C161" s="162">
        <f>IFERROR(INDEX(tk_ROOMF,MATCH(156,tk_FSEQ,0))&amp;IF(INDEX(tk_ROOMT,MATCH(156,tk_FSEQ,0))="",""," → "&amp;INDEX(tk_ROOMT,MATCH(156,tk_FSEQ,0))),"")</f>
        <v/>
      </c>
      <c r="D161" s="162">
        <f>IFERROR(""&amp;INDEX(tk_SIZE,MATCH(156,tk_FSEQ,0)),"")</f>
        <v/>
      </c>
      <c r="E161" s="162">
        <f>IFERROR(""&amp;INDEX(tk_RATING,MATCH(156,tk_FSEQ,0)),"")</f>
        <v/>
      </c>
      <c r="F161" s="162">
        <f>IFERROR(TEXT(INDEX(tk_OAW,MATCH(156,tk_FSEQ,0)),"0.000")&amp;" x "&amp;TEXT(INDEX(tk_OAH,MATCH(156,tk_FSEQ,0)),"0.000"),"")</f>
        <v/>
      </c>
      <c r="G161" s="162">
        <f>IFERROR(IF(INDEX(tk_ANCHT,MATCH(156,tk_FSEQ,0))="","",INDEX(tk_ANCHT,MATCH(156,tk_FSEQ,0))&amp;" + "&amp;INDEX(tk_BASEA,MATCH(156,tk_FSEQ,0))),"")</f>
        <v/>
      </c>
      <c r="H161" s="181">
        <f>IFERROR(""&amp;INDEX(tk_FLINE,MATCH(156,tk_FSEQ,0)),"")</f>
        <v/>
      </c>
      <c r="I161" s="181">
        <f>IFERROR(""&amp;INDEX(tk_LOCTXT,MATCH(156,tk_FSEQ,0)),"")</f>
        <v/>
      </c>
      <c r="J161" s="162">
        <f>IFERROR(""&amp;INDEX(tk_FNOTES,MATCH(156,tk_FSEQ,0)),"")</f>
        <v/>
      </c>
    </row>
    <row r="162">
      <c r="A162" s="161">
        <f>IFERROR(""&amp;INDEX(tk_MARK,MATCH(157,tk_FSEQ,0)),"")</f>
        <v/>
      </c>
      <c r="B162" s="162">
        <f>IFERROR(INDEX(tk_QTY,MATCH(157,tk_FSEQ,0)),"")</f>
        <v/>
      </c>
      <c r="C162" s="162">
        <f>IFERROR(INDEX(tk_ROOMF,MATCH(157,tk_FSEQ,0))&amp;IF(INDEX(tk_ROOMT,MATCH(157,tk_FSEQ,0))="",""," → "&amp;INDEX(tk_ROOMT,MATCH(157,tk_FSEQ,0))),"")</f>
        <v/>
      </c>
      <c r="D162" s="162">
        <f>IFERROR(""&amp;INDEX(tk_SIZE,MATCH(157,tk_FSEQ,0)),"")</f>
        <v/>
      </c>
      <c r="E162" s="162">
        <f>IFERROR(""&amp;INDEX(tk_RATING,MATCH(157,tk_FSEQ,0)),"")</f>
        <v/>
      </c>
      <c r="F162" s="162">
        <f>IFERROR(TEXT(INDEX(tk_OAW,MATCH(157,tk_FSEQ,0)),"0.000")&amp;" x "&amp;TEXT(INDEX(tk_OAH,MATCH(157,tk_FSEQ,0)),"0.000"),"")</f>
        <v/>
      </c>
      <c r="G162" s="162">
        <f>IFERROR(IF(INDEX(tk_ANCHT,MATCH(157,tk_FSEQ,0))="","",INDEX(tk_ANCHT,MATCH(157,tk_FSEQ,0))&amp;" + "&amp;INDEX(tk_BASEA,MATCH(157,tk_FSEQ,0))),"")</f>
        <v/>
      </c>
      <c r="H162" s="181">
        <f>IFERROR(""&amp;INDEX(tk_FLINE,MATCH(157,tk_FSEQ,0)),"")</f>
        <v/>
      </c>
      <c r="I162" s="181">
        <f>IFERROR(""&amp;INDEX(tk_LOCTXT,MATCH(157,tk_FSEQ,0)),"")</f>
        <v/>
      </c>
      <c r="J162" s="162">
        <f>IFERROR(""&amp;INDEX(tk_FNOTES,MATCH(157,tk_FSEQ,0)),"")</f>
        <v/>
      </c>
    </row>
    <row r="163">
      <c r="A163" s="161">
        <f>IFERROR(""&amp;INDEX(tk_MARK,MATCH(158,tk_FSEQ,0)),"")</f>
        <v/>
      </c>
      <c r="B163" s="162">
        <f>IFERROR(INDEX(tk_QTY,MATCH(158,tk_FSEQ,0)),"")</f>
        <v/>
      </c>
      <c r="C163" s="162">
        <f>IFERROR(INDEX(tk_ROOMF,MATCH(158,tk_FSEQ,0))&amp;IF(INDEX(tk_ROOMT,MATCH(158,tk_FSEQ,0))="",""," → "&amp;INDEX(tk_ROOMT,MATCH(158,tk_FSEQ,0))),"")</f>
        <v/>
      </c>
      <c r="D163" s="162">
        <f>IFERROR(""&amp;INDEX(tk_SIZE,MATCH(158,tk_FSEQ,0)),"")</f>
        <v/>
      </c>
      <c r="E163" s="162">
        <f>IFERROR(""&amp;INDEX(tk_RATING,MATCH(158,tk_FSEQ,0)),"")</f>
        <v/>
      </c>
      <c r="F163" s="162">
        <f>IFERROR(TEXT(INDEX(tk_OAW,MATCH(158,tk_FSEQ,0)),"0.000")&amp;" x "&amp;TEXT(INDEX(tk_OAH,MATCH(158,tk_FSEQ,0)),"0.000"),"")</f>
        <v/>
      </c>
      <c r="G163" s="162">
        <f>IFERROR(IF(INDEX(tk_ANCHT,MATCH(158,tk_FSEQ,0))="","",INDEX(tk_ANCHT,MATCH(158,tk_FSEQ,0))&amp;" + "&amp;INDEX(tk_BASEA,MATCH(158,tk_FSEQ,0))),"")</f>
        <v/>
      </c>
      <c r="H163" s="181">
        <f>IFERROR(""&amp;INDEX(tk_FLINE,MATCH(158,tk_FSEQ,0)),"")</f>
        <v/>
      </c>
      <c r="I163" s="181">
        <f>IFERROR(""&amp;INDEX(tk_LOCTXT,MATCH(158,tk_FSEQ,0)),"")</f>
        <v/>
      </c>
      <c r="J163" s="162">
        <f>IFERROR(""&amp;INDEX(tk_FNOTES,MATCH(158,tk_FSEQ,0)),"")</f>
        <v/>
      </c>
    </row>
    <row r="164">
      <c r="A164" s="161">
        <f>IFERROR(""&amp;INDEX(tk_MARK,MATCH(159,tk_FSEQ,0)),"")</f>
        <v/>
      </c>
      <c r="B164" s="162">
        <f>IFERROR(INDEX(tk_QTY,MATCH(159,tk_FSEQ,0)),"")</f>
        <v/>
      </c>
      <c r="C164" s="162">
        <f>IFERROR(INDEX(tk_ROOMF,MATCH(159,tk_FSEQ,0))&amp;IF(INDEX(tk_ROOMT,MATCH(159,tk_FSEQ,0))="",""," → "&amp;INDEX(tk_ROOMT,MATCH(159,tk_FSEQ,0))),"")</f>
        <v/>
      </c>
      <c r="D164" s="162">
        <f>IFERROR(""&amp;INDEX(tk_SIZE,MATCH(159,tk_FSEQ,0)),"")</f>
        <v/>
      </c>
      <c r="E164" s="162">
        <f>IFERROR(""&amp;INDEX(tk_RATING,MATCH(159,tk_FSEQ,0)),"")</f>
        <v/>
      </c>
      <c r="F164" s="162">
        <f>IFERROR(TEXT(INDEX(tk_OAW,MATCH(159,tk_FSEQ,0)),"0.000")&amp;" x "&amp;TEXT(INDEX(tk_OAH,MATCH(159,tk_FSEQ,0)),"0.000"),"")</f>
        <v/>
      </c>
      <c r="G164" s="162">
        <f>IFERROR(IF(INDEX(tk_ANCHT,MATCH(159,tk_FSEQ,0))="","",INDEX(tk_ANCHT,MATCH(159,tk_FSEQ,0))&amp;" + "&amp;INDEX(tk_BASEA,MATCH(159,tk_FSEQ,0))),"")</f>
        <v/>
      </c>
      <c r="H164" s="181">
        <f>IFERROR(""&amp;INDEX(tk_FLINE,MATCH(159,tk_FSEQ,0)),"")</f>
        <v/>
      </c>
      <c r="I164" s="181">
        <f>IFERROR(""&amp;INDEX(tk_LOCTXT,MATCH(159,tk_FSEQ,0)),"")</f>
        <v/>
      </c>
      <c r="J164" s="162">
        <f>IFERROR(""&amp;INDEX(tk_FNOTES,MATCH(159,tk_FSEQ,0)),"")</f>
        <v/>
      </c>
    </row>
    <row r="165">
      <c r="A165" s="161">
        <f>IFERROR(""&amp;INDEX(tk_MARK,MATCH(160,tk_FSEQ,0)),"")</f>
        <v/>
      </c>
      <c r="B165" s="162">
        <f>IFERROR(INDEX(tk_QTY,MATCH(160,tk_FSEQ,0)),"")</f>
        <v/>
      </c>
      <c r="C165" s="162">
        <f>IFERROR(INDEX(tk_ROOMF,MATCH(160,tk_FSEQ,0))&amp;IF(INDEX(tk_ROOMT,MATCH(160,tk_FSEQ,0))="",""," → "&amp;INDEX(tk_ROOMT,MATCH(160,tk_FSEQ,0))),"")</f>
        <v/>
      </c>
      <c r="D165" s="162">
        <f>IFERROR(""&amp;INDEX(tk_SIZE,MATCH(160,tk_FSEQ,0)),"")</f>
        <v/>
      </c>
      <c r="E165" s="162">
        <f>IFERROR(""&amp;INDEX(tk_RATING,MATCH(160,tk_FSEQ,0)),"")</f>
        <v/>
      </c>
      <c r="F165" s="162">
        <f>IFERROR(TEXT(INDEX(tk_OAW,MATCH(160,tk_FSEQ,0)),"0.000")&amp;" x "&amp;TEXT(INDEX(tk_OAH,MATCH(160,tk_FSEQ,0)),"0.000"),"")</f>
        <v/>
      </c>
      <c r="G165" s="162">
        <f>IFERROR(IF(INDEX(tk_ANCHT,MATCH(160,tk_FSEQ,0))="","",INDEX(tk_ANCHT,MATCH(160,tk_FSEQ,0))&amp;" + "&amp;INDEX(tk_BASEA,MATCH(160,tk_FSEQ,0))),"")</f>
        <v/>
      </c>
      <c r="H165" s="181">
        <f>IFERROR(""&amp;INDEX(tk_FLINE,MATCH(160,tk_FSEQ,0)),"")</f>
        <v/>
      </c>
      <c r="I165" s="181">
        <f>IFERROR(""&amp;INDEX(tk_LOCTXT,MATCH(160,tk_FSEQ,0)),"")</f>
        <v/>
      </c>
      <c r="J165" s="162">
        <f>IFERROR(""&amp;INDEX(tk_FNOTES,MATCH(160,tk_FSEQ,0)),"")</f>
        <v/>
      </c>
    </row>
    <row r="166">
      <c r="A166" s="161">
        <f>IFERROR(""&amp;INDEX(tk_MARK,MATCH(161,tk_FSEQ,0)),"")</f>
        <v/>
      </c>
      <c r="B166" s="162">
        <f>IFERROR(INDEX(tk_QTY,MATCH(161,tk_FSEQ,0)),"")</f>
        <v/>
      </c>
      <c r="C166" s="162">
        <f>IFERROR(INDEX(tk_ROOMF,MATCH(161,tk_FSEQ,0))&amp;IF(INDEX(tk_ROOMT,MATCH(161,tk_FSEQ,0))="",""," → "&amp;INDEX(tk_ROOMT,MATCH(161,tk_FSEQ,0))),"")</f>
        <v/>
      </c>
      <c r="D166" s="162">
        <f>IFERROR(""&amp;INDEX(tk_SIZE,MATCH(161,tk_FSEQ,0)),"")</f>
        <v/>
      </c>
      <c r="E166" s="162">
        <f>IFERROR(""&amp;INDEX(tk_RATING,MATCH(161,tk_FSEQ,0)),"")</f>
        <v/>
      </c>
      <c r="F166" s="162">
        <f>IFERROR(TEXT(INDEX(tk_OAW,MATCH(161,tk_FSEQ,0)),"0.000")&amp;" x "&amp;TEXT(INDEX(tk_OAH,MATCH(161,tk_FSEQ,0)),"0.000"),"")</f>
        <v/>
      </c>
      <c r="G166" s="162">
        <f>IFERROR(IF(INDEX(tk_ANCHT,MATCH(161,tk_FSEQ,0))="","",INDEX(tk_ANCHT,MATCH(161,tk_FSEQ,0))&amp;" + "&amp;INDEX(tk_BASEA,MATCH(161,tk_FSEQ,0))),"")</f>
        <v/>
      </c>
      <c r="H166" s="181">
        <f>IFERROR(""&amp;INDEX(tk_FLINE,MATCH(161,tk_FSEQ,0)),"")</f>
        <v/>
      </c>
      <c r="I166" s="181">
        <f>IFERROR(""&amp;INDEX(tk_LOCTXT,MATCH(161,tk_FSEQ,0)),"")</f>
        <v/>
      </c>
      <c r="J166" s="162">
        <f>IFERROR(""&amp;INDEX(tk_FNOTES,MATCH(161,tk_FSEQ,0)),"")</f>
        <v/>
      </c>
    </row>
    <row r="167">
      <c r="A167" s="161">
        <f>IFERROR(""&amp;INDEX(tk_MARK,MATCH(162,tk_FSEQ,0)),"")</f>
        <v/>
      </c>
      <c r="B167" s="162">
        <f>IFERROR(INDEX(tk_QTY,MATCH(162,tk_FSEQ,0)),"")</f>
        <v/>
      </c>
      <c r="C167" s="162">
        <f>IFERROR(INDEX(tk_ROOMF,MATCH(162,tk_FSEQ,0))&amp;IF(INDEX(tk_ROOMT,MATCH(162,tk_FSEQ,0))="",""," → "&amp;INDEX(tk_ROOMT,MATCH(162,tk_FSEQ,0))),"")</f>
        <v/>
      </c>
      <c r="D167" s="162">
        <f>IFERROR(""&amp;INDEX(tk_SIZE,MATCH(162,tk_FSEQ,0)),"")</f>
        <v/>
      </c>
      <c r="E167" s="162">
        <f>IFERROR(""&amp;INDEX(tk_RATING,MATCH(162,tk_FSEQ,0)),"")</f>
        <v/>
      </c>
      <c r="F167" s="162">
        <f>IFERROR(TEXT(INDEX(tk_OAW,MATCH(162,tk_FSEQ,0)),"0.000")&amp;" x "&amp;TEXT(INDEX(tk_OAH,MATCH(162,tk_FSEQ,0)),"0.000"),"")</f>
        <v/>
      </c>
      <c r="G167" s="162">
        <f>IFERROR(IF(INDEX(tk_ANCHT,MATCH(162,tk_FSEQ,0))="","",INDEX(tk_ANCHT,MATCH(162,tk_FSEQ,0))&amp;" + "&amp;INDEX(tk_BASEA,MATCH(162,tk_FSEQ,0))),"")</f>
        <v/>
      </c>
      <c r="H167" s="181">
        <f>IFERROR(""&amp;INDEX(tk_FLINE,MATCH(162,tk_FSEQ,0)),"")</f>
        <v/>
      </c>
      <c r="I167" s="181">
        <f>IFERROR(""&amp;INDEX(tk_LOCTXT,MATCH(162,tk_FSEQ,0)),"")</f>
        <v/>
      </c>
      <c r="J167" s="162">
        <f>IFERROR(""&amp;INDEX(tk_FNOTES,MATCH(162,tk_FSEQ,0)),"")</f>
        <v/>
      </c>
    </row>
    <row r="168">
      <c r="A168" s="161">
        <f>IFERROR(""&amp;INDEX(tk_MARK,MATCH(163,tk_FSEQ,0)),"")</f>
        <v/>
      </c>
      <c r="B168" s="162">
        <f>IFERROR(INDEX(tk_QTY,MATCH(163,tk_FSEQ,0)),"")</f>
        <v/>
      </c>
      <c r="C168" s="162">
        <f>IFERROR(INDEX(tk_ROOMF,MATCH(163,tk_FSEQ,0))&amp;IF(INDEX(tk_ROOMT,MATCH(163,tk_FSEQ,0))="",""," → "&amp;INDEX(tk_ROOMT,MATCH(163,tk_FSEQ,0))),"")</f>
        <v/>
      </c>
      <c r="D168" s="162">
        <f>IFERROR(""&amp;INDEX(tk_SIZE,MATCH(163,tk_FSEQ,0)),"")</f>
        <v/>
      </c>
      <c r="E168" s="162">
        <f>IFERROR(""&amp;INDEX(tk_RATING,MATCH(163,tk_FSEQ,0)),"")</f>
        <v/>
      </c>
      <c r="F168" s="162">
        <f>IFERROR(TEXT(INDEX(tk_OAW,MATCH(163,tk_FSEQ,0)),"0.000")&amp;" x "&amp;TEXT(INDEX(tk_OAH,MATCH(163,tk_FSEQ,0)),"0.000"),"")</f>
        <v/>
      </c>
      <c r="G168" s="162">
        <f>IFERROR(IF(INDEX(tk_ANCHT,MATCH(163,tk_FSEQ,0))="","",INDEX(tk_ANCHT,MATCH(163,tk_FSEQ,0))&amp;" + "&amp;INDEX(tk_BASEA,MATCH(163,tk_FSEQ,0))),"")</f>
        <v/>
      </c>
      <c r="H168" s="181">
        <f>IFERROR(""&amp;INDEX(tk_FLINE,MATCH(163,tk_FSEQ,0)),"")</f>
        <v/>
      </c>
      <c r="I168" s="181">
        <f>IFERROR(""&amp;INDEX(tk_LOCTXT,MATCH(163,tk_FSEQ,0)),"")</f>
        <v/>
      </c>
      <c r="J168" s="162">
        <f>IFERROR(""&amp;INDEX(tk_FNOTES,MATCH(163,tk_FSEQ,0)),"")</f>
        <v/>
      </c>
    </row>
    <row r="169">
      <c r="A169" s="161">
        <f>IFERROR(""&amp;INDEX(tk_MARK,MATCH(164,tk_FSEQ,0)),"")</f>
        <v/>
      </c>
      <c r="B169" s="162">
        <f>IFERROR(INDEX(tk_QTY,MATCH(164,tk_FSEQ,0)),"")</f>
        <v/>
      </c>
      <c r="C169" s="162">
        <f>IFERROR(INDEX(tk_ROOMF,MATCH(164,tk_FSEQ,0))&amp;IF(INDEX(tk_ROOMT,MATCH(164,tk_FSEQ,0))="",""," → "&amp;INDEX(tk_ROOMT,MATCH(164,tk_FSEQ,0))),"")</f>
        <v/>
      </c>
      <c r="D169" s="162">
        <f>IFERROR(""&amp;INDEX(tk_SIZE,MATCH(164,tk_FSEQ,0)),"")</f>
        <v/>
      </c>
      <c r="E169" s="162">
        <f>IFERROR(""&amp;INDEX(tk_RATING,MATCH(164,tk_FSEQ,0)),"")</f>
        <v/>
      </c>
      <c r="F169" s="162">
        <f>IFERROR(TEXT(INDEX(tk_OAW,MATCH(164,tk_FSEQ,0)),"0.000")&amp;" x "&amp;TEXT(INDEX(tk_OAH,MATCH(164,tk_FSEQ,0)),"0.000"),"")</f>
        <v/>
      </c>
      <c r="G169" s="162">
        <f>IFERROR(IF(INDEX(tk_ANCHT,MATCH(164,tk_FSEQ,0))="","",INDEX(tk_ANCHT,MATCH(164,tk_FSEQ,0))&amp;" + "&amp;INDEX(tk_BASEA,MATCH(164,tk_FSEQ,0))),"")</f>
        <v/>
      </c>
      <c r="H169" s="181">
        <f>IFERROR(""&amp;INDEX(tk_FLINE,MATCH(164,tk_FSEQ,0)),"")</f>
        <v/>
      </c>
      <c r="I169" s="181">
        <f>IFERROR(""&amp;INDEX(tk_LOCTXT,MATCH(164,tk_FSEQ,0)),"")</f>
        <v/>
      </c>
      <c r="J169" s="162">
        <f>IFERROR(""&amp;INDEX(tk_FNOTES,MATCH(164,tk_FSEQ,0)),"")</f>
        <v/>
      </c>
    </row>
    <row r="170">
      <c r="A170" s="161">
        <f>IFERROR(""&amp;INDEX(tk_MARK,MATCH(165,tk_FSEQ,0)),"")</f>
        <v/>
      </c>
      <c r="B170" s="162">
        <f>IFERROR(INDEX(tk_QTY,MATCH(165,tk_FSEQ,0)),"")</f>
        <v/>
      </c>
      <c r="C170" s="162">
        <f>IFERROR(INDEX(tk_ROOMF,MATCH(165,tk_FSEQ,0))&amp;IF(INDEX(tk_ROOMT,MATCH(165,tk_FSEQ,0))="",""," → "&amp;INDEX(tk_ROOMT,MATCH(165,tk_FSEQ,0))),"")</f>
        <v/>
      </c>
      <c r="D170" s="162">
        <f>IFERROR(""&amp;INDEX(tk_SIZE,MATCH(165,tk_FSEQ,0)),"")</f>
        <v/>
      </c>
      <c r="E170" s="162">
        <f>IFERROR(""&amp;INDEX(tk_RATING,MATCH(165,tk_FSEQ,0)),"")</f>
        <v/>
      </c>
      <c r="F170" s="162">
        <f>IFERROR(TEXT(INDEX(tk_OAW,MATCH(165,tk_FSEQ,0)),"0.000")&amp;" x "&amp;TEXT(INDEX(tk_OAH,MATCH(165,tk_FSEQ,0)),"0.000"),"")</f>
        <v/>
      </c>
      <c r="G170" s="162">
        <f>IFERROR(IF(INDEX(tk_ANCHT,MATCH(165,tk_FSEQ,0))="","",INDEX(tk_ANCHT,MATCH(165,tk_FSEQ,0))&amp;" + "&amp;INDEX(tk_BASEA,MATCH(165,tk_FSEQ,0))),"")</f>
        <v/>
      </c>
      <c r="H170" s="181">
        <f>IFERROR(""&amp;INDEX(tk_FLINE,MATCH(165,tk_FSEQ,0)),"")</f>
        <v/>
      </c>
      <c r="I170" s="181">
        <f>IFERROR(""&amp;INDEX(tk_LOCTXT,MATCH(165,tk_FSEQ,0)),"")</f>
        <v/>
      </c>
      <c r="J170" s="162">
        <f>IFERROR(""&amp;INDEX(tk_FNOTES,MATCH(165,tk_FSEQ,0)),"")</f>
        <v/>
      </c>
    </row>
    <row r="171">
      <c r="A171" s="161">
        <f>IFERROR(""&amp;INDEX(tk_MARK,MATCH(166,tk_FSEQ,0)),"")</f>
        <v/>
      </c>
      <c r="B171" s="162">
        <f>IFERROR(INDEX(tk_QTY,MATCH(166,tk_FSEQ,0)),"")</f>
        <v/>
      </c>
      <c r="C171" s="162">
        <f>IFERROR(INDEX(tk_ROOMF,MATCH(166,tk_FSEQ,0))&amp;IF(INDEX(tk_ROOMT,MATCH(166,tk_FSEQ,0))="",""," → "&amp;INDEX(tk_ROOMT,MATCH(166,tk_FSEQ,0))),"")</f>
        <v/>
      </c>
      <c r="D171" s="162">
        <f>IFERROR(""&amp;INDEX(tk_SIZE,MATCH(166,tk_FSEQ,0)),"")</f>
        <v/>
      </c>
      <c r="E171" s="162">
        <f>IFERROR(""&amp;INDEX(tk_RATING,MATCH(166,tk_FSEQ,0)),"")</f>
        <v/>
      </c>
      <c r="F171" s="162">
        <f>IFERROR(TEXT(INDEX(tk_OAW,MATCH(166,tk_FSEQ,0)),"0.000")&amp;" x "&amp;TEXT(INDEX(tk_OAH,MATCH(166,tk_FSEQ,0)),"0.000"),"")</f>
        <v/>
      </c>
      <c r="G171" s="162">
        <f>IFERROR(IF(INDEX(tk_ANCHT,MATCH(166,tk_FSEQ,0))="","",INDEX(tk_ANCHT,MATCH(166,tk_FSEQ,0))&amp;" + "&amp;INDEX(tk_BASEA,MATCH(166,tk_FSEQ,0))),"")</f>
        <v/>
      </c>
      <c r="H171" s="181">
        <f>IFERROR(""&amp;INDEX(tk_FLINE,MATCH(166,tk_FSEQ,0)),"")</f>
        <v/>
      </c>
      <c r="I171" s="181">
        <f>IFERROR(""&amp;INDEX(tk_LOCTXT,MATCH(166,tk_FSEQ,0)),"")</f>
        <v/>
      </c>
      <c r="J171" s="162">
        <f>IFERROR(""&amp;INDEX(tk_FNOTES,MATCH(166,tk_FSEQ,0)),"")</f>
        <v/>
      </c>
    </row>
    <row r="172">
      <c r="A172" s="161">
        <f>IFERROR(""&amp;INDEX(tk_MARK,MATCH(167,tk_FSEQ,0)),"")</f>
        <v/>
      </c>
      <c r="B172" s="162">
        <f>IFERROR(INDEX(tk_QTY,MATCH(167,tk_FSEQ,0)),"")</f>
        <v/>
      </c>
      <c r="C172" s="162">
        <f>IFERROR(INDEX(tk_ROOMF,MATCH(167,tk_FSEQ,0))&amp;IF(INDEX(tk_ROOMT,MATCH(167,tk_FSEQ,0))="",""," → "&amp;INDEX(tk_ROOMT,MATCH(167,tk_FSEQ,0))),"")</f>
        <v/>
      </c>
      <c r="D172" s="162">
        <f>IFERROR(""&amp;INDEX(tk_SIZE,MATCH(167,tk_FSEQ,0)),"")</f>
        <v/>
      </c>
      <c r="E172" s="162">
        <f>IFERROR(""&amp;INDEX(tk_RATING,MATCH(167,tk_FSEQ,0)),"")</f>
        <v/>
      </c>
      <c r="F172" s="162">
        <f>IFERROR(TEXT(INDEX(tk_OAW,MATCH(167,tk_FSEQ,0)),"0.000")&amp;" x "&amp;TEXT(INDEX(tk_OAH,MATCH(167,tk_FSEQ,0)),"0.000"),"")</f>
        <v/>
      </c>
      <c r="G172" s="162">
        <f>IFERROR(IF(INDEX(tk_ANCHT,MATCH(167,tk_FSEQ,0))="","",INDEX(tk_ANCHT,MATCH(167,tk_FSEQ,0))&amp;" + "&amp;INDEX(tk_BASEA,MATCH(167,tk_FSEQ,0))),"")</f>
        <v/>
      </c>
      <c r="H172" s="181">
        <f>IFERROR(""&amp;INDEX(tk_FLINE,MATCH(167,tk_FSEQ,0)),"")</f>
        <v/>
      </c>
      <c r="I172" s="181">
        <f>IFERROR(""&amp;INDEX(tk_LOCTXT,MATCH(167,tk_FSEQ,0)),"")</f>
        <v/>
      </c>
      <c r="J172" s="162">
        <f>IFERROR(""&amp;INDEX(tk_FNOTES,MATCH(167,tk_FSEQ,0)),"")</f>
        <v/>
      </c>
    </row>
    <row r="173">
      <c r="A173" s="161">
        <f>IFERROR(""&amp;INDEX(tk_MARK,MATCH(168,tk_FSEQ,0)),"")</f>
        <v/>
      </c>
      <c r="B173" s="162">
        <f>IFERROR(INDEX(tk_QTY,MATCH(168,tk_FSEQ,0)),"")</f>
        <v/>
      </c>
      <c r="C173" s="162">
        <f>IFERROR(INDEX(tk_ROOMF,MATCH(168,tk_FSEQ,0))&amp;IF(INDEX(tk_ROOMT,MATCH(168,tk_FSEQ,0))="",""," → "&amp;INDEX(tk_ROOMT,MATCH(168,tk_FSEQ,0))),"")</f>
        <v/>
      </c>
      <c r="D173" s="162">
        <f>IFERROR(""&amp;INDEX(tk_SIZE,MATCH(168,tk_FSEQ,0)),"")</f>
        <v/>
      </c>
      <c r="E173" s="162">
        <f>IFERROR(""&amp;INDEX(tk_RATING,MATCH(168,tk_FSEQ,0)),"")</f>
        <v/>
      </c>
      <c r="F173" s="162">
        <f>IFERROR(TEXT(INDEX(tk_OAW,MATCH(168,tk_FSEQ,0)),"0.000")&amp;" x "&amp;TEXT(INDEX(tk_OAH,MATCH(168,tk_FSEQ,0)),"0.000"),"")</f>
        <v/>
      </c>
      <c r="G173" s="162">
        <f>IFERROR(IF(INDEX(tk_ANCHT,MATCH(168,tk_FSEQ,0))="","",INDEX(tk_ANCHT,MATCH(168,tk_FSEQ,0))&amp;" + "&amp;INDEX(tk_BASEA,MATCH(168,tk_FSEQ,0))),"")</f>
        <v/>
      </c>
      <c r="H173" s="181">
        <f>IFERROR(""&amp;INDEX(tk_FLINE,MATCH(168,tk_FSEQ,0)),"")</f>
        <v/>
      </c>
      <c r="I173" s="181">
        <f>IFERROR(""&amp;INDEX(tk_LOCTXT,MATCH(168,tk_FSEQ,0)),"")</f>
        <v/>
      </c>
      <c r="J173" s="162">
        <f>IFERROR(""&amp;INDEX(tk_FNOTES,MATCH(168,tk_FSEQ,0)),"")</f>
        <v/>
      </c>
    </row>
    <row r="174">
      <c r="A174" s="161">
        <f>IFERROR(""&amp;INDEX(tk_MARK,MATCH(169,tk_FSEQ,0)),"")</f>
        <v/>
      </c>
      <c r="B174" s="162">
        <f>IFERROR(INDEX(tk_QTY,MATCH(169,tk_FSEQ,0)),"")</f>
        <v/>
      </c>
      <c r="C174" s="162">
        <f>IFERROR(INDEX(tk_ROOMF,MATCH(169,tk_FSEQ,0))&amp;IF(INDEX(tk_ROOMT,MATCH(169,tk_FSEQ,0))="",""," → "&amp;INDEX(tk_ROOMT,MATCH(169,tk_FSEQ,0))),"")</f>
        <v/>
      </c>
      <c r="D174" s="162">
        <f>IFERROR(""&amp;INDEX(tk_SIZE,MATCH(169,tk_FSEQ,0)),"")</f>
        <v/>
      </c>
      <c r="E174" s="162">
        <f>IFERROR(""&amp;INDEX(tk_RATING,MATCH(169,tk_FSEQ,0)),"")</f>
        <v/>
      </c>
      <c r="F174" s="162">
        <f>IFERROR(TEXT(INDEX(tk_OAW,MATCH(169,tk_FSEQ,0)),"0.000")&amp;" x "&amp;TEXT(INDEX(tk_OAH,MATCH(169,tk_FSEQ,0)),"0.000"),"")</f>
        <v/>
      </c>
      <c r="G174" s="162">
        <f>IFERROR(IF(INDEX(tk_ANCHT,MATCH(169,tk_FSEQ,0))="","",INDEX(tk_ANCHT,MATCH(169,tk_FSEQ,0))&amp;" + "&amp;INDEX(tk_BASEA,MATCH(169,tk_FSEQ,0))),"")</f>
        <v/>
      </c>
      <c r="H174" s="181">
        <f>IFERROR(""&amp;INDEX(tk_FLINE,MATCH(169,tk_FSEQ,0)),"")</f>
        <v/>
      </c>
      <c r="I174" s="181">
        <f>IFERROR(""&amp;INDEX(tk_LOCTXT,MATCH(169,tk_FSEQ,0)),"")</f>
        <v/>
      </c>
      <c r="J174" s="162">
        <f>IFERROR(""&amp;INDEX(tk_FNOTES,MATCH(169,tk_FSEQ,0)),"")</f>
        <v/>
      </c>
    </row>
    <row r="175">
      <c r="A175" s="161">
        <f>IFERROR(""&amp;INDEX(tk_MARK,MATCH(170,tk_FSEQ,0)),"")</f>
        <v/>
      </c>
      <c r="B175" s="162">
        <f>IFERROR(INDEX(tk_QTY,MATCH(170,tk_FSEQ,0)),"")</f>
        <v/>
      </c>
      <c r="C175" s="162">
        <f>IFERROR(INDEX(tk_ROOMF,MATCH(170,tk_FSEQ,0))&amp;IF(INDEX(tk_ROOMT,MATCH(170,tk_FSEQ,0))="",""," → "&amp;INDEX(tk_ROOMT,MATCH(170,tk_FSEQ,0))),"")</f>
        <v/>
      </c>
      <c r="D175" s="162">
        <f>IFERROR(""&amp;INDEX(tk_SIZE,MATCH(170,tk_FSEQ,0)),"")</f>
        <v/>
      </c>
      <c r="E175" s="162">
        <f>IFERROR(""&amp;INDEX(tk_RATING,MATCH(170,tk_FSEQ,0)),"")</f>
        <v/>
      </c>
      <c r="F175" s="162">
        <f>IFERROR(TEXT(INDEX(tk_OAW,MATCH(170,tk_FSEQ,0)),"0.000")&amp;" x "&amp;TEXT(INDEX(tk_OAH,MATCH(170,tk_FSEQ,0)),"0.000"),"")</f>
        <v/>
      </c>
      <c r="G175" s="162">
        <f>IFERROR(IF(INDEX(tk_ANCHT,MATCH(170,tk_FSEQ,0))="","",INDEX(tk_ANCHT,MATCH(170,tk_FSEQ,0))&amp;" + "&amp;INDEX(tk_BASEA,MATCH(170,tk_FSEQ,0))),"")</f>
        <v/>
      </c>
      <c r="H175" s="181">
        <f>IFERROR(""&amp;INDEX(tk_FLINE,MATCH(170,tk_FSEQ,0)),"")</f>
        <v/>
      </c>
      <c r="I175" s="181">
        <f>IFERROR(""&amp;INDEX(tk_LOCTXT,MATCH(170,tk_FSEQ,0)),"")</f>
        <v/>
      </c>
      <c r="J175" s="162">
        <f>IFERROR(""&amp;INDEX(tk_FNOTES,MATCH(170,tk_FSEQ,0)),"")</f>
        <v/>
      </c>
    </row>
    <row r="176">
      <c r="A176" s="161">
        <f>IFERROR(""&amp;INDEX(tk_MARK,MATCH(171,tk_FSEQ,0)),"")</f>
        <v/>
      </c>
      <c r="B176" s="162">
        <f>IFERROR(INDEX(tk_QTY,MATCH(171,tk_FSEQ,0)),"")</f>
        <v/>
      </c>
      <c r="C176" s="162">
        <f>IFERROR(INDEX(tk_ROOMF,MATCH(171,tk_FSEQ,0))&amp;IF(INDEX(tk_ROOMT,MATCH(171,tk_FSEQ,0))="",""," → "&amp;INDEX(tk_ROOMT,MATCH(171,tk_FSEQ,0))),"")</f>
        <v/>
      </c>
      <c r="D176" s="162">
        <f>IFERROR(""&amp;INDEX(tk_SIZE,MATCH(171,tk_FSEQ,0)),"")</f>
        <v/>
      </c>
      <c r="E176" s="162">
        <f>IFERROR(""&amp;INDEX(tk_RATING,MATCH(171,tk_FSEQ,0)),"")</f>
        <v/>
      </c>
      <c r="F176" s="162">
        <f>IFERROR(TEXT(INDEX(tk_OAW,MATCH(171,tk_FSEQ,0)),"0.000")&amp;" x "&amp;TEXT(INDEX(tk_OAH,MATCH(171,tk_FSEQ,0)),"0.000"),"")</f>
        <v/>
      </c>
      <c r="G176" s="162">
        <f>IFERROR(IF(INDEX(tk_ANCHT,MATCH(171,tk_FSEQ,0))="","",INDEX(tk_ANCHT,MATCH(171,tk_FSEQ,0))&amp;" + "&amp;INDEX(tk_BASEA,MATCH(171,tk_FSEQ,0))),"")</f>
        <v/>
      </c>
      <c r="H176" s="181">
        <f>IFERROR(""&amp;INDEX(tk_FLINE,MATCH(171,tk_FSEQ,0)),"")</f>
        <v/>
      </c>
      <c r="I176" s="181">
        <f>IFERROR(""&amp;INDEX(tk_LOCTXT,MATCH(171,tk_FSEQ,0)),"")</f>
        <v/>
      </c>
      <c r="J176" s="162">
        <f>IFERROR(""&amp;INDEX(tk_FNOTES,MATCH(171,tk_FSEQ,0)),"")</f>
        <v/>
      </c>
    </row>
    <row r="177">
      <c r="A177" s="161">
        <f>IFERROR(""&amp;INDEX(tk_MARK,MATCH(172,tk_FSEQ,0)),"")</f>
        <v/>
      </c>
      <c r="B177" s="162">
        <f>IFERROR(INDEX(tk_QTY,MATCH(172,tk_FSEQ,0)),"")</f>
        <v/>
      </c>
      <c r="C177" s="162">
        <f>IFERROR(INDEX(tk_ROOMF,MATCH(172,tk_FSEQ,0))&amp;IF(INDEX(tk_ROOMT,MATCH(172,tk_FSEQ,0))="",""," → "&amp;INDEX(tk_ROOMT,MATCH(172,tk_FSEQ,0))),"")</f>
        <v/>
      </c>
      <c r="D177" s="162">
        <f>IFERROR(""&amp;INDEX(tk_SIZE,MATCH(172,tk_FSEQ,0)),"")</f>
        <v/>
      </c>
      <c r="E177" s="162">
        <f>IFERROR(""&amp;INDEX(tk_RATING,MATCH(172,tk_FSEQ,0)),"")</f>
        <v/>
      </c>
      <c r="F177" s="162">
        <f>IFERROR(TEXT(INDEX(tk_OAW,MATCH(172,tk_FSEQ,0)),"0.000")&amp;" x "&amp;TEXT(INDEX(tk_OAH,MATCH(172,tk_FSEQ,0)),"0.000"),"")</f>
        <v/>
      </c>
      <c r="G177" s="162">
        <f>IFERROR(IF(INDEX(tk_ANCHT,MATCH(172,tk_FSEQ,0))="","",INDEX(tk_ANCHT,MATCH(172,tk_FSEQ,0))&amp;" + "&amp;INDEX(tk_BASEA,MATCH(172,tk_FSEQ,0))),"")</f>
        <v/>
      </c>
      <c r="H177" s="181">
        <f>IFERROR(""&amp;INDEX(tk_FLINE,MATCH(172,tk_FSEQ,0)),"")</f>
        <v/>
      </c>
      <c r="I177" s="181">
        <f>IFERROR(""&amp;INDEX(tk_LOCTXT,MATCH(172,tk_FSEQ,0)),"")</f>
        <v/>
      </c>
      <c r="J177" s="162">
        <f>IFERROR(""&amp;INDEX(tk_FNOTES,MATCH(172,tk_FSEQ,0)),"")</f>
        <v/>
      </c>
    </row>
    <row r="178">
      <c r="A178" s="161">
        <f>IFERROR(""&amp;INDEX(tk_MARK,MATCH(173,tk_FSEQ,0)),"")</f>
        <v/>
      </c>
      <c r="B178" s="162">
        <f>IFERROR(INDEX(tk_QTY,MATCH(173,tk_FSEQ,0)),"")</f>
        <v/>
      </c>
      <c r="C178" s="162">
        <f>IFERROR(INDEX(tk_ROOMF,MATCH(173,tk_FSEQ,0))&amp;IF(INDEX(tk_ROOMT,MATCH(173,tk_FSEQ,0))="",""," → "&amp;INDEX(tk_ROOMT,MATCH(173,tk_FSEQ,0))),"")</f>
        <v/>
      </c>
      <c r="D178" s="162">
        <f>IFERROR(""&amp;INDEX(tk_SIZE,MATCH(173,tk_FSEQ,0)),"")</f>
        <v/>
      </c>
      <c r="E178" s="162">
        <f>IFERROR(""&amp;INDEX(tk_RATING,MATCH(173,tk_FSEQ,0)),"")</f>
        <v/>
      </c>
      <c r="F178" s="162">
        <f>IFERROR(TEXT(INDEX(tk_OAW,MATCH(173,tk_FSEQ,0)),"0.000")&amp;" x "&amp;TEXT(INDEX(tk_OAH,MATCH(173,tk_FSEQ,0)),"0.000"),"")</f>
        <v/>
      </c>
      <c r="G178" s="162">
        <f>IFERROR(IF(INDEX(tk_ANCHT,MATCH(173,tk_FSEQ,0))="","",INDEX(tk_ANCHT,MATCH(173,tk_FSEQ,0))&amp;" + "&amp;INDEX(tk_BASEA,MATCH(173,tk_FSEQ,0))),"")</f>
        <v/>
      </c>
      <c r="H178" s="181">
        <f>IFERROR(""&amp;INDEX(tk_FLINE,MATCH(173,tk_FSEQ,0)),"")</f>
        <v/>
      </c>
      <c r="I178" s="181">
        <f>IFERROR(""&amp;INDEX(tk_LOCTXT,MATCH(173,tk_FSEQ,0)),"")</f>
        <v/>
      </c>
      <c r="J178" s="162">
        <f>IFERROR(""&amp;INDEX(tk_FNOTES,MATCH(173,tk_FSEQ,0)),"")</f>
        <v/>
      </c>
    </row>
    <row r="179">
      <c r="A179" s="161">
        <f>IFERROR(""&amp;INDEX(tk_MARK,MATCH(174,tk_FSEQ,0)),"")</f>
        <v/>
      </c>
      <c r="B179" s="162">
        <f>IFERROR(INDEX(tk_QTY,MATCH(174,tk_FSEQ,0)),"")</f>
        <v/>
      </c>
      <c r="C179" s="162">
        <f>IFERROR(INDEX(tk_ROOMF,MATCH(174,tk_FSEQ,0))&amp;IF(INDEX(tk_ROOMT,MATCH(174,tk_FSEQ,0))="",""," → "&amp;INDEX(tk_ROOMT,MATCH(174,tk_FSEQ,0))),"")</f>
        <v/>
      </c>
      <c r="D179" s="162">
        <f>IFERROR(""&amp;INDEX(tk_SIZE,MATCH(174,tk_FSEQ,0)),"")</f>
        <v/>
      </c>
      <c r="E179" s="162">
        <f>IFERROR(""&amp;INDEX(tk_RATING,MATCH(174,tk_FSEQ,0)),"")</f>
        <v/>
      </c>
      <c r="F179" s="162">
        <f>IFERROR(TEXT(INDEX(tk_OAW,MATCH(174,tk_FSEQ,0)),"0.000")&amp;" x "&amp;TEXT(INDEX(tk_OAH,MATCH(174,tk_FSEQ,0)),"0.000"),"")</f>
        <v/>
      </c>
      <c r="G179" s="162">
        <f>IFERROR(IF(INDEX(tk_ANCHT,MATCH(174,tk_FSEQ,0))="","",INDEX(tk_ANCHT,MATCH(174,tk_FSEQ,0))&amp;" + "&amp;INDEX(tk_BASEA,MATCH(174,tk_FSEQ,0))),"")</f>
        <v/>
      </c>
      <c r="H179" s="181">
        <f>IFERROR(""&amp;INDEX(tk_FLINE,MATCH(174,tk_FSEQ,0)),"")</f>
        <v/>
      </c>
      <c r="I179" s="181">
        <f>IFERROR(""&amp;INDEX(tk_LOCTXT,MATCH(174,tk_FSEQ,0)),"")</f>
        <v/>
      </c>
      <c r="J179" s="162">
        <f>IFERROR(""&amp;INDEX(tk_FNOTES,MATCH(174,tk_FSEQ,0)),"")</f>
        <v/>
      </c>
    </row>
    <row r="180">
      <c r="A180" s="161">
        <f>IFERROR(""&amp;INDEX(tk_MARK,MATCH(175,tk_FSEQ,0)),"")</f>
        <v/>
      </c>
      <c r="B180" s="162">
        <f>IFERROR(INDEX(tk_QTY,MATCH(175,tk_FSEQ,0)),"")</f>
        <v/>
      </c>
      <c r="C180" s="162">
        <f>IFERROR(INDEX(tk_ROOMF,MATCH(175,tk_FSEQ,0))&amp;IF(INDEX(tk_ROOMT,MATCH(175,tk_FSEQ,0))="",""," → "&amp;INDEX(tk_ROOMT,MATCH(175,tk_FSEQ,0))),"")</f>
        <v/>
      </c>
      <c r="D180" s="162">
        <f>IFERROR(""&amp;INDEX(tk_SIZE,MATCH(175,tk_FSEQ,0)),"")</f>
        <v/>
      </c>
      <c r="E180" s="162">
        <f>IFERROR(""&amp;INDEX(tk_RATING,MATCH(175,tk_FSEQ,0)),"")</f>
        <v/>
      </c>
      <c r="F180" s="162">
        <f>IFERROR(TEXT(INDEX(tk_OAW,MATCH(175,tk_FSEQ,0)),"0.000")&amp;" x "&amp;TEXT(INDEX(tk_OAH,MATCH(175,tk_FSEQ,0)),"0.000"),"")</f>
        <v/>
      </c>
      <c r="G180" s="162">
        <f>IFERROR(IF(INDEX(tk_ANCHT,MATCH(175,tk_FSEQ,0))="","",INDEX(tk_ANCHT,MATCH(175,tk_FSEQ,0))&amp;" + "&amp;INDEX(tk_BASEA,MATCH(175,tk_FSEQ,0))),"")</f>
        <v/>
      </c>
      <c r="H180" s="181">
        <f>IFERROR(""&amp;INDEX(tk_FLINE,MATCH(175,tk_FSEQ,0)),"")</f>
        <v/>
      </c>
      <c r="I180" s="181">
        <f>IFERROR(""&amp;INDEX(tk_LOCTXT,MATCH(175,tk_FSEQ,0)),"")</f>
        <v/>
      </c>
      <c r="J180" s="162">
        <f>IFERROR(""&amp;INDEX(tk_FNOTES,MATCH(175,tk_FSEQ,0)),"")</f>
        <v/>
      </c>
    </row>
    <row r="181">
      <c r="A181" s="161">
        <f>IFERROR(""&amp;INDEX(tk_MARK,MATCH(176,tk_FSEQ,0)),"")</f>
        <v/>
      </c>
      <c r="B181" s="162">
        <f>IFERROR(INDEX(tk_QTY,MATCH(176,tk_FSEQ,0)),"")</f>
        <v/>
      </c>
      <c r="C181" s="162">
        <f>IFERROR(INDEX(tk_ROOMF,MATCH(176,tk_FSEQ,0))&amp;IF(INDEX(tk_ROOMT,MATCH(176,tk_FSEQ,0))="",""," → "&amp;INDEX(tk_ROOMT,MATCH(176,tk_FSEQ,0))),"")</f>
        <v/>
      </c>
      <c r="D181" s="162">
        <f>IFERROR(""&amp;INDEX(tk_SIZE,MATCH(176,tk_FSEQ,0)),"")</f>
        <v/>
      </c>
      <c r="E181" s="162">
        <f>IFERROR(""&amp;INDEX(tk_RATING,MATCH(176,tk_FSEQ,0)),"")</f>
        <v/>
      </c>
      <c r="F181" s="162">
        <f>IFERROR(TEXT(INDEX(tk_OAW,MATCH(176,tk_FSEQ,0)),"0.000")&amp;" x "&amp;TEXT(INDEX(tk_OAH,MATCH(176,tk_FSEQ,0)),"0.000"),"")</f>
        <v/>
      </c>
      <c r="G181" s="162">
        <f>IFERROR(IF(INDEX(tk_ANCHT,MATCH(176,tk_FSEQ,0))="","",INDEX(tk_ANCHT,MATCH(176,tk_FSEQ,0))&amp;" + "&amp;INDEX(tk_BASEA,MATCH(176,tk_FSEQ,0))),"")</f>
        <v/>
      </c>
      <c r="H181" s="181">
        <f>IFERROR(""&amp;INDEX(tk_FLINE,MATCH(176,tk_FSEQ,0)),"")</f>
        <v/>
      </c>
      <c r="I181" s="181">
        <f>IFERROR(""&amp;INDEX(tk_LOCTXT,MATCH(176,tk_FSEQ,0)),"")</f>
        <v/>
      </c>
      <c r="J181" s="162">
        <f>IFERROR(""&amp;INDEX(tk_FNOTES,MATCH(176,tk_FSEQ,0)),"")</f>
        <v/>
      </c>
    </row>
    <row r="182">
      <c r="A182" s="161">
        <f>IFERROR(""&amp;INDEX(tk_MARK,MATCH(177,tk_FSEQ,0)),"")</f>
        <v/>
      </c>
      <c r="B182" s="162">
        <f>IFERROR(INDEX(tk_QTY,MATCH(177,tk_FSEQ,0)),"")</f>
        <v/>
      </c>
      <c r="C182" s="162">
        <f>IFERROR(INDEX(tk_ROOMF,MATCH(177,tk_FSEQ,0))&amp;IF(INDEX(tk_ROOMT,MATCH(177,tk_FSEQ,0))="",""," → "&amp;INDEX(tk_ROOMT,MATCH(177,tk_FSEQ,0))),"")</f>
        <v/>
      </c>
      <c r="D182" s="162">
        <f>IFERROR(""&amp;INDEX(tk_SIZE,MATCH(177,tk_FSEQ,0)),"")</f>
        <v/>
      </c>
      <c r="E182" s="162">
        <f>IFERROR(""&amp;INDEX(tk_RATING,MATCH(177,tk_FSEQ,0)),"")</f>
        <v/>
      </c>
      <c r="F182" s="162">
        <f>IFERROR(TEXT(INDEX(tk_OAW,MATCH(177,tk_FSEQ,0)),"0.000")&amp;" x "&amp;TEXT(INDEX(tk_OAH,MATCH(177,tk_FSEQ,0)),"0.000"),"")</f>
        <v/>
      </c>
      <c r="G182" s="162">
        <f>IFERROR(IF(INDEX(tk_ANCHT,MATCH(177,tk_FSEQ,0))="","",INDEX(tk_ANCHT,MATCH(177,tk_FSEQ,0))&amp;" + "&amp;INDEX(tk_BASEA,MATCH(177,tk_FSEQ,0))),"")</f>
        <v/>
      </c>
      <c r="H182" s="181">
        <f>IFERROR(""&amp;INDEX(tk_FLINE,MATCH(177,tk_FSEQ,0)),"")</f>
        <v/>
      </c>
      <c r="I182" s="181">
        <f>IFERROR(""&amp;INDEX(tk_LOCTXT,MATCH(177,tk_FSEQ,0)),"")</f>
        <v/>
      </c>
      <c r="J182" s="162">
        <f>IFERROR(""&amp;INDEX(tk_FNOTES,MATCH(177,tk_FSEQ,0)),"")</f>
        <v/>
      </c>
    </row>
    <row r="183">
      <c r="A183" s="161">
        <f>IFERROR(""&amp;INDEX(tk_MARK,MATCH(178,tk_FSEQ,0)),"")</f>
        <v/>
      </c>
      <c r="B183" s="162">
        <f>IFERROR(INDEX(tk_QTY,MATCH(178,tk_FSEQ,0)),"")</f>
        <v/>
      </c>
      <c r="C183" s="162">
        <f>IFERROR(INDEX(tk_ROOMF,MATCH(178,tk_FSEQ,0))&amp;IF(INDEX(tk_ROOMT,MATCH(178,tk_FSEQ,0))="",""," → "&amp;INDEX(tk_ROOMT,MATCH(178,tk_FSEQ,0))),"")</f>
        <v/>
      </c>
      <c r="D183" s="162">
        <f>IFERROR(""&amp;INDEX(tk_SIZE,MATCH(178,tk_FSEQ,0)),"")</f>
        <v/>
      </c>
      <c r="E183" s="162">
        <f>IFERROR(""&amp;INDEX(tk_RATING,MATCH(178,tk_FSEQ,0)),"")</f>
        <v/>
      </c>
      <c r="F183" s="162">
        <f>IFERROR(TEXT(INDEX(tk_OAW,MATCH(178,tk_FSEQ,0)),"0.000")&amp;" x "&amp;TEXT(INDEX(tk_OAH,MATCH(178,tk_FSEQ,0)),"0.000"),"")</f>
        <v/>
      </c>
      <c r="G183" s="162">
        <f>IFERROR(IF(INDEX(tk_ANCHT,MATCH(178,tk_FSEQ,0))="","",INDEX(tk_ANCHT,MATCH(178,tk_FSEQ,0))&amp;" + "&amp;INDEX(tk_BASEA,MATCH(178,tk_FSEQ,0))),"")</f>
        <v/>
      </c>
      <c r="H183" s="181">
        <f>IFERROR(""&amp;INDEX(tk_FLINE,MATCH(178,tk_FSEQ,0)),"")</f>
        <v/>
      </c>
      <c r="I183" s="181">
        <f>IFERROR(""&amp;INDEX(tk_LOCTXT,MATCH(178,tk_FSEQ,0)),"")</f>
        <v/>
      </c>
      <c r="J183" s="162">
        <f>IFERROR(""&amp;INDEX(tk_FNOTES,MATCH(178,tk_FSEQ,0)),"")</f>
        <v/>
      </c>
    </row>
    <row r="184">
      <c r="A184" s="161">
        <f>IFERROR(""&amp;INDEX(tk_MARK,MATCH(179,tk_FSEQ,0)),"")</f>
        <v/>
      </c>
      <c r="B184" s="162">
        <f>IFERROR(INDEX(tk_QTY,MATCH(179,tk_FSEQ,0)),"")</f>
        <v/>
      </c>
      <c r="C184" s="162">
        <f>IFERROR(INDEX(tk_ROOMF,MATCH(179,tk_FSEQ,0))&amp;IF(INDEX(tk_ROOMT,MATCH(179,tk_FSEQ,0))="",""," → "&amp;INDEX(tk_ROOMT,MATCH(179,tk_FSEQ,0))),"")</f>
        <v/>
      </c>
      <c r="D184" s="162">
        <f>IFERROR(""&amp;INDEX(tk_SIZE,MATCH(179,tk_FSEQ,0)),"")</f>
        <v/>
      </c>
      <c r="E184" s="162">
        <f>IFERROR(""&amp;INDEX(tk_RATING,MATCH(179,tk_FSEQ,0)),"")</f>
        <v/>
      </c>
      <c r="F184" s="162">
        <f>IFERROR(TEXT(INDEX(tk_OAW,MATCH(179,tk_FSEQ,0)),"0.000")&amp;" x "&amp;TEXT(INDEX(tk_OAH,MATCH(179,tk_FSEQ,0)),"0.000"),"")</f>
        <v/>
      </c>
      <c r="G184" s="162">
        <f>IFERROR(IF(INDEX(tk_ANCHT,MATCH(179,tk_FSEQ,0))="","",INDEX(tk_ANCHT,MATCH(179,tk_FSEQ,0))&amp;" + "&amp;INDEX(tk_BASEA,MATCH(179,tk_FSEQ,0))),"")</f>
        <v/>
      </c>
      <c r="H184" s="181">
        <f>IFERROR(""&amp;INDEX(tk_FLINE,MATCH(179,tk_FSEQ,0)),"")</f>
        <v/>
      </c>
      <c r="I184" s="181">
        <f>IFERROR(""&amp;INDEX(tk_LOCTXT,MATCH(179,tk_FSEQ,0)),"")</f>
        <v/>
      </c>
      <c r="J184" s="162">
        <f>IFERROR(""&amp;INDEX(tk_FNOTES,MATCH(179,tk_FSEQ,0)),"")</f>
        <v/>
      </c>
    </row>
    <row r="185">
      <c r="A185" s="161">
        <f>IFERROR(""&amp;INDEX(tk_MARK,MATCH(180,tk_FSEQ,0)),"")</f>
        <v/>
      </c>
      <c r="B185" s="162">
        <f>IFERROR(INDEX(tk_QTY,MATCH(180,tk_FSEQ,0)),"")</f>
        <v/>
      </c>
      <c r="C185" s="162">
        <f>IFERROR(INDEX(tk_ROOMF,MATCH(180,tk_FSEQ,0))&amp;IF(INDEX(tk_ROOMT,MATCH(180,tk_FSEQ,0))="",""," → "&amp;INDEX(tk_ROOMT,MATCH(180,tk_FSEQ,0))),"")</f>
        <v/>
      </c>
      <c r="D185" s="162">
        <f>IFERROR(""&amp;INDEX(tk_SIZE,MATCH(180,tk_FSEQ,0)),"")</f>
        <v/>
      </c>
      <c r="E185" s="162">
        <f>IFERROR(""&amp;INDEX(tk_RATING,MATCH(180,tk_FSEQ,0)),"")</f>
        <v/>
      </c>
      <c r="F185" s="162">
        <f>IFERROR(TEXT(INDEX(tk_OAW,MATCH(180,tk_FSEQ,0)),"0.000")&amp;" x "&amp;TEXT(INDEX(tk_OAH,MATCH(180,tk_FSEQ,0)),"0.000"),"")</f>
        <v/>
      </c>
      <c r="G185" s="162">
        <f>IFERROR(IF(INDEX(tk_ANCHT,MATCH(180,tk_FSEQ,0))="","",INDEX(tk_ANCHT,MATCH(180,tk_FSEQ,0))&amp;" + "&amp;INDEX(tk_BASEA,MATCH(180,tk_FSEQ,0))),"")</f>
        <v/>
      </c>
      <c r="H185" s="181">
        <f>IFERROR(""&amp;INDEX(tk_FLINE,MATCH(180,tk_FSEQ,0)),"")</f>
        <v/>
      </c>
      <c r="I185" s="181">
        <f>IFERROR(""&amp;INDEX(tk_LOCTXT,MATCH(180,tk_FSEQ,0)),"")</f>
        <v/>
      </c>
      <c r="J185" s="162">
        <f>IFERROR(""&amp;INDEX(tk_FNOTES,MATCH(180,tk_FSEQ,0)),"")</f>
        <v/>
      </c>
    </row>
    <row r="186">
      <c r="A186" s="161">
        <f>IFERROR(""&amp;INDEX(tk_MARK,MATCH(181,tk_FSEQ,0)),"")</f>
        <v/>
      </c>
      <c r="B186" s="162">
        <f>IFERROR(INDEX(tk_QTY,MATCH(181,tk_FSEQ,0)),"")</f>
        <v/>
      </c>
      <c r="C186" s="162">
        <f>IFERROR(INDEX(tk_ROOMF,MATCH(181,tk_FSEQ,0))&amp;IF(INDEX(tk_ROOMT,MATCH(181,tk_FSEQ,0))="",""," → "&amp;INDEX(tk_ROOMT,MATCH(181,tk_FSEQ,0))),"")</f>
        <v/>
      </c>
      <c r="D186" s="162">
        <f>IFERROR(""&amp;INDEX(tk_SIZE,MATCH(181,tk_FSEQ,0)),"")</f>
        <v/>
      </c>
      <c r="E186" s="162">
        <f>IFERROR(""&amp;INDEX(tk_RATING,MATCH(181,tk_FSEQ,0)),"")</f>
        <v/>
      </c>
      <c r="F186" s="162">
        <f>IFERROR(TEXT(INDEX(tk_OAW,MATCH(181,tk_FSEQ,0)),"0.000")&amp;" x "&amp;TEXT(INDEX(tk_OAH,MATCH(181,tk_FSEQ,0)),"0.000"),"")</f>
        <v/>
      </c>
      <c r="G186" s="162">
        <f>IFERROR(IF(INDEX(tk_ANCHT,MATCH(181,tk_FSEQ,0))="","",INDEX(tk_ANCHT,MATCH(181,tk_FSEQ,0))&amp;" + "&amp;INDEX(tk_BASEA,MATCH(181,tk_FSEQ,0))),"")</f>
        <v/>
      </c>
      <c r="H186" s="181">
        <f>IFERROR(""&amp;INDEX(tk_FLINE,MATCH(181,tk_FSEQ,0)),"")</f>
        <v/>
      </c>
      <c r="I186" s="181">
        <f>IFERROR(""&amp;INDEX(tk_LOCTXT,MATCH(181,tk_FSEQ,0)),"")</f>
        <v/>
      </c>
      <c r="J186" s="162">
        <f>IFERROR(""&amp;INDEX(tk_FNOTES,MATCH(181,tk_FSEQ,0)),"")</f>
        <v/>
      </c>
    </row>
    <row r="187">
      <c r="A187" s="161">
        <f>IFERROR(""&amp;INDEX(tk_MARK,MATCH(182,tk_FSEQ,0)),"")</f>
        <v/>
      </c>
      <c r="B187" s="162">
        <f>IFERROR(INDEX(tk_QTY,MATCH(182,tk_FSEQ,0)),"")</f>
        <v/>
      </c>
      <c r="C187" s="162">
        <f>IFERROR(INDEX(tk_ROOMF,MATCH(182,tk_FSEQ,0))&amp;IF(INDEX(tk_ROOMT,MATCH(182,tk_FSEQ,0))="",""," → "&amp;INDEX(tk_ROOMT,MATCH(182,tk_FSEQ,0))),"")</f>
        <v/>
      </c>
      <c r="D187" s="162">
        <f>IFERROR(""&amp;INDEX(tk_SIZE,MATCH(182,tk_FSEQ,0)),"")</f>
        <v/>
      </c>
      <c r="E187" s="162">
        <f>IFERROR(""&amp;INDEX(tk_RATING,MATCH(182,tk_FSEQ,0)),"")</f>
        <v/>
      </c>
      <c r="F187" s="162">
        <f>IFERROR(TEXT(INDEX(tk_OAW,MATCH(182,tk_FSEQ,0)),"0.000")&amp;" x "&amp;TEXT(INDEX(tk_OAH,MATCH(182,tk_FSEQ,0)),"0.000"),"")</f>
        <v/>
      </c>
      <c r="G187" s="162">
        <f>IFERROR(IF(INDEX(tk_ANCHT,MATCH(182,tk_FSEQ,0))="","",INDEX(tk_ANCHT,MATCH(182,tk_FSEQ,0))&amp;" + "&amp;INDEX(tk_BASEA,MATCH(182,tk_FSEQ,0))),"")</f>
        <v/>
      </c>
      <c r="H187" s="181">
        <f>IFERROR(""&amp;INDEX(tk_FLINE,MATCH(182,tk_FSEQ,0)),"")</f>
        <v/>
      </c>
      <c r="I187" s="181">
        <f>IFERROR(""&amp;INDEX(tk_LOCTXT,MATCH(182,tk_FSEQ,0)),"")</f>
        <v/>
      </c>
      <c r="J187" s="162">
        <f>IFERROR(""&amp;INDEX(tk_FNOTES,MATCH(182,tk_FSEQ,0)),"")</f>
        <v/>
      </c>
    </row>
    <row r="188">
      <c r="A188" s="161">
        <f>IFERROR(""&amp;INDEX(tk_MARK,MATCH(183,tk_FSEQ,0)),"")</f>
        <v/>
      </c>
      <c r="B188" s="162">
        <f>IFERROR(INDEX(tk_QTY,MATCH(183,tk_FSEQ,0)),"")</f>
        <v/>
      </c>
      <c r="C188" s="162">
        <f>IFERROR(INDEX(tk_ROOMF,MATCH(183,tk_FSEQ,0))&amp;IF(INDEX(tk_ROOMT,MATCH(183,tk_FSEQ,0))="",""," → "&amp;INDEX(tk_ROOMT,MATCH(183,tk_FSEQ,0))),"")</f>
        <v/>
      </c>
      <c r="D188" s="162">
        <f>IFERROR(""&amp;INDEX(tk_SIZE,MATCH(183,tk_FSEQ,0)),"")</f>
        <v/>
      </c>
      <c r="E188" s="162">
        <f>IFERROR(""&amp;INDEX(tk_RATING,MATCH(183,tk_FSEQ,0)),"")</f>
        <v/>
      </c>
      <c r="F188" s="162">
        <f>IFERROR(TEXT(INDEX(tk_OAW,MATCH(183,tk_FSEQ,0)),"0.000")&amp;" x "&amp;TEXT(INDEX(tk_OAH,MATCH(183,tk_FSEQ,0)),"0.000"),"")</f>
        <v/>
      </c>
      <c r="G188" s="162">
        <f>IFERROR(IF(INDEX(tk_ANCHT,MATCH(183,tk_FSEQ,0))="","",INDEX(tk_ANCHT,MATCH(183,tk_FSEQ,0))&amp;" + "&amp;INDEX(tk_BASEA,MATCH(183,tk_FSEQ,0))),"")</f>
        <v/>
      </c>
      <c r="H188" s="181">
        <f>IFERROR(""&amp;INDEX(tk_FLINE,MATCH(183,tk_FSEQ,0)),"")</f>
        <v/>
      </c>
      <c r="I188" s="181">
        <f>IFERROR(""&amp;INDEX(tk_LOCTXT,MATCH(183,tk_FSEQ,0)),"")</f>
        <v/>
      </c>
      <c r="J188" s="162">
        <f>IFERROR(""&amp;INDEX(tk_FNOTES,MATCH(183,tk_FSEQ,0)),"")</f>
        <v/>
      </c>
    </row>
    <row r="189">
      <c r="A189" s="161">
        <f>IFERROR(""&amp;INDEX(tk_MARK,MATCH(184,tk_FSEQ,0)),"")</f>
        <v/>
      </c>
      <c r="B189" s="162">
        <f>IFERROR(INDEX(tk_QTY,MATCH(184,tk_FSEQ,0)),"")</f>
        <v/>
      </c>
      <c r="C189" s="162">
        <f>IFERROR(INDEX(tk_ROOMF,MATCH(184,tk_FSEQ,0))&amp;IF(INDEX(tk_ROOMT,MATCH(184,tk_FSEQ,0))="",""," → "&amp;INDEX(tk_ROOMT,MATCH(184,tk_FSEQ,0))),"")</f>
        <v/>
      </c>
      <c r="D189" s="162">
        <f>IFERROR(""&amp;INDEX(tk_SIZE,MATCH(184,tk_FSEQ,0)),"")</f>
        <v/>
      </c>
      <c r="E189" s="162">
        <f>IFERROR(""&amp;INDEX(tk_RATING,MATCH(184,tk_FSEQ,0)),"")</f>
        <v/>
      </c>
      <c r="F189" s="162">
        <f>IFERROR(TEXT(INDEX(tk_OAW,MATCH(184,tk_FSEQ,0)),"0.000")&amp;" x "&amp;TEXT(INDEX(tk_OAH,MATCH(184,tk_FSEQ,0)),"0.000"),"")</f>
        <v/>
      </c>
      <c r="G189" s="162">
        <f>IFERROR(IF(INDEX(tk_ANCHT,MATCH(184,tk_FSEQ,0))="","",INDEX(tk_ANCHT,MATCH(184,tk_FSEQ,0))&amp;" + "&amp;INDEX(tk_BASEA,MATCH(184,tk_FSEQ,0))),"")</f>
        <v/>
      </c>
      <c r="H189" s="181">
        <f>IFERROR(""&amp;INDEX(tk_FLINE,MATCH(184,tk_FSEQ,0)),"")</f>
        <v/>
      </c>
      <c r="I189" s="181">
        <f>IFERROR(""&amp;INDEX(tk_LOCTXT,MATCH(184,tk_FSEQ,0)),"")</f>
        <v/>
      </c>
      <c r="J189" s="162">
        <f>IFERROR(""&amp;INDEX(tk_FNOTES,MATCH(184,tk_FSEQ,0)),"")</f>
        <v/>
      </c>
    </row>
    <row r="190">
      <c r="A190" s="161">
        <f>IFERROR(""&amp;INDEX(tk_MARK,MATCH(185,tk_FSEQ,0)),"")</f>
        <v/>
      </c>
      <c r="B190" s="162">
        <f>IFERROR(INDEX(tk_QTY,MATCH(185,tk_FSEQ,0)),"")</f>
        <v/>
      </c>
      <c r="C190" s="162">
        <f>IFERROR(INDEX(tk_ROOMF,MATCH(185,tk_FSEQ,0))&amp;IF(INDEX(tk_ROOMT,MATCH(185,tk_FSEQ,0))="",""," → "&amp;INDEX(tk_ROOMT,MATCH(185,tk_FSEQ,0))),"")</f>
        <v/>
      </c>
      <c r="D190" s="162">
        <f>IFERROR(""&amp;INDEX(tk_SIZE,MATCH(185,tk_FSEQ,0)),"")</f>
        <v/>
      </c>
      <c r="E190" s="162">
        <f>IFERROR(""&amp;INDEX(tk_RATING,MATCH(185,tk_FSEQ,0)),"")</f>
        <v/>
      </c>
      <c r="F190" s="162">
        <f>IFERROR(TEXT(INDEX(tk_OAW,MATCH(185,tk_FSEQ,0)),"0.000")&amp;" x "&amp;TEXT(INDEX(tk_OAH,MATCH(185,tk_FSEQ,0)),"0.000"),"")</f>
        <v/>
      </c>
      <c r="G190" s="162">
        <f>IFERROR(IF(INDEX(tk_ANCHT,MATCH(185,tk_FSEQ,0))="","",INDEX(tk_ANCHT,MATCH(185,tk_FSEQ,0))&amp;" + "&amp;INDEX(tk_BASEA,MATCH(185,tk_FSEQ,0))),"")</f>
        <v/>
      </c>
      <c r="H190" s="181">
        <f>IFERROR(""&amp;INDEX(tk_FLINE,MATCH(185,tk_FSEQ,0)),"")</f>
        <v/>
      </c>
      <c r="I190" s="181">
        <f>IFERROR(""&amp;INDEX(tk_LOCTXT,MATCH(185,tk_FSEQ,0)),"")</f>
        <v/>
      </c>
      <c r="J190" s="162">
        <f>IFERROR(""&amp;INDEX(tk_FNOTES,MATCH(185,tk_FSEQ,0)),"")</f>
        <v/>
      </c>
    </row>
    <row r="191">
      <c r="A191" s="161">
        <f>IFERROR(""&amp;INDEX(tk_MARK,MATCH(186,tk_FSEQ,0)),"")</f>
        <v/>
      </c>
      <c r="B191" s="162">
        <f>IFERROR(INDEX(tk_QTY,MATCH(186,tk_FSEQ,0)),"")</f>
        <v/>
      </c>
      <c r="C191" s="162">
        <f>IFERROR(INDEX(tk_ROOMF,MATCH(186,tk_FSEQ,0))&amp;IF(INDEX(tk_ROOMT,MATCH(186,tk_FSEQ,0))="",""," → "&amp;INDEX(tk_ROOMT,MATCH(186,tk_FSEQ,0))),"")</f>
        <v/>
      </c>
      <c r="D191" s="162">
        <f>IFERROR(""&amp;INDEX(tk_SIZE,MATCH(186,tk_FSEQ,0)),"")</f>
        <v/>
      </c>
      <c r="E191" s="162">
        <f>IFERROR(""&amp;INDEX(tk_RATING,MATCH(186,tk_FSEQ,0)),"")</f>
        <v/>
      </c>
      <c r="F191" s="162">
        <f>IFERROR(TEXT(INDEX(tk_OAW,MATCH(186,tk_FSEQ,0)),"0.000")&amp;" x "&amp;TEXT(INDEX(tk_OAH,MATCH(186,tk_FSEQ,0)),"0.000"),"")</f>
        <v/>
      </c>
      <c r="G191" s="162">
        <f>IFERROR(IF(INDEX(tk_ANCHT,MATCH(186,tk_FSEQ,0))="","",INDEX(tk_ANCHT,MATCH(186,tk_FSEQ,0))&amp;" + "&amp;INDEX(tk_BASEA,MATCH(186,tk_FSEQ,0))),"")</f>
        <v/>
      </c>
      <c r="H191" s="181">
        <f>IFERROR(""&amp;INDEX(tk_FLINE,MATCH(186,tk_FSEQ,0)),"")</f>
        <v/>
      </c>
      <c r="I191" s="181">
        <f>IFERROR(""&amp;INDEX(tk_LOCTXT,MATCH(186,tk_FSEQ,0)),"")</f>
        <v/>
      </c>
      <c r="J191" s="162">
        <f>IFERROR(""&amp;INDEX(tk_FNOTES,MATCH(186,tk_FSEQ,0)),"")</f>
        <v/>
      </c>
    </row>
    <row r="192">
      <c r="A192" s="161">
        <f>IFERROR(""&amp;INDEX(tk_MARK,MATCH(187,tk_FSEQ,0)),"")</f>
        <v/>
      </c>
      <c r="B192" s="162">
        <f>IFERROR(INDEX(tk_QTY,MATCH(187,tk_FSEQ,0)),"")</f>
        <v/>
      </c>
      <c r="C192" s="162">
        <f>IFERROR(INDEX(tk_ROOMF,MATCH(187,tk_FSEQ,0))&amp;IF(INDEX(tk_ROOMT,MATCH(187,tk_FSEQ,0))="",""," → "&amp;INDEX(tk_ROOMT,MATCH(187,tk_FSEQ,0))),"")</f>
        <v/>
      </c>
      <c r="D192" s="162">
        <f>IFERROR(""&amp;INDEX(tk_SIZE,MATCH(187,tk_FSEQ,0)),"")</f>
        <v/>
      </c>
      <c r="E192" s="162">
        <f>IFERROR(""&amp;INDEX(tk_RATING,MATCH(187,tk_FSEQ,0)),"")</f>
        <v/>
      </c>
      <c r="F192" s="162">
        <f>IFERROR(TEXT(INDEX(tk_OAW,MATCH(187,tk_FSEQ,0)),"0.000")&amp;" x "&amp;TEXT(INDEX(tk_OAH,MATCH(187,tk_FSEQ,0)),"0.000"),"")</f>
        <v/>
      </c>
      <c r="G192" s="162">
        <f>IFERROR(IF(INDEX(tk_ANCHT,MATCH(187,tk_FSEQ,0))="","",INDEX(tk_ANCHT,MATCH(187,tk_FSEQ,0))&amp;" + "&amp;INDEX(tk_BASEA,MATCH(187,tk_FSEQ,0))),"")</f>
        <v/>
      </c>
      <c r="H192" s="181">
        <f>IFERROR(""&amp;INDEX(tk_FLINE,MATCH(187,tk_FSEQ,0)),"")</f>
        <v/>
      </c>
      <c r="I192" s="181">
        <f>IFERROR(""&amp;INDEX(tk_LOCTXT,MATCH(187,tk_FSEQ,0)),"")</f>
        <v/>
      </c>
      <c r="J192" s="162">
        <f>IFERROR(""&amp;INDEX(tk_FNOTES,MATCH(187,tk_FSEQ,0)),"")</f>
        <v/>
      </c>
    </row>
    <row r="193">
      <c r="A193" s="161">
        <f>IFERROR(""&amp;INDEX(tk_MARK,MATCH(188,tk_FSEQ,0)),"")</f>
        <v/>
      </c>
      <c r="B193" s="162">
        <f>IFERROR(INDEX(tk_QTY,MATCH(188,tk_FSEQ,0)),"")</f>
        <v/>
      </c>
      <c r="C193" s="162">
        <f>IFERROR(INDEX(tk_ROOMF,MATCH(188,tk_FSEQ,0))&amp;IF(INDEX(tk_ROOMT,MATCH(188,tk_FSEQ,0))="",""," → "&amp;INDEX(tk_ROOMT,MATCH(188,tk_FSEQ,0))),"")</f>
        <v/>
      </c>
      <c r="D193" s="162">
        <f>IFERROR(""&amp;INDEX(tk_SIZE,MATCH(188,tk_FSEQ,0)),"")</f>
        <v/>
      </c>
      <c r="E193" s="162">
        <f>IFERROR(""&amp;INDEX(tk_RATING,MATCH(188,tk_FSEQ,0)),"")</f>
        <v/>
      </c>
      <c r="F193" s="162">
        <f>IFERROR(TEXT(INDEX(tk_OAW,MATCH(188,tk_FSEQ,0)),"0.000")&amp;" x "&amp;TEXT(INDEX(tk_OAH,MATCH(188,tk_FSEQ,0)),"0.000"),"")</f>
        <v/>
      </c>
      <c r="G193" s="162">
        <f>IFERROR(IF(INDEX(tk_ANCHT,MATCH(188,tk_FSEQ,0))="","",INDEX(tk_ANCHT,MATCH(188,tk_FSEQ,0))&amp;" + "&amp;INDEX(tk_BASEA,MATCH(188,tk_FSEQ,0))),"")</f>
        <v/>
      </c>
      <c r="H193" s="181">
        <f>IFERROR(""&amp;INDEX(tk_FLINE,MATCH(188,tk_FSEQ,0)),"")</f>
        <v/>
      </c>
      <c r="I193" s="181">
        <f>IFERROR(""&amp;INDEX(tk_LOCTXT,MATCH(188,tk_FSEQ,0)),"")</f>
        <v/>
      </c>
      <c r="J193" s="162">
        <f>IFERROR(""&amp;INDEX(tk_FNOTES,MATCH(188,tk_FSEQ,0)),"")</f>
        <v/>
      </c>
    </row>
    <row r="194">
      <c r="A194" s="161">
        <f>IFERROR(""&amp;INDEX(tk_MARK,MATCH(189,tk_FSEQ,0)),"")</f>
        <v/>
      </c>
      <c r="B194" s="162">
        <f>IFERROR(INDEX(tk_QTY,MATCH(189,tk_FSEQ,0)),"")</f>
        <v/>
      </c>
      <c r="C194" s="162">
        <f>IFERROR(INDEX(tk_ROOMF,MATCH(189,tk_FSEQ,0))&amp;IF(INDEX(tk_ROOMT,MATCH(189,tk_FSEQ,0))="",""," → "&amp;INDEX(tk_ROOMT,MATCH(189,tk_FSEQ,0))),"")</f>
        <v/>
      </c>
      <c r="D194" s="162">
        <f>IFERROR(""&amp;INDEX(tk_SIZE,MATCH(189,tk_FSEQ,0)),"")</f>
        <v/>
      </c>
      <c r="E194" s="162">
        <f>IFERROR(""&amp;INDEX(tk_RATING,MATCH(189,tk_FSEQ,0)),"")</f>
        <v/>
      </c>
      <c r="F194" s="162">
        <f>IFERROR(TEXT(INDEX(tk_OAW,MATCH(189,tk_FSEQ,0)),"0.000")&amp;" x "&amp;TEXT(INDEX(tk_OAH,MATCH(189,tk_FSEQ,0)),"0.000"),"")</f>
        <v/>
      </c>
      <c r="G194" s="162">
        <f>IFERROR(IF(INDEX(tk_ANCHT,MATCH(189,tk_FSEQ,0))="","",INDEX(tk_ANCHT,MATCH(189,tk_FSEQ,0))&amp;" + "&amp;INDEX(tk_BASEA,MATCH(189,tk_FSEQ,0))),"")</f>
        <v/>
      </c>
      <c r="H194" s="181">
        <f>IFERROR(""&amp;INDEX(tk_FLINE,MATCH(189,tk_FSEQ,0)),"")</f>
        <v/>
      </c>
      <c r="I194" s="181">
        <f>IFERROR(""&amp;INDEX(tk_LOCTXT,MATCH(189,tk_FSEQ,0)),"")</f>
        <v/>
      </c>
      <c r="J194" s="162">
        <f>IFERROR(""&amp;INDEX(tk_FNOTES,MATCH(189,tk_FSEQ,0)),"")</f>
        <v/>
      </c>
    </row>
    <row r="195">
      <c r="A195" s="161">
        <f>IFERROR(""&amp;INDEX(tk_MARK,MATCH(190,tk_FSEQ,0)),"")</f>
        <v/>
      </c>
      <c r="B195" s="162">
        <f>IFERROR(INDEX(tk_QTY,MATCH(190,tk_FSEQ,0)),"")</f>
        <v/>
      </c>
      <c r="C195" s="162">
        <f>IFERROR(INDEX(tk_ROOMF,MATCH(190,tk_FSEQ,0))&amp;IF(INDEX(tk_ROOMT,MATCH(190,tk_FSEQ,0))="",""," → "&amp;INDEX(tk_ROOMT,MATCH(190,tk_FSEQ,0))),"")</f>
        <v/>
      </c>
      <c r="D195" s="162">
        <f>IFERROR(""&amp;INDEX(tk_SIZE,MATCH(190,tk_FSEQ,0)),"")</f>
        <v/>
      </c>
      <c r="E195" s="162">
        <f>IFERROR(""&amp;INDEX(tk_RATING,MATCH(190,tk_FSEQ,0)),"")</f>
        <v/>
      </c>
      <c r="F195" s="162">
        <f>IFERROR(TEXT(INDEX(tk_OAW,MATCH(190,tk_FSEQ,0)),"0.000")&amp;" x "&amp;TEXT(INDEX(tk_OAH,MATCH(190,tk_FSEQ,0)),"0.000"),"")</f>
        <v/>
      </c>
      <c r="G195" s="162">
        <f>IFERROR(IF(INDEX(tk_ANCHT,MATCH(190,tk_FSEQ,0))="","",INDEX(tk_ANCHT,MATCH(190,tk_FSEQ,0))&amp;" + "&amp;INDEX(tk_BASEA,MATCH(190,tk_FSEQ,0))),"")</f>
        <v/>
      </c>
      <c r="H195" s="181">
        <f>IFERROR(""&amp;INDEX(tk_FLINE,MATCH(190,tk_FSEQ,0)),"")</f>
        <v/>
      </c>
      <c r="I195" s="181">
        <f>IFERROR(""&amp;INDEX(tk_LOCTXT,MATCH(190,tk_FSEQ,0)),"")</f>
        <v/>
      </c>
      <c r="J195" s="162">
        <f>IFERROR(""&amp;INDEX(tk_FNOTES,MATCH(190,tk_FSEQ,0)),"")</f>
        <v/>
      </c>
    </row>
    <row r="196">
      <c r="A196" s="161">
        <f>IFERROR(""&amp;INDEX(tk_MARK,MATCH(191,tk_FSEQ,0)),"")</f>
        <v/>
      </c>
      <c r="B196" s="162">
        <f>IFERROR(INDEX(tk_QTY,MATCH(191,tk_FSEQ,0)),"")</f>
        <v/>
      </c>
      <c r="C196" s="162">
        <f>IFERROR(INDEX(tk_ROOMF,MATCH(191,tk_FSEQ,0))&amp;IF(INDEX(tk_ROOMT,MATCH(191,tk_FSEQ,0))="",""," → "&amp;INDEX(tk_ROOMT,MATCH(191,tk_FSEQ,0))),"")</f>
        <v/>
      </c>
      <c r="D196" s="162">
        <f>IFERROR(""&amp;INDEX(tk_SIZE,MATCH(191,tk_FSEQ,0)),"")</f>
        <v/>
      </c>
      <c r="E196" s="162">
        <f>IFERROR(""&amp;INDEX(tk_RATING,MATCH(191,tk_FSEQ,0)),"")</f>
        <v/>
      </c>
      <c r="F196" s="162">
        <f>IFERROR(TEXT(INDEX(tk_OAW,MATCH(191,tk_FSEQ,0)),"0.000")&amp;" x "&amp;TEXT(INDEX(tk_OAH,MATCH(191,tk_FSEQ,0)),"0.000"),"")</f>
        <v/>
      </c>
      <c r="G196" s="162">
        <f>IFERROR(IF(INDEX(tk_ANCHT,MATCH(191,tk_FSEQ,0))="","",INDEX(tk_ANCHT,MATCH(191,tk_FSEQ,0))&amp;" + "&amp;INDEX(tk_BASEA,MATCH(191,tk_FSEQ,0))),"")</f>
        <v/>
      </c>
      <c r="H196" s="181">
        <f>IFERROR(""&amp;INDEX(tk_FLINE,MATCH(191,tk_FSEQ,0)),"")</f>
        <v/>
      </c>
      <c r="I196" s="181">
        <f>IFERROR(""&amp;INDEX(tk_LOCTXT,MATCH(191,tk_FSEQ,0)),"")</f>
        <v/>
      </c>
      <c r="J196" s="162">
        <f>IFERROR(""&amp;INDEX(tk_FNOTES,MATCH(191,tk_FSEQ,0)),"")</f>
        <v/>
      </c>
    </row>
    <row r="197">
      <c r="A197" s="161">
        <f>IFERROR(""&amp;INDEX(tk_MARK,MATCH(192,tk_FSEQ,0)),"")</f>
        <v/>
      </c>
      <c r="B197" s="162">
        <f>IFERROR(INDEX(tk_QTY,MATCH(192,tk_FSEQ,0)),"")</f>
        <v/>
      </c>
      <c r="C197" s="162">
        <f>IFERROR(INDEX(tk_ROOMF,MATCH(192,tk_FSEQ,0))&amp;IF(INDEX(tk_ROOMT,MATCH(192,tk_FSEQ,0))="",""," → "&amp;INDEX(tk_ROOMT,MATCH(192,tk_FSEQ,0))),"")</f>
        <v/>
      </c>
      <c r="D197" s="162">
        <f>IFERROR(""&amp;INDEX(tk_SIZE,MATCH(192,tk_FSEQ,0)),"")</f>
        <v/>
      </c>
      <c r="E197" s="162">
        <f>IFERROR(""&amp;INDEX(tk_RATING,MATCH(192,tk_FSEQ,0)),"")</f>
        <v/>
      </c>
      <c r="F197" s="162">
        <f>IFERROR(TEXT(INDEX(tk_OAW,MATCH(192,tk_FSEQ,0)),"0.000")&amp;" x "&amp;TEXT(INDEX(tk_OAH,MATCH(192,tk_FSEQ,0)),"0.000"),"")</f>
        <v/>
      </c>
      <c r="G197" s="162">
        <f>IFERROR(IF(INDEX(tk_ANCHT,MATCH(192,tk_FSEQ,0))="","",INDEX(tk_ANCHT,MATCH(192,tk_FSEQ,0))&amp;" + "&amp;INDEX(tk_BASEA,MATCH(192,tk_FSEQ,0))),"")</f>
        <v/>
      </c>
      <c r="H197" s="181">
        <f>IFERROR(""&amp;INDEX(tk_FLINE,MATCH(192,tk_FSEQ,0)),"")</f>
        <v/>
      </c>
      <c r="I197" s="181">
        <f>IFERROR(""&amp;INDEX(tk_LOCTXT,MATCH(192,tk_FSEQ,0)),"")</f>
        <v/>
      </c>
      <c r="J197" s="162">
        <f>IFERROR(""&amp;INDEX(tk_FNOTES,MATCH(192,tk_FSEQ,0)),"")</f>
        <v/>
      </c>
    </row>
    <row r="198">
      <c r="A198" s="161">
        <f>IFERROR(""&amp;INDEX(tk_MARK,MATCH(193,tk_FSEQ,0)),"")</f>
        <v/>
      </c>
      <c r="B198" s="162">
        <f>IFERROR(INDEX(tk_QTY,MATCH(193,tk_FSEQ,0)),"")</f>
        <v/>
      </c>
      <c r="C198" s="162">
        <f>IFERROR(INDEX(tk_ROOMF,MATCH(193,tk_FSEQ,0))&amp;IF(INDEX(tk_ROOMT,MATCH(193,tk_FSEQ,0))="",""," → "&amp;INDEX(tk_ROOMT,MATCH(193,tk_FSEQ,0))),"")</f>
        <v/>
      </c>
      <c r="D198" s="162">
        <f>IFERROR(""&amp;INDEX(tk_SIZE,MATCH(193,tk_FSEQ,0)),"")</f>
        <v/>
      </c>
      <c r="E198" s="162">
        <f>IFERROR(""&amp;INDEX(tk_RATING,MATCH(193,tk_FSEQ,0)),"")</f>
        <v/>
      </c>
      <c r="F198" s="162">
        <f>IFERROR(TEXT(INDEX(tk_OAW,MATCH(193,tk_FSEQ,0)),"0.000")&amp;" x "&amp;TEXT(INDEX(tk_OAH,MATCH(193,tk_FSEQ,0)),"0.000"),"")</f>
        <v/>
      </c>
      <c r="G198" s="162">
        <f>IFERROR(IF(INDEX(tk_ANCHT,MATCH(193,tk_FSEQ,0))="","",INDEX(tk_ANCHT,MATCH(193,tk_FSEQ,0))&amp;" + "&amp;INDEX(tk_BASEA,MATCH(193,tk_FSEQ,0))),"")</f>
        <v/>
      </c>
      <c r="H198" s="181">
        <f>IFERROR(""&amp;INDEX(tk_FLINE,MATCH(193,tk_FSEQ,0)),"")</f>
        <v/>
      </c>
      <c r="I198" s="181">
        <f>IFERROR(""&amp;INDEX(tk_LOCTXT,MATCH(193,tk_FSEQ,0)),"")</f>
        <v/>
      </c>
      <c r="J198" s="162">
        <f>IFERROR(""&amp;INDEX(tk_FNOTES,MATCH(193,tk_FSEQ,0)),"")</f>
        <v/>
      </c>
    </row>
    <row r="199">
      <c r="A199" s="161">
        <f>IFERROR(""&amp;INDEX(tk_MARK,MATCH(194,tk_FSEQ,0)),"")</f>
        <v/>
      </c>
      <c r="B199" s="162">
        <f>IFERROR(INDEX(tk_QTY,MATCH(194,tk_FSEQ,0)),"")</f>
        <v/>
      </c>
      <c r="C199" s="162">
        <f>IFERROR(INDEX(tk_ROOMF,MATCH(194,tk_FSEQ,0))&amp;IF(INDEX(tk_ROOMT,MATCH(194,tk_FSEQ,0))="",""," → "&amp;INDEX(tk_ROOMT,MATCH(194,tk_FSEQ,0))),"")</f>
        <v/>
      </c>
      <c r="D199" s="162">
        <f>IFERROR(""&amp;INDEX(tk_SIZE,MATCH(194,tk_FSEQ,0)),"")</f>
        <v/>
      </c>
      <c r="E199" s="162">
        <f>IFERROR(""&amp;INDEX(tk_RATING,MATCH(194,tk_FSEQ,0)),"")</f>
        <v/>
      </c>
      <c r="F199" s="162">
        <f>IFERROR(TEXT(INDEX(tk_OAW,MATCH(194,tk_FSEQ,0)),"0.000")&amp;" x "&amp;TEXT(INDEX(tk_OAH,MATCH(194,tk_FSEQ,0)),"0.000"),"")</f>
        <v/>
      </c>
      <c r="G199" s="162">
        <f>IFERROR(IF(INDEX(tk_ANCHT,MATCH(194,tk_FSEQ,0))="","",INDEX(tk_ANCHT,MATCH(194,tk_FSEQ,0))&amp;" + "&amp;INDEX(tk_BASEA,MATCH(194,tk_FSEQ,0))),"")</f>
        <v/>
      </c>
      <c r="H199" s="181">
        <f>IFERROR(""&amp;INDEX(tk_FLINE,MATCH(194,tk_FSEQ,0)),"")</f>
        <v/>
      </c>
      <c r="I199" s="181">
        <f>IFERROR(""&amp;INDEX(tk_LOCTXT,MATCH(194,tk_FSEQ,0)),"")</f>
        <v/>
      </c>
      <c r="J199" s="162">
        <f>IFERROR(""&amp;INDEX(tk_FNOTES,MATCH(194,tk_FSEQ,0)),"")</f>
        <v/>
      </c>
    </row>
    <row r="200">
      <c r="A200" s="161">
        <f>IFERROR(""&amp;INDEX(tk_MARK,MATCH(195,tk_FSEQ,0)),"")</f>
        <v/>
      </c>
      <c r="B200" s="162">
        <f>IFERROR(INDEX(tk_QTY,MATCH(195,tk_FSEQ,0)),"")</f>
        <v/>
      </c>
      <c r="C200" s="162">
        <f>IFERROR(INDEX(tk_ROOMF,MATCH(195,tk_FSEQ,0))&amp;IF(INDEX(tk_ROOMT,MATCH(195,tk_FSEQ,0))="",""," → "&amp;INDEX(tk_ROOMT,MATCH(195,tk_FSEQ,0))),"")</f>
        <v/>
      </c>
      <c r="D200" s="162">
        <f>IFERROR(""&amp;INDEX(tk_SIZE,MATCH(195,tk_FSEQ,0)),"")</f>
        <v/>
      </c>
      <c r="E200" s="162">
        <f>IFERROR(""&amp;INDEX(tk_RATING,MATCH(195,tk_FSEQ,0)),"")</f>
        <v/>
      </c>
      <c r="F200" s="162">
        <f>IFERROR(TEXT(INDEX(tk_OAW,MATCH(195,tk_FSEQ,0)),"0.000")&amp;" x "&amp;TEXT(INDEX(tk_OAH,MATCH(195,tk_FSEQ,0)),"0.000"),"")</f>
        <v/>
      </c>
      <c r="G200" s="162">
        <f>IFERROR(IF(INDEX(tk_ANCHT,MATCH(195,tk_FSEQ,0))="","",INDEX(tk_ANCHT,MATCH(195,tk_FSEQ,0))&amp;" + "&amp;INDEX(tk_BASEA,MATCH(195,tk_FSEQ,0))),"")</f>
        <v/>
      </c>
      <c r="H200" s="181">
        <f>IFERROR(""&amp;INDEX(tk_FLINE,MATCH(195,tk_FSEQ,0)),"")</f>
        <v/>
      </c>
      <c r="I200" s="181">
        <f>IFERROR(""&amp;INDEX(tk_LOCTXT,MATCH(195,tk_FSEQ,0)),"")</f>
        <v/>
      </c>
      <c r="J200" s="162">
        <f>IFERROR(""&amp;INDEX(tk_FNOTES,MATCH(195,tk_FSEQ,0)),"")</f>
        <v/>
      </c>
    </row>
    <row r="201">
      <c r="A201" s="161">
        <f>IFERROR(""&amp;INDEX(tk_MARK,MATCH(196,tk_FSEQ,0)),"")</f>
        <v/>
      </c>
      <c r="B201" s="162">
        <f>IFERROR(INDEX(tk_QTY,MATCH(196,tk_FSEQ,0)),"")</f>
        <v/>
      </c>
      <c r="C201" s="162">
        <f>IFERROR(INDEX(tk_ROOMF,MATCH(196,tk_FSEQ,0))&amp;IF(INDEX(tk_ROOMT,MATCH(196,tk_FSEQ,0))="",""," → "&amp;INDEX(tk_ROOMT,MATCH(196,tk_FSEQ,0))),"")</f>
        <v/>
      </c>
      <c r="D201" s="162">
        <f>IFERROR(""&amp;INDEX(tk_SIZE,MATCH(196,tk_FSEQ,0)),"")</f>
        <v/>
      </c>
      <c r="E201" s="162">
        <f>IFERROR(""&amp;INDEX(tk_RATING,MATCH(196,tk_FSEQ,0)),"")</f>
        <v/>
      </c>
      <c r="F201" s="162">
        <f>IFERROR(TEXT(INDEX(tk_OAW,MATCH(196,tk_FSEQ,0)),"0.000")&amp;" x "&amp;TEXT(INDEX(tk_OAH,MATCH(196,tk_FSEQ,0)),"0.000"),"")</f>
        <v/>
      </c>
      <c r="G201" s="162">
        <f>IFERROR(IF(INDEX(tk_ANCHT,MATCH(196,tk_FSEQ,0))="","",INDEX(tk_ANCHT,MATCH(196,tk_FSEQ,0))&amp;" + "&amp;INDEX(tk_BASEA,MATCH(196,tk_FSEQ,0))),"")</f>
        <v/>
      </c>
      <c r="H201" s="181">
        <f>IFERROR(""&amp;INDEX(tk_FLINE,MATCH(196,tk_FSEQ,0)),"")</f>
        <v/>
      </c>
      <c r="I201" s="181">
        <f>IFERROR(""&amp;INDEX(tk_LOCTXT,MATCH(196,tk_FSEQ,0)),"")</f>
        <v/>
      </c>
      <c r="J201" s="162">
        <f>IFERROR(""&amp;INDEX(tk_FNOTES,MATCH(196,tk_FSEQ,0)),"")</f>
        <v/>
      </c>
    </row>
    <row r="202">
      <c r="A202" s="161">
        <f>IFERROR(""&amp;INDEX(tk_MARK,MATCH(197,tk_FSEQ,0)),"")</f>
        <v/>
      </c>
      <c r="B202" s="162">
        <f>IFERROR(INDEX(tk_QTY,MATCH(197,tk_FSEQ,0)),"")</f>
        <v/>
      </c>
      <c r="C202" s="162">
        <f>IFERROR(INDEX(tk_ROOMF,MATCH(197,tk_FSEQ,0))&amp;IF(INDEX(tk_ROOMT,MATCH(197,tk_FSEQ,0))="",""," → "&amp;INDEX(tk_ROOMT,MATCH(197,tk_FSEQ,0))),"")</f>
        <v/>
      </c>
      <c r="D202" s="162">
        <f>IFERROR(""&amp;INDEX(tk_SIZE,MATCH(197,tk_FSEQ,0)),"")</f>
        <v/>
      </c>
      <c r="E202" s="162">
        <f>IFERROR(""&amp;INDEX(tk_RATING,MATCH(197,tk_FSEQ,0)),"")</f>
        <v/>
      </c>
      <c r="F202" s="162">
        <f>IFERROR(TEXT(INDEX(tk_OAW,MATCH(197,tk_FSEQ,0)),"0.000")&amp;" x "&amp;TEXT(INDEX(tk_OAH,MATCH(197,tk_FSEQ,0)),"0.000"),"")</f>
        <v/>
      </c>
      <c r="G202" s="162">
        <f>IFERROR(IF(INDEX(tk_ANCHT,MATCH(197,tk_FSEQ,0))="","",INDEX(tk_ANCHT,MATCH(197,tk_FSEQ,0))&amp;" + "&amp;INDEX(tk_BASEA,MATCH(197,tk_FSEQ,0))),"")</f>
        <v/>
      </c>
      <c r="H202" s="181">
        <f>IFERROR(""&amp;INDEX(tk_FLINE,MATCH(197,tk_FSEQ,0)),"")</f>
        <v/>
      </c>
      <c r="I202" s="181">
        <f>IFERROR(""&amp;INDEX(tk_LOCTXT,MATCH(197,tk_FSEQ,0)),"")</f>
        <v/>
      </c>
      <c r="J202" s="162">
        <f>IFERROR(""&amp;INDEX(tk_FNOTES,MATCH(197,tk_FSEQ,0)),"")</f>
        <v/>
      </c>
    </row>
    <row r="203">
      <c r="A203" s="161">
        <f>IFERROR(""&amp;INDEX(tk_MARK,MATCH(198,tk_FSEQ,0)),"")</f>
        <v/>
      </c>
      <c r="B203" s="162">
        <f>IFERROR(INDEX(tk_QTY,MATCH(198,tk_FSEQ,0)),"")</f>
        <v/>
      </c>
      <c r="C203" s="162">
        <f>IFERROR(INDEX(tk_ROOMF,MATCH(198,tk_FSEQ,0))&amp;IF(INDEX(tk_ROOMT,MATCH(198,tk_FSEQ,0))="",""," → "&amp;INDEX(tk_ROOMT,MATCH(198,tk_FSEQ,0))),"")</f>
        <v/>
      </c>
      <c r="D203" s="162">
        <f>IFERROR(""&amp;INDEX(tk_SIZE,MATCH(198,tk_FSEQ,0)),"")</f>
        <v/>
      </c>
      <c r="E203" s="162">
        <f>IFERROR(""&amp;INDEX(tk_RATING,MATCH(198,tk_FSEQ,0)),"")</f>
        <v/>
      </c>
      <c r="F203" s="162">
        <f>IFERROR(TEXT(INDEX(tk_OAW,MATCH(198,tk_FSEQ,0)),"0.000")&amp;" x "&amp;TEXT(INDEX(tk_OAH,MATCH(198,tk_FSEQ,0)),"0.000"),"")</f>
        <v/>
      </c>
      <c r="G203" s="162">
        <f>IFERROR(IF(INDEX(tk_ANCHT,MATCH(198,tk_FSEQ,0))="","",INDEX(tk_ANCHT,MATCH(198,tk_FSEQ,0))&amp;" + "&amp;INDEX(tk_BASEA,MATCH(198,tk_FSEQ,0))),"")</f>
        <v/>
      </c>
      <c r="H203" s="181">
        <f>IFERROR(""&amp;INDEX(tk_FLINE,MATCH(198,tk_FSEQ,0)),"")</f>
        <v/>
      </c>
      <c r="I203" s="181">
        <f>IFERROR(""&amp;INDEX(tk_LOCTXT,MATCH(198,tk_FSEQ,0)),"")</f>
        <v/>
      </c>
      <c r="J203" s="162">
        <f>IFERROR(""&amp;INDEX(tk_FNOTES,MATCH(198,tk_FSEQ,0)),"")</f>
        <v/>
      </c>
    </row>
    <row r="204">
      <c r="A204" s="161">
        <f>IFERROR(""&amp;INDEX(tk_MARK,MATCH(199,tk_FSEQ,0)),"")</f>
        <v/>
      </c>
      <c r="B204" s="162">
        <f>IFERROR(INDEX(tk_QTY,MATCH(199,tk_FSEQ,0)),"")</f>
        <v/>
      </c>
      <c r="C204" s="162">
        <f>IFERROR(INDEX(tk_ROOMF,MATCH(199,tk_FSEQ,0))&amp;IF(INDEX(tk_ROOMT,MATCH(199,tk_FSEQ,0))="",""," → "&amp;INDEX(tk_ROOMT,MATCH(199,tk_FSEQ,0))),"")</f>
        <v/>
      </c>
      <c r="D204" s="162">
        <f>IFERROR(""&amp;INDEX(tk_SIZE,MATCH(199,tk_FSEQ,0)),"")</f>
        <v/>
      </c>
      <c r="E204" s="162">
        <f>IFERROR(""&amp;INDEX(tk_RATING,MATCH(199,tk_FSEQ,0)),"")</f>
        <v/>
      </c>
      <c r="F204" s="162">
        <f>IFERROR(TEXT(INDEX(tk_OAW,MATCH(199,tk_FSEQ,0)),"0.000")&amp;" x "&amp;TEXT(INDEX(tk_OAH,MATCH(199,tk_FSEQ,0)),"0.000"),"")</f>
        <v/>
      </c>
      <c r="G204" s="162">
        <f>IFERROR(IF(INDEX(tk_ANCHT,MATCH(199,tk_FSEQ,0))="","",INDEX(tk_ANCHT,MATCH(199,tk_FSEQ,0))&amp;" + "&amp;INDEX(tk_BASEA,MATCH(199,tk_FSEQ,0))),"")</f>
        <v/>
      </c>
      <c r="H204" s="181">
        <f>IFERROR(""&amp;INDEX(tk_FLINE,MATCH(199,tk_FSEQ,0)),"")</f>
        <v/>
      </c>
      <c r="I204" s="181">
        <f>IFERROR(""&amp;INDEX(tk_LOCTXT,MATCH(199,tk_FSEQ,0)),"")</f>
        <v/>
      </c>
      <c r="J204" s="162">
        <f>IFERROR(""&amp;INDEX(tk_FNOTES,MATCH(199,tk_FSEQ,0)),"")</f>
        <v/>
      </c>
    </row>
    <row r="205">
      <c r="A205" s="161">
        <f>IFERROR(""&amp;INDEX(tk_MARK,MATCH(200,tk_FSEQ,0)),"")</f>
        <v/>
      </c>
      <c r="B205" s="162">
        <f>IFERROR(INDEX(tk_QTY,MATCH(200,tk_FSEQ,0)),"")</f>
        <v/>
      </c>
      <c r="C205" s="162">
        <f>IFERROR(INDEX(tk_ROOMF,MATCH(200,tk_FSEQ,0))&amp;IF(INDEX(tk_ROOMT,MATCH(200,tk_FSEQ,0))="",""," → "&amp;INDEX(tk_ROOMT,MATCH(200,tk_FSEQ,0))),"")</f>
        <v/>
      </c>
      <c r="D205" s="162">
        <f>IFERROR(""&amp;INDEX(tk_SIZE,MATCH(200,tk_FSEQ,0)),"")</f>
        <v/>
      </c>
      <c r="E205" s="162">
        <f>IFERROR(""&amp;INDEX(tk_RATING,MATCH(200,tk_FSEQ,0)),"")</f>
        <v/>
      </c>
      <c r="F205" s="162">
        <f>IFERROR(TEXT(INDEX(tk_OAW,MATCH(200,tk_FSEQ,0)),"0.000")&amp;" x "&amp;TEXT(INDEX(tk_OAH,MATCH(200,tk_FSEQ,0)),"0.000"),"")</f>
        <v/>
      </c>
      <c r="G205" s="162">
        <f>IFERROR(IF(INDEX(tk_ANCHT,MATCH(200,tk_FSEQ,0))="","",INDEX(tk_ANCHT,MATCH(200,tk_FSEQ,0))&amp;" + "&amp;INDEX(tk_BASEA,MATCH(200,tk_FSEQ,0))),"")</f>
        <v/>
      </c>
      <c r="H205" s="181">
        <f>IFERROR(""&amp;INDEX(tk_FLINE,MATCH(200,tk_FSEQ,0)),"")</f>
        <v/>
      </c>
      <c r="I205" s="181">
        <f>IFERROR(""&amp;INDEX(tk_LOCTXT,MATCH(200,tk_FSEQ,0)),"")</f>
        <v/>
      </c>
      <c r="J205" s="162">
        <f>IFERROR(""&amp;INDEX(tk_FNOTES,MATCH(200,tk_FSEQ,0)),"")</f>
        <v/>
      </c>
    </row>
    <row r="206">
      <c r="A206" s="161">
        <f>IFERROR(""&amp;INDEX(tk_MARK,MATCH(201,tk_FSEQ,0)),"")</f>
        <v/>
      </c>
      <c r="B206" s="162">
        <f>IFERROR(INDEX(tk_QTY,MATCH(201,tk_FSEQ,0)),"")</f>
        <v/>
      </c>
      <c r="C206" s="162">
        <f>IFERROR(INDEX(tk_ROOMF,MATCH(201,tk_FSEQ,0))&amp;IF(INDEX(tk_ROOMT,MATCH(201,tk_FSEQ,0))="",""," → "&amp;INDEX(tk_ROOMT,MATCH(201,tk_FSEQ,0))),"")</f>
        <v/>
      </c>
      <c r="D206" s="162">
        <f>IFERROR(""&amp;INDEX(tk_SIZE,MATCH(201,tk_FSEQ,0)),"")</f>
        <v/>
      </c>
      <c r="E206" s="162">
        <f>IFERROR(""&amp;INDEX(tk_RATING,MATCH(201,tk_FSEQ,0)),"")</f>
        <v/>
      </c>
      <c r="F206" s="162">
        <f>IFERROR(TEXT(INDEX(tk_OAW,MATCH(201,tk_FSEQ,0)),"0.000")&amp;" x "&amp;TEXT(INDEX(tk_OAH,MATCH(201,tk_FSEQ,0)),"0.000"),"")</f>
        <v/>
      </c>
      <c r="G206" s="162">
        <f>IFERROR(IF(INDEX(tk_ANCHT,MATCH(201,tk_FSEQ,0))="","",INDEX(tk_ANCHT,MATCH(201,tk_FSEQ,0))&amp;" + "&amp;INDEX(tk_BASEA,MATCH(201,tk_FSEQ,0))),"")</f>
        <v/>
      </c>
      <c r="H206" s="181">
        <f>IFERROR(""&amp;INDEX(tk_FLINE,MATCH(201,tk_FSEQ,0)),"")</f>
        <v/>
      </c>
      <c r="I206" s="181">
        <f>IFERROR(""&amp;INDEX(tk_LOCTXT,MATCH(201,tk_FSEQ,0)),"")</f>
        <v/>
      </c>
      <c r="J206" s="162">
        <f>IFERROR(""&amp;INDEX(tk_FNOTES,MATCH(201,tk_FSEQ,0)),"")</f>
        <v/>
      </c>
    </row>
    <row r="207">
      <c r="A207" s="161">
        <f>IFERROR(""&amp;INDEX(tk_MARK,MATCH(202,tk_FSEQ,0)),"")</f>
        <v/>
      </c>
      <c r="B207" s="162">
        <f>IFERROR(INDEX(tk_QTY,MATCH(202,tk_FSEQ,0)),"")</f>
        <v/>
      </c>
      <c r="C207" s="162">
        <f>IFERROR(INDEX(tk_ROOMF,MATCH(202,tk_FSEQ,0))&amp;IF(INDEX(tk_ROOMT,MATCH(202,tk_FSEQ,0))="",""," → "&amp;INDEX(tk_ROOMT,MATCH(202,tk_FSEQ,0))),"")</f>
        <v/>
      </c>
      <c r="D207" s="162">
        <f>IFERROR(""&amp;INDEX(tk_SIZE,MATCH(202,tk_FSEQ,0)),"")</f>
        <v/>
      </c>
      <c r="E207" s="162">
        <f>IFERROR(""&amp;INDEX(tk_RATING,MATCH(202,tk_FSEQ,0)),"")</f>
        <v/>
      </c>
      <c r="F207" s="162">
        <f>IFERROR(TEXT(INDEX(tk_OAW,MATCH(202,tk_FSEQ,0)),"0.000")&amp;" x "&amp;TEXT(INDEX(tk_OAH,MATCH(202,tk_FSEQ,0)),"0.000"),"")</f>
        <v/>
      </c>
      <c r="G207" s="162">
        <f>IFERROR(IF(INDEX(tk_ANCHT,MATCH(202,tk_FSEQ,0))="","",INDEX(tk_ANCHT,MATCH(202,tk_FSEQ,0))&amp;" + "&amp;INDEX(tk_BASEA,MATCH(202,tk_FSEQ,0))),"")</f>
        <v/>
      </c>
      <c r="H207" s="181">
        <f>IFERROR(""&amp;INDEX(tk_FLINE,MATCH(202,tk_FSEQ,0)),"")</f>
        <v/>
      </c>
      <c r="I207" s="181">
        <f>IFERROR(""&amp;INDEX(tk_LOCTXT,MATCH(202,tk_FSEQ,0)),"")</f>
        <v/>
      </c>
      <c r="J207" s="162">
        <f>IFERROR(""&amp;INDEX(tk_FNOTES,MATCH(202,tk_FSEQ,0)),"")</f>
        <v/>
      </c>
    </row>
    <row r="208">
      <c r="A208" s="161">
        <f>IFERROR(""&amp;INDEX(tk_MARK,MATCH(203,tk_FSEQ,0)),"")</f>
        <v/>
      </c>
      <c r="B208" s="162">
        <f>IFERROR(INDEX(tk_QTY,MATCH(203,tk_FSEQ,0)),"")</f>
        <v/>
      </c>
      <c r="C208" s="162">
        <f>IFERROR(INDEX(tk_ROOMF,MATCH(203,tk_FSEQ,0))&amp;IF(INDEX(tk_ROOMT,MATCH(203,tk_FSEQ,0))="",""," → "&amp;INDEX(tk_ROOMT,MATCH(203,tk_FSEQ,0))),"")</f>
        <v/>
      </c>
      <c r="D208" s="162">
        <f>IFERROR(""&amp;INDEX(tk_SIZE,MATCH(203,tk_FSEQ,0)),"")</f>
        <v/>
      </c>
      <c r="E208" s="162">
        <f>IFERROR(""&amp;INDEX(tk_RATING,MATCH(203,tk_FSEQ,0)),"")</f>
        <v/>
      </c>
      <c r="F208" s="162">
        <f>IFERROR(TEXT(INDEX(tk_OAW,MATCH(203,tk_FSEQ,0)),"0.000")&amp;" x "&amp;TEXT(INDEX(tk_OAH,MATCH(203,tk_FSEQ,0)),"0.000"),"")</f>
        <v/>
      </c>
      <c r="G208" s="162">
        <f>IFERROR(IF(INDEX(tk_ANCHT,MATCH(203,tk_FSEQ,0))="","",INDEX(tk_ANCHT,MATCH(203,tk_FSEQ,0))&amp;" + "&amp;INDEX(tk_BASEA,MATCH(203,tk_FSEQ,0))),"")</f>
        <v/>
      </c>
      <c r="H208" s="181">
        <f>IFERROR(""&amp;INDEX(tk_FLINE,MATCH(203,tk_FSEQ,0)),"")</f>
        <v/>
      </c>
      <c r="I208" s="181">
        <f>IFERROR(""&amp;INDEX(tk_LOCTXT,MATCH(203,tk_FSEQ,0)),"")</f>
        <v/>
      </c>
      <c r="J208" s="162">
        <f>IFERROR(""&amp;INDEX(tk_FNOTES,MATCH(203,tk_FSEQ,0)),"")</f>
        <v/>
      </c>
    </row>
    <row r="209">
      <c r="A209" s="161">
        <f>IFERROR(""&amp;INDEX(tk_MARK,MATCH(204,tk_FSEQ,0)),"")</f>
        <v/>
      </c>
      <c r="B209" s="162">
        <f>IFERROR(INDEX(tk_QTY,MATCH(204,tk_FSEQ,0)),"")</f>
        <v/>
      </c>
      <c r="C209" s="162">
        <f>IFERROR(INDEX(tk_ROOMF,MATCH(204,tk_FSEQ,0))&amp;IF(INDEX(tk_ROOMT,MATCH(204,tk_FSEQ,0))="",""," → "&amp;INDEX(tk_ROOMT,MATCH(204,tk_FSEQ,0))),"")</f>
        <v/>
      </c>
      <c r="D209" s="162">
        <f>IFERROR(""&amp;INDEX(tk_SIZE,MATCH(204,tk_FSEQ,0)),"")</f>
        <v/>
      </c>
      <c r="E209" s="162">
        <f>IFERROR(""&amp;INDEX(tk_RATING,MATCH(204,tk_FSEQ,0)),"")</f>
        <v/>
      </c>
      <c r="F209" s="162">
        <f>IFERROR(TEXT(INDEX(tk_OAW,MATCH(204,tk_FSEQ,0)),"0.000")&amp;" x "&amp;TEXT(INDEX(tk_OAH,MATCH(204,tk_FSEQ,0)),"0.000"),"")</f>
        <v/>
      </c>
      <c r="G209" s="162">
        <f>IFERROR(IF(INDEX(tk_ANCHT,MATCH(204,tk_FSEQ,0))="","",INDEX(tk_ANCHT,MATCH(204,tk_FSEQ,0))&amp;" + "&amp;INDEX(tk_BASEA,MATCH(204,tk_FSEQ,0))),"")</f>
        <v/>
      </c>
      <c r="H209" s="181">
        <f>IFERROR(""&amp;INDEX(tk_FLINE,MATCH(204,tk_FSEQ,0)),"")</f>
        <v/>
      </c>
      <c r="I209" s="181">
        <f>IFERROR(""&amp;INDEX(tk_LOCTXT,MATCH(204,tk_FSEQ,0)),"")</f>
        <v/>
      </c>
      <c r="J209" s="162">
        <f>IFERROR(""&amp;INDEX(tk_FNOTES,MATCH(204,tk_FSEQ,0)),"")</f>
        <v/>
      </c>
    </row>
    <row r="210">
      <c r="A210" s="161">
        <f>IFERROR(""&amp;INDEX(tk_MARK,MATCH(205,tk_FSEQ,0)),"")</f>
        <v/>
      </c>
      <c r="B210" s="162">
        <f>IFERROR(INDEX(tk_QTY,MATCH(205,tk_FSEQ,0)),"")</f>
        <v/>
      </c>
      <c r="C210" s="162">
        <f>IFERROR(INDEX(tk_ROOMF,MATCH(205,tk_FSEQ,0))&amp;IF(INDEX(tk_ROOMT,MATCH(205,tk_FSEQ,0))="",""," → "&amp;INDEX(tk_ROOMT,MATCH(205,tk_FSEQ,0))),"")</f>
        <v/>
      </c>
      <c r="D210" s="162">
        <f>IFERROR(""&amp;INDEX(tk_SIZE,MATCH(205,tk_FSEQ,0)),"")</f>
        <v/>
      </c>
      <c r="E210" s="162">
        <f>IFERROR(""&amp;INDEX(tk_RATING,MATCH(205,tk_FSEQ,0)),"")</f>
        <v/>
      </c>
      <c r="F210" s="162">
        <f>IFERROR(TEXT(INDEX(tk_OAW,MATCH(205,tk_FSEQ,0)),"0.000")&amp;" x "&amp;TEXT(INDEX(tk_OAH,MATCH(205,tk_FSEQ,0)),"0.000"),"")</f>
        <v/>
      </c>
      <c r="G210" s="162">
        <f>IFERROR(IF(INDEX(tk_ANCHT,MATCH(205,tk_FSEQ,0))="","",INDEX(tk_ANCHT,MATCH(205,tk_FSEQ,0))&amp;" + "&amp;INDEX(tk_BASEA,MATCH(205,tk_FSEQ,0))),"")</f>
        <v/>
      </c>
      <c r="H210" s="181">
        <f>IFERROR(""&amp;INDEX(tk_FLINE,MATCH(205,tk_FSEQ,0)),"")</f>
        <v/>
      </c>
      <c r="I210" s="181">
        <f>IFERROR(""&amp;INDEX(tk_LOCTXT,MATCH(205,tk_FSEQ,0)),"")</f>
        <v/>
      </c>
      <c r="J210" s="162">
        <f>IFERROR(""&amp;INDEX(tk_FNOTES,MATCH(205,tk_FSEQ,0)),"")</f>
        <v/>
      </c>
    </row>
    <row r="211">
      <c r="A211" s="161">
        <f>IFERROR(""&amp;INDEX(tk_MARK,MATCH(206,tk_FSEQ,0)),"")</f>
        <v/>
      </c>
      <c r="B211" s="162">
        <f>IFERROR(INDEX(tk_QTY,MATCH(206,tk_FSEQ,0)),"")</f>
        <v/>
      </c>
      <c r="C211" s="162">
        <f>IFERROR(INDEX(tk_ROOMF,MATCH(206,tk_FSEQ,0))&amp;IF(INDEX(tk_ROOMT,MATCH(206,tk_FSEQ,0))="",""," → "&amp;INDEX(tk_ROOMT,MATCH(206,tk_FSEQ,0))),"")</f>
        <v/>
      </c>
      <c r="D211" s="162">
        <f>IFERROR(""&amp;INDEX(tk_SIZE,MATCH(206,tk_FSEQ,0)),"")</f>
        <v/>
      </c>
      <c r="E211" s="162">
        <f>IFERROR(""&amp;INDEX(tk_RATING,MATCH(206,tk_FSEQ,0)),"")</f>
        <v/>
      </c>
      <c r="F211" s="162">
        <f>IFERROR(TEXT(INDEX(tk_OAW,MATCH(206,tk_FSEQ,0)),"0.000")&amp;" x "&amp;TEXT(INDEX(tk_OAH,MATCH(206,tk_FSEQ,0)),"0.000"),"")</f>
        <v/>
      </c>
      <c r="G211" s="162">
        <f>IFERROR(IF(INDEX(tk_ANCHT,MATCH(206,tk_FSEQ,0))="","",INDEX(tk_ANCHT,MATCH(206,tk_FSEQ,0))&amp;" + "&amp;INDEX(tk_BASEA,MATCH(206,tk_FSEQ,0))),"")</f>
        <v/>
      </c>
      <c r="H211" s="181">
        <f>IFERROR(""&amp;INDEX(tk_FLINE,MATCH(206,tk_FSEQ,0)),"")</f>
        <v/>
      </c>
      <c r="I211" s="181">
        <f>IFERROR(""&amp;INDEX(tk_LOCTXT,MATCH(206,tk_FSEQ,0)),"")</f>
        <v/>
      </c>
      <c r="J211" s="162">
        <f>IFERROR(""&amp;INDEX(tk_FNOTES,MATCH(206,tk_FSEQ,0)),"")</f>
        <v/>
      </c>
    </row>
    <row r="212">
      <c r="A212" s="161">
        <f>IFERROR(""&amp;INDEX(tk_MARK,MATCH(207,tk_FSEQ,0)),"")</f>
        <v/>
      </c>
      <c r="B212" s="162">
        <f>IFERROR(INDEX(tk_QTY,MATCH(207,tk_FSEQ,0)),"")</f>
        <v/>
      </c>
      <c r="C212" s="162">
        <f>IFERROR(INDEX(tk_ROOMF,MATCH(207,tk_FSEQ,0))&amp;IF(INDEX(tk_ROOMT,MATCH(207,tk_FSEQ,0))="",""," → "&amp;INDEX(tk_ROOMT,MATCH(207,tk_FSEQ,0))),"")</f>
        <v/>
      </c>
      <c r="D212" s="162">
        <f>IFERROR(""&amp;INDEX(tk_SIZE,MATCH(207,tk_FSEQ,0)),"")</f>
        <v/>
      </c>
      <c r="E212" s="162">
        <f>IFERROR(""&amp;INDEX(tk_RATING,MATCH(207,tk_FSEQ,0)),"")</f>
        <v/>
      </c>
      <c r="F212" s="162">
        <f>IFERROR(TEXT(INDEX(tk_OAW,MATCH(207,tk_FSEQ,0)),"0.000")&amp;" x "&amp;TEXT(INDEX(tk_OAH,MATCH(207,tk_FSEQ,0)),"0.000"),"")</f>
        <v/>
      </c>
      <c r="G212" s="162">
        <f>IFERROR(IF(INDEX(tk_ANCHT,MATCH(207,tk_FSEQ,0))="","",INDEX(tk_ANCHT,MATCH(207,tk_FSEQ,0))&amp;" + "&amp;INDEX(tk_BASEA,MATCH(207,tk_FSEQ,0))),"")</f>
        <v/>
      </c>
      <c r="H212" s="181">
        <f>IFERROR(""&amp;INDEX(tk_FLINE,MATCH(207,tk_FSEQ,0)),"")</f>
        <v/>
      </c>
      <c r="I212" s="181">
        <f>IFERROR(""&amp;INDEX(tk_LOCTXT,MATCH(207,tk_FSEQ,0)),"")</f>
        <v/>
      </c>
      <c r="J212" s="162">
        <f>IFERROR(""&amp;INDEX(tk_FNOTES,MATCH(207,tk_FSEQ,0)),"")</f>
        <v/>
      </c>
    </row>
    <row r="213">
      <c r="A213" s="161">
        <f>IFERROR(""&amp;INDEX(tk_MARK,MATCH(208,tk_FSEQ,0)),"")</f>
        <v/>
      </c>
      <c r="B213" s="162">
        <f>IFERROR(INDEX(tk_QTY,MATCH(208,tk_FSEQ,0)),"")</f>
        <v/>
      </c>
      <c r="C213" s="162">
        <f>IFERROR(INDEX(tk_ROOMF,MATCH(208,tk_FSEQ,0))&amp;IF(INDEX(tk_ROOMT,MATCH(208,tk_FSEQ,0))="",""," → "&amp;INDEX(tk_ROOMT,MATCH(208,tk_FSEQ,0))),"")</f>
        <v/>
      </c>
      <c r="D213" s="162">
        <f>IFERROR(""&amp;INDEX(tk_SIZE,MATCH(208,tk_FSEQ,0)),"")</f>
        <v/>
      </c>
      <c r="E213" s="162">
        <f>IFERROR(""&amp;INDEX(tk_RATING,MATCH(208,tk_FSEQ,0)),"")</f>
        <v/>
      </c>
      <c r="F213" s="162">
        <f>IFERROR(TEXT(INDEX(tk_OAW,MATCH(208,tk_FSEQ,0)),"0.000")&amp;" x "&amp;TEXT(INDEX(tk_OAH,MATCH(208,tk_FSEQ,0)),"0.000"),"")</f>
        <v/>
      </c>
      <c r="G213" s="162">
        <f>IFERROR(IF(INDEX(tk_ANCHT,MATCH(208,tk_FSEQ,0))="","",INDEX(tk_ANCHT,MATCH(208,tk_FSEQ,0))&amp;" + "&amp;INDEX(tk_BASEA,MATCH(208,tk_FSEQ,0))),"")</f>
        <v/>
      </c>
      <c r="H213" s="181">
        <f>IFERROR(""&amp;INDEX(tk_FLINE,MATCH(208,tk_FSEQ,0)),"")</f>
        <v/>
      </c>
      <c r="I213" s="181">
        <f>IFERROR(""&amp;INDEX(tk_LOCTXT,MATCH(208,tk_FSEQ,0)),"")</f>
        <v/>
      </c>
      <c r="J213" s="162">
        <f>IFERROR(""&amp;INDEX(tk_FNOTES,MATCH(208,tk_FSEQ,0)),"")</f>
        <v/>
      </c>
    </row>
    <row r="214">
      <c r="A214" s="161">
        <f>IFERROR(""&amp;INDEX(tk_MARK,MATCH(209,tk_FSEQ,0)),"")</f>
        <v/>
      </c>
      <c r="B214" s="162">
        <f>IFERROR(INDEX(tk_QTY,MATCH(209,tk_FSEQ,0)),"")</f>
        <v/>
      </c>
      <c r="C214" s="162">
        <f>IFERROR(INDEX(tk_ROOMF,MATCH(209,tk_FSEQ,0))&amp;IF(INDEX(tk_ROOMT,MATCH(209,tk_FSEQ,0))="",""," → "&amp;INDEX(tk_ROOMT,MATCH(209,tk_FSEQ,0))),"")</f>
        <v/>
      </c>
      <c r="D214" s="162">
        <f>IFERROR(""&amp;INDEX(tk_SIZE,MATCH(209,tk_FSEQ,0)),"")</f>
        <v/>
      </c>
      <c r="E214" s="162">
        <f>IFERROR(""&amp;INDEX(tk_RATING,MATCH(209,tk_FSEQ,0)),"")</f>
        <v/>
      </c>
      <c r="F214" s="162">
        <f>IFERROR(TEXT(INDEX(tk_OAW,MATCH(209,tk_FSEQ,0)),"0.000")&amp;" x "&amp;TEXT(INDEX(tk_OAH,MATCH(209,tk_FSEQ,0)),"0.000"),"")</f>
        <v/>
      </c>
      <c r="G214" s="162">
        <f>IFERROR(IF(INDEX(tk_ANCHT,MATCH(209,tk_FSEQ,0))="","",INDEX(tk_ANCHT,MATCH(209,tk_FSEQ,0))&amp;" + "&amp;INDEX(tk_BASEA,MATCH(209,tk_FSEQ,0))),"")</f>
        <v/>
      </c>
      <c r="H214" s="181">
        <f>IFERROR(""&amp;INDEX(tk_FLINE,MATCH(209,tk_FSEQ,0)),"")</f>
        <v/>
      </c>
      <c r="I214" s="181">
        <f>IFERROR(""&amp;INDEX(tk_LOCTXT,MATCH(209,tk_FSEQ,0)),"")</f>
        <v/>
      </c>
      <c r="J214" s="162">
        <f>IFERROR(""&amp;INDEX(tk_FNOTES,MATCH(209,tk_FSEQ,0)),"")</f>
        <v/>
      </c>
    </row>
    <row r="215">
      <c r="A215" s="161">
        <f>IFERROR(""&amp;INDEX(tk_MARK,MATCH(210,tk_FSEQ,0)),"")</f>
        <v/>
      </c>
      <c r="B215" s="162">
        <f>IFERROR(INDEX(tk_QTY,MATCH(210,tk_FSEQ,0)),"")</f>
        <v/>
      </c>
      <c r="C215" s="162">
        <f>IFERROR(INDEX(tk_ROOMF,MATCH(210,tk_FSEQ,0))&amp;IF(INDEX(tk_ROOMT,MATCH(210,tk_FSEQ,0))="",""," → "&amp;INDEX(tk_ROOMT,MATCH(210,tk_FSEQ,0))),"")</f>
        <v/>
      </c>
      <c r="D215" s="162">
        <f>IFERROR(""&amp;INDEX(tk_SIZE,MATCH(210,tk_FSEQ,0)),"")</f>
        <v/>
      </c>
      <c r="E215" s="162">
        <f>IFERROR(""&amp;INDEX(tk_RATING,MATCH(210,tk_FSEQ,0)),"")</f>
        <v/>
      </c>
      <c r="F215" s="162">
        <f>IFERROR(TEXT(INDEX(tk_OAW,MATCH(210,tk_FSEQ,0)),"0.000")&amp;" x "&amp;TEXT(INDEX(tk_OAH,MATCH(210,tk_FSEQ,0)),"0.000"),"")</f>
        <v/>
      </c>
      <c r="G215" s="162">
        <f>IFERROR(IF(INDEX(tk_ANCHT,MATCH(210,tk_FSEQ,0))="","",INDEX(tk_ANCHT,MATCH(210,tk_FSEQ,0))&amp;" + "&amp;INDEX(tk_BASEA,MATCH(210,tk_FSEQ,0))),"")</f>
        <v/>
      </c>
      <c r="H215" s="181">
        <f>IFERROR(""&amp;INDEX(tk_FLINE,MATCH(210,tk_FSEQ,0)),"")</f>
        <v/>
      </c>
      <c r="I215" s="181">
        <f>IFERROR(""&amp;INDEX(tk_LOCTXT,MATCH(210,tk_FSEQ,0)),"")</f>
        <v/>
      </c>
      <c r="J215" s="162">
        <f>IFERROR(""&amp;INDEX(tk_FNOTES,MATCH(210,tk_FSEQ,0)),"")</f>
        <v/>
      </c>
    </row>
    <row r="216">
      <c r="A216" s="161">
        <f>IFERROR(""&amp;INDEX(tk_MARK,MATCH(211,tk_FSEQ,0)),"")</f>
        <v/>
      </c>
      <c r="B216" s="162">
        <f>IFERROR(INDEX(tk_QTY,MATCH(211,tk_FSEQ,0)),"")</f>
        <v/>
      </c>
      <c r="C216" s="162">
        <f>IFERROR(INDEX(tk_ROOMF,MATCH(211,tk_FSEQ,0))&amp;IF(INDEX(tk_ROOMT,MATCH(211,tk_FSEQ,0))="",""," → "&amp;INDEX(tk_ROOMT,MATCH(211,tk_FSEQ,0))),"")</f>
        <v/>
      </c>
      <c r="D216" s="162">
        <f>IFERROR(""&amp;INDEX(tk_SIZE,MATCH(211,tk_FSEQ,0)),"")</f>
        <v/>
      </c>
      <c r="E216" s="162">
        <f>IFERROR(""&amp;INDEX(tk_RATING,MATCH(211,tk_FSEQ,0)),"")</f>
        <v/>
      </c>
      <c r="F216" s="162">
        <f>IFERROR(TEXT(INDEX(tk_OAW,MATCH(211,tk_FSEQ,0)),"0.000")&amp;" x "&amp;TEXT(INDEX(tk_OAH,MATCH(211,tk_FSEQ,0)),"0.000"),"")</f>
        <v/>
      </c>
      <c r="G216" s="162">
        <f>IFERROR(IF(INDEX(tk_ANCHT,MATCH(211,tk_FSEQ,0))="","",INDEX(tk_ANCHT,MATCH(211,tk_FSEQ,0))&amp;" + "&amp;INDEX(tk_BASEA,MATCH(211,tk_FSEQ,0))),"")</f>
        <v/>
      </c>
      <c r="H216" s="181">
        <f>IFERROR(""&amp;INDEX(tk_FLINE,MATCH(211,tk_FSEQ,0)),"")</f>
        <v/>
      </c>
      <c r="I216" s="181">
        <f>IFERROR(""&amp;INDEX(tk_LOCTXT,MATCH(211,tk_FSEQ,0)),"")</f>
        <v/>
      </c>
      <c r="J216" s="162">
        <f>IFERROR(""&amp;INDEX(tk_FNOTES,MATCH(211,tk_FSEQ,0)),"")</f>
        <v/>
      </c>
    </row>
    <row r="217">
      <c r="A217" s="161">
        <f>IFERROR(""&amp;INDEX(tk_MARK,MATCH(212,tk_FSEQ,0)),"")</f>
        <v/>
      </c>
      <c r="B217" s="162">
        <f>IFERROR(INDEX(tk_QTY,MATCH(212,tk_FSEQ,0)),"")</f>
        <v/>
      </c>
      <c r="C217" s="162">
        <f>IFERROR(INDEX(tk_ROOMF,MATCH(212,tk_FSEQ,0))&amp;IF(INDEX(tk_ROOMT,MATCH(212,tk_FSEQ,0))="",""," → "&amp;INDEX(tk_ROOMT,MATCH(212,tk_FSEQ,0))),"")</f>
        <v/>
      </c>
      <c r="D217" s="162">
        <f>IFERROR(""&amp;INDEX(tk_SIZE,MATCH(212,tk_FSEQ,0)),"")</f>
        <v/>
      </c>
      <c r="E217" s="162">
        <f>IFERROR(""&amp;INDEX(tk_RATING,MATCH(212,tk_FSEQ,0)),"")</f>
        <v/>
      </c>
      <c r="F217" s="162">
        <f>IFERROR(TEXT(INDEX(tk_OAW,MATCH(212,tk_FSEQ,0)),"0.000")&amp;" x "&amp;TEXT(INDEX(tk_OAH,MATCH(212,tk_FSEQ,0)),"0.000"),"")</f>
        <v/>
      </c>
      <c r="G217" s="162">
        <f>IFERROR(IF(INDEX(tk_ANCHT,MATCH(212,tk_FSEQ,0))="","",INDEX(tk_ANCHT,MATCH(212,tk_FSEQ,0))&amp;" + "&amp;INDEX(tk_BASEA,MATCH(212,tk_FSEQ,0))),"")</f>
        <v/>
      </c>
      <c r="H217" s="181">
        <f>IFERROR(""&amp;INDEX(tk_FLINE,MATCH(212,tk_FSEQ,0)),"")</f>
        <v/>
      </c>
      <c r="I217" s="181">
        <f>IFERROR(""&amp;INDEX(tk_LOCTXT,MATCH(212,tk_FSEQ,0)),"")</f>
        <v/>
      </c>
      <c r="J217" s="162">
        <f>IFERROR(""&amp;INDEX(tk_FNOTES,MATCH(212,tk_FSEQ,0)),"")</f>
        <v/>
      </c>
    </row>
    <row r="218">
      <c r="A218" s="161">
        <f>IFERROR(""&amp;INDEX(tk_MARK,MATCH(213,tk_FSEQ,0)),"")</f>
        <v/>
      </c>
      <c r="B218" s="162">
        <f>IFERROR(INDEX(tk_QTY,MATCH(213,tk_FSEQ,0)),"")</f>
        <v/>
      </c>
      <c r="C218" s="162">
        <f>IFERROR(INDEX(tk_ROOMF,MATCH(213,tk_FSEQ,0))&amp;IF(INDEX(tk_ROOMT,MATCH(213,tk_FSEQ,0))="",""," → "&amp;INDEX(tk_ROOMT,MATCH(213,tk_FSEQ,0))),"")</f>
        <v/>
      </c>
      <c r="D218" s="162">
        <f>IFERROR(""&amp;INDEX(tk_SIZE,MATCH(213,tk_FSEQ,0)),"")</f>
        <v/>
      </c>
      <c r="E218" s="162">
        <f>IFERROR(""&amp;INDEX(tk_RATING,MATCH(213,tk_FSEQ,0)),"")</f>
        <v/>
      </c>
      <c r="F218" s="162">
        <f>IFERROR(TEXT(INDEX(tk_OAW,MATCH(213,tk_FSEQ,0)),"0.000")&amp;" x "&amp;TEXT(INDEX(tk_OAH,MATCH(213,tk_FSEQ,0)),"0.000"),"")</f>
        <v/>
      </c>
      <c r="G218" s="162">
        <f>IFERROR(IF(INDEX(tk_ANCHT,MATCH(213,tk_FSEQ,0))="","",INDEX(tk_ANCHT,MATCH(213,tk_FSEQ,0))&amp;" + "&amp;INDEX(tk_BASEA,MATCH(213,tk_FSEQ,0))),"")</f>
        <v/>
      </c>
      <c r="H218" s="181">
        <f>IFERROR(""&amp;INDEX(tk_FLINE,MATCH(213,tk_FSEQ,0)),"")</f>
        <v/>
      </c>
      <c r="I218" s="181">
        <f>IFERROR(""&amp;INDEX(tk_LOCTXT,MATCH(213,tk_FSEQ,0)),"")</f>
        <v/>
      </c>
      <c r="J218" s="162">
        <f>IFERROR(""&amp;INDEX(tk_FNOTES,MATCH(213,tk_FSEQ,0)),"")</f>
        <v/>
      </c>
    </row>
    <row r="219">
      <c r="A219" s="161">
        <f>IFERROR(""&amp;INDEX(tk_MARK,MATCH(214,tk_FSEQ,0)),"")</f>
        <v/>
      </c>
      <c r="B219" s="162">
        <f>IFERROR(INDEX(tk_QTY,MATCH(214,tk_FSEQ,0)),"")</f>
        <v/>
      </c>
      <c r="C219" s="162">
        <f>IFERROR(INDEX(tk_ROOMF,MATCH(214,tk_FSEQ,0))&amp;IF(INDEX(tk_ROOMT,MATCH(214,tk_FSEQ,0))="",""," → "&amp;INDEX(tk_ROOMT,MATCH(214,tk_FSEQ,0))),"")</f>
        <v/>
      </c>
      <c r="D219" s="162">
        <f>IFERROR(""&amp;INDEX(tk_SIZE,MATCH(214,tk_FSEQ,0)),"")</f>
        <v/>
      </c>
      <c r="E219" s="162">
        <f>IFERROR(""&amp;INDEX(tk_RATING,MATCH(214,tk_FSEQ,0)),"")</f>
        <v/>
      </c>
      <c r="F219" s="162">
        <f>IFERROR(TEXT(INDEX(tk_OAW,MATCH(214,tk_FSEQ,0)),"0.000")&amp;" x "&amp;TEXT(INDEX(tk_OAH,MATCH(214,tk_FSEQ,0)),"0.000"),"")</f>
        <v/>
      </c>
      <c r="G219" s="162">
        <f>IFERROR(IF(INDEX(tk_ANCHT,MATCH(214,tk_FSEQ,0))="","",INDEX(tk_ANCHT,MATCH(214,tk_FSEQ,0))&amp;" + "&amp;INDEX(tk_BASEA,MATCH(214,tk_FSEQ,0))),"")</f>
        <v/>
      </c>
      <c r="H219" s="181">
        <f>IFERROR(""&amp;INDEX(tk_FLINE,MATCH(214,tk_FSEQ,0)),"")</f>
        <v/>
      </c>
      <c r="I219" s="181">
        <f>IFERROR(""&amp;INDEX(tk_LOCTXT,MATCH(214,tk_FSEQ,0)),"")</f>
        <v/>
      </c>
      <c r="J219" s="162">
        <f>IFERROR(""&amp;INDEX(tk_FNOTES,MATCH(214,tk_FSEQ,0)),"")</f>
        <v/>
      </c>
    </row>
    <row r="220">
      <c r="A220" s="161">
        <f>IFERROR(""&amp;INDEX(tk_MARK,MATCH(215,tk_FSEQ,0)),"")</f>
        <v/>
      </c>
      <c r="B220" s="162">
        <f>IFERROR(INDEX(tk_QTY,MATCH(215,tk_FSEQ,0)),"")</f>
        <v/>
      </c>
      <c r="C220" s="162">
        <f>IFERROR(INDEX(tk_ROOMF,MATCH(215,tk_FSEQ,0))&amp;IF(INDEX(tk_ROOMT,MATCH(215,tk_FSEQ,0))="",""," → "&amp;INDEX(tk_ROOMT,MATCH(215,tk_FSEQ,0))),"")</f>
        <v/>
      </c>
      <c r="D220" s="162">
        <f>IFERROR(""&amp;INDEX(tk_SIZE,MATCH(215,tk_FSEQ,0)),"")</f>
        <v/>
      </c>
      <c r="E220" s="162">
        <f>IFERROR(""&amp;INDEX(tk_RATING,MATCH(215,tk_FSEQ,0)),"")</f>
        <v/>
      </c>
      <c r="F220" s="162">
        <f>IFERROR(TEXT(INDEX(tk_OAW,MATCH(215,tk_FSEQ,0)),"0.000")&amp;" x "&amp;TEXT(INDEX(tk_OAH,MATCH(215,tk_FSEQ,0)),"0.000"),"")</f>
        <v/>
      </c>
      <c r="G220" s="162">
        <f>IFERROR(IF(INDEX(tk_ANCHT,MATCH(215,tk_FSEQ,0))="","",INDEX(tk_ANCHT,MATCH(215,tk_FSEQ,0))&amp;" + "&amp;INDEX(tk_BASEA,MATCH(215,tk_FSEQ,0))),"")</f>
        <v/>
      </c>
      <c r="H220" s="181">
        <f>IFERROR(""&amp;INDEX(tk_FLINE,MATCH(215,tk_FSEQ,0)),"")</f>
        <v/>
      </c>
      <c r="I220" s="181">
        <f>IFERROR(""&amp;INDEX(tk_LOCTXT,MATCH(215,tk_FSEQ,0)),"")</f>
        <v/>
      </c>
      <c r="J220" s="162">
        <f>IFERROR(""&amp;INDEX(tk_FNOTES,MATCH(215,tk_FSEQ,0)),"")</f>
        <v/>
      </c>
    </row>
    <row r="221">
      <c r="A221" s="161">
        <f>IFERROR(""&amp;INDEX(tk_MARK,MATCH(216,tk_FSEQ,0)),"")</f>
        <v/>
      </c>
      <c r="B221" s="162">
        <f>IFERROR(INDEX(tk_QTY,MATCH(216,tk_FSEQ,0)),"")</f>
        <v/>
      </c>
      <c r="C221" s="162">
        <f>IFERROR(INDEX(tk_ROOMF,MATCH(216,tk_FSEQ,0))&amp;IF(INDEX(tk_ROOMT,MATCH(216,tk_FSEQ,0))="",""," → "&amp;INDEX(tk_ROOMT,MATCH(216,tk_FSEQ,0))),"")</f>
        <v/>
      </c>
      <c r="D221" s="162">
        <f>IFERROR(""&amp;INDEX(tk_SIZE,MATCH(216,tk_FSEQ,0)),"")</f>
        <v/>
      </c>
      <c r="E221" s="162">
        <f>IFERROR(""&amp;INDEX(tk_RATING,MATCH(216,tk_FSEQ,0)),"")</f>
        <v/>
      </c>
      <c r="F221" s="162">
        <f>IFERROR(TEXT(INDEX(tk_OAW,MATCH(216,tk_FSEQ,0)),"0.000")&amp;" x "&amp;TEXT(INDEX(tk_OAH,MATCH(216,tk_FSEQ,0)),"0.000"),"")</f>
        <v/>
      </c>
      <c r="G221" s="162">
        <f>IFERROR(IF(INDEX(tk_ANCHT,MATCH(216,tk_FSEQ,0))="","",INDEX(tk_ANCHT,MATCH(216,tk_FSEQ,0))&amp;" + "&amp;INDEX(tk_BASEA,MATCH(216,tk_FSEQ,0))),"")</f>
        <v/>
      </c>
      <c r="H221" s="181">
        <f>IFERROR(""&amp;INDEX(tk_FLINE,MATCH(216,tk_FSEQ,0)),"")</f>
        <v/>
      </c>
      <c r="I221" s="181">
        <f>IFERROR(""&amp;INDEX(tk_LOCTXT,MATCH(216,tk_FSEQ,0)),"")</f>
        <v/>
      </c>
      <c r="J221" s="162">
        <f>IFERROR(""&amp;INDEX(tk_FNOTES,MATCH(216,tk_FSEQ,0)),"")</f>
        <v/>
      </c>
    </row>
    <row r="222">
      <c r="A222" s="161">
        <f>IFERROR(""&amp;INDEX(tk_MARK,MATCH(217,tk_FSEQ,0)),"")</f>
        <v/>
      </c>
      <c r="B222" s="162">
        <f>IFERROR(INDEX(tk_QTY,MATCH(217,tk_FSEQ,0)),"")</f>
        <v/>
      </c>
      <c r="C222" s="162">
        <f>IFERROR(INDEX(tk_ROOMF,MATCH(217,tk_FSEQ,0))&amp;IF(INDEX(tk_ROOMT,MATCH(217,tk_FSEQ,0))="",""," → "&amp;INDEX(tk_ROOMT,MATCH(217,tk_FSEQ,0))),"")</f>
        <v/>
      </c>
      <c r="D222" s="162">
        <f>IFERROR(""&amp;INDEX(tk_SIZE,MATCH(217,tk_FSEQ,0)),"")</f>
        <v/>
      </c>
      <c r="E222" s="162">
        <f>IFERROR(""&amp;INDEX(tk_RATING,MATCH(217,tk_FSEQ,0)),"")</f>
        <v/>
      </c>
      <c r="F222" s="162">
        <f>IFERROR(TEXT(INDEX(tk_OAW,MATCH(217,tk_FSEQ,0)),"0.000")&amp;" x "&amp;TEXT(INDEX(tk_OAH,MATCH(217,tk_FSEQ,0)),"0.000"),"")</f>
        <v/>
      </c>
      <c r="G222" s="162">
        <f>IFERROR(IF(INDEX(tk_ANCHT,MATCH(217,tk_FSEQ,0))="","",INDEX(tk_ANCHT,MATCH(217,tk_FSEQ,0))&amp;" + "&amp;INDEX(tk_BASEA,MATCH(217,tk_FSEQ,0))),"")</f>
        <v/>
      </c>
      <c r="H222" s="181">
        <f>IFERROR(""&amp;INDEX(tk_FLINE,MATCH(217,tk_FSEQ,0)),"")</f>
        <v/>
      </c>
      <c r="I222" s="181">
        <f>IFERROR(""&amp;INDEX(tk_LOCTXT,MATCH(217,tk_FSEQ,0)),"")</f>
        <v/>
      </c>
      <c r="J222" s="162">
        <f>IFERROR(""&amp;INDEX(tk_FNOTES,MATCH(217,tk_FSEQ,0)),"")</f>
        <v/>
      </c>
    </row>
    <row r="223">
      <c r="A223" s="161">
        <f>IFERROR(""&amp;INDEX(tk_MARK,MATCH(218,tk_FSEQ,0)),"")</f>
        <v/>
      </c>
      <c r="B223" s="162">
        <f>IFERROR(INDEX(tk_QTY,MATCH(218,tk_FSEQ,0)),"")</f>
        <v/>
      </c>
      <c r="C223" s="162">
        <f>IFERROR(INDEX(tk_ROOMF,MATCH(218,tk_FSEQ,0))&amp;IF(INDEX(tk_ROOMT,MATCH(218,tk_FSEQ,0))="",""," → "&amp;INDEX(tk_ROOMT,MATCH(218,tk_FSEQ,0))),"")</f>
        <v/>
      </c>
      <c r="D223" s="162">
        <f>IFERROR(""&amp;INDEX(tk_SIZE,MATCH(218,tk_FSEQ,0)),"")</f>
        <v/>
      </c>
      <c r="E223" s="162">
        <f>IFERROR(""&amp;INDEX(tk_RATING,MATCH(218,tk_FSEQ,0)),"")</f>
        <v/>
      </c>
      <c r="F223" s="162">
        <f>IFERROR(TEXT(INDEX(tk_OAW,MATCH(218,tk_FSEQ,0)),"0.000")&amp;" x "&amp;TEXT(INDEX(tk_OAH,MATCH(218,tk_FSEQ,0)),"0.000"),"")</f>
        <v/>
      </c>
      <c r="G223" s="162">
        <f>IFERROR(IF(INDEX(tk_ANCHT,MATCH(218,tk_FSEQ,0))="","",INDEX(tk_ANCHT,MATCH(218,tk_FSEQ,0))&amp;" + "&amp;INDEX(tk_BASEA,MATCH(218,tk_FSEQ,0))),"")</f>
        <v/>
      </c>
      <c r="H223" s="181">
        <f>IFERROR(""&amp;INDEX(tk_FLINE,MATCH(218,tk_FSEQ,0)),"")</f>
        <v/>
      </c>
      <c r="I223" s="181">
        <f>IFERROR(""&amp;INDEX(tk_LOCTXT,MATCH(218,tk_FSEQ,0)),"")</f>
        <v/>
      </c>
      <c r="J223" s="162">
        <f>IFERROR(""&amp;INDEX(tk_FNOTES,MATCH(218,tk_FSEQ,0)),"")</f>
        <v/>
      </c>
    </row>
    <row r="224">
      <c r="A224" s="161">
        <f>IFERROR(""&amp;INDEX(tk_MARK,MATCH(219,tk_FSEQ,0)),"")</f>
        <v/>
      </c>
      <c r="B224" s="162">
        <f>IFERROR(INDEX(tk_QTY,MATCH(219,tk_FSEQ,0)),"")</f>
        <v/>
      </c>
      <c r="C224" s="162">
        <f>IFERROR(INDEX(tk_ROOMF,MATCH(219,tk_FSEQ,0))&amp;IF(INDEX(tk_ROOMT,MATCH(219,tk_FSEQ,0))="",""," → "&amp;INDEX(tk_ROOMT,MATCH(219,tk_FSEQ,0))),"")</f>
        <v/>
      </c>
      <c r="D224" s="162">
        <f>IFERROR(""&amp;INDEX(tk_SIZE,MATCH(219,tk_FSEQ,0)),"")</f>
        <v/>
      </c>
      <c r="E224" s="162">
        <f>IFERROR(""&amp;INDEX(tk_RATING,MATCH(219,tk_FSEQ,0)),"")</f>
        <v/>
      </c>
      <c r="F224" s="162">
        <f>IFERROR(TEXT(INDEX(tk_OAW,MATCH(219,tk_FSEQ,0)),"0.000")&amp;" x "&amp;TEXT(INDEX(tk_OAH,MATCH(219,tk_FSEQ,0)),"0.000"),"")</f>
        <v/>
      </c>
      <c r="G224" s="162">
        <f>IFERROR(IF(INDEX(tk_ANCHT,MATCH(219,tk_FSEQ,0))="","",INDEX(tk_ANCHT,MATCH(219,tk_FSEQ,0))&amp;" + "&amp;INDEX(tk_BASEA,MATCH(219,tk_FSEQ,0))),"")</f>
        <v/>
      </c>
      <c r="H224" s="181">
        <f>IFERROR(""&amp;INDEX(tk_FLINE,MATCH(219,tk_FSEQ,0)),"")</f>
        <v/>
      </c>
      <c r="I224" s="181">
        <f>IFERROR(""&amp;INDEX(tk_LOCTXT,MATCH(219,tk_FSEQ,0)),"")</f>
        <v/>
      </c>
      <c r="J224" s="162">
        <f>IFERROR(""&amp;INDEX(tk_FNOTES,MATCH(219,tk_FSEQ,0)),"")</f>
        <v/>
      </c>
    </row>
    <row r="225">
      <c r="A225" s="161">
        <f>IFERROR(""&amp;INDEX(tk_MARK,MATCH(220,tk_FSEQ,0)),"")</f>
        <v/>
      </c>
      <c r="B225" s="162">
        <f>IFERROR(INDEX(tk_QTY,MATCH(220,tk_FSEQ,0)),"")</f>
        <v/>
      </c>
      <c r="C225" s="162">
        <f>IFERROR(INDEX(tk_ROOMF,MATCH(220,tk_FSEQ,0))&amp;IF(INDEX(tk_ROOMT,MATCH(220,tk_FSEQ,0))="",""," → "&amp;INDEX(tk_ROOMT,MATCH(220,tk_FSEQ,0))),"")</f>
        <v/>
      </c>
      <c r="D225" s="162">
        <f>IFERROR(""&amp;INDEX(tk_SIZE,MATCH(220,tk_FSEQ,0)),"")</f>
        <v/>
      </c>
      <c r="E225" s="162">
        <f>IFERROR(""&amp;INDEX(tk_RATING,MATCH(220,tk_FSEQ,0)),"")</f>
        <v/>
      </c>
      <c r="F225" s="162">
        <f>IFERROR(TEXT(INDEX(tk_OAW,MATCH(220,tk_FSEQ,0)),"0.000")&amp;" x "&amp;TEXT(INDEX(tk_OAH,MATCH(220,tk_FSEQ,0)),"0.000"),"")</f>
        <v/>
      </c>
      <c r="G225" s="162">
        <f>IFERROR(IF(INDEX(tk_ANCHT,MATCH(220,tk_FSEQ,0))="","",INDEX(tk_ANCHT,MATCH(220,tk_FSEQ,0))&amp;" + "&amp;INDEX(tk_BASEA,MATCH(220,tk_FSEQ,0))),"")</f>
        <v/>
      </c>
      <c r="H225" s="181">
        <f>IFERROR(""&amp;INDEX(tk_FLINE,MATCH(220,tk_FSEQ,0)),"")</f>
        <v/>
      </c>
      <c r="I225" s="181">
        <f>IFERROR(""&amp;INDEX(tk_LOCTXT,MATCH(220,tk_FSEQ,0)),"")</f>
        <v/>
      </c>
      <c r="J225" s="162">
        <f>IFERROR(""&amp;INDEX(tk_FNOTES,MATCH(220,tk_FSEQ,0)),"")</f>
        <v/>
      </c>
    </row>
    <row r="226">
      <c r="A226" s="161">
        <f>IFERROR(""&amp;INDEX(tk_MARK,MATCH(221,tk_FSEQ,0)),"")</f>
        <v/>
      </c>
      <c r="B226" s="162">
        <f>IFERROR(INDEX(tk_QTY,MATCH(221,tk_FSEQ,0)),"")</f>
        <v/>
      </c>
      <c r="C226" s="162">
        <f>IFERROR(INDEX(tk_ROOMF,MATCH(221,tk_FSEQ,0))&amp;IF(INDEX(tk_ROOMT,MATCH(221,tk_FSEQ,0))="",""," → "&amp;INDEX(tk_ROOMT,MATCH(221,tk_FSEQ,0))),"")</f>
        <v/>
      </c>
      <c r="D226" s="162">
        <f>IFERROR(""&amp;INDEX(tk_SIZE,MATCH(221,tk_FSEQ,0)),"")</f>
        <v/>
      </c>
      <c r="E226" s="162">
        <f>IFERROR(""&amp;INDEX(tk_RATING,MATCH(221,tk_FSEQ,0)),"")</f>
        <v/>
      </c>
      <c r="F226" s="162">
        <f>IFERROR(TEXT(INDEX(tk_OAW,MATCH(221,tk_FSEQ,0)),"0.000")&amp;" x "&amp;TEXT(INDEX(tk_OAH,MATCH(221,tk_FSEQ,0)),"0.000"),"")</f>
        <v/>
      </c>
      <c r="G226" s="162">
        <f>IFERROR(IF(INDEX(tk_ANCHT,MATCH(221,tk_FSEQ,0))="","",INDEX(tk_ANCHT,MATCH(221,tk_FSEQ,0))&amp;" + "&amp;INDEX(tk_BASEA,MATCH(221,tk_FSEQ,0))),"")</f>
        <v/>
      </c>
      <c r="H226" s="181">
        <f>IFERROR(""&amp;INDEX(tk_FLINE,MATCH(221,tk_FSEQ,0)),"")</f>
        <v/>
      </c>
      <c r="I226" s="181">
        <f>IFERROR(""&amp;INDEX(tk_LOCTXT,MATCH(221,tk_FSEQ,0)),"")</f>
        <v/>
      </c>
      <c r="J226" s="162">
        <f>IFERROR(""&amp;INDEX(tk_FNOTES,MATCH(221,tk_FSEQ,0)),"")</f>
        <v/>
      </c>
    </row>
    <row r="227">
      <c r="A227" s="161">
        <f>IFERROR(""&amp;INDEX(tk_MARK,MATCH(222,tk_FSEQ,0)),"")</f>
        <v/>
      </c>
      <c r="B227" s="162">
        <f>IFERROR(INDEX(tk_QTY,MATCH(222,tk_FSEQ,0)),"")</f>
        <v/>
      </c>
      <c r="C227" s="162">
        <f>IFERROR(INDEX(tk_ROOMF,MATCH(222,tk_FSEQ,0))&amp;IF(INDEX(tk_ROOMT,MATCH(222,tk_FSEQ,0))="",""," → "&amp;INDEX(tk_ROOMT,MATCH(222,tk_FSEQ,0))),"")</f>
        <v/>
      </c>
      <c r="D227" s="162">
        <f>IFERROR(""&amp;INDEX(tk_SIZE,MATCH(222,tk_FSEQ,0)),"")</f>
        <v/>
      </c>
      <c r="E227" s="162">
        <f>IFERROR(""&amp;INDEX(tk_RATING,MATCH(222,tk_FSEQ,0)),"")</f>
        <v/>
      </c>
      <c r="F227" s="162">
        <f>IFERROR(TEXT(INDEX(tk_OAW,MATCH(222,tk_FSEQ,0)),"0.000")&amp;" x "&amp;TEXT(INDEX(tk_OAH,MATCH(222,tk_FSEQ,0)),"0.000"),"")</f>
        <v/>
      </c>
      <c r="G227" s="162">
        <f>IFERROR(IF(INDEX(tk_ANCHT,MATCH(222,tk_FSEQ,0))="","",INDEX(tk_ANCHT,MATCH(222,tk_FSEQ,0))&amp;" + "&amp;INDEX(tk_BASEA,MATCH(222,tk_FSEQ,0))),"")</f>
        <v/>
      </c>
      <c r="H227" s="181">
        <f>IFERROR(""&amp;INDEX(tk_FLINE,MATCH(222,tk_FSEQ,0)),"")</f>
        <v/>
      </c>
      <c r="I227" s="181">
        <f>IFERROR(""&amp;INDEX(tk_LOCTXT,MATCH(222,tk_FSEQ,0)),"")</f>
        <v/>
      </c>
      <c r="J227" s="162">
        <f>IFERROR(""&amp;INDEX(tk_FNOTES,MATCH(222,tk_FSEQ,0)),"")</f>
        <v/>
      </c>
    </row>
    <row r="228">
      <c r="A228" s="161">
        <f>IFERROR(""&amp;INDEX(tk_MARK,MATCH(223,tk_FSEQ,0)),"")</f>
        <v/>
      </c>
      <c r="B228" s="162">
        <f>IFERROR(INDEX(tk_QTY,MATCH(223,tk_FSEQ,0)),"")</f>
        <v/>
      </c>
      <c r="C228" s="162">
        <f>IFERROR(INDEX(tk_ROOMF,MATCH(223,tk_FSEQ,0))&amp;IF(INDEX(tk_ROOMT,MATCH(223,tk_FSEQ,0))="",""," → "&amp;INDEX(tk_ROOMT,MATCH(223,tk_FSEQ,0))),"")</f>
        <v/>
      </c>
      <c r="D228" s="162">
        <f>IFERROR(""&amp;INDEX(tk_SIZE,MATCH(223,tk_FSEQ,0)),"")</f>
        <v/>
      </c>
      <c r="E228" s="162">
        <f>IFERROR(""&amp;INDEX(tk_RATING,MATCH(223,tk_FSEQ,0)),"")</f>
        <v/>
      </c>
      <c r="F228" s="162">
        <f>IFERROR(TEXT(INDEX(tk_OAW,MATCH(223,tk_FSEQ,0)),"0.000")&amp;" x "&amp;TEXT(INDEX(tk_OAH,MATCH(223,tk_FSEQ,0)),"0.000"),"")</f>
        <v/>
      </c>
      <c r="G228" s="162">
        <f>IFERROR(IF(INDEX(tk_ANCHT,MATCH(223,tk_FSEQ,0))="","",INDEX(tk_ANCHT,MATCH(223,tk_FSEQ,0))&amp;" + "&amp;INDEX(tk_BASEA,MATCH(223,tk_FSEQ,0))),"")</f>
        <v/>
      </c>
      <c r="H228" s="181">
        <f>IFERROR(""&amp;INDEX(tk_FLINE,MATCH(223,tk_FSEQ,0)),"")</f>
        <v/>
      </c>
      <c r="I228" s="181">
        <f>IFERROR(""&amp;INDEX(tk_LOCTXT,MATCH(223,tk_FSEQ,0)),"")</f>
        <v/>
      </c>
      <c r="J228" s="162">
        <f>IFERROR(""&amp;INDEX(tk_FNOTES,MATCH(223,tk_FSEQ,0)),"")</f>
        <v/>
      </c>
    </row>
    <row r="229">
      <c r="A229" s="161">
        <f>IFERROR(""&amp;INDEX(tk_MARK,MATCH(224,tk_FSEQ,0)),"")</f>
        <v/>
      </c>
      <c r="B229" s="162">
        <f>IFERROR(INDEX(tk_QTY,MATCH(224,tk_FSEQ,0)),"")</f>
        <v/>
      </c>
      <c r="C229" s="162">
        <f>IFERROR(INDEX(tk_ROOMF,MATCH(224,tk_FSEQ,0))&amp;IF(INDEX(tk_ROOMT,MATCH(224,tk_FSEQ,0))="",""," → "&amp;INDEX(tk_ROOMT,MATCH(224,tk_FSEQ,0))),"")</f>
        <v/>
      </c>
      <c r="D229" s="162">
        <f>IFERROR(""&amp;INDEX(tk_SIZE,MATCH(224,tk_FSEQ,0)),"")</f>
        <v/>
      </c>
      <c r="E229" s="162">
        <f>IFERROR(""&amp;INDEX(tk_RATING,MATCH(224,tk_FSEQ,0)),"")</f>
        <v/>
      </c>
      <c r="F229" s="162">
        <f>IFERROR(TEXT(INDEX(tk_OAW,MATCH(224,tk_FSEQ,0)),"0.000")&amp;" x "&amp;TEXT(INDEX(tk_OAH,MATCH(224,tk_FSEQ,0)),"0.000"),"")</f>
        <v/>
      </c>
      <c r="G229" s="162">
        <f>IFERROR(IF(INDEX(tk_ANCHT,MATCH(224,tk_FSEQ,0))="","",INDEX(tk_ANCHT,MATCH(224,tk_FSEQ,0))&amp;" + "&amp;INDEX(tk_BASEA,MATCH(224,tk_FSEQ,0))),"")</f>
        <v/>
      </c>
      <c r="H229" s="181">
        <f>IFERROR(""&amp;INDEX(tk_FLINE,MATCH(224,tk_FSEQ,0)),"")</f>
        <v/>
      </c>
      <c r="I229" s="181">
        <f>IFERROR(""&amp;INDEX(tk_LOCTXT,MATCH(224,tk_FSEQ,0)),"")</f>
        <v/>
      </c>
      <c r="J229" s="162">
        <f>IFERROR(""&amp;INDEX(tk_FNOTES,MATCH(224,tk_FSEQ,0)),"")</f>
        <v/>
      </c>
    </row>
    <row r="230">
      <c r="A230" s="161">
        <f>IFERROR(""&amp;INDEX(tk_MARK,MATCH(225,tk_FSEQ,0)),"")</f>
        <v/>
      </c>
      <c r="B230" s="162">
        <f>IFERROR(INDEX(tk_QTY,MATCH(225,tk_FSEQ,0)),"")</f>
        <v/>
      </c>
      <c r="C230" s="162">
        <f>IFERROR(INDEX(tk_ROOMF,MATCH(225,tk_FSEQ,0))&amp;IF(INDEX(tk_ROOMT,MATCH(225,tk_FSEQ,0))="",""," → "&amp;INDEX(tk_ROOMT,MATCH(225,tk_FSEQ,0))),"")</f>
        <v/>
      </c>
      <c r="D230" s="162">
        <f>IFERROR(""&amp;INDEX(tk_SIZE,MATCH(225,tk_FSEQ,0)),"")</f>
        <v/>
      </c>
      <c r="E230" s="162">
        <f>IFERROR(""&amp;INDEX(tk_RATING,MATCH(225,tk_FSEQ,0)),"")</f>
        <v/>
      </c>
      <c r="F230" s="162">
        <f>IFERROR(TEXT(INDEX(tk_OAW,MATCH(225,tk_FSEQ,0)),"0.000")&amp;" x "&amp;TEXT(INDEX(tk_OAH,MATCH(225,tk_FSEQ,0)),"0.000"),"")</f>
        <v/>
      </c>
      <c r="G230" s="162">
        <f>IFERROR(IF(INDEX(tk_ANCHT,MATCH(225,tk_FSEQ,0))="","",INDEX(tk_ANCHT,MATCH(225,tk_FSEQ,0))&amp;" + "&amp;INDEX(tk_BASEA,MATCH(225,tk_FSEQ,0))),"")</f>
        <v/>
      </c>
      <c r="H230" s="181">
        <f>IFERROR(""&amp;INDEX(tk_FLINE,MATCH(225,tk_FSEQ,0)),"")</f>
        <v/>
      </c>
      <c r="I230" s="181">
        <f>IFERROR(""&amp;INDEX(tk_LOCTXT,MATCH(225,tk_FSEQ,0)),"")</f>
        <v/>
      </c>
      <c r="J230" s="162">
        <f>IFERROR(""&amp;INDEX(tk_FNOTES,MATCH(225,tk_FSEQ,0)),"")</f>
        <v/>
      </c>
    </row>
    <row r="231">
      <c r="A231" s="161">
        <f>IFERROR(""&amp;INDEX(tk_MARK,MATCH(226,tk_FSEQ,0)),"")</f>
        <v/>
      </c>
      <c r="B231" s="162">
        <f>IFERROR(INDEX(tk_QTY,MATCH(226,tk_FSEQ,0)),"")</f>
        <v/>
      </c>
      <c r="C231" s="162">
        <f>IFERROR(INDEX(tk_ROOMF,MATCH(226,tk_FSEQ,0))&amp;IF(INDEX(tk_ROOMT,MATCH(226,tk_FSEQ,0))="",""," → "&amp;INDEX(tk_ROOMT,MATCH(226,tk_FSEQ,0))),"")</f>
        <v/>
      </c>
      <c r="D231" s="162">
        <f>IFERROR(""&amp;INDEX(tk_SIZE,MATCH(226,tk_FSEQ,0)),"")</f>
        <v/>
      </c>
      <c r="E231" s="162">
        <f>IFERROR(""&amp;INDEX(tk_RATING,MATCH(226,tk_FSEQ,0)),"")</f>
        <v/>
      </c>
      <c r="F231" s="162">
        <f>IFERROR(TEXT(INDEX(tk_OAW,MATCH(226,tk_FSEQ,0)),"0.000")&amp;" x "&amp;TEXT(INDEX(tk_OAH,MATCH(226,tk_FSEQ,0)),"0.000"),"")</f>
        <v/>
      </c>
      <c r="G231" s="162">
        <f>IFERROR(IF(INDEX(tk_ANCHT,MATCH(226,tk_FSEQ,0))="","",INDEX(tk_ANCHT,MATCH(226,tk_FSEQ,0))&amp;" + "&amp;INDEX(tk_BASEA,MATCH(226,tk_FSEQ,0))),"")</f>
        <v/>
      </c>
      <c r="H231" s="181">
        <f>IFERROR(""&amp;INDEX(tk_FLINE,MATCH(226,tk_FSEQ,0)),"")</f>
        <v/>
      </c>
      <c r="I231" s="181">
        <f>IFERROR(""&amp;INDEX(tk_LOCTXT,MATCH(226,tk_FSEQ,0)),"")</f>
        <v/>
      </c>
      <c r="J231" s="162">
        <f>IFERROR(""&amp;INDEX(tk_FNOTES,MATCH(226,tk_FSEQ,0)),"")</f>
        <v/>
      </c>
    </row>
    <row r="232">
      <c r="A232" s="161">
        <f>IFERROR(""&amp;INDEX(tk_MARK,MATCH(227,tk_FSEQ,0)),"")</f>
        <v/>
      </c>
      <c r="B232" s="162">
        <f>IFERROR(INDEX(tk_QTY,MATCH(227,tk_FSEQ,0)),"")</f>
        <v/>
      </c>
      <c r="C232" s="162">
        <f>IFERROR(INDEX(tk_ROOMF,MATCH(227,tk_FSEQ,0))&amp;IF(INDEX(tk_ROOMT,MATCH(227,tk_FSEQ,0))="",""," → "&amp;INDEX(tk_ROOMT,MATCH(227,tk_FSEQ,0))),"")</f>
        <v/>
      </c>
      <c r="D232" s="162">
        <f>IFERROR(""&amp;INDEX(tk_SIZE,MATCH(227,tk_FSEQ,0)),"")</f>
        <v/>
      </c>
      <c r="E232" s="162">
        <f>IFERROR(""&amp;INDEX(tk_RATING,MATCH(227,tk_FSEQ,0)),"")</f>
        <v/>
      </c>
      <c r="F232" s="162">
        <f>IFERROR(TEXT(INDEX(tk_OAW,MATCH(227,tk_FSEQ,0)),"0.000")&amp;" x "&amp;TEXT(INDEX(tk_OAH,MATCH(227,tk_FSEQ,0)),"0.000"),"")</f>
        <v/>
      </c>
      <c r="G232" s="162">
        <f>IFERROR(IF(INDEX(tk_ANCHT,MATCH(227,tk_FSEQ,0))="","",INDEX(tk_ANCHT,MATCH(227,tk_FSEQ,0))&amp;" + "&amp;INDEX(tk_BASEA,MATCH(227,tk_FSEQ,0))),"")</f>
        <v/>
      </c>
      <c r="H232" s="181">
        <f>IFERROR(""&amp;INDEX(tk_FLINE,MATCH(227,tk_FSEQ,0)),"")</f>
        <v/>
      </c>
      <c r="I232" s="181">
        <f>IFERROR(""&amp;INDEX(tk_LOCTXT,MATCH(227,tk_FSEQ,0)),"")</f>
        <v/>
      </c>
      <c r="J232" s="162">
        <f>IFERROR(""&amp;INDEX(tk_FNOTES,MATCH(227,tk_FSEQ,0)),"")</f>
        <v/>
      </c>
    </row>
    <row r="233">
      <c r="A233" s="161">
        <f>IFERROR(""&amp;INDEX(tk_MARK,MATCH(228,tk_FSEQ,0)),"")</f>
        <v/>
      </c>
      <c r="B233" s="162">
        <f>IFERROR(INDEX(tk_QTY,MATCH(228,tk_FSEQ,0)),"")</f>
        <v/>
      </c>
      <c r="C233" s="162">
        <f>IFERROR(INDEX(tk_ROOMF,MATCH(228,tk_FSEQ,0))&amp;IF(INDEX(tk_ROOMT,MATCH(228,tk_FSEQ,0))="",""," → "&amp;INDEX(tk_ROOMT,MATCH(228,tk_FSEQ,0))),"")</f>
        <v/>
      </c>
      <c r="D233" s="162">
        <f>IFERROR(""&amp;INDEX(tk_SIZE,MATCH(228,tk_FSEQ,0)),"")</f>
        <v/>
      </c>
      <c r="E233" s="162">
        <f>IFERROR(""&amp;INDEX(tk_RATING,MATCH(228,tk_FSEQ,0)),"")</f>
        <v/>
      </c>
      <c r="F233" s="162">
        <f>IFERROR(TEXT(INDEX(tk_OAW,MATCH(228,tk_FSEQ,0)),"0.000")&amp;" x "&amp;TEXT(INDEX(tk_OAH,MATCH(228,tk_FSEQ,0)),"0.000"),"")</f>
        <v/>
      </c>
      <c r="G233" s="162">
        <f>IFERROR(IF(INDEX(tk_ANCHT,MATCH(228,tk_FSEQ,0))="","",INDEX(tk_ANCHT,MATCH(228,tk_FSEQ,0))&amp;" + "&amp;INDEX(tk_BASEA,MATCH(228,tk_FSEQ,0))),"")</f>
        <v/>
      </c>
      <c r="H233" s="181">
        <f>IFERROR(""&amp;INDEX(tk_FLINE,MATCH(228,tk_FSEQ,0)),"")</f>
        <v/>
      </c>
      <c r="I233" s="181">
        <f>IFERROR(""&amp;INDEX(tk_LOCTXT,MATCH(228,tk_FSEQ,0)),"")</f>
        <v/>
      </c>
      <c r="J233" s="162">
        <f>IFERROR(""&amp;INDEX(tk_FNOTES,MATCH(228,tk_FSEQ,0)),"")</f>
        <v/>
      </c>
    </row>
    <row r="234">
      <c r="A234" s="161">
        <f>IFERROR(""&amp;INDEX(tk_MARK,MATCH(229,tk_FSEQ,0)),"")</f>
        <v/>
      </c>
      <c r="B234" s="162">
        <f>IFERROR(INDEX(tk_QTY,MATCH(229,tk_FSEQ,0)),"")</f>
        <v/>
      </c>
      <c r="C234" s="162">
        <f>IFERROR(INDEX(tk_ROOMF,MATCH(229,tk_FSEQ,0))&amp;IF(INDEX(tk_ROOMT,MATCH(229,tk_FSEQ,0))="",""," → "&amp;INDEX(tk_ROOMT,MATCH(229,tk_FSEQ,0))),"")</f>
        <v/>
      </c>
      <c r="D234" s="162">
        <f>IFERROR(""&amp;INDEX(tk_SIZE,MATCH(229,tk_FSEQ,0)),"")</f>
        <v/>
      </c>
      <c r="E234" s="162">
        <f>IFERROR(""&amp;INDEX(tk_RATING,MATCH(229,tk_FSEQ,0)),"")</f>
        <v/>
      </c>
      <c r="F234" s="162">
        <f>IFERROR(TEXT(INDEX(tk_OAW,MATCH(229,tk_FSEQ,0)),"0.000")&amp;" x "&amp;TEXT(INDEX(tk_OAH,MATCH(229,tk_FSEQ,0)),"0.000"),"")</f>
        <v/>
      </c>
      <c r="G234" s="162">
        <f>IFERROR(IF(INDEX(tk_ANCHT,MATCH(229,tk_FSEQ,0))="","",INDEX(tk_ANCHT,MATCH(229,tk_FSEQ,0))&amp;" + "&amp;INDEX(tk_BASEA,MATCH(229,tk_FSEQ,0))),"")</f>
        <v/>
      </c>
      <c r="H234" s="181">
        <f>IFERROR(""&amp;INDEX(tk_FLINE,MATCH(229,tk_FSEQ,0)),"")</f>
        <v/>
      </c>
      <c r="I234" s="181">
        <f>IFERROR(""&amp;INDEX(tk_LOCTXT,MATCH(229,tk_FSEQ,0)),"")</f>
        <v/>
      </c>
      <c r="J234" s="162">
        <f>IFERROR(""&amp;INDEX(tk_FNOTES,MATCH(229,tk_FSEQ,0)),"")</f>
        <v/>
      </c>
    </row>
    <row r="235">
      <c r="A235" s="161">
        <f>IFERROR(""&amp;INDEX(tk_MARK,MATCH(230,tk_FSEQ,0)),"")</f>
        <v/>
      </c>
      <c r="B235" s="162">
        <f>IFERROR(INDEX(tk_QTY,MATCH(230,tk_FSEQ,0)),"")</f>
        <v/>
      </c>
      <c r="C235" s="162">
        <f>IFERROR(INDEX(tk_ROOMF,MATCH(230,tk_FSEQ,0))&amp;IF(INDEX(tk_ROOMT,MATCH(230,tk_FSEQ,0))="",""," → "&amp;INDEX(tk_ROOMT,MATCH(230,tk_FSEQ,0))),"")</f>
        <v/>
      </c>
      <c r="D235" s="162">
        <f>IFERROR(""&amp;INDEX(tk_SIZE,MATCH(230,tk_FSEQ,0)),"")</f>
        <v/>
      </c>
      <c r="E235" s="162">
        <f>IFERROR(""&amp;INDEX(tk_RATING,MATCH(230,tk_FSEQ,0)),"")</f>
        <v/>
      </c>
      <c r="F235" s="162">
        <f>IFERROR(TEXT(INDEX(tk_OAW,MATCH(230,tk_FSEQ,0)),"0.000")&amp;" x "&amp;TEXT(INDEX(tk_OAH,MATCH(230,tk_FSEQ,0)),"0.000"),"")</f>
        <v/>
      </c>
      <c r="G235" s="162">
        <f>IFERROR(IF(INDEX(tk_ANCHT,MATCH(230,tk_FSEQ,0))="","",INDEX(tk_ANCHT,MATCH(230,tk_FSEQ,0))&amp;" + "&amp;INDEX(tk_BASEA,MATCH(230,tk_FSEQ,0))),"")</f>
        <v/>
      </c>
      <c r="H235" s="181">
        <f>IFERROR(""&amp;INDEX(tk_FLINE,MATCH(230,tk_FSEQ,0)),"")</f>
        <v/>
      </c>
      <c r="I235" s="181">
        <f>IFERROR(""&amp;INDEX(tk_LOCTXT,MATCH(230,tk_FSEQ,0)),"")</f>
        <v/>
      </c>
      <c r="J235" s="162">
        <f>IFERROR(""&amp;INDEX(tk_FNOTES,MATCH(230,tk_FSEQ,0)),"")</f>
        <v/>
      </c>
    </row>
    <row r="236">
      <c r="A236" s="161">
        <f>IFERROR(""&amp;INDEX(tk_MARK,MATCH(231,tk_FSEQ,0)),"")</f>
        <v/>
      </c>
      <c r="B236" s="162">
        <f>IFERROR(INDEX(tk_QTY,MATCH(231,tk_FSEQ,0)),"")</f>
        <v/>
      </c>
      <c r="C236" s="162">
        <f>IFERROR(INDEX(tk_ROOMF,MATCH(231,tk_FSEQ,0))&amp;IF(INDEX(tk_ROOMT,MATCH(231,tk_FSEQ,0))="",""," → "&amp;INDEX(tk_ROOMT,MATCH(231,tk_FSEQ,0))),"")</f>
        <v/>
      </c>
      <c r="D236" s="162">
        <f>IFERROR(""&amp;INDEX(tk_SIZE,MATCH(231,tk_FSEQ,0)),"")</f>
        <v/>
      </c>
      <c r="E236" s="162">
        <f>IFERROR(""&amp;INDEX(tk_RATING,MATCH(231,tk_FSEQ,0)),"")</f>
        <v/>
      </c>
      <c r="F236" s="162">
        <f>IFERROR(TEXT(INDEX(tk_OAW,MATCH(231,tk_FSEQ,0)),"0.000")&amp;" x "&amp;TEXT(INDEX(tk_OAH,MATCH(231,tk_FSEQ,0)),"0.000"),"")</f>
        <v/>
      </c>
      <c r="G236" s="162">
        <f>IFERROR(IF(INDEX(tk_ANCHT,MATCH(231,tk_FSEQ,0))="","",INDEX(tk_ANCHT,MATCH(231,tk_FSEQ,0))&amp;" + "&amp;INDEX(tk_BASEA,MATCH(231,tk_FSEQ,0))),"")</f>
        <v/>
      </c>
      <c r="H236" s="181">
        <f>IFERROR(""&amp;INDEX(tk_FLINE,MATCH(231,tk_FSEQ,0)),"")</f>
        <v/>
      </c>
      <c r="I236" s="181">
        <f>IFERROR(""&amp;INDEX(tk_LOCTXT,MATCH(231,tk_FSEQ,0)),"")</f>
        <v/>
      </c>
      <c r="J236" s="162">
        <f>IFERROR(""&amp;INDEX(tk_FNOTES,MATCH(231,tk_FSEQ,0)),"")</f>
        <v/>
      </c>
    </row>
    <row r="237">
      <c r="A237" s="161">
        <f>IFERROR(""&amp;INDEX(tk_MARK,MATCH(232,tk_FSEQ,0)),"")</f>
        <v/>
      </c>
      <c r="B237" s="162">
        <f>IFERROR(INDEX(tk_QTY,MATCH(232,tk_FSEQ,0)),"")</f>
        <v/>
      </c>
      <c r="C237" s="162">
        <f>IFERROR(INDEX(tk_ROOMF,MATCH(232,tk_FSEQ,0))&amp;IF(INDEX(tk_ROOMT,MATCH(232,tk_FSEQ,0))="",""," → "&amp;INDEX(tk_ROOMT,MATCH(232,tk_FSEQ,0))),"")</f>
        <v/>
      </c>
      <c r="D237" s="162">
        <f>IFERROR(""&amp;INDEX(tk_SIZE,MATCH(232,tk_FSEQ,0)),"")</f>
        <v/>
      </c>
      <c r="E237" s="162">
        <f>IFERROR(""&amp;INDEX(tk_RATING,MATCH(232,tk_FSEQ,0)),"")</f>
        <v/>
      </c>
      <c r="F237" s="162">
        <f>IFERROR(TEXT(INDEX(tk_OAW,MATCH(232,tk_FSEQ,0)),"0.000")&amp;" x "&amp;TEXT(INDEX(tk_OAH,MATCH(232,tk_FSEQ,0)),"0.000"),"")</f>
        <v/>
      </c>
      <c r="G237" s="162">
        <f>IFERROR(IF(INDEX(tk_ANCHT,MATCH(232,tk_FSEQ,0))="","",INDEX(tk_ANCHT,MATCH(232,tk_FSEQ,0))&amp;" + "&amp;INDEX(tk_BASEA,MATCH(232,tk_FSEQ,0))),"")</f>
        <v/>
      </c>
      <c r="H237" s="181">
        <f>IFERROR(""&amp;INDEX(tk_FLINE,MATCH(232,tk_FSEQ,0)),"")</f>
        <v/>
      </c>
      <c r="I237" s="181">
        <f>IFERROR(""&amp;INDEX(tk_LOCTXT,MATCH(232,tk_FSEQ,0)),"")</f>
        <v/>
      </c>
      <c r="J237" s="162">
        <f>IFERROR(""&amp;INDEX(tk_FNOTES,MATCH(232,tk_FSEQ,0)),"")</f>
        <v/>
      </c>
    </row>
    <row r="238">
      <c r="A238" s="161">
        <f>IFERROR(""&amp;INDEX(tk_MARK,MATCH(233,tk_FSEQ,0)),"")</f>
        <v/>
      </c>
      <c r="B238" s="162">
        <f>IFERROR(INDEX(tk_QTY,MATCH(233,tk_FSEQ,0)),"")</f>
        <v/>
      </c>
      <c r="C238" s="162">
        <f>IFERROR(INDEX(tk_ROOMF,MATCH(233,tk_FSEQ,0))&amp;IF(INDEX(tk_ROOMT,MATCH(233,tk_FSEQ,0))="",""," → "&amp;INDEX(tk_ROOMT,MATCH(233,tk_FSEQ,0))),"")</f>
        <v/>
      </c>
      <c r="D238" s="162">
        <f>IFERROR(""&amp;INDEX(tk_SIZE,MATCH(233,tk_FSEQ,0)),"")</f>
        <v/>
      </c>
      <c r="E238" s="162">
        <f>IFERROR(""&amp;INDEX(tk_RATING,MATCH(233,tk_FSEQ,0)),"")</f>
        <v/>
      </c>
      <c r="F238" s="162">
        <f>IFERROR(TEXT(INDEX(tk_OAW,MATCH(233,tk_FSEQ,0)),"0.000")&amp;" x "&amp;TEXT(INDEX(tk_OAH,MATCH(233,tk_FSEQ,0)),"0.000"),"")</f>
        <v/>
      </c>
      <c r="G238" s="162">
        <f>IFERROR(IF(INDEX(tk_ANCHT,MATCH(233,tk_FSEQ,0))="","",INDEX(tk_ANCHT,MATCH(233,tk_FSEQ,0))&amp;" + "&amp;INDEX(tk_BASEA,MATCH(233,tk_FSEQ,0))),"")</f>
        <v/>
      </c>
      <c r="H238" s="181">
        <f>IFERROR(""&amp;INDEX(tk_FLINE,MATCH(233,tk_FSEQ,0)),"")</f>
        <v/>
      </c>
      <c r="I238" s="181">
        <f>IFERROR(""&amp;INDEX(tk_LOCTXT,MATCH(233,tk_FSEQ,0)),"")</f>
        <v/>
      </c>
      <c r="J238" s="162">
        <f>IFERROR(""&amp;INDEX(tk_FNOTES,MATCH(233,tk_FSEQ,0)),"")</f>
        <v/>
      </c>
    </row>
    <row r="239">
      <c r="A239" s="161">
        <f>IFERROR(""&amp;INDEX(tk_MARK,MATCH(234,tk_FSEQ,0)),"")</f>
        <v/>
      </c>
      <c r="B239" s="162">
        <f>IFERROR(INDEX(tk_QTY,MATCH(234,tk_FSEQ,0)),"")</f>
        <v/>
      </c>
      <c r="C239" s="162">
        <f>IFERROR(INDEX(tk_ROOMF,MATCH(234,tk_FSEQ,0))&amp;IF(INDEX(tk_ROOMT,MATCH(234,tk_FSEQ,0))="",""," → "&amp;INDEX(tk_ROOMT,MATCH(234,tk_FSEQ,0))),"")</f>
        <v/>
      </c>
      <c r="D239" s="162">
        <f>IFERROR(""&amp;INDEX(tk_SIZE,MATCH(234,tk_FSEQ,0)),"")</f>
        <v/>
      </c>
      <c r="E239" s="162">
        <f>IFERROR(""&amp;INDEX(tk_RATING,MATCH(234,tk_FSEQ,0)),"")</f>
        <v/>
      </c>
      <c r="F239" s="162">
        <f>IFERROR(TEXT(INDEX(tk_OAW,MATCH(234,tk_FSEQ,0)),"0.000")&amp;" x "&amp;TEXT(INDEX(tk_OAH,MATCH(234,tk_FSEQ,0)),"0.000"),"")</f>
        <v/>
      </c>
      <c r="G239" s="162">
        <f>IFERROR(IF(INDEX(tk_ANCHT,MATCH(234,tk_FSEQ,0))="","",INDEX(tk_ANCHT,MATCH(234,tk_FSEQ,0))&amp;" + "&amp;INDEX(tk_BASEA,MATCH(234,tk_FSEQ,0))),"")</f>
        <v/>
      </c>
      <c r="H239" s="181">
        <f>IFERROR(""&amp;INDEX(tk_FLINE,MATCH(234,tk_FSEQ,0)),"")</f>
        <v/>
      </c>
      <c r="I239" s="181">
        <f>IFERROR(""&amp;INDEX(tk_LOCTXT,MATCH(234,tk_FSEQ,0)),"")</f>
        <v/>
      </c>
      <c r="J239" s="162">
        <f>IFERROR(""&amp;INDEX(tk_FNOTES,MATCH(234,tk_FSEQ,0)),"")</f>
        <v/>
      </c>
    </row>
    <row r="240">
      <c r="A240" s="161">
        <f>IFERROR(""&amp;INDEX(tk_MARK,MATCH(235,tk_FSEQ,0)),"")</f>
        <v/>
      </c>
      <c r="B240" s="162">
        <f>IFERROR(INDEX(tk_QTY,MATCH(235,tk_FSEQ,0)),"")</f>
        <v/>
      </c>
      <c r="C240" s="162">
        <f>IFERROR(INDEX(tk_ROOMF,MATCH(235,tk_FSEQ,0))&amp;IF(INDEX(tk_ROOMT,MATCH(235,tk_FSEQ,0))="",""," → "&amp;INDEX(tk_ROOMT,MATCH(235,tk_FSEQ,0))),"")</f>
        <v/>
      </c>
      <c r="D240" s="162">
        <f>IFERROR(""&amp;INDEX(tk_SIZE,MATCH(235,tk_FSEQ,0)),"")</f>
        <v/>
      </c>
      <c r="E240" s="162">
        <f>IFERROR(""&amp;INDEX(tk_RATING,MATCH(235,tk_FSEQ,0)),"")</f>
        <v/>
      </c>
      <c r="F240" s="162">
        <f>IFERROR(TEXT(INDEX(tk_OAW,MATCH(235,tk_FSEQ,0)),"0.000")&amp;" x "&amp;TEXT(INDEX(tk_OAH,MATCH(235,tk_FSEQ,0)),"0.000"),"")</f>
        <v/>
      </c>
      <c r="G240" s="162">
        <f>IFERROR(IF(INDEX(tk_ANCHT,MATCH(235,tk_FSEQ,0))="","",INDEX(tk_ANCHT,MATCH(235,tk_FSEQ,0))&amp;" + "&amp;INDEX(tk_BASEA,MATCH(235,tk_FSEQ,0))),"")</f>
        <v/>
      </c>
      <c r="H240" s="181">
        <f>IFERROR(""&amp;INDEX(tk_FLINE,MATCH(235,tk_FSEQ,0)),"")</f>
        <v/>
      </c>
      <c r="I240" s="181">
        <f>IFERROR(""&amp;INDEX(tk_LOCTXT,MATCH(235,tk_FSEQ,0)),"")</f>
        <v/>
      </c>
      <c r="J240" s="162">
        <f>IFERROR(""&amp;INDEX(tk_FNOTES,MATCH(235,tk_FSEQ,0)),"")</f>
        <v/>
      </c>
    </row>
    <row r="241">
      <c r="A241" s="161">
        <f>IFERROR(""&amp;INDEX(tk_MARK,MATCH(236,tk_FSEQ,0)),"")</f>
        <v/>
      </c>
      <c r="B241" s="162">
        <f>IFERROR(INDEX(tk_QTY,MATCH(236,tk_FSEQ,0)),"")</f>
        <v/>
      </c>
      <c r="C241" s="162">
        <f>IFERROR(INDEX(tk_ROOMF,MATCH(236,tk_FSEQ,0))&amp;IF(INDEX(tk_ROOMT,MATCH(236,tk_FSEQ,0))="",""," → "&amp;INDEX(tk_ROOMT,MATCH(236,tk_FSEQ,0))),"")</f>
        <v/>
      </c>
      <c r="D241" s="162">
        <f>IFERROR(""&amp;INDEX(tk_SIZE,MATCH(236,tk_FSEQ,0)),"")</f>
        <v/>
      </c>
      <c r="E241" s="162">
        <f>IFERROR(""&amp;INDEX(tk_RATING,MATCH(236,tk_FSEQ,0)),"")</f>
        <v/>
      </c>
      <c r="F241" s="162">
        <f>IFERROR(TEXT(INDEX(tk_OAW,MATCH(236,tk_FSEQ,0)),"0.000")&amp;" x "&amp;TEXT(INDEX(tk_OAH,MATCH(236,tk_FSEQ,0)),"0.000"),"")</f>
        <v/>
      </c>
      <c r="G241" s="162">
        <f>IFERROR(IF(INDEX(tk_ANCHT,MATCH(236,tk_FSEQ,0))="","",INDEX(tk_ANCHT,MATCH(236,tk_FSEQ,0))&amp;" + "&amp;INDEX(tk_BASEA,MATCH(236,tk_FSEQ,0))),"")</f>
        <v/>
      </c>
      <c r="H241" s="181">
        <f>IFERROR(""&amp;INDEX(tk_FLINE,MATCH(236,tk_FSEQ,0)),"")</f>
        <v/>
      </c>
      <c r="I241" s="181">
        <f>IFERROR(""&amp;INDEX(tk_LOCTXT,MATCH(236,tk_FSEQ,0)),"")</f>
        <v/>
      </c>
      <c r="J241" s="162">
        <f>IFERROR(""&amp;INDEX(tk_FNOTES,MATCH(236,tk_FSEQ,0)),"")</f>
        <v/>
      </c>
    </row>
    <row r="242">
      <c r="A242" s="161">
        <f>IFERROR(""&amp;INDEX(tk_MARK,MATCH(237,tk_FSEQ,0)),"")</f>
        <v/>
      </c>
      <c r="B242" s="162">
        <f>IFERROR(INDEX(tk_QTY,MATCH(237,tk_FSEQ,0)),"")</f>
        <v/>
      </c>
      <c r="C242" s="162">
        <f>IFERROR(INDEX(tk_ROOMF,MATCH(237,tk_FSEQ,0))&amp;IF(INDEX(tk_ROOMT,MATCH(237,tk_FSEQ,0))="",""," → "&amp;INDEX(tk_ROOMT,MATCH(237,tk_FSEQ,0))),"")</f>
        <v/>
      </c>
      <c r="D242" s="162">
        <f>IFERROR(""&amp;INDEX(tk_SIZE,MATCH(237,tk_FSEQ,0)),"")</f>
        <v/>
      </c>
      <c r="E242" s="162">
        <f>IFERROR(""&amp;INDEX(tk_RATING,MATCH(237,tk_FSEQ,0)),"")</f>
        <v/>
      </c>
      <c r="F242" s="162">
        <f>IFERROR(TEXT(INDEX(tk_OAW,MATCH(237,tk_FSEQ,0)),"0.000")&amp;" x "&amp;TEXT(INDEX(tk_OAH,MATCH(237,tk_FSEQ,0)),"0.000"),"")</f>
        <v/>
      </c>
      <c r="G242" s="162">
        <f>IFERROR(IF(INDEX(tk_ANCHT,MATCH(237,tk_FSEQ,0))="","",INDEX(tk_ANCHT,MATCH(237,tk_FSEQ,0))&amp;" + "&amp;INDEX(tk_BASEA,MATCH(237,tk_FSEQ,0))),"")</f>
        <v/>
      </c>
      <c r="H242" s="181">
        <f>IFERROR(""&amp;INDEX(tk_FLINE,MATCH(237,tk_FSEQ,0)),"")</f>
        <v/>
      </c>
      <c r="I242" s="181">
        <f>IFERROR(""&amp;INDEX(tk_LOCTXT,MATCH(237,tk_FSEQ,0)),"")</f>
        <v/>
      </c>
      <c r="J242" s="162">
        <f>IFERROR(""&amp;INDEX(tk_FNOTES,MATCH(237,tk_FSEQ,0)),"")</f>
        <v/>
      </c>
    </row>
    <row r="243">
      <c r="A243" s="161">
        <f>IFERROR(""&amp;INDEX(tk_MARK,MATCH(238,tk_FSEQ,0)),"")</f>
        <v/>
      </c>
      <c r="B243" s="162">
        <f>IFERROR(INDEX(tk_QTY,MATCH(238,tk_FSEQ,0)),"")</f>
        <v/>
      </c>
      <c r="C243" s="162">
        <f>IFERROR(INDEX(tk_ROOMF,MATCH(238,tk_FSEQ,0))&amp;IF(INDEX(tk_ROOMT,MATCH(238,tk_FSEQ,0))="",""," → "&amp;INDEX(tk_ROOMT,MATCH(238,tk_FSEQ,0))),"")</f>
        <v/>
      </c>
      <c r="D243" s="162">
        <f>IFERROR(""&amp;INDEX(tk_SIZE,MATCH(238,tk_FSEQ,0)),"")</f>
        <v/>
      </c>
      <c r="E243" s="162">
        <f>IFERROR(""&amp;INDEX(tk_RATING,MATCH(238,tk_FSEQ,0)),"")</f>
        <v/>
      </c>
      <c r="F243" s="162">
        <f>IFERROR(TEXT(INDEX(tk_OAW,MATCH(238,tk_FSEQ,0)),"0.000")&amp;" x "&amp;TEXT(INDEX(tk_OAH,MATCH(238,tk_FSEQ,0)),"0.000"),"")</f>
        <v/>
      </c>
      <c r="G243" s="162">
        <f>IFERROR(IF(INDEX(tk_ANCHT,MATCH(238,tk_FSEQ,0))="","",INDEX(tk_ANCHT,MATCH(238,tk_FSEQ,0))&amp;" + "&amp;INDEX(tk_BASEA,MATCH(238,tk_FSEQ,0))),"")</f>
        <v/>
      </c>
      <c r="H243" s="181">
        <f>IFERROR(""&amp;INDEX(tk_FLINE,MATCH(238,tk_FSEQ,0)),"")</f>
        <v/>
      </c>
      <c r="I243" s="181">
        <f>IFERROR(""&amp;INDEX(tk_LOCTXT,MATCH(238,tk_FSEQ,0)),"")</f>
        <v/>
      </c>
      <c r="J243" s="162">
        <f>IFERROR(""&amp;INDEX(tk_FNOTES,MATCH(238,tk_FSEQ,0)),"")</f>
        <v/>
      </c>
    </row>
    <row r="244">
      <c r="A244" s="161">
        <f>IFERROR(""&amp;INDEX(tk_MARK,MATCH(239,tk_FSEQ,0)),"")</f>
        <v/>
      </c>
      <c r="B244" s="162">
        <f>IFERROR(INDEX(tk_QTY,MATCH(239,tk_FSEQ,0)),"")</f>
        <v/>
      </c>
      <c r="C244" s="162">
        <f>IFERROR(INDEX(tk_ROOMF,MATCH(239,tk_FSEQ,0))&amp;IF(INDEX(tk_ROOMT,MATCH(239,tk_FSEQ,0))="",""," → "&amp;INDEX(tk_ROOMT,MATCH(239,tk_FSEQ,0))),"")</f>
        <v/>
      </c>
      <c r="D244" s="162">
        <f>IFERROR(""&amp;INDEX(tk_SIZE,MATCH(239,tk_FSEQ,0)),"")</f>
        <v/>
      </c>
      <c r="E244" s="162">
        <f>IFERROR(""&amp;INDEX(tk_RATING,MATCH(239,tk_FSEQ,0)),"")</f>
        <v/>
      </c>
      <c r="F244" s="162">
        <f>IFERROR(TEXT(INDEX(tk_OAW,MATCH(239,tk_FSEQ,0)),"0.000")&amp;" x "&amp;TEXT(INDEX(tk_OAH,MATCH(239,tk_FSEQ,0)),"0.000"),"")</f>
        <v/>
      </c>
      <c r="G244" s="162">
        <f>IFERROR(IF(INDEX(tk_ANCHT,MATCH(239,tk_FSEQ,0))="","",INDEX(tk_ANCHT,MATCH(239,tk_FSEQ,0))&amp;" + "&amp;INDEX(tk_BASEA,MATCH(239,tk_FSEQ,0))),"")</f>
        <v/>
      </c>
      <c r="H244" s="181">
        <f>IFERROR(""&amp;INDEX(tk_FLINE,MATCH(239,tk_FSEQ,0)),"")</f>
        <v/>
      </c>
      <c r="I244" s="181">
        <f>IFERROR(""&amp;INDEX(tk_LOCTXT,MATCH(239,tk_FSEQ,0)),"")</f>
        <v/>
      </c>
      <c r="J244" s="162">
        <f>IFERROR(""&amp;INDEX(tk_FNOTES,MATCH(239,tk_FSEQ,0)),"")</f>
        <v/>
      </c>
    </row>
    <row r="245">
      <c r="A245" s="161">
        <f>IFERROR(""&amp;INDEX(tk_MARK,MATCH(240,tk_FSEQ,0)),"")</f>
        <v/>
      </c>
      <c r="B245" s="162">
        <f>IFERROR(INDEX(tk_QTY,MATCH(240,tk_FSEQ,0)),"")</f>
        <v/>
      </c>
      <c r="C245" s="162">
        <f>IFERROR(INDEX(tk_ROOMF,MATCH(240,tk_FSEQ,0))&amp;IF(INDEX(tk_ROOMT,MATCH(240,tk_FSEQ,0))="",""," → "&amp;INDEX(tk_ROOMT,MATCH(240,tk_FSEQ,0))),"")</f>
        <v/>
      </c>
      <c r="D245" s="162">
        <f>IFERROR(""&amp;INDEX(tk_SIZE,MATCH(240,tk_FSEQ,0)),"")</f>
        <v/>
      </c>
      <c r="E245" s="162">
        <f>IFERROR(""&amp;INDEX(tk_RATING,MATCH(240,tk_FSEQ,0)),"")</f>
        <v/>
      </c>
      <c r="F245" s="162">
        <f>IFERROR(TEXT(INDEX(tk_OAW,MATCH(240,tk_FSEQ,0)),"0.000")&amp;" x "&amp;TEXT(INDEX(tk_OAH,MATCH(240,tk_FSEQ,0)),"0.000"),"")</f>
        <v/>
      </c>
      <c r="G245" s="162">
        <f>IFERROR(IF(INDEX(tk_ANCHT,MATCH(240,tk_FSEQ,0))="","",INDEX(tk_ANCHT,MATCH(240,tk_FSEQ,0))&amp;" + "&amp;INDEX(tk_BASEA,MATCH(240,tk_FSEQ,0))),"")</f>
        <v/>
      </c>
      <c r="H245" s="181">
        <f>IFERROR(""&amp;INDEX(tk_FLINE,MATCH(240,tk_FSEQ,0)),"")</f>
        <v/>
      </c>
      <c r="I245" s="181">
        <f>IFERROR(""&amp;INDEX(tk_LOCTXT,MATCH(240,tk_FSEQ,0)),"")</f>
        <v/>
      </c>
      <c r="J245" s="162">
        <f>IFERROR(""&amp;INDEX(tk_FNOTES,MATCH(240,tk_FSEQ,0)),"")</f>
        <v/>
      </c>
    </row>
    <row r="246">
      <c r="A246" s="161">
        <f>IFERROR(""&amp;INDEX(tk_MARK,MATCH(241,tk_FSEQ,0)),"")</f>
        <v/>
      </c>
      <c r="B246" s="162">
        <f>IFERROR(INDEX(tk_QTY,MATCH(241,tk_FSEQ,0)),"")</f>
        <v/>
      </c>
      <c r="C246" s="162">
        <f>IFERROR(INDEX(tk_ROOMF,MATCH(241,tk_FSEQ,0))&amp;IF(INDEX(tk_ROOMT,MATCH(241,tk_FSEQ,0))="",""," → "&amp;INDEX(tk_ROOMT,MATCH(241,tk_FSEQ,0))),"")</f>
        <v/>
      </c>
      <c r="D246" s="162">
        <f>IFERROR(""&amp;INDEX(tk_SIZE,MATCH(241,tk_FSEQ,0)),"")</f>
        <v/>
      </c>
      <c r="E246" s="162">
        <f>IFERROR(""&amp;INDEX(tk_RATING,MATCH(241,tk_FSEQ,0)),"")</f>
        <v/>
      </c>
      <c r="F246" s="162">
        <f>IFERROR(TEXT(INDEX(tk_OAW,MATCH(241,tk_FSEQ,0)),"0.000")&amp;" x "&amp;TEXT(INDEX(tk_OAH,MATCH(241,tk_FSEQ,0)),"0.000"),"")</f>
        <v/>
      </c>
      <c r="G246" s="162">
        <f>IFERROR(IF(INDEX(tk_ANCHT,MATCH(241,tk_FSEQ,0))="","",INDEX(tk_ANCHT,MATCH(241,tk_FSEQ,0))&amp;" + "&amp;INDEX(tk_BASEA,MATCH(241,tk_FSEQ,0))),"")</f>
        <v/>
      </c>
      <c r="H246" s="181">
        <f>IFERROR(""&amp;INDEX(tk_FLINE,MATCH(241,tk_FSEQ,0)),"")</f>
        <v/>
      </c>
      <c r="I246" s="181">
        <f>IFERROR(""&amp;INDEX(tk_LOCTXT,MATCH(241,tk_FSEQ,0)),"")</f>
        <v/>
      </c>
      <c r="J246" s="162">
        <f>IFERROR(""&amp;INDEX(tk_FNOTES,MATCH(241,tk_FSEQ,0)),"")</f>
        <v/>
      </c>
    </row>
    <row r="247">
      <c r="A247" s="161">
        <f>IFERROR(""&amp;INDEX(tk_MARK,MATCH(242,tk_FSEQ,0)),"")</f>
        <v/>
      </c>
      <c r="B247" s="162">
        <f>IFERROR(INDEX(tk_QTY,MATCH(242,tk_FSEQ,0)),"")</f>
        <v/>
      </c>
      <c r="C247" s="162">
        <f>IFERROR(INDEX(tk_ROOMF,MATCH(242,tk_FSEQ,0))&amp;IF(INDEX(tk_ROOMT,MATCH(242,tk_FSEQ,0))="",""," → "&amp;INDEX(tk_ROOMT,MATCH(242,tk_FSEQ,0))),"")</f>
        <v/>
      </c>
      <c r="D247" s="162">
        <f>IFERROR(""&amp;INDEX(tk_SIZE,MATCH(242,tk_FSEQ,0)),"")</f>
        <v/>
      </c>
      <c r="E247" s="162">
        <f>IFERROR(""&amp;INDEX(tk_RATING,MATCH(242,tk_FSEQ,0)),"")</f>
        <v/>
      </c>
      <c r="F247" s="162">
        <f>IFERROR(TEXT(INDEX(tk_OAW,MATCH(242,tk_FSEQ,0)),"0.000")&amp;" x "&amp;TEXT(INDEX(tk_OAH,MATCH(242,tk_FSEQ,0)),"0.000"),"")</f>
        <v/>
      </c>
      <c r="G247" s="162">
        <f>IFERROR(IF(INDEX(tk_ANCHT,MATCH(242,tk_FSEQ,0))="","",INDEX(tk_ANCHT,MATCH(242,tk_FSEQ,0))&amp;" + "&amp;INDEX(tk_BASEA,MATCH(242,tk_FSEQ,0))),"")</f>
        <v/>
      </c>
      <c r="H247" s="181">
        <f>IFERROR(""&amp;INDEX(tk_FLINE,MATCH(242,tk_FSEQ,0)),"")</f>
        <v/>
      </c>
      <c r="I247" s="181">
        <f>IFERROR(""&amp;INDEX(tk_LOCTXT,MATCH(242,tk_FSEQ,0)),"")</f>
        <v/>
      </c>
      <c r="J247" s="162">
        <f>IFERROR(""&amp;INDEX(tk_FNOTES,MATCH(242,tk_FSEQ,0)),"")</f>
        <v/>
      </c>
    </row>
    <row r="248">
      <c r="A248" s="161">
        <f>IFERROR(""&amp;INDEX(tk_MARK,MATCH(243,tk_FSEQ,0)),"")</f>
        <v/>
      </c>
      <c r="B248" s="162">
        <f>IFERROR(INDEX(tk_QTY,MATCH(243,tk_FSEQ,0)),"")</f>
        <v/>
      </c>
      <c r="C248" s="162">
        <f>IFERROR(INDEX(tk_ROOMF,MATCH(243,tk_FSEQ,0))&amp;IF(INDEX(tk_ROOMT,MATCH(243,tk_FSEQ,0))="",""," → "&amp;INDEX(tk_ROOMT,MATCH(243,tk_FSEQ,0))),"")</f>
        <v/>
      </c>
      <c r="D248" s="162">
        <f>IFERROR(""&amp;INDEX(tk_SIZE,MATCH(243,tk_FSEQ,0)),"")</f>
        <v/>
      </c>
      <c r="E248" s="162">
        <f>IFERROR(""&amp;INDEX(tk_RATING,MATCH(243,tk_FSEQ,0)),"")</f>
        <v/>
      </c>
      <c r="F248" s="162">
        <f>IFERROR(TEXT(INDEX(tk_OAW,MATCH(243,tk_FSEQ,0)),"0.000")&amp;" x "&amp;TEXT(INDEX(tk_OAH,MATCH(243,tk_FSEQ,0)),"0.000"),"")</f>
        <v/>
      </c>
      <c r="G248" s="162">
        <f>IFERROR(IF(INDEX(tk_ANCHT,MATCH(243,tk_FSEQ,0))="","",INDEX(tk_ANCHT,MATCH(243,tk_FSEQ,0))&amp;" + "&amp;INDEX(tk_BASEA,MATCH(243,tk_FSEQ,0))),"")</f>
        <v/>
      </c>
      <c r="H248" s="181">
        <f>IFERROR(""&amp;INDEX(tk_FLINE,MATCH(243,tk_FSEQ,0)),"")</f>
        <v/>
      </c>
      <c r="I248" s="181">
        <f>IFERROR(""&amp;INDEX(tk_LOCTXT,MATCH(243,tk_FSEQ,0)),"")</f>
        <v/>
      </c>
      <c r="J248" s="162">
        <f>IFERROR(""&amp;INDEX(tk_FNOTES,MATCH(243,tk_FSEQ,0)),"")</f>
        <v/>
      </c>
    </row>
    <row r="249">
      <c r="A249" s="161">
        <f>IFERROR(""&amp;INDEX(tk_MARK,MATCH(244,tk_FSEQ,0)),"")</f>
        <v/>
      </c>
      <c r="B249" s="162">
        <f>IFERROR(INDEX(tk_QTY,MATCH(244,tk_FSEQ,0)),"")</f>
        <v/>
      </c>
      <c r="C249" s="162">
        <f>IFERROR(INDEX(tk_ROOMF,MATCH(244,tk_FSEQ,0))&amp;IF(INDEX(tk_ROOMT,MATCH(244,tk_FSEQ,0))="",""," → "&amp;INDEX(tk_ROOMT,MATCH(244,tk_FSEQ,0))),"")</f>
        <v/>
      </c>
      <c r="D249" s="162">
        <f>IFERROR(""&amp;INDEX(tk_SIZE,MATCH(244,tk_FSEQ,0)),"")</f>
        <v/>
      </c>
      <c r="E249" s="162">
        <f>IFERROR(""&amp;INDEX(tk_RATING,MATCH(244,tk_FSEQ,0)),"")</f>
        <v/>
      </c>
      <c r="F249" s="162">
        <f>IFERROR(TEXT(INDEX(tk_OAW,MATCH(244,tk_FSEQ,0)),"0.000")&amp;" x "&amp;TEXT(INDEX(tk_OAH,MATCH(244,tk_FSEQ,0)),"0.000"),"")</f>
        <v/>
      </c>
      <c r="G249" s="162">
        <f>IFERROR(IF(INDEX(tk_ANCHT,MATCH(244,tk_FSEQ,0))="","",INDEX(tk_ANCHT,MATCH(244,tk_FSEQ,0))&amp;" + "&amp;INDEX(tk_BASEA,MATCH(244,tk_FSEQ,0))),"")</f>
        <v/>
      </c>
      <c r="H249" s="181">
        <f>IFERROR(""&amp;INDEX(tk_FLINE,MATCH(244,tk_FSEQ,0)),"")</f>
        <v/>
      </c>
      <c r="I249" s="181">
        <f>IFERROR(""&amp;INDEX(tk_LOCTXT,MATCH(244,tk_FSEQ,0)),"")</f>
        <v/>
      </c>
      <c r="J249" s="162">
        <f>IFERROR(""&amp;INDEX(tk_FNOTES,MATCH(244,tk_FSEQ,0)),"")</f>
        <v/>
      </c>
    </row>
    <row r="250">
      <c r="A250" s="161">
        <f>IFERROR(""&amp;INDEX(tk_MARK,MATCH(245,tk_FSEQ,0)),"")</f>
        <v/>
      </c>
      <c r="B250" s="162">
        <f>IFERROR(INDEX(tk_QTY,MATCH(245,tk_FSEQ,0)),"")</f>
        <v/>
      </c>
      <c r="C250" s="162">
        <f>IFERROR(INDEX(tk_ROOMF,MATCH(245,tk_FSEQ,0))&amp;IF(INDEX(tk_ROOMT,MATCH(245,tk_FSEQ,0))="",""," → "&amp;INDEX(tk_ROOMT,MATCH(245,tk_FSEQ,0))),"")</f>
        <v/>
      </c>
      <c r="D250" s="162">
        <f>IFERROR(""&amp;INDEX(tk_SIZE,MATCH(245,tk_FSEQ,0)),"")</f>
        <v/>
      </c>
      <c r="E250" s="162">
        <f>IFERROR(""&amp;INDEX(tk_RATING,MATCH(245,tk_FSEQ,0)),"")</f>
        <v/>
      </c>
      <c r="F250" s="162">
        <f>IFERROR(TEXT(INDEX(tk_OAW,MATCH(245,tk_FSEQ,0)),"0.000")&amp;" x "&amp;TEXT(INDEX(tk_OAH,MATCH(245,tk_FSEQ,0)),"0.000"),"")</f>
        <v/>
      </c>
      <c r="G250" s="162">
        <f>IFERROR(IF(INDEX(tk_ANCHT,MATCH(245,tk_FSEQ,0))="","",INDEX(tk_ANCHT,MATCH(245,tk_FSEQ,0))&amp;" + "&amp;INDEX(tk_BASEA,MATCH(245,tk_FSEQ,0))),"")</f>
        <v/>
      </c>
      <c r="H250" s="181">
        <f>IFERROR(""&amp;INDEX(tk_FLINE,MATCH(245,tk_FSEQ,0)),"")</f>
        <v/>
      </c>
      <c r="I250" s="181">
        <f>IFERROR(""&amp;INDEX(tk_LOCTXT,MATCH(245,tk_FSEQ,0)),"")</f>
        <v/>
      </c>
      <c r="J250" s="162">
        <f>IFERROR(""&amp;INDEX(tk_FNOTES,MATCH(245,tk_FSEQ,0)),"")</f>
        <v/>
      </c>
    </row>
    <row r="251">
      <c r="A251" s="161">
        <f>IFERROR(""&amp;INDEX(tk_MARK,MATCH(246,tk_FSEQ,0)),"")</f>
        <v/>
      </c>
      <c r="B251" s="162">
        <f>IFERROR(INDEX(tk_QTY,MATCH(246,tk_FSEQ,0)),"")</f>
        <v/>
      </c>
      <c r="C251" s="162">
        <f>IFERROR(INDEX(tk_ROOMF,MATCH(246,tk_FSEQ,0))&amp;IF(INDEX(tk_ROOMT,MATCH(246,tk_FSEQ,0))="",""," → "&amp;INDEX(tk_ROOMT,MATCH(246,tk_FSEQ,0))),"")</f>
        <v/>
      </c>
      <c r="D251" s="162">
        <f>IFERROR(""&amp;INDEX(tk_SIZE,MATCH(246,tk_FSEQ,0)),"")</f>
        <v/>
      </c>
      <c r="E251" s="162">
        <f>IFERROR(""&amp;INDEX(tk_RATING,MATCH(246,tk_FSEQ,0)),"")</f>
        <v/>
      </c>
      <c r="F251" s="162">
        <f>IFERROR(TEXT(INDEX(tk_OAW,MATCH(246,tk_FSEQ,0)),"0.000")&amp;" x "&amp;TEXT(INDEX(tk_OAH,MATCH(246,tk_FSEQ,0)),"0.000"),"")</f>
        <v/>
      </c>
      <c r="G251" s="162">
        <f>IFERROR(IF(INDEX(tk_ANCHT,MATCH(246,tk_FSEQ,0))="","",INDEX(tk_ANCHT,MATCH(246,tk_FSEQ,0))&amp;" + "&amp;INDEX(tk_BASEA,MATCH(246,tk_FSEQ,0))),"")</f>
        <v/>
      </c>
      <c r="H251" s="181">
        <f>IFERROR(""&amp;INDEX(tk_FLINE,MATCH(246,tk_FSEQ,0)),"")</f>
        <v/>
      </c>
      <c r="I251" s="181">
        <f>IFERROR(""&amp;INDEX(tk_LOCTXT,MATCH(246,tk_FSEQ,0)),"")</f>
        <v/>
      </c>
      <c r="J251" s="162">
        <f>IFERROR(""&amp;INDEX(tk_FNOTES,MATCH(246,tk_FSEQ,0)),"")</f>
        <v/>
      </c>
    </row>
    <row r="252">
      <c r="A252" s="161">
        <f>IFERROR(""&amp;INDEX(tk_MARK,MATCH(247,tk_FSEQ,0)),"")</f>
        <v/>
      </c>
      <c r="B252" s="162">
        <f>IFERROR(INDEX(tk_QTY,MATCH(247,tk_FSEQ,0)),"")</f>
        <v/>
      </c>
      <c r="C252" s="162">
        <f>IFERROR(INDEX(tk_ROOMF,MATCH(247,tk_FSEQ,0))&amp;IF(INDEX(tk_ROOMT,MATCH(247,tk_FSEQ,0))="",""," → "&amp;INDEX(tk_ROOMT,MATCH(247,tk_FSEQ,0))),"")</f>
        <v/>
      </c>
      <c r="D252" s="162">
        <f>IFERROR(""&amp;INDEX(tk_SIZE,MATCH(247,tk_FSEQ,0)),"")</f>
        <v/>
      </c>
      <c r="E252" s="162">
        <f>IFERROR(""&amp;INDEX(tk_RATING,MATCH(247,tk_FSEQ,0)),"")</f>
        <v/>
      </c>
      <c r="F252" s="162">
        <f>IFERROR(TEXT(INDEX(tk_OAW,MATCH(247,tk_FSEQ,0)),"0.000")&amp;" x "&amp;TEXT(INDEX(tk_OAH,MATCH(247,tk_FSEQ,0)),"0.000"),"")</f>
        <v/>
      </c>
      <c r="G252" s="162">
        <f>IFERROR(IF(INDEX(tk_ANCHT,MATCH(247,tk_FSEQ,0))="","",INDEX(tk_ANCHT,MATCH(247,tk_FSEQ,0))&amp;" + "&amp;INDEX(tk_BASEA,MATCH(247,tk_FSEQ,0))),"")</f>
        <v/>
      </c>
      <c r="H252" s="181">
        <f>IFERROR(""&amp;INDEX(tk_FLINE,MATCH(247,tk_FSEQ,0)),"")</f>
        <v/>
      </c>
      <c r="I252" s="181">
        <f>IFERROR(""&amp;INDEX(tk_LOCTXT,MATCH(247,tk_FSEQ,0)),"")</f>
        <v/>
      </c>
      <c r="J252" s="162">
        <f>IFERROR(""&amp;INDEX(tk_FNOTES,MATCH(247,tk_FSEQ,0)),"")</f>
        <v/>
      </c>
    </row>
    <row r="253">
      <c r="A253" s="161">
        <f>IFERROR(""&amp;INDEX(tk_MARK,MATCH(248,tk_FSEQ,0)),"")</f>
        <v/>
      </c>
      <c r="B253" s="162">
        <f>IFERROR(INDEX(tk_QTY,MATCH(248,tk_FSEQ,0)),"")</f>
        <v/>
      </c>
      <c r="C253" s="162">
        <f>IFERROR(INDEX(tk_ROOMF,MATCH(248,tk_FSEQ,0))&amp;IF(INDEX(tk_ROOMT,MATCH(248,tk_FSEQ,0))="",""," → "&amp;INDEX(tk_ROOMT,MATCH(248,tk_FSEQ,0))),"")</f>
        <v/>
      </c>
      <c r="D253" s="162">
        <f>IFERROR(""&amp;INDEX(tk_SIZE,MATCH(248,tk_FSEQ,0)),"")</f>
        <v/>
      </c>
      <c r="E253" s="162">
        <f>IFERROR(""&amp;INDEX(tk_RATING,MATCH(248,tk_FSEQ,0)),"")</f>
        <v/>
      </c>
      <c r="F253" s="162">
        <f>IFERROR(TEXT(INDEX(tk_OAW,MATCH(248,tk_FSEQ,0)),"0.000")&amp;" x "&amp;TEXT(INDEX(tk_OAH,MATCH(248,tk_FSEQ,0)),"0.000"),"")</f>
        <v/>
      </c>
      <c r="G253" s="162">
        <f>IFERROR(IF(INDEX(tk_ANCHT,MATCH(248,tk_FSEQ,0))="","",INDEX(tk_ANCHT,MATCH(248,tk_FSEQ,0))&amp;" + "&amp;INDEX(tk_BASEA,MATCH(248,tk_FSEQ,0))),"")</f>
        <v/>
      </c>
      <c r="H253" s="181">
        <f>IFERROR(""&amp;INDEX(tk_FLINE,MATCH(248,tk_FSEQ,0)),"")</f>
        <v/>
      </c>
      <c r="I253" s="181">
        <f>IFERROR(""&amp;INDEX(tk_LOCTXT,MATCH(248,tk_FSEQ,0)),"")</f>
        <v/>
      </c>
      <c r="J253" s="162">
        <f>IFERROR(""&amp;INDEX(tk_FNOTES,MATCH(248,tk_FSEQ,0)),"")</f>
        <v/>
      </c>
    </row>
    <row r="254">
      <c r="A254" s="161">
        <f>IFERROR(""&amp;INDEX(tk_MARK,MATCH(249,tk_FSEQ,0)),"")</f>
        <v/>
      </c>
      <c r="B254" s="162">
        <f>IFERROR(INDEX(tk_QTY,MATCH(249,tk_FSEQ,0)),"")</f>
        <v/>
      </c>
      <c r="C254" s="162">
        <f>IFERROR(INDEX(tk_ROOMF,MATCH(249,tk_FSEQ,0))&amp;IF(INDEX(tk_ROOMT,MATCH(249,tk_FSEQ,0))="",""," → "&amp;INDEX(tk_ROOMT,MATCH(249,tk_FSEQ,0))),"")</f>
        <v/>
      </c>
      <c r="D254" s="162">
        <f>IFERROR(""&amp;INDEX(tk_SIZE,MATCH(249,tk_FSEQ,0)),"")</f>
        <v/>
      </c>
      <c r="E254" s="162">
        <f>IFERROR(""&amp;INDEX(tk_RATING,MATCH(249,tk_FSEQ,0)),"")</f>
        <v/>
      </c>
      <c r="F254" s="162">
        <f>IFERROR(TEXT(INDEX(tk_OAW,MATCH(249,tk_FSEQ,0)),"0.000")&amp;" x "&amp;TEXT(INDEX(tk_OAH,MATCH(249,tk_FSEQ,0)),"0.000"),"")</f>
        <v/>
      </c>
      <c r="G254" s="162">
        <f>IFERROR(IF(INDEX(tk_ANCHT,MATCH(249,tk_FSEQ,0))="","",INDEX(tk_ANCHT,MATCH(249,tk_FSEQ,0))&amp;" + "&amp;INDEX(tk_BASEA,MATCH(249,tk_FSEQ,0))),"")</f>
        <v/>
      </c>
      <c r="H254" s="181">
        <f>IFERROR(""&amp;INDEX(tk_FLINE,MATCH(249,tk_FSEQ,0)),"")</f>
        <v/>
      </c>
      <c r="I254" s="181">
        <f>IFERROR(""&amp;INDEX(tk_LOCTXT,MATCH(249,tk_FSEQ,0)),"")</f>
        <v/>
      </c>
      <c r="J254" s="162">
        <f>IFERROR(""&amp;INDEX(tk_FNOTES,MATCH(249,tk_FSEQ,0)),"")</f>
        <v/>
      </c>
    </row>
    <row r="255">
      <c r="A255" s="161">
        <f>IFERROR(""&amp;INDEX(tk_MARK,MATCH(250,tk_FSEQ,0)),"")</f>
        <v/>
      </c>
      <c r="B255" s="162">
        <f>IFERROR(INDEX(tk_QTY,MATCH(250,tk_FSEQ,0)),"")</f>
        <v/>
      </c>
      <c r="C255" s="162">
        <f>IFERROR(INDEX(tk_ROOMF,MATCH(250,tk_FSEQ,0))&amp;IF(INDEX(tk_ROOMT,MATCH(250,tk_FSEQ,0))="",""," → "&amp;INDEX(tk_ROOMT,MATCH(250,tk_FSEQ,0))),"")</f>
        <v/>
      </c>
      <c r="D255" s="162">
        <f>IFERROR(""&amp;INDEX(tk_SIZE,MATCH(250,tk_FSEQ,0)),"")</f>
        <v/>
      </c>
      <c r="E255" s="162">
        <f>IFERROR(""&amp;INDEX(tk_RATING,MATCH(250,tk_FSEQ,0)),"")</f>
        <v/>
      </c>
      <c r="F255" s="162">
        <f>IFERROR(TEXT(INDEX(tk_OAW,MATCH(250,tk_FSEQ,0)),"0.000")&amp;" x "&amp;TEXT(INDEX(tk_OAH,MATCH(250,tk_FSEQ,0)),"0.000"),"")</f>
        <v/>
      </c>
      <c r="G255" s="162">
        <f>IFERROR(IF(INDEX(tk_ANCHT,MATCH(250,tk_FSEQ,0))="","",INDEX(tk_ANCHT,MATCH(250,tk_FSEQ,0))&amp;" + "&amp;INDEX(tk_BASEA,MATCH(250,tk_FSEQ,0))),"")</f>
        <v/>
      </c>
      <c r="H255" s="181">
        <f>IFERROR(""&amp;INDEX(tk_FLINE,MATCH(250,tk_FSEQ,0)),"")</f>
        <v/>
      </c>
      <c r="I255" s="181">
        <f>IFERROR(""&amp;INDEX(tk_LOCTXT,MATCH(250,tk_FSEQ,0)),"")</f>
        <v/>
      </c>
      <c r="J255" s="162">
        <f>IFERROR(""&amp;INDEX(tk_FNOTES,MATCH(250,tk_FSEQ,0)),"")</f>
        <v/>
      </c>
    </row>
    <row r="256">
      <c r="A256" s="161">
        <f>IFERROR(""&amp;INDEX(tk_MARK,MATCH(251,tk_FSEQ,0)),"")</f>
        <v/>
      </c>
      <c r="B256" s="162">
        <f>IFERROR(INDEX(tk_QTY,MATCH(251,tk_FSEQ,0)),"")</f>
        <v/>
      </c>
      <c r="C256" s="162">
        <f>IFERROR(INDEX(tk_ROOMF,MATCH(251,tk_FSEQ,0))&amp;IF(INDEX(tk_ROOMT,MATCH(251,tk_FSEQ,0))="",""," → "&amp;INDEX(tk_ROOMT,MATCH(251,tk_FSEQ,0))),"")</f>
        <v/>
      </c>
      <c r="D256" s="162">
        <f>IFERROR(""&amp;INDEX(tk_SIZE,MATCH(251,tk_FSEQ,0)),"")</f>
        <v/>
      </c>
      <c r="E256" s="162">
        <f>IFERROR(""&amp;INDEX(tk_RATING,MATCH(251,tk_FSEQ,0)),"")</f>
        <v/>
      </c>
      <c r="F256" s="162">
        <f>IFERROR(TEXT(INDEX(tk_OAW,MATCH(251,tk_FSEQ,0)),"0.000")&amp;" x "&amp;TEXT(INDEX(tk_OAH,MATCH(251,tk_FSEQ,0)),"0.000"),"")</f>
        <v/>
      </c>
      <c r="G256" s="162">
        <f>IFERROR(IF(INDEX(tk_ANCHT,MATCH(251,tk_FSEQ,0))="","",INDEX(tk_ANCHT,MATCH(251,tk_FSEQ,0))&amp;" + "&amp;INDEX(tk_BASEA,MATCH(251,tk_FSEQ,0))),"")</f>
        <v/>
      </c>
      <c r="H256" s="181">
        <f>IFERROR(""&amp;INDEX(tk_FLINE,MATCH(251,tk_FSEQ,0)),"")</f>
        <v/>
      </c>
      <c r="I256" s="181">
        <f>IFERROR(""&amp;INDEX(tk_LOCTXT,MATCH(251,tk_FSEQ,0)),"")</f>
        <v/>
      </c>
      <c r="J256" s="162">
        <f>IFERROR(""&amp;INDEX(tk_FNOTES,MATCH(251,tk_FSEQ,0)),"")</f>
        <v/>
      </c>
    </row>
    <row r="257">
      <c r="A257" s="161">
        <f>IFERROR(""&amp;INDEX(tk_MARK,MATCH(252,tk_FSEQ,0)),"")</f>
        <v/>
      </c>
      <c r="B257" s="162">
        <f>IFERROR(INDEX(tk_QTY,MATCH(252,tk_FSEQ,0)),"")</f>
        <v/>
      </c>
      <c r="C257" s="162">
        <f>IFERROR(INDEX(tk_ROOMF,MATCH(252,tk_FSEQ,0))&amp;IF(INDEX(tk_ROOMT,MATCH(252,tk_FSEQ,0))="",""," → "&amp;INDEX(tk_ROOMT,MATCH(252,tk_FSEQ,0))),"")</f>
        <v/>
      </c>
      <c r="D257" s="162">
        <f>IFERROR(""&amp;INDEX(tk_SIZE,MATCH(252,tk_FSEQ,0)),"")</f>
        <v/>
      </c>
      <c r="E257" s="162">
        <f>IFERROR(""&amp;INDEX(tk_RATING,MATCH(252,tk_FSEQ,0)),"")</f>
        <v/>
      </c>
      <c r="F257" s="162">
        <f>IFERROR(TEXT(INDEX(tk_OAW,MATCH(252,tk_FSEQ,0)),"0.000")&amp;" x "&amp;TEXT(INDEX(tk_OAH,MATCH(252,tk_FSEQ,0)),"0.000"),"")</f>
        <v/>
      </c>
      <c r="G257" s="162">
        <f>IFERROR(IF(INDEX(tk_ANCHT,MATCH(252,tk_FSEQ,0))="","",INDEX(tk_ANCHT,MATCH(252,tk_FSEQ,0))&amp;" + "&amp;INDEX(tk_BASEA,MATCH(252,tk_FSEQ,0))),"")</f>
        <v/>
      </c>
      <c r="H257" s="181">
        <f>IFERROR(""&amp;INDEX(tk_FLINE,MATCH(252,tk_FSEQ,0)),"")</f>
        <v/>
      </c>
      <c r="I257" s="181">
        <f>IFERROR(""&amp;INDEX(tk_LOCTXT,MATCH(252,tk_FSEQ,0)),"")</f>
        <v/>
      </c>
      <c r="J257" s="162">
        <f>IFERROR(""&amp;INDEX(tk_FNOTES,MATCH(252,tk_FSEQ,0)),"")</f>
        <v/>
      </c>
    </row>
    <row r="258">
      <c r="A258" s="161">
        <f>IFERROR(""&amp;INDEX(tk_MARK,MATCH(253,tk_FSEQ,0)),"")</f>
        <v/>
      </c>
      <c r="B258" s="162">
        <f>IFERROR(INDEX(tk_QTY,MATCH(253,tk_FSEQ,0)),"")</f>
        <v/>
      </c>
      <c r="C258" s="162">
        <f>IFERROR(INDEX(tk_ROOMF,MATCH(253,tk_FSEQ,0))&amp;IF(INDEX(tk_ROOMT,MATCH(253,tk_FSEQ,0))="",""," → "&amp;INDEX(tk_ROOMT,MATCH(253,tk_FSEQ,0))),"")</f>
        <v/>
      </c>
      <c r="D258" s="162">
        <f>IFERROR(""&amp;INDEX(tk_SIZE,MATCH(253,tk_FSEQ,0)),"")</f>
        <v/>
      </c>
      <c r="E258" s="162">
        <f>IFERROR(""&amp;INDEX(tk_RATING,MATCH(253,tk_FSEQ,0)),"")</f>
        <v/>
      </c>
      <c r="F258" s="162">
        <f>IFERROR(TEXT(INDEX(tk_OAW,MATCH(253,tk_FSEQ,0)),"0.000")&amp;" x "&amp;TEXT(INDEX(tk_OAH,MATCH(253,tk_FSEQ,0)),"0.000"),"")</f>
        <v/>
      </c>
      <c r="G258" s="162">
        <f>IFERROR(IF(INDEX(tk_ANCHT,MATCH(253,tk_FSEQ,0))="","",INDEX(tk_ANCHT,MATCH(253,tk_FSEQ,0))&amp;" + "&amp;INDEX(tk_BASEA,MATCH(253,tk_FSEQ,0))),"")</f>
        <v/>
      </c>
      <c r="H258" s="181">
        <f>IFERROR(""&amp;INDEX(tk_FLINE,MATCH(253,tk_FSEQ,0)),"")</f>
        <v/>
      </c>
      <c r="I258" s="181">
        <f>IFERROR(""&amp;INDEX(tk_LOCTXT,MATCH(253,tk_FSEQ,0)),"")</f>
        <v/>
      </c>
      <c r="J258" s="162">
        <f>IFERROR(""&amp;INDEX(tk_FNOTES,MATCH(253,tk_FSEQ,0)),"")</f>
        <v/>
      </c>
    </row>
    <row r="259">
      <c r="A259" s="161">
        <f>IFERROR(""&amp;INDEX(tk_MARK,MATCH(254,tk_FSEQ,0)),"")</f>
        <v/>
      </c>
      <c r="B259" s="162">
        <f>IFERROR(INDEX(tk_QTY,MATCH(254,tk_FSEQ,0)),"")</f>
        <v/>
      </c>
      <c r="C259" s="162">
        <f>IFERROR(INDEX(tk_ROOMF,MATCH(254,tk_FSEQ,0))&amp;IF(INDEX(tk_ROOMT,MATCH(254,tk_FSEQ,0))="",""," → "&amp;INDEX(tk_ROOMT,MATCH(254,tk_FSEQ,0))),"")</f>
        <v/>
      </c>
      <c r="D259" s="162">
        <f>IFERROR(""&amp;INDEX(tk_SIZE,MATCH(254,tk_FSEQ,0)),"")</f>
        <v/>
      </c>
      <c r="E259" s="162">
        <f>IFERROR(""&amp;INDEX(tk_RATING,MATCH(254,tk_FSEQ,0)),"")</f>
        <v/>
      </c>
      <c r="F259" s="162">
        <f>IFERROR(TEXT(INDEX(tk_OAW,MATCH(254,tk_FSEQ,0)),"0.000")&amp;" x "&amp;TEXT(INDEX(tk_OAH,MATCH(254,tk_FSEQ,0)),"0.000"),"")</f>
        <v/>
      </c>
      <c r="G259" s="162">
        <f>IFERROR(IF(INDEX(tk_ANCHT,MATCH(254,tk_FSEQ,0))="","",INDEX(tk_ANCHT,MATCH(254,tk_FSEQ,0))&amp;" + "&amp;INDEX(tk_BASEA,MATCH(254,tk_FSEQ,0))),"")</f>
        <v/>
      </c>
      <c r="H259" s="181">
        <f>IFERROR(""&amp;INDEX(tk_FLINE,MATCH(254,tk_FSEQ,0)),"")</f>
        <v/>
      </c>
      <c r="I259" s="181">
        <f>IFERROR(""&amp;INDEX(tk_LOCTXT,MATCH(254,tk_FSEQ,0)),"")</f>
        <v/>
      </c>
      <c r="J259" s="162">
        <f>IFERROR(""&amp;INDEX(tk_FNOTES,MATCH(254,tk_FSEQ,0)),"")</f>
        <v/>
      </c>
    </row>
    <row r="260">
      <c r="A260" s="161">
        <f>IFERROR(""&amp;INDEX(tk_MARK,MATCH(255,tk_FSEQ,0)),"")</f>
        <v/>
      </c>
      <c r="B260" s="162">
        <f>IFERROR(INDEX(tk_QTY,MATCH(255,tk_FSEQ,0)),"")</f>
        <v/>
      </c>
      <c r="C260" s="162">
        <f>IFERROR(INDEX(tk_ROOMF,MATCH(255,tk_FSEQ,0))&amp;IF(INDEX(tk_ROOMT,MATCH(255,tk_FSEQ,0))="",""," → "&amp;INDEX(tk_ROOMT,MATCH(255,tk_FSEQ,0))),"")</f>
        <v/>
      </c>
      <c r="D260" s="162">
        <f>IFERROR(""&amp;INDEX(tk_SIZE,MATCH(255,tk_FSEQ,0)),"")</f>
        <v/>
      </c>
      <c r="E260" s="162">
        <f>IFERROR(""&amp;INDEX(tk_RATING,MATCH(255,tk_FSEQ,0)),"")</f>
        <v/>
      </c>
      <c r="F260" s="162">
        <f>IFERROR(TEXT(INDEX(tk_OAW,MATCH(255,tk_FSEQ,0)),"0.000")&amp;" x "&amp;TEXT(INDEX(tk_OAH,MATCH(255,tk_FSEQ,0)),"0.000"),"")</f>
        <v/>
      </c>
      <c r="G260" s="162">
        <f>IFERROR(IF(INDEX(tk_ANCHT,MATCH(255,tk_FSEQ,0))="","",INDEX(tk_ANCHT,MATCH(255,tk_FSEQ,0))&amp;" + "&amp;INDEX(tk_BASEA,MATCH(255,tk_FSEQ,0))),"")</f>
        <v/>
      </c>
      <c r="H260" s="181">
        <f>IFERROR(""&amp;INDEX(tk_FLINE,MATCH(255,tk_FSEQ,0)),"")</f>
        <v/>
      </c>
      <c r="I260" s="181">
        <f>IFERROR(""&amp;INDEX(tk_LOCTXT,MATCH(255,tk_FSEQ,0)),"")</f>
        <v/>
      </c>
      <c r="J260" s="162">
        <f>IFERROR(""&amp;INDEX(tk_FNOTES,MATCH(255,tk_FSEQ,0)),"")</f>
        <v/>
      </c>
    </row>
    <row r="261">
      <c r="A261" s="161">
        <f>IFERROR(""&amp;INDEX(tk_MARK,MATCH(256,tk_FSEQ,0)),"")</f>
        <v/>
      </c>
      <c r="B261" s="162">
        <f>IFERROR(INDEX(tk_QTY,MATCH(256,tk_FSEQ,0)),"")</f>
        <v/>
      </c>
      <c r="C261" s="162">
        <f>IFERROR(INDEX(tk_ROOMF,MATCH(256,tk_FSEQ,0))&amp;IF(INDEX(tk_ROOMT,MATCH(256,tk_FSEQ,0))="",""," → "&amp;INDEX(tk_ROOMT,MATCH(256,tk_FSEQ,0))),"")</f>
        <v/>
      </c>
      <c r="D261" s="162">
        <f>IFERROR(""&amp;INDEX(tk_SIZE,MATCH(256,tk_FSEQ,0)),"")</f>
        <v/>
      </c>
      <c r="E261" s="162">
        <f>IFERROR(""&amp;INDEX(tk_RATING,MATCH(256,tk_FSEQ,0)),"")</f>
        <v/>
      </c>
      <c r="F261" s="162">
        <f>IFERROR(TEXT(INDEX(tk_OAW,MATCH(256,tk_FSEQ,0)),"0.000")&amp;" x "&amp;TEXT(INDEX(tk_OAH,MATCH(256,tk_FSEQ,0)),"0.000"),"")</f>
        <v/>
      </c>
      <c r="G261" s="162">
        <f>IFERROR(IF(INDEX(tk_ANCHT,MATCH(256,tk_FSEQ,0))="","",INDEX(tk_ANCHT,MATCH(256,tk_FSEQ,0))&amp;" + "&amp;INDEX(tk_BASEA,MATCH(256,tk_FSEQ,0))),"")</f>
        <v/>
      </c>
      <c r="H261" s="181">
        <f>IFERROR(""&amp;INDEX(tk_FLINE,MATCH(256,tk_FSEQ,0)),"")</f>
        <v/>
      </c>
      <c r="I261" s="181">
        <f>IFERROR(""&amp;INDEX(tk_LOCTXT,MATCH(256,tk_FSEQ,0)),"")</f>
        <v/>
      </c>
      <c r="J261" s="162">
        <f>IFERROR(""&amp;INDEX(tk_FNOTES,MATCH(256,tk_FSEQ,0)),"")</f>
        <v/>
      </c>
    </row>
    <row r="262">
      <c r="A262" s="161">
        <f>IFERROR(""&amp;INDEX(tk_MARK,MATCH(257,tk_FSEQ,0)),"")</f>
        <v/>
      </c>
      <c r="B262" s="162">
        <f>IFERROR(INDEX(tk_QTY,MATCH(257,tk_FSEQ,0)),"")</f>
        <v/>
      </c>
      <c r="C262" s="162">
        <f>IFERROR(INDEX(tk_ROOMF,MATCH(257,tk_FSEQ,0))&amp;IF(INDEX(tk_ROOMT,MATCH(257,tk_FSEQ,0))="",""," → "&amp;INDEX(tk_ROOMT,MATCH(257,tk_FSEQ,0))),"")</f>
        <v/>
      </c>
      <c r="D262" s="162">
        <f>IFERROR(""&amp;INDEX(tk_SIZE,MATCH(257,tk_FSEQ,0)),"")</f>
        <v/>
      </c>
      <c r="E262" s="162">
        <f>IFERROR(""&amp;INDEX(tk_RATING,MATCH(257,tk_FSEQ,0)),"")</f>
        <v/>
      </c>
      <c r="F262" s="162">
        <f>IFERROR(TEXT(INDEX(tk_OAW,MATCH(257,tk_FSEQ,0)),"0.000")&amp;" x "&amp;TEXT(INDEX(tk_OAH,MATCH(257,tk_FSEQ,0)),"0.000"),"")</f>
        <v/>
      </c>
      <c r="G262" s="162">
        <f>IFERROR(IF(INDEX(tk_ANCHT,MATCH(257,tk_FSEQ,0))="","",INDEX(tk_ANCHT,MATCH(257,tk_FSEQ,0))&amp;" + "&amp;INDEX(tk_BASEA,MATCH(257,tk_FSEQ,0))),"")</f>
        <v/>
      </c>
      <c r="H262" s="181">
        <f>IFERROR(""&amp;INDEX(tk_FLINE,MATCH(257,tk_FSEQ,0)),"")</f>
        <v/>
      </c>
      <c r="I262" s="181">
        <f>IFERROR(""&amp;INDEX(tk_LOCTXT,MATCH(257,tk_FSEQ,0)),"")</f>
        <v/>
      </c>
      <c r="J262" s="162">
        <f>IFERROR(""&amp;INDEX(tk_FNOTES,MATCH(257,tk_FSEQ,0)),"")</f>
        <v/>
      </c>
    </row>
    <row r="263">
      <c r="A263" s="161">
        <f>IFERROR(""&amp;INDEX(tk_MARK,MATCH(258,tk_FSEQ,0)),"")</f>
        <v/>
      </c>
      <c r="B263" s="162">
        <f>IFERROR(INDEX(tk_QTY,MATCH(258,tk_FSEQ,0)),"")</f>
        <v/>
      </c>
      <c r="C263" s="162">
        <f>IFERROR(INDEX(tk_ROOMF,MATCH(258,tk_FSEQ,0))&amp;IF(INDEX(tk_ROOMT,MATCH(258,tk_FSEQ,0))="",""," → "&amp;INDEX(tk_ROOMT,MATCH(258,tk_FSEQ,0))),"")</f>
        <v/>
      </c>
      <c r="D263" s="162">
        <f>IFERROR(""&amp;INDEX(tk_SIZE,MATCH(258,tk_FSEQ,0)),"")</f>
        <v/>
      </c>
      <c r="E263" s="162">
        <f>IFERROR(""&amp;INDEX(tk_RATING,MATCH(258,tk_FSEQ,0)),"")</f>
        <v/>
      </c>
      <c r="F263" s="162">
        <f>IFERROR(TEXT(INDEX(tk_OAW,MATCH(258,tk_FSEQ,0)),"0.000")&amp;" x "&amp;TEXT(INDEX(tk_OAH,MATCH(258,tk_FSEQ,0)),"0.000"),"")</f>
        <v/>
      </c>
      <c r="G263" s="162">
        <f>IFERROR(IF(INDEX(tk_ANCHT,MATCH(258,tk_FSEQ,0))="","",INDEX(tk_ANCHT,MATCH(258,tk_FSEQ,0))&amp;" + "&amp;INDEX(tk_BASEA,MATCH(258,tk_FSEQ,0))),"")</f>
        <v/>
      </c>
      <c r="H263" s="181">
        <f>IFERROR(""&amp;INDEX(tk_FLINE,MATCH(258,tk_FSEQ,0)),"")</f>
        <v/>
      </c>
      <c r="I263" s="181">
        <f>IFERROR(""&amp;INDEX(tk_LOCTXT,MATCH(258,tk_FSEQ,0)),"")</f>
        <v/>
      </c>
      <c r="J263" s="162">
        <f>IFERROR(""&amp;INDEX(tk_FNOTES,MATCH(258,tk_FSEQ,0)),"")</f>
        <v/>
      </c>
    </row>
    <row r="264">
      <c r="A264" s="161">
        <f>IFERROR(""&amp;INDEX(tk_MARK,MATCH(259,tk_FSEQ,0)),"")</f>
        <v/>
      </c>
      <c r="B264" s="162">
        <f>IFERROR(INDEX(tk_QTY,MATCH(259,tk_FSEQ,0)),"")</f>
        <v/>
      </c>
      <c r="C264" s="162">
        <f>IFERROR(INDEX(tk_ROOMF,MATCH(259,tk_FSEQ,0))&amp;IF(INDEX(tk_ROOMT,MATCH(259,tk_FSEQ,0))="",""," → "&amp;INDEX(tk_ROOMT,MATCH(259,tk_FSEQ,0))),"")</f>
        <v/>
      </c>
      <c r="D264" s="162">
        <f>IFERROR(""&amp;INDEX(tk_SIZE,MATCH(259,tk_FSEQ,0)),"")</f>
        <v/>
      </c>
      <c r="E264" s="162">
        <f>IFERROR(""&amp;INDEX(tk_RATING,MATCH(259,tk_FSEQ,0)),"")</f>
        <v/>
      </c>
      <c r="F264" s="162">
        <f>IFERROR(TEXT(INDEX(tk_OAW,MATCH(259,tk_FSEQ,0)),"0.000")&amp;" x "&amp;TEXT(INDEX(tk_OAH,MATCH(259,tk_FSEQ,0)),"0.000"),"")</f>
        <v/>
      </c>
      <c r="G264" s="162">
        <f>IFERROR(IF(INDEX(tk_ANCHT,MATCH(259,tk_FSEQ,0))="","",INDEX(tk_ANCHT,MATCH(259,tk_FSEQ,0))&amp;" + "&amp;INDEX(tk_BASEA,MATCH(259,tk_FSEQ,0))),"")</f>
        <v/>
      </c>
      <c r="H264" s="181">
        <f>IFERROR(""&amp;INDEX(tk_FLINE,MATCH(259,tk_FSEQ,0)),"")</f>
        <v/>
      </c>
      <c r="I264" s="181">
        <f>IFERROR(""&amp;INDEX(tk_LOCTXT,MATCH(259,tk_FSEQ,0)),"")</f>
        <v/>
      </c>
      <c r="J264" s="162">
        <f>IFERROR(""&amp;INDEX(tk_FNOTES,MATCH(259,tk_FSEQ,0)),"")</f>
        <v/>
      </c>
    </row>
    <row r="265">
      <c r="A265" s="161">
        <f>IFERROR(""&amp;INDEX(tk_MARK,MATCH(260,tk_FSEQ,0)),"")</f>
        <v/>
      </c>
      <c r="B265" s="162">
        <f>IFERROR(INDEX(tk_QTY,MATCH(260,tk_FSEQ,0)),"")</f>
        <v/>
      </c>
      <c r="C265" s="162">
        <f>IFERROR(INDEX(tk_ROOMF,MATCH(260,tk_FSEQ,0))&amp;IF(INDEX(tk_ROOMT,MATCH(260,tk_FSEQ,0))="",""," → "&amp;INDEX(tk_ROOMT,MATCH(260,tk_FSEQ,0))),"")</f>
        <v/>
      </c>
      <c r="D265" s="162">
        <f>IFERROR(""&amp;INDEX(tk_SIZE,MATCH(260,tk_FSEQ,0)),"")</f>
        <v/>
      </c>
      <c r="E265" s="162">
        <f>IFERROR(""&amp;INDEX(tk_RATING,MATCH(260,tk_FSEQ,0)),"")</f>
        <v/>
      </c>
      <c r="F265" s="162">
        <f>IFERROR(TEXT(INDEX(tk_OAW,MATCH(260,tk_FSEQ,0)),"0.000")&amp;" x "&amp;TEXT(INDEX(tk_OAH,MATCH(260,tk_FSEQ,0)),"0.000"),"")</f>
        <v/>
      </c>
      <c r="G265" s="162">
        <f>IFERROR(IF(INDEX(tk_ANCHT,MATCH(260,tk_FSEQ,0))="","",INDEX(tk_ANCHT,MATCH(260,tk_FSEQ,0))&amp;" + "&amp;INDEX(tk_BASEA,MATCH(260,tk_FSEQ,0))),"")</f>
        <v/>
      </c>
      <c r="H265" s="181">
        <f>IFERROR(""&amp;INDEX(tk_FLINE,MATCH(260,tk_FSEQ,0)),"")</f>
        <v/>
      </c>
      <c r="I265" s="181">
        <f>IFERROR(""&amp;INDEX(tk_LOCTXT,MATCH(260,tk_FSEQ,0)),"")</f>
        <v/>
      </c>
      <c r="J265" s="162">
        <f>IFERROR(""&amp;INDEX(tk_FNOTES,MATCH(260,tk_FSEQ,0)),"")</f>
        <v/>
      </c>
    </row>
    <row r="266">
      <c r="A266" s="161">
        <f>IFERROR(""&amp;INDEX(tk_MARK,MATCH(261,tk_FSEQ,0)),"")</f>
        <v/>
      </c>
      <c r="B266" s="162">
        <f>IFERROR(INDEX(tk_QTY,MATCH(261,tk_FSEQ,0)),"")</f>
        <v/>
      </c>
      <c r="C266" s="162">
        <f>IFERROR(INDEX(tk_ROOMF,MATCH(261,tk_FSEQ,0))&amp;IF(INDEX(tk_ROOMT,MATCH(261,tk_FSEQ,0))="",""," → "&amp;INDEX(tk_ROOMT,MATCH(261,tk_FSEQ,0))),"")</f>
        <v/>
      </c>
      <c r="D266" s="162">
        <f>IFERROR(""&amp;INDEX(tk_SIZE,MATCH(261,tk_FSEQ,0)),"")</f>
        <v/>
      </c>
      <c r="E266" s="162">
        <f>IFERROR(""&amp;INDEX(tk_RATING,MATCH(261,tk_FSEQ,0)),"")</f>
        <v/>
      </c>
      <c r="F266" s="162">
        <f>IFERROR(TEXT(INDEX(tk_OAW,MATCH(261,tk_FSEQ,0)),"0.000")&amp;" x "&amp;TEXT(INDEX(tk_OAH,MATCH(261,tk_FSEQ,0)),"0.000"),"")</f>
        <v/>
      </c>
      <c r="G266" s="162">
        <f>IFERROR(IF(INDEX(tk_ANCHT,MATCH(261,tk_FSEQ,0))="","",INDEX(tk_ANCHT,MATCH(261,tk_FSEQ,0))&amp;" + "&amp;INDEX(tk_BASEA,MATCH(261,tk_FSEQ,0))),"")</f>
        <v/>
      </c>
      <c r="H266" s="181">
        <f>IFERROR(""&amp;INDEX(tk_FLINE,MATCH(261,tk_FSEQ,0)),"")</f>
        <v/>
      </c>
      <c r="I266" s="181">
        <f>IFERROR(""&amp;INDEX(tk_LOCTXT,MATCH(261,tk_FSEQ,0)),"")</f>
        <v/>
      </c>
      <c r="J266" s="162">
        <f>IFERROR(""&amp;INDEX(tk_FNOTES,MATCH(261,tk_FSEQ,0)),"")</f>
        <v/>
      </c>
    </row>
    <row r="267">
      <c r="A267" s="161">
        <f>IFERROR(""&amp;INDEX(tk_MARK,MATCH(262,tk_FSEQ,0)),"")</f>
        <v/>
      </c>
      <c r="B267" s="162">
        <f>IFERROR(INDEX(tk_QTY,MATCH(262,tk_FSEQ,0)),"")</f>
        <v/>
      </c>
      <c r="C267" s="162">
        <f>IFERROR(INDEX(tk_ROOMF,MATCH(262,tk_FSEQ,0))&amp;IF(INDEX(tk_ROOMT,MATCH(262,tk_FSEQ,0))="",""," → "&amp;INDEX(tk_ROOMT,MATCH(262,tk_FSEQ,0))),"")</f>
        <v/>
      </c>
      <c r="D267" s="162">
        <f>IFERROR(""&amp;INDEX(tk_SIZE,MATCH(262,tk_FSEQ,0)),"")</f>
        <v/>
      </c>
      <c r="E267" s="162">
        <f>IFERROR(""&amp;INDEX(tk_RATING,MATCH(262,tk_FSEQ,0)),"")</f>
        <v/>
      </c>
      <c r="F267" s="162">
        <f>IFERROR(TEXT(INDEX(tk_OAW,MATCH(262,tk_FSEQ,0)),"0.000")&amp;" x "&amp;TEXT(INDEX(tk_OAH,MATCH(262,tk_FSEQ,0)),"0.000"),"")</f>
        <v/>
      </c>
      <c r="G267" s="162">
        <f>IFERROR(IF(INDEX(tk_ANCHT,MATCH(262,tk_FSEQ,0))="","",INDEX(tk_ANCHT,MATCH(262,tk_FSEQ,0))&amp;" + "&amp;INDEX(tk_BASEA,MATCH(262,tk_FSEQ,0))),"")</f>
        <v/>
      </c>
      <c r="H267" s="181">
        <f>IFERROR(""&amp;INDEX(tk_FLINE,MATCH(262,tk_FSEQ,0)),"")</f>
        <v/>
      </c>
      <c r="I267" s="181">
        <f>IFERROR(""&amp;INDEX(tk_LOCTXT,MATCH(262,tk_FSEQ,0)),"")</f>
        <v/>
      </c>
      <c r="J267" s="162">
        <f>IFERROR(""&amp;INDEX(tk_FNOTES,MATCH(262,tk_FSEQ,0)),"")</f>
        <v/>
      </c>
    </row>
    <row r="268">
      <c r="A268" s="161">
        <f>IFERROR(""&amp;INDEX(tk_MARK,MATCH(263,tk_FSEQ,0)),"")</f>
        <v/>
      </c>
      <c r="B268" s="162">
        <f>IFERROR(INDEX(tk_QTY,MATCH(263,tk_FSEQ,0)),"")</f>
        <v/>
      </c>
      <c r="C268" s="162">
        <f>IFERROR(INDEX(tk_ROOMF,MATCH(263,tk_FSEQ,0))&amp;IF(INDEX(tk_ROOMT,MATCH(263,tk_FSEQ,0))="",""," → "&amp;INDEX(tk_ROOMT,MATCH(263,tk_FSEQ,0))),"")</f>
        <v/>
      </c>
      <c r="D268" s="162">
        <f>IFERROR(""&amp;INDEX(tk_SIZE,MATCH(263,tk_FSEQ,0)),"")</f>
        <v/>
      </c>
      <c r="E268" s="162">
        <f>IFERROR(""&amp;INDEX(tk_RATING,MATCH(263,tk_FSEQ,0)),"")</f>
        <v/>
      </c>
      <c r="F268" s="162">
        <f>IFERROR(TEXT(INDEX(tk_OAW,MATCH(263,tk_FSEQ,0)),"0.000")&amp;" x "&amp;TEXT(INDEX(tk_OAH,MATCH(263,tk_FSEQ,0)),"0.000"),"")</f>
        <v/>
      </c>
      <c r="G268" s="162">
        <f>IFERROR(IF(INDEX(tk_ANCHT,MATCH(263,tk_FSEQ,0))="","",INDEX(tk_ANCHT,MATCH(263,tk_FSEQ,0))&amp;" + "&amp;INDEX(tk_BASEA,MATCH(263,tk_FSEQ,0))),"")</f>
        <v/>
      </c>
      <c r="H268" s="181">
        <f>IFERROR(""&amp;INDEX(tk_FLINE,MATCH(263,tk_FSEQ,0)),"")</f>
        <v/>
      </c>
      <c r="I268" s="181">
        <f>IFERROR(""&amp;INDEX(tk_LOCTXT,MATCH(263,tk_FSEQ,0)),"")</f>
        <v/>
      </c>
      <c r="J268" s="162">
        <f>IFERROR(""&amp;INDEX(tk_FNOTES,MATCH(263,tk_FSEQ,0)),"")</f>
        <v/>
      </c>
    </row>
    <row r="269">
      <c r="A269" s="161">
        <f>IFERROR(""&amp;INDEX(tk_MARK,MATCH(264,tk_FSEQ,0)),"")</f>
        <v/>
      </c>
      <c r="B269" s="162">
        <f>IFERROR(INDEX(tk_QTY,MATCH(264,tk_FSEQ,0)),"")</f>
        <v/>
      </c>
      <c r="C269" s="162">
        <f>IFERROR(INDEX(tk_ROOMF,MATCH(264,tk_FSEQ,0))&amp;IF(INDEX(tk_ROOMT,MATCH(264,tk_FSEQ,0))="",""," → "&amp;INDEX(tk_ROOMT,MATCH(264,tk_FSEQ,0))),"")</f>
        <v/>
      </c>
      <c r="D269" s="162">
        <f>IFERROR(""&amp;INDEX(tk_SIZE,MATCH(264,tk_FSEQ,0)),"")</f>
        <v/>
      </c>
      <c r="E269" s="162">
        <f>IFERROR(""&amp;INDEX(tk_RATING,MATCH(264,tk_FSEQ,0)),"")</f>
        <v/>
      </c>
      <c r="F269" s="162">
        <f>IFERROR(TEXT(INDEX(tk_OAW,MATCH(264,tk_FSEQ,0)),"0.000")&amp;" x "&amp;TEXT(INDEX(tk_OAH,MATCH(264,tk_FSEQ,0)),"0.000"),"")</f>
        <v/>
      </c>
      <c r="G269" s="162">
        <f>IFERROR(IF(INDEX(tk_ANCHT,MATCH(264,tk_FSEQ,0))="","",INDEX(tk_ANCHT,MATCH(264,tk_FSEQ,0))&amp;" + "&amp;INDEX(tk_BASEA,MATCH(264,tk_FSEQ,0))),"")</f>
        <v/>
      </c>
      <c r="H269" s="181">
        <f>IFERROR(""&amp;INDEX(tk_FLINE,MATCH(264,tk_FSEQ,0)),"")</f>
        <v/>
      </c>
      <c r="I269" s="181">
        <f>IFERROR(""&amp;INDEX(tk_LOCTXT,MATCH(264,tk_FSEQ,0)),"")</f>
        <v/>
      </c>
      <c r="J269" s="162">
        <f>IFERROR(""&amp;INDEX(tk_FNOTES,MATCH(264,tk_FSEQ,0)),"")</f>
        <v/>
      </c>
    </row>
    <row r="270">
      <c r="A270" s="161">
        <f>IFERROR(""&amp;INDEX(tk_MARK,MATCH(265,tk_FSEQ,0)),"")</f>
        <v/>
      </c>
      <c r="B270" s="162">
        <f>IFERROR(INDEX(tk_QTY,MATCH(265,tk_FSEQ,0)),"")</f>
        <v/>
      </c>
      <c r="C270" s="162">
        <f>IFERROR(INDEX(tk_ROOMF,MATCH(265,tk_FSEQ,0))&amp;IF(INDEX(tk_ROOMT,MATCH(265,tk_FSEQ,0))="",""," → "&amp;INDEX(tk_ROOMT,MATCH(265,tk_FSEQ,0))),"")</f>
        <v/>
      </c>
      <c r="D270" s="162">
        <f>IFERROR(""&amp;INDEX(tk_SIZE,MATCH(265,tk_FSEQ,0)),"")</f>
        <v/>
      </c>
      <c r="E270" s="162">
        <f>IFERROR(""&amp;INDEX(tk_RATING,MATCH(265,tk_FSEQ,0)),"")</f>
        <v/>
      </c>
      <c r="F270" s="162">
        <f>IFERROR(TEXT(INDEX(tk_OAW,MATCH(265,tk_FSEQ,0)),"0.000")&amp;" x "&amp;TEXT(INDEX(tk_OAH,MATCH(265,tk_FSEQ,0)),"0.000"),"")</f>
        <v/>
      </c>
      <c r="G270" s="162">
        <f>IFERROR(IF(INDEX(tk_ANCHT,MATCH(265,tk_FSEQ,0))="","",INDEX(tk_ANCHT,MATCH(265,tk_FSEQ,0))&amp;" + "&amp;INDEX(tk_BASEA,MATCH(265,tk_FSEQ,0))),"")</f>
        <v/>
      </c>
      <c r="H270" s="181">
        <f>IFERROR(""&amp;INDEX(tk_FLINE,MATCH(265,tk_FSEQ,0)),"")</f>
        <v/>
      </c>
      <c r="I270" s="181">
        <f>IFERROR(""&amp;INDEX(tk_LOCTXT,MATCH(265,tk_FSEQ,0)),"")</f>
        <v/>
      </c>
      <c r="J270" s="162">
        <f>IFERROR(""&amp;INDEX(tk_FNOTES,MATCH(265,tk_FSEQ,0)),"")</f>
        <v/>
      </c>
    </row>
    <row r="271">
      <c r="A271" s="161">
        <f>IFERROR(""&amp;INDEX(tk_MARK,MATCH(266,tk_FSEQ,0)),"")</f>
        <v/>
      </c>
      <c r="B271" s="162">
        <f>IFERROR(INDEX(tk_QTY,MATCH(266,tk_FSEQ,0)),"")</f>
        <v/>
      </c>
      <c r="C271" s="162">
        <f>IFERROR(INDEX(tk_ROOMF,MATCH(266,tk_FSEQ,0))&amp;IF(INDEX(tk_ROOMT,MATCH(266,tk_FSEQ,0))="",""," → "&amp;INDEX(tk_ROOMT,MATCH(266,tk_FSEQ,0))),"")</f>
        <v/>
      </c>
      <c r="D271" s="162">
        <f>IFERROR(""&amp;INDEX(tk_SIZE,MATCH(266,tk_FSEQ,0)),"")</f>
        <v/>
      </c>
      <c r="E271" s="162">
        <f>IFERROR(""&amp;INDEX(tk_RATING,MATCH(266,tk_FSEQ,0)),"")</f>
        <v/>
      </c>
      <c r="F271" s="162">
        <f>IFERROR(TEXT(INDEX(tk_OAW,MATCH(266,tk_FSEQ,0)),"0.000")&amp;" x "&amp;TEXT(INDEX(tk_OAH,MATCH(266,tk_FSEQ,0)),"0.000"),"")</f>
        <v/>
      </c>
      <c r="G271" s="162">
        <f>IFERROR(IF(INDEX(tk_ANCHT,MATCH(266,tk_FSEQ,0))="","",INDEX(tk_ANCHT,MATCH(266,tk_FSEQ,0))&amp;" + "&amp;INDEX(tk_BASEA,MATCH(266,tk_FSEQ,0))),"")</f>
        <v/>
      </c>
      <c r="H271" s="181">
        <f>IFERROR(""&amp;INDEX(tk_FLINE,MATCH(266,tk_FSEQ,0)),"")</f>
        <v/>
      </c>
      <c r="I271" s="181">
        <f>IFERROR(""&amp;INDEX(tk_LOCTXT,MATCH(266,tk_FSEQ,0)),"")</f>
        <v/>
      </c>
      <c r="J271" s="162">
        <f>IFERROR(""&amp;INDEX(tk_FNOTES,MATCH(266,tk_FSEQ,0)),"")</f>
        <v/>
      </c>
    </row>
    <row r="272">
      <c r="A272" s="161">
        <f>IFERROR(""&amp;INDEX(tk_MARK,MATCH(267,tk_FSEQ,0)),"")</f>
        <v/>
      </c>
      <c r="B272" s="162">
        <f>IFERROR(INDEX(tk_QTY,MATCH(267,tk_FSEQ,0)),"")</f>
        <v/>
      </c>
      <c r="C272" s="162">
        <f>IFERROR(INDEX(tk_ROOMF,MATCH(267,tk_FSEQ,0))&amp;IF(INDEX(tk_ROOMT,MATCH(267,tk_FSEQ,0))="",""," → "&amp;INDEX(tk_ROOMT,MATCH(267,tk_FSEQ,0))),"")</f>
        <v/>
      </c>
      <c r="D272" s="162">
        <f>IFERROR(""&amp;INDEX(tk_SIZE,MATCH(267,tk_FSEQ,0)),"")</f>
        <v/>
      </c>
      <c r="E272" s="162">
        <f>IFERROR(""&amp;INDEX(tk_RATING,MATCH(267,tk_FSEQ,0)),"")</f>
        <v/>
      </c>
      <c r="F272" s="162">
        <f>IFERROR(TEXT(INDEX(tk_OAW,MATCH(267,tk_FSEQ,0)),"0.000")&amp;" x "&amp;TEXT(INDEX(tk_OAH,MATCH(267,tk_FSEQ,0)),"0.000"),"")</f>
        <v/>
      </c>
      <c r="G272" s="162">
        <f>IFERROR(IF(INDEX(tk_ANCHT,MATCH(267,tk_FSEQ,0))="","",INDEX(tk_ANCHT,MATCH(267,tk_FSEQ,0))&amp;" + "&amp;INDEX(tk_BASEA,MATCH(267,tk_FSEQ,0))),"")</f>
        <v/>
      </c>
      <c r="H272" s="181">
        <f>IFERROR(""&amp;INDEX(tk_FLINE,MATCH(267,tk_FSEQ,0)),"")</f>
        <v/>
      </c>
      <c r="I272" s="181">
        <f>IFERROR(""&amp;INDEX(tk_LOCTXT,MATCH(267,tk_FSEQ,0)),"")</f>
        <v/>
      </c>
      <c r="J272" s="162">
        <f>IFERROR(""&amp;INDEX(tk_FNOTES,MATCH(267,tk_FSEQ,0)),"")</f>
        <v/>
      </c>
    </row>
    <row r="273">
      <c r="A273" s="161">
        <f>IFERROR(""&amp;INDEX(tk_MARK,MATCH(268,tk_FSEQ,0)),"")</f>
        <v/>
      </c>
      <c r="B273" s="162">
        <f>IFERROR(INDEX(tk_QTY,MATCH(268,tk_FSEQ,0)),"")</f>
        <v/>
      </c>
      <c r="C273" s="162">
        <f>IFERROR(INDEX(tk_ROOMF,MATCH(268,tk_FSEQ,0))&amp;IF(INDEX(tk_ROOMT,MATCH(268,tk_FSEQ,0))="",""," → "&amp;INDEX(tk_ROOMT,MATCH(268,tk_FSEQ,0))),"")</f>
        <v/>
      </c>
      <c r="D273" s="162">
        <f>IFERROR(""&amp;INDEX(tk_SIZE,MATCH(268,tk_FSEQ,0)),"")</f>
        <v/>
      </c>
      <c r="E273" s="162">
        <f>IFERROR(""&amp;INDEX(tk_RATING,MATCH(268,tk_FSEQ,0)),"")</f>
        <v/>
      </c>
      <c r="F273" s="162">
        <f>IFERROR(TEXT(INDEX(tk_OAW,MATCH(268,tk_FSEQ,0)),"0.000")&amp;" x "&amp;TEXT(INDEX(tk_OAH,MATCH(268,tk_FSEQ,0)),"0.000"),"")</f>
        <v/>
      </c>
      <c r="G273" s="162">
        <f>IFERROR(IF(INDEX(tk_ANCHT,MATCH(268,tk_FSEQ,0))="","",INDEX(tk_ANCHT,MATCH(268,tk_FSEQ,0))&amp;" + "&amp;INDEX(tk_BASEA,MATCH(268,tk_FSEQ,0))),"")</f>
        <v/>
      </c>
      <c r="H273" s="181">
        <f>IFERROR(""&amp;INDEX(tk_FLINE,MATCH(268,tk_FSEQ,0)),"")</f>
        <v/>
      </c>
      <c r="I273" s="181">
        <f>IFERROR(""&amp;INDEX(tk_LOCTXT,MATCH(268,tk_FSEQ,0)),"")</f>
        <v/>
      </c>
      <c r="J273" s="162">
        <f>IFERROR(""&amp;INDEX(tk_FNOTES,MATCH(268,tk_FSEQ,0)),"")</f>
        <v/>
      </c>
    </row>
    <row r="274">
      <c r="A274" s="161">
        <f>IFERROR(""&amp;INDEX(tk_MARK,MATCH(269,tk_FSEQ,0)),"")</f>
        <v/>
      </c>
      <c r="B274" s="162">
        <f>IFERROR(INDEX(tk_QTY,MATCH(269,tk_FSEQ,0)),"")</f>
        <v/>
      </c>
      <c r="C274" s="162">
        <f>IFERROR(INDEX(tk_ROOMF,MATCH(269,tk_FSEQ,0))&amp;IF(INDEX(tk_ROOMT,MATCH(269,tk_FSEQ,0))="",""," → "&amp;INDEX(tk_ROOMT,MATCH(269,tk_FSEQ,0))),"")</f>
        <v/>
      </c>
      <c r="D274" s="162">
        <f>IFERROR(""&amp;INDEX(tk_SIZE,MATCH(269,tk_FSEQ,0)),"")</f>
        <v/>
      </c>
      <c r="E274" s="162">
        <f>IFERROR(""&amp;INDEX(tk_RATING,MATCH(269,tk_FSEQ,0)),"")</f>
        <v/>
      </c>
      <c r="F274" s="162">
        <f>IFERROR(TEXT(INDEX(tk_OAW,MATCH(269,tk_FSEQ,0)),"0.000")&amp;" x "&amp;TEXT(INDEX(tk_OAH,MATCH(269,tk_FSEQ,0)),"0.000"),"")</f>
        <v/>
      </c>
      <c r="G274" s="162">
        <f>IFERROR(IF(INDEX(tk_ANCHT,MATCH(269,tk_FSEQ,0))="","",INDEX(tk_ANCHT,MATCH(269,tk_FSEQ,0))&amp;" + "&amp;INDEX(tk_BASEA,MATCH(269,tk_FSEQ,0))),"")</f>
        <v/>
      </c>
      <c r="H274" s="181">
        <f>IFERROR(""&amp;INDEX(tk_FLINE,MATCH(269,tk_FSEQ,0)),"")</f>
        <v/>
      </c>
      <c r="I274" s="181">
        <f>IFERROR(""&amp;INDEX(tk_LOCTXT,MATCH(269,tk_FSEQ,0)),"")</f>
        <v/>
      </c>
      <c r="J274" s="162">
        <f>IFERROR(""&amp;INDEX(tk_FNOTES,MATCH(269,tk_FSEQ,0)),"")</f>
        <v/>
      </c>
    </row>
    <row r="275">
      <c r="A275" s="161">
        <f>IFERROR(""&amp;INDEX(tk_MARK,MATCH(270,tk_FSEQ,0)),"")</f>
        <v/>
      </c>
      <c r="B275" s="162">
        <f>IFERROR(INDEX(tk_QTY,MATCH(270,tk_FSEQ,0)),"")</f>
        <v/>
      </c>
      <c r="C275" s="162">
        <f>IFERROR(INDEX(tk_ROOMF,MATCH(270,tk_FSEQ,0))&amp;IF(INDEX(tk_ROOMT,MATCH(270,tk_FSEQ,0))="",""," → "&amp;INDEX(tk_ROOMT,MATCH(270,tk_FSEQ,0))),"")</f>
        <v/>
      </c>
      <c r="D275" s="162">
        <f>IFERROR(""&amp;INDEX(tk_SIZE,MATCH(270,tk_FSEQ,0)),"")</f>
        <v/>
      </c>
      <c r="E275" s="162">
        <f>IFERROR(""&amp;INDEX(tk_RATING,MATCH(270,tk_FSEQ,0)),"")</f>
        <v/>
      </c>
      <c r="F275" s="162">
        <f>IFERROR(TEXT(INDEX(tk_OAW,MATCH(270,tk_FSEQ,0)),"0.000")&amp;" x "&amp;TEXT(INDEX(tk_OAH,MATCH(270,tk_FSEQ,0)),"0.000"),"")</f>
        <v/>
      </c>
      <c r="G275" s="162">
        <f>IFERROR(IF(INDEX(tk_ANCHT,MATCH(270,tk_FSEQ,0))="","",INDEX(tk_ANCHT,MATCH(270,tk_FSEQ,0))&amp;" + "&amp;INDEX(tk_BASEA,MATCH(270,tk_FSEQ,0))),"")</f>
        <v/>
      </c>
      <c r="H275" s="181">
        <f>IFERROR(""&amp;INDEX(tk_FLINE,MATCH(270,tk_FSEQ,0)),"")</f>
        <v/>
      </c>
      <c r="I275" s="181">
        <f>IFERROR(""&amp;INDEX(tk_LOCTXT,MATCH(270,tk_FSEQ,0)),"")</f>
        <v/>
      </c>
      <c r="J275" s="162">
        <f>IFERROR(""&amp;INDEX(tk_FNOTES,MATCH(270,tk_FSEQ,0)),"")</f>
        <v/>
      </c>
    </row>
    <row r="276">
      <c r="A276" s="161">
        <f>IFERROR(""&amp;INDEX(tk_MARK,MATCH(271,tk_FSEQ,0)),"")</f>
        <v/>
      </c>
      <c r="B276" s="162">
        <f>IFERROR(INDEX(tk_QTY,MATCH(271,tk_FSEQ,0)),"")</f>
        <v/>
      </c>
      <c r="C276" s="162">
        <f>IFERROR(INDEX(tk_ROOMF,MATCH(271,tk_FSEQ,0))&amp;IF(INDEX(tk_ROOMT,MATCH(271,tk_FSEQ,0))="",""," → "&amp;INDEX(tk_ROOMT,MATCH(271,tk_FSEQ,0))),"")</f>
        <v/>
      </c>
      <c r="D276" s="162">
        <f>IFERROR(""&amp;INDEX(tk_SIZE,MATCH(271,tk_FSEQ,0)),"")</f>
        <v/>
      </c>
      <c r="E276" s="162">
        <f>IFERROR(""&amp;INDEX(tk_RATING,MATCH(271,tk_FSEQ,0)),"")</f>
        <v/>
      </c>
      <c r="F276" s="162">
        <f>IFERROR(TEXT(INDEX(tk_OAW,MATCH(271,tk_FSEQ,0)),"0.000")&amp;" x "&amp;TEXT(INDEX(tk_OAH,MATCH(271,tk_FSEQ,0)),"0.000"),"")</f>
        <v/>
      </c>
      <c r="G276" s="162">
        <f>IFERROR(IF(INDEX(tk_ANCHT,MATCH(271,tk_FSEQ,0))="","",INDEX(tk_ANCHT,MATCH(271,tk_FSEQ,0))&amp;" + "&amp;INDEX(tk_BASEA,MATCH(271,tk_FSEQ,0))),"")</f>
        <v/>
      </c>
      <c r="H276" s="181">
        <f>IFERROR(""&amp;INDEX(tk_FLINE,MATCH(271,tk_FSEQ,0)),"")</f>
        <v/>
      </c>
      <c r="I276" s="181">
        <f>IFERROR(""&amp;INDEX(tk_LOCTXT,MATCH(271,tk_FSEQ,0)),"")</f>
        <v/>
      </c>
      <c r="J276" s="162">
        <f>IFERROR(""&amp;INDEX(tk_FNOTES,MATCH(271,tk_FSEQ,0)),"")</f>
        <v/>
      </c>
    </row>
    <row r="277">
      <c r="A277" s="161">
        <f>IFERROR(""&amp;INDEX(tk_MARK,MATCH(272,tk_FSEQ,0)),"")</f>
        <v/>
      </c>
      <c r="B277" s="162">
        <f>IFERROR(INDEX(tk_QTY,MATCH(272,tk_FSEQ,0)),"")</f>
        <v/>
      </c>
      <c r="C277" s="162">
        <f>IFERROR(INDEX(tk_ROOMF,MATCH(272,tk_FSEQ,0))&amp;IF(INDEX(tk_ROOMT,MATCH(272,tk_FSEQ,0))="",""," → "&amp;INDEX(tk_ROOMT,MATCH(272,tk_FSEQ,0))),"")</f>
        <v/>
      </c>
      <c r="D277" s="162">
        <f>IFERROR(""&amp;INDEX(tk_SIZE,MATCH(272,tk_FSEQ,0)),"")</f>
        <v/>
      </c>
      <c r="E277" s="162">
        <f>IFERROR(""&amp;INDEX(tk_RATING,MATCH(272,tk_FSEQ,0)),"")</f>
        <v/>
      </c>
      <c r="F277" s="162">
        <f>IFERROR(TEXT(INDEX(tk_OAW,MATCH(272,tk_FSEQ,0)),"0.000")&amp;" x "&amp;TEXT(INDEX(tk_OAH,MATCH(272,tk_FSEQ,0)),"0.000"),"")</f>
        <v/>
      </c>
      <c r="G277" s="162">
        <f>IFERROR(IF(INDEX(tk_ANCHT,MATCH(272,tk_FSEQ,0))="","",INDEX(tk_ANCHT,MATCH(272,tk_FSEQ,0))&amp;" + "&amp;INDEX(tk_BASEA,MATCH(272,tk_FSEQ,0))),"")</f>
        <v/>
      </c>
      <c r="H277" s="181">
        <f>IFERROR(""&amp;INDEX(tk_FLINE,MATCH(272,tk_FSEQ,0)),"")</f>
        <v/>
      </c>
      <c r="I277" s="181">
        <f>IFERROR(""&amp;INDEX(tk_LOCTXT,MATCH(272,tk_FSEQ,0)),"")</f>
        <v/>
      </c>
      <c r="J277" s="162">
        <f>IFERROR(""&amp;INDEX(tk_FNOTES,MATCH(272,tk_FSEQ,0)),"")</f>
        <v/>
      </c>
    </row>
    <row r="278">
      <c r="A278" s="161">
        <f>IFERROR(""&amp;INDEX(tk_MARK,MATCH(273,tk_FSEQ,0)),"")</f>
        <v/>
      </c>
      <c r="B278" s="162">
        <f>IFERROR(INDEX(tk_QTY,MATCH(273,tk_FSEQ,0)),"")</f>
        <v/>
      </c>
      <c r="C278" s="162">
        <f>IFERROR(INDEX(tk_ROOMF,MATCH(273,tk_FSEQ,0))&amp;IF(INDEX(tk_ROOMT,MATCH(273,tk_FSEQ,0))="",""," → "&amp;INDEX(tk_ROOMT,MATCH(273,tk_FSEQ,0))),"")</f>
        <v/>
      </c>
      <c r="D278" s="162">
        <f>IFERROR(""&amp;INDEX(tk_SIZE,MATCH(273,tk_FSEQ,0)),"")</f>
        <v/>
      </c>
      <c r="E278" s="162">
        <f>IFERROR(""&amp;INDEX(tk_RATING,MATCH(273,tk_FSEQ,0)),"")</f>
        <v/>
      </c>
      <c r="F278" s="162">
        <f>IFERROR(TEXT(INDEX(tk_OAW,MATCH(273,tk_FSEQ,0)),"0.000")&amp;" x "&amp;TEXT(INDEX(tk_OAH,MATCH(273,tk_FSEQ,0)),"0.000"),"")</f>
        <v/>
      </c>
      <c r="G278" s="162">
        <f>IFERROR(IF(INDEX(tk_ANCHT,MATCH(273,tk_FSEQ,0))="","",INDEX(tk_ANCHT,MATCH(273,tk_FSEQ,0))&amp;" + "&amp;INDEX(tk_BASEA,MATCH(273,tk_FSEQ,0))),"")</f>
        <v/>
      </c>
      <c r="H278" s="181">
        <f>IFERROR(""&amp;INDEX(tk_FLINE,MATCH(273,tk_FSEQ,0)),"")</f>
        <v/>
      </c>
      <c r="I278" s="181">
        <f>IFERROR(""&amp;INDEX(tk_LOCTXT,MATCH(273,tk_FSEQ,0)),"")</f>
        <v/>
      </c>
      <c r="J278" s="162">
        <f>IFERROR(""&amp;INDEX(tk_FNOTES,MATCH(273,tk_FSEQ,0)),"")</f>
        <v/>
      </c>
    </row>
    <row r="279">
      <c r="A279" s="161">
        <f>IFERROR(""&amp;INDEX(tk_MARK,MATCH(274,tk_FSEQ,0)),"")</f>
        <v/>
      </c>
      <c r="B279" s="162">
        <f>IFERROR(INDEX(tk_QTY,MATCH(274,tk_FSEQ,0)),"")</f>
        <v/>
      </c>
      <c r="C279" s="162">
        <f>IFERROR(INDEX(tk_ROOMF,MATCH(274,tk_FSEQ,0))&amp;IF(INDEX(tk_ROOMT,MATCH(274,tk_FSEQ,0))="",""," → "&amp;INDEX(tk_ROOMT,MATCH(274,tk_FSEQ,0))),"")</f>
        <v/>
      </c>
      <c r="D279" s="162">
        <f>IFERROR(""&amp;INDEX(tk_SIZE,MATCH(274,tk_FSEQ,0)),"")</f>
        <v/>
      </c>
      <c r="E279" s="162">
        <f>IFERROR(""&amp;INDEX(tk_RATING,MATCH(274,tk_FSEQ,0)),"")</f>
        <v/>
      </c>
      <c r="F279" s="162">
        <f>IFERROR(TEXT(INDEX(tk_OAW,MATCH(274,tk_FSEQ,0)),"0.000")&amp;" x "&amp;TEXT(INDEX(tk_OAH,MATCH(274,tk_FSEQ,0)),"0.000"),"")</f>
        <v/>
      </c>
      <c r="G279" s="162">
        <f>IFERROR(IF(INDEX(tk_ANCHT,MATCH(274,tk_FSEQ,0))="","",INDEX(tk_ANCHT,MATCH(274,tk_FSEQ,0))&amp;" + "&amp;INDEX(tk_BASEA,MATCH(274,tk_FSEQ,0))),"")</f>
        <v/>
      </c>
      <c r="H279" s="181">
        <f>IFERROR(""&amp;INDEX(tk_FLINE,MATCH(274,tk_FSEQ,0)),"")</f>
        <v/>
      </c>
      <c r="I279" s="181">
        <f>IFERROR(""&amp;INDEX(tk_LOCTXT,MATCH(274,tk_FSEQ,0)),"")</f>
        <v/>
      </c>
      <c r="J279" s="162">
        <f>IFERROR(""&amp;INDEX(tk_FNOTES,MATCH(274,tk_FSEQ,0)),"")</f>
        <v/>
      </c>
    </row>
    <row r="280">
      <c r="A280" s="161">
        <f>IFERROR(""&amp;INDEX(tk_MARK,MATCH(275,tk_FSEQ,0)),"")</f>
        <v/>
      </c>
      <c r="B280" s="162">
        <f>IFERROR(INDEX(tk_QTY,MATCH(275,tk_FSEQ,0)),"")</f>
        <v/>
      </c>
      <c r="C280" s="162">
        <f>IFERROR(INDEX(tk_ROOMF,MATCH(275,tk_FSEQ,0))&amp;IF(INDEX(tk_ROOMT,MATCH(275,tk_FSEQ,0))="",""," → "&amp;INDEX(tk_ROOMT,MATCH(275,tk_FSEQ,0))),"")</f>
        <v/>
      </c>
      <c r="D280" s="162">
        <f>IFERROR(""&amp;INDEX(tk_SIZE,MATCH(275,tk_FSEQ,0)),"")</f>
        <v/>
      </c>
      <c r="E280" s="162">
        <f>IFERROR(""&amp;INDEX(tk_RATING,MATCH(275,tk_FSEQ,0)),"")</f>
        <v/>
      </c>
      <c r="F280" s="162">
        <f>IFERROR(TEXT(INDEX(tk_OAW,MATCH(275,tk_FSEQ,0)),"0.000")&amp;" x "&amp;TEXT(INDEX(tk_OAH,MATCH(275,tk_FSEQ,0)),"0.000"),"")</f>
        <v/>
      </c>
      <c r="G280" s="162">
        <f>IFERROR(IF(INDEX(tk_ANCHT,MATCH(275,tk_FSEQ,0))="","",INDEX(tk_ANCHT,MATCH(275,tk_FSEQ,0))&amp;" + "&amp;INDEX(tk_BASEA,MATCH(275,tk_FSEQ,0))),"")</f>
        <v/>
      </c>
      <c r="H280" s="181">
        <f>IFERROR(""&amp;INDEX(tk_FLINE,MATCH(275,tk_FSEQ,0)),"")</f>
        <v/>
      </c>
      <c r="I280" s="181">
        <f>IFERROR(""&amp;INDEX(tk_LOCTXT,MATCH(275,tk_FSEQ,0)),"")</f>
        <v/>
      </c>
      <c r="J280" s="162">
        <f>IFERROR(""&amp;INDEX(tk_FNOTES,MATCH(275,tk_FSEQ,0)),"")</f>
        <v/>
      </c>
    </row>
    <row r="281">
      <c r="A281" s="161">
        <f>IFERROR(""&amp;INDEX(tk_MARK,MATCH(276,tk_FSEQ,0)),"")</f>
        <v/>
      </c>
      <c r="B281" s="162">
        <f>IFERROR(INDEX(tk_QTY,MATCH(276,tk_FSEQ,0)),"")</f>
        <v/>
      </c>
      <c r="C281" s="162">
        <f>IFERROR(INDEX(tk_ROOMF,MATCH(276,tk_FSEQ,0))&amp;IF(INDEX(tk_ROOMT,MATCH(276,tk_FSEQ,0))="",""," → "&amp;INDEX(tk_ROOMT,MATCH(276,tk_FSEQ,0))),"")</f>
        <v/>
      </c>
      <c r="D281" s="162">
        <f>IFERROR(""&amp;INDEX(tk_SIZE,MATCH(276,tk_FSEQ,0)),"")</f>
        <v/>
      </c>
      <c r="E281" s="162">
        <f>IFERROR(""&amp;INDEX(tk_RATING,MATCH(276,tk_FSEQ,0)),"")</f>
        <v/>
      </c>
      <c r="F281" s="162">
        <f>IFERROR(TEXT(INDEX(tk_OAW,MATCH(276,tk_FSEQ,0)),"0.000")&amp;" x "&amp;TEXT(INDEX(tk_OAH,MATCH(276,tk_FSEQ,0)),"0.000"),"")</f>
        <v/>
      </c>
      <c r="G281" s="162">
        <f>IFERROR(IF(INDEX(tk_ANCHT,MATCH(276,tk_FSEQ,0))="","",INDEX(tk_ANCHT,MATCH(276,tk_FSEQ,0))&amp;" + "&amp;INDEX(tk_BASEA,MATCH(276,tk_FSEQ,0))),"")</f>
        <v/>
      </c>
      <c r="H281" s="181">
        <f>IFERROR(""&amp;INDEX(tk_FLINE,MATCH(276,tk_FSEQ,0)),"")</f>
        <v/>
      </c>
      <c r="I281" s="181">
        <f>IFERROR(""&amp;INDEX(tk_LOCTXT,MATCH(276,tk_FSEQ,0)),"")</f>
        <v/>
      </c>
      <c r="J281" s="162">
        <f>IFERROR(""&amp;INDEX(tk_FNOTES,MATCH(276,tk_FSEQ,0)),"")</f>
        <v/>
      </c>
    </row>
    <row r="282">
      <c r="A282" s="161">
        <f>IFERROR(""&amp;INDEX(tk_MARK,MATCH(277,tk_FSEQ,0)),"")</f>
        <v/>
      </c>
      <c r="B282" s="162">
        <f>IFERROR(INDEX(tk_QTY,MATCH(277,tk_FSEQ,0)),"")</f>
        <v/>
      </c>
      <c r="C282" s="162">
        <f>IFERROR(INDEX(tk_ROOMF,MATCH(277,tk_FSEQ,0))&amp;IF(INDEX(tk_ROOMT,MATCH(277,tk_FSEQ,0))="",""," → "&amp;INDEX(tk_ROOMT,MATCH(277,tk_FSEQ,0))),"")</f>
        <v/>
      </c>
      <c r="D282" s="162">
        <f>IFERROR(""&amp;INDEX(tk_SIZE,MATCH(277,tk_FSEQ,0)),"")</f>
        <v/>
      </c>
      <c r="E282" s="162">
        <f>IFERROR(""&amp;INDEX(tk_RATING,MATCH(277,tk_FSEQ,0)),"")</f>
        <v/>
      </c>
      <c r="F282" s="162">
        <f>IFERROR(TEXT(INDEX(tk_OAW,MATCH(277,tk_FSEQ,0)),"0.000")&amp;" x "&amp;TEXT(INDEX(tk_OAH,MATCH(277,tk_FSEQ,0)),"0.000"),"")</f>
        <v/>
      </c>
      <c r="G282" s="162">
        <f>IFERROR(IF(INDEX(tk_ANCHT,MATCH(277,tk_FSEQ,0))="","",INDEX(tk_ANCHT,MATCH(277,tk_FSEQ,0))&amp;" + "&amp;INDEX(tk_BASEA,MATCH(277,tk_FSEQ,0))),"")</f>
        <v/>
      </c>
      <c r="H282" s="181">
        <f>IFERROR(""&amp;INDEX(tk_FLINE,MATCH(277,tk_FSEQ,0)),"")</f>
        <v/>
      </c>
      <c r="I282" s="181">
        <f>IFERROR(""&amp;INDEX(tk_LOCTXT,MATCH(277,tk_FSEQ,0)),"")</f>
        <v/>
      </c>
      <c r="J282" s="162">
        <f>IFERROR(""&amp;INDEX(tk_FNOTES,MATCH(277,tk_FSEQ,0)),"")</f>
        <v/>
      </c>
    </row>
    <row r="283">
      <c r="A283" s="161">
        <f>IFERROR(""&amp;INDEX(tk_MARK,MATCH(278,tk_FSEQ,0)),"")</f>
        <v/>
      </c>
      <c r="B283" s="162">
        <f>IFERROR(INDEX(tk_QTY,MATCH(278,tk_FSEQ,0)),"")</f>
        <v/>
      </c>
      <c r="C283" s="162">
        <f>IFERROR(INDEX(tk_ROOMF,MATCH(278,tk_FSEQ,0))&amp;IF(INDEX(tk_ROOMT,MATCH(278,tk_FSEQ,0))="",""," → "&amp;INDEX(tk_ROOMT,MATCH(278,tk_FSEQ,0))),"")</f>
        <v/>
      </c>
      <c r="D283" s="162">
        <f>IFERROR(""&amp;INDEX(tk_SIZE,MATCH(278,tk_FSEQ,0)),"")</f>
        <v/>
      </c>
      <c r="E283" s="162">
        <f>IFERROR(""&amp;INDEX(tk_RATING,MATCH(278,tk_FSEQ,0)),"")</f>
        <v/>
      </c>
      <c r="F283" s="162">
        <f>IFERROR(TEXT(INDEX(tk_OAW,MATCH(278,tk_FSEQ,0)),"0.000")&amp;" x "&amp;TEXT(INDEX(tk_OAH,MATCH(278,tk_FSEQ,0)),"0.000"),"")</f>
        <v/>
      </c>
      <c r="G283" s="162">
        <f>IFERROR(IF(INDEX(tk_ANCHT,MATCH(278,tk_FSEQ,0))="","",INDEX(tk_ANCHT,MATCH(278,tk_FSEQ,0))&amp;" + "&amp;INDEX(tk_BASEA,MATCH(278,tk_FSEQ,0))),"")</f>
        <v/>
      </c>
      <c r="H283" s="181">
        <f>IFERROR(""&amp;INDEX(tk_FLINE,MATCH(278,tk_FSEQ,0)),"")</f>
        <v/>
      </c>
      <c r="I283" s="181">
        <f>IFERROR(""&amp;INDEX(tk_LOCTXT,MATCH(278,tk_FSEQ,0)),"")</f>
        <v/>
      </c>
      <c r="J283" s="162">
        <f>IFERROR(""&amp;INDEX(tk_FNOTES,MATCH(278,tk_FSEQ,0)),"")</f>
        <v/>
      </c>
    </row>
    <row r="284">
      <c r="A284" s="161">
        <f>IFERROR(""&amp;INDEX(tk_MARK,MATCH(279,tk_FSEQ,0)),"")</f>
        <v/>
      </c>
      <c r="B284" s="162">
        <f>IFERROR(INDEX(tk_QTY,MATCH(279,tk_FSEQ,0)),"")</f>
        <v/>
      </c>
      <c r="C284" s="162">
        <f>IFERROR(INDEX(tk_ROOMF,MATCH(279,tk_FSEQ,0))&amp;IF(INDEX(tk_ROOMT,MATCH(279,tk_FSEQ,0))="",""," → "&amp;INDEX(tk_ROOMT,MATCH(279,tk_FSEQ,0))),"")</f>
        <v/>
      </c>
      <c r="D284" s="162">
        <f>IFERROR(""&amp;INDEX(tk_SIZE,MATCH(279,tk_FSEQ,0)),"")</f>
        <v/>
      </c>
      <c r="E284" s="162">
        <f>IFERROR(""&amp;INDEX(tk_RATING,MATCH(279,tk_FSEQ,0)),"")</f>
        <v/>
      </c>
      <c r="F284" s="162">
        <f>IFERROR(TEXT(INDEX(tk_OAW,MATCH(279,tk_FSEQ,0)),"0.000")&amp;" x "&amp;TEXT(INDEX(tk_OAH,MATCH(279,tk_FSEQ,0)),"0.000"),"")</f>
        <v/>
      </c>
      <c r="G284" s="162">
        <f>IFERROR(IF(INDEX(tk_ANCHT,MATCH(279,tk_FSEQ,0))="","",INDEX(tk_ANCHT,MATCH(279,tk_FSEQ,0))&amp;" + "&amp;INDEX(tk_BASEA,MATCH(279,tk_FSEQ,0))),"")</f>
        <v/>
      </c>
      <c r="H284" s="181">
        <f>IFERROR(""&amp;INDEX(tk_FLINE,MATCH(279,tk_FSEQ,0)),"")</f>
        <v/>
      </c>
      <c r="I284" s="181">
        <f>IFERROR(""&amp;INDEX(tk_LOCTXT,MATCH(279,tk_FSEQ,0)),"")</f>
        <v/>
      </c>
      <c r="J284" s="162">
        <f>IFERROR(""&amp;INDEX(tk_FNOTES,MATCH(279,tk_FSEQ,0)),"")</f>
        <v/>
      </c>
    </row>
    <row r="285">
      <c r="A285" s="161">
        <f>IFERROR(""&amp;INDEX(tk_MARK,MATCH(280,tk_FSEQ,0)),"")</f>
        <v/>
      </c>
      <c r="B285" s="162">
        <f>IFERROR(INDEX(tk_QTY,MATCH(280,tk_FSEQ,0)),"")</f>
        <v/>
      </c>
      <c r="C285" s="162">
        <f>IFERROR(INDEX(tk_ROOMF,MATCH(280,tk_FSEQ,0))&amp;IF(INDEX(tk_ROOMT,MATCH(280,tk_FSEQ,0))="",""," → "&amp;INDEX(tk_ROOMT,MATCH(280,tk_FSEQ,0))),"")</f>
        <v/>
      </c>
      <c r="D285" s="162">
        <f>IFERROR(""&amp;INDEX(tk_SIZE,MATCH(280,tk_FSEQ,0)),"")</f>
        <v/>
      </c>
      <c r="E285" s="162">
        <f>IFERROR(""&amp;INDEX(tk_RATING,MATCH(280,tk_FSEQ,0)),"")</f>
        <v/>
      </c>
      <c r="F285" s="162">
        <f>IFERROR(TEXT(INDEX(tk_OAW,MATCH(280,tk_FSEQ,0)),"0.000")&amp;" x "&amp;TEXT(INDEX(tk_OAH,MATCH(280,tk_FSEQ,0)),"0.000"),"")</f>
        <v/>
      </c>
      <c r="G285" s="162">
        <f>IFERROR(IF(INDEX(tk_ANCHT,MATCH(280,tk_FSEQ,0))="","",INDEX(tk_ANCHT,MATCH(280,tk_FSEQ,0))&amp;" + "&amp;INDEX(tk_BASEA,MATCH(280,tk_FSEQ,0))),"")</f>
        <v/>
      </c>
      <c r="H285" s="181">
        <f>IFERROR(""&amp;INDEX(tk_FLINE,MATCH(280,tk_FSEQ,0)),"")</f>
        <v/>
      </c>
      <c r="I285" s="181">
        <f>IFERROR(""&amp;INDEX(tk_LOCTXT,MATCH(280,tk_FSEQ,0)),"")</f>
        <v/>
      </c>
      <c r="J285" s="162">
        <f>IFERROR(""&amp;INDEX(tk_FNOTES,MATCH(280,tk_FSEQ,0)),"")</f>
        <v/>
      </c>
    </row>
    <row r="286">
      <c r="A286" s="161">
        <f>IFERROR(""&amp;INDEX(tk_MARK,MATCH(281,tk_FSEQ,0)),"")</f>
        <v/>
      </c>
      <c r="B286" s="162">
        <f>IFERROR(INDEX(tk_QTY,MATCH(281,tk_FSEQ,0)),"")</f>
        <v/>
      </c>
      <c r="C286" s="162">
        <f>IFERROR(INDEX(tk_ROOMF,MATCH(281,tk_FSEQ,0))&amp;IF(INDEX(tk_ROOMT,MATCH(281,tk_FSEQ,0))="",""," → "&amp;INDEX(tk_ROOMT,MATCH(281,tk_FSEQ,0))),"")</f>
        <v/>
      </c>
      <c r="D286" s="162">
        <f>IFERROR(""&amp;INDEX(tk_SIZE,MATCH(281,tk_FSEQ,0)),"")</f>
        <v/>
      </c>
      <c r="E286" s="162">
        <f>IFERROR(""&amp;INDEX(tk_RATING,MATCH(281,tk_FSEQ,0)),"")</f>
        <v/>
      </c>
      <c r="F286" s="162">
        <f>IFERROR(TEXT(INDEX(tk_OAW,MATCH(281,tk_FSEQ,0)),"0.000")&amp;" x "&amp;TEXT(INDEX(tk_OAH,MATCH(281,tk_FSEQ,0)),"0.000"),"")</f>
        <v/>
      </c>
      <c r="G286" s="162">
        <f>IFERROR(IF(INDEX(tk_ANCHT,MATCH(281,tk_FSEQ,0))="","",INDEX(tk_ANCHT,MATCH(281,tk_FSEQ,0))&amp;" + "&amp;INDEX(tk_BASEA,MATCH(281,tk_FSEQ,0))),"")</f>
        <v/>
      </c>
      <c r="H286" s="181">
        <f>IFERROR(""&amp;INDEX(tk_FLINE,MATCH(281,tk_FSEQ,0)),"")</f>
        <v/>
      </c>
      <c r="I286" s="181">
        <f>IFERROR(""&amp;INDEX(tk_LOCTXT,MATCH(281,tk_FSEQ,0)),"")</f>
        <v/>
      </c>
      <c r="J286" s="162">
        <f>IFERROR(""&amp;INDEX(tk_FNOTES,MATCH(281,tk_FSEQ,0)),"")</f>
        <v/>
      </c>
    </row>
    <row r="287">
      <c r="A287" s="161">
        <f>IFERROR(""&amp;INDEX(tk_MARK,MATCH(282,tk_FSEQ,0)),"")</f>
        <v/>
      </c>
      <c r="B287" s="162">
        <f>IFERROR(INDEX(tk_QTY,MATCH(282,tk_FSEQ,0)),"")</f>
        <v/>
      </c>
      <c r="C287" s="162">
        <f>IFERROR(INDEX(tk_ROOMF,MATCH(282,tk_FSEQ,0))&amp;IF(INDEX(tk_ROOMT,MATCH(282,tk_FSEQ,0))="",""," → "&amp;INDEX(tk_ROOMT,MATCH(282,tk_FSEQ,0))),"")</f>
        <v/>
      </c>
      <c r="D287" s="162">
        <f>IFERROR(""&amp;INDEX(tk_SIZE,MATCH(282,tk_FSEQ,0)),"")</f>
        <v/>
      </c>
      <c r="E287" s="162">
        <f>IFERROR(""&amp;INDEX(tk_RATING,MATCH(282,tk_FSEQ,0)),"")</f>
        <v/>
      </c>
      <c r="F287" s="162">
        <f>IFERROR(TEXT(INDEX(tk_OAW,MATCH(282,tk_FSEQ,0)),"0.000")&amp;" x "&amp;TEXT(INDEX(tk_OAH,MATCH(282,tk_FSEQ,0)),"0.000"),"")</f>
        <v/>
      </c>
      <c r="G287" s="162">
        <f>IFERROR(IF(INDEX(tk_ANCHT,MATCH(282,tk_FSEQ,0))="","",INDEX(tk_ANCHT,MATCH(282,tk_FSEQ,0))&amp;" + "&amp;INDEX(tk_BASEA,MATCH(282,tk_FSEQ,0))),"")</f>
        <v/>
      </c>
      <c r="H287" s="181">
        <f>IFERROR(""&amp;INDEX(tk_FLINE,MATCH(282,tk_FSEQ,0)),"")</f>
        <v/>
      </c>
      <c r="I287" s="181">
        <f>IFERROR(""&amp;INDEX(tk_LOCTXT,MATCH(282,tk_FSEQ,0)),"")</f>
        <v/>
      </c>
      <c r="J287" s="162">
        <f>IFERROR(""&amp;INDEX(tk_FNOTES,MATCH(282,tk_FSEQ,0)),"")</f>
        <v/>
      </c>
    </row>
    <row r="288">
      <c r="A288" s="161">
        <f>IFERROR(""&amp;INDEX(tk_MARK,MATCH(283,tk_FSEQ,0)),"")</f>
        <v/>
      </c>
      <c r="B288" s="162">
        <f>IFERROR(INDEX(tk_QTY,MATCH(283,tk_FSEQ,0)),"")</f>
        <v/>
      </c>
      <c r="C288" s="162">
        <f>IFERROR(INDEX(tk_ROOMF,MATCH(283,tk_FSEQ,0))&amp;IF(INDEX(tk_ROOMT,MATCH(283,tk_FSEQ,0))="",""," → "&amp;INDEX(tk_ROOMT,MATCH(283,tk_FSEQ,0))),"")</f>
        <v/>
      </c>
      <c r="D288" s="162">
        <f>IFERROR(""&amp;INDEX(tk_SIZE,MATCH(283,tk_FSEQ,0)),"")</f>
        <v/>
      </c>
      <c r="E288" s="162">
        <f>IFERROR(""&amp;INDEX(tk_RATING,MATCH(283,tk_FSEQ,0)),"")</f>
        <v/>
      </c>
      <c r="F288" s="162">
        <f>IFERROR(TEXT(INDEX(tk_OAW,MATCH(283,tk_FSEQ,0)),"0.000")&amp;" x "&amp;TEXT(INDEX(tk_OAH,MATCH(283,tk_FSEQ,0)),"0.000"),"")</f>
        <v/>
      </c>
      <c r="G288" s="162">
        <f>IFERROR(IF(INDEX(tk_ANCHT,MATCH(283,tk_FSEQ,0))="","",INDEX(tk_ANCHT,MATCH(283,tk_FSEQ,0))&amp;" + "&amp;INDEX(tk_BASEA,MATCH(283,tk_FSEQ,0))),"")</f>
        <v/>
      </c>
      <c r="H288" s="181">
        <f>IFERROR(""&amp;INDEX(tk_FLINE,MATCH(283,tk_FSEQ,0)),"")</f>
        <v/>
      </c>
      <c r="I288" s="181">
        <f>IFERROR(""&amp;INDEX(tk_LOCTXT,MATCH(283,tk_FSEQ,0)),"")</f>
        <v/>
      </c>
      <c r="J288" s="162">
        <f>IFERROR(""&amp;INDEX(tk_FNOTES,MATCH(283,tk_FSEQ,0)),"")</f>
        <v/>
      </c>
    </row>
    <row r="289">
      <c r="A289" s="161">
        <f>IFERROR(""&amp;INDEX(tk_MARK,MATCH(284,tk_FSEQ,0)),"")</f>
        <v/>
      </c>
      <c r="B289" s="162">
        <f>IFERROR(INDEX(tk_QTY,MATCH(284,tk_FSEQ,0)),"")</f>
        <v/>
      </c>
      <c r="C289" s="162">
        <f>IFERROR(INDEX(tk_ROOMF,MATCH(284,tk_FSEQ,0))&amp;IF(INDEX(tk_ROOMT,MATCH(284,tk_FSEQ,0))="",""," → "&amp;INDEX(tk_ROOMT,MATCH(284,tk_FSEQ,0))),"")</f>
        <v/>
      </c>
      <c r="D289" s="162">
        <f>IFERROR(""&amp;INDEX(tk_SIZE,MATCH(284,tk_FSEQ,0)),"")</f>
        <v/>
      </c>
      <c r="E289" s="162">
        <f>IFERROR(""&amp;INDEX(tk_RATING,MATCH(284,tk_FSEQ,0)),"")</f>
        <v/>
      </c>
      <c r="F289" s="162">
        <f>IFERROR(TEXT(INDEX(tk_OAW,MATCH(284,tk_FSEQ,0)),"0.000")&amp;" x "&amp;TEXT(INDEX(tk_OAH,MATCH(284,tk_FSEQ,0)),"0.000"),"")</f>
        <v/>
      </c>
      <c r="G289" s="162">
        <f>IFERROR(IF(INDEX(tk_ANCHT,MATCH(284,tk_FSEQ,0))="","",INDEX(tk_ANCHT,MATCH(284,tk_FSEQ,0))&amp;" + "&amp;INDEX(tk_BASEA,MATCH(284,tk_FSEQ,0))),"")</f>
        <v/>
      </c>
      <c r="H289" s="181">
        <f>IFERROR(""&amp;INDEX(tk_FLINE,MATCH(284,tk_FSEQ,0)),"")</f>
        <v/>
      </c>
      <c r="I289" s="181">
        <f>IFERROR(""&amp;INDEX(tk_LOCTXT,MATCH(284,tk_FSEQ,0)),"")</f>
        <v/>
      </c>
      <c r="J289" s="162">
        <f>IFERROR(""&amp;INDEX(tk_FNOTES,MATCH(284,tk_FSEQ,0)),"")</f>
        <v/>
      </c>
    </row>
    <row r="290">
      <c r="A290" s="161">
        <f>IFERROR(""&amp;INDEX(tk_MARK,MATCH(285,tk_FSEQ,0)),"")</f>
        <v/>
      </c>
      <c r="B290" s="162">
        <f>IFERROR(INDEX(tk_QTY,MATCH(285,tk_FSEQ,0)),"")</f>
        <v/>
      </c>
      <c r="C290" s="162">
        <f>IFERROR(INDEX(tk_ROOMF,MATCH(285,tk_FSEQ,0))&amp;IF(INDEX(tk_ROOMT,MATCH(285,tk_FSEQ,0))="",""," → "&amp;INDEX(tk_ROOMT,MATCH(285,tk_FSEQ,0))),"")</f>
        <v/>
      </c>
      <c r="D290" s="162">
        <f>IFERROR(""&amp;INDEX(tk_SIZE,MATCH(285,tk_FSEQ,0)),"")</f>
        <v/>
      </c>
      <c r="E290" s="162">
        <f>IFERROR(""&amp;INDEX(tk_RATING,MATCH(285,tk_FSEQ,0)),"")</f>
        <v/>
      </c>
      <c r="F290" s="162">
        <f>IFERROR(TEXT(INDEX(tk_OAW,MATCH(285,tk_FSEQ,0)),"0.000")&amp;" x "&amp;TEXT(INDEX(tk_OAH,MATCH(285,tk_FSEQ,0)),"0.000"),"")</f>
        <v/>
      </c>
      <c r="G290" s="162">
        <f>IFERROR(IF(INDEX(tk_ANCHT,MATCH(285,tk_FSEQ,0))="","",INDEX(tk_ANCHT,MATCH(285,tk_FSEQ,0))&amp;" + "&amp;INDEX(tk_BASEA,MATCH(285,tk_FSEQ,0))),"")</f>
        <v/>
      </c>
      <c r="H290" s="181">
        <f>IFERROR(""&amp;INDEX(tk_FLINE,MATCH(285,tk_FSEQ,0)),"")</f>
        <v/>
      </c>
      <c r="I290" s="181">
        <f>IFERROR(""&amp;INDEX(tk_LOCTXT,MATCH(285,tk_FSEQ,0)),"")</f>
        <v/>
      </c>
      <c r="J290" s="162">
        <f>IFERROR(""&amp;INDEX(tk_FNOTES,MATCH(285,tk_FSEQ,0)),"")</f>
        <v/>
      </c>
    </row>
    <row r="291">
      <c r="A291" s="161">
        <f>IFERROR(""&amp;INDEX(tk_MARK,MATCH(286,tk_FSEQ,0)),"")</f>
        <v/>
      </c>
      <c r="B291" s="162">
        <f>IFERROR(INDEX(tk_QTY,MATCH(286,tk_FSEQ,0)),"")</f>
        <v/>
      </c>
      <c r="C291" s="162">
        <f>IFERROR(INDEX(tk_ROOMF,MATCH(286,tk_FSEQ,0))&amp;IF(INDEX(tk_ROOMT,MATCH(286,tk_FSEQ,0))="",""," → "&amp;INDEX(tk_ROOMT,MATCH(286,tk_FSEQ,0))),"")</f>
        <v/>
      </c>
      <c r="D291" s="162">
        <f>IFERROR(""&amp;INDEX(tk_SIZE,MATCH(286,tk_FSEQ,0)),"")</f>
        <v/>
      </c>
      <c r="E291" s="162">
        <f>IFERROR(""&amp;INDEX(tk_RATING,MATCH(286,tk_FSEQ,0)),"")</f>
        <v/>
      </c>
      <c r="F291" s="162">
        <f>IFERROR(TEXT(INDEX(tk_OAW,MATCH(286,tk_FSEQ,0)),"0.000")&amp;" x "&amp;TEXT(INDEX(tk_OAH,MATCH(286,tk_FSEQ,0)),"0.000"),"")</f>
        <v/>
      </c>
      <c r="G291" s="162">
        <f>IFERROR(IF(INDEX(tk_ANCHT,MATCH(286,tk_FSEQ,0))="","",INDEX(tk_ANCHT,MATCH(286,tk_FSEQ,0))&amp;" + "&amp;INDEX(tk_BASEA,MATCH(286,tk_FSEQ,0))),"")</f>
        <v/>
      </c>
      <c r="H291" s="181">
        <f>IFERROR(""&amp;INDEX(tk_FLINE,MATCH(286,tk_FSEQ,0)),"")</f>
        <v/>
      </c>
      <c r="I291" s="181">
        <f>IFERROR(""&amp;INDEX(tk_LOCTXT,MATCH(286,tk_FSEQ,0)),"")</f>
        <v/>
      </c>
      <c r="J291" s="162">
        <f>IFERROR(""&amp;INDEX(tk_FNOTES,MATCH(286,tk_FSEQ,0)),"")</f>
        <v/>
      </c>
    </row>
    <row r="292">
      <c r="A292" s="161">
        <f>IFERROR(""&amp;INDEX(tk_MARK,MATCH(287,tk_FSEQ,0)),"")</f>
        <v/>
      </c>
      <c r="B292" s="162">
        <f>IFERROR(INDEX(tk_QTY,MATCH(287,tk_FSEQ,0)),"")</f>
        <v/>
      </c>
      <c r="C292" s="162">
        <f>IFERROR(INDEX(tk_ROOMF,MATCH(287,tk_FSEQ,0))&amp;IF(INDEX(tk_ROOMT,MATCH(287,tk_FSEQ,0))="",""," → "&amp;INDEX(tk_ROOMT,MATCH(287,tk_FSEQ,0))),"")</f>
        <v/>
      </c>
      <c r="D292" s="162">
        <f>IFERROR(""&amp;INDEX(tk_SIZE,MATCH(287,tk_FSEQ,0)),"")</f>
        <v/>
      </c>
      <c r="E292" s="162">
        <f>IFERROR(""&amp;INDEX(tk_RATING,MATCH(287,tk_FSEQ,0)),"")</f>
        <v/>
      </c>
      <c r="F292" s="162">
        <f>IFERROR(TEXT(INDEX(tk_OAW,MATCH(287,tk_FSEQ,0)),"0.000")&amp;" x "&amp;TEXT(INDEX(tk_OAH,MATCH(287,tk_FSEQ,0)),"0.000"),"")</f>
        <v/>
      </c>
      <c r="G292" s="162">
        <f>IFERROR(IF(INDEX(tk_ANCHT,MATCH(287,tk_FSEQ,0))="","",INDEX(tk_ANCHT,MATCH(287,tk_FSEQ,0))&amp;" + "&amp;INDEX(tk_BASEA,MATCH(287,tk_FSEQ,0))),"")</f>
        <v/>
      </c>
      <c r="H292" s="181">
        <f>IFERROR(""&amp;INDEX(tk_FLINE,MATCH(287,tk_FSEQ,0)),"")</f>
        <v/>
      </c>
      <c r="I292" s="181">
        <f>IFERROR(""&amp;INDEX(tk_LOCTXT,MATCH(287,tk_FSEQ,0)),"")</f>
        <v/>
      </c>
      <c r="J292" s="162">
        <f>IFERROR(""&amp;INDEX(tk_FNOTES,MATCH(287,tk_FSEQ,0)),"")</f>
        <v/>
      </c>
    </row>
    <row r="293">
      <c r="A293" s="161">
        <f>IFERROR(""&amp;INDEX(tk_MARK,MATCH(288,tk_FSEQ,0)),"")</f>
        <v/>
      </c>
      <c r="B293" s="162">
        <f>IFERROR(INDEX(tk_QTY,MATCH(288,tk_FSEQ,0)),"")</f>
        <v/>
      </c>
      <c r="C293" s="162">
        <f>IFERROR(INDEX(tk_ROOMF,MATCH(288,tk_FSEQ,0))&amp;IF(INDEX(tk_ROOMT,MATCH(288,tk_FSEQ,0))="",""," → "&amp;INDEX(tk_ROOMT,MATCH(288,tk_FSEQ,0))),"")</f>
        <v/>
      </c>
      <c r="D293" s="162">
        <f>IFERROR(""&amp;INDEX(tk_SIZE,MATCH(288,tk_FSEQ,0)),"")</f>
        <v/>
      </c>
      <c r="E293" s="162">
        <f>IFERROR(""&amp;INDEX(tk_RATING,MATCH(288,tk_FSEQ,0)),"")</f>
        <v/>
      </c>
      <c r="F293" s="162">
        <f>IFERROR(TEXT(INDEX(tk_OAW,MATCH(288,tk_FSEQ,0)),"0.000")&amp;" x "&amp;TEXT(INDEX(tk_OAH,MATCH(288,tk_FSEQ,0)),"0.000"),"")</f>
        <v/>
      </c>
      <c r="G293" s="162">
        <f>IFERROR(IF(INDEX(tk_ANCHT,MATCH(288,tk_FSEQ,0))="","",INDEX(tk_ANCHT,MATCH(288,tk_FSEQ,0))&amp;" + "&amp;INDEX(tk_BASEA,MATCH(288,tk_FSEQ,0))),"")</f>
        <v/>
      </c>
      <c r="H293" s="181">
        <f>IFERROR(""&amp;INDEX(tk_FLINE,MATCH(288,tk_FSEQ,0)),"")</f>
        <v/>
      </c>
      <c r="I293" s="181">
        <f>IFERROR(""&amp;INDEX(tk_LOCTXT,MATCH(288,tk_FSEQ,0)),"")</f>
        <v/>
      </c>
      <c r="J293" s="162">
        <f>IFERROR(""&amp;INDEX(tk_FNOTES,MATCH(288,tk_FSEQ,0)),"")</f>
        <v/>
      </c>
    </row>
    <row r="294">
      <c r="A294" s="161">
        <f>IFERROR(""&amp;INDEX(tk_MARK,MATCH(289,tk_FSEQ,0)),"")</f>
        <v/>
      </c>
      <c r="B294" s="162">
        <f>IFERROR(INDEX(tk_QTY,MATCH(289,tk_FSEQ,0)),"")</f>
        <v/>
      </c>
      <c r="C294" s="162">
        <f>IFERROR(INDEX(tk_ROOMF,MATCH(289,tk_FSEQ,0))&amp;IF(INDEX(tk_ROOMT,MATCH(289,tk_FSEQ,0))="",""," → "&amp;INDEX(tk_ROOMT,MATCH(289,tk_FSEQ,0))),"")</f>
        <v/>
      </c>
      <c r="D294" s="162">
        <f>IFERROR(""&amp;INDEX(tk_SIZE,MATCH(289,tk_FSEQ,0)),"")</f>
        <v/>
      </c>
      <c r="E294" s="162">
        <f>IFERROR(""&amp;INDEX(tk_RATING,MATCH(289,tk_FSEQ,0)),"")</f>
        <v/>
      </c>
      <c r="F294" s="162">
        <f>IFERROR(TEXT(INDEX(tk_OAW,MATCH(289,tk_FSEQ,0)),"0.000")&amp;" x "&amp;TEXT(INDEX(tk_OAH,MATCH(289,tk_FSEQ,0)),"0.000"),"")</f>
        <v/>
      </c>
      <c r="G294" s="162">
        <f>IFERROR(IF(INDEX(tk_ANCHT,MATCH(289,tk_FSEQ,0))="","",INDEX(tk_ANCHT,MATCH(289,tk_FSEQ,0))&amp;" + "&amp;INDEX(tk_BASEA,MATCH(289,tk_FSEQ,0))),"")</f>
        <v/>
      </c>
      <c r="H294" s="181">
        <f>IFERROR(""&amp;INDEX(tk_FLINE,MATCH(289,tk_FSEQ,0)),"")</f>
        <v/>
      </c>
      <c r="I294" s="181">
        <f>IFERROR(""&amp;INDEX(tk_LOCTXT,MATCH(289,tk_FSEQ,0)),"")</f>
        <v/>
      </c>
      <c r="J294" s="162">
        <f>IFERROR(""&amp;INDEX(tk_FNOTES,MATCH(289,tk_FSEQ,0)),"")</f>
        <v/>
      </c>
    </row>
    <row r="295">
      <c r="A295" s="161">
        <f>IFERROR(""&amp;INDEX(tk_MARK,MATCH(290,tk_FSEQ,0)),"")</f>
        <v/>
      </c>
      <c r="B295" s="162">
        <f>IFERROR(INDEX(tk_QTY,MATCH(290,tk_FSEQ,0)),"")</f>
        <v/>
      </c>
      <c r="C295" s="162">
        <f>IFERROR(INDEX(tk_ROOMF,MATCH(290,tk_FSEQ,0))&amp;IF(INDEX(tk_ROOMT,MATCH(290,tk_FSEQ,0))="",""," → "&amp;INDEX(tk_ROOMT,MATCH(290,tk_FSEQ,0))),"")</f>
        <v/>
      </c>
      <c r="D295" s="162">
        <f>IFERROR(""&amp;INDEX(tk_SIZE,MATCH(290,tk_FSEQ,0)),"")</f>
        <v/>
      </c>
      <c r="E295" s="162">
        <f>IFERROR(""&amp;INDEX(tk_RATING,MATCH(290,tk_FSEQ,0)),"")</f>
        <v/>
      </c>
      <c r="F295" s="162">
        <f>IFERROR(TEXT(INDEX(tk_OAW,MATCH(290,tk_FSEQ,0)),"0.000")&amp;" x "&amp;TEXT(INDEX(tk_OAH,MATCH(290,tk_FSEQ,0)),"0.000"),"")</f>
        <v/>
      </c>
      <c r="G295" s="162">
        <f>IFERROR(IF(INDEX(tk_ANCHT,MATCH(290,tk_FSEQ,0))="","",INDEX(tk_ANCHT,MATCH(290,tk_FSEQ,0))&amp;" + "&amp;INDEX(tk_BASEA,MATCH(290,tk_FSEQ,0))),"")</f>
        <v/>
      </c>
      <c r="H295" s="181">
        <f>IFERROR(""&amp;INDEX(tk_FLINE,MATCH(290,tk_FSEQ,0)),"")</f>
        <v/>
      </c>
      <c r="I295" s="181">
        <f>IFERROR(""&amp;INDEX(tk_LOCTXT,MATCH(290,tk_FSEQ,0)),"")</f>
        <v/>
      </c>
      <c r="J295" s="162">
        <f>IFERROR(""&amp;INDEX(tk_FNOTES,MATCH(290,tk_FSEQ,0)),"")</f>
        <v/>
      </c>
    </row>
    <row r="296">
      <c r="A296" s="161">
        <f>IFERROR(""&amp;INDEX(tk_MARK,MATCH(291,tk_FSEQ,0)),"")</f>
        <v/>
      </c>
      <c r="B296" s="162">
        <f>IFERROR(INDEX(tk_QTY,MATCH(291,tk_FSEQ,0)),"")</f>
        <v/>
      </c>
      <c r="C296" s="162">
        <f>IFERROR(INDEX(tk_ROOMF,MATCH(291,tk_FSEQ,0))&amp;IF(INDEX(tk_ROOMT,MATCH(291,tk_FSEQ,0))="",""," → "&amp;INDEX(tk_ROOMT,MATCH(291,tk_FSEQ,0))),"")</f>
        <v/>
      </c>
      <c r="D296" s="162">
        <f>IFERROR(""&amp;INDEX(tk_SIZE,MATCH(291,tk_FSEQ,0)),"")</f>
        <v/>
      </c>
      <c r="E296" s="162">
        <f>IFERROR(""&amp;INDEX(tk_RATING,MATCH(291,tk_FSEQ,0)),"")</f>
        <v/>
      </c>
      <c r="F296" s="162">
        <f>IFERROR(TEXT(INDEX(tk_OAW,MATCH(291,tk_FSEQ,0)),"0.000")&amp;" x "&amp;TEXT(INDEX(tk_OAH,MATCH(291,tk_FSEQ,0)),"0.000"),"")</f>
        <v/>
      </c>
      <c r="G296" s="162">
        <f>IFERROR(IF(INDEX(tk_ANCHT,MATCH(291,tk_FSEQ,0))="","",INDEX(tk_ANCHT,MATCH(291,tk_FSEQ,0))&amp;" + "&amp;INDEX(tk_BASEA,MATCH(291,tk_FSEQ,0))),"")</f>
        <v/>
      </c>
      <c r="H296" s="181">
        <f>IFERROR(""&amp;INDEX(tk_FLINE,MATCH(291,tk_FSEQ,0)),"")</f>
        <v/>
      </c>
      <c r="I296" s="181">
        <f>IFERROR(""&amp;INDEX(tk_LOCTXT,MATCH(291,tk_FSEQ,0)),"")</f>
        <v/>
      </c>
      <c r="J296" s="162">
        <f>IFERROR(""&amp;INDEX(tk_FNOTES,MATCH(291,tk_FSEQ,0)),"")</f>
        <v/>
      </c>
    </row>
    <row r="297">
      <c r="A297" s="161">
        <f>IFERROR(""&amp;INDEX(tk_MARK,MATCH(292,tk_FSEQ,0)),"")</f>
        <v/>
      </c>
      <c r="B297" s="162">
        <f>IFERROR(INDEX(tk_QTY,MATCH(292,tk_FSEQ,0)),"")</f>
        <v/>
      </c>
      <c r="C297" s="162">
        <f>IFERROR(INDEX(tk_ROOMF,MATCH(292,tk_FSEQ,0))&amp;IF(INDEX(tk_ROOMT,MATCH(292,tk_FSEQ,0))="",""," → "&amp;INDEX(tk_ROOMT,MATCH(292,tk_FSEQ,0))),"")</f>
        <v/>
      </c>
      <c r="D297" s="162">
        <f>IFERROR(""&amp;INDEX(tk_SIZE,MATCH(292,tk_FSEQ,0)),"")</f>
        <v/>
      </c>
      <c r="E297" s="162">
        <f>IFERROR(""&amp;INDEX(tk_RATING,MATCH(292,tk_FSEQ,0)),"")</f>
        <v/>
      </c>
      <c r="F297" s="162">
        <f>IFERROR(TEXT(INDEX(tk_OAW,MATCH(292,tk_FSEQ,0)),"0.000")&amp;" x "&amp;TEXT(INDEX(tk_OAH,MATCH(292,tk_FSEQ,0)),"0.000"),"")</f>
        <v/>
      </c>
      <c r="G297" s="162">
        <f>IFERROR(IF(INDEX(tk_ANCHT,MATCH(292,tk_FSEQ,0))="","",INDEX(tk_ANCHT,MATCH(292,tk_FSEQ,0))&amp;" + "&amp;INDEX(tk_BASEA,MATCH(292,tk_FSEQ,0))),"")</f>
        <v/>
      </c>
      <c r="H297" s="181">
        <f>IFERROR(""&amp;INDEX(tk_FLINE,MATCH(292,tk_FSEQ,0)),"")</f>
        <v/>
      </c>
      <c r="I297" s="181">
        <f>IFERROR(""&amp;INDEX(tk_LOCTXT,MATCH(292,tk_FSEQ,0)),"")</f>
        <v/>
      </c>
      <c r="J297" s="162">
        <f>IFERROR(""&amp;INDEX(tk_FNOTES,MATCH(292,tk_FSEQ,0)),"")</f>
        <v/>
      </c>
    </row>
    <row r="298">
      <c r="A298" s="161">
        <f>IFERROR(""&amp;INDEX(tk_MARK,MATCH(293,tk_FSEQ,0)),"")</f>
        <v/>
      </c>
      <c r="B298" s="162">
        <f>IFERROR(INDEX(tk_QTY,MATCH(293,tk_FSEQ,0)),"")</f>
        <v/>
      </c>
      <c r="C298" s="162">
        <f>IFERROR(INDEX(tk_ROOMF,MATCH(293,tk_FSEQ,0))&amp;IF(INDEX(tk_ROOMT,MATCH(293,tk_FSEQ,0))="",""," → "&amp;INDEX(tk_ROOMT,MATCH(293,tk_FSEQ,0))),"")</f>
        <v/>
      </c>
      <c r="D298" s="162">
        <f>IFERROR(""&amp;INDEX(tk_SIZE,MATCH(293,tk_FSEQ,0)),"")</f>
        <v/>
      </c>
      <c r="E298" s="162">
        <f>IFERROR(""&amp;INDEX(tk_RATING,MATCH(293,tk_FSEQ,0)),"")</f>
        <v/>
      </c>
      <c r="F298" s="162">
        <f>IFERROR(TEXT(INDEX(tk_OAW,MATCH(293,tk_FSEQ,0)),"0.000")&amp;" x "&amp;TEXT(INDEX(tk_OAH,MATCH(293,tk_FSEQ,0)),"0.000"),"")</f>
        <v/>
      </c>
      <c r="G298" s="162">
        <f>IFERROR(IF(INDEX(tk_ANCHT,MATCH(293,tk_FSEQ,0))="","",INDEX(tk_ANCHT,MATCH(293,tk_FSEQ,0))&amp;" + "&amp;INDEX(tk_BASEA,MATCH(293,tk_FSEQ,0))),"")</f>
        <v/>
      </c>
      <c r="H298" s="181">
        <f>IFERROR(""&amp;INDEX(tk_FLINE,MATCH(293,tk_FSEQ,0)),"")</f>
        <v/>
      </c>
      <c r="I298" s="181">
        <f>IFERROR(""&amp;INDEX(tk_LOCTXT,MATCH(293,tk_FSEQ,0)),"")</f>
        <v/>
      </c>
      <c r="J298" s="162">
        <f>IFERROR(""&amp;INDEX(tk_FNOTES,MATCH(293,tk_FSEQ,0)),"")</f>
        <v/>
      </c>
    </row>
    <row r="299">
      <c r="A299" s="161">
        <f>IFERROR(""&amp;INDEX(tk_MARK,MATCH(294,tk_FSEQ,0)),"")</f>
        <v/>
      </c>
      <c r="B299" s="162">
        <f>IFERROR(INDEX(tk_QTY,MATCH(294,tk_FSEQ,0)),"")</f>
        <v/>
      </c>
      <c r="C299" s="162">
        <f>IFERROR(INDEX(tk_ROOMF,MATCH(294,tk_FSEQ,0))&amp;IF(INDEX(tk_ROOMT,MATCH(294,tk_FSEQ,0))="",""," → "&amp;INDEX(tk_ROOMT,MATCH(294,tk_FSEQ,0))),"")</f>
        <v/>
      </c>
      <c r="D299" s="162">
        <f>IFERROR(""&amp;INDEX(tk_SIZE,MATCH(294,tk_FSEQ,0)),"")</f>
        <v/>
      </c>
      <c r="E299" s="162">
        <f>IFERROR(""&amp;INDEX(tk_RATING,MATCH(294,tk_FSEQ,0)),"")</f>
        <v/>
      </c>
      <c r="F299" s="162">
        <f>IFERROR(TEXT(INDEX(tk_OAW,MATCH(294,tk_FSEQ,0)),"0.000")&amp;" x "&amp;TEXT(INDEX(tk_OAH,MATCH(294,tk_FSEQ,0)),"0.000"),"")</f>
        <v/>
      </c>
      <c r="G299" s="162">
        <f>IFERROR(IF(INDEX(tk_ANCHT,MATCH(294,tk_FSEQ,0))="","",INDEX(tk_ANCHT,MATCH(294,tk_FSEQ,0))&amp;" + "&amp;INDEX(tk_BASEA,MATCH(294,tk_FSEQ,0))),"")</f>
        <v/>
      </c>
      <c r="H299" s="181">
        <f>IFERROR(""&amp;INDEX(tk_FLINE,MATCH(294,tk_FSEQ,0)),"")</f>
        <v/>
      </c>
      <c r="I299" s="181">
        <f>IFERROR(""&amp;INDEX(tk_LOCTXT,MATCH(294,tk_FSEQ,0)),"")</f>
        <v/>
      </c>
      <c r="J299" s="162">
        <f>IFERROR(""&amp;INDEX(tk_FNOTES,MATCH(294,tk_FSEQ,0)),"")</f>
        <v/>
      </c>
    </row>
    <row r="300">
      <c r="A300" s="161">
        <f>IFERROR(""&amp;INDEX(tk_MARK,MATCH(295,tk_FSEQ,0)),"")</f>
        <v/>
      </c>
      <c r="B300" s="162">
        <f>IFERROR(INDEX(tk_QTY,MATCH(295,tk_FSEQ,0)),"")</f>
        <v/>
      </c>
      <c r="C300" s="162">
        <f>IFERROR(INDEX(tk_ROOMF,MATCH(295,tk_FSEQ,0))&amp;IF(INDEX(tk_ROOMT,MATCH(295,tk_FSEQ,0))="",""," → "&amp;INDEX(tk_ROOMT,MATCH(295,tk_FSEQ,0))),"")</f>
        <v/>
      </c>
      <c r="D300" s="162">
        <f>IFERROR(""&amp;INDEX(tk_SIZE,MATCH(295,tk_FSEQ,0)),"")</f>
        <v/>
      </c>
      <c r="E300" s="162">
        <f>IFERROR(""&amp;INDEX(tk_RATING,MATCH(295,tk_FSEQ,0)),"")</f>
        <v/>
      </c>
      <c r="F300" s="162">
        <f>IFERROR(TEXT(INDEX(tk_OAW,MATCH(295,tk_FSEQ,0)),"0.000")&amp;" x "&amp;TEXT(INDEX(tk_OAH,MATCH(295,tk_FSEQ,0)),"0.000"),"")</f>
        <v/>
      </c>
      <c r="G300" s="162">
        <f>IFERROR(IF(INDEX(tk_ANCHT,MATCH(295,tk_FSEQ,0))="","",INDEX(tk_ANCHT,MATCH(295,tk_FSEQ,0))&amp;" + "&amp;INDEX(tk_BASEA,MATCH(295,tk_FSEQ,0))),"")</f>
        <v/>
      </c>
      <c r="H300" s="181">
        <f>IFERROR(""&amp;INDEX(tk_FLINE,MATCH(295,tk_FSEQ,0)),"")</f>
        <v/>
      </c>
      <c r="I300" s="181">
        <f>IFERROR(""&amp;INDEX(tk_LOCTXT,MATCH(295,tk_FSEQ,0)),"")</f>
        <v/>
      </c>
      <c r="J300" s="162">
        <f>IFERROR(""&amp;INDEX(tk_FNOTES,MATCH(295,tk_FSEQ,0)),"")</f>
        <v/>
      </c>
    </row>
    <row r="301">
      <c r="A301" s="161">
        <f>IFERROR(""&amp;INDEX(tk_MARK,MATCH(296,tk_FSEQ,0)),"")</f>
        <v/>
      </c>
      <c r="B301" s="162">
        <f>IFERROR(INDEX(tk_QTY,MATCH(296,tk_FSEQ,0)),"")</f>
        <v/>
      </c>
      <c r="C301" s="162">
        <f>IFERROR(INDEX(tk_ROOMF,MATCH(296,tk_FSEQ,0))&amp;IF(INDEX(tk_ROOMT,MATCH(296,tk_FSEQ,0))="",""," → "&amp;INDEX(tk_ROOMT,MATCH(296,tk_FSEQ,0))),"")</f>
        <v/>
      </c>
      <c r="D301" s="162">
        <f>IFERROR(""&amp;INDEX(tk_SIZE,MATCH(296,tk_FSEQ,0)),"")</f>
        <v/>
      </c>
      <c r="E301" s="162">
        <f>IFERROR(""&amp;INDEX(tk_RATING,MATCH(296,tk_FSEQ,0)),"")</f>
        <v/>
      </c>
      <c r="F301" s="162">
        <f>IFERROR(TEXT(INDEX(tk_OAW,MATCH(296,tk_FSEQ,0)),"0.000")&amp;" x "&amp;TEXT(INDEX(tk_OAH,MATCH(296,tk_FSEQ,0)),"0.000"),"")</f>
        <v/>
      </c>
      <c r="G301" s="162">
        <f>IFERROR(IF(INDEX(tk_ANCHT,MATCH(296,tk_FSEQ,0))="","",INDEX(tk_ANCHT,MATCH(296,tk_FSEQ,0))&amp;" + "&amp;INDEX(tk_BASEA,MATCH(296,tk_FSEQ,0))),"")</f>
        <v/>
      </c>
      <c r="H301" s="181">
        <f>IFERROR(""&amp;INDEX(tk_FLINE,MATCH(296,tk_FSEQ,0)),"")</f>
        <v/>
      </c>
      <c r="I301" s="181">
        <f>IFERROR(""&amp;INDEX(tk_LOCTXT,MATCH(296,tk_FSEQ,0)),"")</f>
        <v/>
      </c>
      <c r="J301" s="162">
        <f>IFERROR(""&amp;INDEX(tk_FNOTES,MATCH(296,tk_FSEQ,0)),"")</f>
        <v/>
      </c>
    </row>
    <row r="302">
      <c r="A302" s="161">
        <f>IFERROR(""&amp;INDEX(tk_MARK,MATCH(297,tk_FSEQ,0)),"")</f>
        <v/>
      </c>
      <c r="B302" s="162">
        <f>IFERROR(INDEX(tk_QTY,MATCH(297,tk_FSEQ,0)),"")</f>
        <v/>
      </c>
      <c r="C302" s="162">
        <f>IFERROR(INDEX(tk_ROOMF,MATCH(297,tk_FSEQ,0))&amp;IF(INDEX(tk_ROOMT,MATCH(297,tk_FSEQ,0))="",""," → "&amp;INDEX(tk_ROOMT,MATCH(297,tk_FSEQ,0))),"")</f>
        <v/>
      </c>
      <c r="D302" s="162">
        <f>IFERROR(""&amp;INDEX(tk_SIZE,MATCH(297,tk_FSEQ,0)),"")</f>
        <v/>
      </c>
      <c r="E302" s="162">
        <f>IFERROR(""&amp;INDEX(tk_RATING,MATCH(297,tk_FSEQ,0)),"")</f>
        <v/>
      </c>
      <c r="F302" s="162">
        <f>IFERROR(TEXT(INDEX(tk_OAW,MATCH(297,tk_FSEQ,0)),"0.000")&amp;" x "&amp;TEXT(INDEX(tk_OAH,MATCH(297,tk_FSEQ,0)),"0.000"),"")</f>
        <v/>
      </c>
      <c r="G302" s="162">
        <f>IFERROR(IF(INDEX(tk_ANCHT,MATCH(297,tk_FSEQ,0))="","",INDEX(tk_ANCHT,MATCH(297,tk_FSEQ,0))&amp;" + "&amp;INDEX(tk_BASEA,MATCH(297,tk_FSEQ,0))),"")</f>
        <v/>
      </c>
      <c r="H302" s="181">
        <f>IFERROR(""&amp;INDEX(tk_FLINE,MATCH(297,tk_FSEQ,0)),"")</f>
        <v/>
      </c>
      <c r="I302" s="181">
        <f>IFERROR(""&amp;INDEX(tk_LOCTXT,MATCH(297,tk_FSEQ,0)),"")</f>
        <v/>
      </c>
      <c r="J302" s="162">
        <f>IFERROR(""&amp;INDEX(tk_FNOTES,MATCH(297,tk_FSEQ,0)),"")</f>
        <v/>
      </c>
    </row>
    <row r="303">
      <c r="A303" s="161">
        <f>IFERROR(""&amp;INDEX(tk_MARK,MATCH(298,tk_FSEQ,0)),"")</f>
        <v/>
      </c>
      <c r="B303" s="162">
        <f>IFERROR(INDEX(tk_QTY,MATCH(298,tk_FSEQ,0)),"")</f>
        <v/>
      </c>
      <c r="C303" s="162">
        <f>IFERROR(INDEX(tk_ROOMF,MATCH(298,tk_FSEQ,0))&amp;IF(INDEX(tk_ROOMT,MATCH(298,tk_FSEQ,0))="",""," → "&amp;INDEX(tk_ROOMT,MATCH(298,tk_FSEQ,0))),"")</f>
        <v/>
      </c>
      <c r="D303" s="162">
        <f>IFERROR(""&amp;INDEX(tk_SIZE,MATCH(298,tk_FSEQ,0)),"")</f>
        <v/>
      </c>
      <c r="E303" s="162">
        <f>IFERROR(""&amp;INDEX(tk_RATING,MATCH(298,tk_FSEQ,0)),"")</f>
        <v/>
      </c>
      <c r="F303" s="162">
        <f>IFERROR(TEXT(INDEX(tk_OAW,MATCH(298,tk_FSEQ,0)),"0.000")&amp;" x "&amp;TEXT(INDEX(tk_OAH,MATCH(298,tk_FSEQ,0)),"0.000"),"")</f>
        <v/>
      </c>
      <c r="G303" s="162">
        <f>IFERROR(IF(INDEX(tk_ANCHT,MATCH(298,tk_FSEQ,0))="","",INDEX(tk_ANCHT,MATCH(298,tk_FSEQ,0))&amp;" + "&amp;INDEX(tk_BASEA,MATCH(298,tk_FSEQ,0))),"")</f>
        <v/>
      </c>
      <c r="H303" s="181">
        <f>IFERROR(""&amp;INDEX(tk_FLINE,MATCH(298,tk_FSEQ,0)),"")</f>
        <v/>
      </c>
      <c r="I303" s="181">
        <f>IFERROR(""&amp;INDEX(tk_LOCTXT,MATCH(298,tk_FSEQ,0)),"")</f>
        <v/>
      </c>
      <c r="J303" s="162">
        <f>IFERROR(""&amp;INDEX(tk_FNOTES,MATCH(298,tk_FSEQ,0)),"")</f>
        <v/>
      </c>
    </row>
    <row r="304">
      <c r="A304" s="161">
        <f>IFERROR(""&amp;INDEX(tk_MARK,MATCH(299,tk_FSEQ,0)),"")</f>
        <v/>
      </c>
      <c r="B304" s="162">
        <f>IFERROR(INDEX(tk_QTY,MATCH(299,tk_FSEQ,0)),"")</f>
        <v/>
      </c>
      <c r="C304" s="162">
        <f>IFERROR(INDEX(tk_ROOMF,MATCH(299,tk_FSEQ,0))&amp;IF(INDEX(tk_ROOMT,MATCH(299,tk_FSEQ,0))="",""," → "&amp;INDEX(tk_ROOMT,MATCH(299,tk_FSEQ,0))),"")</f>
        <v/>
      </c>
      <c r="D304" s="162">
        <f>IFERROR(""&amp;INDEX(tk_SIZE,MATCH(299,tk_FSEQ,0)),"")</f>
        <v/>
      </c>
      <c r="E304" s="162">
        <f>IFERROR(""&amp;INDEX(tk_RATING,MATCH(299,tk_FSEQ,0)),"")</f>
        <v/>
      </c>
      <c r="F304" s="162">
        <f>IFERROR(TEXT(INDEX(tk_OAW,MATCH(299,tk_FSEQ,0)),"0.000")&amp;" x "&amp;TEXT(INDEX(tk_OAH,MATCH(299,tk_FSEQ,0)),"0.000"),"")</f>
        <v/>
      </c>
      <c r="G304" s="162">
        <f>IFERROR(IF(INDEX(tk_ANCHT,MATCH(299,tk_FSEQ,0))="","",INDEX(tk_ANCHT,MATCH(299,tk_FSEQ,0))&amp;" + "&amp;INDEX(tk_BASEA,MATCH(299,tk_FSEQ,0))),"")</f>
        <v/>
      </c>
      <c r="H304" s="181">
        <f>IFERROR(""&amp;INDEX(tk_FLINE,MATCH(299,tk_FSEQ,0)),"")</f>
        <v/>
      </c>
      <c r="I304" s="181">
        <f>IFERROR(""&amp;INDEX(tk_LOCTXT,MATCH(299,tk_FSEQ,0)),"")</f>
        <v/>
      </c>
      <c r="J304" s="162">
        <f>IFERROR(""&amp;INDEX(tk_FNOTES,MATCH(299,tk_FSEQ,0)),"")</f>
        <v/>
      </c>
    </row>
    <row r="305">
      <c r="A305" s="161">
        <f>IFERROR(""&amp;INDEX(tk_MARK,MATCH(300,tk_FSEQ,0)),"")</f>
        <v/>
      </c>
      <c r="B305" s="162">
        <f>IFERROR(INDEX(tk_QTY,MATCH(300,tk_FSEQ,0)),"")</f>
        <v/>
      </c>
      <c r="C305" s="162">
        <f>IFERROR(INDEX(tk_ROOMF,MATCH(300,tk_FSEQ,0))&amp;IF(INDEX(tk_ROOMT,MATCH(300,tk_FSEQ,0))="",""," → "&amp;INDEX(tk_ROOMT,MATCH(300,tk_FSEQ,0))),"")</f>
        <v/>
      </c>
      <c r="D305" s="162">
        <f>IFERROR(""&amp;INDEX(tk_SIZE,MATCH(300,tk_FSEQ,0)),"")</f>
        <v/>
      </c>
      <c r="E305" s="162">
        <f>IFERROR(""&amp;INDEX(tk_RATING,MATCH(300,tk_FSEQ,0)),"")</f>
        <v/>
      </c>
      <c r="F305" s="162">
        <f>IFERROR(TEXT(INDEX(tk_OAW,MATCH(300,tk_FSEQ,0)),"0.000")&amp;" x "&amp;TEXT(INDEX(tk_OAH,MATCH(300,tk_FSEQ,0)),"0.000"),"")</f>
        <v/>
      </c>
      <c r="G305" s="162">
        <f>IFERROR(IF(INDEX(tk_ANCHT,MATCH(300,tk_FSEQ,0))="","",INDEX(tk_ANCHT,MATCH(300,tk_FSEQ,0))&amp;" + "&amp;INDEX(tk_BASEA,MATCH(300,tk_FSEQ,0))),"")</f>
        <v/>
      </c>
      <c r="H305" s="181">
        <f>IFERROR(""&amp;INDEX(tk_FLINE,MATCH(300,tk_FSEQ,0)),"")</f>
        <v/>
      </c>
      <c r="I305" s="181">
        <f>IFERROR(""&amp;INDEX(tk_LOCTXT,MATCH(300,tk_FSEQ,0)),"")</f>
        <v/>
      </c>
      <c r="J305" s="162">
        <f>IFERROR(""&amp;INDEX(tk_FNOTES,MATCH(300,tk_FSEQ,0)),"")</f>
        <v/>
      </c>
    </row>
    <row r="306">
      <c r="A306" s="161">
        <f>IFERROR(""&amp;INDEX(tk_MARK,MATCH(301,tk_FSEQ,0)),"")</f>
        <v/>
      </c>
      <c r="B306" s="162">
        <f>IFERROR(INDEX(tk_QTY,MATCH(301,tk_FSEQ,0)),"")</f>
        <v/>
      </c>
      <c r="C306" s="162">
        <f>IFERROR(INDEX(tk_ROOMF,MATCH(301,tk_FSEQ,0))&amp;IF(INDEX(tk_ROOMT,MATCH(301,tk_FSEQ,0))="",""," → "&amp;INDEX(tk_ROOMT,MATCH(301,tk_FSEQ,0))),"")</f>
        <v/>
      </c>
      <c r="D306" s="162">
        <f>IFERROR(""&amp;INDEX(tk_SIZE,MATCH(301,tk_FSEQ,0)),"")</f>
        <v/>
      </c>
      <c r="E306" s="162">
        <f>IFERROR(""&amp;INDEX(tk_RATING,MATCH(301,tk_FSEQ,0)),"")</f>
        <v/>
      </c>
      <c r="F306" s="162">
        <f>IFERROR(TEXT(INDEX(tk_OAW,MATCH(301,tk_FSEQ,0)),"0.000")&amp;" x "&amp;TEXT(INDEX(tk_OAH,MATCH(301,tk_FSEQ,0)),"0.000"),"")</f>
        <v/>
      </c>
      <c r="G306" s="162">
        <f>IFERROR(IF(INDEX(tk_ANCHT,MATCH(301,tk_FSEQ,0))="","",INDEX(tk_ANCHT,MATCH(301,tk_FSEQ,0))&amp;" + "&amp;INDEX(tk_BASEA,MATCH(301,tk_FSEQ,0))),"")</f>
        <v/>
      </c>
      <c r="H306" s="181">
        <f>IFERROR(""&amp;INDEX(tk_FLINE,MATCH(301,tk_FSEQ,0)),"")</f>
        <v/>
      </c>
      <c r="I306" s="181">
        <f>IFERROR(""&amp;INDEX(tk_LOCTXT,MATCH(301,tk_FSEQ,0)),"")</f>
        <v/>
      </c>
      <c r="J306" s="162">
        <f>IFERROR(""&amp;INDEX(tk_FNOTES,MATCH(301,tk_FSEQ,0)),"")</f>
        <v/>
      </c>
    </row>
    <row r="307">
      <c r="A307" s="161">
        <f>IFERROR(""&amp;INDEX(tk_MARK,MATCH(302,tk_FSEQ,0)),"")</f>
        <v/>
      </c>
      <c r="B307" s="162">
        <f>IFERROR(INDEX(tk_QTY,MATCH(302,tk_FSEQ,0)),"")</f>
        <v/>
      </c>
      <c r="C307" s="162">
        <f>IFERROR(INDEX(tk_ROOMF,MATCH(302,tk_FSEQ,0))&amp;IF(INDEX(tk_ROOMT,MATCH(302,tk_FSEQ,0))="",""," → "&amp;INDEX(tk_ROOMT,MATCH(302,tk_FSEQ,0))),"")</f>
        <v/>
      </c>
      <c r="D307" s="162">
        <f>IFERROR(""&amp;INDEX(tk_SIZE,MATCH(302,tk_FSEQ,0)),"")</f>
        <v/>
      </c>
      <c r="E307" s="162">
        <f>IFERROR(""&amp;INDEX(tk_RATING,MATCH(302,tk_FSEQ,0)),"")</f>
        <v/>
      </c>
      <c r="F307" s="162">
        <f>IFERROR(TEXT(INDEX(tk_OAW,MATCH(302,tk_FSEQ,0)),"0.000")&amp;" x "&amp;TEXT(INDEX(tk_OAH,MATCH(302,tk_FSEQ,0)),"0.000"),"")</f>
        <v/>
      </c>
      <c r="G307" s="162">
        <f>IFERROR(IF(INDEX(tk_ANCHT,MATCH(302,tk_FSEQ,0))="","",INDEX(tk_ANCHT,MATCH(302,tk_FSEQ,0))&amp;" + "&amp;INDEX(tk_BASEA,MATCH(302,tk_FSEQ,0))),"")</f>
        <v/>
      </c>
      <c r="H307" s="181">
        <f>IFERROR(""&amp;INDEX(tk_FLINE,MATCH(302,tk_FSEQ,0)),"")</f>
        <v/>
      </c>
      <c r="I307" s="181">
        <f>IFERROR(""&amp;INDEX(tk_LOCTXT,MATCH(302,tk_FSEQ,0)),"")</f>
        <v/>
      </c>
      <c r="J307" s="162">
        <f>IFERROR(""&amp;INDEX(tk_FNOTES,MATCH(302,tk_FSEQ,0)),"")</f>
        <v/>
      </c>
    </row>
    <row r="308">
      <c r="A308" s="161">
        <f>IFERROR(""&amp;INDEX(tk_MARK,MATCH(303,tk_FSEQ,0)),"")</f>
        <v/>
      </c>
      <c r="B308" s="162">
        <f>IFERROR(INDEX(tk_QTY,MATCH(303,tk_FSEQ,0)),"")</f>
        <v/>
      </c>
      <c r="C308" s="162">
        <f>IFERROR(INDEX(tk_ROOMF,MATCH(303,tk_FSEQ,0))&amp;IF(INDEX(tk_ROOMT,MATCH(303,tk_FSEQ,0))="",""," → "&amp;INDEX(tk_ROOMT,MATCH(303,tk_FSEQ,0))),"")</f>
        <v/>
      </c>
      <c r="D308" s="162">
        <f>IFERROR(""&amp;INDEX(tk_SIZE,MATCH(303,tk_FSEQ,0)),"")</f>
        <v/>
      </c>
      <c r="E308" s="162">
        <f>IFERROR(""&amp;INDEX(tk_RATING,MATCH(303,tk_FSEQ,0)),"")</f>
        <v/>
      </c>
      <c r="F308" s="162">
        <f>IFERROR(TEXT(INDEX(tk_OAW,MATCH(303,tk_FSEQ,0)),"0.000")&amp;" x "&amp;TEXT(INDEX(tk_OAH,MATCH(303,tk_FSEQ,0)),"0.000"),"")</f>
        <v/>
      </c>
      <c r="G308" s="162">
        <f>IFERROR(IF(INDEX(tk_ANCHT,MATCH(303,tk_FSEQ,0))="","",INDEX(tk_ANCHT,MATCH(303,tk_FSEQ,0))&amp;" + "&amp;INDEX(tk_BASEA,MATCH(303,tk_FSEQ,0))),"")</f>
        <v/>
      </c>
      <c r="H308" s="181">
        <f>IFERROR(""&amp;INDEX(tk_FLINE,MATCH(303,tk_FSEQ,0)),"")</f>
        <v/>
      </c>
      <c r="I308" s="181">
        <f>IFERROR(""&amp;INDEX(tk_LOCTXT,MATCH(303,tk_FSEQ,0)),"")</f>
        <v/>
      </c>
      <c r="J308" s="162">
        <f>IFERROR(""&amp;INDEX(tk_FNOTES,MATCH(303,tk_FSEQ,0)),"")</f>
        <v/>
      </c>
    </row>
    <row r="309">
      <c r="A309" s="161">
        <f>IFERROR(""&amp;INDEX(tk_MARK,MATCH(304,tk_FSEQ,0)),"")</f>
        <v/>
      </c>
      <c r="B309" s="162">
        <f>IFERROR(INDEX(tk_QTY,MATCH(304,tk_FSEQ,0)),"")</f>
        <v/>
      </c>
      <c r="C309" s="162">
        <f>IFERROR(INDEX(tk_ROOMF,MATCH(304,tk_FSEQ,0))&amp;IF(INDEX(tk_ROOMT,MATCH(304,tk_FSEQ,0))="",""," → "&amp;INDEX(tk_ROOMT,MATCH(304,tk_FSEQ,0))),"")</f>
        <v/>
      </c>
      <c r="D309" s="162">
        <f>IFERROR(""&amp;INDEX(tk_SIZE,MATCH(304,tk_FSEQ,0)),"")</f>
        <v/>
      </c>
      <c r="E309" s="162">
        <f>IFERROR(""&amp;INDEX(tk_RATING,MATCH(304,tk_FSEQ,0)),"")</f>
        <v/>
      </c>
      <c r="F309" s="162">
        <f>IFERROR(TEXT(INDEX(tk_OAW,MATCH(304,tk_FSEQ,0)),"0.000")&amp;" x "&amp;TEXT(INDEX(tk_OAH,MATCH(304,tk_FSEQ,0)),"0.000"),"")</f>
        <v/>
      </c>
      <c r="G309" s="162">
        <f>IFERROR(IF(INDEX(tk_ANCHT,MATCH(304,tk_FSEQ,0))="","",INDEX(tk_ANCHT,MATCH(304,tk_FSEQ,0))&amp;" + "&amp;INDEX(tk_BASEA,MATCH(304,tk_FSEQ,0))),"")</f>
        <v/>
      </c>
      <c r="H309" s="181">
        <f>IFERROR(""&amp;INDEX(tk_FLINE,MATCH(304,tk_FSEQ,0)),"")</f>
        <v/>
      </c>
      <c r="I309" s="181">
        <f>IFERROR(""&amp;INDEX(tk_LOCTXT,MATCH(304,tk_FSEQ,0)),"")</f>
        <v/>
      </c>
      <c r="J309" s="162">
        <f>IFERROR(""&amp;INDEX(tk_FNOTES,MATCH(304,tk_FSEQ,0)),"")</f>
        <v/>
      </c>
    </row>
    <row r="310">
      <c r="A310" s="161">
        <f>IFERROR(""&amp;INDEX(tk_MARK,MATCH(305,tk_FSEQ,0)),"")</f>
        <v/>
      </c>
      <c r="B310" s="162">
        <f>IFERROR(INDEX(tk_QTY,MATCH(305,tk_FSEQ,0)),"")</f>
        <v/>
      </c>
      <c r="C310" s="162">
        <f>IFERROR(INDEX(tk_ROOMF,MATCH(305,tk_FSEQ,0))&amp;IF(INDEX(tk_ROOMT,MATCH(305,tk_FSEQ,0))="",""," → "&amp;INDEX(tk_ROOMT,MATCH(305,tk_FSEQ,0))),"")</f>
        <v/>
      </c>
      <c r="D310" s="162">
        <f>IFERROR(""&amp;INDEX(tk_SIZE,MATCH(305,tk_FSEQ,0)),"")</f>
        <v/>
      </c>
      <c r="E310" s="162">
        <f>IFERROR(""&amp;INDEX(tk_RATING,MATCH(305,tk_FSEQ,0)),"")</f>
        <v/>
      </c>
      <c r="F310" s="162">
        <f>IFERROR(TEXT(INDEX(tk_OAW,MATCH(305,tk_FSEQ,0)),"0.000")&amp;" x "&amp;TEXT(INDEX(tk_OAH,MATCH(305,tk_FSEQ,0)),"0.000"),"")</f>
        <v/>
      </c>
      <c r="G310" s="162">
        <f>IFERROR(IF(INDEX(tk_ANCHT,MATCH(305,tk_FSEQ,0))="","",INDEX(tk_ANCHT,MATCH(305,tk_FSEQ,0))&amp;" + "&amp;INDEX(tk_BASEA,MATCH(305,tk_FSEQ,0))),"")</f>
        <v/>
      </c>
      <c r="H310" s="181">
        <f>IFERROR(""&amp;INDEX(tk_FLINE,MATCH(305,tk_FSEQ,0)),"")</f>
        <v/>
      </c>
      <c r="I310" s="181">
        <f>IFERROR(""&amp;INDEX(tk_LOCTXT,MATCH(305,tk_FSEQ,0)),"")</f>
        <v/>
      </c>
      <c r="J310" s="162">
        <f>IFERROR(""&amp;INDEX(tk_FNOTES,MATCH(305,tk_FSEQ,0)),"")</f>
        <v/>
      </c>
    </row>
    <row r="311">
      <c r="A311" s="161">
        <f>IFERROR(""&amp;INDEX(tk_MARK,MATCH(306,tk_FSEQ,0)),"")</f>
        <v/>
      </c>
      <c r="B311" s="162">
        <f>IFERROR(INDEX(tk_QTY,MATCH(306,tk_FSEQ,0)),"")</f>
        <v/>
      </c>
      <c r="C311" s="162">
        <f>IFERROR(INDEX(tk_ROOMF,MATCH(306,tk_FSEQ,0))&amp;IF(INDEX(tk_ROOMT,MATCH(306,tk_FSEQ,0))="",""," → "&amp;INDEX(tk_ROOMT,MATCH(306,tk_FSEQ,0))),"")</f>
        <v/>
      </c>
      <c r="D311" s="162">
        <f>IFERROR(""&amp;INDEX(tk_SIZE,MATCH(306,tk_FSEQ,0)),"")</f>
        <v/>
      </c>
      <c r="E311" s="162">
        <f>IFERROR(""&amp;INDEX(tk_RATING,MATCH(306,tk_FSEQ,0)),"")</f>
        <v/>
      </c>
      <c r="F311" s="162">
        <f>IFERROR(TEXT(INDEX(tk_OAW,MATCH(306,tk_FSEQ,0)),"0.000")&amp;" x "&amp;TEXT(INDEX(tk_OAH,MATCH(306,tk_FSEQ,0)),"0.000"),"")</f>
        <v/>
      </c>
      <c r="G311" s="162">
        <f>IFERROR(IF(INDEX(tk_ANCHT,MATCH(306,tk_FSEQ,0))="","",INDEX(tk_ANCHT,MATCH(306,tk_FSEQ,0))&amp;" + "&amp;INDEX(tk_BASEA,MATCH(306,tk_FSEQ,0))),"")</f>
        <v/>
      </c>
      <c r="H311" s="181">
        <f>IFERROR(""&amp;INDEX(tk_FLINE,MATCH(306,tk_FSEQ,0)),"")</f>
        <v/>
      </c>
      <c r="I311" s="181">
        <f>IFERROR(""&amp;INDEX(tk_LOCTXT,MATCH(306,tk_FSEQ,0)),"")</f>
        <v/>
      </c>
      <c r="J311" s="162">
        <f>IFERROR(""&amp;INDEX(tk_FNOTES,MATCH(306,tk_FSEQ,0)),"")</f>
        <v/>
      </c>
    </row>
    <row r="312">
      <c r="A312" s="161">
        <f>IFERROR(""&amp;INDEX(tk_MARK,MATCH(307,tk_FSEQ,0)),"")</f>
        <v/>
      </c>
      <c r="B312" s="162">
        <f>IFERROR(INDEX(tk_QTY,MATCH(307,tk_FSEQ,0)),"")</f>
        <v/>
      </c>
      <c r="C312" s="162">
        <f>IFERROR(INDEX(tk_ROOMF,MATCH(307,tk_FSEQ,0))&amp;IF(INDEX(tk_ROOMT,MATCH(307,tk_FSEQ,0))="",""," → "&amp;INDEX(tk_ROOMT,MATCH(307,tk_FSEQ,0))),"")</f>
        <v/>
      </c>
      <c r="D312" s="162">
        <f>IFERROR(""&amp;INDEX(tk_SIZE,MATCH(307,tk_FSEQ,0)),"")</f>
        <v/>
      </c>
      <c r="E312" s="162">
        <f>IFERROR(""&amp;INDEX(tk_RATING,MATCH(307,tk_FSEQ,0)),"")</f>
        <v/>
      </c>
      <c r="F312" s="162">
        <f>IFERROR(TEXT(INDEX(tk_OAW,MATCH(307,tk_FSEQ,0)),"0.000")&amp;" x "&amp;TEXT(INDEX(tk_OAH,MATCH(307,tk_FSEQ,0)),"0.000"),"")</f>
        <v/>
      </c>
      <c r="G312" s="162">
        <f>IFERROR(IF(INDEX(tk_ANCHT,MATCH(307,tk_FSEQ,0))="","",INDEX(tk_ANCHT,MATCH(307,tk_FSEQ,0))&amp;" + "&amp;INDEX(tk_BASEA,MATCH(307,tk_FSEQ,0))),"")</f>
        <v/>
      </c>
      <c r="H312" s="181">
        <f>IFERROR(""&amp;INDEX(tk_FLINE,MATCH(307,tk_FSEQ,0)),"")</f>
        <v/>
      </c>
      <c r="I312" s="181">
        <f>IFERROR(""&amp;INDEX(tk_LOCTXT,MATCH(307,tk_FSEQ,0)),"")</f>
        <v/>
      </c>
      <c r="J312" s="162">
        <f>IFERROR(""&amp;INDEX(tk_FNOTES,MATCH(307,tk_FSEQ,0)),"")</f>
        <v/>
      </c>
    </row>
    <row r="313">
      <c r="A313" s="161">
        <f>IFERROR(""&amp;INDEX(tk_MARK,MATCH(308,tk_FSEQ,0)),"")</f>
        <v/>
      </c>
      <c r="B313" s="162">
        <f>IFERROR(INDEX(tk_QTY,MATCH(308,tk_FSEQ,0)),"")</f>
        <v/>
      </c>
      <c r="C313" s="162">
        <f>IFERROR(INDEX(tk_ROOMF,MATCH(308,tk_FSEQ,0))&amp;IF(INDEX(tk_ROOMT,MATCH(308,tk_FSEQ,0))="",""," → "&amp;INDEX(tk_ROOMT,MATCH(308,tk_FSEQ,0))),"")</f>
        <v/>
      </c>
      <c r="D313" s="162">
        <f>IFERROR(""&amp;INDEX(tk_SIZE,MATCH(308,tk_FSEQ,0)),"")</f>
        <v/>
      </c>
      <c r="E313" s="162">
        <f>IFERROR(""&amp;INDEX(tk_RATING,MATCH(308,tk_FSEQ,0)),"")</f>
        <v/>
      </c>
      <c r="F313" s="162">
        <f>IFERROR(TEXT(INDEX(tk_OAW,MATCH(308,tk_FSEQ,0)),"0.000")&amp;" x "&amp;TEXT(INDEX(tk_OAH,MATCH(308,tk_FSEQ,0)),"0.000"),"")</f>
        <v/>
      </c>
      <c r="G313" s="162">
        <f>IFERROR(IF(INDEX(tk_ANCHT,MATCH(308,tk_FSEQ,0))="","",INDEX(tk_ANCHT,MATCH(308,tk_FSEQ,0))&amp;" + "&amp;INDEX(tk_BASEA,MATCH(308,tk_FSEQ,0))),"")</f>
        <v/>
      </c>
      <c r="H313" s="181">
        <f>IFERROR(""&amp;INDEX(tk_FLINE,MATCH(308,tk_FSEQ,0)),"")</f>
        <v/>
      </c>
      <c r="I313" s="181">
        <f>IFERROR(""&amp;INDEX(tk_LOCTXT,MATCH(308,tk_FSEQ,0)),"")</f>
        <v/>
      </c>
      <c r="J313" s="162">
        <f>IFERROR(""&amp;INDEX(tk_FNOTES,MATCH(308,tk_FSEQ,0)),"")</f>
        <v/>
      </c>
    </row>
    <row r="314">
      <c r="A314" s="161">
        <f>IFERROR(""&amp;INDEX(tk_MARK,MATCH(309,tk_FSEQ,0)),"")</f>
        <v/>
      </c>
      <c r="B314" s="162">
        <f>IFERROR(INDEX(tk_QTY,MATCH(309,tk_FSEQ,0)),"")</f>
        <v/>
      </c>
      <c r="C314" s="162">
        <f>IFERROR(INDEX(tk_ROOMF,MATCH(309,tk_FSEQ,0))&amp;IF(INDEX(tk_ROOMT,MATCH(309,tk_FSEQ,0))="",""," → "&amp;INDEX(tk_ROOMT,MATCH(309,tk_FSEQ,0))),"")</f>
        <v/>
      </c>
      <c r="D314" s="162">
        <f>IFERROR(""&amp;INDEX(tk_SIZE,MATCH(309,tk_FSEQ,0)),"")</f>
        <v/>
      </c>
      <c r="E314" s="162">
        <f>IFERROR(""&amp;INDEX(tk_RATING,MATCH(309,tk_FSEQ,0)),"")</f>
        <v/>
      </c>
      <c r="F314" s="162">
        <f>IFERROR(TEXT(INDEX(tk_OAW,MATCH(309,tk_FSEQ,0)),"0.000")&amp;" x "&amp;TEXT(INDEX(tk_OAH,MATCH(309,tk_FSEQ,0)),"0.000"),"")</f>
        <v/>
      </c>
      <c r="G314" s="162">
        <f>IFERROR(IF(INDEX(tk_ANCHT,MATCH(309,tk_FSEQ,0))="","",INDEX(tk_ANCHT,MATCH(309,tk_FSEQ,0))&amp;" + "&amp;INDEX(tk_BASEA,MATCH(309,tk_FSEQ,0))),"")</f>
        <v/>
      </c>
      <c r="H314" s="181">
        <f>IFERROR(""&amp;INDEX(tk_FLINE,MATCH(309,tk_FSEQ,0)),"")</f>
        <v/>
      </c>
      <c r="I314" s="181">
        <f>IFERROR(""&amp;INDEX(tk_LOCTXT,MATCH(309,tk_FSEQ,0)),"")</f>
        <v/>
      </c>
      <c r="J314" s="162">
        <f>IFERROR(""&amp;INDEX(tk_FNOTES,MATCH(309,tk_FSEQ,0)),"")</f>
        <v/>
      </c>
    </row>
    <row r="315">
      <c r="A315" s="161">
        <f>IFERROR(""&amp;INDEX(tk_MARK,MATCH(310,tk_FSEQ,0)),"")</f>
        <v/>
      </c>
      <c r="B315" s="162">
        <f>IFERROR(INDEX(tk_QTY,MATCH(310,tk_FSEQ,0)),"")</f>
        <v/>
      </c>
      <c r="C315" s="162">
        <f>IFERROR(INDEX(tk_ROOMF,MATCH(310,tk_FSEQ,0))&amp;IF(INDEX(tk_ROOMT,MATCH(310,tk_FSEQ,0))="",""," → "&amp;INDEX(tk_ROOMT,MATCH(310,tk_FSEQ,0))),"")</f>
        <v/>
      </c>
      <c r="D315" s="162">
        <f>IFERROR(""&amp;INDEX(tk_SIZE,MATCH(310,tk_FSEQ,0)),"")</f>
        <v/>
      </c>
      <c r="E315" s="162">
        <f>IFERROR(""&amp;INDEX(tk_RATING,MATCH(310,tk_FSEQ,0)),"")</f>
        <v/>
      </c>
      <c r="F315" s="162">
        <f>IFERROR(TEXT(INDEX(tk_OAW,MATCH(310,tk_FSEQ,0)),"0.000")&amp;" x "&amp;TEXT(INDEX(tk_OAH,MATCH(310,tk_FSEQ,0)),"0.000"),"")</f>
        <v/>
      </c>
      <c r="G315" s="162">
        <f>IFERROR(IF(INDEX(tk_ANCHT,MATCH(310,tk_FSEQ,0))="","",INDEX(tk_ANCHT,MATCH(310,tk_FSEQ,0))&amp;" + "&amp;INDEX(tk_BASEA,MATCH(310,tk_FSEQ,0))),"")</f>
        <v/>
      </c>
      <c r="H315" s="181">
        <f>IFERROR(""&amp;INDEX(tk_FLINE,MATCH(310,tk_FSEQ,0)),"")</f>
        <v/>
      </c>
      <c r="I315" s="181">
        <f>IFERROR(""&amp;INDEX(tk_LOCTXT,MATCH(310,tk_FSEQ,0)),"")</f>
        <v/>
      </c>
      <c r="J315" s="162">
        <f>IFERROR(""&amp;INDEX(tk_FNOTES,MATCH(310,tk_FSEQ,0)),"")</f>
        <v/>
      </c>
    </row>
    <row r="316">
      <c r="A316" s="161">
        <f>IFERROR(""&amp;INDEX(tk_MARK,MATCH(311,tk_FSEQ,0)),"")</f>
        <v/>
      </c>
      <c r="B316" s="162">
        <f>IFERROR(INDEX(tk_QTY,MATCH(311,tk_FSEQ,0)),"")</f>
        <v/>
      </c>
      <c r="C316" s="162">
        <f>IFERROR(INDEX(tk_ROOMF,MATCH(311,tk_FSEQ,0))&amp;IF(INDEX(tk_ROOMT,MATCH(311,tk_FSEQ,0))="",""," → "&amp;INDEX(tk_ROOMT,MATCH(311,tk_FSEQ,0))),"")</f>
        <v/>
      </c>
      <c r="D316" s="162">
        <f>IFERROR(""&amp;INDEX(tk_SIZE,MATCH(311,tk_FSEQ,0)),"")</f>
        <v/>
      </c>
      <c r="E316" s="162">
        <f>IFERROR(""&amp;INDEX(tk_RATING,MATCH(311,tk_FSEQ,0)),"")</f>
        <v/>
      </c>
      <c r="F316" s="162">
        <f>IFERROR(TEXT(INDEX(tk_OAW,MATCH(311,tk_FSEQ,0)),"0.000")&amp;" x "&amp;TEXT(INDEX(tk_OAH,MATCH(311,tk_FSEQ,0)),"0.000"),"")</f>
        <v/>
      </c>
      <c r="G316" s="162">
        <f>IFERROR(IF(INDEX(tk_ANCHT,MATCH(311,tk_FSEQ,0))="","",INDEX(tk_ANCHT,MATCH(311,tk_FSEQ,0))&amp;" + "&amp;INDEX(tk_BASEA,MATCH(311,tk_FSEQ,0))),"")</f>
        <v/>
      </c>
      <c r="H316" s="181">
        <f>IFERROR(""&amp;INDEX(tk_FLINE,MATCH(311,tk_FSEQ,0)),"")</f>
        <v/>
      </c>
      <c r="I316" s="181">
        <f>IFERROR(""&amp;INDEX(tk_LOCTXT,MATCH(311,tk_FSEQ,0)),"")</f>
        <v/>
      </c>
      <c r="J316" s="162">
        <f>IFERROR(""&amp;INDEX(tk_FNOTES,MATCH(311,tk_FSEQ,0)),"")</f>
        <v/>
      </c>
    </row>
    <row r="317">
      <c r="A317" s="161">
        <f>IFERROR(""&amp;INDEX(tk_MARK,MATCH(312,tk_FSEQ,0)),"")</f>
        <v/>
      </c>
      <c r="B317" s="162">
        <f>IFERROR(INDEX(tk_QTY,MATCH(312,tk_FSEQ,0)),"")</f>
        <v/>
      </c>
      <c r="C317" s="162">
        <f>IFERROR(INDEX(tk_ROOMF,MATCH(312,tk_FSEQ,0))&amp;IF(INDEX(tk_ROOMT,MATCH(312,tk_FSEQ,0))="",""," → "&amp;INDEX(tk_ROOMT,MATCH(312,tk_FSEQ,0))),"")</f>
        <v/>
      </c>
      <c r="D317" s="162">
        <f>IFERROR(""&amp;INDEX(tk_SIZE,MATCH(312,tk_FSEQ,0)),"")</f>
        <v/>
      </c>
      <c r="E317" s="162">
        <f>IFERROR(""&amp;INDEX(tk_RATING,MATCH(312,tk_FSEQ,0)),"")</f>
        <v/>
      </c>
      <c r="F317" s="162">
        <f>IFERROR(TEXT(INDEX(tk_OAW,MATCH(312,tk_FSEQ,0)),"0.000")&amp;" x "&amp;TEXT(INDEX(tk_OAH,MATCH(312,tk_FSEQ,0)),"0.000"),"")</f>
        <v/>
      </c>
      <c r="G317" s="162">
        <f>IFERROR(IF(INDEX(tk_ANCHT,MATCH(312,tk_FSEQ,0))="","",INDEX(tk_ANCHT,MATCH(312,tk_FSEQ,0))&amp;" + "&amp;INDEX(tk_BASEA,MATCH(312,tk_FSEQ,0))),"")</f>
        <v/>
      </c>
      <c r="H317" s="181">
        <f>IFERROR(""&amp;INDEX(tk_FLINE,MATCH(312,tk_FSEQ,0)),"")</f>
        <v/>
      </c>
      <c r="I317" s="181">
        <f>IFERROR(""&amp;INDEX(tk_LOCTXT,MATCH(312,tk_FSEQ,0)),"")</f>
        <v/>
      </c>
      <c r="J317" s="162">
        <f>IFERROR(""&amp;INDEX(tk_FNOTES,MATCH(312,tk_FSEQ,0)),"")</f>
        <v/>
      </c>
    </row>
    <row r="318">
      <c r="A318" s="161">
        <f>IFERROR(""&amp;INDEX(tk_MARK,MATCH(313,tk_FSEQ,0)),"")</f>
        <v/>
      </c>
      <c r="B318" s="162">
        <f>IFERROR(INDEX(tk_QTY,MATCH(313,tk_FSEQ,0)),"")</f>
        <v/>
      </c>
      <c r="C318" s="162">
        <f>IFERROR(INDEX(tk_ROOMF,MATCH(313,tk_FSEQ,0))&amp;IF(INDEX(tk_ROOMT,MATCH(313,tk_FSEQ,0))="",""," → "&amp;INDEX(tk_ROOMT,MATCH(313,tk_FSEQ,0))),"")</f>
        <v/>
      </c>
      <c r="D318" s="162">
        <f>IFERROR(""&amp;INDEX(tk_SIZE,MATCH(313,tk_FSEQ,0)),"")</f>
        <v/>
      </c>
      <c r="E318" s="162">
        <f>IFERROR(""&amp;INDEX(tk_RATING,MATCH(313,tk_FSEQ,0)),"")</f>
        <v/>
      </c>
      <c r="F318" s="162">
        <f>IFERROR(TEXT(INDEX(tk_OAW,MATCH(313,tk_FSEQ,0)),"0.000")&amp;" x "&amp;TEXT(INDEX(tk_OAH,MATCH(313,tk_FSEQ,0)),"0.000"),"")</f>
        <v/>
      </c>
      <c r="G318" s="162">
        <f>IFERROR(IF(INDEX(tk_ANCHT,MATCH(313,tk_FSEQ,0))="","",INDEX(tk_ANCHT,MATCH(313,tk_FSEQ,0))&amp;" + "&amp;INDEX(tk_BASEA,MATCH(313,tk_FSEQ,0))),"")</f>
        <v/>
      </c>
      <c r="H318" s="181">
        <f>IFERROR(""&amp;INDEX(tk_FLINE,MATCH(313,tk_FSEQ,0)),"")</f>
        <v/>
      </c>
      <c r="I318" s="181">
        <f>IFERROR(""&amp;INDEX(tk_LOCTXT,MATCH(313,tk_FSEQ,0)),"")</f>
        <v/>
      </c>
      <c r="J318" s="162">
        <f>IFERROR(""&amp;INDEX(tk_FNOTES,MATCH(313,tk_FSEQ,0)),"")</f>
        <v/>
      </c>
    </row>
    <row r="319">
      <c r="A319" s="161">
        <f>IFERROR(""&amp;INDEX(tk_MARK,MATCH(314,tk_FSEQ,0)),"")</f>
        <v/>
      </c>
      <c r="B319" s="162">
        <f>IFERROR(INDEX(tk_QTY,MATCH(314,tk_FSEQ,0)),"")</f>
        <v/>
      </c>
      <c r="C319" s="162">
        <f>IFERROR(INDEX(tk_ROOMF,MATCH(314,tk_FSEQ,0))&amp;IF(INDEX(tk_ROOMT,MATCH(314,tk_FSEQ,0))="",""," → "&amp;INDEX(tk_ROOMT,MATCH(314,tk_FSEQ,0))),"")</f>
        <v/>
      </c>
      <c r="D319" s="162">
        <f>IFERROR(""&amp;INDEX(tk_SIZE,MATCH(314,tk_FSEQ,0)),"")</f>
        <v/>
      </c>
      <c r="E319" s="162">
        <f>IFERROR(""&amp;INDEX(tk_RATING,MATCH(314,tk_FSEQ,0)),"")</f>
        <v/>
      </c>
      <c r="F319" s="162">
        <f>IFERROR(TEXT(INDEX(tk_OAW,MATCH(314,tk_FSEQ,0)),"0.000")&amp;" x "&amp;TEXT(INDEX(tk_OAH,MATCH(314,tk_FSEQ,0)),"0.000"),"")</f>
        <v/>
      </c>
      <c r="G319" s="162">
        <f>IFERROR(IF(INDEX(tk_ANCHT,MATCH(314,tk_FSEQ,0))="","",INDEX(tk_ANCHT,MATCH(314,tk_FSEQ,0))&amp;" + "&amp;INDEX(tk_BASEA,MATCH(314,tk_FSEQ,0))),"")</f>
        <v/>
      </c>
      <c r="H319" s="181">
        <f>IFERROR(""&amp;INDEX(tk_FLINE,MATCH(314,tk_FSEQ,0)),"")</f>
        <v/>
      </c>
      <c r="I319" s="181">
        <f>IFERROR(""&amp;INDEX(tk_LOCTXT,MATCH(314,tk_FSEQ,0)),"")</f>
        <v/>
      </c>
      <c r="J319" s="162">
        <f>IFERROR(""&amp;INDEX(tk_FNOTES,MATCH(314,tk_FSEQ,0)),"")</f>
        <v/>
      </c>
    </row>
    <row r="320">
      <c r="A320" s="161">
        <f>IFERROR(""&amp;INDEX(tk_MARK,MATCH(315,tk_FSEQ,0)),"")</f>
        <v/>
      </c>
      <c r="B320" s="162">
        <f>IFERROR(INDEX(tk_QTY,MATCH(315,tk_FSEQ,0)),"")</f>
        <v/>
      </c>
      <c r="C320" s="162">
        <f>IFERROR(INDEX(tk_ROOMF,MATCH(315,tk_FSEQ,0))&amp;IF(INDEX(tk_ROOMT,MATCH(315,tk_FSEQ,0))="",""," → "&amp;INDEX(tk_ROOMT,MATCH(315,tk_FSEQ,0))),"")</f>
        <v/>
      </c>
      <c r="D320" s="162">
        <f>IFERROR(""&amp;INDEX(tk_SIZE,MATCH(315,tk_FSEQ,0)),"")</f>
        <v/>
      </c>
      <c r="E320" s="162">
        <f>IFERROR(""&amp;INDEX(tk_RATING,MATCH(315,tk_FSEQ,0)),"")</f>
        <v/>
      </c>
      <c r="F320" s="162">
        <f>IFERROR(TEXT(INDEX(tk_OAW,MATCH(315,tk_FSEQ,0)),"0.000")&amp;" x "&amp;TEXT(INDEX(tk_OAH,MATCH(315,tk_FSEQ,0)),"0.000"),"")</f>
        <v/>
      </c>
      <c r="G320" s="162">
        <f>IFERROR(IF(INDEX(tk_ANCHT,MATCH(315,tk_FSEQ,0))="","",INDEX(tk_ANCHT,MATCH(315,tk_FSEQ,0))&amp;" + "&amp;INDEX(tk_BASEA,MATCH(315,tk_FSEQ,0))),"")</f>
        <v/>
      </c>
      <c r="H320" s="181">
        <f>IFERROR(""&amp;INDEX(tk_FLINE,MATCH(315,tk_FSEQ,0)),"")</f>
        <v/>
      </c>
      <c r="I320" s="181">
        <f>IFERROR(""&amp;INDEX(tk_LOCTXT,MATCH(315,tk_FSEQ,0)),"")</f>
        <v/>
      </c>
      <c r="J320" s="162">
        <f>IFERROR(""&amp;INDEX(tk_FNOTES,MATCH(315,tk_FSEQ,0)),"")</f>
        <v/>
      </c>
    </row>
    <row r="321">
      <c r="A321" s="161">
        <f>IFERROR(""&amp;INDEX(tk_MARK,MATCH(316,tk_FSEQ,0)),"")</f>
        <v/>
      </c>
      <c r="B321" s="162">
        <f>IFERROR(INDEX(tk_QTY,MATCH(316,tk_FSEQ,0)),"")</f>
        <v/>
      </c>
      <c r="C321" s="162">
        <f>IFERROR(INDEX(tk_ROOMF,MATCH(316,tk_FSEQ,0))&amp;IF(INDEX(tk_ROOMT,MATCH(316,tk_FSEQ,0))="",""," → "&amp;INDEX(tk_ROOMT,MATCH(316,tk_FSEQ,0))),"")</f>
        <v/>
      </c>
      <c r="D321" s="162">
        <f>IFERROR(""&amp;INDEX(tk_SIZE,MATCH(316,tk_FSEQ,0)),"")</f>
        <v/>
      </c>
      <c r="E321" s="162">
        <f>IFERROR(""&amp;INDEX(tk_RATING,MATCH(316,tk_FSEQ,0)),"")</f>
        <v/>
      </c>
      <c r="F321" s="162">
        <f>IFERROR(TEXT(INDEX(tk_OAW,MATCH(316,tk_FSEQ,0)),"0.000")&amp;" x "&amp;TEXT(INDEX(tk_OAH,MATCH(316,tk_FSEQ,0)),"0.000"),"")</f>
        <v/>
      </c>
      <c r="G321" s="162">
        <f>IFERROR(IF(INDEX(tk_ANCHT,MATCH(316,tk_FSEQ,0))="","",INDEX(tk_ANCHT,MATCH(316,tk_FSEQ,0))&amp;" + "&amp;INDEX(tk_BASEA,MATCH(316,tk_FSEQ,0))),"")</f>
        <v/>
      </c>
      <c r="H321" s="181">
        <f>IFERROR(""&amp;INDEX(tk_FLINE,MATCH(316,tk_FSEQ,0)),"")</f>
        <v/>
      </c>
      <c r="I321" s="181">
        <f>IFERROR(""&amp;INDEX(tk_LOCTXT,MATCH(316,tk_FSEQ,0)),"")</f>
        <v/>
      </c>
      <c r="J321" s="162">
        <f>IFERROR(""&amp;INDEX(tk_FNOTES,MATCH(316,tk_FSEQ,0)),"")</f>
        <v/>
      </c>
    </row>
    <row r="322">
      <c r="A322" s="161">
        <f>IFERROR(""&amp;INDEX(tk_MARK,MATCH(317,tk_FSEQ,0)),"")</f>
        <v/>
      </c>
      <c r="B322" s="162">
        <f>IFERROR(INDEX(tk_QTY,MATCH(317,tk_FSEQ,0)),"")</f>
        <v/>
      </c>
      <c r="C322" s="162">
        <f>IFERROR(INDEX(tk_ROOMF,MATCH(317,tk_FSEQ,0))&amp;IF(INDEX(tk_ROOMT,MATCH(317,tk_FSEQ,0))="",""," → "&amp;INDEX(tk_ROOMT,MATCH(317,tk_FSEQ,0))),"")</f>
        <v/>
      </c>
      <c r="D322" s="162">
        <f>IFERROR(""&amp;INDEX(tk_SIZE,MATCH(317,tk_FSEQ,0)),"")</f>
        <v/>
      </c>
      <c r="E322" s="162">
        <f>IFERROR(""&amp;INDEX(tk_RATING,MATCH(317,tk_FSEQ,0)),"")</f>
        <v/>
      </c>
      <c r="F322" s="162">
        <f>IFERROR(TEXT(INDEX(tk_OAW,MATCH(317,tk_FSEQ,0)),"0.000")&amp;" x "&amp;TEXT(INDEX(tk_OAH,MATCH(317,tk_FSEQ,0)),"0.000"),"")</f>
        <v/>
      </c>
      <c r="G322" s="162">
        <f>IFERROR(IF(INDEX(tk_ANCHT,MATCH(317,tk_FSEQ,0))="","",INDEX(tk_ANCHT,MATCH(317,tk_FSEQ,0))&amp;" + "&amp;INDEX(tk_BASEA,MATCH(317,tk_FSEQ,0))),"")</f>
        <v/>
      </c>
      <c r="H322" s="181">
        <f>IFERROR(""&amp;INDEX(tk_FLINE,MATCH(317,tk_FSEQ,0)),"")</f>
        <v/>
      </c>
      <c r="I322" s="181">
        <f>IFERROR(""&amp;INDEX(tk_LOCTXT,MATCH(317,tk_FSEQ,0)),"")</f>
        <v/>
      </c>
      <c r="J322" s="162">
        <f>IFERROR(""&amp;INDEX(tk_FNOTES,MATCH(317,tk_FSEQ,0)),"")</f>
        <v/>
      </c>
    </row>
    <row r="323">
      <c r="A323" s="161">
        <f>IFERROR(""&amp;INDEX(tk_MARK,MATCH(318,tk_FSEQ,0)),"")</f>
        <v/>
      </c>
      <c r="B323" s="162">
        <f>IFERROR(INDEX(tk_QTY,MATCH(318,tk_FSEQ,0)),"")</f>
        <v/>
      </c>
      <c r="C323" s="162">
        <f>IFERROR(INDEX(tk_ROOMF,MATCH(318,tk_FSEQ,0))&amp;IF(INDEX(tk_ROOMT,MATCH(318,tk_FSEQ,0))="",""," → "&amp;INDEX(tk_ROOMT,MATCH(318,tk_FSEQ,0))),"")</f>
        <v/>
      </c>
      <c r="D323" s="162">
        <f>IFERROR(""&amp;INDEX(tk_SIZE,MATCH(318,tk_FSEQ,0)),"")</f>
        <v/>
      </c>
      <c r="E323" s="162">
        <f>IFERROR(""&amp;INDEX(tk_RATING,MATCH(318,tk_FSEQ,0)),"")</f>
        <v/>
      </c>
      <c r="F323" s="162">
        <f>IFERROR(TEXT(INDEX(tk_OAW,MATCH(318,tk_FSEQ,0)),"0.000")&amp;" x "&amp;TEXT(INDEX(tk_OAH,MATCH(318,tk_FSEQ,0)),"0.000"),"")</f>
        <v/>
      </c>
      <c r="G323" s="162">
        <f>IFERROR(IF(INDEX(tk_ANCHT,MATCH(318,tk_FSEQ,0))="","",INDEX(tk_ANCHT,MATCH(318,tk_FSEQ,0))&amp;" + "&amp;INDEX(tk_BASEA,MATCH(318,tk_FSEQ,0))),"")</f>
        <v/>
      </c>
      <c r="H323" s="181">
        <f>IFERROR(""&amp;INDEX(tk_FLINE,MATCH(318,tk_FSEQ,0)),"")</f>
        <v/>
      </c>
      <c r="I323" s="181">
        <f>IFERROR(""&amp;INDEX(tk_LOCTXT,MATCH(318,tk_FSEQ,0)),"")</f>
        <v/>
      </c>
      <c r="J323" s="162">
        <f>IFERROR(""&amp;INDEX(tk_FNOTES,MATCH(318,tk_FSEQ,0)),"")</f>
        <v/>
      </c>
    </row>
    <row r="324">
      <c r="A324" s="161">
        <f>IFERROR(""&amp;INDEX(tk_MARK,MATCH(319,tk_FSEQ,0)),"")</f>
        <v/>
      </c>
      <c r="B324" s="162">
        <f>IFERROR(INDEX(tk_QTY,MATCH(319,tk_FSEQ,0)),"")</f>
        <v/>
      </c>
      <c r="C324" s="162">
        <f>IFERROR(INDEX(tk_ROOMF,MATCH(319,tk_FSEQ,0))&amp;IF(INDEX(tk_ROOMT,MATCH(319,tk_FSEQ,0))="",""," → "&amp;INDEX(tk_ROOMT,MATCH(319,tk_FSEQ,0))),"")</f>
        <v/>
      </c>
      <c r="D324" s="162">
        <f>IFERROR(""&amp;INDEX(tk_SIZE,MATCH(319,tk_FSEQ,0)),"")</f>
        <v/>
      </c>
      <c r="E324" s="162">
        <f>IFERROR(""&amp;INDEX(tk_RATING,MATCH(319,tk_FSEQ,0)),"")</f>
        <v/>
      </c>
      <c r="F324" s="162">
        <f>IFERROR(TEXT(INDEX(tk_OAW,MATCH(319,tk_FSEQ,0)),"0.000")&amp;" x "&amp;TEXT(INDEX(tk_OAH,MATCH(319,tk_FSEQ,0)),"0.000"),"")</f>
        <v/>
      </c>
      <c r="G324" s="162">
        <f>IFERROR(IF(INDEX(tk_ANCHT,MATCH(319,tk_FSEQ,0))="","",INDEX(tk_ANCHT,MATCH(319,tk_FSEQ,0))&amp;" + "&amp;INDEX(tk_BASEA,MATCH(319,tk_FSEQ,0))),"")</f>
        <v/>
      </c>
      <c r="H324" s="181">
        <f>IFERROR(""&amp;INDEX(tk_FLINE,MATCH(319,tk_FSEQ,0)),"")</f>
        <v/>
      </c>
      <c r="I324" s="181">
        <f>IFERROR(""&amp;INDEX(tk_LOCTXT,MATCH(319,tk_FSEQ,0)),"")</f>
        <v/>
      </c>
      <c r="J324" s="162">
        <f>IFERROR(""&amp;INDEX(tk_FNOTES,MATCH(319,tk_FSEQ,0)),"")</f>
        <v/>
      </c>
    </row>
    <row r="325">
      <c r="A325" s="161">
        <f>IFERROR(""&amp;INDEX(tk_MARK,MATCH(320,tk_FSEQ,0)),"")</f>
        <v/>
      </c>
      <c r="B325" s="162">
        <f>IFERROR(INDEX(tk_QTY,MATCH(320,tk_FSEQ,0)),"")</f>
        <v/>
      </c>
      <c r="C325" s="162">
        <f>IFERROR(INDEX(tk_ROOMF,MATCH(320,tk_FSEQ,0))&amp;IF(INDEX(tk_ROOMT,MATCH(320,tk_FSEQ,0))="",""," → "&amp;INDEX(tk_ROOMT,MATCH(320,tk_FSEQ,0))),"")</f>
        <v/>
      </c>
      <c r="D325" s="162">
        <f>IFERROR(""&amp;INDEX(tk_SIZE,MATCH(320,tk_FSEQ,0)),"")</f>
        <v/>
      </c>
      <c r="E325" s="162">
        <f>IFERROR(""&amp;INDEX(tk_RATING,MATCH(320,tk_FSEQ,0)),"")</f>
        <v/>
      </c>
      <c r="F325" s="162">
        <f>IFERROR(TEXT(INDEX(tk_OAW,MATCH(320,tk_FSEQ,0)),"0.000")&amp;" x "&amp;TEXT(INDEX(tk_OAH,MATCH(320,tk_FSEQ,0)),"0.000"),"")</f>
        <v/>
      </c>
      <c r="G325" s="162">
        <f>IFERROR(IF(INDEX(tk_ANCHT,MATCH(320,tk_FSEQ,0))="","",INDEX(tk_ANCHT,MATCH(320,tk_FSEQ,0))&amp;" + "&amp;INDEX(tk_BASEA,MATCH(320,tk_FSEQ,0))),"")</f>
        <v/>
      </c>
      <c r="H325" s="181">
        <f>IFERROR(""&amp;INDEX(tk_FLINE,MATCH(320,tk_FSEQ,0)),"")</f>
        <v/>
      </c>
      <c r="I325" s="181">
        <f>IFERROR(""&amp;INDEX(tk_LOCTXT,MATCH(320,tk_FSEQ,0)),"")</f>
        <v/>
      </c>
      <c r="J325" s="162">
        <f>IFERROR(""&amp;INDEX(tk_FNOTES,MATCH(320,tk_FSEQ,0)),"")</f>
        <v/>
      </c>
    </row>
    <row r="326">
      <c r="A326" s="161">
        <f>IFERROR(""&amp;INDEX(tk_MARK,MATCH(321,tk_FSEQ,0)),"")</f>
        <v/>
      </c>
      <c r="B326" s="162">
        <f>IFERROR(INDEX(tk_QTY,MATCH(321,tk_FSEQ,0)),"")</f>
        <v/>
      </c>
      <c r="C326" s="162">
        <f>IFERROR(INDEX(tk_ROOMF,MATCH(321,tk_FSEQ,0))&amp;IF(INDEX(tk_ROOMT,MATCH(321,tk_FSEQ,0))="",""," → "&amp;INDEX(tk_ROOMT,MATCH(321,tk_FSEQ,0))),"")</f>
        <v/>
      </c>
      <c r="D326" s="162">
        <f>IFERROR(""&amp;INDEX(tk_SIZE,MATCH(321,tk_FSEQ,0)),"")</f>
        <v/>
      </c>
      <c r="E326" s="162">
        <f>IFERROR(""&amp;INDEX(tk_RATING,MATCH(321,tk_FSEQ,0)),"")</f>
        <v/>
      </c>
      <c r="F326" s="162">
        <f>IFERROR(TEXT(INDEX(tk_OAW,MATCH(321,tk_FSEQ,0)),"0.000")&amp;" x "&amp;TEXT(INDEX(tk_OAH,MATCH(321,tk_FSEQ,0)),"0.000"),"")</f>
        <v/>
      </c>
      <c r="G326" s="162">
        <f>IFERROR(IF(INDEX(tk_ANCHT,MATCH(321,tk_FSEQ,0))="","",INDEX(tk_ANCHT,MATCH(321,tk_FSEQ,0))&amp;" + "&amp;INDEX(tk_BASEA,MATCH(321,tk_FSEQ,0))),"")</f>
        <v/>
      </c>
      <c r="H326" s="181">
        <f>IFERROR(""&amp;INDEX(tk_FLINE,MATCH(321,tk_FSEQ,0)),"")</f>
        <v/>
      </c>
      <c r="I326" s="181">
        <f>IFERROR(""&amp;INDEX(tk_LOCTXT,MATCH(321,tk_FSEQ,0)),"")</f>
        <v/>
      </c>
      <c r="J326" s="162">
        <f>IFERROR(""&amp;INDEX(tk_FNOTES,MATCH(321,tk_FSEQ,0)),"")</f>
        <v/>
      </c>
    </row>
    <row r="327">
      <c r="A327" s="161">
        <f>IFERROR(""&amp;INDEX(tk_MARK,MATCH(322,tk_FSEQ,0)),"")</f>
        <v/>
      </c>
      <c r="B327" s="162">
        <f>IFERROR(INDEX(tk_QTY,MATCH(322,tk_FSEQ,0)),"")</f>
        <v/>
      </c>
      <c r="C327" s="162">
        <f>IFERROR(INDEX(tk_ROOMF,MATCH(322,tk_FSEQ,0))&amp;IF(INDEX(tk_ROOMT,MATCH(322,tk_FSEQ,0))="",""," → "&amp;INDEX(tk_ROOMT,MATCH(322,tk_FSEQ,0))),"")</f>
        <v/>
      </c>
      <c r="D327" s="162">
        <f>IFERROR(""&amp;INDEX(tk_SIZE,MATCH(322,tk_FSEQ,0)),"")</f>
        <v/>
      </c>
      <c r="E327" s="162">
        <f>IFERROR(""&amp;INDEX(tk_RATING,MATCH(322,tk_FSEQ,0)),"")</f>
        <v/>
      </c>
      <c r="F327" s="162">
        <f>IFERROR(TEXT(INDEX(tk_OAW,MATCH(322,tk_FSEQ,0)),"0.000")&amp;" x "&amp;TEXT(INDEX(tk_OAH,MATCH(322,tk_FSEQ,0)),"0.000"),"")</f>
        <v/>
      </c>
      <c r="G327" s="162">
        <f>IFERROR(IF(INDEX(tk_ANCHT,MATCH(322,tk_FSEQ,0))="","",INDEX(tk_ANCHT,MATCH(322,tk_FSEQ,0))&amp;" + "&amp;INDEX(tk_BASEA,MATCH(322,tk_FSEQ,0))),"")</f>
        <v/>
      </c>
      <c r="H327" s="181">
        <f>IFERROR(""&amp;INDEX(tk_FLINE,MATCH(322,tk_FSEQ,0)),"")</f>
        <v/>
      </c>
      <c r="I327" s="181">
        <f>IFERROR(""&amp;INDEX(tk_LOCTXT,MATCH(322,tk_FSEQ,0)),"")</f>
        <v/>
      </c>
      <c r="J327" s="162">
        <f>IFERROR(""&amp;INDEX(tk_FNOTES,MATCH(322,tk_FSEQ,0)),"")</f>
        <v/>
      </c>
    </row>
    <row r="328">
      <c r="A328" s="161">
        <f>IFERROR(""&amp;INDEX(tk_MARK,MATCH(323,tk_FSEQ,0)),"")</f>
        <v/>
      </c>
      <c r="B328" s="162">
        <f>IFERROR(INDEX(tk_QTY,MATCH(323,tk_FSEQ,0)),"")</f>
        <v/>
      </c>
      <c r="C328" s="162">
        <f>IFERROR(INDEX(tk_ROOMF,MATCH(323,tk_FSEQ,0))&amp;IF(INDEX(tk_ROOMT,MATCH(323,tk_FSEQ,0))="",""," → "&amp;INDEX(tk_ROOMT,MATCH(323,tk_FSEQ,0))),"")</f>
        <v/>
      </c>
      <c r="D328" s="162">
        <f>IFERROR(""&amp;INDEX(tk_SIZE,MATCH(323,tk_FSEQ,0)),"")</f>
        <v/>
      </c>
      <c r="E328" s="162">
        <f>IFERROR(""&amp;INDEX(tk_RATING,MATCH(323,tk_FSEQ,0)),"")</f>
        <v/>
      </c>
      <c r="F328" s="162">
        <f>IFERROR(TEXT(INDEX(tk_OAW,MATCH(323,tk_FSEQ,0)),"0.000")&amp;" x "&amp;TEXT(INDEX(tk_OAH,MATCH(323,tk_FSEQ,0)),"0.000"),"")</f>
        <v/>
      </c>
      <c r="G328" s="162">
        <f>IFERROR(IF(INDEX(tk_ANCHT,MATCH(323,tk_FSEQ,0))="","",INDEX(tk_ANCHT,MATCH(323,tk_FSEQ,0))&amp;" + "&amp;INDEX(tk_BASEA,MATCH(323,tk_FSEQ,0))),"")</f>
        <v/>
      </c>
      <c r="H328" s="181">
        <f>IFERROR(""&amp;INDEX(tk_FLINE,MATCH(323,tk_FSEQ,0)),"")</f>
        <v/>
      </c>
      <c r="I328" s="181">
        <f>IFERROR(""&amp;INDEX(tk_LOCTXT,MATCH(323,tk_FSEQ,0)),"")</f>
        <v/>
      </c>
      <c r="J328" s="162">
        <f>IFERROR(""&amp;INDEX(tk_FNOTES,MATCH(323,tk_FSEQ,0)),"")</f>
        <v/>
      </c>
    </row>
    <row r="329">
      <c r="A329" s="161">
        <f>IFERROR(""&amp;INDEX(tk_MARK,MATCH(324,tk_FSEQ,0)),"")</f>
        <v/>
      </c>
      <c r="B329" s="162">
        <f>IFERROR(INDEX(tk_QTY,MATCH(324,tk_FSEQ,0)),"")</f>
        <v/>
      </c>
      <c r="C329" s="162">
        <f>IFERROR(INDEX(tk_ROOMF,MATCH(324,tk_FSEQ,0))&amp;IF(INDEX(tk_ROOMT,MATCH(324,tk_FSEQ,0))="",""," → "&amp;INDEX(tk_ROOMT,MATCH(324,tk_FSEQ,0))),"")</f>
        <v/>
      </c>
      <c r="D329" s="162">
        <f>IFERROR(""&amp;INDEX(tk_SIZE,MATCH(324,tk_FSEQ,0)),"")</f>
        <v/>
      </c>
      <c r="E329" s="162">
        <f>IFERROR(""&amp;INDEX(tk_RATING,MATCH(324,tk_FSEQ,0)),"")</f>
        <v/>
      </c>
      <c r="F329" s="162">
        <f>IFERROR(TEXT(INDEX(tk_OAW,MATCH(324,tk_FSEQ,0)),"0.000")&amp;" x "&amp;TEXT(INDEX(tk_OAH,MATCH(324,tk_FSEQ,0)),"0.000"),"")</f>
        <v/>
      </c>
      <c r="G329" s="162">
        <f>IFERROR(IF(INDEX(tk_ANCHT,MATCH(324,tk_FSEQ,0))="","",INDEX(tk_ANCHT,MATCH(324,tk_FSEQ,0))&amp;" + "&amp;INDEX(tk_BASEA,MATCH(324,tk_FSEQ,0))),"")</f>
        <v/>
      </c>
      <c r="H329" s="181">
        <f>IFERROR(""&amp;INDEX(tk_FLINE,MATCH(324,tk_FSEQ,0)),"")</f>
        <v/>
      </c>
      <c r="I329" s="181">
        <f>IFERROR(""&amp;INDEX(tk_LOCTXT,MATCH(324,tk_FSEQ,0)),"")</f>
        <v/>
      </c>
      <c r="J329" s="162">
        <f>IFERROR(""&amp;INDEX(tk_FNOTES,MATCH(324,tk_FSEQ,0)),"")</f>
        <v/>
      </c>
    </row>
    <row r="330">
      <c r="A330" s="161">
        <f>IFERROR(""&amp;INDEX(tk_MARK,MATCH(325,tk_FSEQ,0)),"")</f>
        <v/>
      </c>
      <c r="B330" s="162">
        <f>IFERROR(INDEX(tk_QTY,MATCH(325,tk_FSEQ,0)),"")</f>
        <v/>
      </c>
      <c r="C330" s="162">
        <f>IFERROR(INDEX(tk_ROOMF,MATCH(325,tk_FSEQ,0))&amp;IF(INDEX(tk_ROOMT,MATCH(325,tk_FSEQ,0))="",""," → "&amp;INDEX(tk_ROOMT,MATCH(325,tk_FSEQ,0))),"")</f>
        <v/>
      </c>
      <c r="D330" s="162">
        <f>IFERROR(""&amp;INDEX(tk_SIZE,MATCH(325,tk_FSEQ,0)),"")</f>
        <v/>
      </c>
      <c r="E330" s="162">
        <f>IFERROR(""&amp;INDEX(tk_RATING,MATCH(325,tk_FSEQ,0)),"")</f>
        <v/>
      </c>
      <c r="F330" s="162">
        <f>IFERROR(TEXT(INDEX(tk_OAW,MATCH(325,tk_FSEQ,0)),"0.000")&amp;" x "&amp;TEXT(INDEX(tk_OAH,MATCH(325,tk_FSEQ,0)),"0.000"),"")</f>
        <v/>
      </c>
      <c r="G330" s="162">
        <f>IFERROR(IF(INDEX(tk_ANCHT,MATCH(325,tk_FSEQ,0))="","",INDEX(tk_ANCHT,MATCH(325,tk_FSEQ,0))&amp;" + "&amp;INDEX(tk_BASEA,MATCH(325,tk_FSEQ,0))),"")</f>
        <v/>
      </c>
      <c r="H330" s="181">
        <f>IFERROR(""&amp;INDEX(tk_FLINE,MATCH(325,tk_FSEQ,0)),"")</f>
        <v/>
      </c>
      <c r="I330" s="181">
        <f>IFERROR(""&amp;INDEX(tk_LOCTXT,MATCH(325,tk_FSEQ,0)),"")</f>
        <v/>
      </c>
      <c r="J330" s="162">
        <f>IFERROR(""&amp;INDEX(tk_FNOTES,MATCH(325,tk_FSEQ,0)),"")</f>
        <v/>
      </c>
    </row>
    <row r="331">
      <c r="A331" s="161">
        <f>IFERROR(""&amp;INDEX(tk_MARK,MATCH(326,tk_FSEQ,0)),"")</f>
        <v/>
      </c>
      <c r="B331" s="162">
        <f>IFERROR(INDEX(tk_QTY,MATCH(326,tk_FSEQ,0)),"")</f>
        <v/>
      </c>
      <c r="C331" s="162">
        <f>IFERROR(INDEX(tk_ROOMF,MATCH(326,tk_FSEQ,0))&amp;IF(INDEX(tk_ROOMT,MATCH(326,tk_FSEQ,0))="",""," → "&amp;INDEX(tk_ROOMT,MATCH(326,tk_FSEQ,0))),"")</f>
        <v/>
      </c>
      <c r="D331" s="162">
        <f>IFERROR(""&amp;INDEX(tk_SIZE,MATCH(326,tk_FSEQ,0)),"")</f>
        <v/>
      </c>
      <c r="E331" s="162">
        <f>IFERROR(""&amp;INDEX(tk_RATING,MATCH(326,tk_FSEQ,0)),"")</f>
        <v/>
      </c>
      <c r="F331" s="162">
        <f>IFERROR(TEXT(INDEX(tk_OAW,MATCH(326,tk_FSEQ,0)),"0.000")&amp;" x "&amp;TEXT(INDEX(tk_OAH,MATCH(326,tk_FSEQ,0)),"0.000"),"")</f>
        <v/>
      </c>
      <c r="G331" s="162">
        <f>IFERROR(IF(INDEX(tk_ANCHT,MATCH(326,tk_FSEQ,0))="","",INDEX(tk_ANCHT,MATCH(326,tk_FSEQ,0))&amp;" + "&amp;INDEX(tk_BASEA,MATCH(326,tk_FSEQ,0))),"")</f>
        <v/>
      </c>
      <c r="H331" s="181">
        <f>IFERROR(""&amp;INDEX(tk_FLINE,MATCH(326,tk_FSEQ,0)),"")</f>
        <v/>
      </c>
      <c r="I331" s="181">
        <f>IFERROR(""&amp;INDEX(tk_LOCTXT,MATCH(326,tk_FSEQ,0)),"")</f>
        <v/>
      </c>
      <c r="J331" s="162">
        <f>IFERROR(""&amp;INDEX(tk_FNOTES,MATCH(326,tk_FSEQ,0)),"")</f>
        <v/>
      </c>
    </row>
    <row r="332">
      <c r="A332" s="161">
        <f>IFERROR(""&amp;INDEX(tk_MARK,MATCH(327,tk_FSEQ,0)),"")</f>
        <v/>
      </c>
      <c r="B332" s="162">
        <f>IFERROR(INDEX(tk_QTY,MATCH(327,tk_FSEQ,0)),"")</f>
        <v/>
      </c>
      <c r="C332" s="162">
        <f>IFERROR(INDEX(tk_ROOMF,MATCH(327,tk_FSEQ,0))&amp;IF(INDEX(tk_ROOMT,MATCH(327,tk_FSEQ,0))="",""," → "&amp;INDEX(tk_ROOMT,MATCH(327,tk_FSEQ,0))),"")</f>
        <v/>
      </c>
      <c r="D332" s="162">
        <f>IFERROR(""&amp;INDEX(tk_SIZE,MATCH(327,tk_FSEQ,0)),"")</f>
        <v/>
      </c>
      <c r="E332" s="162">
        <f>IFERROR(""&amp;INDEX(tk_RATING,MATCH(327,tk_FSEQ,0)),"")</f>
        <v/>
      </c>
      <c r="F332" s="162">
        <f>IFERROR(TEXT(INDEX(tk_OAW,MATCH(327,tk_FSEQ,0)),"0.000")&amp;" x "&amp;TEXT(INDEX(tk_OAH,MATCH(327,tk_FSEQ,0)),"0.000"),"")</f>
        <v/>
      </c>
      <c r="G332" s="162">
        <f>IFERROR(IF(INDEX(tk_ANCHT,MATCH(327,tk_FSEQ,0))="","",INDEX(tk_ANCHT,MATCH(327,tk_FSEQ,0))&amp;" + "&amp;INDEX(tk_BASEA,MATCH(327,tk_FSEQ,0))),"")</f>
        <v/>
      </c>
      <c r="H332" s="181">
        <f>IFERROR(""&amp;INDEX(tk_FLINE,MATCH(327,tk_FSEQ,0)),"")</f>
        <v/>
      </c>
      <c r="I332" s="181">
        <f>IFERROR(""&amp;INDEX(tk_LOCTXT,MATCH(327,tk_FSEQ,0)),"")</f>
        <v/>
      </c>
      <c r="J332" s="162">
        <f>IFERROR(""&amp;INDEX(tk_FNOTES,MATCH(327,tk_FSEQ,0)),"")</f>
        <v/>
      </c>
    </row>
    <row r="333">
      <c r="A333" s="161">
        <f>IFERROR(""&amp;INDEX(tk_MARK,MATCH(328,tk_FSEQ,0)),"")</f>
        <v/>
      </c>
      <c r="B333" s="162">
        <f>IFERROR(INDEX(tk_QTY,MATCH(328,tk_FSEQ,0)),"")</f>
        <v/>
      </c>
      <c r="C333" s="162">
        <f>IFERROR(INDEX(tk_ROOMF,MATCH(328,tk_FSEQ,0))&amp;IF(INDEX(tk_ROOMT,MATCH(328,tk_FSEQ,0))="",""," → "&amp;INDEX(tk_ROOMT,MATCH(328,tk_FSEQ,0))),"")</f>
        <v/>
      </c>
      <c r="D333" s="162">
        <f>IFERROR(""&amp;INDEX(tk_SIZE,MATCH(328,tk_FSEQ,0)),"")</f>
        <v/>
      </c>
      <c r="E333" s="162">
        <f>IFERROR(""&amp;INDEX(tk_RATING,MATCH(328,tk_FSEQ,0)),"")</f>
        <v/>
      </c>
      <c r="F333" s="162">
        <f>IFERROR(TEXT(INDEX(tk_OAW,MATCH(328,tk_FSEQ,0)),"0.000")&amp;" x "&amp;TEXT(INDEX(tk_OAH,MATCH(328,tk_FSEQ,0)),"0.000"),"")</f>
        <v/>
      </c>
      <c r="G333" s="162">
        <f>IFERROR(IF(INDEX(tk_ANCHT,MATCH(328,tk_FSEQ,0))="","",INDEX(tk_ANCHT,MATCH(328,tk_FSEQ,0))&amp;" + "&amp;INDEX(tk_BASEA,MATCH(328,tk_FSEQ,0))),"")</f>
        <v/>
      </c>
      <c r="H333" s="181">
        <f>IFERROR(""&amp;INDEX(tk_FLINE,MATCH(328,tk_FSEQ,0)),"")</f>
        <v/>
      </c>
      <c r="I333" s="181">
        <f>IFERROR(""&amp;INDEX(tk_LOCTXT,MATCH(328,tk_FSEQ,0)),"")</f>
        <v/>
      </c>
      <c r="J333" s="162">
        <f>IFERROR(""&amp;INDEX(tk_FNOTES,MATCH(328,tk_FSEQ,0)),"")</f>
        <v/>
      </c>
    </row>
    <row r="334">
      <c r="A334" s="161">
        <f>IFERROR(""&amp;INDEX(tk_MARK,MATCH(329,tk_FSEQ,0)),"")</f>
        <v/>
      </c>
      <c r="B334" s="162">
        <f>IFERROR(INDEX(tk_QTY,MATCH(329,tk_FSEQ,0)),"")</f>
        <v/>
      </c>
      <c r="C334" s="162">
        <f>IFERROR(INDEX(tk_ROOMF,MATCH(329,tk_FSEQ,0))&amp;IF(INDEX(tk_ROOMT,MATCH(329,tk_FSEQ,0))="",""," → "&amp;INDEX(tk_ROOMT,MATCH(329,tk_FSEQ,0))),"")</f>
        <v/>
      </c>
      <c r="D334" s="162">
        <f>IFERROR(""&amp;INDEX(tk_SIZE,MATCH(329,tk_FSEQ,0)),"")</f>
        <v/>
      </c>
      <c r="E334" s="162">
        <f>IFERROR(""&amp;INDEX(tk_RATING,MATCH(329,tk_FSEQ,0)),"")</f>
        <v/>
      </c>
      <c r="F334" s="162">
        <f>IFERROR(TEXT(INDEX(tk_OAW,MATCH(329,tk_FSEQ,0)),"0.000")&amp;" x "&amp;TEXT(INDEX(tk_OAH,MATCH(329,tk_FSEQ,0)),"0.000"),"")</f>
        <v/>
      </c>
      <c r="G334" s="162">
        <f>IFERROR(IF(INDEX(tk_ANCHT,MATCH(329,tk_FSEQ,0))="","",INDEX(tk_ANCHT,MATCH(329,tk_FSEQ,0))&amp;" + "&amp;INDEX(tk_BASEA,MATCH(329,tk_FSEQ,0))),"")</f>
        <v/>
      </c>
      <c r="H334" s="181">
        <f>IFERROR(""&amp;INDEX(tk_FLINE,MATCH(329,tk_FSEQ,0)),"")</f>
        <v/>
      </c>
      <c r="I334" s="181">
        <f>IFERROR(""&amp;INDEX(tk_LOCTXT,MATCH(329,tk_FSEQ,0)),"")</f>
        <v/>
      </c>
      <c r="J334" s="162">
        <f>IFERROR(""&amp;INDEX(tk_FNOTES,MATCH(329,tk_FSEQ,0)),"")</f>
        <v/>
      </c>
    </row>
    <row r="335">
      <c r="A335" s="161">
        <f>IFERROR(""&amp;INDEX(tk_MARK,MATCH(330,tk_FSEQ,0)),"")</f>
        <v/>
      </c>
      <c r="B335" s="162">
        <f>IFERROR(INDEX(tk_QTY,MATCH(330,tk_FSEQ,0)),"")</f>
        <v/>
      </c>
      <c r="C335" s="162">
        <f>IFERROR(INDEX(tk_ROOMF,MATCH(330,tk_FSEQ,0))&amp;IF(INDEX(tk_ROOMT,MATCH(330,tk_FSEQ,0))="",""," → "&amp;INDEX(tk_ROOMT,MATCH(330,tk_FSEQ,0))),"")</f>
        <v/>
      </c>
      <c r="D335" s="162">
        <f>IFERROR(""&amp;INDEX(tk_SIZE,MATCH(330,tk_FSEQ,0)),"")</f>
        <v/>
      </c>
      <c r="E335" s="162">
        <f>IFERROR(""&amp;INDEX(tk_RATING,MATCH(330,tk_FSEQ,0)),"")</f>
        <v/>
      </c>
      <c r="F335" s="162">
        <f>IFERROR(TEXT(INDEX(tk_OAW,MATCH(330,tk_FSEQ,0)),"0.000")&amp;" x "&amp;TEXT(INDEX(tk_OAH,MATCH(330,tk_FSEQ,0)),"0.000"),"")</f>
        <v/>
      </c>
      <c r="G335" s="162">
        <f>IFERROR(IF(INDEX(tk_ANCHT,MATCH(330,tk_FSEQ,0))="","",INDEX(tk_ANCHT,MATCH(330,tk_FSEQ,0))&amp;" + "&amp;INDEX(tk_BASEA,MATCH(330,tk_FSEQ,0))),"")</f>
        <v/>
      </c>
      <c r="H335" s="181">
        <f>IFERROR(""&amp;INDEX(tk_FLINE,MATCH(330,tk_FSEQ,0)),"")</f>
        <v/>
      </c>
      <c r="I335" s="181">
        <f>IFERROR(""&amp;INDEX(tk_LOCTXT,MATCH(330,tk_FSEQ,0)),"")</f>
        <v/>
      </c>
      <c r="J335" s="162">
        <f>IFERROR(""&amp;INDEX(tk_FNOTES,MATCH(330,tk_FSEQ,0)),"")</f>
        <v/>
      </c>
    </row>
    <row r="336">
      <c r="A336" s="161">
        <f>IFERROR(""&amp;INDEX(tk_MARK,MATCH(331,tk_FSEQ,0)),"")</f>
        <v/>
      </c>
      <c r="B336" s="162">
        <f>IFERROR(INDEX(tk_QTY,MATCH(331,tk_FSEQ,0)),"")</f>
        <v/>
      </c>
      <c r="C336" s="162">
        <f>IFERROR(INDEX(tk_ROOMF,MATCH(331,tk_FSEQ,0))&amp;IF(INDEX(tk_ROOMT,MATCH(331,tk_FSEQ,0))="",""," → "&amp;INDEX(tk_ROOMT,MATCH(331,tk_FSEQ,0))),"")</f>
        <v/>
      </c>
      <c r="D336" s="162">
        <f>IFERROR(""&amp;INDEX(tk_SIZE,MATCH(331,tk_FSEQ,0)),"")</f>
        <v/>
      </c>
      <c r="E336" s="162">
        <f>IFERROR(""&amp;INDEX(tk_RATING,MATCH(331,tk_FSEQ,0)),"")</f>
        <v/>
      </c>
      <c r="F336" s="162">
        <f>IFERROR(TEXT(INDEX(tk_OAW,MATCH(331,tk_FSEQ,0)),"0.000")&amp;" x "&amp;TEXT(INDEX(tk_OAH,MATCH(331,tk_FSEQ,0)),"0.000"),"")</f>
        <v/>
      </c>
      <c r="G336" s="162">
        <f>IFERROR(IF(INDEX(tk_ANCHT,MATCH(331,tk_FSEQ,0))="","",INDEX(tk_ANCHT,MATCH(331,tk_FSEQ,0))&amp;" + "&amp;INDEX(tk_BASEA,MATCH(331,tk_FSEQ,0))),"")</f>
        <v/>
      </c>
      <c r="H336" s="181">
        <f>IFERROR(""&amp;INDEX(tk_FLINE,MATCH(331,tk_FSEQ,0)),"")</f>
        <v/>
      </c>
      <c r="I336" s="181">
        <f>IFERROR(""&amp;INDEX(tk_LOCTXT,MATCH(331,tk_FSEQ,0)),"")</f>
        <v/>
      </c>
      <c r="J336" s="162">
        <f>IFERROR(""&amp;INDEX(tk_FNOTES,MATCH(331,tk_FSEQ,0)),"")</f>
        <v/>
      </c>
    </row>
    <row r="337">
      <c r="A337" s="161">
        <f>IFERROR(""&amp;INDEX(tk_MARK,MATCH(332,tk_FSEQ,0)),"")</f>
        <v/>
      </c>
      <c r="B337" s="162">
        <f>IFERROR(INDEX(tk_QTY,MATCH(332,tk_FSEQ,0)),"")</f>
        <v/>
      </c>
      <c r="C337" s="162">
        <f>IFERROR(INDEX(tk_ROOMF,MATCH(332,tk_FSEQ,0))&amp;IF(INDEX(tk_ROOMT,MATCH(332,tk_FSEQ,0))="",""," → "&amp;INDEX(tk_ROOMT,MATCH(332,tk_FSEQ,0))),"")</f>
        <v/>
      </c>
      <c r="D337" s="162">
        <f>IFERROR(""&amp;INDEX(tk_SIZE,MATCH(332,tk_FSEQ,0)),"")</f>
        <v/>
      </c>
      <c r="E337" s="162">
        <f>IFERROR(""&amp;INDEX(tk_RATING,MATCH(332,tk_FSEQ,0)),"")</f>
        <v/>
      </c>
      <c r="F337" s="162">
        <f>IFERROR(TEXT(INDEX(tk_OAW,MATCH(332,tk_FSEQ,0)),"0.000")&amp;" x "&amp;TEXT(INDEX(tk_OAH,MATCH(332,tk_FSEQ,0)),"0.000"),"")</f>
        <v/>
      </c>
      <c r="G337" s="162">
        <f>IFERROR(IF(INDEX(tk_ANCHT,MATCH(332,tk_FSEQ,0))="","",INDEX(tk_ANCHT,MATCH(332,tk_FSEQ,0))&amp;" + "&amp;INDEX(tk_BASEA,MATCH(332,tk_FSEQ,0))),"")</f>
        <v/>
      </c>
      <c r="H337" s="181">
        <f>IFERROR(""&amp;INDEX(tk_FLINE,MATCH(332,tk_FSEQ,0)),"")</f>
        <v/>
      </c>
      <c r="I337" s="181">
        <f>IFERROR(""&amp;INDEX(tk_LOCTXT,MATCH(332,tk_FSEQ,0)),"")</f>
        <v/>
      </c>
      <c r="J337" s="162">
        <f>IFERROR(""&amp;INDEX(tk_FNOTES,MATCH(332,tk_FSEQ,0)),"")</f>
        <v/>
      </c>
    </row>
    <row r="338">
      <c r="A338" s="161">
        <f>IFERROR(""&amp;INDEX(tk_MARK,MATCH(333,tk_FSEQ,0)),"")</f>
        <v/>
      </c>
      <c r="B338" s="162">
        <f>IFERROR(INDEX(tk_QTY,MATCH(333,tk_FSEQ,0)),"")</f>
        <v/>
      </c>
      <c r="C338" s="162">
        <f>IFERROR(INDEX(tk_ROOMF,MATCH(333,tk_FSEQ,0))&amp;IF(INDEX(tk_ROOMT,MATCH(333,tk_FSEQ,0))="",""," → "&amp;INDEX(tk_ROOMT,MATCH(333,tk_FSEQ,0))),"")</f>
        <v/>
      </c>
      <c r="D338" s="162">
        <f>IFERROR(""&amp;INDEX(tk_SIZE,MATCH(333,tk_FSEQ,0)),"")</f>
        <v/>
      </c>
      <c r="E338" s="162">
        <f>IFERROR(""&amp;INDEX(tk_RATING,MATCH(333,tk_FSEQ,0)),"")</f>
        <v/>
      </c>
      <c r="F338" s="162">
        <f>IFERROR(TEXT(INDEX(tk_OAW,MATCH(333,tk_FSEQ,0)),"0.000")&amp;" x "&amp;TEXT(INDEX(tk_OAH,MATCH(333,tk_FSEQ,0)),"0.000"),"")</f>
        <v/>
      </c>
      <c r="G338" s="162">
        <f>IFERROR(IF(INDEX(tk_ANCHT,MATCH(333,tk_FSEQ,0))="","",INDEX(tk_ANCHT,MATCH(333,tk_FSEQ,0))&amp;" + "&amp;INDEX(tk_BASEA,MATCH(333,tk_FSEQ,0))),"")</f>
        <v/>
      </c>
      <c r="H338" s="181">
        <f>IFERROR(""&amp;INDEX(tk_FLINE,MATCH(333,tk_FSEQ,0)),"")</f>
        <v/>
      </c>
      <c r="I338" s="181">
        <f>IFERROR(""&amp;INDEX(tk_LOCTXT,MATCH(333,tk_FSEQ,0)),"")</f>
        <v/>
      </c>
      <c r="J338" s="162">
        <f>IFERROR(""&amp;INDEX(tk_FNOTES,MATCH(333,tk_FSEQ,0)),"")</f>
        <v/>
      </c>
    </row>
    <row r="339">
      <c r="A339" s="161">
        <f>IFERROR(""&amp;INDEX(tk_MARK,MATCH(334,tk_FSEQ,0)),"")</f>
        <v/>
      </c>
      <c r="B339" s="162">
        <f>IFERROR(INDEX(tk_QTY,MATCH(334,tk_FSEQ,0)),"")</f>
        <v/>
      </c>
      <c r="C339" s="162">
        <f>IFERROR(INDEX(tk_ROOMF,MATCH(334,tk_FSEQ,0))&amp;IF(INDEX(tk_ROOMT,MATCH(334,tk_FSEQ,0))="",""," → "&amp;INDEX(tk_ROOMT,MATCH(334,tk_FSEQ,0))),"")</f>
        <v/>
      </c>
      <c r="D339" s="162">
        <f>IFERROR(""&amp;INDEX(tk_SIZE,MATCH(334,tk_FSEQ,0)),"")</f>
        <v/>
      </c>
      <c r="E339" s="162">
        <f>IFERROR(""&amp;INDEX(tk_RATING,MATCH(334,tk_FSEQ,0)),"")</f>
        <v/>
      </c>
      <c r="F339" s="162">
        <f>IFERROR(TEXT(INDEX(tk_OAW,MATCH(334,tk_FSEQ,0)),"0.000")&amp;" x "&amp;TEXT(INDEX(tk_OAH,MATCH(334,tk_FSEQ,0)),"0.000"),"")</f>
        <v/>
      </c>
      <c r="G339" s="162">
        <f>IFERROR(IF(INDEX(tk_ANCHT,MATCH(334,tk_FSEQ,0))="","",INDEX(tk_ANCHT,MATCH(334,tk_FSEQ,0))&amp;" + "&amp;INDEX(tk_BASEA,MATCH(334,tk_FSEQ,0))),"")</f>
        <v/>
      </c>
      <c r="H339" s="181">
        <f>IFERROR(""&amp;INDEX(tk_FLINE,MATCH(334,tk_FSEQ,0)),"")</f>
        <v/>
      </c>
      <c r="I339" s="181">
        <f>IFERROR(""&amp;INDEX(tk_LOCTXT,MATCH(334,tk_FSEQ,0)),"")</f>
        <v/>
      </c>
      <c r="J339" s="162">
        <f>IFERROR(""&amp;INDEX(tk_FNOTES,MATCH(334,tk_FSEQ,0)),"")</f>
        <v/>
      </c>
    </row>
    <row r="340">
      <c r="A340" s="161">
        <f>IFERROR(""&amp;INDEX(tk_MARK,MATCH(335,tk_FSEQ,0)),"")</f>
        <v/>
      </c>
      <c r="B340" s="162">
        <f>IFERROR(INDEX(tk_QTY,MATCH(335,tk_FSEQ,0)),"")</f>
        <v/>
      </c>
      <c r="C340" s="162">
        <f>IFERROR(INDEX(tk_ROOMF,MATCH(335,tk_FSEQ,0))&amp;IF(INDEX(tk_ROOMT,MATCH(335,tk_FSEQ,0))="",""," → "&amp;INDEX(tk_ROOMT,MATCH(335,tk_FSEQ,0))),"")</f>
        <v/>
      </c>
      <c r="D340" s="162">
        <f>IFERROR(""&amp;INDEX(tk_SIZE,MATCH(335,tk_FSEQ,0)),"")</f>
        <v/>
      </c>
      <c r="E340" s="162">
        <f>IFERROR(""&amp;INDEX(tk_RATING,MATCH(335,tk_FSEQ,0)),"")</f>
        <v/>
      </c>
      <c r="F340" s="162">
        <f>IFERROR(TEXT(INDEX(tk_OAW,MATCH(335,tk_FSEQ,0)),"0.000")&amp;" x "&amp;TEXT(INDEX(tk_OAH,MATCH(335,tk_FSEQ,0)),"0.000"),"")</f>
        <v/>
      </c>
      <c r="G340" s="162">
        <f>IFERROR(IF(INDEX(tk_ANCHT,MATCH(335,tk_FSEQ,0))="","",INDEX(tk_ANCHT,MATCH(335,tk_FSEQ,0))&amp;" + "&amp;INDEX(tk_BASEA,MATCH(335,tk_FSEQ,0))),"")</f>
        <v/>
      </c>
      <c r="H340" s="181">
        <f>IFERROR(""&amp;INDEX(tk_FLINE,MATCH(335,tk_FSEQ,0)),"")</f>
        <v/>
      </c>
      <c r="I340" s="181">
        <f>IFERROR(""&amp;INDEX(tk_LOCTXT,MATCH(335,tk_FSEQ,0)),"")</f>
        <v/>
      </c>
      <c r="J340" s="162">
        <f>IFERROR(""&amp;INDEX(tk_FNOTES,MATCH(335,tk_FSEQ,0)),"")</f>
        <v/>
      </c>
    </row>
    <row r="341">
      <c r="A341" s="161">
        <f>IFERROR(""&amp;INDEX(tk_MARK,MATCH(336,tk_FSEQ,0)),"")</f>
        <v/>
      </c>
      <c r="B341" s="162">
        <f>IFERROR(INDEX(tk_QTY,MATCH(336,tk_FSEQ,0)),"")</f>
        <v/>
      </c>
      <c r="C341" s="162">
        <f>IFERROR(INDEX(tk_ROOMF,MATCH(336,tk_FSEQ,0))&amp;IF(INDEX(tk_ROOMT,MATCH(336,tk_FSEQ,0))="",""," → "&amp;INDEX(tk_ROOMT,MATCH(336,tk_FSEQ,0))),"")</f>
        <v/>
      </c>
      <c r="D341" s="162">
        <f>IFERROR(""&amp;INDEX(tk_SIZE,MATCH(336,tk_FSEQ,0)),"")</f>
        <v/>
      </c>
      <c r="E341" s="162">
        <f>IFERROR(""&amp;INDEX(tk_RATING,MATCH(336,tk_FSEQ,0)),"")</f>
        <v/>
      </c>
      <c r="F341" s="162">
        <f>IFERROR(TEXT(INDEX(tk_OAW,MATCH(336,tk_FSEQ,0)),"0.000")&amp;" x "&amp;TEXT(INDEX(tk_OAH,MATCH(336,tk_FSEQ,0)),"0.000"),"")</f>
        <v/>
      </c>
      <c r="G341" s="162">
        <f>IFERROR(IF(INDEX(tk_ANCHT,MATCH(336,tk_FSEQ,0))="","",INDEX(tk_ANCHT,MATCH(336,tk_FSEQ,0))&amp;" + "&amp;INDEX(tk_BASEA,MATCH(336,tk_FSEQ,0))),"")</f>
        <v/>
      </c>
      <c r="H341" s="181">
        <f>IFERROR(""&amp;INDEX(tk_FLINE,MATCH(336,tk_FSEQ,0)),"")</f>
        <v/>
      </c>
      <c r="I341" s="181">
        <f>IFERROR(""&amp;INDEX(tk_LOCTXT,MATCH(336,tk_FSEQ,0)),"")</f>
        <v/>
      </c>
      <c r="J341" s="162">
        <f>IFERROR(""&amp;INDEX(tk_FNOTES,MATCH(336,tk_FSEQ,0)),"")</f>
        <v/>
      </c>
    </row>
    <row r="342">
      <c r="A342" s="161">
        <f>IFERROR(""&amp;INDEX(tk_MARK,MATCH(337,tk_FSEQ,0)),"")</f>
        <v/>
      </c>
      <c r="B342" s="162">
        <f>IFERROR(INDEX(tk_QTY,MATCH(337,tk_FSEQ,0)),"")</f>
        <v/>
      </c>
      <c r="C342" s="162">
        <f>IFERROR(INDEX(tk_ROOMF,MATCH(337,tk_FSEQ,0))&amp;IF(INDEX(tk_ROOMT,MATCH(337,tk_FSEQ,0))="",""," → "&amp;INDEX(tk_ROOMT,MATCH(337,tk_FSEQ,0))),"")</f>
        <v/>
      </c>
      <c r="D342" s="162">
        <f>IFERROR(""&amp;INDEX(tk_SIZE,MATCH(337,tk_FSEQ,0)),"")</f>
        <v/>
      </c>
      <c r="E342" s="162">
        <f>IFERROR(""&amp;INDEX(tk_RATING,MATCH(337,tk_FSEQ,0)),"")</f>
        <v/>
      </c>
      <c r="F342" s="162">
        <f>IFERROR(TEXT(INDEX(tk_OAW,MATCH(337,tk_FSEQ,0)),"0.000")&amp;" x "&amp;TEXT(INDEX(tk_OAH,MATCH(337,tk_FSEQ,0)),"0.000"),"")</f>
        <v/>
      </c>
      <c r="G342" s="162">
        <f>IFERROR(IF(INDEX(tk_ANCHT,MATCH(337,tk_FSEQ,0))="","",INDEX(tk_ANCHT,MATCH(337,tk_FSEQ,0))&amp;" + "&amp;INDEX(tk_BASEA,MATCH(337,tk_FSEQ,0))),"")</f>
        <v/>
      </c>
      <c r="H342" s="181">
        <f>IFERROR(""&amp;INDEX(tk_FLINE,MATCH(337,tk_FSEQ,0)),"")</f>
        <v/>
      </c>
      <c r="I342" s="181">
        <f>IFERROR(""&amp;INDEX(tk_LOCTXT,MATCH(337,tk_FSEQ,0)),"")</f>
        <v/>
      </c>
      <c r="J342" s="162">
        <f>IFERROR(""&amp;INDEX(tk_FNOTES,MATCH(337,tk_FSEQ,0)),"")</f>
        <v/>
      </c>
    </row>
    <row r="343">
      <c r="A343" s="161">
        <f>IFERROR(""&amp;INDEX(tk_MARK,MATCH(338,tk_FSEQ,0)),"")</f>
        <v/>
      </c>
      <c r="B343" s="162">
        <f>IFERROR(INDEX(tk_QTY,MATCH(338,tk_FSEQ,0)),"")</f>
        <v/>
      </c>
      <c r="C343" s="162">
        <f>IFERROR(INDEX(tk_ROOMF,MATCH(338,tk_FSEQ,0))&amp;IF(INDEX(tk_ROOMT,MATCH(338,tk_FSEQ,0))="",""," → "&amp;INDEX(tk_ROOMT,MATCH(338,tk_FSEQ,0))),"")</f>
        <v/>
      </c>
      <c r="D343" s="162">
        <f>IFERROR(""&amp;INDEX(tk_SIZE,MATCH(338,tk_FSEQ,0)),"")</f>
        <v/>
      </c>
      <c r="E343" s="162">
        <f>IFERROR(""&amp;INDEX(tk_RATING,MATCH(338,tk_FSEQ,0)),"")</f>
        <v/>
      </c>
      <c r="F343" s="162">
        <f>IFERROR(TEXT(INDEX(tk_OAW,MATCH(338,tk_FSEQ,0)),"0.000")&amp;" x "&amp;TEXT(INDEX(tk_OAH,MATCH(338,tk_FSEQ,0)),"0.000"),"")</f>
        <v/>
      </c>
      <c r="G343" s="162">
        <f>IFERROR(IF(INDEX(tk_ANCHT,MATCH(338,tk_FSEQ,0))="","",INDEX(tk_ANCHT,MATCH(338,tk_FSEQ,0))&amp;" + "&amp;INDEX(tk_BASEA,MATCH(338,tk_FSEQ,0))),"")</f>
        <v/>
      </c>
      <c r="H343" s="181">
        <f>IFERROR(""&amp;INDEX(tk_FLINE,MATCH(338,tk_FSEQ,0)),"")</f>
        <v/>
      </c>
      <c r="I343" s="181">
        <f>IFERROR(""&amp;INDEX(tk_LOCTXT,MATCH(338,tk_FSEQ,0)),"")</f>
        <v/>
      </c>
      <c r="J343" s="162">
        <f>IFERROR(""&amp;INDEX(tk_FNOTES,MATCH(338,tk_FSEQ,0)),"")</f>
        <v/>
      </c>
    </row>
    <row r="344">
      <c r="A344" s="161">
        <f>IFERROR(""&amp;INDEX(tk_MARK,MATCH(339,tk_FSEQ,0)),"")</f>
        <v/>
      </c>
      <c r="B344" s="162">
        <f>IFERROR(INDEX(tk_QTY,MATCH(339,tk_FSEQ,0)),"")</f>
        <v/>
      </c>
      <c r="C344" s="162">
        <f>IFERROR(INDEX(tk_ROOMF,MATCH(339,tk_FSEQ,0))&amp;IF(INDEX(tk_ROOMT,MATCH(339,tk_FSEQ,0))="",""," → "&amp;INDEX(tk_ROOMT,MATCH(339,tk_FSEQ,0))),"")</f>
        <v/>
      </c>
      <c r="D344" s="162">
        <f>IFERROR(""&amp;INDEX(tk_SIZE,MATCH(339,tk_FSEQ,0)),"")</f>
        <v/>
      </c>
      <c r="E344" s="162">
        <f>IFERROR(""&amp;INDEX(tk_RATING,MATCH(339,tk_FSEQ,0)),"")</f>
        <v/>
      </c>
      <c r="F344" s="162">
        <f>IFERROR(TEXT(INDEX(tk_OAW,MATCH(339,tk_FSEQ,0)),"0.000")&amp;" x "&amp;TEXT(INDEX(tk_OAH,MATCH(339,tk_FSEQ,0)),"0.000"),"")</f>
        <v/>
      </c>
      <c r="G344" s="162">
        <f>IFERROR(IF(INDEX(tk_ANCHT,MATCH(339,tk_FSEQ,0))="","",INDEX(tk_ANCHT,MATCH(339,tk_FSEQ,0))&amp;" + "&amp;INDEX(tk_BASEA,MATCH(339,tk_FSEQ,0))),"")</f>
        <v/>
      </c>
      <c r="H344" s="181">
        <f>IFERROR(""&amp;INDEX(tk_FLINE,MATCH(339,tk_FSEQ,0)),"")</f>
        <v/>
      </c>
      <c r="I344" s="181">
        <f>IFERROR(""&amp;INDEX(tk_LOCTXT,MATCH(339,tk_FSEQ,0)),"")</f>
        <v/>
      </c>
      <c r="J344" s="162">
        <f>IFERROR(""&amp;INDEX(tk_FNOTES,MATCH(339,tk_FSEQ,0)),"")</f>
        <v/>
      </c>
    </row>
    <row r="345">
      <c r="A345" s="161">
        <f>IFERROR(""&amp;INDEX(tk_MARK,MATCH(340,tk_FSEQ,0)),"")</f>
        <v/>
      </c>
      <c r="B345" s="162">
        <f>IFERROR(INDEX(tk_QTY,MATCH(340,tk_FSEQ,0)),"")</f>
        <v/>
      </c>
      <c r="C345" s="162">
        <f>IFERROR(INDEX(tk_ROOMF,MATCH(340,tk_FSEQ,0))&amp;IF(INDEX(tk_ROOMT,MATCH(340,tk_FSEQ,0))="",""," → "&amp;INDEX(tk_ROOMT,MATCH(340,tk_FSEQ,0))),"")</f>
        <v/>
      </c>
      <c r="D345" s="162">
        <f>IFERROR(""&amp;INDEX(tk_SIZE,MATCH(340,tk_FSEQ,0)),"")</f>
        <v/>
      </c>
      <c r="E345" s="162">
        <f>IFERROR(""&amp;INDEX(tk_RATING,MATCH(340,tk_FSEQ,0)),"")</f>
        <v/>
      </c>
      <c r="F345" s="162">
        <f>IFERROR(TEXT(INDEX(tk_OAW,MATCH(340,tk_FSEQ,0)),"0.000")&amp;" x "&amp;TEXT(INDEX(tk_OAH,MATCH(340,tk_FSEQ,0)),"0.000"),"")</f>
        <v/>
      </c>
      <c r="G345" s="162">
        <f>IFERROR(IF(INDEX(tk_ANCHT,MATCH(340,tk_FSEQ,0))="","",INDEX(tk_ANCHT,MATCH(340,tk_FSEQ,0))&amp;" + "&amp;INDEX(tk_BASEA,MATCH(340,tk_FSEQ,0))),"")</f>
        <v/>
      </c>
      <c r="H345" s="181">
        <f>IFERROR(""&amp;INDEX(tk_FLINE,MATCH(340,tk_FSEQ,0)),"")</f>
        <v/>
      </c>
      <c r="I345" s="181">
        <f>IFERROR(""&amp;INDEX(tk_LOCTXT,MATCH(340,tk_FSEQ,0)),"")</f>
        <v/>
      </c>
      <c r="J345" s="162">
        <f>IFERROR(""&amp;INDEX(tk_FNOTES,MATCH(340,tk_FSEQ,0)),"")</f>
        <v/>
      </c>
    </row>
    <row r="346">
      <c r="A346" s="161">
        <f>IFERROR(""&amp;INDEX(tk_MARK,MATCH(341,tk_FSEQ,0)),"")</f>
        <v/>
      </c>
      <c r="B346" s="162">
        <f>IFERROR(INDEX(tk_QTY,MATCH(341,tk_FSEQ,0)),"")</f>
        <v/>
      </c>
      <c r="C346" s="162">
        <f>IFERROR(INDEX(tk_ROOMF,MATCH(341,tk_FSEQ,0))&amp;IF(INDEX(tk_ROOMT,MATCH(341,tk_FSEQ,0))="",""," → "&amp;INDEX(tk_ROOMT,MATCH(341,tk_FSEQ,0))),"")</f>
        <v/>
      </c>
      <c r="D346" s="162">
        <f>IFERROR(""&amp;INDEX(tk_SIZE,MATCH(341,tk_FSEQ,0)),"")</f>
        <v/>
      </c>
      <c r="E346" s="162">
        <f>IFERROR(""&amp;INDEX(tk_RATING,MATCH(341,tk_FSEQ,0)),"")</f>
        <v/>
      </c>
      <c r="F346" s="162">
        <f>IFERROR(TEXT(INDEX(tk_OAW,MATCH(341,tk_FSEQ,0)),"0.000")&amp;" x "&amp;TEXT(INDEX(tk_OAH,MATCH(341,tk_FSEQ,0)),"0.000"),"")</f>
        <v/>
      </c>
      <c r="G346" s="162">
        <f>IFERROR(IF(INDEX(tk_ANCHT,MATCH(341,tk_FSEQ,0))="","",INDEX(tk_ANCHT,MATCH(341,tk_FSEQ,0))&amp;" + "&amp;INDEX(tk_BASEA,MATCH(341,tk_FSEQ,0))),"")</f>
        <v/>
      </c>
      <c r="H346" s="181">
        <f>IFERROR(""&amp;INDEX(tk_FLINE,MATCH(341,tk_FSEQ,0)),"")</f>
        <v/>
      </c>
      <c r="I346" s="181">
        <f>IFERROR(""&amp;INDEX(tk_LOCTXT,MATCH(341,tk_FSEQ,0)),"")</f>
        <v/>
      </c>
      <c r="J346" s="162">
        <f>IFERROR(""&amp;INDEX(tk_FNOTES,MATCH(341,tk_FSEQ,0)),"")</f>
        <v/>
      </c>
    </row>
    <row r="347">
      <c r="A347" s="161">
        <f>IFERROR(""&amp;INDEX(tk_MARK,MATCH(342,tk_FSEQ,0)),"")</f>
        <v/>
      </c>
      <c r="B347" s="162">
        <f>IFERROR(INDEX(tk_QTY,MATCH(342,tk_FSEQ,0)),"")</f>
        <v/>
      </c>
      <c r="C347" s="162">
        <f>IFERROR(INDEX(tk_ROOMF,MATCH(342,tk_FSEQ,0))&amp;IF(INDEX(tk_ROOMT,MATCH(342,tk_FSEQ,0))="",""," → "&amp;INDEX(tk_ROOMT,MATCH(342,tk_FSEQ,0))),"")</f>
        <v/>
      </c>
      <c r="D347" s="162">
        <f>IFERROR(""&amp;INDEX(tk_SIZE,MATCH(342,tk_FSEQ,0)),"")</f>
        <v/>
      </c>
      <c r="E347" s="162">
        <f>IFERROR(""&amp;INDEX(tk_RATING,MATCH(342,tk_FSEQ,0)),"")</f>
        <v/>
      </c>
      <c r="F347" s="162">
        <f>IFERROR(TEXT(INDEX(tk_OAW,MATCH(342,tk_FSEQ,0)),"0.000")&amp;" x "&amp;TEXT(INDEX(tk_OAH,MATCH(342,tk_FSEQ,0)),"0.000"),"")</f>
        <v/>
      </c>
      <c r="G347" s="162">
        <f>IFERROR(IF(INDEX(tk_ANCHT,MATCH(342,tk_FSEQ,0))="","",INDEX(tk_ANCHT,MATCH(342,tk_FSEQ,0))&amp;" + "&amp;INDEX(tk_BASEA,MATCH(342,tk_FSEQ,0))),"")</f>
        <v/>
      </c>
      <c r="H347" s="181">
        <f>IFERROR(""&amp;INDEX(tk_FLINE,MATCH(342,tk_FSEQ,0)),"")</f>
        <v/>
      </c>
      <c r="I347" s="181">
        <f>IFERROR(""&amp;INDEX(tk_LOCTXT,MATCH(342,tk_FSEQ,0)),"")</f>
        <v/>
      </c>
      <c r="J347" s="162">
        <f>IFERROR(""&amp;INDEX(tk_FNOTES,MATCH(342,tk_FSEQ,0)),"")</f>
        <v/>
      </c>
    </row>
    <row r="348">
      <c r="A348" s="161">
        <f>IFERROR(""&amp;INDEX(tk_MARK,MATCH(343,tk_FSEQ,0)),"")</f>
        <v/>
      </c>
      <c r="B348" s="162">
        <f>IFERROR(INDEX(tk_QTY,MATCH(343,tk_FSEQ,0)),"")</f>
        <v/>
      </c>
      <c r="C348" s="162">
        <f>IFERROR(INDEX(tk_ROOMF,MATCH(343,tk_FSEQ,0))&amp;IF(INDEX(tk_ROOMT,MATCH(343,tk_FSEQ,0))="",""," → "&amp;INDEX(tk_ROOMT,MATCH(343,tk_FSEQ,0))),"")</f>
        <v/>
      </c>
      <c r="D348" s="162">
        <f>IFERROR(""&amp;INDEX(tk_SIZE,MATCH(343,tk_FSEQ,0)),"")</f>
        <v/>
      </c>
      <c r="E348" s="162">
        <f>IFERROR(""&amp;INDEX(tk_RATING,MATCH(343,tk_FSEQ,0)),"")</f>
        <v/>
      </c>
      <c r="F348" s="162">
        <f>IFERROR(TEXT(INDEX(tk_OAW,MATCH(343,tk_FSEQ,0)),"0.000")&amp;" x "&amp;TEXT(INDEX(tk_OAH,MATCH(343,tk_FSEQ,0)),"0.000"),"")</f>
        <v/>
      </c>
      <c r="G348" s="162">
        <f>IFERROR(IF(INDEX(tk_ANCHT,MATCH(343,tk_FSEQ,0))="","",INDEX(tk_ANCHT,MATCH(343,tk_FSEQ,0))&amp;" + "&amp;INDEX(tk_BASEA,MATCH(343,tk_FSEQ,0))),"")</f>
        <v/>
      </c>
      <c r="H348" s="181">
        <f>IFERROR(""&amp;INDEX(tk_FLINE,MATCH(343,tk_FSEQ,0)),"")</f>
        <v/>
      </c>
      <c r="I348" s="181">
        <f>IFERROR(""&amp;INDEX(tk_LOCTXT,MATCH(343,tk_FSEQ,0)),"")</f>
        <v/>
      </c>
      <c r="J348" s="162">
        <f>IFERROR(""&amp;INDEX(tk_FNOTES,MATCH(343,tk_FSEQ,0)),"")</f>
        <v/>
      </c>
    </row>
    <row r="349">
      <c r="A349" s="161">
        <f>IFERROR(""&amp;INDEX(tk_MARK,MATCH(344,tk_FSEQ,0)),"")</f>
        <v/>
      </c>
      <c r="B349" s="162">
        <f>IFERROR(INDEX(tk_QTY,MATCH(344,tk_FSEQ,0)),"")</f>
        <v/>
      </c>
      <c r="C349" s="162">
        <f>IFERROR(INDEX(tk_ROOMF,MATCH(344,tk_FSEQ,0))&amp;IF(INDEX(tk_ROOMT,MATCH(344,tk_FSEQ,0))="",""," → "&amp;INDEX(tk_ROOMT,MATCH(344,tk_FSEQ,0))),"")</f>
        <v/>
      </c>
      <c r="D349" s="162">
        <f>IFERROR(""&amp;INDEX(tk_SIZE,MATCH(344,tk_FSEQ,0)),"")</f>
        <v/>
      </c>
      <c r="E349" s="162">
        <f>IFERROR(""&amp;INDEX(tk_RATING,MATCH(344,tk_FSEQ,0)),"")</f>
        <v/>
      </c>
      <c r="F349" s="162">
        <f>IFERROR(TEXT(INDEX(tk_OAW,MATCH(344,tk_FSEQ,0)),"0.000")&amp;" x "&amp;TEXT(INDEX(tk_OAH,MATCH(344,tk_FSEQ,0)),"0.000"),"")</f>
        <v/>
      </c>
      <c r="G349" s="162">
        <f>IFERROR(IF(INDEX(tk_ANCHT,MATCH(344,tk_FSEQ,0))="","",INDEX(tk_ANCHT,MATCH(344,tk_FSEQ,0))&amp;" + "&amp;INDEX(tk_BASEA,MATCH(344,tk_FSEQ,0))),"")</f>
        <v/>
      </c>
      <c r="H349" s="181">
        <f>IFERROR(""&amp;INDEX(tk_FLINE,MATCH(344,tk_FSEQ,0)),"")</f>
        <v/>
      </c>
      <c r="I349" s="181">
        <f>IFERROR(""&amp;INDEX(tk_LOCTXT,MATCH(344,tk_FSEQ,0)),"")</f>
        <v/>
      </c>
      <c r="J349" s="162">
        <f>IFERROR(""&amp;INDEX(tk_FNOTES,MATCH(344,tk_FSEQ,0)),"")</f>
        <v/>
      </c>
    </row>
    <row r="350">
      <c r="A350" s="161">
        <f>IFERROR(""&amp;INDEX(tk_MARK,MATCH(345,tk_FSEQ,0)),"")</f>
        <v/>
      </c>
      <c r="B350" s="162">
        <f>IFERROR(INDEX(tk_QTY,MATCH(345,tk_FSEQ,0)),"")</f>
        <v/>
      </c>
      <c r="C350" s="162">
        <f>IFERROR(INDEX(tk_ROOMF,MATCH(345,tk_FSEQ,0))&amp;IF(INDEX(tk_ROOMT,MATCH(345,tk_FSEQ,0))="",""," → "&amp;INDEX(tk_ROOMT,MATCH(345,tk_FSEQ,0))),"")</f>
        <v/>
      </c>
      <c r="D350" s="162">
        <f>IFERROR(""&amp;INDEX(tk_SIZE,MATCH(345,tk_FSEQ,0)),"")</f>
        <v/>
      </c>
      <c r="E350" s="162">
        <f>IFERROR(""&amp;INDEX(tk_RATING,MATCH(345,tk_FSEQ,0)),"")</f>
        <v/>
      </c>
      <c r="F350" s="162">
        <f>IFERROR(TEXT(INDEX(tk_OAW,MATCH(345,tk_FSEQ,0)),"0.000")&amp;" x "&amp;TEXT(INDEX(tk_OAH,MATCH(345,tk_FSEQ,0)),"0.000"),"")</f>
        <v/>
      </c>
      <c r="G350" s="162">
        <f>IFERROR(IF(INDEX(tk_ANCHT,MATCH(345,tk_FSEQ,0))="","",INDEX(tk_ANCHT,MATCH(345,tk_FSEQ,0))&amp;" + "&amp;INDEX(tk_BASEA,MATCH(345,tk_FSEQ,0))),"")</f>
        <v/>
      </c>
      <c r="H350" s="181">
        <f>IFERROR(""&amp;INDEX(tk_FLINE,MATCH(345,tk_FSEQ,0)),"")</f>
        <v/>
      </c>
      <c r="I350" s="181">
        <f>IFERROR(""&amp;INDEX(tk_LOCTXT,MATCH(345,tk_FSEQ,0)),"")</f>
        <v/>
      </c>
      <c r="J350" s="162">
        <f>IFERROR(""&amp;INDEX(tk_FNOTES,MATCH(345,tk_FSEQ,0)),"")</f>
        <v/>
      </c>
    </row>
    <row r="351">
      <c r="A351" s="161">
        <f>IFERROR(""&amp;INDEX(tk_MARK,MATCH(346,tk_FSEQ,0)),"")</f>
        <v/>
      </c>
      <c r="B351" s="162">
        <f>IFERROR(INDEX(tk_QTY,MATCH(346,tk_FSEQ,0)),"")</f>
        <v/>
      </c>
      <c r="C351" s="162">
        <f>IFERROR(INDEX(tk_ROOMF,MATCH(346,tk_FSEQ,0))&amp;IF(INDEX(tk_ROOMT,MATCH(346,tk_FSEQ,0))="",""," → "&amp;INDEX(tk_ROOMT,MATCH(346,tk_FSEQ,0))),"")</f>
        <v/>
      </c>
      <c r="D351" s="162">
        <f>IFERROR(""&amp;INDEX(tk_SIZE,MATCH(346,tk_FSEQ,0)),"")</f>
        <v/>
      </c>
      <c r="E351" s="162">
        <f>IFERROR(""&amp;INDEX(tk_RATING,MATCH(346,tk_FSEQ,0)),"")</f>
        <v/>
      </c>
      <c r="F351" s="162">
        <f>IFERROR(TEXT(INDEX(tk_OAW,MATCH(346,tk_FSEQ,0)),"0.000")&amp;" x "&amp;TEXT(INDEX(tk_OAH,MATCH(346,tk_FSEQ,0)),"0.000"),"")</f>
        <v/>
      </c>
      <c r="G351" s="162">
        <f>IFERROR(IF(INDEX(tk_ANCHT,MATCH(346,tk_FSEQ,0))="","",INDEX(tk_ANCHT,MATCH(346,tk_FSEQ,0))&amp;" + "&amp;INDEX(tk_BASEA,MATCH(346,tk_FSEQ,0))),"")</f>
        <v/>
      </c>
      <c r="H351" s="181">
        <f>IFERROR(""&amp;INDEX(tk_FLINE,MATCH(346,tk_FSEQ,0)),"")</f>
        <v/>
      </c>
      <c r="I351" s="181">
        <f>IFERROR(""&amp;INDEX(tk_LOCTXT,MATCH(346,tk_FSEQ,0)),"")</f>
        <v/>
      </c>
      <c r="J351" s="162">
        <f>IFERROR(""&amp;INDEX(tk_FNOTES,MATCH(346,tk_FSEQ,0)),"")</f>
        <v/>
      </c>
    </row>
    <row r="352">
      <c r="A352" s="161">
        <f>IFERROR(""&amp;INDEX(tk_MARK,MATCH(347,tk_FSEQ,0)),"")</f>
        <v/>
      </c>
      <c r="B352" s="162">
        <f>IFERROR(INDEX(tk_QTY,MATCH(347,tk_FSEQ,0)),"")</f>
        <v/>
      </c>
      <c r="C352" s="162">
        <f>IFERROR(INDEX(tk_ROOMF,MATCH(347,tk_FSEQ,0))&amp;IF(INDEX(tk_ROOMT,MATCH(347,tk_FSEQ,0))="",""," → "&amp;INDEX(tk_ROOMT,MATCH(347,tk_FSEQ,0))),"")</f>
        <v/>
      </c>
      <c r="D352" s="162">
        <f>IFERROR(""&amp;INDEX(tk_SIZE,MATCH(347,tk_FSEQ,0)),"")</f>
        <v/>
      </c>
      <c r="E352" s="162">
        <f>IFERROR(""&amp;INDEX(tk_RATING,MATCH(347,tk_FSEQ,0)),"")</f>
        <v/>
      </c>
      <c r="F352" s="162">
        <f>IFERROR(TEXT(INDEX(tk_OAW,MATCH(347,tk_FSEQ,0)),"0.000")&amp;" x "&amp;TEXT(INDEX(tk_OAH,MATCH(347,tk_FSEQ,0)),"0.000"),"")</f>
        <v/>
      </c>
      <c r="G352" s="162">
        <f>IFERROR(IF(INDEX(tk_ANCHT,MATCH(347,tk_FSEQ,0))="","",INDEX(tk_ANCHT,MATCH(347,tk_FSEQ,0))&amp;" + "&amp;INDEX(tk_BASEA,MATCH(347,tk_FSEQ,0))),"")</f>
        <v/>
      </c>
      <c r="H352" s="181">
        <f>IFERROR(""&amp;INDEX(tk_FLINE,MATCH(347,tk_FSEQ,0)),"")</f>
        <v/>
      </c>
      <c r="I352" s="181">
        <f>IFERROR(""&amp;INDEX(tk_LOCTXT,MATCH(347,tk_FSEQ,0)),"")</f>
        <v/>
      </c>
      <c r="J352" s="162">
        <f>IFERROR(""&amp;INDEX(tk_FNOTES,MATCH(347,tk_FSEQ,0)),"")</f>
        <v/>
      </c>
    </row>
    <row r="353">
      <c r="A353" s="161">
        <f>IFERROR(""&amp;INDEX(tk_MARK,MATCH(348,tk_FSEQ,0)),"")</f>
        <v/>
      </c>
      <c r="B353" s="162">
        <f>IFERROR(INDEX(tk_QTY,MATCH(348,tk_FSEQ,0)),"")</f>
        <v/>
      </c>
      <c r="C353" s="162">
        <f>IFERROR(INDEX(tk_ROOMF,MATCH(348,tk_FSEQ,0))&amp;IF(INDEX(tk_ROOMT,MATCH(348,tk_FSEQ,0))="",""," → "&amp;INDEX(tk_ROOMT,MATCH(348,tk_FSEQ,0))),"")</f>
        <v/>
      </c>
      <c r="D353" s="162">
        <f>IFERROR(""&amp;INDEX(tk_SIZE,MATCH(348,tk_FSEQ,0)),"")</f>
        <v/>
      </c>
      <c r="E353" s="162">
        <f>IFERROR(""&amp;INDEX(tk_RATING,MATCH(348,tk_FSEQ,0)),"")</f>
        <v/>
      </c>
      <c r="F353" s="162">
        <f>IFERROR(TEXT(INDEX(tk_OAW,MATCH(348,tk_FSEQ,0)),"0.000")&amp;" x "&amp;TEXT(INDEX(tk_OAH,MATCH(348,tk_FSEQ,0)),"0.000"),"")</f>
        <v/>
      </c>
      <c r="G353" s="162">
        <f>IFERROR(IF(INDEX(tk_ANCHT,MATCH(348,tk_FSEQ,0))="","",INDEX(tk_ANCHT,MATCH(348,tk_FSEQ,0))&amp;" + "&amp;INDEX(tk_BASEA,MATCH(348,tk_FSEQ,0))),"")</f>
        <v/>
      </c>
      <c r="H353" s="181">
        <f>IFERROR(""&amp;INDEX(tk_FLINE,MATCH(348,tk_FSEQ,0)),"")</f>
        <v/>
      </c>
      <c r="I353" s="181">
        <f>IFERROR(""&amp;INDEX(tk_LOCTXT,MATCH(348,tk_FSEQ,0)),"")</f>
        <v/>
      </c>
      <c r="J353" s="162">
        <f>IFERROR(""&amp;INDEX(tk_FNOTES,MATCH(348,tk_FSEQ,0)),"")</f>
        <v/>
      </c>
    </row>
    <row r="354">
      <c r="A354" s="161">
        <f>IFERROR(""&amp;INDEX(tk_MARK,MATCH(349,tk_FSEQ,0)),"")</f>
        <v/>
      </c>
      <c r="B354" s="162">
        <f>IFERROR(INDEX(tk_QTY,MATCH(349,tk_FSEQ,0)),"")</f>
        <v/>
      </c>
      <c r="C354" s="162">
        <f>IFERROR(INDEX(tk_ROOMF,MATCH(349,tk_FSEQ,0))&amp;IF(INDEX(tk_ROOMT,MATCH(349,tk_FSEQ,0))="",""," → "&amp;INDEX(tk_ROOMT,MATCH(349,tk_FSEQ,0))),"")</f>
        <v/>
      </c>
      <c r="D354" s="162">
        <f>IFERROR(""&amp;INDEX(tk_SIZE,MATCH(349,tk_FSEQ,0)),"")</f>
        <v/>
      </c>
      <c r="E354" s="162">
        <f>IFERROR(""&amp;INDEX(tk_RATING,MATCH(349,tk_FSEQ,0)),"")</f>
        <v/>
      </c>
      <c r="F354" s="162">
        <f>IFERROR(TEXT(INDEX(tk_OAW,MATCH(349,tk_FSEQ,0)),"0.000")&amp;" x "&amp;TEXT(INDEX(tk_OAH,MATCH(349,tk_FSEQ,0)),"0.000"),"")</f>
        <v/>
      </c>
      <c r="G354" s="162">
        <f>IFERROR(IF(INDEX(tk_ANCHT,MATCH(349,tk_FSEQ,0))="","",INDEX(tk_ANCHT,MATCH(349,tk_FSEQ,0))&amp;" + "&amp;INDEX(tk_BASEA,MATCH(349,tk_FSEQ,0))),"")</f>
        <v/>
      </c>
      <c r="H354" s="181">
        <f>IFERROR(""&amp;INDEX(tk_FLINE,MATCH(349,tk_FSEQ,0)),"")</f>
        <v/>
      </c>
      <c r="I354" s="181">
        <f>IFERROR(""&amp;INDEX(tk_LOCTXT,MATCH(349,tk_FSEQ,0)),"")</f>
        <v/>
      </c>
      <c r="J354" s="162">
        <f>IFERROR(""&amp;INDEX(tk_FNOTES,MATCH(349,tk_FSEQ,0)),"")</f>
        <v/>
      </c>
    </row>
    <row r="355">
      <c r="A355" s="161">
        <f>IFERROR(""&amp;INDEX(tk_MARK,MATCH(350,tk_FSEQ,0)),"")</f>
        <v/>
      </c>
      <c r="B355" s="162">
        <f>IFERROR(INDEX(tk_QTY,MATCH(350,tk_FSEQ,0)),"")</f>
        <v/>
      </c>
      <c r="C355" s="162">
        <f>IFERROR(INDEX(tk_ROOMF,MATCH(350,tk_FSEQ,0))&amp;IF(INDEX(tk_ROOMT,MATCH(350,tk_FSEQ,0))="",""," → "&amp;INDEX(tk_ROOMT,MATCH(350,tk_FSEQ,0))),"")</f>
        <v/>
      </c>
      <c r="D355" s="162">
        <f>IFERROR(""&amp;INDEX(tk_SIZE,MATCH(350,tk_FSEQ,0)),"")</f>
        <v/>
      </c>
      <c r="E355" s="162">
        <f>IFERROR(""&amp;INDEX(tk_RATING,MATCH(350,tk_FSEQ,0)),"")</f>
        <v/>
      </c>
      <c r="F355" s="162">
        <f>IFERROR(TEXT(INDEX(tk_OAW,MATCH(350,tk_FSEQ,0)),"0.000")&amp;" x "&amp;TEXT(INDEX(tk_OAH,MATCH(350,tk_FSEQ,0)),"0.000"),"")</f>
        <v/>
      </c>
      <c r="G355" s="162">
        <f>IFERROR(IF(INDEX(tk_ANCHT,MATCH(350,tk_FSEQ,0))="","",INDEX(tk_ANCHT,MATCH(350,tk_FSEQ,0))&amp;" + "&amp;INDEX(tk_BASEA,MATCH(350,tk_FSEQ,0))),"")</f>
        <v/>
      </c>
      <c r="H355" s="181">
        <f>IFERROR(""&amp;INDEX(tk_FLINE,MATCH(350,tk_FSEQ,0)),"")</f>
        <v/>
      </c>
      <c r="I355" s="181">
        <f>IFERROR(""&amp;INDEX(tk_LOCTXT,MATCH(350,tk_FSEQ,0)),"")</f>
        <v/>
      </c>
      <c r="J355" s="162">
        <f>IFERROR(""&amp;INDEX(tk_FNOTES,MATCH(350,tk_FSEQ,0)),"")</f>
        <v/>
      </c>
    </row>
    <row r="356">
      <c r="A356" s="161">
        <f>IFERROR(""&amp;INDEX(tk_MARK,MATCH(351,tk_FSEQ,0)),"")</f>
        <v/>
      </c>
      <c r="B356" s="162">
        <f>IFERROR(INDEX(tk_QTY,MATCH(351,tk_FSEQ,0)),"")</f>
        <v/>
      </c>
      <c r="C356" s="162">
        <f>IFERROR(INDEX(tk_ROOMF,MATCH(351,tk_FSEQ,0))&amp;IF(INDEX(tk_ROOMT,MATCH(351,tk_FSEQ,0))="",""," → "&amp;INDEX(tk_ROOMT,MATCH(351,tk_FSEQ,0))),"")</f>
        <v/>
      </c>
      <c r="D356" s="162">
        <f>IFERROR(""&amp;INDEX(tk_SIZE,MATCH(351,tk_FSEQ,0)),"")</f>
        <v/>
      </c>
      <c r="E356" s="162">
        <f>IFERROR(""&amp;INDEX(tk_RATING,MATCH(351,tk_FSEQ,0)),"")</f>
        <v/>
      </c>
      <c r="F356" s="162">
        <f>IFERROR(TEXT(INDEX(tk_OAW,MATCH(351,tk_FSEQ,0)),"0.000")&amp;" x "&amp;TEXT(INDEX(tk_OAH,MATCH(351,tk_FSEQ,0)),"0.000"),"")</f>
        <v/>
      </c>
      <c r="G356" s="162">
        <f>IFERROR(IF(INDEX(tk_ANCHT,MATCH(351,tk_FSEQ,0))="","",INDEX(tk_ANCHT,MATCH(351,tk_FSEQ,0))&amp;" + "&amp;INDEX(tk_BASEA,MATCH(351,tk_FSEQ,0))),"")</f>
        <v/>
      </c>
      <c r="H356" s="181">
        <f>IFERROR(""&amp;INDEX(tk_FLINE,MATCH(351,tk_FSEQ,0)),"")</f>
        <v/>
      </c>
      <c r="I356" s="181">
        <f>IFERROR(""&amp;INDEX(tk_LOCTXT,MATCH(351,tk_FSEQ,0)),"")</f>
        <v/>
      </c>
      <c r="J356" s="162">
        <f>IFERROR(""&amp;INDEX(tk_FNOTES,MATCH(351,tk_FSEQ,0)),"")</f>
        <v/>
      </c>
    </row>
    <row r="357">
      <c r="A357" s="161">
        <f>IFERROR(""&amp;INDEX(tk_MARK,MATCH(352,tk_FSEQ,0)),"")</f>
        <v/>
      </c>
      <c r="B357" s="162">
        <f>IFERROR(INDEX(tk_QTY,MATCH(352,tk_FSEQ,0)),"")</f>
        <v/>
      </c>
      <c r="C357" s="162">
        <f>IFERROR(INDEX(tk_ROOMF,MATCH(352,tk_FSEQ,0))&amp;IF(INDEX(tk_ROOMT,MATCH(352,tk_FSEQ,0))="",""," → "&amp;INDEX(tk_ROOMT,MATCH(352,tk_FSEQ,0))),"")</f>
        <v/>
      </c>
      <c r="D357" s="162">
        <f>IFERROR(""&amp;INDEX(tk_SIZE,MATCH(352,tk_FSEQ,0)),"")</f>
        <v/>
      </c>
      <c r="E357" s="162">
        <f>IFERROR(""&amp;INDEX(tk_RATING,MATCH(352,tk_FSEQ,0)),"")</f>
        <v/>
      </c>
      <c r="F357" s="162">
        <f>IFERROR(TEXT(INDEX(tk_OAW,MATCH(352,tk_FSEQ,0)),"0.000")&amp;" x "&amp;TEXT(INDEX(tk_OAH,MATCH(352,tk_FSEQ,0)),"0.000"),"")</f>
        <v/>
      </c>
      <c r="G357" s="162">
        <f>IFERROR(IF(INDEX(tk_ANCHT,MATCH(352,tk_FSEQ,0))="","",INDEX(tk_ANCHT,MATCH(352,tk_FSEQ,0))&amp;" + "&amp;INDEX(tk_BASEA,MATCH(352,tk_FSEQ,0))),"")</f>
        <v/>
      </c>
      <c r="H357" s="181">
        <f>IFERROR(""&amp;INDEX(tk_FLINE,MATCH(352,tk_FSEQ,0)),"")</f>
        <v/>
      </c>
      <c r="I357" s="181">
        <f>IFERROR(""&amp;INDEX(tk_LOCTXT,MATCH(352,tk_FSEQ,0)),"")</f>
        <v/>
      </c>
      <c r="J357" s="162">
        <f>IFERROR(""&amp;INDEX(tk_FNOTES,MATCH(352,tk_FSEQ,0)),"")</f>
        <v/>
      </c>
    </row>
    <row r="358">
      <c r="A358" s="161">
        <f>IFERROR(""&amp;INDEX(tk_MARK,MATCH(353,tk_FSEQ,0)),"")</f>
        <v/>
      </c>
      <c r="B358" s="162">
        <f>IFERROR(INDEX(tk_QTY,MATCH(353,tk_FSEQ,0)),"")</f>
        <v/>
      </c>
      <c r="C358" s="162">
        <f>IFERROR(INDEX(tk_ROOMF,MATCH(353,tk_FSEQ,0))&amp;IF(INDEX(tk_ROOMT,MATCH(353,tk_FSEQ,0))="",""," → "&amp;INDEX(tk_ROOMT,MATCH(353,tk_FSEQ,0))),"")</f>
        <v/>
      </c>
      <c r="D358" s="162">
        <f>IFERROR(""&amp;INDEX(tk_SIZE,MATCH(353,tk_FSEQ,0)),"")</f>
        <v/>
      </c>
      <c r="E358" s="162">
        <f>IFERROR(""&amp;INDEX(tk_RATING,MATCH(353,tk_FSEQ,0)),"")</f>
        <v/>
      </c>
      <c r="F358" s="162">
        <f>IFERROR(TEXT(INDEX(tk_OAW,MATCH(353,tk_FSEQ,0)),"0.000")&amp;" x "&amp;TEXT(INDEX(tk_OAH,MATCH(353,tk_FSEQ,0)),"0.000"),"")</f>
        <v/>
      </c>
      <c r="G358" s="162">
        <f>IFERROR(IF(INDEX(tk_ANCHT,MATCH(353,tk_FSEQ,0))="","",INDEX(tk_ANCHT,MATCH(353,tk_FSEQ,0))&amp;" + "&amp;INDEX(tk_BASEA,MATCH(353,tk_FSEQ,0))),"")</f>
        <v/>
      </c>
      <c r="H358" s="181">
        <f>IFERROR(""&amp;INDEX(tk_FLINE,MATCH(353,tk_FSEQ,0)),"")</f>
        <v/>
      </c>
      <c r="I358" s="181">
        <f>IFERROR(""&amp;INDEX(tk_LOCTXT,MATCH(353,tk_FSEQ,0)),"")</f>
        <v/>
      </c>
      <c r="J358" s="162">
        <f>IFERROR(""&amp;INDEX(tk_FNOTES,MATCH(353,tk_FSEQ,0)),"")</f>
        <v/>
      </c>
    </row>
    <row r="359">
      <c r="A359" s="161">
        <f>IFERROR(""&amp;INDEX(tk_MARK,MATCH(354,tk_FSEQ,0)),"")</f>
        <v/>
      </c>
      <c r="B359" s="162">
        <f>IFERROR(INDEX(tk_QTY,MATCH(354,tk_FSEQ,0)),"")</f>
        <v/>
      </c>
      <c r="C359" s="162">
        <f>IFERROR(INDEX(tk_ROOMF,MATCH(354,tk_FSEQ,0))&amp;IF(INDEX(tk_ROOMT,MATCH(354,tk_FSEQ,0))="",""," → "&amp;INDEX(tk_ROOMT,MATCH(354,tk_FSEQ,0))),"")</f>
        <v/>
      </c>
      <c r="D359" s="162">
        <f>IFERROR(""&amp;INDEX(tk_SIZE,MATCH(354,tk_FSEQ,0)),"")</f>
        <v/>
      </c>
      <c r="E359" s="162">
        <f>IFERROR(""&amp;INDEX(tk_RATING,MATCH(354,tk_FSEQ,0)),"")</f>
        <v/>
      </c>
      <c r="F359" s="162">
        <f>IFERROR(TEXT(INDEX(tk_OAW,MATCH(354,tk_FSEQ,0)),"0.000")&amp;" x "&amp;TEXT(INDEX(tk_OAH,MATCH(354,tk_FSEQ,0)),"0.000"),"")</f>
        <v/>
      </c>
      <c r="G359" s="162">
        <f>IFERROR(IF(INDEX(tk_ANCHT,MATCH(354,tk_FSEQ,0))="","",INDEX(tk_ANCHT,MATCH(354,tk_FSEQ,0))&amp;" + "&amp;INDEX(tk_BASEA,MATCH(354,tk_FSEQ,0))),"")</f>
        <v/>
      </c>
      <c r="H359" s="181">
        <f>IFERROR(""&amp;INDEX(tk_FLINE,MATCH(354,tk_FSEQ,0)),"")</f>
        <v/>
      </c>
      <c r="I359" s="181">
        <f>IFERROR(""&amp;INDEX(tk_LOCTXT,MATCH(354,tk_FSEQ,0)),"")</f>
        <v/>
      </c>
      <c r="J359" s="162">
        <f>IFERROR(""&amp;INDEX(tk_FNOTES,MATCH(354,tk_FSEQ,0)),"")</f>
        <v/>
      </c>
    </row>
    <row r="360">
      <c r="A360" s="161">
        <f>IFERROR(""&amp;INDEX(tk_MARK,MATCH(355,tk_FSEQ,0)),"")</f>
        <v/>
      </c>
      <c r="B360" s="162">
        <f>IFERROR(INDEX(tk_QTY,MATCH(355,tk_FSEQ,0)),"")</f>
        <v/>
      </c>
      <c r="C360" s="162">
        <f>IFERROR(INDEX(tk_ROOMF,MATCH(355,tk_FSEQ,0))&amp;IF(INDEX(tk_ROOMT,MATCH(355,tk_FSEQ,0))="",""," → "&amp;INDEX(tk_ROOMT,MATCH(355,tk_FSEQ,0))),"")</f>
        <v/>
      </c>
      <c r="D360" s="162">
        <f>IFERROR(""&amp;INDEX(tk_SIZE,MATCH(355,tk_FSEQ,0)),"")</f>
        <v/>
      </c>
      <c r="E360" s="162">
        <f>IFERROR(""&amp;INDEX(tk_RATING,MATCH(355,tk_FSEQ,0)),"")</f>
        <v/>
      </c>
      <c r="F360" s="162">
        <f>IFERROR(TEXT(INDEX(tk_OAW,MATCH(355,tk_FSEQ,0)),"0.000")&amp;" x "&amp;TEXT(INDEX(tk_OAH,MATCH(355,tk_FSEQ,0)),"0.000"),"")</f>
        <v/>
      </c>
      <c r="G360" s="162">
        <f>IFERROR(IF(INDEX(tk_ANCHT,MATCH(355,tk_FSEQ,0))="","",INDEX(tk_ANCHT,MATCH(355,tk_FSEQ,0))&amp;" + "&amp;INDEX(tk_BASEA,MATCH(355,tk_FSEQ,0))),"")</f>
        <v/>
      </c>
      <c r="H360" s="181">
        <f>IFERROR(""&amp;INDEX(tk_FLINE,MATCH(355,tk_FSEQ,0)),"")</f>
        <v/>
      </c>
      <c r="I360" s="181">
        <f>IFERROR(""&amp;INDEX(tk_LOCTXT,MATCH(355,tk_FSEQ,0)),"")</f>
        <v/>
      </c>
      <c r="J360" s="162">
        <f>IFERROR(""&amp;INDEX(tk_FNOTES,MATCH(355,tk_FSEQ,0)),"")</f>
        <v/>
      </c>
    </row>
    <row r="361">
      <c r="A361" s="161">
        <f>IFERROR(""&amp;INDEX(tk_MARK,MATCH(356,tk_FSEQ,0)),"")</f>
        <v/>
      </c>
      <c r="B361" s="162">
        <f>IFERROR(INDEX(tk_QTY,MATCH(356,tk_FSEQ,0)),"")</f>
        <v/>
      </c>
      <c r="C361" s="162">
        <f>IFERROR(INDEX(tk_ROOMF,MATCH(356,tk_FSEQ,0))&amp;IF(INDEX(tk_ROOMT,MATCH(356,tk_FSEQ,0))="",""," → "&amp;INDEX(tk_ROOMT,MATCH(356,tk_FSEQ,0))),"")</f>
        <v/>
      </c>
      <c r="D361" s="162">
        <f>IFERROR(""&amp;INDEX(tk_SIZE,MATCH(356,tk_FSEQ,0)),"")</f>
        <v/>
      </c>
      <c r="E361" s="162">
        <f>IFERROR(""&amp;INDEX(tk_RATING,MATCH(356,tk_FSEQ,0)),"")</f>
        <v/>
      </c>
      <c r="F361" s="162">
        <f>IFERROR(TEXT(INDEX(tk_OAW,MATCH(356,tk_FSEQ,0)),"0.000")&amp;" x "&amp;TEXT(INDEX(tk_OAH,MATCH(356,tk_FSEQ,0)),"0.000"),"")</f>
        <v/>
      </c>
      <c r="G361" s="162">
        <f>IFERROR(IF(INDEX(tk_ANCHT,MATCH(356,tk_FSEQ,0))="","",INDEX(tk_ANCHT,MATCH(356,tk_FSEQ,0))&amp;" + "&amp;INDEX(tk_BASEA,MATCH(356,tk_FSEQ,0))),"")</f>
        <v/>
      </c>
      <c r="H361" s="181">
        <f>IFERROR(""&amp;INDEX(tk_FLINE,MATCH(356,tk_FSEQ,0)),"")</f>
        <v/>
      </c>
      <c r="I361" s="181">
        <f>IFERROR(""&amp;INDEX(tk_LOCTXT,MATCH(356,tk_FSEQ,0)),"")</f>
        <v/>
      </c>
      <c r="J361" s="162">
        <f>IFERROR(""&amp;INDEX(tk_FNOTES,MATCH(356,tk_FSEQ,0)),"")</f>
        <v/>
      </c>
    </row>
    <row r="362">
      <c r="A362" s="161">
        <f>IFERROR(""&amp;INDEX(tk_MARK,MATCH(357,tk_FSEQ,0)),"")</f>
        <v/>
      </c>
      <c r="B362" s="162">
        <f>IFERROR(INDEX(tk_QTY,MATCH(357,tk_FSEQ,0)),"")</f>
        <v/>
      </c>
      <c r="C362" s="162">
        <f>IFERROR(INDEX(tk_ROOMF,MATCH(357,tk_FSEQ,0))&amp;IF(INDEX(tk_ROOMT,MATCH(357,tk_FSEQ,0))="",""," → "&amp;INDEX(tk_ROOMT,MATCH(357,tk_FSEQ,0))),"")</f>
        <v/>
      </c>
      <c r="D362" s="162">
        <f>IFERROR(""&amp;INDEX(tk_SIZE,MATCH(357,tk_FSEQ,0)),"")</f>
        <v/>
      </c>
      <c r="E362" s="162">
        <f>IFERROR(""&amp;INDEX(tk_RATING,MATCH(357,tk_FSEQ,0)),"")</f>
        <v/>
      </c>
      <c r="F362" s="162">
        <f>IFERROR(TEXT(INDEX(tk_OAW,MATCH(357,tk_FSEQ,0)),"0.000")&amp;" x "&amp;TEXT(INDEX(tk_OAH,MATCH(357,tk_FSEQ,0)),"0.000"),"")</f>
        <v/>
      </c>
      <c r="G362" s="162">
        <f>IFERROR(IF(INDEX(tk_ANCHT,MATCH(357,tk_FSEQ,0))="","",INDEX(tk_ANCHT,MATCH(357,tk_FSEQ,0))&amp;" + "&amp;INDEX(tk_BASEA,MATCH(357,tk_FSEQ,0))),"")</f>
        <v/>
      </c>
      <c r="H362" s="181">
        <f>IFERROR(""&amp;INDEX(tk_FLINE,MATCH(357,tk_FSEQ,0)),"")</f>
        <v/>
      </c>
      <c r="I362" s="181">
        <f>IFERROR(""&amp;INDEX(tk_LOCTXT,MATCH(357,tk_FSEQ,0)),"")</f>
        <v/>
      </c>
      <c r="J362" s="162">
        <f>IFERROR(""&amp;INDEX(tk_FNOTES,MATCH(357,tk_FSEQ,0)),"")</f>
        <v/>
      </c>
    </row>
    <row r="363">
      <c r="A363" s="161">
        <f>IFERROR(""&amp;INDEX(tk_MARK,MATCH(358,tk_FSEQ,0)),"")</f>
        <v/>
      </c>
      <c r="B363" s="162">
        <f>IFERROR(INDEX(tk_QTY,MATCH(358,tk_FSEQ,0)),"")</f>
        <v/>
      </c>
      <c r="C363" s="162">
        <f>IFERROR(INDEX(tk_ROOMF,MATCH(358,tk_FSEQ,0))&amp;IF(INDEX(tk_ROOMT,MATCH(358,tk_FSEQ,0))="",""," → "&amp;INDEX(tk_ROOMT,MATCH(358,tk_FSEQ,0))),"")</f>
        <v/>
      </c>
      <c r="D363" s="162">
        <f>IFERROR(""&amp;INDEX(tk_SIZE,MATCH(358,tk_FSEQ,0)),"")</f>
        <v/>
      </c>
      <c r="E363" s="162">
        <f>IFERROR(""&amp;INDEX(tk_RATING,MATCH(358,tk_FSEQ,0)),"")</f>
        <v/>
      </c>
      <c r="F363" s="162">
        <f>IFERROR(TEXT(INDEX(tk_OAW,MATCH(358,tk_FSEQ,0)),"0.000")&amp;" x "&amp;TEXT(INDEX(tk_OAH,MATCH(358,tk_FSEQ,0)),"0.000"),"")</f>
        <v/>
      </c>
      <c r="G363" s="162">
        <f>IFERROR(IF(INDEX(tk_ANCHT,MATCH(358,tk_FSEQ,0))="","",INDEX(tk_ANCHT,MATCH(358,tk_FSEQ,0))&amp;" + "&amp;INDEX(tk_BASEA,MATCH(358,tk_FSEQ,0))),"")</f>
        <v/>
      </c>
      <c r="H363" s="181">
        <f>IFERROR(""&amp;INDEX(tk_FLINE,MATCH(358,tk_FSEQ,0)),"")</f>
        <v/>
      </c>
      <c r="I363" s="181">
        <f>IFERROR(""&amp;INDEX(tk_LOCTXT,MATCH(358,tk_FSEQ,0)),"")</f>
        <v/>
      </c>
      <c r="J363" s="162">
        <f>IFERROR(""&amp;INDEX(tk_FNOTES,MATCH(358,tk_FSEQ,0)),"")</f>
        <v/>
      </c>
    </row>
    <row r="364">
      <c r="A364" s="161">
        <f>IFERROR(""&amp;INDEX(tk_MARK,MATCH(359,tk_FSEQ,0)),"")</f>
        <v/>
      </c>
      <c r="B364" s="162">
        <f>IFERROR(INDEX(tk_QTY,MATCH(359,tk_FSEQ,0)),"")</f>
        <v/>
      </c>
      <c r="C364" s="162">
        <f>IFERROR(INDEX(tk_ROOMF,MATCH(359,tk_FSEQ,0))&amp;IF(INDEX(tk_ROOMT,MATCH(359,tk_FSEQ,0))="",""," → "&amp;INDEX(tk_ROOMT,MATCH(359,tk_FSEQ,0))),"")</f>
        <v/>
      </c>
      <c r="D364" s="162">
        <f>IFERROR(""&amp;INDEX(tk_SIZE,MATCH(359,tk_FSEQ,0)),"")</f>
        <v/>
      </c>
      <c r="E364" s="162">
        <f>IFERROR(""&amp;INDEX(tk_RATING,MATCH(359,tk_FSEQ,0)),"")</f>
        <v/>
      </c>
      <c r="F364" s="162">
        <f>IFERROR(TEXT(INDEX(tk_OAW,MATCH(359,tk_FSEQ,0)),"0.000")&amp;" x "&amp;TEXT(INDEX(tk_OAH,MATCH(359,tk_FSEQ,0)),"0.000"),"")</f>
        <v/>
      </c>
      <c r="G364" s="162">
        <f>IFERROR(IF(INDEX(tk_ANCHT,MATCH(359,tk_FSEQ,0))="","",INDEX(tk_ANCHT,MATCH(359,tk_FSEQ,0))&amp;" + "&amp;INDEX(tk_BASEA,MATCH(359,tk_FSEQ,0))),"")</f>
        <v/>
      </c>
      <c r="H364" s="181">
        <f>IFERROR(""&amp;INDEX(tk_FLINE,MATCH(359,tk_FSEQ,0)),"")</f>
        <v/>
      </c>
      <c r="I364" s="181">
        <f>IFERROR(""&amp;INDEX(tk_LOCTXT,MATCH(359,tk_FSEQ,0)),"")</f>
        <v/>
      </c>
      <c r="J364" s="162">
        <f>IFERROR(""&amp;INDEX(tk_FNOTES,MATCH(359,tk_FSEQ,0)),"")</f>
        <v/>
      </c>
    </row>
    <row r="365">
      <c r="A365" s="161">
        <f>IFERROR(""&amp;INDEX(tk_MARK,MATCH(360,tk_FSEQ,0)),"")</f>
        <v/>
      </c>
      <c r="B365" s="162">
        <f>IFERROR(INDEX(tk_QTY,MATCH(360,tk_FSEQ,0)),"")</f>
        <v/>
      </c>
      <c r="C365" s="162">
        <f>IFERROR(INDEX(tk_ROOMF,MATCH(360,tk_FSEQ,0))&amp;IF(INDEX(tk_ROOMT,MATCH(360,tk_FSEQ,0))="",""," → "&amp;INDEX(tk_ROOMT,MATCH(360,tk_FSEQ,0))),"")</f>
        <v/>
      </c>
      <c r="D365" s="162">
        <f>IFERROR(""&amp;INDEX(tk_SIZE,MATCH(360,tk_FSEQ,0)),"")</f>
        <v/>
      </c>
      <c r="E365" s="162">
        <f>IFERROR(""&amp;INDEX(tk_RATING,MATCH(360,tk_FSEQ,0)),"")</f>
        <v/>
      </c>
      <c r="F365" s="162">
        <f>IFERROR(TEXT(INDEX(tk_OAW,MATCH(360,tk_FSEQ,0)),"0.000")&amp;" x "&amp;TEXT(INDEX(tk_OAH,MATCH(360,tk_FSEQ,0)),"0.000"),"")</f>
        <v/>
      </c>
      <c r="G365" s="162">
        <f>IFERROR(IF(INDEX(tk_ANCHT,MATCH(360,tk_FSEQ,0))="","",INDEX(tk_ANCHT,MATCH(360,tk_FSEQ,0))&amp;" + "&amp;INDEX(tk_BASEA,MATCH(360,tk_FSEQ,0))),"")</f>
        <v/>
      </c>
      <c r="H365" s="181">
        <f>IFERROR(""&amp;INDEX(tk_FLINE,MATCH(360,tk_FSEQ,0)),"")</f>
        <v/>
      </c>
      <c r="I365" s="181">
        <f>IFERROR(""&amp;INDEX(tk_LOCTXT,MATCH(360,tk_FSEQ,0)),"")</f>
        <v/>
      </c>
      <c r="J365" s="162">
        <f>IFERROR(""&amp;INDEX(tk_FNOTES,MATCH(360,tk_FSEQ,0)),"")</f>
        <v/>
      </c>
    </row>
    <row r="366">
      <c r="A366" s="161">
        <f>IFERROR(""&amp;INDEX(tk_MARK,MATCH(361,tk_FSEQ,0)),"")</f>
        <v/>
      </c>
      <c r="B366" s="162">
        <f>IFERROR(INDEX(tk_QTY,MATCH(361,tk_FSEQ,0)),"")</f>
        <v/>
      </c>
      <c r="C366" s="162">
        <f>IFERROR(INDEX(tk_ROOMF,MATCH(361,tk_FSEQ,0))&amp;IF(INDEX(tk_ROOMT,MATCH(361,tk_FSEQ,0))="",""," → "&amp;INDEX(tk_ROOMT,MATCH(361,tk_FSEQ,0))),"")</f>
        <v/>
      </c>
      <c r="D366" s="162">
        <f>IFERROR(""&amp;INDEX(tk_SIZE,MATCH(361,tk_FSEQ,0)),"")</f>
        <v/>
      </c>
      <c r="E366" s="162">
        <f>IFERROR(""&amp;INDEX(tk_RATING,MATCH(361,tk_FSEQ,0)),"")</f>
        <v/>
      </c>
      <c r="F366" s="162">
        <f>IFERROR(TEXT(INDEX(tk_OAW,MATCH(361,tk_FSEQ,0)),"0.000")&amp;" x "&amp;TEXT(INDEX(tk_OAH,MATCH(361,tk_FSEQ,0)),"0.000"),"")</f>
        <v/>
      </c>
      <c r="G366" s="162">
        <f>IFERROR(IF(INDEX(tk_ANCHT,MATCH(361,tk_FSEQ,0))="","",INDEX(tk_ANCHT,MATCH(361,tk_FSEQ,0))&amp;" + "&amp;INDEX(tk_BASEA,MATCH(361,tk_FSEQ,0))),"")</f>
        <v/>
      </c>
      <c r="H366" s="181">
        <f>IFERROR(""&amp;INDEX(tk_FLINE,MATCH(361,tk_FSEQ,0)),"")</f>
        <v/>
      </c>
      <c r="I366" s="181">
        <f>IFERROR(""&amp;INDEX(tk_LOCTXT,MATCH(361,tk_FSEQ,0)),"")</f>
        <v/>
      </c>
      <c r="J366" s="162">
        <f>IFERROR(""&amp;INDEX(tk_FNOTES,MATCH(361,tk_FSEQ,0)),"")</f>
        <v/>
      </c>
    </row>
    <row r="367">
      <c r="A367" s="161">
        <f>IFERROR(""&amp;INDEX(tk_MARK,MATCH(362,tk_FSEQ,0)),"")</f>
        <v/>
      </c>
      <c r="B367" s="162">
        <f>IFERROR(INDEX(tk_QTY,MATCH(362,tk_FSEQ,0)),"")</f>
        <v/>
      </c>
      <c r="C367" s="162">
        <f>IFERROR(INDEX(tk_ROOMF,MATCH(362,tk_FSEQ,0))&amp;IF(INDEX(tk_ROOMT,MATCH(362,tk_FSEQ,0))="",""," → "&amp;INDEX(tk_ROOMT,MATCH(362,tk_FSEQ,0))),"")</f>
        <v/>
      </c>
      <c r="D367" s="162">
        <f>IFERROR(""&amp;INDEX(tk_SIZE,MATCH(362,tk_FSEQ,0)),"")</f>
        <v/>
      </c>
      <c r="E367" s="162">
        <f>IFERROR(""&amp;INDEX(tk_RATING,MATCH(362,tk_FSEQ,0)),"")</f>
        <v/>
      </c>
      <c r="F367" s="162">
        <f>IFERROR(TEXT(INDEX(tk_OAW,MATCH(362,tk_FSEQ,0)),"0.000")&amp;" x "&amp;TEXT(INDEX(tk_OAH,MATCH(362,tk_FSEQ,0)),"0.000"),"")</f>
        <v/>
      </c>
      <c r="G367" s="162">
        <f>IFERROR(IF(INDEX(tk_ANCHT,MATCH(362,tk_FSEQ,0))="","",INDEX(tk_ANCHT,MATCH(362,tk_FSEQ,0))&amp;" + "&amp;INDEX(tk_BASEA,MATCH(362,tk_FSEQ,0))),"")</f>
        <v/>
      </c>
      <c r="H367" s="181">
        <f>IFERROR(""&amp;INDEX(tk_FLINE,MATCH(362,tk_FSEQ,0)),"")</f>
        <v/>
      </c>
      <c r="I367" s="181">
        <f>IFERROR(""&amp;INDEX(tk_LOCTXT,MATCH(362,tk_FSEQ,0)),"")</f>
        <v/>
      </c>
      <c r="J367" s="162">
        <f>IFERROR(""&amp;INDEX(tk_FNOTES,MATCH(362,tk_FSEQ,0)),"")</f>
        <v/>
      </c>
    </row>
    <row r="368">
      <c r="A368" s="161">
        <f>IFERROR(""&amp;INDEX(tk_MARK,MATCH(363,tk_FSEQ,0)),"")</f>
        <v/>
      </c>
      <c r="B368" s="162">
        <f>IFERROR(INDEX(tk_QTY,MATCH(363,tk_FSEQ,0)),"")</f>
        <v/>
      </c>
      <c r="C368" s="162">
        <f>IFERROR(INDEX(tk_ROOMF,MATCH(363,tk_FSEQ,0))&amp;IF(INDEX(tk_ROOMT,MATCH(363,tk_FSEQ,0))="",""," → "&amp;INDEX(tk_ROOMT,MATCH(363,tk_FSEQ,0))),"")</f>
        <v/>
      </c>
      <c r="D368" s="162">
        <f>IFERROR(""&amp;INDEX(tk_SIZE,MATCH(363,tk_FSEQ,0)),"")</f>
        <v/>
      </c>
      <c r="E368" s="162">
        <f>IFERROR(""&amp;INDEX(tk_RATING,MATCH(363,tk_FSEQ,0)),"")</f>
        <v/>
      </c>
      <c r="F368" s="162">
        <f>IFERROR(TEXT(INDEX(tk_OAW,MATCH(363,tk_FSEQ,0)),"0.000")&amp;" x "&amp;TEXT(INDEX(tk_OAH,MATCH(363,tk_FSEQ,0)),"0.000"),"")</f>
        <v/>
      </c>
      <c r="G368" s="162">
        <f>IFERROR(IF(INDEX(tk_ANCHT,MATCH(363,tk_FSEQ,0))="","",INDEX(tk_ANCHT,MATCH(363,tk_FSEQ,0))&amp;" + "&amp;INDEX(tk_BASEA,MATCH(363,tk_FSEQ,0))),"")</f>
        <v/>
      </c>
      <c r="H368" s="181">
        <f>IFERROR(""&amp;INDEX(tk_FLINE,MATCH(363,tk_FSEQ,0)),"")</f>
        <v/>
      </c>
      <c r="I368" s="181">
        <f>IFERROR(""&amp;INDEX(tk_LOCTXT,MATCH(363,tk_FSEQ,0)),"")</f>
        <v/>
      </c>
      <c r="J368" s="162">
        <f>IFERROR(""&amp;INDEX(tk_FNOTES,MATCH(363,tk_FSEQ,0)),"")</f>
        <v/>
      </c>
    </row>
    <row r="369">
      <c r="A369" s="161">
        <f>IFERROR(""&amp;INDEX(tk_MARK,MATCH(364,tk_FSEQ,0)),"")</f>
        <v/>
      </c>
      <c r="B369" s="162">
        <f>IFERROR(INDEX(tk_QTY,MATCH(364,tk_FSEQ,0)),"")</f>
        <v/>
      </c>
      <c r="C369" s="162">
        <f>IFERROR(INDEX(tk_ROOMF,MATCH(364,tk_FSEQ,0))&amp;IF(INDEX(tk_ROOMT,MATCH(364,tk_FSEQ,0))="",""," → "&amp;INDEX(tk_ROOMT,MATCH(364,tk_FSEQ,0))),"")</f>
        <v/>
      </c>
      <c r="D369" s="162">
        <f>IFERROR(""&amp;INDEX(tk_SIZE,MATCH(364,tk_FSEQ,0)),"")</f>
        <v/>
      </c>
      <c r="E369" s="162">
        <f>IFERROR(""&amp;INDEX(tk_RATING,MATCH(364,tk_FSEQ,0)),"")</f>
        <v/>
      </c>
      <c r="F369" s="162">
        <f>IFERROR(TEXT(INDEX(tk_OAW,MATCH(364,tk_FSEQ,0)),"0.000")&amp;" x "&amp;TEXT(INDEX(tk_OAH,MATCH(364,tk_FSEQ,0)),"0.000"),"")</f>
        <v/>
      </c>
      <c r="G369" s="162">
        <f>IFERROR(IF(INDEX(tk_ANCHT,MATCH(364,tk_FSEQ,0))="","",INDEX(tk_ANCHT,MATCH(364,tk_FSEQ,0))&amp;" + "&amp;INDEX(tk_BASEA,MATCH(364,tk_FSEQ,0))),"")</f>
        <v/>
      </c>
      <c r="H369" s="181">
        <f>IFERROR(""&amp;INDEX(tk_FLINE,MATCH(364,tk_FSEQ,0)),"")</f>
        <v/>
      </c>
      <c r="I369" s="181">
        <f>IFERROR(""&amp;INDEX(tk_LOCTXT,MATCH(364,tk_FSEQ,0)),"")</f>
        <v/>
      </c>
      <c r="J369" s="162">
        <f>IFERROR(""&amp;INDEX(tk_FNOTES,MATCH(364,tk_FSEQ,0)),"")</f>
        <v/>
      </c>
    </row>
    <row r="370">
      <c r="A370" s="161">
        <f>IFERROR(""&amp;INDEX(tk_MARK,MATCH(365,tk_FSEQ,0)),"")</f>
        <v/>
      </c>
      <c r="B370" s="162">
        <f>IFERROR(INDEX(tk_QTY,MATCH(365,tk_FSEQ,0)),"")</f>
        <v/>
      </c>
      <c r="C370" s="162">
        <f>IFERROR(INDEX(tk_ROOMF,MATCH(365,tk_FSEQ,0))&amp;IF(INDEX(tk_ROOMT,MATCH(365,tk_FSEQ,0))="",""," → "&amp;INDEX(tk_ROOMT,MATCH(365,tk_FSEQ,0))),"")</f>
        <v/>
      </c>
      <c r="D370" s="162">
        <f>IFERROR(""&amp;INDEX(tk_SIZE,MATCH(365,tk_FSEQ,0)),"")</f>
        <v/>
      </c>
      <c r="E370" s="162">
        <f>IFERROR(""&amp;INDEX(tk_RATING,MATCH(365,tk_FSEQ,0)),"")</f>
        <v/>
      </c>
      <c r="F370" s="162">
        <f>IFERROR(TEXT(INDEX(tk_OAW,MATCH(365,tk_FSEQ,0)),"0.000")&amp;" x "&amp;TEXT(INDEX(tk_OAH,MATCH(365,tk_FSEQ,0)),"0.000"),"")</f>
        <v/>
      </c>
      <c r="G370" s="162">
        <f>IFERROR(IF(INDEX(tk_ANCHT,MATCH(365,tk_FSEQ,0))="","",INDEX(tk_ANCHT,MATCH(365,tk_FSEQ,0))&amp;" + "&amp;INDEX(tk_BASEA,MATCH(365,tk_FSEQ,0))),"")</f>
        <v/>
      </c>
      <c r="H370" s="181">
        <f>IFERROR(""&amp;INDEX(tk_FLINE,MATCH(365,tk_FSEQ,0)),"")</f>
        <v/>
      </c>
      <c r="I370" s="181">
        <f>IFERROR(""&amp;INDEX(tk_LOCTXT,MATCH(365,tk_FSEQ,0)),"")</f>
        <v/>
      </c>
      <c r="J370" s="162">
        <f>IFERROR(""&amp;INDEX(tk_FNOTES,MATCH(365,tk_FSEQ,0)),"")</f>
        <v/>
      </c>
    </row>
    <row r="371">
      <c r="A371" s="161">
        <f>IFERROR(""&amp;INDEX(tk_MARK,MATCH(366,tk_FSEQ,0)),"")</f>
        <v/>
      </c>
      <c r="B371" s="162">
        <f>IFERROR(INDEX(tk_QTY,MATCH(366,tk_FSEQ,0)),"")</f>
        <v/>
      </c>
      <c r="C371" s="162">
        <f>IFERROR(INDEX(tk_ROOMF,MATCH(366,tk_FSEQ,0))&amp;IF(INDEX(tk_ROOMT,MATCH(366,tk_FSEQ,0))="",""," → "&amp;INDEX(tk_ROOMT,MATCH(366,tk_FSEQ,0))),"")</f>
        <v/>
      </c>
      <c r="D371" s="162">
        <f>IFERROR(""&amp;INDEX(tk_SIZE,MATCH(366,tk_FSEQ,0)),"")</f>
        <v/>
      </c>
      <c r="E371" s="162">
        <f>IFERROR(""&amp;INDEX(tk_RATING,MATCH(366,tk_FSEQ,0)),"")</f>
        <v/>
      </c>
      <c r="F371" s="162">
        <f>IFERROR(TEXT(INDEX(tk_OAW,MATCH(366,tk_FSEQ,0)),"0.000")&amp;" x "&amp;TEXT(INDEX(tk_OAH,MATCH(366,tk_FSEQ,0)),"0.000"),"")</f>
        <v/>
      </c>
      <c r="G371" s="162">
        <f>IFERROR(IF(INDEX(tk_ANCHT,MATCH(366,tk_FSEQ,0))="","",INDEX(tk_ANCHT,MATCH(366,tk_FSEQ,0))&amp;" + "&amp;INDEX(tk_BASEA,MATCH(366,tk_FSEQ,0))),"")</f>
        <v/>
      </c>
      <c r="H371" s="181">
        <f>IFERROR(""&amp;INDEX(tk_FLINE,MATCH(366,tk_FSEQ,0)),"")</f>
        <v/>
      </c>
      <c r="I371" s="181">
        <f>IFERROR(""&amp;INDEX(tk_LOCTXT,MATCH(366,tk_FSEQ,0)),"")</f>
        <v/>
      </c>
      <c r="J371" s="162">
        <f>IFERROR(""&amp;INDEX(tk_FNOTES,MATCH(366,tk_FSEQ,0)),"")</f>
        <v/>
      </c>
    </row>
    <row r="372">
      <c r="A372" s="161">
        <f>IFERROR(""&amp;INDEX(tk_MARK,MATCH(367,tk_FSEQ,0)),"")</f>
        <v/>
      </c>
      <c r="B372" s="162">
        <f>IFERROR(INDEX(tk_QTY,MATCH(367,tk_FSEQ,0)),"")</f>
        <v/>
      </c>
      <c r="C372" s="162">
        <f>IFERROR(INDEX(tk_ROOMF,MATCH(367,tk_FSEQ,0))&amp;IF(INDEX(tk_ROOMT,MATCH(367,tk_FSEQ,0))="",""," → "&amp;INDEX(tk_ROOMT,MATCH(367,tk_FSEQ,0))),"")</f>
        <v/>
      </c>
      <c r="D372" s="162">
        <f>IFERROR(""&amp;INDEX(tk_SIZE,MATCH(367,tk_FSEQ,0)),"")</f>
        <v/>
      </c>
      <c r="E372" s="162">
        <f>IFERROR(""&amp;INDEX(tk_RATING,MATCH(367,tk_FSEQ,0)),"")</f>
        <v/>
      </c>
      <c r="F372" s="162">
        <f>IFERROR(TEXT(INDEX(tk_OAW,MATCH(367,tk_FSEQ,0)),"0.000")&amp;" x "&amp;TEXT(INDEX(tk_OAH,MATCH(367,tk_FSEQ,0)),"0.000"),"")</f>
        <v/>
      </c>
      <c r="G372" s="162">
        <f>IFERROR(IF(INDEX(tk_ANCHT,MATCH(367,tk_FSEQ,0))="","",INDEX(tk_ANCHT,MATCH(367,tk_FSEQ,0))&amp;" + "&amp;INDEX(tk_BASEA,MATCH(367,tk_FSEQ,0))),"")</f>
        <v/>
      </c>
      <c r="H372" s="181">
        <f>IFERROR(""&amp;INDEX(tk_FLINE,MATCH(367,tk_FSEQ,0)),"")</f>
        <v/>
      </c>
      <c r="I372" s="181">
        <f>IFERROR(""&amp;INDEX(tk_LOCTXT,MATCH(367,tk_FSEQ,0)),"")</f>
        <v/>
      </c>
      <c r="J372" s="162">
        <f>IFERROR(""&amp;INDEX(tk_FNOTES,MATCH(367,tk_FSEQ,0)),"")</f>
        <v/>
      </c>
    </row>
    <row r="373">
      <c r="A373" s="161">
        <f>IFERROR(""&amp;INDEX(tk_MARK,MATCH(368,tk_FSEQ,0)),"")</f>
        <v/>
      </c>
      <c r="B373" s="162">
        <f>IFERROR(INDEX(tk_QTY,MATCH(368,tk_FSEQ,0)),"")</f>
        <v/>
      </c>
      <c r="C373" s="162">
        <f>IFERROR(INDEX(tk_ROOMF,MATCH(368,tk_FSEQ,0))&amp;IF(INDEX(tk_ROOMT,MATCH(368,tk_FSEQ,0))="",""," → "&amp;INDEX(tk_ROOMT,MATCH(368,tk_FSEQ,0))),"")</f>
        <v/>
      </c>
      <c r="D373" s="162">
        <f>IFERROR(""&amp;INDEX(tk_SIZE,MATCH(368,tk_FSEQ,0)),"")</f>
        <v/>
      </c>
      <c r="E373" s="162">
        <f>IFERROR(""&amp;INDEX(tk_RATING,MATCH(368,tk_FSEQ,0)),"")</f>
        <v/>
      </c>
      <c r="F373" s="162">
        <f>IFERROR(TEXT(INDEX(tk_OAW,MATCH(368,tk_FSEQ,0)),"0.000")&amp;" x "&amp;TEXT(INDEX(tk_OAH,MATCH(368,tk_FSEQ,0)),"0.000"),"")</f>
        <v/>
      </c>
      <c r="G373" s="162">
        <f>IFERROR(IF(INDEX(tk_ANCHT,MATCH(368,tk_FSEQ,0))="","",INDEX(tk_ANCHT,MATCH(368,tk_FSEQ,0))&amp;" + "&amp;INDEX(tk_BASEA,MATCH(368,tk_FSEQ,0))),"")</f>
        <v/>
      </c>
      <c r="H373" s="181">
        <f>IFERROR(""&amp;INDEX(tk_FLINE,MATCH(368,tk_FSEQ,0)),"")</f>
        <v/>
      </c>
      <c r="I373" s="181">
        <f>IFERROR(""&amp;INDEX(tk_LOCTXT,MATCH(368,tk_FSEQ,0)),"")</f>
        <v/>
      </c>
      <c r="J373" s="162">
        <f>IFERROR(""&amp;INDEX(tk_FNOTES,MATCH(368,tk_FSEQ,0)),"")</f>
        <v/>
      </c>
    </row>
    <row r="374">
      <c r="A374" s="161">
        <f>IFERROR(""&amp;INDEX(tk_MARK,MATCH(369,tk_FSEQ,0)),"")</f>
        <v/>
      </c>
      <c r="B374" s="162">
        <f>IFERROR(INDEX(tk_QTY,MATCH(369,tk_FSEQ,0)),"")</f>
        <v/>
      </c>
      <c r="C374" s="162">
        <f>IFERROR(INDEX(tk_ROOMF,MATCH(369,tk_FSEQ,0))&amp;IF(INDEX(tk_ROOMT,MATCH(369,tk_FSEQ,0))="",""," → "&amp;INDEX(tk_ROOMT,MATCH(369,tk_FSEQ,0))),"")</f>
        <v/>
      </c>
      <c r="D374" s="162">
        <f>IFERROR(""&amp;INDEX(tk_SIZE,MATCH(369,tk_FSEQ,0)),"")</f>
        <v/>
      </c>
      <c r="E374" s="162">
        <f>IFERROR(""&amp;INDEX(tk_RATING,MATCH(369,tk_FSEQ,0)),"")</f>
        <v/>
      </c>
      <c r="F374" s="162">
        <f>IFERROR(TEXT(INDEX(tk_OAW,MATCH(369,tk_FSEQ,0)),"0.000")&amp;" x "&amp;TEXT(INDEX(tk_OAH,MATCH(369,tk_FSEQ,0)),"0.000"),"")</f>
        <v/>
      </c>
      <c r="G374" s="162">
        <f>IFERROR(IF(INDEX(tk_ANCHT,MATCH(369,tk_FSEQ,0))="","",INDEX(tk_ANCHT,MATCH(369,tk_FSEQ,0))&amp;" + "&amp;INDEX(tk_BASEA,MATCH(369,tk_FSEQ,0))),"")</f>
        <v/>
      </c>
      <c r="H374" s="181">
        <f>IFERROR(""&amp;INDEX(tk_FLINE,MATCH(369,tk_FSEQ,0)),"")</f>
        <v/>
      </c>
      <c r="I374" s="181">
        <f>IFERROR(""&amp;INDEX(tk_LOCTXT,MATCH(369,tk_FSEQ,0)),"")</f>
        <v/>
      </c>
      <c r="J374" s="162">
        <f>IFERROR(""&amp;INDEX(tk_FNOTES,MATCH(369,tk_FSEQ,0)),"")</f>
        <v/>
      </c>
    </row>
    <row r="375">
      <c r="A375" s="161">
        <f>IFERROR(""&amp;INDEX(tk_MARK,MATCH(370,tk_FSEQ,0)),"")</f>
        <v/>
      </c>
      <c r="B375" s="162">
        <f>IFERROR(INDEX(tk_QTY,MATCH(370,tk_FSEQ,0)),"")</f>
        <v/>
      </c>
      <c r="C375" s="162">
        <f>IFERROR(INDEX(tk_ROOMF,MATCH(370,tk_FSEQ,0))&amp;IF(INDEX(tk_ROOMT,MATCH(370,tk_FSEQ,0))="",""," → "&amp;INDEX(tk_ROOMT,MATCH(370,tk_FSEQ,0))),"")</f>
        <v/>
      </c>
      <c r="D375" s="162">
        <f>IFERROR(""&amp;INDEX(tk_SIZE,MATCH(370,tk_FSEQ,0)),"")</f>
        <v/>
      </c>
      <c r="E375" s="162">
        <f>IFERROR(""&amp;INDEX(tk_RATING,MATCH(370,tk_FSEQ,0)),"")</f>
        <v/>
      </c>
      <c r="F375" s="162">
        <f>IFERROR(TEXT(INDEX(tk_OAW,MATCH(370,tk_FSEQ,0)),"0.000")&amp;" x "&amp;TEXT(INDEX(tk_OAH,MATCH(370,tk_FSEQ,0)),"0.000"),"")</f>
        <v/>
      </c>
      <c r="G375" s="162">
        <f>IFERROR(IF(INDEX(tk_ANCHT,MATCH(370,tk_FSEQ,0))="","",INDEX(tk_ANCHT,MATCH(370,tk_FSEQ,0))&amp;" + "&amp;INDEX(tk_BASEA,MATCH(370,tk_FSEQ,0))),"")</f>
        <v/>
      </c>
      <c r="H375" s="181">
        <f>IFERROR(""&amp;INDEX(tk_FLINE,MATCH(370,tk_FSEQ,0)),"")</f>
        <v/>
      </c>
      <c r="I375" s="181">
        <f>IFERROR(""&amp;INDEX(tk_LOCTXT,MATCH(370,tk_FSEQ,0)),"")</f>
        <v/>
      </c>
      <c r="J375" s="162">
        <f>IFERROR(""&amp;INDEX(tk_FNOTES,MATCH(370,tk_FSEQ,0)),"")</f>
        <v/>
      </c>
    </row>
    <row r="376">
      <c r="A376" s="161">
        <f>IFERROR(""&amp;INDEX(tk_MARK,MATCH(371,tk_FSEQ,0)),"")</f>
        <v/>
      </c>
      <c r="B376" s="162">
        <f>IFERROR(INDEX(tk_QTY,MATCH(371,tk_FSEQ,0)),"")</f>
        <v/>
      </c>
      <c r="C376" s="162">
        <f>IFERROR(INDEX(tk_ROOMF,MATCH(371,tk_FSEQ,0))&amp;IF(INDEX(tk_ROOMT,MATCH(371,tk_FSEQ,0))="",""," → "&amp;INDEX(tk_ROOMT,MATCH(371,tk_FSEQ,0))),"")</f>
        <v/>
      </c>
      <c r="D376" s="162">
        <f>IFERROR(""&amp;INDEX(tk_SIZE,MATCH(371,tk_FSEQ,0)),"")</f>
        <v/>
      </c>
      <c r="E376" s="162">
        <f>IFERROR(""&amp;INDEX(tk_RATING,MATCH(371,tk_FSEQ,0)),"")</f>
        <v/>
      </c>
      <c r="F376" s="162">
        <f>IFERROR(TEXT(INDEX(tk_OAW,MATCH(371,tk_FSEQ,0)),"0.000")&amp;" x "&amp;TEXT(INDEX(tk_OAH,MATCH(371,tk_FSEQ,0)),"0.000"),"")</f>
        <v/>
      </c>
      <c r="G376" s="162">
        <f>IFERROR(IF(INDEX(tk_ANCHT,MATCH(371,tk_FSEQ,0))="","",INDEX(tk_ANCHT,MATCH(371,tk_FSEQ,0))&amp;" + "&amp;INDEX(tk_BASEA,MATCH(371,tk_FSEQ,0))),"")</f>
        <v/>
      </c>
      <c r="H376" s="181">
        <f>IFERROR(""&amp;INDEX(tk_FLINE,MATCH(371,tk_FSEQ,0)),"")</f>
        <v/>
      </c>
      <c r="I376" s="181">
        <f>IFERROR(""&amp;INDEX(tk_LOCTXT,MATCH(371,tk_FSEQ,0)),"")</f>
        <v/>
      </c>
      <c r="J376" s="162">
        <f>IFERROR(""&amp;INDEX(tk_FNOTES,MATCH(371,tk_FSEQ,0)),"")</f>
        <v/>
      </c>
    </row>
    <row r="377">
      <c r="A377" s="161">
        <f>IFERROR(""&amp;INDEX(tk_MARK,MATCH(372,tk_FSEQ,0)),"")</f>
        <v/>
      </c>
      <c r="B377" s="162">
        <f>IFERROR(INDEX(tk_QTY,MATCH(372,tk_FSEQ,0)),"")</f>
        <v/>
      </c>
      <c r="C377" s="162">
        <f>IFERROR(INDEX(tk_ROOMF,MATCH(372,tk_FSEQ,0))&amp;IF(INDEX(tk_ROOMT,MATCH(372,tk_FSEQ,0))="",""," → "&amp;INDEX(tk_ROOMT,MATCH(372,tk_FSEQ,0))),"")</f>
        <v/>
      </c>
      <c r="D377" s="162">
        <f>IFERROR(""&amp;INDEX(tk_SIZE,MATCH(372,tk_FSEQ,0)),"")</f>
        <v/>
      </c>
      <c r="E377" s="162">
        <f>IFERROR(""&amp;INDEX(tk_RATING,MATCH(372,tk_FSEQ,0)),"")</f>
        <v/>
      </c>
      <c r="F377" s="162">
        <f>IFERROR(TEXT(INDEX(tk_OAW,MATCH(372,tk_FSEQ,0)),"0.000")&amp;" x "&amp;TEXT(INDEX(tk_OAH,MATCH(372,tk_FSEQ,0)),"0.000"),"")</f>
        <v/>
      </c>
      <c r="G377" s="162">
        <f>IFERROR(IF(INDEX(tk_ANCHT,MATCH(372,tk_FSEQ,0))="","",INDEX(tk_ANCHT,MATCH(372,tk_FSEQ,0))&amp;" + "&amp;INDEX(tk_BASEA,MATCH(372,tk_FSEQ,0))),"")</f>
        <v/>
      </c>
      <c r="H377" s="181">
        <f>IFERROR(""&amp;INDEX(tk_FLINE,MATCH(372,tk_FSEQ,0)),"")</f>
        <v/>
      </c>
      <c r="I377" s="181">
        <f>IFERROR(""&amp;INDEX(tk_LOCTXT,MATCH(372,tk_FSEQ,0)),"")</f>
        <v/>
      </c>
      <c r="J377" s="162">
        <f>IFERROR(""&amp;INDEX(tk_FNOTES,MATCH(372,tk_FSEQ,0)),"")</f>
        <v/>
      </c>
    </row>
    <row r="378">
      <c r="A378" s="161">
        <f>IFERROR(""&amp;INDEX(tk_MARK,MATCH(373,tk_FSEQ,0)),"")</f>
        <v/>
      </c>
      <c r="B378" s="162">
        <f>IFERROR(INDEX(tk_QTY,MATCH(373,tk_FSEQ,0)),"")</f>
        <v/>
      </c>
      <c r="C378" s="162">
        <f>IFERROR(INDEX(tk_ROOMF,MATCH(373,tk_FSEQ,0))&amp;IF(INDEX(tk_ROOMT,MATCH(373,tk_FSEQ,0))="",""," → "&amp;INDEX(tk_ROOMT,MATCH(373,tk_FSEQ,0))),"")</f>
        <v/>
      </c>
      <c r="D378" s="162">
        <f>IFERROR(""&amp;INDEX(tk_SIZE,MATCH(373,tk_FSEQ,0)),"")</f>
        <v/>
      </c>
      <c r="E378" s="162">
        <f>IFERROR(""&amp;INDEX(tk_RATING,MATCH(373,tk_FSEQ,0)),"")</f>
        <v/>
      </c>
      <c r="F378" s="162">
        <f>IFERROR(TEXT(INDEX(tk_OAW,MATCH(373,tk_FSEQ,0)),"0.000")&amp;" x "&amp;TEXT(INDEX(tk_OAH,MATCH(373,tk_FSEQ,0)),"0.000"),"")</f>
        <v/>
      </c>
      <c r="G378" s="162">
        <f>IFERROR(IF(INDEX(tk_ANCHT,MATCH(373,tk_FSEQ,0))="","",INDEX(tk_ANCHT,MATCH(373,tk_FSEQ,0))&amp;" + "&amp;INDEX(tk_BASEA,MATCH(373,tk_FSEQ,0))),"")</f>
        <v/>
      </c>
      <c r="H378" s="181">
        <f>IFERROR(""&amp;INDEX(tk_FLINE,MATCH(373,tk_FSEQ,0)),"")</f>
        <v/>
      </c>
      <c r="I378" s="181">
        <f>IFERROR(""&amp;INDEX(tk_LOCTXT,MATCH(373,tk_FSEQ,0)),"")</f>
        <v/>
      </c>
      <c r="J378" s="162">
        <f>IFERROR(""&amp;INDEX(tk_FNOTES,MATCH(373,tk_FSEQ,0)),"")</f>
        <v/>
      </c>
    </row>
    <row r="379">
      <c r="A379" s="161">
        <f>IFERROR(""&amp;INDEX(tk_MARK,MATCH(374,tk_FSEQ,0)),"")</f>
        <v/>
      </c>
      <c r="B379" s="162">
        <f>IFERROR(INDEX(tk_QTY,MATCH(374,tk_FSEQ,0)),"")</f>
        <v/>
      </c>
      <c r="C379" s="162">
        <f>IFERROR(INDEX(tk_ROOMF,MATCH(374,tk_FSEQ,0))&amp;IF(INDEX(tk_ROOMT,MATCH(374,tk_FSEQ,0))="",""," → "&amp;INDEX(tk_ROOMT,MATCH(374,tk_FSEQ,0))),"")</f>
        <v/>
      </c>
      <c r="D379" s="162">
        <f>IFERROR(""&amp;INDEX(tk_SIZE,MATCH(374,tk_FSEQ,0)),"")</f>
        <v/>
      </c>
      <c r="E379" s="162">
        <f>IFERROR(""&amp;INDEX(tk_RATING,MATCH(374,tk_FSEQ,0)),"")</f>
        <v/>
      </c>
      <c r="F379" s="162">
        <f>IFERROR(TEXT(INDEX(tk_OAW,MATCH(374,tk_FSEQ,0)),"0.000")&amp;" x "&amp;TEXT(INDEX(tk_OAH,MATCH(374,tk_FSEQ,0)),"0.000"),"")</f>
        <v/>
      </c>
      <c r="G379" s="162">
        <f>IFERROR(IF(INDEX(tk_ANCHT,MATCH(374,tk_FSEQ,0))="","",INDEX(tk_ANCHT,MATCH(374,tk_FSEQ,0))&amp;" + "&amp;INDEX(tk_BASEA,MATCH(374,tk_FSEQ,0))),"")</f>
        <v/>
      </c>
      <c r="H379" s="181">
        <f>IFERROR(""&amp;INDEX(tk_FLINE,MATCH(374,tk_FSEQ,0)),"")</f>
        <v/>
      </c>
      <c r="I379" s="181">
        <f>IFERROR(""&amp;INDEX(tk_LOCTXT,MATCH(374,tk_FSEQ,0)),"")</f>
        <v/>
      </c>
      <c r="J379" s="162">
        <f>IFERROR(""&amp;INDEX(tk_FNOTES,MATCH(374,tk_FSEQ,0)),"")</f>
        <v/>
      </c>
    </row>
    <row r="380">
      <c r="A380" s="161">
        <f>IFERROR(""&amp;INDEX(tk_MARK,MATCH(375,tk_FSEQ,0)),"")</f>
        <v/>
      </c>
      <c r="B380" s="162">
        <f>IFERROR(INDEX(tk_QTY,MATCH(375,tk_FSEQ,0)),"")</f>
        <v/>
      </c>
      <c r="C380" s="162">
        <f>IFERROR(INDEX(tk_ROOMF,MATCH(375,tk_FSEQ,0))&amp;IF(INDEX(tk_ROOMT,MATCH(375,tk_FSEQ,0))="",""," → "&amp;INDEX(tk_ROOMT,MATCH(375,tk_FSEQ,0))),"")</f>
        <v/>
      </c>
      <c r="D380" s="162">
        <f>IFERROR(""&amp;INDEX(tk_SIZE,MATCH(375,tk_FSEQ,0)),"")</f>
        <v/>
      </c>
      <c r="E380" s="162">
        <f>IFERROR(""&amp;INDEX(tk_RATING,MATCH(375,tk_FSEQ,0)),"")</f>
        <v/>
      </c>
      <c r="F380" s="162">
        <f>IFERROR(TEXT(INDEX(tk_OAW,MATCH(375,tk_FSEQ,0)),"0.000")&amp;" x "&amp;TEXT(INDEX(tk_OAH,MATCH(375,tk_FSEQ,0)),"0.000"),"")</f>
        <v/>
      </c>
      <c r="G380" s="162">
        <f>IFERROR(IF(INDEX(tk_ANCHT,MATCH(375,tk_FSEQ,0))="","",INDEX(tk_ANCHT,MATCH(375,tk_FSEQ,0))&amp;" + "&amp;INDEX(tk_BASEA,MATCH(375,tk_FSEQ,0))),"")</f>
        <v/>
      </c>
      <c r="H380" s="181">
        <f>IFERROR(""&amp;INDEX(tk_FLINE,MATCH(375,tk_FSEQ,0)),"")</f>
        <v/>
      </c>
      <c r="I380" s="181">
        <f>IFERROR(""&amp;INDEX(tk_LOCTXT,MATCH(375,tk_FSEQ,0)),"")</f>
        <v/>
      </c>
      <c r="J380" s="162">
        <f>IFERROR(""&amp;INDEX(tk_FNOTES,MATCH(375,tk_FSEQ,0)),"")</f>
        <v/>
      </c>
    </row>
    <row r="381">
      <c r="A381" s="161">
        <f>IFERROR(""&amp;INDEX(tk_MARK,MATCH(376,tk_FSEQ,0)),"")</f>
        <v/>
      </c>
      <c r="B381" s="162">
        <f>IFERROR(INDEX(tk_QTY,MATCH(376,tk_FSEQ,0)),"")</f>
        <v/>
      </c>
      <c r="C381" s="162">
        <f>IFERROR(INDEX(tk_ROOMF,MATCH(376,tk_FSEQ,0))&amp;IF(INDEX(tk_ROOMT,MATCH(376,tk_FSEQ,0))="",""," → "&amp;INDEX(tk_ROOMT,MATCH(376,tk_FSEQ,0))),"")</f>
        <v/>
      </c>
      <c r="D381" s="162">
        <f>IFERROR(""&amp;INDEX(tk_SIZE,MATCH(376,tk_FSEQ,0)),"")</f>
        <v/>
      </c>
      <c r="E381" s="162">
        <f>IFERROR(""&amp;INDEX(tk_RATING,MATCH(376,tk_FSEQ,0)),"")</f>
        <v/>
      </c>
      <c r="F381" s="162">
        <f>IFERROR(TEXT(INDEX(tk_OAW,MATCH(376,tk_FSEQ,0)),"0.000")&amp;" x "&amp;TEXT(INDEX(tk_OAH,MATCH(376,tk_FSEQ,0)),"0.000"),"")</f>
        <v/>
      </c>
      <c r="G381" s="162">
        <f>IFERROR(IF(INDEX(tk_ANCHT,MATCH(376,tk_FSEQ,0))="","",INDEX(tk_ANCHT,MATCH(376,tk_FSEQ,0))&amp;" + "&amp;INDEX(tk_BASEA,MATCH(376,tk_FSEQ,0))),"")</f>
        <v/>
      </c>
      <c r="H381" s="181">
        <f>IFERROR(""&amp;INDEX(tk_FLINE,MATCH(376,tk_FSEQ,0)),"")</f>
        <v/>
      </c>
      <c r="I381" s="181">
        <f>IFERROR(""&amp;INDEX(tk_LOCTXT,MATCH(376,tk_FSEQ,0)),"")</f>
        <v/>
      </c>
      <c r="J381" s="162">
        <f>IFERROR(""&amp;INDEX(tk_FNOTES,MATCH(376,tk_FSEQ,0)),"")</f>
        <v/>
      </c>
    </row>
    <row r="382">
      <c r="A382" s="161">
        <f>IFERROR(""&amp;INDEX(tk_MARK,MATCH(377,tk_FSEQ,0)),"")</f>
        <v/>
      </c>
      <c r="B382" s="162">
        <f>IFERROR(INDEX(tk_QTY,MATCH(377,tk_FSEQ,0)),"")</f>
        <v/>
      </c>
      <c r="C382" s="162">
        <f>IFERROR(INDEX(tk_ROOMF,MATCH(377,tk_FSEQ,0))&amp;IF(INDEX(tk_ROOMT,MATCH(377,tk_FSEQ,0))="",""," → "&amp;INDEX(tk_ROOMT,MATCH(377,tk_FSEQ,0))),"")</f>
        <v/>
      </c>
      <c r="D382" s="162">
        <f>IFERROR(""&amp;INDEX(tk_SIZE,MATCH(377,tk_FSEQ,0)),"")</f>
        <v/>
      </c>
      <c r="E382" s="162">
        <f>IFERROR(""&amp;INDEX(tk_RATING,MATCH(377,tk_FSEQ,0)),"")</f>
        <v/>
      </c>
      <c r="F382" s="162">
        <f>IFERROR(TEXT(INDEX(tk_OAW,MATCH(377,tk_FSEQ,0)),"0.000")&amp;" x "&amp;TEXT(INDEX(tk_OAH,MATCH(377,tk_FSEQ,0)),"0.000"),"")</f>
        <v/>
      </c>
      <c r="G382" s="162">
        <f>IFERROR(IF(INDEX(tk_ANCHT,MATCH(377,tk_FSEQ,0))="","",INDEX(tk_ANCHT,MATCH(377,tk_FSEQ,0))&amp;" + "&amp;INDEX(tk_BASEA,MATCH(377,tk_FSEQ,0))),"")</f>
        <v/>
      </c>
      <c r="H382" s="181">
        <f>IFERROR(""&amp;INDEX(tk_FLINE,MATCH(377,tk_FSEQ,0)),"")</f>
        <v/>
      </c>
      <c r="I382" s="181">
        <f>IFERROR(""&amp;INDEX(tk_LOCTXT,MATCH(377,tk_FSEQ,0)),"")</f>
        <v/>
      </c>
      <c r="J382" s="162">
        <f>IFERROR(""&amp;INDEX(tk_FNOTES,MATCH(377,tk_FSEQ,0)),"")</f>
        <v/>
      </c>
    </row>
    <row r="383">
      <c r="A383" s="161">
        <f>IFERROR(""&amp;INDEX(tk_MARK,MATCH(378,tk_FSEQ,0)),"")</f>
        <v/>
      </c>
      <c r="B383" s="162">
        <f>IFERROR(INDEX(tk_QTY,MATCH(378,tk_FSEQ,0)),"")</f>
        <v/>
      </c>
      <c r="C383" s="162">
        <f>IFERROR(INDEX(tk_ROOMF,MATCH(378,tk_FSEQ,0))&amp;IF(INDEX(tk_ROOMT,MATCH(378,tk_FSEQ,0))="",""," → "&amp;INDEX(tk_ROOMT,MATCH(378,tk_FSEQ,0))),"")</f>
        <v/>
      </c>
      <c r="D383" s="162">
        <f>IFERROR(""&amp;INDEX(tk_SIZE,MATCH(378,tk_FSEQ,0)),"")</f>
        <v/>
      </c>
      <c r="E383" s="162">
        <f>IFERROR(""&amp;INDEX(tk_RATING,MATCH(378,tk_FSEQ,0)),"")</f>
        <v/>
      </c>
      <c r="F383" s="162">
        <f>IFERROR(TEXT(INDEX(tk_OAW,MATCH(378,tk_FSEQ,0)),"0.000")&amp;" x "&amp;TEXT(INDEX(tk_OAH,MATCH(378,tk_FSEQ,0)),"0.000"),"")</f>
        <v/>
      </c>
      <c r="G383" s="162">
        <f>IFERROR(IF(INDEX(tk_ANCHT,MATCH(378,tk_FSEQ,0))="","",INDEX(tk_ANCHT,MATCH(378,tk_FSEQ,0))&amp;" + "&amp;INDEX(tk_BASEA,MATCH(378,tk_FSEQ,0))),"")</f>
        <v/>
      </c>
      <c r="H383" s="181">
        <f>IFERROR(""&amp;INDEX(tk_FLINE,MATCH(378,tk_FSEQ,0)),"")</f>
        <v/>
      </c>
      <c r="I383" s="181">
        <f>IFERROR(""&amp;INDEX(tk_LOCTXT,MATCH(378,tk_FSEQ,0)),"")</f>
        <v/>
      </c>
      <c r="J383" s="162">
        <f>IFERROR(""&amp;INDEX(tk_FNOTES,MATCH(378,tk_FSEQ,0)),"")</f>
        <v/>
      </c>
    </row>
    <row r="384">
      <c r="A384" s="161">
        <f>IFERROR(""&amp;INDEX(tk_MARK,MATCH(379,tk_FSEQ,0)),"")</f>
        <v/>
      </c>
      <c r="B384" s="162">
        <f>IFERROR(INDEX(tk_QTY,MATCH(379,tk_FSEQ,0)),"")</f>
        <v/>
      </c>
      <c r="C384" s="162">
        <f>IFERROR(INDEX(tk_ROOMF,MATCH(379,tk_FSEQ,0))&amp;IF(INDEX(tk_ROOMT,MATCH(379,tk_FSEQ,0))="",""," → "&amp;INDEX(tk_ROOMT,MATCH(379,tk_FSEQ,0))),"")</f>
        <v/>
      </c>
      <c r="D384" s="162">
        <f>IFERROR(""&amp;INDEX(tk_SIZE,MATCH(379,tk_FSEQ,0)),"")</f>
        <v/>
      </c>
      <c r="E384" s="162">
        <f>IFERROR(""&amp;INDEX(tk_RATING,MATCH(379,tk_FSEQ,0)),"")</f>
        <v/>
      </c>
      <c r="F384" s="162">
        <f>IFERROR(TEXT(INDEX(tk_OAW,MATCH(379,tk_FSEQ,0)),"0.000")&amp;" x "&amp;TEXT(INDEX(tk_OAH,MATCH(379,tk_FSEQ,0)),"0.000"),"")</f>
        <v/>
      </c>
      <c r="G384" s="162">
        <f>IFERROR(IF(INDEX(tk_ANCHT,MATCH(379,tk_FSEQ,0))="","",INDEX(tk_ANCHT,MATCH(379,tk_FSEQ,0))&amp;" + "&amp;INDEX(tk_BASEA,MATCH(379,tk_FSEQ,0))),"")</f>
        <v/>
      </c>
      <c r="H384" s="181">
        <f>IFERROR(""&amp;INDEX(tk_FLINE,MATCH(379,tk_FSEQ,0)),"")</f>
        <v/>
      </c>
      <c r="I384" s="181">
        <f>IFERROR(""&amp;INDEX(tk_LOCTXT,MATCH(379,tk_FSEQ,0)),"")</f>
        <v/>
      </c>
      <c r="J384" s="162">
        <f>IFERROR(""&amp;INDEX(tk_FNOTES,MATCH(379,tk_FSEQ,0)),"")</f>
        <v/>
      </c>
    </row>
    <row r="385">
      <c r="A385" s="161">
        <f>IFERROR(""&amp;INDEX(tk_MARK,MATCH(380,tk_FSEQ,0)),"")</f>
        <v/>
      </c>
      <c r="B385" s="162">
        <f>IFERROR(INDEX(tk_QTY,MATCH(380,tk_FSEQ,0)),"")</f>
        <v/>
      </c>
      <c r="C385" s="162">
        <f>IFERROR(INDEX(tk_ROOMF,MATCH(380,tk_FSEQ,0))&amp;IF(INDEX(tk_ROOMT,MATCH(380,tk_FSEQ,0))="",""," → "&amp;INDEX(tk_ROOMT,MATCH(380,tk_FSEQ,0))),"")</f>
        <v/>
      </c>
      <c r="D385" s="162">
        <f>IFERROR(""&amp;INDEX(tk_SIZE,MATCH(380,tk_FSEQ,0)),"")</f>
        <v/>
      </c>
      <c r="E385" s="162">
        <f>IFERROR(""&amp;INDEX(tk_RATING,MATCH(380,tk_FSEQ,0)),"")</f>
        <v/>
      </c>
      <c r="F385" s="162">
        <f>IFERROR(TEXT(INDEX(tk_OAW,MATCH(380,tk_FSEQ,0)),"0.000")&amp;" x "&amp;TEXT(INDEX(tk_OAH,MATCH(380,tk_FSEQ,0)),"0.000"),"")</f>
        <v/>
      </c>
      <c r="G385" s="162">
        <f>IFERROR(IF(INDEX(tk_ANCHT,MATCH(380,tk_FSEQ,0))="","",INDEX(tk_ANCHT,MATCH(380,tk_FSEQ,0))&amp;" + "&amp;INDEX(tk_BASEA,MATCH(380,tk_FSEQ,0))),"")</f>
        <v/>
      </c>
      <c r="H385" s="181">
        <f>IFERROR(""&amp;INDEX(tk_FLINE,MATCH(380,tk_FSEQ,0)),"")</f>
        <v/>
      </c>
      <c r="I385" s="181">
        <f>IFERROR(""&amp;INDEX(tk_LOCTXT,MATCH(380,tk_FSEQ,0)),"")</f>
        <v/>
      </c>
      <c r="J385" s="162">
        <f>IFERROR(""&amp;INDEX(tk_FNOTES,MATCH(380,tk_FSEQ,0)),"")</f>
        <v/>
      </c>
    </row>
    <row r="386">
      <c r="A386" s="161">
        <f>IFERROR(""&amp;INDEX(tk_MARK,MATCH(381,tk_FSEQ,0)),"")</f>
        <v/>
      </c>
      <c r="B386" s="162">
        <f>IFERROR(INDEX(tk_QTY,MATCH(381,tk_FSEQ,0)),"")</f>
        <v/>
      </c>
      <c r="C386" s="162">
        <f>IFERROR(INDEX(tk_ROOMF,MATCH(381,tk_FSEQ,0))&amp;IF(INDEX(tk_ROOMT,MATCH(381,tk_FSEQ,0))="",""," → "&amp;INDEX(tk_ROOMT,MATCH(381,tk_FSEQ,0))),"")</f>
        <v/>
      </c>
      <c r="D386" s="162">
        <f>IFERROR(""&amp;INDEX(tk_SIZE,MATCH(381,tk_FSEQ,0)),"")</f>
        <v/>
      </c>
      <c r="E386" s="162">
        <f>IFERROR(""&amp;INDEX(tk_RATING,MATCH(381,tk_FSEQ,0)),"")</f>
        <v/>
      </c>
      <c r="F386" s="162">
        <f>IFERROR(TEXT(INDEX(tk_OAW,MATCH(381,tk_FSEQ,0)),"0.000")&amp;" x "&amp;TEXT(INDEX(tk_OAH,MATCH(381,tk_FSEQ,0)),"0.000"),"")</f>
        <v/>
      </c>
      <c r="G386" s="162">
        <f>IFERROR(IF(INDEX(tk_ANCHT,MATCH(381,tk_FSEQ,0))="","",INDEX(tk_ANCHT,MATCH(381,tk_FSEQ,0))&amp;" + "&amp;INDEX(tk_BASEA,MATCH(381,tk_FSEQ,0))),"")</f>
        <v/>
      </c>
      <c r="H386" s="181">
        <f>IFERROR(""&amp;INDEX(tk_FLINE,MATCH(381,tk_FSEQ,0)),"")</f>
        <v/>
      </c>
      <c r="I386" s="181">
        <f>IFERROR(""&amp;INDEX(tk_LOCTXT,MATCH(381,tk_FSEQ,0)),"")</f>
        <v/>
      </c>
      <c r="J386" s="162">
        <f>IFERROR(""&amp;INDEX(tk_FNOTES,MATCH(381,tk_FSEQ,0)),"")</f>
        <v/>
      </c>
    </row>
    <row r="387">
      <c r="A387" s="161">
        <f>IFERROR(""&amp;INDEX(tk_MARK,MATCH(382,tk_FSEQ,0)),"")</f>
        <v/>
      </c>
      <c r="B387" s="162">
        <f>IFERROR(INDEX(tk_QTY,MATCH(382,tk_FSEQ,0)),"")</f>
        <v/>
      </c>
      <c r="C387" s="162">
        <f>IFERROR(INDEX(tk_ROOMF,MATCH(382,tk_FSEQ,0))&amp;IF(INDEX(tk_ROOMT,MATCH(382,tk_FSEQ,0))="",""," → "&amp;INDEX(tk_ROOMT,MATCH(382,tk_FSEQ,0))),"")</f>
        <v/>
      </c>
      <c r="D387" s="162">
        <f>IFERROR(""&amp;INDEX(tk_SIZE,MATCH(382,tk_FSEQ,0)),"")</f>
        <v/>
      </c>
      <c r="E387" s="162">
        <f>IFERROR(""&amp;INDEX(tk_RATING,MATCH(382,tk_FSEQ,0)),"")</f>
        <v/>
      </c>
      <c r="F387" s="162">
        <f>IFERROR(TEXT(INDEX(tk_OAW,MATCH(382,tk_FSEQ,0)),"0.000")&amp;" x "&amp;TEXT(INDEX(tk_OAH,MATCH(382,tk_FSEQ,0)),"0.000"),"")</f>
        <v/>
      </c>
      <c r="G387" s="162">
        <f>IFERROR(IF(INDEX(tk_ANCHT,MATCH(382,tk_FSEQ,0))="","",INDEX(tk_ANCHT,MATCH(382,tk_FSEQ,0))&amp;" + "&amp;INDEX(tk_BASEA,MATCH(382,tk_FSEQ,0))),"")</f>
        <v/>
      </c>
      <c r="H387" s="181">
        <f>IFERROR(""&amp;INDEX(tk_FLINE,MATCH(382,tk_FSEQ,0)),"")</f>
        <v/>
      </c>
      <c r="I387" s="181">
        <f>IFERROR(""&amp;INDEX(tk_LOCTXT,MATCH(382,tk_FSEQ,0)),"")</f>
        <v/>
      </c>
      <c r="J387" s="162">
        <f>IFERROR(""&amp;INDEX(tk_FNOTES,MATCH(382,tk_FSEQ,0)),"")</f>
        <v/>
      </c>
    </row>
    <row r="388">
      <c r="A388" s="161">
        <f>IFERROR(""&amp;INDEX(tk_MARK,MATCH(383,tk_FSEQ,0)),"")</f>
        <v/>
      </c>
      <c r="B388" s="162">
        <f>IFERROR(INDEX(tk_QTY,MATCH(383,tk_FSEQ,0)),"")</f>
        <v/>
      </c>
      <c r="C388" s="162">
        <f>IFERROR(INDEX(tk_ROOMF,MATCH(383,tk_FSEQ,0))&amp;IF(INDEX(tk_ROOMT,MATCH(383,tk_FSEQ,0))="",""," → "&amp;INDEX(tk_ROOMT,MATCH(383,tk_FSEQ,0))),"")</f>
        <v/>
      </c>
      <c r="D388" s="162">
        <f>IFERROR(""&amp;INDEX(tk_SIZE,MATCH(383,tk_FSEQ,0)),"")</f>
        <v/>
      </c>
      <c r="E388" s="162">
        <f>IFERROR(""&amp;INDEX(tk_RATING,MATCH(383,tk_FSEQ,0)),"")</f>
        <v/>
      </c>
      <c r="F388" s="162">
        <f>IFERROR(TEXT(INDEX(tk_OAW,MATCH(383,tk_FSEQ,0)),"0.000")&amp;" x "&amp;TEXT(INDEX(tk_OAH,MATCH(383,tk_FSEQ,0)),"0.000"),"")</f>
        <v/>
      </c>
      <c r="G388" s="162">
        <f>IFERROR(IF(INDEX(tk_ANCHT,MATCH(383,tk_FSEQ,0))="","",INDEX(tk_ANCHT,MATCH(383,tk_FSEQ,0))&amp;" + "&amp;INDEX(tk_BASEA,MATCH(383,tk_FSEQ,0))),"")</f>
        <v/>
      </c>
      <c r="H388" s="181">
        <f>IFERROR(""&amp;INDEX(tk_FLINE,MATCH(383,tk_FSEQ,0)),"")</f>
        <v/>
      </c>
      <c r="I388" s="181">
        <f>IFERROR(""&amp;INDEX(tk_LOCTXT,MATCH(383,tk_FSEQ,0)),"")</f>
        <v/>
      </c>
      <c r="J388" s="162">
        <f>IFERROR(""&amp;INDEX(tk_FNOTES,MATCH(383,tk_FSEQ,0)),"")</f>
        <v/>
      </c>
    </row>
    <row r="389">
      <c r="A389" s="161">
        <f>IFERROR(""&amp;INDEX(tk_MARK,MATCH(384,tk_FSEQ,0)),"")</f>
        <v/>
      </c>
      <c r="B389" s="162">
        <f>IFERROR(INDEX(tk_QTY,MATCH(384,tk_FSEQ,0)),"")</f>
        <v/>
      </c>
      <c r="C389" s="162">
        <f>IFERROR(INDEX(tk_ROOMF,MATCH(384,tk_FSEQ,0))&amp;IF(INDEX(tk_ROOMT,MATCH(384,tk_FSEQ,0))="",""," → "&amp;INDEX(tk_ROOMT,MATCH(384,tk_FSEQ,0))),"")</f>
        <v/>
      </c>
      <c r="D389" s="162">
        <f>IFERROR(""&amp;INDEX(tk_SIZE,MATCH(384,tk_FSEQ,0)),"")</f>
        <v/>
      </c>
      <c r="E389" s="162">
        <f>IFERROR(""&amp;INDEX(tk_RATING,MATCH(384,tk_FSEQ,0)),"")</f>
        <v/>
      </c>
      <c r="F389" s="162">
        <f>IFERROR(TEXT(INDEX(tk_OAW,MATCH(384,tk_FSEQ,0)),"0.000")&amp;" x "&amp;TEXT(INDEX(tk_OAH,MATCH(384,tk_FSEQ,0)),"0.000"),"")</f>
        <v/>
      </c>
      <c r="G389" s="162">
        <f>IFERROR(IF(INDEX(tk_ANCHT,MATCH(384,tk_FSEQ,0))="","",INDEX(tk_ANCHT,MATCH(384,tk_FSEQ,0))&amp;" + "&amp;INDEX(tk_BASEA,MATCH(384,tk_FSEQ,0))),"")</f>
        <v/>
      </c>
      <c r="H389" s="181">
        <f>IFERROR(""&amp;INDEX(tk_FLINE,MATCH(384,tk_FSEQ,0)),"")</f>
        <v/>
      </c>
      <c r="I389" s="181">
        <f>IFERROR(""&amp;INDEX(tk_LOCTXT,MATCH(384,tk_FSEQ,0)),"")</f>
        <v/>
      </c>
      <c r="J389" s="162">
        <f>IFERROR(""&amp;INDEX(tk_FNOTES,MATCH(384,tk_FSEQ,0)),"")</f>
        <v/>
      </c>
    </row>
    <row r="390">
      <c r="A390" s="161">
        <f>IFERROR(""&amp;INDEX(tk_MARK,MATCH(385,tk_FSEQ,0)),"")</f>
        <v/>
      </c>
      <c r="B390" s="162">
        <f>IFERROR(INDEX(tk_QTY,MATCH(385,tk_FSEQ,0)),"")</f>
        <v/>
      </c>
      <c r="C390" s="162">
        <f>IFERROR(INDEX(tk_ROOMF,MATCH(385,tk_FSEQ,0))&amp;IF(INDEX(tk_ROOMT,MATCH(385,tk_FSEQ,0))="",""," → "&amp;INDEX(tk_ROOMT,MATCH(385,tk_FSEQ,0))),"")</f>
        <v/>
      </c>
      <c r="D390" s="162">
        <f>IFERROR(""&amp;INDEX(tk_SIZE,MATCH(385,tk_FSEQ,0)),"")</f>
        <v/>
      </c>
      <c r="E390" s="162">
        <f>IFERROR(""&amp;INDEX(tk_RATING,MATCH(385,tk_FSEQ,0)),"")</f>
        <v/>
      </c>
      <c r="F390" s="162">
        <f>IFERROR(TEXT(INDEX(tk_OAW,MATCH(385,tk_FSEQ,0)),"0.000")&amp;" x "&amp;TEXT(INDEX(tk_OAH,MATCH(385,tk_FSEQ,0)),"0.000"),"")</f>
        <v/>
      </c>
      <c r="G390" s="162">
        <f>IFERROR(IF(INDEX(tk_ANCHT,MATCH(385,tk_FSEQ,0))="","",INDEX(tk_ANCHT,MATCH(385,tk_FSEQ,0))&amp;" + "&amp;INDEX(tk_BASEA,MATCH(385,tk_FSEQ,0))),"")</f>
        <v/>
      </c>
      <c r="H390" s="181">
        <f>IFERROR(""&amp;INDEX(tk_FLINE,MATCH(385,tk_FSEQ,0)),"")</f>
        <v/>
      </c>
      <c r="I390" s="181">
        <f>IFERROR(""&amp;INDEX(tk_LOCTXT,MATCH(385,tk_FSEQ,0)),"")</f>
        <v/>
      </c>
      <c r="J390" s="162">
        <f>IFERROR(""&amp;INDEX(tk_FNOTES,MATCH(385,tk_FSEQ,0)),"")</f>
        <v/>
      </c>
    </row>
    <row r="391">
      <c r="A391" s="161">
        <f>IFERROR(""&amp;INDEX(tk_MARK,MATCH(386,tk_FSEQ,0)),"")</f>
        <v/>
      </c>
      <c r="B391" s="162">
        <f>IFERROR(INDEX(tk_QTY,MATCH(386,tk_FSEQ,0)),"")</f>
        <v/>
      </c>
      <c r="C391" s="162">
        <f>IFERROR(INDEX(tk_ROOMF,MATCH(386,tk_FSEQ,0))&amp;IF(INDEX(tk_ROOMT,MATCH(386,tk_FSEQ,0))="",""," → "&amp;INDEX(tk_ROOMT,MATCH(386,tk_FSEQ,0))),"")</f>
        <v/>
      </c>
      <c r="D391" s="162">
        <f>IFERROR(""&amp;INDEX(tk_SIZE,MATCH(386,tk_FSEQ,0)),"")</f>
        <v/>
      </c>
      <c r="E391" s="162">
        <f>IFERROR(""&amp;INDEX(tk_RATING,MATCH(386,tk_FSEQ,0)),"")</f>
        <v/>
      </c>
      <c r="F391" s="162">
        <f>IFERROR(TEXT(INDEX(tk_OAW,MATCH(386,tk_FSEQ,0)),"0.000")&amp;" x "&amp;TEXT(INDEX(tk_OAH,MATCH(386,tk_FSEQ,0)),"0.000"),"")</f>
        <v/>
      </c>
      <c r="G391" s="162">
        <f>IFERROR(IF(INDEX(tk_ANCHT,MATCH(386,tk_FSEQ,0))="","",INDEX(tk_ANCHT,MATCH(386,tk_FSEQ,0))&amp;" + "&amp;INDEX(tk_BASEA,MATCH(386,tk_FSEQ,0))),"")</f>
        <v/>
      </c>
      <c r="H391" s="181">
        <f>IFERROR(""&amp;INDEX(tk_FLINE,MATCH(386,tk_FSEQ,0)),"")</f>
        <v/>
      </c>
      <c r="I391" s="181">
        <f>IFERROR(""&amp;INDEX(tk_LOCTXT,MATCH(386,tk_FSEQ,0)),"")</f>
        <v/>
      </c>
      <c r="J391" s="162">
        <f>IFERROR(""&amp;INDEX(tk_FNOTES,MATCH(386,tk_FSEQ,0)),"")</f>
        <v/>
      </c>
    </row>
    <row r="392">
      <c r="A392" s="161">
        <f>IFERROR(""&amp;INDEX(tk_MARK,MATCH(387,tk_FSEQ,0)),"")</f>
        <v/>
      </c>
      <c r="B392" s="162">
        <f>IFERROR(INDEX(tk_QTY,MATCH(387,tk_FSEQ,0)),"")</f>
        <v/>
      </c>
      <c r="C392" s="162">
        <f>IFERROR(INDEX(tk_ROOMF,MATCH(387,tk_FSEQ,0))&amp;IF(INDEX(tk_ROOMT,MATCH(387,tk_FSEQ,0))="",""," → "&amp;INDEX(tk_ROOMT,MATCH(387,tk_FSEQ,0))),"")</f>
        <v/>
      </c>
      <c r="D392" s="162">
        <f>IFERROR(""&amp;INDEX(tk_SIZE,MATCH(387,tk_FSEQ,0)),"")</f>
        <v/>
      </c>
      <c r="E392" s="162">
        <f>IFERROR(""&amp;INDEX(tk_RATING,MATCH(387,tk_FSEQ,0)),"")</f>
        <v/>
      </c>
      <c r="F392" s="162">
        <f>IFERROR(TEXT(INDEX(tk_OAW,MATCH(387,tk_FSEQ,0)),"0.000")&amp;" x "&amp;TEXT(INDEX(tk_OAH,MATCH(387,tk_FSEQ,0)),"0.000"),"")</f>
        <v/>
      </c>
      <c r="G392" s="162">
        <f>IFERROR(IF(INDEX(tk_ANCHT,MATCH(387,tk_FSEQ,0))="","",INDEX(tk_ANCHT,MATCH(387,tk_FSEQ,0))&amp;" + "&amp;INDEX(tk_BASEA,MATCH(387,tk_FSEQ,0))),"")</f>
        <v/>
      </c>
      <c r="H392" s="181">
        <f>IFERROR(""&amp;INDEX(tk_FLINE,MATCH(387,tk_FSEQ,0)),"")</f>
        <v/>
      </c>
      <c r="I392" s="181">
        <f>IFERROR(""&amp;INDEX(tk_LOCTXT,MATCH(387,tk_FSEQ,0)),"")</f>
        <v/>
      </c>
      <c r="J392" s="162">
        <f>IFERROR(""&amp;INDEX(tk_FNOTES,MATCH(387,tk_FSEQ,0)),"")</f>
        <v/>
      </c>
    </row>
    <row r="393">
      <c r="A393" s="161">
        <f>IFERROR(""&amp;INDEX(tk_MARK,MATCH(388,tk_FSEQ,0)),"")</f>
        <v/>
      </c>
      <c r="B393" s="162">
        <f>IFERROR(INDEX(tk_QTY,MATCH(388,tk_FSEQ,0)),"")</f>
        <v/>
      </c>
      <c r="C393" s="162">
        <f>IFERROR(INDEX(tk_ROOMF,MATCH(388,tk_FSEQ,0))&amp;IF(INDEX(tk_ROOMT,MATCH(388,tk_FSEQ,0))="",""," → "&amp;INDEX(tk_ROOMT,MATCH(388,tk_FSEQ,0))),"")</f>
        <v/>
      </c>
      <c r="D393" s="162">
        <f>IFERROR(""&amp;INDEX(tk_SIZE,MATCH(388,tk_FSEQ,0)),"")</f>
        <v/>
      </c>
      <c r="E393" s="162">
        <f>IFERROR(""&amp;INDEX(tk_RATING,MATCH(388,tk_FSEQ,0)),"")</f>
        <v/>
      </c>
      <c r="F393" s="162">
        <f>IFERROR(TEXT(INDEX(tk_OAW,MATCH(388,tk_FSEQ,0)),"0.000")&amp;" x "&amp;TEXT(INDEX(tk_OAH,MATCH(388,tk_FSEQ,0)),"0.000"),"")</f>
        <v/>
      </c>
      <c r="G393" s="162">
        <f>IFERROR(IF(INDEX(tk_ANCHT,MATCH(388,tk_FSEQ,0))="","",INDEX(tk_ANCHT,MATCH(388,tk_FSEQ,0))&amp;" + "&amp;INDEX(tk_BASEA,MATCH(388,tk_FSEQ,0))),"")</f>
        <v/>
      </c>
      <c r="H393" s="181">
        <f>IFERROR(""&amp;INDEX(tk_FLINE,MATCH(388,tk_FSEQ,0)),"")</f>
        <v/>
      </c>
      <c r="I393" s="181">
        <f>IFERROR(""&amp;INDEX(tk_LOCTXT,MATCH(388,tk_FSEQ,0)),"")</f>
        <v/>
      </c>
      <c r="J393" s="162">
        <f>IFERROR(""&amp;INDEX(tk_FNOTES,MATCH(388,tk_FSEQ,0)),"")</f>
        <v/>
      </c>
    </row>
    <row r="394">
      <c r="A394" s="161">
        <f>IFERROR(""&amp;INDEX(tk_MARK,MATCH(389,tk_FSEQ,0)),"")</f>
        <v/>
      </c>
      <c r="B394" s="162">
        <f>IFERROR(INDEX(tk_QTY,MATCH(389,tk_FSEQ,0)),"")</f>
        <v/>
      </c>
      <c r="C394" s="162">
        <f>IFERROR(INDEX(tk_ROOMF,MATCH(389,tk_FSEQ,0))&amp;IF(INDEX(tk_ROOMT,MATCH(389,tk_FSEQ,0))="",""," → "&amp;INDEX(tk_ROOMT,MATCH(389,tk_FSEQ,0))),"")</f>
        <v/>
      </c>
      <c r="D394" s="162">
        <f>IFERROR(""&amp;INDEX(tk_SIZE,MATCH(389,tk_FSEQ,0)),"")</f>
        <v/>
      </c>
      <c r="E394" s="162">
        <f>IFERROR(""&amp;INDEX(tk_RATING,MATCH(389,tk_FSEQ,0)),"")</f>
        <v/>
      </c>
      <c r="F394" s="162">
        <f>IFERROR(TEXT(INDEX(tk_OAW,MATCH(389,tk_FSEQ,0)),"0.000")&amp;" x "&amp;TEXT(INDEX(tk_OAH,MATCH(389,tk_FSEQ,0)),"0.000"),"")</f>
        <v/>
      </c>
      <c r="G394" s="162">
        <f>IFERROR(IF(INDEX(tk_ANCHT,MATCH(389,tk_FSEQ,0))="","",INDEX(tk_ANCHT,MATCH(389,tk_FSEQ,0))&amp;" + "&amp;INDEX(tk_BASEA,MATCH(389,tk_FSEQ,0))),"")</f>
        <v/>
      </c>
      <c r="H394" s="181">
        <f>IFERROR(""&amp;INDEX(tk_FLINE,MATCH(389,tk_FSEQ,0)),"")</f>
        <v/>
      </c>
      <c r="I394" s="181">
        <f>IFERROR(""&amp;INDEX(tk_LOCTXT,MATCH(389,tk_FSEQ,0)),"")</f>
        <v/>
      </c>
      <c r="J394" s="162">
        <f>IFERROR(""&amp;INDEX(tk_FNOTES,MATCH(389,tk_FSEQ,0)),"")</f>
        <v/>
      </c>
    </row>
    <row r="395">
      <c r="A395" s="161">
        <f>IFERROR(""&amp;INDEX(tk_MARK,MATCH(390,tk_FSEQ,0)),"")</f>
        <v/>
      </c>
      <c r="B395" s="162">
        <f>IFERROR(INDEX(tk_QTY,MATCH(390,tk_FSEQ,0)),"")</f>
        <v/>
      </c>
      <c r="C395" s="162">
        <f>IFERROR(INDEX(tk_ROOMF,MATCH(390,tk_FSEQ,0))&amp;IF(INDEX(tk_ROOMT,MATCH(390,tk_FSEQ,0))="",""," → "&amp;INDEX(tk_ROOMT,MATCH(390,tk_FSEQ,0))),"")</f>
        <v/>
      </c>
      <c r="D395" s="162">
        <f>IFERROR(""&amp;INDEX(tk_SIZE,MATCH(390,tk_FSEQ,0)),"")</f>
        <v/>
      </c>
      <c r="E395" s="162">
        <f>IFERROR(""&amp;INDEX(tk_RATING,MATCH(390,tk_FSEQ,0)),"")</f>
        <v/>
      </c>
      <c r="F395" s="162">
        <f>IFERROR(TEXT(INDEX(tk_OAW,MATCH(390,tk_FSEQ,0)),"0.000")&amp;" x "&amp;TEXT(INDEX(tk_OAH,MATCH(390,tk_FSEQ,0)),"0.000"),"")</f>
        <v/>
      </c>
      <c r="G395" s="162">
        <f>IFERROR(IF(INDEX(tk_ANCHT,MATCH(390,tk_FSEQ,0))="","",INDEX(tk_ANCHT,MATCH(390,tk_FSEQ,0))&amp;" + "&amp;INDEX(tk_BASEA,MATCH(390,tk_FSEQ,0))),"")</f>
        <v/>
      </c>
      <c r="H395" s="181">
        <f>IFERROR(""&amp;INDEX(tk_FLINE,MATCH(390,tk_FSEQ,0)),"")</f>
        <v/>
      </c>
      <c r="I395" s="181">
        <f>IFERROR(""&amp;INDEX(tk_LOCTXT,MATCH(390,tk_FSEQ,0)),"")</f>
        <v/>
      </c>
      <c r="J395" s="162">
        <f>IFERROR(""&amp;INDEX(tk_FNOTES,MATCH(390,tk_FSEQ,0)),"")</f>
        <v/>
      </c>
    </row>
    <row r="396">
      <c r="A396" s="161">
        <f>IFERROR(""&amp;INDEX(tk_MARK,MATCH(391,tk_FSEQ,0)),"")</f>
        <v/>
      </c>
      <c r="B396" s="162">
        <f>IFERROR(INDEX(tk_QTY,MATCH(391,tk_FSEQ,0)),"")</f>
        <v/>
      </c>
      <c r="C396" s="162">
        <f>IFERROR(INDEX(tk_ROOMF,MATCH(391,tk_FSEQ,0))&amp;IF(INDEX(tk_ROOMT,MATCH(391,tk_FSEQ,0))="",""," → "&amp;INDEX(tk_ROOMT,MATCH(391,tk_FSEQ,0))),"")</f>
        <v/>
      </c>
      <c r="D396" s="162">
        <f>IFERROR(""&amp;INDEX(tk_SIZE,MATCH(391,tk_FSEQ,0)),"")</f>
        <v/>
      </c>
      <c r="E396" s="162">
        <f>IFERROR(""&amp;INDEX(tk_RATING,MATCH(391,tk_FSEQ,0)),"")</f>
        <v/>
      </c>
      <c r="F396" s="162">
        <f>IFERROR(TEXT(INDEX(tk_OAW,MATCH(391,tk_FSEQ,0)),"0.000")&amp;" x "&amp;TEXT(INDEX(tk_OAH,MATCH(391,tk_FSEQ,0)),"0.000"),"")</f>
        <v/>
      </c>
      <c r="G396" s="162">
        <f>IFERROR(IF(INDEX(tk_ANCHT,MATCH(391,tk_FSEQ,0))="","",INDEX(tk_ANCHT,MATCH(391,tk_FSEQ,0))&amp;" + "&amp;INDEX(tk_BASEA,MATCH(391,tk_FSEQ,0))),"")</f>
        <v/>
      </c>
      <c r="H396" s="181">
        <f>IFERROR(""&amp;INDEX(tk_FLINE,MATCH(391,tk_FSEQ,0)),"")</f>
        <v/>
      </c>
      <c r="I396" s="181">
        <f>IFERROR(""&amp;INDEX(tk_LOCTXT,MATCH(391,tk_FSEQ,0)),"")</f>
        <v/>
      </c>
      <c r="J396" s="162">
        <f>IFERROR(""&amp;INDEX(tk_FNOTES,MATCH(391,tk_FSEQ,0)),"")</f>
        <v/>
      </c>
    </row>
    <row r="397">
      <c r="A397" s="161">
        <f>IFERROR(""&amp;INDEX(tk_MARK,MATCH(392,tk_FSEQ,0)),"")</f>
        <v/>
      </c>
      <c r="B397" s="162">
        <f>IFERROR(INDEX(tk_QTY,MATCH(392,tk_FSEQ,0)),"")</f>
        <v/>
      </c>
      <c r="C397" s="162">
        <f>IFERROR(INDEX(tk_ROOMF,MATCH(392,tk_FSEQ,0))&amp;IF(INDEX(tk_ROOMT,MATCH(392,tk_FSEQ,0))="",""," → "&amp;INDEX(tk_ROOMT,MATCH(392,tk_FSEQ,0))),"")</f>
        <v/>
      </c>
      <c r="D397" s="162">
        <f>IFERROR(""&amp;INDEX(tk_SIZE,MATCH(392,tk_FSEQ,0)),"")</f>
        <v/>
      </c>
      <c r="E397" s="162">
        <f>IFERROR(""&amp;INDEX(tk_RATING,MATCH(392,tk_FSEQ,0)),"")</f>
        <v/>
      </c>
      <c r="F397" s="162">
        <f>IFERROR(TEXT(INDEX(tk_OAW,MATCH(392,tk_FSEQ,0)),"0.000")&amp;" x "&amp;TEXT(INDEX(tk_OAH,MATCH(392,tk_FSEQ,0)),"0.000"),"")</f>
        <v/>
      </c>
      <c r="G397" s="162">
        <f>IFERROR(IF(INDEX(tk_ANCHT,MATCH(392,tk_FSEQ,0))="","",INDEX(tk_ANCHT,MATCH(392,tk_FSEQ,0))&amp;" + "&amp;INDEX(tk_BASEA,MATCH(392,tk_FSEQ,0))),"")</f>
        <v/>
      </c>
      <c r="H397" s="181">
        <f>IFERROR(""&amp;INDEX(tk_FLINE,MATCH(392,tk_FSEQ,0)),"")</f>
        <v/>
      </c>
      <c r="I397" s="181">
        <f>IFERROR(""&amp;INDEX(tk_LOCTXT,MATCH(392,tk_FSEQ,0)),"")</f>
        <v/>
      </c>
      <c r="J397" s="162">
        <f>IFERROR(""&amp;INDEX(tk_FNOTES,MATCH(392,tk_FSEQ,0)),"")</f>
        <v/>
      </c>
    </row>
    <row r="398">
      <c r="A398" s="161">
        <f>IFERROR(""&amp;INDEX(tk_MARK,MATCH(393,tk_FSEQ,0)),"")</f>
        <v/>
      </c>
      <c r="B398" s="162">
        <f>IFERROR(INDEX(tk_QTY,MATCH(393,tk_FSEQ,0)),"")</f>
        <v/>
      </c>
      <c r="C398" s="162">
        <f>IFERROR(INDEX(tk_ROOMF,MATCH(393,tk_FSEQ,0))&amp;IF(INDEX(tk_ROOMT,MATCH(393,tk_FSEQ,0))="",""," → "&amp;INDEX(tk_ROOMT,MATCH(393,tk_FSEQ,0))),"")</f>
        <v/>
      </c>
      <c r="D398" s="162">
        <f>IFERROR(""&amp;INDEX(tk_SIZE,MATCH(393,tk_FSEQ,0)),"")</f>
        <v/>
      </c>
      <c r="E398" s="162">
        <f>IFERROR(""&amp;INDEX(tk_RATING,MATCH(393,tk_FSEQ,0)),"")</f>
        <v/>
      </c>
      <c r="F398" s="162">
        <f>IFERROR(TEXT(INDEX(tk_OAW,MATCH(393,tk_FSEQ,0)),"0.000")&amp;" x "&amp;TEXT(INDEX(tk_OAH,MATCH(393,tk_FSEQ,0)),"0.000"),"")</f>
        <v/>
      </c>
      <c r="G398" s="162">
        <f>IFERROR(IF(INDEX(tk_ANCHT,MATCH(393,tk_FSEQ,0))="","",INDEX(tk_ANCHT,MATCH(393,tk_FSEQ,0))&amp;" + "&amp;INDEX(tk_BASEA,MATCH(393,tk_FSEQ,0))),"")</f>
        <v/>
      </c>
      <c r="H398" s="181">
        <f>IFERROR(""&amp;INDEX(tk_FLINE,MATCH(393,tk_FSEQ,0)),"")</f>
        <v/>
      </c>
      <c r="I398" s="181">
        <f>IFERROR(""&amp;INDEX(tk_LOCTXT,MATCH(393,tk_FSEQ,0)),"")</f>
        <v/>
      </c>
      <c r="J398" s="162">
        <f>IFERROR(""&amp;INDEX(tk_FNOTES,MATCH(393,tk_FSEQ,0)),"")</f>
        <v/>
      </c>
    </row>
    <row r="399">
      <c r="A399" s="161">
        <f>IFERROR(""&amp;INDEX(tk_MARK,MATCH(394,tk_FSEQ,0)),"")</f>
        <v/>
      </c>
      <c r="B399" s="162">
        <f>IFERROR(INDEX(tk_QTY,MATCH(394,tk_FSEQ,0)),"")</f>
        <v/>
      </c>
      <c r="C399" s="162">
        <f>IFERROR(INDEX(tk_ROOMF,MATCH(394,tk_FSEQ,0))&amp;IF(INDEX(tk_ROOMT,MATCH(394,tk_FSEQ,0))="",""," → "&amp;INDEX(tk_ROOMT,MATCH(394,tk_FSEQ,0))),"")</f>
        <v/>
      </c>
      <c r="D399" s="162">
        <f>IFERROR(""&amp;INDEX(tk_SIZE,MATCH(394,tk_FSEQ,0)),"")</f>
        <v/>
      </c>
      <c r="E399" s="162">
        <f>IFERROR(""&amp;INDEX(tk_RATING,MATCH(394,tk_FSEQ,0)),"")</f>
        <v/>
      </c>
      <c r="F399" s="162">
        <f>IFERROR(TEXT(INDEX(tk_OAW,MATCH(394,tk_FSEQ,0)),"0.000")&amp;" x "&amp;TEXT(INDEX(tk_OAH,MATCH(394,tk_FSEQ,0)),"0.000"),"")</f>
        <v/>
      </c>
      <c r="G399" s="162">
        <f>IFERROR(IF(INDEX(tk_ANCHT,MATCH(394,tk_FSEQ,0))="","",INDEX(tk_ANCHT,MATCH(394,tk_FSEQ,0))&amp;" + "&amp;INDEX(tk_BASEA,MATCH(394,tk_FSEQ,0))),"")</f>
        <v/>
      </c>
      <c r="H399" s="181">
        <f>IFERROR(""&amp;INDEX(tk_FLINE,MATCH(394,tk_FSEQ,0)),"")</f>
        <v/>
      </c>
      <c r="I399" s="181">
        <f>IFERROR(""&amp;INDEX(tk_LOCTXT,MATCH(394,tk_FSEQ,0)),"")</f>
        <v/>
      </c>
      <c r="J399" s="162">
        <f>IFERROR(""&amp;INDEX(tk_FNOTES,MATCH(394,tk_FSEQ,0)),"")</f>
        <v/>
      </c>
    </row>
    <row r="400">
      <c r="A400" s="161">
        <f>IFERROR(""&amp;INDEX(tk_MARK,MATCH(395,tk_FSEQ,0)),"")</f>
        <v/>
      </c>
      <c r="B400" s="162">
        <f>IFERROR(INDEX(tk_QTY,MATCH(395,tk_FSEQ,0)),"")</f>
        <v/>
      </c>
      <c r="C400" s="162">
        <f>IFERROR(INDEX(tk_ROOMF,MATCH(395,tk_FSEQ,0))&amp;IF(INDEX(tk_ROOMT,MATCH(395,tk_FSEQ,0))="",""," → "&amp;INDEX(tk_ROOMT,MATCH(395,tk_FSEQ,0))),"")</f>
        <v/>
      </c>
      <c r="D400" s="162">
        <f>IFERROR(""&amp;INDEX(tk_SIZE,MATCH(395,tk_FSEQ,0)),"")</f>
        <v/>
      </c>
      <c r="E400" s="162">
        <f>IFERROR(""&amp;INDEX(tk_RATING,MATCH(395,tk_FSEQ,0)),"")</f>
        <v/>
      </c>
      <c r="F400" s="162">
        <f>IFERROR(TEXT(INDEX(tk_OAW,MATCH(395,tk_FSEQ,0)),"0.000")&amp;" x "&amp;TEXT(INDEX(tk_OAH,MATCH(395,tk_FSEQ,0)),"0.000"),"")</f>
        <v/>
      </c>
      <c r="G400" s="162">
        <f>IFERROR(IF(INDEX(tk_ANCHT,MATCH(395,tk_FSEQ,0))="","",INDEX(tk_ANCHT,MATCH(395,tk_FSEQ,0))&amp;" + "&amp;INDEX(tk_BASEA,MATCH(395,tk_FSEQ,0))),"")</f>
        <v/>
      </c>
      <c r="H400" s="181">
        <f>IFERROR(""&amp;INDEX(tk_FLINE,MATCH(395,tk_FSEQ,0)),"")</f>
        <v/>
      </c>
      <c r="I400" s="181">
        <f>IFERROR(""&amp;INDEX(tk_LOCTXT,MATCH(395,tk_FSEQ,0)),"")</f>
        <v/>
      </c>
      <c r="J400" s="162">
        <f>IFERROR(""&amp;INDEX(tk_FNOTES,MATCH(395,tk_FSEQ,0)),"")</f>
        <v/>
      </c>
    </row>
    <row r="401">
      <c r="A401" s="161">
        <f>IFERROR(""&amp;INDEX(tk_MARK,MATCH(396,tk_FSEQ,0)),"")</f>
        <v/>
      </c>
      <c r="B401" s="162">
        <f>IFERROR(INDEX(tk_QTY,MATCH(396,tk_FSEQ,0)),"")</f>
        <v/>
      </c>
      <c r="C401" s="162">
        <f>IFERROR(INDEX(tk_ROOMF,MATCH(396,tk_FSEQ,0))&amp;IF(INDEX(tk_ROOMT,MATCH(396,tk_FSEQ,0))="",""," → "&amp;INDEX(tk_ROOMT,MATCH(396,tk_FSEQ,0))),"")</f>
        <v/>
      </c>
      <c r="D401" s="162">
        <f>IFERROR(""&amp;INDEX(tk_SIZE,MATCH(396,tk_FSEQ,0)),"")</f>
        <v/>
      </c>
      <c r="E401" s="162">
        <f>IFERROR(""&amp;INDEX(tk_RATING,MATCH(396,tk_FSEQ,0)),"")</f>
        <v/>
      </c>
      <c r="F401" s="162">
        <f>IFERROR(TEXT(INDEX(tk_OAW,MATCH(396,tk_FSEQ,0)),"0.000")&amp;" x "&amp;TEXT(INDEX(tk_OAH,MATCH(396,tk_FSEQ,0)),"0.000"),"")</f>
        <v/>
      </c>
      <c r="G401" s="162">
        <f>IFERROR(IF(INDEX(tk_ANCHT,MATCH(396,tk_FSEQ,0))="","",INDEX(tk_ANCHT,MATCH(396,tk_FSEQ,0))&amp;" + "&amp;INDEX(tk_BASEA,MATCH(396,tk_FSEQ,0))),"")</f>
        <v/>
      </c>
      <c r="H401" s="181">
        <f>IFERROR(""&amp;INDEX(tk_FLINE,MATCH(396,tk_FSEQ,0)),"")</f>
        <v/>
      </c>
      <c r="I401" s="181">
        <f>IFERROR(""&amp;INDEX(tk_LOCTXT,MATCH(396,tk_FSEQ,0)),"")</f>
        <v/>
      </c>
      <c r="J401" s="162">
        <f>IFERROR(""&amp;INDEX(tk_FNOTES,MATCH(396,tk_FSEQ,0)),"")</f>
        <v/>
      </c>
    </row>
    <row r="402">
      <c r="A402" s="161">
        <f>IFERROR(""&amp;INDEX(tk_MARK,MATCH(397,tk_FSEQ,0)),"")</f>
        <v/>
      </c>
      <c r="B402" s="162">
        <f>IFERROR(INDEX(tk_QTY,MATCH(397,tk_FSEQ,0)),"")</f>
        <v/>
      </c>
      <c r="C402" s="162">
        <f>IFERROR(INDEX(tk_ROOMF,MATCH(397,tk_FSEQ,0))&amp;IF(INDEX(tk_ROOMT,MATCH(397,tk_FSEQ,0))="",""," → "&amp;INDEX(tk_ROOMT,MATCH(397,tk_FSEQ,0))),"")</f>
        <v/>
      </c>
      <c r="D402" s="162">
        <f>IFERROR(""&amp;INDEX(tk_SIZE,MATCH(397,tk_FSEQ,0)),"")</f>
        <v/>
      </c>
      <c r="E402" s="162">
        <f>IFERROR(""&amp;INDEX(tk_RATING,MATCH(397,tk_FSEQ,0)),"")</f>
        <v/>
      </c>
      <c r="F402" s="162">
        <f>IFERROR(TEXT(INDEX(tk_OAW,MATCH(397,tk_FSEQ,0)),"0.000")&amp;" x "&amp;TEXT(INDEX(tk_OAH,MATCH(397,tk_FSEQ,0)),"0.000"),"")</f>
        <v/>
      </c>
      <c r="G402" s="162">
        <f>IFERROR(IF(INDEX(tk_ANCHT,MATCH(397,tk_FSEQ,0))="","",INDEX(tk_ANCHT,MATCH(397,tk_FSEQ,0))&amp;" + "&amp;INDEX(tk_BASEA,MATCH(397,tk_FSEQ,0))),"")</f>
        <v/>
      </c>
      <c r="H402" s="181">
        <f>IFERROR(""&amp;INDEX(tk_FLINE,MATCH(397,tk_FSEQ,0)),"")</f>
        <v/>
      </c>
      <c r="I402" s="181">
        <f>IFERROR(""&amp;INDEX(tk_LOCTXT,MATCH(397,tk_FSEQ,0)),"")</f>
        <v/>
      </c>
      <c r="J402" s="162">
        <f>IFERROR(""&amp;INDEX(tk_FNOTES,MATCH(397,tk_FSEQ,0)),"")</f>
        <v/>
      </c>
    </row>
    <row r="403">
      <c r="A403" s="161">
        <f>IFERROR(""&amp;INDEX(tk_MARK,MATCH(398,tk_FSEQ,0)),"")</f>
        <v/>
      </c>
      <c r="B403" s="162">
        <f>IFERROR(INDEX(tk_QTY,MATCH(398,tk_FSEQ,0)),"")</f>
        <v/>
      </c>
      <c r="C403" s="162">
        <f>IFERROR(INDEX(tk_ROOMF,MATCH(398,tk_FSEQ,0))&amp;IF(INDEX(tk_ROOMT,MATCH(398,tk_FSEQ,0))="",""," → "&amp;INDEX(tk_ROOMT,MATCH(398,tk_FSEQ,0))),"")</f>
        <v/>
      </c>
      <c r="D403" s="162">
        <f>IFERROR(""&amp;INDEX(tk_SIZE,MATCH(398,tk_FSEQ,0)),"")</f>
        <v/>
      </c>
      <c r="E403" s="162">
        <f>IFERROR(""&amp;INDEX(tk_RATING,MATCH(398,tk_FSEQ,0)),"")</f>
        <v/>
      </c>
      <c r="F403" s="162">
        <f>IFERROR(TEXT(INDEX(tk_OAW,MATCH(398,tk_FSEQ,0)),"0.000")&amp;" x "&amp;TEXT(INDEX(tk_OAH,MATCH(398,tk_FSEQ,0)),"0.000"),"")</f>
        <v/>
      </c>
      <c r="G403" s="162">
        <f>IFERROR(IF(INDEX(tk_ANCHT,MATCH(398,tk_FSEQ,0))="","",INDEX(tk_ANCHT,MATCH(398,tk_FSEQ,0))&amp;" + "&amp;INDEX(tk_BASEA,MATCH(398,tk_FSEQ,0))),"")</f>
        <v/>
      </c>
      <c r="H403" s="181">
        <f>IFERROR(""&amp;INDEX(tk_FLINE,MATCH(398,tk_FSEQ,0)),"")</f>
        <v/>
      </c>
      <c r="I403" s="181">
        <f>IFERROR(""&amp;INDEX(tk_LOCTXT,MATCH(398,tk_FSEQ,0)),"")</f>
        <v/>
      </c>
      <c r="J403" s="162">
        <f>IFERROR(""&amp;INDEX(tk_FNOTES,MATCH(398,tk_FSEQ,0)),"")</f>
        <v/>
      </c>
    </row>
    <row r="404">
      <c r="A404" s="161">
        <f>IFERROR(""&amp;INDEX(tk_MARK,MATCH(399,tk_FSEQ,0)),"")</f>
        <v/>
      </c>
      <c r="B404" s="162">
        <f>IFERROR(INDEX(tk_QTY,MATCH(399,tk_FSEQ,0)),"")</f>
        <v/>
      </c>
      <c r="C404" s="162">
        <f>IFERROR(INDEX(tk_ROOMF,MATCH(399,tk_FSEQ,0))&amp;IF(INDEX(tk_ROOMT,MATCH(399,tk_FSEQ,0))="",""," → "&amp;INDEX(tk_ROOMT,MATCH(399,tk_FSEQ,0))),"")</f>
        <v/>
      </c>
      <c r="D404" s="162">
        <f>IFERROR(""&amp;INDEX(tk_SIZE,MATCH(399,tk_FSEQ,0)),"")</f>
        <v/>
      </c>
      <c r="E404" s="162">
        <f>IFERROR(""&amp;INDEX(tk_RATING,MATCH(399,tk_FSEQ,0)),"")</f>
        <v/>
      </c>
      <c r="F404" s="162">
        <f>IFERROR(TEXT(INDEX(tk_OAW,MATCH(399,tk_FSEQ,0)),"0.000")&amp;" x "&amp;TEXT(INDEX(tk_OAH,MATCH(399,tk_FSEQ,0)),"0.000"),"")</f>
        <v/>
      </c>
      <c r="G404" s="162">
        <f>IFERROR(IF(INDEX(tk_ANCHT,MATCH(399,tk_FSEQ,0))="","",INDEX(tk_ANCHT,MATCH(399,tk_FSEQ,0))&amp;" + "&amp;INDEX(tk_BASEA,MATCH(399,tk_FSEQ,0))),"")</f>
        <v/>
      </c>
      <c r="H404" s="181">
        <f>IFERROR(""&amp;INDEX(tk_FLINE,MATCH(399,tk_FSEQ,0)),"")</f>
        <v/>
      </c>
      <c r="I404" s="181">
        <f>IFERROR(""&amp;INDEX(tk_LOCTXT,MATCH(399,tk_FSEQ,0)),"")</f>
        <v/>
      </c>
      <c r="J404" s="162">
        <f>IFERROR(""&amp;INDEX(tk_FNOTES,MATCH(399,tk_FSEQ,0)),"")</f>
        <v/>
      </c>
    </row>
    <row r="405">
      <c r="A405" s="161">
        <f>IFERROR(""&amp;INDEX(tk_MARK,MATCH(400,tk_FSEQ,0)),"")</f>
        <v/>
      </c>
      <c r="B405" s="162">
        <f>IFERROR(INDEX(tk_QTY,MATCH(400,tk_FSEQ,0)),"")</f>
        <v/>
      </c>
      <c r="C405" s="162">
        <f>IFERROR(INDEX(tk_ROOMF,MATCH(400,tk_FSEQ,0))&amp;IF(INDEX(tk_ROOMT,MATCH(400,tk_FSEQ,0))="",""," → "&amp;INDEX(tk_ROOMT,MATCH(400,tk_FSEQ,0))),"")</f>
        <v/>
      </c>
      <c r="D405" s="162">
        <f>IFERROR(""&amp;INDEX(tk_SIZE,MATCH(400,tk_FSEQ,0)),"")</f>
        <v/>
      </c>
      <c r="E405" s="162">
        <f>IFERROR(""&amp;INDEX(tk_RATING,MATCH(400,tk_FSEQ,0)),"")</f>
        <v/>
      </c>
      <c r="F405" s="162">
        <f>IFERROR(TEXT(INDEX(tk_OAW,MATCH(400,tk_FSEQ,0)),"0.000")&amp;" x "&amp;TEXT(INDEX(tk_OAH,MATCH(400,tk_FSEQ,0)),"0.000"),"")</f>
        <v/>
      </c>
      <c r="G405" s="162">
        <f>IFERROR(IF(INDEX(tk_ANCHT,MATCH(400,tk_FSEQ,0))="","",INDEX(tk_ANCHT,MATCH(400,tk_FSEQ,0))&amp;" + "&amp;INDEX(tk_BASEA,MATCH(400,tk_FSEQ,0))),"")</f>
        <v/>
      </c>
      <c r="H405" s="181">
        <f>IFERROR(""&amp;INDEX(tk_FLINE,MATCH(400,tk_FSEQ,0)),"")</f>
        <v/>
      </c>
      <c r="I405" s="181">
        <f>IFERROR(""&amp;INDEX(tk_LOCTXT,MATCH(400,tk_FSEQ,0)),"")</f>
        <v/>
      </c>
      <c r="J405" s="162">
        <f>IFERROR(""&amp;INDEX(tk_FNOTES,MATCH(400,tk_FSEQ,0)),"")</f>
        <v/>
      </c>
    </row>
    <row r="406">
      <c r="A406" s="161">
        <f>IFERROR(""&amp;INDEX(tk_MARK,MATCH(401,tk_FSEQ,0)),"")</f>
        <v/>
      </c>
      <c r="B406" s="162">
        <f>IFERROR(INDEX(tk_QTY,MATCH(401,tk_FSEQ,0)),"")</f>
        <v/>
      </c>
      <c r="C406" s="162">
        <f>IFERROR(INDEX(tk_ROOMF,MATCH(401,tk_FSEQ,0))&amp;IF(INDEX(tk_ROOMT,MATCH(401,tk_FSEQ,0))="",""," → "&amp;INDEX(tk_ROOMT,MATCH(401,tk_FSEQ,0))),"")</f>
        <v/>
      </c>
      <c r="D406" s="162">
        <f>IFERROR(""&amp;INDEX(tk_SIZE,MATCH(401,tk_FSEQ,0)),"")</f>
        <v/>
      </c>
      <c r="E406" s="162">
        <f>IFERROR(""&amp;INDEX(tk_RATING,MATCH(401,tk_FSEQ,0)),"")</f>
        <v/>
      </c>
      <c r="F406" s="162">
        <f>IFERROR(TEXT(INDEX(tk_OAW,MATCH(401,tk_FSEQ,0)),"0.000")&amp;" x "&amp;TEXT(INDEX(tk_OAH,MATCH(401,tk_FSEQ,0)),"0.000"),"")</f>
        <v/>
      </c>
      <c r="G406" s="162">
        <f>IFERROR(IF(INDEX(tk_ANCHT,MATCH(401,tk_FSEQ,0))="","",INDEX(tk_ANCHT,MATCH(401,tk_FSEQ,0))&amp;" + "&amp;INDEX(tk_BASEA,MATCH(401,tk_FSEQ,0))),"")</f>
        <v/>
      </c>
      <c r="H406" s="181">
        <f>IFERROR(""&amp;INDEX(tk_FLINE,MATCH(401,tk_FSEQ,0)),"")</f>
        <v/>
      </c>
      <c r="I406" s="181">
        <f>IFERROR(""&amp;INDEX(tk_LOCTXT,MATCH(401,tk_FSEQ,0)),"")</f>
        <v/>
      </c>
      <c r="J406" s="162">
        <f>IFERROR(""&amp;INDEX(tk_FNOTES,MATCH(401,tk_FSEQ,0)),"")</f>
        <v/>
      </c>
    </row>
    <row r="407">
      <c r="A407" s="161">
        <f>IFERROR(""&amp;INDEX(tk_MARK,MATCH(402,tk_FSEQ,0)),"")</f>
        <v/>
      </c>
      <c r="B407" s="162">
        <f>IFERROR(INDEX(tk_QTY,MATCH(402,tk_FSEQ,0)),"")</f>
        <v/>
      </c>
      <c r="C407" s="162">
        <f>IFERROR(INDEX(tk_ROOMF,MATCH(402,tk_FSEQ,0))&amp;IF(INDEX(tk_ROOMT,MATCH(402,tk_FSEQ,0))="",""," → "&amp;INDEX(tk_ROOMT,MATCH(402,tk_FSEQ,0))),"")</f>
        <v/>
      </c>
      <c r="D407" s="162">
        <f>IFERROR(""&amp;INDEX(tk_SIZE,MATCH(402,tk_FSEQ,0)),"")</f>
        <v/>
      </c>
      <c r="E407" s="162">
        <f>IFERROR(""&amp;INDEX(tk_RATING,MATCH(402,tk_FSEQ,0)),"")</f>
        <v/>
      </c>
      <c r="F407" s="162">
        <f>IFERROR(TEXT(INDEX(tk_OAW,MATCH(402,tk_FSEQ,0)),"0.000")&amp;" x "&amp;TEXT(INDEX(tk_OAH,MATCH(402,tk_FSEQ,0)),"0.000"),"")</f>
        <v/>
      </c>
      <c r="G407" s="162">
        <f>IFERROR(IF(INDEX(tk_ANCHT,MATCH(402,tk_FSEQ,0))="","",INDEX(tk_ANCHT,MATCH(402,tk_FSEQ,0))&amp;" + "&amp;INDEX(tk_BASEA,MATCH(402,tk_FSEQ,0))),"")</f>
        <v/>
      </c>
      <c r="H407" s="181">
        <f>IFERROR(""&amp;INDEX(tk_FLINE,MATCH(402,tk_FSEQ,0)),"")</f>
        <v/>
      </c>
      <c r="I407" s="181">
        <f>IFERROR(""&amp;INDEX(tk_LOCTXT,MATCH(402,tk_FSEQ,0)),"")</f>
        <v/>
      </c>
      <c r="J407" s="162">
        <f>IFERROR(""&amp;INDEX(tk_FNOTES,MATCH(402,tk_FSEQ,0)),"")</f>
        <v/>
      </c>
    </row>
    <row r="408">
      <c r="A408" s="161">
        <f>IFERROR(""&amp;INDEX(tk_MARK,MATCH(403,tk_FSEQ,0)),"")</f>
        <v/>
      </c>
      <c r="B408" s="162">
        <f>IFERROR(INDEX(tk_QTY,MATCH(403,tk_FSEQ,0)),"")</f>
        <v/>
      </c>
      <c r="C408" s="162">
        <f>IFERROR(INDEX(tk_ROOMF,MATCH(403,tk_FSEQ,0))&amp;IF(INDEX(tk_ROOMT,MATCH(403,tk_FSEQ,0))="",""," → "&amp;INDEX(tk_ROOMT,MATCH(403,tk_FSEQ,0))),"")</f>
        <v/>
      </c>
      <c r="D408" s="162">
        <f>IFERROR(""&amp;INDEX(tk_SIZE,MATCH(403,tk_FSEQ,0)),"")</f>
        <v/>
      </c>
      <c r="E408" s="162">
        <f>IFERROR(""&amp;INDEX(tk_RATING,MATCH(403,tk_FSEQ,0)),"")</f>
        <v/>
      </c>
      <c r="F408" s="162">
        <f>IFERROR(TEXT(INDEX(tk_OAW,MATCH(403,tk_FSEQ,0)),"0.000")&amp;" x "&amp;TEXT(INDEX(tk_OAH,MATCH(403,tk_FSEQ,0)),"0.000"),"")</f>
        <v/>
      </c>
      <c r="G408" s="162">
        <f>IFERROR(IF(INDEX(tk_ANCHT,MATCH(403,tk_FSEQ,0))="","",INDEX(tk_ANCHT,MATCH(403,tk_FSEQ,0))&amp;" + "&amp;INDEX(tk_BASEA,MATCH(403,tk_FSEQ,0))),"")</f>
        <v/>
      </c>
      <c r="H408" s="181">
        <f>IFERROR(""&amp;INDEX(tk_FLINE,MATCH(403,tk_FSEQ,0)),"")</f>
        <v/>
      </c>
      <c r="I408" s="181">
        <f>IFERROR(""&amp;INDEX(tk_LOCTXT,MATCH(403,tk_FSEQ,0)),"")</f>
        <v/>
      </c>
      <c r="J408" s="162">
        <f>IFERROR(""&amp;INDEX(tk_FNOTES,MATCH(403,tk_FSEQ,0)),"")</f>
        <v/>
      </c>
    </row>
    <row r="409">
      <c r="A409" s="161">
        <f>IFERROR(""&amp;INDEX(tk_MARK,MATCH(404,tk_FSEQ,0)),"")</f>
        <v/>
      </c>
      <c r="B409" s="162">
        <f>IFERROR(INDEX(tk_QTY,MATCH(404,tk_FSEQ,0)),"")</f>
        <v/>
      </c>
      <c r="C409" s="162">
        <f>IFERROR(INDEX(tk_ROOMF,MATCH(404,tk_FSEQ,0))&amp;IF(INDEX(tk_ROOMT,MATCH(404,tk_FSEQ,0))="",""," → "&amp;INDEX(tk_ROOMT,MATCH(404,tk_FSEQ,0))),"")</f>
        <v/>
      </c>
      <c r="D409" s="162">
        <f>IFERROR(""&amp;INDEX(tk_SIZE,MATCH(404,tk_FSEQ,0)),"")</f>
        <v/>
      </c>
      <c r="E409" s="162">
        <f>IFERROR(""&amp;INDEX(tk_RATING,MATCH(404,tk_FSEQ,0)),"")</f>
        <v/>
      </c>
      <c r="F409" s="162">
        <f>IFERROR(TEXT(INDEX(tk_OAW,MATCH(404,tk_FSEQ,0)),"0.000")&amp;" x "&amp;TEXT(INDEX(tk_OAH,MATCH(404,tk_FSEQ,0)),"0.000"),"")</f>
        <v/>
      </c>
      <c r="G409" s="162">
        <f>IFERROR(IF(INDEX(tk_ANCHT,MATCH(404,tk_FSEQ,0))="","",INDEX(tk_ANCHT,MATCH(404,tk_FSEQ,0))&amp;" + "&amp;INDEX(tk_BASEA,MATCH(404,tk_FSEQ,0))),"")</f>
        <v/>
      </c>
      <c r="H409" s="181">
        <f>IFERROR(""&amp;INDEX(tk_FLINE,MATCH(404,tk_FSEQ,0)),"")</f>
        <v/>
      </c>
      <c r="I409" s="181">
        <f>IFERROR(""&amp;INDEX(tk_LOCTXT,MATCH(404,tk_FSEQ,0)),"")</f>
        <v/>
      </c>
      <c r="J409" s="162">
        <f>IFERROR(""&amp;INDEX(tk_FNOTES,MATCH(404,tk_FSEQ,0)),"")</f>
        <v/>
      </c>
    </row>
    <row r="410">
      <c r="A410" s="161">
        <f>IFERROR(""&amp;INDEX(tk_MARK,MATCH(405,tk_FSEQ,0)),"")</f>
        <v/>
      </c>
      <c r="B410" s="162">
        <f>IFERROR(INDEX(tk_QTY,MATCH(405,tk_FSEQ,0)),"")</f>
        <v/>
      </c>
      <c r="C410" s="162">
        <f>IFERROR(INDEX(tk_ROOMF,MATCH(405,tk_FSEQ,0))&amp;IF(INDEX(tk_ROOMT,MATCH(405,tk_FSEQ,0))="",""," → "&amp;INDEX(tk_ROOMT,MATCH(405,tk_FSEQ,0))),"")</f>
        <v/>
      </c>
      <c r="D410" s="162">
        <f>IFERROR(""&amp;INDEX(tk_SIZE,MATCH(405,tk_FSEQ,0)),"")</f>
        <v/>
      </c>
      <c r="E410" s="162">
        <f>IFERROR(""&amp;INDEX(tk_RATING,MATCH(405,tk_FSEQ,0)),"")</f>
        <v/>
      </c>
      <c r="F410" s="162">
        <f>IFERROR(TEXT(INDEX(tk_OAW,MATCH(405,tk_FSEQ,0)),"0.000")&amp;" x "&amp;TEXT(INDEX(tk_OAH,MATCH(405,tk_FSEQ,0)),"0.000"),"")</f>
        <v/>
      </c>
      <c r="G410" s="162">
        <f>IFERROR(IF(INDEX(tk_ANCHT,MATCH(405,tk_FSEQ,0))="","",INDEX(tk_ANCHT,MATCH(405,tk_FSEQ,0))&amp;" + "&amp;INDEX(tk_BASEA,MATCH(405,tk_FSEQ,0))),"")</f>
        <v/>
      </c>
      <c r="H410" s="181">
        <f>IFERROR(""&amp;INDEX(tk_FLINE,MATCH(405,tk_FSEQ,0)),"")</f>
        <v/>
      </c>
      <c r="I410" s="181">
        <f>IFERROR(""&amp;INDEX(tk_LOCTXT,MATCH(405,tk_FSEQ,0)),"")</f>
        <v/>
      </c>
      <c r="J410" s="162">
        <f>IFERROR(""&amp;INDEX(tk_FNOTES,MATCH(405,tk_FSEQ,0)),"")</f>
        <v/>
      </c>
    </row>
    <row r="411">
      <c r="A411" s="161">
        <f>IFERROR(""&amp;INDEX(tk_MARK,MATCH(406,tk_FSEQ,0)),"")</f>
        <v/>
      </c>
      <c r="B411" s="162">
        <f>IFERROR(INDEX(tk_QTY,MATCH(406,tk_FSEQ,0)),"")</f>
        <v/>
      </c>
      <c r="C411" s="162">
        <f>IFERROR(INDEX(tk_ROOMF,MATCH(406,tk_FSEQ,0))&amp;IF(INDEX(tk_ROOMT,MATCH(406,tk_FSEQ,0))="",""," → "&amp;INDEX(tk_ROOMT,MATCH(406,tk_FSEQ,0))),"")</f>
        <v/>
      </c>
      <c r="D411" s="162">
        <f>IFERROR(""&amp;INDEX(tk_SIZE,MATCH(406,tk_FSEQ,0)),"")</f>
        <v/>
      </c>
      <c r="E411" s="162">
        <f>IFERROR(""&amp;INDEX(tk_RATING,MATCH(406,tk_FSEQ,0)),"")</f>
        <v/>
      </c>
      <c r="F411" s="162">
        <f>IFERROR(TEXT(INDEX(tk_OAW,MATCH(406,tk_FSEQ,0)),"0.000")&amp;" x "&amp;TEXT(INDEX(tk_OAH,MATCH(406,tk_FSEQ,0)),"0.000"),"")</f>
        <v/>
      </c>
      <c r="G411" s="162">
        <f>IFERROR(IF(INDEX(tk_ANCHT,MATCH(406,tk_FSEQ,0))="","",INDEX(tk_ANCHT,MATCH(406,tk_FSEQ,0))&amp;" + "&amp;INDEX(tk_BASEA,MATCH(406,tk_FSEQ,0))),"")</f>
        <v/>
      </c>
      <c r="H411" s="181">
        <f>IFERROR(""&amp;INDEX(tk_FLINE,MATCH(406,tk_FSEQ,0)),"")</f>
        <v/>
      </c>
      <c r="I411" s="181">
        <f>IFERROR(""&amp;INDEX(tk_LOCTXT,MATCH(406,tk_FSEQ,0)),"")</f>
        <v/>
      </c>
      <c r="J411" s="162">
        <f>IFERROR(""&amp;INDEX(tk_FNOTES,MATCH(406,tk_FSEQ,0)),"")</f>
        <v/>
      </c>
    </row>
    <row r="412">
      <c r="A412" s="161">
        <f>IFERROR(""&amp;INDEX(tk_MARK,MATCH(407,tk_FSEQ,0)),"")</f>
        <v/>
      </c>
      <c r="B412" s="162">
        <f>IFERROR(INDEX(tk_QTY,MATCH(407,tk_FSEQ,0)),"")</f>
        <v/>
      </c>
      <c r="C412" s="162">
        <f>IFERROR(INDEX(tk_ROOMF,MATCH(407,tk_FSEQ,0))&amp;IF(INDEX(tk_ROOMT,MATCH(407,tk_FSEQ,0))="",""," → "&amp;INDEX(tk_ROOMT,MATCH(407,tk_FSEQ,0))),"")</f>
        <v/>
      </c>
      <c r="D412" s="162">
        <f>IFERROR(""&amp;INDEX(tk_SIZE,MATCH(407,tk_FSEQ,0)),"")</f>
        <v/>
      </c>
      <c r="E412" s="162">
        <f>IFERROR(""&amp;INDEX(tk_RATING,MATCH(407,tk_FSEQ,0)),"")</f>
        <v/>
      </c>
      <c r="F412" s="162">
        <f>IFERROR(TEXT(INDEX(tk_OAW,MATCH(407,tk_FSEQ,0)),"0.000")&amp;" x "&amp;TEXT(INDEX(tk_OAH,MATCH(407,tk_FSEQ,0)),"0.000"),"")</f>
        <v/>
      </c>
      <c r="G412" s="162">
        <f>IFERROR(IF(INDEX(tk_ANCHT,MATCH(407,tk_FSEQ,0))="","",INDEX(tk_ANCHT,MATCH(407,tk_FSEQ,0))&amp;" + "&amp;INDEX(tk_BASEA,MATCH(407,tk_FSEQ,0))),"")</f>
        <v/>
      </c>
      <c r="H412" s="181">
        <f>IFERROR(""&amp;INDEX(tk_FLINE,MATCH(407,tk_FSEQ,0)),"")</f>
        <v/>
      </c>
      <c r="I412" s="181">
        <f>IFERROR(""&amp;INDEX(tk_LOCTXT,MATCH(407,tk_FSEQ,0)),"")</f>
        <v/>
      </c>
      <c r="J412" s="162">
        <f>IFERROR(""&amp;INDEX(tk_FNOTES,MATCH(407,tk_FSEQ,0)),"")</f>
        <v/>
      </c>
    </row>
    <row r="413">
      <c r="A413" s="161">
        <f>IFERROR(""&amp;INDEX(tk_MARK,MATCH(408,tk_FSEQ,0)),"")</f>
        <v/>
      </c>
      <c r="B413" s="162">
        <f>IFERROR(INDEX(tk_QTY,MATCH(408,tk_FSEQ,0)),"")</f>
        <v/>
      </c>
      <c r="C413" s="162">
        <f>IFERROR(INDEX(tk_ROOMF,MATCH(408,tk_FSEQ,0))&amp;IF(INDEX(tk_ROOMT,MATCH(408,tk_FSEQ,0))="",""," → "&amp;INDEX(tk_ROOMT,MATCH(408,tk_FSEQ,0))),"")</f>
        <v/>
      </c>
      <c r="D413" s="162">
        <f>IFERROR(""&amp;INDEX(tk_SIZE,MATCH(408,tk_FSEQ,0)),"")</f>
        <v/>
      </c>
      <c r="E413" s="162">
        <f>IFERROR(""&amp;INDEX(tk_RATING,MATCH(408,tk_FSEQ,0)),"")</f>
        <v/>
      </c>
      <c r="F413" s="162">
        <f>IFERROR(TEXT(INDEX(tk_OAW,MATCH(408,tk_FSEQ,0)),"0.000")&amp;" x "&amp;TEXT(INDEX(tk_OAH,MATCH(408,tk_FSEQ,0)),"0.000"),"")</f>
        <v/>
      </c>
      <c r="G413" s="162">
        <f>IFERROR(IF(INDEX(tk_ANCHT,MATCH(408,tk_FSEQ,0))="","",INDEX(tk_ANCHT,MATCH(408,tk_FSEQ,0))&amp;" + "&amp;INDEX(tk_BASEA,MATCH(408,tk_FSEQ,0))),"")</f>
        <v/>
      </c>
      <c r="H413" s="181">
        <f>IFERROR(""&amp;INDEX(tk_FLINE,MATCH(408,tk_FSEQ,0)),"")</f>
        <v/>
      </c>
      <c r="I413" s="181">
        <f>IFERROR(""&amp;INDEX(tk_LOCTXT,MATCH(408,tk_FSEQ,0)),"")</f>
        <v/>
      </c>
      <c r="J413" s="162">
        <f>IFERROR(""&amp;INDEX(tk_FNOTES,MATCH(408,tk_FSEQ,0)),"")</f>
        <v/>
      </c>
    </row>
    <row r="414">
      <c r="A414" s="161">
        <f>IFERROR(""&amp;INDEX(tk_MARK,MATCH(409,tk_FSEQ,0)),"")</f>
        <v/>
      </c>
      <c r="B414" s="162">
        <f>IFERROR(INDEX(tk_QTY,MATCH(409,tk_FSEQ,0)),"")</f>
        <v/>
      </c>
      <c r="C414" s="162">
        <f>IFERROR(INDEX(tk_ROOMF,MATCH(409,tk_FSEQ,0))&amp;IF(INDEX(tk_ROOMT,MATCH(409,tk_FSEQ,0))="",""," → "&amp;INDEX(tk_ROOMT,MATCH(409,tk_FSEQ,0))),"")</f>
        <v/>
      </c>
      <c r="D414" s="162">
        <f>IFERROR(""&amp;INDEX(tk_SIZE,MATCH(409,tk_FSEQ,0)),"")</f>
        <v/>
      </c>
      <c r="E414" s="162">
        <f>IFERROR(""&amp;INDEX(tk_RATING,MATCH(409,tk_FSEQ,0)),"")</f>
        <v/>
      </c>
      <c r="F414" s="162">
        <f>IFERROR(TEXT(INDEX(tk_OAW,MATCH(409,tk_FSEQ,0)),"0.000")&amp;" x "&amp;TEXT(INDEX(tk_OAH,MATCH(409,tk_FSEQ,0)),"0.000"),"")</f>
        <v/>
      </c>
      <c r="G414" s="162">
        <f>IFERROR(IF(INDEX(tk_ANCHT,MATCH(409,tk_FSEQ,0))="","",INDEX(tk_ANCHT,MATCH(409,tk_FSEQ,0))&amp;" + "&amp;INDEX(tk_BASEA,MATCH(409,tk_FSEQ,0))),"")</f>
        <v/>
      </c>
      <c r="H414" s="181">
        <f>IFERROR(""&amp;INDEX(tk_FLINE,MATCH(409,tk_FSEQ,0)),"")</f>
        <v/>
      </c>
      <c r="I414" s="181">
        <f>IFERROR(""&amp;INDEX(tk_LOCTXT,MATCH(409,tk_FSEQ,0)),"")</f>
        <v/>
      </c>
      <c r="J414" s="162">
        <f>IFERROR(""&amp;INDEX(tk_FNOTES,MATCH(409,tk_FSEQ,0)),"")</f>
        <v/>
      </c>
    </row>
    <row r="415">
      <c r="A415" s="161">
        <f>IFERROR(""&amp;INDEX(tk_MARK,MATCH(410,tk_FSEQ,0)),"")</f>
        <v/>
      </c>
      <c r="B415" s="162">
        <f>IFERROR(INDEX(tk_QTY,MATCH(410,tk_FSEQ,0)),"")</f>
        <v/>
      </c>
      <c r="C415" s="162">
        <f>IFERROR(INDEX(tk_ROOMF,MATCH(410,tk_FSEQ,0))&amp;IF(INDEX(tk_ROOMT,MATCH(410,tk_FSEQ,0))="",""," → "&amp;INDEX(tk_ROOMT,MATCH(410,tk_FSEQ,0))),"")</f>
        <v/>
      </c>
      <c r="D415" s="162">
        <f>IFERROR(""&amp;INDEX(tk_SIZE,MATCH(410,tk_FSEQ,0)),"")</f>
        <v/>
      </c>
      <c r="E415" s="162">
        <f>IFERROR(""&amp;INDEX(tk_RATING,MATCH(410,tk_FSEQ,0)),"")</f>
        <v/>
      </c>
      <c r="F415" s="162">
        <f>IFERROR(TEXT(INDEX(tk_OAW,MATCH(410,tk_FSEQ,0)),"0.000")&amp;" x "&amp;TEXT(INDEX(tk_OAH,MATCH(410,tk_FSEQ,0)),"0.000"),"")</f>
        <v/>
      </c>
      <c r="G415" s="162">
        <f>IFERROR(IF(INDEX(tk_ANCHT,MATCH(410,tk_FSEQ,0))="","",INDEX(tk_ANCHT,MATCH(410,tk_FSEQ,0))&amp;" + "&amp;INDEX(tk_BASEA,MATCH(410,tk_FSEQ,0))),"")</f>
        <v/>
      </c>
      <c r="H415" s="181">
        <f>IFERROR(""&amp;INDEX(tk_FLINE,MATCH(410,tk_FSEQ,0)),"")</f>
        <v/>
      </c>
      <c r="I415" s="181">
        <f>IFERROR(""&amp;INDEX(tk_LOCTXT,MATCH(410,tk_FSEQ,0)),"")</f>
        <v/>
      </c>
      <c r="J415" s="162">
        <f>IFERROR(""&amp;INDEX(tk_FNOTES,MATCH(410,tk_FSEQ,0)),"")</f>
        <v/>
      </c>
    </row>
    <row r="416">
      <c r="A416" s="161">
        <f>IFERROR(""&amp;INDEX(tk_MARK,MATCH(411,tk_FSEQ,0)),"")</f>
        <v/>
      </c>
      <c r="B416" s="162">
        <f>IFERROR(INDEX(tk_QTY,MATCH(411,tk_FSEQ,0)),"")</f>
        <v/>
      </c>
      <c r="C416" s="162">
        <f>IFERROR(INDEX(tk_ROOMF,MATCH(411,tk_FSEQ,0))&amp;IF(INDEX(tk_ROOMT,MATCH(411,tk_FSEQ,0))="",""," → "&amp;INDEX(tk_ROOMT,MATCH(411,tk_FSEQ,0))),"")</f>
        <v/>
      </c>
      <c r="D416" s="162">
        <f>IFERROR(""&amp;INDEX(tk_SIZE,MATCH(411,tk_FSEQ,0)),"")</f>
        <v/>
      </c>
      <c r="E416" s="162">
        <f>IFERROR(""&amp;INDEX(tk_RATING,MATCH(411,tk_FSEQ,0)),"")</f>
        <v/>
      </c>
      <c r="F416" s="162">
        <f>IFERROR(TEXT(INDEX(tk_OAW,MATCH(411,tk_FSEQ,0)),"0.000")&amp;" x "&amp;TEXT(INDEX(tk_OAH,MATCH(411,tk_FSEQ,0)),"0.000"),"")</f>
        <v/>
      </c>
      <c r="G416" s="162">
        <f>IFERROR(IF(INDEX(tk_ANCHT,MATCH(411,tk_FSEQ,0))="","",INDEX(tk_ANCHT,MATCH(411,tk_FSEQ,0))&amp;" + "&amp;INDEX(tk_BASEA,MATCH(411,tk_FSEQ,0))),"")</f>
        <v/>
      </c>
      <c r="H416" s="181">
        <f>IFERROR(""&amp;INDEX(tk_FLINE,MATCH(411,tk_FSEQ,0)),"")</f>
        <v/>
      </c>
      <c r="I416" s="181">
        <f>IFERROR(""&amp;INDEX(tk_LOCTXT,MATCH(411,tk_FSEQ,0)),"")</f>
        <v/>
      </c>
      <c r="J416" s="162">
        <f>IFERROR(""&amp;INDEX(tk_FNOTES,MATCH(411,tk_FSEQ,0)),"")</f>
        <v/>
      </c>
    </row>
    <row r="417">
      <c r="A417" s="161">
        <f>IFERROR(""&amp;INDEX(tk_MARK,MATCH(412,tk_FSEQ,0)),"")</f>
        <v/>
      </c>
      <c r="B417" s="162">
        <f>IFERROR(INDEX(tk_QTY,MATCH(412,tk_FSEQ,0)),"")</f>
        <v/>
      </c>
      <c r="C417" s="162">
        <f>IFERROR(INDEX(tk_ROOMF,MATCH(412,tk_FSEQ,0))&amp;IF(INDEX(tk_ROOMT,MATCH(412,tk_FSEQ,0))="",""," → "&amp;INDEX(tk_ROOMT,MATCH(412,tk_FSEQ,0))),"")</f>
        <v/>
      </c>
      <c r="D417" s="162">
        <f>IFERROR(""&amp;INDEX(tk_SIZE,MATCH(412,tk_FSEQ,0)),"")</f>
        <v/>
      </c>
      <c r="E417" s="162">
        <f>IFERROR(""&amp;INDEX(tk_RATING,MATCH(412,tk_FSEQ,0)),"")</f>
        <v/>
      </c>
      <c r="F417" s="162">
        <f>IFERROR(TEXT(INDEX(tk_OAW,MATCH(412,tk_FSEQ,0)),"0.000")&amp;" x "&amp;TEXT(INDEX(tk_OAH,MATCH(412,tk_FSEQ,0)),"0.000"),"")</f>
        <v/>
      </c>
      <c r="G417" s="162">
        <f>IFERROR(IF(INDEX(tk_ANCHT,MATCH(412,tk_FSEQ,0))="","",INDEX(tk_ANCHT,MATCH(412,tk_FSEQ,0))&amp;" + "&amp;INDEX(tk_BASEA,MATCH(412,tk_FSEQ,0))),"")</f>
        <v/>
      </c>
      <c r="H417" s="181">
        <f>IFERROR(""&amp;INDEX(tk_FLINE,MATCH(412,tk_FSEQ,0)),"")</f>
        <v/>
      </c>
      <c r="I417" s="181">
        <f>IFERROR(""&amp;INDEX(tk_LOCTXT,MATCH(412,tk_FSEQ,0)),"")</f>
        <v/>
      </c>
      <c r="J417" s="162">
        <f>IFERROR(""&amp;INDEX(tk_FNOTES,MATCH(412,tk_FSEQ,0)),"")</f>
        <v/>
      </c>
    </row>
    <row r="418">
      <c r="A418" s="161">
        <f>IFERROR(""&amp;INDEX(tk_MARK,MATCH(413,tk_FSEQ,0)),"")</f>
        <v/>
      </c>
      <c r="B418" s="162">
        <f>IFERROR(INDEX(tk_QTY,MATCH(413,tk_FSEQ,0)),"")</f>
        <v/>
      </c>
      <c r="C418" s="162">
        <f>IFERROR(INDEX(tk_ROOMF,MATCH(413,tk_FSEQ,0))&amp;IF(INDEX(tk_ROOMT,MATCH(413,tk_FSEQ,0))="",""," → "&amp;INDEX(tk_ROOMT,MATCH(413,tk_FSEQ,0))),"")</f>
        <v/>
      </c>
      <c r="D418" s="162">
        <f>IFERROR(""&amp;INDEX(tk_SIZE,MATCH(413,tk_FSEQ,0)),"")</f>
        <v/>
      </c>
      <c r="E418" s="162">
        <f>IFERROR(""&amp;INDEX(tk_RATING,MATCH(413,tk_FSEQ,0)),"")</f>
        <v/>
      </c>
      <c r="F418" s="162">
        <f>IFERROR(TEXT(INDEX(tk_OAW,MATCH(413,tk_FSEQ,0)),"0.000")&amp;" x "&amp;TEXT(INDEX(tk_OAH,MATCH(413,tk_FSEQ,0)),"0.000"),"")</f>
        <v/>
      </c>
      <c r="G418" s="162">
        <f>IFERROR(IF(INDEX(tk_ANCHT,MATCH(413,tk_FSEQ,0))="","",INDEX(tk_ANCHT,MATCH(413,tk_FSEQ,0))&amp;" + "&amp;INDEX(tk_BASEA,MATCH(413,tk_FSEQ,0))),"")</f>
        <v/>
      </c>
      <c r="H418" s="181">
        <f>IFERROR(""&amp;INDEX(tk_FLINE,MATCH(413,tk_FSEQ,0)),"")</f>
        <v/>
      </c>
      <c r="I418" s="181">
        <f>IFERROR(""&amp;INDEX(tk_LOCTXT,MATCH(413,tk_FSEQ,0)),"")</f>
        <v/>
      </c>
      <c r="J418" s="162">
        <f>IFERROR(""&amp;INDEX(tk_FNOTES,MATCH(413,tk_FSEQ,0)),"")</f>
        <v/>
      </c>
    </row>
    <row r="419">
      <c r="A419" s="161">
        <f>IFERROR(""&amp;INDEX(tk_MARK,MATCH(414,tk_FSEQ,0)),"")</f>
        <v/>
      </c>
      <c r="B419" s="162">
        <f>IFERROR(INDEX(tk_QTY,MATCH(414,tk_FSEQ,0)),"")</f>
        <v/>
      </c>
      <c r="C419" s="162">
        <f>IFERROR(INDEX(tk_ROOMF,MATCH(414,tk_FSEQ,0))&amp;IF(INDEX(tk_ROOMT,MATCH(414,tk_FSEQ,0))="",""," → "&amp;INDEX(tk_ROOMT,MATCH(414,tk_FSEQ,0))),"")</f>
        <v/>
      </c>
      <c r="D419" s="162">
        <f>IFERROR(""&amp;INDEX(tk_SIZE,MATCH(414,tk_FSEQ,0)),"")</f>
        <v/>
      </c>
      <c r="E419" s="162">
        <f>IFERROR(""&amp;INDEX(tk_RATING,MATCH(414,tk_FSEQ,0)),"")</f>
        <v/>
      </c>
      <c r="F419" s="162">
        <f>IFERROR(TEXT(INDEX(tk_OAW,MATCH(414,tk_FSEQ,0)),"0.000")&amp;" x "&amp;TEXT(INDEX(tk_OAH,MATCH(414,tk_FSEQ,0)),"0.000"),"")</f>
        <v/>
      </c>
      <c r="G419" s="162">
        <f>IFERROR(IF(INDEX(tk_ANCHT,MATCH(414,tk_FSEQ,0))="","",INDEX(tk_ANCHT,MATCH(414,tk_FSEQ,0))&amp;" + "&amp;INDEX(tk_BASEA,MATCH(414,tk_FSEQ,0))),"")</f>
        <v/>
      </c>
      <c r="H419" s="181">
        <f>IFERROR(""&amp;INDEX(tk_FLINE,MATCH(414,tk_FSEQ,0)),"")</f>
        <v/>
      </c>
      <c r="I419" s="181">
        <f>IFERROR(""&amp;INDEX(tk_LOCTXT,MATCH(414,tk_FSEQ,0)),"")</f>
        <v/>
      </c>
      <c r="J419" s="162">
        <f>IFERROR(""&amp;INDEX(tk_FNOTES,MATCH(414,tk_FSEQ,0)),"")</f>
        <v/>
      </c>
    </row>
    <row r="420">
      <c r="A420" s="161">
        <f>IFERROR(""&amp;INDEX(tk_MARK,MATCH(415,tk_FSEQ,0)),"")</f>
        <v/>
      </c>
      <c r="B420" s="162">
        <f>IFERROR(INDEX(tk_QTY,MATCH(415,tk_FSEQ,0)),"")</f>
        <v/>
      </c>
      <c r="C420" s="162">
        <f>IFERROR(INDEX(tk_ROOMF,MATCH(415,tk_FSEQ,0))&amp;IF(INDEX(tk_ROOMT,MATCH(415,tk_FSEQ,0))="",""," → "&amp;INDEX(tk_ROOMT,MATCH(415,tk_FSEQ,0))),"")</f>
        <v/>
      </c>
      <c r="D420" s="162">
        <f>IFERROR(""&amp;INDEX(tk_SIZE,MATCH(415,tk_FSEQ,0)),"")</f>
        <v/>
      </c>
      <c r="E420" s="162">
        <f>IFERROR(""&amp;INDEX(tk_RATING,MATCH(415,tk_FSEQ,0)),"")</f>
        <v/>
      </c>
      <c r="F420" s="162">
        <f>IFERROR(TEXT(INDEX(tk_OAW,MATCH(415,tk_FSEQ,0)),"0.000")&amp;" x "&amp;TEXT(INDEX(tk_OAH,MATCH(415,tk_FSEQ,0)),"0.000"),"")</f>
        <v/>
      </c>
      <c r="G420" s="162">
        <f>IFERROR(IF(INDEX(tk_ANCHT,MATCH(415,tk_FSEQ,0))="","",INDEX(tk_ANCHT,MATCH(415,tk_FSEQ,0))&amp;" + "&amp;INDEX(tk_BASEA,MATCH(415,tk_FSEQ,0))),"")</f>
        <v/>
      </c>
      <c r="H420" s="181">
        <f>IFERROR(""&amp;INDEX(tk_FLINE,MATCH(415,tk_FSEQ,0)),"")</f>
        <v/>
      </c>
      <c r="I420" s="181">
        <f>IFERROR(""&amp;INDEX(tk_LOCTXT,MATCH(415,tk_FSEQ,0)),"")</f>
        <v/>
      </c>
      <c r="J420" s="162">
        <f>IFERROR(""&amp;INDEX(tk_FNOTES,MATCH(415,tk_FSEQ,0)),"")</f>
        <v/>
      </c>
    </row>
    <row r="421">
      <c r="A421" s="161">
        <f>IFERROR(""&amp;INDEX(tk_MARK,MATCH(416,tk_FSEQ,0)),"")</f>
        <v/>
      </c>
      <c r="B421" s="162">
        <f>IFERROR(INDEX(tk_QTY,MATCH(416,tk_FSEQ,0)),"")</f>
        <v/>
      </c>
      <c r="C421" s="162">
        <f>IFERROR(INDEX(tk_ROOMF,MATCH(416,tk_FSEQ,0))&amp;IF(INDEX(tk_ROOMT,MATCH(416,tk_FSEQ,0))="",""," → "&amp;INDEX(tk_ROOMT,MATCH(416,tk_FSEQ,0))),"")</f>
        <v/>
      </c>
      <c r="D421" s="162">
        <f>IFERROR(""&amp;INDEX(tk_SIZE,MATCH(416,tk_FSEQ,0)),"")</f>
        <v/>
      </c>
      <c r="E421" s="162">
        <f>IFERROR(""&amp;INDEX(tk_RATING,MATCH(416,tk_FSEQ,0)),"")</f>
        <v/>
      </c>
      <c r="F421" s="162">
        <f>IFERROR(TEXT(INDEX(tk_OAW,MATCH(416,tk_FSEQ,0)),"0.000")&amp;" x "&amp;TEXT(INDEX(tk_OAH,MATCH(416,tk_FSEQ,0)),"0.000"),"")</f>
        <v/>
      </c>
      <c r="G421" s="162">
        <f>IFERROR(IF(INDEX(tk_ANCHT,MATCH(416,tk_FSEQ,0))="","",INDEX(tk_ANCHT,MATCH(416,tk_FSEQ,0))&amp;" + "&amp;INDEX(tk_BASEA,MATCH(416,tk_FSEQ,0))),"")</f>
        <v/>
      </c>
      <c r="H421" s="181">
        <f>IFERROR(""&amp;INDEX(tk_FLINE,MATCH(416,tk_FSEQ,0)),"")</f>
        <v/>
      </c>
      <c r="I421" s="181">
        <f>IFERROR(""&amp;INDEX(tk_LOCTXT,MATCH(416,tk_FSEQ,0)),"")</f>
        <v/>
      </c>
      <c r="J421" s="162">
        <f>IFERROR(""&amp;INDEX(tk_FNOTES,MATCH(416,tk_FSEQ,0)),"")</f>
        <v/>
      </c>
    </row>
    <row r="422">
      <c r="A422" s="161">
        <f>IFERROR(""&amp;INDEX(tk_MARK,MATCH(417,tk_FSEQ,0)),"")</f>
        <v/>
      </c>
      <c r="B422" s="162">
        <f>IFERROR(INDEX(tk_QTY,MATCH(417,tk_FSEQ,0)),"")</f>
        <v/>
      </c>
      <c r="C422" s="162">
        <f>IFERROR(INDEX(tk_ROOMF,MATCH(417,tk_FSEQ,0))&amp;IF(INDEX(tk_ROOMT,MATCH(417,tk_FSEQ,0))="",""," → "&amp;INDEX(tk_ROOMT,MATCH(417,tk_FSEQ,0))),"")</f>
        <v/>
      </c>
      <c r="D422" s="162">
        <f>IFERROR(""&amp;INDEX(tk_SIZE,MATCH(417,tk_FSEQ,0)),"")</f>
        <v/>
      </c>
      <c r="E422" s="162">
        <f>IFERROR(""&amp;INDEX(tk_RATING,MATCH(417,tk_FSEQ,0)),"")</f>
        <v/>
      </c>
      <c r="F422" s="162">
        <f>IFERROR(TEXT(INDEX(tk_OAW,MATCH(417,tk_FSEQ,0)),"0.000")&amp;" x "&amp;TEXT(INDEX(tk_OAH,MATCH(417,tk_FSEQ,0)),"0.000"),"")</f>
        <v/>
      </c>
      <c r="G422" s="162">
        <f>IFERROR(IF(INDEX(tk_ANCHT,MATCH(417,tk_FSEQ,0))="","",INDEX(tk_ANCHT,MATCH(417,tk_FSEQ,0))&amp;" + "&amp;INDEX(tk_BASEA,MATCH(417,tk_FSEQ,0))),"")</f>
        <v/>
      </c>
      <c r="H422" s="181">
        <f>IFERROR(""&amp;INDEX(tk_FLINE,MATCH(417,tk_FSEQ,0)),"")</f>
        <v/>
      </c>
      <c r="I422" s="181">
        <f>IFERROR(""&amp;INDEX(tk_LOCTXT,MATCH(417,tk_FSEQ,0)),"")</f>
        <v/>
      </c>
      <c r="J422" s="162">
        <f>IFERROR(""&amp;INDEX(tk_FNOTES,MATCH(417,tk_FSEQ,0)),"")</f>
        <v/>
      </c>
    </row>
    <row r="423">
      <c r="A423" s="161">
        <f>IFERROR(""&amp;INDEX(tk_MARK,MATCH(418,tk_FSEQ,0)),"")</f>
        <v/>
      </c>
      <c r="B423" s="162">
        <f>IFERROR(INDEX(tk_QTY,MATCH(418,tk_FSEQ,0)),"")</f>
        <v/>
      </c>
      <c r="C423" s="162">
        <f>IFERROR(INDEX(tk_ROOMF,MATCH(418,tk_FSEQ,0))&amp;IF(INDEX(tk_ROOMT,MATCH(418,tk_FSEQ,0))="",""," → "&amp;INDEX(tk_ROOMT,MATCH(418,tk_FSEQ,0))),"")</f>
        <v/>
      </c>
      <c r="D423" s="162">
        <f>IFERROR(""&amp;INDEX(tk_SIZE,MATCH(418,tk_FSEQ,0)),"")</f>
        <v/>
      </c>
      <c r="E423" s="162">
        <f>IFERROR(""&amp;INDEX(tk_RATING,MATCH(418,tk_FSEQ,0)),"")</f>
        <v/>
      </c>
      <c r="F423" s="162">
        <f>IFERROR(TEXT(INDEX(tk_OAW,MATCH(418,tk_FSEQ,0)),"0.000")&amp;" x "&amp;TEXT(INDEX(tk_OAH,MATCH(418,tk_FSEQ,0)),"0.000"),"")</f>
        <v/>
      </c>
      <c r="G423" s="162">
        <f>IFERROR(IF(INDEX(tk_ANCHT,MATCH(418,tk_FSEQ,0))="","",INDEX(tk_ANCHT,MATCH(418,tk_FSEQ,0))&amp;" + "&amp;INDEX(tk_BASEA,MATCH(418,tk_FSEQ,0))),"")</f>
        <v/>
      </c>
      <c r="H423" s="181">
        <f>IFERROR(""&amp;INDEX(tk_FLINE,MATCH(418,tk_FSEQ,0)),"")</f>
        <v/>
      </c>
      <c r="I423" s="181">
        <f>IFERROR(""&amp;INDEX(tk_LOCTXT,MATCH(418,tk_FSEQ,0)),"")</f>
        <v/>
      </c>
      <c r="J423" s="162">
        <f>IFERROR(""&amp;INDEX(tk_FNOTES,MATCH(418,tk_FSEQ,0)),"")</f>
        <v/>
      </c>
    </row>
    <row r="424">
      <c r="A424" s="161">
        <f>IFERROR(""&amp;INDEX(tk_MARK,MATCH(419,tk_FSEQ,0)),"")</f>
        <v/>
      </c>
      <c r="B424" s="162">
        <f>IFERROR(INDEX(tk_QTY,MATCH(419,tk_FSEQ,0)),"")</f>
        <v/>
      </c>
      <c r="C424" s="162">
        <f>IFERROR(INDEX(tk_ROOMF,MATCH(419,tk_FSEQ,0))&amp;IF(INDEX(tk_ROOMT,MATCH(419,tk_FSEQ,0))="",""," → "&amp;INDEX(tk_ROOMT,MATCH(419,tk_FSEQ,0))),"")</f>
        <v/>
      </c>
      <c r="D424" s="162">
        <f>IFERROR(""&amp;INDEX(tk_SIZE,MATCH(419,tk_FSEQ,0)),"")</f>
        <v/>
      </c>
      <c r="E424" s="162">
        <f>IFERROR(""&amp;INDEX(tk_RATING,MATCH(419,tk_FSEQ,0)),"")</f>
        <v/>
      </c>
      <c r="F424" s="162">
        <f>IFERROR(TEXT(INDEX(tk_OAW,MATCH(419,tk_FSEQ,0)),"0.000")&amp;" x "&amp;TEXT(INDEX(tk_OAH,MATCH(419,tk_FSEQ,0)),"0.000"),"")</f>
        <v/>
      </c>
      <c r="G424" s="162">
        <f>IFERROR(IF(INDEX(tk_ANCHT,MATCH(419,tk_FSEQ,0))="","",INDEX(tk_ANCHT,MATCH(419,tk_FSEQ,0))&amp;" + "&amp;INDEX(tk_BASEA,MATCH(419,tk_FSEQ,0))),"")</f>
        <v/>
      </c>
      <c r="H424" s="181">
        <f>IFERROR(""&amp;INDEX(tk_FLINE,MATCH(419,tk_FSEQ,0)),"")</f>
        <v/>
      </c>
      <c r="I424" s="181">
        <f>IFERROR(""&amp;INDEX(tk_LOCTXT,MATCH(419,tk_FSEQ,0)),"")</f>
        <v/>
      </c>
      <c r="J424" s="162">
        <f>IFERROR(""&amp;INDEX(tk_FNOTES,MATCH(419,tk_FSEQ,0)),"")</f>
        <v/>
      </c>
    </row>
    <row r="425">
      <c r="A425" s="161">
        <f>IFERROR(""&amp;INDEX(tk_MARK,MATCH(420,tk_FSEQ,0)),"")</f>
        <v/>
      </c>
      <c r="B425" s="162">
        <f>IFERROR(INDEX(tk_QTY,MATCH(420,tk_FSEQ,0)),"")</f>
        <v/>
      </c>
      <c r="C425" s="162">
        <f>IFERROR(INDEX(tk_ROOMF,MATCH(420,tk_FSEQ,0))&amp;IF(INDEX(tk_ROOMT,MATCH(420,tk_FSEQ,0))="",""," → "&amp;INDEX(tk_ROOMT,MATCH(420,tk_FSEQ,0))),"")</f>
        <v/>
      </c>
      <c r="D425" s="162">
        <f>IFERROR(""&amp;INDEX(tk_SIZE,MATCH(420,tk_FSEQ,0)),"")</f>
        <v/>
      </c>
      <c r="E425" s="162">
        <f>IFERROR(""&amp;INDEX(tk_RATING,MATCH(420,tk_FSEQ,0)),"")</f>
        <v/>
      </c>
      <c r="F425" s="162">
        <f>IFERROR(TEXT(INDEX(tk_OAW,MATCH(420,tk_FSEQ,0)),"0.000")&amp;" x "&amp;TEXT(INDEX(tk_OAH,MATCH(420,tk_FSEQ,0)),"0.000"),"")</f>
        <v/>
      </c>
      <c r="G425" s="162">
        <f>IFERROR(IF(INDEX(tk_ANCHT,MATCH(420,tk_FSEQ,0))="","",INDEX(tk_ANCHT,MATCH(420,tk_FSEQ,0))&amp;" + "&amp;INDEX(tk_BASEA,MATCH(420,tk_FSEQ,0))),"")</f>
        <v/>
      </c>
      <c r="H425" s="181">
        <f>IFERROR(""&amp;INDEX(tk_FLINE,MATCH(420,tk_FSEQ,0)),"")</f>
        <v/>
      </c>
      <c r="I425" s="181">
        <f>IFERROR(""&amp;INDEX(tk_LOCTXT,MATCH(420,tk_FSEQ,0)),"")</f>
        <v/>
      </c>
      <c r="J425" s="162">
        <f>IFERROR(""&amp;INDEX(tk_FNOTES,MATCH(420,tk_FSEQ,0)),"")</f>
        <v/>
      </c>
    </row>
    <row r="426">
      <c r="A426" s="161">
        <f>IFERROR(""&amp;INDEX(tk_MARK,MATCH(421,tk_FSEQ,0)),"")</f>
        <v/>
      </c>
      <c r="B426" s="162">
        <f>IFERROR(INDEX(tk_QTY,MATCH(421,tk_FSEQ,0)),"")</f>
        <v/>
      </c>
      <c r="C426" s="162">
        <f>IFERROR(INDEX(tk_ROOMF,MATCH(421,tk_FSEQ,0))&amp;IF(INDEX(tk_ROOMT,MATCH(421,tk_FSEQ,0))="",""," → "&amp;INDEX(tk_ROOMT,MATCH(421,tk_FSEQ,0))),"")</f>
        <v/>
      </c>
      <c r="D426" s="162">
        <f>IFERROR(""&amp;INDEX(tk_SIZE,MATCH(421,tk_FSEQ,0)),"")</f>
        <v/>
      </c>
      <c r="E426" s="162">
        <f>IFERROR(""&amp;INDEX(tk_RATING,MATCH(421,tk_FSEQ,0)),"")</f>
        <v/>
      </c>
      <c r="F426" s="162">
        <f>IFERROR(TEXT(INDEX(tk_OAW,MATCH(421,tk_FSEQ,0)),"0.000")&amp;" x "&amp;TEXT(INDEX(tk_OAH,MATCH(421,tk_FSEQ,0)),"0.000"),"")</f>
        <v/>
      </c>
      <c r="G426" s="162">
        <f>IFERROR(IF(INDEX(tk_ANCHT,MATCH(421,tk_FSEQ,0))="","",INDEX(tk_ANCHT,MATCH(421,tk_FSEQ,0))&amp;" + "&amp;INDEX(tk_BASEA,MATCH(421,tk_FSEQ,0))),"")</f>
        <v/>
      </c>
      <c r="H426" s="181">
        <f>IFERROR(""&amp;INDEX(tk_FLINE,MATCH(421,tk_FSEQ,0)),"")</f>
        <v/>
      </c>
      <c r="I426" s="181">
        <f>IFERROR(""&amp;INDEX(tk_LOCTXT,MATCH(421,tk_FSEQ,0)),"")</f>
        <v/>
      </c>
      <c r="J426" s="162">
        <f>IFERROR(""&amp;INDEX(tk_FNOTES,MATCH(421,tk_FSEQ,0)),"")</f>
        <v/>
      </c>
    </row>
    <row r="427">
      <c r="A427" s="161">
        <f>IFERROR(""&amp;INDEX(tk_MARK,MATCH(422,tk_FSEQ,0)),"")</f>
        <v/>
      </c>
      <c r="B427" s="162">
        <f>IFERROR(INDEX(tk_QTY,MATCH(422,tk_FSEQ,0)),"")</f>
        <v/>
      </c>
      <c r="C427" s="162">
        <f>IFERROR(INDEX(tk_ROOMF,MATCH(422,tk_FSEQ,0))&amp;IF(INDEX(tk_ROOMT,MATCH(422,tk_FSEQ,0))="",""," → "&amp;INDEX(tk_ROOMT,MATCH(422,tk_FSEQ,0))),"")</f>
        <v/>
      </c>
      <c r="D427" s="162">
        <f>IFERROR(""&amp;INDEX(tk_SIZE,MATCH(422,tk_FSEQ,0)),"")</f>
        <v/>
      </c>
      <c r="E427" s="162">
        <f>IFERROR(""&amp;INDEX(tk_RATING,MATCH(422,tk_FSEQ,0)),"")</f>
        <v/>
      </c>
      <c r="F427" s="162">
        <f>IFERROR(TEXT(INDEX(tk_OAW,MATCH(422,tk_FSEQ,0)),"0.000")&amp;" x "&amp;TEXT(INDEX(tk_OAH,MATCH(422,tk_FSEQ,0)),"0.000"),"")</f>
        <v/>
      </c>
      <c r="G427" s="162">
        <f>IFERROR(IF(INDEX(tk_ANCHT,MATCH(422,tk_FSEQ,0))="","",INDEX(tk_ANCHT,MATCH(422,tk_FSEQ,0))&amp;" + "&amp;INDEX(tk_BASEA,MATCH(422,tk_FSEQ,0))),"")</f>
        <v/>
      </c>
      <c r="H427" s="181">
        <f>IFERROR(""&amp;INDEX(tk_FLINE,MATCH(422,tk_FSEQ,0)),"")</f>
        <v/>
      </c>
      <c r="I427" s="181">
        <f>IFERROR(""&amp;INDEX(tk_LOCTXT,MATCH(422,tk_FSEQ,0)),"")</f>
        <v/>
      </c>
      <c r="J427" s="162">
        <f>IFERROR(""&amp;INDEX(tk_FNOTES,MATCH(422,tk_FSEQ,0)),"")</f>
        <v/>
      </c>
    </row>
    <row r="428">
      <c r="A428" s="161">
        <f>IFERROR(""&amp;INDEX(tk_MARK,MATCH(423,tk_FSEQ,0)),"")</f>
        <v/>
      </c>
      <c r="B428" s="162">
        <f>IFERROR(INDEX(tk_QTY,MATCH(423,tk_FSEQ,0)),"")</f>
        <v/>
      </c>
      <c r="C428" s="162">
        <f>IFERROR(INDEX(tk_ROOMF,MATCH(423,tk_FSEQ,0))&amp;IF(INDEX(tk_ROOMT,MATCH(423,tk_FSEQ,0))="",""," → "&amp;INDEX(tk_ROOMT,MATCH(423,tk_FSEQ,0))),"")</f>
        <v/>
      </c>
      <c r="D428" s="162">
        <f>IFERROR(""&amp;INDEX(tk_SIZE,MATCH(423,tk_FSEQ,0)),"")</f>
        <v/>
      </c>
      <c r="E428" s="162">
        <f>IFERROR(""&amp;INDEX(tk_RATING,MATCH(423,tk_FSEQ,0)),"")</f>
        <v/>
      </c>
      <c r="F428" s="162">
        <f>IFERROR(TEXT(INDEX(tk_OAW,MATCH(423,tk_FSEQ,0)),"0.000")&amp;" x "&amp;TEXT(INDEX(tk_OAH,MATCH(423,tk_FSEQ,0)),"0.000"),"")</f>
        <v/>
      </c>
      <c r="G428" s="162">
        <f>IFERROR(IF(INDEX(tk_ANCHT,MATCH(423,tk_FSEQ,0))="","",INDEX(tk_ANCHT,MATCH(423,tk_FSEQ,0))&amp;" + "&amp;INDEX(tk_BASEA,MATCH(423,tk_FSEQ,0))),"")</f>
        <v/>
      </c>
      <c r="H428" s="181">
        <f>IFERROR(""&amp;INDEX(tk_FLINE,MATCH(423,tk_FSEQ,0)),"")</f>
        <v/>
      </c>
      <c r="I428" s="181">
        <f>IFERROR(""&amp;INDEX(tk_LOCTXT,MATCH(423,tk_FSEQ,0)),"")</f>
        <v/>
      </c>
      <c r="J428" s="162">
        <f>IFERROR(""&amp;INDEX(tk_FNOTES,MATCH(423,tk_FSEQ,0)),"")</f>
        <v/>
      </c>
    </row>
    <row r="429">
      <c r="A429" s="161">
        <f>IFERROR(""&amp;INDEX(tk_MARK,MATCH(424,tk_FSEQ,0)),"")</f>
        <v/>
      </c>
      <c r="B429" s="162">
        <f>IFERROR(INDEX(tk_QTY,MATCH(424,tk_FSEQ,0)),"")</f>
        <v/>
      </c>
      <c r="C429" s="162">
        <f>IFERROR(INDEX(tk_ROOMF,MATCH(424,tk_FSEQ,0))&amp;IF(INDEX(tk_ROOMT,MATCH(424,tk_FSEQ,0))="",""," → "&amp;INDEX(tk_ROOMT,MATCH(424,tk_FSEQ,0))),"")</f>
        <v/>
      </c>
      <c r="D429" s="162">
        <f>IFERROR(""&amp;INDEX(tk_SIZE,MATCH(424,tk_FSEQ,0)),"")</f>
        <v/>
      </c>
      <c r="E429" s="162">
        <f>IFERROR(""&amp;INDEX(tk_RATING,MATCH(424,tk_FSEQ,0)),"")</f>
        <v/>
      </c>
      <c r="F429" s="162">
        <f>IFERROR(TEXT(INDEX(tk_OAW,MATCH(424,tk_FSEQ,0)),"0.000")&amp;" x "&amp;TEXT(INDEX(tk_OAH,MATCH(424,tk_FSEQ,0)),"0.000"),"")</f>
        <v/>
      </c>
      <c r="G429" s="162">
        <f>IFERROR(IF(INDEX(tk_ANCHT,MATCH(424,tk_FSEQ,0))="","",INDEX(tk_ANCHT,MATCH(424,tk_FSEQ,0))&amp;" + "&amp;INDEX(tk_BASEA,MATCH(424,tk_FSEQ,0))),"")</f>
        <v/>
      </c>
      <c r="H429" s="181">
        <f>IFERROR(""&amp;INDEX(tk_FLINE,MATCH(424,tk_FSEQ,0)),"")</f>
        <v/>
      </c>
      <c r="I429" s="181">
        <f>IFERROR(""&amp;INDEX(tk_LOCTXT,MATCH(424,tk_FSEQ,0)),"")</f>
        <v/>
      </c>
      <c r="J429" s="162">
        <f>IFERROR(""&amp;INDEX(tk_FNOTES,MATCH(424,tk_FSEQ,0)),"")</f>
        <v/>
      </c>
    </row>
    <row r="430">
      <c r="A430" s="161">
        <f>IFERROR(""&amp;INDEX(tk_MARK,MATCH(425,tk_FSEQ,0)),"")</f>
        <v/>
      </c>
      <c r="B430" s="162">
        <f>IFERROR(INDEX(tk_QTY,MATCH(425,tk_FSEQ,0)),"")</f>
        <v/>
      </c>
      <c r="C430" s="162">
        <f>IFERROR(INDEX(tk_ROOMF,MATCH(425,tk_FSEQ,0))&amp;IF(INDEX(tk_ROOMT,MATCH(425,tk_FSEQ,0))="",""," → "&amp;INDEX(tk_ROOMT,MATCH(425,tk_FSEQ,0))),"")</f>
        <v/>
      </c>
      <c r="D430" s="162">
        <f>IFERROR(""&amp;INDEX(tk_SIZE,MATCH(425,tk_FSEQ,0)),"")</f>
        <v/>
      </c>
      <c r="E430" s="162">
        <f>IFERROR(""&amp;INDEX(tk_RATING,MATCH(425,tk_FSEQ,0)),"")</f>
        <v/>
      </c>
      <c r="F430" s="162">
        <f>IFERROR(TEXT(INDEX(tk_OAW,MATCH(425,tk_FSEQ,0)),"0.000")&amp;" x "&amp;TEXT(INDEX(tk_OAH,MATCH(425,tk_FSEQ,0)),"0.000"),"")</f>
        <v/>
      </c>
      <c r="G430" s="162">
        <f>IFERROR(IF(INDEX(tk_ANCHT,MATCH(425,tk_FSEQ,0))="","",INDEX(tk_ANCHT,MATCH(425,tk_FSEQ,0))&amp;" + "&amp;INDEX(tk_BASEA,MATCH(425,tk_FSEQ,0))),"")</f>
        <v/>
      </c>
      <c r="H430" s="181">
        <f>IFERROR(""&amp;INDEX(tk_FLINE,MATCH(425,tk_FSEQ,0)),"")</f>
        <v/>
      </c>
      <c r="I430" s="181">
        <f>IFERROR(""&amp;INDEX(tk_LOCTXT,MATCH(425,tk_FSEQ,0)),"")</f>
        <v/>
      </c>
      <c r="J430" s="162">
        <f>IFERROR(""&amp;INDEX(tk_FNOTES,MATCH(425,tk_FSEQ,0)),"")</f>
        <v/>
      </c>
    </row>
    <row r="431">
      <c r="A431" s="161">
        <f>IFERROR(""&amp;INDEX(tk_MARK,MATCH(426,tk_FSEQ,0)),"")</f>
        <v/>
      </c>
      <c r="B431" s="162">
        <f>IFERROR(INDEX(tk_QTY,MATCH(426,tk_FSEQ,0)),"")</f>
        <v/>
      </c>
      <c r="C431" s="162">
        <f>IFERROR(INDEX(tk_ROOMF,MATCH(426,tk_FSEQ,0))&amp;IF(INDEX(tk_ROOMT,MATCH(426,tk_FSEQ,0))="",""," → "&amp;INDEX(tk_ROOMT,MATCH(426,tk_FSEQ,0))),"")</f>
        <v/>
      </c>
      <c r="D431" s="162">
        <f>IFERROR(""&amp;INDEX(tk_SIZE,MATCH(426,tk_FSEQ,0)),"")</f>
        <v/>
      </c>
      <c r="E431" s="162">
        <f>IFERROR(""&amp;INDEX(tk_RATING,MATCH(426,tk_FSEQ,0)),"")</f>
        <v/>
      </c>
      <c r="F431" s="162">
        <f>IFERROR(TEXT(INDEX(tk_OAW,MATCH(426,tk_FSEQ,0)),"0.000")&amp;" x "&amp;TEXT(INDEX(tk_OAH,MATCH(426,tk_FSEQ,0)),"0.000"),"")</f>
        <v/>
      </c>
      <c r="G431" s="162">
        <f>IFERROR(IF(INDEX(tk_ANCHT,MATCH(426,tk_FSEQ,0))="","",INDEX(tk_ANCHT,MATCH(426,tk_FSEQ,0))&amp;" + "&amp;INDEX(tk_BASEA,MATCH(426,tk_FSEQ,0))),"")</f>
        <v/>
      </c>
      <c r="H431" s="181">
        <f>IFERROR(""&amp;INDEX(tk_FLINE,MATCH(426,tk_FSEQ,0)),"")</f>
        <v/>
      </c>
      <c r="I431" s="181">
        <f>IFERROR(""&amp;INDEX(tk_LOCTXT,MATCH(426,tk_FSEQ,0)),"")</f>
        <v/>
      </c>
      <c r="J431" s="162">
        <f>IFERROR(""&amp;INDEX(tk_FNOTES,MATCH(426,tk_FSEQ,0)),"")</f>
        <v/>
      </c>
    </row>
    <row r="432">
      <c r="A432" s="161">
        <f>IFERROR(""&amp;INDEX(tk_MARK,MATCH(427,tk_FSEQ,0)),"")</f>
        <v/>
      </c>
      <c r="B432" s="162">
        <f>IFERROR(INDEX(tk_QTY,MATCH(427,tk_FSEQ,0)),"")</f>
        <v/>
      </c>
      <c r="C432" s="162">
        <f>IFERROR(INDEX(tk_ROOMF,MATCH(427,tk_FSEQ,0))&amp;IF(INDEX(tk_ROOMT,MATCH(427,tk_FSEQ,0))="",""," → "&amp;INDEX(tk_ROOMT,MATCH(427,tk_FSEQ,0))),"")</f>
        <v/>
      </c>
      <c r="D432" s="162">
        <f>IFERROR(""&amp;INDEX(tk_SIZE,MATCH(427,tk_FSEQ,0)),"")</f>
        <v/>
      </c>
      <c r="E432" s="162">
        <f>IFERROR(""&amp;INDEX(tk_RATING,MATCH(427,tk_FSEQ,0)),"")</f>
        <v/>
      </c>
      <c r="F432" s="162">
        <f>IFERROR(TEXT(INDEX(tk_OAW,MATCH(427,tk_FSEQ,0)),"0.000")&amp;" x "&amp;TEXT(INDEX(tk_OAH,MATCH(427,tk_FSEQ,0)),"0.000"),"")</f>
        <v/>
      </c>
      <c r="G432" s="162">
        <f>IFERROR(IF(INDEX(tk_ANCHT,MATCH(427,tk_FSEQ,0))="","",INDEX(tk_ANCHT,MATCH(427,tk_FSEQ,0))&amp;" + "&amp;INDEX(tk_BASEA,MATCH(427,tk_FSEQ,0))),"")</f>
        <v/>
      </c>
      <c r="H432" s="181">
        <f>IFERROR(""&amp;INDEX(tk_FLINE,MATCH(427,tk_FSEQ,0)),"")</f>
        <v/>
      </c>
      <c r="I432" s="181">
        <f>IFERROR(""&amp;INDEX(tk_LOCTXT,MATCH(427,tk_FSEQ,0)),"")</f>
        <v/>
      </c>
      <c r="J432" s="162">
        <f>IFERROR(""&amp;INDEX(tk_FNOTES,MATCH(427,tk_FSEQ,0)),"")</f>
        <v/>
      </c>
    </row>
    <row r="433">
      <c r="A433" s="161">
        <f>IFERROR(""&amp;INDEX(tk_MARK,MATCH(428,tk_FSEQ,0)),"")</f>
        <v/>
      </c>
      <c r="B433" s="162">
        <f>IFERROR(INDEX(tk_QTY,MATCH(428,tk_FSEQ,0)),"")</f>
        <v/>
      </c>
      <c r="C433" s="162">
        <f>IFERROR(INDEX(tk_ROOMF,MATCH(428,tk_FSEQ,0))&amp;IF(INDEX(tk_ROOMT,MATCH(428,tk_FSEQ,0))="",""," → "&amp;INDEX(tk_ROOMT,MATCH(428,tk_FSEQ,0))),"")</f>
        <v/>
      </c>
      <c r="D433" s="162">
        <f>IFERROR(""&amp;INDEX(tk_SIZE,MATCH(428,tk_FSEQ,0)),"")</f>
        <v/>
      </c>
      <c r="E433" s="162">
        <f>IFERROR(""&amp;INDEX(tk_RATING,MATCH(428,tk_FSEQ,0)),"")</f>
        <v/>
      </c>
      <c r="F433" s="162">
        <f>IFERROR(TEXT(INDEX(tk_OAW,MATCH(428,tk_FSEQ,0)),"0.000")&amp;" x "&amp;TEXT(INDEX(tk_OAH,MATCH(428,tk_FSEQ,0)),"0.000"),"")</f>
        <v/>
      </c>
      <c r="G433" s="162">
        <f>IFERROR(IF(INDEX(tk_ANCHT,MATCH(428,tk_FSEQ,0))="","",INDEX(tk_ANCHT,MATCH(428,tk_FSEQ,0))&amp;" + "&amp;INDEX(tk_BASEA,MATCH(428,tk_FSEQ,0))),"")</f>
        <v/>
      </c>
      <c r="H433" s="181">
        <f>IFERROR(""&amp;INDEX(tk_FLINE,MATCH(428,tk_FSEQ,0)),"")</f>
        <v/>
      </c>
      <c r="I433" s="181">
        <f>IFERROR(""&amp;INDEX(tk_LOCTXT,MATCH(428,tk_FSEQ,0)),"")</f>
        <v/>
      </c>
      <c r="J433" s="162">
        <f>IFERROR(""&amp;INDEX(tk_FNOTES,MATCH(428,tk_FSEQ,0)),"")</f>
        <v/>
      </c>
    </row>
    <row r="434">
      <c r="A434" s="161">
        <f>IFERROR(""&amp;INDEX(tk_MARK,MATCH(429,tk_FSEQ,0)),"")</f>
        <v/>
      </c>
      <c r="B434" s="162">
        <f>IFERROR(INDEX(tk_QTY,MATCH(429,tk_FSEQ,0)),"")</f>
        <v/>
      </c>
      <c r="C434" s="162">
        <f>IFERROR(INDEX(tk_ROOMF,MATCH(429,tk_FSEQ,0))&amp;IF(INDEX(tk_ROOMT,MATCH(429,tk_FSEQ,0))="",""," → "&amp;INDEX(tk_ROOMT,MATCH(429,tk_FSEQ,0))),"")</f>
        <v/>
      </c>
      <c r="D434" s="162">
        <f>IFERROR(""&amp;INDEX(tk_SIZE,MATCH(429,tk_FSEQ,0)),"")</f>
        <v/>
      </c>
      <c r="E434" s="162">
        <f>IFERROR(""&amp;INDEX(tk_RATING,MATCH(429,tk_FSEQ,0)),"")</f>
        <v/>
      </c>
      <c r="F434" s="162">
        <f>IFERROR(TEXT(INDEX(tk_OAW,MATCH(429,tk_FSEQ,0)),"0.000")&amp;" x "&amp;TEXT(INDEX(tk_OAH,MATCH(429,tk_FSEQ,0)),"0.000"),"")</f>
        <v/>
      </c>
      <c r="G434" s="162">
        <f>IFERROR(IF(INDEX(tk_ANCHT,MATCH(429,tk_FSEQ,0))="","",INDEX(tk_ANCHT,MATCH(429,tk_FSEQ,0))&amp;" + "&amp;INDEX(tk_BASEA,MATCH(429,tk_FSEQ,0))),"")</f>
        <v/>
      </c>
      <c r="H434" s="181">
        <f>IFERROR(""&amp;INDEX(tk_FLINE,MATCH(429,tk_FSEQ,0)),"")</f>
        <v/>
      </c>
      <c r="I434" s="181">
        <f>IFERROR(""&amp;INDEX(tk_LOCTXT,MATCH(429,tk_FSEQ,0)),"")</f>
        <v/>
      </c>
      <c r="J434" s="162">
        <f>IFERROR(""&amp;INDEX(tk_FNOTES,MATCH(429,tk_FSEQ,0)),"")</f>
        <v/>
      </c>
    </row>
    <row r="435">
      <c r="A435" s="161">
        <f>IFERROR(""&amp;INDEX(tk_MARK,MATCH(430,tk_FSEQ,0)),"")</f>
        <v/>
      </c>
      <c r="B435" s="162">
        <f>IFERROR(INDEX(tk_QTY,MATCH(430,tk_FSEQ,0)),"")</f>
        <v/>
      </c>
      <c r="C435" s="162">
        <f>IFERROR(INDEX(tk_ROOMF,MATCH(430,tk_FSEQ,0))&amp;IF(INDEX(tk_ROOMT,MATCH(430,tk_FSEQ,0))="",""," → "&amp;INDEX(tk_ROOMT,MATCH(430,tk_FSEQ,0))),"")</f>
        <v/>
      </c>
      <c r="D435" s="162">
        <f>IFERROR(""&amp;INDEX(tk_SIZE,MATCH(430,tk_FSEQ,0)),"")</f>
        <v/>
      </c>
      <c r="E435" s="162">
        <f>IFERROR(""&amp;INDEX(tk_RATING,MATCH(430,tk_FSEQ,0)),"")</f>
        <v/>
      </c>
      <c r="F435" s="162">
        <f>IFERROR(TEXT(INDEX(tk_OAW,MATCH(430,tk_FSEQ,0)),"0.000")&amp;" x "&amp;TEXT(INDEX(tk_OAH,MATCH(430,tk_FSEQ,0)),"0.000"),"")</f>
        <v/>
      </c>
      <c r="G435" s="162">
        <f>IFERROR(IF(INDEX(tk_ANCHT,MATCH(430,tk_FSEQ,0))="","",INDEX(tk_ANCHT,MATCH(430,tk_FSEQ,0))&amp;" + "&amp;INDEX(tk_BASEA,MATCH(430,tk_FSEQ,0))),"")</f>
        <v/>
      </c>
      <c r="H435" s="181">
        <f>IFERROR(""&amp;INDEX(tk_FLINE,MATCH(430,tk_FSEQ,0)),"")</f>
        <v/>
      </c>
      <c r="I435" s="181">
        <f>IFERROR(""&amp;INDEX(tk_LOCTXT,MATCH(430,tk_FSEQ,0)),"")</f>
        <v/>
      </c>
      <c r="J435" s="162">
        <f>IFERROR(""&amp;INDEX(tk_FNOTES,MATCH(430,tk_FSEQ,0)),"")</f>
        <v/>
      </c>
    </row>
    <row r="436">
      <c r="A436" s="161">
        <f>IFERROR(""&amp;INDEX(tk_MARK,MATCH(431,tk_FSEQ,0)),"")</f>
        <v/>
      </c>
      <c r="B436" s="162">
        <f>IFERROR(INDEX(tk_QTY,MATCH(431,tk_FSEQ,0)),"")</f>
        <v/>
      </c>
      <c r="C436" s="162">
        <f>IFERROR(INDEX(tk_ROOMF,MATCH(431,tk_FSEQ,0))&amp;IF(INDEX(tk_ROOMT,MATCH(431,tk_FSEQ,0))="",""," → "&amp;INDEX(tk_ROOMT,MATCH(431,tk_FSEQ,0))),"")</f>
        <v/>
      </c>
      <c r="D436" s="162">
        <f>IFERROR(""&amp;INDEX(tk_SIZE,MATCH(431,tk_FSEQ,0)),"")</f>
        <v/>
      </c>
      <c r="E436" s="162">
        <f>IFERROR(""&amp;INDEX(tk_RATING,MATCH(431,tk_FSEQ,0)),"")</f>
        <v/>
      </c>
      <c r="F436" s="162">
        <f>IFERROR(TEXT(INDEX(tk_OAW,MATCH(431,tk_FSEQ,0)),"0.000")&amp;" x "&amp;TEXT(INDEX(tk_OAH,MATCH(431,tk_FSEQ,0)),"0.000"),"")</f>
        <v/>
      </c>
      <c r="G436" s="162">
        <f>IFERROR(IF(INDEX(tk_ANCHT,MATCH(431,tk_FSEQ,0))="","",INDEX(tk_ANCHT,MATCH(431,tk_FSEQ,0))&amp;" + "&amp;INDEX(tk_BASEA,MATCH(431,tk_FSEQ,0))),"")</f>
        <v/>
      </c>
      <c r="H436" s="181">
        <f>IFERROR(""&amp;INDEX(tk_FLINE,MATCH(431,tk_FSEQ,0)),"")</f>
        <v/>
      </c>
      <c r="I436" s="181">
        <f>IFERROR(""&amp;INDEX(tk_LOCTXT,MATCH(431,tk_FSEQ,0)),"")</f>
        <v/>
      </c>
      <c r="J436" s="162">
        <f>IFERROR(""&amp;INDEX(tk_FNOTES,MATCH(431,tk_FSEQ,0)),"")</f>
        <v/>
      </c>
    </row>
    <row r="437">
      <c r="A437" s="161">
        <f>IFERROR(""&amp;INDEX(tk_MARK,MATCH(432,tk_FSEQ,0)),"")</f>
        <v/>
      </c>
      <c r="B437" s="162">
        <f>IFERROR(INDEX(tk_QTY,MATCH(432,tk_FSEQ,0)),"")</f>
        <v/>
      </c>
      <c r="C437" s="162">
        <f>IFERROR(INDEX(tk_ROOMF,MATCH(432,tk_FSEQ,0))&amp;IF(INDEX(tk_ROOMT,MATCH(432,tk_FSEQ,0))="",""," → "&amp;INDEX(tk_ROOMT,MATCH(432,tk_FSEQ,0))),"")</f>
        <v/>
      </c>
      <c r="D437" s="162">
        <f>IFERROR(""&amp;INDEX(tk_SIZE,MATCH(432,tk_FSEQ,0)),"")</f>
        <v/>
      </c>
      <c r="E437" s="162">
        <f>IFERROR(""&amp;INDEX(tk_RATING,MATCH(432,tk_FSEQ,0)),"")</f>
        <v/>
      </c>
      <c r="F437" s="162">
        <f>IFERROR(TEXT(INDEX(tk_OAW,MATCH(432,tk_FSEQ,0)),"0.000")&amp;" x "&amp;TEXT(INDEX(tk_OAH,MATCH(432,tk_FSEQ,0)),"0.000"),"")</f>
        <v/>
      </c>
      <c r="G437" s="162">
        <f>IFERROR(IF(INDEX(tk_ANCHT,MATCH(432,tk_FSEQ,0))="","",INDEX(tk_ANCHT,MATCH(432,tk_FSEQ,0))&amp;" + "&amp;INDEX(tk_BASEA,MATCH(432,tk_FSEQ,0))),"")</f>
        <v/>
      </c>
      <c r="H437" s="181">
        <f>IFERROR(""&amp;INDEX(tk_FLINE,MATCH(432,tk_FSEQ,0)),"")</f>
        <v/>
      </c>
      <c r="I437" s="181">
        <f>IFERROR(""&amp;INDEX(tk_LOCTXT,MATCH(432,tk_FSEQ,0)),"")</f>
        <v/>
      </c>
      <c r="J437" s="162">
        <f>IFERROR(""&amp;INDEX(tk_FNOTES,MATCH(432,tk_FSEQ,0)),"")</f>
        <v/>
      </c>
    </row>
    <row r="438">
      <c r="A438" s="161">
        <f>IFERROR(""&amp;INDEX(tk_MARK,MATCH(433,tk_FSEQ,0)),"")</f>
        <v/>
      </c>
      <c r="B438" s="162">
        <f>IFERROR(INDEX(tk_QTY,MATCH(433,tk_FSEQ,0)),"")</f>
        <v/>
      </c>
      <c r="C438" s="162">
        <f>IFERROR(INDEX(tk_ROOMF,MATCH(433,tk_FSEQ,0))&amp;IF(INDEX(tk_ROOMT,MATCH(433,tk_FSEQ,0))="",""," → "&amp;INDEX(tk_ROOMT,MATCH(433,tk_FSEQ,0))),"")</f>
        <v/>
      </c>
      <c r="D438" s="162">
        <f>IFERROR(""&amp;INDEX(tk_SIZE,MATCH(433,tk_FSEQ,0)),"")</f>
        <v/>
      </c>
      <c r="E438" s="162">
        <f>IFERROR(""&amp;INDEX(tk_RATING,MATCH(433,tk_FSEQ,0)),"")</f>
        <v/>
      </c>
      <c r="F438" s="162">
        <f>IFERROR(TEXT(INDEX(tk_OAW,MATCH(433,tk_FSEQ,0)),"0.000")&amp;" x "&amp;TEXT(INDEX(tk_OAH,MATCH(433,tk_FSEQ,0)),"0.000"),"")</f>
        <v/>
      </c>
      <c r="G438" s="162">
        <f>IFERROR(IF(INDEX(tk_ANCHT,MATCH(433,tk_FSEQ,0))="","",INDEX(tk_ANCHT,MATCH(433,tk_FSEQ,0))&amp;" + "&amp;INDEX(tk_BASEA,MATCH(433,tk_FSEQ,0))),"")</f>
        <v/>
      </c>
      <c r="H438" s="181">
        <f>IFERROR(""&amp;INDEX(tk_FLINE,MATCH(433,tk_FSEQ,0)),"")</f>
        <v/>
      </c>
      <c r="I438" s="181">
        <f>IFERROR(""&amp;INDEX(tk_LOCTXT,MATCH(433,tk_FSEQ,0)),"")</f>
        <v/>
      </c>
      <c r="J438" s="162">
        <f>IFERROR(""&amp;INDEX(tk_FNOTES,MATCH(433,tk_FSEQ,0)),"")</f>
        <v/>
      </c>
    </row>
    <row r="439">
      <c r="A439" s="161">
        <f>IFERROR(""&amp;INDEX(tk_MARK,MATCH(434,tk_FSEQ,0)),"")</f>
        <v/>
      </c>
      <c r="B439" s="162">
        <f>IFERROR(INDEX(tk_QTY,MATCH(434,tk_FSEQ,0)),"")</f>
        <v/>
      </c>
      <c r="C439" s="162">
        <f>IFERROR(INDEX(tk_ROOMF,MATCH(434,tk_FSEQ,0))&amp;IF(INDEX(tk_ROOMT,MATCH(434,tk_FSEQ,0))="",""," → "&amp;INDEX(tk_ROOMT,MATCH(434,tk_FSEQ,0))),"")</f>
        <v/>
      </c>
      <c r="D439" s="162">
        <f>IFERROR(""&amp;INDEX(tk_SIZE,MATCH(434,tk_FSEQ,0)),"")</f>
        <v/>
      </c>
      <c r="E439" s="162">
        <f>IFERROR(""&amp;INDEX(tk_RATING,MATCH(434,tk_FSEQ,0)),"")</f>
        <v/>
      </c>
      <c r="F439" s="162">
        <f>IFERROR(TEXT(INDEX(tk_OAW,MATCH(434,tk_FSEQ,0)),"0.000")&amp;" x "&amp;TEXT(INDEX(tk_OAH,MATCH(434,tk_FSEQ,0)),"0.000"),"")</f>
        <v/>
      </c>
      <c r="G439" s="162">
        <f>IFERROR(IF(INDEX(tk_ANCHT,MATCH(434,tk_FSEQ,0))="","",INDEX(tk_ANCHT,MATCH(434,tk_FSEQ,0))&amp;" + "&amp;INDEX(tk_BASEA,MATCH(434,tk_FSEQ,0))),"")</f>
        <v/>
      </c>
      <c r="H439" s="181">
        <f>IFERROR(""&amp;INDEX(tk_FLINE,MATCH(434,tk_FSEQ,0)),"")</f>
        <v/>
      </c>
      <c r="I439" s="181">
        <f>IFERROR(""&amp;INDEX(tk_LOCTXT,MATCH(434,tk_FSEQ,0)),"")</f>
        <v/>
      </c>
      <c r="J439" s="162">
        <f>IFERROR(""&amp;INDEX(tk_FNOTES,MATCH(434,tk_FSEQ,0)),"")</f>
        <v/>
      </c>
    </row>
    <row r="440">
      <c r="A440" s="161">
        <f>IFERROR(""&amp;INDEX(tk_MARK,MATCH(435,tk_FSEQ,0)),"")</f>
        <v/>
      </c>
      <c r="B440" s="162">
        <f>IFERROR(INDEX(tk_QTY,MATCH(435,tk_FSEQ,0)),"")</f>
        <v/>
      </c>
      <c r="C440" s="162">
        <f>IFERROR(INDEX(tk_ROOMF,MATCH(435,tk_FSEQ,0))&amp;IF(INDEX(tk_ROOMT,MATCH(435,tk_FSEQ,0))="",""," → "&amp;INDEX(tk_ROOMT,MATCH(435,tk_FSEQ,0))),"")</f>
        <v/>
      </c>
      <c r="D440" s="162">
        <f>IFERROR(""&amp;INDEX(tk_SIZE,MATCH(435,tk_FSEQ,0)),"")</f>
        <v/>
      </c>
      <c r="E440" s="162">
        <f>IFERROR(""&amp;INDEX(tk_RATING,MATCH(435,tk_FSEQ,0)),"")</f>
        <v/>
      </c>
      <c r="F440" s="162">
        <f>IFERROR(TEXT(INDEX(tk_OAW,MATCH(435,tk_FSEQ,0)),"0.000")&amp;" x "&amp;TEXT(INDEX(tk_OAH,MATCH(435,tk_FSEQ,0)),"0.000"),"")</f>
        <v/>
      </c>
      <c r="G440" s="162">
        <f>IFERROR(IF(INDEX(tk_ANCHT,MATCH(435,tk_FSEQ,0))="","",INDEX(tk_ANCHT,MATCH(435,tk_FSEQ,0))&amp;" + "&amp;INDEX(tk_BASEA,MATCH(435,tk_FSEQ,0))),"")</f>
        <v/>
      </c>
      <c r="H440" s="181">
        <f>IFERROR(""&amp;INDEX(tk_FLINE,MATCH(435,tk_FSEQ,0)),"")</f>
        <v/>
      </c>
      <c r="I440" s="181">
        <f>IFERROR(""&amp;INDEX(tk_LOCTXT,MATCH(435,tk_FSEQ,0)),"")</f>
        <v/>
      </c>
      <c r="J440" s="162">
        <f>IFERROR(""&amp;INDEX(tk_FNOTES,MATCH(435,tk_FSEQ,0)),"")</f>
        <v/>
      </c>
    </row>
    <row r="441">
      <c r="A441" s="161">
        <f>IFERROR(""&amp;INDEX(tk_MARK,MATCH(436,tk_FSEQ,0)),"")</f>
        <v/>
      </c>
      <c r="B441" s="162">
        <f>IFERROR(INDEX(tk_QTY,MATCH(436,tk_FSEQ,0)),"")</f>
        <v/>
      </c>
      <c r="C441" s="162">
        <f>IFERROR(INDEX(tk_ROOMF,MATCH(436,tk_FSEQ,0))&amp;IF(INDEX(tk_ROOMT,MATCH(436,tk_FSEQ,0))="",""," → "&amp;INDEX(tk_ROOMT,MATCH(436,tk_FSEQ,0))),"")</f>
        <v/>
      </c>
      <c r="D441" s="162">
        <f>IFERROR(""&amp;INDEX(tk_SIZE,MATCH(436,tk_FSEQ,0)),"")</f>
        <v/>
      </c>
      <c r="E441" s="162">
        <f>IFERROR(""&amp;INDEX(tk_RATING,MATCH(436,tk_FSEQ,0)),"")</f>
        <v/>
      </c>
      <c r="F441" s="162">
        <f>IFERROR(TEXT(INDEX(tk_OAW,MATCH(436,tk_FSEQ,0)),"0.000")&amp;" x "&amp;TEXT(INDEX(tk_OAH,MATCH(436,tk_FSEQ,0)),"0.000"),"")</f>
        <v/>
      </c>
      <c r="G441" s="162">
        <f>IFERROR(IF(INDEX(tk_ANCHT,MATCH(436,tk_FSEQ,0))="","",INDEX(tk_ANCHT,MATCH(436,tk_FSEQ,0))&amp;" + "&amp;INDEX(tk_BASEA,MATCH(436,tk_FSEQ,0))),"")</f>
        <v/>
      </c>
      <c r="H441" s="181">
        <f>IFERROR(""&amp;INDEX(tk_FLINE,MATCH(436,tk_FSEQ,0)),"")</f>
        <v/>
      </c>
      <c r="I441" s="181">
        <f>IFERROR(""&amp;INDEX(tk_LOCTXT,MATCH(436,tk_FSEQ,0)),"")</f>
        <v/>
      </c>
      <c r="J441" s="162">
        <f>IFERROR(""&amp;INDEX(tk_FNOTES,MATCH(436,tk_FSEQ,0)),"")</f>
        <v/>
      </c>
    </row>
    <row r="442">
      <c r="A442" s="161">
        <f>IFERROR(""&amp;INDEX(tk_MARK,MATCH(437,tk_FSEQ,0)),"")</f>
        <v/>
      </c>
      <c r="B442" s="162">
        <f>IFERROR(INDEX(tk_QTY,MATCH(437,tk_FSEQ,0)),"")</f>
        <v/>
      </c>
      <c r="C442" s="162">
        <f>IFERROR(INDEX(tk_ROOMF,MATCH(437,tk_FSEQ,0))&amp;IF(INDEX(tk_ROOMT,MATCH(437,tk_FSEQ,0))="",""," → "&amp;INDEX(tk_ROOMT,MATCH(437,tk_FSEQ,0))),"")</f>
        <v/>
      </c>
      <c r="D442" s="162">
        <f>IFERROR(""&amp;INDEX(tk_SIZE,MATCH(437,tk_FSEQ,0)),"")</f>
        <v/>
      </c>
      <c r="E442" s="162">
        <f>IFERROR(""&amp;INDEX(tk_RATING,MATCH(437,tk_FSEQ,0)),"")</f>
        <v/>
      </c>
      <c r="F442" s="162">
        <f>IFERROR(TEXT(INDEX(tk_OAW,MATCH(437,tk_FSEQ,0)),"0.000")&amp;" x "&amp;TEXT(INDEX(tk_OAH,MATCH(437,tk_FSEQ,0)),"0.000"),"")</f>
        <v/>
      </c>
      <c r="G442" s="162">
        <f>IFERROR(IF(INDEX(tk_ANCHT,MATCH(437,tk_FSEQ,0))="","",INDEX(tk_ANCHT,MATCH(437,tk_FSEQ,0))&amp;" + "&amp;INDEX(tk_BASEA,MATCH(437,tk_FSEQ,0))),"")</f>
        <v/>
      </c>
      <c r="H442" s="181">
        <f>IFERROR(""&amp;INDEX(tk_FLINE,MATCH(437,tk_FSEQ,0)),"")</f>
        <v/>
      </c>
      <c r="I442" s="181">
        <f>IFERROR(""&amp;INDEX(tk_LOCTXT,MATCH(437,tk_FSEQ,0)),"")</f>
        <v/>
      </c>
      <c r="J442" s="162">
        <f>IFERROR(""&amp;INDEX(tk_FNOTES,MATCH(437,tk_FSEQ,0)),"")</f>
        <v/>
      </c>
    </row>
    <row r="443">
      <c r="A443" s="161">
        <f>IFERROR(""&amp;INDEX(tk_MARK,MATCH(438,tk_FSEQ,0)),"")</f>
        <v/>
      </c>
      <c r="B443" s="162">
        <f>IFERROR(INDEX(tk_QTY,MATCH(438,tk_FSEQ,0)),"")</f>
        <v/>
      </c>
      <c r="C443" s="162">
        <f>IFERROR(INDEX(tk_ROOMF,MATCH(438,tk_FSEQ,0))&amp;IF(INDEX(tk_ROOMT,MATCH(438,tk_FSEQ,0))="",""," → "&amp;INDEX(tk_ROOMT,MATCH(438,tk_FSEQ,0))),"")</f>
        <v/>
      </c>
      <c r="D443" s="162">
        <f>IFERROR(""&amp;INDEX(tk_SIZE,MATCH(438,tk_FSEQ,0)),"")</f>
        <v/>
      </c>
      <c r="E443" s="162">
        <f>IFERROR(""&amp;INDEX(tk_RATING,MATCH(438,tk_FSEQ,0)),"")</f>
        <v/>
      </c>
      <c r="F443" s="162">
        <f>IFERROR(TEXT(INDEX(tk_OAW,MATCH(438,tk_FSEQ,0)),"0.000")&amp;" x "&amp;TEXT(INDEX(tk_OAH,MATCH(438,tk_FSEQ,0)),"0.000"),"")</f>
        <v/>
      </c>
      <c r="G443" s="162">
        <f>IFERROR(IF(INDEX(tk_ANCHT,MATCH(438,tk_FSEQ,0))="","",INDEX(tk_ANCHT,MATCH(438,tk_FSEQ,0))&amp;" + "&amp;INDEX(tk_BASEA,MATCH(438,tk_FSEQ,0))),"")</f>
        <v/>
      </c>
      <c r="H443" s="181">
        <f>IFERROR(""&amp;INDEX(tk_FLINE,MATCH(438,tk_FSEQ,0)),"")</f>
        <v/>
      </c>
      <c r="I443" s="181">
        <f>IFERROR(""&amp;INDEX(tk_LOCTXT,MATCH(438,tk_FSEQ,0)),"")</f>
        <v/>
      </c>
      <c r="J443" s="162">
        <f>IFERROR(""&amp;INDEX(tk_FNOTES,MATCH(438,tk_FSEQ,0)),"")</f>
        <v/>
      </c>
    </row>
    <row r="444">
      <c r="A444" s="161">
        <f>IFERROR(""&amp;INDEX(tk_MARK,MATCH(439,tk_FSEQ,0)),"")</f>
        <v/>
      </c>
      <c r="B444" s="162">
        <f>IFERROR(INDEX(tk_QTY,MATCH(439,tk_FSEQ,0)),"")</f>
        <v/>
      </c>
      <c r="C444" s="162">
        <f>IFERROR(INDEX(tk_ROOMF,MATCH(439,tk_FSEQ,0))&amp;IF(INDEX(tk_ROOMT,MATCH(439,tk_FSEQ,0))="",""," → "&amp;INDEX(tk_ROOMT,MATCH(439,tk_FSEQ,0))),"")</f>
        <v/>
      </c>
      <c r="D444" s="162">
        <f>IFERROR(""&amp;INDEX(tk_SIZE,MATCH(439,tk_FSEQ,0)),"")</f>
        <v/>
      </c>
      <c r="E444" s="162">
        <f>IFERROR(""&amp;INDEX(tk_RATING,MATCH(439,tk_FSEQ,0)),"")</f>
        <v/>
      </c>
      <c r="F444" s="162">
        <f>IFERROR(TEXT(INDEX(tk_OAW,MATCH(439,tk_FSEQ,0)),"0.000")&amp;" x "&amp;TEXT(INDEX(tk_OAH,MATCH(439,tk_FSEQ,0)),"0.000"),"")</f>
        <v/>
      </c>
      <c r="G444" s="162">
        <f>IFERROR(IF(INDEX(tk_ANCHT,MATCH(439,tk_FSEQ,0))="","",INDEX(tk_ANCHT,MATCH(439,tk_FSEQ,0))&amp;" + "&amp;INDEX(tk_BASEA,MATCH(439,tk_FSEQ,0))),"")</f>
        <v/>
      </c>
      <c r="H444" s="181">
        <f>IFERROR(""&amp;INDEX(tk_FLINE,MATCH(439,tk_FSEQ,0)),"")</f>
        <v/>
      </c>
      <c r="I444" s="181">
        <f>IFERROR(""&amp;INDEX(tk_LOCTXT,MATCH(439,tk_FSEQ,0)),"")</f>
        <v/>
      </c>
      <c r="J444" s="162">
        <f>IFERROR(""&amp;INDEX(tk_FNOTES,MATCH(439,tk_FSEQ,0)),"")</f>
        <v/>
      </c>
    </row>
    <row r="445">
      <c r="A445" s="161">
        <f>IFERROR(""&amp;INDEX(tk_MARK,MATCH(440,tk_FSEQ,0)),"")</f>
        <v/>
      </c>
      <c r="B445" s="162">
        <f>IFERROR(INDEX(tk_QTY,MATCH(440,tk_FSEQ,0)),"")</f>
        <v/>
      </c>
      <c r="C445" s="162">
        <f>IFERROR(INDEX(tk_ROOMF,MATCH(440,tk_FSEQ,0))&amp;IF(INDEX(tk_ROOMT,MATCH(440,tk_FSEQ,0))="",""," → "&amp;INDEX(tk_ROOMT,MATCH(440,tk_FSEQ,0))),"")</f>
        <v/>
      </c>
      <c r="D445" s="162">
        <f>IFERROR(""&amp;INDEX(tk_SIZE,MATCH(440,tk_FSEQ,0)),"")</f>
        <v/>
      </c>
      <c r="E445" s="162">
        <f>IFERROR(""&amp;INDEX(tk_RATING,MATCH(440,tk_FSEQ,0)),"")</f>
        <v/>
      </c>
      <c r="F445" s="162">
        <f>IFERROR(TEXT(INDEX(tk_OAW,MATCH(440,tk_FSEQ,0)),"0.000")&amp;" x "&amp;TEXT(INDEX(tk_OAH,MATCH(440,tk_FSEQ,0)),"0.000"),"")</f>
        <v/>
      </c>
      <c r="G445" s="162">
        <f>IFERROR(IF(INDEX(tk_ANCHT,MATCH(440,tk_FSEQ,0))="","",INDEX(tk_ANCHT,MATCH(440,tk_FSEQ,0))&amp;" + "&amp;INDEX(tk_BASEA,MATCH(440,tk_FSEQ,0))),"")</f>
        <v/>
      </c>
      <c r="H445" s="181">
        <f>IFERROR(""&amp;INDEX(tk_FLINE,MATCH(440,tk_FSEQ,0)),"")</f>
        <v/>
      </c>
      <c r="I445" s="181">
        <f>IFERROR(""&amp;INDEX(tk_LOCTXT,MATCH(440,tk_FSEQ,0)),"")</f>
        <v/>
      </c>
      <c r="J445" s="162">
        <f>IFERROR(""&amp;INDEX(tk_FNOTES,MATCH(440,tk_FSEQ,0)),"")</f>
        <v/>
      </c>
    </row>
    <row r="446">
      <c r="A446" s="161">
        <f>IFERROR(""&amp;INDEX(tk_MARK,MATCH(441,tk_FSEQ,0)),"")</f>
        <v/>
      </c>
      <c r="B446" s="162">
        <f>IFERROR(INDEX(tk_QTY,MATCH(441,tk_FSEQ,0)),"")</f>
        <v/>
      </c>
      <c r="C446" s="162">
        <f>IFERROR(INDEX(tk_ROOMF,MATCH(441,tk_FSEQ,0))&amp;IF(INDEX(tk_ROOMT,MATCH(441,tk_FSEQ,0))="",""," → "&amp;INDEX(tk_ROOMT,MATCH(441,tk_FSEQ,0))),"")</f>
        <v/>
      </c>
      <c r="D446" s="162">
        <f>IFERROR(""&amp;INDEX(tk_SIZE,MATCH(441,tk_FSEQ,0)),"")</f>
        <v/>
      </c>
      <c r="E446" s="162">
        <f>IFERROR(""&amp;INDEX(tk_RATING,MATCH(441,tk_FSEQ,0)),"")</f>
        <v/>
      </c>
      <c r="F446" s="162">
        <f>IFERROR(TEXT(INDEX(tk_OAW,MATCH(441,tk_FSEQ,0)),"0.000")&amp;" x "&amp;TEXT(INDEX(tk_OAH,MATCH(441,tk_FSEQ,0)),"0.000"),"")</f>
        <v/>
      </c>
      <c r="G446" s="162">
        <f>IFERROR(IF(INDEX(tk_ANCHT,MATCH(441,tk_FSEQ,0))="","",INDEX(tk_ANCHT,MATCH(441,tk_FSEQ,0))&amp;" + "&amp;INDEX(tk_BASEA,MATCH(441,tk_FSEQ,0))),"")</f>
        <v/>
      </c>
      <c r="H446" s="181">
        <f>IFERROR(""&amp;INDEX(tk_FLINE,MATCH(441,tk_FSEQ,0)),"")</f>
        <v/>
      </c>
      <c r="I446" s="181">
        <f>IFERROR(""&amp;INDEX(tk_LOCTXT,MATCH(441,tk_FSEQ,0)),"")</f>
        <v/>
      </c>
      <c r="J446" s="162">
        <f>IFERROR(""&amp;INDEX(tk_FNOTES,MATCH(441,tk_FSEQ,0)),"")</f>
        <v/>
      </c>
    </row>
    <row r="447">
      <c r="A447" s="161">
        <f>IFERROR(""&amp;INDEX(tk_MARK,MATCH(442,tk_FSEQ,0)),"")</f>
        <v/>
      </c>
      <c r="B447" s="162">
        <f>IFERROR(INDEX(tk_QTY,MATCH(442,tk_FSEQ,0)),"")</f>
        <v/>
      </c>
      <c r="C447" s="162">
        <f>IFERROR(INDEX(tk_ROOMF,MATCH(442,tk_FSEQ,0))&amp;IF(INDEX(tk_ROOMT,MATCH(442,tk_FSEQ,0))="",""," → "&amp;INDEX(tk_ROOMT,MATCH(442,tk_FSEQ,0))),"")</f>
        <v/>
      </c>
      <c r="D447" s="162">
        <f>IFERROR(""&amp;INDEX(tk_SIZE,MATCH(442,tk_FSEQ,0)),"")</f>
        <v/>
      </c>
      <c r="E447" s="162">
        <f>IFERROR(""&amp;INDEX(tk_RATING,MATCH(442,tk_FSEQ,0)),"")</f>
        <v/>
      </c>
      <c r="F447" s="162">
        <f>IFERROR(TEXT(INDEX(tk_OAW,MATCH(442,tk_FSEQ,0)),"0.000")&amp;" x "&amp;TEXT(INDEX(tk_OAH,MATCH(442,tk_FSEQ,0)),"0.000"),"")</f>
        <v/>
      </c>
      <c r="G447" s="162">
        <f>IFERROR(IF(INDEX(tk_ANCHT,MATCH(442,tk_FSEQ,0))="","",INDEX(tk_ANCHT,MATCH(442,tk_FSEQ,0))&amp;" + "&amp;INDEX(tk_BASEA,MATCH(442,tk_FSEQ,0))),"")</f>
        <v/>
      </c>
      <c r="H447" s="181">
        <f>IFERROR(""&amp;INDEX(tk_FLINE,MATCH(442,tk_FSEQ,0)),"")</f>
        <v/>
      </c>
      <c r="I447" s="181">
        <f>IFERROR(""&amp;INDEX(tk_LOCTXT,MATCH(442,tk_FSEQ,0)),"")</f>
        <v/>
      </c>
      <c r="J447" s="162">
        <f>IFERROR(""&amp;INDEX(tk_FNOTES,MATCH(442,tk_FSEQ,0)),"")</f>
        <v/>
      </c>
    </row>
    <row r="448">
      <c r="A448" s="161">
        <f>IFERROR(""&amp;INDEX(tk_MARK,MATCH(443,tk_FSEQ,0)),"")</f>
        <v/>
      </c>
      <c r="B448" s="162">
        <f>IFERROR(INDEX(tk_QTY,MATCH(443,tk_FSEQ,0)),"")</f>
        <v/>
      </c>
      <c r="C448" s="162">
        <f>IFERROR(INDEX(tk_ROOMF,MATCH(443,tk_FSEQ,0))&amp;IF(INDEX(tk_ROOMT,MATCH(443,tk_FSEQ,0))="",""," → "&amp;INDEX(tk_ROOMT,MATCH(443,tk_FSEQ,0))),"")</f>
        <v/>
      </c>
      <c r="D448" s="162">
        <f>IFERROR(""&amp;INDEX(tk_SIZE,MATCH(443,tk_FSEQ,0)),"")</f>
        <v/>
      </c>
      <c r="E448" s="162">
        <f>IFERROR(""&amp;INDEX(tk_RATING,MATCH(443,tk_FSEQ,0)),"")</f>
        <v/>
      </c>
      <c r="F448" s="162">
        <f>IFERROR(TEXT(INDEX(tk_OAW,MATCH(443,tk_FSEQ,0)),"0.000")&amp;" x "&amp;TEXT(INDEX(tk_OAH,MATCH(443,tk_FSEQ,0)),"0.000"),"")</f>
        <v/>
      </c>
      <c r="G448" s="162">
        <f>IFERROR(IF(INDEX(tk_ANCHT,MATCH(443,tk_FSEQ,0))="","",INDEX(tk_ANCHT,MATCH(443,tk_FSEQ,0))&amp;" + "&amp;INDEX(tk_BASEA,MATCH(443,tk_FSEQ,0))),"")</f>
        <v/>
      </c>
      <c r="H448" s="181">
        <f>IFERROR(""&amp;INDEX(tk_FLINE,MATCH(443,tk_FSEQ,0)),"")</f>
        <v/>
      </c>
      <c r="I448" s="181">
        <f>IFERROR(""&amp;INDEX(tk_LOCTXT,MATCH(443,tk_FSEQ,0)),"")</f>
        <v/>
      </c>
      <c r="J448" s="162">
        <f>IFERROR(""&amp;INDEX(tk_FNOTES,MATCH(443,tk_FSEQ,0)),"")</f>
        <v/>
      </c>
    </row>
    <row r="449">
      <c r="A449" s="161">
        <f>IFERROR(""&amp;INDEX(tk_MARK,MATCH(444,tk_FSEQ,0)),"")</f>
        <v/>
      </c>
      <c r="B449" s="162">
        <f>IFERROR(INDEX(tk_QTY,MATCH(444,tk_FSEQ,0)),"")</f>
        <v/>
      </c>
      <c r="C449" s="162">
        <f>IFERROR(INDEX(tk_ROOMF,MATCH(444,tk_FSEQ,0))&amp;IF(INDEX(tk_ROOMT,MATCH(444,tk_FSEQ,0))="",""," → "&amp;INDEX(tk_ROOMT,MATCH(444,tk_FSEQ,0))),"")</f>
        <v/>
      </c>
      <c r="D449" s="162">
        <f>IFERROR(""&amp;INDEX(tk_SIZE,MATCH(444,tk_FSEQ,0)),"")</f>
        <v/>
      </c>
      <c r="E449" s="162">
        <f>IFERROR(""&amp;INDEX(tk_RATING,MATCH(444,tk_FSEQ,0)),"")</f>
        <v/>
      </c>
      <c r="F449" s="162">
        <f>IFERROR(TEXT(INDEX(tk_OAW,MATCH(444,tk_FSEQ,0)),"0.000")&amp;" x "&amp;TEXT(INDEX(tk_OAH,MATCH(444,tk_FSEQ,0)),"0.000"),"")</f>
        <v/>
      </c>
      <c r="G449" s="162">
        <f>IFERROR(IF(INDEX(tk_ANCHT,MATCH(444,tk_FSEQ,0))="","",INDEX(tk_ANCHT,MATCH(444,tk_FSEQ,0))&amp;" + "&amp;INDEX(tk_BASEA,MATCH(444,tk_FSEQ,0))),"")</f>
        <v/>
      </c>
      <c r="H449" s="181">
        <f>IFERROR(""&amp;INDEX(tk_FLINE,MATCH(444,tk_FSEQ,0)),"")</f>
        <v/>
      </c>
      <c r="I449" s="181">
        <f>IFERROR(""&amp;INDEX(tk_LOCTXT,MATCH(444,tk_FSEQ,0)),"")</f>
        <v/>
      </c>
      <c r="J449" s="162">
        <f>IFERROR(""&amp;INDEX(tk_FNOTES,MATCH(444,tk_FSEQ,0)),"")</f>
        <v/>
      </c>
    </row>
    <row r="450">
      <c r="A450" s="161">
        <f>IFERROR(""&amp;INDEX(tk_MARK,MATCH(445,tk_FSEQ,0)),"")</f>
        <v/>
      </c>
      <c r="B450" s="162">
        <f>IFERROR(INDEX(tk_QTY,MATCH(445,tk_FSEQ,0)),"")</f>
        <v/>
      </c>
      <c r="C450" s="162">
        <f>IFERROR(INDEX(tk_ROOMF,MATCH(445,tk_FSEQ,0))&amp;IF(INDEX(tk_ROOMT,MATCH(445,tk_FSEQ,0))="",""," → "&amp;INDEX(tk_ROOMT,MATCH(445,tk_FSEQ,0))),"")</f>
        <v/>
      </c>
      <c r="D450" s="162">
        <f>IFERROR(""&amp;INDEX(tk_SIZE,MATCH(445,tk_FSEQ,0)),"")</f>
        <v/>
      </c>
      <c r="E450" s="162">
        <f>IFERROR(""&amp;INDEX(tk_RATING,MATCH(445,tk_FSEQ,0)),"")</f>
        <v/>
      </c>
      <c r="F450" s="162">
        <f>IFERROR(TEXT(INDEX(tk_OAW,MATCH(445,tk_FSEQ,0)),"0.000")&amp;" x "&amp;TEXT(INDEX(tk_OAH,MATCH(445,tk_FSEQ,0)),"0.000"),"")</f>
        <v/>
      </c>
      <c r="G450" s="162">
        <f>IFERROR(IF(INDEX(tk_ANCHT,MATCH(445,tk_FSEQ,0))="","",INDEX(tk_ANCHT,MATCH(445,tk_FSEQ,0))&amp;" + "&amp;INDEX(tk_BASEA,MATCH(445,tk_FSEQ,0))),"")</f>
        <v/>
      </c>
      <c r="H450" s="181">
        <f>IFERROR(""&amp;INDEX(tk_FLINE,MATCH(445,tk_FSEQ,0)),"")</f>
        <v/>
      </c>
      <c r="I450" s="181">
        <f>IFERROR(""&amp;INDEX(tk_LOCTXT,MATCH(445,tk_FSEQ,0)),"")</f>
        <v/>
      </c>
      <c r="J450" s="162">
        <f>IFERROR(""&amp;INDEX(tk_FNOTES,MATCH(445,tk_FSEQ,0)),"")</f>
        <v/>
      </c>
    </row>
    <row r="451">
      <c r="A451" s="161">
        <f>IFERROR(""&amp;INDEX(tk_MARK,MATCH(446,tk_FSEQ,0)),"")</f>
        <v/>
      </c>
      <c r="B451" s="162">
        <f>IFERROR(INDEX(tk_QTY,MATCH(446,tk_FSEQ,0)),"")</f>
        <v/>
      </c>
      <c r="C451" s="162">
        <f>IFERROR(INDEX(tk_ROOMF,MATCH(446,tk_FSEQ,0))&amp;IF(INDEX(tk_ROOMT,MATCH(446,tk_FSEQ,0))="",""," → "&amp;INDEX(tk_ROOMT,MATCH(446,tk_FSEQ,0))),"")</f>
        <v/>
      </c>
      <c r="D451" s="162">
        <f>IFERROR(""&amp;INDEX(tk_SIZE,MATCH(446,tk_FSEQ,0)),"")</f>
        <v/>
      </c>
      <c r="E451" s="162">
        <f>IFERROR(""&amp;INDEX(tk_RATING,MATCH(446,tk_FSEQ,0)),"")</f>
        <v/>
      </c>
      <c r="F451" s="162">
        <f>IFERROR(TEXT(INDEX(tk_OAW,MATCH(446,tk_FSEQ,0)),"0.000")&amp;" x "&amp;TEXT(INDEX(tk_OAH,MATCH(446,tk_FSEQ,0)),"0.000"),"")</f>
        <v/>
      </c>
      <c r="G451" s="162">
        <f>IFERROR(IF(INDEX(tk_ANCHT,MATCH(446,tk_FSEQ,0))="","",INDEX(tk_ANCHT,MATCH(446,tk_FSEQ,0))&amp;" + "&amp;INDEX(tk_BASEA,MATCH(446,tk_FSEQ,0))),"")</f>
        <v/>
      </c>
      <c r="H451" s="181">
        <f>IFERROR(""&amp;INDEX(tk_FLINE,MATCH(446,tk_FSEQ,0)),"")</f>
        <v/>
      </c>
      <c r="I451" s="181">
        <f>IFERROR(""&amp;INDEX(tk_LOCTXT,MATCH(446,tk_FSEQ,0)),"")</f>
        <v/>
      </c>
      <c r="J451" s="162">
        <f>IFERROR(""&amp;INDEX(tk_FNOTES,MATCH(446,tk_FSEQ,0)),"")</f>
        <v/>
      </c>
    </row>
    <row r="452">
      <c r="A452" s="161">
        <f>IFERROR(""&amp;INDEX(tk_MARK,MATCH(447,tk_FSEQ,0)),"")</f>
        <v/>
      </c>
      <c r="B452" s="162">
        <f>IFERROR(INDEX(tk_QTY,MATCH(447,tk_FSEQ,0)),"")</f>
        <v/>
      </c>
      <c r="C452" s="162">
        <f>IFERROR(INDEX(tk_ROOMF,MATCH(447,tk_FSEQ,0))&amp;IF(INDEX(tk_ROOMT,MATCH(447,tk_FSEQ,0))="",""," → "&amp;INDEX(tk_ROOMT,MATCH(447,tk_FSEQ,0))),"")</f>
        <v/>
      </c>
      <c r="D452" s="162">
        <f>IFERROR(""&amp;INDEX(tk_SIZE,MATCH(447,tk_FSEQ,0)),"")</f>
        <v/>
      </c>
      <c r="E452" s="162">
        <f>IFERROR(""&amp;INDEX(tk_RATING,MATCH(447,tk_FSEQ,0)),"")</f>
        <v/>
      </c>
      <c r="F452" s="162">
        <f>IFERROR(TEXT(INDEX(tk_OAW,MATCH(447,tk_FSEQ,0)),"0.000")&amp;" x "&amp;TEXT(INDEX(tk_OAH,MATCH(447,tk_FSEQ,0)),"0.000"),"")</f>
        <v/>
      </c>
      <c r="G452" s="162">
        <f>IFERROR(IF(INDEX(tk_ANCHT,MATCH(447,tk_FSEQ,0))="","",INDEX(tk_ANCHT,MATCH(447,tk_FSEQ,0))&amp;" + "&amp;INDEX(tk_BASEA,MATCH(447,tk_FSEQ,0))),"")</f>
        <v/>
      </c>
      <c r="H452" s="181">
        <f>IFERROR(""&amp;INDEX(tk_FLINE,MATCH(447,tk_FSEQ,0)),"")</f>
        <v/>
      </c>
      <c r="I452" s="181">
        <f>IFERROR(""&amp;INDEX(tk_LOCTXT,MATCH(447,tk_FSEQ,0)),"")</f>
        <v/>
      </c>
      <c r="J452" s="162">
        <f>IFERROR(""&amp;INDEX(tk_FNOTES,MATCH(447,tk_FSEQ,0)),"")</f>
        <v/>
      </c>
    </row>
    <row r="453">
      <c r="A453" s="161">
        <f>IFERROR(""&amp;INDEX(tk_MARK,MATCH(448,tk_FSEQ,0)),"")</f>
        <v/>
      </c>
      <c r="B453" s="162">
        <f>IFERROR(INDEX(tk_QTY,MATCH(448,tk_FSEQ,0)),"")</f>
        <v/>
      </c>
      <c r="C453" s="162">
        <f>IFERROR(INDEX(tk_ROOMF,MATCH(448,tk_FSEQ,0))&amp;IF(INDEX(tk_ROOMT,MATCH(448,tk_FSEQ,0))="",""," → "&amp;INDEX(tk_ROOMT,MATCH(448,tk_FSEQ,0))),"")</f>
        <v/>
      </c>
      <c r="D453" s="162">
        <f>IFERROR(""&amp;INDEX(tk_SIZE,MATCH(448,tk_FSEQ,0)),"")</f>
        <v/>
      </c>
      <c r="E453" s="162">
        <f>IFERROR(""&amp;INDEX(tk_RATING,MATCH(448,tk_FSEQ,0)),"")</f>
        <v/>
      </c>
      <c r="F453" s="162">
        <f>IFERROR(TEXT(INDEX(tk_OAW,MATCH(448,tk_FSEQ,0)),"0.000")&amp;" x "&amp;TEXT(INDEX(tk_OAH,MATCH(448,tk_FSEQ,0)),"0.000"),"")</f>
        <v/>
      </c>
      <c r="G453" s="162">
        <f>IFERROR(IF(INDEX(tk_ANCHT,MATCH(448,tk_FSEQ,0))="","",INDEX(tk_ANCHT,MATCH(448,tk_FSEQ,0))&amp;" + "&amp;INDEX(tk_BASEA,MATCH(448,tk_FSEQ,0))),"")</f>
        <v/>
      </c>
      <c r="H453" s="181">
        <f>IFERROR(""&amp;INDEX(tk_FLINE,MATCH(448,tk_FSEQ,0)),"")</f>
        <v/>
      </c>
      <c r="I453" s="181">
        <f>IFERROR(""&amp;INDEX(tk_LOCTXT,MATCH(448,tk_FSEQ,0)),"")</f>
        <v/>
      </c>
      <c r="J453" s="162">
        <f>IFERROR(""&amp;INDEX(tk_FNOTES,MATCH(448,tk_FSEQ,0)),"")</f>
        <v/>
      </c>
    </row>
    <row r="454">
      <c r="A454" s="161">
        <f>IFERROR(""&amp;INDEX(tk_MARK,MATCH(449,tk_FSEQ,0)),"")</f>
        <v/>
      </c>
      <c r="B454" s="162">
        <f>IFERROR(INDEX(tk_QTY,MATCH(449,tk_FSEQ,0)),"")</f>
        <v/>
      </c>
      <c r="C454" s="162">
        <f>IFERROR(INDEX(tk_ROOMF,MATCH(449,tk_FSEQ,0))&amp;IF(INDEX(tk_ROOMT,MATCH(449,tk_FSEQ,0))="",""," → "&amp;INDEX(tk_ROOMT,MATCH(449,tk_FSEQ,0))),"")</f>
        <v/>
      </c>
      <c r="D454" s="162">
        <f>IFERROR(""&amp;INDEX(tk_SIZE,MATCH(449,tk_FSEQ,0)),"")</f>
        <v/>
      </c>
      <c r="E454" s="162">
        <f>IFERROR(""&amp;INDEX(tk_RATING,MATCH(449,tk_FSEQ,0)),"")</f>
        <v/>
      </c>
      <c r="F454" s="162">
        <f>IFERROR(TEXT(INDEX(tk_OAW,MATCH(449,tk_FSEQ,0)),"0.000")&amp;" x "&amp;TEXT(INDEX(tk_OAH,MATCH(449,tk_FSEQ,0)),"0.000"),"")</f>
        <v/>
      </c>
      <c r="G454" s="162">
        <f>IFERROR(IF(INDEX(tk_ANCHT,MATCH(449,tk_FSEQ,0))="","",INDEX(tk_ANCHT,MATCH(449,tk_FSEQ,0))&amp;" + "&amp;INDEX(tk_BASEA,MATCH(449,tk_FSEQ,0))),"")</f>
        <v/>
      </c>
      <c r="H454" s="181">
        <f>IFERROR(""&amp;INDEX(tk_FLINE,MATCH(449,tk_FSEQ,0)),"")</f>
        <v/>
      </c>
      <c r="I454" s="181">
        <f>IFERROR(""&amp;INDEX(tk_LOCTXT,MATCH(449,tk_FSEQ,0)),"")</f>
        <v/>
      </c>
      <c r="J454" s="162">
        <f>IFERROR(""&amp;INDEX(tk_FNOTES,MATCH(449,tk_FSEQ,0)),"")</f>
        <v/>
      </c>
    </row>
    <row r="455">
      <c r="A455" s="161">
        <f>IFERROR(""&amp;INDEX(tk_MARK,MATCH(450,tk_FSEQ,0)),"")</f>
        <v/>
      </c>
      <c r="B455" s="162">
        <f>IFERROR(INDEX(tk_QTY,MATCH(450,tk_FSEQ,0)),"")</f>
        <v/>
      </c>
      <c r="C455" s="162">
        <f>IFERROR(INDEX(tk_ROOMF,MATCH(450,tk_FSEQ,0))&amp;IF(INDEX(tk_ROOMT,MATCH(450,tk_FSEQ,0))="",""," → "&amp;INDEX(tk_ROOMT,MATCH(450,tk_FSEQ,0))),"")</f>
        <v/>
      </c>
      <c r="D455" s="162">
        <f>IFERROR(""&amp;INDEX(tk_SIZE,MATCH(450,tk_FSEQ,0)),"")</f>
        <v/>
      </c>
      <c r="E455" s="162">
        <f>IFERROR(""&amp;INDEX(tk_RATING,MATCH(450,tk_FSEQ,0)),"")</f>
        <v/>
      </c>
      <c r="F455" s="162">
        <f>IFERROR(TEXT(INDEX(tk_OAW,MATCH(450,tk_FSEQ,0)),"0.000")&amp;" x "&amp;TEXT(INDEX(tk_OAH,MATCH(450,tk_FSEQ,0)),"0.000"),"")</f>
        <v/>
      </c>
      <c r="G455" s="162">
        <f>IFERROR(IF(INDEX(tk_ANCHT,MATCH(450,tk_FSEQ,0))="","",INDEX(tk_ANCHT,MATCH(450,tk_FSEQ,0))&amp;" + "&amp;INDEX(tk_BASEA,MATCH(450,tk_FSEQ,0))),"")</f>
        <v/>
      </c>
      <c r="H455" s="181">
        <f>IFERROR(""&amp;INDEX(tk_FLINE,MATCH(450,tk_FSEQ,0)),"")</f>
        <v/>
      </c>
      <c r="I455" s="181">
        <f>IFERROR(""&amp;INDEX(tk_LOCTXT,MATCH(450,tk_FSEQ,0)),"")</f>
        <v/>
      </c>
      <c r="J455" s="162">
        <f>IFERROR(""&amp;INDEX(tk_FNOTES,MATCH(450,tk_FSEQ,0)),"")</f>
        <v/>
      </c>
    </row>
    <row r="456">
      <c r="A456" s="161">
        <f>IFERROR(""&amp;INDEX(tk_MARK,MATCH(451,tk_FSEQ,0)),"")</f>
        <v/>
      </c>
      <c r="B456" s="162">
        <f>IFERROR(INDEX(tk_QTY,MATCH(451,tk_FSEQ,0)),"")</f>
        <v/>
      </c>
      <c r="C456" s="162">
        <f>IFERROR(INDEX(tk_ROOMF,MATCH(451,tk_FSEQ,0))&amp;IF(INDEX(tk_ROOMT,MATCH(451,tk_FSEQ,0))="",""," → "&amp;INDEX(tk_ROOMT,MATCH(451,tk_FSEQ,0))),"")</f>
        <v/>
      </c>
      <c r="D456" s="162">
        <f>IFERROR(""&amp;INDEX(tk_SIZE,MATCH(451,tk_FSEQ,0)),"")</f>
        <v/>
      </c>
      <c r="E456" s="162">
        <f>IFERROR(""&amp;INDEX(tk_RATING,MATCH(451,tk_FSEQ,0)),"")</f>
        <v/>
      </c>
      <c r="F456" s="162">
        <f>IFERROR(TEXT(INDEX(tk_OAW,MATCH(451,tk_FSEQ,0)),"0.000")&amp;" x "&amp;TEXT(INDEX(tk_OAH,MATCH(451,tk_FSEQ,0)),"0.000"),"")</f>
        <v/>
      </c>
      <c r="G456" s="162">
        <f>IFERROR(IF(INDEX(tk_ANCHT,MATCH(451,tk_FSEQ,0))="","",INDEX(tk_ANCHT,MATCH(451,tk_FSEQ,0))&amp;" + "&amp;INDEX(tk_BASEA,MATCH(451,tk_FSEQ,0))),"")</f>
        <v/>
      </c>
      <c r="H456" s="181">
        <f>IFERROR(""&amp;INDEX(tk_FLINE,MATCH(451,tk_FSEQ,0)),"")</f>
        <v/>
      </c>
      <c r="I456" s="181">
        <f>IFERROR(""&amp;INDEX(tk_LOCTXT,MATCH(451,tk_FSEQ,0)),"")</f>
        <v/>
      </c>
      <c r="J456" s="162">
        <f>IFERROR(""&amp;INDEX(tk_FNOTES,MATCH(451,tk_FSEQ,0)),"")</f>
        <v/>
      </c>
    </row>
    <row r="457">
      <c r="A457" s="161">
        <f>IFERROR(""&amp;INDEX(tk_MARK,MATCH(452,tk_FSEQ,0)),"")</f>
        <v/>
      </c>
      <c r="B457" s="162">
        <f>IFERROR(INDEX(tk_QTY,MATCH(452,tk_FSEQ,0)),"")</f>
        <v/>
      </c>
      <c r="C457" s="162">
        <f>IFERROR(INDEX(tk_ROOMF,MATCH(452,tk_FSEQ,0))&amp;IF(INDEX(tk_ROOMT,MATCH(452,tk_FSEQ,0))="",""," → "&amp;INDEX(tk_ROOMT,MATCH(452,tk_FSEQ,0))),"")</f>
        <v/>
      </c>
      <c r="D457" s="162">
        <f>IFERROR(""&amp;INDEX(tk_SIZE,MATCH(452,tk_FSEQ,0)),"")</f>
        <v/>
      </c>
      <c r="E457" s="162">
        <f>IFERROR(""&amp;INDEX(tk_RATING,MATCH(452,tk_FSEQ,0)),"")</f>
        <v/>
      </c>
      <c r="F457" s="162">
        <f>IFERROR(TEXT(INDEX(tk_OAW,MATCH(452,tk_FSEQ,0)),"0.000")&amp;" x "&amp;TEXT(INDEX(tk_OAH,MATCH(452,tk_FSEQ,0)),"0.000"),"")</f>
        <v/>
      </c>
      <c r="G457" s="162">
        <f>IFERROR(IF(INDEX(tk_ANCHT,MATCH(452,tk_FSEQ,0))="","",INDEX(tk_ANCHT,MATCH(452,tk_FSEQ,0))&amp;" + "&amp;INDEX(tk_BASEA,MATCH(452,tk_FSEQ,0))),"")</f>
        <v/>
      </c>
      <c r="H457" s="181">
        <f>IFERROR(""&amp;INDEX(tk_FLINE,MATCH(452,tk_FSEQ,0)),"")</f>
        <v/>
      </c>
      <c r="I457" s="181">
        <f>IFERROR(""&amp;INDEX(tk_LOCTXT,MATCH(452,tk_FSEQ,0)),"")</f>
        <v/>
      </c>
      <c r="J457" s="162">
        <f>IFERROR(""&amp;INDEX(tk_FNOTES,MATCH(452,tk_FSEQ,0)),"")</f>
        <v/>
      </c>
    </row>
    <row r="458">
      <c r="A458" s="161">
        <f>IFERROR(""&amp;INDEX(tk_MARK,MATCH(453,tk_FSEQ,0)),"")</f>
        <v/>
      </c>
      <c r="B458" s="162">
        <f>IFERROR(INDEX(tk_QTY,MATCH(453,tk_FSEQ,0)),"")</f>
        <v/>
      </c>
      <c r="C458" s="162">
        <f>IFERROR(INDEX(tk_ROOMF,MATCH(453,tk_FSEQ,0))&amp;IF(INDEX(tk_ROOMT,MATCH(453,tk_FSEQ,0))="",""," → "&amp;INDEX(tk_ROOMT,MATCH(453,tk_FSEQ,0))),"")</f>
        <v/>
      </c>
      <c r="D458" s="162">
        <f>IFERROR(""&amp;INDEX(tk_SIZE,MATCH(453,tk_FSEQ,0)),"")</f>
        <v/>
      </c>
      <c r="E458" s="162">
        <f>IFERROR(""&amp;INDEX(tk_RATING,MATCH(453,tk_FSEQ,0)),"")</f>
        <v/>
      </c>
      <c r="F458" s="162">
        <f>IFERROR(TEXT(INDEX(tk_OAW,MATCH(453,tk_FSEQ,0)),"0.000")&amp;" x "&amp;TEXT(INDEX(tk_OAH,MATCH(453,tk_FSEQ,0)),"0.000"),"")</f>
        <v/>
      </c>
      <c r="G458" s="162">
        <f>IFERROR(IF(INDEX(tk_ANCHT,MATCH(453,tk_FSEQ,0))="","",INDEX(tk_ANCHT,MATCH(453,tk_FSEQ,0))&amp;" + "&amp;INDEX(tk_BASEA,MATCH(453,tk_FSEQ,0))),"")</f>
        <v/>
      </c>
      <c r="H458" s="181">
        <f>IFERROR(""&amp;INDEX(tk_FLINE,MATCH(453,tk_FSEQ,0)),"")</f>
        <v/>
      </c>
      <c r="I458" s="181">
        <f>IFERROR(""&amp;INDEX(tk_LOCTXT,MATCH(453,tk_FSEQ,0)),"")</f>
        <v/>
      </c>
      <c r="J458" s="162">
        <f>IFERROR(""&amp;INDEX(tk_FNOTES,MATCH(453,tk_FSEQ,0)),"")</f>
        <v/>
      </c>
    </row>
    <row r="459">
      <c r="A459" s="161">
        <f>IFERROR(""&amp;INDEX(tk_MARK,MATCH(454,tk_FSEQ,0)),"")</f>
        <v/>
      </c>
      <c r="B459" s="162">
        <f>IFERROR(INDEX(tk_QTY,MATCH(454,tk_FSEQ,0)),"")</f>
        <v/>
      </c>
      <c r="C459" s="162">
        <f>IFERROR(INDEX(tk_ROOMF,MATCH(454,tk_FSEQ,0))&amp;IF(INDEX(tk_ROOMT,MATCH(454,tk_FSEQ,0))="",""," → "&amp;INDEX(tk_ROOMT,MATCH(454,tk_FSEQ,0))),"")</f>
        <v/>
      </c>
      <c r="D459" s="162">
        <f>IFERROR(""&amp;INDEX(tk_SIZE,MATCH(454,tk_FSEQ,0)),"")</f>
        <v/>
      </c>
      <c r="E459" s="162">
        <f>IFERROR(""&amp;INDEX(tk_RATING,MATCH(454,tk_FSEQ,0)),"")</f>
        <v/>
      </c>
      <c r="F459" s="162">
        <f>IFERROR(TEXT(INDEX(tk_OAW,MATCH(454,tk_FSEQ,0)),"0.000")&amp;" x "&amp;TEXT(INDEX(tk_OAH,MATCH(454,tk_FSEQ,0)),"0.000"),"")</f>
        <v/>
      </c>
      <c r="G459" s="162">
        <f>IFERROR(IF(INDEX(tk_ANCHT,MATCH(454,tk_FSEQ,0))="","",INDEX(tk_ANCHT,MATCH(454,tk_FSEQ,0))&amp;" + "&amp;INDEX(tk_BASEA,MATCH(454,tk_FSEQ,0))),"")</f>
        <v/>
      </c>
      <c r="H459" s="181">
        <f>IFERROR(""&amp;INDEX(tk_FLINE,MATCH(454,tk_FSEQ,0)),"")</f>
        <v/>
      </c>
      <c r="I459" s="181">
        <f>IFERROR(""&amp;INDEX(tk_LOCTXT,MATCH(454,tk_FSEQ,0)),"")</f>
        <v/>
      </c>
      <c r="J459" s="162">
        <f>IFERROR(""&amp;INDEX(tk_FNOTES,MATCH(454,tk_FSEQ,0)),"")</f>
        <v/>
      </c>
    </row>
    <row r="460">
      <c r="A460" s="161">
        <f>IFERROR(""&amp;INDEX(tk_MARK,MATCH(455,tk_FSEQ,0)),"")</f>
        <v/>
      </c>
      <c r="B460" s="162">
        <f>IFERROR(INDEX(tk_QTY,MATCH(455,tk_FSEQ,0)),"")</f>
        <v/>
      </c>
      <c r="C460" s="162">
        <f>IFERROR(INDEX(tk_ROOMF,MATCH(455,tk_FSEQ,0))&amp;IF(INDEX(tk_ROOMT,MATCH(455,tk_FSEQ,0))="",""," → "&amp;INDEX(tk_ROOMT,MATCH(455,tk_FSEQ,0))),"")</f>
        <v/>
      </c>
      <c r="D460" s="162">
        <f>IFERROR(""&amp;INDEX(tk_SIZE,MATCH(455,tk_FSEQ,0)),"")</f>
        <v/>
      </c>
      <c r="E460" s="162">
        <f>IFERROR(""&amp;INDEX(tk_RATING,MATCH(455,tk_FSEQ,0)),"")</f>
        <v/>
      </c>
      <c r="F460" s="162">
        <f>IFERROR(TEXT(INDEX(tk_OAW,MATCH(455,tk_FSEQ,0)),"0.000")&amp;" x "&amp;TEXT(INDEX(tk_OAH,MATCH(455,tk_FSEQ,0)),"0.000"),"")</f>
        <v/>
      </c>
      <c r="G460" s="162">
        <f>IFERROR(IF(INDEX(tk_ANCHT,MATCH(455,tk_FSEQ,0))="","",INDEX(tk_ANCHT,MATCH(455,tk_FSEQ,0))&amp;" + "&amp;INDEX(tk_BASEA,MATCH(455,tk_FSEQ,0))),"")</f>
        <v/>
      </c>
      <c r="H460" s="181">
        <f>IFERROR(""&amp;INDEX(tk_FLINE,MATCH(455,tk_FSEQ,0)),"")</f>
        <v/>
      </c>
      <c r="I460" s="181">
        <f>IFERROR(""&amp;INDEX(tk_LOCTXT,MATCH(455,tk_FSEQ,0)),"")</f>
        <v/>
      </c>
      <c r="J460" s="162">
        <f>IFERROR(""&amp;INDEX(tk_FNOTES,MATCH(455,tk_FSEQ,0)),"")</f>
        <v/>
      </c>
    </row>
    <row r="461">
      <c r="A461" s="161">
        <f>IFERROR(""&amp;INDEX(tk_MARK,MATCH(456,tk_FSEQ,0)),"")</f>
        <v/>
      </c>
      <c r="B461" s="162">
        <f>IFERROR(INDEX(tk_QTY,MATCH(456,tk_FSEQ,0)),"")</f>
        <v/>
      </c>
      <c r="C461" s="162">
        <f>IFERROR(INDEX(tk_ROOMF,MATCH(456,tk_FSEQ,0))&amp;IF(INDEX(tk_ROOMT,MATCH(456,tk_FSEQ,0))="",""," → "&amp;INDEX(tk_ROOMT,MATCH(456,tk_FSEQ,0))),"")</f>
        <v/>
      </c>
      <c r="D461" s="162">
        <f>IFERROR(""&amp;INDEX(tk_SIZE,MATCH(456,tk_FSEQ,0)),"")</f>
        <v/>
      </c>
      <c r="E461" s="162">
        <f>IFERROR(""&amp;INDEX(tk_RATING,MATCH(456,tk_FSEQ,0)),"")</f>
        <v/>
      </c>
      <c r="F461" s="162">
        <f>IFERROR(TEXT(INDEX(tk_OAW,MATCH(456,tk_FSEQ,0)),"0.000")&amp;" x "&amp;TEXT(INDEX(tk_OAH,MATCH(456,tk_FSEQ,0)),"0.000"),"")</f>
        <v/>
      </c>
      <c r="G461" s="162">
        <f>IFERROR(IF(INDEX(tk_ANCHT,MATCH(456,tk_FSEQ,0))="","",INDEX(tk_ANCHT,MATCH(456,tk_FSEQ,0))&amp;" + "&amp;INDEX(tk_BASEA,MATCH(456,tk_FSEQ,0))),"")</f>
        <v/>
      </c>
      <c r="H461" s="181">
        <f>IFERROR(""&amp;INDEX(tk_FLINE,MATCH(456,tk_FSEQ,0)),"")</f>
        <v/>
      </c>
      <c r="I461" s="181">
        <f>IFERROR(""&amp;INDEX(tk_LOCTXT,MATCH(456,tk_FSEQ,0)),"")</f>
        <v/>
      </c>
      <c r="J461" s="162">
        <f>IFERROR(""&amp;INDEX(tk_FNOTES,MATCH(456,tk_FSEQ,0)),"")</f>
        <v/>
      </c>
    </row>
    <row r="462">
      <c r="A462" s="161">
        <f>IFERROR(""&amp;INDEX(tk_MARK,MATCH(457,tk_FSEQ,0)),"")</f>
        <v/>
      </c>
      <c r="B462" s="162">
        <f>IFERROR(INDEX(tk_QTY,MATCH(457,tk_FSEQ,0)),"")</f>
        <v/>
      </c>
      <c r="C462" s="162">
        <f>IFERROR(INDEX(tk_ROOMF,MATCH(457,tk_FSEQ,0))&amp;IF(INDEX(tk_ROOMT,MATCH(457,tk_FSEQ,0))="",""," → "&amp;INDEX(tk_ROOMT,MATCH(457,tk_FSEQ,0))),"")</f>
        <v/>
      </c>
      <c r="D462" s="162">
        <f>IFERROR(""&amp;INDEX(tk_SIZE,MATCH(457,tk_FSEQ,0)),"")</f>
        <v/>
      </c>
      <c r="E462" s="162">
        <f>IFERROR(""&amp;INDEX(tk_RATING,MATCH(457,tk_FSEQ,0)),"")</f>
        <v/>
      </c>
      <c r="F462" s="162">
        <f>IFERROR(TEXT(INDEX(tk_OAW,MATCH(457,tk_FSEQ,0)),"0.000")&amp;" x "&amp;TEXT(INDEX(tk_OAH,MATCH(457,tk_FSEQ,0)),"0.000"),"")</f>
        <v/>
      </c>
      <c r="G462" s="162">
        <f>IFERROR(IF(INDEX(tk_ANCHT,MATCH(457,tk_FSEQ,0))="","",INDEX(tk_ANCHT,MATCH(457,tk_FSEQ,0))&amp;" + "&amp;INDEX(tk_BASEA,MATCH(457,tk_FSEQ,0))),"")</f>
        <v/>
      </c>
      <c r="H462" s="181">
        <f>IFERROR(""&amp;INDEX(tk_FLINE,MATCH(457,tk_FSEQ,0)),"")</f>
        <v/>
      </c>
      <c r="I462" s="181">
        <f>IFERROR(""&amp;INDEX(tk_LOCTXT,MATCH(457,tk_FSEQ,0)),"")</f>
        <v/>
      </c>
      <c r="J462" s="162">
        <f>IFERROR(""&amp;INDEX(tk_FNOTES,MATCH(457,tk_FSEQ,0)),"")</f>
        <v/>
      </c>
    </row>
    <row r="463">
      <c r="A463" s="161">
        <f>IFERROR(""&amp;INDEX(tk_MARK,MATCH(458,tk_FSEQ,0)),"")</f>
        <v/>
      </c>
      <c r="B463" s="162">
        <f>IFERROR(INDEX(tk_QTY,MATCH(458,tk_FSEQ,0)),"")</f>
        <v/>
      </c>
      <c r="C463" s="162">
        <f>IFERROR(INDEX(tk_ROOMF,MATCH(458,tk_FSEQ,0))&amp;IF(INDEX(tk_ROOMT,MATCH(458,tk_FSEQ,0))="",""," → "&amp;INDEX(tk_ROOMT,MATCH(458,tk_FSEQ,0))),"")</f>
        <v/>
      </c>
      <c r="D463" s="162">
        <f>IFERROR(""&amp;INDEX(tk_SIZE,MATCH(458,tk_FSEQ,0)),"")</f>
        <v/>
      </c>
      <c r="E463" s="162">
        <f>IFERROR(""&amp;INDEX(tk_RATING,MATCH(458,tk_FSEQ,0)),"")</f>
        <v/>
      </c>
      <c r="F463" s="162">
        <f>IFERROR(TEXT(INDEX(tk_OAW,MATCH(458,tk_FSEQ,0)),"0.000")&amp;" x "&amp;TEXT(INDEX(tk_OAH,MATCH(458,tk_FSEQ,0)),"0.000"),"")</f>
        <v/>
      </c>
      <c r="G463" s="162">
        <f>IFERROR(IF(INDEX(tk_ANCHT,MATCH(458,tk_FSEQ,0))="","",INDEX(tk_ANCHT,MATCH(458,tk_FSEQ,0))&amp;" + "&amp;INDEX(tk_BASEA,MATCH(458,tk_FSEQ,0))),"")</f>
        <v/>
      </c>
      <c r="H463" s="181">
        <f>IFERROR(""&amp;INDEX(tk_FLINE,MATCH(458,tk_FSEQ,0)),"")</f>
        <v/>
      </c>
      <c r="I463" s="181">
        <f>IFERROR(""&amp;INDEX(tk_LOCTXT,MATCH(458,tk_FSEQ,0)),"")</f>
        <v/>
      </c>
      <c r="J463" s="162">
        <f>IFERROR(""&amp;INDEX(tk_FNOTES,MATCH(458,tk_FSEQ,0)),"")</f>
        <v/>
      </c>
    </row>
    <row r="464">
      <c r="A464" s="161">
        <f>IFERROR(""&amp;INDEX(tk_MARK,MATCH(459,tk_FSEQ,0)),"")</f>
        <v/>
      </c>
      <c r="B464" s="162">
        <f>IFERROR(INDEX(tk_QTY,MATCH(459,tk_FSEQ,0)),"")</f>
        <v/>
      </c>
      <c r="C464" s="162">
        <f>IFERROR(INDEX(tk_ROOMF,MATCH(459,tk_FSEQ,0))&amp;IF(INDEX(tk_ROOMT,MATCH(459,tk_FSEQ,0))="",""," → "&amp;INDEX(tk_ROOMT,MATCH(459,tk_FSEQ,0))),"")</f>
        <v/>
      </c>
      <c r="D464" s="162">
        <f>IFERROR(""&amp;INDEX(tk_SIZE,MATCH(459,tk_FSEQ,0)),"")</f>
        <v/>
      </c>
      <c r="E464" s="162">
        <f>IFERROR(""&amp;INDEX(tk_RATING,MATCH(459,tk_FSEQ,0)),"")</f>
        <v/>
      </c>
      <c r="F464" s="162">
        <f>IFERROR(TEXT(INDEX(tk_OAW,MATCH(459,tk_FSEQ,0)),"0.000")&amp;" x "&amp;TEXT(INDEX(tk_OAH,MATCH(459,tk_FSEQ,0)),"0.000"),"")</f>
        <v/>
      </c>
      <c r="G464" s="162">
        <f>IFERROR(IF(INDEX(tk_ANCHT,MATCH(459,tk_FSEQ,0))="","",INDEX(tk_ANCHT,MATCH(459,tk_FSEQ,0))&amp;" + "&amp;INDEX(tk_BASEA,MATCH(459,tk_FSEQ,0))),"")</f>
        <v/>
      </c>
      <c r="H464" s="181">
        <f>IFERROR(""&amp;INDEX(tk_FLINE,MATCH(459,tk_FSEQ,0)),"")</f>
        <v/>
      </c>
      <c r="I464" s="181">
        <f>IFERROR(""&amp;INDEX(tk_LOCTXT,MATCH(459,tk_FSEQ,0)),"")</f>
        <v/>
      </c>
      <c r="J464" s="162">
        <f>IFERROR(""&amp;INDEX(tk_FNOTES,MATCH(459,tk_FSEQ,0)),"")</f>
        <v/>
      </c>
    </row>
    <row r="465">
      <c r="A465" s="161">
        <f>IFERROR(""&amp;INDEX(tk_MARK,MATCH(460,tk_FSEQ,0)),"")</f>
        <v/>
      </c>
      <c r="B465" s="162">
        <f>IFERROR(INDEX(tk_QTY,MATCH(460,tk_FSEQ,0)),"")</f>
        <v/>
      </c>
      <c r="C465" s="162">
        <f>IFERROR(INDEX(tk_ROOMF,MATCH(460,tk_FSEQ,0))&amp;IF(INDEX(tk_ROOMT,MATCH(460,tk_FSEQ,0))="",""," → "&amp;INDEX(tk_ROOMT,MATCH(460,tk_FSEQ,0))),"")</f>
        <v/>
      </c>
      <c r="D465" s="162">
        <f>IFERROR(""&amp;INDEX(tk_SIZE,MATCH(460,tk_FSEQ,0)),"")</f>
        <v/>
      </c>
      <c r="E465" s="162">
        <f>IFERROR(""&amp;INDEX(tk_RATING,MATCH(460,tk_FSEQ,0)),"")</f>
        <v/>
      </c>
      <c r="F465" s="162">
        <f>IFERROR(TEXT(INDEX(tk_OAW,MATCH(460,tk_FSEQ,0)),"0.000")&amp;" x "&amp;TEXT(INDEX(tk_OAH,MATCH(460,tk_FSEQ,0)),"0.000"),"")</f>
        <v/>
      </c>
      <c r="G465" s="162">
        <f>IFERROR(IF(INDEX(tk_ANCHT,MATCH(460,tk_FSEQ,0))="","",INDEX(tk_ANCHT,MATCH(460,tk_FSEQ,0))&amp;" + "&amp;INDEX(tk_BASEA,MATCH(460,tk_FSEQ,0))),"")</f>
        <v/>
      </c>
      <c r="H465" s="181">
        <f>IFERROR(""&amp;INDEX(tk_FLINE,MATCH(460,tk_FSEQ,0)),"")</f>
        <v/>
      </c>
      <c r="I465" s="181">
        <f>IFERROR(""&amp;INDEX(tk_LOCTXT,MATCH(460,tk_FSEQ,0)),"")</f>
        <v/>
      </c>
      <c r="J465" s="162">
        <f>IFERROR(""&amp;INDEX(tk_FNOTES,MATCH(460,tk_FSEQ,0)),"")</f>
        <v/>
      </c>
    </row>
    <row r="466">
      <c r="A466" s="161">
        <f>IFERROR(""&amp;INDEX(tk_MARK,MATCH(461,tk_FSEQ,0)),"")</f>
        <v/>
      </c>
      <c r="B466" s="162">
        <f>IFERROR(INDEX(tk_QTY,MATCH(461,tk_FSEQ,0)),"")</f>
        <v/>
      </c>
      <c r="C466" s="162">
        <f>IFERROR(INDEX(tk_ROOMF,MATCH(461,tk_FSEQ,0))&amp;IF(INDEX(tk_ROOMT,MATCH(461,tk_FSEQ,0))="",""," → "&amp;INDEX(tk_ROOMT,MATCH(461,tk_FSEQ,0))),"")</f>
        <v/>
      </c>
      <c r="D466" s="162">
        <f>IFERROR(""&amp;INDEX(tk_SIZE,MATCH(461,tk_FSEQ,0)),"")</f>
        <v/>
      </c>
      <c r="E466" s="162">
        <f>IFERROR(""&amp;INDEX(tk_RATING,MATCH(461,tk_FSEQ,0)),"")</f>
        <v/>
      </c>
      <c r="F466" s="162">
        <f>IFERROR(TEXT(INDEX(tk_OAW,MATCH(461,tk_FSEQ,0)),"0.000")&amp;" x "&amp;TEXT(INDEX(tk_OAH,MATCH(461,tk_FSEQ,0)),"0.000"),"")</f>
        <v/>
      </c>
      <c r="G466" s="162">
        <f>IFERROR(IF(INDEX(tk_ANCHT,MATCH(461,tk_FSEQ,0))="","",INDEX(tk_ANCHT,MATCH(461,tk_FSEQ,0))&amp;" + "&amp;INDEX(tk_BASEA,MATCH(461,tk_FSEQ,0))),"")</f>
        <v/>
      </c>
      <c r="H466" s="181">
        <f>IFERROR(""&amp;INDEX(tk_FLINE,MATCH(461,tk_FSEQ,0)),"")</f>
        <v/>
      </c>
      <c r="I466" s="181">
        <f>IFERROR(""&amp;INDEX(tk_LOCTXT,MATCH(461,tk_FSEQ,0)),"")</f>
        <v/>
      </c>
      <c r="J466" s="162">
        <f>IFERROR(""&amp;INDEX(tk_FNOTES,MATCH(461,tk_FSEQ,0)),"")</f>
        <v/>
      </c>
    </row>
    <row r="467">
      <c r="A467" s="161">
        <f>IFERROR(""&amp;INDEX(tk_MARK,MATCH(462,tk_FSEQ,0)),"")</f>
        <v/>
      </c>
      <c r="B467" s="162">
        <f>IFERROR(INDEX(tk_QTY,MATCH(462,tk_FSEQ,0)),"")</f>
        <v/>
      </c>
      <c r="C467" s="162">
        <f>IFERROR(INDEX(tk_ROOMF,MATCH(462,tk_FSEQ,0))&amp;IF(INDEX(tk_ROOMT,MATCH(462,tk_FSEQ,0))="",""," → "&amp;INDEX(tk_ROOMT,MATCH(462,tk_FSEQ,0))),"")</f>
        <v/>
      </c>
      <c r="D467" s="162">
        <f>IFERROR(""&amp;INDEX(tk_SIZE,MATCH(462,tk_FSEQ,0)),"")</f>
        <v/>
      </c>
      <c r="E467" s="162">
        <f>IFERROR(""&amp;INDEX(tk_RATING,MATCH(462,tk_FSEQ,0)),"")</f>
        <v/>
      </c>
      <c r="F467" s="162">
        <f>IFERROR(TEXT(INDEX(tk_OAW,MATCH(462,tk_FSEQ,0)),"0.000")&amp;" x "&amp;TEXT(INDEX(tk_OAH,MATCH(462,tk_FSEQ,0)),"0.000"),"")</f>
        <v/>
      </c>
      <c r="G467" s="162">
        <f>IFERROR(IF(INDEX(tk_ANCHT,MATCH(462,tk_FSEQ,0))="","",INDEX(tk_ANCHT,MATCH(462,tk_FSEQ,0))&amp;" + "&amp;INDEX(tk_BASEA,MATCH(462,tk_FSEQ,0))),"")</f>
        <v/>
      </c>
      <c r="H467" s="181">
        <f>IFERROR(""&amp;INDEX(tk_FLINE,MATCH(462,tk_FSEQ,0)),"")</f>
        <v/>
      </c>
      <c r="I467" s="181">
        <f>IFERROR(""&amp;INDEX(tk_LOCTXT,MATCH(462,tk_FSEQ,0)),"")</f>
        <v/>
      </c>
      <c r="J467" s="162">
        <f>IFERROR(""&amp;INDEX(tk_FNOTES,MATCH(462,tk_FSEQ,0)),"")</f>
        <v/>
      </c>
    </row>
    <row r="468">
      <c r="A468" s="161">
        <f>IFERROR(""&amp;INDEX(tk_MARK,MATCH(463,tk_FSEQ,0)),"")</f>
        <v/>
      </c>
      <c r="B468" s="162">
        <f>IFERROR(INDEX(tk_QTY,MATCH(463,tk_FSEQ,0)),"")</f>
        <v/>
      </c>
      <c r="C468" s="162">
        <f>IFERROR(INDEX(tk_ROOMF,MATCH(463,tk_FSEQ,0))&amp;IF(INDEX(tk_ROOMT,MATCH(463,tk_FSEQ,0))="",""," → "&amp;INDEX(tk_ROOMT,MATCH(463,tk_FSEQ,0))),"")</f>
        <v/>
      </c>
      <c r="D468" s="162">
        <f>IFERROR(""&amp;INDEX(tk_SIZE,MATCH(463,tk_FSEQ,0)),"")</f>
        <v/>
      </c>
      <c r="E468" s="162">
        <f>IFERROR(""&amp;INDEX(tk_RATING,MATCH(463,tk_FSEQ,0)),"")</f>
        <v/>
      </c>
      <c r="F468" s="162">
        <f>IFERROR(TEXT(INDEX(tk_OAW,MATCH(463,tk_FSEQ,0)),"0.000")&amp;" x "&amp;TEXT(INDEX(tk_OAH,MATCH(463,tk_FSEQ,0)),"0.000"),"")</f>
        <v/>
      </c>
      <c r="G468" s="162">
        <f>IFERROR(IF(INDEX(tk_ANCHT,MATCH(463,tk_FSEQ,0))="","",INDEX(tk_ANCHT,MATCH(463,tk_FSEQ,0))&amp;" + "&amp;INDEX(tk_BASEA,MATCH(463,tk_FSEQ,0))),"")</f>
        <v/>
      </c>
      <c r="H468" s="181">
        <f>IFERROR(""&amp;INDEX(tk_FLINE,MATCH(463,tk_FSEQ,0)),"")</f>
        <v/>
      </c>
      <c r="I468" s="181">
        <f>IFERROR(""&amp;INDEX(tk_LOCTXT,MATCH(463,tk_FSEQ,0)),"")</f>
        <v/>
      </c>
      <c r="J468" s="162">
        <f>IFERROR(""&amp;INDEX(tk_FNOTES,MATCH(463,tk_FSEQ,0)),"")</f>
        <v/>
      </c>
    </row>
    <row r="469">
      <c r="A469" s="161">
        <f>IFERROR(""&amp;INDEX(tk_MARK,MATCH(464,tk_FSEQ,0)),"")</f>
        <v/>
      </c>
      <c r="B469" s="162">
        <f>IFERROR(INDEX(tk_QTY,MATCH(464,tk_FSEQ,0)),"")</f>
        <v/>
      </c>
      <c r="C469" s="162">
        <f>IFERROR(INDEX(tk_ROOMF,MATCH(464,tk_FSEQ,0))&amp;IF(INDEX(tk_ROOMT,MATCH(464,tk_FSEQ,0))="",""," → "&amp;INDEX(tk_ROOMT,MATCH(464,tk_FSEQ,0))),"")</f>
        <v/>
      </c>
      <c r="D469" s="162">
        <f>IFERROR(""&amp;INDEX(tk_SIZE,MATCH(464,tk_FSEQ,0)),"")</f>
        <v/>
      </c>
      <c r="E469" s="162">
        <f>IFERROR(""&amp;INDEX(tk_RATING,MATCH(464,tk_FSEQ,0)),"")</f>
        <v/>
      </c>
      <c r="F469" s="162">
        <f>IFERROR(TEXT(INDEX(tk_OAW,MATCH(464,tk_FSEQ,0)),"0.000")&amp;" x "&amp;TEXT(INDEX(tk_OAH,MATCH(464,tk_FSEQ,0)),"0.000"),"")</f>
        <v/>
      </c>
      <c r="G469" s="162">
        <f>IFERROR(IF(INDEX(tk_ANCHT,MATCH(464,tk_FSEQ,0))="","",INDEX(tk_ANCHT,MATCH(464,tk_FSEQ,0))&amp;" + "&amp;INDEX(tk_BASEA,MATCH(464,tk_FSEQ,0))),"")</f>
        <v/>
      </c>
      <c r="H469" s="181">
        <f>IFERROR(""&amp;INDEX(tk_FLINE,MATCH(464,tk_FSEQ,0)),"")</f>
        <v/>
      </c>
      <c r="I469" s="181">
        <f>IFERROR(""&amp;INDEX(tk_LOCTXT,MATCH(464,tk_FSEQ,0)),"")</f>
        <v/>
      </c>
      <c r="J469" s="162">
        <f>IFERROR(""&amp;INDEX(tk_FNOTES,MATCH(464,tk_FSEQ,0)),"")</f>
        <v/>
      </c>
    </row>
    <row r="470">
      <c r="A470" s="161">
        <f>IFERROR(""&amp;INDEX(tk_MARK,MATCH(465,tk_FSEQ,0)),"")</f>
        <v/>
      </c>
      <c r="B470" s="162">
        <f>IFERROR(INDEX(tk_QTY,MATCH(465,tk_FSEQ,0)),"")</f>
        <v/>
      </c>
      <c r="C470" s="162">
        <f>IFERROR(INDEX(tk_ROOMF,MATCH(465,tk_FSEQ,0))&amp;IF(INDEX(tk_ROOMT,MATCH(465,tk_FSEQ,0))="",""," → "&amp;INDEX(tk_ROOMT,MATCH(465,tk_FSEQ,0))),"")</f>
        <v/>
      </c>
      <c r="D470" s="162">
        <f>IFERROR(""&amp;INDEX(tk_SIZE,MATCH(465,tk_FSEQ,0)),"")</f>
        <v/>
      </c>
      <c r="E470" s="162">
        <f>IFERROR(""&amp;INDEX(tk_RATING,MATCH(465,tk_FSEQ,0)),"")</f>
        <v/>
      </c>
      <c r="F470" s="162">
        <f>IFERROR(TEXT(INDEX(tk_OAW,MATCH(465,tk_FSEQ,0)),"0.000")&amp;" x "&amp;TEXT(INDEX(tk_OAH,MATCH(465,tk_FSEQ,0)),"0.000"),"")</f>
        <v/>
      </c>
      <c r="G470" s="162">
        <f>IFERROR(IF(INDEX(tk_ANCHT,MATCH(465,tk_FSEQ,0))="","",INDEX(tk_ANCHT,MATCH(465,tk_FSEQ,0))&amp;" + "&amp;INDEX(tk_BASEA,MATCH(465,tk_FSEQ,0))),"")</f>
        <v/>
      </c>
      <c r="H470" s="181">
        <f>IFERROR(""&amp;INDEX(tk_FLINE,MATCH(465,tk_FSEQ,0)),"")</f>
        <v/>
      </c>
      <c r="I470" s="181">
        <f>IFERROR(""&amp;INDEX(tk_LOCTXT,MATCH(465,tk_FSEQ,0)),"")</f>
        <v/>
      </c>
      <c r="J470" s="162">
        <f>IFERROR(""&amp;INDEX(tk_FNOTES,MATCH(465,tk_FSEQ,0)),"")</f>
        <v/>
      </c>
    </row>
    <row r="471">
      <c r="A471" s="161">
        <f>IFERROR(""&amp;INDEX(tk_MARK,MATCH(466,tk_FSEQ,0)),"")</f>
        <v/>
      </c>
      <c r="B471" s="162">
        <f>IFERROR(INDEX(tk_QTY,MATCH(466,tk_FSEQ,0)),"")</f>
        <v/>
      </c>
      <c r="C471" s="162">
        <f>IFERROR(INDEX(tk_ROOMF,MATCH(466,tk_FSEQ,0))&amp;IF(INDEX(tk_ROOMT,MATCH(466,tk_FSEQ,0))="",""," → "&amp;INDEX(tk_ROOMT,MATCH(466,tk_FSEQ,0))),"")</f>
        <v/>
      </c>
      <c r="D471" s="162">
        <f>IFERROR(""&amp;INDEX(tk_SIZE,MATCH(466,tk_FSEQ,0)),"")</f>
        <v/>
      </c>
      <c r="E471" s="162">
        <f>IFERROR(""&amp;INDEX(tk_RATING,MATCH(466,tk_FSEQ,0)),"")</f>
        <v/>
      </c>
      <c r="F471" s="162">
        <f>IFERROR(TEXT(INDEX(tk_OAW,MATCH(466,tk_FSEQ,0)),"0.000")&amp;" x "&amp;TEXT(INDEX(tk_OAH,MATCH(466,tk_FSEQ,0)),"0.000"),"")</f>
        <v/>
      </c>
      <c r="G471" s="162">
        <f>IFERROR(IF(INDEX(tk_ANCHT,MATCH(466,tk_FSEQ,0))="","",INDEX(tk_ANCHT,MATCH(466,tk_FSEQ,0))&amp;" + "&amp;INDEX(tk_BASEA,MATCH(466,tk_FSEQ,0))),"")</f>
        <v/>
      </c>
      <c r="H471" s="181">
        <f>IFERROR(""&amp;INDEX(tk_FLINE,MATCH(466,tk_FSEQ,0)),"")</f>
        <v/>
      </c>
      <c r="I471" s="181">
        <f>IFERROR(""&amp;INDEX(tk_LOCTXT,MATCH(466,tk_FSEQ,0)),"")</f>
        <v/>
      </c>
      <c r="J471" s="162">
        <f>IFERROR(""&amp;INDEX(tk_FNOTES,MATCH(466,tk_FSEQ,0)),"")</f>
        <v/>
      </c>
    </row>
    <row r="472">
      <c r="A472" s="161">
        <f>IFERROR(""&amp;INDEX(tk_MARK,MATCH(467,tk_FSEQ,0)),"")</f>
        <v/>
      </c>
      <c r="B472" s="162">
        <f>IFERROR(INDEX(tk_QTY,MATCH(467,tk_FSEQ,0)),"")</f>
        <v/>
      </c>
      <c r="C472" s="162">
        <f>IFERROR(INDEX(tk_ROOMF,MATCH(467,tk_FSEQ,0))&amp;IF(INDEX(tk_ROOMT,MATCH(467,tk_FSEQ,0))="",""," → "&amp;INDEX(tk_ROOMT,MATCH(467,tk_FSEQ,0))),"")</f>
        <v/>
      </c>
      <c r="D472" s="162">
        <f>IFERROR(""&amp;INDEX(tk_SIZE,MATCH(467,tk_FSEQ,0)),"")</f>
        <v/>
      </c>
      <c r="E472" s="162">
        <f>IFERROR(""&amp;INDEX(tk_RATING,MATCH(467,tk_FSEQ,0)),"")</f>
        <v/>
      </c>
      <c r="F472" s="162">
        <f>IFERROR(TEXT(INDEX(tk_OAW,MATCH(467,tk_FSEQ,0)),"0.000")&amp;" x "&amp;TEXT(INDEX(tk_OAH,MATCH(467,tk_FSEQ,0)),"0.000"),"")</f>
        <v/>
      </c>
      <c r="G472" s="162">
        <f>IFERROR(IF(INDEX(tk_ANCHT,MATCH(467,tk_FSEQ,0))="","",INDEX(tk_ANCHT,MATCH(467,tk_FSEQ,0))&amp;" + "&amp;INDEX(tk_BASEA,MATCH(467,tk_FSEQ,0))),"")</f>
        <v/>
      </c>
      <c r="H472" s="181">
        <f>IFERROR(""&amp;INDEX(tk_FLINE,MATCH(467,tk_FSEQ,0)),"")</f>
        <v/>
      </c>
      <c r="I472" s="181">
        <f>IFERROR(""&amp;INDEX(tk_LOCTXT,MATCH(467,tk_FSEQ,0)),"")</f>
        <v/>
      </c>
      <c r="J472" s="162">
        <f>IFERROR(""&amp;INDEX(tk_FNOTES,MATCH(467,tk_FSEQ,0)),"")</f>
        <v/>
      </c>
    </row>
    <row r="473">
      <c r="A473" s="161">
        <f>IFERROR(""&amp;INDEX(tk_MARK,MATCH(468,tk_FSEQ,0)),"")</f>
        <v/>
      </c>
      <c r="B473" s="162">
        <f>IFERROR(INDEX(tk_QTY,MATCH(468,tk_FSEQ,0)),"")</f>
        <v/>
      </c>
      <c r="C473" s="162">
        <f>IFERROR(INDEX(tk_ROOMF,MATCH(468,tk_FSEQ,0))&amp;IF(INDEX(tk_ROOMT,MATCH(468,tk_FSEQ,0))="",""," → "&amp;INDEX(tk_ROOMT,MATCH(468,tk_FSEQ,0))),"")</f>
        <v/>
      </c>
      <c r="D473" s="162">
        <f>IFERROR(""&amp;INDEX(tk_SIZE,MATCH(468,tk_FSEQ,0)),"")</f>
        <v/>
      </c>
      <c r="E473" s="162">
        <f>IFERROR(""&amp;INDEX(tk_RATING,MATCH(468,tk_FSEQ,0)),"")</f>
        <v/>
      </c>
      <c r="F473" s="162">
        <f>IFERROR(TEXT(INDEX(tk_OAW,MATCH(468,tk_FSEQ,0)),"0.000")&amp;" x "&amp;TEXT(INDEX(tk_OAH,MATCH(468,tk_FSEQ,0)),"0.000"),"")</f>
        <v/>
      </c>
      <c r="G473" s="162">
        <f>IFERROR(IF(INDEX(tk_ANCHT,MATCH(468,tk_FSEQ,0))="","",INDEX(tk_ANCHT,MATCH(468,tk_FSEQ,0))&amp;" + "&amp;INDEX(tk_BASEA,MATCH(468,tk_FSEQ,0))),"")</f>
        <v/>
      </c>
      <c r="H473" s="181">
        <f>IFERROR(""&amp;INDEX(tk_FLINE,MATCH(468,tk_FSEQ,0)),"")</f>
        <v/>
      </c>
      <c r="I473" s="181">
        <f>IFERROR(""&amp;INDEX(tk_LOCTXT,MATCH(468,tk_FSEQ,0)),"")</f>
        <v/>
      </c>
      <c r="J473" s="162">
        <f>IFERROR(""&amp;INDEX(tk_FNOTES,MATCH(468,tk_FSEQ,0)),"")</f>
        <v/>
      </c>
    </row>
    <row r="474">
      <c r="A474" s="161">
        <f>IFERROR(""&amp;INDEX(tk_MARK,MATCH(469,tk_FSEQ,0)),"")</f>
        <v/>
      </c>
      <c r="B474" s="162">
        <f>IFERROR(INDEX(tk_QTY,MATCH(469,tk_FSEQ,0)),"")</f>
        <v/>
      </c>
      <c r="C474" s="162">
        <f>IFERROR(INDEX(tk_ROOMF,MATCH(469,tk_FSEQ,0))&amp;IF(INDEX(tk_ROOMT,MATCH(469,tk_FSEQ,0))="",""," → "&amp;INDEX(tk_ROOMT,MATCH(469,tk_FSEQ,0))),"")</f>
        <v/>
      </c>
      <c r="D474" s="162">
        <f>IFERROR(""&amp;INDEX(tk_SIZE,MATCH(469,tk_FSEQ,0)),"")</f>
        <v/>
      </c>
      <c r="E474" s="162">
        <f>IFERROR(""&amp;INDEX(tk_RATING,MATCH(469,tk_FSEQ,0)),"")</f>
        <v/>
      </c>
      <c r="F474" s="162">
        <f>IFERROR(TEXT(INDEX(tk_OAW,MATCH(469,tk_FSEQ,0)),"0.000")&amp;" x "&amp;TEXT(INDEX(tk_OAH,MATCH(469,tk_FSEQ,0)),"0.000"),"")</f>
        <v/>
      </c>
      <c r="G474" s="162">
        <f>IFERROR(IF(INDEX(tk_ANCHT,MATCH(469,tk_FSEQ,0))="","",INDEX(tk_ANCHT,MATCH(469,tk_FSEQ,0))&amp;" + "&amp;INDEX(tk_BASEA,MATCH(469,tk_FSEQ,0))),"")</f>
        <v/>
      </c>
      <c r="H474" s="181">
        <f>IFERROR(""&amp;INDEX(tk_FLINE,MATCH(469,tk_FSEQ,0)),"")</f>
        <v/>
      </c>
      <c r="I474" s="181">
        <f>IFERROR(""&amp;INDEX(tk_LOCTXT,MATCH(469,tk_FSEQ,0)),"")</f>
        <v/>
      </c>
      <c r="J474" s="162">
        <f>IFERROR(""&amp;INDEX(tk_FNOTES,MATCH(469,tk_FSEQ,0)),"")</f>
        <v/>
      </c>
    </row>
    <row r="475">
      <c r="A475" s="161">
        <f>IFERROR(""&amp;INDEX(tk_MARK,MATCH(470,tk_FSEQ,0)),"")</f>
        <v/>
      </c>
      <c r="B475" s="162">
        <f>IFERROR(INDEX(tk_QTY,MATCH(470,tk_FSEQ,0)),"")</f>
        <v/>
      </c>
      <c r="C475" s="162">
        <f>IFERROR(INDEX(tk_ROOMF,MATCH(470,tk_FSEQ,0))&amp;IF(INDEX(tk_ROOMT,MATCH(470,tk_FSEQ,0))="",""," → "&amp;INDEX(tk_ROOMT,MATCH(470,tk_FSEQ,0))),"")</f>
        <v/>
      </c>
      <c r="D475" s="162">
        <f>IFERROR(""&amp;INDEX(tk_SIZE,MATCH(470,tk_FSEQ,0)),"")</f>
        <v/>
      </c>
      <c r="E475" s="162">
        <f>IFERROR(""&amp;INDEX(tk_RATING,MATCH(470,tk_FSEQ,0)),"")</f>
        <v/>
      </c>
      <c r="F475" s="162">
        <f>IFERROR(TEXT(INDEX(tk_OAW,MATCH(470,tk_FSEQ,0)),"0.000")&amp;" x "&amp;TEXT(INDEX(tk_OAH,MATCH(470,tk_FSEQ,0)),"0.000"),"")</f>
        <v/>
      </c>
      <c r="G475" s="162">
        <f>IFERROR(IF(INDEX(tk_ANCHT,MATCH(470,tk_FSEQ,0))="","",INDEX(tk_ANCHT,MATCH(470,tk_FSEQ,0))&amp;" + "&amp;INDEX(tk_BASEA,MATCH(470,tk_FSEQ,0))),"")</f>
        <v/>
      </c>
      <c r="H475" s="181">
        <f>IFERROR(""&amp;INDEX(tk_FLINE,MATCH(470,tk_FSEQ,0)),"")</f>
        <v/>
      </c>
      <c r="I475" s="181">
        <f>IFERROR(""&amp;INDEX(tk_LOCTXT,MATCH(470,tk_FSEQ,0)),"")</f>
        <v/>
      </c>
      <c r="J475" s="162">
        <f>IFERROR(""&amp;INDEX(tk_FNOTES,MATCH(470,tk_FSEQ,0)),"")</f>
        <v/>
      </c>
    </row>
    <row r="476">
      <c r="A476" s="161">
        <f>IFERROR(""&amp;INDEX(tk_MARK,MATCH(471,tk_FSEQ,0)),"")</f>
        <v/>
      </c>
      <c r="B476" s="162">
        <f>IFERROR(INDEX(tk_QTY,MATCH(471,tk_FSEQ,0)),"")</f>
        <v/>
      </c>
      <c r="C476" s="162">
        <f>IFERROR(INDEX(tk_ROOMF,MATCH(471,tk_FSEQ,0))&amp;IF(INDEX(tk_ROOMT,MATCH(471,tk_FSEQ,0))="",""," → "&amp;INDEX(tk_ROOMT,MATCH(471,tk_FSEQ,0))),"")</f>
        <v/>
      </c>
      <c r="D476" s="162">
        <f>IFERROR(""&amp;INDEX(tk_SIZE,MATCH(471,tk_FSEQ,0)),"")</f>
        <v/>
      </c>
      <c r="E476" s="162">
        <f>IFERROR(""&amp;INDEX(tk_RATING,MATCH(471,tk_FSEQ,0)),"")</f>
        <v/>
      </c>
      <c r="F476" s="162">
        <f>IFERROR(TEXT(INDEX(tk_OAW,MATCH(471,tk_FSEQ,0)),"0.000")&amp;" x "&amp;TEXT(INDEX(tk_OAH,MATCH(471,tk_FSEQ,0)),"0.000"),"")</f>
        <v/>
      </c>
      <c r="G476" s="162">
        <f>IFERROR(IF(INDEX(tk_ANCHT,MATCH(471,tk_FSEQ,0))="","",INDEX(tk_ANCHT,MATCH(471,tk_FSEQ,0))&amp;" + "&amp;INDEX(tk_BASEA,MATCH(471,tk_FSEQ,0))),"")</f>
        <v/>
      </c>
      <c r="H476" s="181">
        <f>IFERROR(""&amp;INDEX(tk_FLINE,MATCH(471,tk_FSEQ,0)),"")</f>
        <v/>
      </c>
      <c r="I476" s="181">
        <f>IFERROR(""&amp;INDEX(tk_LOCTXT,MATCH(471,tk_FSEQ,0)),"")</f>
        <v/>
      </c>
      <c r="J476" s="162">
        <f>IFERROR(""&amp;INDEX(tk_FNOTES,MATCH(471,tk_FSEQ,0)),"")</f>
        <v/>
      </c>
    </row>
    <row r="477">
      <c r="A477" s="161">
        <f>IFERROR(""&amp;INDEX(tk_MARK,MATCH(472,tk_FSEQ,0)),"")</f>
        <v/>
      </c>
      <c r="B477" s="162">
        <f>IFERROR(INDEX(tk_QTY,MATCH(472,tk_FSEQ,0)),"")</f>
        <v/>
      </c>
      <c r="C477" s="162">
        <f>IFERROR(INDEX(tk_ROOMF,MATCH(472,tk_FSEQ,0))&amp;IF(INDEX(tk_ROOMT,MATCH(472,tk_FSEQ,0))="",""," → "&amp;INDEX(tk_ROOMT,MATCH(472,tk_FSEQ,0))),"")</f>
        <v/>
      </c>
      <c r="D477" s="162">
        <f>IFERROR(""&amp;INDEX(tk_SIZE,MATCH(472,tk_FSEQ,0)),"")</f>
        <v/>
      </c>
      <c r="E477" s="162">
        <f>IFERROR(""&amp;INDEX(tk_RATING,MATCH(472,tk_FSEQ,0)),"")</f>
        <v/>
      </c>
      <c r="F477" s="162">
        <f>IFERROR(TEXT(INDEX(tk_OAW,MATCH(472,tk_FSEQ,0)),"0.000")&amp;" x "&amp;TEXT(INDEX(tk_OAH,MATCH(472,tk_FSEQ,0)),"0.000"),"")</f>
        <v/>
      </c>
      <c r="G477" s="162">
        <f>IFERROR(IF(INDEX(tk_ANCHT,MATCH(472,tk_FSEQ,0))="","",INDEX(tk_ANCHT,MATCH(472,tk_FSEQ,0))&amp;" + "&amp;INDEX(tk_BASEA,MATCH(472,tk_FSEQ,0))),"")</f>
        <v/>
      </c>
      <c r="H477" s="181">
        <f>IFERROR(""&amp;INDEX(tk_FLINE,MATCH(472,tk_FSEQ,0)),"")</f>
        <v/>
      </c>
      <c r="I477" s="181">
        <f>IFERROR(""&amp;INDEX(tk_LOCTXT,MATCH(472,tk_FSEQ,0)),"")</f>
        <v/>
      </c>
      <c r="J477" s="162">
        <f>IFERROR(""&amp;INDEX(tk_FNOTES,MATCH(472,tk_FSEQ,0)),"")</f>
        <v/>
      </c>
    </row>
    <row r="478">
      <c r="A478" s="161">
        <f>IFERROR(""&amp;INDEX(tk_MARK,MATCH(473,tk_FSEQ,0)),"")</f>
        <v/>
      </c>
      <c r="B478" s="162">
        <f>IFERROR(INDEX(tk_QTY,MATCH(473,tk_FSEQ,0)),"")</f>
        <v/>
      </c>
      <c r="C478" s="162">
        <f>IFERROR(INDEX(tk_ROOMF,MATCH(473,tk_FSEQ,0))&amp;IF(INDEX(tk_ROOMT,MATCH(473,tk_FSEQ,0))="",""," → "&amp;INDEX(tk_ROOMT,MATCH(473,tk_FSEQ,0))),"")</f>
        <v/>
      </c>
      <c r="D478" s="162">
        <f>IFERROR(""&amp;INDEX(tk_SIZE,MATCH(473,tk_FSEQ,0)),"")</f>
        <v/>
      </c>
      <c r="E478" s="162">
        <f>IFERROR(""&amp;INDEX(tk_RATING,MATCH(473,tk_FSEQ,0)),"")</f>
        <v/>
      </c>
      <c r="F478" s="162">
        <f>IFERROR(TEXT(INDEX(tk_OAW,MATCH(473,tk_FSEQ,0)),"0.000")&amp;" x "&amp;TEXT(INDEX(tk_OAH,MATCH(473,tk_FSEQ,0)),"0.000"),"")</f>
        <v/>
      </c>
      <c r="G478" s="162">
        <f>IFERROR(IF(INDEX(tk_ANCHT,MATCH(473,tk_FSEQ,0))="","",INDEX(tk_ANCHT,MATCH(473,tk_FSEQ,0))&amp;" + "&amp;INDEX(tk_BASEA,MATCH(473,tk_FSEQ,0))),"")</f>
        <v/>
      </c>
      <c r="H478" s="181">
        <f>IFERROR(""&amp;INDEX(tk_FLINE,MATCH(473,tk_FSEQ,0)),"")</f>
        <v/>
      </c>
      <c r="I478" s="181">
        <f>IFERROR(""&amp;INDEX(tk_LOCTXT,MATCH(473,tk_FSEQ,0)),"")</f>
        <v/>
      </c>
      <c r="J478" s="162">
        <f>IFERROR(""&amp;INDEX(tk_FNOTES,MATCH(473,tk_FSEQ,0)),"")</f>
        <v/>
      </c>
    </row>
    <row r="479">
      <c r="A479" s="161">
        <f>IFERROR(""&amp;INDEX(tk_MARK,MATCH(474,tk_FSEQ,0)),"")</f>
        <v/>
      </c>
      <c r="B479" s="162">
        <f>IFERROR(INDEX(tk_QTY,MATCH(474,tk_FSEQ,0)),"")</f>
        <v/>
      </c>
      <c r="C479" s="162">
        <f>IFERROR(INDEX(tk_ROOMF,MATCH(474,tk_FSEQ,0))&amp;IF(INDEX(tk_ROOMT,MATCH(474,tk_FSEQ,0))="",""," → "&amp;INDEX(tk_ROOMT,MATCH(474,tk_FSEQ,0))),"")</f>
        <v/>
      </c>
      <c r="D479" s="162">
        <f>IFERROR(""&amp;INDEX(tk_SIZE,MATCH(474,tk_FSEQ,0)),"")</f>
        <v/>
      </c>
      <c r="E479" s="162">
        <f>IFERROR(""&amp;INDEX(tk_RATING,MATCH(474,tk_FSEQ,0)),"")</f>
        <v/>
      </c>
      <c r="F479" s="162">
        <f>IFERROR(TEXT(INDEX(tk_OAW,MATCH(474,tk_FSEQ,0)),"0.000")&amp;" x "&amp;TEXT(INDEX(tk_OAH,MATCH(474,tk_FSEQ,0)),"0.000"),"")</f>
        <v/>
      </c>
      <c r="G479" s="162">
        <f>IFERROR(IF(INDEX(tk_ANCHT,MATCH(474,tk_FSEQ,0))="","",INDEX(tk_ANCHT,MATCH(474,tk_FSEQ,0))&amp;" + "&amp;INDEX(tk_BASEA,MATCH(474,tk_FSEQ,0))),"")</f>
        <v/>
      </c>
      <c r="H479" s="181">
        <f>IFERROR(""&amp;INDEX(tk_FLINE,MATCH(474,tk_FSEQ,0)),"")</f>
        <v/>
      </c>
      <c r="I479" s="181">
        <f>IFERROR(""&amp;INDEX(tk_LOCTXT,MATCH(474,tk_FSEQ,0)),"")</f>
        <v/>
      </c>
      <c r="J479" s="162">
        <f>IFERROR(""&amp;INDEX(tk_FNOTES,MATCH(474,tk_FSEQ,0)),"")</f>
        <v/>
      </c>
    </row>
    <row r="480">
      <c r="A480" s="161">
        <f>IFERROR(""&amp;INDEX(tk_MARK,MATCH(475,tk_FSEQ,0)),"")</f>
        <v/>
      </c>
      <c r="B480" s="162">
        <f>IFERROR(INDEX(tk_QTY,MATCH(475,tk_FSEQ,0)),"")</f>
        <v/>
      </c>
      <c r="C480" s="162">
        <f>IFERROR(INDEX(tk_ROOMF,MATCH(475,tk_FSEQ,0))&amp;IF(INDEX(tk_ROOMT,MATCH(475,tk_FSEQ,0))="",""," → "&amp;INDEX(tk_ROOMT,MATCH(475,tk_FSEQ,0))),"")</f>
        <v/>
      </c>
      <c r="D480" s="162">
        <f>IFERROR(""&amp;INDEX(tk_SIZE,MATCH(475,tk_FSEQ,0)),"")</f>
        <v/>
      </c>
      <c r="E480" s="162">
        <f>IFERROR(""&amp;INDEX(tk_RATING,MATCH(475,tk_FSEQ,0)),"")</f>
        <v/>
      </c>
      <c r="F480" s="162">
        <f>IFERROR(TEXT(INDEX(tk_OAW,MATCH(475,tk_FSEQ,0)),"0.000")&amp;" x "&amp;TEXT(INDEX(tk_OAH,MATCH(475,tk_FSEQ,0)),"0.000"),"")</f>
        <v/>
      </c>
      <c r="G480" s="162">
        <f>IFERROR(IF(INDEX(tk_ANCHT,MATCH(475,tk_FSEQ,0))="","",INDEX(tk_ANCHT,MATCH(475,tk_FSEQ,0))&amp;" + "&amp;INDEX(tk_BASEA,MATCH(475,tk_FSEQ,0))),"")</f>
        <v/>
      </c>
      <c r="H480" s="181">
        <f>IFERROR(""&amp;INDEX(tk_FLINE,MATCH(475,tk_FSEQ,0)),"")</f>
        <v/>
      </c>
      <c r="I480" s="181">
        <f>IFERROR(""&amp;INDEX(tk_LOCTXT,MATCH(475,tk_FSEQ,0)),"")</f>
        <v/>
      </c>
      <c r="J480" s="162">
        <f>IFERROR(""&amp;INDEX(tk_FNOTES,MATCH(475,tk_FSEQ,0)),"")</f>
        <v/>
      </c>
    </row>
    <row r="481">
      <c r="A481" s="161">
        <f>IFERROR(""&amp;INDEX(tk_MARK,MATCH(476,tk_FSEQ,0)),"")</f>
        <v/>
      </c>
      <c r="B481" s="162">
        <f>IFERROR(INDEX(tk_QTY,MATCH(476,tk_FSEQ,0)),"")</f>
        <v/>
      </c>
      <c r="C481" s="162">
        <f>IFERROR(INDEX(tk_ROOMF,MATCH(476,tk_FSEQ,0))&amp;IF(INDEX(tk_ROOMT,MATCH(476,tk_FSEQ,0))="",""," → "&amp;INDEX(tk_ROOMT,MATCH(476,tk_FSEQ,0))),"")</f>
        <v/>
      </c>
      <c r="D481" s="162">
        <f>IFERROR(""&amp;INDEX(tk_SIZE,MATCH(476,tk_FSEQ,0)),"")</f>
        <v/>
      </c>
      <c r="E481" s="162">
        <f>IFERROR(""&amp;INDEX(tk_RATING,MATCH(476,tk_FSEQ,0)),"")</f>
        <v/>
      </c>
      <c r="F481" s="162">
        <f>IFERROR(TEXT(INDEX(tk_OAW,MATCH(476,tk_FSEQ,0)),"0.000")&amp;" x "&amp;TEXT(INDEX(tk_OAH,MATCH(476,tk_FSEQ,0)),"0.000"),"")</f>
        <v/>
      </c>
      <c r="G481" s="162">
        <f>IFERROR(IF(INDEX(tk_ANCHT,MATCH(476,tk_FSEQ,0))="","",INDEX(tk_ANCHT,MATCH(476,tk_FSEQ,0))&amp;" + "&amp;INDEX(tk_BASEA,MATCH(476,tk_FSEQ,0))),"")</f>
        <v/>
      </c>
      <c r="H481" s="181">
        <f>IFERROR(""&amp;INDEX(tk_FLINE,MATCH(476,tk_FSEQ,0)),"")</f>
        <v/>
      </c>
      <c r="I481" s="181">
        <f>IFERROR(""&amp;INDEX(tk_LOCTXT,MATCH(476,tk_FSEQ,0)),"")</f>
        <v/>
      </c>
      <c r="J481" s="162">
        <f>IFERROR(""&amp;INDEX(tk_FNOTES,MATCH(476,tk_FSEQ,0)),"")</f>
        <v/>
      </c>
    </row>
    <row r="482">
      <c r="A482" s="161">
        <f>IFERROR(""&amp;INDEX(tk_MARK,MATCH(477,tk_FSEQ,0)),"")</f>
        <v/>
      </c>
      <c r="B482" s="162">
        <f>IFERROR(INDEX(tk_QTY,MATCH(477,tk_FSEQ,0)),"")</f>
        <v/>
      </c>
      <c r="C482" s="162">
        <f>IFERROR(INDEX(tk_ROOMF,MATCH(477,tk_FSEQ,0))&amp;IF(INDEX(tk_ROOMT,MATCH(477,tk_FSEQ,0))="",""," → "&amp;INDEX(tk_ROOMT,MATCH(477,tk_FSEQ,0))),"")</f>
        <v/>
      </c>
      <c r="D482" s="162">
        <f>IFERROR(""&amp;INDEX(tk_SIZE,MATCH(477,tk_FSEQ,0)),"")</f>
        <v/>
      </c>
      <c r="E482" s="162">
        <f>IFERROR(""&amp;INDEX(tk_RATING,MATCH(477,tk_FSEQ,0)),"")</f>
        <v/>
      </c>
      <c r="F482" s="162">
        <f>IFERROR(TEXT(INDEX(tk_OAW,MATCH(477,tk_FSEQ,0)),"0.000")&amp;" x "&amp;TEXT(INDEX(tk_OAH,MATCH(477,tk_FSEQ,0)),"0.000"),"")</f>
        <v/>
      </c>
      <c r="G482" s="162">
        <f>IFERROR(IF(INDEX(tk_ANCHT,MATCH(477,tk_FSEQ,0))="","",INDEX(tk_ANCHT,MATCH(477,tk_FSEQ,0))&amp;" + "&amp;INDEX(tk_BASEA,MATCH(477,tk_FSEQ,0))),"")</f>
        <v/>
      </c>
      <c r="H482" s="181">
        <f>IFERROR(""&amp;INDEX(tk_FLINE,MATCH(477,tk_FSEQ,0)),"")</f>
        <v/>
      </c>
      <c r="I482" s="181">
        <f>IFERROR(""&amp;INDEX(tk_LOCTXT,MATCH(477,tk_FSEQ,0)),"")</f>
        <v/>
      </c>
      <c r="J482" s="162">
        <f>IFERROR(""&amp;INDEX(tk_FNOTES,MATCH(477,tk_FSEQ,0)),"")</f>
        <v/>
      </c>
    </row>
    <row r="483">
      <c r="A483" s="161">
        <f>IFERROR(""&amp;INDEX(tk_MARK,MATCH(478,tk_FSEQ,0)),"")</f>
        <v/>
      </c>
      <c r="B483" s="162">
        <f>IFERROR(INDEX(tk_QTY,MATCH(478,tk_FSEQ,0)),"")</f>
        <v/>
      </c>
      <c r="C483" s="162">
        <f>IFERROR(INDEX(tk_ROOMF,MATCH(478,tk_FSEQ,0))&amp;IF(INDEX(tk_ROOMT,MATCH(478,tk_FSEQ,0))="",""," → "&amp;INDEX(tk_ROOMT,MATCH(478,tk_FSEQ,0))),"")</f>
        <v/>
      </c>
      <c r="D483" s="162">
        <f>IFERROR(""&amp;INDEX(tk_SIZE,MATCH(478,tk_FSEQ,0)),"")</f>
        <v/>
      </c>
      <c r="E483" s="162">
        <f>IFERROR(""&amp;INDEX(tk_RATING,MATCH(478,tk_FSEQ,0)),"")</f>
        <v/>
      </c>
      <c r="F483" s="162">
        <f>IFERROR(TEXT(INDEX(tk_OAW,MATCH(478,tk_FSEQ,0)),"0.000")&amp;" x "&amp;TEXT(INDEX(tk_OAH,MATCH(478,tk_FSEQ,0)),"0.000"),"")</f>
        <v/>
      </c>
      <c r="G483" s="162">
        <f>IFERROR(IF(INDEX(tk_ANCHT,MATCH(478,tk_FSEQ,0))="","",INDEX(tk_ANCHT,MATCH(478,tk_FSEQ,0))&amp;" + "&amp;INDEX(tk_BASEA,MATCH(478,tk_FSEQ,0))),"")</f>
        <v/>
      </c>
      <c r="H483" s="181">
        <f>IFERROR(""&amp;INDEX(tk_FLINE,MATCH(478,tk_FSEQ,0)),"")</f>
        <v/>
      </c>
      <c r="I483" s="181">
        <f>IFERROR(""&amp;INDEX(tk_LOCTXT,MATCH(478,tk_FSEQ,0)),"")</f>
        <v/>
      </c>
      <c r="J483" s="162">
        <f>IFERROR(""&amp;INDEX(tk_FNOTES,MATCH(478,tk_FSEQ,0)),"")</f>
        <v/>
      </c>
    </row>
    <row r="484">
      <c r="A484" s="161">
        <f>IFERROR(""&amp;INDEX(tk_MARK,MATCH(479,tk_FSEQ,0)),"")</f>
        <v/>
      </c>
      <c r="B484" s="162">
        <f>IFERROR(INDEX(tk_QTY,MATCH(479,tk_FSEQ,0)),"")</f>
        <v/>
      </c>
      <c r="C484" s="162">
        <f>IFERROR(INDEX(tk_ROOMF,MATCH(479,tk_FSEQ,0))&amp;IF(INDEX(tk_ROOMT,MATCH(479,tk_FSEQ,0))="",""," → "&amp;INDEX(tk_ROOMT,MATCH(479,tk_FSEQ,0))),"")</f>
        <v/>
      </c>
      <c r="D484" s="162">
        <f>IFERROR(""&amp;INDEX(tk_SIZE,MATCH(479,tk_FSEQ,0)),"")</f>
        <v/>
      </c>
      <c r="E484" s="162">
        <f>IFERROR(""&amp;INDEX(tk_RATING,MATCH(479,tk_FSEQ,0)),"")</f>
        <v/>
      </c>
      <c r="F484" s="162">
        <f>IFERROR(TEXT(INDEX(tk_OAW,MATCH(479,tk_FSEQ,0)),"0.000")&amp;" x "&amp;TEXT(INDEX(tk_OAH,MATCH(479,tk_FSEQ,0)),"0.000"),"")</f>
        <v/>
      </c>
      <c r="G484" s="162">
        <f>IFERROR(IF(INDEX(tk_ANCHT,MATCH(479,tk_FSEQ,0))="","",INDEX(tk_ANCHT,MATCH(479,tk_FSEQ,0))&amp;" + "&amp;INDEX(tk_BASEA,MATCH(479,tk_FSEQ,0))),"")</f>
        <v/>
      </c>
      <c r="H484" s="181">
        <f>IFERROR(""&amp;INDEX(tk_FLINE,MATCH(479,tk_FSEQ,0)),"")</f>
        <v/>
      </c>
      <c r="I484" s="181">
        <f>IFERROR(""&amp;INDEX(tk_LOCTXT,MATCH(479,tk_FSEQ,0)),"")</f>
        <v/>
      </c>
      <c r="J484" s="162">
        <f>IFERROR(""&amp;INDEX(tk_FNOTES,MATCH(479,tk_FSEQ,0)),"")</f>
        <v/>
      </c>
    </row>
    <row r="485">
      <c r="A485" s="161">
        <f>IFERROR(""&amp;INDEX(tk_MARK,MATCH(480,tk_FSEQ,0)),"")</f>
        <v/>
      </c>
      <c r="B485" s="162">
        <f>IFERROR(INDEX(tk_QTY,MATCH(480,tk_FSEQ,0)),"")</f>
        <v/>
      </c>
      <c r="C485" s="162">
        <f>IFERROR(INDEX(tk_ROOMF,MATCH(480,tk_FSEQ,0))&amp;IF(INDEX(tk_ROOMT,MATCH(480,tk_FSEQ,0))="",""," → "&amp;INDEX(tk_ROOMT,MATCH(480,tk_FSEQ,0))),"")</f>
        <v/>
      </c>
      <c r="D485" s="162">
        <f>IFERROR(""&amp;INDEX(tk_SIZE,MATCH(480,tk_FSEQ,0)),"")</f>
        <v/>
      </c>
      <c r="E485" s="162">
        <f>IFERROR(""&amp;INDEX(tk_RATING,MATCH(480,tk_FSEQ,0)),"")</f>
        <v/>
      </c>
      <c r="F485" s="162">
        <f>IFERROR(TEXT(INDEX(tk_OAW,MATCH(480,tk_FSEQ,0)),"0.000")&amp;" x "&amp;TEXT(INDEX(tk_OAH,MATCH(480,tk_FSEQ,0)),"0.000"),"")</f>
        <v/>
      </c>
      <c r="G485" s="162">
        <f>IFERROR(IF(INDEX(tk_ANCHT,MATCH(480,tk_FSEQ,0))="","",INDEX(tk_ANCHT,MATCH(480,tk_FSEQ,0))&amp;" + "&amp;INDEX(tk_BASEA,MATCH(480,tk_FSEQ,0))),"")</f>
        <v/>
      </c>
      <c r="H485" s="181">
        <f>IFERROR(""&amp;INDEX(tk_FLINE,MATCH(480,tk_FSEQ,0)),"")</f>
        <v/>
      </c>
      <c r="I485" s="181">
        <f>IFERROR(""&amp;INDEX(tk_LOCTXT,MATCH(480,tk_FSEQ,0)),"")</f>
        <v/>
      </c>
      <c r="J485" s="162">
        <f>IFERROR(""&amp;INDEX(tk_FNOTES,MATCH(480,tk_FSEQ,0)),"")</f>
        <v/>
      </c>
    </row>
    <row r="486">
      <c r="A486" s="161">
        <f>IFERROR(""&amp;INDEX(tk_MARK,MATCH(481,tk_FSEQ,0)),"")</f>
        <v/>
      </c>
      <c r="B486" s="162">
        <f>IFERROR(INDEX(tk_QTY,MATCH(481,tk_FSEQ,0)),"")</f>
        <v/>
      </c>
      <c r="C486" s="162">
        <f>IFERROR(INDEX(tk_ROOMF,MATCH(481,tk_FSEQ,0))&amp;IF(INDEX(tk_ROOMT,MATCH(481,tk_FSEQ,0))="",""," → "&amp;INDEX(tk_ROOMT,MATCH(481,tk_FSEQ,0))),"")</f>
        <v/>
      </c>
      <c r="D486" s="162">
        <f>IFERROR(""&amp;INDEX(tk_SIZE,MATCH(481,tk_FSEQ,0)),"")</f>
        <v/>
      </c>
      <c r="E486" s="162">
        <f>IFERROR(""&amp;INDEX(tk_RATING,MATCH(481,tk_FSEQ,0)),"")</f>
        <v/>
      </c>
      <c r="F486" s="162">
        <f>IFERROR(TEXT(INDEX(tk_OAW,MATCH(481,tk_FSEQ,0)),"0.000")&amp;" x "&amp;TEXT(INDEX(tk_OAH,MATCH(481,tk_FSEQ,0)),"0.000"),"")</f>
        <v/>
      </c>
      <c r="G486" s="162">
        <f>IFERROR(IF(INDEX(tk_ANCHT,MATCH(481,tk_FSEQ,0))="","",INDEX(tk_ANCHT,MATCH(481,tk_FSEQ,0))&amp;" + "&amp;INDEX(tk_BASEA,MATCH(481,tk_FSEQ,0))),"")</f>
        <v/>
      </c>
      <c r="H486" s="181">
        <f>IFERROR(""&amp;INDEX(tk_FLINE,MATCH(481,tk_FSEQ,0)),"")</f>
        <v/>
      </c>
      <c r="I486" s="181">
        <f>IFERROR(""&amp;INDEX(tk_LOCTXT,MATCH(481,tk_FSEQ,0)),"")</f>
        <v/>
      </c>
      <c r="J486" s="162">
        <f>IFERROR(""&amp;INDEX(tk_FNOTES,MATCH(481,tk_FSEQ,0)),"")</f>
        <v/>
      </c>
    </row>
    <row r="487">
      <c r="A487" s="161">
        <f>IFERROR(""&amp;INDEX(tk_MARK,MATCH(482,tk_FSEQ,0)),"")</f>
        <v/>
      </c>
      <c r="B487" s="162">
        <f>IFERROR(INDEX(tk_QTY,MATCH(482,tk_FSEQ,0)),"")</f>
        <v/>
      </c>
      <c r="C487" s="162">
        <f>IFERROR(INDEX(tk_ROOMF,MATCH(482,tk_FSEQ,0))&amp;IF(INDEX(tk_ROOMT,MATCH(482,tk_FSEQ,0))="",""," → "&amp;INDEX(tk_ROOMT,MATCH(482,tk_FSEQ,0))),"")</f>
        <v/>
      </c>
      <c r="D487" s="162">
        <f>IFERROR(""&amp;INDEX(tk_SIZE,MATCH(482,tk_FSEQ,0)),"")</f>
        <v/>
      </c>
      <c r="E487" s="162">
        <f>IFERROR(""&amp;INDEX(tk_RATING,MATCH(482,tk_FSEQ,0)),"")</f>
        <v/>
      </c>
      <c r="F487" s="162">
        <f>IFERROR(TEXT(INDEX(tk_OAW,MATCH(482,tk_FSEQ,0)),"0.000")&amp;" x "&amp;TEXT(INDEX(tk_OAH,MATCH(482,tk_FSEQ,0)),"0.000"),"")</f>
        <v/>
      </c>
      <c r="G487" s="162">
        <f>IFERROR(IF(INDEX(tk_ANCHT,MATCH(482,tk_FSEQ,0))="","",INDEX(tk_ANCHT,MATCH(482,tk_FSEQ,0))&amp;" + "&amp;INDEX(tk_BASEA,MATCH(482,tk_FSEQ,0))),"")</f>
        <v/>
      </c>
      <c r="H487" s="181">
        <f>IFERROR(""&amp;INDEX(tk_FLINE,MATCH(482,tk_FSEQ,0)),"")</f>
        <v/>
      </c>
      <c r="I487" s="181">
        <f>IFERROR(""&amp;INDEX(tk_LOCTXT,MATCH(482,tk_FSEQ,0)),"")</f>
        <v/>
      </c>
      <c r="J487" s="162">
        <f>IFERROR(""&amp;INDEX(tk_FNOTES,MATCH(482,tk_FSEQ,0)),"")</f>
        <v/>
      </c>
    </row>
    <row r="488">
      <c r="A488" s="161">
        <f>IFERROR(""&amp;INDEX(tk_MARK,MATCH(483,tk_FSEQ,0)),"")</f>
        <v/>
      </c>
      <c r="B488" s="162">
        <f>IFERROR(INDEX(tk_QTY,MATCH(483,tk_FSEQ,0)),"")</f>
        <v/>
      </c>
      <c r="C488" s="162">
        <f>IFERROR(INDEX(tk_ROOMF,MATCH(483,tk_FSEQ,0))&amp;IF(INDEX(tk_ROOMT,MATCH(483,tk_FSEQ,0))="",""," → "&amp;INDEX(tk_ROOMT,MATCH(483,tk_FSEQ,0))),"")</f>
        <v/>
      </c>
      <c r="D488" s="162">
        <f>IFERROR(""&amp;INDEX(tk_SIZE,MATCH(483,tk_FSEQ,0)),"")</f>
        <v/>
      </c>
      <c r="E488" s="162">
        <f>IFERROR(""&amp;INDEX(tk_RATING,MATCH(483,tk_FSEQ,0)),"")</f>
        <v/>
      </c>
      <c r="F488" s="162">
        <f>IFERROR(TEXT(INDEX(tk_OAW,MATCH(483,tk_FSEQ,0)),"0.000")&amp;" x "&amp;TEXT(INDEX(tk_OAH,MATCH(483,tk_FSEQ,0)),"0.000"),"")</f>
        <v/>
      </c>
      <c r="G488" s="162">
        <f>IFERROR(IF(INDEX(tk_ANCHT,MATCH(483,tk_FSEQ,0))="","",INDEX(tk_ANCHT,MATCH(483,tk_FSEQ,0))&amp;" + "&amp;INDEX(tk_BASEA,MATCH(483,tk_FSEQ,0))),"")</f>
        <v/>
      </c>
      <c r="H488" s="181">
        <f>IFERROR(""&amp;INDEX(tk_FLINE,MATCH(483,tk_FSEQ,0)),"")</f>
        <v/>
      </c>
      <c r="I488" s="181">
        <f>IFERROR(""&amp;INDEX(tk_LOCTXT,MATCH(483,tk_FSEQ,0)),"")</f>
        <v/>
      </c>
      <c r="J488" s="162">
        <f>IFERROR(""&amp;INDEX(tk_FNOTES,MATCH(483,tk_FSEQ,0)),"")</f>
        <v/>
      </c>
    </row>
    <row r="489">
      <c r="A489" s="161">
        <f>IFERROR(""&amp;INDEX(tk_MARK,MATCH(484,tk_FSEQ,0)),"")</f>
        <v/>
      </c>
      <c r="B489" s="162">
        <f>IFERROR(INDEX(tk_QTY,MATCH(484,tk_FSEQ,0)),"")</f>
        <v/>
      </c>
      <c r="C489" s="162">
        <f>IFERROR(INDEX(tk_ROOMF,MATCH(484,tk_FSEQ,0))&amp;IF(INDEX(tk_ROOMT,MATCH(484,tk_FSEQ,0))="",""," → "&amp;INDEX(tk_ROOMT,MATCH(484,tk_FSEQ,0))),"")</f>
        <v/>
      </c>
      <c r="D489" s="162">
        <f>IFERROR(""&amp;INDEX(tk_SIZE,MATCH(484,tk_FSEQ,0)),"")</f>
        <v/>
      </c>
      <c r="E489" s="162">
        <f>IFERROR(""&amp;INDEX(tk_RATING,MATCH(484,tk_FSEQ,0)),"")</f>
        <v/>
      </c>
      <c r="F489" s="162">
        <f>IFERROR(TEXT(INDEX(tk_OAW,MATCH(484,tk_FSEQ,0)),"0.000")&amp;" x "&amp;TEXT(INDEX(tk_OAH,MATCH(484,tk_FSEQ,0)),"0.000"),"")</f>
        <v/>
      </c>
      <c r="G489" s="162">
        <f>IFERROR(IF(INDEX(tk_ANCHT,MATCH(484,tk_FSEQ,0))="","",INDEX(tk_ANCHT,MATCH(484,tk_FSEQ,0))&amp;" + "&amp;INDEX(tk_BASEA,MATCH(484,tk_FSEQ,0))),"")</f>
        <v/>
      </c>
      <c r="H489" s="181">
        <f>IFERROR(""&amp;INDEX(tk_FLINE,MATCH(484,tk_FSEQ,0)),"")</f>
        <v/>
      </c>
      <c r="I489" s="181">
        <f>IFERROR(""&amp;INDEX(tk_LOCTXT,MATCH(484,tk_FSEQ,0)),"")</f>
        <v/>
      </c>
      <c r="J489" s="162">
        <f>IFERROR(""&amp;INDEX(tk_FNOTES,MATCH(484,tk_FSEQ,0)),"")</f>
        <v/>
      </c>
    </row>
    <row r="490">
      <c r="A490" s="161">
        <f>IFERROR(""&amp;INDEX(tk_MARK,MATCH(485,tk_FSEQ,0)),"")</f>
        <v/>
      </c>
      <c r="B490" s="162">
        <f>IFERROR(INDEX(tk_QTY,MATCH(485,tk_FSEQ,0)),"")</f>
        <v/>
      </c>
      <c r="C490" s="162">
        <f>IFERROR(INDEX(tk_ROOMF,MATCH(485,tk_FSEQ,0))&amp;IF(INDEX(tk_ROOMT,MATCH(485,tk_FSEQ,0))="",""," → "&amp;INDEX(tk_ROOMT,MATCH(485,tk_FSEQ,0))),"")</f>
        <v/>
      </c>
      <c r="D490" s="162">
        <f>IFERROR(""&amp;INDEX(tk_SIZE,MATCH(485,tk_FSEQ,0)),"")</f>
        <v/>
      </c>
      <c r="E490" s="162">
        <f>IFERROR(""&amp;INDEX(tk_RATING,MATCH(485,tk_FSEQ,0)),"")</f>
        <v/>
      </c>
      <c r="F490" s="162">
        <f>IFERROR(TEXT(INDEX(tk_OAW,MATCH(485,tk_FSEQ,0)),"0.000")&amp;" x "&amp;TEXT(INDEX(tk_OAH,MATCH(485,tk_FSEQ,0)),"0.000"),"")</f>
        <v/>
      </c>
      <c r="G490" s="162">
        <f>IFERROR(IF(INDEX(tk_ANCHT,MATCH(485,tk_FSEQ,0))="","",INDEX(tk_ANCHT,MATCH(485,tk_FSEQ,0))&amp;" + "&amp;INDEX(tk_BASEA,MATCH(485,tk_FSEQ,0))),"")</f>
        <v/>
      </c>
      <c r="H490" s="181">
        <f>IFERROR(""&amp;INDEX(tk_FLINE,MATCH(485,tk_FSEQ,0)),"")</f>
        <v/>
      </c>
      <c r="I490" s="181">
        <f>IFERROR(""&amp;INDEX(tk_LOCTXT,MATCH(485,tk_FSEQ,0)),"")</f>
        <v/>
      </c>
      <c r="J490" s="162">
        <f>IFERROR(""&amp;INDEX(tk_FNOTES,MATCH(485,tk_FSEQ,0)),"")</f>
        <v/>
      </c>
    </row>
    <row r="491">
      <c r="A491" s="161">
        <f>IFERROR(""&amp;INDEX(tk_MARK,MATCH(486,tk_FSEQ,0)),"")</f>
        <v/>
      </c>
      <c r="B491" s="162">
        <f>IFERROR(INDEX(tk_QTY,MATCH(486,tk_FSEQ,0)),"")</f>
        <v/>
      </c>
      <c r="C491" s="162">
        <f>IFERROR(INDEX(tk_ROOMF,MATCH(486,tk_FSEQ,0))&amp;IF(INDEX(tk_ROOMT,MATCH(486,tk_FSEQ,0))="",""," → "&amp;INDEX(tk_ROOMT,MATCH(486,tk_FSEQ,0))),"")</f>
        <v/>
      </c>
      <c r="D491" s="162">
        <f>IFERROR(""&amp;INDEX(tk_SIZE,MATCH(486,tk_FSEQ,0)),"")</f>
        <v/>
      </c>
      <c r="E491" s="162">
        <f>IFERROR(""&amp;INDEX(tk_RATING,MATCH(486,tk_FSEQ,0)),"")</f>
        <v/>
      </c>
      <c r="F491" s="162">
        <f>IFERROR(TEXT(INDEX(tk_OAW,MATCH(486,tk_FSEQ,0)),"0.000")&amp;" x "&amp;TEXT(INDEX(tk_OAH,MATCH(486,tk_FSEQ,0)),"0.000"),"")</f>
        <v/>
      </c>
      <c r="G491" s="162">
        <f>IFERROR(IF(INDEX(tk_ANCHT,MATCH(486,tk_FSEQ,0))="","",INDEX(tk_ANCHT,MATCH(486,tk_FSEQ,0))&amp;" + "&amp;INDEX(tk_BASEA,MATCH(486,tk_FSEQ,0))),"")</f>
        <v/>
      </c>
      <c r="H491" s="181">
        <f>IFERROR(""&amp;INDEX(tk_FLINE,MATCH(486,tk_FSEQ,0)),"")</f>
        <v/>
      </c>
      <c r="I491" s="181">
        <f>IFERROR(""&amp;INDEX(tk_LOCTXT,MATCH(486,tk_FSEQ,0)),"")</f>
        <v/>
      </c>
      <c r="J491" s="162">
        <f>IFERROR(""&amp;INDEX(tk_FNOTES,MATCH(486,tk_FSEQ,0)),"")</f>
        <v/>
      </c>
    </row>
    <row r="492">
      <c r="A492" s="161">
        <f>IFERROR(""&amp;INDEX(tk_MARK,MATCH(487,tk_FSEQ,0)),"")</f>
        <v/>
      </c>
      <c r="B492" s="162">
        <f>IFERROR(INDEX(tk_QTY,MATCH(487,tk_FSEQ,0)),"")</f>
        <v/>
      </c>
      <c r="C492" s="162">
        <f>IFERROR(INDEX(tk_ROOMF,MATCH(487,tk_FSEQ,0))&amp;IF(INDEX(tk_ROOMT,MATCH(487,tk_FSEQ,0))="",""," → "&amp;INDEX(tk_ROOMT,MATCH(487,tk_FSEQ,0))),"")</f>
        <v/>
      </c>
      <c r="D492" s="162">
        <f>IFERROR(""&amp;INDEX(tk_SIZE,MATCH(487,tk_FSEQ,0)),"")</f>
        <v/>
      </c>
      <c r="E492" s="162">
        <f>IFERROR(""&amp;INDEX(tk_RATING,MATCH(487,tk_FSEQ,0)),"")</f>
        <v/>
      </c>
      <c r="F492" s="162">
        <f>IFERROR(TEXT(INDEX(tk_OAW,MATCH(487,tk_FSEQ,0)),"0.000")&amp;" x "&amp;TEXT(INDEX(tk_OAH,MATCH(487,tk_FSEQ,0)),"0.000"),"")</f>
        <v/>
      </c>
      <c r="G492" s="162">
        <f>IFERROR(IF(INDEX(tk_ANCHT,MATCH(487,tk_FSEQ,0))="","",INDEX(tk_ANCHT,MATCH(487,tk_FSEQ,0))&amp;" + "&amp;INDEX(tk_BASEA,MATCH(487,tk_FSEQ,0))),"")</f>
        <v/>
      </c>
      <c r="H492" s="181">
        <f>IFERROR(""&amp;INDEX(tk_FLINE,MATCH(487,tk_FSEQ,0)),"")</f>
        <v/>
      </c>
      <c r="I492" s="181">
        <f>IFERROR(""&amp;INDEX(tk_LOCTXT,MATCH(487,tk_FSEQ,0)),"")</f>
        <v/>
      </c>
      <c r="J492" s="162">
        <f>IFERROR(""&amp;INDEX(tk_FNOTES,MATCH(487,tk_FSEQ,0)),"")</f>
        <v/>
      </c>
    </row>
    <row r="493">
      <c r="A493" s="161">
        <f>IFERROR(""&amp;INDEX(tk_MARK,MATCH(488,tk_FSEQ,0)),"")</f>
        <v/>
      </c>
      <c r="B493" s="162">
        <f>IFERROR(INDEX(tk_QTY,MATCH(488,tk_FSEQ,0)),"")</f>
        <v/>
      </c>
      <c r="C493" s="162">
        <f>IFERROR(INDEX(tk_ROOMF,MATCH(488,tk_FSEQ,0))&amp;IF(INDEX(tk_ROOMT,MATCH(488,tk_FSEQ,0))="",""," → "&amp;INDEX(tk_ROOMT,MATCH(488,tk_FSEQ,0))),"")</f>
        <v/>
      </c>
      <c r="D493" s="162">
        <f>IFERROR(""&amp;INDEX(tk_SIZE,MATCH(488,tk_FSEQ,0)),"")</f>
        <v/>
      </c>
      <c r="E493" s="162">
        <f>IFERROR(""&amp;INDEX(tk_RATING,MATCH(488,tk_FSEQ,0)),"")</f>
        <v/>
      </c>
      <c r="F493" s="162">
        <f>IFERROR(TEXT(INDEX(tk_OAW,MATCH(488,tk_FSEQ,0)),"0.000")&amp;" x "&amp;TEXT(INDEX(tk_OAH,MATCH(488,tk_FSEQ,0)),"0.000"),"")</f>
        <v/>
      </c>
      <c r="G493" s="162">
        <f>IFERROR(IF(INDEX(tk_ANCHT,MATCH(488,tk_FSEQ,0))="","",INDEX(tk_ANCHT,MATCH(488,tk_FSEQ,0))&amp;" + "&amp;INDEX(tk_BASEA,MATCH(488,tk_FSEQ,0))),"")</f>
        <v/>
      </c>
      <c r="H493" s="181">
        <f>IFERROR(""&amp;INDEX(tk_FLINE,MATCH(488,tk_FSEQ,0)),"")</f>
        <v/>
      </c>
      <c r="I493" s="181">
        <f>IFERROR(""&amp;INDEX(tk_LOCTXT,MATCH(488,tk_FSEQ,0)),"")</f>
        <v/>
      </c>
      <c r="J493" s="162">
        <f>IFERROR(""&amp;INDEX(tk_FNOTES,MATCH(488,tk_FSEQ,0)),"")</f>
        <v/>
      </c>
    </row>
    <row r="494">
      <c r="A494" s="161">
        <f>IFERROR(""&amp;INDEX(tk_MARK,MATCH(489,tk_FSEQ,0)),"")</f>
        <v/>
      </c>
      <c r="B494" s="162">
        <f>IFERROR(INDEX(tk_QTY,MATCH(489,tk_FSEQ,0)),"")</f>
        <v/>
      </c>
      <c r="C494" s="162">
        <f>IFERROR(INDEX(tk_ROOMF,MATCH(489,tk_FSEQ,0))&amp;IF(INDEX(tk_ROOMT,MATCH(489,tk_FSEQ,0))="",""," → "&amp;INDEX(tk_ROOMT,MATCH(489,tk_FSEQ,0))),"")</f>
        <v/>
      </c>
      <c r="D494" s="162">
        <f>IFERROR(""&amp;INDEX(tk_SIZE,MATCH(489,tk_FSEQ,0)),"")</f>
        <v/>
      </c>
      <c r="E494" s="162">
        <f>IFERROR(""&amp;INDEX(tk_RATING,MATCH(489,tk_FSEQ,0)),"")</f>
        <v/>
      </c>
      <c r="F494" s="162">
        <f>IFERROR(TEXT(INDEX(tk_OAW,MATCH(489,tk_FSEQ,0)),"0.000")&amp;" x "&amp;TEXT(INDEX(tk_OAH,MATCH(489,tk_FSEQ,0)),"0.000"),"")</f>
        <v/>
      </c>
      <c r="G494" s="162">
        <f>IFERROR(IF(INDEX(tk_ANCHT,MATCH(489,tk_FSEQ,0))="","",INDEX(tk_ANCHT,MATCH(489,tk_FSEQ,0))&amp;" + "&amp;INDEX(tk_BASEA,MATCH(489,tk_FSEQ,0))),"")</f>
        <v/>
      </c>
      <c r="H494" s="181">
        <f>IFERROR(""&amp;INDEX(tk_FLINE,MATCH(489,tk_FSEQ,0)),"")</f>
        <v/>
      </c>
      <c r="I494" s="181">
        <f>IFERROR(""&amp;INDEX(tk_LOCTXT,MATCH(489,tk_FSEQ,0)),"")</f>
        <v/>
      </c>
      <c r="J494" s="162">
        <f>IFERROR(""&amp;INDEX(tk_FNOTES,MATCH(489,tk_FSEQ,0)),"")</f>
        <v/>
      </c>
    </row>
    <row r="495">
      <c r="A495" s="161">
        <f>IFERROR(""&amp;INDEX(tk_MARK,MATCH(490,tk_FSEQ,0)),"")</f>
        <v/>
      </c>
      <c r="B495" s="162">
        <f>IFERROR(INDEX(tk_QTY,MATCH(490,tk_FSEQ,0)),"")</f>
        <v/>
      </c>
      <c r="C495" s="162">
        <f>IFERROR(INDEX(tk_ROOMF,MATCH(490,tk_FSEQ,0))&amp;IF(INDEX(tk_ROOMT,MATCH(490,tk_FSEQ,0))="",""," → "&amp;INDEX(tk_ROOMT,MATCH(490,tk_FSEQ,0))),"")</f>
        <v/>
      </c>
      <c r="D495" s="162">
        <f>IFERROR(""&amp;INDEX(tk_SIZE,MATCH(490,tk_FSEQ,0)),"")</f>
        <v/>
      </c>
      <c r="E495" s="162">
        <f>IFERROR(""&amp;INDEX(tk_RATING,MATCH(490,tk_FSEQ,0)),"")</f>
        <v/>
      </c>
      <c r="F495" s="162">
        <f>IFERROR(TEXT(INDEX(tk_OAW,MATCH(490,tk_FSEQ,0)),"0.000")&amp;" x "&amp;TEXT(INDEX(tk_OAH,MATCH(490,tk_FSEQ,0)),"0.000"),"")</f>
        <v/>
      </c>
      <c r="G495" s="162">
        <f>IFERROR(IF(INDEX(tk_ANCHT,MATCH(490,tk_FSEQ,0))="","",INDEX(tk_ANCHT,MATCH(490,tk_FSEQ,0))&amp;" + "&amp;INDEX(tk_BASEA,MATCH(490,tk_FSEQ,0))),"")</f>
        <v/>
      </c>
      <c r="H495" s="181">
        <f>IFERROR(""&amp;INDEX(tk_FLINE,MATCH(490,tk_FSEQ,0)),"")</f>
        <v/>
      </c>
      <c r="I495" s="181">
        <f>IFERROR(""&amp;INDEX(tk_LOCTXT,MATCH(490,tk_FSEQ,0)),"")</f>
        <v/>
      </c>
      <c r="J495" s="162">
        <f>IFERROR(""&amp;INDEX(tk_FNOTES,MATCH(490,tk_FSEQ,0)),"")</f>
        <v/>
      </c>
    </row>
    <row r="496">
      <c r="A496" s="161">
        <f>IFERROR(""&amp;INDEX(tk_MARK,MATCH(491,tk_FSEQ,0)),"")</f>
        <v/>
      </c>
      <c r="B496" s="162">
        <f>IFERROR(INDEX(tk_QTY,MATCH(491,tk_FSEQ,0)),"")</f>
        <v/>
      </c>
      <c r="C496" s="162">
        <f>IFERROR(INDEX(tk_ROOMF,MATCH(491,tk_FSEQ,0))&amp;IF(INDEX(tk_ROOMT,MATCH(491,tk_FSEQ,0))="",""," → "&amp;INDEX(tk_ROOMT,MATCH(491,tk_FSEQ,0))),"")</f>
        <v/>
      </c>
      <c r="D496" s="162">
        <f>IFERROR(""&amp;INDEX(tk_SIZE,MATCH(491,tk_FSEQ,0)),"")</f>
        <v/>
      </c>
      <c r="E496" s="162">
        <f>IFERROR(""&amp;INDEX(tk_RATING,MATCH(491,tk_FSEQ,0)),"")</f>
        <v/>
      </c>
      <c r="F496" s="162">
        <f>IFERROR(TEXT(INDEX(tk_OAW,MATCH(491,tk_FSEQ,0)),"0.000")&amp;" x "&amp;TEXT(INDEX(tk_OAH,MATCH(491,tk_FSEQ,0)),"0.000"),"")</f>
        <v/>
      </c>
      <c r="G496" s="162">
        <f>IFERROR(IF(INDEX(tk_ANCHT,MATCH(491,tk_FSEQ,0))="","",INDEX(tk_ANCHT,MATCH(491,tk_FSEQ,0))&amp;" + "&amp;INDEX(tk_BASEA,MATCH(491,tk_FSEQ,0))),"")</f>
        <v/>
      </c>
      <c r="H496" s="181">
        <f>IFERROR(""&amp;INDEX(tk_FLINE,MATCH(491,tk_FSEQ,0)),"")</f>
        <v/>
      </c>
      <c r="I496" s="181">
        <f>IFERROR(""&amp;INDEX(tk_LOCTXT,MATCH(491,tk_FSEQ,0)),"")</f>
        <v/>
      </c>
      <c r="J496" s="162">
        <f>IFERROR(""&amp;INDEX(tk_FNOTES,MATCH(491,tk_FSEQ,0)),"")</f>
        <v/>
      </c>
    </row>
    <row r="497">
      <c r="A497" s="161">
        <f>IFERROR(""&amp;INDEX(tk_MARK,MATCH(492,tk_FSEQ,0)),"")</f>
        <v/>
      </c>
      <c r="B497" s="162">
        <f>IFERROR(INDEX(tk_QTY,MATCH(492,tk_FSEQ,0)),"")</f>
        <v/>
      </c>
      <c r="C497" s="162">
        <f>IFERROR(INDEX(tk_ROOMF,MATCH(492,tk_FSEQ,0))&amp;IF(INDEX(tk_ROOMT,MATCH(492,tk_FSEQ,0))="",""," → "&amp;INDEX(tk_ROOMT,MATCH(492,tk_FSEQ,0))),"")</f>
        <v/>
      </c>
      <c r="D497" s="162">
        <f>IFERROR(""&amp;INDEX(tk_SIZE,MATCH(492,tk_FSEQ,0)),"")</f>
        <v/>
      </c>
      <c r="E497" s="162">
        <f>IFERROR(""&amp;INDEX(tk_RATING,MATCH(492,tk_FSEQ,0)),"")</f>
        <v/>
      </c>
      <c r="F497" s="162">
        <f>IFERROR(TEXT(INDEX(tk_OAW,MATCH(492,tk_FSEQ,0)),"0.000")&amp;" x "&amp;TEXT(INDEX(tk_OAH,MATCH(492,tk_FSEQ,0)),"0.000"),"")</f>
        <v/>
      </c>
      <c r="G497" s="162">
        <f>IFERROR(IF(INDEX(tk_ANCHT,MATCH(492,tk_FSEQ,0))="","",INDEX(tk_ANCHT,MATCH(492,tk_FSEQ,0))&amp;" + "&amp;INDEX(tk_BASEA,MATCH(492,tk_FSEQ,0))),"")</f>
        <v/>
      </c>
      <c r="H497" s="181">
        <f>IFERROR(""&amp;INDEX(tk_FLINE,MATCH(492,tk_FSEQ,0)),"")</f>
        <v/>
      </c>
      <c r="I497" s="181">
        <f>IFERROR(""&amp;INDEX(tk_LOCTXT,MATCH(492,tk_FSEQ,0)),"")</f>
        <v/>
      </c>
      <c r="J497" s="162">
        <f>IFERROR(""&amp;INDEX(tk_FNOTES,MATCH(492,tk_FSEQ,0)),"")</f>
        <v/>
      </c>
    </row>
    <row r="498">
      <c r="A498" s="161">
        <f>IFERROR(""&amp;INDEX(tk_MARK,MATCH(493,tk_FSEQ,0)),"")</f>
        <v/>
      </c>
      <c r="B498" s="162">
        <f>IFERROR(INDEX(tk_QTY,MATCH(493,tk_FSEQ,0)),"")</f>
        <v/>
      </c>
      <c r="C498" s="162">
        <f>IFERROR(INDEX(tk_ROOMF,MATCH(493,tk_FSEQ,0))&amp;IF(INDEX(tk_ROOMT,MATCH(493,tk_FSEQ,0))="",""," → "&amp;INDEX(tk_ROOMT,MATCH(493,tk_FSEQ,0))),"")</f>
        <v/>
      </c>
      <c r="D498" s="162">
        <f>IFERROR(""&amp;INDEX(tk_SIZE,MATCH(493,tk_FSEQ,0)),"")</f>
        <v/>
      </c>
      <c r="E498" s="162">
        <f>IFERROR(""&amp;INDEX(tk_RATING,MATCH(493,tk_FSEQ,0)),"")</f>
        <v/>
      </c>
      <c r="F498" s="162">
        <f>IFERROR(TEXT(INDEX(tk_OAW,MATCH(493,tk_FSEQ,0)),"0.000")&amp;" x "&amp;TEXT(INDEX(tk_OAH,MATCH(493,tk_FSEQ,0)),"0.000"),"")</f>
        <v/>
      </c>
      <c r="G498" s="162">
        <f>IFERROR(IF(INDEX(tk_ANCHT,MATCH(493,tk_FSEQ,0))="","",INDEX(tk_ANCHT,MATCH(493,tk_FSEQ,0))&amp;" + "&amp;INDEX(tk_BASEA,MATCH(493,tk_FSEQ,0))),"")</f>
        <v/>
      </c>
      <c r="H498" s="181">
        <f>IFERROR(""&amp;INDEX(tk_FLINE,MATCH(493,tk_FSEQ,0)),"")</f>
        <v/>
      </c>
      <c r="I498" s="181">
        <f>IFERROR(""&amp;INDEX(tk_LOCTXT,MATCH(493,tk_FSEQ,0)),"")</f>
        <v/>
      </c>
      <c r="J498" s="162">
        <f>IFERROR(""&amp;INDEX(tk_FNOTES,MATCH(493,tk_FSEQ,0)),"")</f>
        <v/>
      </c>
    </row>
    <row r="499">
      <c r="A499" s="161">
        <f>IFERROR(""&amp;INDEX(tk_MARK,MATCH(494,tk_FSEQ,0)),"")</f>
        <v/>
      </c>
      <c r="B499" s="162">
        <f>IFERROR(INDEX(tk_QTY,MATCH(494,tk_FSEQ,0)),"")</f>
        <v/>
      </c>
      <c r="C499" s="162">
        <f>IFERROR(INDEX(tk_ROOMF,MATCH(494,tk_FSEQ,0))&amp;IF(INDEX(tk_ROOMT,MATCH(494,tk_FSEQ,0))="",""," → "&amp;INDEX(tk_ROOMT,MATCH(494,tk_FSEQ,0))),"")</f>
        <v/>
      </c>
      <c r="D499" s="162">
        <f>IFERROR(""&amp;INDEX(tk_SIZE,MATCH(494,tk_FSEQ,0)),"")</f>
        <v/>
      </c>
      <c r="E499" s="162">
        <f>IFERROR(""&amp;INDEX(tk_RATING,MATCH(494,tk_FSEQ,0)),"")</f>
        <v/>
      </c>
      <c r="F499" s="162">
        <f>IFERROR(TEXT(INDEX(tk_OAW,MATCH(494,tk_FSEQ,0)),"0.000")&amp;" x "&amp;TEXT(INDEX(tk_OAH,MATCH(494,tk_FSEQ,0)),"0.000"),"")</f>
        <v/>
      </c>
      <c r="G499" s="162">
        <f>IFERROR(IF(INDEX(tk_ANCHT,MATCH(494,tk_FSEQ,0))="","",INDEX(tk_ANCHT,MATCH(494,tk_FSEQ,0))&amp;" + "&amp;INDEX(tk_BASEA,MATCH(494,tk_FSEQ,0))),"")</f>
        <v/>
      </c>
      <c r="H499" s="181">
        <f>IFERROR(""&amp;INDEX(tk_FLINE,MATCH(494,tk_FSEQ,0)),"")</f>
        <v/>
      </c>
      <c r="I499" s="181">
        <f>IFERROR(""&amp;INDEX(tk_LOCTXT,MATCH(494,tk_FSEQ,0)),"")</f>
        <v/>
      </c>
      <c r="J499" s="162">
        <f>IFERROR(""&amp;INDEX(tk_FNOTES,MATCH(494,tk_FSEQ,0)),"")</f>
        <v/>
      </c>
    </row>
    <row r="500">
      <c r="A500" s="161">
        <f>IFERROR(""&amp;INDEX(tk_MARK,MATCH(495,tk_FSEQ,0)),"")</f>
        <v/>
      </c>
      <c r="B500" s="162">
        <f>IFERROR(INDEX(tk_QTY,MATCH(495,tk_FSEQ,0)),"")</f>
        <v/>
      </c>
      <c r="C500" s="162">
        <f>IFERROR(INDEX(tk_ROOMF,MATCH(495,tk_FSEQ,0))&amp;IF(INDEX(tk_ROOMT,MATCH(495,tk_FSEQ,0))="",""," → "&amp;INDEX(tk_ROOMT,MATCH(495,tk_FSEQ,0))),"")</f>
        <v/>
      </c>
      <c r="D500" s="162">
        <f>IFERROR(""&amp;INDEX(tk_SIZE,MATCH(495,tk_FSEQ,0)),"")</f>
        <v/>
      </c>
      <c r="E500" s="162">
        <f>IFERROR(""&amp;INDEX(tk_RATING,MATCH(495,tk_FSEQ,0)),"")</f>
        <v/>
      </c>
      <c r="F500" s="162">
        <f>IFERROR(TEXT(INDEX(tk_OAW,MATCH(495,tk_FSEQ,0)),"0.000")&amp;" x "&amp;TEXT(INDEX(tk_OAH,MATCH(495,tk_FSEQ,0)),"0.000"),"")</f>
        <v/>
      </c>
      <c r="G500" s="162">
        <f>IFERROR(IF(INDEX(tk_ANCHT,MATCH(495,tk_FSEQ,0))="","",INDEX(tk_ANCHT,MATCH(495,tk_FSEQ,0))&amp;" + "&amp;INDEX(tk_BASEA,MATCH(495,tk_FSEQ,0))),"")</f>
        <v/>
      </c>
      <c r="H500" s="181">
        <f>IFERROR(""&amp;INDEX(tk_FLINE,MATCH(495,tk_FSEQ,0)),"")</f>
        <v/>
      </c>
      <c r="I500" s="181">
        <f>IFERROR(""&amp;INDEX(tk_LOCTXT,MATCH(495,tk_FSEQ,0)),"")</f>
        <v/>
      </c>
      <c r="J500" s="162">
        <f>IFERROR(""&amp;INDEX(tk_FNOTES,MATCH(495,tk_FSEQ,0)),"")</f>
        <v/>
      </c>
    </row>
    <row r="501">
      <c r="A501" s="161">
        <f>IFERROR(""&amp;INDEX(tk_MARK,MATCH(496,tk_FSEQ,0)),"")</f>
        <v/>
      </c>
      <c r="B501" s="162">
        <f>IFERROR(INDEX(tk_QTY,MATCH(496,tk_FSEQ,0)),"")</f>
        <v/>
      </c>
      <c r="C501" s="162">
        <f>IFERROR(INDEX(tk_ROOMF,MATCH(496,tk_FSEQ,0))&amp;IF(INDEX(tk_ROOMT,MATCH(496,tk_FSEQ,0))="",""," → "&amp;INDEX(tk_ROOMT,MATCH(496,tk_FSEQ,0))),"")</f>
        <v/>
      </c>
      <c r="D501" s="162">
        <f>IFERROR(""&amp;INDEX(tk_SIZE,MATCH(496,tk_FSEQ,0)),"")</f>
        <v/>
      </c>
      <c r="E501" s="162">
        <f>IFERROR(""&amp;INDEX(tk_RATING,MATCH(496,tk_FSEQ,0)),"")</f>
        <v/>
      </c>
      <c r="F501" s="162">
        <f>IFERROR(TEXT(INDEX(tk_OAW,MATCH(496,tk_FSEQ,0)),"0.000")&amp;" x "&amp;TEXT(INDEX(tk_OAH,MATCH(496,tk_FSEQ,0)),"0.000"),"")</f>
        <v/>
      </c>
      <c r="G501" s="162">
        <f>IFERROR(IF(INDEX(tk_ANCHT,MATCH(496,tk_FSEQ,0))="","",INDEX(tk_ANCHT,MATCH(496,tk_FSEQ,0))&amp;" + "&amp;INDEX(tk_BASEA,MATCH(496,tk_FSEQ,0))),"")</f>
        <v/>
      </c>
      <c r="H501" s="181">
        <f>IFERROR(""&amp;INDEX(tk_FLINE,MATCH(496,tk_FSEQ,0)),"")</f>
        <v/>
      </c>
      <c r="I501" s="181">
        <f>IFERROR(""&amp;INDEX(tk_LOCTXT,MATCH(496,tk_FSEQ,0)),"")</f>
        <v/>
      </c>
      <c r="J501" s="162">
        <f>IFERROR(""&amp;INDEX(tk_FNOTES,MATCH(496,tk_FSEQ,0)),"")</f>
        <v/>
      </c>
    </row>
    <row r="502">
      <c r="A502" s="161">
        <f>IFERROR(""&amp;INDEX(tk_MARK,MATCH(497,tk_FSEQ,0)),"")</f>
        <v/>
      </c>
      <c r="B502" s="162">
        <f>IFERROR(INDEX(tk_QTY,MATCH(497,tk_FSEQ,0)),"")</f>
        <v/>
      </c>
      <c r="C502" s="162">
        <f>IFERROR(INDEX(tk_ROOMF,MATCH(497,tk_FSEQ,0))&amp;IF(INDEX(tk_ROOMT,MATCH(497,tk_FSEQ,0))="",""," → "&amp;INDEX(tk_ROOMT,MATCH(497,tk_FSEQ,0))),"")</f>
        <v/>
      </c>
      <c r="D502" s="162">
        <f>IFERROR(""&amp;INDEX(tk_SIZE,MATCH(497,tk_FSEQ,0)),"")</f>
        <v/>
      </c>
      <c r="E502" s="162">
        <f>IFERROR(""&amp;INDEX(tk_RATING,MATCH(497,tk_FSEQ,0)),"")</f>
        <v/>
      </c>
      <c r="F502" s="162">
        <f>IFERROR(TEXT(INDEX(tk_OAW,MATCH(497,tk_FSEQ,0)),"0.000")&amp;" x "&amp;TEXT(INDEX(tk_OAH,MATCH(497,tk_FSEQ,0)),"0.000"),"")</f>
        <v/>
      </c>
      <c r="G502" s="162">
        <f>IFERROR(IF(INDEX(tk_ANCHT,MATCH(497,tk_FSEQ,0))="","",INDEX(tk_ANCHT,MATCH(497,tk_FSEQ,0))&amp;" + "&amp;INDEX(tk_BASEA,MATCH(497,tk_FSEQ,0))),"")</f>
        <v/>
      </c>
      <c r="H502" s="181">
        <f>IFERROR(""&amp;INDEX(tk_FLINE,MATCH(497,tk_FSEQ,0)),"")</f>
        <v/>
      </c>
      <c r="I502" s="181">
        <f>IFERROR(""&amp;INDEX(tk_LOCTXT,MATCH(497,tk_FSEQ,0)),"")</f>
        <v/>
      </c>
      <c r="J502" s="162">
        <f>IFERROR(""&amp;INDEX(tk_FNOTES,MATCH(497,tk_FSEQ,0)),"")</f>
        <v/>
      </c>
    </row>
    <row r="503">
      <c r="A503" s="161">
        <f>IFERROR(""&amp;INDEX(tk_MARK,MATCH(498,tk_FSEQ,0)),"")</f>
        <v/>
      </c>
      <c r="B503" s="162">
        <f>IFERROR(INDEX(tk_QTY,MATCH(498,tk_FSEQ,0)),"")</f>
        <v/>
      </c>
      <c r="C503" s="162">
        <f>IFERROR(INDEX(tk_ROOMF,MATCH(498,tk_FSEQ,0))&amp;IF(INDEX(tk_ROOMT,MATCH(498,tk_FSEQ,0))="",""," → "&amp;INDEX(tk_ROOMT,MATCH(498,tk_FSEQ,0))),"")</f>
        <v/>
      </c>
      <c r="D503" s="162">
        <f>IFERROR(""&amp;INDEX(tk_SIZE,MATCH(498,tk_FSEQ,0)),"")</f>
        <v/>
      </c>
      <c r="E503" s="162">
        <f>IFERROR(""&amp;INDEX(tk_RATING,MATCH(498,tk_FSEQ,0)),"")</f>
        <v/>
      </c>
      <c r="F503" s="162">
        <f>IFERROR(TEXT(INDEX(tk_OAW,MATCH(498,tk_FSEQ,0)),"0.000")&amp;" x "&amp;TEXT(INDEX(tk_OAH,MATCH(498,tk_FSEQ,0)),"0.000"),"")</f>
        <v/>
      </c>
      <c r="G503" s="162">
        <f>IFERROR(IF(INDEX(tk_ANCHT,MATCH(498,tk_FSEQ,0))="","",INDEX(tk_ANCHT,MATCH(498,tk_FSEQ,0))&amp;" + "&amp;INDEX(tk_BASEA,MATCH(498,tk_FSEQ,0))),"")</f>
        <v/>
      </c>
      <c r="H503" s="181">
        <f>IFERROR(""&amp;INDEX(tk_FLINE,MATCH(498,tk_FSEQ,0)),"")</f>
        <v/>
      </c>
      <c r="I503" s="181">
        <f>IFERROR(""&amp;INDEX(tk_LOCTXT,MATCH(498,tk_FSEQ,0)),"")</f>
        <v/>
      </c>
      <c r="J503" s="162">
        <f>IFERROR(""&amp;INDEX(tk_FNOTES,MATCH(498,tk_FSEQ,0)),"")</f>
        <v/>
      </c>
    </row>
    <row r="504">
      <c r="A504" s="161">
        <f>IFERROR(""&amp;INDEX(tk_MARK,MATCH(499,tk_FSEQ,0)),"")</f>
        <v/>
      </c>
      <c r="B504" s="162">
        <f>IFERROR(INDEX(tk_QTY,MATCH(499,tk_FSEQ,0)),"")</f>
        <v/>
      </c>
      <c r="C504" s="162">
        <f>IFERROR(INDEX(tk_ROOMF,MATCH(499,tk_FSEQ,0))&amp;IF(INDEX(tk_ROOMT,MATCH(499,tk_FSEQ,0))="",""," → "&amp;INDEX(tk_ROOMT,MATCH(499,tk_FSEQ,0))),"")</f>
        <v/>
      </c>
      <c r="D504" s="162">
        <f>IFERROR(""&amp;INDEX(tk_SIZE,MATCH(499,tk_FSEQ,0)),"")</f>
        <v/>
      </c>
      <c r="E504" s="162">
        <f>IFERROR(""&amp;INDEX(tk_RATING,MATCH(499,tk_FSEQ,0)),"")</f>
        <v/>
      </c>
      <c r="F504" s="162">
        <f>IFERROR(TEXT(INDEX(tk_OAW,MATCH(499,tk_FSEQ,0)),"0.000")&amp;" x "&amp;TEXT(INDEX(tk_OAH,MATCH(499,tk_FSEQ,0)),"0.000"),"")</f>
        <v/>
      </c>
      <c r="G504" s="162">
        <f>IFERROR(IF(INDEX(tk_ANCHT,MATCH(499,tk_FSEQ,0))="","",INDEX(tk_ANCHT,MATCH(499,tk_FSEQ,0))&amp;" + "&amp;INDEX(tk_BASEA,MATCH(499,tk_FSEQ,0))),"")</f>
        <v/>
      </c>
      <c r="H504" s="181">
        <f>IFERROR(""&amp;INDEX(tk_FLINE,MATCH(499,tk_FSEQ,0)),"")</f>
        <v/>
      </c>
      <c r="I504" s="181">
        <f>IFERROR(""&amp;INDEX(tk_LOCTXT,MATCH(499,tk_FSEQ,0)),"")</f>
        <v/>
      </c>
      <c r="J504" s="162">
        <f>IFERROR(""&amp;INDEX(tk_FNOTES,MATCH(499,tk_FSEQ,0)),"")</f>
        <v/>
      </c>
    </row>
    <row r="505">
      <c r="A505" s="161">
        <f>IFERROR(""&amp;INDEX(tk_MARK,MATCH(500,tk_FSEQ,0)),"")</f>
        <v/>
      </c>
      <c r="B505" s="162">
        <f>IFERROR(INDEX(tk_QTY,MATCH(500,tk_FSEQ,0)),"")</f>
        <v/>
      </c>
      <c r="C505" s="162">
        <f>IFERROR(INDEX(tk_ROOMF,MATCH(500,tk_FSEQ,0))&amp;IF(INDEX(tk_ROOMT,MATCH(500,tk_FSEQ,0))="",""," → "&amp;INDEX(tk_ROOMT,MATCH(500,tk_FSEQ,0))),"")</f>
        <v/>
      </c>
      <c r="D505" s="162">
        <f>IFERROR(""&amp;INDEX(tk_SIZE,MATCH(500,tk_FSEQ,0)),"")</f>
        <v/>
      </c>
      <c r="E505" s="162">
        <f>IFERROR(""&amp;INDEX(tk_RATING,MATCH(500,tk_FSEQ,0)),"")</f>
        <v/>
      </c>
      <c r="F505" s="162">
        <f>IFERROR(TEXT(INDEX(tk_OAW,MATCH(500,tk_FSEQ,0)),"0.000")&amp;" x "&amp;TEXT(INDEX(tk_OAH,MATCH(500,tk_FSEQ,0)),"0.000"),"")</f>
        <v/>
      </c>
      <c r="G505" s="162">
        <f>IFERROR(IF(INDEX(tk_ANCHT,MATCH(500,tk_FSEQ,0))="","",INDEX(tk_ANCHT,MATCH(500,tk_FSEQ,0))&amp;" + "&amp;INDEX(tk_BASEA,MATCH(500,tk_FSEQ,0))),"")</f>
        <v/>
      </c>
      <c r="H505" s="181">
        <f>IFERROR(""&amp;INDEX(tk_FLINE,MATCH(500,tk_FSEQ,0)),"")</f>
        <v/>
      </c>
      <c r="I505" s="181">
        <f>IFERROR(""&amp;INDEX(tk_LOCTXT,MATCH(500,tk_FSEQ,0)),"")</f>
        <v/>
      </c>
      <c r="J505" s="162">
        <f>IFERROR(""&amp;INDEX(tk_FNOTES,MATCH(500,tk_FSEQ,0)),"")</f>
        <v/>
      </c>
    </row>
  </sheetData>
  <conditionalFormatting sqref="A6:J505">
    <cfRule type="expression" priority="1" dxfId="9">
      <formula>AND($A6&lt;&gt;"",MOD(ROW(),2)=0)</formula>
    </cfRule>
  </conditionalFormatting>
  <pageMargins left="0.75" right="0.75" top="1" bottom="1" header="0.5" footer="0.5"/>
  <pageSetup orientation="landscape" fitToHeight="0" fitToWidth="1"/>
</worksheet>
</file>

<file path=xl/worksheets/sheet11.xml><?xml version="1.0" encoding="utf-8"?>
<worksheet xmlns="http://schemas.openxmlformats.org/spreadsheetml/2006/main">
  <sheetPr>
    <tabColor rgb="008A5A1C"/>
    <outlinePr summaryBelow="1" summaryRight="1"/>
    <pageSetUpPr fitToPage="1"/>
  </sheetPr>
  <dimension ref="A1:I5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26" customWidth="1" min="3" max="3"/>
    <col width="7" customWidth="1" min="4" max="4"/>
    <col width="9" customWidth="1" min="5" max="5"/>
    <col width="16" customWidth="1" min="6" max="6"/>
    <col width="84" customWidth="1" min="7" max="7"/>
    <col width="34" customWidth="1" min="8" max="8"/>
    <col width="24" customWidth="1" min="9" max="9"/>
  </cols>
  <sheetData>
    <row r="1" ht="30" customHeight="1">
      <c r="A1" s="1" t="n"/>
      <c r="B1" s="38" t="inlineStr">
        <is>
          <t>DOOR ORDER</t>
        </is>
      </c>
      <c r="C1" s="1" t="n"/>
      <c r="D1" s="1" t="n"/>
      <c r="E1" s="1" t="n"/>
      <c r="F1" s="1" t="n"/>
      <c r="G1" s="1" t="n"/>
      <c r="H1" s="1" t="n"/>
      <c r="I1" s="39">
        <f>IF(JobName="","OPENING TAKEOFF  ·  FORM 3.2",JobName&amp;IF(JobNo="",""," · JOB "&amp;JobNo))</f>
        <v/>
      </c>
    </row>
    <row r="2" ht="18" customHeight="1">
      <c r="A2" s="1" t="n"/>
      <c r="B2" s="40" t="inlineStr">
        <is>
          <t>Builds itself from the Takeoff — one line per door opening, with leaf sizes and locations.</t>
        </is>
      </c>
      <c r="C2" s="1" t="n"/>
      <c r="D2" s="1" t="n"/>
      <c r="E2" s="1" t="n"/>
      <c r="F2" s="1" t="n"/>
      <c r="G2" s="1" t="n"/>
      <c r="H2" s="1" t="n"/>
      <c r="I2" s="41">
        <f>TEXT(JobDate,"mmm d, yyyy")&amp;IF(JobRev="",""," · "&amp;JobRev)</f>
        <v/>
      </c>
    </row>
    <row r="3" ht="4" customHeight="1">
      <c r="A3" s="6" t="n"/>
      <c r="B3" s="6" t="n"/>
      <c r="C3" s="6" t="n"/>
      <c r="D3" s="6" t="n"/>
      <c r="E3" s="6" t="n"/>
      <c r="F3" s="6" t="n"/>
      <c r="G3" s="6" t="n"/>
      <c r="H3" s="6" t="n"/>
      <c r="I3" s="6" t="n"/>
    </row>
    <row r="4">
      <c r="A4" s="155">
        <f>COUNT(tk_DSEQ)&amp;" lines  ·  "&amp;SUMPRODUCT(tk_QTY,--(tk_DSEQ&lt;&gt;""))&amp;" openings"</f>
        <v/>
      </c>
    </row>
    <row r="5" ht="30" customHeight="1">
      <c r="A5" s="160" t="inlineStr">
        <is>
          <t>MARK</t>
        </is>
      </c>
      <c r="B5" s="160" t="inlineStr">
        <is>
          <t>QTY</t>
        </is>
      </c>
      <c r="C5" s="160" t="inlineStr">
        <is>
          <t>ROOM</t>
        </is>
      </c>
      <c r="D5" s="160" t="inlineStr">
        <is>
          <t>LEAVES</t>
        </is>
      </c>
      <c r="E5" s="160" t="inlineStr">
        <is>
          <t>RATING</t>
        </is>
      </c>
      <c r="F5" s="160" t="inlineStr">
        <is>
          <t>LEAF W x H</t>
        </is>
      </c>
      <c r="G5" s="160" t="inlineStr">
        <is>
          <t>DOOR ORDER LINE</t>
        </is>
      </c>
      <c r="H5" s="160" t="inlineStr">
        <is>
          <t>HINGE / STRIKE LOCATIONS (from top of door)</t>
        </is>
      </c>
      <c r="I5" s="160" t="inlineStr">
        <is>
          <t>NOTES</t>
        </is>
      </c>
    </row>
    <row r="6">
      <c r="A6" s="161">
        <f>IFERROR(""&amp;INDEX(tk_MARK,MATCH(1,tk_DSEQ,0)),"")</f>
        <v/>
      </c>
      <c r="B6" s="162">
        <f>IFERROR(INDEX(tk_QTY,MATCH(1,tk_DSEQ,0)),"")</f>
        <v/>
      </c>
      <c r="C6" s="162">
        <f>IFERROR(INDEX(tk_ROOMF,MATCH(1,tk_DSEQ,0))&amp;IF(INDEX(tk_ROOMT,MATCH(1,tk_DSEQ,0))="",""," → "&amp;INDEX(tk_ROOMT,MATCH(1,tk_DSEQ,0))),"")</f>
        <v/>
      </c>
      <c r="D6" s="162">
        <f>IFERROR(INDEX(tk_LEAVES,MATCH(1,tk_DSEQ,0)),"")</f>
        <v/>
      </c>
      <c r="E6" s="162">
        <f>IFERROR(""&amp;INDEX(tk_RATING,MATCH(1,tk_DSEQ,0)),"")</f>
        <v/>
      </c>
      <c r="F6" s="162">
        <f>IFERROR(TEXT(INDEX(tk_LEAFW,MATCH(1,tk_DSEQ,0)),"0.000")&amp;" x "&amp;TEXT(INDEX(tk_LEAFH,MATCH(1,tk_DSEQ,0)),"0.000"),"")</f>
        <v/>
      </c>
      <c r="G6" s="181">
        <f>IFERROR(""&amp;INDEX(tk_DLINE,MATCH(1,tk_DSEQ,0)),"")</f>
        <v/>
      </c>
      <c r="H6" s="181">
        <f>IFERROR(""&amp;INDEX(tk_LOCTXTD,MATCH(1,tk_DSEQ,0)),"")</f>
        <v/>
      </c>
      <c r="I6" s="162">
        <f>IFERROR(""&amp;INDEX(tk_DNOTES,MATCH(1,tk_DSEQ,0)),"")</f>
        <v/>
      </c>
    </row>
    <row r="7">
      <c r="A7" s="161">
        <f>IFERROR(""&amp;INDEX(tk_MARK,MATCH(2,tk_DSEQ,0)),"")</f>
        <v/>
      </c>
      <c r="B7" s="162">
        <f>IFERROR(INDEX(tk_QTY,MATCH(2,tk_DSEQ,0)),"")</f>
        <v/>
      </c>
      <c r="C7" s="162">
        <f>IFERROR(INDEX(tk_ROOMF,MATCH(2,tk_DSEQ,0))&amp;IF(INDEX(tk_ROOMT,MATCH(2,tk_DSEQ,0))="",""," → "&amp;INDEX(tk_ROOMT,MATCH(2,tk_DSEQ,0))),"")</f>
        <v/>
      </c>
      <c r="D7" s="162">
        <f>IFERROR(INDEX(tk_LEAVES,MATCH(2,tk_DSEQ,0)),"")</f>
        <v/>
      </c>
      <c r="E7" s="162">
        <f>IFERROR(""&amp;INDEX(tk_RATING,MATCH(2,tk_DSEQ,0)),"")</f>
        <v/>
      </c>
      <c r="F7" s="162">
        <f>IFERROR(TEXT(INDEX(tk_LEAFW,MATCH(2,tk_DSEQ,0)),"0.000")&amp;" x "&amp;TEXT(INDEX(tk_LEAFH,MATCH(2,tk_DSEQ,0)),"0.000"),"")</f>
        <v/>
      </c>
      <c r="G7" s="181">
        <f>IFERROR(""&amp;INDEX(tk_DLINE,MATCH(2,tk_DSEQ,0)),"")</f>
        <v/>
      </c>
      <c r="H7" s="181">
        <f>IFERROR(""&amp;INDEX(tk_LOCTXTD,MATCH(2,tk_DSEQ,0)),"")</f>
        <v/>
      </c>
      <c r="I7" s="162">
        <f>IFERROR(""&amp;INDEX(tk_DNOTES,MATCH(2,tk_DSEQ,0)),"")</f>
        <v/>
      </c>
    </row>
    <row r="8">
      <c r="A8" s="161">
        <f>IFERROR(""&amp;INDEX(tk_MARK,MATCH(3,tk_DSEQ,0)),"")</f>
        <v/>
      </c>
      <c r="B8" s="162">
        <f>IFERROR(INDEX(tk_QTY,MATCH(3,tk_DSEQ,0)),"")</f>
        <v/>
      </c>
      <c r="C8" s="162">
        <f>IFERROR(INDEX(tk_ROOMF,MATCH(3,tk_DSEQ,0))&amp;IF(INDEX(tk_ROOMT,MATCH(3,tk_DSEQ,0))="",""," → "&amp;INDEX(tk_ROOMT,MATCH(3,tk_DSEQ,0))),"")</f>
        <v/>
      </c>
      <c r="D8" s="162">
        <f>IFERROR(INDEX(tk_LEAVES,MATCH(3,tk_DSEQ,0)),"")</f>
        <v/>
      </c>
      <c r="E8" s="162">
        <f>IFERROR(""&amp;INDEX(tk_RATING,MATCH(3,tk_DSEQ,0)),"")</f>
        <v/>
      </c>
      <c r="F8" s="162">
        <f>IFERROR(TEXT(INDEX(tk_LEAFW,MATCH(3,tk_DSEQ,0)),"0.000")&amp;" x "&amp;TEXT(INDEX(tk_LEAFH,MATCH(3,tk_DSEQ,0)),"0.000"),"")</f>
        <v/>
      </c>
      <c r="G8" s="181">
        <f>IFERROR(""&amp;INDEX(tk_DLINE,MATCH(3,tk_DSEQ,0)),"")</f>
        <v/>
      </c>
      <c r="H8" s="181">
        <f>IFERROR(""&amp;INDEX(tk_LOCTXTD,MATCH(3,tk_DSEQ,0)),"")</f>
        <v/>
      </c>
      <c r="I8" s="162">
        <f>IFERROR(""&amp;INDEX(tk_DNOTES,MATCH(3,tk_DSEQ,0)),"")</f>
        <v/>
      </c>
    </row>
    <row r="9">
      <c r="A9" s="161">
        <f>IFERROR(""&amp;INDEX(tk_MARK,MATCH(4,tk_DSEQ,0)),"")</f>
        <v/>
      </c>
      <c r="B9" s="162">
        <f>IFERROR(INDEX(tk_QTY,MATCH(4,tk_DSEQ,0)),"")</f>
        <v/>
      </c>
      <c r="C9" s="162">
        <f>IFERROR(INDEX(tk_ROOMF,MATCH(4,tk_DSEQ,0))&amp;IF(INDEX(tk_ROOMT,MATCH(4,tk_DSEQ,0))="",""," → "&amp;INDEX(tk_ROOMT,MATCH(4,tk_DSEQ,0))),"")</f>
        <v/>
      </c>
      <c r="D9" s="162">
        <f>IFERROR(INDEX(tk_LEAVES,MATCH(4,tk_DSEQ,0)),"")</f>
        <v/>
      </c>
      <c r="E9" s="162">
        <f>IFERROR(""&amp;INDEX(tk_RATING,MATCH(4,tk_DSEQ,0)),"")</f>
        <v/>
      </c>
      <c r="F9" s="162">
        <f>IFERROR(TEXT(INDEX(tk_LEAFW,MATCH(4,tk_DSEQ,0)),"0.000")&amp;" x "&amp;TEXT(INDEX(tk_LEAFH,MATCH(4,tk_DSEQ,0)),"0.000"),"")</f>
        <v/>
      </c>
      <c r="G9" s="181">
        <f>IFERROR(""&amp;INDEX(tk_DLINE,MATCH(4,tk_DSEQ,0)),"")</f>
        <v/>
      </c>
      <c r="H9" s="181">
        <f>IFERROR(""&amp;INDEX(tk_LOCTXTD,MATCH(4,tk_DSEQ,0)),"")</f>
        <v/>
      </c>
      <c r="I9" s="162">
        <f>IFERROR(""&amp;INDEX(tk_DNOTES,MATCH(4,tk_DSEQ,0)),"")</f>
        <v/>
      </c>
    </row>
    <row r="10">
      <c r="A10" s="161">
        <f>IFERROR(""&amp;INDEX(tk_MARK,MATCH(5,tk_DSEQ,0)),"")</f>
        <v/>
      </c>
      <c r="B10" s="162">
        <f>IFERROR(INDEX(tk_QTY,MATCH(5,tk_DSEQ,0)),"")</f>
        <v/>
      </c>
      <c r="C10" s="162">
        <f>IFERROR(INDEX(tk_ROOMF,MATCH(5,tk_DSEQ,0))&amp;IF(INDEX(tk_ROOMT,MATCH(5,tk_DSEQ,0))="",""," → "&amp;INDEX(tk_ROOMT,MATCH(5,tk_DSEQ,0))),"")</f>
        <v/>
      </c>
      <c r="D10" s="162">
        <f>IFERROR(INDEX(tk_LEAVES,MATCH(5,tk_DSEQ,0)),"")</f>
        <v/>
      </c>
      <c r="E10" s="162">
        <f>IFERROR(""&amp;INDEX(tk_RATING,MATCH(5,tk_DSEQ,0)),"")</f>
        <v/>
      </c>
      <c r="F10" s="162">
        <f>IFERROR(TEXT(INDEX(tk_LEAFW,MATCH(5,tk_DSEQ,0)),"0.000")&amp;" x "&amp;TEXT(INDEX(tk_LEAFH,MATCH(5,tk_DSEQ,0)),"0.000"),"")</f>
        <v/>
      </c>
      <c r="G10" s="181">
        <f>IFERROR(""&amp;INDEX(tk_DLINE,MATCH(5,tk_DSEQ,0)),"")</f>
        <v/>
      </c>
      <c r="H10" s="181">
        <f>IFERROR(""&amp;INDEX(tk_LOCTXTD,MATCH(5,tk_DSEQ,0)),"")</f>
        <v/>
      </c>
      <c r="I10" s="162">
        <f>IFERROR(""&amp;INDEX(tk_DNOTES,MATCH(5,tk_DSEQ,0)),"")</f>
        <v/>
      </c>
    </row>
    <row r="11">
      <c r="A11" s="161">
        <f>IFERROR(""&amp;INDEX(tk_MARK,MATCH(6,tk_DSEQ,0)),"")</f>
        <v/>
      </c>
      <c r="B11" s="162">
        <f>IFERROR(INDEX(tk_QTY,MATCH(6,tk_DSEQ,0)),"")</f>
        <v/>
      </c>
      <c r="C11" s="162">
        <f>IFERROR(INDEX(tk_ROOMF,MATCH(6,tk_DSEQ,0))&amp;IF(INDEX(tk_ROOMT,MATCH(6,tk_DSEQ,0))="",""," → "&amp;INDEX(tk_ROOMT,MATCH(6,tk_DSEQ,0))),"")</f>
        <v/>
      </c>
      <c r="D11" s="162">
        <f>IFERROR(INDEX(tk_LEAVES,MATCH(6,tk_DSEQ,0)),"")</f>
        <v/>
      </c>
      <c r="E11" s="162">
        <f>IFERROR(""&amp;INDEX(tk_RATING,MATCH(6,tk_DSEQ,0)),"")</f>
        <v/>
      </c>
      <c r="F11" s="162">
        <f>IFERROR(TEXT(INDEX(tk_LEAFW,MATCH(6,tk_DSEQ,0)),"0.000")&amp;" x "&amp;TEXT(INDEX(tk_LEAFH,MATCH(6,tk_DSEQ,0)),"0.000"),"")</f>
        <v/>
      </c>
      <c r="G11" s="181">
        <f>IFERROR(""&amp;INDEX(tk_DLINE,MATCH(6,tk_DSEQ,0)),"")</f>
        <v/>
      </c>
      <c r="H11" s="181">
        <f>IFERROR(""&amp;INDEX(tk_LOCTXTD,MATCH(6,tk_DSEQ,0)),"")</f>
        <v/>
      </c>
      <c r="I11" s="162">
        <f>IFERROR(""&amp;INDEX(tk_DNOTES,MATCH(6,tk_DSEQ,0)),"")</f>
        <v/>
      </c>
    </row>
    <row r="12">
      <c r="A12" s="161">
        <f>IFERROR(""&amp;INDEX(tk_MARK,MATCH(7,tk_DSEQ,0)),"")</f>
        <v/>
      </c>
      <c r="B12" s="162">
        <f>IFERROR(INDEX(tk_QTY,MATCH(7,tk_DSEQ,0)),"")</f>
        <v/>
      </c>
      <c r="C12" s="162">
        <f>IFERROR(INDEX(tk_ROOMF,MATCH(7,tk_DSEQ,0))&amp;IF(INDEX(tk_ROOMT,MATCH(7,tk_DSEQ,0))="",""," → "&amp;INDEX(tk_ROOMT,MATCH(7,tk_DSEQ,0))),"")</f>
        <v/>
      </c>
      <c r="D12" s="162">
        <f>IFERROR(INDEX(tk_LEAVES,MATCH(7,tk_DSEQ,0)),"")</f>
        <v/>
      </c>
      <c r="E12" s="162">
        <f>IFERROR(""&amp;INDEX(tk_RATING,MATCH(7,tk_DSEQ,0)),"")</f>
        <v/>
      </c>
      <c r="F12" s="162">
        <f>IFERROR(TEXT(INDEX(tk_LEAFW,MATCH(7,tk_DSEQ,0)),"0.000")&amp;" x "&amp;TEXT(INDEX(tk_LEAFH,MATCH(7,tk_DSEQ,0)),"0.000"),"")</f>
        <v/>
      </c>
      <c r="G12" s="181">
        <f>IFERROR(""&amp;INDEX(tk_DLINE,MATCH(7,tk_DSEQ,0)),"")</f>
        <v/>
      </c>
      <c r="H12" s="181">
        <f>IFERROR(""&amp;INDEX(tk_LOCTXTD,MATCH(7,tk_DSEQ,0)),"")</f>
        <v/>
      </c>
      <c r="I12" s="162">
        <f>IFERROR(""&amp;INDEX(tk_DNOTES,MATCH(7,tk_DSEQ,0)),"")</f>
        <v/>
      </c>
    </row>
    <row r="13">
      <c r="A13" s="161">
        <f>IFERROR(""&amp;INDEX(tk_MARK,MATCH(8,tk_DSEQ,0)),"")</f>
        <v/>
      </c>
      <c r="B13" s="162">
        <f>IFERROR(INDEX(tk_QTY,MATCH(8,tk_DSEQ,0)),"")</f>
        <v/>
      </c>
      <c r="C13" s="162">
        <f>IFERROR(INDEX(tk_ROOMF,MATCH(8,tk_DSEQ,0))&amp;IF(INDEX(tk_ROOMT,MATCH(8,tk_DSEQ,0))="",""," → "&amp;INDEX(tk_ROOMT,MATCH(8,tk_DSEQ,0))),"")</f>
        <v/>
      </c>
      <c r="D13" s="162">
        <f>IFERROR(INDEX(tk_LEAVES,MATCH(8,tk_DSEQ,0)),"")</f>
        <v/>
      </c>
      <c r="E13" s="162">
        <f>IFERROR(""&amp;INDEX(tk_RATING,MATCH(8,tk_DSEQ,0)),"")</f>
        <v/>
      </c>
      <c r="F13" s="162">
        <f>IFERROR(TEXT(INDEX(tk_LEAFW,MATCH(8,tk_DSEQ,0)),"0.000")&amp;" x "&amp;TEXT(INDEX(tk_LEAFH,MATCH(8,tk_DSEQ,0)),"0.000"),"")</f>
        <v/>
      </c>
      <c r="G13" s="181">
        <f>IFERROR(""&amp;INDEX(tk_DLINE,MATCH(8,tk_DSEQ,0)),"")</f>
        <v/>
      </c>
      <c r="H13" s="181">
        <f>IFERROR(""&amp;INDEX(tk_LOCTXTD,MATCH(8,tk_DSEQ,0)),"")</f>
        <v/>
      </c>
      <c r="I13" s="162">
        <f>IFERROR(""&amp;INDEX(tk_DNOTES,MATCH(8,tk_DSEQ,0)),"")</f>
        <v/>
      </c>
    </row>
    <row r="14">
      <c r="A14" s="161">
        <f>IFERROR(""&amp;INDEX(tk_MARK,MATCH(9,tk_DSEQ,0)),"")</f>
        <v/>
      </c>
      <c r="B14" s="162">
        <f>IFERROR(INDEX(tk_QTY,MATCH(9,tk_DSEQ,0)),"")</f>
        <v/>
      </c>
      <c r="C14" s="162">
        <f>IFERROR(INDEX(tk_ROOMF,MATCH(9,tk_DSEQ,0))&amp;IF(INDEX(tk_ROOMT,MATCH(9,tk_DSEQ,0))="",""," → "&amp;INDEX(tk_ROOMT,MATCH(9,tk_DSEQ,0))),"")</f>
        <v/>
      </c>
      <c r="D14" s="162">
        <f>IFERROR(INDEX(tk_LEAVES,MATCH(9,tk_DSEQ,0)),"")</f>
        <v/>
      </c>
      <c r="E14" s="162">
        <f>IFERROR(""&amp;INDEX(tk_RATING,MATCH(9,tk_DSEQ,0)),"")</f>
        <v/>
      </c>
      <c r="F14" s="162">
        <f>IFERROR(TEXT(INDEX(tk_LEAFW,MATCH(9,tk_DSEQ,0)),"0.000")&amp;" x "&amp;TEXT(INDEX(tk_LEAFH,MATCH(9,tk_DSEQ,0)),"0.000"),"")</f>
        <v/>
      </c>
      <c r="G14" s="181">
        <f>IFERROR(""&amp;INDEX(tk_DLINE,MATCH(9,tk_DSEQ,0)),"")</f>
        <v/>
      </c>
      <c r="H14" s="181">
        <f>IFERROR(""&amp;INDEX(tk_LOCTXTD,MATCH(9,tk_DSEQ,0)),"")</f>
        <v/>
      </c>
      <c r="I14" s="162">
        <f>IFERROR(""&amp;INDEX(tk_DNOTES,MATCH(9,tk_DSEQ,0)),"")</f>
        <v/>
      </c>
    </row>
    <row r="15">
      <c r="A15" s="161">
        <f>IFERROR(""&amp;INDEX(tk_MARK,MATCH(10,tk_DSEQ,0)),"")</f>
        <v/>
      </c>
      <c r="B15" s="162">
        <f>IFERROR(INDEX(tk_QTY,MATCH(10,tk_DSEQ,0)),"")</f>
        <v/>
      </c>
      <c r="C15" s="162">
        <f>IFERROR(INDEX(tk_ROOMF,MATCH(10,tk_DSEQ,0))&amp;IF(INDEX(tk_ROOMT,MATCH(10,tk_DSEQ,0))="",""," → "&amp;INDEX(tk_ROOMT,MATCH(10,tk_DSEQ,0))),"")</f>
        <v/>
      </c>
      <c r="D15" s="162">
        <f>IFERROR(INDEX(tk_LEAVES,MATCH(10,tk_DSEQ,0)),"")</f>
        <v/>
      </c>
      <c r="E15" s="162">
        <f>IFERROR(""&amp;INDEX(tk_RATING,MATCH(10,tk_DSEQ,0)),"")</f>
        <v/>
      </c>
      <c r="F15" s="162">
        <f>IFERROR(TEXT(INDEX(tk_LEAFW,MATCH(10,tk_DSEQ,0)),"0.000")&amp;" x "&amp;TEXT(INDEX(tk_LEAFH,MATCH(10,tk_DSEQ,0)),"0.000"),"")</f>
        <v/>
      </c>
      <c r="G15" s="181">
        <f>IFERROR(""&amp;INDEX(tk_DLINE,MATCH(10,tk_DSEQ,0)),"")</f>
        <v/>
      </c>
      <c r="H15" s="181">
        <f>IFERROR(""&amp;INDEX(tk_LOCTXTD,MATCH(10,tk_DSEQ,0)),"")</f>
        <v/>
      </c>
      <c r="I15" s="162">
        <f>IFERROR(""&amp;INDEX(tk_DNOTES,MATCH(10,tk_DSEQ,0)),"")</f>
        <v/>
      </c>
    </row>
    <row r="16">
      <c r="A16" s="161">
        <f>IFERROR(""&amp;INDEX(tk_MARK,MATCH(11,tk_DSEQ,0)),"")</f>
        <v/>
      </c>
      <c r="B16" s="162">
        <f>IFERROR(INDEX(tk_QTY,MATCH(11,tk_DSEQ,0)),"")</f>
        <v/>
      </c>
      <c r="C16" s="162">
        <f>IFERROR(INDEX(tk_ROOMF,MATCH(11,tk_DSEQ,0))&amp;IF(INDEX(tk_ROOMT,MATCH(11,tk_DSEQ,0))="",""," → "&amp;INDEX(tk_ROOMT,MATCH(11,tk_DSEQ,0))),"")</f>
        <v/>
      </c>
      <c r="D16" s="162">
        <f>IFERROR(INDEX(tk_LEAVES,MATCH(11,tk_DSEQ,0)),"")</f>
        <v/>
      </c>
      <c r="E16" s="162">
        <f>IFERROR(""&amp;INDEX(tk_RATING,MATCH(11,tk_DSEQ,0)),"")</f>
        <v/>
      </c>
      <c r="F16" s="162">
        <f>IFERROR(TEXT(INDEX(tk_LEAFW,MATCH(11,tk_DSEQ,0)),"0.000")&amp;" x "&amp;TEXT(INDEX(tk_LEAFH,MATCH(11,tk_DSEQ,0)),"0.000"),"")</f>
        <v/>
      </c>
      <c r="G16" s="181">
        <f>IFERROR(""&amp;INDEX(tk_DLINE,MATCH(11,tk_DSEQ,0)),"")</f>
        <v/>
      </c>
      <c r="H16" s="181">
        <f>IFERROR(""&amp;INDEX(tk_LOCTXTD,MATCH(11,tk_DSEQ,0)),"")</f>
        <v/>
      </c>
      <c r="I16" s="162">
        <f>IFERROR(""&amp;INDEX(tk_DNOTES,MATCH(11,tk_DSEQ,0)),"")</f>
        <v/>
      </c>
    </row>
    <row r="17">
      <c r="A17" s="161">
        <f>IFERROR(""&amp;INDEX(tk_MARK,MATCH(12,tk_DSEQ,0)),"")</f>
        <v/>
      </c>
      <c r="B17" s="162">
        <f>IFERROR(INDEX(tk_QTY,MATCH(12,tk_DSEQ,0)),"")</f>
        <v/>
      </c>
      <c r="C17" s="162">
        <f>IFERROR(INDEX(tk_ROOMF,MATCH(12,tk_DSEQ,0))&amp;IF(INDEX(tk_ROOMT,MATCH(12,tk_DSEQ,0))="",""," → "&amp;INDEX(tk_ROOMT,MATCH(12,tk_DSEQ,0))),"")</f>
        <v/>
      </c>
      <c r="D17" s="162">
        <f>IFERROR(INDEX(tk_LEAVES,MATCH(12,tk_DSEQ,0)),"")</f>
        <v/>
      </c>
      <c r="E17" s="162">
        <f>IFERROR(""&amp;INDEX(tk_RATING,MATCH(12,tk_DSEQ,0)),"")</f>
        <v/>
      </c>
      <c r="F17" s="162">
        <f>IFERROR(TEXT(INDEX(tk_LEAFW,MATCH(12,tk_DSEQ,0)),"0.000")&amp;" x "&amp;TEXT(INDEX(tk_LEAFH,MATCH(12,tk_DSEQ,0)),"0.000"),"")</f>
        <v/>
      </c>
      <c r="G17" s="181">
        <f>IFERROR(""&amp;INDEX(tk_DLINE,MATCH(12,tk_DSEQ,0)),"")</f>
        <v/>
      </c>
      <c r="H17" s="181">
        <f>IFERROR(""&amp;INDEX(tk_LOCTXTD,MATCH(12,tk_DSEQ,0)),"")</f>
        <v/>
      </c>
      <c r="I17" s="162">
        <f>IFERROR(""&amp;INDEX(tk_DNOTES,MATCH(12,tk_DSEQ,0)),"")</f>
        <v/>
      </c>
    </row>
    <row r="18">
      <c r="A18" s="161">
        <f>IFERROR(""&amp;INDEX(tk_MARK,MATCH(13,tk_DSEQ,0)),"")</f>
        <v/>
      </c>
      <c r="B18" s="162">
        <f>IFERROR(INDEX(tk_QTY,MATCH(13,tk_DSEQ,0)),"")</f>
        <v/>
      </c>
      <c r="C18" s="162">
        <f>IFERROR(INDEX(tk_ROOMF,MATCH(13,tk_DSEQ,0))&amp;IF(INDEX(tk_ROOMT,MATCH(13,tk_DSEQ,0))="",""," → "&amp;INDEX(tk_ROOMT,MATCH(13,tk_DSEQ,0))),"")</f>
        <v/>
      </c>
      <c r="D18" s="162">
        <f>IFERROR(INDEX(tk_LEAVES,MATCH(13,tk_DSEQ,0)),"")</f>
        <v/>
      </c>
      <c r="E18" s="162">
        <f>IFERROR(""&amp;INDEX(tk_RATING,MATCH(13,tk_DSEQ,0)),"")</f>
        <v/>
      </c>
      <c r="F18" s="162">
        <f>IFERROR(TEXT(INDEX(tk_LEAFW,MATCH(13,tk_DSEQ,0)),"0.000")&amp;" x "&amp;TEXT(INDEX(tk_LEAFH,MATCH(13,tk_DSEQ,0)),"0.000"),"")</f>
        <v/>
      </c>
      <c r="G18" s="181">
        <f>IFERROR(""&amp;INDEX(tk_DLINE,MATCH(13,tk_DSEQ,0)),"")</f>
        <v/>
      </c>
      <c r="H18" s="181">
        <f>IFERROR(""&amp;INDEX(tk_LOCTXTD,MATCH(13,tk_DSEQ,0)),"")</f>
        <v/>
      </c>
      <c r="I18" s="162">
        <f>IFERROR(""&amp;INDEX(tk_DNOTES,MATCH(13,tk_DSEQ,0)),"")</f>
        <v/>
      </c>
    </row>
    <row r="19">
      <c r="A19" s="161">
        <f>IFERROR(""&amp;INDEX(tk_MARK,MATCH(14,tk_DSEQ,0)),"")</f>
        <v/>
      </c>
      <c r="B19" s="162">
        <f>IFERROR(INDEX(tk_QTY,MATCH(14,tk_DSEQ,0)),"")</f>
        <v/>
      </c>
      <c r="C19" s="162">
        <f>IFERROR(INDEX(tk_ROOMF,MATCH(14,tk_DSEQ,0))&amp;IF(INDEX(tk_ROOMT,MATCH(14,tk_DSEQ,0))="",""," → "&amp;INDEX(tk_ROOMT,MATCH(14,tk_DSEQ,0))),"")</f>
        <v/>
      </c>
      <c r="D19" s="162">
        <f>IFERROR(INDEX(tk_LEAVES,MATCH(14,tk_DSEQ,0)),"")</f>
        <v/>
      </c>
      <c r="E19" s="162">
        <f>IFERROR(""&amp;INDEX(tk_RATING,MATCH(14,tk_DSEQ,0)),"")</f>
        <v/>
      </c>
      <c r="F19" s="162">
        <f>IFERROR(TEXT(INDEX(tk_LEAFW,MATCH(14,tk_DSEQ,0)),"0.000")&amp;" x "&amp;TEXT(INDEX(tk_LEAFH,MATCH(14,tk_DSEQ,0)),"0.000"),"")</f>
        <v/>
      </c>
      <c r="G19" s="181">
        <f>IFERROR(""&amp;INDEX(tk_DLINE,MATCH(14,tk_DSEQ,0)),"")</f>
        <v/>
      </c>
      <c r="H19" s="181">
        <f>IFERROR(""&amp;INDEX(tk_LOCTXTD,MATCH(14,tk_DSEQ,0)),"")</f>
        <v/>
      </c>
      <c r="I19" s="162">
        <f>IFERROR(""&amp;INDEX(tk_DNOTES,MATCH(14,tk_DSEQ,0)),"")</f>
        <v/>
      </c>
    </row>
    <row r="20">
      <c r="A20" s="161">
        <f>IFERROR(""&amp;INDEX(tk_MARK,MATCH(15,tk_DSEQ,0)),"")</f>
        <v/>
      </c>
      <c r="B20" s="162">
        <f>IFERROR(INDEX(tk_QTY,MATCH(15,tk_DSEQ,0)),"")</f>
        <v/>
      </c>
      <c r="C20" s="162">
        <f>IFERROR(INDEX(tk_ROOMF,MATCH(15,tk_DSEQ,0))&amp;IF(INDEX(tk_ROOMT,MATCH(15,tk_DSEQ,0))="",""," → "&amp;INDEX(tk_ROOMT,MATCH(15,tk_DSEQ,0))),"")</f>
        <v/>
      </c>
      <c r="D20" s="162">
        <f>IFERROR(INDEX(tk_LEAVES,MATCH(15,tk_DSEQ,0)),"")</f>
        <v/>
      </c>
      <c r="E20" s="162">
        <f>IFERROR(""&amp;INDEX(tk_RATING,MATCH(15,tk_DSEQ,0)),"")</f>
        <v/>
      </c>
      <c r="F20" s="162">
        <f>IFERROR(TEXT(INDEX(tk_LEAFW,MATCH(15,tk_DSEQ,0)),"0.000")&amp;" x "&amp;TEXT(INDEX(tk_LEAFH,MATCH(15,tk_DSEQ,0)),"0.000"),"")</f>
        <v/>
      </c>
      <c r="G20" s="181">
        <f>IFERROR(""&amp;INDEX(tk_DLINE,MATCH(15,tk_DSEQ,0)),"")</f>
        <v/>
      </c>
      <c r="H20" s="181">
        <f>IFERROR(""&amp;INDEX(tk_LOCTXTD,MATCH(15,tk_DSEQ,0)),"")</f>
        <v/>
      </c>
      <c r="I20" s="162">
        <f>IFERROR(""&amp;INDEX(tk_DNOTES,MATCH(15,tk_DSEQ,0)),"")</f>
        <v/>
      </c>
    </row>
    <row r="21">
      <c r="A21" s="161">
        <f>IFERROR(""&amp;INDEX(tk_MARK,MATCH(16,tk_DSEQ,0)),"")</f>
        <v/>
      </c>
      <c r="B21" s="162">
        <f>IFERROR(INDEX(tk_QTY,MATCH(16,tk_DSEQ,0)),"")</f>
        <v/>
      </c>
      <c r="C21" s="162">
        <f>IFERROR(INDEX(tk_ROOMF,MATCH(16,tk_DSEQ,0))&amp;IF(INDEX(tk_ROOMT,MATCH(16,tk_DSEQ,0))="",""," → "&amp;INDEX(tk_ROOMT,MATCH(16,tk_DSEQ,0))),"")</f>
        <v/>
      </c>
      <c r="D21" s="162">
        <f>IFERROR(INDEX(tk_LEAVES,MATCH(16,tk_DSEQ,0)),"")</f>
        <v/>
      </c>
      <c r="E21" s="162">
        <f>IFERROR(""&amp;INDEX(tk_RATING,MATCH(16,tk_DSEQ,0)),"")</f>
        <v/>
      </c>
      <c r="F21" s="162">
        <f>IFERROR(TEXT(INDEX(tk_LEAFW,MATCH(16,tk_DSEQ,0)),"0.000")&amp;" x "&amp;TEXT(INDEX(tk_LEAFH,MATCH(16,tk_DSEQ,0)),"0.000"),"")</f>
        <v/>
      </c>
      <c r="G21" s="181">
        <f>IFERROR(""&amp;INDEX(tk_DLINE,MATCH(16,tk_DSEQ,0)),"")</f>
        <v/>
      </c>
      <c r="H21" s="181">
        <f>IFERROR(""&amp;INDEX(tk_LOCTXTD,MATCH(16,tk_DSEQ,0)),"")</f>
        <v/>
      </c>
      <c r="I21" s="162">
        <f>IFERROR(""&amp;INDEX(tk_DNOTES,MATCH(16,tk_DSEQ,0)),"")</f>
        <v/>
      </c>
    </row>
    <row r="22">
      <c r="A22" s="161">
        <f>IFERROR(""&amp;INDEX(tk_MARK,MATCH(17,tk_DSEQ,0)),"")</f>
        <v/>
      </c>
      <c r="B22" s="162">
        <f>IFERROR(INDEX(tk_QTY,MATCH(17,tk_DSEQ,0)),"")</f>
        <v/>
      </c>
      <c r="C22" s="162">
        <f>IFERROR(INDEX(tk_ROOMF,MATCH(17,tk_DSEQ,0))&amp;IF(INDEX(tk_ROOMT,MATCH(17,tk_DSEQ,0))="",""," → "&amp;INDEX(tk_ROOMT,MATCH(17,tk_DSEQ,0))),"")</f>
        <v/>
      </c>
      <c r="D22" s="162">
        <f>IFERROR(INDEX(tk_LEAVES,MATCH(17,tk_DSEQ,0)),"")</f>
        <v/>
      </c>
      <c r="E22" s="162">
        <f>IFERROR(""&amp;INDEX(tk_RATING,MATCH(17,tk_DSEQ,0)),"")</f>
        <v/>
      </c>
      <c r="F22" s="162">
        <f>IFERROR(TEXT(INDEX(tk_LEAFW,MATCH(17,tk_DSEQ,0)),"0.000")&amp;" x "&amp;TEXT(INDEX(tk_LEAFH,MATCH(17,tk_DSEQ,0)),"0.000"),"")</f>
        <v/>
      </c>
      <c r="G22" s="181">
        <f>IFERROR(""&amp;INDEX(tk_DLINE,MATCH(17,tk_DSEQ,0)),"")</f>
        <v/>
      </c>
      <c r="H22" s="181">
        <f>IFERROR(""&amp;INDEX(tk_LOCTXTD,MATCH(17,tk_DSEQ,0)),"")</f>
        <v/>
      </c>
      <c r="I22" s="162">
        <f>IFERROR(""&amp;INDEX(tk_DNOTES,MATCH(17,tk_DSEQ,0)),"")</f>
        <v/>
      </c>
    </row>
    <row r="23">
      <c r="A23" s="161">
        <f>IFERROR(""&amp;INDEX(tk_MARK,MATCH(18,tk_DSEQ,0)),"")</f>
        <v/>
      </c>
      <c r="B23" s="162">
        <f>IFERROR(INDEX(tk_QTY,MATCH(18,tk_DSEQ,0)),"")</f>
        <v/>
      </c>
      <c r="C23" s="162">
        <f>IFERROR(INDEX(tk_ROOMF,MATCH(18,tk_DSEQ,0))&amp;IF(INDEX(tk_ROOMT,MATCH(18,tk_DSEQ,0))="",""," → "&amp;INDEX(tk_ROOMT,MATCH(18,tk_DSEQ,0))),"")</f>
        <v/>
      </c>
      <c r="D23" s="162">
        <f>IFERROR(INDEX(tk_LEAVES,MATCH(18,tk_DSEQ,0)),"")</f>
        <v/>
      </c>
      <c r="E23" s="162">
        <f>IFERROR(""&amp;INDEX(tk_RATING,MATCH(18,tk_DSEQ,0)),"")</f>
        <v/>
      </c>
      <c r="F23" s="162">
        <f>IFERROR(TEXT(INDEX(tk_LEAFW,MATCH(18,tk_DSEQ,0)),"0.000")&amp;" x "&amp;TEXT(INDEX(tk_LEAFH,MATCH(18,tk_DSEQ,0)),"0.000"),"")</f>
        <v/>
      </c>
      <c r="G23" s="181">
        <f>IFERROR(""&amp;INDEX(tk_DLINE,MATCH(18,tk_DSEQ,0)),"")</f>
        <v/>
      </c>
      <c r="H23" s="181">
        <f>IFERROR(""&amp;INDEX(tk_LOCTXTD,MATCH(18,tk_DSEQ,0)),"")</f>
        <v/>
      </c>
      <c r="I23" s="162">
        <f>IFERROR(""&amp;INDEX(tk_DNOTES,MATCH(18,tk_DSEQ,0)),"")</f>
        <v/>
      </c>
    </row>
    <row r="24">
      <c r="A24" s="161">
        <f>IFERROR(""&amp;INDEX(tk_MARK,MATCH(19,tk_DSEQ,0)),"")</f>
        <v/>
      </c>
      <c r="B24" s="162">
        <f>IFERROR(INDEX(tk_QTY,MATCH(19,tk_DSEQ,0)),"")</f>
        <v/>
      </c>
      <c r="C24" s="162">
        <f>IFERROR(INDEX(tk_ROOMF,MATCH(19,tk_DSEQ,0))&amp;IF(INDEX(tk_ROOMT,MATCH(19,tk_DSEQ,0))="",""," → "&amp;INDEX(tk_ROOMT,MATCH(19,tk_DSEQ,0))),"")</f>
        <v/>
      </c>
      <c r="D24" s="162">
        <f>IFERROR(INDEX(tk_LEAVES,MATCH(19,tk_DSEQ,0)),"")</f>
        <v/>
      </c>
      <c r="E24" s="162">
        <f>IFERROR(""&amp;INDEX(tk_RATING,MATCH(19,tk_DSEQ,0)),"")</f>
        <v/>
      </c>
      <c r="F24" s="162">
        <f>IFERROR(TEXT(INDEX(tk_LEAFW,MATCH(19,tk_DSEQ,0)),"0.000")&amp;" x "&amp;TEXT(INDEX(tk_LEAFH,MATCH(19,tk_DSEQ,0)),"0.000"),"")</f>
        <v/>
      </c>
      <c r="G24" s="181">
        <f>IFERROR(""&amp;INDEX(tk_DLINE,MATCH(19,tk_DSEQ,0)),"")</f>
        <v/>
      </c>
      <c r="H24" s="181">
        <f>IFERROR(""&amp;INDEX(tk_LOCTXTD,MATCH(19,tk_DSEQ,0)),"")</f>
        <v/>
      </c>
      <c r="I24" s="162">
        <f>IFERROR(""&amp;INDEX(tk_DNOTES,MATCH(19,tk_DSEQ,0)),"")</f>
        <v/>
      </c>
    </row>
    <row r="25">
      <c r="A25" s="161">
        <f>IFERROR(""&amp;INDEX(tk_MARK,MATCH(20,tk_DSEQ,0)),"")</f>
        <v/>
      </c>
      <c r="B25" s="162">
        <f>IFERROR(INDEX(tk_QTY,MATCH(20,tk_DSEQ,0)),"")</f>
        <v/>
      </c>
      <c r="C25" s="162">
        <f>IFERROR(INDEX(tk_ROOMF,MATCH(20,tk_DSEQ,0))&amp;IF(INDEX(tk_ROOMT,MATCH(20,tk_DSEQ,0))="",""," → "&amp;INDEX(tk_ROOMT,MATCH(20,tk_DSEQ,0))),"")</f>
        <v/>
      </c>
      <c r="D25" s="162">
        <f>IFERROR(INDEX(tk_LEAVES,MATCH(20,tk_DSEQ,0)),"")</f>
        <v/>
      </c>
      <c r="E25" s="162">
        <f>IFERROR(""&amp;INDEX(tk_RATING,MATCH(20,tk_DSEQ,0)),"")</f>
        <v/>
      </c>
      <c r="F25" s="162">
        <f>IFERROR(TEXT(INDEX(tk_LEAFW,MATCH(20,tk_DSEQ,0)),"0.000")&amp;" x "&amp;TEXT(INDEX(tk_LEAFH,MATCH(20,tk_DSEQ,0)),"0.000"),"")</f>
        <v/>
      </c>
      <c r="G25" s="181">
        <f>IFERROR(""&amp;INDEX(tk_DLINE,MATCH(20,tk_DSEQ,0)),"")</f>
        <v/>
      </c>
      <c r="H25" s="181">
        <f>IFERROR(""&amp;INDEX(tk_LOCTXTD,MATCH(20,tk_DSEQ,0)),"")</f>
        <v/>
      </c>
      <c r="I25" s="162">
        <f>IFERROR(""&amp;INDEX(tk_DNOTES,MATCH(20,tk_DSEQ,0)),"")</f>
        <v/>
      </c>
    </row>
    <row r="26">
      <c r="A26" s="161">
        <f>IFERROR(""&amp;INDEX(tk_MARK,MATCH(21,tk_DSEQ,0)),"")</f>
        <v/>
      </c>
      <c r="B26" s="162">
        <f>IFERROR(INDEX(tk_QTY,MATCH(21,tk_DSEQ,0)),"")</f>
        <v/>
      </c>
      <c r="C26" s="162">
        <f>IFERROR(INDEX(tk_ROOMF,MATCH(21,tk_DSEQ,0))&amp;IF(INDEX(tk_ROOMT,MATCH(21,tk_DSEQ,0))="",""," → "&amp;INDEX(tk_ROOMT,MATCH(21,tk_DSEQ,0))),"")</f>
        <v/>
      </c>
      <c r="D26" s="162">
        <f>IFERROR(INDEX(tk_LEAVES,MATCH(21,tk_DSEQ,0)),"")</f>
        <v/>
      </c>
      <c r="E26" s="162">
        <f>IFERROR(""&amp;INDEX(tk_RATING,MATCH(21,tk_DSEQ,0)),"")</f>
        <v/>
      </c>
      <c r="F26" s="162">
        <f>IFERROR(TEXT(INDEX(tk_LEAFW,MATCH(21,tk_DSEQ,0)),"0.000")&amp;" x "&amp;TEXT(INDEX(tk_LEAFH,MATCH(21,tk_DSEQ,0)),"0.000"),"")</f>
        <v/>
      </c>
      <c r="G26" s="181">
        <f>IFERROR(""&amp;INDEX(tk_DLINE,MATCH(21,tk_DSEQ,0)),"")</f>
        <v/>
      </c>
      <c r="H26" s="181">
        <f>IFERROR(""&amp;INDEX(tk_LOCTXTD,MATCH(21,tk_DSEQ,0)),"")</f>
        <v/>
      </c>
      <c r="I26" s="162">
        <f>IFERROR(""&amp;INDEX(tk_DNOTES,MATCH(21,tk_DSEQ,0)),"")</f>
        <v/>
      </c>
    </row>
    <row r="27">
      <c r="A27" s="161">
        <f>IFERROR(""&amp;INDEX(tk_MARK,MATCH(22,tk_DSEQ,0)),"")</f>
        <v/>
      </c>
      <c r="B27" s="162">
        <f>IFERROR(INDEX(tk_QTY,MATCH(22,tk_DSEQ,0)),"")</f>
        <v/>
      </c>
      <c r="C27" s="162">
        <f>IFERROR(INDEX(tk_ROOMF,MATCH(22,tk_DSEQ,0))&amp;IF(INDEX(tk_ROOMT,MATCH(22,tk_DSEQ,0))="",""," → "&amp;INDEX(tk_ROOMT,MATCH(22,tk_DSEQ,0))),"")</f>
        <v/>
      </c>
      <c r="D27" s="162">
        <f>IFERROR(INDEX(tk_LEAVES,MATCH(22,tk_DSEQ,0)),"")</f>
        <v/>
      </c>
      <c r="E27" s="162">
        <f>IFERROR(""&amp;INDEX(tk_RATING,MATCH(22,tk_DSEQ,0)),"")</f>
        <v/>
      </c>
      <c r="F27" s="162">
        <f>IFERROR(TEXT(INDEX(tk_LEAFW,MATCH(22,tk_DSEQ,0)),"0.000")&amp;" x "&amp;TEXT(INDEX(tk_LEAFH,MATCH(22,tk_DSEQ,0)),"0.000"),"")</f>
        <v/>
      </c>
      <c r="G27" s="181">
        <f>IFERROR(""&amp;INDEX(tk_DLINE,MATCH(22,tk_DSEQ,0)),"")</f>
        <v/>
      </c>
      <c r="H27" s="181">
        <f>IFERROR(""&amp;INDEX(tk_LOCTXTD,MATCH(22,tk_DSEQ,0)),"")</f>
        <v/>
      </c>
      <c r="I27" s="162">
        <f>IFERROR(""&amp;INDEX(tk_DNOTES,MATCH(22,tk_DSEQ,0)),"")</f>
        <v/>
      </c>
    </row>
    <row r="28">
      <c r="A28" s="161">
        <f>IFERROR(""&amp;INDEX(tk_MARK,MATCH(23,tk_DSEQ,0)),"")</f>
        <v/>
      </c>
      <c r="B28" s="162">
        <f>IFERROR(INDEX(tk_QTY,MATCH(23,tk_DSEQ,0)),"")</f>
        <v/>
      </c>
      <c r="C28" s="162">
        <f>IFERROR(INDEX(tk_ROOMF,MATCH(23,tk_DSEQ,0))&amp;IF(INDEX(tk_ROOMT,MATCH(23,tk_DSEQ,0))="",""," → "&amp;INDEX(tk_ROOMT,MATCH(23,tk_DSEQ,0))),"")</f>
        <v/>
      </c>
      <c r="D28" s="162">
        <f>IFERROR(INDEX(tk_LEAVES,MATCH(23,tk_DSEQ,0)),"")</f>
        <v/>
      </c>
      <c r="E28" s="162">
        <f>IFERROR(""&amp;INDEX(tk_RATING,MATCH(23,tk_DSEQ,0)),"")</f>
        <v/>
      </c>
      <c r="F28" s="162">
        <f>IFERROR(TEXT(INDEX(tk_LEAFW,MATCH(23,tk_DSEQ,0)),"0.000")&amp;" x "&amp;TEXT(INDEX(tk_LEAFH,MATCH(23,tk_DSEQ,0)),"0.000"),"")</f>
        <v/>
      </c>
      <c r="G28" s="181">
        <f>IFERROR(""&amp;INDEX(tk_DLINE,MATCH(23,tk_DSEQ,0)),"")</f>
        <v/>
      </c>
      <c r="H28" s="181">
        <f>IFERROR(""&amp;INDEX(tk_LOCTXTD,MATCH(23,tk_DSEQ,0)),"")</f>
        <v/>
      </c>
      <c r="I28" s="162">
        <f>IFERROR(""&amp;INDEX(tk_DNOTES,MATCH(23,tk_DSEQ,0)),"")</f>
        <v/>
      </c>
    </row>
    <row r="29">
      <c r="A29" s="161">
        <f>IFERROR(""&amp;INDEX(tk_MARK,MATCH(24,tk_DSEQ,0)),"")</f>
        <v/>
      </c>
      <c r="B29" s="162">
        <f>IFERROR(INDEX(tk_QTY,MATCH(24,tk_DSEQ,0)),"")</f>
        <v/>
      </c>
      <c r="C29" s="162">
        <f>IFERROR(INDEX(tk_ROOMF,MATCH(24,tk_DSEQ,0))&amp;IF(INDEX(tk_ROOMT,MATCH(24,tk_DSEQ,0))="",""," → "&amp;INDEX(tk_ROOMT,MATCH(24,tk_DSEQ,0))),"")</f>
        <v/>
      </c>
      <c r="D29" s="162">
        <f>IFERROR(INDEX(tk_LEAVES,MATCH(24,tk_DSEQ,0)),"")</f>
        <v/>
      </c>
      <c r="E29" s="162">
        <f>IFERROR(""&amp;INDEX(tk_RATING,MATCH(24,tk_DSEQ,0)),"")</f>
        <v/>
      </c>
      <c r="F29" s="162">
        <f>IFERROR(TEXT(INDEX(tk_LEAFW,MATCH(24,tk_DSEQ,0)),"0.000")&amp;" x "&amp;TEXT(INDEX(tk_LEAFH,MATCH(24,tk_DSEQ,0)),"0.000"),"")</f>
        <v/>
      </c>
      <c r="G29" s="181">
        <f>IFERROR(""&amp;INDEX(tk_DLINE,MATCH(24,tk_DSEQ,0)),"")</f>
        <v/>
      </c>
      <c r="H29" s="181">
        <f>IFERROR(""&amp;INDEX(tk_LOCTXTD,MATCH(24,tk_DSEQ,0)),"")</f>
        <v/>
      </c>
      <c r="I29" s="162">
        <f>IFERROR(""&amp;INDEX(tk_DNOTES,MATCH(24,tk_DSEQ,0)),"")</f>
        <v/>
      </c>
    </row>
    <row r="30">
      <c r="A30" s="161">
        <f>IFERROR(""&amp;INDEX(tk_MARK,MATCH(25,tk_DSEQ,0)),"")</f>
        <v/>
      </c>
      <c r="B30" s="162">
        <f>IFERROR(INDEX(tk_QTY,MATCH(25,tk_DSEQ,0)),"")</f>
        <v/>
      </c>
      <c r="C30" s="162">
        <f>IFERROR(INDEX(tk_ROOMF,MATCH(25,tk_DSEQ,0))&amp;IF(INDEX(tk_ROOMT,MATCH(25,tk_DSEQ,0))="",""," → "&amp;INDEX(tk_ROOMT,MATCH(25,tk_DSEQ,0))),"")</f>
        <v/>
      </c>
      <c r="D30" s="162">
        <f>IFERROR(INDEX(tk_LEAVES,MATCH(25,tk_DSEQ,0)),"")</f>
        <v/>
      </c>
      <c r="E30" s="162">
        <f>IFERROR(""&amp;INDEX(tk_RATING,MATCH(25,tk_DSEQ,0)),"")</f>
        <v/>
      </c>
      <c r="F30" s="162">
        <f>IFERROR(TEXT(INDEX(tk_LEAFW,MATCH(25,tk_DSEQ,0)),"0.000")&amp;" x "&amp;TEXT(INDEX(tk_LEAFH,MATCH(25,tk_DSEQ,0)),"0.000"),"")</f>
        <v/>
      </c>
      <c r="G30" s="181">
        <f>IFERROR(""&amp;INDEX(tk_DLINE,MATCH(25,tk_DSEQ,0)),"")</f>
        <v/>
      </c>
      <c r="H30" s="181">
        <f>IFERROR(""&amp;INDEX(tk_LOCTXTD,MATCH(25,tk_DSEQ,0)),"")</f>
        <v/>
      </c>
      <c r="I30" s="162">
        <f>IFERROR(""&amp;INDEX(tk_DNOTES,MATCH(25,tk_DSEQ,0)),"")</f>
        <v/>
      </c>
    </row>
    <row r="31">
      <c r="A31" s="161">
        <f>IFERROR(""&amp;INDEX(tk_MARK,MATCH(26,tk_DSEQ,0)),"")</f>
        <v/>
      </c>
      <c r="B31" s="162">
        <f>IFERROR(INDEX(tk_QTY,MATCH(26,tk_DSEQ,0)),"")</f>
        <v/>
      </c>
      <c r="C31" s="162">
        <f>IFERROR(INDEX(tk_ROOMF,MATCH(26,tk_DSEQ,0))&amp;IF(INDEX(tk_ROOMT,MATCH(26,tk_DSEQ,0))="",""," → "&amp;INDEX(tk_ROOMT,MATCH(26,tk_DSEQ,0))),"")</f>
        <v/>
      </c>
      <c r="D31" s="162">
        <f>IFERROR(INDEX(tk_LEAVES,MATCH(26,tk_DSEQ,0)),"")</f>
        <v/>
      </c>
      <c r="E31" s="162">
        <f>IFERROR(""&amp;INDEX(tk_RATING,MATCH(26,tk_DSEQ,0)),"")</f>
        <v/>
      </c>
      <c r="F31" s="162">
        <f>IFERROR(TEXT(INDEX(tk_LEAFW,MATCH(26,tk_DSEQ,0)),"0.000")&amp;" x "&amp;TEXT(INDEX(tk_LEAFH,MATCH(26,tk_DSEQ,0)),"0.000"),"")</f>
        <v/>
      </c>
      <c r="G31" s="181">
        <f>IFERROR(""&amp;INDEX(tk_DLINE,MATCH(26,tk_DSEQ,0)),"")</f>
        <v/>
      </c>
      <c r="H31" s="181">
        <f>IFERROR(""&amp;INDEX(tk_LOCTXTD,MATCH(26,tk_DSEQ,0)),"")</f>
        <v/>
      </c>
      <c r="I31" s="162">
        <f>IFERROR(""&amp;INDEX(tk_DNOTES,MATCH(26,tk_DSEQ,0)),"")</f>
        <v/>
      </c>
    </row>
    <row r="32">
      <c r="A32" s="161">
        <f>IFERROR(""&amp;INDEX(tk_MARK,MATCH(27,tk_DSEQ,0)),"")</f>
        <v/>
      </c>
      <c r="B32" s="162">
        <f>IFERROR(INDEX(tk_QTY,MATCH(27,tk_DSEQ,0)),"")</f>
        <v/>
      </c>
      <c r="C32" s="162">
        <f>IFERROR(INDEX(tk_ROOMF,MATCH(27,tk_DSEQ,0))&amp;IF(INDEX(tk_ROOMT,MATCH(27,tk_DSEQ,0))="",""," → "&amp;INDEX(tk_ROOMT,MATCH(27,tk_DSEQ,0))),"")</f>
        <v/>
      </c>
      <c r="D32" s="162">
        <f>IFERROR(INDEX(tk_LEAVES,MATCH(27,tk_DSEQ,0)),"")</f>
        <v/>
      </c>
      <c r="E32" s="162">
        <f>IFERROR(""&amp;INDEX(tk_RATING,MATCH(27,tk_DSEQ,0)),"")</f>
        <v/>
      </c>
      <c r="F32" s="162">
        <f>IFERROR(TEXT(INDEX(tk_LEAFW,MATCH(27,tk_DSEQ,0)),"0.000")&amp;" x "&amp;TEXT(INDEX(tk_LEAFH,MATCH(27,tk_DSEQ,0)),"0.000"),"")</f>
        <v/>
      </c>
      <c r="G32" s="181">
        <f>IFERROR(""&amp;INDEX(tk_DLINE,MATCH(27,tk_DSEQ,0)),"")</f>
        <v/>
      </c>
      <c r="H32" s="181">
        <f>IFERROR(""&amp;INDEX(tk_LOCTXTD,MATCH(27,tk_DSEQ,0)),"")</f>
        <v/>
      </c>
      <c r="I32" s="162">
        <f>IFERROR(""&amp;INDEX(tk_DNOTES,MATCH(27,tk_DSEQ,0)),"")</f>
        <v/>
      </c>
    </row>
    <row r="33">
      <c r="A33" s="161">
        <f>IFERROR(""&amp;INDEX(tk_MARK,MATCH(28,tk_DSEQ,0)),"")</f>
        <v/>
      </c>
      <c r="B33" s="162">
        <f>IFERROR(INDEX(tk_QTY,MATCH(28,tk_DSEQ,0)),"")</f>
        <v/>
      </c>
      <c r="C33" s="162">
        <f>IFERROR(INDEX(tk_ROOMF,MATCH(28,tk_DSEQ,0))&amp;IF(INDEX(tk_ROOMT,MATCH(28,tk_DSEQ,0))="",""," → "&amp;INDEX(tk_ROOMT,MATCH(28,tk_DSEQ,0))),"")</f>
        <v/>
      </c>
      <c r="D33" s="162">
        <f>IFERROR(INDEX(tk_LEAVES,MATCH(28,tk_DSEQ,0)),"")</f>
        <v/>
      </c>
      <c r="E33" s="162">
        <f>IFERROR(""&amp;INDEX(tk_RATING,MATCH(28,tk_DSEQ,0)),"")</f>
        <v/>
      </c>
      <c r="F33" s="162">
        <f>IFERROR(TEXT(INDEX(tk_LEAFW,MATCH(28,tk_DSEQ,0)),"0.000")&amp;" x "&amp;TEXT(INDEX(tk_LEAFH,MATCH(28,tk_DSEQ,0)),"0.000"),"")</f>
        <v/>
      </c>
      <c r="G33" s="181">
        <f>IFERROR(""&amp;INDEX(tk_DLINE,MATCH(28,tk_DSEQ,0)),"")</f>
        <v/>
      </c>
      <c r="H33" s="181">
        <f>IFERROR(""&amp;INDEX(tk_LOCTXTD,MATCH(28,tk_DSEQ,0)),"")</f>
        <v/>
      </c>
      <c r="I33" s="162">
        <f>IFERROR(""&amp;INDEX(tk_DNOTES,MATCH(28,tk_DSEQ,0)),"")</f>
        <v/>
      </c>
    </row>
    <row r="34">
      <c r="A34" s="161">
        <f>IFERROR(""&amp;INDEX(tk_MARK,MATCH(29,tk_DSEQ,0)),"")</f>
        <v/>
      </c>
      <c r="B34" s="162">
        <f>IFERROR(INDEX(tk_QTY,MATCH(29,tk_DSEQ,0)),"")</f>
        <v/>
      </c>
      <c r="C34" s="162">
        <f>IFERROR(INDEX(tk_ROOMF,MATCH(29,tk_DSEQ,0))&amp;IF(INDEX(tk_ROOMT,MATCH(29,tk_DSEQ,0))="",""," → "&amp;INDEX(tk_ROOMT,MATCH(29,tk_DSEQ,0))),"")</f>
        <v/>
      </c>
      <c r="D34" s="162">
        <f>IFERROR(INDEX(tk_LEAVES,MATCH(29,tk_DSEQ,0)),"")</f>
        <v/>
      </c>
      <c r="E34" s="162">
        <f>IFERROR(""&amp;INDEX(tk_RATING,MATCH(29,tk_DSEQ,0)),"")</f>
        <v/>
      </c>
      <c r="F34" s="162">
        <f>IFERROR(TEXT(INDEX(tk_LEAFW,MATCH(29,tk_DSEQ,0)),"0.000")&amp;" x "&amp;TEXT(INDEX(tk_LEAFH,MATCH(29,tk_DSEQ,0)),"0.000"),"")</f>
        <v/>
      </c>
      <c r="G34" s="181">
        <f>IFERROR(""&amp;INDEX(tk_DLINE,MATCH(29,tk_DSEQ,0)),"")</f>
        <v/>
      </c>
      <c r="H34" s="181">
        <f>IFERROR(""&amp;INDEX(tk_LOCTXTD,MATCH(29,tk_DSEQ,0)),"")</f>
        <v/>
      </c>
      <c r="I34" s="162">
        <f>IFERROR(""&amp;INDEX(tk_DNOTES,MATCH(29,tk_DSEQ,0)),"")</f>
        <v/>
      </c>
    </row>
    <row r="35">
      <c r="A35" s="161">
        <f>IFERROR(""&amp;INDEX(tk_MARK,MATCH(30,tk_DSEQ,0)),"")</f>
        <v/>
      </c>
      <c r="B35" s="162">
        <f>IFERROR(INDEX(tk_QTY,MATCH(30,tk_DSEQ,0)),"")</f>
        <v/>
      </c>
      <c r="C35" s="162">
        <f>IFERROR(INDEX(tk_ROOMF,MATCH(30,tk_DSEQ,0))&amp;IF(INDEX(tk_ROOMT,MATCH(30,tk_DSEQ,0))="",""," → "&amp;INDEX(tk_ROOMT,MATCH(30,tk_DSEQ,0))),"")</f>
        <v/>
      </c>
      <c r="D35" s="162">
        <f>IFERROR(INDEX(tk_LEAVES,MATCH(30,tk_DSEQ,0)),"")</f>
        <v/>
      </c>
      <c r="E35" s="162">
        <f>IFERROR(""&amp;INDEX(tk_RATING,MATCH(30,tk_DSEQ,0)),"")</f>
        <v/>
      </c>
      <c r="F35" s="162">
        <f>IFERROR(TEXT(INDEX(tk_LEAFW,MATCH(30,tk_DSEQ,0)),"0.000")&amp;" x "&amp;TEXT(INDEX(tk_LEAFH,MATCH(30,tk_DSEQ,0)),"0.000"),"")</f>
        <v/>
      </c>
      <c r="G35" s="181">
        <f>IFERROR(""&amp;INDEX(tk_DLINE,MATCH(30,tk_DSEQ,0)),"")</f>
        <v/>
      </c>
      <c r="H35" s="181">
        <f>IFERROR(""&amp;INDEX(tk_LOCTXTD,MATCH(30,tk_DSEQ,0)),"")</f>
        <v/>
      </c>
      <c r="I35" s="162">
        <f>IFERROR(""&amp;INDEX(tk_DNOTES,MATCH(30,tk_DSEQ,0)),"")</f>
        <v/>
      </c>
    </row>
    <row r="36">
      <c r="A36" s="161">
        <f>IFERROR(""&amp;INDEX(tk_MARK,MATCH(31,tk_DSEQ,0)),"")</f>
        <v/>
      </c>
      <c r="B36" s="162">
        <f>IFERROR(INDEX(tk_QTY,MATCH(31,tk_DSEQ,0)),"")</f>
        <v/>
      </c>
      <c r="C36" s="162">
        <f>IFERROR(INDEX(tk_ROOMF,MATCH(31,tk_DSEQ,0))&amp;IF(INDEX(tk_ROOMT,MATCH(31,tk_DSEQ,0))="",""," → "&amp;INDEX(tk_ROOMT,MATCH(31,tk_DSEQ,0))),"")</f>
        <v/>
      </c>
      <c r="D36" s="162">
        <f>IFERROR(INDEX(tk_LEAVES,MATCH(31,tk_DSEQ,0)),"")</f>
        <v/>
      </c>
      <c r="E36" s="162">
        <f>IFERROR(""&amp;INDEX(tk_RATING,MATCH(31,tk_DSEQ,0)),"")</f>
        <v/>
      </c>
      <c r="F36" s="162">
        <f>IFERROR(TEXT(INDEX(tk_LEAFW,MATCH(31,tk_DSEQ,0)),"0.000")&amp;" x "&amp;TEXT(INDEX(tk_LEAFH,MATCH(31,tk_DSEQ,0)),"0.000"),"")</f>
        <v/>
      </c>
      <c r="G36" s="181">
        <f>IFERROR(""&amp;INDEX(tk_DLINE,MATCH(31,tk_DSEQ,0)),"")</f>
        <v/>
      </c>
      <c r="H36" s="181">
        <f>IFERROR(""&amp;INDEX(tk_LOCTXTD,MATCH(31,tk_DSEQ,0)),"")</f>
        <v/>
      </c>
      <c r="I36" s="162">
        <f>IFERROR(""&amp;INDEX(tk_DNOTES,MATCH(31,tk_DSEQ,0)),"")</f>
        <v/>
      </c>
    </row>
    <row r="37">
      <c r="A37" s="161">
        <f>IFERROR(""&amp;INDEX(tk_MARK,MATCH(32,tk_DSEQ,0)),"")</f>
        <v/>
      </c>
      <c r="B37" s="162">
        <f>IFERROR(INDEX(tk_QTY,MATCH(32,tk_DSEQ,0)),"")</f>
        <v/>
      </c>
      <c r="C37" s="162">
        <f>IFERROR(INDEX(tk_ROOMF,MATCH(32,tk_DSEQ,0))&amp;IF(INDEX(tk_ROOMT,MATCH(32,tk_DSEQ,0))="",""," → "&amp;INDEX(tk_ROOMT,MATCH(32,tk_DSEQ,0))),"")</f>
        <v/>
      </c>
      <c r="D37" s="162">
        <f>IFERROR(INDEX(tk_LEAVES,MATCH(32,tk_DSEQ,0)),"")</f>
        <v/>
      </c>
      <c r="E37" s="162">
        <f>IFERROR(""&amp;INDEX(tk_RATING,MATCH(32,tk_DSEQ,0)),"")</f>
        <v/>
      </c>
      <c r="F37" s="162">
        <f>IFERROR(TEXT(INDEX(tk_LEAFW,MATCH(32,tk_DSEQ,0)),"0.000")&amp;" x "&amp;TEXT(INDEX(tk_LEAFH,MATCH(32,tk_DSEQ,0)),"0.000"),"")</f>
        <v/>
      </c>
      <c r="G37" s="181">
        <f>IFERROR(""&amp;INDEX(tk_DLINE,MATCH(32,tk_DSEQ,0)),"")</f>
        <v/>
      </c>
      <c r="H37" s="181">
        <f>IFERROR(""&amp;INDEX(tk_LOCTXTD,MATCH(32,tk_DSEQ,0)),"")</f>
        <v/>
      </c>
      <c r="I37" s="162">
        <f>IFERROR(""&amp;INDEX(tk_DNOTES,MATCH(32,tk_DSEQ,0)),"")</f>
        <v/>
      </c>
    </row>
    <row r="38">
      <c r="A38" s="161">
        <f>IFERROR(""&amp;INDEX(tk_MARK,MATCH(33,tk_DSEQ,0)),"")</f>
        <v/>
      </c>
      <c r="B38" s="162">
        <f>IFERROR(INDEX(tk_QTY,MATCH(33,tk_DSEQ,0)),"")</f>
        <v/>
      </c>
      <c r="C38" s="162">
        <f>IFERROR(INDEX(tk_ROOMF,MATCH(33,tk_DSEQ,0))&amp;IF(INDEX(tk_ROOMT,MATCH(33,tk_DSEQ,0))="",""," → "&amp;INDEX(tk_ROOMT,MATCH(33,tk_DSEQ,0))),"")</f>
        <v/>
      </c>
      <c r="D38" s="162">
        <f>IFERROR(INDEX(tk_LEAVES,MATCH(33,tk_DSEQ,0)),"")</f>
        <v/>
      </c>
      <c r="E38" s="162">
        <f>IFERROR(""&amp;INDEX(tk_RATING,MATCH(33,tk_DSEQ,0)),"")</f>
        <v/>
      </c>
      <c r="F38" s="162">
        <f>IFERROR(TEXT(INDEX(tk_LEAFW,MATCH(33,tk_DSEQ,0)),"0.000")&amp;" x "&amp;TEXT(INDEX(tk_LEAFH,MATCH(33,tk_DSEQ,0)),"0.000"),"")</f>
        <v/>
      </c>
      <c r="G38" s="181">
        <f>IFERROR(""&amp;INDEX(tk_DLINE,MATCH(33,tk_DSEQ,0)),"")</f>
        <v/>
      </c>
      <c r="H38" s="181">
        <f>IFERROR(""&amp;INDEX(tk_LOCTXTD,MATCH(33,tk_DSEQ,0)),"")</f>
        <v/>
      </c>
      <c r="I38" s="162">
        <f>IFERROR(""&amp;INDEX(tk_DNOTES,MATCH(33,tk_DSEQ,0)),"")</f>
        <v/>
      </c>
    </row>
    <row r="39">
      <c r="A39" s="161">
        <f>IFERROR(""&amp;INDEX(tk_MARK,MATCH(34,tk_DSEQ,0)),"")</f>
        <v/>
      </c>
      <c r="B39" s="162">
        <f>IFERROR(INDEX(tk_QTY,MATCH(34,tk_DSEQ,0)),"")</f>
        <v/>
      </c>
      <c r="C39" s="162">
        <f>IFERROR(INDEX(tk_ROOMF,MATCH(34,tk_DSEQ,0))&amp;IF(INDEX(tk_ROOMT,MATCH(34,tk_DSEQ,0))="",""," → "&amp;INDEX(tk_ROOMT,MATCH(34,tk_DSEQ,0))),"")</f>
        <v/>
      </c>
      <c r="D39" s="162">
        <f>IFERROR(INDEX(tk_LEAVES,MATCH(34,tk_DSEQ,0)),"")</f>
        <v/>
      </c>
      <c r="E39" s="162">
        <f>IFERROR(""&amp;INDEX(tk_RATING,MATCH(34,tk_DSEQ,0)),"")</f>
        <v/>
      </c>
      <c r="F39" s="162">
        <f>IFERROR(TEXT(INDEX(tk_LEAFW,MATCH(34,tk_DSEQ,0)),"0.000")&amp;" x "&amp;TEXT(INDEX(tk_LEAFH,MATCH(34,tk_DSEQ,0)),"0.000"),"")</f>
        <v/>
      </c>
      <c r="G39" s="181">
        <f>IFERROR(""&amp;INDEX(tk_DLINE,MATCH(34,tk_DSEQ,0)),"")</f>
        <v/>
      </c>
      <c r="H39" s="181">
        <f>IFERROR(""&amp;INDEX(tk_LOCTXTD,MATCH(34,tk_DSEQ,0)),"")</f>
        <v/>
      </c>
      <c r="I39" s="162">
        <f>IFERROR(""&amp;INDEX(tk_DNOTES,MATCH(34,tk_DSEQ,0)),"")</f>
        <v/>
      </c>
    </row>
    <row r="40">
      <c r="A40" s="161">
        <f>IFERROR(""&amp;INDEX(tk_MARK,MATCH(35,tk_DSEQ,0)),"")</f>
        <v/>
      </c>
      <c r="B40" s="162">
        <f>IFERROR(INDEX(tk_QTY,MATCH(35,tk_DSEQ,0)),"")</f>
        <v/>
      </c>
      <c r="C40" s="162">
        <f>IFERROR(INDEX(tk_ROOMF,MATCH(35,tk_DSEQ,0))&amp;IF(INDEX(tk_ROOMT,MATCH(35,tk_DSEQ,0))="",""," → "&amp;INDEX(tk_ROOMT,MATCH(35,tk_DSEQ,0))),"")</f>
        <v/>
      </c>
      <c r="D40" s="162">
        <f>IFERROR(INDEX(tk_LEAVES,MATCH(35,tk_DSEQ,0)),"")</f>
        <v/>
      </c>
      <c r="E40" s="162">
        <f>IFERROR(""&amp;INDEX(tk_RATING,MATCH(35,tk_DSEQ,0)),"")</f>
        <v/>
      </c>
      <c r="F40" s="162">
        <f>IFERROR(TEXT(INDEX(tk_LEAFW,MATCH(35,tk_DSEQ,0)),"0.000")&amp;" x "&amp;TEXT(INDEX(tk_LEAFH,MATCH(35,tk_DSEQ,0)),"0.000"),"")</f>
        <v/>
      </c>
      <c r="G40" s="181">
        <f>IFERROR(""&amp;INDEX(tk_DLINE,MATCH(35,tk_DSEQ,0)),"")</f>
        <v/>
      </c>
      <c r="H40" s="181">
        <f>IFERROR(""&amp;INDEX(tk_LOCTXTD,MATCH(35,tk_DSEQ,0)),"")</f>
        <v/>
      </c>
      <c r="I40" s="162">
        <f>IFERROR(""&amp;INDEX(tk_DNOTES,MATCH(35,tk_DSEQ,0)),"")</f>
        <v/>
      </c>
    </row>
    <row r="41">
      <c r="A41" s="161">
        <f>IFERROR(""&amp;INDEX(tk_MARK,MATCH(36,tk_DSEQ,0)),"")</f>
        <v/>
      </c>
      <c r="B41" s="162">
        <f>IFERROR(INDEX(tk_QTY,MATCH(36,tk_DSEQ,0)),"")</f>
        <v/>
      </c>
      <c r="C41" s="162">
        <f>IFERROR(INDEX(tk_ROOMF,MATCH(36,tk_DSEQ,0))&amp;IF(INDEX(tk_ROOMT,MATCH(36,tk_DSEQ,0))="",""," → "&amp;INDEX(tk_ROOMT,MATCH(36,tk_DSEQ,0))),"")</f>
        <v/>
      </c>
      <c r="D41" s="162">
        <f>IFERROR(INDEX(tk_LEAVES,MATCH(36,tk_DSEQ,0)),"")</f>
        <v/>
      </c>
      <c r="E41" s="162">
        <f>IFERROR(""&amp;INDEX(tk_RATING,MATCH(36,tk_DSEQ,0)),"")</f>
        <v/>
      </c>
      <c r="F41" s="162">
        <f>IFERROR(TEXT(INDEX(tk_LEAFW,MATCH(36,tk_DSEQ,0)),"0.000")&amp;" x "&amp;TEXT(INDEX(tk_LEAFH,MATCH(36,tk_DSEQ,0)),"0.000"),"")</f>
        <v/>
      </c>
      <c r="G41" s="181">
        <f>IFERROR(""&amp;INDEX(tk_DLINE,MATCH(36,tk_DSEQ,0)),"")</f>
        <v/>
      </c>
      <c r="H41" s="181">
        <f>IFERROR(""&amp;INDEX(tk_LOCTXTD,MATCH(36,tk_DSEQ,0)),"")</f>
        <v/>
      </c>
      <c r="I41" s="162">
        <f>IFERROR(""&amp;INDEX(tk_DNOTES,MATCH(36,tk_DSEQ,0)),"")</f>
        <v/>
      </c>
    </row>
    <row r="42">
      <c r="A42" s="161">
        <f>IFERROR(""&amp;INDEX(tk_MARK,MATCH(37,tk_DSEQ,0)),"")</f>
        <v/>
      </c>
      <c r="B42" s="162">
        <f>IFERROR(INDEX(tk_QTY,MATCH(37,tk_DSEQ,0)),"")</f>
        <v/>
      </c>
      <c r="C42" s="162">
        <f>IFERROR(INDEX(tk_ROOMF,MATCH(37,tk_DSEQ,0))&amp;IF(INDEX(tk_ROOMT,MATCH(37,tk_DSEQ,0))="",""," → "&amp;INDEX(tk_ROOMT,MATCH(37,tk_DSEQ,0))),"")</f>
        <v/>
      </c>
      <c r="D42" s="162">
        <f>IFERROR(INDEX(tk_LEAVES,MATCH(37,tk_DSEQ,0)),"")</f>
        <v/>
      </c>
      <c r="E42" s="162">
        <f>IFERROR(""&amp;INDEX(tk_RATING,MATCH(37,tk_DSEQ,0)),"")</f>
        <v/>
      </c>
      <c r="F42" s="162">
        <f>IFERROR(TEXT(INDEX(tk_LEAFW,MATCH(37,tk_DSEQ,0)),"0.000")&amp;" x "&amp;TEXT(INDEX(tk_LEAFH,MATCH(37,tk_DSEQ,0)),"0.000"),"")</f>
        <v/>
      </c>
      <c r="G42" s="181">
        <f>IFERROR(""&amp;INDEX(tk_DLINE,MATCH(37,tk_DSEQ,0)),"")</f>
        <v/>
      </c>
      <c r="H42" s="181">
        <f>IFERROR(""&amp;INDEX(tk_LOCTXTD,MATCH(37,tk_DSEQ,0)),"")</f>
        <v/>
      </c>
      <c r="I42" s="162">
        <f>IFERROR(""&amp;INDEX(tk_DNOTES,MATCH(37,tk_DSEQ,0)),"")</f>
        <v/>
      </c>
    </row>
    <row r="43">
      <c r="A43" s="161">
        <f>IFERROR(""&amp;INDEX(tk_MARK,MATCH(38,tk_DSEQ,0)),"")</f>
        <v/>
      </c>
      <c r="B43" s="162">
        <f>IFERROR(INDEX(tk_QTY,MATCH(38,tk_DSEQ,0)),"")</f>
        <v/>
      </c>
      <c r="C43" s="162">
        <f>IFERROR(INDEX(tk_ROOMF,MATCH(38,tk_DSEQ,0))&amp;IF(INDEX(tk_ROOMT,MATCH(38,tk_DSEQ,0))="",""," → "&amp;INDEX(tk_ROOMT,MATCH(38,tk_DSEQ,0))),"")</f>
        <v/>
      </c>
      <c r="D43" s="162">
        <f>IFERROR(INDEX(tk_LEAVES,MATCH(38,tk_DSEQ,0)),"")</f>
        <v/>
      </c>
      <c r="E43" s="162">
        <f>IFERROR(""&amp;INDEX(tk_RATING,MATCH(38,tk_DSEQ,0)),"")</f>
        <v/>
      </c>
      <c r="F43" s="162">
        <f>IFERROR(TEXT(INDEX(tk_LEAFW,MATCH(38,tk_DSEQ,0)),"0.000")&amp;" x "&amp;TEXT(INDEX(tk_LEAFH,MATCH(38,tk_DSEQ,0)),"0.000"),"")</f>
        <v/>
      </c>
      <c r="G43" s="181">
        <f>IFERROR(""&amp;INDEX(tk_DLINE,MATCH(38,tk_DSEQ,0)),"")</f>
        <v/>
      </c>
      <c r="H43" s="181">
        <f>IFERROR(""&amp;INDEX(tk_LOCTXTD,MATCH(38,tk_DSEQ,0)),"")</f>
        <v/>
      </c>
      <c r="I43" s="162">
        <f>IFERROR(""&amp;INDEX(tk_DNOTES,MATCH(38,tk_DSEQ,0)),"")</f>
        <v/>
      </c>
    </row>
    <row r="44">
      <c r="A44" s="161">
        <f>IFERROR(""&amp;INDEX(tk_MARK,MATCH(39,tk_DSEQ,0)),"")</f>
        <v/>
      </c>
      <c r="B44" s="162">
        <f>IFERROR(INDEX(tk_QTY,MATCH(39,tk_DSEQ,0)),"")</f>
        <v/>
      </c>
      <c r="C44" s="162">
        <f>IFERROR(INDEX(tk_ROOMF,MATCH(39,tk_DSEQ,0))&amp;IF(INDEX(tk_ROOMT,MATCH(39,tk_DSEQ,0))="",""," → "&amp;INDEX(tk_ROOMT,MATCH(39,tk_DSEQ,0))),"")</f>
        <v/>
      </c>
      <c r="D44" s="162">
        <f>IFERROR(INDEX(tk_LEAVES,MATCH(39,tk_DSEQ,0)),"")</f>
        <v/>
      </c>
      <c r="E44" s="162">
        <f>IFERROR(""&amp;INDEX(tk_RATING,MATCH(39,tk_DSEQ,0)),"")</f>
        <v/>
      </c>
      <c r="F44" s="162">
        <f>IFERROR(TEXT(INDEX(tk_LEAFW,MATCH(39,tk_DSEQ,0)),"0.000")&amp;" x "&amp;TEXT(INDEX(tk_LEAFH,MATCH(39,tk_DSEQ,0)),"0.000"),"")</f>
        <v/>
      </c>
      <c r="G44" s="181">
        <f>IFERROR(""&amp;INDEX(tk_DLINE,MATCH(39,tk_DSEQ,0)),"")</f>
        <v/>
      </c>
      <c r="H44" s="181">
        <f>IFERROR(""&amp;INDEX(tk_LOCTXTD,MATCH(39,tk_DSEQ,0)),"")</f>
        <v/>
      </c>
      <c r="I44" s="162">
        <f>IFERROR(""&amp;INDEX(tk_DNOTES,MATCH(39,tk_DSEQ,0)),"")</f>
        <v/>
      </c>
    </row>
    <row r="45">
      <c r="A45" s="161">
        <f>IFERROR(""&amp;INDEX(tk_MARK,MATCH(40,tk_DSEQ,0)),"")</f>
        <v/>
      </c>
      <c r="B45" s="162">
        <f>IFERROR(INDEX(tk_QTY,MATCH(40,tk_DSEQ,0)),"")</f>
        <v/>
      </c>
      <c r="C45" s="162">
        <f>IFERROR(INDEX(tk_ROOMF,MATCH(40,tk_DSEQ,0))&amp;IF(INDEX(tk_ROOMT,MATCH(40,tk_DSEQ,0))="",""," → "&amp;INDEX(tk_ROOMT,MATCH(40,tk_DSEQ,0))),"")</f>
        <v/>
      </c>
      <c r="D45" s="162">
        <f>IFERROR(INDEX(tk_LEAVES,MATCH(40,tk_DSEQ,0)),"")</f>
        <v/>
      </c>
      <c r="E45" s="162">
        <f>IFERROR(""&amp;INDEX(tk_RATING,MATCH(40,tk_DSEQ,0)),"")</f>
        <v/>
      </c>
      <c r="F45" s="162">
        <f>IFERROR(TEXT(INDEX(tk_LEAFW,MATCH(40,tk_DSEQ,0)),"0.000")&amp;" x "&amp;TEXT(INDEX(tk_LEAFH,MATCH(40,tk_DSEQ,0)),"0.000"),"")</f>
        <v/>
      </c>
      <c r="G45" s="181">
        <f>IFERROR(""&amp;INDEX(tk_DLINE,MATCH(40,tk_DSEQ,0)),"")</f>
        <v/>
      </c>
      <c r="H45" s="181">
        <f>IFERROR(""&amp;INDEX(tk_LOCTXTD,MATCH(40,tk_DSEQ,0)),"")</f>
        <v/>
      </c>
      <c r="I45" s="162">
        <f>IFERROR(""&amp;INDEX(tk_DNOTES,MATCH(40,tk_DSEQ,0)),"")</f>
        <v/>
      </c>
    </row>
    <row r="46">
      <c r="A46" s="161">
        <f>IFERROR(""&amp;INDEX(tk_MARK,MATCH(41,tk_DSEQ,0)),"")</f>
        <v/>
      </c>
      <c r="B46" s="162">
        <f>IFERROR(INDEX(tk_QTY,MATCH(41,tk_DSEQ,0)),"")</f>
        <v/>
      </c>
      <c r="C46" s="162">
        <f>IFERROR(INDEX(tk_ROOMF,MATCH(41,tk_DSEQ,0))&amp;IF(INDEX(tk_ROOMT,MATCH(41,tk_DSEQ,0))="",""," → "&amp;INDEX(tk_ROOMT,MATCH(41,tk_DSEQ,0))),"")</f>
        <v/>
      </c>
      <c r="D46" s="162">
        <f>IFERROR(INDEX(tk_LEAVES,MATCH(41,tk_DSEQ,0)),"")</f>
        <v/>
      </c>
      <c r="E46" s="162">
        <f>IFERROR(""&amp;INDEX(tk_RATING,MATCH(41,tk_DSEQ,0)),"")</f>
        <v/>
      </c>
      <c r="F46" s="162">
        <f>IFERROR(TEXT(INDEX(tk_LEAFW,MATCH(41,tk_DSEQ,0)),"0.000")&amp;" x "&amp;TEXT(INDEX(tk_LEAFH,MATCH(41,tk_DSEQ,0)),"0.000"),"")</f>
        <v/>
      </c>
      <c r="G46" s="181">
        <f>IFERROR(""&amp;INDEX(tk_DLINE,MATCH(41,tk_DSEQ,0)),"")</f>
        <v/>
      </c>
      <c r="H46" s="181">
        <f>IFERROR(""&amp;INDEX(tk_LOCTXTD,MATCH(41,tk_DSEQ,0)),"")</f>
        <v/>
      </c>
      <c r="I46" s="162">
        <f>IFERROR(""&amp;INDEX(tk_DNOTES,MATCH(41,tk_DSEQ,0)),"")</f>
        <v/>
      </c>
    </row>
    <row r="47">
      <c r="A47" s="161">
        <f>IFERROR(""&amp;INDEX(tk_MARK,MATCH(42,tk_DSEQ,0)),"")</f>
        <v/>
      </c>
      <c r="B47" s="162">
        <f>IFERROR(INDEX(tk_QTY,MATCH(42,tk_DSEQ,0)),"")</f>
        <v/>
      </c>
      <c r="C47" s="162">
        <f>IFERROR(INDEX(tk_ROOMF,MATCH(42,tk_DSEQ,0))&amp;IF(INDEX(tk_ROOMT,MATCH(42,tk_DSEQ,0))="",""," → "&amp;INDEX(tk_ROOMT,MATCH(42,tk_DSEQ,0))),"")</f>
        <v/>
      </c>
      <c r="D47" s="162">
        <f>IFERROR(INDEX(tk_LEAVES,MATCH(42,tk_DSEQ,0)),"")</f>
        <v/>
      </c>
      <c r="E47" s="162">
        <f>IFERROR(""&amp;INDEX(tk_RATING,MATCH(42,tk_DSEQ,0)),"")</f>
        <v/>
      </c>
      <c r="F47" s="162">
        <f>IFERROR(TEXT(INDEX(tk_LEAFW,MATCH(42,tk_DSEQ,0)),"0.000")&amp;" x "&amp;TEXT(INDEX(tk_LEAFH,MATCH(42,tk_DSEQ,0)),"0.000"),"")</f>
        <v/>
      </c>
      <c r="G47" s="181">
        <f>IFERROR(""&amp;INDEX(tk_DLINE,MATCH(42,tk_DSEQ,0)),"")</f>
        <v/>
      </c>
      <c r="H47" s="181">
        <f>IFERROR(""&amp;INDEX(tk_LOCTXTD,MATCH(42,tk_DSEQ,0)),"")</f>
        <v/>
      </c>
      <c r="I47" s="162">
        <f>IFERROR(""&amp;INDEX(tk_DNOTES,MATCH(42,tk_DSEQ,0)),"")</f>
        <v/>
      </c>
    </row>
    <row r="48">
      <c r="A48" s="161">
        <f>IFERROR(""&amp;INDEX(tk_MARK,MATCH(43,tk_DSEQ,0)),"")</f>
        <v/>
      </c>
      <c r="B48" s="162">
        <f>IFERROR(INDEX(tk_QTY,MATCH(43,tk_DSEQ,0)),"")</f>
        <v/>
      </c>
      <c r="C48" s="162">
        <f>IFERROR(INDEX(tk_ROOMF,MATCH(43,tk_DSEQ,0))&amp;IF(INDEX(tk_ROOMT,MATCH(43,tk_DSEQ,0))="",""," → "&amp;INDEX(tk_ROOMT,MATCH(43,tk_DSEQ,0))),"")</f>
        <v/>
      </c>
      <c r="D48" s="162">
        <f>IFERROR(INDEX(tk_LEAVES,MATCH(43,tk_DSEQ,0)),"")</f>
        <v/>
      </c>
      <c r="E48" s="162">
        <f>IFERROR(""&amp;INDEX(tk_RATING,MATCH(43,tk_DSEQ,0)),"")</f>
        <v/>
      </c>
      <c r="F48" s="162">
        <f>IFERROR(TEXT(INDEX(tk_LEAFW,MATCH(43,tk_DSEQ,0)),"0.000")&amp;" x "&amp;TEXT(INDEX(tk_LEAFH,MATCH(43,tk_DSEQ,0)),"0.000"),"")</f>
        <v/>
      </c>
      <c r="G48" s="181">
        <f>IFERROR(""&amp;INDEX(tk_DLINE,MATCH(43,tk_DSEQ,0)),"")</f>
        <v/>
      </c>
      <c r="H48" s="181">
        <f>IFERROR(""&amp;INDEX(tk_LOCTXTD,MATCH(43,tk_DSEQ,0)),"")</f>
        <v/>
      </c>
      <c r="I48" s="162">
        <f>IFERROR(""&amp;INDEX(tk_DNOTES,MATCH(43,tk_DSEQ,0)),"")</f>
        <v/>
      </c>
    </row>
    <row r="49">
      <c r="A49" s="161">
        <f>IFERROR(""&amp;INDEX(tk_MARK,MATCH(44,tk_DSEQ,0)),"")</f>
        <v/>
      </c>
      <c r="B49" s="162">
        <f>IFERROR(INDEX(tk_QTY,MATCH(44,tk_DSEQ,0)),"")</f>
        <v/>
      </c>
      <c r="C49" s="162">
        <f>IFERROR(INDEX(tk_ROOMF,MATCH(44,tk_DSEQ,0))&amp;IF(INDEX(tk_ROOMT,MATCH(44,tk_DSEQ,0))="",""," → "&amp;INDEX(tk_ROOMT,MATCH(44,tk_DSEQ,0))),"")</f>
        <v/>
      </c>
      <c r="D49" s="162">
        <f>IFERROR(INDEX(tk_LEAVES,MATCH(44,tk_DSEQ,0)),"")</f>
        <v/>
      </c>
      <c r="E49" s="162">
        <f>IFERROR(""&amp;INDEX(tk_RATING,MATCH(44,tk_DSEQ,0)),"")</f>
        <v/>
      </c>
      <c r="F49" s="162">
        <f>IFERROR(TEXT(INDEX(tk_LEAFW,MATCH(44,tk_DSEQ,0)),"0.000")&amp;" x "&amp;TEXT(INDEX(tk_LEAFH,MATCH(44,tk_DSEQ,0)),"0.000"),"")</f>
        <v/>
      </c>
      <c r="G49" s="181">
        <f>IFERROR(""&amp;INDEX(tk_DLINE,MATCH(44,tk_DSEQ,0)),"")</f>
        <v/>
      </c>
      <c r="H49" s="181">
        <f>IFERROR(""&amp;INDEX(tk_LOCTXTD,MATCH(44,tk_DSEQ,0)),"")</f>
        <v/>
      </c>
      <c r="I49" s="162">
        <f>IFERROR(""&amp;INDEX(tk_DNOTES,MATCH(44,tk_DSEQ,0)),"")</f>
        <v/>
      </c>
    </row>
    <row r="50">
      <c r="A50" s="161">
        <f>IFERROR(""&amp;INDEX(tk_MARK,MATCH(45,tk_DSEQ,0)),"")</f>
        <v/>
      </c>
      <c r="B50" s="162">
        <f>IFERROR(INDEX(tk_QTY,MATCH(45,tk_DSEQ,0)),"")</f>
        <v/>
      </c>
      <c r="C50" s="162">
        <f>IFERROR(INDEX(tk_ROOMF,MATCH(45,tk_DSEQ,0))&amp;IF(INDEX(tk_ROOMT,MATCH(45,tk_DSEQ,0))="",""," → "&amp;INDEX(tk_ROOMT,MATCH(45,tk_DSEQ,0))),"")</f>
        <v/>
      </c>
      <c r="D50" s="162">
        <f>IFERROR(INDEX(tk_LEAVES,MATCH(45,tk_DSEQ,0)),"")</f>
        <v/>
      </c>
      <c r="E50" s="162">
        <f>IFERROR(""&amp;INDEX(tk_RATING,MATCH(45,tk_DSEQ,0)),"")</f>
        <v/>
      </c>
      <c r="F50" s="162">
        <f>IFERROR(TEXT(INDEX(tk_LEAFW,MATCH(45,tk_DSEQ,0)),"0.000")&amp;" x "&amp;TEXT(INDEX(tk_LEAFH,MATCH(45,tk_DSEQ,0)),"0.000"),"")</f>
        <v/>
      </c>
      <c r="G50" s="181">
        <f>IFERROR(""&amp;INDEX(tk_DLINE,MATCH(45,tk_DSEQ,0)),"")</f>
        <v/>
      </c>
      <c r="H50" s="181">
        <f>IFERROR(""&amp;INDEX(tk_LOCTXTD,MATCH(45,tk_DSEQ,0)),"")</f>
        <v/>
      </c>
      <c r="I50" s="162">
        <f>IFERROR(""&amp;INDEX(tk_DNOTES,MATCH(45,tk_DSEQ,0)),"")</f>
        <v/>
      </c>
    </row>
    <row r="51">
      <c r="A51" s="161">
        <f>IFERROR(""&amp;INDEX(tk_MARK,MATCH(46,tk_DSEQ,0)),"")</f>
        <v/>
      </c>
      <c r="B51" s="162">
        <f>IFERROR(INDEX(tk_QTY,MATCH(46,tk_DSEQ,0)),"")</f>
        <v/>
      </c>
      <c r="C51" s="162">
        <f>IFERROR(INDEX(tk_ROOMF,MATCH(46,tk_DSEQ,0))&amp;IF(INDEX(tk_ROOMT,MATCH(46,tk_DSEQ,0))="",""," → "&amp;INDEX(tk_ROOMT,MATCH(46,tk_DSEQ,0))),"")</f>
        <v/>
      </c>
      <c r="D51" s="162">
        <f>IFERROR(INDEX(tk_LEAVES,MATCH(46,tk_DSEQ,0)),"")</f>
        <v/>
      </c>
      <c r="E51" s="162">
        <f>IFERROR(""&amp;INDEX(tk_RATING,MATCH(46,tk_DSEQ,0)),"")</f>
        <v/>
      </c>
      <c r="F51" s="162">
        <f>IFERROR(TEXT(INDEX(tk_LEAFW,MATCH(46,tk_DSEQ,0)),"0.000")&amp;" x "&amp;TEXT(INDEX(tk_LEAFH,MATCH(46,tk_DSEQ,0)),"0.000"),"")</f>
        <v/>
      </c>
      <c r="G51" s="181">
        <f>IFERROR(""&amp;INDEX(tk_DLINE,MATCH(46,tk_DSEQ,0)),"")</f>
        <v/>
      </c>
      <c r="H51" s="181">
        <f>IFERROR(""&amp;INDEX(tk_LOCTXTD,MATCH(46,tk_DSEQ,0)),"")</f>
        <v/>
      </c>
      <c r="I51" s="162">
        <f>IFERROR(""&amp;INDEX(tk_DNOTES,MATCH(46,tk_DSEQ,0)),"")</f>
        <v/>
      </c>
    </row>
    <row r="52">
      <c r="A52" s="161">
        <f>IFERROR(""&amp;INDEX(tk_MARK,MATCH(47,tk_DSEQ,0)),"")</f>
        <v/>
      </c>
      <c r="B52" s="162">
        <f>IFERROR(INDEX(tk_QTY,MATCH(47,tk_DSEQ,0)),"")</f>
        <v/>
      </c>
      <c r="C52" s="162">
        <f>IFERROR(INDEX(tk_ROOMF,MATCH(47,tk_DSEQ,0))&amp;IF(INDEX(tk_ROOMT,MATCH(47,tk_DSEQ,0))="",""," → "&amp;INDEX(tk_ROOMT,MATCH(47,tk_DSEQ,0))),"")</f>
        <v/>
      </c>
      <c r="D52" s="162">
        <f>IFERROR(INDEX(tk_LEAVES,MATCH(47,tk_DSEQ,0)),"")</f>
        <v/>
      </c>
      <c r="E52" s="162">
        <f>IFERROR(""&amp;INDEX(tk_RATING,MATCH(47,tk_DSEQ,0)),"")</f>
        <v/>
      </c>
      <c r="F52" s="162">
        <f>IFERROR(TEXT(INDEX(tk_LEAFW,MATCH(47,tk_DSEQ,0)),"0.000")&amp;" x "&amp;TEXT(INDEX(tk_LEAFH,MATCH(47,tk_DSEQ,0)),"0.000"),"")</f>
        <v/>
      </c>
      <c r="G52" s="181">
        <f>IFERROR(""&amp;INDEX(tk_DLINE,MATCH(47,tk_DSEQ,0)),"")</f>
        <v/>
      </c>
      <c r="H52" s="181">
        <f>IFERROR(""&amp;INDEX(tk_LOCTXTD,MATCH(47,tk_DSEQ,0)),"")</f>
        <v/>
      </c>
      <c r="I52" s="162">
        <f>IFERROR(""&amp;INDEX(tk_DNOTES,MATCH(47,tk_DSEQ,0)),"")</f>
        <v/>
      </c>
    </row>
    <row r="53">
      <c r="A53" s="161">
        <f>IFERROR(""&amp;INDEX(tk_MARK,MATCH(48,tk_DSEQ,0)),"")</f>
        <v/>
      </c>
      <c r="B53" s="162">
        <f>IFERROR(INDEX(tk_QTY,MATCH(48,tk_DSEQ,0)),"")</f>
        <v/>
      </c>
      <c r="C53" s="162">
        <f>IFERROR(INDEX(tk_ROOMF,MATCH(48,tk_DSEQ,0))&amp;IF(INDEX(tk_ROOMT,MATCH(48,tk_DSEQ,0))="",""," → "&amp;INDEX(tk_ROOMT,MATCH(48,tk_DSEQ,0))),"")</f>
        <v/>
      </c>
      <c r="D53" s="162">
        <f>IFERROR(INDEX(tk_LEAVES,MATCH(48,tk_DSEQ,0)),"")</f>
        <v/>
      </c>
      <c r="E53" s="162">
        <f>IFERROR(""&amp;INDEX(tk_RATING,MATCH(48,tk_DSEQ,0)),"")</f>
        <v/>
      </c>
      <c r="F53" s="162">
        <f>IFERROR(TEXT(INDEX(tk_LEAFW,MATCH(48,tk_DSEQ,0)),"0.000")&amp;" x "&amp;TEXT(INDEX(tk_LEAFH,MATCH(48,tk_DSEQ,0)),"0.000"),"")</f>
        <v/>
      </c>
      <c r="G53" s="181">
        <f>IFERROR(""&amp;INDEX(tk_DLINE,MATCH(48,tk_DSEQ,0)),"")</f>
        <v/>
      </c>
      <c r="H53" s="181">
        <f>IFERROR(""&amp;INDEX(tk_LOCTXTD,MATCH(48,tk_DSEQ,0)),"")</f>
        <v/>
      </c>
      <c r="I53" s="162">
        <f>IFERROR(""&amp;INDEX(tk_DNOTES,MATCH(48,tk_DSEQ,0)),"")</f>
        <v/>
      </c>
    </row>
    <row r="54">
      <c r="A54" s="161">
        <f>IFERROR(""&amp;INDEX(tk_MARK,MATCH(49,tk_DSEQ,0)),"")</f>
        <v/>
      </c>
      <c r="B54" s="162">
        <f>IFERROR(INDEX(tk_QTY,MATCH(49,tk_DSEQ,0)),"")</f>
        <v/>
      </c>
      <c r="C54" s="162">
        <f>IFERROR(INDEX(tk_ROOMF,MATCH(49,tk_DSEQ,0))&amp;IF(INDEX(tk_ROOMT,MATCH(49,tk_DSEQ,0))="",""," → "&amp;INDEX(tk_ROOMT,MATCH(49,tk_DSEQ,0))),"")</f>
        <v/>
      </c>
      <c r="D54" s="162">
        <f>IFERROR(INDEX(tk_LEAVES,MATCH(49,tk_DSEQ,0)),"")</f>
        <v/>
      </c>
      <c r="E54" s="162">
        <f>IFERROR(""&amp;INDEX(tk_RATING,MATCH(49,tk_DSEQ,0)),"")</f>
        <v/>
      </c>
      <c r="F54" s="162">
        <f>IFERROR(TEXT(INDEX(tk_LEAFW,MATCH(49,tk_DSEQ,0)),"0.000")&amp;" x "&amp;TEXT(INDEX(tk_LEAFH,MATCH(49,tk_DSEQ,0)),"0.000"),"")</f>
        <v/>
      </c>
      <c r="G54" s="181">
        <f>IFERROR(""&amp;INDEX(tk_DLINE,MATCH(49,tk_DSEQ,0)),"")</f>
        <v/>
      </c>
      <c r="H54" s="181">
        <f>IFERROR(""&amp;INDEX(tk_LOCTXTD,MATCH(49,tk_DSEQ,0)),"")</f>
        <v/>
      </c>
      <c r="I54" s="162">
        <f>IFERROR(""&amp;INDEX(tk_DNOTES,MATCH(49,tk_DSEQ,0)),"")</f>
        <v/>
      </c>
    </row>
    <row r="55">
      <c r="A55" s="161">
        <f>IFERROR(""&amp;INDEX(tk_MARK,MATCH(50,tk_DSEQ,0)),"")</f>
        <v/>
      </c>
      <c r="B55" s="162">
        <f>IFERROR(INDEX(tk_QTY,MATCH(50,tk_DSEQ,0)),"")</f>
        <v/>
      </c>
      <c r="C55" s="162">
        <f>IFERROR(INDEX(tk_ROOMF,MATCH(50,tk_DSEQ,0))&amp;IF(INDEX(tk_ROOMT,MATCH(50,tk_DSEQ,0))="",""," → "&amp;INDEX(tk_ROOMT,MATCH(50,tk_DSEQ,0))),"")</f>
        <v/>
      </c>
      <c r="D55" s="162">
        <f>IFERROR(INDEX(tk_LEAVES,MATCH(50,tk_DSEQ,0)),"")</f>
        <v/>
      </c>
      <c r="E55" s="162">
        <f>IFERROR(""&amp;INDEX(tk_RATING,MATCH(50,tk_DSEQ,0)),"")</f>
        <v/>
      </c>
      <c r="F55" s="162">
        <f>IFERROR(TEXT(INDEX(tk_LEAFW,MATCH(50,tk_DSEQ,0)),"0.000")&amp;" x "&amp;TEXT(INDEX(tk_LEAFH,MATCH(50,tk_DSEQ,0)),"0.000"),"")</f>
        <v/>
      </c>
      <c r="G55" s="181">
        <f>IFERROR(""&amp;INDEX(tk_DLINE,MATCH(50,tk_DSEQ,0)),"")</f>
        <v/>
      </c>
      <c r="H55" s="181">
        <f>IFERROR(""&amp;INDEX(tk_LOCTXTD,MATCH(50,tk_DSEQ,0)),"")</f>
        <v/>
      </c>
      <c r="I55" s="162">
        <f>IFERROR(""&amp;INDEX(tk_DNOTES,MATCH(50,tk_DSEQ,0)),"")</f>
        <v/>
      </c>
    </row>
    <row r="56">
      <c r="A56" s="161">
        <f>IFERROR(""&amp;INDEX(tk_MARK,MATCH(51,tk_DSEQ,0)),"")</f>
        <v/>
      </c>
      <c r="B56" s="162">
        <f>IFERROR(INDEX(tk_QTY,MATCH(51,tk_DSEQ,0)),"")</f>
        <v/>
      </c>
      <c r="C56" s="162">
        <f>IFERROR(INDEX(tk_ROOMF,MATCH(51,tk_DSEQ,0))&amp;IF(INDEX(tk_ROOMT,MATCH(51,tk_DSEQ,0))="",""," → "&amp;INDEX(tk_ROOMT,MATCH(51,tk_DSEQ,0))),"")</f>
        <v/>
      </c>
      <c r="D56" s="162">
        <f>IFERROR(INDEX(tk_LEAVES,MATCH(51,tk_DSEQ,0)),"")</f>
        <v/>
      </c>
      <c r="E56" s="162">
        <f>IFERROR(""&amp;INDEX(tk_RATING,MATCH(51,tk_DSEQ,0)),"")</f>
        <v/>
      </c>
      <c r="F56" s="162">
        <f>IFERROR(TEXT(INDEX(tk_LEAFW,MATCH(51,tk_DSEQ,0)),"0.000")&amp;" x "&amp;TEXT(INDEX(tk_LEAFH,MATCH(51,tk_DSEQ,0)),"0.000"),"")</f>
        <v/>
      </c>
      <c r="G56" s="181">
        <f>IFERROR(""&amp;INDEX(tk_DLINE,MATCH(51,tk_DSEQ,0)),"")</f>
        <v/>
      </c>
      <c r="H56" s="181">
        <f>IFERROR(""&amp;INDEX(tk_LOCTXTD,MATCH(51,tk_DSEQ,0)),"")</f>
        <v/>
      </c>
      <c r="I56" s="162">
        <f>IFERROR(""&amp;INDEX(tk_DNOTES,MATCH(51,tk_DSEQ,0)),"")</f>
        <v/>
      </c>
    </row>
    <row r="57">
      <c r="A57" s="161">
        <f>IFERROR(""&amp;INDEX(tk_MARK,MATCH(52,tk_DSEQ,0)),"")</f>
        <v/>
      </c>
      <c r="B57" s="162">
        <f>IFERROR(INDEX(tk_QTY,MATCH(52,tk_DSEQ,0)),"")</f>
        <v/>
      </c>
      <c r="C57" s="162">
        <f>IFERROR(INDEX(tk_ROOMF,MATCH(52,tk_DSEQ,0))&amp;IF(INDEX(tk_ROOMT,MATCH(52,tk_DSEQ,0))="",""," → "&amp;INDEX(tk_ROOMT,MATCH(52,tk_DSEQ,0))),"")</f>
        <v/>
      </c>
      <c r="D57" s="162">
        <f>IFERROR(INDEX(tk_LEAVES,MATCH(52,tk_DSEQ,0)),"")</f>
        <v/>
      </c>
      <c r="E57" s="162">
        <f>IFERROR(""&amp;INDEX(tk_RATING,MATCH(52,tk_DSEQ,0)),"")</f>
        <v/>
      </c>
      <c r="F57" s="162">
        <f>IFERROR(TEXT(INDEX(tk_LEAFW,MATCH(52,tk_DSEQ,0)),"0.000")&amp;" x "&amp;TEXT(INDEX(tk_LEAFH,MATCH(52,tk_DSEQ,0)),"0.000"),"")</f>
        <v/>
      </c>
      <c r="G57" s="181">
        <f>IFERROR(""&amp;INDEX(tk_DLINE,MATCH(52,tk_DSEQ,0)),"")</f>
        <v/>
      </c>
      <c r="H57" s="181">
        <f>IFERROR(""&amp;INDEX(tk_LOCTXTD,MATCH(52,tk_DSEQ,0)),"")</f>
        <v/>
      </c>
      <c r="I57" s="162">
        <f>IFERROR(""&amp;INDEX(tk_DNOTES,MATCH(52,tk_DSEQ,0)),"")</f>
        <v/>
      </c>
    </row>
    <row r="58">
      <c r="A58" s="161">
        <f>IFERROR(""&amp;INDEX(tk_MARK,MATCH(53,tk_DSEQ,0)),"")</f>
        <v/>
      </c>
      <c r="B58" s="162">
        <f>IFERROR(INDEX(tk_QTY,MATCH(53,tk_DSEQ,0)),"")</f>
        <v/>
      </c>
      <c r="C58" s="162">
        <f>IFERROR(INDEX(tk_ROOMF,MATCH(53,tk_DSEQ,0))&amp;IF(INDEX(tk_ROOMT,MATCH(53,tk_DSEQ,0))="",""," → "&amp;INDEX(tk_ROOMT,MATCH(53,tk_DSEQ,0))),"")</f>
        <v/>
      </c>
      <c r="D58" s="162">
        <f>IFERROR(INDEX(tk_LEAVES,MATCH(53,tk_DSEQ,0)),"")</f>
        <v/>
      </c>
      <c r="E58" s="162">
        <f>IFERROR(""&amp;INDEX(tk_RATING,MATCH(53,tk_DSEQ,0)),"")</f>
        <v/>
      </c>
      <c r="F58" s="162">
        <f>IFERROR(TEXT(INDEX(tk_LEAFW,MATCH(53,tk_DSEQ,0)),"0.000")&amp;" x "&amp;TEXT(INDEX(tk_LEAFH,MATCH(53,tk_DSEQ,0)),"0.000"),"")</f>
        <v/>
      </c>
      <c r="G58" s="181">
        <f>IFERROR(""&amp;INDEX(tk_DLINE,MATCH(53,tk_DSEQ,0)),"")</f>
        <v/>
      </c>
      <c r="H58" s="181">
        <f>IFERROR(""&amp;INDEX(tk_LOCTXTD,MATCH(53,tk_DSEQ,0)),"")</f>
        <v/>
      </c>
      <c r="I58" s="162">
        <f>IFERROR(""&amp;INDEX(tk_DNOTES,MATCH(53,tk_DSEQ,0)),"")</f>
        <v/>
      </c>
    </row>
    <row r="59">
      <c r="A59" s="161">
        <f>IFERROR(""&amp;INDEX(tk_MARK,MATCH(54,tk_DSEQ,0)),"")</f>
        <v/>
      </c>
      <c r="B59" s="162">
        <f>IFERROR(INDEX(tk_QTY,MATCH(54,tk_DSEQ,0)),"")</f>
        <v/>
      </c>
      <c r="C59" s="162">
        <f>IFERROR(INDEX(tk_ROOMF,MATCH(54,tk_DSEQ,0))&amp;IF(INDEX(tk_ROOMT,MATCH(54,tk_DSEQ,0))="",""," → "&amp;INDEX(tk_ROOMT,MATCH(54,tk_DSEQ,0))),"")</f>
        <v/>
      </c>
      <c r="D59" s="162">
        <f>IFERROR(INDEX(tk_LEAVES,MATCH(54,tk_DSEQ,0)),"")</f>
        <v/>
      </c>
      <c r="E59" s="162">
        <f>IFERROR(""&amp;INDEX(tk_RATING,MATCH(54,tk_DSEQ,0)),"")</f>
        <v/>
      </c>
      <c r="F59" s="162">
        <f>IFERROR(TEXT(INDEX(tk_LEAFW,MATCH(54,tk_DSEQ,0)),"0.000")&amp;" x "&amp;TEXT(INDEX(tk_LEAFH,MATCH(54,tk_DSEQ,0)),"0.000"),"")</f>
        <v/>
      </c>
      <c r="G59" s="181">
        <f>IFERROR(""&amp;INDEX(tk_DLINE,MATCH(54,tk_DSEQ,0)),"")</f>
        <v/>
      </c>
      <c r="H59" s="181">
        <f>IFERROR(""&amp;INDEX(tk_LOCTXTD,MATCH(54,tk_DSEQ,0)),"")</f>
        <v/>
      </c>
      <c r="I59" s="162">
        <f>IFERROR(""&amp;INDEX(tk_DNOTES,MATCH(54,tk_DSEQ,0)),"")</f>
        <v/>
      </c>
    </row>
    <row r="60">
      <c r="A60" s="161">
        <f>IFERROR(""&amp;INDEX(tk_MARK,MATCH(55,tk_DSEQ,0)),"")</f>
        <v/>
      </c>
      <c r="B60" s="162">
        <f>IFERROR(INDEX(tk_QTY,MATCH(55,tk_DSEQ,0)),"")</f>
        <v/>
      </c>
      <c r="C60" s="162">
        <f>IFERROR(INDEX(tk_ROOMF,MATCH(55,tk_DSEQ,0))&amp;IF(INDEX(tk_ROOMT,MATCH(55,tk_DSEQ,0))="",""," → "&amp;INDEX(tk_ROOMT,MATCH(55,tk_DSEQ,0))),"")</f>
        <v/>
      </c>
      <c r="D60" s="162">
        <f>IFERROR(INDEX(tk_LEAVES,MATCH(55,tk_DSEQ,0)),"")</f>
        <v/>
      </c>
      <c r="E60" s="162">
        <f>IFERROR(""&amp;INDEX(tk_RATING,MATCH(55,tk_DSEQ,0)),"")</f>
        <v/>
      </c>
      <c r="F60" s="162">
        <f>IFERROR(TEXT(INDEX(tk_LEAFW,MATCH(55,tk_DSEQ,0)),"0.000")&amp;" x "&amp;TEXT(INDEX(tk_LEAFH,MATCH(55,tk_DSEQ,0)),"0.000"),"")</f>
        <v/>
      </c>
      <c r="G60" s="181">
        <f>IFERROR(""&amp;INDEX(tk_DLINE,MATCH(55,tk_DSEQ,0)),"")</f>
        <v/>
      </c>
      <c r="H60" s="181">
        <f>IFERROR(""&amp;INDEX(tk_LOCTXTD,MATCH(55,tk_DSEQ,0)),"")</f>
        <v/>
      </c>
      <c r="I60" s="162">
        <f>IFERROR(""&amp;INDEX(tk_DNOTES,MATCH(55,tk_DSEQ,0)),"")</f>
        <v/>
      </c>
    </row>
    <row r="61">
      <c r="A61" s="161">
        <f>IFERROR(""&amp;INDEX(tk_MARK,MATCH(56,tk_DSEQ,0)),"")</f>
        <v/>
      </c>
      <c r="B61" s="162">
        <f>IFERROR(INDEX(tk_QTY,MATCH(56,tk_DSEQ,0)),"")</f>
        <v/>
      </c>
      <c r="C61" s="162">
        <f>IFERROR(INDEX(tk_ROOMF,MATCH(56,tk_DSEQ,0))&amp;IF(INDEX(tk_ROOMT,MATCH(56,tk_DSEQ,0))="",""," → "&amp;INDEX(tk_ROOMT,MATCH(56,tk_DSEQ,0))),"")</f>
        <v/>
      </c>
      <c r="D61" s="162">
        <f>IFERROR(INDEX(tk_LEAVES,MATCH(56,tk_DSEQ,0)),"")</f>
        <v/>
      </c>
      <c r="E61" s="162">
        <f>IFERROR(""&amp;INDEX(tk_RATING,MATCH(56,tk_DSEQ,0)),"")</f>
        <v/>
      </c>
      <c r="F61" s="162">
        <f>IFERROR(TEXT(INDEX(tk_LEAFW,MATCH(56,tk_DSEQ,0)),"0.000")&amp;" x "&amp;TEXT(INDEX(tk_LEAFH,MATCH(56,tk_DSEQ,0)),"0.000"),"")</f>
        <v/>
      </c>
      <c r="G61" s="181">
        <f>IFERROR(""&amp;INDEX(tk_DLINE,MATCH(56,tk_DSEQ,0)),"")</f>
        <v/>
      </c>
      <c r="H61" s="181">
        <f>IFERROR(""&amp;INDEX(tk_LOCTXTD,MATCH(56,tk_DSEQ,0)),"")</f>
        <v/>
      </c>
      <c r="I61" s="162">
        <f>IFERROR(""&amp;INDEX(tk_DNOTES,MATCH(56,tk_DSEQ,0)),"")</f>
        <v/>
      </c>
    </row>
    <row r="62">
      <c r="A62" s="161">
        <f>IFERROR(""&amp;INDEX(tk_MARK,MATCH(57,tk_DSEQ,0)),"")</f>
        <v/>
      </c>
      <c r="B62" s="162">
        <f>IFERROR(INDEX(tk_QTY,MATCH(57,tk_DSEQ,0)),"")</f>
        <v/>
      </c>
      <c r="C62" s="162">
        <f>IFERROR(INDEX(tk_ROOMF,MATCH(57,tk_DSEQ,0))&amp;IF(INDEX(tk_ROOMT,MATCH(57,tk_DSEQ,0))="",""," → "&amp;INDEX(tk_ROOMT,MATCH(57,tk_DSEQ,0))),"")</f>
        <v/>
      </c>
      <c r="D62" s="162">
        <f>IFERROR(INDEX(tk_LEAVES,MATCH(57,tk_DSEQ,0)),"")</f>
        <v/>
      </c>
      <c r="E62" s="162">
        <f>IFERROR(""&amp;INDEX(tk_RATING,MATCH(57,tk_DSEQ,0)),"")</f>
        <v/>
      </c>
      <c r="F62" s="162">
        <f>IFERROR(TEXT(INDEX(tk_LEAFW,MATCH(57,tk_DSEQ,0)),"0.000")&amp;" x "&amp;TEXT(INDEX(tk_LEAFH,MATCH(57,tk_DSEQ,0)),"0.000"),"")</f>
        <v/>
      </c>
      <c r="G62" s="181">
        <f>IFERROR(""&amp;INDEX(tk_DLINE,MATCH(57,tk_DSEQ,0)),"")</f>
        <v/>
      </c>
      <c r="H62" s="181">
        <f>IFERROR(""&amp;INDEX(tk_LOCTXTD,MATCH(57,tk_DSEQ,0)),"")</f>
        <v/>
      </c>
      <c r="I62" s="162">
        <f>IFERROR(""&amp;INDEX(tk_DNOTES,MATCH(57,tk_DSEQ,0)),"")</f>
        <v/>
      </c>
    </row>
    <row r="63">
      <c r="A63" s="161">
        <f>IFERROR(""&amp;INDEX(tk_MARK,MATCH(58,tk_DSEQ,0)),"")</f>
        <v/>
      </c>
      <c r="B63" s="162">
        <f>IFERROR(INDEX(tk_QTY,MATCH(58,tk_DSEQ,0)),"")</f>
        <v/>
      </c>
      <c r="C63" s="162">
        <f>IFERROR(INDEX(tk_ROOMF,MATCH(58,tk_DSEQ,0))&amp;IF(INDEX(tk_ROOMT,MATCH(58,tk_DSEQ,0))="",""," → "&amp;INDEX(tk_ROOMT,MATCH(58,tk_DSEQ,0))),"")</f>
        <v/>
      </c>
      <c r="D63" s="162">
        <f>IFERROR(INDEX(tk_LEAVES,MATCH(58,tk_DSEQ,0)),"")</f>
        <v/>
      </c>
      <c r="E63" s="162">
        <f>IFERROR(""&amp;INDEX(tk_RATING,MATCH(58,tk_DSEQ,0)),"")</f>
        <v/>
      </c>
      <c r="F63" s="162">
        <f>IFERROR(TEXT(INDEX(tk_LEAFW,MATCH(58,tk_DSEQ,0)),"0.000")&amp;" x "&amp;TEXT(INDEX(tk_LEAFH,MATCH(58,tk_DSEQ,0)),"0.000"),"")</f>
        <v/>
      </c>
      <c r="G63" s="181">
        <f>IFERROR(""&amp;INDEX(tk_DLINE,MATCH(58,tk_DSEQ,0)),"")</f>
        <v/>
      </c>
      <c r="H63" s="181">
        <f>IFERROR(""&amp;INDEX(tk_LOCTXTD,MATCH(58,tk_DSEQ,0)),"")</f>
        <v/>
      </c>
      <c r="I63" s="162">
        <f>IFERROR(""&amp;INDEX(tk_DNOTES,MATCH(58,tk_DSEQ,0)),"")</f>
        <v/>
      </c>
    </row>
    <row r="64">
      <c r="A64" s="161">
        <f>IFERROR(""&amp;INDEX(tk_MARK,MATCH(59,tk_DSEQ,0)),"")</f>
        <v/>
      </c>
      <c r="B64" s="162">
        <f>IFERROR(INDEX(tk_QTY,MATCH(59,tk_DSEQ,0)),"")</f>
        <v/>
      </c>
      <c r="C64" s="162">
        <f>IFERROR(INDEX(tk_ROOMF,MATCH(59,tk_DSEQ,0))&amp;IF(INDEX(tk_ROOMT,MATCH(59,tk_DSEQ,0))="",""," → "&amp;INDEX(tk_ROOMT,MATCH(59,tk_DSEQ,0))),"")</f>
        <v/>
      </c>
      <c r="D64" s="162">
        <f>IFERROR(INDEX(tk_LEAVES,MATCH(59,tk_DSEQ,0)),"")</f>
        <v/>
      </c>
      <c r="E64" s="162">
        <f>IFERROR(""&amp;INDEX(tk_RATING,MATCH(59,tk_DSEQ,0)),"")</f>
        <v/>
      </c>
      <c r="F64" s="162">
        <f>IFERROR(TEXT(INDEX(tk_LEAFW,MATCH(59,tk_DSEQ,0)),"0.000")&amp;" x "&amp;TEXT(INDEX(tk_LEAFH,MATCH(59,tk_DSEQ,0)),"0.000"),"")</f>
        <v/>
      </c>
      <c r="G64" s="181">
        <f>IFERROR(""&amp;INDEX(tk_DLINE,MATCH(59,tk_DSEQ,0)),"")</f>
        <v/>
      </c>
      <c r="H64" s="181">
        <f>IFERROR(""&amp;INDEX(tk_LOCTXTD,MATCH(59,tk_DSEQ,0)),"")</f>
        <v/>
      </c>
      <c r="I64" s="162">
        <f>IFERROR(""&amp;INDEX(tk_DNOTES,MATCH(59,tk_DSEQ,0)),"")</f>
        <v/>
      </c>
    </row>
    <row r="65">
      <c r="A65" s="161">
        <f>IFERROR(""&amp;INDEX(tk_MARK,MATCH(60,tk_DSEQ,0)),"")</f>
        <v/>
      </c>
      <c r="B65" s="162">
        <f>IFERROR(INDEX(tk_QTY,MATCH(60,tk_DSEQ,0)),"")</f>
        <v/>
      </c>
      <c r="C65" s="162">
        <f>IFERROR(INDEX(tk_ROOMF,MATCH(60,tk_DSEQ,0))&amp;IF(INDEX(tk_ROOMT,MATCH(60,tk_DSEQ,0))="",""," → "&amp;INDEX(tk_ROOMT,MATCH(60,tk_DSEQ,0))),"")</f>
        <v/>
      </c>
      <c r="D65" s="162">
        <f>IFERROR(INDEX(tk_LEAVES,MATCH(60,tk_DSEQ,0)),"")</f>
        <v/>
      </c>
      <c r="E65" s="162">
        <f>IFERROR(""&amp;INDEX(tk_RATING,MATCH(60,tk_DSEQ,0)),"")</f>
        <v/>
      </c>
      <c r="F65" s="162">
        <f>IFERROR(TEXT(INDEX(tk_LEAFW,MATCH(60,tk_DSEQ,0)),"0.000")&amp;" x "&amp;TEXT(INDEX(tk_LEAFH,MATCH(60,tk_DSEQ,0)),"0.000"),"")</f>
        <v/>
      </c>
      <c r="G65" s="181">
        <f>IFERROR(""&amp;INDEX(tk_DLINE,MATCH(60,tk_DSEQ,0)),"")</f>
        <v/>
      </c>
      <c r="H65" s="181">
        <f>IFERROR(""&amp;INDEX(tk_LOCTXTD,MATCH(60,tk_DSEQ,0)),"")</f>
        <v/>
      </c>
      <c r="I65" s="162">
        <f>IFERROR(""&amp;INDEX(tk_DNOTES,MATCH(60,tk_DSEQ,0)),"")</f>
        <v/>
      </c>
    </row>
    <row r="66">
      <c r="A66" s="161">
        <f>IFERROR(""&amp;INDEX(tk_MARK,MATCH(61,tk_DSEQ,0)),"")</f>
        <v/>
      </c>
      <c r="B66" s="162">
        <f>IFERROR(INDEX(tk_QTY,MATCH(61,tk_DSEQ,0)),"")</f>
        <v/>
      </c>
      <c r="C66" s="162">
        <f>IFERROR(INDEX(tk_ROOMF,MATCH(61,tk_DSEQ,0))&amp;IF(INDEX(tk_ROOMT,MATCH(61,tk_DSEQ,0))="",""," → "&amp;INDEX(tk_ROOMT,MATCH(61,tk_DSEQ,0))),"")</f>
        <v/>
      </c>
      <c r="D66" s="162">
        <f>IFERROR(INDEX(tk_LEAVES,MATCH(61,tk_DSEQ,0)),"")</f>
        <v/>
      </c>
      <c r="E66" s="162">
        <f>IFERROR(""&amp;INDEX(tk_RATING,MATCH(61,tk_DSEQ,0)),"")</f>
        <v/>
      </c>
      <c r="F66" s="162">
        <f>IFERROR(TEXT(INDEX(tk_LEAFW,MATCH(61,tk_DSEQ,0)),"0.000")&amp;" x "&amp;TEXT(INDEX(tk_LEAFH,MATCH(61,tk_DSEQ,0)),"0.000"),"")</f>
        <v/>
      </c>
      <c r="G66" s="181">
        <f>IFERROR(""&amp;INDEX(tk_DLINE,MATCH(61,tk_DSEQ,0)),"")</f>
        <v/>
      </c>
      <c r="H66" s="181">
        <f>IFERROR(""&amp;INDEX(tk_LOCTXTD,MATCH(61,tk_DSEQ,0)),"")</f>
        <v/>
      </c>
      <c r="I66" s="162">
        <f>IFERROR(""&amp;INDEX(tk_DNOTES,MATCH(61,tk_DSEQ,0)),"")</f>
        <v/>
      </c>
    </row>
    <row r="67">
      <c r="A67" s="161">
        <f>IFERROR(""&amp;INDEX(tk_MARK,MATCH(62,tk_DSEQ,0)),"")</f>
        <v/>
      </c>
      <c r="B67" s="162">
        <f>IFERROR(INDEX(tk_QTY,MATCH(62,tk_DSEQ,0)),"")</f>
        <v/>
      </c>
      <c r="C67" s="162">
        <f>IFERROR(INDEX(tk_ROOMF,MATCH(62,tk_DSEQ,0))&amp;IF(INDEX(tk_ROOMT,MATCH(62,tk_DSEQ,0))="",""," → "&amp;INDEX(tk_ROOMT,MATCH(62,tk_DSEQ,0))),"")</f>
        <v/>
      </c>
      <c r="D67" s="162">
        <f>IFERROR(INDEX(tk_LEAVES,MATCH(62,tk_DSEQ,0)),"")</f>
        <v/>
      </c>
      <c r="E67" s="162">
        <f>IFERROR(""&amp;INDEX(tk_RATING,MATCH(62,tk_DSEQ,0)),"")</f>
        <v/>
      </c>
      <c r="F67" s="162">
        <f>IFERROR(TEXT(INDEX(tk_LEAFW,MATCH(62,tk_DSEQ,0)),"0.000")&amp;" x "&amp;TEXT(INDEX(tk_LEAFH,MATCH(62,tk_DSEQ,0)),"0.000"),"")</f>
        <v/>
      </c>
      <c r="G67" s="181">
        <f>IFERROR(""&amp;INDEX(tk_DLINE,MATCH(62,tk_DSEQ,0)),"")</f>
        <v/>
      </c>
      <c r="H67" s="181">
        <f>IFERROR(""&amp;INDEX(tk_LOCTXTD,MATCH(62,tk_DSEQ,0)),"")</f>
        <v/>
      </c>
      <c r="I67" s="162">
        <f>IFERROR(""&amp;INDEX(tk_DNOTES,MATCH(62,tk_DSEQ,0)),"")</f>
        <v/>
      </c>
    </row>
    <row r="68">
      <c r="A68" s="161">
        <f>IFERROR(""&amp;INDEX(tk_MARK,MATCH(63,tk_DSEQ,0)),"")</f>
        <v/>
      </c>
      <c r="B68" s="162">
        <f>IFERROR(INDEX(tk_QTY,MATCH(63,tk_DSEQ,0)),"")</f>
        <v/>
      </c>
      <c r="C68" s="162">
        <f>IFERROR(INDEX(tk_ROOMF,MATCH(63,tk_DSEQ,0))&amp;IF(INDEX(tk_ROOMT,MATCH(63,tk_DSEQ,0))="",""," → "&amp;INDEX(tk_ROOMT,MATCH(63,tk_DSEQ,0))),"")</f>
        <v/>
      </c>
      <c r="D68" s="162">
        <f>IFERROR(INDEX(tk_LEAVES,MATCH(63,tk_DSEQ,0)),"")</f>
        <v/>
      </c>
      <c r="E68" s="162">
        <f>IFERROR(""&amp;INDEX(tk_RATING,MATCH(63,tk_DSEQ,0)),"")</f>
        <v/>
      </c>
      <c r="F68" s="162">
        <f>IFERROR(TEXT(INDEX(tk_LEAFW,MATCH(63,tk_DSEQ,0)),"0.000")&amp;" x "&amp;TEXT(INDEX(tk_LEAFH,MATCH(63,tk_DSEQ,0)),"0.000"),"")</f>
        <v/>
      </c>
      <c r="G68" s="181">
        <f>IFERROR(""&amp;INDEX(tk_DLINE,MATCH(63,tk_DSEQ,0)),"")</f>
        <v/>
      </c>
      <c r="H68" s="181">
        <f>IFERROR(""&amp;INDEX(tk_LOCTXTD,MATCH(63,tk_DSEQ,0)),"")</f>
        <v/>
      </c>
      <c r="I68" s="162">
        <f>IFERROR(""&amp;INDEX(tk_DNOTES,MATCH(63,tk_DSEQ,0)),"")</f>
        <v/>
      </c>
    </row>
    <row r="69">
      <c r="A69" s="161">
        <f>IFERROR(""&amp;INDEX(tk_MARK,MATCH(64,tk_DSEQ,0)),"")</f>
        <v/>
      </c>
      <c r="B69" s="162">
        <f>IFERROR(INDEX(tk_QTY,MATCH(64,tk_DSEQ,0)),"")</f>
        <v/>
      </c>
      <c r="C69" s="162">
        <f>IFERROR(INDEX(tk_ROOMF,MATCH(64,tk_DSEQ,0))&amp;IF(INDEX(tk_ROOMT,MATCH(64,tk_DSEQ,0))="",""," → "&amp;INDEX(tk_ROOMT,MATCH(64,tk_DSEQ,0))),"")</f>
        <v/>
      </c>
      <c r="D69" s="162">
        <f>IFERROR(INDEX(tk_LEAVES,MATCH(64,tk_DSEQ,0)),"")</f>
        <v/>
      </c>
      <c r="E69" s="162">
        <f>IFERROR(""&amp;INDEX(tk_RATING,MATCH(64,tk_DSEQ,0)),"")</f>
        <v/>
      </c>
      <c r="F69" s="162">
        <f>IFERROR(TEXT(INDEX(tk_LEAFW,MATCH(64,tk_DSEQ,0)),"0.000")&amp;" x "&amp;TEXT(INDEX(tk_LEAFH,MATCH(64,tk_DSEQ,0)),"0.000"),"")</f>
        <v/>
      </c>
      <c r="G69" s="181">
        <f>IFERROR(""&amp;INDEX(tk_DLINE,MATCH(64,tk_DSEQ,0)),"")</f>
        <v/>
      </c>
      <c r="H69" s="181">
        <f>IFERROR(""&amp;INDEX(tk_LOCTXTD,MATCH(64,tk_DSEQ,0)),"")</f>
        <v/>
      </c>
      <c r="I69" s="162">
        <f>IFERROR(""&amp;INDEX(tk_DNOTES,MATCH(64,tk_DSEQ,0)),"")</f>
        <v/>
      </c>
    </row>
    <row r="70">
      <c r="A70" s="161">
        <f>IFERROR(""&amp;INDEX(tk_MARK,MATCH(65,tk_DSEQ,0)),"")</f>
        <v/>
      </c>
      <c r="B70" s="162">
        <f>IFERROR(INDEX(tk_QTY,MATCH(65,tk_DSEQ,0)),"")</f>
        <v/>
      </c>
      <c r="C70" s="162">
        <f>IFERROR(INDEX(tk_ROOMF,MATCH(65,tk_DSEQ,0))&amp;IF(INDEX(tk_ROOMT,MATCH(65,tk_DSEQ,0))="",""," → "&amp;INDEX(tk_ROOMT,MATCH(65,tk_DSEQ,0))),"")</f>
        <v/>
      </c>
      <c r="D70" s="162">
        <f>IFERROR(INDEX(tk_LEAVES,MATCH(65,tk_DSEQ,0)),"")</f>
        <v/>
      </c>
      <c r="E70" s="162">
        <f>IFERROR(""&amp;INDEX(tk_RATING,MATCH(65,tk_DSEQ,0)),"")</f>
        <v/>
      </c>
      <c r="F70" s="162">
        <f>IFERROR(TEXT(INDEX(tk_LEAFW,MATCH(65,tk_DSEQ,0)),"0.000")&amp;" x "&amp;TEXT(INDEX(tk_LEAFH,MATCH(65,tk_DSEQ,0)),"0.000"),"")</f>
        <v/>
      </c>
      <c r="G70" s="181">
        <f>IFERROR(""&amp;INDEX(tk_DLINE,MATCH(65,tk_DSEQ,0)),"")</f>
        <v/>
      </c>
      <c r="H70" s="181">
        <f>IFERROR(""&amp;INDEX(tk_LOCTXTD,MATCH(65,tk_DSEQ,0)),"")</f>
        <v/>
      </c>
      <c r="I70" s="162">
        <f>IFERROR(""&amp;INDEX(tk_DNOTES,MATCH(65,tk_DSEQ,0)),"")</f>
        <v/>
      </c>
    </row>
    <row r="71">
      <c r="A71" s="161">
        <f>IFERROR(""&amp;INDEX(tk_MARK,MATCH(66,tk_DSEQ,0)),"")</f>
        <v/>
      </c>
      <c r="B71" s="162">
        <f>IFERROR(INDEX(tk_QTY,MATCH(66,tk_DSEQ,0)),"")</f>
        <v/>
      </c>
      <c r="C71" s="162">
        <f>IFERROR(INDEX(tk_ROOMF,MATCH(66,tk_DSEQ,0))&amp;IF(INDEX(tk_ROOMT,MATCH(66,tk_DSEQ,0))="",""," → "&amp;INDEX(tk_ROOMT,MATCH(66,tk_DSEQ,0))),"")</f>
        <v/>
      </c>
      <c r="D71" s="162">
        <f>IFERROR(INDEX(tk_LEAVES,MATCH(66,tk_DSEQ,0)),"")</f>
        <v/>
      </c>
      <c r="E71" s="162">
        <f>IFERROR(""&amp;INDEX(tk_RATING,MATCH(66,tk_DSEQ,0)),"")</f>
        <v/>
      </c>
      <c r="F71" s="162">
        <f>IFERROR(TEXT(INDEX(tk_LEAFW,MATCH(66,tk_DSEQ,0)),"0.000")&amp;" x "&amp;TEXT(INDEX(tk_LEAFH,MATCH(66,tk_DSEQ,0)),"0.000"),"")</f>
        <v/>
      </c>
      <c r="G71" s="181">
        <f>IFERROR(""&amp;INDEX(tk_DLINE,MATCH(66,tk_DSEQ,0)),"")</f>
        <v/>
      </c>
      <c r="H71" s="181">
        <f>IFERROR(""&amp;INDEX(tk_LOCTXTD,MATCH(66,tk_DSEQ,0)),"")</f>
        <v/>
      </c>
      <c r="I71" s="162">
        <f>IFERROR(""&amp;INDEX(tk_DNOTES,MATCH(66,tk_DSEQ,0)),"")</f>
        <v/>
      </c>
    </row>
    <row r="72">
      <c r="A72" s="161">
        <f>IFERROR(""&amp;INDEX(tk_MARK,MATCH(67,tk_DSEQ,0)),"")</f>
        <v/>
      </c>
      <c r="B72" s="162">
        <f>IFERROR(INDEX(tk_QTY,MATCH(67,tk_DSEQ,0)),"")</f>
        <v/>
      </c>
      <c r="C72" s="162">
        <f>IFERROR(INDEX(tk_ROOMF,MATCH(67,tk_DSEQ,0))&amp;IF(INDEX(tk_ROOMT,MATCH(67,tk_DSEQ,0))="",""," → "&amp;INDEX(tk_ROOMT,MATCH(67,tk_DSEQ,0))),"")</f>
        <v/>
      </c>
      <c r="D72" s="162">
        <f>IFERROR(INDEX(tk_LEAVES,MATCH(67,tk_DSEQ,0)),"")</f>
        <v/>
      </c>
      <c r="E72" s="162">
        <f>IFERROR(""&amp;INDEX(tk_RATING,MATCH(67,tk_DSEQ,0)),"")</f>
        <v/>
      </c>
      <c r="F72" s="162">
        <f>IFERROR(TEXT(INDEX(tk_LEAFW,MATCH(67,tk_DSEQ,0)),"0.000")&amp;" x "&amp;TEXT(INDEX(tk_LEAFH,MATCH(67,tk_DSEQ,0)),"0.000"),"")</f>
        <v/>
      </c>
      <c r="G72" s="181">
        <f>IFERROR(""&amp;INDEX(tk_DLINE,MATCH(67,tk_DSEQ,0)),"")</f>
        <v/>
      </c>
      <c r="H72" s="181">
        <f>IFERROR(""&amp;INDEX(tk_LOCTXTD,MATCH(67,tk_DSEQ,0)),"")</f>
        <v/>
      </c>
      <c r="I72" s="162">
        <f>IFERROR(""&amp;INDEX(tk_DNOTES,MATCH(67,tk_DSEQ,0)),"")</f>
        <v/>
      </c>
    </row>
    <row r="73">
      <c r="A73" s="161">
        <f>IFERROR(""&amp;INDEX(tk_MARK,MATCH(68,tk_DSEQ,0)),"")</f>
        <v/>
      </c>
      <c r="B73" s="162">
        <f>IFERROR(INDEX(tk_QTY,MATCH(68,tk_DSEQ,0)),"")</f>
        <v/>
      </c>
      <c r="C73" s="162">
        <f>IFERROR(INDEX(tk_ROOMF,MATCH(68,tk_DSEQ,0))&amp;IF(INDEX(tk_ROOMT,MATCH(68,tk_DSEQ,0))="",""," → "&amp;INDEX(tk_ROOMT,MATCH(68,tk_DSEQ,0))),"")</f>
        <v/>
      </c>
      <c r="D73" s="162">
        <f>IFERROR(INDEX(tk_LEAVES,MATCH(68,tk_DSEQ,0)),"")</f>
        <v/>
      </c>
      <c r="E73" s="162">
        <f>IFERROR(""&amp;INDEX(tk_RATING,MATCH(68,tk_DSEQ,0)),"")</f>
        <v/>
      </c>
      <c r="F73" s="162">
        <f>IFERROR(TEXT(INDEX(tk_LEAFW,MATCH(68,tk_DSEQ,0)),"0.000")&amp;" x "&amp;TEXT(INDEX(tk_LEAFH,MATCH(68,tk_DSEQ,0)),"0.000"),"")</f>
        <v/>
      </c>
      <c r="G73" s="181">
        <f>IFERROR(""&amp;INDEX(tk_DLINE,MATCH(68,tk_DSEQ,0)),"")</f>
        <v/>
      </c>
      <c r="H73" s="181">
        <f>IFERROR(""&amp;INDEX(tk_LOCTXTD,MATCH(68,tk_DSEQ,0)),"")</f>
        <v/>
      </c>
      <c r="I73" s="162">
        <f>IFERROR(""&amp;INDEX(tk_DNOTES,MATCH(68,tk_DSEQ,0)),"")</f>
        <v/>
      </c>
    </row>
    <row r="74">
      <c r="A74" s="161">
        <f>IFERROR(""&amp;INDEX(tk_MARK,MATCH(69,tk_DSEQ,0)),"")</f>
        <v/>
      </c>
      <c r="B74" s="162">
        <f>IFERROR(INDEX(tk_QTY,MATCH(69,tk_DSEQ,0)),"")</f>
        <v/>
      </c>
      <c r="C74" s="162">
        <f>IFERROR(INDEX(tk_ROOMF,MATCH(69,tk_DSEQ,0))&amp;IF(INDEX(tk_ROOMT,MATCH(69,tk_DSEQ,0))="",""," → "&amp;INDEX(tk_ROOMT,MATCH(69,tk_DSEQ,0))),"")</f>
        <v/>
      </c>
      <c r="D74" s="162">
        <f>IFERROR(INDEX(tk_LEAVES,MATCH(69,tk_DSEQ,0)),"")</f>
        <v/>
      </c>
      <c r="E74" s="162">
        <f>IFERROR(""&amp;INDEX(tk_RATING,MATCH(69,tk_DSEQ,0)),"")</f>
        <v/>
      </c>
      <c r="F74" s="162">
        <f>IFERROR(TEXT(INDEX(tk_LEAFW,MATCH(69,tk_DSEQ,0)),"0.000")&amp;" x "&amp;TEXT(INDEX(tk_LEAFH,MATCH(69,tk_DSEQ,0)),"0.000"),"")</f>
        <v/>
      </c>
      <c r="G74" s="181">
        <f>IFERROR(""&amp;INDEX(tk_DLINE,MATCH(69,tk_DSEQ,0)),"")</f>
        <v/>
      </c>
      <c r="H74" s="181">
        <f>IFERROR(""&amp;INDEX(tk_LOCTXTD,MATCH(69,tk_DSEQ,0)),"")</f>
        <v/>
      </c>
      <c r="I74" s="162">
        <f>IFERROR(""&amp;INDEX(tk_DNOTES,MATCH(69,tk_DSEQ,0)),"")</f>
        <v/>
      </c>
    </row>
    <row r="75">
      <c r="A75" s="161">
        <f>IFERROR(""&amp;INDEX(tk_MARK,MATCH(70,tk_DSEQ,0)),"")</f>
        <v/>
      </c>
      <c r="B75" s="162">
        <f>IFERROR(INDEX(tk_QTY,MATCH(70,tk_DSEQ,0)),"")</f>
        <v/>
      </c>
      <c r="C75" s="162">
        <f>IFERROR(INDEX(tk_ROOMF,MATCH(70,tk_DSEQ,0))&amp;IF(INDEX(tk_ROOMT,MATCH(70,tk_DSEQ,0))="",""," → "&amp;INDEX(tk_ROOMT,MATCH(70,tk_DSEQ,0))),"")</f>
        <v/>
      </c>
      <c r="D75" s="162">
        <f>IFERROR(INDEX(tk_LEAVES,MATCH(70,tk_DSEQ,0)),"")</f>
        <v/>
      </c>
      <c r="E75" s="162">
        <f>IFERROR(""&amp;INDEX(tk_RATING,MATCH(70,tk_DSEQ,0)),"")</f>
        <v/>
      </c>
      <c r="F75" s="162">
        <f>IFERROR(TEXT(INDEX(tk_LEAFW,MATCH(70,tk_DSEQ,0)),"0.000")&amp;" x "&amp;TEXT(INDEX(tk_LEAFH,MATCH(70,tk_DSEQ,0)),"0.000"),"")</f>
        <v/>
      </c>
      <c r="G75" s="181">
        <f>IFERROR(""&amp;INDEX(tk_DLINE,MATCH(70,tk_DSEQ,0)),"")</f>
        <v/>
      </c>
      <c r="H75" s="181">
        <f>IFERROR(""&amp;INDEX(tk_LOCTXTD,MATCH(70,tk_DSEQ,0)),"")</f>
        <v/>
      </c>
      <c r="I75" s="162">
        <f>IFERROR(""&amp;INDEX(tk_DNOTES,MATCH(70,tk_DSEQ,0)),"")</f>
        <v/>
      </c>
    </row>
    <row r="76">
      <c r="A76" s="161">
        <f>IFERROR(""&amp;INDEX(tk_MARK,MATCH(71,tk_DSEQ,0)),"")</f>
        <v/>
      </c>
      <c r="B76" s="162">
        <f>IFERROR(INDEX(tk_QTY,MATCH(71,tk_DSEQ,0)),"")</f>
        <v/>
      </c>
      <c r="C76" s="162">
        <f>IFERROR(INDEX(tk_ROOMF,MATCH(71,tk_DSEQ,0))&amp;IF(INDEX(tk_ROOMT,MATCH(71,tk_DSEQ,0))="",""," → "&amp;INDEX(tk_ROOMT,MATCH(71,tk_DSEQ,0))),"")</f>
        <v/>
      </c>
      <c r="D76" s="162">
        <f>IFERROR(INDEX(tk_LEAVES,MATCH(71,tk_DSEQ,0)),"")</f>
        <v/>
      </c>
      <c r="E76" s="162">
        <f>IFERROR(""&amp;INDEX(tk_RATING,MATCH(71,tk_DSEQ,0)),"")</f>
        <v/>
      </c>
      <c r="F76" s="162">
        <f>IFERROR(TEXT(INDEX(tk_LEAFW,MATCH(71,tk_DSEQ,0)),"0.000")&amp;" x "&amp;TEXT(INDEX(tk_LEAFH,MATCH(71,tk_DSEQ,0)),"0.000"),"")</f>
        <v/>
      </c>
      <c r="G76" s="181">
        <f>IFERROR(""&amp;INDEX(tk_DLINE,MATCH(71,tk_DSEQ,0)),"")</f>
        <v/>
      </c>
      <c r="H76" s="181">
        <f>IFERROR(""&amp;INDEX(tk_LOCTXTD,MATCH(71,tk_DSEQ,0)),"")</f>
        <v/>
      </c>
      <c r="I76" s="162">
        <f>IFERROR(""&amp;INDEX(tk_DNOTES,MATCH(71,tk_DSEQ,0)),"")</f>
        <v/>
      </c>
    </row>
    <row r="77">
      <c r="A77" s="161">
        <f>IFERROR(""&amp;INDEX(tk_MARK,MATCH(72,tk_DSEQ,0)),"")</f>
        <v/>
      </c>
      <c r="B77" s="162">
        <f>IFERROR(INDEX(tk_QTY,MATCH(72,tk_DSEQ,0)),"")</f>
        <v/>
      </c>
      <c r="C77" s="162">
        <f>IFERROR(INDEX(tk_ROOMF,MATCH(72,tk_DSEQ,0))&amp;IF(INDEX(tk_ROOMT,MATCH(72,tk_DSEQ,0))="",""," → "&amp;INDEX(tk_ROOMT,MATCH(72,tk_DSEQ,0))),"")</f>
        <v/>
      </c>
      <c r="D77" s="162">
        <f>IFERROR(INDEX(tk_LEAVES,MATCH(72,tk_DSEQ,0)),"")</f>
        <v/>
      </c>
      <c r="E77" s="162">
        <f>IFERROR(""&amp;INDEX(tk_RATING,MATCH(72,tk_DSEQ,0)),"")</f>
        <v/>
      </c>
      <c r="F77" s="162">
        <f>IFERROR(TEXT(INDEX(tk_LEAFW,MATCH(72,tk_DSEQ,0)),"0.000")&amp;" x "&amp;TEXT(INDEX(tk_LEAFH,MATCH(72,tk_DSEQ,0)),"0.000"),"")</f>
        <v/>
      </c>
      <c r="G77" s="181">
        <f>IFERROR(""&amp;INDEX(tk_DLINE,MATCH(72,tk_DSEQ,0)),"")</f>
        <v/>
      </c>
      <c r="H77" s="181">
        <f>IFERROR(""&amp;INDEX(tk_LOCTXTD,MATCH(72,tk_DSEQ,0)),"")</f>
        <v/>
      </c>
      <c r="I77" s="162">
        <f>IFERROR(""&amp;INDEX(tk_DNOTES,MATCH(72,tk_DSEQ,0)),"")</f>
        <v/>
      </c>
    </row>
    <row r="78">
      <c r="A78" s="161">
        <f>IFERROR(""&amp;INDEX(tk_MARK,MATCH(73,tk_DSEQ,0)),"")</f>
        <v/>
      </c>
      <c r="B78" s="162">
        <f>IFERROR(INDEX(tk_QTY,MATCH(73,tk_DSEQ,0)),"")</f>
        <v/>
      </c>
      <c r="C78" s="162">
        <f>IFERROR(INDEX(tk_ROOMF,MATCH(73,tk_DSEQ,0))&amp;IF(INDEX(tk_ROOMT,MATCH(73,tk_DSEQ,0))="",""," → "&amp;INDEX(tk_ROOMT,MATCH(73,tk_DSEQ,0))),"")</f>
        <v/>
      </c>
      <c r="D78" s="162">
        <f>IFERROR(INDEX(tk_LEAVES,MATCH(73,tk_DSEQ,0)),"")</f>
        <v/>
      </c>
      <c r="E78" s="162">
        <f>IFERROR(""&amp;INDEX(tk_RATING,MATCH(73,tk_DSEQ,0)),"")</f>
        <v/>
      </c>
      <c r="F78" s="162">
        <f>IFERROR(TEXT(INDEX(tk_LEAFW,MATCH(73,tk_DSEQ,0)),"0.000")&amp;" x "&amp;TEXT(INDEX(tk_LEAFH,MATCH(73,tk_DSEQ,0)),"0.000"),"")</f>
        <v/>
      </c>
      <c r="G78" s="181">
        <f>IFERROR(""&amp;INDEX(tk_DLINE,MATCH(73,tk_DSEQ,0)),"")</f>
        <v/>
      </c>
      <c r="H78" s="181">
        <f>IFERROR(""&amp;INDEX(tk_LOCTXTD,MATCH(73,tk_DSEQ,0)),"")</f>
        <v/>
      </c>
      <c r="I78" s="162">
        <f>IFERROR(""&amp;INDEX(tk_DNOTES,MATCH(73,tk_DSEQ,0)),"")</f>
        <v/>
      </c>
    </row>
    <row r="79">
      <c r="A79" s="161">
        <f>IFERROR(""&amp;INDEX(tk_MARK,MATCH(74,tk_DSEQ,0)),"")</f>
        <v/>
      </c>
      <c r="B79" s="162">
        <f>IFERROR(INDEX(tk_QTY,MATCH(74,tk_DSEQ,0)),"")</f>
        <v/>
      </c>
      <c r="C79" s="162">
        <f>IFERROR(INDEX(tk_ROOMF,MATCH(74,tk_DSEQ,0))&amp;IF(INDEX(tk_ROOMT,MATCH(74,tk_DSEQ,0))="",""," → "&amp;INDEX(tk_ROOMT,MATCH(74,tk_DSEQ,0))),"")</f>
        <v/>
      </c>
      <c r="D79" s="162">
        <f>IFERROR(INDEX(tk_LEAVES,MATCH(74,tk_DSEQ,0)),"")</f>
        <v/>
      </c>
      <c r="E79" s="162">
        <f>IFERROR(""&amp;INDEX(tk_RATING,MATCH(74,tk_DSEQ,0)),"")</f>
        <v/>
      </c>
      <c r="F79" s="162">
        <f>IFERROR(TEXT(INDEX(tk_LEAFW,MATCH(74,tk_DSEQ,0)),"0.000")&amp;" x "&amp;TEXT(INDEX(tk_LEAFH,MATCH(74,tk_DSEQ,0)),"0.000"),"")</f>
        <v/>
      </c>
      <c r="G79" s="181">
        <f>IFERROR(""&amp;INDEX(tk_DLINE,MATCH(74,tk_DSEQ,0)),"")</f>
        <v/>
      </c>
      <c r="H79" s="181">
        <f>IFERROR(""&amp;INDEX(tk_LOCTXTD,MATCH(74,tk_DSEQ,0)),"")</f>
        <v/>
      </c>
      <c r="I79" s="162">
        <f>IFERROR(""&amp;INDEX(tk_DNOTES,MATCH(74,tk_DSEQ,0)),"")</f>
        <v/>
      </c>
    </row>
    <row r="80">
      <c r="A80" s="161">
        <f>IFERROR(""&amp;INDEX(tk_MARK,MATCH(75,tk_DSEQ,0)),"")</f>
        <v/>
      </c>
      <c r="B80" s="162">
        <f>IFERROR(INDEX(tk_QTY,MATCH(75,tk_DSEQ,0)),"")</f>
        <v/>
      </c>
      <c r="C80" s="162">
        <f>IFERROR(INDEX(tk_ROOMF,MATCH(75,tk_DSEQ,0))&amp;IF(INDEX(tk_ROOMT,MATCH(75,tk_DSEQ,0))="",""," → "&amp;INDEX(tk_ROOMT,MATCH(75,tk_DSEQ,0))),"")</f>
        <v/>
      </c>
      <c r="D80" s="162">
        <f>IFERROR(INDEX(tk_LEAVES,MATCH(75,tk_DSEQ,0)),"")</f>
        <v/>
      </c>
      <c r="E80" s="162">
        <f>IFERROR(""&amp;INDEX(tk_RATING,MATCH(75,tk_DSEQ,0)),"")</f>
        <v/>
      </c>
      <c r="F80" s="162">
        <f>IFERROR(TEXT(INDEX(tk_LEAFW,MATCH(75,tk_DSEQ,0)),"0.000")&amp;" x "&amp;TEXT(INDEX(tk_LEAFH,MATCH(75,tk_DSEQ,0)),"0.000"),"")</f>
        <v/>
      </c>
      <c r="G80" s="181">
        <f>IFERROR(""&amp;INDEX(tk_DLINE,MATCH(75,tk_DSEQ,0)),"")</f>
        <v/>
      </c>
      <c r="H80" s="181">
        <f>IFERROR(""&amp;INDEX(tk_LOCTXTD,MATCH(75,tk_DSEQ,0)),"")</f>
        <v/>
      </c>
      <c r="I80" s="162">
        <f>IFERROR(""&amp;INDEX(tk_DNOTES,MATCH(75,tk_DSEQ,0)),"")</f>
        <v/>
      </c>
    </row>
    <row r="81">
      <c r="A81" s="161">
        <f>IFERROR(""&amp;INDEX(tk_MARK,MATCH(76,tk_DSEQ,0)),"")</f>
        <v/>
      </c>
      <c r="B81" s="162">
        <f>IFERROR(INDEX(tk_QTY,MATCH(76,tk_DSEQ,0)),"")</f>
        <v/>
      </c>
      <c r="C81" s="162">
        <f>IFERROR(INDEX(tk_ROOMF,MATCH(76,tk_DSEQ,0))&amp;IF(INDEX(tk_ROOMT,MATCH(76,tk_DSEQ,0))="",""," → "&amp;INDEX(tk_ROOMT,MATCH(76,tk_DSEQ,0))),"")</f>
        <v/>
      </c>
      <c r="D81" s="162">
        <f>IFERROR(INDEX(tk_LEAVES,MATCH(76,tk_DSEQ,0)),"")</f>
        <v/>
      </c>
      <c r="E81" s="162">
        <f>IFERROR(""&amp;INDEX(tk_RATING,MATCH(76,tk_DSEQ,0)),"")</f>
        <v/>
      </c>
      <c r="F81" s="162">
        <f>IFERROR(TEXT(INDEX(tk_LEAFW,MATCH(76,tk_DSEQ,0)),"0.000")&amp;" x "&amp;TEXT(INDEX(tk_LEAFH,MATCH(76,tk_DSEQ,0)),"0.000"),"")</f>
        <v/>
      </c>
      <c r="G81" s="181">
        <f>IFERROR(""&amp;INDEX(tk_DLINE,MATCH(76,tk_DSEQ,0)),"")</f>
        <v/>
      </c>
      <c r="H81" s="181">
        <f>IFERROR(""&amp;INDEX(tk_LOCTXTD,MATCH(76,tk_DSEQ,0)),"")</f>
        <v/>
      </c>
      <c r="I81" s="162">
        <f>IFERROR(""&amp;INDEX(tk_DNOTES,MATCH(76,tk_DSEQ,0)),"")</f>
        <v/>
      </c>
    </row>
    <row r="82">
      <c r="A82" s="161">
        <f>IFERROR(""&amp;INDEX(tk_MARK,MATCH(77,tk_DSEQ,0)),"")</f>
        <v/>
      </c>
      <c r="B82" s="162">
        <f>IFERROR(INDEX(tk_QTY,MATCH(77,tk_DSEQ,0)),"")</f>
        <v/>
      </c>
      <c r="C82" s="162">
        <f>IFERROR(INDEX(tk_ROOMF,MATCH(77,tk_DSEQ,0))&amp;IF(INDEX(tk_ROOMT,MATCH(77,tk_DSEQ,0))="",""," → "&amp;INDEX(tk_ROOMT,MATCH(77,tk_DSEQ,0))),"")</f>
        <v/>
      </c>
      <c r="D82" s="162">
        <f>IFERROR(INDEX(tk_LEAVES,MATCH(77,tk_DSEQ,0)),"")</f>
        <v/>
      </c>
      <c r="E82" s="162">
        <f>IFERROR(""&amp;INDEX(tk_RATING,MATCH(77,tk_DSEQ,0)),"")</f>
        <v/>
      </c>
      <c r="F82" s="162">
        <f>IFERROR(TEXT(INDEX(tk_LEAFW,MATCH(77,tk_DSEQ,0)),"0.000")&amp;" x "&amp;TEXT(INDEX(tk_LEAFH,MATCH(77,tk_DSEQ,0)),"0.000"),"")</f>
        <v/>
      </c>
      <c r="G82" s="181">
        <f>IFERROR(""&amp;INDEX(tk_DLINE,MATCH(77,tk_DSEQ,0)),"")</f>
        <v/>
      </c>
      <c r="H82" s="181">
        <f>IFERROR(""&amp;INDEX(tk_LOCTXTD,MATCH(77,tk_DSEQ,0)),"")</f>
        <v/>
      </c>
      <c r="I82" s="162">
        <f>IFERROR(""&amp;INDEX(tk_DNOTES,MATCH(77,tk_DSEQ,0)),"")</f>
        <v/>
      </c>
    </row>
    <row r="83">
      <c r="A83" s="161">
        <f>IFERROR(""&amp;INDEX(tk_MARK,MATCH(78,tk_DSEQ,0)),"")</f>
        <v/>
      </c>
      <c r="B83" s="162">
        <f>IFERROR(INDEX(tk_QTY,MATCH(78,tk_DSEQ,0)),"")</f>
        <v/>
      </c>
      <c r="C83" s="162">
        <f>IFERROR(INDEX(tk_ROOMF,MATCH(78,tk_DSEQ,0))&amp;IF(INDEX(tk_ROOMT,MATCH(78,tk_DSEQ,0))="",""," → "&amp;INDEX(tk_ROOMT,MATCH(78,tk_DSEQ,0))),"")</f>
        <v/>
      </c>
      <c r="D83" s="162">
        <f>IFERROR(INDEX(tk_LEAVES,MATCH(78,tk_DSEQ,0)),"")</f>
        <v/>
      </c>
      <c r="E83" s="162">
        <f>IFERROR(""&amp;INDEX(tk_RATING,MATCH(78,tk_DSEQ,0)),"")</f>
        <v/>
      </c>
      <c r="F83" s="162">
        <f>IFERROR(TEXT(INDEX(tk_LEAFW,MATCH(78,tk_DSEQ,0)),"0.000")&amp;" x "&amp;TEXT(INDEX(tk_LEAFH,MATCH(78,tk_DSEQ,0)),"0.000"),"")</f>
        <v/>
      </c>
      <c r="G83" s="181">
        <f>IFERROR(""&amp;INDEX(tk_DLINE,MATCH(78,tk_DSEQ,0)),"")</f>
        <v/>
      </c>
      <c r="H83" s="181">
        <f>IFERROR(""&amp;INDEX(tk_LOCTXTD,MATCH(78,tk_DSEQ,0)),"")</f>
        <v/>
      </c>
      <c r="I83" s="162">
        <f>IFERROR(""&amp;INDEX(tk_DNOTES,MATCH(78,tk_DSEQ,0)),"")</f>
        <v/>
      </c>
    </row>
    <row r="84">
      <c r="A84" s="161">
        <f>IFERROR(""&amp;INDEX(tk_MARK,MATCH(79,tk_DSEQ,0)),"")</f>
        <v/>
      </c>
      <c r="B84" s="162">
        <f>IFERROR(INDEX(tk_QTY,MATCH(79,tk_DSEQ,0)),"")</f>
        <v/>
      </c>
      <c r="C84" s="162">
        <f>IFERROR(INDEX(tk_ROOMF,MATCH(79,tk_DSEQ,0))&amp;IF(INDEX(tk_ROOMT,MATCH(79,tk_DSEQ,0))="",""," → "&amp;INDEX(tk_ROOMT,MATCH(79,tk_DSEQ,0))),"")</f>
        <v/>
      </c>
      <c r="D84" s="162">
        <f>IFERROR(INDEX(tk_LEAVES,MATCH(79,tk_DSEQ,0)),"")</f>
        <v/>
      </c>
      <c r="E84" s="162">
        <f>IFERROR(""&amp;INDEX(tk_RATING,MATCH(79,tk_DSEQ,0)),"")</f>
        <v/>
      </c>
      <c r="F84" s="162">
        <f>IFERROR(TEXT(INDEX(tk_LEAFW,MATCH(79,tk_DSEQ,0)),"0.000")&amp;" x "&amp;TEXT(INDEX(tk_LEAFH,MATCH(79,tk_DSEQ,0)),"0.000"),"")</f>
        <v/>
      </c>
      <c r="G84" s="181">
        <f>IFERROR(""&amp;INDEX(tk_DLINE,MATCH(79,tk_DSEQ,0)),"")</f>
        <v/>
      </c>
      <c r="H84" s="181">
        <f>IFERROR(""&amp;INDEX(tk_LOCTXTD,MATCH(79,tk_DSEQ,0)),"")</f>
        <v/>
      </c>
      <c r="I84" s="162">
        <f>IFERROR(""&amp;INDEX(tk_DNOTES,MATCH(79,tk_DSEQ,0)),"")</f>
        <v/>
      </c>
    </row>
    <row r="85">
      <c r="A85" s="161">
        <f>IFERROR(""&amp;INDEX(tk_MARK,MATCH(80,tk_DSEQ,0)),"")</f>
        <v/>
      </c>
      <c r="B85" s="162">
        <f>IFERROR(INDEX(tk_QTY,MATCH(80,tk_DSEQ,0)),"")</f>
        <v/>
      </c>
      <c r="C85" s="162">
        <f>IFERROR(INDEX(tk_ROOMF,MATCH(80,tk_DSEQ,0))&amp;IF(INDEX(tk_ROOMT,MATCH(80,tk_DSEQ,0))="",""," → "&amp;INDEX(tk_ROOMT,MATCH(80,tk_DSEQ,0))),"")</f>
        <v/>
      </c>
      <c r="D85" s="162">
        <f>IFERROR(INDEX(tk_LEAVES,MATCH(80,tk_DSEQ,0)),"")</f>
        <v/>
      </c>
      <c r="E85" s="162">
        <f>IFERROR(""&amp;INDEX(tk_RATING,MATCH(80,tk_DSEQ,0)),"")</f>
        <v/>
      </c>
      <c r="F85" s="162">
        <f>IFERROR(TEXT(INDEX(tk_LEAFW,MATCH(80,tk_DSEQ,0)),"0.000")&amp;" x "&amp;TEXT(INDEX(tk_LEAFH,MATCH(80,tk_DSEQ,0)),"0.000"),"")</f>
        <v/>
      </c>
      <c r="G85" s="181">
        <f>IFERROR(""&amp;INDEX(tk_DLINE,MATCH(80,tk_DSEQ,0)),"")</f>
        <v/>
      </c>
      <c r="H85" s="181">
        <f>IFERROR(""&amp;INDEX(tk_LOCTXTD,MATCH(80,tk_DSEQ,0)),"")</f>
        <v/>
      </c>
      <c r="I85" s="162">
        <f>IFERROR(""&amp;INDEX(tk_DNOTES,MATCH(80,tk_DSEQ,0)),"")</f>
        <v/>
      </c>
    </row>
    <row r="86">
      <c r="A86" s="161">
        <f>IFERROR(""&amp;INDEX(tk_MARK,MATCH(81,tk_DSEQ,0)),"")</f>
        <v/>
      </c>
      <c r="B86" s="162">
        <f>IFERROR(INDEX(tk_QTY,MATCH(81,tk_DSEQ,0)),"")</f>
        <v/>
      </c>
      <c r="C86" s="162">
        <f>IFERROR(INDEX(tk_ROOMF,MATCH(81,tk_DSEQ,0))&amp;IF(INDEX(tk_ROOMT,MATCH(81,tk_DSEQ,0))="",""," → "&amp;INDEX(tk_ROOMT,MATCH(81,tk_DSEQ,0))),"")</f>
        <v/>
      </c>
      <c r="D86" s="162">
        <f>IFERROR(INDEX(tk_LEAVES,MATCH(81,tk_DSEQ,0)),"")</f>
        <v/>
      </c>
      <c r="E86" s="162">
        <f>IFERROR(""&amp;INDEX(tk_RATING,MATCH(81,tk_DSEQ,0)),"")</f>
        <v/>
      </c>
      <c r="F86" s="162">
        <f>IFERROR(TEXT(INDEX(tk_LEAFW,MATCH(81,tk_DSEQ,0)),"0.000")&amp;" x "&amp;TEXT(INDEX(tk_LEAFH,MATCH(81,tk_DSEQ,0)),"0.000"),"")</f>
        <v/>
      </c>
      <c r="G86" s="181">
        <f>IFERROR(""&amp;INDEX(tk_DLINE,MATCH(81,tk_DSEQ,0)),"")</f>
        <v/>
      </c>
      <c r="H86" s="181">
        <f>IFERROR(""&amp;INDEX(tk_LOCTXTD,MATCH(81,tk_DSEQ,0)),"")</f>
        <v/>
      </c>
      <c r="I86" s="162">
        <f>IFERROR(""&amp;INDEX(tk_DNOTES,MATCH(81,tk_DSEQ,0)),"")</f>
        <v/>
      </c>
    </row>
    <row r="87">
      <c r="A87" s="161">
        <f>IFERROR(""&amp;INDEX(tk_MARK,MATCH(82,tk_DSEQ,0)),"")</f>
        <v/>
      </c>
      <c r="B87" s="162">
        <f>IFERROR(INDEX(tk_QTY,MATCH(82,tk_DSEQ,0)),"")</f>
        <v/>
      </c>
      <c r="C87" s="162">
        <f>IFERROR(INDEX(tk_ROOMF,MATCH(82,tk_DSEQ,0))&amp;IF(INDEX(tk_ROOMT,MATCH(82,tk_DSEQ,0))="",""," → "&amp;INDEX(tk_ROOMT,MATCH(82,tk_DSEQ,0))),"")</f>
        <v/>
      </c>
      <c r="D87" s="162">
        <f>IFERROR(INDEX(tk_LEAVES,MATCH(82,tk_DSEQ,0)),"")</f>
        <v/>
      </c>
      <c r="E87" s="162">
        <f>IFERROR(""&amp;INDEX(tk_RATING,MATCH(82,tk_DSEQ,0)),"")</f>
        <v/>
      </c>
      <c r="F87" s="162">
        <f>IFERROR(TEXT(INDEX(tk_LEAFW,MATCH(82,tk_DSEQ,0)),"0.000")&amp;" x "&amp;TEXT(INDEX(tk_LEAFH,MATCH(82,tk_DSEQ,0)),"0.000"),"")</f>
        <v/>
      </c>
      <c r="G87" s="181">
        <f>IFERROR(""&amp;INDEX(tk_DLINE,MATCH(82,tk_DSEQ,0)),"")</f>
        <v/>
      </c>
      <c r="H87" s="181">
        <f>IFERROR(""&amp;INDEX(tk_LOCTXTD,MATCH(82,tk_DSEQ,0)),"")</f>
        <v/>
      </c>
      <c r="I87" s="162">
        <f>IFERROR(""&amp;INDEX(tk_DNOTES,MATCH(82,tk_DSEQ,0)),"")</f>
        <v/>
      </c>
    </row>
    <row r="88">
      <c r="A88" s="161">
        <f>IFERROR(""&amp;INDEX(tk_MARK,MATCH(83,tk_DSEQ,0)),"")</f>
        <v/>
      </c>
      <c r="B88" s="162">
        <f>IFERROR(INDEX(tk_QTY,MATCH(83,tk_DSEQ,0)),"")</f>
        <v/>
      </c>
      <c r="C88" s="162">
        <f>IFERROR(INDEX(tk_ROOMF,MATCH(83,tk_DSEQ,0))&amp;IF(INDEX(tk_ROOMT,MATCH(83,tk_DSEQ,0))="",""," → "&amp;INDEX(tk_ROOMT,MATCH(83,tk_DSEQ,0))),"")</f>
        <v/>
      </c>
      <c r="D88" s="162">
        <f>IFERROR(INDEX(tk_LEAVES,MATCH(83,tk_DSEQ,0)),"")</f>
        <v/>
      </c>
      <c r="E88" s="162">
        <f>IFERROR(""&amp;INDEX(tk_RATING,MATCH(83,tk_DSEQ,0)),"")</f>
        <v/>
      </c>
      <c r="F88" s="162">
        <f>IFERROR(TEXT(INDEX(tk_LEAFW,MATCH(83,tk_DSEQ,0)),"0.000")&amp;" x "&amp;TEXT(INDEX(tk_LEAFH,MATCH(83,tk_DSEQ,0)),"0.000"),"")</f>
        <v/>
      </c>
      <c r="G88" s="181">
        <f>IFERROR(""&amp;INDEX(tk_DLINE,MATCH(83,tk_DSEQ,0)),"")</f>
        <v/>
      </c>
      <c r="H88" s="181">
        <f>IFERROR(""&amp;INDEX(tk_LOCTXTD,MATCH(83,tk_DSEQ,0)),"")</f>
        <v/>
      </c>
      <c r="I88" s="162">
        <f>IFERROR(""&amp;INDEX(tk_DNOTES,MATCH(83,tk_DSEQ,0)),"")</f>
        <v/>
      </c>
    </row>
    <row r="89">
      <c r="A89" s="161">
        <f>IFERROR(""&amp;INDEX(tk_MARK,MATCH(84,tk_DSEQ,0)),"")</f>
        <v/>
      </c>
      <c r="B89" s="162">
        <f>IFERROR(INDEX(tk_QTY,MATCH(84,tk_DSEQ,0)),"")</f>
        <v/>
      </c>
      <c r="C89" s="162">
        <f>IFERROR(INDEX(tk_ROOMF,MATCH(84,tk_DSEQ,0))&amp;IF(INDEX(tk_ROOMT,MATCH(84,tk_DSEQ,0))="",""," → "&amp;INDEX(tk_ROOMT,MATCH(84,tk_DSEQ,0))),"")</f>
        <v/>
      </c>
      <c r="D89" s="162">
        <f>IFERROR(INDEX(tk_LEAVES,MATCH(84,tk_DSEQ,0)),"")</f>
        <v/>
      </c>
      <c r="E89" s="162">
        <f>IFERROR(""&amp;INDEX(tk_RATING,MATCH(84,tk_DSEQ,0)),"")</f>
        <v/>
      </c>
      <c r="F89" s="162">
        <f>IFERROR(TEXT(INDEX(tk_LEAFW,MATCH(84,tk_DSEQ,0)),"0.000")&amp;" x "&amp;TEXT(INDEX(tk_LEAFH,MATCH(84,tk_DSEQ,0)),"0.000"),"")</f>
        <v/>
      </c>
      <c r="G89" s="181">
        <f>IFERROR(""&amp;INDEX(tk_DLINE,MATCH(84,tk_DSEQ,0)),"")</f>
        <v/>
      </c>
      <c r="H89" s="181">
        <f>IFERROR(""&amp;INDEX(tk_LOCTXTD,MATCH(84,tk_DSEQ,0)),"")</f>
        <v/>
      </c>
      <c r="I89" s="162">
        <f>IFERROR(""&amp;INDEX(tk_DNOTES,MATCH(84,tk_DSEQ,0)),"")</f>
        <v/>
      </c>
    </row>
    <row r="90">
      <c r="A90" s="161">
        <f>IFERROR(""&amp;INDEX(tk_MARK,MATCH(85,tk_DSEQ,0)),"")</f>
        <v/>
      </c>
      <c r="B90" s="162">
        <f>IFERROR(INDEX(tk_QTY,MATCH(85,tk_DSEQ,0)),"")</f>
        <v/>
      </c>
      <c r="C90" s="162">
        <f>IFERROR(INDEX(tk_ROOMF,MATCH(85,tk_DSEQ,0))&amp;IF(INDEX(tk_ROOMT,MATCH(85,tk_DSEQ,0))="",""," → "&amp;INDEX(tk_ROOMT,MATCH(85,tk_DSEQ,0))),"")</f>
        <v/>
      </c>
      <c r="D90" s="162">
        <f>IFERROR(INDEX(tk_LEAVES,MATCH(85,tk_DSEQ,0)),"")</f>
        <v/>
      </c>
      <c r="E90" s="162">
        <f>IFERROR(""&amp;INDEX(tk_RATING,MATCH(85,tk_DSEQ,0)),"")</f>
        <v/>
      </c>
      <c r="F90" s="162">
        <f>IFERROR(TEXT(INDEX(tk_LEAFW,MATCH(85,tk_DSEQ,0)),"0.000")&amp;" x "&amp;TEXT(INDEX(tk_LEAFH,MATCH(85,tk_DSEQ,0)),"0.000"),"")</f>
        <v/>
      </c>
      <c r="G90" s="181">
        <f>IFERROR(""&amp;INDEX(tk_DLINE,MATCH(85,tk_DSEQ,0)),"")</f>
        <v/>
      </c>
      <c r="H90" s="181">
        <f>IFERROR(""&amp;INDEX(tk_LOCTXTD,MATCH(85,tk_DSEQ,0)),"")</f>
        <v/>
      </c>
      <c r="I90" s="162">
        <f>IFERROR(""&amp;INDEX(tk_DNOTES,MATCH(85,tk_DSEQ,0)),"")</f>
        <v/>
      </c>
    </row>
    <row r="91">
      <c r="A91" s="161">
        <f>IFERROR(""&amp;INDEX(tk_MARK,MATCH(86,tk_DSEQ,0)),"")</f>
        <v/>
      </c>
      <c r="B91" s="162">
        <f>IFERROR(INDEX(tk_QTY,MATCH(86,tk_DSEQ,0)),"")</f>
        <v/>
      </c>
      <c r="C91" s="162">
        <f>IFERROR(INDEX(tk_ROOMF,MATCH(86,tk_DSEQ,0))&amp;IF(INDEX(tk_ROOMT,MATCH(86,tk_DSEQ,0))="",""," → "&amp;INDEX(tk_ROOMT,MATCH(86,tk_DSEQ,0))),"")</f>
        <v/>
      </c>
      <c r="D91" s="162">
        <f>IFERROR(INDEX(tk_LEAVES,MATCH(86,tk_DSEQ,0)),"")</f>
        <v/>
      </c>
      <c r="E91" s="162">
        <f>IFERROR(""&amp;INDEX(tk_RATING,MATCH(86,tk_DSEQ,0)),"")</f>
        <v/>
      </c>
      <c r="F91" s="162">
        <f>IFERROR(TEXT(INDEX(tk_LEAFW,MATCH(86,tk_DSEQ,0)),"0.000")&amp;" x "&amp;TEXT(INDEX(tk_LEAFH,MATCH(86,tk_DSEQ,0)),"0.000"),"")</f>
        <v/>
      </c>
      <c r="G91" s="181">
        <f>IFERROR(""&amp;INDEX(tk_DLINE,MATCH(86,tk_DSEQ,0)),"")</f>
        <v/>
      </c>
      <c r="H91" s="181">
        <f>IFERROR(""&amp;INDEX(tk_LOCTXTD,MATCH(86,tk_DSEQ,0)),"")</f>
        <v/>
      </c>
      <c r="I91" s="162">
        <f>IFERROR(""&amp;INDEX(tk_DNOTES,MATCH(86,tk_DSEQ,0)),"")</f>
        <v/>
      </c>
    </row>
    <row r="92">
      <c r="A92" s="161">
        <f>IFERROR(""&amp;INDEX(tk_MARK,MATCH(87,tk_DSEQ,0)),"")</f>
        <v/>
      </c>
      <c r="B92" s="162">
        <f>IFERROR(INDEX(tk_QTY,MATCH(87,tk_DSEQ,0)),"")</f>
        <v/>
      </c>
      <c r="C92" s="162">
        <f>IFERROR(INDEX(tk_ROOMF,MATCH(87,tk_DSEQ,0))&amp;IF(INDEX(tk_ROOMT,MATCH(87,tk_DSEQ,0))="",""," → "&amp;INDEX(tk_ROOMT,MATCH(87,tk_DSEQ,0))),"")</f>
        <v/>
      </c>
      <c r="D92" s="162">
        <f>IFERROR(INDEX(tk_LEAVES,MATCH(87,tk_DSEQ,0)),"")</f>
        <v/>
      </c>
      <c r="E92" s="162">
        <f>IFERROR(""&amp;INDEX(tk_RATING,MATCH(87,tk_DSEQ,0)),"")</f>
        <v/>
      </c>
      <c r="F92" s="162">
        <f>IFERROR(TEXT(INDEX(tk_LEAFW,MATCH(87,tk_DSEQ,0)),"0.000")&amp;" x "&amp;TEXT(INDEX(tk_LEAFH,MATCH(87,tk_DSEQ,0)),"0.000"),"")</f>
        <v/>
      </c>
      <c r="G92" s="181">
        <f>IFERROR(""&amp;INDEX(tk_DLINE,MATCH(87,tk_DSEQ,0)),"")</f>
        <v/>
      </c>
      <c r="H92" s="181">
        <f>IFERROR(""&amp;INDEX(tk_LOCTXTD,MATCH(87,tk_DSEQ,0)),"")</f>
        <v/>
      </c>
      <c r="I92" s="162">
        <f>IFERROR(""&amp;INDEX(tk_DNOTES,MATCH(87,tk_DSEQ,0)),"")</f>
        <v/>
      </c>
    </row>
    <row r="93">
      <c r="A93" s="161">
        <f>IFERROR(""&amp;INDEX(tk_MARK,MATCH(88,tk_DSEQ,0)),"")</f>
        <v/>
      </c>
      <c r="B93" s="162">
        <f>IFERROR(INDEX(tk_QTY,MATCH(88,tk_DSEQ,0)),"")</f>
        <v/>
      </c>
      <c r="C93" s="162">
        <f>IFERROR(INDEX(tk_ROOMF,MATCH(88,tk_DSEQ,0))&amp;IF(INDEX(tk_ROOMT,MATCH(88,tk_DSEQ,0))="",""," → "&amp;INDEX(tk_ROOMT,MATCH(88,tk_DSEQ,0))),"")</f>
        <v/>
      </c>
      <c r="D93" s="162">
        <f>IFERROR(INDEX(tk_LEAVES,MATCH(88,tk_DSEQ,0)),"")</f>
        <v/>
      </c>
      <c r="E93" s="162">
        <f>IFERROR(""&amp;INDEX(tk_RATING,MATCH(88,tk_DSEQ,0)),"")</f>
        <v/>
      </c>
      <c r="F93" s="162">
        <f>IFERROR(TEXT(INDEX(tk_LEAFW,MATCH(88,tk_DSEQ,0)),"0.000")&amp;" x "&amp;TEXT(INDEX(tk_LEAFH,MATCH(88,tk_DSEQ,0)),"0.000"),"")</f>
        <v/>
      </c>
      <c r="G93" s="181">
        <f>IFERROR(""&amp;INDEX(tk_DLINE,MATCH(88,tk_DSEQ,0)),"")</f>
        <v/>
      </c>
      <c r="H93" s="181">
        <f>IFERROR(""&amp;INDEX(tk_LOCTXTD,MATCH(88,tk_DSEQ,0)),"")</f>
        <v/>
      </c>
      <c r="I93" s="162">
        <f>IFERROR(""&amp;INDEX(tk_DNOTES,MATCH(88,tk_DSEQ,0)),"")</f>
        <v/>
      </c>
    </row>
    <row r="94">
      <c r="A94" s="161">
        <f>IFERROR(""&amp;INDEX(tk_MARK,MATCH(89,tk_DSEQ,0)),"")</f>
        <v/>
      </c>
      <c r="B94" s="162">
        <f>IFERROR(INDEX(tk_QTY,MATCH(89,tk_DSEQ,0)),"")</f>
        <v/>
      </c>
      <c r="C94" s="162">
        <f>IFERROR(INDEX(tk_ROOMF,MATCH(89,tk_DSEQ,0))&amp;IF(INDEX(tk_ROOMT,MATCH(89,tk_DSEQ,0))="",""," → "&amp;INDEX(tk_ROOMT,MATCH(89,tk_DSEQ,0))),"")</f>
        <v/>
      </c>
      <c r="D94" s="162">
        <f>IFERROR(INDEX(tk_LEAVES,MATCH(89,tk_DSEQ,0)),"")</f>
        <v/>
      </c>
      <c r="E94" s="162">
        <f>IFERROR(""&amp;INDEX(tk_RATING,MATCH(89,tk_DSEQ,0)),"")</f>
        <v/>
      </c>
      <c r="F94" s="162">
        <f>IFERROR(TEXT(INDEX(tk_LEAFW,MATCH(89,tk_DSEQ,0)),"0.000")&amp;" x "&amp;TEXT(INDEX(tk_LEAFH,MATCH(89,tk_DSEQ,0)),"0.000"),"")</f>
        <v/>
      </c>
      <c r="G94" s="181">
        <f>IFERROR(""&amp;INDEX(tk_DLINE,MATCH(89,tk_DSEQ,0)),"")</f>
        <v/>
      </c>
      <c r="H94" s="181">
        <f>IFERROR(""&amp;INDEX(tk_LOCTXTD,MATCH(89,tk_DSEQ,0)),"")</f>
        <v/>
      </c>
      <c r="I94" s="162">
        <f>IFERROR(""&amp;INDEX(tk_DNOTES,MATCH(89,tk_DSEQ,0)),"")</f>
        <v/>
      </c>
    </row>
    <row r="95">
      <c r="A95" s="161">
        <f>IFERROR(""&amp;INDEX(tk_MARK,MATCH(90,tk_DSEQ,0)),"")</f>
        <v/>
      </c>
      <c r="B95" s="162">
        <f>IFERROR(INDEX(tk_QTY,MATCH(90,tk_DSEQ,0)),"")</f>
        <v/>
      </c>
      <c r="C95" s="162">
        <f>IFERROR(INDEX(tk_ROOMF,MATCH(90,tk_DSEQ,0))&amp;IF(INDEX(tk_ROOMT,MATCH(90,tk_DSEQ,0))="",""," → "&amp;INDEX(tk_ROOMT,MATCH(90,tk_DSEQ,0))),"")</f>
        <v/>
      </c>
      <c r="D95" s="162">
        <f>IFERROR(INDEX(tk_LEAVES,MATCH(90,tk_DSEQ,0)),"")</f>
        <v/>
      </c>
      <c r="E95" s="162">
        <f>IFERROR(""&amp;INDEX(tk_RATING,MATCH(90,tk_DSEQ,0)),"")</f>
        <v/>
      </c>
      <c r="F95" s="162">
        <f>IFERROR(TEXT(INDEX(tk_LEAFW,MATCH(90,tk_DSEQ,0)),"0.000")&amp;" x "&amp;TEXT(INDEX(tk_LEAFH,MATCH(90,tk_DSEQ,0)),"0.000"),"")</f>
        <v/>
      </c>
      <c r="G95" s="181">
        <f>IFERROR(""&amp;INDEX(tk_DLINE,MATCH(90,tk_DSEQ,0)),"")</f>
        <v/>
      </c>
      <c r="H95" s="181">
        <f>IFERROR(""&amp;INDEX(tk_LOCTXTD,MATCH(90,tk_DSEQ,0)),"")</f>
        <v/>
      </c>
      <c r="I95" s="162">
        <f>IFERROR(""&amp;INDEX(tk_DNOTES,MATCH(90,tk_DSEQ,0)),"")</f>
        <v/>
      </c>
    </row>
    <row r="96">
      <c r="A96" s="161">
        <f>IFERROR(""&amp;INDEX(tk_MARK,MATCH(91,tk_DSEQ,0)),"")</f>
        <v/>
      </c>
      <c r="B96" s="162">
        <f>IFERROR(INDEX(tk_QTY,MATCH(91,tk_DSEQ,0)),"")</f>
        <v/>
      </c>
      <c r="C96" s="162">
        <f>IFERROR(INDEX(tk_ROOMF,MATCH(91,tk_DSEQ,0))&amp;IF(INDEX(tk_ROOMT,MATCH(91,tk_DSEQ,0))="",""," → "&amp;INDEX(tk_ROOMT,MATCH(91,tk_DSEQ,0))),"")</f>
        <v/>
      </c>
      <c r="D96" s="162">
        <f>IFERROR(INDEX(tk_LEAVES,MATCH(91,tk_DSEQ,0)),"")</f>
        <v/>
      </c>
      <c r="E96" s="162">
        <f>IFERROR(""&amp;INDEX(tk_RATING,MATCH(91,tk_DSEQ,0)),"")</f>
        <v/>
      </c>
      <c r="F96" s="162">
        <f>IFERROR(TEXT(INDEX(tk_LEAFW,MATCH(91,tk_DSEQ,0)),"0.000")&amp;" x "&amp;TEXT(INDEX(tk_LEAFH,MATCH(91,tk_DSEQ,0)),"0.000"),"")</f>
        <v/>
      </c>
      <c r="G96" s="181">
        <f>IFERROR(""&amp;INDEX(tk_DLINE,MATCH(91,tk_DSEQ,0)),"")</f>
        <v/>
      </c>
      <c r="H96" s="181">
        <f>IFERROR(""&amp;INDEX(tk_LOCTXTD,MATCH(91,tk_DSEQ,0)),"")</f>
        <v/>
      </c>
      <c r="I96" s="162">
        <f>IFERROR(""&amp;INDEX(tk_DNOTES,MATCH(91,tk_DSEQ,0)),"")</f>
        <v/>
      </c>
    </row>
    <row r="97">
      <c r="A97" s="161">
        <f>IFERROR(""&amp;INDEX(tk_MARK,MATCH(92,tk_DSEQ,0)),"")</f>
        <v/>
      </c>
      <c r="B97" s="162">
        <f>IFERROR(INDEX(tk_QTY,MATCH(92,tk_DSEQ,0)),"")</f>
        <v/>
      </c>
      <c r="C97" s="162">
        <f>IFERROR(INDEX(tk_ROOMF,MATCH(92,tk_DSEQ,0))&amp;IF(INDEX(tk_ROOMT,MATCH(92,tk_DSEQ,0))="",""," → "&amp;INDEX(tk_ROOMT,MATCH(92,tk_DSEQ,0))),"")</f>
        <v/>
      </c>
      <c r="D97" s="162">
        <f>IFERROR(INDEX(tk_LEAVES,MATCH(92,tk_DSEQ,0)),"")</f>
        <v/>
      </c>
      <c r="E97" s="162">
        <f>IFERROR(""&amp;INDEX(tk_RATING,MATCH(92,tk_DSEQ,0)),"")</f>
        <v/>
      </c>
      <c r="F97" s="162">
        <f>IFERROR(TEXT(INDEX(tk_LEAFW,MATCH(92,tk_DSEQ,0)),"0.000")&amp;" x "&amp;TEXT(INDEX(tk_LEAFH,MATCH(92,tk_DSEQ,0)),"0.000"),"")</f>
        <v/>
      </c>
      <c r="G97" s="181">
        <f>IFERROR(""&amp;INDEX(tk_DLINE,MATCH(92,tk_DSEQ,0)),"")</f>
        <v/>
      </c>
      <c r="H97" s="181">
        <f>IFERROR(""&amp;INDEX(tk_LOCTXTD,MATCH(92,tk_DSEQ,0)),"")</f>
        <v/>
      </c>
      <c r="I97" s="162">
        <f>IFERROR(""&amp;INDEX(tk_DNOTES,MATCH(92,tk_DSEQ,0)),"")</f>
        <v/>
      </c>
    </row>
    <row r="98">
      <c r="A98" s="161">
        <f>IFERROR(""&amp;INDEX(tk_MARK,MATCH(93,tk_DSEQ,0)),"")</f>
        <v/>
      </c>
      <c r="B98" s="162">
        <f>IFERROR(INDEX(tk_QTY,MATCH(93,tk_DSEQ,0)),"")</f>
        <v/>
      </c>
      <c r="C98" s="162">
        <f>IFERROR(INDEX(tk_ROOMF,MATCH(93,tk_DSEQ,0))&amp;IF(INDEX(tk_ROOMT,MATCH(93,tk_DSEQ,0))="",""," → "&amp;INDEX(tk_ROOMT,MATCH(93,tk_DSEQ,0))),"")</f>
        <v/>
      </c>
      <c r="D98" s="162">
        <f>IFERROR(INDEX(tk_LEAVES,MATCH(93,tk_DSEQ,0)),"")</f>
        <v/>
      </c>
      <c r="E98" s="162">
        <f>IFERROR(""&amp;INDEX(tk_RATING,MATCH(93,tk_DSEQ,0)),"")</f>
        <v/>
      </c>
      <c r="F98" s="162">
        <f>IFERROR(TEXT(INDEX(tk_LEAFW,MATCH(93,tk_DSEQ,0)),"0.000")&amp;" x "&amp;TEXT(INDEX(tk_LEAFH,MATCH(93,tk_DSEQ,0)),"0.000"),"")</f>
        <v/>
      </c>
      <c r="G98" s="181">
        <f>IFERROR(""&amp;INDEX(tk_DLINE,MATCH(93,tk_DSEQ,0)),"")</f>
        <v/>
      </c>
      <c r="H98" s="181">
        <f>IFERROR(""&amp;INDEX(tk_LOCTXTD,MATCH(93,tk_DSEQ,0)),"")</f>
        <v/>
      </c>
      <c r="I98" s="162">
        <f>IFERROR(""&amp;INDEX(tk_DNOTES,MATCH(93,tk_DSEQ,0)),"")</f>
        <v/>
      </c>
    </row>
    <row r="99">
      <c r="A99" s="161">
        <f>IFERROR(""&amp;INDEX(tk_MARK,MATCH(94,tk_DSEQ,0)),"")</f>
        <v/>
      </c>
      <c r="B99" s="162">
        <f>IFERROR(INDEX(tk_QTY,MATCH(94,tk_DSEQ,0)),"")</f>
        <v/>
      </c>
      <c r="C99" s="162">
        <f>IFERROR(INDEX(tk_ROOMF,MATCH(94,tk_DSEQ,0))&amp;IF(INDEX(tk_ROOMT,MATCH(94,tk_DSEQ,0))="",""," → "&amp;INDEX(tk_ROOMT,MATCH(94,tk_DSEQ,0))),"")</f>
        <v/>
      </c>
      <c r="D99" s="162">
        <f>IFERROR(INDEX(tk_LEAVES,MATCH(94,tk_DSEQ,0)),"")</f>
        <v/>
      </c>
      <c r="E99" s="162">
        <f>IFERROR(""&amp;INDEX(tk_RATING,MATCH(94,tk_DSEQ,0)),"")</f>
        <v/>
      </c>
      <c r="F99" s="162">
        <f>IFERROR(TEXT(INDEX(tk_LEAFW,MATCH(94,tk_DSEQ,0)),"0.000")&amp;" x "&amp;TEXT(INDEX(tk_LEAFH,MATCH(94,tk_DSEQ,0)),"0.000"),"")</f>
        <v/>
      </c>
      <c r="G99" s="181">
        <f>IFERROR(""&amp;INDEX(tk_DLINE,MATCH(94,tk_DSEQ,0)),"")</f>
        <v/>
      </c>
      <c r="H99" s="181">
        <f>IFERROR(""&amp;INDEX(tk_LOCTXTD,MATCH(94,tk_DSEQ,0)),"")</f>
        <v/>
      </c>
      <c r="I99" s="162">
        <f>IFERROR(""&amp;INDEX(tk_DNOTES,MATCH(94,tk_DSEQ,0)),"")</f>
        <v/>
      </c>
    </row>
    <row r="100">
      <c r="A100" s="161">
        <f>IFERROR(""&amp;INDEX(tk_MARK,MATCH(95,tk_DSEQ,0)),"")</f>
        <v/>
      </c>
      <c r="B100" s="162">
        <f>IFERROR(INDEX(tk_QTY,MATCH(95,tk_DSEQ,0)),"")</f>
        <v/>
      </c>
      <c r="C100" s="162">
        <f>IFERROR(INDEX(tk_ROOMF,MATCH(95,tk_DSEQ,0))&amp;IF(INDEX(tk_ROOMT,MATCH(95,tk_DSEQ,0))="",""," → "&amp;INDEX(tk_ROOMT,MATCH(95,tk_DSEQ,0))),"")</f>
        <v/>
      </c>
      <c r="D100" s="162">
        <f>IFERROR(INDEX(tk_LEAVES,MATCH(95,tk_DSEQ,0)),"")</f>
        <v/>
      </c>
      <c r="E100" s="162">
        <f>IFERROR(""&amp;INDEX(tk_RATING,MATCH(95,tk_DSEQ,0)),"")</f>
        <v/>
      </c>
      <c r="F100" s="162">
        <f>IFERROR(TEXT(INDEX(tk_LEAFW,MATCH(95,tk_DSEQ,0)),"0.000")&amp;" x "&amp;TEXT(INDEX(tk_LEAFH,MATCH(95,tk_DSEQ,0)),"0.000"),"")</f>
        <v/>
      </c>
      <c r="G100" s="181">
        <f>IFERROR(""&amp;INDEX(tk_DLINE,MATCH(95,tk_DSEQ,0)),"")</f>
        <v/>
      </c>
      <c r="H100" s="181">
        <f>IFERROR(""&amp;INDEX(tk_LOCTXTD,MATCH(95,tk_DSEQ,0)),"")</f>
        <v/>
      </c>
      <c r="I100" s="162">
        <f>IFERROR(""&amp;INDEX(tk_DNOTES,MATCH(95,tk_DSEQ,0)),"")</f>
        <v/>
      </c>
    </row>
    <row r="101">
      <c r="A101" s="161">
        <f>IFERROR(""&amp;INDEX(tk_MARK,MATCH(96,tk_DSEQ,0)),"")</f>
        <v/>
      </c>
      <c r="B101" s="162">
        <f>IFERROR(INDEX(tk_QTY,MATCH(96,tk_DSEQ,0)),"")</f>
        <v/>
      </c>
      <c r="C101" s="162">
        <f>IFERROR(INDEX(tk_ROOMF,MATCH(96,tk_DSEQ,0))&amp;IF(INDEX(tk_ROOMT,MATCH(96,tk_DSEQ,0))="",""," → "&amp;INDEX(tk_ROOMT,MATCH(96,tk_DSEQ,0))),"")</f>
        <v/>
      </c>
      <c r="D101" s="162">
        <f>IFERROR(INDEX(tk_LEAVES,MATCH(96,tk_DSEQ,0)),"")</f>
        <v/>
      </c>
      <c r="E101" s="162">
        <f>IFERROR(""&amp;INDEX(tk_RATING,MATCH(96,tk_DSEQ,0)),"")</f>
        <v/>
      </c>
      <c r="F101" s="162">
        <f>IFERROR(TEXT(INDEX(tk_LEAFW,MATCH(96,tk_DSEQ,0)),"0.000")&amp;" x "&amp;TEXT(INDEX(tk_LEAFH,MATCH(96,tk_DSEQ,0)),"0.000"),"")</f>
        <v/>
      </c>
      <c r="G101" s="181">
        <f>IFERROR(""&amp;INDEX(tk_DLINE,MATCH(96,tk_DSEQ,0)),"")</f>
        <v/>
      </c>
      <c r="H101" s="181">
        <f>IFERROR(""&amp;INDEX(tk_LOCTXTD,MATCH(96,tk_DSEQ,0)),"")</f>
        <v/>
      </c>
      <c r="I101" s="162">
        <f>IFERROR(""&amp;INDEX(tk_DNOTES,MATCH(96,tk_DSEQ,0)),"")</f>
        <v/>
      </c>
    </row>
    <row r="102">
      <c r="A102" s="161">
        <f>IFERROR(""&amp;INDEX(tk_MARK,MATCH(97,tk_DSEQ,0)),"")</f>
        <v/>
      </c>
      <c r="B102" s="162">
        <f>IFERROR(INDEX(tk_QTY,MATCH(97,tk_DSEQ,0)),"")</f>
        <v/>
      </c>
      <c r="C102" s="162">
        <f>IFERROR(INDEX(tk_ROOMF,MATCH(97,tk_DSEQ,0))&amp;IF(INDEX(tk_ROOMT,MATCH(97,tk_DSEQ,0))="",""," → "&amp;INDEX(tk_ROOMT,MATCH(97,tk_DSEQ,0))),"")</f>
        <v/>
      </c>
      <c r="D102" s="162">
        <f>IFERROR(INDEX(tk_LEAVES,MATCH(97,tk_DSEQ,0)),"")</f>
        <v/>
      </c>
      <c r="E102" s="162">
        <f>IFERROR(""&amp;INDEX(tk_RATING,MATCH(97,tk_DSEQ,0)),"")</f>
        <v/>
      </c>
      <c r="F102" s="162">
        <f>IFERROR(TEXT(INDEX(tk_LEAFW,MATCH(97,tk_DSEQ,0)),"0.000")&amp;" x "&amp;TEXT(INDEX(tk_LEAFH,MATCH(97,tk_DSEQ,0)),"0.000"),"")</f>
        <v/>
      </c>
      <c r="G102" s="181">
        <f>IFERROR(""&amp;INDEX(tk_DLINE,MATCH(97,tk_DSEQ,0)),"")</f>
        <v/>
      </c>
      <c r="H102" s="181">
        <f>IFERROR(""&amp;INDEX(tk_LOCTXTD,MATCH(97,tk_DSEQ,0)),"")</f>
        <v/>
      </c>
      <c r="I102" s="162">
        <f>IFERROR(""&amp;INDEX(tk_DNOTES,MATCH(97,tk_DSEQ,0)),"")</f>
        <v/>
      </c>
    </row>
    <row r="103">
      <c r="A103" s="161">
        <f>IFERROR(""&amp;INDEX(tk_MARK,MATCH(98,tk_DSEQ,0)),"")</f>
        <v/>
      </c>
      <c r="B103" s="162">
        <f>IFERROR(INDEX(tk_QTY,MATCH(98,tk_DSEQ,0)),"")</f>
        <v/>
      </c>
      <c r="C103" s="162">
        <f>IFERROR(INDEX(tk_ROOMF,MATCH(98,tk_DSEQ,0))&amp;IF(INDEX(tk_ROOMT,MATCH(98,tk_DSEQ,0))="",""," → "&amp;INDEX(tk_ROOMT,MATCH(98,tk_DSEQ,0))),"")</f>
        <v/>
      </c>
      <c r="D103" s="162">
        <f>IFERROR(INDEX(tk_LEAVES,MATCH(98,tk_DSEQ,0)),"")</f>
        <v/>
      </c>
      <c r="E103" s="162">
        <f>IFERROR(""&amp;INDEX(tk_RATING,MATCH(98,tk_DSEQ,0)),"")</f>
        <v/>
      </c>
      <c r="F103" s="162">
        <f>IFERROR(TEXT(INDEX(tk_LEAFW,MATCH(98,tk_DSEQ,0)),"0.000")&amp;" x "&amp;TEXT(INDEX(tk_LEAFH,MATCH(98,tk_DSEQ,0)),"0.000"),"")</f>
        <v/>
      </c>
      <c r="G103" s="181">
        <f>IFERROR(""&amp;INDEX(tk_DLINE,MATCH(98,tk_DSEQ,0)),"")</f>
        <v/>
      </c>
      <c r="H103" s="181">
        <f>IFERROR(""&amp;INDEX(tk_LOCTXTD,MATCH(98,tk_DSEQ,0)),"")</f>
        <v/>
      </c>
      <c r="I103" s="162">
        <f>IFERROR(""&amp;INDEX(tk_DNOTES,MATCH(98,tk_DSEQ,0)),"")</f>
        <v/>
      </c>
    </row>
    <row r="104">
      <c r="A104" s="161">
        <f>IFERROR(""&amp;INDEX(tk_MARK,MATCH(99,tk_DSEQ,0)),"")</f>
        <v/>
      </c>
      <c r="B104" s="162">
        <f>IFERROR(INDEX(tk_QTY,MATCH(99,tk_DSEQ,0)),"")</f>
        <v/>
      </c>
      <c r="C104" s="162">
        <f>IFERROR(INDEX(tk_ROOMF,MATCH(99,tk_DSEQ,0))&amp;IF(INDEX(tk_ROOMT,MATCH(99,tk_DSEQ,0))="",""," → "&amp;INDEX(tk_ROOMT,MATCH(99,tk_DSEQ,0))),"")</f>
        <v/>
      </c>
      <c r="D104" s="162">
        <f>IFERROR(INDEX(tk_LEAVES,MATCH(99,tk_DSEQ,0)),"")</f>
        <v/>
      </c>
      <c r="E104" s="162">
        <f>IFERROR(""&amp;INDEX(tk_RATING,MATCH(99,tk_DSEQ,0)),"")</f>
        <v/>
      </c>
      <c r="F104" s="162">
        <f>IFERROR(TEXT(INDEX(tk_LEAFW,MATCH(99,tk_DSEQ,0)),"0.000")&amp;" x "&amp;TEXT(INDEX(tk_LEAFH,MATCH(99,tk_DSEQ,0)),"0.000"),"")</f>
        <v/>
      </c>
      <c r="G104" s="181">
        <f>IFERROR(""&amp;INDEX(tk_DLINE,MATCH(99,tk_DSEQ,0)),"")</f>
        <v/>
      </c>
      <c r="H104" s="181">
        <f>IFERROR(""&amp;INDEX(tk_LOCTXTD,MATCH(99,tk_DSEQ,0)),"")</f>
        <v/>
      </c>
      <c r="I104" s="162">
        <f>IFERROR(""&amp;INDEX(tk_DNOTES,MATCH(99,tk_DSEQ,0)),"")</f>
        <v/>
      </c>
    </row>
    <row r="105">
      <c r="A105" s="161">
        <f>IFERROR(""&amp;INDEX(tk_MARK,MATCH(100,tk_DSEQ,0)),"")</f>
        <v/>
      </c>
      <c r="B105" s="162">
        <f>IFERROR(INDEX(tk_QTY,MATCH(100,tk_DSEQ,0)),"")</f>
        <v/>
      </c>
      <c r="C105" s="162">
        <f>IFERROR(INDEX(tk_ROOMF,MATCH(100,tk_DSEQ,0))&amp;IF(INDEX(tk_ROOMT,MATCH(100,tk_DSEQ,0))="",""," → "&amp;INDEX(tk_ROOMT,MATCH(100,tk_DSEQ,0))),"")</f>
        <v/>
      </c>
      <c r="D105" s="162">
        <f>IFERROR(INDEX(tk_LEAVES,MATCH(100,tk_DSEQ,0)),"")</f>
        <v/>
      </c>
      <c r="E105" s="162">
        <f>IFERROR(""&amp;INDEX(tk_RATING,MATCH(100,tk_DSEQ,0)),"")</f>
        <v/>
      </c>
      <c r="F105" s="162">
        <f>IFERROR(TEXT(INDEX(tk_LEAFW,MATCH(100,tk_DSEQ,0)),"0.000")&amp;" x "&amp;TEXT(INDEX(tk_LEAFH,MATCH(100,tk_DSEQ,0)),"0.000"),"")</f>
        <v/>
      </c>
      <c r="G105" s="181">
        <f>IFERROR(""&amp;INDEX(tk_DLINE,MATCH(100,tk_DSEQ,0)),"")</f>
        <v/>
      </c>
      <c r="H105" s="181">
        <f>IFERROR(""&amp;INDEX(tk_LOCTXTD,MATCH(100,tk_DSEQ,0)),"")</f>
        <v/>
      </c>
      <c r="I105" s="162">
        <f>IFERROR(""&amp;INDEX(tk_DNOTES,MATCH(100,tk_DSEQ,0)),"")</f>
        <v/>
      </c>
    </row>
    <row r="106">
      <c r="A106" s="161">
        <f>IFERROR(""&amp;INDEX(tk_MARK,MATCH(101,tk_DSEQ,0)),"")</f>
        <v/>
      </c>
      <c r="B106" s="162">
        <f>IFERROR(INDEX(tk_QTY,MATCH(101,tk_DSEQ,0)),"")</f>
        <v/>
      </c>
      <c r="C106" s="162">
        <f>IFERROR(INDEX(tk_ROOMF,MATCH(101,tk_DSEQ,0))&amp;IF(INDEX(tk_ROOMT,MATCH(101,tk_DSEQ,0))="",""," → "&amp;INDEX(tk_ROOMT,MATCH(101,tk_DSEQ,0))),"")</f>
        <v/>
      </c>
      <c r="D106" s="162">
        <f>IFERROR(INDEX(tk_LEAVES,MATCH(101,tk_DSEQ,0)),"")</f>
        <v/>
      </c>
      <c r="E106" s="162">
        <f>IFERROR(""&amp;INDEX(tk_RATING,MATCH(101,tk_DSEQ,0)),"")</f>
        <v/>
      </c>
      <c r="F106" s="162">
        <f>IFERROR(TEXT(INDEX(tk_LEAFW,MATCH(101,tk_DSEQ,0)),"0.000")&amp;" x "&amp;TEXT(INDEX(tk_LEAFH,MATCH(101,tk_DSEQ,0)),"0.000"),"")</f>
        <v/>
      </c>
      <c r="G106" s="181">
        <f>IFERROR(""&amp;INDEX(tk_DLINE,MATCH(101,tk_DSEQ,0)),"")</f>
        <v/>
      </c>
      <c r="H106" s="181">
        <f>IFERROR(""&amp;INDEX(tk_LOCTXTD,MATCH(101,tk_DSEQ,0)),"")</f>
        <v/>
      </c>
      <c r="I106" s="162">
        <f>IFERROR(""&amp;INDEX(tk_DNOTES,MATCH(101,tk_DSEQ,0)),"")</f>
        <v/>
      </c>
    </row>
    <row r="107">
      <c r="A107" s="161">
        <f>IFERROR(""&amp;INDEX(tk_MARK,MATCH(102,tk_DSEQ,0)),"")</f>
        <v/>
      </c>
      <c r="B107" s="162">
        <f>IFERROR(INDEX(tk_QTY,MATCH(102,tk_DSEQ,0)),"")</f>
        <v/>
      </c>
      <c r="C107" s="162">
        <f>IFERROR(INDEX(tk_ROOMF,MATCH(102,tk_DSEQ,0))&amp;IF(INDEX(tk_ROOMT,MATCH(102,tk_DSEQ,0))="",""," → "&amp;INDEX(tk_ROOMT,MATCH(102,tk_DSEQ,0))),"")</f>
        <v/>
      </c>
      <c r="D107" s="162">
        <f>IFERROR(INDEX(tk_LEAVES,MATCH(102,tk_DSEQ,0)),"")</f>
        <v/>
      </c>
      <c r="E107" s="162">
        <f>IFERROR(""&amp;INDEX(tk_RATING,MATCH(102,tk_DSEQ,0)),"")</f>
        <v/>
      </c>
      <c r="F107" s="162">
        <f>IFERROR(TEXT(INDEX(tk_LEAFW,MATCH(102,tk_DSEQ,0)),"0.000")&amp;" x "&amp;TEXT(INDEX(tk_LEAFH,MATCH(102,tk_DSEQ,0)),"0.000"),"")</f>
        <v/>
      </c>
      <c r="G107" s="181">
        <f>IFERROR(""&amp;INDEX(tk_DLINE,MATCH(102,tk_DSEQ,0)),"")</f>
        <v/>
      </c>
      <c r="H107" s="181">
        <f>IFERROR(""&amp;INDEX(tk_LOCTXTD,MATCH(102,tk_DSEQ,0)),"")</f>
        <v/>
      </c>
      <c r="I107" s="162">
        <f>IFERROR(""&amp;INDEX(tk_DNOTES,MATCH(102,tk_DSEQ,0)),"")</f>
        <v/>
      </c>
    </row>
    <row r="108">
      <c r="A108" s="161">
        <f>IFERROR(""&amp;INDEX(tk_MARK,MATCH(103,tk_DSEQ,0)),"")</f>
        <v/>
      </c>
      <c r="B108" s="162">
        <f>IFERROR(INDEX(tk_QTY,MATCH(103,tk_DSEQ,0)),"")</f>
        <v/>
      </c>
      <c r="C108" s="162">
        <f>IFERROR(INDEX(tk_ROOMF,MATCH(103,tk_DSEQ,0))&amp;IF(INDEX(tk_ROOMT,MATCH(103,tk_DSEQ,0))="",""," → "&amp;INDEX(tk_ROOMT,MATCH(103,tk_DSEQ,0))),"")</f>
        <v/>
      </c>
      <c r="D108" s="162">
        <f>IFERROR(INDEX(tk_LEAVES,MATCH(103,tk_DSEQ,0)),"")</f>
        <v/>
      </c>
      <c r="E108" s="162">
        <f>IFERROR(""&amp;INDEX(tk_RATING,MATCH(103,tk_DSEQ,0)),"")</f>
        <v/>
      </c>
      <c r="F108" s="162">
        <f>IFERROR(TEXT(INDEX(tk_LEAFW,MATCH(103,tk_DSEQ,0)),"0.000")&amp;" x "&amp;TEXT(INDEX(tk_LEAFH,MATCH(103,tk_DSEQ,0)),"0.000"),"")</f>
        <v/>
      </c>
      <c r="G108" s="181">
        <f>IFERROR(""&amp;INDEX(tk_DLINE,MATCH(103,tk_DSEQ,0)),"")</f>
        <v/>
      </c>
      <c r="H108" s="181">
        <f>IFERROR(""&amp;INDEX(tk_LOCTXTD,MATCH(103,tk_DSEQ,0)),"")</f>
        <v/>
      </c>
      <c r="I108" s="162">
        <f>IFERROR(""&amp;INDEX(tk_DNOTES,MATCH(103,tk_DSEQ,0)),"")</f>
        <v/>
      </c>
    </row>
    <row r="109">
      <c r="A109" s="161">
        <f>IFERROR(""&amp;INDEX(tk_MARK,MATCH(104,tk_DSEQ,0)),"")</f>
        <v/>
      </c>
      <c r="B109" s="162">
        <f>IFERROR(INDEX(tk_QTY,MATCH(104,tk_DSEQ,0)),"")</f>
        <v/>
      </c>
      <c r="C109" s="162">
        <f>IFERROR(INDEX(tk_ROOMF,MATCH(104,tk_DSEQ,0))&amp;IF(INDEX(tk_ROOMT,MATCH(104,tk_DSEQ,0))="",""," → "&amp;INDEX(tk_ROOMT,MATCH(104,tk_DSEQ,0))),"")</f>
        <v/>
      </c>
      <c r="D109" s="162">
        <f>IFERROR(INDEX(tk_LEAVES,MATCH(104,tk_DSEQ,0)),"")</f>
        <v/>
      </c>
      <c r="E109" s="162">
        <f>IFERROR(""&amp;INDEX(tk_RATING,MATCH(104,tk_DSEQ,0)),"")</f>
        <v/>
      </c>
      <c r="F109" s="162">
        <f>IFERROR(TEXT(INDEX(tk_LEAFW,MATCH(104,tk_DSEQ,0)),"0.000")&amp;" x "&amp;TEXT(INDEX(tk_LEAFH,MATCH(104,tk_DSEQ,0)),"0.000"),"")</f>
        <v/>
      </c>
      <c r="G109" s="181">
        <f>IFERROR(""&amp;INDEX(tk_DLINE,MATCH(104,tk_DSEQ,0)),"")</f>
        <v/>
      </c>
      <c r="H109" s="181">
        <f>IFERROR(""&amp;INDEX(tk_LOCTXTD,MATCH(104,tk_DSEQ,0)),"")</f>
        <v/>
      </c>
      <c r="I109" s="162">
        <f>IFERROR(""&amp;INDEX(tk_DNOTES,MATCH(104,tk_DSEQ,0)),"")</f>
        <v/>
      </c>
    </row>
    <row r="110">
      <c r="A110" s="161">
        <f>IFERROR(""&amp;INDEX(tk_MARK,MATCH(105,tk_DSEQ,0)),"")</f>
        <v/>
      </c>
      <c r="B110" s="162">
        <f>IFERROR(INDEX(tk_QTY,MATCH(105,tk_DSEQ,0)),"")</f>
        <v/>
      </c>
      <c r="C110" s="162">
        <f>IFERROR(INDEX(tk_ROOMF,MATCH(105,tk_DSEQ,0))&amp;IF(INDEX(tk_ROOMT,MATCH(105,tk_DSEQ,0))="",""," → "&amp;INDEX(tk_ROOMT,MATCH(105,tk_DSEQ,0))),"")</f>
        <v/>
      </c>
      <c r="D110" s="162">
        <f>IFERROR(INDEX(tk_LEAVES,MATCH(105,tk_DSEQ,0)),"")</f>
        <v/>
      </c>
      <c r="E110" s="162">
        <f>IFERROR(""&amp;INDEX(tk_RATING,MATCH(105,tk_DSEQ,0)),"")</f>
        <v/>
      </c>
      <c r="F110" s="162">
        <f>IFERROR(TEXT(INDEX(tk_LEAFW,MATCH(105,tk_DSEQ,0)),"0.000")&amp;" x "&amp;TEXT(INDEX(tk_LEAFH,MATCH(105,tk_DSEQ,0)),"0.000"),"")</f>
        <v/>
      </c>
      <c r="G110" s="181">
        <f>IFERROR(""&amp;INDEX(tk_DLINE,MATCH(105,tk_DSEQ,0)),"")</f>
        <v/>
      </c>
      <c r="H110" s="181">
        <f>IFERROR(""&amp;INDEX(tk_LOCTXTD,MATCH(105,tk_DSEQ,0)),"")</f>
        <v/>
      </c>
      <c r="I110" s="162">
        <f>IFERROR(""&amp;INDEX(tk_DNOTES,MATCH(105,tk_DSEQ,0)),"")</f>
        <v/>
      </c>
    </row>
    <row r="111">
      <c r="A111" s="161">
        <f>IFERROR(""&amp;INDEX(tk_MARK,MATCH(106,tk_DSEQ,0)),"")</f>
        <v/>
      </c>
      <c r="B111" s="162">
        <f>IFERROR(INDEX(tk_QTY,MATCH(106,tk_DSEQ,0)),"")</f>
        <v/>
      </c>
      <c r="C111" s="162">
        <f>IFERROR(INDEX(tk_ROOMF,MATCH(106,tk_DSEQ,0))&amp;IF(INDEX(tk_ROOMT,MATCH(106,tk_DSEQ,0))="",""," → "&amp;INDEX(tk_ROOMT,MATCH(106,tk_DSEQ,0))),"")</f>
        <v/>
      </c>
      <c r="D111" s="162">
        <f>IFERROR(INDEX(tk_LEAVES,MATCH(106,tk_DSEQ,0)),"")</f>
        <v/>
      </c>
      <c r="E111" s="162">
        <f>IFERROR(""&amp;INDEX(tk_RATING,MATCH(106,tk_DSEQ,0)),"")</f>
        <v/>
      </c>
      <c r="F111" s="162">
        <f>IFERROR(TEXT(INDEX(tk_LEAFW,MATCH(106,tk_DSEQ,0)),"0.000")&amp;" x "&amp;TEXT(INDEX(tk_LEAFH,MATCH(106,tk_DSEQ,0)),"0.000"),"")</f>
        <v/>
      </c>
      <c r="G111" s="181">
        <f>IFERROR(""&amp;INDEX(tk_DLINE,MATCH(106,tk_DSEQ,0)),"")</f>
        <v/>
      </c>
      <c r="H111" s="181">
        <f>IFERROR(""&amp;INDEX(tk_LOCTXTD,MATCH(106,tk_DSEQ,0)),"")</f>
        <v/>
      </c>
      <c r="I111" s="162">
        <f>IFERROR(""&amp;INDEX(tk_DNOTES,MATCH(106,tk_DSEQ,0)),"")</f>
        <v/>
      </c>
    </row>
    <row r="112">
      <c r="A112" s="161">
        <f>IFERROR(""&amp;INDEX(tk_MARK,MATCH(107,tk_DSEQ,0)),"")</f>
        <v/>
      </c>
      <c r="B112" s="162">
        <f>IFERROR(INDEX(tk_QTY,MATCH(107,tk_DSEQ,0)),"")</f>
        <v/>
      </c>
      <c r="C112" s="162">
        <f>IFERROR(INDEX(tk_ROOMF,MATCH(107,tk_DSEQ,0))&amp;IF(INDEX(tk_ROOMT,MATCH(107,tk_DSEQ,0))="",""," → "&amp;INDEX(tk_ROOMT,MATCH(107,tk_DSEQ,0))),"")</f>
        <v/>
      </c>
      <c r="D112" s="162">
        <f>IFERROR(INDEX(tk_LEAVES,MATCH(107,tk_DSEQ,0)),"")</f>
        <v/>
      </c>
      <c r="E112" s="162">
        <f>IFERROR(""&amp;INDEX(tk_RATING,MATCH(107,tk_DSEQ,0)),"")</f>
        <v/>
      </c>
      <c r="F112" s="162">
        <f>IFERROR(TEXT(INDEX(tk_LEAFW,MATCH(107,tk_DSEQ,0)),"0.000")&amp;" x "&amp;TEXT(INDEX(tk_LEAFH,MATCH(107,tk_DSEQ,0)),"0.000"),"")</f>
        <v/>
      </c>
      <c r="G112" s="181">
        <f>IFERROR(""&amp;INDEX(tk_DLINE,MATCH(107,tk_DSEQ,0)),"")</f>
        <v/>
      </c>
      <c r="H112" s="181">
        <f>IFERROR(""&amp;INDEX(tk_LOCTXTD,MATCH(107,tk_DSEQ,0)),"")</f>
        <v/>
      </c>
      <c r="I112" s="162">
        <f>IFERROR(""&amp;INDEX(tk_DNOTES,MATCH(107,tk_DSEQ,0)),"")</f>
        <v/>
      </c>
    </row>
    <row r="113">
      <c r="A113" s="161">
        <f>IFERROR(""&amp;INDEX(tk_MARK,MATCH(108,tk_DSEQ,0)),"")</f>
        <v/>
      </c>
      <c r="B113" s="162">
        <f>IFERROR(INDEX(tk_QTY,MATCH(108,tk_DSEQ,0)),"")</f>
        <v/>
      </c>
      <c r="C113" s="162">
        <f>IFERROR(INDEX(tk_ROOMF,MATCH(108,tk_DSEQ,0))&amp;IF(INDEX(tk_ROOMT,MATCH(108,tk_DSEQ,0))="",""," → "&amp;INDEX(tk_ROOMT,MATCH(108,tk_DSEQ,0))),"")</f>
        <v/>
      </c>
      <c r="D113" s="162">
        <f>IFERROR(INDEX(tk_LEAVES,MATCH(108,tk_DSEQ,0)),"")</f>
        <v/>
      </c>
      <c r="E113" s="162">
        <f>IFERROR(""&amp;INDEX(tk_RATING,MATCH(108,tk_DSEQ,0)),"")</f>
        <v/>
      </c>
      <c r="F113" s="162">
        <f>IFERROR(TEXT(INDEX(tk_LEAFW,MATCH(108,tk_DSEQ,0)),"0.000")&amp;" x "&amp;TEXT(INDEX(tk_LEAFH,MATCH(108,tk_DSEQ,0)),"0.000"),"")</f>
        <v/>
      </c>
      <c r="G113" s="181">
        <f>IFERROR(""&amp;INDEX(tk_DLINE,MATCH(108,tk_DSEQ,0)),"")</f>
        <v/>
      </c>
      <c r="H113" s="181">
        <f>IFERROR(""&amp;INDEX(tk_LOCTXTD,MATCH(108,tk_DSEQ,0)),"")</f>
        <v/>
      </c>
      <c r="I113" s="162">
        <f>IFERROR(""&amp;INDEX(tk_DNOTES,MATCH(108,tk_DSEQ,0)),"")</f>
        <v/>
      </c>
    </row>
    <row r="114">
      <c r="A114" s="161">
        <f>IFERROR(""&amp;INDEX(tk_MARK,MATCH(109,tk_DSEQ,0)),"")</f>
        <v/>
      </c>
      <c r="B114" s="162">
        <f>IFERROR(INDEX(tk_QTY,MATCH(109,tk_DSEQ,0)),"")</f>
        <v/>
      </c>
      <c r="C114" s="162">
        <f>IFERROR(INDEX(tk_ROOMF,MATCH(109,tk_DSEQ,0))&amp;IF(INDEX(tk_ROOMT,MATCH(109,tk_DSEQ,0))="",""," → "&amp;INDEX(tk_ROOMT,MATCH(109,tk_DSEQ,0))),"")</f>
        <v/>
      </c>
      <c r="D114" s="162">
        <f>IFERROR(INDEX(tk_LEAVES,MATCH(109,tk_DSEQ,0)),"")</f>
        <v/>
      </c>
      <c r="E114" s="162">
        <f>IFERROR(""&amp;INDEX(tk_RATING,MATCH(109,tk_DSEQ,0)),"")</f>
        <v/>
      </c>
      <c r="F114" s="162">
        <f>IFERROR(TEXT(INDEX(tk_LEAFW,MATCH(109,tk_DSEQ,0)),"0.000")&amp;" x "&amp;TEXT(INDEX(tk_LEAFH,MATCH(109,tk_DSEQ,0)),"0.000"),"")</f>
        <v/>
      </c>
      <c r="G114" s="181">
        <f>IFERROR(""&amp;INDEX(tk_DLINE,MATCH(109,tk_DSEQ,0)),"")</f>
        <v/>
      </c>
      <c r="H114" s="181">
        <f>IFERROR(""&amp;INDEX(tk_LOCTXTD,MATCH(109,tk_DSEQ,0)),"")</f>
        <v/>
      </c>
      <c r="I114" s="162">
        <f>IFERROR(""&amp;INDEX(tk_DNOTES,MATCH(109,tk_DSEQ,0)),"")</f>
        <v/>
      </c>
    </row>
    <row r="115">
      <c r="A115" s="161">
        <f>IFERROR(""&amp;INDEX(tk_MARK,MATCH(110,tk_DSEQ,0)),"")</f>
        <v/>
      </c>
      <c r="B115" s="162">
        <f>IFERROR(INDEX(tk_QTY,MATCH(110,tk_DSEQ,0)),"")</f>
        <v/>
      </c>
      <c r="C115" s="162">
        <f>IFERROR(INDEX(tk_ROOMF,MATCH(110,tk_DSEQ,0))&amp;IF(INDEX(tk_ROOMT,MATCH(110,tk_DSEQ,0))="",""," → "&amp;INDEX(tk_ROOMT,MATCH(110,tk_DSEQ,0))),"")</f>
        <v/>
      </c>
      <c r="D115" s="162">
        <f>IFERROR(INDEX(tk_LEAVES,MATCH(110,tk_DSEQ,0)),"")</f>
        <v/>
      </c>
      <c r="E115" s="162">
        <f>IFERROR(""&amp;INDEX(tk_RATING,MATCH(110,tk_DSEQ,0)),"")</f>
        <v/>
      </c>
      <c r="F115" s="162">
        <f>IFERROR(TEXT(INDEX(tk_LEAFW,MATCH(110,tk_DSEQ,0)),"0.000")&amp;" x "&amp;TEXT(INDEX(tk_LEAFH,MATCH(110,tk_DSEQ,0)),"0.000"),"")</f>
        <v/>
      </c>
      <c r="G115" s="181">
        <f>IFERROR(""&amp;INDEX(tk_DLINE,MATCH(110,tk_DSEQ,0)),"")</f>
        <v/>
      </c>
      <c r="H115" s="181">
        <f>IFERROR(""&amp;INDEX(tk_LOCTXTD,MATCH(110,tk_DSEQ,0)),"")</f>
        <v/>
      </c>
      <c r="I115" s="162">
        <f>IFERROR(""&amp;INDEX(tk_DNOTES,MATCH(110,tk_DSEQ,0)),"")</f>
        <v/>
      </c>
    </row>
    <row r="116">
      <c r="A116" s="161">
        <f>IFERROR(""&amp;INDEX(tk_MARK,MATCH(111,tk_DSEQ,0)),"")</f>
        <v/>
      </c>
      <c r="B116" s="162">
        <f>IFERROR(INDEX(tk_QTY,MATCH(111,tk_DSEQ,0)),"")</f>
        <v/>
      </c>
      <c r="C116" s="162">
        <f>IFERROR(INDEX(tk_ROOMF,MATCH(111,tk_DSEQ,0))&amp;IF(INDEX(tk_ROOMT,MATCH(111,tk_DSEQ,0))="",""," → "&amp;INDEX(tk_ROOMT,MATCH(111,tk_DSEQ,0))),"")</f>
        <v/>
      </c>
      <c r="D116" s="162">
        <f>IFERROR(INDEX(tk_LEAVES,MATCH(111,tk_DSEQ,0)),"")</f>
        <v/>
      </c>
      <c r="E116" s="162">
        <f>IFERROR(""&amp;INDEX(tk_RATING,MATCH(111,tk_DSEQ,0)),"")</f>
        <v/>
      </c>
      <c r="F116" s="162">
        <f>IFERROR(TEXT(INDEX(tk_LEAFW,MATCH(111,tk_DSEQ,0)),"0.000")&amp;" x "&amp;TEXT(INDEX(tk_LEAFH,MATCH(111,tk_DSEQ,0)),"0.000"),"")</f>
        <v/>
      </c>
      <c r="G116" s="181">
        <f>IFERROR(""&amp;INDEX(tk_DLINE,MATCH(111,tk_DSEQ,0)),"")</f>
        <v/>
      </c>
      <c r="H116" s="181">
        <f>IFERROR(""&amp;INDEX(tk_LOCTXTD,MATCH(111,tk_DSEQ,0)),"")</f>
        <v/>
      </c>
      <c r="I116" s="162">
        <f>IFERROR(""&amp;INDEX(tk_DNOTES,MATCH(111,tk_DSEQ,0)),"")</f>
        <v/>
      </c>
    </row>
    <row r="117">
      <c r="A117" s="161">
        <f>IFERROR(""&amp;INDEX(tk_MARK,MATCH(112,tk_DSEQ,0)),"")</f>
        <v/>
      </c>
      <c r="B117" s="162">
        <f>IFERROR(INDEX(tk_QTY,MATCH(112,tk_DSEQ,0)),"")</f>
        <v/>
      </c>
      <c r="C117" s="162">
        <f>IFERROR(INDEX(tk_ROOMF,MATCH(112,tk_DSEQ,0))&amp;IF(INDEX(tk_ROOMT,MATCH(112,tk_DSEQ,0))="",""," → "&amp;INDEX(tk_ROOMT,MATCH(112,tk_DSEQ,0))),"")</f>
        <v/>
      </c>
      <c r="D117" s="162">
        <f>IFERROR(INDEX(tk_LEAVES,MATCH(112,tk_DSEQ,0)),"")</f>
        <v/>
      </c>
      <c r="E117" s="162">
        <f>IFERROR(""&amp;INDEX(tk_RATING,MATCH(112,tk_DSEQ,0)),"")</f>
        <v/>
      </c>
      <c r="F117" s="162">
        <f>IFERROR(TEXT(INDEX(tk_LEAFW,MATCH(112,tk_DSEQ,0)),"0.000")&amp;" x "&amp;TEXT(INDEX(tk_LEAFH,MATCH(112,tk_DSEQ,0)),"0.000"),"")</f>
        <v/>
      </c>
      <c r="G117" s="181">
        <f>IFERROR(""&amp;INDEX(tk_DLINE,MATCH(112,tk_DSEQ,0)),"")</f>
        <v/>
      </c>
      <c r="H117" s="181">
        <f>IFERROR(""&amp;INDEX(tk_LOCTXTD,MATCH(112,tk_DSEQ,0)),"")</f>
        <v/>
      </c>
      <c r="I117" s="162">
        <f>IFERROR(""&amp;INDEX(tk_DNOTES,MATCH(112,tk_DSEQ,0)),"")</f>
        <v/>
      </c>
    </row>
    <row r="118">
      <c r="A118" s="161">
        <f>IFERROR(""&amp;INDEX(tk_MARK,MATCH(113,tk_DSEQ,0)),"")</f>
        <v/>
      </c>
      <c r="B118" s="162">
        <f>IFERROR(INDEX(tk_QTY,MATCH(113,tk_DSEQ,0)),"")</f>
        <v/>
      </c>
      <c r="C118" s="162">
        <f>IFERROR(INDEX(tk_ROOMF,MATCH(113,tk_DSEQ,0))&amp;IF(INDEX(tk_ROOMT,MATCH(113,tk_DSEQ,0))="",""," → "&amp;INDEX(tk_ROOMT,MATCH(113,tk_DSEQ,0))),"")</f>
        <v/>
      </c>
      <c r="D118" s="162">
        <f>IFERROR(INDEX(tk_LEAVES,MATCH(113,tk_DSEQ,0)),"")</f>
        <v/>
      </c>
      <c r="E118" s="162">
        <f>IFERROR(""&amp;INDEX(tk_RATING,MATCH(113,tk_DSEQ,0)),"")</f>
        <v/>
      </c>
      <c r="F118" s="162">
        <f>IFERROR(TEXT(INDEX(tk_LEAFW,MATCH(113,tk_DSEQ,0)),"0.000")&amp;" x "&amp;TEXT(INDEX(tk_LEAFH,MATCH(113,tk_DSEQ,0)),"0.000"),"")</f>
        <v/>
      </c>
      <c r="G118" s="181">
        <f>IFERROR(""&amp;INDEX(tk_DLINE,MATCH(113,tk_DSEQ,0)),"")</f>
        <v/>
      </c>
      <c r="H118" s="181">
        <f>IFERROR(""&amp;INDEX(tk_LOCTXTD,MATCH(113,tk_DSEQ,0)),"")</f>
        <v/>
      </c>
      <c r="I118" s="162">
        <f>IFERROR(""&amp;INDEX(tk_DNOTES,MATCH(113,tk_DSEQ,0)),"")</f>
        <v/>
      </c>
    </row>
    <row r="119">
      <c r="A119" s="161">
        <f>IFERROR(""&amp;INDEX(tk_MARK,MATCH(114,tk_DSEQ,0)),"")</f>
        <v/>
      </c>
      <c r="B119" s="162">
        <f>IFERROR(INDEX(tk_QTY,MATCH(114,tk_DSEQ,0)),"")</f>
        <v/>
      </c>
      <c r="C119" s="162">
        <f>IFERROR(INDEX(tk_ROOMF,MATCH(114,tk_DSEQ,0))&amp;IF(INDEX(tk_ROOMT,MATCH(114,tk_DSEQ,0))="",""," → "&amp;INDEX(tk_ROOMT,MATCH(114,tk_DSEQ,0))),"")</f>
        <v/>
      </c>
      <c r="D119" s="162">
        <f>IFERROR(INDEX(tk_LEAVES,MATCH(114,tk_DSEQ,0)),"")</f>
        <v/>
      </c>
      <c r="E119" s="162">
        <f>IFERROR(""&amp;INDEX(tk_RATING,MATCH(114,tk_DSEQ,0)),"")</f>
        <v/>
      </c>
      <c r="F119" s="162">
        <f>IFERROR(TEXT(INDEX(tk_LEAFW,MATCH(114,tk_DSEQ,0)),"0.000")&amp;" x "&amp;TEXT(INDEX(tk_LEAFH,MATCH(114,tk_DSEQ,0)),"0.000"),"")</f>
        <v/>
      </c>
      <c r="G119" s="181">
        <f>IFERROR(""&amp;INDEX(tk_DLINE,MATCH(114,tk_DSEQ,0)),"")</f>
        <v/>
      </c>
      <c r="H119" s="181">
        <f>IFERROR(""&amp;INDEX(tk_LOCTXTD,MATCH(114,tk_DSEQ,0)),"")</f>
        <v/>
      </c>
      <c r="I119" s="162">
        <f>IFERROR(""&amp;INDEX(tk_DNOTES,MATCH(114,tk_DSEQ,0)),"")</f>
        <v/>
      </c>
    </row>
    <row r="120">
      <c r="A120" s="161">
        <f>IFERROR(""&amp;INDEX(tk_MARK,MATCH(115,tk_DSEQ,0)),"")</f>
        <v/>
      </c>
      <c r="B120" s="162">
        <f>IFERROR(INDEX(tk_QTY,MATCH(115,tk_DSEQ,0)),"")</f>
        <v/>
      </c>
      <c r="C120" s="162">
        <f>IFERROR(INDEX(tk_ROOMF,MATCH(115,tk_DSEQ,0))&amp;IF(INDEX(tk_ROOMT,MATCH(115,tk_DSEQ,0))="",""," → "&amp;INDEX(tk_ROOMT,MATCH(115,tk_DSEQ,0))),"")</f>
        <v/>
      </c>
      <c r="D120" s="162">
        <f>IFERROR(INDEX(tk_LEAVES,MATCH(115,tk_DSEQ,0)),"")</f>
        <v/>
      </c>
      <c r="E120" s="162">
        <f>IFERROR(""&amp;INDEX(tk_RATING,MATCH(115,tk_DSEQ,0)),"")</f>
        <v/>
      </c>
      <c r="F120" s="162">
        <f>IFERROR(TEXT(INDEX(tk_LEAFW,MATCH(115,tk_DSEQ,0)),"0.000")&amp;" x "&amp;TEXT(INDEX(tk_LEAFH,MATCH(115,tk_DSEQ,0)),"0.000"),"")</f>
        <v/>
      </c>
      <c r="G120" s="181">
        <f>IFERROR(""&amp;INDEX(tk_DLINE,MATCH(115,tk_DSEQ,0)),"")</f>
        <v/>
      </c>
      <c r="H120" s="181">
        <f>IFERROR(""&amp;INDEX(tk_LOCTXTD,MATCH(115,tk_DSEQ,0)),"")</f>
        <v/>
      </c>
      <c r="I120" s="162">
        <f>IFERROR(""&amp;INDEX(tk_DNOTES,MATCH(115,tk_DSEQ,0)),"")</f>
        <v/>
      </c>
    </row>
    <row r="121">
      <c r="A121" s="161">
        <f>IFERROR(""&amp;INDEX(tk_MARK,MATCH(116,tk_DSEQ,0)),"")</f>
        <v/>
      </c>
      <c r="B121" s="162">
        <f>IFERROR(INDEX(tk_QTY,MATCH(116,tk_DSEQ,0)),"")</f>
        <v/>
      </c>
      <c r="C121" s="162">
        <f>IFERROR(INDEX(tk_ROOMF,MATCH(116,tk_DSEQ,0))&amp;IF(INDEX(tk_ROOMT,MATCH(116,tk_DSEQ,0))="",""," → "&amp;INDEX(tk_ROOMT,MATCH(116,tk_DSEQ,0))),"")</f>
        <v/>
      </c>
      <c r="D121" s="162">
        <f>IFERROR(INDEX(tk_LEAVES,MATCH(116,tk_DSEQ,0)),"")</f>
        <v/>
      </c>
      <c r="E121" s="162">
        <f>IFERROR(""&amp;INDEX(tk_RATING,MATCH(116,tk_DSEQ,0)),"")</f>
        <v/>
      </c>
      <c r="F121" s="162">
        <f>IFERROR(TEXT(INDEX(tk_LEAFW,MATCH(116,tk_DSEQ,0)),"0.000")&amp;" x "&amp;TEXT(INDEX(tk_LEAFH,MATCH(116,tk_DSEQ,0)),"0.000"),"")</f>
        <v/>
      </c>
      <c r="G121" s="181">
        <f>IFERROR(""&amp;INDEX(tk_DLINE,MATCH(116,tk_DSEQ,0)),"")</f>
        <v/>
      </c>
      <c r="H121" s="181">
        <f>IFERROR(""&amp;INDEX(tk_LOCTXTD,MATCH(116,tk_DSEQ,0)),"")</f>
        <v/>
      </c>
      <c r="I121" s="162">
        <f>IFERROR(""&amp;INDEX(tk_DNOTES,MATCH(116,tk_DSEQ,0)),"")</f>
        <v/>
      </c>
    </row>
    <row r="122">
      <c r="A122" s="161">
        <f>IFERROR(""&amp;INDEX(tk_MARK,MATCH(117,tk_DSEQ,0)),"")</f>
        <v/>
      </c>
      <c r="B122" s="162">
        <f>IFERROR(INDEX(tk_QTY,MATCH(117,tk_DSEQ,0)),"")</f>
        <v/>
      </c>
      <c r="C122" s="162">
        <f>IFERROR(INDEX(tk_ROOMF,MATCH(117,tk_DSEQ,0))&amp;IF(INDEX(tk_ROOMT,MATCH(117,tk_DSEQ,0))="",""," → "&amp;INDEX(tk_ROOMT,MATCH(117,tk_DSEQ,0))),"")</f>
        <v/>
      </c>
      <c r="D122" s="162">
        <f>IFERROR(INDEX(tk_LEAVES,MATCH(117,tk_DSEQ,0)),"")</f>
        <v/>
      </c>
      <c r="E122" s="162">
        <f>IFERROR(""&amp;INDEX(tk_RATING,MATCH(117,tk_DSEQ,0)),"")</f>
        <v/>
      </c>
      <c r="F122" s="162">
        <f>IFERROR(TEXT(INDEX(tk_LEAFW,MATCH(117,tk_DSEQ,0)),"0.000")&amp;" x "&amp;TEXT(INDEX(tk_LEAFH,MATCH(117,tk_DSEQ,0)),"0.000"),"")</f>
        <v/>
      </c>
      <c r="G122" s="181">
        <f>IFERROR(""&amp;INDEX(tk_DLINE,MATCH(117,tk_DSEQ,0)),"")</f>
        <v/>
      </c>
      <c r="H122" s="181">
        <f>IFERROR(""&amp;INDEX(tk_LOCTXTD,MATCH(117,tk_DSEQ,0)),"")</f>
        <v/>
      </c>
      <c r="I122" s="162">
        <f>IFERROR(""&amp;INDEX(tk_DNOTES,MATCH(117,tk_DSEQ,0)),"")</f>
        <v/>
      </c>
    </row>
    <row r="123">
      <c r="A123" s="161">
        <f>IFERROR(""&amp;INDEX(tk_MARK,MATCH(118,tk_DSEQ,0)),"")</f>
        <v/>
      </c>
      <c r="B123" s="162">
        <f>IFERROR(INDEX(tk_QTY,MATCH(118,tk_DSEQ,0)),"")</f>
        <v/>
      </c>
      <c r="C123" s="162">
        <f>IFERROR(INDEX(tk_ROOMF,MATCH(118,tk_DSEQ,0))&amp;IF(INDEX(tk_ROOMT,MATCH(118,tk_DSEQ,0))="",""," → "&amp;INDEX(tk_ROOMT,MATCH(118,tk_DSEQ,0))),"")</f>
        <v/>
      </c>
      <c r="D123" s="162">
        <f>IFERROR(INDEX(tk_LEAVES,MATCH(118,tk_DSEQ,0)),"")</f>
        <v/>
      </c>
      <c r="E123" s="162">
        <f>IFERROR(""&amp;INDEX(tk_RATING,MATCH(118,tk_DSEQ,0)),"")</f>
        <v/>
      </c>
      <c r="F123" s="162">
        <f>IFERROR(TEXT(INDEX(tk_LEAFW,MATCH(118,tk_DSEQ,0)),"0.000")&amp;" x "&amp;TEXT(INDEX(tk_LEAFH,MATCH(118,tk_DSEQ,0)),"0.000"),"")</f>
        <v/>
      </c>
      <c r="G123" s="181">
        <f>IFERROR(""&amp;INDEX(tk_DLINE,MATCH(118,tk_DSEQ,0)),"")</f>
        <v/>
      </c>
      <c r="H123" s="181">
        <f>IFERROR(""&amp;INDEX(tk_LOCTXTD,MATCH(118,tk_DSEQ,0)),"")</f>
        <v/>
      </c>
      <c r="I123" s="162">
        <f>IFERROR(""&amp;INDEX(tk_DNOTES,MATCH(118,tk_DSEQ,0)),"")</f>
        <v/>
      </c>
    </row>
    <row r="124">
      <c r="A124" s="161">
        <f>IFERROR(""&amp;INDEX(tk_MARK,MATCH(119,tk_DSEQ,0)),"")</f>
        <v/>
      </c>
      <c r="B124" s="162">
        <f>IFERROR(INDEX(tk_QTY,MATCH(119,tk_DSEQ,0)),"")</f>
        <v/>
      </c>
      <c r="C124" s="162">
        <f>IFERROR(INDEX(tk_ROOMF,MATCH(119,tk_DSEQ,0))&amp;IF(INDEX(tk_ROOMT,MATCH(119,tk_DSEQ,0))="",""," → "&amp;INDEX(tk_ROOMT,MATCH(119,tk_DSEQ,0))),"")</f>
        <v/>
      </c>
      <c r="D124" s="162">
        <f>IFERROR(INDEX(tk_LEAVES,MATCH(119,tk_DSEQ,0)),"")</f>
        <v/>
      </c>
      <c r="E124" s="162">
        <f>IFERROR(""&amp;INDEX(tk_RATING,MATCH(119,tk_DSEQ,0)),"")</f>
        <v/>
      </c>
      <c r="F124" s="162">
        <f>IFERROR(TEXT(INDEX(tk_LEAFW,MATCH(119,tk_DSEQ,0)),"0.000")&amp;" x "&amp;TEXT(INDEX(tk_LEAFH,MATCH(119,tk_DSEQ,0)),"0.000"),"")</f>
        <v/>
      </c>
      <c r="G124" s="181">
        <f>IFERROR(""&amp;INDEX(tk_DLINE,MATCH(119,tk_DSEQ,0)),"")</f>
        <v/>
      </c>
      <c r="H124" s="181">
        <f>IFERROR(""&amp;INDEX(tk_LOCTXTD,MATCH(119,tk_DSEQ,0)),"")</f>
        <v/>
      </c>
      <c r="I124" s="162">
        <f>IFERROR(""&amp;INDEX(tk_DNOTES,MATCH(119,tk_DSEQ,0)),"")</f>
        <v/>
      </c>
    </row>
    <row r="125">
      <c r="A125" s="161">
        <f>IFERROR(""&amp;INDEX(tk_MARK,MATCH(120,tk_DSEQ,0)),"")</f>
        <v/>
      </c>
      <c r="B125" s="162">
        <f>IFERROR(INDEX(tk_QTY,MATCH(120,tk_DSEQ,0)),"")</f>
        <v/>
      </c>
      <c r="C125" s="162">
        <f>IFERROR(INDEX(tk_ROOMF,MATCH(120,tk_DSEQ,0))&amp;IF(INDEX(tk_ROOMT,MATCH(120,tk_DSEQ,0))="",""," → "&amp;INDEX(tk_ROOMT,MATCH(120,tk_DSEQ,0))),"")</f>
        <v/>
      </c>
      <c r="D125" s="162">
        <f>IFERROR(INDEX(tk_LEAVES,MATCH(120,tk_DSEQ,0)),"")</f>
        <v/>
      </c>
      <c r="E125" s="162">
        <f>IFERROR(""&amp;INDEX(tk_RATING,MATCH(120,tk_DSEQ,0)),"")</f>
        <v/>
      </c>
      <c r="F125" s="162">
        <f>IFERROR(TEXT(INDEX(tk_LEAFW,MATCH(120,tk_DSEQ,0)),"0.000")&amp;" x "&amp;TEXT(INDEX(tk_LEAFH,MATCH(120,tk_DSEQ,0)),"0.000"),"")</f>
        <v/>
      </c>
      <c r="G125" s="181">
        <f>IFERROR(""&amp;INDEX(tk_DLINE,MATCH(120,tk_DSEQ,0)),"")</f>
        <v/>
      </c>
      <c r="H125" s="181">
        <f>IFERROR(""&amp;INDEX(tk_LOCTXTD,MATCH(120,tk_DSEQ,0)),"")</f>
        <v/>
      </c>
      <c r="I125" s="162">
        <f>IFERROR(""&amp;INDEX(tk_DNOTES,MATCH(120,tk_DSEQ,0)),"")</f>
        <v/>
      </c>
    </row>
    <row r="126">
      <c r="A126" s="161">
        <f>IFERROR(""&amp;INDEX(tk_MARK,MATCH(121,tk_DSEQ,0)),"")</f>
        <v/>
      </c>
      <c r="B126" s="162">
        <f>IFERROR(INDEX(tk_QTY,MATCH(121,tk_DSEQ,0)),"")</f>
        <v/>
      </c>
      <c r="C126" s="162">
        <f>IFERROR(INDEX(tk_ROOMF,MATCH(121,tk_DSEQ,0))&amp;IF(INDEX(tk_ROOMT,MATCH(121,tk_DSEQ,0))="",""," → "&amp;INDEX(tk_ROOMT,MATCH(121,tk_DSEQ,0))),"")</f>
        <v/>
      </c>
      <c r="D126" s="162">
        <f>IFERROR(INDEX(tk_LEAVES,MATCH(121,tk_DSEQ,0)),"")</f>
        <v/>
      </c>
      <c r="E126" s="162">
        <f>IFERROR(""&amp;INDEX(tk_RATING,MATCH(121,tk_DSEQ,0)),"")</f>
        <v/>
      </c>
      <c r="F126" s="162">
        <f>IFERROR(TEXT(INDEX(tk_LEAFW,MATCH(121,tk_DSEQ,0)),"0.000")&amp;" x "&amp;TEXT(INDEX(tk_LEAFH,MATCH(121,tk_DSEQ,0)),"0.000"),"")</f>
        <v/>
      </c>
      <c r="G126" s="181">
        <f>IFERROR(""&amp;INDEX(tk_DLINE,MATCH(121,tk_DSEQ,0)),"")</f>
        <v/>
      </c>
      <c r="H126" s="181">
        <f>IFERROR(""&amp;INDEX(tk_LOCTXTD,MATCH(121,tk_DSEQ,0)),"")</f>
        <v/>
      </c>
      <c r="I126" s="162">
        <f>IFERROR(""&amp;INDEX(tk_DNOTES,MATCH(121,tk_DSEQ,0)),"")</f>
        <v/>
      </c>
    </row>
    <row r="127">
      <c r="A127" s="161">
        <f>IFERROR(""&amp;INDEX(tk_MARK,MATCH(122,tk_DSEQ,0)),"")</f>
        <v/>
      </c>
      <c r="B127" s="162">
        <f>IFERROR(INDEX(tk_QTY,MATCH(122,tk_DSEQ,0)),"")</f>
        <v/>
      </c>
      <c r="C127" s="162">
        <f>IFERROR(INDEX(tk_ROOMF,MATCH(122,tk_DSEQ,0))&amp;IF(INDEX(tk_ROOMT,MATCH(122,tk_DSEQ,0))="",""," → "&amp;INDEX(tk_ROOMT,MATCH(122,tk_DSEQ,0))),"")</f>
        <v/>
      </c>
      <c r="D127" s="162">
        <f>IFERROR(INDEX(tk_LEAVES,MATCH(122,tk_DSEQ,0)),"")</f>
        <v/>
      </c>
      <c r="E127" s="162">
        <f>IFERROR(""&amp;INDEX(tk_RATING,MATCH(122,tk_DSEQ,0)),"")</f>
        <v/>
      </c>
      <c r="F127" s="162">
        <f>IFERROR(TEXT(INDEX(tk_LEAFW,MATCH(122,tk_DSEQ,0)),"0.000")&amp;" x "&amp;TEXT(INDEX(tk_LEAFH,MATCH(122,tk_DSEQ,0)),"0.000"),"")</f>
        <v/>
      </c>
      <c r="G127" s="181">
        <f>IFERROR(""&amp;INDEX(tk_DLINE,MATCH(122,tk_DSEQ,0)),"")</f>
        <v/>
      </c>
      <c r="H127" s="181">
        <f>IFERROR(""&amp;INDEX(tk_LOCTXTD,MATCH(122,tk_DSEQ,0)),"")</f>
        <v/>
      </c>
      <c r="I127" s="162">
        <f>IFERROR(""&amp;INDEX(tk_DNOTES,MATCH(122,tk_DSEQ,0)),"")</f>
        <v/>
      </c>
    </row>
    <row r="128">
      <c r="A128" s="161">
        <f>IFERROR(""&amp;INDEX(tk_MARK,MATCH(123,tk_DSEQ,0)),"")</f>
        <v/>
      </c>
      <c r="B128" s="162">
        <f>IFERROR(INDEX(tk_QTY,MATCH(123,tk_DSEQ,0)),"")</f>
        <v/>
      </c>
      <c r="C128" s="162">
        <f>IFERROR(INDEX(tk_ROOMF,MATCH(123,tk_DSEQ,0))&amp;IF(INDEX(tk_ROOMT,MATCH(123,tk_DSEQ,0))="",""," → "&amp;INDEX(tk_ROOMT,MATCH(123,tk_DSEQ,0))),"")</f>
        <v/>
      </c>
      <c r="D128" s="162">
        <f>IFERROR(INDEX(tk_LEAVES,MATCH(123,tk_DSEQ,0)),"")</f>
        <v/>
      </c>
      <c r="E128" s="162">
        <f>IFERROR(""&amp;INDEX(tk_RATING,MATCH(123,tk_DSEQ,0)),"")</f>
        <v/>
      </c>
      <c r="F128" s="162">
        <f>IFERROR(TEXT(INDEX(tk_LEAFW,MATCH(123,tk_DSEQ,0)),"0.000")&amp;" x "&amp;TEXT(INDEX(tk_LEAFH,MATCH(123,tk_DSEQ,0)),"0.000"),"")</f>
        <v/>
      </c>
      <c r="G128" s="181">
        <f>IFERROR(""&amp;INDEX(tk_DLINE,MATCH(123,tk_DSEQ,0)),"")</f>
        <v/>
      </c>
      <c r="H128" s="181">
        <f>IFERROR(""&amp;INDEX(tk_LOCTXTD,MATCH(123,tk_DSEQ,0)),"")</f>
        <v/>
      </c>
      <c r="I128" s="162">
        <f>IFERROR(""&amp;INDEX(tk_DNOTES,MATCH(123,tk_DSEQ,0)),"")</f>
        <v/>
      </c>
    </row>
    <row r="129">
      <c r="A129" s="161">
        <f>IFERROR(""&amp;INDEX(tk_MARK,MATCH(124,tk_DSEQ,0)),"")</f>
        <v/>
      </c>
      <c r="B129" s="162">
        <f>IFERROR(INDEX(tk_QTY,MATCH(124,tk_DSEQ,0)),"")</f>
        <v/>
      </c>
      <c r="C129" s="162">
        <f>IFERROR(INDEX(tk_ROOMF,MATCH(124,tk_DSEQ,0))&amp;IF(INDEX(tk_ROOMT,MATCH(124,tk_DSEQ,0))="",""," → "&amp;INDEX(tk_ROOMT,MATCH(124,tk_DSEQ,0))),"")</f>
        <v/>
      </c>
      <c r="D129" s="162">
        <f>IFERROR(INDEX(tk_LEAVES,MATCH(124,tk_DSEQ,0)),"")</f>
        <v/>
      </c>
      <c r="E129" s="162">
        <f>IFERROR(""&amp;INDEX(tk_RATING,MATCH(124,tk_DSEQ,0)),"")</f>
        <v/>
      </c>
      <c r="F129" s="162">
        <f>IFERROR(TEXT(INDEX(tk_LEAFW,MATCH(124,tk_DSEQ,0)),"0.000")&amp;" x "&amp;TEXT(INDEX(tk_LEAFH,MATCH(124,tk_DSEQ,0)),"0.000"),"")</f>
        <v/>
      </c>
      <c r="G129" s="181">
        <f>IFERROR(""&amp;INDEX(tk_DLINE,MATCH(124,tk_DSEQ,0)),"")</f>
        <v/>
      </c>
      <c r="H129" s="181">
        <f>IFERROR(""&amp;INDEX(tk_LOCTXTD,MATCH(124,tk_DSEQ,0)),"")</f>
        <v/>
      </c>
      <c r="I129" s="162">
        <f>IFERROR(""&amp;INDEX(tk_DNOTES,MATCH(124,tk_DSEQ,0)),"")</f>
        <v/>
      </c>
    </row>
    <row r="130">
      <c r="A130" s="161">
        <f>IFERROR(""&amp;INDEX(tk_MARK,MATCH(125,tk_DSEQ,0)),"")</f>
        <v/>
      </c>
      <c r="B130" s="162">
        <f>IFERROR(INDEX(tk_QTY,MATCH(125,tk_DSEQ,0)),"")</f>
        <v/>
      </c>
      <c r="C130" s="162">
        <f>IFERROR(INDEX(tk_ROOMF,MATCH(125,tk_DSEQ,0))&amp;IF(INDEX(tk_ROOMT,MATCH(125,tk_DSEQ,0))="",""," → "&amp;INDEX(tk_ROOMT,MATCH(125,tk_DSEQ,0))),"")</f>
        <v/>
      </c>
      <c r="D130" s="162">
        <f>IFERROR(INDEX(tk_LEAVES,MATCH(125,tk_DSEQ,0)),"")</f>
        <v/>
      </c>
      <c r="E130" s="162">
        <f>IFERROR(""&amp;INDEX(tk_RATING,MATCH(125,tk_DSEQ,0)),"")</f>
        <v/>
      </c>
      <c r="F130" s="162">
        <f>IFERROR(TEXT(INDEX(tk_LEAFW,MATCH(125,tk_DSEQ,0)),"0.000")&amp;" x "&amp;TEXT(INDEX(tk_LEAFH,MATCH(125,tk_DSEQ,0)),"0.000"),"")</f>
        <v/>
      </c>
      <c r="G130" s="181">
        <f>IFERROR(""&amp;INDEX(tk_DLINE,MATCH(125,tk_DSEQ,0)),"")</f>
        <v/>
      </c>
      <c r="H130" s="181">
        <f>IFERROR(""&amp;INDEX(tk_LOCTXTD,MATCH(125,tk_DSEQ,0)),"")</f>
        <v/>
      </c>
      <c r="I130" s="162">
        <f>IFERROR(""&amp;INDEX(tk_DNOTES,MATCH(125,tk_DSEQ,0)),"")</f>
        <v/>
      </c>
    </row>
    <row r="131">
      <c r="A131" s="161">
        <f>IFERROR(""&amp;INDEX(tk_MARK,MATCH(126,tk_DSEQ,0)),"")</f>
        <v/>
      </c>
      <c r="B131" s="162">
        <f>IFERROR(INDEX(tk_QTY,MATCH(126,tk_DSEQ,0)),"")</f>
        <v/>
      </c>
      <c r="C131" s="162">
        <f>IFERROR(INDEX(tk_ROOMF,MATCH(126,tk_DSEQ,0))&amp;IF(INDEX(tk_ROOMT,MATCH(126,tk_DSEQ,0))="",""," → "&amp;INDEX(tk_ROOMT,MATCH(126,tk_DSEQ,0))),"")</f>
        <v/>
      </c>
      <c r="D131" s="162">
        <f>IFERROR(INDEX(tk_LEAVES,MATCH(126,tk_DSEQ,0)),"")</f>
        <v/>
      </c>
      <c r="E131" s="162">
        <f>IFERROR(""&amp;INDEX(tk_RATING,MATCH(126,tk_DSEQ,0)),"")</f>
        <v/>
      </c>
      <c r="F131" s="162">
        <f>IFERROR(TEXT(INDEX(tk_LEAFW,MATCH(126,tk_DSEQ,0)),"0.000")&amp;" x "&amp;TEXT(INDEX(tk_LEAFH,MATCH(126,tk_DSEQ,0)),"0.000"),"")</f>
        <v/>
      </c>
      <c r="G131" s="181">
        <f>IFERROR(""&amp;INDEX(tk_DLINE,MATCH(126,tk_DSEQ,0)),"")</f>
        <v/>
      </c>
      <c r="H131" s="181">
        <f>IFERROR(""&amp;INDEX(tk_LOCTXTD,MATCH(126,tk_DSEQ,0)),"")</f>
        <v/>
      </c>
      <c r="I131" s="162">
        <f>IFERROR(""&amp;INDEX(tk_DNOTES,MATCH(126,tk_DSEQ,0)),"")</f>
        <v/>
      </c>
    </row>
    <row r="132">
      <c r="A132" s="161">
        <f>IFERROR(""&amp;INDEX(tk_MARK,MATCH(127,tk_DSEQ,0)),"")</f>
        <v/>
      </c>
      <c r="B132" s="162">
        <f>IFERROR(INDEX(tk_QTY,MATCH(127,tk_DSEQ,0)),"")</f>
        <v/>
      </c>
      <c r="C132" s="162">
        <f>IFERROR(INDEX(tk_ROOMF,MATCH(127,tk_DSEQ,0))&amp;IF(INDEX(tk_ROOMT,MATCH(127,tk_DSEQ,0))="",""," → "&amp;INDEX(tk_ROOMT,MATCH(127,tk_DSEQ,0))),"")</f>
        <v/>
      </c>
      <c r="D132" s="162">
        <f>IFERROR(INDEX(tk_LEAVES,MATCH(127,tk_DSEQ,0)),"")</f>
        <v/>
      </c>
      <c r="E132" s="162">
        <f>IFERROR(""&amp;INDEX(tk_RATING,MATCH(127,tk_DSEQ,0)),"")</f>
        <v/>
      </c>
      <c r="F132" s="162">
        <f>IFERROR(TEXT(INDEX(tk_LEAFW,MATCH(127,tk_DSEQ,0)),"0.000")&amp;" x "&amp;TEXT(INDEX(tk_LEAFH,MATCH(127,tk_DSEQ,0)),"0.000"),"")</f>
        <v/>
      </c>
      <c r="G132" s="181">
        <f>IFERROR(""&amp;INDEX(tk_DLINE,MATCH(127,tk_DSEQ,0)),"")</f>
        <v/>
      </c>
      <c r="H132" s="181">
        <f>IFERROR(""&amp;INDEX(tk_LOCTXTD,MATCH(127,tk_DSEQ,0)),"")</f>
        <v/>
      </c>
      <c r="I132" s="162">
        <f>IFERROR(""&amp;INDEX(tk_DNOTES,MATCH(127,tk_DSEQ,0)),"")</f>
        <v/>
      </c>
    </row>
    <row r="133">
      <c r="A133" s="161">
        <f>IFERROR(""&amp;INDEX(tk_MARK,MATCH(128,tk_DSEQ,0)),"")</f>
        <v/>
      </c>
      <c r="B133" s="162">
        <f>IFERROR(INDEX(tk_QTY,MATCH(128,tk_DSEQ,0)),"")</f>
        <v/>
      </c>
      <c r="C133" s="162">
        <f>IFERROR(INDEX(tk_ROOMF,MATCH(128,tk_DSEQ,0))&amp;IF(INDEX(tk_ROOMT,MATCH(128,tk_DSEQ,0))="",""," → "&amp;INDEX(tk_ROOMT,MATCH(128,tk_DSEQ,0))),"")</f>
        <v/>
      </c>
      <c r="D133" s="162">
        <f>IFERROR(INDEX(tk_LEAVES,MATCH(128,tk_DSEQ,0)),"")</f>
        <v/>
      </c>
      <c r="E133" s="162">
        <f>IFERROR(""&amp;INDEX(tk_RATING,MATCH(128,tk_DSEQ,0)),"")</f>
        <v/>
      </c>
      <c r="F133" s="162">
        <f>IFERROR(TEXT(INDEX(tk_LEAFW,MATCH(128,tk_DSEQ,0)),"0.000")&amp;" x "&amp;TEXT(INDEX(tk_LEAFH,MATCH(128,tk_DSEQ,0)),"0.000"),"")</f>
        <v/>
      </c>
      <c r="G133" s="181">
        <f>IFERROR(""&amp;INDEX(tk_DLINE,MATCH(128,tk_DSEQ,0)),"")</f>
        <v/>
      </c>
      <c r="H133" s="181">
        <f>IFERROR(""&amp;INDEX(tk_LOCTXTD,MATCH(128,tk_DSEQ,0)),"")</f>
        <v/>
      </c>
      <c r="I133" s="162">
        <f>IFERROR(""&amp;INDEX(tk_DNOTES,MATCH(128,tk_DSEQ,0)),"")</f>
        <v/>
      </c>
    </row>
    <row r="134">
      <c r="A134" s="161">
        <f>IFERROR(""&amp;INDEX(tk_MARK,MATCH(129,tk_DSEQ,0)),"")</f>
        <v/>
      </c>
      <c r="B134" s="162">
        <f>IFERROR(INDEX(tk_QTY,MATCH(129,tk_DSEQ,0)),"")</f>
        <v/>
      </c>
      <c r="C134" s="162">
        <f>IFERROR(INDEX(tk_ROOMF,MATCH(129,tk_DSEQ,0))&amp;IF(INDEX(tk_ROOMT,MATCH(129,tk_DSEQ,0))="",""," → "&amp;INDEX(tk_ROOMT,MATCH(129,tk_DSEQ,0))),"")</f>
        <v/>
      </c>
      <c r="D134" s="162">
        <f>IFERROR(INDEX(tk_LEAVES,MATCH(129,tk_DSEQ,0)),"")</f>
        <v/>
      </c>
      <c r="E134" s="162">
        <f>IFERROR(""&amp;INDEX(tk_RATING,MATCH(129,tk_DSEQ,0)),"")</f>
        <v/>
      </c>
      <c r="F134" s="162">
        <f>IFERROR(TEXT(INDEX(tk_LEAFW,MATCH(129,tk_DSEQ,0)),"0.000")&amp;" x "&amp;TEXT(INDEX(tk_LEAFH,MATCH(129,tk_DSEQ,0)),"0.000"),"")</f>
        <v/>
      </c>
      <c r="G134" s="181">
        <f>IFERROR(""&amp;INDEX(tk_DLINE,MATCH(129,tk_DSEQ,0)),"")</f>
        <v/>
      </c>
      <c r="H134" s="181">
        <f>IFERROR(""&amp;INDEX(tk_LOCTXTD,MATCH(129,tk_DSEQ,0)),"")</f>
        <v/>
      </c>
      <c r="I134" s="162">
        <f>IFERROR(""&amp;INDEX(tk_DNOTES,MATCH(129,tk_DSEQ,0)),"")</f>
        <v/>
      </c>
    </row>
    <row r="135">
      <c r="A135" s="161">
        <f>IFERROR(""&amp;INDEX(tk_MARK,MATCH(130,tk_DSEQ,0)),"")</f>
        <v/>
      </c>
      <c r="B135" s="162">
        <f>IFERROR(INDEX(tk_QTY,MATCH(130,tk_DSEQ,0)),"")</f>
        <v/>
      </c>
      <c r="C135" s="162">
        <f>IFERROR(INDEX(tk_ROOMF,MATCH(130,tk_DSEQ,0))&amp;IF(INDEX(tk_ROOMT,MATCH(130,tk_DSEQ,0))="",""," → "&amp;INDEX(tk_ROOMT,MATCH(130,tk_DSEQ,0))),"")</f>
        <v/>
      </c>
      <c r="D135" s="162">
        <f>IFERROR(INDEX(tk_LEAVES,MATCH(130,tk_DSEQ,0)),"")</f>
        <v/>
      </c>
      <c r="E135" s="162">
        <f>IFERROR(""&amp;INDEX(tk_RATING,MATCH(130,tk_DSEQ,0)),"")</f>
        <v/>
      </c>
      <c r="F135" s="162">
        <f>IFERROR(TEXT(INDEX(tk_LEAFW,MATCH(130,tk_DSEQ,0)),"0.000")&amp;" x "&amp;TEXT(INDEX(tk_LEAFH,MATCH(130,tk_DSEQ,0)),"0.000"),"")</f>
        <v/>
      </c>
      <c r="G135" s="181">
        <f>IFERROR(""&amp;INDEX(tk_DLINE,MATCH(130,tk_DSEQ,0)),"")</f>
        <v/>
      </c>
      <c r="H135" s="181">
        <f>IFERROR(""&amp;INDEX(tk_LOCTXTD,MATCH(130,tk_DSEQ,0)),"")</f>
        <v/>
      </c>
      <c r="I135" s="162">
        <f>IFERROR(""&amp;INDEX(tk_DNOTES,MATCH(130,tk_DSEQ,0)),"")</f>
        <v/>
      </c>
    </row>
    <row r="136">
      <c r="A136" s="161">
        <f>IFERROR(""&amp;INDEX(tk_MARK,MATCH(131,tk_DSEQ,0)),"")</f>
        <v/>
      </c>
      <c r="B136" s="162">
        <f>IFERROR(INDEX(tk_QTY,MATCH(131,tk_DSEQ,0)),"")</f>
        <v/>
      </c>
      <c r="C136" s="162">
        <f>IFERROR(INDEX(tk_ROOMF,MATCH(131,tk_DSEQ,0))&amp;IF(INDEX(tk_ROOMT,MATCH(131,tk_DSEQ,0))="",""," → "&amp;INDEX(tk_ROOMT,MATCH(131,tk_DSEQ,0))),"")</f>
        <v/>
      </c>
      <c r="D136" s="162">
        <f>IFERROR(INDEX(tk_LEAVES,MATCH(131,tk_DSEQ,0)),"")</f>
        <v/>
      </c>
      <c r="E136" s="162">
        <f>IFERROR(""&amp;INDEX(tk_RATING,MATCH(131,tk_DSEQ,0)),"")</f>
        <v/>
      </c>
      <c r="F136" s="162">
        <f>IFERROR(TEXT(INDEX(tk_LEAFW,MATCH(131,tk_DSEQ,0)),"0.000")&amp;" x "&amp;TEXT(INDEX(tk_LEAFH,MATCH(131,tk_DSEQ,0)),"0.000"),"")</f>
        <v/>
      </c>
      <c r="G136" s="181">
        <f>IFERROR(""&amp;INDEX(tk_DLINE,MATCH(131,tk_DSEQ,0)),"")</f>
        <v/>
      </c>
      <c r="H136" s="181">
        <f>IFERROR(""&amp;INDEX(tk_LOCTXTD,MATCH(131,tk_DSEQ,0)),"")</f>
        <v/>
      </c>
      <c r="I136" s="162">
        <f>IFERROR(""&amp;INDEX(tk_DNOTES,MATCH(131,tk_DSEQ,0)),"")</f>
        <v/>
      </c>
    </row>
    <row r="137">
      <c r="A137" s="161">
        <f>IFERROR(""&amp;INDEX(tk_MARK,MATCH(132,tk_DSEQ,0)),"")</f>
        <v/>
      </c>
      <c r="B137" s="162">
        <f>IFERROR(INDEX(tk_QTY,MATCH(132,tk_DSEQ,0)),"")</f>
        <v/>
      </c>
      <c r="C137" s="162">
        <f>IFERROR(INDEX(tk_ROOMF,MATCH(132,tk_DSEQ,0))&amp;IF(INDEX(tk_ROOMT,MATCH(132,tk_DSEQ,0))="",""," → "&amp;INDEX(tk_ROOMT,MATCH(132,tk_DSEQ,0))),"")</f>
        <v/>
      </c>
      <c r="D137" s="162">
        <f>IFERROR(INDEX(tk_LEAVES,MATCH(132,tk_DSEQ,0)),"")</f>
        <v/>
      </c>
      <c r="E137" s="162">
        <f>IFERROR(""&amp;INDEX(tk_RATING,MATCH(132,tk_DSEQ,0)),"")</f>
        <v/>
      </c>
      <c r="F137" s="162">
        <f>IFERROR(TEXT(INDEX(tk_LEAFW,MATCH(132,tk_DSEQ,0)),"0.000")&amp;" x "&amp;TEXT(INDEX(tk_LEAFH,MATCH(132,tk_DSEQ,0)),"0.000"),"")</f>
        <v/>
      </c>
      <c r="G137" s="181">
        <f>IFERROR(""&amp;INDEX(tk_DLINE,MATCH(132,tk_DSEQ,0)),"")</f>
        <v/>
      </c>
      <c r="H137" s="181">
        <f>IFERROR(""&amp;INDEX(tk_LOCTXTD,MATCH(132,tk_DSEQ,0)),"")</f>
        <v/>
      </c>
      <c r="I137" s="162">
        <f>IFERROR(""&amp;INDEX(tk_DNOTES,MATCH(132,tk_DSEQ,0)),"")</f>
        <v/>
      </c>
    </row>
    <row r="138">
      <c r="A138" s="161">
        <f>IFERROR(""&amp;INDEX(tk_MARK,MATCH(133,tk_DSEQ,0)),"")</f>
        <v/>
      </c>
      <c r="B138" s="162">
        <f>IFERROR(INDEX(tk_QTY,MATCH(133,tk_DSEQ,0)),"")</f>
        <v/>
      </c>
      <c r="C138" s="162">
        <f>IFERROR(INDEX(tk_ROOMF,MATCH(133,tk_DSEQ,0))&amp;IF(INDEX(tk_ROOMT,MATCH(133,tk_DSEQ,0))="",""," → "&amp;INDEX(tk_ROOMT,MATCH(133,tk_DSEQ,0))),"")</f>
        <v/>
      </c>
      <c r="D138" s="162">
        <f>IFERROR(INDEX(tk_LEAVES,MATCH(133,tk_DSEQ,0)),"")</f>
        <v/>
      </c>
      <c r="E138" s="162">
        <f>IFERROR(""&amp;INDEX(tk_RATING,MATCH(133,tk_DSEQ,0)),"")</f>
        <v/>
      </c>
      <c r="F138" s="162">
        <f>IFERROR(TEXT(INDEX(tk_LEAFW,MATCH(133,tk_DSEQ,0)),"0.000")&amp;" x "&amp;TEXT(INDEX(tk_LEAFH,MATCH(133,tk_DSEQ,0)),"0.000"),"")</f>
        <v/>
      </c>
      <c r="G138" s="181">
        <f>IFERROR(""&amp;INDEX(tk_DLINE,MATCH(133,tk_DSEQ,0)),"")</f>
        <v/>
      </c>
      <c r="H138" s="181">
        <f>IFERROR(""&amp;INDEX(tk_LOCTXTD,MATCH(133,tk_DSEQ,0)),"")</f>
        <v/>
      </c>
      <c r="I138" s="162">
        <f>IFERROR(""&amp;INDEX(tk_DNOTES,MATCH(133,tk_DSEQ,0)),"")</f>
        <v/>
      </c>
    </row>
    <row r="139">
      <c r="A139" s="161">
        <f>IFERROR(""&amp;INDEX(tk_MARK,MATCH(134,tk_DSEQ,0)),"")</f>
        <v/>
      </c>
      <c r="B139" s="162">
        <f>IFERROR(INDEX(tk_QTY,MATCH(134,tk_DSEQ,0)),"")</f>
        <v/>
      </c>
      <c r="C139" s="162">
        <f>IFERROR(INDEX(tk_ROOMF,MATCH(134,tk_DSEQ,0))&amp;IF(INDEX(tk_ROOMT,MATCH(134,tk_DSEQ,0))="",""," → "&amp;INDEX(tk_ROOMT,MATCH(134,tk_DSEQ,0))),"")</f>
        <v/>
      </c>
      <c r="D139" s="162">
        <f>IFERROR(INDEX(tk_LEAVES,MATCH(134,tk_DSEQ,0)),"")</f>
        <v/>
      </c>
      <c r="E139" s="162">
        <f>IFERROR(""&amp;INDEX(tk_RATING,MATCH(134,tk_DSEQ,0)),"")</f>
        <v/>
      </c>
      <c r="F139" s="162">
        <f>IFERROR(TEXT(INDEX(tk_LEAFW,MATCH(134,tk_DSEQ,0)),"0.000")&amp;" x "&amp;TEXT(INDEX(tk_LEAFH,MATCH(134,tk_DSEQ,0)),"0.000"),"")</f>
        <v/>
      </c>
      <c r="G139" s="181">
        <f>IFERROR(""&amp;INDEX(tk_DLINE,MATCH(134,tk_DSEQ,0)),"")</f>
        <v/>
      </c>
      <c r="H139" s="181">
        <f>IFERROR(""&amp;INDEX(tk_LOCTXTD,MATCH(134,tk_DSEQ,0)),"")</f>
        <v/>
      </c>
      <c r="I139" s="162">
        <f>IFERROR(""&amp;INDEX(tk_DNOTES,MATCH(134,tk_DSEQ,0)),"")</f>
        <v/>
      </c>
    </row>
    <row r="140">
      <c r="A140" s="161">
        <f>IFERROR(""&amp;INDEX(tk_MARK,MATCH(135,tk_DSEQ,0)),"")</f>
        <v/>
      </c>
      <c r="B140" s="162">
        <f>IFERROR(INDEX(tk_QTY,MATCH(135,tk_DSEQ,0)),"")</f>
        <v/>
      </c>
      <c r="C140" s="162">
        <f>IFERROR(INDEX(tk_ROOMF,MATCH(135,tk_DSEQ,0))&amp;IF(INDEX(tk_ROOMT,MATCH(135,tk_DSEQ,0))="",""," → "&amp;INDEX(tk_ROOMT,MATCH(135,tk_DSEQ,0))),"")</f>
        <v/>
      </c>
      <c r="D140" s="162">
        <f>IFERROR(INDEX(tk_LEAVES,MATCH(135,tk_DSEQ,0)),"")</f>
        <v/>
      </c>
      <c r="E140" s="162">
        <f>IFERROR(""&amp;INDEX(tk_RATING,MATCH(135,tk_DSEQ,0)),"")</f>
        <v/>
      </c>
      <c r="F140" s="162">
        <f>IFERROR(TEXT(INDEX(tk_LEAFW,MATCH(135,tk_DSEQ,0)),"0.000")&amp;" x "&amp;TEXT(INDEX(tk_LEAFH,MATCH(135,tk_DSEQ,0)),"0.000"),"")</f>
        <v/>
      </c>
      <c r="G140" s="181">
        <f>IFERROR(""&amp;INDEX(tk_DLINE,MATCH(135,tk_DSEQ,0)),"")</f>
        <v/>
      </c>
      <c r="H140" s="181">
        <f>IFERROR(""&amp;INDEX(tk_LOCTXTD,MATCH(135,tk_DSEQ,0)),"")</f>
        <v/>
      </c>
      <c r="I140" s="162">
        <f>IFERROR(""&amp;INDEX(tk_DNOTES,MATCH(135,tk_DSEQ,0)),"")</f>
        <v/>
      </c>
    </row>
    <row r="141">
      <c r="A141" s="161">
        <f>IFERROR(""&amp;INDEX(tk_MARK,MATCH(136,tk_DSEQ,0)),"")</f>
        <v/>
      </c>
      <c r="B141" s="162">
        <f>IFERROR(INDEX(tk_QTY,MATCH(136,tk_DSEQ,0)),"")</f>
        <v/>
      </c>
      <c r="C141" s="162">
        <f>IFERROR(INDEX(tk_ROOMF,MATCH(136,tk_DSEQ,0))&amp;IF(INDEX(tk_ROOMT,MATCH(136,tk_DSEQ,0))="",""," → "&amp;INDEX(tk_ROOMT,MATCH(136,tk_DSEQ,0))),"")</f>
        <v/>
      </c>
      <c r="D141" s="162">
        <f>IFERROR(INDEX(tk_LEAVES,MATCH(136,tk_DSEQ,0)),"")</f>
        <v/>
      </c>
      <c r="E141" s="162">
        <f>IFERROR(""&amp;INDEX(tk_RATING,MATCH(136,tk_DSEQ,0)),"")</f>
        <v/>
      </c>
      <c r="F141" s="162">
        <f>IFERROR(TEXT(INDEX(tk_LEAFW,MATCH(136,tk_DSEQ,0)),"0.000")&amp;" x "&amp;TEXT(INDEX(tk_LEAFH,MATCH(136,tk_DSEQ,0)),"0.000"),"")</f>
        <v/>
      </c>
      <c r="G141" s="181">
        <f>IFERROR(""&amp;INDEX(tk_DLINE,MATCH(136,tk_DSEQ,0)),"")</f>
        <v/>
      </c>
      <c r="H141" s="181">
        <f>IFERROR(""&amp;INDEX(tk_LOCTXTD,MATCH(136,tk_DSEQ,0)),"")</f>
        <v/>
      </c>
      <c r="I141" s="162">
        <f>IFERROR(""&amp;INDEX(tk_DNOTES,MATCH(136,tk_DSEQ,0)),"")</f>
        <v/>
      </c>
    </row>
    <row r="142">
      <c r="A142" s="161">
        <f>IFERROR(""&amp;INDEX(tk_MARK,MATCH(137,tk_DSEQ,0)),"")</f>
        <v/>
      </c>
      <c r="B142" s="162">
        <f>IFERROR(INDEX(tk_QTY,MATCH(137,tk_DSEQ,0)),"")</f>
        <v/>
      </c>
      <c r="C142" s="162">
        <f>IFERROR(INDEX(tk_ROOMF,MATCH(137,tk_DSEQ,0))&amp;IF(INDEX(tk_ROOMT,MATCH(137,tk_DSEQ,0))="",""," → "&amp;INDEX(tk_ROOMT,MATCH(137,tk_DSEQ,0))),"")</f>
        <v/>
      </c>
      <c r="D142" s="162">
        <f>IFERROR(INDEX(tk_LEAVES,MATCH(137,tk_DSEQ,0)),"")</f>
        <v/>
      </c>
      <c r="E142" s="162">
        <f>IFERROR(""&amp;INDEX(tk_RATING,MATCH(137,tk_DSEQ,0)),"")</f>
        <v/>
      </c>
      <c r="F142" s="162">
        <f>IFERROR(TEXT(INDEX(tk_LEAFW,MATCH(137,tk_DSEQ,0)),"0.000")&amp;" x "&amp;TEXT(INDEX(tk_LEAFH,MATCH(137,tk_DSEQ,0)),"0.000"),"")</f>
        <v/>
      </c>
      <c r="G142" s="181">
        <f>IFERROR(""&amp;INDEX(tk_DLINE,MATCH(137,tk_DSEQ,0)),"")</f>
        <v/>
      </c>
      <c r="H142" s="181">
        <f>IFERROR(""&amp;INDEX(tk_LOCTXTD,MATCH(137,tk_DSEQ,0)),"")</f>
        <v/>
      </c>
      <c r="I142" s="162">
        <f>IFERROR(""&amp;INDEX(tk_DNOTES,MATCH(137,tk_DSEQ,0)),"")</f>
        <v/>
      </c>
    </row>
    <row r="143">
      <c r="A143" s="161">
        <f>IFERROR(""&amp;INDEX(tk_MARK,MATCH(138,tk_DSEQ,0)),"")</f>
        <v/>
      </c>
      <c r="B143" s="162">
        <f>IFERROR(INDEX(tk_QTY,MATCH(138,tk_DSEQ,0)),"")</f>
        <v/>
      </c>
      <c r="C143" s="162">
        <f>IFERROR(INDEX(tk_ROOMF,MATCH(138,tk_DSEQ,0))&amp;IF(INDEX(tk_ROOMT,MATCH(138,tk_DSEQ,0))="",""," → "&amp;INDEX(tk_ROOMT,MATCH(138,tk_DSEQ,0))),"")</f>
        <v/>
      </c>
      <c r="D143" s="162">
        <f>IFERROR(INDEX(tk_LEAVES,MATCH(138,tk_DSEQ,0)),"")</f>
        <v/>
      </c>
      <c r="E143" s="162">
        <f>IFERROR(""&amp;INDEX(tk_RATING,MATCH(138,tk_DSEQ,0)),"")</f>
        <v/>
      </c>
      <c r="F143" s="162">
        <f>IFERROR(TEXT(INDEX(tk_LEAFW,MATCH(138,tk_DSEQ,0)),"0.000")&amp;" x "&amp;TEXT(INDEX(tk_LEAFH,MATCH(138,tk_DSEQ,0)),"0.000"),"")</f>
        <v/>
      </c>
      <c r="G143" s="181">
        <f>IFERROR(""&amp;INDEX(tk_DLINE,MATCH(138,tk_DSEQ,0)),"")</f>
        <v/>
      </c>
      <c r="H143" s="181">
        <f>IFERROR(""&amp;INDEX(tk_LOCTXTD,MATCH(138,tk_DSEQ,0)),"")</f>
        <v/>
      </c>
      <c r="I143" s="162">
        <f>IFERROR(""&amp;INDEX(tk_DNOTES,MATCH(138,tk_DSEQ,0)),"")</f>
        <v/>
      </c>
    </row>
    <row r="144">
      <c r="A144" s="161">
        <f>IFERROR(""&amp;INDEX(tk_MARK,MATCH(139,tk_DSEQ,0)),"")</f>
        <v/>
      </c>
      <c r="B144" s="162">
        <f>IFERROR(INDEX(tk_QTY,MATCH(139,tk_DSEQ,0)),"")</f>
        <v/>
      </c>
      <c r="C144" s="162">
        <f>IFERROR(INDEX(tk_ROOMF,MATCH(139,tk_DSEQ,0))&amp;IF(INDEX(tk_ROOMT,MATCH(139,tk_DSEQ,0))="",""," → "&amp;INDEX(tk_ROOMT,MATCH(139,tk_DSEQ,0))),"")</f>
        <v/>
      </c>
      <c r="D144" s="162">
        <f>IFERROR(INDEX(tk_LEAVES,MATCH(139,tk_DSEQ,0)),"")</f>
        <v/>
      </c>
      <c r="E144" s="162">
        <f>IFERROR(""&amp;INDEX(tk_RATING,MATCH(139,tk_DSEQ,0)),"")</f>
        <v/>
      </c>
      <c r="F144" s="162">
        <f>IFERROR(TEXT(INDEX(tk_LEAFW,MATCH(139,tk_DSEQ,0)),"0.000")&amp;" x "&amp;TEXT(INDEX(tk_LEAFH,MATCH(139,tk_DSEQ,0)),"0.000"),"")</f>
        <v/>
      </c>
      <c r="G144" s="181">
        <f>IFERROR(""&amp;INDEX(tk_DLINE,MATCH(139,tk_DSEQ,0)),"")</f>
        <v/>
      </c>
      <c r="H144" s="181">
        <f>IFERROR(""&amp;INDEX(tk_LOCTXTD,MATCH(139,tk_DSEQ,0)),"")</f>
        <v/>
      </c>
      <c r="I144" s="162">
        <f>IFERROR(""&amp;INDEX(tk_DNOTES,MATCH(139,tk_DSEQ,0)),"")</f>
        <v/>
      </c>
    </row>
    <row r="145">
      <c r="A145" s="161">
        <f>IFERROR(""&amp;INDEX(tk_MARK,MATCH(140,tk_DSEQ,0)),"")</f>
        <v/>
      </c>
      <c r="B145" s="162">
        <f>IFERROR(INDEX(tk_QTY,MATCH(140,tk_DSEQ,0)),"")</f>
        <v/>
      </c>
      <c r="C145" s="162">
        <f>IFERROR(INDEX(tk_ROOMF,MATCH(140,tk_DSEQ,0))&amp;IF(INDEX(tk_ROOMT,MATCH(140,tk_DSEQ,0))="",""," → "&amp;INDEX(tk_ROOMT,MATCH(140,tk_DSEQ,0))),"")</f>
        <v/>
      </c>
      <c r="D145" s="162">
        <f>IFERROR(INDEX(tk_LEAVES,MATCH(140,tk_DSEQ,0)),"")</f>
        <v/>
      </c>
      <c r="E145" s="162">
        <f>IFERROR(""&amp;INDEX(tk_RATING,MATCH(140,tk_DSEQ,0)),"")</f>
        <v/>
      </c>
      <c r="F145" s="162">
        <f>IFERROR(TEXT(INDEX(tk_LEAFW,MATCH(140,tk_DSEQ,0)),"0.000")&amp;" x "&amp;TEXT(INDEX(tk_LEAFH,MATCH(140,tk_DSEQ,0)),"0.000"),"")</f>
        <v/>
      </c>
      <c r="G145" s="181">
        <f>IFERROR(""&amp;INDEX(tk_DLINE,MATCH(140,tk_DSEQ,0)),"")</f>
        <v/>
      </c>
      <c r="H145" s="181">
        <f>IFERROR(""&amp;INDEX(tk_LOCTXTD,MATCH(140,tk_DSEQ,0)),"")</f>
        <v/>
      </c>
      <c r="I145" s="162">
        <f>IFERROR(""&amp;INDEX(tk_DNOTES,MATCH(140,tk_DSEQ,0)),"")</f>
        <v/>
      </c>
    </row>
    <row r="146">
      <c r="A146" s="161">
        <f>IFERROR(""&amp;INDEX(tk_MARK,MATCH(141,tk_DSEQ,0)),"")</f>
        <v/>
      </c>
      <c r="B146" s="162">
        <f>IFERROR(INDEX(tk_QTY,MATCH(141,tk_DSEQ,0)),"")</f>
        <v/>
      </c>
      <c r="C146" s="162">
        <f>IFERROR(INDEX(tk_ROOMF,MATCH(141,tk_DSEQ,0))&amp;IF(INDEX(tk_ROOMT,MATCH(141,tk_DSEQ,0))="",""," → "&amp;INDEX(tk_ROOMT,MATCH(141,tk_DSEQ,0))),"")</f>
        <v/>
      </c>
      <c r="D146" s="162">
        <f>IFERROR(INDEX(tk_LEAVES,MATCH(141,tk_DSEQ,0)),"")</f>
        <v/>
      </c>
      <c r="E146" s="162">
        <f>IFERROR(""&amp;INDEX(tk_RATING,MATCH(141,tk_DSEQ,0)),"")</f>
        <v/>
      </c>
      <c r="F146" s="162">
        <f>IFERROR(TEXT(INDEX(tk_LEAFW,MATCH(141,tk_DSEQ,0)),"0.000")&amp;" x "&amp;TEXT(INDEX(tk_LEAFH,MATCH(141,tk_DSEQ,0)),"0.000"),"")</f>
        <v/>
      </c>
      <c r="G146" s="181">
        <f>IFERROR(""&amp;INDEX(tk_DLINE,MATCH(141,tk_DSEQ,0)),"")</f>
        <v/>
      </c>
      <c r="H146" s="181">
        <f>IFERROR(""&amp;INDEX(tk_LOCTXTD,MATCH(141,tk_DSEQ,0)),"")</f>
        <v/>
      </c>
      <c r="I146" s="162">
        <f>IFERROR(""&amp;INDEX(tk_DNOTES,MATCH(141,tk_DSEQ,0)),"")</f>
        <v/>
      </c>
    </row>
    <row r="147">
      <c r="A147" s="161">
        <f>IFERROR(""&amp;INDEX(tk_MARK,MATCH(142,tk_DSEQ,0)),"")</f>
        <v/>
      </c>
      <c r="B147" s="162">
        <f>IFERROR(INDEX(tk_QTY,MATCH(142,tk_DSEQ,0)),"")</f>
        <v/>
      </c>
      <c r="C147" s="162">
        <f>IFERROR(INDEX(tk_ROOMF,MATCH(142,tk_DSEQ,0))&amp;IF(INDEX(tk_ROOMT,MATCH(142,tk_DSEQ,0))="",""," → "&amp;INDEX(tk_ROOMT,MATCH(142,tk_DSEQ,0))),"")</f>
        <v/>
      </c>
      <c r="D147" s="162">
        <f>IFERROR(INDEX(tk_LEAVES,MATCH(142,tk_DSEQ,0)),"")</f>
        <v/>
      </c>
      <c r="E147" s="162">
        <f>IFERROR(""&amp;INDEX(tk_RATING,MATCH(142,tk_DSEQ,0)),"")</f>
        <v/>
      </c>
      <c r="F147" s="162">
        <f>IFERROR(TEXT(INDEX(tk_LEAFW,MATCH(142,tk_DSEQ,0)),"0.000")&amp;" x "&amp;TEXT(INDEX(tk_LEAFH,MATCH(142,tk_DSEQ,0)),"0.000"),"")</f>
        <v/>
      </c>
      <c r="G147" s="181">
        <f>IFERROR(""&amp;INDEX(tk_DLINE,MATCH(142,tk_DSEQ,0)),"")</f>
        <v/>
      </c>
      <c r="H147" s="181">
        <f>IFERROR(""&amp;INDEX(tk_LOCTXTD,MATCH(142,tk_DSEQ,0)),"")</f>
        <v/>
      </c>
      <c r="I147" s="162">
        <f>IFERROR(""&amp;INDEX(tk_DNOTES,MATCH(142,tk_DSEQ,0)),"")</f>
        <v/>
      </c>
    </row>
    <row r="148">
      <c r="A148" s="161">
        <f>IFERROR(""&amp;INDEX(tk_MARK,MATCH(143,tk_DSEQ,0)),"")</f>
        <v/>
      </c>
      <c r="B148" s="162">
        <f>IFERROR(INDEX(tk_QTY,MATCH(143,tk_DSEQ,0)),"")</f>
        <v/>
      </c>
      <c r="C148" s="162">
        <f>IFERROR(INDEX(tk_ROOMF,MATCH(143,tk_DSEQ,0))&amp;IF(INDEX(tk_ROOMT,MATCH(143,tk_DSEQ,0))="",""," → "&amp;INDEX(tk_ROOMT,MATCH(143,tk_DSEQ,0))),"")</f>
        <v/>
      </c>
      <c r="D148" s="162">
        <f>IFERROR(INDEX(tk_LEAVES,MATCH(143,tk_DSEQ,0)),"")</f>
        <v/>
      </c>
      <c r="E148" s="162">
        <f>IFERROR(""&amp;INDEX(tk_RATING,MATCH(143,tk_DSEQ,0)),"")</f>
        <v/>
      </c>
      <c r="F148" s="162">
        <f>IFERROR(TEXT(INDEX(tk_LEAFW,MATCH(143,tk_DSEQ,0)),"0.000")&amp;" x "&amp;TEXT(INDEX(tk_LEAFH,MATCH(143,tk_DSEQ,0)),"0.000"),"")</f>
        <v/>
      </c>
      <c r="G148" s="181">
        <f>IFERROR(""&amp;INDEX(tk_DLINE,MATCH(143,tk_DSEQ,0)),"")</f>
        <v/>
      </c>
      <c r="H148" s="181">
        <f>IFERROR(""&amp;INDEX(tk_LOCTXTD,MATCH(143,tk_DSEQ,0)),"")</f>
        <v/>
      </c>
      <c r="I148" s="162">
        <f>IFERROR(""&amp;INDEX(tk_DNOTES,MATCH(143,tk_DSEQ,0)),"")</f>
        <v/>
      </c>
    </row>
    <row r="149">
      <c r="A149" s="161">
        <f>IFERROR(""&amp;INDEX(tk_MARK,MATCH(144,tk_DSEQ,0)),"")</f>
        <v/>
      </c>
      <c r="B149" s="162">
        <f>IFERROR(INDEX(tk_QTY,MATCH(144,tk_DSEQ,0)),"")</f>
        <v/>
      </c>
      <c r="C149" s="162">
        <f>IFERROR(INDEX(tk_ROOMF,MATCH(144,tk_DSEQ,0))&amp;IF(INDEX(tk_ROOMT,MATCH(144,tk_DSEQ,0))="",""," → "&amp;INDEX(tk_ROOMT,MATCH(144,tk_DSEQ,0))),"")</f>
        <v/>
      </c>
      <c r="D149" s="162">
        <f>IFERROR(INDEX(tk_LEAVES,MATCH(144,tk_DSEQ,0)),"")</f>
        <v/>
      </c>
      <c r="E149" s="162">
        <f>IFERROR(""&amp;INDEX(tk_RATING,MATCH(144,tk_DSEQ,0)),"")</f>
        <v/>
      </c>
      <c r="F149" s="162">
        <f>IFERROR(TEXT(INDEX(tk_LEAFW,MATCH(144,tk_DSEQ,0)),"0.000")&amp;" x "&amp;TEXT(INDEX(tk_LEAFH,MATCH(144,tk_DSEQ,0)),"0.000"),"")</f>
        <v/>
      </c>
      <c r="G149" s="181">
        <f>IFERROR(""&amp;INDEX(tk_DLINE,MATCH(144,tk_DSEQ,0)),"")</f>
        <v/>
      </c>
      <c r="H149" s="181">
        <f>IFERROR(""&amp;INDEX(tk_LOCTXTD,MATCH(144,tk_DSEQ,0)),"")</f>
        <v/>
      </c>
      <c r="I149" s="162">
        <f>IFERROR(""&amp;INDEX(tk_DNOTES,MATCH(144,tk_DSEQ,0)),"")</f>
        <v/>
      </c>
    </row>
    <row r="150">
      <c r="A150" s="161">
        <f>IFERROR(""&amp;INDEX(tk_MARK,MATCH(145,tk_DSEQ,0)),"")</f>
        <v/>
      </c>
      <c r="B150" s="162">
        <f>IFERROR(INDEX(tk_QTY,MATCH(145,tk_DSEQ,0)),"")</f>
        <v/>
      </c>
      <c r="C150" s="162">
        <f>IFERROR(INDEX(tk_ROOMF,MATCH(145,tk_DSEQ,0))&amp;IF(INDEX(tk_ROOMT,MATCH(145,tk_DSEQ,0))="",""," → "&amp;INDEX(tk_ROOMT,MATCH(145,tk_DSEQ,0))),"")</f>
        <v/>
      </c>
      <c r="D150" s="162">
        <f>IFERROR(INDEX(tk_LEAVES,MATCH(145,tk_DSEQ,0)),"")</f>
        <v/>
      </c>
      <c r="E150" s="162">
        <f>IFERROR(""&amp;INDEX(tk_RATING,MATCH(145,tk_DSEQ,0)),"")</f>
        <v/>
      </c>
      <c r="F150" s="162">
        <f>IFERROR(TEXT(INDEX(tk_LEAFW,MATCH(145,tk_DSEQ,0)),"0.000")&amp;" x "&amp;TEXT(INDEX(tk_LEAFH,MATCH(145,tk_DSEQ,0)),"0.000"),"")</f>
        <v/>
      </c>
      <c r="G150" s="181">
        <f>IFERROR(""&amp;INDEX(tk_DLINE,MATCH(145,tk_DSEQ,0)),"")</f>
        <v/>
      </c>
      <c r="H150" s="181">
        <f>IFERROR(""&amp;INDEX(tk_LOCTXTD,MATCH(145,tk_DSEQ,0)),"")</f>
        <v/>
      </c>
      <c r="I150" s="162">
        <f>IFERROR(""&amp;INDEX(tk_DNOTES,MATCH(145,tk_DSEQ,0)),"")</f>
        <v/>
      </c>
    </row>
    <row r="151">
      <c r="A151" s="161">
        <f>IFERROR(""&amp;INDEX(tk_MARK,MATCH(146,tk_DSEQ,0)),"")</f>
        <v/>
      </c>
      <c r="B151" s="162">
        <f>IFERROR(INDEX(tk_QTY,MATCH(146,tk_DSEQ,0)),"")</f>
        <v/>
      </c>
      <c r="C151" s="162">
        <f>IFERROR(INDEX(tk_ROOMF,MATCH(146,tk_DSEQ,0))&amp;IF(INDEX(tk_ROOMT,MATCH(146,tk_DSEQ,0))="",""," → "&amp;INDEX(tk_ROOMT,MATCH(146,tk_DSEQ,0))),"")</f>
        <v/>
      </c>
      <c r="D151" s="162">
        <f>IFERROR(INDEX(tk_LEAVES,MATCH(146,tk_DSEQ,0)),"")</f>
        <v/>
      </c>
      <c r="E151" s="162">
        <f>IFERROR(""&amp;INDEX(tk_RATING,MATCH(146,tk_DSEQ,0)),"")</f>
        <v/>
      </c>
      <c r="F151" s="162">
        <f>IFERROR(TEXT(INDEX(tk_LEAFW,MATCH(146,tk_DSEQ,0)),"0.000")&amp;" x "&amp;TEXT(INDEX(tk_LEAFH,MATCH(146,tk_DSEQ,0)),"0.000"),"")</f>
        <v/>
      </c>
      <c r="G151" s="181">
        <f>IFERROR(""&amp;INDEX(tk_DLINE,MATCH(146,tk_DSEQ,0)),"")</f>
        <v/>
      </c>
      <c r="H151" s="181">
        <f>IFERROR(""&amp;INDEX(tk_LOCTXTD,MATCH(146,tk_DSEQ,0)),"")</f>
        <v/>
      </c>
      <c r="I151" s="162">
        <f>IFERROR(""&amp;INDEX(tk_DNOTES,MATCH(146,tk_DSEQ,0)),"")</f>
        <v/>
      </c>
    </row>
    <row r="152">
      <c r="A152" s="161">
        <f>IFERROR(""&amp;INDEX(tk_MARK,MATCH(147,tk_DSEQ,0)),"")</f>
        <v/>
      </c>
      <c r="B152" s="162">
        <f>IFERROR(INDEX(tk_QTY,MATCH(147,tk_DSEQ,0)),"")</f>
        <v/>
      </c>
      <c r="C152" s="162">
        <f>IFERROR(INDEX(tk_ROOMF,MATCH(147,tk_DSEQ,0))&amp;IF(INDEX(tk_ROOMT,MATCH(147,tk_DSEQ,0))="",""," → "&amp;INDEX(tk_ROOMT,MATCH(147,tk_DSEQ,0))),"")</f>
        <v/>
      </c>
      <c r="D152" s="162">
        <f>IFERROR(INDEX(tk_LEAVES,MATCH(147,tk_DSEQ,0)),"")</f>
        <v/>
      </c>
      <c r="E152" s="162">
        <f>IFERROR(""&amp;INDEX(tk_RATING,MATCH(147,tk_DSEQ,0)),"")</f>
        <v/>
      </c>
      <c r="F152" s="162">
        <f>IFERROR(TEXT(INDEX(tk_LEAFW,MATCH(147,tk_DSEQ,0)),"0.000")&amp;" x "&amp;TEXT(INDEX(tk_LEAFH,MATCH(147,tk_DSEQ,0)),"0.000"),"")</f>
        <v/>
      </c>
      <c r="G152" s="181">
        <f>IFERROR(""&amp;INDEX(tk_DLINE,MATCH(147,tk_DSEQ,0)),"")</f>
        <v/>
      </c>
      <c r="H152" s="181">
        <f>IFERROR(""&amp;INDEX(tk_LOCTXTD,MATCH(147,tk_DSEQ,0)),"")</f>
        <v/>
      </c>
      <c r="I152" s="162">
        <f>IFERROR(""&amp;INDEX(tk_DNOTES,MATCH(147,tk_DSEQ,0)),"")</f>
        <v/>
      </c>
    </row>
    <row r="153">
      <c r="A153" s="161">
        <f>IFERROR(""&amp;INDEX(tk_MARK,MATCH(148,tk_DSEQ,0)),"")</f>
        <v/>
      </c>
      <c r="B153" s="162">
        <f>IFERROR(INDEX(tk_QTY,MATCH(148,tk_DSEQ,0)),"")</f>
        <v/>
      </c>
      <c r="C153" s="162">
        <f>IFERROR(INDEX(tk_ROOMF,MATCH(148,tk_DSEQ,0))&amp;IF(INDEX(tk_ROOMT,MATCH(148,tk_DSEQ,0))="",""," → "&amp;INDEX(tk_ROOMT,MATCH(148,tk_DSEQ,0))),"")</f>
        <v/>
      </c>
      <c r="D153" s="162">
        <f>IFERROR(INDEX(tk_LEAVES,MATCH(148,tk_DSEQ,0)),"")</f>
        <v/>
      </c>
      <c r="E153" s="162">
        <f>IFERROR(""&amp;INDEX(tk_RATING,MATCH(148,tk_DSEQ,0)),"")</f>
        <v/>
      </c>
      <c r="F153" s="162">
        <f>IFERROR(TEXT(INDEX(tk_LEAFW,MATCH(148,tk_DSEQ,0)),"0.000")&amp;" x "&amp;TEXT(INDEX(tk_LEAFH,MATCH(148,tk_DSEQ,0)),"0.000"),"")</f>
        <v/>
      </c>
      <c r="G153" s="181">
        <f>IFERROR(""&amp;INDEX(tk_DLINE,MATCH(148,tk_DSEQ,0)),"")</f>
        <v/>
      </c>
      <c r="H153" s="181">
        <f>IFERROR(""&amp;INDEX(tk_LOCTXTD,MATCH(148,tk_DSEQ,0)),"")</f>
        <v/>
      </c>
      <c r="I153" s="162">
        <f>IFERROR(""&amp;INDEX(tk_DNOTES,MATCH(148,tk_DSEQ,0)),"")</f>
        <v/>
      </c>
    </row>
    <row r="154">
      <c r="A154" s="161">
        <f>IFERROR(""&amp;INDEX(tk_MARK,MATCH(149,tk_DSEQ,0)),"")</f>
        <v/>
      </c>
      <c r="B154" s="162">
        <f>IFERROR(INDEX(tk_QTY,MATCH(149,tk_DSEQ,0)),"")</f>
        <v/>
      </c>
      <c r="C154" s="162">
        <f>IFERROR(INDEX(tk_ROOMF,MATCH(149,tk_DSEQ,0))&amp;IF(INDEX(tk_ROOMT,MATCH(149,tk_DSEQ,0))="",""," → "&amp;INDEX(tk_ROOMT,MATCH(149,tk_DSEQ,0))),"")</f>
        <v/>
      </c>
      <c r="D154" s="162">
        <f>IFERROR(INDEX(tk_LEAVES,MATCH(149,tk_DSEQ,0)),"")</f>
        <v/>
      </c>
      <c r="E154" s="162">
        <f>IFERROR(""&amp;INDEX(tk_RATING,MATCH(149,tk_DSEQ,0)),"")</f>
        <v/>
      </c>
      <c r="F154" s="162">
        <f>IFERROR(TEXT(INDEX(tk_LEAFW,MATCH(149,tk_DSEQ,0)),"0.000")&amp;" x "&amp;TEXT(INDEX(tk_LEAFH,MATCH(149,tk_DSEQ,0)),"0.000"),"")</f>
        <v/>
      </c>
      <c r="G154" s="181">
        <f>IFERROR(""&amp;INDEX(tk_DLINE,MATCH(149,tk_DSEQ,0)),"")</f>
        <v/>
      </c>
      <c r="H154" s="181">
        <f>IFERROR(""&amp;INDEX(tk_LOCTXTD,MATCH(149,tk_DSEQ,0)),"")</f>
        <v/>
      </c>
      <c r="I154" s="162">
        <f>IFERROR(""&amp;INDEX(tk_DNOTES,MATCH(149,tk_DSEQ,0)),"")</f>
        <v/>
      </c>
    </row>
    <row r="155">
      <c r="A155" s="161">
        <f>IFERROR(""&amp;INDEX(tk_MARK,MATCH(150,tk_DSEQ,0)),"")</f>
        <v/>
      </c>
      <c r="B155" s="162">
        <f>IFERROR(INDEX(tk_QTY,MATCH(150,tk_DSEQ,0)),"")</f>
        <v/>
      </c>
      <c r="C155" s="162">
        <f>IFERROR(INDEX(tk_ROOMF,MATCH(150,tk_DSEQ,0))&amp;IF(INDEX(tk_ROOMT,MATCH(150,tk_DSEQ,0))="",""," → "&amp;INDEX(tk_ROOMT,MATCH(150,tk_DSEQ,0))),"")</f>
        <v/>
      </c>
      <c r="D155" s="162">
        <f>IFERROR(INDEX(tk_LEAVES,MATCH(150,tk_DSEQ,0)),"")</f>
        <v/>
      </c>
      <c r="E155" s="162">
        <f>IFERROR(""&amp;INDEX(tk_RATING,MATCH(150,tk_DSEQ,0)),"")</f>
        <v/>
      </c>
      <c r="F155" s="162">
        <f>IFERROR(TEXT(INDEX(tk_LEAFW,MATCH(150,tk_DSEQ,0)),"0.000")&amp;" x "&amp;TEXT(INDEX(tk_LEAFH,MATCH(150,tk_DSEQ,0)),"0.000"),"")</f>
        <v/>
      </c>
      <c r="G155" s="181">
        <f>IFERROR(""&amp;INDEX(tk_DLINE,MATCH(150,tk_DSEQ,0)),"")</f>
        <v/>
      </c>
      <c r="H155" s="181">
        <f>IFERROR(""&amp;INDEX(tk_LOCTXTD,MATCH(150,tk_DSEQ,0)),"")</f>
        <v/>
      </c>
      <c r="I155" s="162">
        <f>IFERROR(""&amp;INDEX(tk_DNOTES,MATCH(150,tk_DSEQ,0)),"")</f>
        <v/>
      </c>
    </row>
    <row r="156">
      <c r="A156" s="161">
        <f>IFERROR(""&amp;INDEX(tk_MARK,MATCH(151,tk_DSEQ,0)),"")</f>
        <v/>
      </c>
      <c r="B156" s="162">
        <f>IFERROR(INDEX(tk_QTY,MATCH(151,tk_DSEQ,0)),"")</f>
        <v/>
      </c>
      <c r="C156" s="162">
        <f>IFERROR(INDEX(tk_ROOMF,MATCH(151,tk_DSEQ,0))&amp;IF(INDEX(tk_ROOMT,MATCH(151,tk_DSEQ,0))="",""," → "&amp;INDEX(tk_ROOMT,MATCH(151,tk_DSEQ,0))),"")</f>
        <v/>
      </c>
      <c r="D156" s="162">
        <f>IFERROR(INDEX(tk_LEAVES,MATCH(151,tk_DSEQ,0)),"")</f>
        <v/>
      </c>
      <c r="E156" s="162">
        <f>IFERROR(""&amp;INDEX(tk_RATING,MATCH(151,tk_DSEQ,0)),"")</f>
        <v/>
      </c>
      <c r="F156" s="162">
        <f>IFERROR(TEXT(INDEX(tk_LEAFW,MATCH(151,tk_DSEQ,0)),"0.000")&amp;" x "&amp;TEXT(INDEX(tk_LEAFH,MATCH(151,tk_DSEQ,0)),"0.000"),"")</f>
        <v/>
      </c>
      <c r="G156" s="181">
        <f>IFERROR(""&amp;INDEX(tk_DLINE,MATCH(151,tk_DSEQ,0)),"")</f>
        <v/>
      </c>
      <c r="H156" s="181">
        <f>IFERROR(""&amp;INDEX(tk_LOCTXTD,MATCH(151,tk_DSEQ,0)),"")</f>
        <v/>
      </c>
      <c r="I156" s="162">
        <f>IFERROR(""&amp;INDEX(tk_DNOTES,MATCH(151,tk_DSEQ,0)),"")</f>
        <v/>
      </c>
    </row>
    <row r="157">
      <c r="A157" s="161">
        <f>IFERROR(""&amp;INDEX(tk_MARK,MATCH(152,tk_DSEQ,0)),"")</f>
        <v/>
      </c>
      <c r="B157" s="162">
        <f>IFERROR(INDEX(tk_QTY,MATCH(152,tk_DSEQ,0)),"")</f>
        <v/>
      </c>
      <c r="C157" s="162">
        <f>IFERROR(INDEX(tk_ROOMF,MATCH(152,tk_DSEQ,0))&amp;IF(INDEX(tk_ROOMT,MATCH(152,tk_DSEQ,0))="",""," → "&amp;INDEX(tk_ROOMT,MATCH(152,tk_DSEQ,0))),"")</f>
        <v/>
      </c>
      <c r="D157" s="162">
        <f>IFERROR(INDEX(tk_LEAVES,MATCH(152,tk_DSEQ,0)),"")</f>
        <v/>
      </c>
      <c r="E157" s="162">
        <f>IFERROR(""&amp;INDEX(tk_RATING,MATCH(152,tk_DSEQ,0)),"")</f>
        <v/>
      </c>
      <c r="F157" s="162">
        <f>IFERROR(TEXT(INDEX(tk_LEAFW,MATCH(152,tk_DSEQ,0)),"0.000")&amp;" x "&amp;TEXT(INDEX(tk_LEAFH,MATCH(152,tk_DSEQ,0)),"0.000"),"")</f>
        <v/>
      </c>
      <c r="G157" s="181">
        <f>IFERROR(""&amp;INDEX(tk_DLINE,MATCH(152,tk_DSEQ,0)),"")</f>
        <v/>
      </c>
      <c r="H157" s="181">
        <f>IFERROR(""&amp;INDEX(tk_LOCTXTD,MATCH(152,tk_DSEQ,0)),"")</f>
        <v/>
      </c>
      <c r="I157" s="162">
        <f>IFERROR(""&amp;INDEX(tk_DNOTES,MATCH(152,tk_DSEQ,0)),"")</f>
        <v/>
      </c>
    </row>
    <row r="158">
      <c r="A158" s="161">
        <f>IFERROR(""&amp;INDEX(tk_MARK,MATCH(153,tk_DSEQ,0)),"")</f>
        <v/>
      </c>
      <c r="B158" s="162">
        <f>IFERROR(INDEX(tk_QTY,MATCH(153,tk_DSEQ,0)),"")</f>
        <v/>
      </c>
      <c r="C158" s="162">
        <f>IFERROR(INDEX(tk_ROOMF,MATCH(153,tk_DSEQ,0))&amp;IF(INDEX(tk_ROOMT,MATCH(153,tk_DSEQ,0))="",""," → "&amp;INDEX(tk_ROOMT,MATCH(153,tk_DSEQ,0))),"")</f>
        <v/>
      </c>
      <c r="D158" s="162">
        <f>IFERROR(INDEX(tk_LEAVES,MATCH(153,tk_DSEQ,0)),"")</f>
        <v/>
      </c>
      <c r="E158" s="162">
        <f>IFERROR(""&amp;INDEX(tk_RATING,MATCH(153,tk_DSEQ,0)),"")</f>
        <v/>
      </c>
      <c r="F158" s="162">
        <f>IFERROR(TEXT(INDEX(tk_LEAFW,MATCH(153,tk_DSEQ,0)),"0.000")&amp;" x "&amp;TEXT(INDEX(tk_LEAFH,MATCH(153,tk_DSEQ,0)),"0.000"),"")</f>
        <v/>
      </c>
      <c r="G158" s="181">
        <f>IFERROR(""&amp;INDEX(tk_DLINE,MATCH(153,tk_DSEQ,0)),"")</f>
        <v/>
      </c>
      <c r="H158" s="181">
        <f>IFERROR(""&amp;INDEX(tk_LOCTXTD,MATCH(153,tk_DSEQ,0)),"")</f>
        <v/>
      </c>
      <c r="I158" s="162">
        <f>IFERROR(""&amp;INDEX(tk_DNOTES,MATCH(153,tk_DSEQ,0)),"")</f>
        <v/>
      </c>
    </row>
    <row r="159">
      <c r="A159" s="161">
        <f>IFERROR(""&amp;INDEX(tk_MARK,MATCH(154,tk_DSEQ,0)),"")</f>
        <v/>
      </c>
      <c r="B159" s="162">
        <f>IFERROR(INDEX(tk_QTY,MATCH(154,tk_DSEQ,0)),"")</f>
        <v/>
      </c>
      <c r="C159" s="162">
        <f>IFERROR(INDEX(tk_ROOMF,MATCH(154,tk_DSEQ,0))&amp;IF(INDEX(tk_ROOMT,MATCH(154,tk_DSEQ,0))="",""," → "&amp;INDEX(tk_ROOMT,MATCH(154,tk_DSEQ,0))),"")</f>
        <v/>
      </c>
      <c r="D159" s="162">
        <f>IFERROR(INDEX(tk_LEAVES,MATCH(154,tk_DSEQ,0)),"")</f>
        <v/>
      </c>
      <c r="E159" s="162">
        <f>IFERROR(""&amp;INDEX(tk_RATING,MATCH(154,tk_DSEQ,0)),"")</f>
        <v/>
      </c>
      <c r="F159" s="162">
        <f>IFERROR(TEXT(INDEX(tk_LEAFW,MATCH(154,tk_DSEQ,0)),"0.000")&amp;" x "&amp;TEXT(INDEX(tk_LEAFH,MATCH(154,tk_DSEQ,0)),"0.000"),"")</f>
        <v/>
      </c>
      <c r="G159" s="181">
        <f>IFERROR(""&amp;INDEX(tk_DLINE,MATCH(154,tk_DSEQ,0)),"")</f>
        <v/>
      </c>
      <c r="H159" s="181">
        <f>IFERROR(""&amp;INDEX(tk_LOCTXTD,MATCH(154,tk_DSEQ,0)),"")</f>
        <v/>
      </c>
      <c r="I159" s="162">
        <f>IFERROR(""&amp;INDEX(tk_DNOTES,MATCH(154,tk_DSEQ,0)),"")</f>
        <v/>
      </c>
    </row>
    <row r="160">
      <c r="A160" s="161">
        <f>IFERROR(""&amp;INDEX(tk_MARK,MATCH(155,tk_DSEQ,0)),"")</f>
        <v/>
      </c>
      <c r="B160" s="162">
        <f>IFERROR(INDEX(tk_QTY,MATCH(155,tk_DSEQ,0)),"")</f>
        <v/>
      </c>
      <c r="C160" s="162">
        <f>IFERROR(INDEX(tk_ROOMF,MATCH(155,tk_DSEQ,0))&amp;IF(INDEX(tk_ROOMT,MATCH(155,tk_DSEQ,0))="",""," → "&amp;INDEX(tk_ROOMT,MATCH(155,tk_DSEQ,0))),"")</f>
        <v/>
      </c>
      <c r="D160" s="162">
        <f>IFERROR(INDEX(tk_LEAVES,MATCH(155,tk_DSEQ,0)),"")</f>
        <v/>
      </c>
      <c r="E160" s="162">
        <f>IFERROR(""&amp;INDEX(tk_RATING,MATCH(155,tk_DSEQ,0)),"")</f>
        <v/>
      </c>
      <c r="F160" s="162">
        <f>IFERROR(TEXT(INDEX(tk_LEAFW,MATCH(155,tk_DSEQ,0)),"0.000")&amp;" x "&amp;TEXT(INDEX(tk_LEAFH,MATCH(155,tk_DSEQ,0)),"0.000"),"")</f>
        <v/>
      </c>
      <c r="G160" s="181">
        <f>IFERROR(""&amp;INDEX(tk_DLINE,MATCH(155,tk_DSEQ,0)),"")</f>
        <v/>
      </c>
      <c r="H160" s="181">
        <f>IFERROR(""&amp;INDEX(tk_LOCTXTD,MATCH(155,tk_DSEQ,0)),"")</f>
        <v/>
      </c>
      <c r="I160" s="162">
        <f>IFERROR(""&amp;INDEX(tk_DNOTES,MATCH(155,tk_DSEQ,0)),"")</f>
        <v/>
      </c>
    </row>
    <row r="161">
      <c r="A161" s="161">
        <f>IFERROR(""&amp;INDEX(tk_MARK,MATCH(156,tk_DSEQ,0)),"")</f>
        <v/>
      </c>
      <c r="B161" s="162">
        <f>IFERROR(INDEX(tk_QTY,MATCH(156,tk_DSEQ,0)),"")</f>
        <v/>
      </c>
      <c r="C161" s="162">
        <f>IFERROR(INDEX(tk_ROOMF,MATCH(156,tk_DSEQ,0))&amp;IF(INDEX(tk_ROOMT,MATCH(156,tk_DSEQ,0))="",""," → "&amp;INDEX(tk_ROOMT,MATCH(156,tk_DSEQ,0))),"")</f>
        <v/>
      </c>
      <c r="D161" s="162">
        <f>IFERROR(INDEX(tk_LEAVES,MATCH(156,tk_DSEQ,0)),"")</f>
        <v/>
      </c>
      <c r="E161" s="162">
        <f>IFERROR(""&amp;INDEX(tk_RATING,MATCH(156,tk_DSEQ,0)),"")</f>
        <v/>
      </c>
      <c r="F161" s="162">
        <f>IFERROR(TEXT(INDEX(tk_LEAFW,MATCH(156,tk_DSEQ,0)),"0.000")&amp;" x "&amp;TEXT(INDEX(tk_LEAFH,MATCH(156,tk_DSEQ,0)),"0.000"),"")</f>
        <v/>
      </c>
      <c r="G161" s="181">
        <f>IFERROR(""&amp;INDEX(tk_DLINE,MATCH(156,tk_DSEQ,0)),"")</f>
        <v/>
      </c>
      <c r="H161" s="181">
        <f>IFERROR(""&amp;INDEX(tk_LOCTXTD,MATCH(156,tk_DSEQ,0)),"")</f>
        <v/>
      </c>
      <c r="I161" s="162">
        <f>IFERROR(""&amp;INDEX(tk_DNOTES,MATCH(156,tk_DSEQ,0)),"")</f>
        <v/>
      </c>
    </row>
    <row r="162">
      <c r="A162" s="161">
        <f>IFERROR(""&amp;INDEX(tk_MARK,MATCH(157,tk_DSEQ,0)),"")</f>
        <v/>
      </c>
      <c r="B162" s="162">
        <f>IFERROR(INDEX(tk_QTY,MATCH(157,tk_DSEQ,0)),"")</f>
        <v/>
      </c>
      <c r="C162" s="162">
        <f>IFERROR(INDEX(tk_ROOMF,MATCH(157,tk_DSEQ,0))&amp;IF(INDEX(tk_ROOMT,MATCH(157,tk_DSEQ,0))="",""," → "&amp;INDEX(tk_ROOMT,MATCH(157,tk_DSEQ,0))),"")</f>
        <v/>
      </c>
      <c r="D162" s="162">
        <f>IFERROR(INDEX(tk_LEAVES,MATCH(157,tk_DSEQ,0)),"")</f>
        <v/>
      </c>
      <c r="E162" s="162">
        <f>IFERROR(""&amp;INDEX(tk_RATING,MATCH(157,tk_DSEQ,0)),"")</f>
        <v/>
      </c>
      <c r="F162" s="162">
        <f>IFERROR(TEXT(INDEX(tk_LEAFW,MATCH(157,tk_DSEQ,0)),"0.000")&amp;" x "&amp;TEXT(INDEX(tk_LEAFH,MATCH(157,tk_DSEQ,0)),"0.000"),"")</f>
        <v/>
      </c>
      <c r="G162" s="181">
        <f>IFERROR(""&amp;INDEX(tk_DLINE,MATCH(157,tk_DSEQ,0)),"")</f>
        <v/>
      </c>
      <c r="H162" s="181">
        <f>IFERROR(""&amp;INDEX(tk_LOCTXTD,MATCH(157,tk_DSEQ,0)),"")</f>
        <v/>
      </c>
      <c r="I162" s="162">
        <f>IFERROR(""&amp;INDEX(tk_DNOTES,MATCH(157,tk_DSEQ,0)),"")</f>
        <v/>
      </c>
    </row>
    <row r="163">
      <c r="A163" s="161">
        <f>IFERROR(""&amp;INDEX(tk_MARK,MATCH(158,tk_DSEQ,0)),"")</f>
        <v/>
      </c>
      <c r="B163" s="162">
        <f>IFERROR(INDEX(tk_QTY,MATCH(158,tk_DSEQ,0)),"")</f>
        <v/>
      </c>
      <c r="C163" s="162">
        <f>IFERROR(INDEX(tk_ROOMF,MATCH(158,tk_DSEQ,0))&amp;IF(INDEX(tk_ROOMT,MATCH(158,tk_DSEQ,0))="",""," → "&amp;INDEX(tk_ROOMT,MATCH(158,tk_DSEQ,0))),"")</f>
        <v/>
      </c>
      <c r="D163" s="162">
        <f>IFERROR(INDEX(tk_LEAVES,MATCH(158,tk_DSEQ,0)),"")</f>
        <v/>
      </c>
      <c r="E163" s="162">
        <f>IFERROR(""&amp;INDEX(tk_RATING,MATCH(158,tk_DSEQ,0)),"")</f>
        <v/>
      </c>
      <c r="F163" s="162">
        <f>IFERROR(TEXT(INDEX(tk_LEAFW,MATCH(158,tk_DSEQ,0)),"0.000")&amp;" x "&amp;TEXT(INDEX(tk_LEAFH,MATCH(158,tk_DSEQ,0)),"0.000"),"")</f>
        <v/>
      </c>
      <c r="G163" s="181">
        <f>IFERROR(""&amp;INDEX(tk_DLINE,MATCH(158,tk_DSEQ,0)),"")</f>
        <v/>
      </c>
      <c r="H163" s="181">
        <f>IFERROR(""&amp;INDEX(tk_LOCTXTD,MATCH(158,tk_DSEQ,0)),"")</f>
        <v/>
      </c>
      <c r="I163" s="162">
        <f>IFERROR(""&amp;INDEX(tk_DNOTES,MATCH(158,tk_DSEQ,0)),"")</f>
        <v/>
      </c>
    </row>
    <row r="164">
      <c r="A164" s="161">
        <f>IFERROR(""&amp;INDEX(tk_MARK,MATCH(159,tk_DSEQ,0)),"")</f>
        <v/>
      </c>
      <c r="B164" s="162">
        <f>IFERROR(INDEX(tk_QTY,MATCH(159,tk_DSEQ,0)),"")</f>
        <v/>
      </c>
      <c r="C164" s="162">
        <f>IFERROR(INDEX(tk_ROOMF,MATCH(159,tk_DSEQ,0))&amp;IF(INDEX(tk_ROOMT,MATCH(159,tk_DSEQ,0))="",""," → "&amp;INDEX(tk_ROOMT,MATCH(159,tk_DSEQ,0))),"")</f>
        <v/>
      </c>
      <c r="D164" s="162">
        <f>IFERROR(INDEX(tk_LEAVES,MATCH(159,tk_DSEQ,0)),"")</f>
        <v/>
      </c>
      <c r="E164" s="162">
        <f>IFERROR(""&amp;INDEX(tk_RATING,MATCH(159,tk_DSEQ,0)),"")</f>
        <v/>
      </c>
      <c r="F164" s="162">
        <f>IFERROR(TEXT(INDEX(tk_LEAFW,MATCH(159,tk_DSEQ,0)),"0.000")&amp;" x "&amp;TEXT(INDEX(tk_LEAFH,MATCH(159,tk_DSEQ,0)),"0.000"),"")</f>
        <v/>
      </c>
      <c r="G164" s="181">
        <f>IFERROR(""&amp;INDEX(tk_DLINE,MATCH(159,tk_DSEQ,0)),"")</f>
        <v/>
      </c>
      <c r="H164" s="181">
        <f>IFERROR(""&amp;INDEX(tk_LOCTXTD,MATCH(159,tk_DSEQ,0)),"")</f>
        <v/>
      </c>
      <c r="I164" s="162">
        <f>IFERROR(""&amp;INDEX(tk_DNOTES,MATCH(159,tk_DSEQ,0)),"")</f>
        <v/>
      </c>
    </row>
    <row r="165">
      <c r="A165" s="161">
        <f>IFERROR(""&amp;INDEX(tk_MARK,MATCH(160,tk_DSEQ,0)),"")</f>
        <v/>
      </c>
      <c r="B165" s="162">
        <f>IFERROR(INDEX(tk_QTY,MATCH(160,tk_DSEQ,0)),"")</f>
        <v/>
      </c>
      <c r="C165" s="162">
        <f>IFERROR(INDEX(tk_ROOMF,MATCH(160,tk_DSEQ,0))&amp;IF(INDEX(tk_ROOMT,MATCH(160,tk_DSEQ,0))="",""," → "&amp;INDEX(tk_ROOMT,MATCH(160,tk_DSEQ,0))),"")</f>
        <v/>
      </c>
      <c r="D165" s="162">
        <f>IFERROR(INDEX(tk_LEAVES,MATCH(160,tk_DSEQ,0)),"")</f>
        <v/>
      </c>
      <c r="E165" s="162">
        <f>IFERROR(""&amp;INDEX(tk_RATING,MATCH(160,tk_DSEQ,0)),"")</f>
        <v/>
      </c>
      <c r="F165" s="162">
        <f>IFERROR(TEXT(INDEX(tk_LEAFW,MATCH(160,tk_DSEQ,0)),"0.000")&amp;" x "&amp;TEXT(INDEX(tk_LEAFH,MATCH(160,tk_DSEQ,0)),"0.000"),"")</f>
        <v/>
      </c>
      <c r="G165" s="181">
        <f>IFERROR(""&amp;INDEX(tk_DLINE,MATCH(160,tk_DSEQ,0)),"")</f>
        <v/>
      </c>
      <c r="H165" s="181">
        <f>IFERROR(""&amp;INDEX(tk_LOCTXTD,MATCH(160,tk_DSEQ,0)),"")</f>
        <v/>
      </c>
      <c r="I165" s="162">
        <f>IFERROR(""&amp;INDEX(tk_DNOTES,MATCH(160,tk_DSEQ,0)),"")</f>
        <v/>
      </c>
    </row>
    <row r="166">
      <c r="A166" s="161">
        <f>IFERROR(""&amp;INDEX(tk_MARK,MATCH(161,tk_DSEQ,0)),"")</f>
        <v/>
      </c>
      <c r="B166" s="162">
        <f>IFERROR(INDEX(tk_QTY,MATCH(161,tk_DSEQ,0)),"")</f>
        <v/>
      </c>
      <c r="C166" s="162">
        <f>IFERROR(INDEX(tk_ROOMF,MATCH(161,tk_DSEQ,0))&amp;IF(INDEX(tk_ROOMT,MATCH(161,tk_DSEQ,0))="",""," → "&amp;INDEX(tk_ROOMT,MATCH(161,tk_DSEQ,0))),"")</f>
        <v/>
      </c>
      <c r="D166" s="162">
        <f>IFERROR(INDEX(tk_LEAVES,MATCH(161,tk_DSEQ,0)),"")</f>
        <v/>
      </c>
      <c r="E166" s="162">
        <f>IFERROR(""&amp;INDEX(tk_RATING,MATCH(161,tk_DSEQ,0)),"")</f>
        <v/>
      </c>
      <c r="F166" s="162">
        <f>IFERROR(TEXT(INDEX(tk_LEAFW,MATCH(161,tk_DSEQ,0)),"0.000")&amp;" x "&amp;TEXT(INDEX(tk_LEAFH,MATCH(161,tk_DSEQ,0)),"0.000"),"")</f>
        <v/>
      </c>
      <c r="G166" s="181">
        <f>IFERROR(""&amp;INDEX(tk_DLINE,MATCH(161,tk_DSEQ,0)),"")</f>
        <v/>
      </c>
      <c r="H166" s="181">
        <f>IFERROR(""&amp;INDEX(tk_LOCTXTD,MATCH(161,tk_DSEQ,0)),"")</f>
        <v/>
      </c>
      <c r="I166" s="162">
        <f>IFERROR(""&amp;INDEX(tk_DNOTES,MATCH(161,tk_DSEQ,0)),"")</f>
        <v/>
      </c>
    </row>
    <row r="167">
      <c r="A167" s="161">
        <f>IFERROR(""&amp;INDEX(tk_MARK,MATCH(162,tk_DSEQ,0)),"")</f>
        <v/>
      </c>
      <c r="B167" s="162">
        <f>IFERROR(INDEX(tk_QTY,MATCH(162,tk_DSEQ,0)),"")</f>
        <v/>
      </c>
      <c r="C167" s="162">
        <f>IFERROR(INDEX(tk_ROOMF,MATCH(162,tk_DSEQ,0))&amp;IF(INDEX(tk_ROOMT,MATCH(162,tk_DSEQ,0))="",""," → "&amp;INDEX(tk_ROOMT,MATCH(162,tk_DSEQ,0))),"")</f>
        <v/>
      </c>
      <c r="D167" s="162">
        <f>IFERROR(INDEX(tk_LEAVES,MATCH(162,tk_DSEQ,0)),"")</f>
        <v/>
      </c>
      <c r="E167" s="162">
        <f>IFERROR(""&amp;INDEX(tk_RATING,MATCH(162,tk_DSEQ,0)),"")</f>
        <v/>
      </c>
      <c r="F167" s="162">
        <f>IFERROR(TEXT(INDEX(tk_LEAFW,MATCH(162,tk_DSEQ,0)),"0.000")&amp;" x "&amp;TEXT(INDEX(tk_LEAFH,MATCH(162,tk_DSEQ,0)),"0.000"),"")</f>
        <v/>
      </c>
      <c r="G167" s="181">
        <f>IFERROR(""&amp;INDEX(tk_DLINE,MATCH(162,tk_DSEQ,0)),"")</f>
        <v/>
      </c>
      <c r="H167" s="181">
        <f>IFERROR(""&amp;INDEX(tk_LOCTXTD,MATCH(162,tk_DSEQ,0)),"")</f>
        <v/>
      </c>
      <c r="I167" s="162">
        <f>IFERROR(""&amp;INDEX(tk_DNOTES,MATCH(162,tk_DSEQ,0)),"")</f>
        <v/>
      </c>
    </row>
    <row r="168">
      <c r="A168" s="161">
        <f>IFERROR(""&amp;INDEX(tk_MARK,MATCH(163,tk_DSEQ,0)),"")</f>
        <v/>
      </c>
      <c r="B168" s="162">
        <f>IFERROR(INDEX(tk_QTY,MATCH(163,tk_DSEQ,0)),"")</f>
        <v/>
      </c>
      <c r="C168" s="162">
        <f>IFERROR(INDEX(tk_ROOMF,MATCH(163,tk_DSEQ,0))&amp;IF(INDEX(tk_ROOMT,MATCH(163,tk_DSEQ,0))="",""," → "&amp;INDEX(tk_ROOMT,MATCH(163,tk_DSEQ,0))),"")</f>
        <v/>
      </c>
      <c r="D168" s="162">
        <f>IFERROR(INDEX(tk_LEAVES,MATCH(163,tk_DSEQ,0)),"")</f>
        <v/>
      </c>
      <c r="E168" s="162">
        <f>IFERROR(""&amp;INDEX(tk_RATING,MATCH(163,tk_DSEQ,0)),"")</f>
        <v/>
      </c>
      <c r="F168" s="162">
        <f>IFERROR(TEXT(INDEX(tk_LEAFW,MATCH(163,tk_DSEQ,0)),"0.000")&amp;" x "&amp;TEXT(INDEX(tk_LEAFH,MATCH(163,tk_DSEQ,0)),"0.000"),"")</f>
        <v/>
      </c>
      <c r="G168" s="181">
        <f>IFERROR(""&amp;INDEX(tk_DLINE,MATCH(163,tk_DSEQ,0)),"")</f>
        <v/>
      </c>
      <c r="H168" s="181">
        <f>IFERROR(""&amp;INDEX(tk_LOCTXTD,MATCH(163,tk_DSEQ,0)),"")</f>
        <v/>
      </c>
      <c r="I168" s="162">
        <f>IFERROR(""&amp;INDEX(tk_DNOTES,MATCH(163,tk_DSEQ,0)),"")</f>
        <v/>
      </c>
    </row>
    <row r="169">
      <c r="A169" s="161">
        <f>IFERROR(""&amp;INDEX(tk_MARK,MATCH(164,tk_DSEQ,0)),"")</f>
        <v/>
      </c>
      <c r="B169" s="162">
        <f>IFERROR(INDEX(tk_QTY,MATCH(164,tk_DSEQ,0)),"")</f>
        <v/>
      </c>
      <c r="C169" s="162">
        <f>IFERROR(INDEX(tk_ROOMF,MATCH(164,tk_DSEQ,0))&amp;IF(INDEX(tk_ROOMT,MATCH(164,tk_DSEQ,0))="",""," → "&amp;INDEX(tk_ROOMT,MATCH(164,tk_DSEQ,0))),"")</f>
        <v/>
      </c>
      <c r="D169" s="162">
        <f>IFERROR(INDEX(tk_LEAVES,MATCH(164,tk_DSEQ,0)),"")</f>
        <v/>
      </c>
      <c r="E169" s="162">
        <f>IFERROR(""&amp;INDEX(tk_RATING,MATCH(164,tk_DSEQ,0)),"")</f>
        <v/>
      </c>
      <c r="F169" s="162">
        <f>IFERROR(TEXT(INDEX(tk_LEAFW,MATCH(164,tk_DSEQ,0)),"0.000")&amp;" x "&amp;TEXT(INDEX(tk_LEAFH,MATCH(164,tk_DSEQ,0)),"0.000"),"")</f>
        <v/>
      </c>
      <c r="G169" s="181">
        <f>IFERROR(""&amp;INDEX(tk_DLINE,MATCH(164,tk_DSEQ,0)),"")</f>
        <v/>
      </c>
      <c r="H169" s="181">
        <f>IFERROR(""&amp;INDEX(tk_LOCTXTD,MATCH(164,tk_DSEQ,0)),"")</f>
        <v/>
      </c>
      <c r="I169" s="162">
        <f>IFERROR(""&amp;INDEX(tk_DNOTES,MATCH(164,tk_DSEQ,0)),"")</f>
        <v/>
      </c>
    </row>
    <row r="170">
      <c r="A170" s="161">
        <f>IFERROR(""&amp;INDEX(tk_MARK,MATCH(165,tk_DSEQ,0)),"")</f>
        <v/>
      </c>
      <c r="B170" s="162">
        <f>IFERROR(INDEX(tk_QTY,MATCH(165,tk_DSEQ,0)),"")</f>
        <v/>
      </c>
      <c r="C170" s="162">
        <f>IFERROR(INDEX(tk_ROOMF,MATCH(165,tk_DSEQ,0))&amp;IF(INDEX(tk_ROOMT,MATCH(165,tk_DSEQ,0))="",""," → "&amp;INDEX(tk_ROOMT,MATCH(165,tk_DSEQ,0))),"")</f>
        <v/>
      </c>
      <c r="D170" s="162">
        <f>IFERROR(INDEX(tk_LEAVES,MATCH(165,tk_DSEQ,0)),"")</f>
        <v/>
      </c>
      <c r="E170" s="162">
        <f>IFERROR(""&amp;INDEX(tk_RATING,MATCH(165,tk_DSEQ,0)),"")</f>
        <v/>
      </c>
      <c r="F170" s="162">
        <f>IFERROR(TEXT(INDEX(tk_LEAFW,MATCH(165,tk_DSEQ,0)),"0.000")&amp;" x "&amp;TEXT(INDEX(tk_LEAFH,MATCH(165,tk_DSEQ,0)),"0.000"),"")</f>
        <v/>
      </c>
      <c r="G170" s="181">
        <f>IFERROR(""&amp;INDEX(tk_DLINE,MATCH(165,tk_DSEQ,0)),"")</f>
        <v/>
      </c>
      <c r="H170" s="181">
        <f>IFERROR(""&amp;INDEX(tk_LOCTXTD,MATCH(165,tk_DSEQ,0)),"")</f>
        <v/>
      </c>
      <c r="I170" s="162">
        <f>IFERROR(""&amp;INDEX(tk_DNOTES,MATCH(165,tk_DSEQ,0)),"")</f>
        <v/>
      </c>
    </row>
    <row r="171">
      <c r="A171" s="161">
        <f>IFERROR(""&amp;INDEX(tk_MARK,MATCH(166,tk_DSEQ,0)),"")</f>
        <v/>
      </c>
      <c r="B171" s="162">
        <f>IFERROR(INDEX(tk_QTY,MATCH(166,tk_DSEQ,0)),"")</f>
        <v/>
      </c>
      <c r="C171" s="162">
        <f>IFERROR(INDEX(tk_ROOMF,MATCH(166,tk_DSEQ,0))&amp;IF(INDEX(tk_ROOMT,MATCH(166,tk_DSEQ,0))="",""," → "&amp;INDEX(tk_ROOMT,MATCH(166,tk_DSEQ,0))),"")</f>
        <v/>
      </c>
      <c r="D171" s="162">
        <f>IFERROR(INDEX(tk_LEAVES,MATCH(166,tk_DSEQ,0)),"")</f>
        <v/>
      </c>
      <c r="E171" s="162">
        <f>IFERROR(""&amp;INDEX(tk_RATING,MATCH(166,tk_DSEQ,0)),"")</f>
        <v/>
      </c>
      <c r="F171" s="162">
        <f>IFERROR(TEXT(INDEX(tk_LEAFW,MATCH(166,tk_DSEQ,0)),"0.000")&amp;" x "&amp;TEXT(INDEX(tk_LEAFH,MATCH(166,tk_DSEQ,0)),"0.000"),"")</f>
        <v/>
      </c>
      <c r="G171" s="181">
        <f>IFERROR(""&amp;INDEX(tk_DLINE,MATCH(166,tk_DSEQ,0)),"")</f>
        <v/>
      </c>
      <c r="H171" s="181">
        <f>IFERROR(""&amp;INDEX(tk_LOCTXTD,MATCH(166,tk_DSEQ,0)),"")</f>
        <v/>
      </c>
      <c r="I171" s="162">
        <f>IFERROR(""&amp;INDEX(tk_DNOTES,MATCH(166,tk_DSEQ,0)),"")</f>
        <v/>
      </c>
    </row>
    <row r="172">
      <c r="A172" s="161">
        <f>IFERROR(""&amp;INDEX(tk_MARK,MATCH(167,tk_DSEQ,0)),"")</f>
        <v/>
      </c>
      <c r="B172" s="162">
        <f>IFERROR(INDEX(tk_QTY,MATCH(167,tk_DSEQ,0)),"")</f>
        <v/>
      </c>
      <c r="C172" s="162">
        <f>IFERROR(INDEX(tk_ROOMF,MATCH(167,tk_DSEQ,0))&amp;IF(INDEX(tk_ROOMT,MATCH(167,tk_DSEQ,0))="",""," → "&amp;INDEX(tk_ROOMT,MATCH(167,tk_DSEQ,0))),"")</f>
        <v/>
      </c>
      <c r="D172" s="162">
        <f>IFERROR(INDEX(tk_LEAVES,MATCH(167,tk_DSEQ,0)),"")</f>
        <v/>
      </c>
      <c r="E172" s="162">
        <f>IFERROR(""&amp;INDEX(tk_RATING,MATCH(167,tk_DSEQ,0)),"")</f>
        <v/>
      </c>
      <c r="F172" s="162">
        <f>IFERROR(TEXT(INDEX(tk_LEAFW,MATCH(167,tk_DSEQ,0)),"0.000")&amp;" x "&amp;TEXT(INDEX(tk_LEAFH,MATCH(167,tk_DSEQ,0)),"0.000"),"")</f>
        <v/>
      </c>
      <c r="G172" s="181">
        <f>IFERROR(""&amp;INDEX(tk_DLINE,MATCH(167,tk_DSEQ,0)),"")</f>
        <v/>
      </c>
      <c r="H172" s="181">
        <f>IFERROR(""&amp;INDEX(tk_LOCTXTD,MATCH(167,tk_DSEQ,0)),"")</f>
        <v/>
      </c>
      <c r="I172" s="162">
        <f>IFERROR(""&amp;INDEX(tk_DNOTES,MATCH(167,tk_DSEQ,0)),"")</f>
        <v/>
      </c>
    </row>
    <row r="173">
      <c r="A173" s="161">
        <f>IFERROR(""&amp;INDEX(tk_MARK,MATCH(168,tk_DSEQ,0)),"")</f>
        <v/>
      </c>
      <c r="B173" s="162">
        <f>IFERROR(INDEX(tk_QTY,MATCH(168,tk_DSEQ,0)),"")</f>
        <v/>
      </c>
      <c r="C173" s="162">
        <f>IFERROR(INDEX(tk_ROOMF,MATCH(168,tk_DSEQ,0))&amp;IF(INDEX(tk_ROOMT,MATCH(168,tk_DSEQ,0))="",""," → "&amp;INDEX(tk_ROOMT,MATCH(168,tk_DSEQ,0))),"")</f>
        <v/>
      </c>
      <c r="D173" s="162">
        <f>IFERROR(INDEX(tk_LEAVES,MATCH(168,tk_DSEQ,0)),"")</f>
        <v/>
      </c>
      <c r="E173" s="162">
        <f>IFERROR(""&amp;INDEX(tk_RATING,MATCH(168,tk_DSEQ,0)),"")</f>
        <v/>
      </c>
      <c r="F173" s="162">
        <f>IFERROR(TEXT(INDEX(tk_LEAFW,MATCH(168,tk_DSEQ,0)),"0.000")&amp;" x "&amp;TEXT(INDEX(tk_LEAFH,MATCH(168,tk_DSEQ,0)),"0.000"),"")</f>
        <v/>
      </c>
      <c r="G173" s="181">
        <f>IFERROR(""&amp;INDEX(tk_DLINE,MATCH(168,tk_DSEQ,0)),"")</f>
        <v/>
      </c>
      <c r="H173" s="181">
        <f>IFERROR(""&amp;INDEX(tk_LOCTXTD,MATCH(168,tk_DSEQ,0)),"")</f>
        <v/>
      </c>
      <c r="I173" s="162">
        <f>IFERROR(""&amp;INDEX(tk_DNOTES,MATCH(168,tk_DSEQ,0)),"")</f>
        <v/>
      </c>
    </row>
    <row r="174">
      <c r="A174" s="161">
        <f>IFERROR(""&amp;INDEX(tk_MARK,MATCH(169,tk_DSEQ,0)),"")</f>
        <v/>
      </c>
      <c r="B174" s="162">
        <f>IFERROR(INDEX(tk_QTY,MATCH(169,tk_DSEQ,0)),"")</f>
        <v/>
      </c>
      <c r="C174" s="162">
        <f>IFERROR(INDEX(tk_ROOMF,MATCH(169,tk_DSEQ,0))&amp;IF(INDEX(tk_ROOMT,MATCH(169,tk_DSEQ,0))="",""," → "&amp;INDEX(tk_ROOMT,MATCH(169,tk_DSEQ,0))),"")</f>
        <v/>
      </c>
      <c r="D174" s="162">
        <f>IFERROR(INDEX(tk_LEAVES,MATCH(169,tk_DSEQ,0)),"")</f>
        <v/>
      </c>
      <c r="E174" s="162">
        <f>IFERROR(""&amp;INDEX(tk_RATING,MATCH(169,tk_DSEQ,0)),"")</f>
        <v/>
      </c>
      <c r="F174" s="162">
        <f>IFERROR(TEXT(INDEX(tk_LEAFW,MATCH(169,tk_DSEQ,0)),"0.000")&amp;" x "&amp;TEXT(INDEX(tk_LEAFH,MATCH(169,tk_DSEQ,0)),"0.000"),"")</f>
        <v/>
      </c>
      <c r="G174" s="181">
        <f>IFERROR(""&amp;INDEX(tk_DLINE,MATCH(169,tk_DSEQ,0)),"")</f>
        <v/>
      </c>
      <c r="H174" s="181">
        <f>IFERROR(""&amp;INDEX(tk_LOCTXTD,MATCH(169,tk_DSEQ,0)),"")</f>
        <v/>
      </c>
      <c r="I174" s="162">
        <f>IFERROR(""&amp;INDEX(tk_DNOTES,MATCH(169,tk_DSEQ,0)),"")</f>
        <v/>
      </c>
    </row>
    <row r="175">
      <c r="A175" s="161">
        <f>IFERROR(""&amp;INDEX(tk_MARK,MATCH(170,tk_DSEQ,0)),"")</f>
        <v/>
      </c>
      <c r="B175" s="162">
        <f>IFERROR(INDEX(tk_QTY,MATCH(170,tk_DSEQ,0)),"")</f>
        <v/>
      </c>
      <c r="C175" s="162">
        <f>IFERROR(INDEX(tk_ROOMF,MATCH(170,tk_DSEQ,0))&amp;IF(INDEX(tk_ROOMT,MATCH(170,tk_DSEQ,0))="",""," → "&amp;INDEX(tk_ROOMT,MATCH(170,tk_DSEQ,0))),"")</f>
        <v/>
      </c>
      <c r="D175" s="162">
        <f>IFERROR(INDEX(tk_LEAVES,MATCH(170,tk_DSEQ,0)),"")</f>
        <v/>
      </c>
      <c r="E175" s="162">
        <f>IFERROR(""&amp;INDEX(tk_RATING,MATCH(170,tk_DSEQ,0)),"")</f>
        <v/>
      </c>
      <c r="F175" s="162">
        <f>IFERROR(TEXT(INDEX(tk_LEAFW,MATCH(170,tk_DSEQ,0)),"0.000")&amp;" x "&amp;TEXT(INDEX(tk_LEAFH,MATCH(170,tk_DSEQ,0)),"0.000"),"")</f>
        <v/>
      </c>
      <c r="G175" s="181">
        <f>IFERROR(""&amp;INDEX(tk_DLINE,MATCH(170,tk_DSEQ,0)),"")</f>
        <v/>
      </c>
      <c r="H175" s="181">
        <f>IFERROR(""&amp;INDEX(tk_LOCTXTD,MATCH(170,tk_DSEQ,0)),"")</f>
        <v/>
      </c>
      <c r="I175" s="162">
        <f>IFERROR(""&amp;INDEX(tk_DNOTES,MATCH(170,tk_DSEQ,0)),"")</f>
        <v/>
      </c>
    </row>
    <row r="176">
      <c r="A176" s="161">
        <f>IFERROR(""&amp;INDEX(tk_MARK,MATCH(171,tk_DSEQ,0)),"")</f>
        <v/>
      </c>
      <c r="B176" s="162">
        <f>IFERROR(INDEX(tk_QTY,MATCH(171,tk_DSEQ,0)),"")</f>
        <v/>
      </c>
      <c r="C176" s="162">
        <f>IFERROR(INDEX(tk_ROOMF,MATCH(171,tk_DSEQ,0))&amp;IF(INDEX(tk_ROOMT,MATCH(171,tk_DSEQ,0))="",""," → "&amp;INDEX(tk_ROOMT,MATCH(171,tk_DSEQ,0))),"")</f>
        <v/>
      </c>
      <c r="D176" s="162">
        <f>IFERROR(INDEX(tk_LEAVES,MATCH(171,tk_DSEQ,0)),"")</f>
        <v/>
      </c>
      <c r="E176" s="162">
        <f>IFERROR(""&amp;INDEX(tk_RATING,MATCH(171,tk_DSEQ,0)),"")</f>
        <v/>
      </c>
      <c r="F176" s="162">
        <f>IFERROR(TEXT(INDEX(tk_LEAFW,MATCH(171,tk_DSEQ,0)),"0.000")&amp;" x "&amp;TEXT(INDEX(tk_LEAFH,MATCH(171,tk_DSEQ,0)),"0.000"),"")</f>
        <v/>
      </c>
      <c r="G176" s="181">
        <f>IFERROR(""&amp;INDEX(tk_DLINE,MATCH(171,tk_DSEQ,0)),"")</f>
        <v/>
      </c>
      <c r="H176" s="181">
        <f>IFERROR(""&amp;INDEX(tk_LOCTXTD,MATCH(171,tk_DSEQ,0)),"")</f>
        <v/>
      </c>
      <c r="I176" s="162">
        <f>IFERROR(""&amp;INDEX(tk_DNOTES,MATCH(171,tk_DSEQ,0)),"")</f>
        <v/>
      </c>
    </row>
    <row r="177">
      <c r="A177" s="161">
        <f>IFERROR(""&amp;INDEX(tk_MARK,MATCH(172,tk_DSEQ,0)),"")</f>
        <v/>
      </c>
      <c r="B177" s="162">
        <f>IFERROR(INDEX(tk_QTY,MATCH(172,tk_DSEQ,0)),"")</f>
        <v/>
      </c>
      <c r="C177" s="162">
        <f>IFERROR(INDEX(tk_ROOMF,MATCH(172,tk_DSEQ,0))&amp;IF(INDEX(tk_ROOMT,MATCH(172,tk_DSEQ,0))="",""," → "&amp;INDEX(tk_ROOMT,MATCH(172,tk_DSEQ,0))),"")</f>
        <v/>
      </c>
      <c r="D177" s="162">
        <f>IFERROR(INDEX(tk_LEAVES,MATCH(172,tk_DSEQ,0)),"")</f>
        <v/>
      </c>
      <c r="E177" s="162">
        <f>IFERROR(""&amp;INDEX(tk_RATING,MATCH(172,tk_DSEQ,0)),"")</f>
        <v/>
      </c>
      <c r="F177" s="162">
        <f>IFERROR(TEXT(INDEX(tk_LEAFW,MATCH(172,tk_DSEQ,0)),"0.000")&amp;" x "&amp;TEXT(INDEX(tk_LEAFH,MATCH(172,tk_DSEQ,0)),"0.000"),"")</f>
        <v/>
      </c>
      <c r="G177" s="181">
        <f>IFERROR(""&amp;INDEX(tk_DLINE,MATCH(172,tk_DSEQ,0)),"")</f>
        <v/>
      </c>
      <c r="H177" s="181">
        <f>IFERROR(""&amp;INDEX(tk_LOCTXTD,MATCH(172,tk_DSEQ,0)),"")</f>
        <v/>
      </c>
      <c r="I177" s="162">
        <f>IFERROR(""&amp;INDEX(tk_DNOTES,MATCH(172,tk_DSEQ,0)),"")</f>
        <v/>
      </c>
    </row>
    <row r="178">
      <c r="A178" s="161">
        <f>IFERROR(""&amp;INDEX(tk_MARK,MATCH(173,tk_DSEQ,0)),"")</f>
        <v/>
      </c>
      <c r="B178" s="162">
        <f>IFERROR(INDEX(tk_QTY,MATCH(173,tk_DSEQ,0)),"")</f>
        <v/>
      </c>
      <c r="C178" s="162">
        <f>IFERROR(INDEX(tk_ROOMF,MATCH(173,tk_DSEQ,0))&amp;IF(INDEX(tk_ROOMT,MATCH(173,tk_DSEQ,0))="",""," → "&amp;INDEX(tk_ROOMT,MATCH(173,tk_DSEQ,0))),"")</f>
        <v/>
      </c>
      <c r="D178" s="162">
        <f>IFERROR(INDEX(tk_LEAVES,MATCH(173,tk_DSEQ,0)),"")</f>
        <v/>
      </c>
      <c r="E178" s="162">
        <f>IFERROR(""&amp;INDEX(tk_RATING,MATCH(173,tk_DSEQ,0)),"")</f>
        <v/>
      </c>
      <c r="F178" s="162">
        <f>IFERROR(TEXT(INDEX(tk_LEAFW,MATCH(173,tk_DSEQ,0)),"0.000")&amp;" x "&amp;TEXT(INDEX(tk_LEAFH,MATCH(173,tk_DSEQ,0)),"0.000"),"")</f>
        <v/>
      </c>
      <c r="G178" s="181">
        <f>IFERROR(""&amp;INDEX(tk_DLINE,MATCH(173,tk_DSEQ,0)),"")</f>
        <v/>
      </c>
      <c r="H178" s="181">
        <f>IFERROR(""&amp;INDEX(tk_LOCTXTD,MATCH(173,tk_DSEQ,0)),"")</f>
        <v/>
      </c>
      <c r="I178" s="162">
        <f>IFERROR(""&amp;INDEX(tk_DNOTES,MATCH(173,tk_DSEQ,0)),"")</f>
        <v/>
      </c>
    </row>
    <row r="179">
      <c r="A179" s="161">
        <f>IFERROR(""&amp;INDEX(tk_MARK,MATCH(174,tk_DSEQ,0)),"")</f>
        <v/>
      </c>
      <c r="B179" s="162">
        <f>IFERROR(INDEX(tk_QTY,MATCH(174,tk_DSEQ,0)),"")</f>
        <v/>
      </c>
      <c r="C179" s="162">
        <f>IFERROR(INDEX(tk_ROOMF,MATCH(174,tk_DSEQ,0))&amp;IF(INDEX(tk_ROOMT,MATCH(174,tk_DSEQ,0))="",""," → "&amp;INDEX(tk_ROOMT,MATCH(174,tk_DSEQ,0))),"")</f>
        <v/>
      </c>
      <c r="D179" s="162">
        <f>IFERROR(INDEX(tk_LEAVES,MATCH(174,tk_DSEQ,0)),"")</f>
        <v/>
      </c>
      <c r="E179" s="162">
        <f>IFERROR(""&amp;INDEX(tk_RATING,MATCH(174,tk_DSEQ,0)),"")</f>
        <v/>
      </c>
      <c r="F179" s="162">
        <f>IFERROR(TEXT(INDEX(tk_LEAFW,MATCH(174,tk_DSEQ,0)),"0.000")&amp;" x "&amp;TEXT(INDEX(tk_LEAFH,MATCH(174,tk_DSEQ,0)),"0.000"),"")</f>
        <v/>
      </c>
      <c r="G179" s="181">
        <f>IFERROR(""&amp;INDEX(tk_DLINE,MATCH(174,tk_DSEQ,0)),"")</f>
        <v/>
      </c>
      <c r="H179" s="181">
        <f>IFERROR(""&amp;INDEX(tk_LOCTXTD,MATCH(174,tk_DSEQ,0)),"")</f>
        <v/>
      </c>
      <c r="I179" s="162">
        <f>IFERROR(""&amp;INDEX(tk_DNOTES,MATCH(174,tk_DSEQ,0)),"")</f>
        <v/>
      </c>
    </row>
    <row r="180">
      <c r="A180" s="161">
        <f>IFERROR(""&amp;INDEX(tk_MARK,MATCH(175,tk_DSEQ,0)),"")</f>
        <v/>
      </c>
      <c r="B180" s="162">
        <f>IFERROR(INDEX(tk_QTY,MATCH(175,tk_DSEQ,0)),"")</f>
        <v/>
      </c>
      <c r="C180" s="162">
        <f>IFERROR(INDEX(tk_ROOMF,MATCH(175,tk_DSEQ,0))&amp;IF(INDEX(tk_ROOMT,MATCH(175,tk_DSEQ,0))="",""," → "&amp;INDEX(tk_ROOMT,MATCH(175,tk_DSEQ,0))),"")</f>
        <v/>
      </c>
      <c r="D180" s="162">
        <f>IFERROR(INDEX(tk_LEAVES,MATCH(175,tk_DSEQ,0)),"")</f>
        <v/>
      </c>
      <c r="E180" s="162">
        <f>IFERROR(""&amp;INDEX(tk_RATING,MATCH(175,tk_DSEQ,0)),"")</f>
        <v/>
      </c>
      <c r="F180" s="162">
        <f>IFERROR(TEXT(INDEX(tk_LEAFW,MATCH(175,tk_DSEQ,0)),"0.000")&amp;" x "&amp;TEXT(INDEX(tk_LEAFH,MATCH(175,tk_DSEQ,0)),"0.000"),"")</f>
        <v/>
      </c>
      <c r="G180" s="181">
        <f>IFERROR(""&amp;INDEX(tk_DLINE,MATCH(175,tk_DSEQ,0)),"")</f>
        <v/>
      </c>
      <c r="H180" s="181">
        <f>IFERROR(""&amp;INDEX(tk_LOCTXTD,MATCH(175,tk_DSEQ,0)),"")</f>
        <v/>
      </c>
      <c r="I180" s="162">
        <f>IFERROR(""&amp;INDEX(tk_DNOTES,MATCH(175,tk_DSEQ,0)),"")</f>
        <v/>
      </c>
    </row>
    <row r="181">
      <c r="A181" s="161">
        <f>IFERROR(""&amp;INDEX(tk_MARK,MATCH(176,tk_DSEQ,0)),"")</f>
        <v/>
      </c>
      <c r="B181" s="162">
        <f>IFERROR(INDEX(tk_QTY,MATCH(176,tk_DSEQ,0)),"")</f>
        <v/>
      </c>
      <c r="C181" s="162">
        <f>IFERROR(INDEX(tk_ROOMF,MATCH(176,tk_DSEQ,0))&amp;IF(INDEX(tk_ROOMT,MATCH(176,tk_DSEQ,0))="",""," → "&amp;INDEX(tk_ROOMT,MATCH(176,tk_DSEQ,0))),"")</f>
        <v/>
      </c>
      <c r="D181" s="162">
        <f>IFERROR(INDEX(tk_LEAVES,MATCH(176,tk_DSEQ,0)),"")</f>
        <v/>
      </c>
      <c r="E181" s="162">
        <f>IFERROR(""&amp;INDEX(tk_RATING,MATCH(176,tk_DSEQ,0)),"")</f>
        <v/>
      </c>
      <c r="F181" s="162">
        <f>IFERROR(TEXT(INDEX(tk_LEAFW,MATCH(176,tk_DSEQ,0)),"0.000")&amp;" x "&amp;TEXT(INDEX(tk_LEAFH,MATCH(176,tk_DSEQ,0)),"0.000"),"")</f>
        <v/>
      </c>
      <c r="G181" s="181">
        <f>IFERROR(""&amp;INDEX(tk_DLINE,MATCH(176,tk_DSEQ,0)),"")</f>
        <v/>
      </c>
      <c r="H181" s="181">
        <f>IFERROR(""&amp;INDEX(tk_LOCTXTD,MATCH(176,tk_DSEQ,0)),"")</f>
        <v/>
      </c>
      <c r="I181" s="162">
        <f>IFERROR(""&amp;INDEX(tk_DNOTES,MATCH(176,tk_DSEQ,0)),"")</f>
        <v/>
      </c>
    </row>
    <row r="182">
      <c r="A182" s="161">
        <f>IFERROR(""&amp;INDEX(tk_MARK,MATCH(177,tk_DSEQ,0)),"")</f>
        <v/>
      </c>
      <c r="B182" s="162">
        <f>IFERROR(INDEX(tk_QTY,MATCH(177,tk_DSEQ,0)),"")</f>
        <v/>
      </c>
      <c r="C182" s="162">
        <f>IFERROR(INDEX(tk_ROOMF,MATCH(177,tk_DSEQ,0))&amp;IF(INDEX(tk_ROOMT,MATCH(177,tk_DSEQ,0))="",""," → "&amp;INDEX(tk_ROOMT,MATCH(177,tk_DSEQ,0))),"")</f>
        <v/>
      </c>
      <c r="D182" s="162">
        <f>IFERROR(INDEX(tk_LEAVES,MATCH(177,tk_DSEQ,0)),"")</f>
        <v/>
      </c>
      <c r="E182" s="162">
        <f>IFERROR(""&amp;INDEX(tk_RATING,MATCH(177,tk_DSEQ,0)),"")</f>
        <v/>
      </c>
      <c r="F182" s="162">
        <f>IFERROR(TEXT(INDEX(tk_LEAFW,MATCH(177,tk_DSEQ,0)),"0.000")&amp;" x "&amp;TEXT(INDEX(tk_LEAFH,MATCH(177,tk_DSEQ,0)),"0.000"),"")</f>
        <v/>
      </c>
      <c r="G182" s="181">
        <f>IFERROR(""&amp;INDEX(tk_DLINE,MATCH(177,tk_DSEQ,0)),"")</f>
        <v/>
      </c>
      <c r="H182" s="181">
        <f>IFERROR(""&amp;INDEX(tk_LOCTXTD,MATCH(177,tk_DSEQ,0)),"")</f>
        <v/>
      </c>
      <c r="I182" s="162">
        <f>IFERROR(""&amp;INDEX(tk_DNOTES,MATCH(177,tk_DSEQ,0)),"")</f>
        <v/>
      </c>
    </row>
    <row r="183">
      <c r="A183" s="161">
        <f>IFERROR(""&amp;INDEX(tk_MARK,MATCH(178,tk_DSEQ,0)),"")</f>
        <v/>
      </c>
      <c r="B183" s="162">
        <f>IFERROR(INDEX(tk_QTY,MATCH(178,tk_DSEQ,0)),"")</f>
        <v/>
      </c>
      <c r="C183" s="162">
        <f>IFERROR(INDEX(tk_ROOMF,MATCH(178,tk_DSEQ,0))&amp;IF(INDEX(tk_ROOMT,MATCH(178,tk_DSEQ,0))="",""," → "&amp;INDEX(tk_ROOMT,MATCH(178,tk_DSEQ,0))),"")</f>
        <v/>
      </c>
      <c r="D183" s="162">
        <f>IFERROR(INDEX(tk_LEAVES,MATCH(178,tk_DSEQ,0)),"")</f>
        <v/>
      </c>
      <c r="E183" s="162">
        <f>IFERROR(""&amp;INDEX(tk_RATING,MATCH(178,tk_DSEQ,0)),"")</f>
        <v/>
      </c>
      <c r="F183" s="162">
        <f>IFERROR(TEXT(INDEX(tk_LEAFW,MATCH(178,tk_DSEQ,0)),"0.000")&amp;" x "&amp;TEXT(INDEX(tk_LEAFH,MATCH(178,tk_DSEQ,0)),"0.000"),"")</f>
        <v/>
      </c>
      <c r="G183" s="181">
        <f>IFERROR(""&amp;INDEX(tk_DLINE,MATCH(178,tk_DSEQ,0)),"")</f>
        <v/>
      </c>
      <c r="H183" s="181">
        <f>IFERROR(""&amp;INDEX(tk_LOCTXTD,MATCH(178,tk_DSEQ,0)),"")</f>
        <v/>
      </c>
      <c r="I183" s="162">
        <f>IFERROR(""&amp;INDEX(tk_DNOTES,MATCH(178,tk_DSEQ,0)),"")</f>
        <v/>
      </c>
    </row>
    <row r="184">
      <c r="A184" s="161">
        <f>IFERROR(""&amp;INDEX(tk_MARK,MATCH(179,tk_DSEQ,0)),"")</f>
        <v/>
      </c>
      <c r="B184" s="162">
        <f>IFERROR(INDEX(tk_QTY,MATCH(179,tk_DSEQ,0)),"")</f>
        <v/>
      </c>
      <c r="C184" s="162">
        <f>IFERROR(INDEX(tk_ROOMF,MATCH(179,tk_DSEQ,0))&amp;IF(INDEX(tk_ROOMT,MATCH(179,tk_DSEQ,0))="",""," → "&amp;INDEX(tk_ROOMT,MATCH(179,tk_DSEQ,0))),"")</f>
        <v/>
      </c>
      <c r="D184" s="162">
        <f>IFERROR(INDEX(tk_LEAVES,MATCH(179,tk_DSEQ,0)),"")</f>
        <v/>
      </c>
      <c r="E184" s="162">
        <f>IFERROR(""&amp;INDEX(tk_RATING,MATCH(179,tk_DSEQ,0)),"")</f>
        <v/>
      </c>
      <c r="F184" s="162">
        <f>IFERROR(TEXT(INDEX(tk_LEAFW,MATCH(179,tk_DSEQ,0)),"0.000")&amp;" x "&amp;TEXT(INDEX(tk_LEAFH,MATCH(179,tk_DSEQ,0)),"0.000"),"")</f>
        <v/>
      </c>
      <c r="G184" s="181">
        <f>IFERROR(""&amp;INDEX(tk_DLINE,MATCH(179,tk_DSEQ,0)),"")</f>
        <v/>
      </c>
      <c r="H184" s="181">
        <f>IFERROR(""&amp;INDEX(tk_LOCTXTD,MATCH(179,tk_DSEQ,0)),"")</f>
        <v/>
      </c>
      <c r="I184" s="162">
        <f>IFERROR(""&amp;INDEX(tk_DNOTES,MATCH(179,tk_DSEQ,0)),"")</f>
        <v/>
      </c>
    </row>
    <row r="185">
      <c r="A185" s="161">
        <f>IFERROR(""&amp;INDEX(tk_MARK,MATCH(180,tk_DSEQ,0)),"")</f>
        <v/>
      </c>
      <c r="B185" s="162">
        <f>IFERROR(INDEX(tk_QTY,MATCH(180,tk_DSEQ,0)),"")</f>
        <v/>
      </c>
      <c r="C185" s="162">
        <f>IFERROR(INDEX(tk_ROOMF,MATCH(180,tk_DSEQ,0))&amp;IF(INDEX(tk_ROOMT,MATCH(180,tk_DSEQ,0))="",""," → "&amp;INDEX(tk_ROOMT,MATCH(180,tk_DSEQ,0))),"")</f>
        <v/>
      </c>
      <c r="D185" s="162">
        <f>IFERROR(INDEX(tk_LEAVES,MATCH(180,tk_DSEQ,0)),"")</f>
        <v/>
      </c>
      <c r="E185" s="162">
        <f>IFERROR(""&amp;INDEX(tk_RATING,MATCH(180,tk_DSEQ,0)),"")</f>
        <v/>
      </c>
      <c r="F185" s="162">
        <f>IFERROR(TEXT(INDEX(tk_LEAFW,MATCH(180,tk_DSEQ,0)),"0.000")&amp;" x "&amp;TEXT(INDEX(tk_LEAFH,MATCH(180,tk_DSEQ,0)),"0.000"),"")</f>
        <v/>
      </c>
      <c r="G185" s="181">
        <f>IFERROR(""&amp;INDEX(tk_DLINE,MATCH(180,tk_DSEQ,0)),"")</f>
        <v/>
      </c>
      <c r="H185" s="181">
        <f>IFERROR(""&amp;INDEX(tk_LOCTXTD,MATCH(180,tk_DSEQ,0)),"")</f>
        <v/>
      </c>
      <c r="I185" s="162">
        <f>IFERROR(""&amp;INDEX(tk_DNOTES,MATCH(180,tk_DSEQ,0)),"")</f>
        <v/>
      </c>
    </row>
    <row r="186">
      <c r="A186" s="161">
        <f>IFERROR(""&amp;INDEX(tk_MARK,MATCH(181,tk_DSEQ,0)),"")</f>
        <v/>
      </c>
      <c r="B186" s="162">
        <f>IFERROR(INDEX(tk_QTY,MATCH(181,tk_DSEQ,0)),"")</f>
        <v/>
      </c>
      <c r="C186" s="162">
        <f>IFERROR(INDEX(tk_ROOMF,MATCH(181,tk_DSEQ,0))&amp;IF(INDEX(tk_ROOMT,MATCH(181,tk_DSEQ,0))="",""," → "&amp;INDEX(tk_ROOMT,MATCH(181,tk_DSEQ,0))),"")</f>
        <v/>
      </c>
      <c r="D186" s="162">
        <f>IFERROR(INDEX(tk_LEAVES,MATCH(181,tk_DSEQ,0)),"")</f>
        <v/>
      </c>
      <c r="E186" s="162">
        <f>IFERROR(""&amp;INDEX(tk_RATING,MATCH(181,tk_DSEQ,0)),"")</f>
        <v/>
      </c>
      <c r="F186" s="162">
        <f>IFERROR(TEXT(INDEX(tk_LEAFW,MATCH(181,tk_DSEQ,0)),"0.000")&amp;" x "&amp;TEXT(INDEX(tk_LEAFH,MATCH(181,tk_DSEQ,0)),"0.000"),"")</f>
        <v/>
      </c>
      <c r="G186" s="181">
        <f>IFERROR(""&amp;INDEX(tk_DLINE,MATCH(181,tk_DSEQ,0)),"")</f>
        <v/>
      </c>
      <c r="H186" s="181">
        <f>IFERROR(""&amp;INDEX(tk_LOCTXTD,MATCH(181,tk_DSEQ,0)),"")</f>
        <v/>
      </c>
      <c r="I186" s="162">
        <f>IFERROR(""&amp;INDEX(tk_DNOTES,MATCH(181,tk_DSEQ,0)),"")</f>
        <v/>
      </c>
    </row>
    <row r="187">
      <c r="A187" s="161">
        <f>IFERROR(""&amp;INDEX(tk_MARK,MATCH(182,tk_DSEQ,0)),"")</f>
        <v/>
      </c>
      <c r="B187" s="162">
        <f>IFERROR(INDEX(tk_QTY,MATCH(182,tk_DSEQ,0)),"")</f>
        <v/>
      </c>
      <c r="C187" s="162">
        <f>IFERROR(INDEX(tk_ROOMF,MATCH(182,tk_DSEQ,0))&amp;IF(INDEX(tk_ROOMT,MATCH(182,tk_DSEQ,0))="",""," → "&amp;INDEX(tk_ROOMT,MATCH(182,tk_DSEQ,0))),"")</f>
        <v/>
      </c>
      <c r="D187" s="162">
        <f>IFERROR(INDEX(tk_LEAVES,MATCH(182,tk_DSEQ,0)),"")</f>
        <v/>
      </c>
      <c r="E187" s="162">
        <f>IFERROR(""&amp;INDEX(tk_RATING,MATCH(182,tk_DSEQ,0)),"")</f>
        <v/>
      </c>
      <c r="F187" s="162">
        <f>IFERROR(TEXT(INDEX(tk_LEAFW,MATCH(182,tk_DSEQ,0)),"0.000")&amp;" x "&amp;TEXT(INDEX(tk_LEAFH,MATCH(182,tk_DSEQ,0)),"0.000"),"")</f>
        <v/>
      </c>
      <c r="G187" s="181">
        <f>IFERROR(""&amp;INDEX(tk_DLINE,MATCH(182,tk_DSEQ,0)),"")</f>
        <v/>
      </c>
      <c r="H187" s="181">
        <f>IFERROR(""&amp;INDEX(tk_LOCTXTD,MATCH(182,tk_DSEQ,0)),"")</f>
        <v/>
      </c>
      <c r="I187" s="162">
        <f>IFERROR(""&amp;INDEX(tk_DNOTES,MATCH(182,tk_DSEQ,0)),"")</f>
        <v/>
      </c>
    </row>
    <row r="188">
      <c r="A188" s="161">
        <f>IFERROR(""&amp;INDEX(tk_MARK,MATCH(183,tk_DSEQ,0)),"")</f>
        <v/>
      </c>
      <c r="B188" s="162">
        <f>IFERROR(INDEX(tk_QTY,MATCH(183,tk_DSEQ,0)),"")</f>
        <v/>
      </c>
      <c r="C188" s="162">
        <f>IFERROR(INDEX(tk_ROOMF,MATCH(183,tk_DSEQ,0))&amp;IF(INDEX(tk_ROOMT,MATCH(183,tk_DSEQ,0))="",""," → "&amp;INDEX(tk_ROOMT,MATCH(183,tk_DSEQ,0))),"")</f>
        <v/>
      </c>
      <c r="D188" s="162">
        <f>IFERROR(INDEX(tk_LEAVES,MATCH(183,tk_DSEQ,0)),"")</f>
        <v/>
      </c>
      <c r="E188" s="162">
        <f>IFERROR(""&amp;INDEX(tk_RATING,MATCH(183,tk_DSEQ,0)),"")</f>
        <v/>
      </c>
      <c r="F188" s="162">
        <f>IFERROR(TEXT(INDEX(tk_LEAFW,MATCH(183,tk_DSEQ,0)),"0.000")&amp;" x "&amp;TEXT(INDEX(tk_LEAFH,MATCH(183,tk_DSEQ,0)),"0.000"),"")</f>
        <v/>
      </c>
      <c r="G188" s="181">
        <f>IFERROR(""&amp;INDEX(tk_DLINE,MATCH(183,tk_DSEQ,0)),"")</f>
        <v/>
      </c>
      <c r="H188" s="181">
        <f>IFERROR(""&amp;INDEX(tk_LOCTXTD,MATCH(183,tk_DSEQ,0)),"")</f>
        <v/>
      </c>
      <c r="I188" s="162">
        <f>IFERROR(""&amp;INDEX(tk_DNOTES,MATCH(183,tk_DSEQ,0)),"")</f>
        <v/>
      </c>
    </row>
    <row r="189">
      <c r="A189" s="161">
        <f>IFERROR(""&amp;INDEX(tk_MARK,MATCH(184,tk_DSEQ,0)),"")</f>
        <v/>
      </c>
      <c r="B189" s="162">
        <f>IFERROR(INDEX(tk_QTY,MATCH(184,tk_DSEQ,0)),"")</f>
        <v/>
      </c>
      <c r="C189" s="162">
        <f>IFERROR(INDEX(tk_ROOMF,MATCH(184,tk_DSEQ,0))&amp;IF(INDEX(tk_ROOMT,MATCH(184,tk_DSEQ,0))="",""," → "&amp;INDEX(tk_ROOMT,MATCH(184,tk_DSEQ,0))),"")</f>
        <v/>
      </c>
      <c r="D189" s="162">
        <f>IFERROR(INDEX(tk_LEAVES,MATCH(184,tk_DSEQ,0)),"")</f>
        <v/>
      </c>
      <c r="E189" s="162">
        <f>IFERROR(""&amp;INDEX(tk_RATING,MATCH(184,tk_DSEQ,0)),"")</f>
        <v/>
      </c>
      <c r="F189" s="162">
        <f>IFERROR(TEXT(INDEX(tk_LEAFW,MATCH(184,tk_DSEQ,0)),"0.000")&amp;" x "&amp;TEXT(INDEX(tk_LEAFH,MATCH(184,tk_DSEQ,0)),"0.000"),"")</f>
        <v/>
      </c>
      <c r="G189" s="181">
        <f>IFERROR(""&amp;INDEX(tk_DLINE,MATCH(184,tk_DSEQ,0)),"")</f>
        <v/>
      </c>
      <c r="H189" s="181">
        <f>IFERROR(""&amp;INDEX(tk_LOCTXTD,MATCH(184,tk_DSEQ,0)),"")</f>
        <v/>
      </c>
      <c r="I189" s="162">
        <f>IFERROR(""&amp;INDEX(tk_DNOTES,MATCH(184,tk_DSEQ,0)),"")</f>
        <v/>
      </c>
    </row>
    <row r="190">
      <c r="A190" s="161">
        <f>IFERROR(""&amp;INDEX(tk_MARK,MATCH(185,tk_DSEQ,0)),"")</f>
        <v/>
      </c>
      <c r="B190" s="162">
        <f>IFERROR(INDEX(tk_QTY,MATCH(185,tk_DSEQ,0)),"")</f>
        <v/>
      </c>
      <c r="C190" s="162">
        <f>IFERROR(INDEX(tk_ROOMF,MATCH(185,tk_DSEQ,0))&amp;IF(INDEX(tk_ROOMT,MATCH(185,tk_DSEQ,0))="",""," → "&amp;INDEX(tk_ROOMT,MATCH(185,tk_DSEQ,0))),"")</f>
        <v/>
      </c>
      <c r="D190" s="162">
        <f>IFERROR(INDEX(tk_LEAVES,MATCH(185,tk_DSEQ,0)),"")</f>
        <v/>
      </c>
      <c r="E190" s="162">
        <f>IFERROR(""&amp;INDEX(tk_RATING,MATCH(185,tk_DSEQ,0)),"")</f>
        <v/>
      </c>
      <c r="F190" s="162">
        <f>IFERROR(TEXT(INDEX(tk_LEAFW,MATCH(185,tk_DSEQ,0)),"0.000")&amp;" x "&amp;TEXT(INDEX(tk_LEAFH,MATCH(185,tk_DSEQ,0)),"0.000"),"")</f>
        <v/>
      </c>
      <c r="G190" s="181">
        <f>IFERROR(""&amp;INDEX(tk_DLINE,MATCH(185,tk_DSEQ,0)),"")</f>
        <v/>
      </c>
      <c r="H190" s="181">
        <f>IFERROR(""&amp;INDEX(tk_LOCTXTD,MATCH(185,tk_DSEQ,0)),"")</f>
        <v/>
      </c>
      <c r="I190" s="162">
        <f>IFERROR(""&amp;INDEX(tk_DNOTES,MATCH(185,tk_DSEQ,0)),"")</f>
        <v/>
      </c>
    </row>
    <row r="191">
      <c r="A191" s="161">
        <f>IFERROR(""&amp;INDEX(tk_MARK,MATCH(186,tk_DSEQ,0)),"")</f>
        <v/>
      </c>
      <c r="B191" s="162">
        <f>IFERROR(INDEX(tk_QTY,MATCH(186,tk_DSEQ,0)),"")</f>
        <v/>
      </c>
      <c r="C191" s="162">
        <f>IFERROR(INDEX(tk_ROOMF,MATCH(186,tk_DSEQ,0))&amp;IF(INDEX(tk_ROOMT,MATCH(186,tk_DSEQ,0))="",""," → "&amp;INDEX(tk_ROOMT,MATCH(186,tk_DSEQ,0))),"")</f>
        <v/>
      </c>
      <c r="D191" s="162">
        <f>IFERROR(INDEX(tk_LEAVES,MATCH(186,tk_DSEQ,0)),"")</f>
        <v/>
      </c>
      <c r="E191" s="162">
        <f>IFERROR(""&amp;INDEX(tk_RATING,MATCH(186,tk_DSEQ,0)),"")</f>
        <v/>
      </c>
      <c r="F191" s="162">
        <f>IFERROR(TEXT(INDEX(tk_LEAFW,MATCH(186,tk_DSEQ,0)),"0.000")&amp;" x "&amp;TEXT(INDEX(tk_LEAFH,MATCH(186,tk_DSEQ,0)),"0.000"),"")</f>
        <v/>
      </c>
      <c r="G191" s="181">
        <f>IFERROR(""&amp;INDEX(tk_DLINE,MATCH(186,tk_DSEQ,0)),"")</f>
        <v/>
      </c>
      <c r="H191" s="181">
        <f>IFERROR(""&amp;INDEX(tk_LOCTXTD,MATCH(186,tk_DSEQ,0)),"")</f>
        <v/>
      </c>
      <c r="I191" s="162">
        <f>IFERROR(""&amp;INDEX(tk_DNOTES,MATCH(186,tk_DSEQ,0)),"")</f>
        <v/>
      </c>
    </row>
    <row r="192">
      <c r="A192" s="161">
        <f>IFERROR(""&amp;INDEX(tk_MARK,MATCH(187,tk_DSEQ,0)),"")</f>
        <v/>
      </c>
      <c r="B192" s="162">
        <f>IFERROR(INDEX(tk_QTY,MATCH(187,tk_DSEQ,0)),"")</f>
        <v/>
      </c>
      <c r="C192" s="162">
        <f>IFERROR(INDEX(tk_ROOMF,MATCH(187,tk_DSEQ,0))&amp;IF(INDEX(tk_ROOMT,MATCH(187,tk_DSEQ,0))="",""," → "&amp;INDEX(tk_ROOMT,MATCH(187,tk_DSEQ,0))),"")</f>
        <v/>
      </c>
      <c r="D192" s="162">
        <f>IFERROR(INDEX(tk_LEAVES,MATCH(187,tk_DSEQ,0)),"")</f>
        <v/>
      </c>
      <c r="E192" s="162">
        <f>IFERROR(""&amp;INDEX(tk_RATING,MATCH(187,tk_DSEQ,0)),"")</f>
        <v/>
      </c>
      <c r="F192" s="162">
        <f>IFERROR(TEXT(INDEX(tk_LEAFW,MATCH(187,tk_DSEQ,0)),"0.000")&amp;" x "&amp;TEXT(INDEX(tk_LEAFH,MATCH(187,tk_DSEQ,0)),"0.000"),"")</f>
        <v/>
      </c>
      <c r="G192" s="181">
        <f>IFERROR(""&amp;INDEX(tk_DLINE,MATCH(187,tk_DSEQ,0)),"")</f>
        <v/>
      </c>
      <c r="H192" s="181">
        <f>IFERROR(""&amp;INDEX(tk_LOCTXTD,MATCH(187,tk_DSEQ,0)),"")</f>
        <v/>
      </c>
      <c r="I192" s="162">
        <f>IFERROR(""&amp;INDEX(tk_DNOTES,MATCH(187,tk_DSEQ,0)),"")</f>
        <v/>
      </c>
    </row>
    <row r="193">
      <c r="A193" s="161">
        <f>IFERROR(""&amp;INDEX(tk_MARK,MATCH(188,tk_DSEQ,0)),"")</f>
        <v/>
      </c>
      <c r="B193" s="162">
        <f>IFERROR(INDEX(tk_QTY,MATCH(188,tk_DSEQ,0)),"")</f>
        <v/>
      </c>
      <c r="C193" s="162">
        <f>IFERROR(INDEX(tk_ROOMF,MATCH(188,tk_DSEQ,0))&amp;IF(INDEX(tk_ROOMT,MATCH(188,tk_DSEQ,0))="",""," → "&amp;INDEX(tk_ROOMT,MATCH(188,tk_DSEQ,0))),"")</f>
        <v/>
      </c>
      <c r="D193" s="162">
        <f>IFERROR(INDEX(tk_LEAVES,MATCH(188,tk_DSEQ,0)),"")</f>
        <v/>
      </c>
      <c r="E193" s="162">
        <f>IFERROR(""&amp;INDEX(tk_RATING,MATCH(188,tk_DSEQ,0)),"")</f>
        <v/>
      </c>
      <c r="F193" s="162">
        <f>IFERROR(TEXT(INDEX(tk_LEAFW,MATCH(188,tk_DSEQ,0)),"0.000")&amp;" x "&amp;TEXT(INDEX(tk_LEAFH,MATCH(188,tk_DSEQ,0)),"0.000"),"")</f>
        <v/>
      </c>
      <c r="G193" s="181">
        <f>IFERROR(""&amp;INDEX(tk_DLINE,MATCH(188,tk_DSEQ,0)),"")</f>
        <v/>
      </c>
      <c r="H193" s="181">
        <f>IFERROR(""&amp;INDEX(tk_LOCTXTD,MATCH(188,tk_DSEQ,0)),"")</f>
        <v/>
      </c>
      <c r="I193" s="162">
        <f>IFERROR(""&amp;INDEX(tk_DNOTES,MATCH(188,tk_DSEQ,0)),"")</f>
        <v/>
      </c>
    </row>
    <row r="194">
      <c r="A194" s="161">
        <f>IFERROR(""&amp;INDEX(tk_MARK,MATCH(189,tk_DSEQ,0)),"")</f>
        <v/>
      </c>
      <c r="B194" s="162">
        <f>IFERROR(INDEX(tk_QTY,MATCH(189,tk_DSEQ,0)),"")</f>
        <v/>
      </c>
      <c r="C194" s="162">
        <f>IFERROR(INDEX(tk_ROOMF,MATCH(189,tk_DSEQ,0))&amp;IF(INDEX(tk_ROOMT,MATCH(189,tk_DSEQ,0))="",""," → "&amp;INDEX(tk_ROOMT,MATCH(189,tk_DSEQ,0))),"")</f>
        <v/>
      </c>
      <c r="D194" s="162">
        <f>IFERROR(INDEX(tk_LEAVES,MATCH(189,tk_DSEQ,0)),"")</f>
        <v/>
      </c>
      <c r="E194" s="162">
        <f>IFERROR(""&amp;INDEX(tk_RATING,MATCH(189,tk_DSEQ,0)),"")</f>
        <v/>
      </c>
      <c r="F194" s="162">
        <f>IFERROR(TEXT(INDEX(tk_LEAFW,MATCH(189,tk_DSEQ,0)),"0.000")&amp;" x "&amp;TEXT(INDEX(tk_LEAFH,MATCH(189,tk_DSEQ,0)),"0.000"),"")</f>
        <v/>
      </c>
      <c r="G194" s="181">
        <f>IFERROR(""&amp;INDEX(tk_DLINE,MATCH(189,tk_DSEQ,0)),"")</f>
        <v/>
      </c>
      <c r="H194" s="181">
        <f>IFERROR(""&amp;INDEX(tk_LOCTXTD,MATCH(189,tk_DSEQ,0)),"")</f>
        <v/>
      </c>
      <c r="I194" s="162">
        <f>IFERROR(""&amp;INDEX(tk_DNOTES,MATCH(189,tk_DSEQ,0)),"")</f>
        <v/>
      </c>
    </row>
    <row r="195">
      <c r="A195" s="161">
        <f>IFERROR(""&amp;INDEX(tk_MARK,MATCH(190,tk_DSEQ,0)),"")</f>
        <v/>
      </c>
      <c r="B195" s="162">
        <f>IFERROR(INDEX(tk_QTY,MATCH(190,tk_DSEQ,0)),"")</f>
        <v/>
      </c>
      <c r="C195" s="162">
        <f>IFERROR(INDEX(tk_ROOMF,MATCH(190,tk_DSEQ,0))&amp;IF(INDEX(tk_ROOMT,MATCH(190,tk_DSEQ,0))="",""," → "&amp;INDEX(tk_ROOMT,MATCH(190,tk_DSEQ,0))),"")</f>
        <v/>
      </c>
      <c r="D195" s="162">
        <f>IFERROR(INDEX(tk_LEAVES,MATCH(190,tk_DSEQ,0)),"")</f>
        <v/>
      </c>
      <c r="E195" s="162">
        <f>IFERROR(""&amp;INDEX(tk_RATING,MATCH(190,tk_DSEQ,0)),"")</f>
        <v/>
      </c>
      <c r="F195" s="162">
        <f>IFERROR(TEXT(INDEX(tk_LEAFW,MATCH(190,tk_DSEQ,0)),"0.000")&amp;" x "&amp;TEXT(INDEX(tk_LEAFH,MATCH(190,tk_DSEQ,0)),"0.000"),"")</f>
        <v/>
      </c>
      <c r="G195" s="181">
        <f>IFERROR(""&amp;INDEX(tk_DLINE,MATCH(190,tk_DSEQ,0)),"")</f>
        <v/>
      </c>
      <c r="H195" s="181">
        <f>IFERROR(""&amp;INDEX(tk_LOCTXTD,MATCH(190,tk_DSEQ,0)),"")</f>
        <v/>
      </c>
      <c r="I195" s="162">
        <f>IFERROR(""&amp;INDEX(tk_DNOTES,MATCH(190,tk_DSEQ,0)),"")</f>
        <v/>
      </c>
    </row>
    <row r="196">
      <c r="A196" s="161">
        <f>IFERROR(""&amp;INDEX(tk_MARK,MATCH(191,tk_DSEQ,0)),"")</f>
        <v/>
      </c>
      <c r="B196" s="162">
        <f>IFERROR(INDEX(tk_QTY,MATCH(191,tk_DSEQ,0)),"")</f>
        <v/>
      </c>
      <c r="C196" s="162">
        <f>IFERROR(INDEX(tk_ROOMF,MATCH(191,tk_DSEQ,0))&amp;IF(INDEX(tk_ROOMT,MATCH(191,tk_DSEQ,0))="",""," → "&amp;INDEX(tk_ROOMT,MATCH(191,tk_DSEQ,0))),"")</f>
        <v/>
      </c>
      <c r="D196" s="162">
        <f>IFERROR(INDEX(tk_LEAVES,MATCH(191,tk_DSEQ,0)),"")</f>
        <v/>
      </c>
      <c r="E196" s="162">
        <f>IFERROR(""&amp;INDEX(tk_RATING,MATCH(191,tk_DSEQ,0)),"")</f>
        <v/>
      </c>
      <c r="F196" s="162">
        <f>IFERROR(TEXT(INDEX(tk_LEAFW,MATCH(191,tk_DSEQ,0)),"0.000")&amp;" x "&amp;TEXT(INDEX(tk_LEAFH,MATCH(191,tk_DSEQ,0)),"0.000"),"")</f>
        <v/>
      </c>
      <c r="G196" s="181">
        <f>IFERROR(""&amp;INDEX(tk_DLINE,MATCH(191,tk_DSEQ,0)),"")</f>
        <v/>
      </c>
      <c r="H196" s="181">
        <f>IFERROR(""&amp;INDEX(tk_LOCTXTD,MATCH(191,tk_DSEQ,0)),"")</f>
        <v/>
      </c>
      <c r="I196" s="162">
        <f>IFERROR(""&amp;INDEX(tk_DNOTES,MATCH(191,tk_DSEQ,0)),"")</f>
        <v/>
      </c>
    </row>
    <row r="197">
      <c r="A197" s="161">
        <f>IFERROR(""&amp;INDEX(tk_MARK,MATCH(192,tk_DSEQ,0)),"")</f>
        <v/>
      </c>
      <c r="B197" s="162">
        <f>IFERROR(INDEX(tk_QTY,MATCH(192,tk_DSEQ,0)),"")</f>
        <v/>
      </c>
      <c r="C197" s="162">
        <f>IFERROR(INDEX(tk_ROOMF,MATCH(192,tk_DSEQ,0))&amp;IF(INDEX(tk_ROOMT,MATCH(192,tk_DSEQ,0))="",""," → "&amp;INDEX(tk_ROOMT,MATCH(192,tk_DSEQ,0))),"")</f>
        <v/>
      </c>
      <c r="D197" s="162">
        <f>IFERROR(INDEX(tk_LEAVES,MATCH(192,tk_DSEQ,0)),"")</f>
        <v/>
      </c>
      <c r="E197" s="162">
        <f>IFERROR(""&amp;INDEX(tk_RATING,MATCH(192,tk_DSEQ,0)),"")</f>
        <v/>
      </c>
      <c r="F197" s="162">
        <f>IFERROR(TEXT(INDEX(tk_LEAFW,MATCH(192,tk_DSEQ,0)),"0.000")&amp;" x "&amp;TEXT(INDEX(tk_LEAFH,MATCH(192,tk_DSEQ,0)),"0.000"),"")</f>
        <v/>
      </c>
      <c r="G197" s="181">
        <f>IFERROR(""&amp;INDEX(tk_DLINE,MATCH(192,tk_DSEQ,0)),"")</f>
        <v/>
      </c>
      <c r="H197" s="181">
        <f>IFERROR(""&amp;INDEX(tk_LOCTXTD,MATCH(192,tk_DSEQ,0)),"")</f>
        <v/>
      </c>
      <c r="I197" s="162">
        <f>IFERROR(""&amp;INDEX(tk_DNOTES,MATCH(192,tk_DSEQ,0)),"")</f>
        <v/>
      </c>
    </row>
    <row r="198">
      <c r="A198" s="161">
        <f>IFERROR(""&amp;INDEX(tk_MARK,MATCH(193,tk_DSEQ,0)),"")</f>
        <v/>
      </c>
      <c r="B198" s="162">
        <f>IFERROR(INDEX(tk_QTY,MATCH(193,tk_DSEQ,0)),"")</f>
        <v/>
      </c>
      <c r="C198" s="162">
        <f>IFERROR(INDEX(tk_ROOMF,MATCH(193,tk_DSEQ,0))&amp;IF(INDEX(tk_ROOMT,MATCH(193,tk_DSEQ,0))="",""," → "&amp;INDEX(tk_ROOMT,MATCH(193,tk_DSEQ,0))),"")</f>
        <v/>
      </c>
      <c r="D198" s="162">
        <f>IFERROR(INDEX(tk_LEAVES,MATCH(193,tk_DSEQ,0)),"")</f>
        <v/>
      </c>
      <c r="E198" s="162">
        <f>IFERROR(""&amp;INDEX(tk_RATING,MATCH(193,tk_DSEQ,0)),"")</f>
        <v/>
      </c>
      <c r="F198" s="162">
        <f>IFERROR(TEXT(INDEX(tk_LEAFW,MATCH(193,tk_DSEQ,0)),"0.000")&amp;" x "&amp;TEXT(INDEX(tk_LEAFH,MATCH(193,tk_DSEQ,0)),"0.000"),"")</f>
        <v/>
      </c>
      <c r="G198" s="181">
        <f>IFERROR(""&amp;INDEX(tk_DLINE,MATCH(193,tk_DSEQ,0)),"")</f>
        <v/>
      </c>
      <c r="H198" s="181">
        <f>IFERROR(""&amp;INDEX(tk_LOCTXTD,MATCH(193,tk_DSEQ,0)),"")</f>
        <v/>
      </c>
      <c r="I198" s="162">
        <f>IFERROR(""&amp;INDEX(tk_DNOTES,MATCH(193,tk_DSEQ,0)),"")</f>
        <v/>
      </c>
    </row>
    <row r="199">
      <c r="A199" s="161">
        <f>IFERROR(""&amp;INDEX(tk_MARK,MATCH(194,tk_DSEQ,0)),"")</f>
        <v/>
      </c>
      <c r="B199" s="162">
        <f>IFERROR(INDEX(tk_QTY,MATCH(194,tk_DSEQ,0)),"")</f>
        <v/>
      </c>
      <c r="C199" s="162">
        <f>IFERROR(INDEX(tk_ROOMF,MATCH(194,tk_DSEQ,0))&amp;IF(INDEX(tk_ROOMT,MATCH(194,tk_DSEQ,0))="",""," → "&amp;INDEX(tk_ROOMT,MATCH(194,tk_DSEQ,0))),"")</f>
        <v/>
      </c>
      <c r="D199" s="162">
        <f>IFERROR(INDEX(tk_LEAVES,MATCH(194,tk_DSEQ,0)),"")</f>
        <v/>
      </c>
      <c r="E199" s="162">
        <f>IFERROR(""&amp;INDEX(tk_RATING,MATCH(194,tk_DSEQ,0)),"")</f>
        <v/>
      </c>
      <c r="F199" s="162">
        <f>IFERROR(TEXT(INDEX(tk_LEAFW,MATCH(194,tk_DSEQ,0)),"0.000")&amp;" x "&amp;TEXT(INDEX(tk_LEAFH,MATCH(194,tk_DSEQ,0)),"0.000"),"")</f>
        <v/>
      </c>
      <c r="G199" s="181">
        <f>IFERROR(""&amp;INDEX(tk_DLINE,MATCH(194,tk_DSEQ,0)),"")</f>
        <v/>
      </c>
      <c r="H199" s="181">
        <f>IFERROR(""&amp;INDEX(tk_LOCTXTD,MATCH(194,tk_DSEQ,0)),"")</f>
        <v/>
      </c>
      <c r="I199" s="162">
        <f>IFERROR(""&amp;INDEX(tk_DNOTES,MATCH(194,tk_DSEQ,0)),"")</f>
        <v/>
      </c>
    </row>
    <row r="200">
      <c r="A200" s="161">
        <f>IFERROR(""&amp;INDEX(tk_MARK,MATCH(195,tk_DSEQ,0)),"")</f>
        <v/>
      </c>
      <c r="B200" s="162">
        <f>IFERROR(INDEX(tk_QTY,MATCH(195,tk_DSEQ,0)),"")</f>
        <v/>
      </c>
      <c r="C200" s="162">
        <f>IFERROR(INDEX(tk_ROOMF,MATCH(195,tk_DSEQ,0))&amp;IF(INDEX(tk_ROOMT,MATCH(195,tk_DSEQ,0))="",""," → "&amp;INDEX(tk_ROOMT,MATCH(195,tk_DSEQ,0))),"")</f>
        <v/>
      </c>
      <c r="D200" s="162">
        <f>IFERROR(INDEX(tk_LEAVES,MATCH(195,tk_DSEQ,0)),"")</f>
        <v/>
      </c>
      <c r="E200" s="162">
        <f>IFERROR(""&amp;INDEX(tk_RATING,MATCH(195,tk_DSEQ,0)),"")</f>
        <v/>
      </c>
      <c r="F200" s="162">
        <f>IFERROR(TEXT(INDEX(tk_LEAFW,MATCH(195,tk_DSEQ,0)),"0.000")&amp;" x "&amp;TEXT(INDEX(tk_LEAFH,MATCH(195,tk_DSEQ,0)),"0.000"),"")</f>
        <v/>
      </c>
      <c r="G200" s="181">
        <f>IFERROR(""&amp;INDEX(tk_DLINE,MATCH(195,tk_DSEQ,0)),"")</f>
        <v/>
      </c>
      <c r="H200" s="181">
        <f>IFERROR(""&amp;INDEX(tk_LOCTXTD,MATCH(195,tk_DSEQ,0)),"")</f>
        <v/>
      </c>
      <c r="I200" s="162">
        <f>IFERROR(""&amp;INDEX(tk_DNOTES,MATCH(195,tk_DSEQ,0)),"")</f>
        <v/>
      </c>
    </row>
    <row r="201">
      <c r="A201" s="161">
        <f>IFERROR(""&amp;INDEX(tk_MARK,MATCH(196,tk_DSEQ,0)),"")</f>
        <v/>
      </c>
      <c r="B201" s="162">
        <f>IFERROR(INDEX(tk_QTY,MATCH(196,tk_DSEQ,0)),"")</f>
        <v/>
      </c>
      <c r="C201" s="162">
        <f>IFERROR(INDEX(tk_ROOMF,MATCH(196,tk_DSEQ,0))&amp;IF(INDEX(tk_ROOMT,MATCH(196,tk_DSEQ,0))="",""," → "&amp;INDEX(tk_ROOMT,MATCH(196,tk_DSEQ,0))),"")</f>
        <v/>
      </c>
      <c r="D201" s="162">
        <f>IFERROR(INDEX(tk_LEAVES,MATCH(196,tk_DSEQ,0)),"")</f>
        <v/>
      </c>
      <c r="E201" s="162">
        <f>IFERROR(""&amp;INDEX(tk_RATING,MATCH(196,tk_DSEQ,0)),"")</f>
        <v/>
      </c>
      <c r="F201" s="162">
        <f>IFERROR(TEXT(INDEX(tk_LEAFW,MATCH(196,tk_DSEQ,0)),"0.000")&amp;" x "&amp;TEXT(INDEX(tk_LEAFH,MATCH(196,tk_DSEQ,0)),"0.000"),"")</f>
        <v/>
      </c>
      <c r="G201" s="181">
        <f>IFERROR(""&amp;INDEX(tk_DLINE,MATCH(196,tk_DSEQ,0)),"")</f>
        <v/>
      </c>
      <c r="H201" s="181">
        <f>IFERROR(""&amp;INDEX(tk_LOCTXTD,MATCH(196,tk_DSEQ,0)),"")</f>
        <v/>
      </c>
      <c r="I201" s="162">
        <f>IFERROR(""&amp;INDEX(tk_DNOTES,MATCH(196,tk_DSEQ,0)),"")</f>
        <v/>
      </c>
    </row>
    <row r="202">
      <c r="A202" s="161">
        <f>IFERROR(""&amp;INDEX(tk_MARK,MATCH(197,tk_DSEQ,0)),"")</f>
        <v/>
      </c>
      <c r="B202" s="162">
        <f>IFERROR(INDEX(tk_QTY,MATCH(197,tk_DSEQ,0)),"")</f>
        <v/>
      </c>
      <c r="C202" s="162">
        <f>IFERROR(INDEX(tk_ROOMF,MATCH(197,tk_DSEQ,0))&amp;IF(INDEX(tk_ROOMT,MATCH(197,tk_DSEQ,0))="",""," → "&amp;INDEX(tk_ROOMT,MATCH(197,tk_DSEQ,0))),"")</f>
        <v/>
      </c>
      <c r="D202" s="162">
        <f>IFERROR(INDEX(tk_LEAVES,MATCH(197,tk_DSEQ,0)),"")</f>
        <v/>
      </c>
      <c r="E202" s="162">
        <f>IFERROR(""&amp;INDEX(tk_RATING,MATCH(197,tk_DSEQ,0)),"")</f>
        <v/>
      </c>
      <c r="F202" s="162">
        <f>IFERROR(TEXT(INDEX(tk_LEAFW,MATCH(197,tk_DSEQ,0)),"0.000")&amp;" x "&amp;TEXT(INDEX(tk_LEAFH,MATCH(197,tk_DSEQ,0)),"0.000"),"")</f>
        <v/>
      </c>
      <c r="G202" s="181">
        <f>IFERROR(""&amp;INDEX(tk_DLINE,MATCH(197,tk_DSEQ,0)),"")</f>
        <v/>
      </c>
      <c r="H202" s="181">
        <f>IFERROR(""&amp;INDEX(tk_LOCTXTD,MATCH(197,tk_DSEQ,0)),"")</f>
        <v/>
      </c>
      <c r="I202" s="162">
        <f>IFERROR(""&amp;INDEX(tk_DNOTES,MATCH(197,tk_DSEQ,0)),"")</f>
        <v/>
      </c>
    </row>
    <row r="203">
      <c r="A203" s="161">
        <f>IFERROR(""&amp;INDEX(tk_MARK,MATCH(198,tk_DSEQ,0)),"")</f>
        <v/>
      </c>
      <c r="B203" s="162">
        <f>IFERROR(INDEX(tk_QTY,MATCH(198,tk_DSEQ,0)),"")</f>
        <v/>
      </c>
      <c r="C203" s="162">
        <f>IFERROR(INDEX(tk_ROOMF,MATCH(198,tk_DSEQ,0))&amp;IF(INDEX(tk_ROOMT,MATCH(198,tk_DSEQ,0))="",""," → "&amp;INDEX(tk_ROOMT,MATCH(198,tk_DSEQ,0))),"")</f>
        <v/>
      </c>
      <c r="D203" s="162">
        <f>IFERROR(INDEX(tk_LEAVES,MATCH(198,tk_DSEQ,0)),"")</f>
        <v/>
      </c>
      <c r="E203" s="162">
        <f>IFERROR(""&amp;INDEX(tk_RATING,MATCH(198,tk_DSEQ,0)),"")</f>
        <v/>
      </c>
      <c r="F203" s="162">
        <f>IFERROR(TEXT(INDEX(tk_LEAFW,MATCH(198,tk_DSEQ,0)),"0.000")&amp;" x "&amp;TEXT(INDEX(tk_LEAFH,MATCH(198,tk_DSEQ,0)),"0.000"),"")</f>
        <v/>
      </c>
      <c r="G203" s="181">
        <f>IFERROR(""&amp;INDEX(tk_DLINE,MATCH(198,tk_DSEQ,0)),"")</f>
        <v/>
      </c>
      <c r="H203" s="181">
        <f>IFERROR(""&amp;INDEX(tk_LOCTXTD,MATCH(198,tk_DSEQ,0)),"")</f>
        <v/>
      </c>
      <c r="I203" s="162">
        <f>IFERROR(""&amp;INDEX(tk_DNOTES,MATCH(198,tk_DSEQ,0)),"")</f>
        <v/>
      </c>
    </row>
    <row r="204">
      <c r="A204" s="161">
        <f>IFERROR(""&amp;INDEX(tk_MARK,MATCH(199,tk_DSEQ,0)),"")</f>
        <v/>
      </c>
      <c r="B204" s="162">
        <f>IFERROR(INDEX(tk_QTY,MATCH(199,tk_DSEQ,0)),"")</f>
        <v/>
      </c>
      <c r="C204" s="162">
        <f>IFERROR(INDEX(tk_ROOMF,MATCH(199,tk_DSEQ,0))&amp;IF(INDEX(tk_ROOMT,MATCH(199,tk_DSEQ,0))="",""," → "&amp;INDEX(tk_ROOMT,MATCH(199,tk_DSEQ,0))),"")</f>
        <v/>
      </c>
      <c r="D204" s="162">
        <f>IFERROR(INDEX(tk_LEAVES,MATCH(199,tk_DSEQ,0)),"")</f>
        <v/>
      </c>
      <c r="E204" s="162">
        <f>IFERROR(""&amp;INDEX(tk_RATING,MATCH(199,tk_DSEQ,0)),"")</f>
        <v/>
      </c>
      <c r="F204" s="162">
        <f>IFERROR(TEXT(INDEX(tk_LEAFW,MATCH(199,tk_DSEQ,0)),"0.000")&amp;" x "&amp;TEXT(INDEX(tk_LEAFH,MATCH(199,tk_DSEQ,0)),"0.000"),"")</f>
        <v/>
      </c>
      <c r="G204" s="181">
        <f>IFERROR(""&amp;INDEX(tk_DLINE,MATCH(199,tk_DSEQ,0)),"")</f>
        <v/>
      </c>
      <c r="H204" s="181">
        <f>IFERROR(""&amp;INDEX(tk_LOCTXTD,MATCH(199,tk_DSEQ,0)),"")</f>
        <v/>
      </c>
      <c r="I204" s="162">
        <f>IFERROR(""&amp;INDEX(tk_DNOTES,MATCH(199,tk_DSEQ,0)),"")</f>
        <v/>
      </c>
    </row>
    <row r="205">
      <c r="A205" s="161">
        <f>IFERROR(""&amp;INDEX(tk_MARK,MATCH(200,tk_DSEQ,0)),"")</f>
        <v/>
      </c>
      <c r="B205" s="162">
        <f>IFERROR(INDEX(tk_QTY,MATCH(200,tk_DSEQ,0)),"")</f>
        <v/>
      </c>
      <c r="C205" s="162">
        <f>IFERROR(INDEX(tk_ROOMF,MATCH(200,tk_DSEQ,0))&amp;IF(INDEX(tk_ROOMT,MATCH(200,tk_DSEQ,0))="",""," → "&amp;INDEX(tk_ROOMT,MATCH(200,tk_DSEQ,0))),"")</f>
        <v/>
      </c>
      <c r="D205" s="162">
        <f>IFERROR(INDEX(tk_LEAVES,MATCH(200,tk_DSEQ,0)),"")</f>
        <v/>
      </c>
      <c r="E205" s="162">
        <f>IFERROR(""&amp;INDEX(tk_RATING,MATCH(200,tk_DSEQ,0)),"")</f>
        <v/>
      </c>
      <c r="F205" s="162">
        <f>IFERROR(TEXT(INDEX(tk_LEAFW,MATCH(200,tk_DSEQ,0)),"0.000")&amp;" x "&amp;TEXT(INDEX(tk_LEAFH,MATCH(200,tk_DSEQ,0)),"0.000"),"")</f>
        <v/>
      </c>
      <c r="G205" s="181">
        <f>IFERROR(""&amp;INDEX(tk_DLINE,MATCH(200,tk_DSEQ,0)),"")</f>
        <v/>
      </c>
      <c r="H205" s="181">
        <f>IFERROR(""&amp;INDEX(tk_LOCTXTD,MATCH(200,tk_DSEQ,0)),"")</f>
        <v/>
      </c>
      <c r="I205" s="162">
        <f>IFERROR(""&amp;INDEX(tk_DNOTES,MATCH(200,tk_DSEQ,0)),"")</f>
        <v/>
      </c>
    </row>
    <row r="206">
      <c r="A206" s="161">
        <f>IFERROR(""&amp;INDEX(tk_MARK,MATCH(201,tk_DSEQ,0)),"")</f>
        <v/>
      </c>
      <c r="B206" s="162">
        <f>IFERROR(INDEX(tk_QTY,MATCH(201,tk_DSEQ,0)),"")</f>
        <v/>
      </c>
      <c r="C206" s="162">
        <f>IFERROR(INDEX(tk_ROOMF,MATCH(201,tk_DSEQ,0))&amp;IF(INDEX(tk_ROOMT,MATCH(201,tk_DSEQ,0))="",""," → "&amp;INDEX(tk_ROOMT,MATCH(201,tk_DSEQ,0))),"")</f>
        <v/>
      </c>
      <c r="D206" s="162">
        <f>IFERROR(INDEX(tk_LEAVES,MATCH(201,tk_DSEQ,0)),"")</f>
        <v/>
      </c>
      <c r="E206" s="162">
        <f>IFERROR(""&amp;INDEX(tk_RATING,MATCH(201,tk_DSEQ,0)),"")</f>
        <v/>
      </c>
      <c r="F206" s="162">
        <f>IFERROR(TEXT(INDEX(tk_LEAFW,MATCH(201,tk_DSEQ,0)),"0.000")&amp;" x "&amp;TEXT(INDEX(tk_LEAFH,MATCH(201,tk_DSEQ,0)),"0.000"),"")</f>
        <v/>
      </c>
      <c r="G206" s="181">
        <f>IFERROR(""&amp;INDEX(tk_DLINE,MATCH(201,tk_DSEQ,0)),"")</f>
        <v/>
      </c>
      <c r="H206" s="181">
        <f>IFERROR(""&amp;INDEX(tk_LOCTXTD,MATCH(201,tk_DSEQ,0)),"")</f>
        <v/>
      </c>
      <c r="I206" s="162">
        <f>IFERROR(""&amp;INDEX(tk_DNOTES,MATCH(201,tk_DSEQ,0)),"")</f>
        <v/>
      </c>
    </row>
    <row r="207">
      <c r="A207" s="161">
        <f>IFERROR(""&amp;INDEX(tk_MARK,MATCH(202,tk_DSEQ,0)),"")</f>
        <v/>
      </c>
      <c r="B207" s="162">
        <f>IFERROR(INDEX(tk_QTY,MATCH(202,tk_DSEQ,0)),"")</f>
        <v/>
      </c>
      <c r="C207" s="162">
        <f>IFERROR(INDEX(tk_ROOMF,MATCH(202,tk_DSEQ,0))&amp;IF(INDEX(tk_ROOMT,MATCH(202,tk_DSEQ,0))="",""," → "&amp;INDEX(tk_ROOMT,MATCH(202,tk_DSEQ,0))),"")</f>
        <v/>
      </c>
      <c r="D207" s="162">
        <f>IFERROR(INDEX(tk_LEAVES,MATCH(202,tk_DSEQ,0)),"")</f>
        <v/>
      </c>
      <c r="E207" s="162">
        <f>IFERROR(""&amp;INDEX(tk_RATING,MATCH(202,tk_DSEQ,0)),"")</f>
        <v/>
      </c>
      <c r="F207" s="162">
        <f>IFERROR(TEXT(INDEX(tk_LEAFW,MATCH(202,tk_DSEQ,0)),"0.000")&amp;" x "&amp;TEXT(INDEX(tk_LEAFH,MATCH(202,tk_DSEQ,0)),"0.000"),"")</f>
        <v/>
      </c>
      <c r="G207" s="181">
        <f>IFERROR(""&amp;INDEX(tk_DLINE,MATCH(202,tk_DSEQ,0)),"")</f>
        <v/>
      </c>
      <c r="H207" s="181">
        <f>IFERROR(""&amp;INDEX(tk_LOCTXTD,MATCH(202,tk_DSEQ,0)),"")</f>
        <v/>
      </c>
      <c r="I207" s="162">
        <f>IFERROR(""&amp;INDEX(tk_DNOTES,MATCH(202,tk_DSEQ,0)),"")</f>
        <v/>
      </c>
    </row>
    <row r="208">
      <c r="A208" s="161">
        <f>IFERROR(""&amp;INDEX(tk_MARK,MATCH(203,tk_DSEQ,0)),"")</f>
        <v/>
      </c>
      <c r="B208" s="162">
        <f>IFERROR(INDEX(tk_QTY,MATCH(203,tk_DSEQ,0)),"")</f>
        <v/>
      </c>
      <c r="C208" s="162">
        <f>IFERROR(INDEX(tk_ROOMF,MATCH(203,tk_DSEQ,0))&amp;IF(INDEX(tk_ROOMT,MATCH(203,tk_DSEQ,0))="",""," → "&amp;INDEX(tk_ROOMT,MATCH(203,tk_DSEQ,0))),"")</f>
        <v/>
      </c>
      <c r="D208" s="162">
        <f>IFERROR(INDEX(tk_LEAVES,MATCH(203,tk_DSEQ,0)),"")</f>
        <v/>
      </c>
      <c r="E208" s="162">
        <f>IFERROR(""&amp;INDEX(tk_RATING,MATCH(203,tk_DSEQ,0)),"")</f>
        <v/>
      </c>
      <c r="F208" s="162">
        <f>IFERROR(TEXT(INDEX(tk_LEAFW,MATCH(203,tk_DSEQ,0)),"0.000")&amp;" x "&amp;TEXT(INDEX(tk_LEAFH,MATCH(203,tk_DSEQ,0)),"0.000"),"")</f>
        <v/>
      </c>
      <c r="G208" s="181">
        <f>IFERROR(""&amp;INDEX(tk_DLINE,MATCH(203,tk_DSEQ,0)),"")</f>
        <v/>
      </c>
      <c r="H208" s="181">
        <f>IFERROR(""&amp;INDEX(tk_LOCTXTD,MATCH(203,tk_DSEQ,0)),"")</f>
        <v/>
      </c>
      <c r="I208" s="162">
        <f>IFERROR(""&amp;INDEX(tk_DNOTES,MATCH(203,tk_DSEQ,0)),"")</f>
        <v/>
      </c>
    </row>
    <row r="209">
      <c r="A209" s="161">
        <f>IFERROR(""&amp;INDEX(tk_MARK,MATCH(204,tk_DSEQ,0)),"")</f>
        <v/>
      </c>
      <c r="B209" s="162">
        <f>IFERROR(INDEX(tk_QTY,MATCH(204,tk_DSEQ,0)),"")</f>
        <v/>
      </c>
      <c r="C209" s="162">
        <f>IFERROR(INDEX(tk_ROOMF,MATCH(204,tk_DSEQ,0))&amp;IF(INDEX(tk_ROOMT,MATCH(204,tk_DSEQ,0))="",""," → "&amp;INDEX(tk_ROOMT,MATCH(204,tk_DSEQ,0))),"")</f>
        <v/>
      </c>
      <c r="D209" s="162">
        <f>IFERROR(INDEX(tk_LEAVES,MATCH(204,tk_DSEQ,0)),"")</f>
        <v/>
      </c>
      <c r="E209" s="162">
        <f>IFERROR(""&amp;INDEX(tk_RATING,MATCH(204,tk_DSEQ,0)),"")</f>
        <v/>
      </c>
      <c r="F209" s="162">
        <f>IFERROR(TEXT(INDEX(tk_LEAFW,MATCH(204,tk_DSEQ,0)),"0.000")&amp;" x "&amp;TEXT(INDEX(tk_LEAFH,MATCH(204,tk_DSEQ,0)),"0.000"),"")</f>
        <v/>
      </c>
      <c r="G209" s="181">
        <f>IFERROR(""&amp;INDEX(tk_DLINE,MATCH(204,tk_DSEQ,0)),"")</f>
        <v/>
      </c>
      <c r="H209" s="181">
        <f>IFERROR(""&amp;INDEX(tk_LOCTXTD,MATCH(204,tk_DSEQ,0)),"")</f>
        <v/>
      </c>
      <c r="I209" s="162">
        <f>IFERROR(""&amp;INDEX(tk_DNOTES,MATCH(204,tk_DSEQ,0)),"")</f>
        <v/>
      </c>
    </row>
    <row r="210">
      <c r="A210" s="161">
        <f>IFERROR(""&amp;INDEX(tk_MARK,MATCH(205,tk_DSEQ,0)),"")</f>
        <v/>
      </c>
      <c r="B210" s="162">
        <f>IFERROR(INDEX(tk_QTY,MATCH(205,tk_DSEQ,0)),"")</f>
        <v/>
      </c>
      <c r="C210" s="162">
        <f>IFERROR(INDEX(tk_ROOMF,MATCH(205,tk_DSEQ,0))&amp;IF(INDEX(tk_ROOMT,MATCH(205,tk_DSEQ,0))="",""," → "&amp;INDEX(tk_ROOMT,MATCH(205,tk_DSEQ,0))),"")</f>
        <v/>
      </c>
      <c r="D210" s="162">
        <f>IFERROR(INDEX(tk_LEAVES,MATCH(205,tk_DSEQ,0)),"")</f>
        <v/>
      </c>
      <c r="E210" s="162">
        <f>IFERROR(""&amp;INDEX(tk_RATING,MATCH(205,tk_DSEQ,0)),"")</f>
        <v/>
      </c>
      <c r="F210" s="162">
        <f>IFERROR(TEXT(INDEX(tk_LEAFW,MATCH(205,tk_DSEQ,0)),"0.000")&amp;" x "&amp;TEXT(INDEX(tk_LEAFH,MATCH(205,tk_DSEQ,0)),"0.000"),"")</f>
        <v/>
      </c>
      <c r="G210" s="181">
        <f>IFERROR(""&amp;INDEX(tk_DLINE,MATCH(205,tk_DSEQ,0)),"")</f>
        <v/>
      </c>
      <c r="H210" s="181">
        <f>IFERROR(""&amp;INDEX(tk_LOCTXTD,MATCH(205,tk_DSEQ,0)),"")</f>
        <v/>
      </c>
      <c r="I210" s="162">
        <f>IFERROR(""&amp;INDEX(tk_DNOTES,MATCH(205,tk_DSEQ,0)),"")</f>
        <v/>
      </c>
    </row>
    <row r="211">
      <c r="A211" s="161">
        <f>IFERROR(""&amp;INDEX(tk_MARK,MATCH(206,tk_DSEQ,0)),"")</f>
        <v/>
      </c>
      <c r="B211" s="162">
        <f>IFERROR(INDEX(tk_QTY,MATCH(206,tk_DSEQ,0)),"")</f>
        <v/>
      </c>
      <c r="C211" s="162">
        <f>IFERROR(INDEX(tk_ROOMF,MATCH(206,tk_DSEQ,0))&amp;IF(INDEX(tk_ROOMT,MATCH(206,tk_DSEQ,0))="",""," → "&amp;INDEX(tk_ROOMT,MATCH(206,tk_DSEQ,0))),"")</f>
        <v/>
      </c>
      <c r="D211" s="162">
        <f>IFERROR(INDEX(tk_LEAVES,MATCH(206,tk_DSEQ,0)),"")</f>
        <v/>
      </c>
      <c r="E211" s="162">
        <f>IFERROR(""&amp;INDEX(tk_RATING,MATCH(206,tk_DSEQ,0)),"")</f>
        <v/>
      </c>
      <c r="F211" s="162">
        <f>IFERROR(TEXT(INDEX(tk_LEAFW,MATCH(206,tk_DSEQ,0)),"0.000")&amp;" x "&amp;TEXT(INDEX(tk_LEAFH,MATCH(206,tk_DSEQ,0)),"0.000"),"")</f>
        <v/>
      </c>
      <c r="G211" s="181">
        <f>IFERROR(""&amp;INDEX(tk_DLINE,MATCH(206,tk_DSEQ,0)),"")</f>
        <v/>
      </c>
      <c r="H211" s="181">
        <f>IFERROR(""&amp;INDEX(tk_LOCTXTD,MATCH(206,tk_DSEQ,0)),"")</f>
        <v/>
      </c>
      <c r="I211" s="162">
        <f>IFERROR(""&amp;INDEX(tk_DNOTES,MATCH(206,tk_DSEQ,0)),"")</f>
        <v/>
      </c>
    </row>
    <row r="212">
      <c r="A212" s="161">
        <f>IFERROR(""&amp;INDEX(tk_MARK,MATCH(207,tk_DSEQ,0)),"")</f>
        <v/>
      </c>
      <c r="B212" s="162">
        <f>IFERROR(INDEX(tk_QTY,MATCH(207,tk_DSEQ,0)),"")</f>
        <v/>
      </c>
      <c r="C212" s="162">
        <f>IFERROR(INDEX(tk_ROOMF,MATCH(207,tk_DSEQ,0))&amp;IF(INDEX(tk_ROOMT,MATCH(207,tk_DSEQ,0))="",""," → "&amp;INDEX(tk_ROOMT,MATCH(207,tk_DSEQ,0))),"")</f>
        <v/>
      </c>
      <c r="D212" s="162">
        <f>IFERROR(INDEX(tk_LEAVES,MATCH(207,tk_DSEQ,0)),"")</f>
        <v/>
      </c>
      <c r="E212" s="162">
        <f>IFERROR(""&amp;INDEX(tk_RATING,MATCH(207,tk_DSEQ,0)),"")</f>
        <v/>
      </c>
      <c r="F212" s="162">
        <f>IFERROR(TEXT(INDEX(tk_LEAFW,MATCH(207,tk_DSEQ,0)),"0.000")&amp;" x "&amp;TEXT(INDEX(tk_LEAFH,MATCH(207,tk_DSEQ,0)),"0.000"),"")</f>
        <v/>
      </c>
      <c r="G212" s="181">
        <f>IFERROR(""&amp;INDEX(tk_DLINE,MATCH(207,tk_DSEQ,0)),"")</f>
        <v/>
      </c>
      <c r="H212" s="181">
        <f>IFERROR(""&amp;INDEX(tk_LOCTXTD,MATCH(207,tk_DSEQ,0)),"")</f>
        <v/>
      </c>
      <c r="I212" s="162">
        <f>IFERROR(""&amp;INDEX(tk_DNOTES,MATCH(207,tk_DSEQ,0)),"")</f>
        <v/>
      </c>
    </row>
    <row r="213">
      <c r="A213" s="161">
        <f>IFERROR(""&amp;INDEX(tk_MARK,MATCH(208,tk_DSEQ,0)),"")</f>
        <v/>
      </c>
      <c r="B213" s="162">
        <f>IFERROR(INDEX(tk_QTY,MATCH(208,tk_DSEQ,0)),"")</f>
        <v/>
      </c>
      <c r="C213" s="162">
        <f>IFERROR(INDEX(tk_ROOMF,MATCH(208,tk_DSEQ,0))&amp;IF(INDEX(tk_ROOMT,MATCH(208,tk_DSEQ,0))="",""," → "&amp;INDEX(tk_ROOMT,MATCH(208,tk_DSEQ,0))),"")</f>
        <v/>
      </c>
      <c r="D213" s="162">
        <f>IFERROR(INDEX(tk_LEAVES,MATCH(208,tk_DSEQ,0)),"")</f>
        <v/>
      </c>
      <c r="E213" s="162">
        <f>IFERROR(""&amp;INDEX(tk_RATING,MATCH(208,tk_DSEQ,0)),"")</f>
        <v/>
      </c>
      <c r="F213" s="162">
        <f>IFERROR(TEXT(INDEX(tk_LEAFW,MATCH(208,tk_DSEQ,0)),"0.000")&amp;" x "&amp;TEXT(INDEX(tk_LEAFH,MATCH(208,tk_DSEQ,0)),"0.000"),"")</f>
        <v/>
      </c>
      <c r="G213" s="181">
        <f>IFERROR(""&amp;INDEX(tk_DLINE,MATCH(208,tk_DSEQ,0)),"")</f>
        <v/>
      </c>
      <c r="H213" s="181">
        <f>IFERROR(""&amp;INDEX(tk_LOCTXTD,MATCH(208,tk_DSEQ,0)),"")</f>
        <v/>
      </c>
      <c r="I213" s="162">
        <f>IFERROR(""&amp;INDEX(tk_DNOTES,MATCH(208,tk_DSEQ,0)),"")</f>
        <v/>
      </c>
    </row>
    <row r="214">
      <c r="A214" s="161">
        <f>IFERROR(""&amp;INDEX(tk_MARK,MATCH(209,tk_DSEQ,0)),"")</f>
        <v/>
      </c>
      <c r="B214" s="162">
        <f>IFERROR(INDEX(tk_QTY,MATCH(209,tk_DSEQ,0)),"")</f>
        <v/>
      </c>
      <c r="C214" s="162">
        <f>IFERROR(INDEX(tk_ROOMF,MATCH(209,tk_DSEQ,0))&amp;IF(INDEX(tk_ROOMT,MATCH(209,tk_DSEQ,0))="",""," → "&amp;INDEX(tk_ROOMT,MATCH(209,tk_DSEQ,0))),"")</f>
        <v/>
      </c>
      <c r="D214" s="162">
        <f>IFERROR(INDEX(tk_LEAVES,MATCH(209,tk_DSEQ,0)),"")</f>
        <v/>
      </c>
      <c r="E214" s="162">
        <f>IFERROR(""&amp;INDEX(tk_RATING,MATCH(209,tk_DSEQ,0)),"")</f>
        <v/>
      </c>
      <c r="F214" s="162">
        <f>IFERROR(TEXT(INDEX(tk_LEAFW,MATCH(209,tk_DSEQ,0)),"0.000")&amp;" x "&amp;TEXT(INDEX(tk_LEAFH,MATCH(209,tk_DSEQ,0)),"0.000"),"")</f>
        <v/>
      </c>
      <c r="G214" s="181">
        <f>IFERROR(""&amp;INDEX(tk_DLINE,MATCH(209,tk_DSEQ,0)),"")</f>
        <v/>
      </c>
      <c r="H214" s="181">
        <f>IFERROR(""&amp;INDEX(tk_LOCTXTD,MATCH(209,tk_DSEQ,0)),"")</f>
        <v/>
      </c>
      <c r="I214" s="162">
        <f>IFERROR(""&amp;INDEX(tk_DNOTES,MATCH(209,tk_DSEQ,0)),"")</f>
        <v/>
      </c>
    </row>
    <row r="215">
      <c r="A215" s="161">
        <f>IFERROR(""&amp;INDEX(tk_MARK,MATCH(210,tk_DSEQ,0)),"")</f>
        <v/>
      </c>
      <c r="B215" s="162">
        <f>IFERROR(INDEX(tk_QTY,MATCH(210,tk_DSEQ,0)),"")</f>
        <v/>
      </c>
      <c r="C215" s="162">
        <f>IFERROR(INDEX(tk_ROOMF,MATCH(210,tk_DSEQ,0))&amp;IF(INDEX(tk_ROOMT,MATCH(210,tk_DSEQ,0))="",""," → "&amp;INDEX(tk_ROOMT,MATCH(210,tk_DSEQ,0))),"")</f>
        <v/>
      </c>
      <c r="D215" s="162">
        <f>IFERROR(INDEX(tk_LEAVES,MATCH(210,tk_DSEQ,0)),"")</f>
        <v/>
      </c>
      <c r="E215" s="162">
        <f>IFERROR(""&amp;INDEX(tk_RATING,MATCH(210,tk_DSEQ,0)),"")</f>
        <v/>
      </c>
      <c r="F215" s="162">
        <f>IFERROR(TEXT(INDEX(tk_LEAFW,MATCH(210,tk_DSEQ,0)),"0.000")&amp;" x "&amp;TEXT(INDEX(tk_LEAFH,MATCH(210,tk_DSEQ,0)),"0.000"),"")</f>
        <v/>
      </c>
      <c r="G215" s="181">
        <f>IFERROR(""&amp;INDEX(tk_DLINE,MATCH(210,tk_DSEQ,0)),"")</f>
        <v/>
      </c>
      <c r="H215" s="181">
        <f>IFERROR(""&amp;INDEX(tk_LOCTXTD,MATCH(210,tk_DSEQ,0)),"")</f>
        <v/>
      </c>
      <c r="I215" s="162">
        <f>IFERROR(""&amp;INDEX(tk_DNOTES,MATCH(210,tk_DSEQ,0)),"")</f>
        <v/>
      </c>
    </row>
    <row r="216">
      <c r="A216" s="161">
        <f>IFERROR(""&amp;INDEX(tk_MARK,MATCH(211,tk_DSEQ,0)),"")</f>
        <v/>
      </c>
      <c r="B216" s="162">
        <f>IFERROR(INDEX(tk_QTY,MATCH(211,tk_DSEQ,0)),"")</f>
        <v/>
      </c>
      <c r="C216" s="162">
        <f>IFERROR(INDEX(tk_ROOMF,MATCH(211,tk_DSEQ,0))&amp;IF(INDEX(tk_ROOMT,MATCH(211,tk_DSEQ,0))="",""," → "&amp;INDEX(tk_ROOMT,MATCH(211,tk_DSEQ,0))),"")</f>
        <v/>
      </c>
      <c r="D216" s="162">
        <f>IFERROR(INDEX(tk_LEAVES,MATCH(211,tk_DSEQ,0)),"")</f>
        <v/>
      </c>
      <c r="E216" s="162">
        <f>IFERROR(""&amp;INDEX(tk_RATING,MATCH(211,tk_DSEQ,0)),"")</f>
        <v/>
      </c>
      <c r="F216" s="162">
        <f>IFERROR(TEXT(INDEX(tk_LEAFW,MATCH(211,tk_DSEQ,0)),"0.000")&amp;" x "&amp;TEXT(INDEX(tk_LEAFH,MATCH(211,tk_DSEQ,0)),"0.000"),"")</f>
        <v/>
      </c>
      <c r="G216" s="181">
        <f>IFERROR(""&amp;INDEX(tk_DLINE,MATCH(211,tk_DSEQ,0)),"")</f>
        <v/>
      </c>
      <c r="H216" s="181">
        <f>IFERROR(""&amp;INDEX(tk_LOCTXTD,MATCH(211,tk_DSEQ,0)),"")</f>
        <v/>
      </c>
      <c r="I216" s="162">
        <f>IFERROR(""&amp;INDEX(tk_DNOTES,MATCH(211,tk_DSEQ,0)),"")</f>
        <v/>
      </c>
    </row>
    <row r="217">
      <c r="A217" s="161">
        <f>IFERROR(""&amp;INDEX(tk_MARK,MATCH(212,tk_DSEQ,0)),"")</f>
        <v/>
      </c>
      <c r="B217" s="162">
        <f>IFERROR(INDEX(tk_QTY,MATCH(212,tk_DSEQ,0)),"")</f>
        <v/>
      </c>
      <c r="C217" s="162">
        <f>IFERROR(INDEX(tk_ROOMF,MATCH(212,tk_DSEQ,0))&amp;IF(INDEX(tk_ROOMT,MATCH(212,tk_DSEQ,0))="",""," → "&amp;INDEX(tk_ROOMT,MATCH(212,tk_DSEQ,0))),"")</f>
        <v/>
      </c>
      <c r="D217" s="162">
        <f>IFERROR(INDEX(tk_LEAVES,MATCH(212,tk_DSEQ,0)),"")</f>
        <v/>
      </c>
      <c r="E217" s="162">
        <f>IFERROR(""&amp;INDEX(tk_RATING,MATCH(212,tk_DSEQ,0)),"")</f>
        <v/>
      </c>
      <c r="F217" s="162">
        <f>IFERROR(TEXT(INDEX(tk_LEAFW,MATCH(212,tk_DSEQ,0)),"0.000")&amp;" x "&amp;TEXT(INDEX(tk_LEAFH,MATCH(212,tk_DSEQ,0)),"0.000"),"")</f>
        <v/>
      </c>
      <c r="G217" s="181">
        <f>IFERROR(""&amp;INDEX(tk_DLINE,MATCH(212,tk_DSEQ,0)),"")</f>
        <v/>
      </c>
      <c r="H217" s="181">
        <f>IFERROR(""&amp;INDEX(tk_LOCTXTD,MATCH(212,tk_DSEQ,0)),"")</f>
        <v/>
      </c>
      <c r="I217" s="162">
        <f>IFERROR(""&amp;INDEX(tk_DNOTES,MATCH(212,tk_DSEQ,0)),"")</f>
        <v/>
      </c>
    </row>
    <row r="218">
      <c r="A218" s="161">
        <f>IFERROR(""&amp;INDEX(tk_MARK,MATCH(213,tk_DSEQ,0)),"")</f>
        <v/>
      </c>
      <c r="B218" s="162">
        <f>IFERROR(INDEX(tk_QTY,MATCH(213,tk_DSEQ,0)),"")</f>
        <v/>
      </c>
      <c r="C218" s="162">
        <f>IFERROR(INDEX(tk_ROOMF,MATCH(213,tk_DSEQ,0))&amp;IF(INDEX(tk_ROOMT,MATCH(213,tk_DSEQ,0))="",""," → "&amp;INDEX(tk_ROOMT,MATCH(213,tk_DSEQ,0))),"")</f>
        <v/>
      </c>
      <c r="D218" s="162">
        <f>IFERROR(INDEX(tk_LEAVES,MATCH(213,tk_DSEQ,0)),"")</f>
        <v/>
      </c>
      <c r="E218" s="162">
        <f>IFERROR(""&amp;INDEX(tk_RATING,MATCH(213,tk_DSEQ,0)),"")</f>
        <v/>
      </c>
      <c r="F218" s="162">
        <f>IFERROR(TEXT(INDEX(tk_LEAFW,MATCH(213,tk_DSEQ,0)),"0.000")&amp;" x "&amp;TEXT(INDEX(tk_LEAFH,MATCH(213,tk_DSEQ,0)),"0.000"),"")</f>
        <v/>
      </c>
      <c r="G218" s="181">
        <f>IFERROR(""&amp;INDEX(tk_DLINE,MATCH(213,tk_DSEQ,0)),"")</f>
        <v/>
      </c>
      <c r="H218" s="181">
        <f>IFERROR(""&amp;INDEX(tk_LOCTXTD,MATCH(213,tk_DSEQ,0)),"")</f>
        <v/>
      </c>
      <c r="I218" s="162">
        <f>IFERROR(""&amp;INDEX(tk_DNOTES,MATCH(213,tk_DSEQ,0)),"")</f>
        <v/>
      </c>
    </row>
    <row r="219">
      <c r="A219" s="161">
        <f>IFERROR(""&amp;INDEX(tk_MARK,MATCH(214,tk_DSEQ,0)),"")</f>
        <v/>
      </c>
      <c r="B219" s="162">
        <f>IFERROR(INDEX(tk_QTY,MATCH(214,tk_DSEQ,0)),"")</f>
        <v/>
      </c>
      <c r="C219" s="162">
        <f>IFERROR(INDEX(tk_ROOMF,MATCH(214,tk_DSEQ,0))&amp;IF(INDEX(tk_ROOMT,MATCH(214,tk_DSEQ,0))="",""," → "&amp;INDEX(tk_ROOMT,MATCH(214,tk_DSEQ,0))),"")</f>
        <v/>
      </c>
      <c r="D219" s="162">
        <f>IFERROR(INDEX(tk_LEAVES,MATCH(214,tk_DSEQ,0)),"")</f>
        <v/>
      </c>
      <c r="E219" s="162">
        <f>IFERROR(""&amp;INDEX(tk_RATING,MATCH(214,tk_DSEQ,0)),"")</f>
        <v/>
      </c>
      <c r="F219" s="162">
        <f>IFERROR(TEXT(INDEX(tk_LEAFW,MATCH(214,tk_DSEQ,0)),"0.000")&amp;" x "&amp;TEXT(INDEX(tk_LEAFH,MATCH(214,tk_DSEQ,0)),"0.000"),"")</f>
        <v/>
      </c>
      <c r="G219" s="181">
        <f>IFERROR(""&amp;INDEX(tk_DLINE,MATCH(214,tk_DSEQ,0)),"")</f>
        <v/>
      </c>
      <c r="H219" s="181">
        <f>IFERROR(""&amp;INDEX(tk_LOCTXTD,MATCH(214,tk_DSEQ,0)),"")</f>
        <v/>
      </c>
      <c r="I219" s="162">
        <f>IFERROR(""&amp;INDEX(tk_DNOTES,MATCH(214,tk_DSEQ,0)),"")</f>
        <v/>
      </c>
    </row>
    <row r="220">
      <c r="A220" s="161">
        <f>IFERROR(""&amp;INDEX(tk_MARK,MATCH(215,tk_DSEQ,0)),"")</f>
        <v/>
      </c>
      <c r="B220" s="162">
        <f>IFERROR(INDEX(tk_QTY,MATCH(215,tk_DSEQ,0)),"")</f>
        <v/>
      </c>
      <c r="C220" s="162">
        <f>IFERROR(INDEX(tk_ROOMF,MATCH(215,tk_DSEQ,0))&amp;IF(INDEX(tk_ROOMT,MATCH(215,tk_DSEQ,0))="",""," → "&amp;INDEX(tk_ROOMT,MATCH(215,tk_DSEQ,0))),"")</f>
        <v/>
      </c>
      <c r="D220" s="162">
        <f>IFERROR(INDEX(tk_LEAVES,MATCH(215,tk_DSEQ,0)),"")</f>
        <v/>
      </c>
      <c r="E220" s="162">
        <f>IFERROR(""&amp;INDEX(tk_RATING,MATCH(215,tk_DSEQ,0)),"")</f>
        <v/>
      </c>
      <c r="F220" s="162">
        <f>IFERROR(TEXT(INDEX(tk_LEAFW,MATCH(215,tk_DSEQ,0)),"0.000")&amp;" x "&amp;TEXT(INDEX(tk_LEAFH,MATCH(215,tk_DSEQ,0)),"0.000"),"")</f>
        <v/>
      </c>
      <c r="G220" s="181">
        <f>IFERROR(""&amp;INDEX(tk_DLINE,MATCH(215,tk_DSEQ,0)),"")</f>
        <v/>
      </c>
      <c r="H220" s="181">
        <f>IFERROR(""&amp;INDEX(tk_LOCTXTD,MATCH(215,tk_DSEQ,0)),"")</f>
        <v/>
      </c>
      <c r="I220" s="162">
        <f>IFERROR(""&amp;INDEX(tk_DNOTES,MATCH(215,tk_DSEQ,0)),"")</f>
        <v/>
      </c>
    </row>
    <row r="221">
      <c r="A221" s="161">
        <f>IFERROR(""&amp;INDEX(tk_MARK,MATCH(216,tk_DSEQ,0)),"")</f>
        <v/>
      </c>
      <c r="B221" s="162">
        <f>IFERROR(INDEX(tk_QTY,MATCH(216,tk_DSEQ,0)),"")</f>
        <v/>
      </c>
      <c r="C221" s="162">
        <f>IFERROR(INDEX(tk_ROOMF,MATCH(216,tk_DSEQ,0))&amp;IF(INDEX(tk_ROOMT,MATCH(216,tk_DSEQ,0))="",""," → "&amp;INDEX(tk_ROOMT,MATCH(216,tk_DSEQ,0))),"")</f>
        <v/>
      </c>
      <c r="D221" s="162">
        <f>IFERROR(INDEX(tk_LEAVES,MATCH(216,tk_DSEQ,0)),"")</f>
        <v/>
      </c>
      <c r="E221" s="162">
        <f>IFERROR(""&amp;INDEX(tk_RATING,MATCH(216,tk_DSEQ,0)),"")</f>
        <v/>
      </c>
      <c r="F221" s="162">
        <f>IFERROR(TEXT(INDEX(tk_LEAFW,MATCH(216,tk_DSEQ,0)),"0.000")&amp;" x "&amp;TEXT(INDEX(tk_LEAFH,MATCH(216,tk_DSEQ,0)),"0.000"),"")</f>
        <v/>
      </c>
      <c r="G221" s="181">
        <f>IFERROR(""&amp;INDEX(tk_DLINE,MATCH(216,tk_DSEQ,0)),"")</f>
        <v/>
      </c>
      <c r="H221" s="181">
        <f>IFERROR(""&amp;INDEX(tk_LOCTXTD,MATCH(216,tk_DSEQ,0)),"")</f>
        <v/>
      </c>
      <c r="I221" s="162">
        <f>IFERROR(""&amp;INDEX(tk_DNOTES,MATCH(216,tk_DSEQ,0)),"")</f>
        <v/>
      </c>
    </row>
    <row r="222">
      <c r="A222" s="161">
        <f>IFERROR(""&amp;INDEX(tk_MARK,MATCH(217,tk_DSEQ,0)),"")</f>
        <v/>
      </c>
      <c r="B222" s="162">
        <f>IFERROR(INDEX(tk_QTY,MATCH(217,tk_DSEQ,0)),"")</f>
        <v/>
      </c>
      <c r="C222" s="162">
        <f>IFERROR(INDEX(tk_ROOMF,MATCH(217,tk_DSEQ,0))&amp;IF(INDEX(tk_ROOMT,MATCH(217,tk_DSEQ,0))="",""," → "&amp;INDEX(tk_ROOMT,MATCH(217,tk_DSEQ,0))),"")</f>
        <v/>
      </c>
      <c r="D222" s="162">
        <f>IFERROR(INDEX(tk_LEAVES,MATCH(217,tk_DSEQ,0)),"")</f>
        <v/>
      </c>
      <c r="E222" s="162">
        <f>IFERROR(""&amp;INDEX(tk_RATING,MATCH(217,tk_DSEQ,0)),"")</f>
        <v/>
      </c>
      <c r="F222" s="162">
        <f>IFERROR(TEXT(INDEX(tk_LEAFW,MATCH(217,tk_DSEQ,0)),"0.000")&amp;" x "&amp;TEXT(INDEX(tk_LEAFH,MATCH(217,tk_DSEQ,0)),"0.000"),"")</f>
        <v/>
      </c>
      <c r="G222" s="181">
        <f>IFERROR(""&amp;INDEX(tk_DLINE,MATCH(217,tk_DSEQ,0)),"")</f>
        <v/>
      </c>
      <c r="H222" s="181">
        <f>IFERROR(""&amp;INDEX(tk_LOCTXTD,MATCH(217,tk_DSEQ,0)),"")</f>
        <v/>
      </c>
      <c r="I222" s="162">
        <f>IFERROR(""&amp;INDEX(tk_DNOTES,MATCH(217,tk_DSEQ,0)),"")</f>
        <v/>
      </c>
    </row>
    <row r="223">
      <c r="A223" s="161">
        <f>IFERROR(""&amp;INDEX(tk_MARK,MATCH(218,tk_DSEQ,0)),"")</f>
        <v/>
      </c>
      <c r="B223" s="162">
        <f>IFERROR(INDEX(tk_QTY,MATCH(218,tk_DSEQ,0)),"")</f>
        <v/>
      </c>
      <c r="C223" s="162">
        <f>IFERROR(INDEX(tk_ROOMF,MATCH(218,tk_DSEQ,0))&amp;IF(INDEX(tk_ROOMT,MATCH(218,tk_DSEQ,0))="",""," → "&amp;INDEX(tk_ROOMT,MATCH(218,tk_DSEQ,0))),"")</f>
        <v/>
      </c>
      <c r="D223" s="162">
        <f>IFERROR(INDEX(tk_LEAVES,MATCH(218,tk_DSEQ,0)),"")</f>
        <v/>
      </c>
      <c r="E223" s="162">
        <f>IFERROR(""&amp;INDEX(tk_RATING,MATCH(218,tk_DSEQ,0)),"")</f>
        <v/>
      </c>
      <c r="F223" s="162">
        <f>IFERROR(TEXT(INDEX(tk_LEAFW,MATCH(218,tk_DSEQ,0)),"0.000")&amp;" x "&amp;TEXT(INDEX(tk_LEAFH,MATCH(218,tk_DSEQ,0)),"0.000"),"")</f>
        <v/>
      </c>
      <c r="G223" s="181">
        <f>IFERROR(""&amp;INDEX(tk_DLINE,MATCH(218,tk_DSEQ,0)),"")</f>
        <v/>
      </c>
      <c r="H223" s="181">
        <f>IFERROR(""&amp;INDEX(tk_LOCTXTD,MATCH(218,tk_DSEQ,0)),"")</f>
        <v/>
      </c>
      <c r="I223" s="162">
        <f>IFERROR(""&amp;INDEX(tk_DNOTES,MATCH(218,tk_DSEQ,0)),"")</f>
        <v/>
      </c>
    </row>
    <row r="224">
      <c r="A224" s="161">
        <f>IFERROR(""&amp;INDEX(tk_MARK,MATCH(219,tk_DSEQ,0)),"")</f>
        <v/>
      </c>
      <c r="B224" s="162">
        <f>IFERROR(INDEX(tk_QTY,MATCH(219,tk_DSEQ,0)),"")</f>
        <v/>
      </c>
      <c r="C224" s="162">
        <f>IFERROR(INDEX(tk_ROOMF,MATCH(219,tk_DSEQ,0))&amp;IF(INDEX(tk_ROOMT,MATCH(219,tk_DSEQ,0))="",""," → "&amp;INDEX(tk_ROOMT,MATCH(219,tk_DSEQ,0))),"")</f>
        <v/>
      </c>
      <c r="D224" s="162">
        <f>IFERROR(INDEX(tk_LEAVES,MATCH(219,tk_DSEQ,0)),"")</f>
        <v/>
      </c>
      <c r="E224" s="162">
        <f>IFERROR(""&amp;INDEX(tk_RATING,MATCH(219,tk_DSEQ,0)),"")</f>
        <v/>
      </c>
      <c r="F224" s="162">
        <f>IFERROR(TEXT(INDEX(tk_LEAFW,MATCH(219,tk_DSEQ,0)),"0.000")&amp;" x "&amp;TEXT(INDEX(tk_LEAFH,MATCH(219,tk_DSEQ,0)),"0.000"),"")</f>
        <v/>
      </c>
      <c r="G224" s="181">
        <f>IFERROR(""&amp;INDEX(tk_DLINE,MATCH(219,tk_DSEQ,0)),"")</f>
        <v/>
      </c>
      <c r="H224" s="181">
        <f>IFERROR(""&amp;INDEX(tk_LOCTXTD,MATCH(219,tk_DSEQ,0)),"")</f>
        <v/>
      </c>
      <c r="I224" s="162">
        <f>IFERROR(""&amp;INDEX(tk_DNOTES,MATCH(219,tk_DSEQ,0)),"")</f>
        <v/>
      </c>
    </row>
    <row r="225">
      <c r="A225" s="161">
        <f>IFERROR(""&amp;INDEX(tk_MARK,MATCH(220,tk_DSEQ,0)),"")</f>
        <v/>
      </c>
      <c r="B225" s="162">
        <f>IFERROR(INDEX(tk_QTY,MATCH(220,tk_DSEQ,0)),"")</f>
        <v/>
      </c>
      <c r="C225" s="162">
        <f>IFERROR(INDEX(tk_ROOMF,MATCH(220,tk_DSEQ,0))&amp;IF(INDEX(tk_ROOMT,MATCH(220,tk_DSEQ,0))="",""," → "&amp;INDEX(tk_ROOMT,MATCH(220,tk_DSEQ,0))),"")</f>
        <v/>
      </c>
      <c r="D225" s="162">
        <f>IFERROR(INDEX(tk_LEAVES,MATCH(220,tk_DSEQ,0)),"")</f>
        <v/>
      </c>
      <c r="E225" s="162">
        <f>IFERROR(""&amp;INDEX(tk_RATING,MATCH(220,tk_DSEQ,0)),"")</f>
        <v/>
      </c>
      <c r="F225" s="162">
        <f>IFERROR(TEXT(INDEX(tk_LEAFW,MATCH(220,tk_DSEQ,0)),"0.000")&amp;" x "&amp;TEXT(INDEX(tk_LEAFH,MATCH(220,tk_DSEQ,0)),"0.000"),"")</f>
        <v/>
      </c>
      <c r="G225" s="181">
        <f>IFERROR(""&amp;INDEX(tk_DLINE,MATCH(220,tk_DSEQ,0)),"")</f>
        <v/>
      </c>
      <c r="H225" s="181">
        <f>IFERROR(""&amp;INDEX(tk_LOCTXTD,MATCH(220,tk_DSEQ,0)),"")</f>
        <v/>
      </c>
      <c r="I225" s="162">
        <f>IFERROR(""&amp;INDEX(tk_DNOTES,MATCH(220,tk_DSEQ,0)),"")</f>
        <v/>
      </c>
    </row>
    <row r="226">
      <c r="A226" s="161">
        <f>IFERROR(""&amp;INDEX(tk_MARK,MATCH(221,tk_DSEQ,0)),"")</f>
        <v/>
      </c>
      <c r="B226" s="162">
        <f>IFERROR(INDEX(tk_QTY,MATCH(221,tk_DSEQ,0)),"")</f>
        <v/>
      </c>
      <c r="C226" s="162">
        <f>IFERROR(INDEX(tk_ROOMF,MATCH(221,tk_DSEQ,0))&amp;IF(INDEX(tk_ROOMT,MATCH(221,tk_DSEQ,0))="",""," → "&amp;INDEX(tk_ROOMT,MATCH(221,tk_DSEQ,0))),"")</f>
        <v/>
      </c>
      <c r="D226" s="162">
        <f>IFERROR(INDEX(tk_LEAVES,MATCH(221,tk_DSEQ,0)),"")</f>
        <v/>
      </c>
      <c r="E226" s="162">
        <f>IFERROR(""&amp;INDEX(tk_RATING,MATCH(221,tk_DSEQ,0)),"")</f>
        <v/>
      </c>
      <c r="F226" s="162">
        <f>IFERROR(TEXT(INDEX(tk_LEAFW,MATCH(221,tk_DSEQ,0)),"0.000")&amp;" x "&amp;TEXT(INDEX(tk_LEAFH,MATCH(221,tk_DSEQ,0)),"0.000"),"")</f>
        <v/>
      </c>
      <c r="G226" s="181">
        <f>IFERROR(""&amp;INDEX(tk_DLINE,MATCH(221,tk_DSEQ,0)),"")</f>
        <v/>
      </c>
      <c r="H226" s="181">
        <f>IFERROR(""&amp;INDEX(tk_LOCTXTD,MATCH(221,tk_DSEQ,0)),"")</f>
        <v/>
      </c>
      <c r="I226" s="162">
        <f>IFERROR(""&amp;INDEX(tk_DNOTES,MATCH(221,tk_DSEQ,0)),"")</f>
        <v/>
      </c>
    </row>
    <row r="227">
      <c r="A227" s="161">
        <f>IFERROR(""&amp;INDEX(tk_MARK,MATCH(222,tk_DSEQ,0)),"")</f>
        <v/>
      </c>
      <c r="B227" s="162">
        <f>IFERROR(INDEX(tk_QTY,MATCH(222,tk_DSEQ,0)),"")</f>
        <v/>
      </c>
      <c r="C227" s="162">
        <f>IFERROR(INDEX(tk_ROOMF,MATCH(222,tk_DSEQ,0))&amp;IF(INDEX(tk_ROOMT,MATCH(222,tk_DSEQ,0))="",""," → "&amp;INDEX(tk_ROOMT,MATCH(222,tk_DSEQ,0))),"")</f>
        <v/>
      </c>
      <c r="D227" s="162">
        <f>IFERROR(INDEX(tk_LEAVES,MATCH(222,tk_DSEQ,0)),"")</f>
        <v/>
      </c>
      <c r="E227" s="162">
        <f>IFERROR(""&amp;INDEX(tk_RATING,MATCH(222,tk_DSEQ,0)),"")</f>
        <v/>
      </c>
      <c r="F227" s="162">
        <f>IFERROR(TEXT(INDEX(tk_LEAFW,MATCH(222,tk_DSEQ,0)),"0.000")&amp;" x "&amp;TEXT(INDEX(tk_LEAFH,MATCH(222,tk_DSEQ,0)),"0.000"),"")</f>
        <v/>
      </c>
      <c r="G227" s="181">
        <f>IFERROR(""&amp;INDEX(tk_DLINE,MATCH(222,tk_DSEQ,0)),"")</f>
        <v/>
      </c>
      <c r="H227" s="181">
        <f>IFERROR(""&amp;INDEX(tk_LOCTXTD,MATCH(222,tk_DSEQ,0)),"")</f>
        <v/>
      </c>
      <c r="I227" s="162">
        <f>IFERROR(""&amp;INDEX(tk_DNOTES,MATCH(222,tk_DSEQ,0)),"")</f>
        <v/>
      </c>
    </row>
    <row r="228">
      <c r="A228" s="161">
        <f>IFERROR(""&amp;INDEX(tk_MARK,MATCH(223,tk_DSEQ,0)),"")</f>
        <v/>
      </c>
      <c r="B228" s="162">
        <f>IFERROR(INDEX(tk_QTY,MATCH(223,tk_DSEQ,0)),"")</f>
        <v/>
      </c>
      <c r="C228" s="162">
        <f>IFERROR(INDEX(tk_ROOMF,MATCH(223,tk_DSEQ,0))&amp;IF(INDEX(tk_ROOMT,MATCH(223,tk_DSEQ,0))="",""," → "&amp;INDEX(tk_ROOMT,MATCH(223,tk_DSEQ,0))),"")</f>
        <v/>
      </c>
      <c r="D228" s="162">
        <f>IFERROR(INDEX(tk_LEAVES,MATCH(223,tk_DSEQ,0)),"")</f>
        <v/>
      </c>
      <c r="E228" s="162">
        <f>IFERROR(""&amp;INDEX(tk_RATING,MATCH(223,tk_DSEQ,0)),"")</f>
        <v/>
      </c>
      <c r="F228" s="162">
        <f>IFERROR(TEXT(INDEX(tk_LEAFW,MATCH(223,tk_DSEQ,0)),"0.000")&amp;" x "&amp;TEXT(INDEX(tk_LEAFH,MATCH(223,tk_DSEQ,0)),"0.000"),"")</f>
        <v/>
      </c>
      <c r="G228" s="181">
        <f>IFERROR(""&amp;INDEX(tk_DLINE,MATCH(223,tk_DSEQ,0)),"")</f>
        <v/>
      </c>
      <c r="H228" s="181">
        <f>IFERROR(""&amp;INDEX(tk_LOCTXTD,MATCH(223,tk_DSEQ,0)),"")</f>
        <v/>
      </c>
      <c r="I228" s="162">
        <f>IFERROR(""&amp;INDEX(tk_DNOTES,MATCH(223,tk_DSEQ,0)),"")</f>
        <v/>
      </c>
    </row>
    <row r="229">
      <c r="A229" s="161">
        <f>IFERROR(""&amp;INDEX(tk_MARK,MATCH(224,tk_DSEQ,0)),"")</f>
        <v/>
      </c>
      <c r="B229" s="162">
        <f>IFERROR(INDEX(tk_QTY,MATCH(224,tk_DSEQ,0)),"")</f>
        <v/>
      </c>
      <c r="C229" s="162">
        <f>IFERROR(INDEX(tk_ROOMF,MATCH(224,tk_DSEQ,0))&amp;IF(INDEX(tk_ROOMT,MATCH(224,tk_DSEQ,0))="",""," → "&amp;INDEX(tk_ROOMT,MATCH(224,tk_DSEQ,0))),"")</f>
        <v/>
      </c>
      <c r="D229" s="162">
        <f>IFERROR(INDEX(tk_LEAVES,MATCH(224,tk_DSEQ,0)),"")</f>
        <v/>
      </c>
      <c r="E229" s="162">
        <f>IFERROR(""&amp;INDEX(tk_RATING,MATCH(224,tk_DSEQ,0)),"")</f>
        <v/>
      </c>
      <c r="F229" s="162">
        <f>IFERROR(TEXT(INDEX(tk_LEAFW,MATCH(224,tk_DSEQ,0)),"0.000")&amp;" x "&amp;TEXT(INDEX(tk_LEAFH,MATCH(224,tk_DSEQ,0)),"0.000"),"")</f>
        <v/>
      </c>
      <c r="G229" s="181">
        <f>IFERROR(""&amp;INDEX(tk_DLINE,MATCH(224,tk_DSEQ,0)),"")</f>
        <v/>
      </c>
      <c r="H229" s="181">
        <f>IFERROR(""&amp;INDEX(tk_LOCTXTD,MATCH(224,tk_DSEQ,0)),"")</f>
        <v/>
      </c>
      <c r="I229" s="162">
        <f>IFERROR(""&amp;INDEX(tk_DNOTES,MATCH(224,tk_DSEQ,0)),"")</f>
        <v/>
      </c>
    </row>
    <row r="230">
      <c r="A230" s="161">
        <f>IFERROR(""&amp;INDEX(tk_MARK,MATCH(225,tk_DSEQ,0)),"")</f>
        <v/>
      </c>
      <c r="B230" s="162">
        <f>IFERROR(INDEX(tk_QTY,MATCH(225,tk_DSEQ,0)),"")</f>
        <v/>
      </c>
      <c r="C230" s="162">
        <f>IFERROR(INDEX(tk_ROOMF,MATCH(225,tk_DSEQ,0))&amp;IF(INDEX(tk_ROOMT,MATCH(225,tk_DSEQ,0))="",""," → "&amp;INDEX(tk_ROOMT,MATCH(225,tk_DSEQ,0))),"")</f>
        <v/>
      </c>
      <c r="D230" s="162">
        <f>IFERROR(INDEX(tk_LEAVES,MATCH(225,tk_DSEQ,0)),"")</f>
        <v/>
      </c>
      <c r="E230" s="162">
        <f>IFERROR(""&amp;INDEX(tk_RATING,MATCH(225,tk_DSEQ,0)),"")</f>
        <v/>
      </c>
      <c r="F230" s="162">
        <f>IFERROR(TEXT(INDEX(tk_LEAFW,MATCH(225,tk_DSEQ,0)),"0.000")&amp;" x "&amp;TEXT(INDEX(tk_LEAFH,MATCH(225,tk_DSEQ,0)),"0.000"),"")</f>
        <v/>
      </c>
      <c r="G230" s="181">
        <f>IFERROR(""&amp;INDEX(tk_DLINE,MATCH(225,tk_DSEQ,0)),"")</f>
        <v/>
      </c>
      <c r="H230" s="181">
        <f>IFERROR(""&amp;INDEX(tk_LOCTXTD,MATCH(225,tk_DSEQ,0)),"")</f>
        <v/>
      </c>
      <c r="I230" s="162">
        <f>IFERROR(""&amp;INDEX(tk_DNOTES,MATCH(225,tk_DSEQ,0)),"")</f>
        <v/>
      </c>
    </row>
    <row r="231">
      <c r="A231" s="161">
        <f>IFERROR(""&amp;INDEX(tk_MARK,MATCH(226,tk_DSEQ,0)),"")</f>
        <v/>
      </c>
      <c r="B231" s="162">
        <f>IFERROR(INDEX(tk_QTY,MATCH(226,tk_DSEQ,0)),"")</f>
        <v/>
      </c>
      <c r="C231" s="162">
        <f>IFERROR(INDEX(tk_ROOMF,MATCH(226,tk_DSEQ,0))&amp;IF(INDEX(tk_ROOMT,MATCH(226,tk_DSEQ,0))="",""," → "&amp;INDEX(tk_ROOMT,MATCH(226,tk_DSEQ,0))),"")</f>
        <v/>
      </c>
      <c r="D231" s="162">
        <f>IFERROR(INDEX(tk_LEAVES,MATCH(226,tk_DSEQ,0)),"")</f>
        <v/>
      </c>
      <c r="E231" s="162">
        <f>IFERROR(""&amp;INDEX(tk_RATING,MATCH(226,tk_DSEQ,0)),"")</f>
        <v/>
      </c>
      <c r="F231" s="162">
        <f>IFERROR(TEXT(INDEX(tk_LEAFW,MATCH(226,tk_DSEQ,0)),"0.000")&amp;" x "&amp;TEXT(INDEX(tk_LEAFH,MATCH(226,tk_DSEQ,0)),"0.000"),"")</f>
        <v/>
      </c>
      <c r="G231" s="181">
        <f>IFERROR(""&amp;INDEX(tk_DLINE,MATCH(226,tk_DSEQ,0)),"")</f>
        <v/>
      </c>
      <c r="H231" s="181">
        <f>IFERROR(""&amp;INDEX(tk_LOCTXTD,MATCH(226,tk_DSEQ,0)),"")</f>
        <v/>
      </c>
      <c r="I231" s="162">
        <f>IFERROR(""&amp;INDEX(tk_DNOTES,MATCH(226,tk_DSEQ,0)),"")</f>
        <v/>
      </c>
    </row>
    <row r="232">
      <c r="A232" s="161">
        <f>IFERROR(""&amp;INDEX(tk_MARK,MATCH(227,tk_DSEQ,0)),"")</f>
        <v/>
      </c>
      <c r="B232" s="162">
        <f>IFERROR(INDEX(tk_QTY,MATCH(227,tk_DSEQ,0)),"")</f>
        <v/>
      </c>
      <c r="C232" s="162">
        <f>IFERROR(INDEX(tk_ROOMF,MATCH(227,tk_DSEQ,0))&amp;IF(INDEX(tk_ROOMT,MATCH(227,tk_DSEQ,0))="",""," → "&amp;INDEX(tk_ROOMT,MATCH(227,tk_DSEQ,0))),"")</f>
        <v/>
      </c>
      <c r="D232" s="162">
        <f>IFERROR(INDEX(tk_LEAVES,MATCH(227,tk_DSEQ,0)),"")</f>
        <v/>
      </c>
      <c r="E232" s="162">
        <f>IFERROR(""&amp;INDEX(tk_RATING,MATCH(227,tk_DSEQ,0)),"")</f>
        <v/>
      </c>
      <c r="F232" s="162">
        <f>IFERROR(TEXT(INDEX(tk_LEAFW,MATCH(227,tk_DSEQ,0)),"0.000")&amp;" x "&amp;TEXT(INDEX(tk_LEAFH,MATCH(227,tk_DSEQ,0)),"0.000"),"")</f>
        <v/>
      </c>
      <c r="G232" s="181">
        <f>IFERROR(""&amp;INDEX(tk_DLINE,MATCH(227,tk_DSEQ,0)),"")</f>
        <v/>
      </c>
      <c r="H232" s="181">
        <f>IFERROR(""&amp;INDEX(tk_LOCTXTD,MATCH(227,tk_DSEQ,0)),"")</f>
        <v/>
      </c>
      <c r="I232" s="162">
        <f>IFERROR(""&amp;INDEX(tk_DNOTES,MATCH(227,tk_DSEQ,0)),"")</f>
        <v/>
      </c>
    </row>
    <row r="233">
      <c r="A233" s="161">
        <f>IFERROR(""&amp;INDEX(tk_MARK,MATCH(228,tk_DSEQ,0)),"")</f>
        <v/>
      </c>
      <c r="B233" s="162">
        <f>IFERROR(INDEX(tk_QTY,MATCH(228,tk_DSEQ,0)),"")</f>
        <v/>
      </c>
      <c r="C233" s="162">
        <f>IFERROR(INDEX(tk_ROOMF,MATCH(228,tk_DSEQ,0))&amp;IF(INDEX(tk_ROOMT,MATCH(228,tk_DSEQ,0))="",""," → "&amp;INDEX(tk_ROOMT,MATCH(228,tk_DSEQ,0))),"")</f>
        <v/>
      </c>
      <c r="D233" s="162">
        <f>IFERROR(INDEX(tk_LEAVES,MATCH(228,tk_DSEQ,0)),"")</f>
        <v/>
      </c>
      <c r="E233" s="162">
        <f>IFERROR(""&amp;INDEX(tk_RATING,MATCH(228,tk_DSEQ,0)),"")</f>
        <v/>
      </c>
      <c r="F233" s="162">
        <f>IFERROR(TEXT(INDEX(tk_LEAFW,MATCH(228,tk_DSEQ,0)),"0.000")&amp;" x "&amp;TEXT(INDEX(tk_LEAFH,MATCH(228,tk_DSEQ,0)),"0.000"),"")</f>
        <v/>
      </c>
      <c r="G233" s="181">
        <f>IFERROR(""&amp;INDEX(tk_DLINE,MATCH(228,tk_DSEQ,0)),"")</f>
        <v/>
      </c>
      <c r="H233" s="181">
        <f>IFERROR(""&amp;INDEX(tk_LOCTXTD,MATCH(228,tk_DSEQ,0)),"")</f>
        <v/>
      </c>
      <c r="I233" s="162">
        <f>IFERROR(""&amp;INDEX(tk_DNOTES,MATCH(228,tk_DSEQ,0)),"")</f>
        <v/>
      </c>
    </row>
    <row r="234">
      <c r="A234" s="161">
        <f>IFERROR(""&amp;INDEX(tk_MARK,MATCH(229,tk_DSEQ,0)),"")</f>
        <v/>
      </c>
      <c r="B234" s="162">
        <f>IFERROR(INDEX(tk_QTY,MATCH(229,tk_DSEQ,0)),"")</f>
        <v/>
      </c>
      <c r="C234" s="162">
        <f>IFERROR(INDEX(tk_ROOMF,MATCH(229,tk_DSEQ,0))&amp;IF(INDEX(tk_ROOMT,MATCH(229,tk_DSEQ,0))="",""," → "&amp;INDEX(tk_ROOMT,MATCH(229,tk_DSEQ,0))),"")</f>
        <v/>
      </c>
      <c r="D234" s="162">
        <f>IFERROR(INDEX(tk_LEAVES,MATCH(229,tk_DSEQ,0)),"")</f>
        <v/>
      </c>
      <c r="E234" s="162">
        <f>IFERROR(""&amp;INDEX(tk_RATING,MATCH(229,tk_DSEQ,0)),"")</f>
        <v/>
      </c>
      <c r="F234" s="162">
        <f>IFERROR(TEXT(INDEX(tk_LEAFW,MATCH(229,tk_DSEQ,0)),"0.000")&amp;" x "&amp;TEXT(INDEX(tk_LEAFH,MATCH(229,tk_DSEQ,0)),"0.000"),"")</f>
        <v/>
      </c>
      <c r="G234" s="181">
        <f>IFERROR(""&amp;INDEX(tk_DLINE,MATCH(229,tk_DSEQ,0)),"")</f>
        <v/>
      </c>
      <c r="H234" s="181">
        <f>IFERROR(""&amp;INDEX(tk_LOCTXTD,MATCH(229,tk_DSEQ,0)),"")</f>
        <v/>
      </c>
      <c r="I234" s="162">
        <f>IFERROR(""&amp;INDEX(tk_DNOTES,MATCH(229,tk_DSEQ,0)),"")</f>
        <v/>
      </c>
    </row>
    <row r="235">
      <c r="A235" s="161">
        <f>IFERROR(""&amp;INDEX(tk_MARK,MATCH(230,tk_DSEQ,0)),"")</f>
        <v/>
      </c>
      <c r="B235" s="162">
        <f>IFERROR(INDEX(tk_QTY,MATCH(230,tk_DSEQ,0)),"")</f>
        <v/>
      </c>
      <c r="C235" s="162">
        <f>IFERROR(INDEX(tk_ROOMF,MATCH(230,tk_DSEQ,0))&amp;IF(INDEX(tk_ROOMT,MATCH(230,tk_DSEQ,0))="",""," → "&amp;INDEX(tk_ROOMT,MATCH(230,tk_DSEQ,0))),"")</f>
        <v/>
      </c>
      <c r="D235" s="162">
        <f>IFERROR(INDEX(tk_LEAVES,MATCH(230,tk_DSEQ,0)),"")</f>
        <v/>
      </c>
      <c r="E235" s="162">
        <f>IFERROR(""&amp;INDEX(tk_RATING,MATCH(230,tk_DSEQ,0)),"")</f>
        <v/>
      </c>
      <c r="F235" s="162">
        <f>IFERROR(TEXT(INDEX(tk_LEAFW,MATCH(230,tk_DSEQ,0)),"0.000")&amp;" x "&amp;TEXT(INDEX(tk_LEAFH,MATCH(230,tk_DSEQ,0)),"0.000"),"")</f>
        <v/>
      </c>
      <c r="G235" s="181">
        <f>IFERROR(""&amp;INDEX(tk_DLINE,MATCH(230,tk_DSEQ,0)),"")</f>
        <v/>
      </c>
      <c r="H235" s="181">
        <f>IFERROR(""&amp;INDEX(tk_LOCTXTD,MATCH(230,tk_DSEQ,0)),"")</f>
        <v/>
      </c>
      <c r="I235" s="162">
        <f>IFERROR(""&amp;INDEX(tk_DNOTES,MATCH(230,tk_DSEQ,0)),"")</f>
        <v/>
      </c>
    </row>
    <row r="236">
      <c r="A236" s="161">
        <f>IFERROR(""&amp;INDEX(tk_MARK,MATCH(231,tk_DSEQ,0)),"")</f>
        <v/>
      </c>
      <c r="B236" s="162">
        <f>IFERROR(INDEX(tk_QTY,MATCH(231,tk_DSEQ,0)),"")</f>
        <v/>
      </c>
      <c r="C236" s="162">
        <f>IFERROR(INDEX(tk_ROOMF,MATCH(231,tk_DSEQ,0))&amp;IF(INDEX(tk_ROOMT,MATCH(231,tk_DSEQ,0))="",""," → "&amp;INDEX(tk_ROOMT,MATCH(231,tk_DSEQ,0))),"")</f>
        <v/>
      </c>
      <c r="D236" s="162">
        <f>IFERROR(INDEX(tk_LEAVES,MATCH(231,tk_DSEQ,0)),"")</f>
        <v/>
      </c>
      <c r="E236" s="162">
        <f>IFERROR(""&amp;INDEX(tk_RATING,MATCH(231,tk_DSEQ,0)),"")</f>
        <v/>
      </c>
      <c r="F236" s="162">
        <f>IFERROR(TEXT(INDEX(tk_LEAFW,MATCH(231,tk_DSEQ,0)),"0.000")&amp;" x "&amp;TEXT(INDEX(tk_LEAFH,MATCH(231,tk_DSEQ,0)),"0.000"),"")</f>
        <v/>
      </c>
      <c r="G236" s="181">
        <f>IFERROR(""&amp;INDEX(tk_DLINE,MATCH(231,tk_DSEQ,0)),"")</f>
        <v/>
      </c>
      <c r="H236" s="181">
        <f>IFERROR(""&amp;INDEX(tk_LOCTXTD,MATCH(231,tk_DSEQ,0)),"")</f>
        <v/>
      </c>
      <c r="I236" s="162">
        <f>IFERROR(""&amp;INDEX(tk_DNOTES,MATCH(231,tk_DSEQ,0)),"")</f>
        <v/>
      </c>
    </row>
    <row r="237">
      <c r="A237" s="161">
        <f>IFERROR(""&amp;INDEX(tk_MARK,MATCH(232,tk_DSEQ,0)),"")</f>
        <v/>
      </c>
      <c r="B237" s="162">
        <f>IFERROR(INDEX(tk_QTY,MATCH(232,tk_DSEQ,0)),"")</f>
        <v/>
      </c>
      <c r="C237" s="162">
        <f>IFERROR(INDEX(tk_ROOMF,MATCH(232,tk_DSEQ,0))&amp;IF(INDEX(tk_ROOMT,MATCH(232,tk_DSEQ,0))="",""," → "&amp;INDEX(tk_ROOMT,MATCH(232,tk_DSEQ,0))),"")</f>
        <v/>
      </c>
      <c r="D237" s="162">
        <f>IFERROR(INDEX(tk_LEAVES,MATCH(232,tk_DSEQ,0)),"")</f>
        <v/>
      </c>
      <c r="E237" s="162">
        <f>IFERROR(""&amp;INDEX(tk_RATING,MATCH(232,tk_DSEQ,0)),"")</f>
        <v/>
      </c>
      <c r="F237" s="162">
        <f>IFERROR(TEXT(INDEX(tk_LEAFW,MATCH(232,tk_DSEQ,0)),"0.000")&amp;" x "&amp;TEXT(INDEX(tk_LEAFH,MATCH(232,tk_DSEQ,0)),"0.000"),"")</f>
        <v/>
      </c>
      <c r="G237" s="181">
        <f>IFERROR(""&amp;INDEX(tk_DLINE,MATCH(232,tk_DSEQ,0)),"")</f>
        <v/>
      </c>
      <c r="H237" s="181">
        <f>IFERROR(""&amp;INDEX(tk_LOCTXTD,MATCH(232,tk_DSEQ,0)),"")</f>
        <v/>
      </c>
      <c r="I237" s="162">
        <f>IFERROR(""&amp;INDEX(tk_DNOTES,MATCH(232,tk_DSEQ,0)),"")</f>
        <v/>
      </c>
    </row>
    <row r="238">
      <c r="A238" s="161">
        <f>IFERROR(""&amp;INDEX(tk_MARK,MATCH(233,tk_DSEQ,0)),"")</f>
        <v/>
      </c>
      <c r="B238" s="162">
        <f>IFERROR(INDEX(tk_QTY,MATCH(233,tk_DSEQ,0)),"")</f>
        <v/>
      </c>
      <c r="C238" s="162">
        <f>IFERROR(INDEX(tk_ROOMF,MATCH(233,tk_DSEQ,0))&amp;IF(INDEX(tk_ROOMT,MATCH(233,tk_DSEQ,0))="",""," → "&amp;INDEX(tk_ROOMT,MATCH(233,tk_DSEQ,0))),"")</f>
        <v/>
      </c>
      <c r="D238" s="162">
        <f>IFERROR(INDEX(tk_LEAVES,MATCH(233,tk_DSEQ,0)),"")</f>
        <v/>
      </c>
      <c r="E238" s="162">
        <f>IFERROR(""&amp;INDEX(tk_RATING,MATCH(233,tk_DSEQ,0)),"")</f>
        <v/>
      </c>
      <c r="F238" s="162">
        <f>IFERROR(TEXT(INDEX(tk_LEAFW,MATCH(233,tk_DSEQ,0)),"0.000")&amp;" x "&amp;TEXT(INDEX(tk_LEAFH,MATCH(233,tk_DSEQ,0)),"0.000"),"")</f>
        <v/>
      </c>
      <c r="G238" s="181">
        <f>IFERROR(""&amp;INDEX(tk_DLINE,MATCH(233,tk_DSEQ,0)),"")</f>
        <v/>
      </c>
      <c r="H238" s="181">
        <f>IFERROR(""&amp;INDEX(tk_LOCTXTD,MATCH(233,tk_DSEQ,0)),"")</f>
        <v/>
      </c>
      <c r="I238" s="162">
        <f>IFERROR(""&amp;INDEX(tk_DNOTES,MATCH(233,tk_DSEQ,0)),"")</f>
        <v/>
      </c>
    </row>
    <row r="239">
      <c r="A239" s="161">
        <f>IFERROR(""&amp;INDEX(tk_MARK,MATCH(234,tk_DSEQ,0)),"")</f>
        <v/>
      </c>
      <c r="B239" s="162">
        <f>IFERROR(INDEX(tk_QTY,MATCH(234,tk_DSEQ,0)),"")</f>
        <v/>
      </c>
      <c r="C239" s="162">
        <f>IFERROR(INDEX(tk_ROOMF,MATCH(234,tk_DSEQ,0))&amp;IF(INDEX(tk_ROOMT,MATCH(234,tk_DSEQ,0))="",""," → "&amp;INDEX(tk_ROOMT,MATCH(234,tk_DSEQ,0))),"")</f>
        <v/>
      </c>
      <c r="D239" s="162">
        <f>IFERROR(INDEX(tk_LEAVES,MATCH(234,tk_DSEQ,0)),"")</f>
        <v/>
      </c>
      <c r="E239" s="162">
        <f>IFERROR(""&amp;INDEX(tk_RATING,MATCH(234,tk_DSEQ,0)),"")</f>
        <v/>
      </c>
      <c r="F239" s="162">
        <f>IFERROR(TEXT(INDEX(tk_LEAFW,MATCH(234,tk_DSEQ,0)),"0.000")&amp;" x "&amp;TEXT(INDEX(tk_LEAFH,MATCH(234,tk_DSEQ,0)),"0.000"),"")</f>
        <v/>
      </c>
      <c r="G239" s="181">
        <f>IFERROR(""&amp;INDEX(tk_DLINE,MATCH(234,tk_DSEQ,0)),"")</f>
        <v/>
      </c>
      <c r="H239" s="181">
        <f>IFERROR(""&amp;INDEX(tk_LOCTXTD,MATCH(234,tk_DSEQ,0)),"")</f>
        <v/>
      </c>
      <c r="I239" s="162">
        <f>IFERROR(""&amp;INDEX(tk_DNOTES,MATCH(234,tk_DSEQ,0)),"")</f>
        <v/>
      </c>
    </row>
    <row r="240">
      <c r="A240" s="161">
        <f>IFERROR(""&amp;INDEX(tk_MARK,MATCH(235,tk_DSEQ,0)),"")</f>
        <v/>
      </c>
      <c r="B240" s="162">
        <f>IFERROR(INDEX(tk_QTY,MATCH(235,tk_DSEQ,0)),"")</f>
        <v/>
      </c>
      <c r="C240" s="162">
        <f>IFERROR(INDEX(tk_ROOMF,MATCH(235,tk_DSEQ,0))&amp;IF(INDEX(tk_ROOMT,MATCH(235,tk_DSEQ,0))="",""," → "&amp;INDEX(tk_ROOMT,MATCH(235,tk_DSEQ,0))),"")</f>
        <v/>
      </c>
      <c r="D240" s="162">
        <f>IFERROR(INDEX(tk_LEAVES,MATCH(235,tk_DSEQ,0)),"")</f>
        <v/>
      </c>
      <c r="E240" s="162">
        <f>IFERROR(""&amp;INDEX(tk_RATING,MATCH(235,tk_DSEQ,0)),"")</f>
        <v/>
      </c>
      <c r="F240" s="162">
        <f>IFERROR(TEXT(INDEX(tk_LEAFW,MATCH(235,tk_DSEQ,0)),"0.000")&amp;" x "&amp;TEXT(INDEX(tk_LEAFH,MATCH(235,tk_DSEQ,0)),"0.000"),"")</f>
        <v/>
      </c>
      <c r="G240" s="181">
        <f>IFERROR(""&amp;INDEX(tk_DLINE,MATCH(235,tk_DSEQ,0)),"")</f>
        <v/>
      </c>
      <c r="H240" s="181">
        <f>IFERROR(""&amp;INDEX(tk_LOCTXTD,MATCH(235,tk_DSEQ,0)),"")</f>
        <v/>
      </c>
      <c r="I240" s="162">
        <f>IFERROR(""&amp;INDEX(tk_DNOTES,MATCH(235,tk_DSEQ,0)),"")</f>
        <v/>
      </c>
    </row>
    <row r="241">
      <c r="A241" s="161">
        <f>IFERROR(""&amp;INDEX(tk_MARK,MATCH(236,tk_DSEQ,0)),"")</f>
        <v/>
      </c>
      <c r="B241" s="162">
        <f>IFERROR(INDEX(tk_QTY,MATCH(236,tk_DSEQ,0)),"")</f>
        <v/>
      </c>
      <c r="C241" s="162">
        <f>IFERROR(INDEX(tk_ROOMF,MATCH(236,tk_DSEQ,0))&amp;IF(INDEX(tk_ROOMT,MATCH(236,tk_DSEQ,0))="",""," → "&amp;INDEX(tk_ROOMT,MATCH(236,tk_DSEQ,0))),"")</f>
        <v/>
      </c>
      <c r="D241" s="162">
        <f>IFERROR(INDEX(tk_LEAVES,MATCH(236,tk_DSEQ,0)),"")</f>
        <v/>
      </c>
      <c r="E241" s="162">
        <f>IFERROR(""&amp;INDEX(tk_RATING,MATCH(236,tk_DSEQ,0)),"")</f>
        <v/>
      </c>
      <c r="F241" s="162">
        <f>IFERROR(TEXT(INDEX(tk_LEAFW,MATCH(236,tk_DSEQ,0)),"0.000")&amp;" x "&amp;TEXT(INDEX(tk_LEAFH,MATCH(236,tk_DSEQ,0)),"0.000"),"")</f>
        <v/>
      </c>
      <c r="G241" s="181">
        <f>IFERROR(""&amp;INDEX(tk_DLINE,MATCH(236,tk_DSEQ,0)),"")</f>
        <v/>
      </c>
      <c r="H241" s="181">
        <f>IFERROR(""&amp;INDEX(tk_LOCTXTD,MATCH(236,tk_DSEQ,0)),"")</f>
        <v/>
      </c>
      <c r="I241" s="162">
        <f>IFERROR(""&amp;INDEX(tk_DNOTES,MATCH(236,tk_DSEQ,0)),"")</f>
        <v/>
      </c>
    </row>
    <row r="242">
      <c r="A242" s="161">
        <f>IFERROR(""&amp;INDEX(tk_MARK,MATCH(237,tk_DSEQ,0)),"")</f>
        <v/>
      </c>
      <c r="B242" s="162">
        <f>IFERROR(INDEX(tk_QTY,MATCH(237,tk_DSEQ,0)),"")</f>
        <v/>
      </c>
      <c r="C242" s="162">
        <f>IFERROR(INDEX(tk_ROOMF,MATCH(237,tk_DSEQ,0))&amp;IF(INDEX(tk_ROOMT,MATCH(237,tk_DSEQ,0))="",""," → "&amp;INDEX(tk_ROOMT,MATCH(237,tk_DSEQ,0))),"")</f>
        <v/>
      </c>
      <c r="D242" s="162">
        <f>IFERROR(INDEX(tk_LEAVES,MATCH(237,tk_DSEQ,0)),"")</f>
        <v/>
      </c>
      <c r="E242" s="162">
        <f>IFERROR(""&amp;INDEX(tk_RATING,MATCH(237,tk_DSEQ,0)),"")</f>
        <v/>
      </c>
      <c r="F242" s="162">
        <f>IFERROR(TEXT(INDEX(tk_LEAFW,MATCH(237,tk_DSEQ,0)),"0.000")&amp;" x "&amp;TEXT(INDEX(tk_LEAFH,MATCH(237,tk_DSEQ,0)),"0.000"),"")</f>
        <v/>
      </c>
      <c r="G242" s="181">
        <f>IFERROR(""&amp;INDEX(tk_DLINE,MATCH(237,tk_DSEQ,0)),"")</f>
        <v/>
      </c>
      <c r="H242" s="181">
        <f>IFERROR(""&amp;INDEX(tk_LOCTXTD,MATCH(237,tk_DSEQ,0)),"")</f>
        <v/>
      </c>
      <c r="I242" s="162">
        <f>IFERROR(""&amp;INDEX(tk_DNOTES,MATCH(237,tk_DSEQ,0)),"")</f>
        <v/>
      </c>
    </row>
    <row r="243">
      <c r="A243" s="161">
        <f>IFERROR(""&amp;INDEX(tk_MARK,MATCH(238,tk_DSEQ,0)),"")</f>
        <v/>
      </c>
      <c r="B243" s="162">
        <f>IFERROR(INDEX(tk_QTY,MATCH(238,tk_DSEQ,0)),"")</f>
        <v/>
      </c>
      <c r="C243" s="162">
        <f>IFERROR(INDEX(tk_ROOMF,MATCH(238,tk_DSEQ,0))&amp;IF(INDEX(tk_ROOMT,MATCH(238,tk_DSEQ,0))="",""," → "&amp;INDEX(tk_ROOMT,MATCH(238,tk_DSEQ,0))),"")</f>
        <v/>
      </c>
      <c r="D243" s="162">
        <f>IFERROR(INDEX(tk_LEAVES,MATCH(238,tk_DSEQ,0)),"")</f>
        <v/>
      </c>
      <c r="E243" s="162">
        <f>IFERROR(""&amp;INDEX(tk_RATING,MATCH(238,tk_DSEQ,0)),"")</f>
        <v/>
      </c>
      <c r="F243" s="162">
        <f>IFERROR(TEXT(INDEX(tk_LEAFW,MATCH(238,tk_DSEQ,0)),"0.000")&amp;" x "&amp;TEXT(INDEX(tk_LEAFH,MATCH(238,tk_DSEQ,0)),"0.000"),"")</f>
        <v/>
      </c>
      <c r="G243" s="181">
        <f>IFERROR(""&amp;INDEX(tk_DLINE,MATCH(238,tk_DSEQ,0)),"")</f>
        <v/>
      </c>
      <c r="H243" s="181">
        <f>IFERROR(""&amp;INDEX(tk_LOCTXTD,MATCH(238,tk_DSEQ,0)),"")</f>
        <v/>
      </c>
      <c r="I243" s="162">
        <f>IFERROR(""&amp;INDEX(tk_DNOTES,MATCH(238,tk_DSEQ,0)),"")</f>
        <v/>
      </c>
    </row>
    <row r="244">
      <c r="A244" s="161">
        <f>IFERROR(""&amp;INDEX(tk_MARK,MATCH(239,tk_DSEQ,0)),"")</f>
        <v/>
      </c>
      <c r="B244" s="162">
        <f>IFERROR(INDEX(tk_QTY,MATCH(239,tk_DSEQ,0)),"")</f>
        <v/>
      </c>
      <c r="C244" s="162">
        <f>IFERROR(INDEX(tk_ROOMF,MATCH(239,tk_DSEQ,0))&amp;IF(INDEX(tk_ROOMT,MATCH(239,tk_DSEQ,0))="",""," → "&amp;INDEX(tk_ROOMT,MATCH(239,tk_DSEQ,0))),"")</f>
        <v/>
      </c>
      <c r="D244" s="162">
        <f>IFERROR(INDEX(tk_LEAVES,MATCH(239,tk_DSEQ,0)),"")</f>
        <v/>
      </c>
      <c r="E244" s="162">
        <f>IFERROR(""&amp;INDEX(tk_RATING,MATCH(239,tk_DSEQ,0)),"")</f>
        <v/>
      </c>
      <c r="F244" s="162">
        <f>IFERROR(TEXT(INDEX(tk_LEAFW,MATCH(239,tk_DSEQ,0)),"0.000")&amp;" x "&amp;TEXT(INDEX(tk_LEAFH,MATCH(239,tk_DSEQ,0)),"0.000"),"")</f>
        <v/>
      </c>
      <c r="G244" s="181">
        <f>IFERROR(""&amp;INDEX(tk_DLINE,MATCH(239,tk_DSEQ,0)),"")</f>
        <v/>
      </c>
      <c r="H244" s="181">
        <f>IFERROR(""&amp;INDEX(tk_LOCTXTD,MATCH(239,tk_DSEQ,0)),"")</f>
        <v/>
      </c>
      <c r="I244" s="162">
        <f>IFERROR(""&amp;INDEX(tk_DNOTES,MATCH(239,tk_DSEQ,0)),"")</f>
        <v/>
      </c>
    </row>
    <row r="245">
      <c r="A245" s="161">
        <f>IFERROR(""&amp;INDEX(tk_MARK,MATCH(240,tk_DSEQ,0)),"")</f>
        <v/>
      </c>
      <c r="B245" s="162">
        <f>IFERROR(INDEX(tk_QTY,MATCH(240,tk_DSEQ,0)),"")</f>
        <v/>
      </c>
      <c r="C245" s="162">
        <f>IFERROR(INDEX(tk_ROOMF,MATCH(240,tk_DSEQ,0))&amp;IF(INDEX(tk_ROOMT,MATCH(240,tk_DSEQ,0))="",""," → "&amp;INDEX(tk_ROOMT,MATCH(240,tk_DSEQ,0))),"")</f>
        <v/>
      </c>
      <c r="D245" s="162">
        <f>IFERROR(INDEX(tk_LEAVES,MATCH(240,tk_DSEQ,0)),"")</f>
        <v/>
      </c>
      <c r="E245" s="162">
        <f>IFERROR(""&amp;INDEX(tk_RATING,MATCH(240,tk_DSEQ,0)),"")</f>
        <v/>
      </c>
      <c r="F245" s="162">
        <f>IFERROR(TEXT(INDEX(tk_LEAFW,MATCH(240,tk_DSEQ,0)),"0.000")&amp;" x "&amp;TEXT(INDEX(tk_LEAFH,MATCH(240,tk_DSEQ,0)),"0.000"),"")</f>
        <v/>
      </c>
      <c r="G245" s="181">
        <f>IFERROR(""&amp;INDEX(tk_DLINE,MATCH(240,tk_DSEQ,0)),"")</f>
        <v/>
      </c>
      <c r="H245" s="181">
        <f>IFERROR(""&amp;INDEX(tk_LOCTXTD,MATCH(240,tk_DSEQ,0)),"")</f>
        <v/>
      </c>
      <c r="I245" s="162">
        <f>IFERROR(""&amp;INDEX(tk_DNOTES,MATCH(240,tk_DSEQ,0)),"")</f>
        <v/>
      </c>
    </row>
    <row r="246">
      <c r="A246" s="161">
        <f>IFERROR(""&amp;INDEX(tk_MARK,MATCH(241,tk_DSEQ,0)),"")</f>
        <v/>
      </c>
      <c r="B246" s="162">
        <f>IFERROR(INDEX(tk_QTY,MATCH(241,tk_DSEQ,0)),"")</f>
        <v/>
      </c>
      <c r="C246" s="162">
        <f>IFERROR(INDEX(tk_ROOMF,MATCH(241,tk_DSEQ,0))&amp;IF(INDEX(tk_ROOMT,MATCH(241,tk_DSEQ,0))="",""," → "&amp;INDEX(tk_ROOMT,MATCH(241,tk_DSEQ,0))),"")</f>
        <v/>
      </c>
      <c r="D246" s="162">
        <f>IFERROR(INDEX(tk_LEAVES,MATCH(241,tk_DSEQ,0)),"")</f>
        <v/>
      </c>
      <c r="E246" s="162">
        <f>IFERROR(""&amp;INDEX(tk_RATING,MATCH(241,tk_DSEQ,0)),"")</f>
        <v/>
      </c>
      <c r="F246" s="162">
        <f>IFERROR(TEXT(INDEX(tk_LEAFW,MATCH(241,tk_DSEQ,0)),"0.000")&amp;" x "&amp;TEXT(INDEX(tk_LEAFH,MATCH(241,tk_DSEQ,0)),"0.000"),"")</f>
        <v/>
      </c>
      <c r="G246" s="181">
        <f>IFERROR(""&amp;INDEX(tk_DLINE,MATCH(241,tk_DSEQ,0)),"")</f>
        <v/>
      </c>
      <c r="H246" s="181">
        <f>IFERROR(""&amp;INDEX(tk_LOCTXTD,MATCH(241,tk_DSEQ,0)),"")</f>
        <v/>
      </c>
      <c r="I246" s="162">
        <f>IFERROR(""&amp;INDEX(tk_DNOTES,MATCH(241,tk_DSEQ,0)),"")</f>
        <v/>
      </c>
    </row>
    <row r="247">
      <c r="A247" s="161">
        <f>IFERROR(""&amp;INDEX(tk_MARK,MATCH(242,tk_DSEQ,0)),"")</f>
        <v/>
      </c>
      <c r="B247" s="162">
        <f>IFERROR(INDEX(tk_QTY,MATCH(242,tk_DSEQ,0)),"")</f>
        <v/>
      </c>
      <c r="C247" s="162">
        <f>IFERROR(INDEX(tk_ROOMF,MATCH(242,tk_DSEQ,0))&amp;IF(INDEX(tk_ROOMT,MATCH(242,tk_DSEQ,0))="",""," → "&amp;INDEX(tk_ROOMT,MATCH(242,tk_DSEQ,0))),"")</f>
        <v/>
      </c>
      <c r="D247" s="162">
        <f>IFERROR(INDEX(tk_LEAVES,MATCH(242,tk_DSEQ,0)),"")</f>
        <v/>
      </c>
      <c r="E247" s="162">
        <f>IFERROR(""&amp;INDEX(tk_RATING,MATCH(242,tk_DSEQ,0)),"")</f>
        <v/>
      </c>
      <c r="F247" s="162">
        <f>IFERROR(TEXT(INDEX(tk_LEAFW,MATCH(242,tk_DSEQ,0)),"0.000")&amp;" x "&amp;TEXT(INDEX(tk_LEAFH,MATCH(242,tk_DSEQ,0)),"0.000"),"")</f>
        <v/>
      </c>
      <c r="G247" s="181">
        <f>IFERROR(""&amp;INDEX(tk_DLINE,MATCH(242,tk_DSEQ,0)),"")</f>
        <v/>
      </c>
      <c r="H247" s="181">
        <f>IFERROR(""&amp;INDEX(tk_LOCTXTD,MATCH(242,tk_DSEQ,0)),"")</f>
        <v/>
      </c>
      <c r="I247" s="162">
        <f>IFERROR(""&amp;INDEX(tk_DNOTES,MATCH(242,tk_DSEQ,0)),"")</f>
        <v/>
      </c>
    </row>
    <row r="248">
      <c r="A248" s="161">
        <f>IFERROR(""&amp;INDEX(tk_MARK,MATCH(243,tk_DSEQ,0)),"")</f>
        <v/>
      </c>
      <c r="B248" s="162">
        <f>IFERROR(INDEX(tk_QTY,MATCH(243,tk_DSEQ,0)),"")</f>
        <v/>
      </c>
      <c r="C248" s="162">
        <f>IFERROR(INDEX(tk_ROOMF,MATCH(243,tk_DSEQ,0))&amp;IF(INDEX(tk_ROOMT,MATCH(243,tk_DSEQ,0))="",""," → "&amp;INDEX(tk_ROOMT,MATCH(243,tk_DSEQ,0))),"")</f>
        <v/>
      </c>
      <c r="D248" s="162">
        <f>IFERROR(INDEX(tk_LEAVES,MATCH(243,tk_DSEQ,0)),"")</f>
        <v/>
      </c>
      <c r="E248" s="162">
        <f>IFERROR(""&amp;INDEX(tk_RATING,MATCH(243,tk_DSEQ,0)),"")</f>
        <v/>
      </c>
      <c r="F248" s="162">
        <f>IFERROR(TEXT(INDEX(tk_LEAFW,MATCH(243,tk_DSEQ,0)),"0.000")&amp;" x "&amp;TEXT(INDEX(tk_LEAFH,MATCH(243,tk_DSEQ,0)),"0.000"),"")</f>
        <v/>
      </c>
      <c r="G248" s="181">
        <f>IFERROR(""&amp;INDEX(tk_DLINE,MATCH(243,tk_DSEQ,0)),"")</f>
        <v/>
      </c>
      <c r="H248" s="181">
        <f>IFERROR(""&amp;INDEX(tk_LOCTXTD,MATCH(243,tk_DSEQ,0)),"")</f>
        <v/>
      </c>
      <c r="I248" s="162">
        <f>IFERROR(""&amp;INDEX(tk_DNOTES,MATCH(243,tk_DSEQ,0)),"")</f>
        <v/>
      </c>
    </row>
    <row r="249">
      <c r="A249" s="161">
        <f>IFERROR(""&amp;INDEX(tk_MARK,MATCH(244,tk_DSEQ,0)),"")</f>
        <v/>
      </c>
      <c r="B249" s="162">
        <f>IFERROR(INDEX(tk_QTY,MATCH(244,tk_DSEQ,0)),"")</f>
        <v/>
      </c>
      <c r="C249" s="162">
        <f>IFERROR(INDEX(tk_ROOMF,MATCH(244,tk_DSEQ,0))&amp;IF(INDEX(tk_ROOMT,MATCH(244,tk_DSEQ,0))="",""," → "&amp;INDEX(tk_ROOMT,MATCH(244,tk_DSEQ,0))),"")</f>
        <v/>
      </c>
      <c r="D249" s="162">
        <f>IFERROR(INDEX(tk_LEAVES,MATCH(244,tk_DSEQ,0)),"")</f>
        <v/>
      </c>
      <c r="E249" s="162">
        <f>IFERROR(""&amp;INDEX(tk_RATING,MATCH(244,tk_DSEQ,0)),"")</f>
        <v/>
      </c>
      <c r="F249" s="162">
        <f>IFERROR(TEXT(INDEX(tk_LEAFW,MATCH(244,tk_DSEQ,0)),"0.000")&amp;" x "&amp;TEXT(INDEX(tk_LEAFH,MATCH(244,tk_DSEQ,0)),"0.000"),"")</f>
        <v/>
      </c>
      <c r="G249" s="181">
        <f>IFERROR(""&amp;INDEX(tk_DLINE,MATCH(244,tk_DSEQ,0)),"")</f>
        <v/>
      </c>
      <c r="H249" s="181">
        <f>IFERROR(""&amp;INDEX(tk_LOCTXTD,MATCH(244,tk_DSEQ,0)),"")</f>
        <v/>
      </c>
      <c r="I249" s="162">
        <f>IFERROR(""&amp;INDEX(tk_DNOTES,MATCH(244,tk_DSEQ,0)),"")</f>
        <v/>
      </c>
    </row>
    <row r="250">
      <c r="A250" s="161">
        <f>IFERROR(""&amp;INDEX(tk_MARK,MATCH(245,tk_DSEQ,0)),"")</f>
        <v/>
      </c>
      <c r="B250" s="162">
        <f>IFERROR(INDEX(tk_QTY,MATCH(245,tk_DSEQ,0)),"")</f>
        <v/>
      </c>
      <c r="C250" s="162">
        <f>IFERROR(INDEX(tk_ROOMF,MATCH(245,tk_DSEQ,0))&amp;IF(INDEX(tk_ROOMT,MATCH(245,tk_DSEQ,0))="",""," → "&amp;INDEX(tk_ROOMT,MATCH(245,tk_DSEQ,0))),"")</f>
        <v/>
      </c>
      <c r="D250" s="162">
        <f>IFERROR(INDEX(tk_LEAVES,MATCH(245,tk_DSEQ,0)),"")</f>
        <v/>
      </c>
      <c r="E250" s="162">
        <f>IFERROR(""&amp;INDEX(tk_RATING,MATCH(245,tk_DSEQ,0)),"")</f>
        <v/>
      </c>
      <c r="F250" s="162">
        <f>IFERROR(TEXT(INDEX(tk_LEAFW,MATCH(245,tk_DSEQ,0)),"0.000")&amp;" x "&amp;TEXT(INDEX(tk_LEAFH,MATCH(245,tk_DSEQ,0)),"0.000"),"")</f>
        <v/>
      </c>
      <c r="G250" s="181">
        <f>IFERROR(""&amp;INDEX(tk_DLINE,MATCH(245,tk_DSEQ,0)),"")</f>
        <v/>
      </c>
      <c r="H250" s="181">
        <f>IFERROR(""&amp;INDEX(tk_LOCTXTD,MATCH(245,tk_DSEQ,0)),"")</f>
        <v/>
      </c>
      <c r="I250" s="162">
        <f>IFERROR(""&amp;INDEX(tk_DNOTES,MATCH(245,tk_DSEQ,0)),"")</f>
        <v/>
      </c>
    </row>
    <row r="251">
      <c r="A251" s="161">
        <f>IFERROR(""&amp;INDEX(tk_MARK,MATCH(246,tk_DSEQ,0)),"")</f>
        <v/>
      </c>
      <c r="B251" s="162">
        <f>IFERROR(INDEX(tk_QTY,MATCH(246,tk_DSEQ,0)),"")</f>
        <v/>
      </c>
      <c r="C251" s="162">
        <f>IFERROR(INDEX(tk_ROOMF,MATCH(246,tk_DSEQ,0))&amp;IF(INDEX(tk_ROOMT,MATCH(246,tk_DSEQ,0))="",""," → "&amp;INDEX(tk_ROOMT,MATCH(246,tk_DSEQ,0))),"")</f>
        <v/>
      </c>
      <c r="D251" s="162">
        <f>IFERROR(INDEX(tk_LEAVES,MATCH(246,tk_DSEQ,0)),"")</f>
        <v/>
      </c>
      <c r="E251" s="162">
        <f>IFERROR(""&amp;INDEX(tk_RATING,MATCH(246,tk_DSEQ,0)),"")</f>
        <v/>
      </c>
      <c r="F251" s="162">
        <f>IFERROR(TEXT(INDEX(tk_LEAFW,MATCH(246,tk_DSEQ,0)),"0.000")&amp;" x "&amp;TEXT(INDEX(tk_LEAFH,MATCH(246,tk_DSEQ,0)),"0.000"),"")</f>
        <v/>
      </c>
      <c r="G251" s="181">
        <f>IFERROR(""&amp;INDEX(tk_DLINE,MATCH(246,tk_DSEQ,0)),"")</f>
        <v/>
      </c>
      <c r="H251" s="181">
        <f>IFERROR(""&amp;INDEX(tk_LOCTXTD,MATCH(246,tk_DSEQ,0)),"")</f>
        <v/>
      </c>
      <c r="I251" s="162">
        <f>IFERROR(""&amp;INDEX(tk_DNOTES,MATCH(246,tk_DSEQ,0)),"")</f>
        <v/>
      </c>
    </row>
    <row r="252">
      <c r="A252" s="161">
        <f>IFERROR(""&amp;INDEX(tk_MARK,MATCH(247,tk_DSEQ,0)),"")</f>
        <v/>
      </c>
      <c r="B252" s="162">
        <f>IFERROR(INDEX(tk_QTY,MATCH(247,tk_DSEQ,0)),"")</f>
        <v/>
      </c>
      <c r="C252" s="162">
        <f>IFERROR(INDEX(tk_ROOMF,MATCH(247,tk_DSEQ,0))&amp;IF(INDEX(tk_ROOMT,MATCH(247,tk_DSEQ,0))="",""," → "&amp;INDEX(tk_ROOMT,MATCH(247,tk_DSEQ,0))),"")</f>
        <v/>
      </c>
      <c r="D252" s="162">
        <f>IFERROR(INDEX(tk_LEAVES,MATCH(247,tk_DSEQ,0)),"")</f>
        <v/>
      </c>
      <c r="E252" s="162">
        <f>IFERROR(""&amp;INDEX(tk_RATING,MATCH(247,tk_DSEQ,0)),"")</f>
        <v/>
      </c>
      <c r="F252" s="162">
        <f>IFERROR(TEXT(INDEX(tk_LEAFW,MATCH(247,tk_DSEQ,0)),"0.000")&amp;" x "&amp;TEXT(INDEX(tk_LEAFH,MATCH(247,tk_DSEQ,0)),"0.000"),"")</f>
        <v/>
      </c>
      <c r="G252" s="181">
        <f>IFERROR(""&amp;INDEX(tk_DLINE,MATCH(247,tk_DSEQ,0)),"")</f>
        <v/>
      </c>
      <c r="H252" s="181">
        <f>IFERROR(""&amp;INDEX(tk_LOCTXTD,MATCH(247,tk_DSEQ,0)),"")</f>
        <v/>
      </c>
      <c r="I252" s="162">
        <f>IFERROR(""&amp;INDEX(tk_DNOTES,MATCH(247,tk_DSEQ,0)),"")</f>
        <v/>
      </c>
    </row>
    <row r="253">
      <c r="A253" s="161">
        <f>IFERROR(""&amp;INDEX(tk_MARK,MATCH(248,tk_DSEQ,0)),"")</f>
        <v/>
      </c>
      <c r="B253" s="162">
        <f>IFERROR(INDEX(tk_QTY,MATCH(248,tk_DSEQ,0)),"")</f>
        <v/>
      </c>
      <c r="C253" s="162">
        <f>IFERROR(INDEX(tk_ROOMF,MATCH(248,tk_DSEQ,0))&amp;IF(INDEX(tk_ROOMT,MATCH(248,tk_DSEQ,0))="",""," → "&amp;INDEX(tk_ROOMT,MATCH(248,tk_DSEQ,0))),"")</f>
        <v/>
      </c>
      <c r="D253" s="162">
        <f>IFERROR(INDEX(tk_LEAVES,MATCH(248,tk_DSEQ,0)),"")</f>
        <v/>
      </c>
      <c r="E253" s="162">
        <f>IFERROR(""&amp;INDEX(tk_RATING,MATCH(248,tk_DSEQ,0)),"")</f>
        <v/>
      </c>
      <c r="F253" s="162">
        <f>IFERROR(TEXT(INDEX(tk_LEAFW,MATCH(248,tk_DSEQ,0)),"0.000")&amp;" x "&amp;TEXT(INDEX(tk_LEAFH,MATCH(248,tk_DSEQ,0)),"0.000"),"")</f>
        <v/>
      </c>
      <c r="G253" s="181">
        <f>IFERROR(""&amp;INDEX(tk_DLINE,MATCH(248,tk_DSEQ,0)),"")</f>
        <v/>
      </c>
      <c r="H253" s="181">
        <f>IFERROR(""&amp;INDEX(tk_LOCTXTD,MATCH(248,tk_DSEQ,0)),"")</f>
        <v/>
      </c>
      <c r="I253" s="162">
        <f>IFERROR(""&amp;INDEX(tk_DNOTES,MATCH(248,tk_DSEQ,0)),"")</f>
        <v/>
      </c>
    </row>
    <row r="254">
      <c r="A254" s="161">
        <f>IFERROR(""&amp;INDEX(tk_MARK,MATCH(249,tk_DSEQ,0)),"")</f>
        <v/>
      </c>
      <c r="B254" s="162">
        <f>IFERROR(INDEX(tk_QTY,MATCH(249,tk_DSEQ,0)),"")</f>
        <v/>
      </c>
      <c r="C254" s="162">
        <f>IFERROR(INDEX(tk_ROOMF,MATCH(249,tk_DSEQ,0))&amp;IF(INDEX(tk_ROOMT,MATCH(249,tk_DSEQ,0))="",""," → "&amp;INDEX(tk_ROOMT,MATCH(249,tk_DSEQ,0))),"")</f>
        <v/>
      </c>
      <c r="D254" s="162">
        <f>IFERROR(INDEX(tk_LEAVES,MATCH(249,tk_DSEQ,0)),"")</f>
        <v/>
      </c>
      <c r="E254" s="162">
        <f>IFERROR(""&amp;INDEX(tk_RATING,MATCH(249,tk_DSEQ,0)),"")</f>
        <v/>
      </c>
      <c r="F254" s="162">
        <f>IFERROR(TEXT(INDEX(tk_LEAFW,MATCH(249,tk_DSEQ,0)),"0.000")&amp;" x "&amp;TEXT(INDEX(tk_LEAFH,MATCH(249,tk_DSEQ,0)),"0.000"),"")</f>
        <v/>
      </c>
      <c r="G254" s="181">
        <f>IFERROR(""&amp;INDEX(tk_DLINE,MATCH(249,tk_DSEQ,0)),"")</f>
        <v/>
      </c>
      <c r="H254" s="181">
        <f>IFERROR(""&amp;INDEX(tk_LOCTXTD,MATCH(249,tk_DSEQ,0)),"")</f>
        <v/>
      </c>
      <c r="I254" s="162">
        <f>IFERROR(""&amp;INDEX(tk_DNOTES,MATCH(249,tk_DSEQ,0)),"")</f>
        <v/>
      </c>
    </row>
    <row r="255">
      <c r="A255" s="161">
        <f>IFERROR(""&amp;INDEX(tk_MARK,MATCH(250,tk_DSEQ,0)),"")</f>
        <v/>
      </c>
      <c r="B255" s="162">
        <f>IFERROR(INDEX(tk_QTY,MATCH(250,tk_DSEQ,0)),"")</f>
        <v/>
      </c>
      <c r="C255" s="162">
        <f>IFERROR(INDEX(tk_ROOMF,MATCH(250,tk_DSEQ,0))&amp;IF(INDEX(tk_ROOMT,MATCH(250,tk_DSEQ,0))="",""," → "&amp;INDEX(tk_ROOMT,MATCH(250,tk_DSEQ,0))),"")</f>
        <v/>
      </c>
      <c r="D255" s="162">
        <f>IFERROR(INDEX(tk_LEAVES,MATCH(250,tk_DSEQ,0)),"")</f>
        <v/>
      </c>
      <c r="E255" s="162">
        <f>IFERROR(""&amp;INDEX(tk_RATING,MATCH(250,tk_DSEQ,0)),"")</f>
        <v/>
      </c>
      <c r="F255" s="162">
        <f>IFERROR(TEXT(INDEX(tk_LEAFW,MATCH(250,tk_DSEQ,0)),"0.000")&amp;" x "&amp;TEXT(INDEX(tk_LEAFH,MATCH(250,tk_DSEQ,0)),"0.000"),"")</f>
        <v/>
      </c>
      <c r="G255" s="181">
        <f>IFERROR(""&amp;INDEX(tk_DLINE,MATCH(250,tk_DSEQ,0)),"")</f>
        <v/>
      </c>
      <c r="H255" s="181">
        <f>IFERROR(""&amp;INDEX(tk_LOCTXTD,MATCH(250,tk_DSEQ,0)),"")</f>
        <v/>
      </c>
      <c r="I255" s="162">
        <f>IFERROR(""&amp;INDEX(tk_DNOTES,MATCH(250,tk_DSEQ,0)),"")</f>
        <v/>
      </c>
    </row>
    <row r="256">
      <c r="A256" s="161">
        <f>IFERROR(""&amp;INDEX(tk_MARK,MATCH(251,tk_DSEQ,0)),"")</f>
        <v/>
      </c>
      <c r="B256" s="162">
        <f>IFERROR(INDEX(tk_QTY,MATCH(251,tk_DSEQ,0)),"")</f>
        <v/>
      </c>
      <c r="C256" s="162">
        <f>IFERROR(INDEX(tk_ROOMF,MATCH(251,tk_DSEQ,0))&amp;IF(INDEX(tk_ROOMT,MATCH(251,tk_DSEQ,0))="",""," → "&amp;INDEX(tk_ROOMT,MATCH(251,tk_DSEQ,0))),"")</f>
        <v/>
      </c>
      <c r="D256" s="162">
        <f>IFERROR(INDEX(tk_LEAVES,MATCH(251,tk_DSEQ,0)),"")</f>
        <v/>
      </c>
      <c r="E256" s="162">
        <f>IFERROR(""&amp;INDEX(tk_RATING,MATCH(251,tk_DSEQ,0)),"")</f>
        <v/>
      </c>
      <c r="F256" s="162">
        <f>IFERROR(TEXT(INDEX(tk_LEAFW,MATCH(251,tk_DSEQ,0)),"0.000")&amp;" x "&amp;TEXT(INDEX(tk_LEAFH,MATCH(251,tk_DSEQ,0)),"0.000"),"")</f>
        <v/>
      </c>
      <c r="G256" s="181">
        <f>IFERROR(""&amp;INDEX(tk_DLINE,MATCH(251,tk_DSEQ,0)),"")</f>
        <v/>
      </c>
      <c r="H256" s="181">
        <f>IFERROR(""&amp;INDEX(tk_LOCTXTD,MATCH(251,tk_DSEQ,0)),"")</f>
        <v/>
      </c>
      <c r="I256" s="162">
        <f>IFERROR(""&amp;INDEX(tk_DNOTES,MATCH(251,tk_DSEQ,0)),"")</f>
        <v/>
      </c>
    </row>
    <row r="257">
      <c r="A257" s="161">
        <f>IFERROR(""&amp;INDEX(tk_MARK,MATCH(252,tk_DSEQ,0)),"")</f>
        <v/>
      </c>
      <c r="B257" s="162">
        <f>IFERROR(INDEX(tk_QTY,MATCH(252,tk_DSEQ,0)),"")</f>
        <v/>
      </c>
      <c r="C257" s="162">
        <f>IFERROR(INDEX(tk_ROOMF,MATCH(252,tk_DSEQ,0))&amp;IF(INDEX(tk_ROOMT,MATCH(252,tk_DSEQ,0))="",""," → "&amp;INDEX(tk_ROOMT,MATCH(252,tk_DSEQ,0))),"")</f>
        <v/>
      </c>
      <c r="D257" s="162">
        <f>IFERROR(INDEX(tk_LEAVES,MATCH(252,tk_DSEQ,0)),"")</f>
        <v/>
      </c>
      <c r="E257" s="162">
        <f>IFERROR(""&amp;INDEX(tk_RATING,MATCH(252,tk_DSEQ,0)),"")</f>
        <v/>
      </c>
      <c r="F257" s="162">
        <f>IFERROR(TEXT(INDEX(tk_LEAFW,MATCH(252,tk_DSEQ,0)),"0.000")&amp;" x "&amp;TEXT(INDEX(tk_LEAFH,MATCH(252,tk_DSEQ,0)),"0.000"),"")</f>
        <v/>
      </c>
      <c r="G257" s="181">
        <f>IFERROR(""&amp;INDEX(tk_DLINE,MATCH(252,tk_DSEQ,0)),"")</f>
        <v/>
      </c>
      <c r="H257" s="181">
        <f>IFERROR(""&amp;INDEX(tk_LOCTXTD,MATCH(252,tk_DSEQ,0)),"")</f>
        <v/>
      </c>
      <c r="I257" s="162">
        <f>IFERROR(""&amp;INDEX(tk_DNOTES,MATCH(252,tk_DSEQ,0)),"")</f>
        <v/>
      </c>
    </row>
    <row r="258">
      <c r="A258" s="161">
        <f>IFERROR(""&amp;INDEX(tk_MARK,MATCH(253,tk_DSEQ,0)),"")</f>
        <v/>
      </c>
      <c r="B258" s="162">
        <f>IFERROR(INDEX(tk_QTY,MATCH(253,tk_DSEQ,0)),"")</f>
        <v/>
      </c>
      <c r="C258" s="162">
        <f>IFERROR(INDEX(tk_ROOMF,MATCH(253,tk_DSEQ,0))&amp;IF(INDEX(tk_ROOMT,MATCH(253,tk_DSEQ,0))="",""," → "&amp;INDEX(tk_ROOMT,MATCH(253,tk_DSEQ,0))),"")</f>
        <v/>
      </c>
      <c r="D258" s="162">
        <f>IFERROR(INDEX(tk_LEAVES,MATCH(253,tk_DSEQ,0)),"")</f>
        <v/>
      </c>
      <c r="E258" s="162">
        <f>IFERROR(""&amp;INDEX(tk_RATING,MATCH(253,tk_DSEQ,0)),"")</f>
        <v/>
      </c>
      <c r="F258" s="162">
        <f>IFERROR(TEXT(INDEX(tk_LEAFW,MATCH(253,tk_DSEQ,0)),"0.000")&amp;" x "&amp;TEXT(INDEX(tk_LEAFH,MATCH(253,tk_DSEQ,0)),"0.000"),"")</f>
        <v/>
      </c>
      <c r="G258" s="181">
        <f>IFERROR(""&amp;INDEX(tk_DLINE,MATCH(253,tk_DSEQ,0)),"")</f>
        <v/>
      </c>
      <c r="H258" s="181">
        <f>IFERROR(""&amp;INDEX(tk_LOCTXTD,MATCH(253,tk_DSEQ,0)),"")</f>
        <v/>
      </c>
      <c r="I258" s="162">
        <f>IFERROR(""&amp;INDEX(tk_DNOTES,MATCH(253,tk_DSEQ,0)),"")</f>
        <v/>
      </c>
    </row>
    <row r="259">
      <c r="A259" s="161">
        <f>IFERROR(""&amp;INDEX(tk_MARK,MATCH(254,tk_DSEQ,0)),"")</f>
        <v/>
      </c>
      <c r="B259" s="162">
        <f>IFERROR(INDEX(tk_QTY,MATCH(254,tk_DSEQ,0)),"")</f>
        <v/>
      </c>
      <c r="C259" s="162">
        <f>IFERROR(INDEX(tk_ROOMF,MATCH(254,tk_DSEQ,0))&amp;IF(INDEX(tk_ROOMT,MATCH(254,tk_DSEQ,0))="",""," → "&amp;INDEX(tk_ROOMT,MATCH(254,tk_DSEQ,0))),"")</f>
        <v/>
      </c>
      <c r="D259" s="162">
        <f>IFERROR(INDEX(tk_LEAVES,MATCH(254,tk_DSEQ,0)),"")</f>
        <v/>
      </c>
      <c r="E259" s="162">
        <f>IFERROR(""&amp;INDEX(tk_RATING,MATCH(254,tk_DSEQ,0)),"")</f>
        <v/>
      </c>
      <c r="F259" s="162">
        <f>IFERROR(TEXT(INDEX(tk_LEAFW,MATCH(254,tk_DSEQ,0)),"0.000")&amp;" x "&amp;TEXT(INDEX(tk_LEAFH,MATCH(254,tk_DSEQ,0)),"0.000"),"")</f>
        <v/>
      </c>
      <c r="G259" s="181">
        <f>IFERROR(""&amp;INDEX(tk_DLINE,MATCH(254,tk_DSEQ,0)),"")</f>
        <v/>
      </c>
      <c r="H259" s="181">
        <f>IFERROR(""&amp;INDEX(tk_LOCTXTD,MATCH(254,tk_DSEQ,0)),"")</f>
        <v/>
      </c>
      <c r="I259" s="162">
        <f>IFERROR(""&amp;INDEX(tk_DNOTES,MATCH(254,tk_DSEQ,0)),"")</f>
        <v/>
      </c>
    </row>
    <row r="260">
      <c r="A260" s="161">
        <f>IFERROR(""&amp;INDEX(tk_MARK,MATCH(255,tk_DSEQ,0)),"")</f>
        <v/>
      </c>
      <c r="B260" s="162">
        <f>IFERROR(INDEX(tk_QTY,MATCH(255,tk_DSEQ,0)),"")</f>
        <v/>
      </c>
      <c r="C260" s="162">
        <f>IFERROR(INDEX(tk_ROOMF,MATCH(255,tk_DSEQ,0))&amp;IF(INDEX(tk_ROOMT,MATCH(255,tk_DSEQ,0))="",""," → "&amp;INDEX(tk_ROOMT,MATCH(255,tk_DSEQ,0))),"")</f>
        <v/>
      </c>
      <c r="D260" s="162">
        <f>IFERROR(INDEX(tk_LEAVES,MATCH(255,tk_DSEQ,0)),"")</f>
        <v/>
      </c>
      <c r="E260" s="162">
        <f>IFERROR(""&amp;INDEX(tk_RATING,MATCH(255,tk_DSEQ,0)),"")</f>
        <v/>
      </c>
      <c r="F260" s="162">
        <f>IFERROR(TEXT(INDEX(tk_LEAFW,MATCH(255,tk_DSEQ,0)),"0.000")&amp;" x "&amp;TEXT(INDEX(tk_LEAFH,MATCH(255,tk_DSEQ,0)),"0.000"),"")</f>
        <v/>
      </c>
      <c r="G260" s="181">
        <f>IFERROR(""&amp;INDEX(tk_DLINE,MATCH(255,tk_DSEQ,0)),"")</f>
        <v/>
      </c>
      <c r="H260" s="181">
        <f>IFERROR(""&amp;INDEX(tk_LOCTXTD,MATCH(255,tk_DSEQ,0)),"")</f>
        <v/>
      </c>
      <c r="I260" s="162">
        <f>IFERROR(""&amp;INDEX(tk_DNOTES,MATCH(255,tk_DSEQ,0)),"")</f>
        <v/>
      </c>
    </row>
    <row r="261">
      <c r="A261" s="161">
        <f>IFERROR(""&amp;INDEX(tk_MARK,MATCH(256,tk_DSEQ,0)),"")</f>
        <v/>
      </c>
      <c r="B261" s="162">
        <f>IFERROR(INDEX(tk_QTY,MATCH(256,tk_DSEQ,0)),"")</f>
        <v/>
      </c>
      <c r="C261" s="162">
        <f>IFERROR(INDEX(tk_ROOMF,MATCH(256,tk_DSEQ,0))&amp;IF(INDEX(tk_ROOMT,MATCH(256,tk_DSEQ,0))="",""," → "&amp;INDEX(tk_ROOMT,MATCH(256,tk_DSEQ,0))),"")</f>
        <v/>
      </c>
      <c r="D261" s="162">
        <f>IFERROR(INDEX(tk_LEAVES,MATCH(256,tk_DSEQ,0)),"")</f>
        <v/>
      </c>
      <c r="E261" s="162">
        <f>IFERROR(""&amp;INDEX(tk_RATING,MATCH(256,tk_DSEQ,0)),"")</f>
        <v/>
      </c>
      <c r="F261" s="162">
        <f>IFERROR(TEXT(INDEX(tk_LEAFW,MATCH(256,tk_DSEQ,0)),"0.000")&amp;" x "&amp;TEXT(INDEX(tk_LEAFH,MATCH(256,tk_DSEQ,0)),"0.000"),"")</f>
        <v/>
      </c>
      <c r="G261" s="181">
        <f>IFERROR(""&amp;INDEX(tk_DLINE,MATCH(256,tk_DSEQ,0)),"")</f>
        <v/>
      </c>
      <c r="H261" s="181">
        <f>IFERROR(""&amp;INDEX(tk_LOCTXTD,MATCH(256,tk_DSEQ,0)),"")</f>
        <v/>
      </c>
      <c r="I261" s="162">
        <f>IFERROR(""&amp;INDEX(tk_DNOTES,MATCH(256,tk_DSEQ,0)),"")</f>
        <v/>
      </c>
    </row>
    <row r="262">
      <c r="A262" s="161">
        <f>IFERROR(""&amp;INDEX(tk_MARK,MATCH(257,tk_DSEQ,0)),"")</f>
        <v/>
      </c>
      <c r="B262" s="162">
        <f>IFERROR(INDEX(tk_QTY,MATCH(257,tk_DSEQ,0)),"")</f>
        <v/>
      </c>
      <c r="C262" s="162">
        <f>IFERROR(INDEX(tk_ROOMF,MATCH(257,tk_DSEQ,0))&amp;IF(INDEX(tk_ROOMT,MATCH(257,tk_DSEQ,0))="",""," → "&amp;INDEX(tk_ROOMT,MATCH(257,tk_DSEQ,0))),"")</f>
        <v/>
      </c>
      <c r="D262" s="162">
        <f>IFERROR(INDEX(tk_LEAVES,MATCH(257,tk_DSEQ,0)),"")</f>
        <v/>
      </c>
      <c r="E262" s="162">
        <f>IFERROR(""&amp;INDEX(tk_RATING,MATCH(257,tk_DSEQ,0)),"")</f>
        <v/>
      </c>
      <c r="F262" s="162">
        <f>IFERROR(TEXT(INDEX(tk_LEAFW,MATCH(257,tk_DSEQ,0)),"0.000")&amp;" x "&amp;TEXT(INDEX(tk_LEAFH,MATCH(257,tk_DSEQ,0)),"0.000"),"")</f>
        <v/>
      </c>
      <c r="G262" s="181">
        <f>IFERROR(""&amp;INDEX(tk_DLINE,MATCH(257,tk_DSEQ,0)),"")</f>
        <v/>
      </c>
      <c r="H262" s="181">
        <f>IFERROR(""&amp;INDEX(tk_LOCTXTD,MATCH(257,tk_DSEQ,0)),"")</f>
        <v/>
      </c>
      <c r="I262" s="162">
        <f>IFERROR(""&amp;INDEX(tk_DNOTES,MATCH(257,tk_DSEQ,0)),"")</f>
        <v/>
      </c>
    </row>
    <row r="263">
      <c r="A263" s="161">
        <f>IFERROR(""&amp;INDEX(tk_MARK,MATCH(258,tk_DSEQ,0)),"")</f>
        <v/>
      </c>
      <c r="B263" s="162">
        <f>IFERROR(INDEX(tk_QTY,MATCH(258,tk_DSEQ,0)),"")</f>
        <v/>
      </c>
      <c r="C263" s="162">
        <f>IFERROR(INDEX(tk_ROOMF,MATCH(258,tk_DSEQ,0))&amp;IF(INDEX(tk_ROOMT,MATCH(258,tk_DSEQ,0))="",""," → "&amp;INDEX(tk_ROOMT,MATCH(258,tk_DSEQ,0))),"")</f>
        <v/>
      </c>
      <c r="D263" s="162">
        <f>IFERROR(INDEX(tk_LEAVES,MATCH(258,tk_DSEQ,0)),"")</f>
        <v/>
      </c>
      <c r="E263" s="162">
        <f>IFERROR(""&amp;INDEX(tk_RATING,MATCH(258,tk_DSEQ,0)),"")</f>
        <v/>
      </c>
      <c r="F263" s="162">
        <f>IFERROR(TEXT(INDEX(tk_LEAFW,MATCH(258,tk_DSEQ,0)),"0.000")&amp;" x "&amp;TEXT(INDEX(tk_LEAFH,MATCH(258,tk_DSEQ,0)),"0.000"),"")</f>
        <v/>
      </c>
      <c r="G263" s="181">
        <f>IFERROR(""&amp;INDEX(tk_DLINE,MATCH(258,tk_DSEQ,0)),"")</f>
        <v/>
      </c>
      <c r="H263" s="181">
        <f>IFERROR(""&amp;INDEX(tk_LOCTXTD,MATCH(258,tk_DSEQ,0)),"")</f>
        <v/>
      </c>
      <c r="I263" s="162">
        <f>IFERROR(""&amp;INDEX(tk_DNOTES,MATCH(258,tk_DSEQ,0)),"")</f>
        <v/>
      </c>
    </row>
    <row r="264">
      <c r="A264" s="161">
        <f>IFERROR(""&amp;INDEX(tk_MARK,MATCH(259,tk_DSEQ,0)),"")</f>
        <v/>
      </c>
      <c r="B264" s="162">
        <f>IFERROR(INDEX(tk_QTY,MATCH(259,tk_DSEQ,0)),"")</f>
        <v/>
      </c>
      <c r="C264" s="162">
        <f>IFERROR(INDEX(tk_ROOMF,MATCH(259,tk_DSEQ,0))&amp;IF(INDEX(tk_ROOMT,MATCH(259,tk_DSEQ,0))="",""," → "&amp;INDEX(tk_ROOMT,MATCH(259,tk_DSEQ,0))),"")</f>
        <v/>
      </c>
      <c r="D264" s="162">
        <f>IFERROR(INDEX(tk_LEAVES,MATCH(259,tk_DSEQ,0)),"")</f>
        <v/>
      </c>
      <c r="E264" s="162">
        <f>IFERROR(""&amp;INDEX(tk_RATING,MATCH(259,tk_DSEQ,0)),"")</f>
        <v/>
      </c>
      <c r="F264" s="162">
        <f>IFERROR(TEXT(INDEX(tk_LEAFW,MATCH(259,tk_DSEQ,0)),"0.000")&amp;" x "&amp;TEXT(INDEX(tk_LEAFH,MATCH(259,tk_DSEQ,0)),"0.000"),"")</f>
        <v/>
      </c>
      <c r="G264" s="181">
        <f>IFERROR(""&amp;INDEX(tk_DLINE,MATCH(259,tk_DSEQ,0)),"")</f>
        <v/>
      </c>
      <c r="H264" s="181">
        <f>IFERROR(""&amp;INDEX(tk_LOCTXTD,MATCH(259,tk_DSEQ,0)),"")</f>
        <v/>
      </c>
      <c r="I264" s="162">
        <f>IFERROR(""&amp;INDEX(tk_DNOTES,MATCH(259,tk_DSEQ,0)),"")</f>
        <v/>
      </c>
    </row>
    <row r="265">
      <c r="A265" s="161">
        <f>IFERROR(""&amp;INDEX(tk_MARK,MATCH(260,tk_DSEQ,0)),"")</f>
        <v/>
      </c>
      <c r="B265" s="162">
        <f>IFERROR(INDEX(tk_QTY,MATCH(260,tk_DSEQ,0)),"")</f>
        <v/>
      </c>
      <c r="C265" s="162">
        <f>IFERROR(INDEX(tk_ROOMF,MATCH(260,tk_DSEQ,0))&amp;IF(INDEX(tk_ROOMT,MATCH(260,tk_DSEQ,0))="",""," → "&amp;INDEX(tk_ROOMT,MATCH(260,tk_DSEQ,0))),"")</f>
        <v/>
      </c>
      <c r="D265" s="162">
        <f>IFERROR(INDEX(tk_LEAVES,MATCH(260,tk_DSEQ,0)),"")</f>
        <v/>
      </c>
      <c r="E265" s="162">
        <f>IFERROR(""&amp;INDEX(tk_RATING,MATCH(260,tk_DSEQ,0)),"")</f>
        <v/>
      </c>
      <c r="F265" s="162">
        <f>IFERROR(TEXT(INDEX(tk_LEAFW,MATCH(260,tk_DSEQ,0)),"0.000")&amp;" x "&amp;TEXT(INDEX(tk_LEAFH,MATCH(260,tk_DSEQ,0)),"0.000"),"")</f>
        <v/>
      </c>
      <c r="G265" s="181">
        <f>IFERROR(""&amp;INDEX(tk_DLINE,MATCH(260,tk_DSEQ,0)),"")</f>
        <v/>
      </c>
      <c r="H265" s="181">
        <f>IFERROR(""&amp;INDEX(tk_LOCTXTD,MATCH(260,tk_DSEQ,0)),"")</f>
        <v/>
      </c>
      <c r="I265" s="162">
        <f>IFERROR(""&amp;INDEX(tk_DNOTES,MATCH(260,tk_DSEQ,0)),"")</f>
        <v/>
      </c>
    </row>
    <row r="266">
      <c r="A266" s="161">
        <f>IFERROR(""&amp;INDEX(tk_MARK,MATCH(261,tk_DSEQ,0)),"")</f>
        <v/>
      </c>
      <c r="B266" s="162">
        <f>IFERROR(INDEX(tk_QTY,MATCH(261,tk_DSEQ,0)),"")</f>
        <v/>
      </c>
      <c r="C266" s="162">
        <f>IFERROR(INDEX(tk_ROOMF,MATCH(261,tk_DSEQ,0))&amp;IF(INDEX(tk_ROOMT,MATCH(261,tk_DSEQ,0))="",""," → "&amp;INDEX(tk_ROOMT,MATCH(261,tk_DSEQ,0))),"")</f>
        <v/>
      </c>
      <c r="D266" s="162">
        <f>IFERROR(INDEX(tk_LEAVES,MATCH(261,tk_DSEQ,0)),"")</f>
        <v/>
      </c>
      <c r="E266" s="162">
        <f>IFERROR(""&amp;INDEX(tk_RATING,MATCH(261,tk_DSEQ,0)),"")</f>
        <v/>
      </c>
      <c r="F266" s="162">
        <f>IFERROR(TEXT(INDEX(tk_LEAFW,MATCH(261,tk_DSEQ,0)),"0.000")&amp;" x "&amp;TEXT(INDEX(tk_LEAFH,MATCH(261,tk_DSEQ,0)),"0.000"),"")</f>
        <v/>
      </c>
      <c r="G266" s="181">
        <f>IFERROR(""&amp;INDEX(tk_DLINE,MATCH(261,tk_DSEQ,0)),"")</f>
        <v/>
      </c>
      <c r="H266" s="181">
        <f>IFERROR(""&amp;INDEX(tk_LOCTXTD,MATCH(261,tk_DSEQ,0)),"")</f>
        <v/>
      </c>
      <c r="I266" s="162">
        <f>IFERROR(""&amp;INDEX(tk_DNOTES,MATCH(261,tk_DSEQ,0)),"")</f>
        <v/>
      </c>
    </row>
    <row r="267">
      <c r="A267" s="161">
        <f>IFERROR(""&amp;INDEX(tk_MARK,MATCH(262,tk_DSEQ,0)),"")</f>
        <v/>
      </c>
      <c r="B267" s="162">
        <f>IFERROR(INDEX(tk_QTY,MATCH(262,tk_DSEQ,0)),"")</f>
        <v/>
      </c>
      <c r="C267" s="162">
        <f>IFERROR(INDEX(tk_ROOMF,MATCH(262,tk_DSEQ,0))&amp;IF(INDEX(tk_ROOMT,MATCH(262,tk_DSEQ,0))="",""," → "&amp;INDEX(tk_ROOMT,MATCH(262,tk_DSEQ,0))),"")</f>
        <v/>
      </c>
      <c r="D267" s="162">
        <f>IFERROR(INDEX(tk_LEAVES,MATCH(262,tk_DSEQ,0)),"")</f>
        <v/>
      </c>
      <c r="E267" s="162">
        <f>IFERROR(""&amp;INDEX(tk_RATING,MATCH(262,tk_DSEQ,0)),"")</f>
        <v/>
      </c>
      <c r="F267" s="162">
        <f>IFERROR(TEXT(INDEX(tk_LEAFW,MATCH(262,tk_DSEQ,0)),"0.000")&amp;" x "&amp;TEXT(INDEX(tk_LEAFH,MATCH(262,tk_DSEQ,0)),"0.000"),"")</f>
        <v/>
      </c>
      <c r="G267" s="181">
        <f>IFERROR(""&amp;INDEX(tk_DLINE,MATCH(262,tk_DSEQ,0)),"")</f>
        <v/>
      </c>
      <c r="H267" s="181">
        <f>IFERROR(""&amp;INDEX(tk_LOCTXTD,MATCH(262,tk_DSEQ,0)),"")</f>
        <v/>
      </c>
      <c r="I267" s="162">
        <f>IFERROR(""&amp;INDEX(tk_DNOTES,MATCH(262,tk_DSEQ,0)),"")</f>
        <v/>
      </c>
    </row>
    <row r="268">
      <c r="A268" s="161">
        <f>IFERROR(""&amp;INDEX(tk_MARK,MATCH(263,tk_DSEQ,0)),"")</f>
        <v/>
      </c>
      <c r="B268" s="162">
        <f>IFERROR(INDEX(tk_QTY,MATCH(263,tk_DSEQ,0)),"")</f>
        <v/>
      </c>
      <c r="C268" s="162">
        <f>IFERROR(INDEX(tk_ROOMF,MATCH(263,tk_DSEQ,0))&amp;IF(INDEX(tk_ROOMT,MATCH(263,tk_DSEQ,0))="",""," → "&amp;INDEX(tk_ROOMT,MATCH(263,tk_DSEQ,0))),"")</f>
        <v/>
      </c>
      <c r="D268" s="162">
        <f>IFERROR(INDEX(tk_LEAVES,MATCH(263,tk_DSEQ,0)),"")</f>
        <v/>
      </c>
      <c r="E268" s="162">
        <f>IFERROR(""&amp;INDEX(tk_RATING,MATCH(263,tk_DSEQ,0)),"")</f>
        <v/>
      </c>
      <c r="F268" s="162">
        <f>IFERROR(TEXT(INDEX(tk_LEAFW,MATCH(263,tk_DSEQ,0)),"0.000")&amp;" x "&amp;TEXT(INDEX(tk_LEAFH,MATCH(263,tk_DSEQ,0)),"0.000"),"")</f>
        <v/>
      </c>
      <c r="G268" s="181">
        <f>IFERROR(""&amp;INDEX(tk_DLINE,MATCH(263,tk_DSEQ,0)),"")</f>
        <v/>
      </c>
      <c r="H268" s="181">
        <f>IFERROR(""&amp;INDEX(tk_LOCTXTD,MATCH(263,tk_DSEQ,0)),"")</f>
        <v/>
      </c>
      <c r="I268" s="162">
        <f>IFERROR(""&amp;INDEX(tk_DNOTES,MATCH(263,tk_DSEQ,0)),"")</f>
        <v/>
      </c>
    </row>
    <row r="269">
      <c r="A269" s="161">
        <f>IFERROR(""&amp;INDEX(tk_MARK,MATCH(264,tk_DSEQ,0)),"")</f>
        <v/>
      </c>
      <c r="B269" s="162">
        <f>IFERROR(INDEX(tk_QTY,MATCH(264,tk_DSEQ,0)),"")</f>
        <v/>
      </c>
      <c r="C269" s="162">
        <f>IFERROR(INDEX(tk_ROOMF,MATCH(264,tk_DSEQ,0))&amp;IF(INDEX(tk_ROOMT,MATCH(264,tk_DSEQ,0))="",""," → "&amp;INDEX(tk_ROOMT,MATCH(264,tk_DSEQ,0))),"")</f>
        <v/>
      </c>
      <c r="D269" s="162">
        <f>IFERROR(INDEX(tk_LEAVES,MATCH(264,tk_DSEQ,0)),"")</f>
        <v/>
      </c>
      <c r="E269" s="162">
        <f>IFERROR(""&amp;INDEX(tk_RATING,MATCH(264,tk_DSEQ,0)),"")</f>
        <v/>
      </c>
      <c r="F269" s="162">
        <f>IFERROR(TEXT(INDEX(tk_LEAFW,MATCH(264,tk_DSEQ,0)),"0.000")&amp;" x "&amp;TEXT(INDEX(tk_LEAFH,MATCH(264,tk_DSEQ,0)),"0.000"),"")</f>
        <v/>
      </c>
      <c r="G269" s="181">
        <f>IFERROR(""&amp;INDEX(tk_DLINE,MATCH(264,tk_DSEQ,0)),"")</f>
        <v/>
      </c>
      <c r="H269" s="181">
        <f>IFERROR(""&amp;INDEX(tk_LOCTXTD,MATCH(264,tk_DSEQ,0)),"")</f>
        <v/>
      </c>
      <c r="I269" s="162">
        <f>IFERROR(""&amp;INDEX(tk_DNOTES,MATCH(264,tk_DSEQ,0)),"")</f>
        <v/>
      </c>
    </row>
    <row r="270">
      <c r="A270" s="161">
        <f>IFERROR(""&amp;INDEX(tk_MARK,MATCH(265,tk_DSEQ,0)),"")</f>
        <v/>
      </c>
      <c r="B270" s="162">
        <f>IFERROR(INDEX(tk_QTY,MATCH(265,tk_DSEQ,0)),"")</f>
        <v/>
      </c>
      <c r="C270" s="162">
        <f>IFERROR(INDEX(tk_ROOMF,MATCH(265,tk_DSEQ,0))&amp;IF(INDEX(tk_ROOMT,MATCH(265,tk_DSEQ,0))="",""," → "&amp;INDEX(tk_ROOMT,MATCH(265,tk_DSEQ,0))),"")</f>
        <v/>
      </c>
      <c r="D270" s="162">
        <f>IFERROR(INDEX(tk_LEAVES,MATCH(265,tk_DSEQ,0)),"")</f>
        <v/>
      </c>
      <c r="E270" s="162">
        <f>IFERROR(""&amp;INDEX(tk_RATING,MATCH(265,tk_DSEQ,0)),"")</f>
        <v/>
      </c>
      <c r="F270" s="162">
        <f>IFERROR(TEXT(INDEX(tk_LEAFW,MATCH(265,tk_DSEQ,0)),"0.000")&amp;" x "&amp;TEXT(INDEX(tk_LEAFH,MATCH(265,tk_DSEQ,0)),"0.000"),"")</f>
        <v/>
      </c>
      <c r="G270" s="181">
        <f>IFERROR(""&amp;INDEX(tk_DLINE,MATCH(265,tk_DSEQ,0)),"")</f>
        <v/>
      </c>
      <c r="H270" s="181">
        <f>IFERROR(""&amp;INDEX(tk_LOCTXTD,MATCH(265,tk_DSEQ,0)),"")</f>
        <v/>
      </c>
      <c r="I270" s="162">
        <f>IFERROR(""&amp;INDEX(tk_DNOTES,MATCH(265,tk_DSEQ,0)),"")</f>
        <v/>
      </c>
    </row>
    <row r="271">
      <c r="A271" s="161">
        <f>IFERROR(""&amp;INDEX(tk_MARK,MATCH(266,tk_DSEQ,0)),"")</f>
        <v/>
      </c>
      <c r="B271" s="162">
        <f>IFERROR(INDEX(tk_QTY,MATCH(266,tk_DSEQ,0)),"")</f>
        <v/>
      </c>
      <c r="C271" s="162">
        <f>IFERROR(INDEX(tk_ROOMF,MATCH(266,tk_DSEQ,0))&amp;IF(INDEX(tk_ROOMT,MATCH(266,tk_DSEQ,0))="",""," → "&amp;INDEX(tk_ROOMT,MATCH(266,tk_DSEQ,0))),"")</f>
        <v/>
      </c>
      <c r="D271" s="162">
        <f>IFERROR(INDEX(tk_LEAVES,MATCH(266,tk_DSEQ,0)),"")</f>
        <v/>
      </c>
      <c r="E271" s="162">
        <f>IFERROR(""&amp;INDEX(tk_RATING,MATCH(266,tk_DSEQ,0)),"")</f>
        <v/>
      </c>
      <c r="F271" s="162">
        <f>IFERROR(TEXT(INDEX(tk_LEAFW,MATCH(266,tk_DSEQ,0)),"0.000")&amp;" x "&amp;TEXT(INDEX(tk_LEAFH,MATCH(266,tk_DSEQ,0)),"0.000"),"")</f>
        <v/>
      </c>
      <c r="G271" s="181">
        <f>IFERROR(""&amp;INDEX(tk_DLINE,MATCH(266,tk_DSEQ,0)),"")</f>
        <v/>
      </c>
      <c r="H271" s="181">
        <f>IFERROR(""&amp;INDEX(tk_LOCTXTD,MATCH(266,tk_DSEQ,0)),"")</f>
        <v/>
      </c>
      <c r="I271" s="162">
        <f>IFERROR(""&amp;INDEX(tk_DNOTES,MATCH(266,tk_DSEQ,0)),"")</f>
        <v/>
      </c>
    </row>
    <row r="272">
      <c r="A272" s="161">
        <f>IFERROR(""&amp;INDEX(tk_MARK,MATCH(267,tk_DSEQ,0)),"")</f>
        <v/>
      </c>
      <c r="B272" s="162">
        <f>IFERROR(INDEX(tk_QTY,MATCH(267,tk_DSEQ,0)),"")</f>
        <v/>
      </c>
      <c r="C272" s="162">
        <f>IFERROR(INDEX(tk_ROOMF,MATCH(267,tk_DSEQ,0))&amp;IF(INDEX(tk_ROOMT,MATCH(267,tk_DSEQ,0))="",""," → "&amp;INDEX(tk_ROOMT,MATCH(267,tk_DSEQ,0))),"")</f>
        <v/>
      </c>
      <c r="D272" s="162">
        <f>IFERROR(INDEX(tk_LEAVES,MATCH(267,tk_DSEQ,0)),"")</f>
        <v/>
      </c>
      <c r="E272" s="162">
        <f>IFERROR(""&amp;INDEX(tk_RATING,MATCH(267,tk_DSEQ,0)),"")</f>
        <v/>
      </c>
      <c r="F272" s="162">
        <f>IFERROR(TEXT(INDEX(tk_LEAFW,MATCH(267,tk_DSEQ,0)),"0.000")&amp;" x "&amp;TEXT(INDEX(tk_LEAFH,MATCH(267,tk_DSEQ,0)),"0.000"),"")</f>
        <v/>
      </c>
      <c r="G272" s="181">
        <f>IFERROR(""&amp;INDEX(tk_DLINE,MATCH(267,tk_DSEQ,0)),"")</f>
        <v/>
      </c>
      <c r="H272" s="181">
        <f>IFERROR(""&amp;INDEX(tk_LOCTXTD,MATCH(267,tk_DSEQ,0)),"")</f>
        <v/>
      </c>
      <c r="I272" s="162">
        <f>IFERROR(""&amp;INDEX(tk_DNOTES,MATCH(267,tk_DSEQ,0)),"")</f>
        <v/>
      </c>
    </row>
    <row r="273">
      <c r="A273" s="161">
        <f>IFERROR(""&amp;INDEX(tk_MARK,MATCH(268,tk_DSEQ,0)),"")</f>
        <v/>
      </c>
      <c r="B273" s="162">
        <f>IFERROR(INDEX(tk_QTY,MATCH(268,tk_DSEQ,0)),"")</f>
        <v/>
      </c>
      <c r="C273" s="162">
        <f>IFERROR(INDEX(tk_ROOMF,MATCH(268,tk_DSEQ,0))&amp;IF(INDEX(tk_ROOMT,MATCH(268,tk_DSEQ,0))="",""," → "&amp;INDEX(tk_ROOMT,MATCH(268,tk_DSEQ,0))),"")</f>
        <v/>
      </c>
      <c r="D273" s="162">
        <f>IFERROR(INDEX(tk_LEAVES,MATCH(268,tk_DSEQ,0)),"")</f>
        <v/>
      </c>
      <c r="E273" s="162">
        <f>IFERROR(""&amp;INDEX(tk_RATING,MATCH(268,tk_DSEQ,0)),"")</f>
        <v/>
      </c>
      <c r="F273" s="162">
        <f>IFERROR(TEXT(INDEX(tk_LEAFW,MATCH(268,tk_DSEQ,0)),"0.000")&amp;" x "&amp;TEXT(INDEX(tk_LEAFH,MATCH(268,tk_DSEQ,0)),"0.000"),"")</f>
        <v/>
      </c>
      <c r="G273" s="181">
        <f>IFERROR(""&amp;INDEX(tk_DLINE,MATCH(268,tk_DSEQ,0)),"")</f>
        <v/>
      </c>
      <c r="H273" s="181">
        <f>IFERROR(""&amp;INDEX(tk_LOCTXTD,MATCH(268,tk_DSEQ,0)),"")</f>
        <v/>
      </c>
      <c r="I273" s="162">
        <f>IFERROR(""&amp;INDEX(tk_DNOTES,MATCH(268,tk_DSEQ,0)),"")</f>
        <v/>
      </c>
    </row>
    <row r="274">
      <c r="A274" s="161">
        <f>IFERROR(""&amp;INDEX(tk_MARK,MATCH(269,tk_DSEQ,0)),"")</f>
        <v/>
      </c>
      <c r="B274" s="162">
        <f>IFERROR(INDEX(tk_QTY,MATCH(269,tk_DSEQ,0)),"")</f>
        <v/>
      </c>
      <c r="C274" s="162">
        <f>IFERROR(INDEX(tk_ROOMF,MATCH(269,tk_DSEQ,0))&amp;IF(INDEX(tk_ROOMT,MATCH(269,tk_DSEQ,0))="",""," → "&amp;INDEX(tk_ROOMT,MATCH(269,tk_DSEQ,0))),"")</f>
        <v/>
      </c>
      <c r="D274" s="162">
        <f>IFERROR(INDEX(tk_LEAVES,MATCH(269,tk_DSEQ,0)),"")</f>
        <v/>
      </c>
      <c r="E274" s="162">
        <f>IFERROR(""&amp;INDEX(tk_RATING,MATCH(269,tk_DSEQ,0)),"")</f>
        <v/>
      </c>
      <c r="F274" s="162">
        <f>IFERROR(TEXT(INDEX(tk_LEAFW,MATCH(269,tk_DSEQ,0)),"0.000")&amp;" x "&amp;TEXT(INDEX(tk_LEAFH,MATCH(269,tk_DSEQ,0)),"0.000"),"")</f>
        <v/>
      </c>
      <c r="G274" s="181">
        <f>IFERROR(""&amp;INDEX(tk_DLINE,MATCH(269,tk_DSEQ,0)),"")</f>
        <v/>
      </c>
      <c r="H274" s="181">
        <f>IFERROR(""&amp;INDEX(tk_LOCTXTD,MATCH(269,tk_DSEQ,0)),"")</f>
        <v/>
      </c>
      <c r="I274" s="162">
        <f>IFERROR(""&amp;INDEX(tk_DNOTES,MATCH(269,tk_DSEQ,0)),"")</f>
        <v/>
      </c>
    </row>
    <row r="275">
      <c r="A275" s="161">
        <f>IFERROR(""&amp;INDEX(tk_MARK,MATCH(270,tk_DSEQ,0)),"")</f>
        <v/>
      </c>
      <c r="B275" s="162">
        <f>IFERROR(INDEX(tk_QTY,MATCH(270,tk_DSEQ,0)),"")</f>
        <v/>
      </c>
      <c r="C275" s="162">
        <f>IFERROR(INDEX(tk_ROOMF,MATCH(270,tk_DSEQ,0))&amp;IF(INDEX(tk_ROOMT,MATCH(270,tk_DSEQ,0))="",""," → "&amp;INDEX(tk_ROOMT,MATCH(270,tk_DSEQ,0))),"")</f>
        <v/>
      </c>
      <c r="D275" s="162">
        <f>IFERROR(INDEX(tk_LEAVES,MATCH(270,tk_DSEQ,0)),"")</f>
        <v/>
      </c>
      <c r="E275" s="162">
        <f>IFERROR(""&amp;INDEX(tk_RATING,MATCH(270,tk_DSEQ,0)),"")</f>
        <v/>
      </c>
      <c r="F275" s="162">
        <f>IFERROR(TEXT(INDEX(tk_LEAFW,MATCH(270,tk_DSEQ,0)),"0.000")&amp;" x "&amp;TEXT(INDEX(tk_LEAFH,MATCH(270,tk_DSEQ,0)),"0.000"),"")</f>
        <v/>
      </c>
      <c r="G275" s="181">
        <f>IFERROR(""&amp;INDEX(tk_DLINE,MATCH(270,tk_DSEQ,0)),"")</f>
        <v/>
      </c>
      <c r="H275" s="181">
        <f>IFERROR(""&amp;INDEX(tk_LOCTXTD,MATCH(270,tk_DSEQ,0)),"")</f>
        <v/>
      </c>
      <c r="I275" s="162">
        <f>IFERROR(""&amp;INDEX(tk_DNOTES,MATCH(270,tk_DSEQ,0)),"")</f>
        <v/>
      </c>
    </row>
    <row r="276">
      <c r="A276" s="161">
        <f>IFERROR(""&amp;INDEX(tk_MARK,MATCH(271,tk_DSEQ,0)),"")</f>
        <v/>
      </c>
      <c r="B276" s="162">
        <f>IFERROR(INDEX(tk_QTY,MATCH(271,tk_DSEQ,0)),"")</f>
        <v/>
      </c>
      <c r="C276" s="162">
        <f>IFERROR(INDEX(tk_ROOMF,MATCH(271,tk_DSEQ,0))&amp;IF(INDEX(tk_ROOMT,MATCH(271,tk_DSEQ,0))="",""," → "&amp;INDEX(tk_ROOMT,MATCH(271,tk_DSEQ,0))),"")</f>
        <v/>
      </c>
      <c r="D276" s="162">
        <f>IFERROR(INDEX(tk_LEAVES,MATCH(271,tk_DSEQ,0)),"")</f>
        <v/>
      </c>
      <c r="E276" s="162">
        <f>IFERROR(""&amp;INDEX(tk_RATING,MATCH(271,tk_DSEQ,0)),"")</f>
        <v/>
      </c>
      <c r="F276" s="162">
        <f>IFERROR(TEXT(INDEX(tk_LEAFW,MATCH(271,tk_DSEQ,0)),"0.000")&amp;" x "&amp;TEXT(INDEX(tk_LEAFH,MATCH(271,tk_DSEQ,0)),"0.000"),"")</f>
        <v/>
      </c>
      <c r="G276" s="181">
        <f>IFERROR(""&amp;INDEX(tk_DLINE,MATCH(271,tk_DSEQ,0)),"")</f>
        <v/>
      </c>
      <c r="H276" s="181">
        <f>IFERROR(""&amp;INDEX(tk_LOCTXTD,MATCH(271,tk_DSEQ,0)),"")</f>
        <v/>
      </c>
      <c r="I276" s="162">
        <f>IFERROR(""&amp;INDEX(tk_DNOTES,MATCH(271,tk_DSEQ,0)),"")</f>
        <v/>
      </c>
    </row>
    <row r="277">
      <c r="A277" s="161">
        <f>IFERROR(""&amp;INDEX(tk_MARK,MATCH(272,tk_DSEQ,0)),"")</f>
        <v/>
      </c>
      <c r="B277" s="162">
        <f>IFERROR(INDEX(tk_QTY,MATCH(272,tk_DSEQ,0)),"")</f>
        <v/>
      </c>
      <c r="C277" s="162">
        <f>IFERROR(INDEX(tk_ROOMF,MATCH(272,tk_DSEQ,0))&amp;IF(INDEX(tk_ROOMT,MATCH(272,tk_DSEQ,0))="",""," → "&amp;INDEX(tk_ROOMT,MATCH(272,tk_DSEQ,0))),"")</f>
        <v/>
      </c>
      <c r="D277" s="162">
        <f>IFERROR(INDEX(tk_LEAVES,MATCH(272,tk_DSEQ,0)),"")</f>
        <v/>
      </c>
      <c r="E277" s="162">
        <f>IFERROR(""&amp;INDEX(tk_RATING,MATCH(272,tk_DSEQ,0)),"")</f>
        <v/>
      </c>
      <c r="F277" s="162">
        <f>IFERROR(TEXT(INDEX(tk_LEAFW,MATCH(272,tk_DSEQ,0)),"0.000")&amp;" x "&amp;TEXT(INDEX(tk_LEAFH,MATCH(272,tk_DSEQ,0)),"0.000"),"")</f>
        <v/>
      </c>
      <c r="G277" s="181">
        <f>IFERROR(""&amp;INDEX(tk_DLINE,MATCH(272,tk_DSEQ,0)),"")</f>
        <v/>
      </c>
      <c r="H277" s="181">
        <f>IFERROR(""&amp;INDEX(tk_LOCTXTD,MATCH(272,tk_DSEQ,0)),"")</f>
        <v/>
      </c>
      <c r="I277" s="162">
        <f>IFERROR(""&amp;INDEX(tk_DNOTES,MATCH(272,tk_DSEQ,0)),"")</f>
        <v/>
      </c>
    </row>
    <row r="278">
      <c r="A278" s="161">
        <f>IFERROR(""&amp;INDEX(tk_MARK,MATCH(273,tk_DSEQ,0)),"")</f>
        <v/>
      </c>
      <c r="B278" s="162">
        <f>IFERROR(INDEX(tk_QTY,MATCH(273,tk_DSEQ,0)),"")</f>
        <v/>
      </c>
      <c r="C278" s="162">
        <f>IFERROR(INDEX(tk_ROOMF,MATCH(273,tk_DSEQ,0))&amp;IF(INDEX(tk_ROOMT,MATCH(273,tk_DSEQ,0))="",""," → "&amp;INDEX(tk_ROOMT,MATCH(273,tk_DSEQ,0))),"")</f>
        <v/>
      </c>
      <c r="D278" s="162">
        <f>IFERROR(INDEX(tk_LEAVES,MATCH(273,tk_DSEQ,0)),"")</f>
        <v/>
      </c>
      <c r="E278" s="162">
        <f>IFERROR(""&amp;INDEX(tk_RATING,MATCH(273,tk_DSEQ,0)),"")</f>
        <v/>
      </c>
      <c r="F278" s="162">
        <f>IFERROR(TEXT(INDEX(tk_LEAFW,MATCH(273,tk_DSEQ,0)),"0.000")&amp;" x "&amp;TEXT(INDEX(tk_LEAFH,MATCH(273,tk_DSEQ,0)),"0.000"),"")</f>
        <v/>
      </c>
      <c r="G278" s="181">
        <f>IFERROR(""&amp;INDEX(tk_DLINE,MATCH(273,tk_DSEQ,0)),"")</f>
        <v/>
      </c>
      <c r="H278" s="181">
        <f>IFERROR(""&amp;INDEX(tk_LOCTXTD,MATCH(273,tk_DSEQ,0)),"")</f>
        <v/>
      </c>
      <c r="I278" s="162">
        <f>IFERROR(""&amp;INDEX(tk_DNOTES,MATCH(273,tk_DSEQ,0)),"")</f>
        <v/>
      </c>
    </row>
    <row r="279">
      <c r="A279" s="161">
        <f>IFERROR(""&amp;INDEX(tk_MARK,MATCH(274,tk_DSEQ,0)),"")</f>
        <v/>
      </c>
      <c r="B279" s="162">
        <f>IFERROR(INDEX(tk_QTY,MATCH(274,tk_DSEQ,0)),"")</f>
        <v/>
      </c>
      <c r="C279" s="162">
        <f>IFERROR(INDEX(tk_ROOMF,MATCH(274,tk_DSEQ,0))&amp;IF(INDEX(tk_ROOMT,MATCH(274,tk_DSEQ,0))="",""," → "&amp;INDEX(tk_ROOMT,MATCH(274,tk_DSEQ,0))),"")</f>
        <v/>
      </c>
      <c r="D279" s="162">
        <f>IFERROR(INDEX(tk_LEAVES,MATCH(274,tk_DSEQ,0)),"")</f>
        <v/>
      </c>
      <c r="E279" s="162">
        <f>IFERROR(""&amp;INDEX(tk_RATING,MATCH(274,tk_DSEQ,0)),"")</f>
        <v/>
      </c>
      <c r="F279" s="162">
        <f>IFERROR(TEXT(INDEX(tk_LEAFW,MATCH(274,tk_DSEQ,0)),"0.000")&amp;" x "&amp;TEXT(INDEX(tk_LEAFH,MATCH(274,tk_DSEQ,0)),"0.000"),"")</f>
        <v/>
      </c>
      <c r="G279" s="181">
        <f>IFERROR(""&amp;INDEX(tk_DLINE,MATCH(274,tk_DSEQ,0)),"")</f>
        <v/>
      </c>
      <c r="H279" s="181">
        <f>IFERROR(""&amp;INDEX(tk_LOCTXTD,MATCH(274,tk_DSEQ,0)),"")</f>
        <v/>
      </c>
      <c r="I279" s="162">
        <f>IFERROR(""&amp;INDEX(tk_DNOTES,MATCH(274,tk_DSEQ,0)),"")</f>
        <v/>
      </c>
    </row>
    <row r="280">
      <c r="A280" s="161">
        <f>IFERROR(""&amp;INDEX(tk_MARK,MATCH(275,tk_DSEQ,0)),"")</f>
        <v/>
      </c>
      <c r="B280" s="162">
        <f>IFERROR(INDEX(tk_QTY,MATCH(275,tk_DSEQ,0)),"")</f>
        <v/>
      </c>
      <c r="C280" s="162">
        <f>IFERROR(INDEX(tk_ROOMF,MATCH(275,tk_DSEQ,0))&amp;IF(INDEX(tk_ROOMT,MATCH(275,tk_DSEQ,0))="",""," → "&amp;INDEX(tk_ROOMT,MATCH(275,tk_DSEQ,0))),"")</f>
        <v/>
      </c>
      <c r="D280" s="162">
        <f>IFERROR(INDEX(tk_LEAVES,MATCH(275,tk_DSEQ,0)),"")</f>
        <v/>
      </c>
      <c r="E280" s="162">
        <f>IFERROR(""&amp;INDEX(tk_RATING,MATCH(275,tk_DSEQ,0)),"")</f>
        <v/>
      </c>
      <c r="F280" s="162">
        <f>IFERROR(TEXT(INDEX(tk_LEAFW,MATCH(275,tk_DSEQ,0)),"0.000")&amp;" x "&amp;TEXT(INDEX(tk_LEAFH,MATCH(275,tk_DSEQ,0)),"0.000"),"")</f>
        <v/>
      </c>
      <c r="G280" s="181">
        <f>IFERROR(""&amp;INDEX(tk_DLINE,MATCH(275,tk_DSEQ,0)),"")</f>
        <v/>
      </c>
      <c r="H280" s="181">
        <f>IFERROR(""&amp;INDEX(tk_LOCTXTD,MATCH(275,tk_DSEQ,0)),"")</f>
        <v/>
      </c>
      <c r="I280" s="162">
        <f>IFERROR(""&amp;INDEX(tk_DNOTES,MATCH(275,tk_DSEQ,0)),"")</f>
        <v/>
      </c>
    </row>
    <row r="281">
      <c r="A281" s="161">
        <f>IFERROR(""&amp;INDEX(tk_MARK,MATCH(276,tk_DSEQ,0)),"")</f>
        <v/>
      </c>
      <c r="B281" s="162">
        <f>IFERROR(INDEX(tk_QTY,MATCH(276,tk_DSEQ,0)),"")</f>
        <v/>
      </c>
      <c r="C281" s="162">
        <f>IFERROR(INDEX(tk_ROOMF,MATCH(276,tk_DSEQ,0))&amp;IF(INDEX(tk_ROOMT,MATCH(276,tk_DSEQ,0))="",""," → "&amp;INDEX(tk_ROOMT,MATCH(276,tk_DSEQ,0))),"")</f>
        <v/>
      </c>
      <c r="D281" s="162">
        <f>IFERROR(INDEX(tk_LEAVES,MATCH(276,tk_DSEQ,0)),"")</f>
        <v/>
      </c>
      <c r="E281" s="162">
        <f>IFERROR(""&amp;INDEX(tk_RATING,MATCH(276,tk_DSEQ,0)),"")</f>
        <v/>
      </c>
      <c r="F281" s="162">
        <f>IFERROR(TEXT(INDEX(tk_LEAFW,MATCH(276,tk_DSEQ,0)),"0.000")&amp;" x "&amp;TEXT(INDEX(tk_LEAFH,MATCH(276,tk_DSEQ,0)),"0.000"),"")</f>
        <v/>
      </c>
      <c r="G281" s="181">
        <f>IFERROR(""&amp;INDEX(tk_DLINE,MATCH(276,tk_DSEQ,0)),"")</f>
        <v/>
      </c>
      <c r="H281" s="181">
        <f>IFERROR(""&amp;INDEX(tk_LOCTXTD,MATCH(276,tk_DSEQ,0)),"")</f>
        <v/>
      </c>
      <c r="I281" s="162">
        <f>IFERROR(""&amp;INDEX(tk_DNOTES,MATCH(276,tk_DSEQ,0)),"")</f>
        <v/>
      </c>
    </row>
    <row r="282">
      <c r="A282" s="161">
        <f>IFERROR(""&amp;INDEX(tk_MARK,MATCH(277,tk_DSEQ,0)),"")</f>
        <v/>
      </c>
      <c r="B282" s="162">
        <f>IFERROR(INDEX(tk_QTY,MATCH(277,tk_DSEQ,0)),"")</f>
        <v/>
      </c>
      <c r="C282" s="162">
        <f>IFERROR(INDEX(tk_ROOMF,MATCH(277,tk_DSEQ,0))&amp;IF(INDEX(tk_ROOMT,MATCH(277,tk_DSEQ,0))="",""," → "&amp;INDEX(tk_ROOMT,MATCH(277,tk_DSEQ,0))),"")</f>
        <v/>
      </c>
      <c r="D282" s="162">
        <f>IFERROR(INDEX(tk_LEAVES,MATCH(277,tk_DSEQ,0)),"")</f>
        <v/>
      </c>
      <c r="E282" s="162">
        <f>IFERROR(""&amp;INDEX(tk_RATING,MATCH(277,tk_DSEQ,0)),"")</f>
        <v/>
      </c>
      <c r="F282" s="162">
        <f>IFERROR(TEXT(INDEX(tk_LEAFW,MATCH(277,tk_DSEQ,0)),"0.000")&amp;" x "&amp;TEXT(INDEX(tk_LEAFH,MATCH(277,tk_DSEQ,0)),"0.000"),"")</f>
        <v/>
      </c>
      <c r="G282" s="181">
        <f>IFERROR(""&amp;INDEX(tk_DLINE,MATCH(277,tk_DSEQ,0)),"")</f>
        <v/>
      </c>
      <c r="H282" s="181">
        <f>IFERROR(""&amp;INDEX(tk_LOCTXTD,MATCH(277,tk_DSEQ,0)),"")</f>
        <v/>
      </c>
      <c r="I282" s="162">
        <f>IFERROR(""&amp;INDEX(tk_DNOTES,MATCH(277,tk_DSEQ,0)),"")</f>
        <v/>
      </c>
    </row>
    <row r="283">
      <c r="A283" s="161">
        <f>IFERROR(""&amp;INDEX(tk_MARK,MATCH(278,tk_DSEQ,0)),"")</f>
        <v/>
      </c>
      <c r="B283" s="162">
        <f>IFERROR(INDEX(tk_QTY,MATCH(278,tk_DSEQ,0)),"")</f>
        <v/>
      </c>
      <c r="C283" s="162">
        <f>IFERROR(INDEX(tk_ROOMF,MATCH(278,tk_DSEQ,0))&amp;IF(INDEX(tk_ROOMT,MATCH(278,tk_DSEQ,0))="",""," → "&amp;INDEX(tk_ROOMT,MATCH(278,tk_DSEQ,0))),"")</f>
        <v/>
      </c>
      <c r="D283" s="162">
        <f>IFERROR(INDEX(tk_LEAVES,MATCH(278,tk_DSEQ,0)),"")</f>
        <v/>
      </c>
      <c r="E283" s="162">
        <f>IFERROR(""&amp;INDEX(tk_RATING,MATCH(278,tk_DSEQ,0)),"")</f>
        <v/>
      </c>
      <c r="F283" s="162">
        <f>IFERROR(TEXT(INDEX(tk_LEAFW,MATCH(278,tk_DSEQ,0)),"0.000")&amp;" x "&amp;TEXT(INDEX(tk_LEAFH,MATCH(278,tk_DSEQ,0)),"0.000"),"")</f>
        <v/>
      </c>
      <c r="G283" s="181">
        <f>IFERROR(""&amp;INDEX(tk_DLINE,MATCH(278,tk_DSEQ,0)),"")</f>
        <v/>
      </c>
      <c r="H283" s="181">
        <f>IFERROR(""&amp;INDEX(tk_LOCTXTD,MATCH(278,tk_DSEQ,0)),"")</f>
        <v/>
      </c>
      <c r="I283" s="162">
        <f>IFERROR(""&amp;INDEX(tk_DNOTES,MATCH(278,tk_DSEQ,0)),"")</f>
        <v/>
      </c>
    </row>
    <row r="284">
      <c r="A284" s="161">
        <f>IFERROR(""&amp;INDEX(tk_MARK,MATCH(279,tk_DSEQ,0)),"")</f>
        <v/>
      </c>
      <c r="B284" s="162">
        <f>IFERROR(INDEX(tk_QTY,MATCH(279,tk_DSEQ,0)),"")</f>
        <v/>
      </c>
      <c r="C284" s="162">
        <f>IFERROR(INDEX(tk_ROOMF,MATCH(279,tk_DSEQ,0))&amp;IF(INDEX(tk_ROOMT,MATCH(279,tk_DSEQ,0))="",""," → "&amp;INDEX(tk_ROOMT,MATCH(279,tk_DSEQ,0))),"")</f>
        <v/>
      </c>
      <c r="D284" s="162">
        <f>IFERROR(INDEX(tk_LEAVES,MATCH(279,tk_DSEQ,0)),"")</f>
        <v/>
      </c>
      <c r="E284" s="162">
        <f>IFERROR(""&amp;INDEX(tk_RATING,MATCH(279,tk_DSEQ,0)),"")</f>
        <v/>
      </c>
      <c r="F284" s="162">
        <f>IFERROR(TEXT(INDEX(tk_LEAFW,MATCH(279,tk_DSEQ,0)),"0.000")&amp;" x "&amp;TEXT(INDEX(tk_LEAFH,MATCH(279,tk_DSEQ,0)),"0.000"),"")</f>
        <v/>
      </c>
      <c r="G284" s="181">
        <f>IFERROR(""&amp;INDEX(tk_DLINE,MATCH(279,tk_DSEQ,0)),"")</f>
        <v/>
      </c>
      <c r="H284" s="181">
        <f>IFERROR(""&amp;INDEX(tk_LOCTXTD,MATCH(279,tk_DSEQ,0)),"")</f>
        <v/>
      </c>
      <c r="I284" s="162">
        <f>IFERROR(""&amp;INDEX(tk_DNOTES,MATCH(279,tk_DSEQ,0)),"")</f>
        <v/>
      </c>
    </row>
    <row r="285">
      <c r="A285" s="161">
        <f>IFERROR(""&amp;INDEX(tk_MARK,MATCH(280,tk_DSEQ,0)),"")</f>
        <v/>
      </c>
      <c r="B285" s="162">
        <f>IFERROR(INDEX(tk_QTY,MATCH(280,tk_DSEQ,0)),"")</f>
        <v/>
      </c>
      <c r="C285" s="162">
        <f>IFERROR(INDEX(tk_ROOMF,MATCH(280,tk_DSEQ,0))&amp;IF(INDEX(tk_ROOMT,MATCH(280,tk_DSEQ,0))="",""," → "&amp;INDEX(tk_ROOMT,MATCH(280,tk_DSEQ,0))),"")</f>
        <v/>
      </c>
      <c r="D285" s="162">
        <f>IFERROR(INDEX(tk_LEAVES,MATCH(280,tk_DSEQ,0)),"")</f>
        <v/>
      </c>
      <c r="E285" s="162">
        <f>IFERROR(""&amp;INDEX(tk_RATING,MATCH(280,tk_DSEQ,0)),"")</f>
        <v/>
      </c>
      <c r="F285" s="162">
        <f>IFERROR(TEXT(INDEX(tk_LEAFW,MATCH(280,tk_DSEQ,0)),"0.000")&amp;" x "&amp;TEXT(INDEX(tk_LEAFH,MATCH(280,tk_DSEQ,0)),"0.000"),"")</f>
        <v/>
      </c>
      <c r="G285" s="181">
        <f>IFERROR(""&amp;INDEX(tk_DLINE,MATCH(280,tk_DSEQ,0)),"")</f>
        <v/>
      </c>
      <c r="H285" s="181">
        <f>IFERROR(""&amp;INDEX(tk_LOCTXTD,MATCH(280,tk_DSEQ,0)),"")</f>
        <v/>
      </c>
      <c r="I285" s="162">
        <f>IFERROR(""&amp;INDEX(tk_DNOTES,MATCH(280,tk_DSEQ,0)),"")</f>
        <v/>
      </c>
    </row>
    <row r="286">
      <c r="A286" s="161">
        <f>IFERROR(""&amp;INDEX(tk_MARK,MATCH(281,tk_DSEQ,0)),"")</f>
        <v/>
      </c>
      <c r="B286" s="162">
        <f>IFERROR(INDEX(tk_QTY,MATCH(281,tk_DSEQ,0)),"")</f>
        <v/>
      </c>
      <c r="C286" s="162">
        <f>IFERROR(INDEX(tk_ROOMF,MATCH(281,tk_DSEQ,0))&amp;IF(INDEX(tk_ROOMT,MATCH(281,tk_DSEQ,0))="",""," → "&amp;INDEX(tk_ROOMT,MATCH(281,tk_DSEQ,0))),"")</f>
        <v/>
      </c>
      <c r="D286" s="162">
        <f>IFERROR(INDEX(tk_LEAVES,MATCH(281,tk_DSEQ,0)),"")</f>
        <v/>
      </c>
      <c r="E286" s="162">
        <f>IFERROR(""&amp;INDEX(tk_RATING,MATCH(281,tk_DSEQ,0)),"")</f>
        <v/>
      </c>
      <c r="F286" s="162">
        <f>IFERROR(TEXT(INDEX(tk_LEAFW,MATCH(281,tk_DSEQ,0)),"0.000")&amp;" x "&amp;TEXT(INDEX(tk_LEAFH,MATCH(281,tk_DSEQ,0)),"0.000"),"")</f>
        <v/>
      </c>
      <c r="G286" s="181">
        <f>IFERROR(""&amp;INDEX(tk_DLINE,MATCH(281,tk_DSEQ,0)),"")</f>
        <v/>
      </c>
      <c r="H286" s="181">
        <f>IFERROR(""&amp;INDEX(tk_LOCTXTD,MATCH(281,tk_DSEQ,0)),"")</f>
        <v/>
      </c>
      <c r="I286" s="162">
        <f>IFERROR(""&amp;INDEX(tk_DNOTES,MATCH(281,tk_DSEQ,0)),"")</f>
        <v/>
      </c>
    </row>
    <row r="287">
      <c r="A287" s="161">
        <f>IFERROR(""&amp;INDEX(tk_MARK,MATCH(282,tk_DSEQ,0)),"")</f>
        <v/>
      </c>
      <c r="B287" s="162">
        <f>IFERROR(INDEX(tk_QTY,MATCH(282,tk_DSEQ,0)),"")</f>
        <v/>
      </c>
      <c r="C287" s="162">
        <f>IFERROR(INDEX(tk_ROOMF,MATCH(282,tk_DSEQ,0))&amp;IF(INDEX(tk_ROOMT,MATCH(282,tk_DSEQ,0))="",""," → "&amp;INDEX(tk_ROOMT,MATCH(282,tk_DSEQ,0))),"")</f>
        <v/>
      </c>
      <c r="D287" s="162">
        <f>IFERROR(INDEX(tk_LEAVES,MATCH(282,tk_DSEQ,0)),"")</f>
        <v/>
      </c>
      <c r="E287" s="162">
        <f>IFERROR(""&amp;INDEX(tk_RATING,MATCH(282,tk_DSEQ,0)),"")</f>
        <v/>
      </c>
      <c r="F287" s="162">
        <f>IFERROR(TEXT(INDEX(tk_LEAFW,MATCH(282,tk_DSEQ,0)),"0.000")&amp;" x "&amp;TEXT(INDEX(tk_LEAFH,MATCH(282,tk_DSEQ,0)),"0.000"),"")</f>
        <v/>
      </c>
      <c r="G287" s="181">
        <f>IFERROR(""&amp;INDEX(tk_DLINE,MATCH(282,tk_DSEQ,0)),"")</f>
        <v/>
      </c>
      <c r="H287" s="181">
        <f>IFERROR(""&amp;INDEX(tk_LOCTXTD,MATCH(282,tk_DSEQ,0)),"")</f>
        <v/>
      </c>
      <c r="I287" s="162">
        <f>IFERROR(""&amp;INDEX(tk_DNOTES,MATCH(282,tk_DSEQ,0)),"")</f>
        <v/>
      </c>
    </row>
    <row r="288">
      <c r="A288" s="161">
        <f>IFERROR(""&amp;INDEX(tk_MARK,MATCH(283,tk_DSEQ,0)),"")</f>
        <v/>
      </c>
      <c r="B288" s="162">
        <f>IFERROR(INDEX(tk_QTY,MATCH(283,tk_DSEQ,0)),"")</f>
        <v/>
      </c>
      <c r="C288" s="162">
        <f>IFERROR(INDEX(tk_ROOMF,MATCH(283,tk_DSEQ,0))&amp;IF(INDEX(tk_ROOMT,MATCH(283,tk_DSEQ,0))="",""," → "&amp;INDEX(tk_ROOMT,MATCH(283,tk_DSEQ,0))),"")</f>
        <v/>
      </c>
      <c r="D288" s="162">
        <f>IFERROR(INDEX(tk_LEAVES,MATCH(283,tk_DSEQ,0)),"")</f>
        <v/>
      </c>
      <c r="E288" s="162">
        <f>IFERROR(""&amp;INDEX(tk_RATING,MATCH(283,tk_DSEQ,0)),"")</f>
        <v/>
      </c>
      <c r="F288" s="162">
        <f>IFERROR(TEXT(INDEX(tk_LEAFW,MATCH(283,tk_DSEQ,0)),"0.000")&amp;" x "&amp;TEXT(INDEX(tk_LEAFH,MATCH(283,tk_DSEQ,0)),"0.000"),"")</f>
        <v/>
      </c>
      <c r="G288" s="181">
        <f>IFERROR(""&amp;INDEX(tk_DLINE,MATCH(283,tk_DSEQ,0)),"")</f>
        <v/>
      </c>
      <c r="H288" s="181">
        <f>IFERROR(""&amp;INDEX(tk_LOCTXTD,MATCH(283,tk_DSEQ,0)),"")</f>
        <v/>
      </c>
      <c r="I288" s="162">
        <f>IFERROR(""&amp;INDEX(tk_DNOTES,MATCH(283,tk_DSEQ,0)),"")</f>
        <v/>
      </c>
    </row>
    <row r="289">
      <c r="A289" s="161">
        <f>IFERROR(""&amp;INDEX(tk_MARK,MATCH(284,tk_DSEQ,0)),"")</f>
        <v/>
      </c>
      <c r="B289" s="162">
        <f>IFERROR(INDEX(tk_QTY,MATCH(284,tk_DSEQ,0)),"")</f>
        <v/>
      </c>
      <c r="C289" s="162">
        <f>IFERROR(INDEX(tk_ROOMF,MATCH(284,tk_DSEQ,0))&amp;IF(INDEX(tk_ROOMT,MATCH(284,tk_DSEQ,0))="",""," → "&amp;INDEX(tk_ROOMT,MATCH(284,tk_DSEQ,0))),"")</f>
        <v/>
      </c>
      <c r="D289" s="162">
        <f>IFERROR(INDEX(tk_LEAVES,MATCH(284,tk_DSEQ,0)),"")</f>
        <v/>
      </c>
      <c r="E289" s="162">
        <f>IFERROR(""&amp;INDEX(tk_RATING,MATCH(284,tk_DSEQ,0)),"")</f>
        <v/>
      </c>
      <c r="F289" s="162">
        <f>IFERROR(TEXT(INDEX(tk_LEAFW,MATCH(284,tk_DSEQ,0)),"0.000")&amp;" x "&amp;TEXT(INDEX(tk_LEAFH,MATCH(284,tk_DSEQ,0)),"0.000"),"")</f>
        <v/>
      </c>
      <c r="G289" s="181">
        <f>IFERROR(""&amp;INDEX(tk_DLINE,MATCH(284,tk_DSEQ,0)),"")</f>
        <v/>
      </c>
      <c r="H289" s="181">
        <f>IFERROR(""&amp;INDEX(tk_LOCTXTD,MATCH(284,tk_DSEQ,0)),"")</f>
        <v/>
      </c>
      <c r="I289" s="162">
        <f>IFERROR(""&amp;INDEX(tk_DNOTES,MATCH(284,tk_DSEQ,0)),"")</f>
        <v/>
      </c>
    </row>
    <row r="290">
      <c r="A290" s="161">
        <f>IFERROR(""&amp;INDEX(tk_MARK,MATCH(285,tk_DSEQ,0)),"")</f>
        <v/>
      </c>
      <c r="B290" s="162">
        <f>IFERROR(INDEX(tk_QTY,MATCH(285,tk_DSEQ,0)),"")</f>
        <v/>
      </c>
      <c r="C290" s="162">
        <f>IFERROR(INDEX(tk_ROOMF,MATCH(285,tk_DSEQ,0))&amp;IF(INDEX(tk_ROOMT,MATCH(285,tk_DSEQ,0))="",""," → "&amp;INDEX(tk_ROOMT,MATCH(285,tk_DSEQ,0))),"")</f>
        <v/>
      </c>
      <c r="D290" s="162">
        <f>IFERROR(INDEX(tk_LEAVES,MATCH(285,tk_DSEQ,0)),"")</f>
        <v/>
      </c>
      <c r="E290" s="162">
        <f>IFERROR(""&amp;INDEX(tk_RATING,MATCH(285,tk_DSEQ,0)),"")</f>
        <v/>
      </c>
      <c r="F290" s="162">
        <f>IFERROR(TEXT(INDEX(tk_LEAFW,MATCH(285,tk_DSEQ,0)),"0.000")&amp;" x "&amp;TEXT(INDEX(tk_LEAFH,MATCH(285,tk_DSEQ,0)),"0.000"),"")</f>
        <v/>
      </c>
      <c r="G290" s="181">
        <f>IFERROR(""&amp;INDEX(tk_DLINE,MATCH(285,tk_DSEQ,0)),"")</f>
        <v/>
      </c>
      <c r="H290" s="181">
        <f>IFERROR(""&amp;INDEX(tk_LOCTXTD,MATCH(285,tk_DSEQ,0)),"")</f>
        <v/>
      </c>
      <c r="I290" s="162">
        <f>IFERROR(""&amp;INDEX(tk_DNOTES,MATCH(285,tk_DSEQ,0)),"")</f>
        <v/>
      </c>
    </row>
    <row r="291">
      <c r="A291" s="161">
        <f>IFERROR(""&amp;INDEX(tk_MARK,MATCH(286,tk_DSEQ,0)),"")</f>
        <v/>
      </c>
      <c r="B291" s="162">
        <f>IFERROR(INDEX(tk_QTY,MATCH(286,tk_DSEQ,0)),"")</f>
        <v/>
      </c>
      <c r="C291" s="162">
        <f>IFERROR(INDEX(tk_ROOMF,MATCH(286,tk_DSEQ,0))&amp;IF(INDEX(tk_ROOMT,MATCH(286,tk_DSEQ,0))="",""," → "&amp;INDEX(tk_ROOMT,MATCH(286,tk_DSEQ,0))),"")</f>
        <v/>
      </c>
      <c r="D291" s="162">
        <f>IFERROR(INDEX(tk_LEAVES,MATCH(286,tk_DSEQ,0)),"")</f>
        <v/>
      </c>
      <c r="E291" s="162">
        <f>IFERROR(""&amp;INDEX(tk_RATING,MATCH(286,tk_DSEQ,0)),"")</f>
        <v/>
      </c>
      <c r="F291" s="162">
        <f>IFERROR(TEXT(INDEX(tk_LEAFW,MATCH(286,tk_DSEQ,0)),"0.000")&amp;" x "&amp;TEXT(INDEX(tk_LEAFH,MATCH(286,tk_DSEQ,0)),"0.000"),"")</f>
        <v/>
      </c>
      <c r="G291" s="181">
        <f>IFERROR(""&amp;INDEX(tk_DLINE,MATCH(286,tk_DSEQ,0)),"")</f>
        <v/>
      </c>
      <c r="H291" s="181">
        <f>IFERROR(""&amp;INDEX(tk_LOCTXTD,MATCH(286,tk_DSEQ,0)),"")</f>
        <v/>
      </c>
      <c r="I291" s="162">
        <f>IFERROR(""&amp;INDEX(tk_DNOTES,MATCH(286,tk_DSEQ,0)),"")</f>
        <v/>
      </c>
    </row>
    <row r="292">
      <c r="A292" s="161">
        <f>IFERROR(""&amp;INDEX(tk_MARK,MATCH(287,tk_DSEQ,0)),"")</f>
        <v/>
      </c>
      <c r="B292" s="162">
        <f>IFERROR(INDEX(tk_QTY,MATCH(287,tk_DSEQ,0)),"")</f>
        <v/>
      </c>
      <c r="C292" s="162">
        <f>IFERROR(INDEX(tk_ROOMF,MATCH(287,tk_DSEQ,0))&amp;IF(INDEX(tk_ROOMT,MATCH(287,tk_DSEQ,0))="",""," → "&amp;INDEX(tk_ROOMT,MATCH(287,tk_DSEQ,0))),"")</f>
        <v/>
      </c>
      <c r="D292" s="162">
        <f>IFERROR(INDEX(tk_LEAVES,MATCH(287,tk_DSEQ,0)),"")</f>
        <v/>
      </c>
      <c r="E292" s="162">
        <f>IFERROR(""&amp;INDEX(tk_RATING,MATCH(287,tk_DSEQ,0)),"")</f>
        <v/>
      </c>
      <c r="F292" s="162">
        <f>IFERROR(TEXT(INDEX(tk_LEAFW,MATCH(287,tk_DSEQ,0)),"0.000")&amp;" x "&amp;TEXT(INDEX(tk_LEAFH,MATCH(287,tk_DSEQ,0)),"0.000"),"")</f>
        <v/>
      </c>
      <c r="G292" s="181">
        <f>IFERROR(""&amp;INDEX(tk_DLINE,MATCH(287,tk_DSEQ,0)),"")</f>
        <v/>
      </c>
      <c r="H292" s="181">
        <f>IFERROR(""&amp;INDEX(tk_LOCTXTD,MATCH(287,tk_DSEQ,0)),"")</f>
        <v/>
      </c>
      <c r="I292" s="162">
        <f>IFERROR(""&amp;INDEX(tk_DNOTES,MATCH(287,tk_DSEQ,0)),"")</f>
        <v/>
      </c>
    </row>
    <row r="293">
      <c r="A293" s="161">
        <f>IFERROR(""&amp;INDEX(tk_MARK,MATCH(288,tk_DSEQ,0)),"")</f>
        <v/>
      </c>
      <c r="B293" s="162">
        <f>IFERROR(INDEX(tk_QTY,MATCH(288,tk_DSEQ,0)),"")</f>
        <v/>
      </c>
      <c r="C293" s="162">
        <f>IFERROR(INDEX(tk_ROOMF,MATCH(288,tk_DSEQ,0))&amp;IF(INDEX(tk_ROOMT,MATCH(288,tk_DSEQ,0))="",""," → "&amp;INDEX(tk_ROOMT,MATCH(288,tk_DSEQ,0))),"")</f>
        <v/>
      </c>
      <c r="D293" s="162">
        <f>IFERROR(INDEX(tk_LEAVES,MATCH(288,tk_DSEQ,0)),"")</f>
        <v/>
      </c>
      <c r="E293" s="162">
        <f>IFERROR(""&amp;INDEX(tk_RATING,MATCH(288,tk_DSEQ,0)),"")</f>
        <v/>
      </c>
      <c r="F293" s="162">
        <f>IFERROR(TEXT(INDEX(tk_LEAFW,MATCH(288,tk_DSEQ,0)),"0.000")&amp;" x "&amp;TEXT(INDEX(tk_LEAFH,MATCH(288,tk_DSEQ,0)),"0.000"),"")</f>
        <v/>
      </c>
      <c r="G293" s="181">
        <f>IFERROR(""&amp;INDEX(tk_DLINE,MATCH(288,tk_DSEQ,0)),"")</f>
        <v/>
      </c>
      <c r="H293" s="181">
        <f>IFERROR(""&amp;INDEX(tk_LOCTXTD,MATCH(288,tk_DSEQ,0)),"")</f>
        <v/>
      </c>
      <c r="I293" s="162">
        <f>IFERROR(""&amp;INDEX(tk_DNOTES,MATCH(288,tk_DSEQ,0)),"")</f>
        <v/>
      </c>
    </row>
    <row r="294">
      <c r="A294" s="161">
        <f>IFERROR(""&amp;INDEX(tk_MARK,MATCH(289,tk_DSEQ,0)),"")</f>
        <v/>
      </c>
      <c r="B294" s="162">
        <f>IFERROR(INDEX(tk_QTY,MATCH(289,tk_DSEQ,0)),"")</f>
        <v/>
      </c>
      <c r="C294" s="162">
        <f>IFERROR(INDEX(tk_ROOMF,MATCH(289,tk_DSEQ,0))&amp;IF(INDEX(tk_ROOMT,MATCH(289,tk_DSEQ,0))="",""," → "&amp;INDEX(tk_ROOMT,MATCH(289,tk_DSEQ,0))),"")</f>
        <v/>
      </c>
      <c r="D294" s="162">
        <f>IFERROR(INDEX(tk_LEAVES,MATCH(289,tk_DSEQ,0)),"")</f>
        <v/>
      </c>
      <c r="E294" s="162">
        <f>IFERROR(""&amp;INDEX(tk_RATING,MATCH(289,tk_DSEQ,0)),"")</f>
        <v/>
      </c>
      <c r="F294" s="162">
        <f>IFERROR(TEXT(INDEX(tk_LEAFW,MATCH(289,tk_DSEQ,0)),"0.000")&amp;" x "&amp;TEXT(INDEX(tk_LEAFH,MATCH(289,tk_DSEQ,0)),"0.000"),"")</f>
        <v/>
      </c>
      <c r="G294" s="181">
        <f>IFERROR(""&amp;INDEX(tk_DLINE,MATCH(289,tk_DSEQ,0)),"")</f>
        <v/>
      </c>
      <c r="H294" s="181">
        <f>IFERROR(""&amp;INDEX(tk_LOCTXTD,MATCH(289,tk_DSEQ,0)),"")</f>
        <v/>
      </c>
      <c r="I294" s="162">
        <f>IFERROR(""&amp;INDEX(tk_DNOTES,MATCH(289,tk_DSEQ,0)),"")</f>
        <v/>
      </c>
    </row>
    <row r="295">
      <c r="A295" s="161">
        <f>IFERROR(""&amp;INDEX(tk_MARK,MATCH(290,tk_DSEQ,0)),"")</f>
        <v/>
      </c>
      <c r="B295" s="162">
        <f>IFERROR(INDEX(tk_QTY,MATCH(290,tk_DSEQ,0)),"")</f>
        <v/>
      </c>
      <c r="C295" s="162">
        <f>IFERROR(INDEX(tk_ROOMF,MATCH(290,tk_DSEQ,0))&amp;IF(INDEX(tk_ROOMT,MATCH(290,tk_DSEQ,0))="",""," → "&amp;INDEX(tk_ROOMT,MATCH(290,tk_DSEQ,0))),"")</f>
        <v/>
      </c>
      <c r="D295" s="162">
        <f>IFERROR(INDEX(tk_LEAVES,MATCH(290,tk_DSEQ,0)),"")</f>
        <v/>
      </c>
      <c r="E295" s="162">
        <f>IFERROR(""&amp;INDEX(tk_RATING,MATCH(290,tk_DSEQ,0)),"")</f>
        <v/>
      </c>
      <c r="F295" s="162">
        <f>IFERROR(TEXT(INDEX(tk_LEAFW,MATCH(290,tk_DSEQ,0)),"0.000")&amp;" x "&amp;TEXT(INDEX(tk_LEAFH,MATCH(290,tk_DSEQ,0)),"0.000"),"")</f>
        <v/>
      </c>
      <c r="G295" s="181">
        <f>IFERROR(""&amp;INDEX(tk_DLINE,MATCH(290,tk_DSEQ,0)),"")</f>
        <v/>
      </c>
      <c r="H295" s="181">
        <f>IFERROR(""&amp;INDEX(tk_LOCTXTD,MATCH(290,tk_DSEQ,0)),"")</f>
        <v/>
      </c>
      <c r="I295" s="162">
        <f>IFERROR(""&amp;INDEX(tk_DNOTES,MATCH(290,tk_DSEQ,0)),"")</f>
        <v/>
      </c>
    </row>
    <row r="296">
      <c r="A296" s="161">
        <f>IFERROR(""&amp;INDEX(tk_MARK,MATCH(291,tk_DSEQ,0)),"")</f>
        <v/>
      </c>
      <c r="B296" s="162">
        <f>IFERROR(INDEX(tk_QTY,MATCH(291,tk_DSEQ,0)),"")</f>
        <v/>
      </c>
      <c r="C296" s="162">
        <f>IFERROR(INDEX(tk_ROOMF,MATCH(291,tk_DSEQ,0))&amp;IF(INDEX(tk_ROOMT,MATCH(291,tk_DSEQ,0))="",""," → "&amp;INDEX(tk_ROOMT,MATCH(291,tk_DSEQ,0))),"")</f>
        <v/>
      </c>
      <c r="D296" s="162">
        <f>IFERROR(INDEX(tk_LEAVES,MATCH(291,tk_DSEQ,0)),"")</f>
        <v/>
      </c>
      <c r="E296" s="162">
        <f>IFERROR(""&amp;INDEX(tk_RATING,MATCH(291,tk_DSEQ,0)),"")</f>
        <v/>
      </c>
      <c r="F296" s="162">
        <f>IFERROR(TEXT(INDEX(tk_LEAFW,MATCH(291,tk_DSEQ,0)),"0.000")&amp;" x "&amp;TEXT(INDEX(tk_LEAFH,MATCH(291,tk_DSEQ,0)),"0.000"),"")</f>
        <v/>
      </c>
      <c r="G296" s="181">
        <f>IFERROR(""&amp;INDEX(tk_DLINE,MATCH(291,tk_DSEQ,0)),"")</f>
        <v/>
      </c>
      <c r="H296" s="181">
        <f>IFERROR(""&amp;INDEX(tk_LOCTXTD,MATCH(291,tk_DSEQ,0)),"")</f>
        <v/>
      </c>
      <c r="I296" s="162">
        <f>IFERROR(""&amp;INDEX(tk_DNOTES,MATCH(291,tk_DSEQ,0)),"")</f>
        <v/>
      </c>
    </row>
    <row r="297">
      <c r="A297" s="161">
        <f>IFERROR(""&amp;INDEX(tk_MARK,MATCH(292,tk_DSEQ,0)),"")</f>
        <v/>
      </c>
      <c r="B297" s="162">
        <f>IFERROR(INDEX(tk_QTY,MATCH(292,tk_DSEQ,0)),"")</f>
        <v/>
      </c>
      <c r="C297" s="162">
        <f>IFERROR(INDEX(tk_ROOMF,MATCH(292,tk_DSEQ,0))&amp;IF(INDEX(tk_ROOMT,MATCH(292,tk_DSEQ,0))="",""," → "&amp;INDEX(tk_ROOMT,MATCH(292,tk_DSEQ,0))),"")</f>
        <v/>
      </c>
      <c r="D297" s="162">
        <f>IFERROR(INDEX(tk_LEAVES,MATCH(292,tk_DSEQ,0)),"")</f>
        <v/>
      </c>
      <c r="E297" s="162">
        <f>IFERROR(""&amp;INDEX(tk_RATING,MATCH(292,tk_DSEQ,0)),"")</f>
        <v/>
      </c>
      <c r="F297" s="162">
        <f>IFERROR(TEXT(INDEX(tk_LEAFW,MATCH(292,tk_DSEQ,0)),"0.000")&amp;" x "&amp;TEXT(INDEX(tk_LEAFH,MATCH(292,tk_DSEQ,0)),"0.000"),"")</f>
        <v/>
      </c>
      <c r="G297" s="181">
        <f>IFERROR(""&amp;INDEX(tk_DLINE,MATCH(292,tk_DSEQ,0)),"")</f>
        <v/>
      </c>
      <c r="H297" s="181">
        <f>IFERROR(""&amp;INDEX(tk_LOCTXTD,MATCH(292,tk_DSEQ,0)),"")</f>
        <v/>
      </c>
      <c r="I297" s="162">
        <f>IFERROR(""&amp;INDEX(tk_DNOTES,MATCH(292,tk_DSEQ,0)),"")</f>
        <v/>
      </c>
    </row>
    <row r="298">
      <c r="A298" s="161">
        <f>IFERROR(""&amp;INDEX(tk_MARK,MATCH(293,tk_DSEQ,0)),"")</f>
        <v/>
      </c>
      <c r="B298" s="162">
        <f>IFERROR(INDEX(tk_QTY,MATCH(293,tk_DSEQ,0)),"")</f>
        <v/>
      </c>
      <c r="C298" s="162">
        <f>IFERROR(INDEX(tk_ROOMF,MATCH(293,tk_DSEQ,0))&amp;IF(INDEX(tk_ROOMT,MATCH(293,tk_DSEQ,0))="",""," → "&amp;INDEX(tk_ROOMT,MATCH(293,tk_DSEQ,0))),"")</f>
        <v/>
      </c>
      <c r="D298" s="162">
        <f>IFERROR(INDEX(tk_LEAVES,MATCH(293,tk_DSEQ,0)),"")</f>
        <v/>
      </c>
      <c r="E298" s="162">
        <f>IFERROR(""&amp;INDEX(tk_RATING,MATCH(293,tk_DSEQ,0)),"")</f>
        <v/>
      </c>
      <c r="F298" s="162">
        <f>IFERROR(TEXT(INDEX(tk_LEAFW,MATCH(293,tk_DSEQ,0)),"0.000")&amp;" x "&amp;TEXT(INDEX(tk_LEAFH,MATCH(293,tk_DSEQ,0)),"0.000"),"")</f>
        <v/>
      </c>
      <c r="G298" s="181">
        <f>IFERROR(""&amp;INDEX(tk_DLINE,MATCH(293,tk_DSEQ,0)),"")</f>
        <v/>
      </c>
      <c r="H298" s="181">
        <f>IFERROR(""&amp;INDEX(tk_LOCTXTD,MATCH(293,tk_DSEQ,0)),"")</f>
        <v/>
      </c>
      <c r="I298" s="162">
        <f>IFERROR(""&amp;INDEX(tk_DNOTES,MATCH(293,tk_DSEQ,0)),"")</f>
        <v/>
      </c>
    </row>
    <row r="299">
      <c r="A299" s="161">
        <f>IFERROR(""&amp;INDEX(tk_MARK,MATCH(294,tk_DSEQ,0)),"")</f>
        <v/>
      </c>
      <c r="B299" s="162">
        <f>IFERROR(INDEX(tk_QTY,MATCH(294,tk_DSEQ,0)),"")</f>
        <v/>
      </c>
      <c r="C299" s="162">
        <f>IFERROR(INDEX(tk_ROOMF,MATCH(294,tk_DSEQ,0))&amp;IF(INDEX(tk_ROOMT,MATCH(294,tk_DSEQ,0))="",""," → "&amp;INDEX(tk_ROOMT,MATCH(294,tk_DSEQ,0))),"")</f>
        <v/>
      </c>
      <c r="D299" s="162">
        <f>IFERROR(INDEX(tk_LEAVES,MATCH(294,tk_DSEQ,0)),"")</f>
        <v/>
      </c>
      <c r="E299" s="162">
        <f>IFERROR(""&amp;INDEX(tk_RATING,MATCH(294,tk_DSEQ,0)),"")</f>
        <v/>
      </c>
      <c r="F299" s="162">
        <f>IFERROR(TEXT(INDEX(tk_LEAFW,MATCH(294,tk_DSEQ,0)),"0.000")&amp;" x "&amp;TEXT(INDEX(tk_LEAFH,MATCH(294,tk_DSEQ,0)),"0.000"),"")</f>
        <v/>
      </c>
      <c r="G299" s="181">
        <f>IFERROR(""&amp;INDEX(tk_DLINE,MATCH(294,tk_DSEQ,0)),"")</f>
        <v/>
      </c>
      <c r="H299" s="181">
        <f>IFERROR(""&amp;INDEX(tk_LOCTXTD,MATCH(294,tk_DSEQ,0)),"")</f>
        <v/>
      </c>
      <c r="I299" s="162">
        <f>IFERROR(""&amp;INDEX(tk_DNOTES,MATCH(294,tk_DSEQ,0)),"")</f>
        <v/>
      </c>
    </row>
    <row r="300">
      <c r="A300" s="161">
        <f>IFERROR(""&amp;INDEX(tk_MARK,MATCH(295,tk_DSEQ,0)),"")</f>
        <v/>
      </c>
      <c r="B300" s="162">
        <f>IFERROR(INDEX(tk_QTY,MATCH(295,tk_DSEQ,0)),"")</f>
        <v/>
      </c>
      <c r="C300" s="162">
        <f>IFERROR(INDEX(tk_ROOMF,MATCH(295,tk_DSEQ,0))&amp;IF(INDEX(tk_ROOMT,MATCH(295,tk_DSEQ,0))="",""," → "&amp;INDEX(tk_ROOMT,MATCH(295,tk_DSEQ,0))),"")</f>
        <v/>
      </c>
      <c r="D300" s="162">
        <f>IFERROR(INDEX(tk_LEAVES,MATCH(295,tk_DSEQ,0)),"")</f>
        <v/>
      </c>
      <c r="E300" s="162">
        <f>IFERROR(""&amp;INDEX(tk_RATING,MATCH(295,tk_DSEQ,0)),"")</f>
        <v/>
      </c>
      <c r="F300" s="162">
        <f>IFERROR(TEXT(INDEX(tk_LEAFW,MATCH(295,tk_DSEQ,0)),"0.000")&amp;" x "&amp;TEXT(INDEX(tk_LEAFH,MATCH(295,tk_DSEQ,0)),"0.000"),"")</f>
        <v/>
      </c>
      <c r="G300" s="181">
        <f>IFERROR(""&amp;INDEX(tk_DLINE,MATCH(295,tk_DSEQ,0)),"")</f>
        <v/>
      </c>
      <c r="H300" s="181">
        <f>IFERROR(""&amp;INDEX(tk_LOCTXTD,MATCH(295,tk_DSEQ,0)),"")</f>
        <v/>
      </c>
      <c r="I300" s="162">
        <f>IFERROR(""&amp;INDEX(tk_DNOTES,MATCH(295,tk_DSEQ,0)),"")</f>
        <v/>
      </c>
    </row>
    <row r="301">
      <c r="A301" s="161">
        <f>IFERROR(""&amp;INDEX(tk_MARK,MATCH(296,tk_DSEQ,0)),"")</f>
        <v/>
      </c>
      <c r="B301" s="162">
        <f>IFERROR(INDEX(tk_QTY,MATCH(296,tk_DSEQ,0)),"")</f>
        <v/>
      </c>
      <c r="C301" s="162">
        <f>IFERROR(INDEX(tk_ROOMF,MATCH(296,tk_DSEQ,0))&amp;IF(INDEX(tk_ROOMT,MATCH(296,tk_DSEQ,0))="",""," → "&amp;INDEX(tk_ROOMT,MATCH(296,tk_DSEQ,0))),"")</f>
        <v/>
      </c>
      <c r="D301" s="162">
        <f>IFERROR(INDEX(tk_LEAVES,MATCH(296,tk_DSEQ,0)),"")</f>
        <v/>
      </c>
      <c r="E301" s="162">
        <f>IFERROR(""&amp;INDEX(tk_RATING,MATCH(296,tk_DSEQ,0)),"")</f>
        <v/>
      </c>
      <c r="F301" s="162">
        <f>IFERROR(TEXT(INDEX(tk_LEAFW,MATCH(296,tk_DSEQ,0)),"0.000")&amp;" x "&amp;TEXT(INDEX(tk_LEAFH,MATCH(296,tk_DSEQ,0)),"0.000"),"")</f>
        <v/>
      </c>
      <c r="G301" s="181">
        <f>IFERROR(""&amp;INDEX(tk_DLINE,MATCH(296,tk_DSEQ,0)),"")</f>
        <v/>
      </c>
      <c r="H301" s="181">
        <f>IFERROR(""&amp;INDEX(tk_LOCTXTD,MATCH(296,tk_DSEQ,0)),"")</f>
        <v/>
      </c>
      <c r="I301" s="162">
        <f>IFERROR(""&amp;INDEX(tk_DNOTES,MATCH(296,tk_DSEQ,0)),"")</f>
        <v/>
      </c>
    </row>
    <row r="302">
      <c r="A302" s="161">
        <f>IFERROR(""&amp;INDEX(tk_MARK,MATCH(297,tk_DSEQ,0)),"")</f>
        <v/>
      </c>
      <c r="B302" s="162">
        <f>IFERROR(INDEX(tk_QTY,MATCH(297,tk_DSEQ,0)),"")</f>
        <v/>
      </c>
      <c r="C302" s="162">
        <f>IFERROR(INDEX(tk_ROOMF,MATCH(297,tk_DSEQ,0))&amp;IF(INDEX(tk_ROOMT,MATCH(297,tk_DSEQ,0))="",""," → "&amp;INDEX(tk_ROOMT,MATCH(297,tk_DSEQ,0))),"")</f>
        <v/>
      </c>
      <c r="D302" s="162">
        <f>IFERROR(INDEX(tk_LEAVES,MATCH(297,tk_DSEQ,0)),"")</f>
        <v/>
      </c>
      <c r="E302" s="162">
        <f>IFERROR(""&amp;INDEX(tk_RATING,MATCH(297,tk_DSEQ,0)),"")</f>
        <v/>
      </c>
      <c r="F302" s="162">
        <f>IFERROR(TEXT(INDEX(tk_LEAFW,MATCH(297,tk_DSEQ,0)),"0.000")&amp;" x "&amp;TEXT(INDEX(tk_LEAFH,MATCH(297,tk_DSEQ,0)),"0.000"),"")</f>
        <v/>
      </c>
      <c r="G302" s="181">
        <f>IFERROR(""&amp;INDEX(tk_DLINE,MATCH(297,tk_DSEQ,0)),"")</f>
        <v/>
      </c>
      <c r="H302" s="181">
        <f>IFERROR(""&amp;INDEX(tk_LOCTXTD,MATCH(297,tk_DSEQ,0)),"")</f>
        <v/>
      </c>
      <c r="I302" s="162">
        <f>IFERROR(""&amp;INDEX(tk_DNOTES,MATCH(297,tk_DSEQ,0)),"")</f>
        <v/>
      </c>
    </row>
    <row r="303">
      <c r="A303" s="161">
        <f>IFERROR(""&amp;INDEX(tk_MARK,MATCH(298,tk_DSEQ,0)),"")</f>
        <v/>
      </c>
      <c r="B303" s="162">
        <f>IFERROR(INDEX(tk_QTY,MATCH(298,tk_DSEQ,0)),"")</f>
        <v/>
      </c>
      <c r="C303" s="162">
        <f>IFERROR(INDEX(tk_ROOMF,MATCH(298,tk_DSEQ,0))&amp;IF(INDEX(tk_ROOMT,MATCH(298,tk_DSEQ,0))="",""," → "&amp;INDEX(tk_ROOMT,MATCH(298,tk_DSEQ,0))),"")</f>
        <v/>
      </c>
      <c r="D303" s="162">
        <f>IFERROR(INDEX(tk_LEAVES,MATCH(298,tk_DSEQ,0)),"")</f>
        <v/>
      </c>
      <c r="E303" s="162">
        <f>IFERROR(""&amp;INDEX(tk_RATING,MATCH(298,tk_DSEQ,0)),"")</f>
        <v/>
      </c>
      <c r="F303" s="162">
        <f>IFERROR(TEXT(INDEX(tk_LEAFW,MATCH(298,tk_DSEQ,0)),"0.000")&amp;" x "&amp;TEXT(INDEX(tk_LEAFH,MATCH(298,tk_DSEQ,0)),"0.000"),"")</f>
        <v/>
      </c>
      <c r="G303" s="181">
        <f>IFERROR(""&amp;INDEX(tk_DLINE,MATCH(298,tk_DSEQ,0)),"")</f>
        <v/>
      </c>
      <c r="H303" s="181">
        <f>IFERROR(""&amp;INDEX(tk_LOCTXTD,MATCH(298,tk_DSEQ,0)),"")</f>
        <v/>
      </c>
      <c r="I303" s="162">
        <f>IFERROR(""&amp;INDEX(tk_DNOTES,MATCH(298,tk_DSEQ,0)),"")</f>
        <v/>
      </c>
    </row>
    <row r="304">
      <c r="A304" s="161">
        <f>IFERROR(""&amp;INDEX(tk_MARK,MATCH(299,tk_DSEQ,0)),"")</f>
        <v/>
      </c>
      <c r="B304" s="162">
        <f>IFERROR(INDEX(tk_QTY,MATCH(299,tk_DSEQ,0)),"")</f>
        <v/>
      </c>
      <c r="C304" s="162">
        <f>IFERROR(INDEX(tk_ROOMF,MATCH(299,tk_DSEQ,0))&amp;IF(INDEX(tk_ROOMT,MATCH(299,tk_DSEQ,0))="",""," → "&amp;INDEX(tk_ROOMT,MATCH(299,tk_DSEQ,0))),"")</f>
        <v/>
      </c>
      <c r="D304" s="162">
        <f>IFERROR(INDEX(tk_LEAVES,MATCH(299,tk_DSEQ,0)),"")</f>
        <v/>
      </c>
      <c r="E304" s="162">
        <f>IFERROR(""&amp;INDEX(tk_RATING,MATCH(299,tk_DSEQ,0)),"")</f>
        <v/>
      </c>
      <c r="F304" s="162">
        <f>IFERROR(TEXT(INDEX(tk_LEAFW,MATCH(299,tk_DSEQ,0)),"0.000")&amp;" x "&amp;TEXT(INDEX(tk_LEAFH,MATCH(299,tk_DSEQ,0)),"0.000"),"")</f>
        <v/>
      </c>
      <c r="G304" s="181">
        <f>IFERROR(""&amp;INDEX(tk_DLINE,MATCH(299,tk_DSEQ,0)),"")</f>
        <v/>
      </c>
      <c r="H304" s="181">
        <f>IFERROR(""&amp;INDEX(tk_LOCTXTD,MATCH(299,tk_DSEQ,0)),"")</f>
        <v/>
      </c>
      <c r="I304" s="162">
        <f>IFERROR(""&amp;INDEX(tk_DNOTES,MATCH(299,tk_DSEQ,0)),"")</f>
        <v/>
      </c>
    </row>
    <row r="305">
      <c r="A305" s="161">
        <f>IFERROR(""&amp;INDEX(tk_MARK,MATCH(300,tk_DSEQ,0)),"")</f>
        <v/>
      </c>
      <c r="B305" s="162">
        <f>IFERROR(INDEX(tk_QTY,MATCH(300,tk_DSEQ,0)),"")</f>
        <v/>
      </c>
      <c r="C305" s="162">
        <f>IFERROR(INDEX(tk_ROOMF,MATCH(300,tk_DSEQ,0))&amp;IF(INDEX(tk_ROOMT,MATCH(300,tk_DSEQ,0))="",""," → "&amp;INDEX(tk_ROOMT,MATCH(300,tk_DSEQ,0))),"")</f>
        <v/>
      </c>
      <c r="D305" s="162">
        <f>IFERROR(INDEX(tk_LEAVES,MATCH(300,tk_DSEQ,0)),"")</f>
        <v/>
      </c>
      <c r="E305" s="162">
        <f>IFERROR(""&amp;INDEX(tk_RATING,MATCH(300,tk_DSEQ,0)),"")</f>
        <v/>
      </c>
      <c r="F305" s="162">
        <f>IFERROR(TEXT(INDEX(tk_LEAFW,MATCH(300,tk_DSEQ,0)),"0.000")&amp;" x "&amp;TEXT(INDEX(tk_LEAFH,MATCH(300,tk_DSEQ,0)),"0.000"),"")</f>
        <v/>
      </c>
      <c r="G305" s="181">
        <f>IFERROR(""&amp;INDEX(tk_DLINE,MATCH(300,tk_DSEQ,0)),"")</f>
        <v/>
      </c>
      <c r="H305" s="181">
        <f>IFERROR(""&amp;INDEX(tk_LOCTXTD,MATCH(300,tk_DSEQ,0)),"")</f>
        <v/>
      </c>
      <c r="I305" s="162">
        <f>IFERROR(""&amp;INDEX(tk_DNOTES,MATCH(300,tk_DSEQ,0)),"")</f>
        <v/>
      </c>
    </row>
    <row r="306">
      <c r="A306" s="161">
        <f>IFERROR(""&amp;INDEX(tk_MARK,MATCH(301,tk_DSEQ,0)),"")</f>
        <v/>
      </c>
      <c r="B306" s="162">
        <f>IFERROR(INDEX(tk_QTY,MATCH(301,tk_DSEQ,0)),"")</f>
        <v/>
      </c>
      <c r="C306" s="162">
        <f>IFERROR(INDEX(tk_ROOMF,MATCH(301,tk_DSEQ,0))&amp;IF(INDEX(tk_ROOMT,MATCH(301,tk_DSEQ,0))="",""," → "&amp;INDEX(tk_ROOMT,MATCH(301,tk_DSEQ,0))),"")</f>
        <v/>
      </c>
      <c r="D306" s="162">
        <f>IFERROR(INDEX(tk_LEAVES,MATCH(301,tk_DSEQ,0)),"")</f>
        <v/>
      </c>
      <c r="E306" s="162">
        <f>IFERROR(""&amp;INDEX(tk_RATING,MATCH(301,tk_DSEQ,0)),"")</f>
        <v/>
      </c>
      <c r="F306" s="162">
        <f>IFERROR(TEXT(INDEX(tk_LEAFW,MATCH(301,tk_DSEQ,0)),"0.000")&amp;" x "&amp;TEXT(INDEX(tk_LEAFH,MATCH(301,tk_DSEQ,0)),"0.000"),"")</f>
        <v/>
      </c>
      <c r="G306" s="181">
        <f>IFERROR(""&amp;INDEX(tk_DLINE,MATCH(301,tk_DSEQ,0)),"")</f>
        <v/>
      </c>
      <c r="H306" s="181">
        <f>IFERROR(""&amp;INDEX(tk_LOCTXTD,MATCH(301,tk_DSEQ,0)),"")</f>
        <v/>
      </c>
      <c r="I306" s="162">
        <f>IFERROR(""&amp;INDEX(tk_DNOTES,MATCH(301,tk_DSEQ,0)),"")</f>
        <v/>
      </c>
    </row>
    <row r="307">
      <c r="A307" s="161">
        <f>IFERROR(""&amp;INDEX(tk_MARK,MATCH(302,tk_DSEQ,0)),"")</f>
        <v/>
      </c>
      <c r="B307" s="162">
        <f>IFERROR(INDEX(tk_QTY,MATCH(302,tk_DSEQ,0)),"")</f>
        <v/>
      </c>
      <c r="C307" s="162">
        <f>IFERROR(INDEX(tk_ROOMF,MATCH(302,tk_DSEQ,0))&amp;IF(INDEX(tk_ROOMT,MATCH(302,tk_DSEQ,0))="",""," → "&amp;INDEX(tk_ROOMT,MATCH(302,tk_DSEQ,0))),"")</f>
        <v/>
      </c>
      <c r="D307" s="162">
        <f>IFERROR(INDEX(tk_LEAVES,MATCH(302,tk_DSEQ,0)),"")</f>
        <v/>
      </c>
      <c r="E307" s="162">
        <f>IFERROR(""&amp;INDEX(tk_RATING,MATCH(302,tk_DSEQ,0)),"")</f>
        <v/>
      </c>
      <c r="F307" s="162">
        <f>IFERROR(TEXT(INDEX(tk_LEAFW,MATCH(302,tk_DSEQ,0)),"0.000")&amp;" x "&amp;TEXT(INDEX(tk_LEAFH,MATCH(302,tk_DSEQ,0)),"0.000"),"")</f>
        <v/>
      </c>
      <c r="G307" s="181">
        <f>IFERROR(""&amp;INDEX(tk_DLINE,MATCH(302,tk_DSEQ,0)),"")</f>
        <v/>
      </c>
      <c r="H307" s="181">
        <f>IFERROR(""&amp;INDEX(tk_LOCTXTD,MATCH(302,tk_DSEQ,0)),"")</f>
        <v/>
      </c>
      <c r="I307" s="162">
        <f>IFERROR(""&amp;INDEX(tk_DNOTES,MATCH(302,tk_DSEQ,0)),"")</f>
        <v/>
      </c>
    </row>
    <row r="308">
      <c r="A308" s="161">
        <f>IFERROR(""&amp;INDEX(tk_MARK,MATCH(303,tk_DSEQ,0)),"")</f>
        <v/>
      </c>
      <c r="B308" s="162">
        <f>IFERROR(INDEX(tk_QTY,MATCH(303,tk_DSEQ,0)),"")</f>
        <v/>
      </c>
      <c r="C308" s="162">
        <f>IFERROR(INDEX(tk_ROOMF,MATCH(303,tk_DSEQ,0))&amp;IF(INDEX(tk_ROOMT,MATCH(303,tk_DSEQ,0))="",""," → "&amp;INDEX(tk_ROOMT,MATCH(303,tk_DSEQ,0))),"")</f>
        <v/>
      </c>
      <c r="D308" s="162">
        <f>IFERROR(INDEX(tk_LEAVES,MATCH(303,tk_DSEQ,0)),"")</f>
        <v/>
      </c>
      <c r="E308" s="162">
        <f>IFERROR(""&amp;INDEX(tk_RATING,MATCH(303,tk_DSEQ,0)),"")</f>
        <v/>
      </c>
      <c r="F308" s="162">
        <f>IFERROR(TEXT(INDEX(tk_LEAFW,MATCH(303,tk_DSEQ,0)),"0.000")&amp;" x "&amp;TEXT(INDEX(tk_LEAFH,MATCH(303,tk_DSEQ,0)),"0.000"),"")</f>
        <v/>
      </c>
      <c r="G308" s="181">
        <f>IFERROR(""&amp;INDEX(tk_DLINE,MATCH(303,tk_DSEQ,0)),"")</f>
        <v/>
      </c>
      <c r="H308" s="181">
        <f>IFERROR(""&amp;INDEX(tk_LOCTXTD,MATCH(303,tk_DSEQ,0)),"")</f>
        <v/>
      </c>
      <c r="I308" s="162">
        <f>IFERROR(""&amp;INDEX(tk_DNOTES,MATCH(303,tk_DSEQ,0)),"")</f>
        <v/>
      </c>
    </row>
    <row r="309">
      <c r="A309" s="161">
        <f>IFERROR(""&amp;INDEX(tk_MARK,MATCH(304,tk_DSEQ,0)),"")</f>
        <v/>
      </c>
      <c r="B309" s="162">
        <f>IFERROR(INDEX(tk_QTY,MATCH(304,tk_DSEQ,0)),"")</f>
        <v/>
      </c>
      <c r="C309" s="162">
        <f>IFERROR(INDEX(tk_ROOMF,MATCH(304,tk_DSEQ,0))&amp;IF(INDEX(tk_ROOMT,MATCH(304,tk_DSEQ,0))="",""," → "&amp;INDEX(tk_ROOMT,MATCH(304,tk_DSEQ,0))),"")</f>
        <v/>
      </c>
      <c r="D309" s="162">
        <f>IFERROR(INDEX(tk_LEAVES,MATCH(304,tk_DSEQ,0)),"")</f>
        <v/>
      </c>
      <c r="E309" s="162">
        <f>IFERROR(""&amp;INDEX(tk_RATING,MATCH(304,tk_DSEQ,0)),"")</f>
        <v/>
      </c>
      <c r="F309" s="162">
        <f>IFERROR(TEXT(INDEX(tk_LEAFW,MATCH(304,tk_DSEQ,0)),"0.000")&amp;" x "&amp;TEXT(INDEX(tk_LEAFH,MATCH(304,tk_DSEQ,0)),"0.000"),"")</f>
        <v/>
      </c>
      <c r="G309" s="181">
        <f>IFERROR(""&amp;INDEX(tk_DLINE,MATCH(304,tk_DSEQ,0)),"")</f>
        <v/>
      </c>
      <c r="H309" s="181">
        <f>IFERROR(""&amp;INDEX(tk_LOCTXTD,MATCH(304,tk_DSEQ,0)),"")</f>
        <v/>
      </c>
      <c r="I309" s="162">
        <f>IFERROR(""&amp;INDEX(tk_DNOTES,MATCH(304,tk_DSEQ,0)),"")</f>
        <v/>
      </c>
    </row>
    <row r="310">
      <c r="A310" s="161">
        <f>IFERROR(""&amp;INDEX(tk_MARK,MATCH(305,tk_DSEQ,0)),"")</f>
        <v/>
      </c>
      <c r="B310" s="162">
        <f>IFERROR(INDEX(tk_QTY,MATCH(305,tk_DSEQ,0)),"")</f>
        <v/>
      </c>
      <c r="C310" s="162">
        <f>IFERROR(INDEX(tk_ROOMF,MATCH(305,tk_DSEQ,0))&amp;IF(INDEX(tk_ROOMT,MATCH(305,tk_DSEQ,0))="",""," → "&amp;INDEX(tk_ROOMT,MATCH(305,tk_DSEQ,0))),"")</f>
        <v/>
      </c>
      <c r="D310" s="162">
        <f>IFERROR(INDEX(tk_LEAVES,MATCH(305,tk_DSEQ,0)),"")</f>
        <v/>
      </c>
      <c r="E310" s="162">
        <f>IFERROR(""&amp;INDEX(tk_RATING,MATCH(305,tk_DSEQ,0)),"")</f>
        <v/>
      </c>
      <c r="F310" s="162">
        <f>IFERROR(TEXT(INDEX(tk_LEAFW,MATCH(305,tk_DSEQ,0)),"0.000")&amp;" x "&amp;TEXT(INDEX(tk_LEAFH,MATCH(305,tk_DSEQ,0)),"0.000"),"")</f>
        <v/>
      </c>
      <c r="G310" s="181">
        <f>IFERROR(""&amp;INDEX(tk_DLINE,MATCH(305,tk_DSEQ,0)),"")</f>
        <v/>
      </c>
      <c r="H310" s="181">
        <f>IFERROR(""&amp;INDEX(tk_LOCTXTD,MATCH(305,tk_DSEQ,0)),"")</f>
        <v/>
      </c>
      <c r="I310" s="162">
        <f>IFERROR(""&amp;INDEX(tk_DNOTES,MATCH(305,tk_DSEQ,0)),"")</f>
        <v/>
      </c>
    </row>
    <row r="311">
      <c r="A311" s="161">
        <f>IFERROR(""&amp;INDEX(tk_MARK,MATCH(306,tk_DSEQ,0)),"")</f>
        <v/>
      </c>
      <c r="B311" s="162">
        <f>IFERROR(INDEX(tk_QTY,MATCH(306,tk_DSEQ,0)),"")</f>
        <v/>
      </c>
      <c r="C311" s="162">
        <f>IFERROR(INDEX(tk_ROOMF,MATCH(306,tk_DSEQ,0))&amp;IF(INDEX(tk_ROOMT,MATCH(306,tk_DSEQ,0))="",""," → "&amp;INDEX(tk_ROOMT,MATCH(306,tk_DSEQ,0))),"")</f>
        <v/>
      </c>
      <c r="D311" s="162">
        <f>IFERROR(INDEX(tk_LEAVES,MATCH(306,tk_DSEQ,0)),"")</f>
        <v/>
      </c>
      <c r="E311" s="162">
        <f>IFERROR(""&amp;INDEX(tk_RATING,MATCH(306,tk_DSEQ,0)),"")</f>
        <v/>
      </c>
      <c r="F311" s="162">
        <f>IFERROR(TEXT(INDEX(tk_LEAFW,MATCH(306,tk_DSEQ,0)),"0.000")&amp;" x "&amp;TEXT(INDEX(tk_LEAFH,MATCH(306,tk_DSEQ,0)),"0.000"),"")</f>
        <v/>
      </c>
      <c r="G311" s="181">
        <f>IFERROR(""&amp;INDEX(tk_DLINE,MATCH(306,tk_DSEQ,0)),"")</f>
        <v/>
      </c>
      <c r="H311" s="181">
        <f>IFERROR(""&amp;INDEX(tk_LOCTXTD,MATCH(306,tk_DSEQ,0)),"")</f>
        <v/>
      </c>
      <c r="I311" s="162">
        <f>IFERROR(""&amp;INDEX(tk_DNOTES,MATCH(306,tk_DSEQ,0)),"")</f>
        <v/>
      </c>
    </row>
    <row r="312">
      <c r="A312" s="161">
        <f>IFERROR(""&amp;INDEX(tk_MARK,MATCH(307,tk_DSEQ,0)),"")</f>
        <v/>
      </c>
      <c r="B312" s="162">
        <f>IFERROR(INDEX(tk_QTY,MATCH(307,tk_DSEQ,0)),"")</f>
        <v/>
      </c>
      <c r="C312" s="162">
        <f>IFERROR(INDEX(tk_ROOMF,MATCH(307,tk_DSEQ,0))&amp;IF(INDEX(tk_ROOMT,MATCH(307,tk_DSEQ,0))="",""," → "&amp;INDEX(tk_ROOMT,MATCH(307,tk_DSEQ,0))),"")</f>
        <v/>
      </c>
      <c r="D312" s="162">
        <f>IFERROR(INDEX(tk_LEAVES,MATCH(307,tk_DSEQ,0)),"")</f>
        <v/>
      </c>
      <c r="E312" s="162">
        <f>IFERROR(""&amp;INDEX(tk_RATING,MATCH(307,tk_DSEQ,0)),"")</f>
        <v/>
      </c>
      <c r="F312" s="162">
        <f>IFERROR(TEXT(INDEX(tk_LEAFW,MATCH(307,tk_DSEQ,0)),"0.000")&amp;" x "&amp;TEXT(INDEX(tk_LEAFH,MATCH(307,tk_DSEQ,0)),"0.000"),"")</f>
        <v/>
      </c>
      <c r="G312" s="181">
        <f>IFERROR(""&amp;INDEX(tk_DLINE,MATCH(307,tk_DSEQ,0)),"")</f>
        <v/>
      </c>
      <c r="H312" s="181">
        <f>IFERROR(""&amp;INDEX(tk_LOCTXTD,MATCH(307,tk_DSEQ,0)),"")</f>
        <v/>
      </c>
      <c r="I312" s="162">
        <f>IFERROR(""&amp;INDEX(tk_DNOTES,MATCH(307,tk_DSEQ,0)),"")</f>
        <v/>
      </c>
    </row>
    <row r="313">
      <c r="A313" s="161">
        <f>IFERROR(""&amp;INDEX(tk_MARK,MATCH(308,tk_DSEQ,0)),"")</f>
        <v/>
      </c>
      <c r="B313" s="162">
        <f>IFERROR(INDEX(tk_QTY,MATCH(308,tk_DSEQ,0)),"")</f>
        <v/>
      </c>
      <c r="C313" s="162">
        <f>IFERROR(INDEX(tk_ROOMF,MATCH(308,tk_DSEQ,0))&amp;IF(INDEX(tk_ROOMT,MATCH(308,tk_DSEQ,0))="",""," → "&amp;INDEX(tk_ROOMT,MATCH(308,tk_DSEQ,0))),"")</f>
        <v/>
      </c>
      <c r="D313" s="162">
        <f>IFERROR(INDEX(tk_LEAVES,MATCH(308,tk_DSEQ,0)),"")</f>
        <v/>
      </c>
      <c r="E313" s="162">
        <f>IFERROR(""&amp;INDEX(tk_RATING,MATCH(308,tk_DSEQ,0)),"")</f>
        <v/>
      </c>
      <c r="F313" s="162">
        <f>IFERROR(TEXT(INDEX(tk_LEAFW,MATCH(308,tk_DSEQ,0)),"0.000")&amp;" x "&amp;TEXT(INDEX(tk_LEAFH,MATCH(308,tk_DSEQ,0)),"0.000"),"")</f>
        <v/>
      </c>
      <c r="G313" s="181">
        <f>IFERROR(""&amp;INDEX(tk_DLINE,MATCH(308,tk_DSEQ,0)),"")</f>
        <v/>
      </c>
      <c r="H313" s="181">
        <f>IFERROR(""&amp;INDEX(tk_LOCTXTD,MATCH(308,tk_DSEQ,0)),"")</f>
        <v/>
      </c>
      <c r="I313" s="162">
        <f>IFERROR(""&amp;INDEX(tk_DNOTES,MATCH(308,tk_DSEQ,0)),"")</f>
        <v/>
      </c>
    </row>
    <row r="314">
      <c r="A314" s="161">
        <f>IFERROR(""&amp;INDEX(tk_MARK,MATCH(309,tk_DSEQ,0)),"")</f>
        <v/>
      </c>
      <c r="B314" s="162">
        <f>IFERROR(INDEX(tk_QTY,MATCH(309,tk_DSEQ,0)),"")</f>
        <v/>
      </c>
      <c r="C314" s="162">
        <f>IFERROR(INDEX(tk_ROOMF,MATCH(309,tk_DSEQ,0))&amp;IF(INDEX(tk_ROOMT,MATCH(309,tk_DSEQ,0))="",""," → "&amp;INDEX(tk_ROOMT,MATCH(309,tk_DSEQ,0))),"")</f>
        <v/>
      </c>
      <c r="D314" s="162">
        <f>IFERROR(INDEX(tk_LEAVES,MATCH(309,tk_DSEQ,0)),"")</f>
        <v/>
      </c>
      <c r="E314" s="162">
        <f>IFERROR(""&amp;INDEX(tk_RATING,MATCH(309,tk_DSEQ,0)),"")</f>
        <v/>
      </c>
      <c r="F314" s="162">
        <f>IFERROR(TEXT(INDEX(tk_LEAFW,MATCH(309,tk_DSEQ,0)),"0.000")&amp;" x "&amp;TEXT(INDEX(tk_LEAFH,MATCH(309,tk_DSEQ,0)),"0.000"),"")</f>
        <v/>
      </c>
      <c r="G314" s="181">
        <f>IFERROR(""&amp;INDEX(tk_DLINE,MATCH(309,tk_DSEQ,0)),"")</f>
        <v/>
      </c>
      <c r="H314" s="181">
        <f>IFERROR(""&amp;INDEX(tk_LOCTXTD,MATCH(309,tk_DSEQ,0)),"")</f>
        <v/>
      </c>
      <c r="I314" s="162">
        <f>IFERROR(""&amp;INDEX(tk_DNOTES,MATCH(309,tk_DSEQ,0)),"")</f>
        <v/>
      </c>
    </row>
    <row r="315">
      <c r="A315" s="161">
        <f>IFERROR(""&amp;INDEX(tk_MARK,MATCH(310,tk_DSEQ,0)),"")</f>
        <v/>
      </c>
      <c r="B315" s="162">
        <f>IFERROR(INDEX(tk_QTY,MATCH(310,tk_DSEQ,0)),"")</f>
        <v/>
      </c>
      <c r="C315" s="162">
        <f>IFERROR(INDEX(tk_ROOMF,MATCH(310,tk_DSEQ,0))&amp;IF(INDEX(tk_ROOMT,MATCH(310,tk_DSEQ,0))="",""," → "&amp;INDEX(tk_ROOMT,MATCH(310,tk_DSEQ,0))),"")</f>
        <v/>
      </c>
      <c r="D315" s="162">
        <f>IFERROR(INDEX(tk_LEAVES,MATCH(310,tk_DSEQ,0)),"")</f>
        <v/>
      </c>
      <c r="E315" s="162">
        <f>IFERROR(""&amp;INDEX(tk_RATING,MATCH(310,tk_DSEQ,0)),"")</f>
        <v/>
      </c>
      <c r="F315" s="162">
        <f>IFERROR(TEXT(INDEX(tk_LEAFW,MATCH(310,tk_DSEQ,0)),"0.000")&amp;" x "&amp;TEXT(INDEX(tk_LEAFH,MATCH(310,tk_DSEQ,0)),"0.000"),"")</f>
        <v/>
      </c>
      <c r="G315" s="181">
        <f>IFERROR(""&amp;INDEX(tk_DLINE,MATCH(310,tk_DSEQ,0)),"")</f>
        <v/>
      </c>
      <c r="H315" s="181">
        <f>IFERROR(""&amp;INDEX(tk_LOCTXTD,MATCH(310,tk_DSEQ,0)),"")</f>
        <v/>
      </c>
      <c r="I315" s="162">
        <f>IFERROR(""&amp;INDEX(tk_DNOTES,MATCH(310,tk_DSEQ,0)),"")</f>
        <v/>
      </c>
    </row>
    <row r="316">
      <c r="A316" s="161">
        <f>IFERROR(""&amp;INDEX(tk_MARK,MATCH(311,tk_DSEQ,0)),"")</f>
        <v/>
      </c>
      <c r="B316" s="162">
        <f>IFERROR(INDEX(tk_QTY,MATCH(311,tk_DSEQ,0)),"")</f>
        <v/>
      </c>
      <c r="C316" s="162">
        <f>IFERROR(INDEX(tk_ROOMF,MATCH(311,tk_DSEQ,0))&amp;IF(INDEX(tk_ROOMT,MATCH(311,tk_DSEQ,0))="",""," → "&amp;INDEX(tk_ROOMT,MATCH(311,tk_DSEQ,0))),"")</f>
        <v/>
      </c>
      <c r="D316" s="162">
        <f>IFERROR(INDEX(tk_LEAVES,MATCH(311,tk_DSEQ,0)),"")</f>
        <v/>
      </c>
      <c r="E316" s="162">
        <f>IFERROR(""&amp;INDEX(tk_RATING,MATCH(311,tk_DSEQ,0)),"")</f>
        <v/>
      </c>
      <c r="F316" s="162">
        <f>IFERROR(TEXT(INDEX(tk_LEAFW,MATCH(311,tk_DSEQ,0)),"0.000")&amp;" x "&amp;TEXT(INDEX(tk_LEAFH,MATCH(311,tk_DSEQ,0)),"0.000"),"")</f>
        <v/>
      </c>
      <c r="G316" s="181">
        <f>IFERROR(""&amp;INDEX(tk_DLINE,MATCH(311,tk_DSEQ,0)),"")</f>
        <v/>
      </c>
      <c r="H316" s="181">
        <f>IFERROR(""&amp;INDEX(tk_LOCTXTD,MATCH(311,tk_DSEQ,0)),"")</f>
        <v/>
      </c>
      <c r="I316" s="162">
        <f>IFERROR(""&amp;INDEX(tk_DNOTES,MATCH(311,tk_DSEQ,0)),"")</f>
        <v/>
      </c>
    </row>
    <row r="317">
      <c r="A317" s="161">
        <f>IFERROR(""&amp;INDEX(tk_MARK,MATCH(312,tk_DSEQ,0)),"")</f>
        <v/>
      </c>
      <c r="B317" s="162">
        <f>IFERROR(INDEX(tk_QTY,MATCH(312,tk_DSEQ,0)),"")</f>
        <v/>
      </c>
      <c r="C317" s="162">
        <f>IFERROR(INDEX(tk_ROOMF,MATCH(312,tk_DSEQ,0))&amp;IF(INDEX(tk_ROOMT,MATCH(312,tk_DSEQ,0))="",""," → "&amp;INDEX(tk_ROOMT,MATCH(312,tk_DSEQ,0))),"")</f>
        <v/>
      </c>
      <c r="D317" s="162">
        <f>IFERROR(INDEX(tk_LEAVES,MATCH(312,tk_DSEQ,0)),"")</f>
        <v/>
      </c>
      <c r="E317" s="162">
        <f>IFERROR(""&amp;INDEX(tk_RATING,MATCH(312,tk_DSEQ,0)),"")</f>
        <v/>
      </c>
      <c r="F317" s="162">
        <f>IFERROR(TEXT(INDEX(tk_LEAFW,MATCH(312,tk_DSEQ,0)),"0.000")&amp;" x "&amp;TEXT(INDEX(tk_LEAFH,MATCH(312,tk_DSEQ,0)),"0.000"),"")</f>
        <v/>
      </c>
      <c r="G317" s="181">
        <f>IFERROR(""&amp;INDEX(tk_DLINE,MATCH(312,tk_DSEQ,0)),"")</f>
        <v/>
      </c>
      <c r="H317" s="181">
        <f>IFERROR(""&amp;INDEX(tk_LOCTXTD,MATCH(312,tk_DSEQ,0)),"")</f>
        <v/>
      </c>
      <c r="I317" s="162">
        <f>IFERROR(""&amp;INDEX(tk_DNOTES,MATCH(312,tk_DSEQ,0)),"")</f>
        <v/>
      </c>
    </row>
    <row r="318">
      <c r="A318" s="161">
        <f>IFERROR(""&amp;INDEX(tk_MARK,MATCH(313,tk_DSEQ,0)),"")</f>
        <v/>
      </c>
      <c r="B318" s="162">
        <f>IFERROR(INDEX(tk_QTY,MATCH(313,tk_DSEQ,0)),"")</f>
        <v/>
      </c>
      <c r="C318" s="162">
        <f>IFERROR(INDEX(tk_ROOMF,MATCH(313,tk_DSEQ,0))&amp;IF(INDEX(tk_ROOMT,MATCH(313,tk_DSEQ,0))="",""," → "&amp;INDEX(tk_ROOMT,MATCH(313,tk_DSEQ,0))),"")</f>
        <v/>
      </c>
      <c r="D318" s="162">
        <f>IFERROR(INDEX(tk_LEAVES,MATCH(313,tk_DSEQ,0)),"")</f>
        <v/>
      </c>
      <c r="E318" s="162">
        <f>IFERROR(""&amp;INDEX(tk_RATING,MATCH(313,tk_DSEQ,0)),"")</f>
        <v/>
      </c>
      <c r="F318" s="162">
        <f>IFERROR(TEXT(INDEX(tk_LEAFW,MATCH(313,tk_DSEQ,0)),"0.000")&amp;" x "&amp;TEXT(INDEX(tk_LEAFH,MATCH(313,tk_DSEQ,0)),"0.000"),"")</f>
        <v/>
      </c>
      <c r="G318" s="181">
        <f>IFERROR(""&amp;INDEX(tk_DLINE,MATCH(313,tk_DSEQ,0)),"")</f>
        <v/>
      </c>
      <c r="H318" s="181">
        <f>IFERROR(""&amp;INDEX(tk_LOCTXTD,MATCH(313,tk_DSEQ,0)),"")</f>
        <v/>
      </c>
      <c r="I318" s="162">
        <f>IFERROR(""&amp;INDEX(tk_DNOTES,MATCH(313,tk_DSEQ,0)),"")</f>
        <v/>
      </c>
    </row>
    <row r="319">
      <c r="A319" s="161">
        <f>IFERROR(""&amp;INDEX(tk_MARK,MATCH(314,tk_DSEQ,0)),"")</f>
        <v/>
      </c>
      <c r="B319" s="162">
        <f>IFERROR(INDEX(tk_QTY,MATCH(314,tk_DSEQ,0)),"")</f>
        <v/>
      </c>
      <c r="C319" s="162">
        <f>IFERROR(INDEX(tk_ROOMF,MATCH(314,tk_DSEQ,0))&amp;IF(INDEX(tk_ROOMT,MATCH(314,tk_DSEQ,0))="",""," → "&amp;INDEX(tk_ROOMT,MATCH(314,tk_DSEQ,0))),"")</f>
        <v/>
      </c>
      <c r="D319" s="162">
        <f>IFERROR(INDEX(tk_LEAVES,MATCH(314,tk_DSEQ,0)),"")</f>
        <v/>
      </c>
      <c r="E319" s="162">
        <f>IFERROR(""&amp;INDEX(tk_RATING,MATCH(314,tk_DSEQ,0)),"")</f>
        <v/>
      </c>
      <c r="F319" s="162">
        <f>IFERROR(TEXT(INDEX(tk_LEAFW,MATCH(314,tk_DSEQ,0)),"0.000")&amp;" x "&amp;TEXT(INDEX(tk_LEAFH,MATCH(314,tk_DSEQ,0)),"0.000"),"")</f>
        <v/>
      </c>
      <c r="G319" s="181">
        <f>IFERROR(""&amp;INDEX(tk_DLINE,MATCH(314,tk_DSEQ,0)),"")</f>
        <v/>
      </c>
      <c r="H319" s="181">
        <f>IFERROR(""&amp;INDEX(tk_LOCTXTD,MATCH(314,tk_DSEQ,0)),"")</f>
        <v/>
      </c>
      <c r="I319" s="162">
        <f>IFERROR(""&amp;INDEX(tk_DNOTES,MATCH(314,tk_DSEQ,0)),"")</f>
        <v/>
      </c>
    </row>
    <row r="320">
      <c r="A320" s="161">
        <f>IFERROR(""&amp;INDEX(tk_MARK,MATCH(315,tk_DSEQ,0)),"")</f>
        <v/>
      </c>
      <c r="B320" s="162">
        <f>IFERROR(INDEX(tk_QTY,MATCH(315,tk_DSEQ,0)),"")</f>
        <v/>
      </c>
      <c r="C320" s="162">
        <f>IFERROR(INDEX(tk_ROOMF,MATCH(315,tk_DSEQ,0))&amp;IF(INDEX(tk_ROOMT,MATCH(315,tk_DSEQ,0))="",""," → "&amp;INDEX(tk_ROOMT,MATCH(315,tk_DSEQ,0))),"")</f>
        <v/>
      </c>
      <c r="D320" s="162">
        <f>IFERROR(INDEX(tk_LEAVES,MATCH(315,tk_DSEQ,0)),"")</f>
        <v/>
      </c>
      <c r="E320" s="162">
        <f>IFERROR(""&amp;INDEX(tk_RATING,MATCH(315,tk_DSEQ,0)),"")</f>
        <v/>
      </c>
      <c r="F320" s="162">
        <f>IFERROR(TEXT(INDEX(tk_LEAFW,MATCH(315,tk_DSEQ,0)),"0.000")&amp;" x "&amp;TEXT(INDEX(tk_LEAFH,MATCH(315,tk_DSEQ,0)),"0.000"),"")</f>
        <v/>
      </c>
      <c r="G320" s="181">
        <f>IFERROR(""&amp;INDEX(tk_DLINE,MATCH(315,tk_DSEQ,0)),"")</f>
        <v/>
      </c>
      <c r="H320" s="181">
        <f>IFERROR(""&amp;INDEX(tk_LOCTXTD,MATCH(315,tk_DSEQ,0)),"")</f>
        <v/>
      </c>
      <c r="I320" s="162">
        <f>IFERROR(""&amp;INDEX(tk_DNOTES,MATCH(315,tk_DSEQ,0)),"")</f>
        <v/>
      </c>
    </row>
    <row r="321">
      <c r="A321" s="161">
        <f>IFERROR(""&amp;INDEX(tk_MARK,MATCH(316,tk_DSEQ,0)),"")</f>
        <v/>
      </c>
      <c r="B321" s="162">
        <f>IFERROR(INDEX(tk_QTY,MATCH(316,tk_DSEQ,0)),"")</f>
        <v/>
      </c>
      <c r="C321" s="162">
        <f>IFERROR(INDEX(tk_ROOMF,MATCH(316,tk_DSEQ,0))&amp;IF(INDEX(tk_ROOMT,MATCH(316,tk_DSEQ,0))="",""," → "&amp;INDEX(tk_ROOMT,MATCH(316,tk_DSEQ,0))),"")</f>
        <v/>
      </c>
      <c r="D321" s="162">
        <f>IFERROR(INDEX(tk_LEAVES,MATCH(316,tk_DSEQ,0)),"")</f>
        <v/>
      </c>
      <c r="E321" s="162">
        <f>IFERROR(""&amp;INDEX(tk_RATING,MATCH(316,tk_DSEQ,0)),"")</f>
        <v/>
      </c>
      <c r="F321" s="162">
        <f>IFERROR(TEXT(INDEX(tk_LEAFW,MATCH(316,tk_DSEQ,0)),"0.000")&amp;" x "&amp;TEXT(INDEX(tk_LEAFH,MATCH(316,tk_DSEQ,0)),"0.000"),"")</f>
        <v/>
      </c>
      <c r="G321" s="181">
        <f>IFERROR(""&amp;INDEX(tk_DLINE,MATCH(316,tk_DSEQ,0)),"")</f>
        <v/>
      </c>
      <c r="H321" s="181">
        <f>IFERROR(""&amp;INDEX(tk_LOCTXTD,MATCH(316,tk_DSEQ,0)),"")</f>
        <v/>
      </c>
      <c r="I321" s="162">
        <f>IFERROR(""&amp;INDEX(tk_DNOTES,MATCH(316,tk_DSEQ,0)),"")</f>
        <v/>
      </c>
    </row>
    <row r="322">
      <c r="A322" s="161">
        <f>IFERROR(""&amp;INDEX(tk_MARK,MATCH(317,tk_DSEQ,0)),"")</f>
        <v/>
      </c>
      <c r="B322" s="162">
        <f>IFERROR(INDEX(tk_QTY,MATCH(317,tk_DSEQ,0)),"")</f>
        <v/>
      </c>
      <c r="C322" s="162">
        <f>IFERROR(INDEX(tk_ROOMF,MATCH(317,tk_DSEQ,0))&amp;IF(INDEX(tk_ROOMT,MATCH(317,tk_DSEQ,0))="",""," → "&amp;INDEX(tk_ROOMT,MATCH(317,tk_DSEQ,0))),"")</f>
        <v/>
      </c>
      <c r="D322" s="162">
        <f>IFERROR(INDEX(tk_LEAVES,MATCH(317,tk_DSEQ,0)),"")</f>
        <v/>
      </c>
      <c r="E322" s="162">
        <f>IFERROR(""&amp;INDEX(tk_RATING,MATCH(317,tk_DSEQ,0)),"")</f>
        <v/>
      </c>
      <c r="F322" s="162">
        <f>IFERROR(TEXT(INDEX(tk_LEAFW,MATCH(317,tk_DSEQ,0)),"0.000")&amp;" x "&amp;TEXT(INDEX(tk_LEAFH,MATCH(317,tk_DSEQ,0)),"0.000"),"")</f>
        <v/>
      </c>
      <c r="G322" s="181">
        <f>IFERROR(""&amp;INDEX(tk_DLINE,MATCH(317,tk_DSEQ,0)),"")</f>
        <v/>
      </c>
      <c r="H322" s="181">
        <f>IFERROR(""&amp;INDEX(tk_LOCTXTD,MATCH(317,tk_DSEQ,0)),"")</f>
        <v/>
      </c>
      <c r="I322" s="162">
        <f>IFERROR(""&amp;INDEX(tk_DNOTES,MATCH(317,tk_DSEQ,0)),"")</f>
        <v/>
      </c>
    </row>
    <row r="323">
      <c r="A323" s="161">
        <f>IFERROR(""&amp;INDEX(tk_MARK,MATCH(318,tk_DSEQ,0)),"")</f>
        <v/>
      </c>
      <c r="B323" s="162">
        <f>IFERROR(INDEX(tk_QTY,MATCH(318,tk_DSEQ,0)),"")</f>
        <v/>
      </c>
      <c r="C323" s="162">
        <f>IFERROR(INDEX(tk_ROOMF,MATCH(318,tk_DSEQ,0))&amp;IF(INDEX(tk_ROOMT,MATCH(318,tk_DSEQ,0))="",""," → "&amp;INDEX(tk_ROOMT,MATCH(318,tk_DSEQ,0))),"")</f>
        <v/>
      </c>
      <c r="D323" s="162">
        <f>IFERROR(INDEX(tk_LEAVES,MATCH(318,tk_DSEQ,0)),"")</f>
        <v/>
      </c>
      <c r="E323" s="162">
        <f>IFERROR(""&amp;INDEX(tk_RATING,MATCH(318,tk_DSEQ,0)),"")</f>
        <v/>
      </c>
      <c r="F323" s="162">
        <f>IFERROR(TEXT(INDEX(tk_LEAFW,MATCH(318,tk_DSEQ,0)),"0.000")&amp;" x "&amp;TEXT(INDEX(tk_LEAFH,MATCH(318,tk_DSEQ,0)),"0.000"),"")</f>
        <v/>
      </c>
      <c r="G323" s="181">
        <f>IFERROR(""&amp;INDEX(tk_DLINE,MATCH(318,tk_DSEQ,0)),"")</f>
        <v/>
      </c>
      <c r="H323" s="181">
        <f>IFERROR(""&amp;INDEX(tk_LOCTXTD,MATCH(318,tk_DSEQ,0)),"")</f>
        <v/>
      </c>
      <c r="I323" s="162">
        <f>IFERROR(""&amp;INDEX(tk_DNOTES,MATCH(318,tk_DSEQ,0)),"")</f>
        <v/>
      </c>
    </row>
    <row r="324">
      <c r="A324" s="161">
        <f>IFERROR(""&amp;INDEX(tk_MARK,MATCH(319,tk_DSEQ,0)),"")</f>
        <v/>
      </c>
      <c r="B324" s="162">
        <f>IFERROR(INDEX(tk_QTY,MATCH(319,tk_DSEQ,0)),"")</f>
        <v/>
      </c>
      <c r="C324" s="162">
        <f>IFERROR(INDEX(tk_ROOMF,MATCH(319,tk_DSEQ,0))&amp;IF(INDEX(tk_ROOMT,MATCH(319,tk_DSEQ,0))="",""," → "&amp;INDEX(tk_ROOMT,MATCH(319,tk_DSEQ,0))),"")</f>
        <v/>
      </c>
      <c r="D324" s="162">
        <f>IFERROR(INDEX(tk_LEAVES,MATCH(319,tk_DSEQ,0)),"")</f>
        <v/>
      </c>
      <c r="E324" s="162">
        <f>IFERROR(""&amp;INDEX(tk_RATING,MATCH(319,tk_DSEQ,0)),"")</f>
        <v/>
      </c>
      <c r="F324" s="162">
        <f>IFERROR(TEXT(INDEX(tk_LEAFW,MATCH(319,tk_DSEQ,0)),"0.000")&amp;" x "&amp;TEXT(INDEX(tk_LEAFH,MATCH(319,tk_DSEQ,0)),"0.000"),"")</f>
        <v/>
      </c>
      <c r="G324" s="181">
        <f>IFERROR(""&amp;INDEX(tk_DLINE,MATCH(319,tk_DSEQ,0)),"")</f>
        <v/>
      </c>
      <c r="H324" s="181">
        <f>IFERROR(""&amp;INDEX(tk_LOCTXTD,MATCH(319,tk_DSEQ,0)),"")</f>
        <v/>
      </c>
      <c r="I324" s="162">
        <f>IFERROR(""&amp;INDEX(tk_DNOTES,MATCH(319,tk_DSEQ,0)),"")</f>
        <v/>
      </c>
    </row>
    <row r="325">
      <c r="A325" s="161">
        <f>IFERROR(""&amp;INDEX(tk_MARK,MATCH(320,tk_DSEQ,0)),"")</f>
        <v/>
      </c>
      <c r="B325" s="162">
        <f>IFERROR(INDEX(tk_QTY,MATCH(320,tk_DSEQ,0)),"")</f>
        <v/>
      </c>
      <c r="C325" s="162">
        <f>IFERROR(INDEX(tk_ROOMF,MATCH(320,tk_DSEQ,0))&amp;IF(INDEX(tk_ROOMT,MATCH(320,tk_DSEQ,0))="",""," → "&amp;INDEX(tk_ROOMT,MATCH(320,tk_DSEQ,0))),"")</f>
        <v/>
      </c>
      <c r="D325" s="162">
        <f>IFERROR(INDEX(tk_LEAVES,MATCH(320,tk_DSEQ,0)),"")</f>
        <v/>
      </c>
      <c r="E325" s="162">
        <f>IFERROR(""&amp;INDEX(tk_RATING,MATCH(320,tk_DSEQ,0)),"")</f>
        <v/>
      </c>
      <c r="F325" s="162">
        <f>IFERROR(TEXT(INDEX(tk_LEAFW,MATCH(320,tk_DSEQ,0)),"0.000")&amp;" x "&amp;TEXT(INDEX(tk_LEAFH,MATCH(320,tk_DSEQ,0)),"0.000"),"")</f>
        <v/>
      </c>
      <c r="G325" s="181">
        <f>IFERROR(""&amp;INDEX(tk_DLINE,MATCH(320,tk_DSEQ,0)),"")</f>
        <v/>
      </c>
      <c r="H325" s="181">
        <f>IFERROR(""&amp;INDEX(tk_LOCTXTD,MATCH(320,tk_DSEQ,0)),"")</f>
        <v/>
      </c>
      <c r="I325" s="162">
        <f>IFERROR(""&amp;INDEX(tk_DNOTES,MATCH(320,tk_DSEQ,0)),"")</f>
        <v/>
      </c>
    </row>
    <row r="326">
      <c r="A326" s="161">
        <f>IFERROR(""&amp;INDEX(tk_MARK,MATCH(321,tk_DSEQ,0)),"")</f>
        <v/>
      </c>
      <c r="B326" s="162">
        <f>IFERROR(INDEX(tk_QTY,MATCH(321,tk_DSEQ,0)),"")</f>
        <v/>
      </c>
      <c r="C326" s="162">
        <f>IFERROR(INDEX(tk_ROOMF,MATCH(321,tk_DSEQ,0))&amp;IF(INDEX(tk_ROOMT,MATCH(321,tk_DSEQ,0))="",""," → "&amp;INDEX(tk_ROOMT,MATCH(321,tk_DSEQ,0))),"")</f>
        <v/>
      </c>
      <c r="D326" s="162">
        <f>IFERROR(INDEX(tk_LEAVES,MATCH(321,tk_DSEQ,0)),"")</f>
        <v/>
      </c>
      <c r="E326" s="162">
        <f>IFERROR(""&amp;INDEX(tk_RATING,MATCH(321,tk_DSEQ,0)),"")</f>
        <v/>
      </c>
      <c r="F326" s="162">
        <f>IFERROR(TEXT(INDEX(tk_LEAFW,MATCH(321,tk_DSEQ,0)),"0.000")&amp;" x "&amp;TEXT(INDEX(tk_LEAFH,MATCH(321,tk_DSEQ,0)),"0.000"),"")</f>
        <v/>
      </c>
      <c r="G326" s="181">
        <f>IFERROR(""&amp;INDEX(tk_DLINE,MATCH(321,tk_DSEQ,0)),"")</f>
        <v/>
      </c>
      <c r="H326" s="181">
        <f>IFERROR(""&amp;INDEX(tk_LOCTXTD,MATCH(321,tk_DSEQ,0)),"")</f>
        <v/>
      </c>
      <c r="I326" s="162">
        <f>IFERROR(""&amp;INDEX(tk_DNOTES,MATCH(321,tk_DSEQ,0)),"")</f>
        <v/>
      </c>
    </row>
    <row r="327">
      <c r="A327" s="161">
        <f>IFERROR(""&amp;INDEX(tk_MARK,MATCH(322,tk_DSEQ,0)),"")</f>
        <v/>
      </c>
      <c r="B327" s="162">
        <f>IFERROR(INDEX(tk_QTY,MATCH(322,tk_DSEQ,0)),"")</f>
        <v/>
      </c>
      <c r="C327" s="162">
        <f>IFERROR(INDEX(tk_ROOMF,MATCH(322,tk_DSEQ,0))&amp;IF(INDEX(tk_ROOMT,MATCH(322,tk_DSEQ,0))="",""," → "&amp;INDEX(tk_ROOMT,MATCH(322,tk_DSEQ,0))),"")</f>
        <v/>
      </c>
      <c r="D327" s="162">
        <f>IFERROR(INDEX(tk_LEAVES,MATCH(322,tk_DSEQ,0)),"")</f>
        <v/>
      </c>
      <c r="E327" s="162">
        <f>IFERROR(""&amp;INDEX(tk_RATING,MATCH(322,tk_DSEQ,0)),"")</f>
        <v/>
      </c>
      <c r="F327" s="162">
        <f>IFERROR(TEXT(INDEX(tk_LEAFW,MATCH(322,tk_DSEQ,0)),"0.000")&amp;" x "&amp;TEXT(INDEX(tk_LEAFH,MATCH(322,tk_DSEQ,0)),"0.000"),"")</f>
        <v/>
      </c>
      <c r="G327" s="181">
        <f>IFERROR(""&amp;INDEX(tk_DLINE,MATCH(322,tk_DSEQ,0)),"")</f>
        <v/>
      </c>
      <c r="H327" s="181">
        <f>IFERROR(""&amp;INDEX(tk_LOCTXTD,MATCH(322,tk_DSEQ,0)),"")</f>
        <v/>
      </c>
      <c r="I327" s="162">
        <f>IFERROR(""&amp;INDEX(tk_DNOTES,MATCH(322,tk_DSEQ,0)),"")</f>
        <v/>
      </c>
    </row>
    <row r="328">
      <c r="A328" s="161">
        <f>IFERROR(""&amp;INDEX(tk_MARK,MATCH(323,tk_DSEQ,0)),"")</f>
        <v/>
      </c>
      <c r="B328" s="162">
        <f>IFERROR(INDEX(tk_QTY,MATCH(323,tk_DSEQ,0)),"")</f>
        <v/>
      </c>
      <c r="C328" s="162">
        <f>IFERROR(INDEX(tk_ROOMF,MATCH(323,tk_DSEQ,0))&amp;IF(INDEX(tk_ROOMT,MATCH(323,tk_DSEQ,0))="",""," → "&amp;INDEX(tk_ROOMT,MATCH(323,tk_DSEQ,0))),"")</f>
        <v/>
      </c>
      <c r="D328" s="162">
        <f>IFERROR(INDEX(tk_LEAVES,MATCH(323,tk_DSEQ,0)),"")</f>
        <v/>
      </c>
      <c r="E328" s="162">
        <f>IFERROR(""&amp;INDEX(tk_RATING,MATCH(323,tk_DSEQ,0)),"")</f>
        <v/>
      </c>
      <c r="F328" s="162">
        <f>IFERROR(TEXT(INDEX(tk_LEAFW,MATCH(323,tk_DSEQ,0)),"0.000")&amp;" x "&amp;TEXT(INDEX(tk_LEAFH,MATCH(323,tk_DSEQ,0)),"0.000"),"")</f>
        <v/>
      </c>
      <c r="G328" s="181">
        <f>IFERROR(""&amp;INDEX(tk_DLINE,MATCH(323,tk_DSEQ,0)),"")</f>
        <v/>
      </c>
      <c r="H328" s="181">
        <f>IFERROR(""&amp;INDEX(tk_LOCTXTD,MATCH(323,tk_DSEQ,0)),"")</f>
        <v/>
      </c>
      <c r="I328" s="162">
        <f>IFERROR(""&amp;INDEX(tk_DNOTES,MATCH(323,tk_DSEQ,0)),"")</f>
        <v/>
      </c>
    </row>
    <row r="329">
      <c r="A329" s="161">
        <f>IFERROR(""&amp;INDEX(tk_MARK,MATCH(324,tk_DSEQ,0)),"")</f>
        <v/>
      </c>
      <c r="B329" s="162">
        <f>IFERROR(INDEX(tk_QTY,MATCH(324,tk_DSEQ,0)),"")</f>
        <v/>
      </c>
      <c r="C329" s="162">
        <f>IFERROR(INDEX(tk_ROOMF,MATCH(324,tk_DSEQ,0))&amp;IF(INDEX(tk_ROOMT,MATCH(324,tk_DSEQ,0))="",""," → "&amp;INDEX(tk_ROOMT,MATCH(324,tk_DSEQ,0))),"")</f>
        <v/>
      </c>
      <c r="D329" s="162">
        <f>IFERROR(INDEX(tk_LEAVES,MATCH(324,tk_DSEQ,0)),"")</f>
        <v/>
      </c>
      <c r="E329" s="162">
        <f>IFERROR(""&amp;INDEX(tk_RATING,MATCH(324,tk_DSEQ,0)),"")</f>
        <v/>
      </c>
      <c r="F329" s="162">
        <f>IFERROR(TEXT(INDEX(tk_LEAFW,MATCH(324,tk_DSEQ,0)),"0.000")&amp;" x "&amp;TEXT(INDEX(tk_LEAFH,MATCH(324,tk_DSEQ,0)),"0.000"),"")</f>
        <v/>
      </c>
      <c r="G329" s="181">
        <f>IFERROR(""&amp;INDEX(tk_DLINE,MATCH(324,tk_DSEQ,0)),"")</f>
        <v/>
      </c>
      <c r="H329" s="181">
        <f>IFERROR(""&amp;INDEX(tk_LOCTXTD,MATCH(324,tk_DSEQ,0)),"")</f>
        <v/>
      </c>
      <c r="I329" s="162">
        <f>IFERROR(""&amp;INDEX(tk_DNOTES,MATCH(324,tk_DSEQ,0)),"")</f>
        <v/>
      </c>
    </row>
    <row r="330">
      <c r="A330" s="161">
        <f>IFERROR(""&amp;INDEX(tk_MARK,MATCH(325,tk_DSEQ,0)),"")</f>
        <v/>
      </c>
      <c r="B330" s="162">
        <f>IFERROR(INDEX(tk_QTY,MATCH(325,tk_DSEQ,0)),"")</f>
        <v/>
      </c>
      <c r="C330" s="162">
        <f>IFERROR(INDEX(tk_ROOMF,MATCH(325,tk_DSEQ,0))&amp;IF(INDEX(tk_ROOMT,MATCH(325,tk_DSEQ,0))="",""," → "&amp;INDEX(tk_ROOMT,MATCH(325,tk_DSEQ,0))),"")</f>
        <v/>
      </c>
      <c r="D330" s="162">
        <f>IFERROR(INDEX(tk_LEAVES,MATCH(325,tk_DSEQ,0)),"")</f>
        <v/>
      </c>
      <c r="E330" s="162">
        <f>IFERROR(""&amp;INDEX(tk_RATING,MATCH(325,tk_DSEQ,0)),"")</f>
        <v/>
      </c>
      <c r="F330" s="162">
        <f>IFERROR(TEXT(INDEX(tk_LEAFW,MATCH(325,tk_DSEQ,0)),"0.000")&amp;" x "&amp;TEXT(INDEX(tk_LEAFH,MATCH(325,tk_DSEQ,0)),"0.000"),"")</f>
        <v/>
      </c>
      <c r="G330" s="181">
        <f>IFERROR(""&amp;INDEX(tk_DLINE,MATCH(325,tk_DSEQ,0)),"")</f>
        <v/>
      </c>
      <c r="H330" s="181">
        <f>IFERROR(""&amp;INDEX(tk_LOCTXTD,MATCH(325,tk_DSEQ,0)),"")</f>
        <v/>
      </c>
      <c r="I330" s="162">
        <f>IFERROR(""&amp;INDEX(tk_DNOTES,MATCH(325,tk_DSEQ,0)),"")</f>
        <v/>
      </c>
    </row>
    <row r="331">
      <c r="A331" s="161">
        <f>IFERROR(""&amp;INDEX(tk_MARK,MATCH(326,tk_DSEQ,0)),"")</f>
        <v/>
      </c>
      <c r="B331" s="162">
        <f>IFERROR(INDEX(tk_QTY,MATCH(326,tk_DSEQ,0)),"")</f>
        <v/>
      </c>
      <c r="C331" s="162">
        <f>IFERROR(INDEX(tk_ROOMF,MATCH(326,tk_DSEQ,0))&amp;IF(INDEX(tk_ROOMT,MATCH(326,tk_DSEQ,0))="",""," → "&amp;INDEX(tk_ROOMT,MATCH(326,tk_DSEQ,0))),"")</f>
        <v/>
      </c>
      <c r="D331" s="162">
        <f>IFERROR(INDEX(tk_LEAVES,MATCH(326,tk_DSEQ,0)),"")</f>
        <v/>
      </c>
      <c r="E331" s="162">
        <f>IFERROR(""&amp;INDEX(tk_RATING,MATCH(326,tk_DSEQ,0)),"")</f>
        <v/>
      </c>
      <c r="F331" s="162">
        <f>IFERROR(TEXT(INDEX(tk_LEAFW,MATCH(326,tk_DSEQ,0)),"0.000")&amp;" x "&amp;TEXT(INDEX(tk_LEAFH,MATCH(326,tk_DSEQ,0)),"0.000"),"")</f>
        <v/>
      </c>
      <c r="G331" s="181">
        <f>IFERROR(""&amp;INDEX(tk_DLINE,MATCH(326,tk_DSEQ,0)),"")</f>
        <v/>
      </c>
      <c r="H331" s="181">
        <f>IFERROR(""&amp;INDEX(tk_LOCTXTD,MATCH(326,tk_DSEQ,0)),"")</f>
        <v/>
      </c>
      <c r="I331" s="162">
        <f>IFERROR(""&amp;INDEX(tk_DNOTES,MATCH(326,tk_DSEQ,0)),"")</f>
        <v/>
      </c>
    </row>
    <row r="332">
      <c r="A332" s="161">
        <f>IFERROR(""&amp;INDEX(tk_MARK,MATCH(327,tk_DSEQ,0)),"")</f>
        <v/>
      </c>
      <c r="B332" s="162">
        <f>IFERROR(INDEX(tk_QTY,MATCH(327,tk_DSEQ,0)),"")</f>
        <v/>
      </c>
      <c r="C332" s="162">
        <f>IFERROR(INDEX(tk_ROOMF,MATCH(327,tk_DSEQ,0))&amp;IF(INDEX(tk_ROOMT,MATCH(327,tk_DSEQ,0))="",""," → "&amp;INDEX(tk_ROOMT,MATCH(327,tk_DSEQ,0))),"")</f>
        <v/>
      </c>
      <c r="D332" s="162">
        <f>IFERROR(INDEX(tk_LEAVES,MATCH(327,tk_DSEQ,0)),"")</f>
        <v/>
      </c>
      <c r="E332" s="162">
        <f>IFERROR(""&amp;INDEX(tk_RATING,MATCH(327,tk_DSEQ,0)),"")</f>
        <v/>
      </c>
      <c r="F332" s="162">
        <f>IFERROR(TEXT(INDEX(tk_LEAFW,MATCH(327,tk_DSEQ,0)),"0.000")&amp;" x "&amp;TEXT(INDEX(tk_LEAFH,MATCH(327,tk_DSEQ,0)),"0.000"),"")</f>
        <v/>
      </c>
      <c r="G332" s="181">
        <f>IFERROR(""&amp;INDEX(tk_DLINE,MATCH(327,tk_DSEQ,0)),"")</f>
        <v/>
      </c>
      <c r="H332" s="181">
        <f>IFERROR(""&amp;INDEX(tk_LOCTXTD,MATCH(327,tk_DSEQ,0)),"")</f>
        <v/>
      </c>
      <c r="I332" s="162">
        <f>IFERROR(""&amp;INDEX(tk_DNOTES,MATCH(327,tk_DSEQ,0)),"")</f>
        <v/>
      </c>
    </row>
    <row r="333">
      <c r="A333" s="161">
        <f>IFERROR(""&amp;INDEX(tk_MARK,MATCH(328,tk_DSEQ,0)),"")</f>
        <v/>
      </c>
      <c r="B333" s="162">
        <f>IFERROR(INDEX(tk_QTY,MATCH(328,tk_DSEQ,0)),"")</f>
        <v/>
      </c>
      <c r="C333" s="162">
        <f>IFERROR(INDEX(tk_ROOMF,MATCH(328,tk_DSEQ,0))&amp;IF(INDEX(tk_ROOMT,MATCH(328,tk_DSEQ,0))="",""," → "&amp;INDEX(tk_ROOMT,MATCH(328,tk_DSEQ,0))),"")</f>
        <v/>
      </c>
      <c r="D333" s="162">
        <f>IFERROR(INDEX(tk_LEAVES,MATCH(328,tk_DSEQ,0)),"")</f>
        <v/>
      </c>
      <c r="E333" s="162">
        <f>IFERROR(""&amp;INDEX(tk_RATING,MATCH(328,tk_DSEQ,0)),"")</f>
        <v/>
      </c>
      <c r="F333" s="162">
        <f>IFERROR(TEXT(INDEX(tk_LEAFW,MATCH(328,tk_DSEQ,0)),"0.000")&amp;" x "&amp;TEXT(INDEX(tk_LEAFH,MATCH(328,tk_DSEQ,0)),"0.000"),"")</f>
        <v/>
      </c>
      <c r="G333" s="181">
        <f>IFERROR(""&amp;INDEX(tk_DLINE,MATCH(328,tk_DSEQ,0)),"")</f>
        <v/>
      </c>
      <c r="H333" s="181">
        <f>IFERROR(""&amp;INDEX(tk_LOCTXTD,MATCH(328,tk_DSEQ,0)),"")</f>
        <v/>
      </c>
      <c r="I333" s="162">
        <f>IFERROR(""&amp;INDEX(tk_DNOTES,MATCH(328,tk_DSEQ,0)),"")</f>
        <v/>
      </c>
    </row>
    <row r="334">
      <c r="A334" s="161">
        <f>IFERROR(""&amp;INDEX(tk_MARK,MATCH(329,tk_DSEQ,0)),"")</f>
        <v/>
      </c>
      <c r="B334" s="162">
        <f>IFERROR(INDEX(tk_QTY,MATCH(329,tk_DSEQ,0)),"")</f>
        <v/>
      </c>
      <c r="C334" s="162">
        <f>IFERROR(INDEX(tk_ROOMF,MATCH(329,tk_DSEQ,0))&amp;IF(INDEX(tk_ROOMT,MATCH(329,tk_DSEQ,0))="",""," → "&amp;INDEX(tk_ROOMT,MATCH(329,tk_DSEQ,0))),"")</f>
        <v/>
      </c>
      <c r="D334" s="162">
        <f>IFERROR(INDEX(tk_LEAVES,MATCH(329,tk_DSEQ,0)),"")</f>
        <v/>
      </c>
      <c r="E334" s="162">
        <f>IFERROR(""&amp;INDEX(tk_RATING,MATCH(329,tk_DSEQ,0)),"")</f>
        <v/>
      </c>
      <c r="F334" s="162">
        <f>IFERROR(TEXT(INDEX(tk_LEAFW,MATCH(329,tk_DSEQ,0)),"0.000")&amp;" x "&amp;TEXT(INDEX(tk_LEAFH,MATCH(329,tk_DSEQ,0)),"0.000"),"")</f>
        <v/>
      </c>
      <c r="G334" s="181">
        <f>IFERROR(""&amp;INDEX(tk_DLINE,MATCH(329,tk_DSEQ,0)),"")</f>
        <v/>
      </c>
      <c r="H334" s="181">
        <f>IFERROR(""&amp;INDEX(tk_LOCTXTD,MATCH(329,tk_DSEQ,0)),"")</f>
        <v/>
      </c>
      <c r="I334" s="162">
        <f>IFERROR(""&amp;INDEX(tk_DNOTES,MATCH(329,tk_DSEQ,0)),"")</f>
        <v/>
      </c>
    </row>
    <row r="335">
      <c r="A335" s="161">
        <f>IFERROR(""&amp;INDEX(tk_MARK,MATCH(330,tk_DSEQ,0)),"")</f>
        <v/>
      </c>
      <c r="B335" s="162">
        <f>IFERROR(INDEX(tk_QTY,MATCH(330,tk_DSEQ,0)),"")</f>
        <v/>
      </c>
      <c r="C335" s="162">
        <f>IFERROR(INDEX(tk_ROOMF,MATCH(330,tk_DSEQ,0))&amp;IF(INDEX(tk_ROOMT,MATCH(330,tk_DSEQ,0))="",""," → "&amp;INDEX(tk_ROOMT,MATCH(330,tk_DSEQ,0))),"")</f>
        <v/>
      </c>
      <c r="D335" s="162">
        <f>IFERROR(INDEX(tk_LEAVES,MATCH(330,tk_DSEQ,0)),"")</f>
        <v/>
      </c>
      <c r="E335" s="162">
        <f>IFERROR(""&amp;INDEX(tk_RATING,MATCH(330,tk_DSEQ,0)),"")</f>
        <v/>
      </c>
      <c r="F335" s="162">
        <f>IFERROR(TEXT(INDEX(tk_LEAFW,MATCH(330,tk_DSEQ,0)),"0.000")&amp;" x "&amp;TEXT(INDEX(tk_LEAFH,MATCH(330,tk_DSEQ,0)),"0.000"),"")</f>
        <v/>
      </c>
      <c r="G335" s="181">
        <f>IFERROR(""&amp;INDEX(tk_DLINE,MATCH(330,tk_DSEQ,0)),"")</f>
        <v/>
      </c>
      <c r="H335" s="181">
        <f>IFERROR(""&amp;INDEX(tk_LOCTXTD,MATCH(330,tk_DSEQ,0)),"")</f>
        <v/>
      </c>
      <c r="I335" s="162">
        <f>IFERROR(""&amp;INDEX(tk_DNOTES,MATCH(330,tk_DSEQ,0)),"")</f>
        <v/>
      </c>
    </row>
    <row r="336">
      <c r="A336" s="161">
        <f>IFERROR(""&amp;INDEX(tk_MARK,MATCH(331,tk_DSEQ,0)),"")</f>
        <v/>
      </c>
      <c r="B336" s="162">
        <f>IFERROR(INDEX(tk_QTY,MATCH(331,tk_DSEQ,0)),"")</f>
        <v/>
      </c>
      <c r="C336" s="162">
        <f>IFERROR(INDEX(tk_ROOMF,MATCH(331,tk_DSEQ,0))&amp;IF(INDEX(tk_ROOMT,MATCH(331,tk_DSEQ,0))="",""," → "&amp;INDEX(tk_ROOMT,MATCH(331,tk_DSEQ,0))),"")</f>
        <v/>
      </c>
      <c r="D336" s="162">
        <f>IFERROR(INDEX(tk_LEAVES,MATCH(331,tk_DSEQ,0)),"")</f>
        <v/>
      </c>
      <c r="E336" s="162">
        <f>IFERROR(""&amp;INDEX(tk_RATING,MATCH(331,tk_DSEQ,0)),"")</f>
        <v/>
      </c>
      <c r="F336" s="162">
        <f>IFERROR(TEXT(INDEX(tk_LEAFW,MATCH(331,tk_DSEQ,0)),"0.000")&amp;" x "&amp;TEXT(INDEX(tk_LEAFH,MATCH(331,tk_DSEQ,0)),"0.000"),"")</f>
        <v/>
      </c>
      <c r="G336" s="181">
        <f>IFERROR(""&amp;INDEX(tk_DLINE,MATCH(331,tk_DSEQ,0)),"")</f>
        <v/>
      </c>
      <c r="H336" s="181">
        <f>IFERROR(""&amp;INDEX(tk_LOCTXTD,MATCH(331,tk_DSEQ,0)),"")</f>
        <v/>
      </c>
      <c r="I336" s="162">
        <f>IFERROR(""&amp;INDEX(tk_DNOTES,MATCH(331,tk_DSEQ,0)),"")</f>
        <v/>
      </c>
    </row>
    <row r="337">
      <c r="A337" s="161">
        <f>IFERROR(""&amp;INDEX(tk_MARK,MATCH(332,tk_DSEQ,0)),"")</f>
        <v/>
      </c>
      <c r="B337" s="162">
        <f>IFERROR(INDEX(tk_QTY,MATCH(332,tk_DSEQ,0)),"")</f>
        <v/>
      </c>
      <c r="C337" s="162">
        <f>IFERROR(INDEX(tk_ROOMF,MATCH(332,tk_DSEQ,0))&amp;IF(INDEX(tk_ROOMT,MATCH(332,tk_DSEQ,0))="",""," → "&amp;INDEX(tk_ROOMT,MATCH(332,tk_DSEQ,0))),"")</f>
        <v/>
      </c>
      <c r="D337" s="162">
        <f>IFERROR(INDEX(tk_LEAVES,MATCH(332,tk_DSEQ,0)),"")</f>
        <v/>
      </c>
      <c r="E337" s="162">
        <f>IFERROR(""&amp;INDEX(tk_RATING,MATCH(332,tk_DSEQ,0)),"")</f>
        <v/>
      </c>
      <c r="F337" s="162">
        <f>IFERROR(TEXT(INDEX(tk_LEAFW,MATCH(332,tk_DSEQ,0)),"0.000")&amp;" x "&amp;TEXT(INDEX(tk_LEAFH,MATCH(332,tk_DSEQ,0)),"0.000"),"")</f>
        <v/>
      </c>
      <c r="G337" s="181">
        <f>IFERROR(""&amp;INDEX(tk_DLINE,MATCH(332,tk_DSEQ,0)),"")</f>
        <v/>
      </c>
      <c r="H337" s="181">
        <f>IFERROR(""&amp;INDEX(tk_LOCTXTD,MATCH(332,tk_DSEQ,0)),"")</f>
        <v/>
      </c>
      <c r="I337" s="162">
        <f>IFERROR(""&amp;INDEX(tk_DNOTES,MATCH(332,tk_DSEQ,0)),"")</f>
        <v/>
      </c>
    </row>
    <row r="338">
      <c r="A338" s="161">
        <f>IFERROR(""&amp;INDEX(tk_MARK,MATCH(333,tk_DSEQ,0)),"")</f>
        <v/>
      </c>
      <c r="B338" s="162">
        <f>IFERROR(INDEX(tk_QTY,MATCH(333,tk_DSEQ,0)),"")</f>
        <v/>
      </c>
      <c r="C338" s="162">
        <f>IFERROR(INDEX(tk_ROOMF,MATCH(333,tk_DSEQ,0))&amp;IF(INDEX(tk_ROOMT,MATCH(333,tk_DSEQ,0))="",""," → "&amp;INDEX(tk_ROOMT,MATCH(333,tk_DSEQ,0))),"")</f>
        <v/>
      </c>
      <c r="D338" s="162">
        <f>IFERROR(INDEX(tk_LEAVES,MATCH(333,tk_DSEQ,0)),"")</f>
        <v/>
      </c>
      <c r="E338" s="162">
        <f>IFERROR(""&amp;INDEX(tk_RATING,MATCH(333,tk_DSEQ,0)),"")</f>
        <v/>
      </c>
      <c r="F338" s="162">
        <f>IFERROR(TEXT(INDEX(tk_LEAFW,MATCH(333,tk_DSEQ,0)),"0.000")&amp;" x "&amp;TEXT(INDEX(tk_LEAFH,MATCH(333,tk_DSEQ,0)),"0.000"),"")</f>
        <v/>
      </c>
      <c r="G338" s="181">
        <f>IFERROR(""&amp;INDEX(tk_DLINE,MATCH(333,tk_DSEQ,0)),"")</f>
        <v/>
      </c>
      <c r="H338" s="181">
        <f>IFERROR(""&amp;INDEX(tk_LOCTXTD,MATCH(333,tk_DSEQ,0)),"")</f>
        <v/>
      </c>
      <c r="I338" s="162">
        <f>IFERROR(""&amp;INDEX(tk_DNOTES,MATCH(333,tk_DSEQ,0)),"")</f>
        <v/>
      </c>
    </row>
    <row r="339">
      <c r="A339" s="161">
        <f>IFERROR(""&amp;INDEX(tk_MARK,MATCH(334,tk_DSEQ,0)),"")</f>
        <v/>
      </c>
      <c r="B339" s="162">
        <f>IFERROR(INDEX(tk_QTY,MATCH(334,tk_DSEQ,0)),"")</f>
        <v/>
      </c>
      <c r="C339" s="162">
        <f>IFERROR(INDEX(tk_ROOMF,MATCH(334,tk_DSEQ,0))&amp;IF(INDEX(tk_ROOMT,MATCH(334,tk_DSEQ,0))="",""," → "&amp;INDEX(tk_ROOMT,MATCH(334,tk_DSEQ,0))),"")</f>
        <v/>
      </c>
      <c r="D339" s="162">
        <f>IFERROR(INDEX(tk_LEAVES,MATCH(334,tk_DSEQ,0)),"")</f>
        <v/>
      </c>
      <c r="E339" s="162">
        <f>IFERROR(""&amp;INDEX(tk_RATING,MATCH(334,tk_DSEQ,0)),"")</f>
        <v/>
      </c>
      <c r="F339" s="162">
        <f>IFERROR(TEXT(INDEX(tk_LEAFW,MATCH(334,tk_DSEQ,0)),"0.000")&amp;" x "&amp;TEXT(INDEX(tk_LEAFH,MATCH(334,tk_DSEQ,0)),"0.000"),"")</f>
        <v/>
      </c>
      <c r="G339" s="181">
        <f>IFERROR(""&amp;INDEX(tk_DLINE,MATCH(334,tk_DSEQ,0)),"")</f>
        <v/>
      </c>
      <c r="H339" s="181">
        <f>IFERROR(""&amp;INDEX(tk_LOCTXTD,MATCH(334,tk_DSEQ,0)),"")</f>
        <v/>
      </c>
      <c r="I339" s="162">
        <f>IFERROR(""&amp;INDEX(tk_DNOTES,MATCH(334,tk_DSEQ,0)),"")</f>
        <v/>
      </c>
    </row>
    <row r="340">
      <c r="A340" s="161">
        <f>IFERROR(""&amp;INDEX(tk_MARK,MATCH(335,tk_DSEQ,0)),"")</f>
        <v/>
      </c>
      <c r="B340" s="162">
        <f>IFERROR(INDEX(tk_QTY,MATCH(335,tk_DSEQ,0)),"")</f>
        <v/>
      </c>
      <c r="C340" s="162">
        <f>IFERROR(INDEX(tk_ROOMF,MATCH(335,tk_DSEQ,0))&amp;IF(INDEX(tk_ROOMT,MATCH(335,tk_DSEQ,0))="",""," → "&amp;INDEX(tk_ROOMT,MATCH(335,tk_DSEQ,0))),"")</f>
        <v/>
      </c>
      <c r="D340" s="162">
        <f>IFERROR(INDEX(tk_LEAVES,MATCH(335,tk_DSEQ,0)),"")</f>
        <v/>
      </c>
      <c r="E340" s="162">
        <f>IFERROR(""&amp;INDEX(tk_RATING,MATCH(335,tk_DSEQ,0)),"")</f>
        <v/>
      </c>
      <c r="F340" s="162">
        <f>IFERROR(TEXT(INDEX(tk_LEAFW,MATCH(335,tk_DSEQ,0)),"0.000")&amp;" x "&amp;TEXT(INDEX(tk_LEAFH,MATCH(335,tk_DSEQ,0)),"0.000"),"")</f>
        <v/>
      </c>
      <c r="G340" s="181">
        <f>IFERROR(""&amp;INDEX(tk_DLINE,MATCH(335,tk_DSEQ,0)),"")</f>
        <v/>
      </c>
      <c r="H340" s="181">
        <f>IFERROR(""&amp;INDEX(tk_LOCTXTD,MATCH(335,tk_DSEQ,0)),"")</f>
        <v/>
      </c>
      <c r="I340" s="162">
        <f>IFERROR(""&amp;INDEX(tk_DNOTES,MATCH(335,tk_DSEQ,0)),"")</f>
        <v/>
      </c>
    </row>
    <row r="341">
      <c r="A341" s="161">
        <f>IFERROR(""&amp;INDEX(tk_MARK,MATCH(336,tk_DSEQ,0)),"")</f>
        <v/>
      </c>
      <c r="B341" s="162">
        <f>IFERROR(INDEX(tk_QTY,MATCH(336,tk_DSEQ,0)),"")</f>
        <v/>
      </c>
      <c r="C341" s="162">
        <f>IFERROR(INDEX(tk_ROOMF,MATCH(336,tk_DSEQ,0))&amp;IF(INDEX(tk_ROOMT,MATCH(336,tk_DSEQ,0))="",""," → "&amp;INDEX(tk_ROOMT,MATCH(336,tk_DSEQ,0))),"")</f>
        <v/>
      </c>
      <c r="D341" s="162">
        <f>IFERROR(INDEX(tk_LEAVES,MATCH(336,tk_DSEQ,0)),"")</f>
        <v/>
      </c>
      <c r="E341" s="162">
        <f>IFERROR(""&amp;INDEX(tk_RATING,MATCH(336,tk_DSEQ,0)),"")</f>
        <v/>
      </c>
      <c r="F341" s="162">
        <f>IFERROR(TEXT(INDEX(tk_LEAFW,MATCH(336,tk_DSEQ,0)),"0.000")&amp;" x "&amp;TEXT(INDEX(tk_LEAFH,MATCH(336,tk_DSEQ,0)),"0.000"),"")</f>
        <v/>
      </c>
      <c r="G341" s="181">
        <f>IFERROR(""&amp;INDEX(tk_DLINE,MATCH(336,tk_DSEQ,0)),"")</f>
        <v/>
      </c>
      <c r="H341" s="181">
        <f>IFERROR(""&amp;INDEX(tk_LOCTXTD,MATCH(336,tk_DSEQ,0)),"")</f>
        <v/>
      </c>
      <c r="I341" s="162">
        <f>IFERROR(""&amp;INDEX(tk_DNOTES,MATCH(336,tk_DSEQ,0)),"")</f>
        <v/>
      </c>
    </row>
    <row r="342">
      <c r="A342" s="161">
        <f>IFERROR(""&amp;INDEX(tk_MARK,MATCH(337,tk_DSEQ,0)),"")</f>
        <v/>
      </c>
      <c r="B342" s="162">
        <f>IFERROR(INDEX(tk_QTY,MATCH(337,tk_DSEQ,0)),"")</f>
        <v/>
      </c>
      <c r="C342" s="162">
        <f>IFERROR(INDEX(tk_ROOMF,MATCH(337,tk_DSEQ,0))&amp;IF(INDEX(tk_ROOMT,MATCH(337,tk_DSEQ,0))="",""," → "&amp;INDEX(tk_ROOMT,MATCH(337,tk_DSEQ,0))),"")</f>
        <v/>
      </c>
      <c r="D342" s="162">
        <f>IFERROR(INDEX(tk_LEAVES,MATCH(337,tk_DSEQ,0)),"")</f>
        <v/>
      </c>
      <c r="E342" s="162">
        <f>IFERROR(""&amp;INDEX(tk_RATING,MATCH(337,tk_DSEQ,0)),"")</f>
        <v/>
      </c>
      <c r="F342" s="162">
        <f>IFERROR(TEXT(INDEX(tk_LEAFW,MATCH(337,tk_DSEQ,0)),"0.000")&amp;" x "&amp;TEXT(INDEX(tk_LEAFH,MATCH(337,tk_DSEQ,0)),"0.000"),"")</f>
        <v/>
      </c>
      <c r="G342" s="181">
        <f>IFERROR(""&amp;INDEX(tk_DLINE,MATCH(337,tk_DSEQ,0)),"")</f>
        <v/>
      </c>
      <c r="H342" s="181">
        <f>IFERROR(""&amp;INDEX(tk_LOCTXTD,MATCH(337,tk_DSEQ,0)),"")</f>
        <v/>
      </c>
      <c r="I342" s="162">
        <f>IFERROR(""&amp;INDEX(tk_DNOTES,MATCH(337,tk_DSEQ,0)),"")</f>
        <v/>
      </c>
    </row>
    <row r="343">
      <c r="A343" s="161">
        <f>IFERROR(""&amp;INDEX(tk_MARK,MATCH(338,tk_DSEQ,0)),"")</f>
        <v/>
      </c>
      <c r="B343" s="162">
        <f>IFERROR(INDEX(tk_QTY,MATCH(338,tk_DSEQ,0)),"")</f>
        <v/>
      </c>
      <c r="C343" s="162">
        <f>IFERROR(INDEX(tk_ROOMF,MATCH(338,tk_DSEQ,0))&amp;IF(INDEX(tk_ROOMT,MATCH(338,tk_DSEQ,0))="",""," → "&amp;INDEX(tk_ROOMT,MATCH(338,tk_DSEQ,0))),"")</f>
        <v/>
      </c>
      <c r="D343" s="162">
        <f>IFERROR(INDEX(tk_LEAVES,MATCH(338,tk_DSEQ,0)),"")</f>
        <v/>
      </c>
      <c r="E343" s="162">
        <f>IFERROR(""&amp;INDEX(tk_RATING,MATCH(338,tk_DSEQ,0)),"")</f>
        <v/>
      </c>
      <c r="F343" s="162">
        <f>IFERROR(TEXT(INDEX(tk_LEAFW,MATCH(338,tk_DSEQ,0)),"0.000")&amp;" x "&amp;TEXT(INDEX(tk_LEAFH,MATCH(338,tk_DSEQ,0)),"0.000"),"")</f>
        <v/>
      </c>
      <c r="G343" s="181">
        <f>IFERROR(""&amp;INDEX(tk_DLINE,MATCH(338,tk_DSEQ,0)),"")</f>
        <v/>
      </c>
      <c r="H343" s="181">
        <f>IFERROR(""&amp;INDEX(tk_LOCTXTD,MATCH(338,tk_DSEQ,0)),"")</f>
        <v/>
      </c>
      <c r="I343" s="162">
        <f>IFERROR(""&amp;INDEX(tk_DNOTES,MATCH(338,tk_DSEQ,0)),"")</f>
        <v/>
      </c>
    </row>
    <row r="344">
      <c r="A344" s="161">
        <f>IFERROR(""&amp;INDEX(tk_MARK,MATCH(339,tk_DSEQ,0)),"")</f>
        <v/>
      </c>
      <c r="B344" s="162">
        <f>IFERROR(INDEX(tk_QTY,MATCH(339,tk_DSEQ,0)),"")</f>
        <v/>
      </c>
      <c r="C344" s="162">
        <f>IFERROR(INDEX(tk_ROOMF,MATCH(339,tk_DSEQ,0))&amp;IF(INDEX(tk_ROOMT,MATCH(339,tk_DSEQ,0))="",""," → "&amp;INDEX(tk_ROOMT,MATCH(339,tk_DSEQ,0))),"")</f>
        <v/>
      </c>
      <c r="D344" s="162">
        <f>IFERROR(INDEX(tk_LEAVES,MATCH(339,tk_DSEQ,0)),"")</f>
        <v/>
      </c>
      <c r="E344" s="162">
        <f>IFERROR(""&amp;INDEX(tk_RATING,MATCH(339,tk_DSEQ,0)),"")</f>
        <v/>
      </c>
      <c r="F344" s="162">
        <f>IFERROR(TEXT(INDEX(tk_LEAFW,MATCH(339,tk_DSEQ,0)),"0.000")&amp;" x "&amp;TEXT(INDEX(tk_LEAFH,MATCH(339,tk_DSEQ,0)),"0.000"),"")</f>
        <v/>
      </c>
      <c r="G344" s="181">
        <f>IFERROR(""&amp;INDEX(tk_DLINE,MATCH(339,tk_DSEQ,0)),"")</f>
        <v/>
      </c>
      <c r="H344" s="181">
        <f>IFERROR(""&amp;INDEX(tk_LOCTXTD,MATCH(339,tk_DSEQ,0)),"")</f>
        <v/>
      </c>
      <c r="I344" s="162">
        <f>IFERROR(""&amp;INDEX(tk_DNOTES,MATCH(339,tk_DSEQ,0)),"")</f>
        <v/>
      </c>
    </row>
    <row r="345">
      <c r="A345" s="161">
        <f>IFERROR(""&amp;INDEX(tk_MARK,MATCH(340,tk_DSEQ,0)),"")</f>
        <v/>
      </c>
      <c r="B345" s="162">
        <f>IFERROR(INDEX(tk_QTY,MATCH(340,tk_DSEQ,0)),"")</f>
        <v/>
      </c>
      <c r="C345" s="162">
        <f>IFERROR(INDEX(tk_ROOMF,MATCH(340,tk_DSEQ,0))&amp;IF(INDEX(tk_ROOMT,MATCH(340,tk_DSEQ,0))="",""," → "&amp;INDEX(tk_ROOMT,MATCH(340,tk_DSEQ,0))),"")</f>
        <v/>
      </c>
      <c r="D345" s="162">
        <f>IFERROR(INDEX(tk_LEAVES,MATCH(340,tk_DSEQ,0)),"")</f>
        <v/>
      </c>
      <c r="E345" s="162">
        <f>IFERROR(""&amp;INDEX(tk_RATING,MATCH(340,tk_DSEQ,0)),"")</f>
        <v/>
      </c>
      <c r="F345" s="162">
        <f>IFERROR(TEXT(INDEX(tk_LEAFW,MATCH(340,tk_DSEQ,0)),"0.000")&amp;" x "&amp;TEXT(INDEX(tk_LEAFH,MATCH(340,tk_DSEQ,0)),"0.000"),"")</f>
        <v/>
      </c>
      <c r="G345" s="181">
        <f>IFERROR(""&amp;INDEX(tk_DLINE,MATCH(340,tk_DSEQ,0)),"")</f>
        <v/>
      </c>
      <c r="H345" s="181">
        <f>IFERROR(""&amp;INDEX(tk_LOCTXTD,MATCH(340,tk_DSEQ,0)),"")</f>
        <v/>
      </c>
      <c r="I345" s="162">
        <f>IFERROR(""&amp;INDEX(tk_DNOTES,MATCH(340,tk_DSEQ,0)),"")</f>
        <v/>
      </c>
    </row>
    <row r="346">
      <c r="A346" s="161">
        <f>IFERROR(""&amp;INDEX(tk_MARK,MATCH(341,tk_DSEQ,0)),"")</f>
        <v/>
      </c>
      <c r="B346" s="162">
        <f>IFERROR(INDEX(tk_QTY,MATCH(341,tk_DSEQ,0)),"")</f>
        <v/>
      </c>
      <c r="C346" s="162">
        <f>IFERROR(INDEX(tk_ROOMF,MATCH(341,tk_DSEQ,0))&amp;IF(INDEX(tk_ROOMT,MATCH(341,tk_DSEQ,0))="",""," → "&amp;INDEX(tk_ROOMT,MATCH(341,tk_DSEQ,0))),"")</f>
        <v/>
      </c>
      <c r="D346" s="162">
        <f>IFERROR(INDEX(tk_LEAVES,MATCH(341,tk_DSEQ,0)),"")</f>
        <v/>
      </c>
      <c r="E346" s="162">
        <f>IFERROR(""&amp;INDEX(tk_RATING,MATCH(341,tk_DSEQ,0)),"")</f>
        <v/>
      </c>
      <c r="F346" s="162">
        <f>IFERROR(TEXT(INDEX(tk_LEAFW,MATCH(341,tk_DSEQ,0)),"0.000")&amp;" x "&amp;TEXT(INDEX(tk_LEAFH,MATCH(341,tk_DSEQ,0)),"0.000"),"")</f>
        <v/>
      </c>
      <c r="G346" s="181">
        <f>IFERROR(""&amp;INDEX(tk_DLINE,MATCH(341,tk_DSEQ,0)),"")</f>
        <v/>
      </c>
      <c r="H346" s="181">
        <f>IFERROR(""&amp;INDEX(tk_LOCTXTD,MATCH(341,tk_DSEQ,0)),"")</f>
        <v/>
      </c>
      <c r="I346" s="162">
        <f>IFERROR(""&amp;INDEX(tk_DNOTES,MATCH(341,tk_DSEQ,0)),"")</f>
        <v/>
      </c>
    </row>
    <row r="347">
      <c r="A347" s="161">
        <f>IFERROR(""&amp;INDEX(tk_MARK,MATCH(342,tk_DSEQ,0)),"")</f>
        <v/>
      </c>
      <c r="B347" s="162">
        <f>IFERROR(INDEX(tk_QTY,MATCH(342,tk_DSEQ,0)),"")</f>
        <v/>
      </c>
      <c r="C347" s="162">
        <f>IFERROR(INDEX(tk_ROOMF,MATCH(342,tk_DSEQ,0))&amp;IF(INDEX(tk_ROOMT,MATCH(342,tk_DSEQ,0))="",""," → "&amp;INDEX(tk_ROOMT,MATCH(342,tk_DSEQ,0))),"")</f>
        <v/>
      </c>
      <c r="D347" s="162">
        <f>IFERROR(INDEX(tk_LEAVES,MATCH(342,tk_DSEQ,0)),"")</f>
        <v/>
      </c>
      <c r="E347" s="162">
        <f>IFERROR(""&amp;INDEX(tk_RATING,MATCH(342,tk_DSEQ,0)),"")</f>
        <v/>
      </c>
      <c r="F347" s="162">
        <f>IFERROR(TEXT(INDEX(tk_LEAFW,MATCH(342,tk_DSEQ,0)),"0.000")&amp;" x "&amp;TEXT(INDEX(tk_LEAFH,MATCH(342,tk_DSEQ,0)),"0.000"),"")</f>
        <v/>
      </c>
      <c r="G347" s="181">
        <f>IFERROR(""&amp;INDEX(tk_DLINE,MATCH(342,tk_DSEQ,0)),"")</f>
        <v/>
      </c>
      <c r="H347" s="181">
        <f>IFERROR(""&amp;INDEX(tk_LOCTXTD,MATCH(342,tk_DSEQ,0)),"")</f>
        <v/>
      </c>
      <c r="I347" s="162">
        <f>IFERROR(""&amp;INDEX(tk_DNOTES,MATCH(342,tk_DSEQ,0)),"")</f>
        <v/>
      </c>
    </row>
    <row r="348">
      <c r="A348" s="161">
        <f>IFERROR(""&amp;INDEX(tk_MARK,MATCH(343,tk_DSEQ,0)),"")</f>
        <v/>
      </c>
      <c r="B348" s="162">
        <f>IFERROR(INDEX(tk_QTY,MATCH(343,tk_DSEQ,0)),"")</f>
        <v/>
      </c>
      <c r="C348" s="162">
        <f>IFERROR(INDEX(tk_ROOMF,MATCH(343,tk_DSEQ,0))&amp;IF(INDEX(tk_ROOMT,MATCH(343,tk_DSEQ,0))="",""," → "&amp;INDEX(tk_ROOMT,MATCH(343,tk_DSEQ,0))),"")</f>
        <v/>
      </c>
      <c r="D348" s="162">
        <f>IFERROR(INDEX(tk_LEAVES,MATCH(343,tk_DSEQ,0)),"")</f>
        <v/>
      </c>
      <c r="E348" s="162">
        <f>IFERROR(""&amp;INDEX(tk_RATING,MATCH(343,tk_DSEQ,0)),"")</f>
        <v/>
      </c>
      <c r="F348" s="162">
        <f>IFERROR(TEXT(INDEX(tk_LEAFW,MATCH(343,tk_DSEQ,0)),"0.000")&amp;" x "&amp;TEXT(INDEX(tk_LEAFH,MATCH(343,tk_DSEQ,0)),"0.000"),"")</f>
        <v/>
      </c>
      <c r="G348" s="181">
        <f>IFERROR(""&amp;INDEX(tk_DLINE,MATCH(343,tk_DSEQ,0)),"")</f>
        <v/>
      </c>
      <c r="H348" s="181">
        <f>IFERROR(""&amp;INDEX(tk_LOCTXTD,MATCH(343,tk_DSEQ,0)),"")</f>
        <v/>
      </c>
      <c r="I348" s="162">
        <f>IFERROR(""&amp;INDEX(tk_DNOTES,MATCH(343,tk_DSEQ,0)),"")</f>
        <v/>
      </c>
    </row>
    <row r="349">
      <c r="A349" s="161">
        <f>IFERROR(""&amp;INDEX(tk_MARK,MATCH(344,tk_DSEQ,0)),"")</f>
        <v/>
      </c>
      <c r="B349" s="162">
        <f>IFERROR(INDEX(tk_QTY,MATCH(344,tk_DSEQ,0)),"")</f>
        <v/>
      </c>
      <c r="C349" s="162">
        <f>IFERROR(INDEX(tk_ROOMF,MATCH(344,tk_DSEQ,0))&amp;IF(INDEX(tk_ROOMT,MATCH(344,tk_DSEQ,0))="",""," → "&amp;INDEX(tk_ROOMT,MATCH(344,tk_DSEQ,0))),"")</f>
        <v/>
      </c>
      <c r="D349" s="162">
        <f>IFERROR(INDEX(tk_LEAVES,MATCH(344,tk_DSEQ,0)),"")</f>
        <v/>
      </c>
      <c r="E349" s="162">
        <f>IFERROR(""&amp;INDEX(tk_RATING,MATCH(344,tk_DSEQ,0)),"")</f>
        <v/>
      </c>
      <c r="F349" s="162">
        <f>IFERROR(TEXT(INDEX(tk_LEAFW,MATCH(344,tk_DSEQ,0)),"0.000")&amp;" x "&amp;TEXT(INDEX(tk_LEAFH,MATCH(344,tk_DSEQ,0)),"0.000"),"")</f>
        <v/>
      </c>
      <c r="G349" s="181">
        <f>IFERROR(""&amp;INDEX(tk_DLINE,MATCH(344,tk_DSEQ,0)),"")</f>
        <v/>
      </c>
      <c r="H349" s="181">
        <f>IFERROR(""&amp;INDEX(tk_LOCTXTD,MATCH(344,tk_DSEQ,0)),"")</f>
        <v/>
      </c>
      <c r="I349" s="162">
        <f>IFERROR(""&amp;INDEX(tk_DNOTES,MATCH(344,tk_DSEQ,0)),"")</f>
        <v/>
      </c>
    </row>
    <row r="350">
      <c r="A350" s="161">
        <f>IFERROR(""&amp;INDEX(tk_MARK,MATCH(345,tk_DSEQ,0)),"")</f>
        <v/>
      </c>
      <c r="B350" s="162">
        <f>IFERROR(INDEX(tk_QTY,MATCH(345,tk_DSEQ,0)),"")</f>
        <v/>
      </c>
      <c r="C350" s="162">
        <f>IFERROR(INDEX(tk_ROOMF,MATCH(345,tk_DSEQ,0))&amp;IF(INDEX(tk_ROOMT,MATCH(345,tk_DSEQ,0))="",""," → "&amp;INDEX(tk_ROOMT,MATCH(345,tk_DSEQ,0))),"")</f>
        <v/>
      </c>
      <c r="D350" s="162">
        <f>IFERROR(INDEX(tk_LEAVES,MATCH(345,tk_DSEQ,0)),"")</f>
        <v/>
      </c>
      <c r="E350" s="162">
        <f>IFERROR(""&amp;INDEX(tk_RATING,MATCH(345,tk_DSEQ,0)),"")</f>
        <v/>
      </c>
      <c r="F350" s="162">
        <f>IFERROR(TEXT(INDEX(tk_LEAFW,MATCH(345,tk_DSEQ,0)),"0.000")&amp;" x "&amp;TEXT(INDEX(tk_LEAFH,MATCH(345,tk_DSEQ,0)),"0.000"),"")</f>
        <v/>
      </c>
      <c r="G350" s="181">
        <f>IFERROR(""&amp;INDEX(tk_DLINE,MATCH(345,tk_DSEQ,0)),"")</f>
        <v/>
      </c>
      <c r="H350" s="181">
        <f>IFERROR(""&amp;INDEX(tk_LOCTXTD,MATCH(345,tk_DSEQ,0)),"")</f>
        <v/>
      </c>
      <c r="I350" s="162">
        <f>IFERROR(""&amp;INDEX(tk_DNOTES,MATCH(345,tk_DSEQ,0)),"")</f>
        <v/>
      </c>
    </row>
    <row r="351">
      <c r="A351" s="161">
        <f>IFERROR(""&amp;INDEX(tk_MARK,MATCH(346,tk_DSEQ,0)),"")</f>
        <v/>
      </c>
      <c r="B351" s="162">
        <f>IFERROR(INDEX(tk_QTY,MATCH(346,tk_DSEQ,0)),"")</f>
        <v/>
      </c>
      <c r="C351" s="162">
        <f>IFERROR(INDEX(tk_ROOMF,MATCH(346,tk_DSEQ,0))&amp;IF(INDEX(tk_ROOMT,MATCH(346,tk_DSEQ,0))="",""," → "&amp;INDEX(tk_ROOMT,MATCH(346,tk_DSEQ,0))),"")</f>
        <v/>
      </c>
      <c r="D351" s="162">
        <f>IFERROR(INDEX(tk_LEAVES,MATCH(346,tk_DSEQ,0)),"")</f>
        <v/>
      </c>
      <c r="E351" s="162">
        <f>IFERROR(""&amp;INDEX(tk_RATING,MATCH(346,tk_DSEQ,0)),"")</f>
        <v/>
      </c>
      <c r="F351" s="162">
        <f>IFERROR(TEXT(INDEX(tk_LEAFW,MATCH(346,tk_DSEQ,0)),"0.000")&amp;" x "&amp;TEXT(INDEX(tk_LEAFH,MATCH(346,tk_DSEQ,0)),"0.000"),"")</f>
        <v/>
      </c>
      <c r="G351" s="181">
        <f>IFERROR(""&amp;INDEX(tk_DLINE,MATCH(346,tk_DSEQ,0)),"")</f>
        <v/>
      </c>
      <c r="H351" s="181">
        <f>IFERROR(""&amp;INDEX(tk_LOCTXTD,MATCH(346,tk_DSEQ,0)),"")</f>
        <v/>
      </c>
      <c r="I351" s="162">
        <f>IFERROR(""&amp;INDEX(tk_DNOTES,MATCH(346,tk_DSEQ,0)),"")</f>
        <v/>
      </c>
    </row>
    <row r="352">
      <c r="A352" s="161">
        <f>IFERROR(""&amp;INDEX(tk_MARK,MATCH(347,tk_DSEQ,0)),"")</f>
        <v/>
      </c>
      <c r="B352" s="162">
        <f>IFERROR(INDEX(tk_QTY,MATCH(347,tk_DSEQ,0)),"")</f>
        <v/>
      </c>
      <c r="C352" s="162">
        <f>IFERROR(INDEX(tk_ROOMF,MATCH(347,tk_DSEQ,0))&amp;IF(INDEX(tk_ROOMT,MATCH(347,tk_DSEQ,0))="",""," → "&amp;INDEX(tk_ROOMT,MATCH(347,tk_DSEQ,0))),"")</f>
        <v/>
      </c>
      <c r="D352" s="162">
        <f>IFERROR(INDEX(tk_LEAVES,MATCH(347,tk_DSEQ,0)),"")</f>
        <v/>
      </c>
      <c r="E352" s="162">
        <f>IFERROR(""&amp;INDEX(tk_RATING,MATCH(347,tk_DSEQ,0)),"")</f>
        <v/>
      </c>
      <c r="F352" s="162">
        <f>IFERROR(TEXT(INDEX(tk_LEAFW,MATCH(347,tk_DSEQ,0)),"0.000")&amp;" x "&amp;TEXT(INDEX(tk_LEAFH,MATCH(347,tk_DSEQ,0)),"0.000"),"")</f>
        <v/>
      </c>
      <c r="G352" s="181">
        <f>IFERROR(""&amp;INDEX(tk_DLINE,MATCH(347,tk_DSEQ,0)),"")</f>
        <v/>
      </c>
      <c r="H352" s="181">
        <f>IFERROR(""&amp;INDEX(tk_LOCTXTD,MATCH(347,tk_DSEQ,0)),"")</f>
        <v/>
      </c>
      <c r="I352" s="162">
        <f>IFERROR(""&amp;INDEX(tk_DNOTES,MATCH(347,tk_DSEQ,0)),"")</f>
        <v/>
      </c>
    </row>
    <row r="353">
      <c r="A353" s="161">
        <f>IFERROR(""&amp;INDEX(tk_MARK,MATCH(348,tk_DSEQ,0)),"")</f>
        <v/>
      </c>
      <c r="B353" s="162">
        <f>IFERROR(INDEX(tk_QTY,MATCH(348,tk_DSEQ,0)),"")</f>
        <v/>
      </c>
      <c r="C353" s="162">
        <f>IFERROR(INDEX(tk_ROOMF,MATCH(348,tk_DSEQ,0))&amp;IF(INDEX(tk_ROOMT,MATCH(348,tk_DSEQ,0))="",""," → "&amp;INDEX(tk_ROOMT,MATCH(348,tk_DSEQ,0))),"")</f>
        <v/>
      </c>
      <c r="D353" s="162">
        <f>IFERROR(INDEX(tk_LEAVES,MATCH(348,tk_DSEQ,0)),"")</f>
        <v/>
      </c>
      <c r="E353" s="162">
        <f>IFERROR(""&amp;INDEX(tk_RATING,MATCH(348,tk_DSEQ,0)),"")</f>
        <v/>
      </c>
      <c r="F353" s="162">
        <f>IFERROR(TEXT(INDEX(tk_LEAFW,MATCH(348,tk_DSEQ,0)),"0.000")&amp;" x "&amp;TEXT(INDEX(tk_LEAFH,MATCH(348,tk_DSEQ,0)),"0.000"),"")</f>
        <v/>
      </c>
      <c r="G353" s="181">
        <f>IFERROR(""&amp;INDEX(tk_DLINE,MATCH(348,tk_DSEQ,0)),"")</f>
        <v/>
      </c>
      <c r="H353" s="181">
        <f>IFERROR(""&amp;INDEX(tk_LOCTXTD,MATCH(348,tk_DSEQ,0)),"")</f>
        <v/>
      </c>
      <c r="I353" s="162">
        <f>IFERROR(""&amp;INDEX(tk_DNOTES,MATCH(348,tk_DSEQ,0)),"")</f>
        <v/>
      </c>
    </row>
    <row r="354">
      <c r="A354" s="161">
        <f>IFERROR(""&amp;INDEX(tk_MARK,MATCH(349,tk_DSEQ,0)),"")</f>
        <v/>
      </c>
      <c r="B354" s="162">
        <f>IFERROR(INDEX(tk_QTY,MATCH(349,tk_DSEQ,0)),"")</f>
        <v/>
      </c>
      <c r="C354" s="162">
        <f>IFERROR(INDEX(tk_ROOMF,MATCH(349,tk_DSEQ,0))&amp;IF(INDEX(tk_ROOMT,MATCH(349,tk_DSEQ,0))="",""," → "&amp;INDEX(tk_ROOMT,MATCH(349,tk_DSEQ,0))),"")</f>
        <v/>
      </c>
      <c r="D354" s="162">
        <f>IFERROR(INDEX(tk_LEAVES,MATCH(349,tk_DSEQ,0)),"")</f>
        <v/>
      </c>
      <c r="E354" s="162">
        <f>IFERROR(""&amp;INDEX(tk_RATING,MATCH(349,tk_DSEQ,0)),"")</f>
        <v/>
      </c>
      <c r="F354" s="162">
        <f>IFERROR(TEXT(INDEX(tk_LEAFW,MATCH(349,tk_DSEQ,0)),"0.000")&amp;" x "&amp;TEXT(INDEX(tk_LEAFH,MATCH(349,tk_DSEQ,0)),"0.000"),"")</f>
        <v/>
      </c>
      <c r="G354" s="181">
        <f>IFERROR(""&amp;INDEX(tk_DLINE,MATCH(349,tk_DSEQ,0)),"")</f>
        <v/>
      </c>
      <c r="H354" s="181">
        <f>IFERROR(""&amp;INDEX(tk_LOCTXTD,MATCH(349,tk_DSEQ,0)),"")</f>
        <v/>
      </c>
      <c r="I354" s="162">
        <f>IFERROR(""&amp;INDEX(tk_DNOTES,MATCH(349,tk_DSEQ,0)),"")</f>
        <v/>
      </c>
    </row>
    <row r="355">
      <c r="A355" s="161">
        <f>IFERROR(""&amp;INDEX(tk_MARK,MATCH(350,tk_DSEQ,0)),"")</f>
        <v/>
      </c>
      <c r="B355" s="162">
        <f>IFERROR(INDEX(tk_QTY,MATCH(350,tk_DSEQ,0)),"")</f>
        <v/>
      </c>
      <c r="C355" s="162">
        <f>IFERROR(INDEX(tk_ROOMF,MATCH(350,tk_DSEQ,0))&amp;IF(INDEX(tk_ROOMT,MATCH(350,tk_DSEQ,0))="",""," → "&amp;INDEX(tk_ROOMT,MATCH(350,tk_DSEQ,0))),"")</f>
        <v/>
      </c>
      <c r="D355" s="162">
        <f>IFERROR(INDEX(tk_LEAVES,MATCH(350,tk_DSEQ,0)),"")</f>
        <v/>
      </c>
      <c r="E355" s="162">
        <f>IFERROR(""&amp;INDEX(tk_RATING,MATCH(350,tk_DSEQ,0)),"")</f>
        <v/>
      </c>
      <c r="F355" s="162">
        <f>IFERROR(TEXT(INDEX(tk_LEAFW,MATCH(350,tk_DSEQ,0)),"0.000")&amp;" x "&amp;TEXT(INDEX(tk_LEAFH,MATCH(350,tk_DSEQ,0)),"0.000"),"")</f>
        <v/>
      </c>
      <c r="G355" s="181">
        <f>IFERROR(""&amp;INDEX(tk_DLINE,MATCH(350,tk_DSEQ,0)),"")</f>
        <v/>
      </c>
      <c r="H355" s="181">
        <f>IFERROR(""&amp;INDEX(tk_LOCTXTD,MATCH(350,tk_DSEQ,0)),"")</f>
        <v/>
      </c>
      <c r="I355" s="162">
        <f>IFERROR(""&amp;INDEX(tk_DNOTES,MATCH(350,tk_DSEQ,0)),"")</f>
        <v/>
      </c>
    </row>
    <row r="356">
      <c r="A356" s="161">
        <f>IFERROR(""&amp;INDEX(tk_MARK,MATCH(351,tk_DSEQ,0)),"")</f>
        <v/>
      </c>
      <c r="B356" s="162">
        <f>IFERROR(INDEX(tk_QTY,MATCH(351,tk_DSEQ,0)),"")</f>
        <v/>
      </c>
      <c r="C356" s="162">
        <f>IFERROR(INDEX(tk_ROOMF,MATCH(351,tk_DSEQ,0))&amp;IF(INDEX(tk_ROOMT,MATCH(351,tk_DSEQ,0))="",""," → "&amp;INDEX(tk_ROOMT,MATCH(351,tk_DSEQ,0))),"")</f>
        <v/>
      </c>
      <c r="D356" s="162">
        <f>IFERROR(INDEX(tk_LEAVES,MATCH(351,tk_DSEQ,0)),"")</f>
        <v/>
      </c>
      <c r="E356" s="162">
        <f>IFERROR(""&amp;INDEX(tk_RATING,MATCH(351,tk_DSEQ,0)),"")</f>
        <v/>
      </c>
      <c r="F356" s="162">
        <f>IFERROR(TEXT(INDEX(tk_LEAFW,MATCH(351,tk_DSEQ,0)),"0.000")&amp;" x "&amp;TEXT(INDEX(tk_LEAFH,MATCH(351,tk_DSEQ,0)),"0.000"),"")</f>
        <v/>
      </c>
      <c r="G356" s="181">
        <f>IFERROR(""&amp;INDEX(tk_DLINE,MATCH(351,tk_DSEQ,0)),"")</f>
        <v/>
      </c>
      <c r="H356" s="181">
        <f>IFERROR(""&amp;INDEX(tk_LOCTXTD,MATCH(351,tk_DSEQ,0)),"")</f>
        <v/>
      </c>
      <c r="I356" s="162">
        <f>IFERROR(""&amp;INDEX(tk_DNOTES,MATCH(351,tk_DSEQ,0)),"")</f>
        <v/>
      </c>
    </row>
    <row r="357">
      <c r="A357" s="161">
        <f>IFERROR(""&amp;INDEX(tk_MARK,MATCH(352,tk_DSEQ,0)),"")</f>
        <v/>
      </c>
      <c r="B357" s="162">
        <f>IFERROR(INDEX(tk_QTY,MATCH(352,tk_DSEQ,0)),"")</f>
        <v/>
      </c>
      <c r="C357" s="162">
        <f>IFERROR(INDEX(tk_ROOMF,MATCH(352,tk_DSEQ,0))&amp;IF(INDEX(tk_ROOMT,MATCH(352,tk_DSEQ,0))="",""," → "&amp;INDEX(tk_ROOMT,MATCH(352,tk_DSEQ,0))),"")</f>
        <v/>
      </c>
      <c r="D357" s="162">
        <f>IFERROR(INDEX(tk_LEAVES,MATCH(352,tk_DSEQ,0)),"")</f>
        <v/>
      </c>
      <c r="E357" s="162">
        <f>IFERROR(""&amp;INDEX(tk_RATING,MATCH(352,tk_DSEQ,0)),"")</f>
        <v/>
      </c>
      <c r="F357" s="162">
        <f>IFERROR(TEXT(INDEX(tk_LEAFW,MATCH(352,tk_DSEQ,0)),"0.000")&amp;" x "&amp;TEXT(INDEX(tk_LEAFH,MATCH(352,tk_DSEQ,0)),"0.000"),"")</f>
        <v/>
      </c>
      <c r="G357" s="181">
        <f>IFERROR(""&amp;INDEX(tk_DLINE,MATCH(352,tk_DSEQ,0)),"")</f>
        <v/>
      </c>
      <c r="H357" s="181">
        <f>IFERROR(""&amp;INDEX(tk_LOCTXTD,MATCH(352,tk_DSEQ,0)),"")</f>
        <v/>
      </c>
      <c r="I357" s="162">
        <f>IFERROR(""&amp;INDEX(tk_DNOTES,MATCH(352,tk_DSEQ,0)),"")</f>
        <v/>
      </c>
    </row>
    <row r="358">
      <c r="A358" s="161">
        <f>IFERROR(""&amp;INDEX(tk_MARK,MATCH(353,tk_DSEQ,0)),"")</f>
        <v/>
      </c>
      <c r="B358" s="162">
        <f>IFERROR(INDEX(tk_QTY,MATCH(353,tk_DSEQ,0)),"")</f>
        <v/>
      </c>
      <c r="C358" s="162">
        <f>IFERROR(INDEX(tk_ROOMF,MATCH(353,tk_DSEQ,0))&amp;IF(INDEX(tk_ROOMT,MATCH(353,tk_DSEQ,0))="",""," → "&amp;INDEX(tk_ROOMT,MATCH(353,tk_DSEQ,0))),"")</f>
        <v/>
      </c>
      <c r="D358" s="162">
        <f>IFERROR(INDEX(tk_LEAVES,MATCH(353,tk_DSEQ,0)),"")</f>
        <v/>
      </c>
      <c r="E358" s="162">
        <f>IFERROR(""&amp;INDEX(tk_RATING,MATCH(353,tk_DSEQ,0)),"")</f>
        <v/>
      </c>
      <c r="F358" s="162">
        <f>IFERROR(TEXT(INDEX(tk_LEAFW,MATCH(353,tk_DSEQ,0)),"0.000")&amp;" x "&amp;TEXT(INDEX(tk_LEAFH,MATCH(353,tk_DSEQ,0)),"0.000"),"")</f>
        <v/>
      </c>
      <c r="G358" s="181">
        <f>IFERROR(""&amp;INDEX(tk_DLINE,MATCH(353,tk_DSEQ,0)),"")</f>
        <v/>
      </c>
      <c r="H358" s="181">
        <f>IFERROR(""&amp;INDEX(tk_LOCTXTD,MATCH(353,tk_DSEQ,0)),"")</f>
        <v/>
      </c>
      <c r="I358" s="162">
        <f>IFERROR(""&amp;INDEX(tk_DNOTES,MATCH(353,tk_DSEQ,0)),"")</f>
        <v/>
      </c>
    </row>
    <row r="359">
      <c r="A359" s="161">
        <f>IFERROR(""&amp;INDEX(tk_MARK,MATCH(354,tk_DSEQ,0)),"")</f>
        <v/>
      </c>
      <c r="B359" s="162">
        <f>IFERROR(INDEX(tk_QTY,MATCH(354,tk_DSEQ,0)),"")</f>
        <v/>
      </c>
      <c r="C359" s="162">
        <f>IFERROR(INDEX(tk_ROOMF,MATCH(354,tk_DSEQ,0))&amp;IF(INDEX(tk_ROOMT,MATCH(354,tk_DSEQ,0))="",""," → "&amp;INDEX(tk_ROOMT,MATCH(354,tk_DSEQ,0))),"")</f>
        <v/>
      </c>
      <c r="D359" s="162">
        <f>IFERROR(INDEX(tk_LEAVES,MATCH(354,tk_DSEQ,0)),"")</f>
        <v/>
      </c>
      <c r="E359" s="162">
        <f>IFERROR(""&amp;INDEX(tk_RATING,MATCH(354,tk_DSEQ,0)),"")</f>
        <v/>
      </c>
      <c r="F359" s="162">
        <f>IFERROR(TEXT(INDEX(tk_LEAFW,MATCH(354,tk_DSEQ,0)),"0.000")&amp;" x "&amp;TEXT(INDEX(tk_LEAFH,MATCH(354,tk_DSEQ,0)),"0.000"),"")</f>
        <v/>
      </c>
      <c r="G359" s="181">
        <f>IFERROR(""&amp;INDEX(tk_DLINE,MATCH(354,tk_DSEQ,0)),"")</f>
        <v/>
      </c>
      <c r="H359" s="181">
        <f>IFERROR(""&amp;INDEX(tk_LOCTXTD,MATCH(354,tk_DSEQ,0)),"")</f>
        <v/>
      </c>
      <c r="I359" s="162">
        <f>IFERROR(""&amp;INDEX(tk_DNOTES,MATCH(354,tk_DSEQ,0)),"")</f>
        <v/>
      </c>
    </row>
    <row r="360">
      <c r="A360" s="161">
        <f>IFERROR(""&amp;INDEX(tk_MARK,MATCH(355,tk_DSEQ,0)),"")</f>
        <v/>
      </c>
      <c r="B360" s="162">
        <f>IFERROR(INDEX(tk_QTY,MATCH(355,tk_DSEQ,0)),"")</f>
        <v/>
      </c>
      <c r="C360" s="162">
        <f>IFERROR(INDEX(tk_ROOMF,MATCH(355,tk_DSEQ,0))&amp;IF(INDEX(tk_ROOMT,MATCH(355,tk_DSEQ,0))="",""," → "&amp;INDEX(tk_ROOMT,MATCH(355,tk_DSEQ,0))),"")</f>
        <v/>
      </c>
      <c r="D360" s="162">
        <f>IFERROR(INDEX(tk_LEAVES,MATCH(355,tk_DSEQ,0)),"")</f>
        <v/>
      </c>
      <c r="E360" s="162">
        <f>IFERROR(""&amp;INDEX(tk_RATING,MATCH(355,tk_DSEQ,0)),"")</f>
        <v/>
      </c>
      <c r="F360" s="162">
        <f>IFERROR(TEXT(INDEX(tk_LEAFW,MATCH(355,tk_DSEQ,0)),"0.000")&amp;" x "&amp;TEXT(INDEX(tk_LEAFH,MATCH(355,tk_DSEQ,0)),"0.000"),"")</f>
        <v/>
      </c>
      <c r="G360" s="181">
        <f>IFERROR(""&amp;INDEX(tk_DLINE,MATCH(355,tk_DSEQ,0)),"")</f>
        <v/>
      </c>
      <c r="H360" s="181">
        <f>IFERROR(""&amp;INDEX(tk_LOCTXTD,MATCH(355,tk_DSEQ,0)),"")</f>
        <v/>
      </c>
      <c r="I360" s="162">
        <f>IFERROR(""&amp;INDEX(tk_DNOTES,MATCH(355,tk_DSEQ,0)),"")</f>
        <v/>
      </c>
    </row>
    <row r="361">
      <c r="A361" s="161">
        <f>IFERROR(""&amp;INDEX(tk_MARK,MATCH(356,tk_DSEQ,0)),"")</f>
        <v/>
      </c>
      <c r="B361" s="162">
        <f>IFERROR(INDEX(tk_QTY,MATCH(356,tk_DSEQ,0)),"")</f>
        <v/>
      </c>
      <c r="C361" s="162">
        <f>IFERROR(INDEX(tk_ROOMF,MATCH(356,tk_DSEQ,0))&amp;IF(INDEX(tk_ROOMT,MATCH(356,tk_DSEQ,0))="",""," → "&amp;INDEX(tk_ROOMT,MATCH(356,tk_DSEQ,0))),"")</f>
        <v/>
      </c>
      <c r="D361" s="162">
        <f>IFERROR(INDEX(tk_LEAVES,MATCH(356,tk_DSEQ,0)),"")</f>
        <v/>
      </c>
      <c r="E361" s="162">
        <f>IFERROR(""&amp;INDEX(tk_RATING,MATCH(356,tk_DSEQ,0)),"")</f>
        <v/>
      </c>
      <c r="F361" s="162">
        <f>IFERROR(TEXT(INDEX(tk_LEAFW,MATCH(356,tk_DSEQ,0)),"0.000")&amp;" x "&amp;TEXT(INDEX(tk_LEAFH,MATCH(356,tk_DSEQ,0)),"0.000"),"")</f>
        <v/>
      </c>
      <c r="G361" s="181">
        <f>IFERROR(""&amp;INDEX(tk_DLINE,MATCH(356,tk_DSEQ,0)),"")</f>
        <v/>
      </c>
      <c r="H361" s="181">
        <f>IFERROR(""&amp;INDEX(tk_LOCTXTD,MATCH(356,tk_DSEQ,0)),"")</f>
        <v/>
      </c>
      <c r="I361" s="162">
        <f>IFERROR(""&amp;INDEX(tk_DNOTES,MATCH(356,tk_DSEQ,0)),"")</f>
        <v/>
      </c>
    </row>
    <row r="362">
      <c r="A362" s="161">
        <f>IFERROR(""&amp;INDEX(tk_MARK,MATCH(357,tk_DSEQ,0)),"")</f>
        <v/>
      </c>
      <c r="B362" s="162">
        <f>IFERROR(INDEX(tk_QTY,MATCH(357,tk_DSEQ,0)),"")</f>
        <v/>
      </c>
      <c r="C362" s="162">
        <f>IFERROR(INDEX(tk_ROOMF,MATCH(357,tk_DSEQ,0))&amp;IF(INDEX(tk_ROOMT,MATCH(357,tk_DSEQ,0))="",""," → "&amp;INDEX(tk_ROOMT,MATCH(357,tk_DSEQ,0))),"")</f>
        <v/>
      </c>
      <c r="D362" s="162">
        <f>IFERROR(INDEX(tk_LEAVES,MATCH(357,tk_DSEQ,0)),"")</f>
        <v/>
      </c>
      <c r="E362" s="162">
        <f>IFERROR(""&amp;INDEX(tk_RATING,MATCH(357,tk_DSEQ,0)),"")</f>
        <v/>
      </c>
      <c r="F362" s="162">
        <f>IFERROR(TEXT(INDEX(tk_LEAFW,MATCH(357,tk_DSEQ,0)),"0.000")&amp;" x "&amp;TEXT(INDEX(tk_LEAFH,MATCH(357,tk_DSEQ,0)),"0.000"),"")</f>
        <v/>
      </c>
      <c r="G362" s="181">
        <f>IFERROR(""&amp;INDEX(tk_DLINE,MATCH(357,tk_DSEQ,0)),"")</f>
        <v/>
      </c>
      <c r="H362" s="181">
        <f>IFERROR(""&amp;INDEX(tk_LOCTXTD,MATCH(357,tk_DSEQ,0)),"")</f>
        <v/>
      </c>
      <c r="I362" s="162">
        <f>IFERROR(""&amp;INDEX(tk_DNOTES,MATCH(357,tk_DSEQ,0)),"")</f>
        <v/>
      </c>
    </row>
    <row r="363">
      <c r="A363" s="161">
        <f>IFERROR(""&amp;INDEX(tk_MARK,MATCH(358,tk_DSEQ,0)),"")</f>
        <v/>
      </c>
      <c r="B363" s="162">
        <f>IFERROR(INDEX(tk_QTY,MATCH(358,tk_DSEQ,0)),"")</f>
        <v/>
      </c>
      <c r="C363" s="162">
        <f>IFERROR(INDEX(tk_ROOMF,MATCH(358,tk_DSEQ,0))&amp;IF(INDEX(tk_ROOMT,MATCH(358,tk_DSEQ,0))="",""," → "&amp;INDEX(tk_ROOMT,MATCH(358,tk_DSEQ,0))),"")</f>
        <v/>
      </c>
      <c r="D363" s="162">
        <f>IFERROR(INDEX(tk_LEAVES,MATCH(358,tk_DSEQ,0)),"")</f>
        <v/>
      </c>
      <c r="E363" s="162">
        <f>IFERROR(""&amp;INDEX(tk_RATING,MATCH(358,tk_DSEQ,0)),"")</f>
        <v/>
      </c>
      <c r="F363" s="162">
        <f>IFERROR(TEXT(INDEX(tk_LEAFW,MATCH(358,tk_DSEQ,0)),"0.000")&amp;" x "&amp;TEXT(INDEX(tk_LEAFH,MATCH(358,tk_DSEQ,0)),"0.000"),"")</f>
        <v/>
      </c>
      <c r="G363" s="181">
        <f>IFERROR(""&amp;INDEX(tk_DLINE,MATCH(358,tk_DSEQ,0)),"")</f>
        <v/>
      </c>
      <c r="H363" s="181">
        <f>IFERROR(""&amp;INDEX(tk_LOCTXTD,MATCH(358,tk_DSEQ,0)),"")</f>
        <v/>
      </c>
      <c r="I363" s="162">
        <f>IFERROR(""&amp;INDEX(tk_DNOTES,MATCH(358,tk_DSEQ,0)),"")</f>
        <v/>
      </c>
    </row>
    <row r="364">
      <c r="A364" s="161">
        <f>IFERROR(""&amp;INDEX(tk_MARK,MATCH(359,tk_DSEQ,0)),"")</f>
        <v/>
      </c>
      <c r="B364" s="162">
        <f>IFERROR(INDEX(tk_QTY,MATCH(359,tk_DSEQ,0)),"")</f>
        <v/>
      </c>
      <c r="C364" s="162">
        <f>IFERROR(INDEX(tk_ROOMF,MATCH(359,tk_DSEQ,0))&amp;IF(INDEX(tk_ROOMT,MATCH(359,tk_DSEQ,0))="",""," → "&amp;INDEX(tk_ROOMT,MATCH(359,tk_DSEQ,0))),"")</f>
        <v/>
      </c>
      <c r="D364" s="162">
        <f>IFERROR(INDEX(tk_LEAVES,MATCH(359,tk_DSEQ,0)),"")</f>
        <v/>
      </c>
      <c r="E364" s="162">
        <f>IFERROR(""&amp;INDEX(tk_RATING,MATCH(359,tk_DSEQ,0)),"")</f>
        <v/>
      </c>
      <c r="F364" s="162">
        <f>IFERROR(TEXT(INDEX(tk_LEAFW,MATCH(359,tk_DSEQ,0)),"0.000")&amp;" x "&amp;TEXT(INDEX(tk_LEAFH,MATCH(359,tk_DSEQ,0)),"0.000"),"")</f>
        <v/>
      </c>
      <c r="G364" s="181">
        <f>IFERROR(""&amp;INDEX(tk_DLINE,MATCH(359,tk_DSEQ,0)),"")</f>
        <v/>
      </c>
      <c r="H364" s="181">
        <f>IFERROR(""&amp;INDEX(tk_LOCTXTD,MATCH(359,tk_DSEQ,0)),"")</f>
        <v/>
      </c>
      <c r="I364" s="162">
        <f>IFERROR(""&amp;INDEX(tk_DNOTES,MATCH(359,tk_DSEQ,0)),"")</f>
        <v/>
      </c>
    </row>
    <row r="365">
      <c r="A365" s="161">
        <f>IFERROR(""&amp;INDEX(tk_MARK,MATCH(360,tk_DSEQ,0)),"")</f>
        <v/>
      </c>
      <c r="B365" s="162">
        <f>IFERROR(INDEX(tk_QTY,MATCH(360,tk_DSEQ,0)),"")</f>
        <v/>
      </c>
      <c r="C365" s="162">
        <f>IFERROR(INDEX(tk_ROOMF,MATCH(360,tk_DSEQ,0))&amp;IF(INDEX(tk_ROOMT,MATCH(360,tk_DSEQ,0))="",""," → "&amp;INDEX(tk_ROOMT,MATCH(360,tk_DSEQ,0))),"")</f>
        <v/>
      </c>
      <c r="D365" s="162">
        <f>IFERROR(INDEX(tk_LEAVES,MATCH(360,tk_DSEQ,0)),"")</f>
        <v/>
      </c>
      <c r="E365" s="162">
        <f>IFERROR(""&amp;INDEX(tk_RATING,MATCH(360,tk_DSEQ,0)),"")</f>
        <v/>
      </c>
      <c r="F365" s="162">
        <f>IFERROR(TEXT(INDEX(tk_LEAFW,MATCH(360,tk_DSEQ,0)),"0.000")&amp;" x "&amp;TEXT(INDEX(tk_LEAFH,MATCH(360,tk_DSEQ,0)),"0.000"),"")</f>
        <v/>
      </c>
      <c r="G365" s="181">
        <f>IFERROR(""&amp;INDEX(tk_DLINE,MATCH(360,tk_DSEQ,0)),"")</f>
        <v/>
      </c>
      <c r="H365" s="181">
        <f>IFERROR(""&amp;INDEX(tk_LOCTXTD,MATCH(360,tk_DSEQ,0)),"")</f>
        <v/>
      </c>
      <c r="I365" s="162">
        <f>IFERROR(""&amp;INDEX(tk_DNOTES,MATCH(360,tk_DSEQ,0)),"")</f>
        <v/>
      </c>
    </row>
    <row r="366">
      <c r="A366" s="161">
        <f>IFERROR(""&amp;INDEX(tk_MARK,MATCH(361,tk_DSEQ,0)),"")</f>
        <v/>
      </c>
      <c r="B366" s="162">
        <f>IFERROR(INDEX(tk_QTY,MATCH(361,tk_DSEQ,0)),"")</f>
        <v/>
      </c>
      <c r="C366" s="162">
        <f>IFERROR(INDEX(tk_ROOMF,MATCH(361,tk_DSEQ,0))&amp;IF(INDEX(tk_ROOMT,MATCH(361,tk_DSEQ,0))="",""," → "&amp;INDEX(tk_ROOMT,MATCH(361,tk_DSEQ,0))),"")</f>
        <v/>
      </c>
      <c r="D366" s="162">
        <f>IFERROR(INDEX(tk_LEAVES,MATCH(361,tk_DSEQ,0)),"")</f>
        <v/>
      </c>
      <c r="E366" s="162">
        <f>IFERROR(""&amp;INDEX(tk_RATING,MATCH(361,tk_DSEQ,0)),"")</f>
        <v/>
      </c>
      <c r="F366" s="162">
        <f>IFERROR(TEXT(INDEX(tk_LEAFW,MATCH(361,tk_DSEQ,0)),"0.000")&amp;" x "&amp;TEXT(INDEX(tk_LEAFH,MATCH(361,tk_DSEQ,0)),"0.000"),"")</f>
        <v/>
      </c>
      <c r="G366" s="181">
        <f>IFERROR(""&amp;INDEX(tk_DLINE,MATCH(361,tk_DSEQ,0)),"")</f>
        <v/>
      </c>
      <c r="H366" s="181">
        <f>IFERROR(""&amp;INDEX(tk_LOCTXTD,MATCH(361,tk_DSEQ,0)),"")</f>
        <v/>
      </c>
      <c r="I366" s="162">
        <f>IFERROR(""&amp;INDEX(tk_DNOTES,MATCH(361,tk_DSEQ,0)),"")</f>
        <v/>
      </c>
    </row>
    <row r="367">
      <c r="A367" s="161">
        <f>IFERROR(""&amp;INDEX(tk_MARK,MATCH(362,tk_DSEQ,0)),"")</f>
        <v/>
      </c>
      <c r="B367" s="162">
        <f>IFERROR(INDEX(tk_QTY,MATCH(362,tk_DSEQ,0)),"")</f>
        <v/>
      </c>
      <c r="C367" s="162">
        <f>IFERROR(INDEX(tk_ROOMF,MATCH(362,tk_DSEQ,0))&amp;IF(INDEX(tk_ROOMT,MATCH(362,tk_DSEQ,0))="",""," → "&amp;INDEX(tk_ROOMT,MATCH(362,tk_DSEQ,0))),"")</f>
        <v/>
      </c>
      <c r="D367" s="162">
        <f>IFERROR(INDEX(tk_LEAVES,MATCH(362,tk_DSEQ,0)),"")</f>
        <v/>
      </c>
      <c r="E367" s="162">
        <f>IFERROR(""&amp;INDEX(tk_RATING,MATCH(362,tk_DSEQ,0)),"")</f>
        <v/>
      </c>
      <c r="F367" s="162">
        <f>IFERROR(TEXT(INDEX(tk_LEAFW,MATCH(362,tk_DSEQ,0)),"0.000")&amp;" x "&amp;TEXT(INDEX(tk_LEAFH,MATCH(362,tk_DSEQ,0)),"0.000"),"")</f>
        <v/>
      </c>
      <c r="G367" s="181">
        <f>IFERROR(""&amp;INDEX(tk_DLINE,MATCH(362,tk_DSEQ,0)),"")</f>
        <v/>
      </c>
      <c r="H367" s="181">
        <f>IFERROR(""&amp;INDEX(tk_LOCTXTD,MATCH(362,tk_DSEQ,0)),"")</f>
        <v/>
      </c>
      <c r="I367" s="162">
        <f>IFERROR(""&amp;INDEX(tk_DNOTES,MATCH(362,tk_DSEQ,0)),"")</f>
        <v/>
      </c>
    </row>
    <row r="368">
      <c r="A368" s="161">
        <f>IFERROR(""&amp;INDEX(tk_MARK,MATCH(363,tk_DSEQ,0)),"")</f>
        <v/>
      </c>
      <c r="B368" s="162">
        <f>IFERROR(INDEX(tk_QTY,MATCH(363,tk_DSEQ,0)),"")</f>
        <v/>
      </c>
      <c r="C368" s="162">
        <f>IFERROR(INDEX(tk_ROOMF,MATCH(363,tk_DSEQ,0))&amp;IF(INDEX(tk_ROOMT,MATCH(363,tk_DSEQ,0))="",""," → "&amp;INDEX(tk_ROOMT,MATCH(363,tk_DSEQ,0))),"")</f>
        <v/>
      </c>
      <c r="D368" s="162">
        <f>IFERROR(INDEX(tk_LEAVES,MATCH(363,tk_DSEQ,0)),"")</f>
        <v/>
      </c>
      <c r="E368" s="162">
        <f>IFERROR(""&amp;INDEX(tk_RATING,MATCH(363,tk_DSEQ,0)),"")</f>
        <v/>
      </c>
      <c r="F368" s="162">
        <f>IFERROR(TEXT(INDEX(tk_LEAFW,MATCH(363,tk_DSEQ,0)),"0.000")&amp;" x "&amp;TEXT(INDEX(tk_LEAFH,MATCH(363,tk_DSEQ,0)),"0.000"),"")</f>
        <v/>
      </c>
      <c r="G368" s="181">
        <f>IFERROR(""&amp;INDEX(tk_DLINE,MATCH(363,tk_DSEQ,0)),"")</f>
        <v/>
      </c>
      <c r="H368" s="181">
        <f>IFERROR(""&amp;INDEX(tk_LOCTXTD,MATCH(363,tk_DSEQ,0)),"")</f>
        <v/>
      </c>
      <c r="I368" s="162">
        <f>IFERROR(""&amp;INDEX(tk_DNOTES,MATCH(363,tk_DSEQ,0)),"")</f>
        <v/>
      </c>
    </row>
    <row r="369">
      <c r="A369" s="161">
        <f>IFERROR(""&amp;INDEX(tk_MARK,MATCH(364,tk_DSEQ,0)),"")</f>
        <v/>
      </c>
      <c r="B369" s="162">
        <f>IFERROR(INDEX(tk_QTY,MATCH(364,tk_DSEQ,0)),"")</f>
        <v/>
      </c>
      <c r="C369" s="162">
        <f>IFERROR(INDEX(tk_ROOMF,MATCH(364,tk_DSEQ,0))&amp;IF(INDEX(tk_ROOMT,MATCH(364,tk_DSEQ,0))="",""," → "&amp;INDEX(tk_ROOMT,MATCH(364,tk_DSEQ,0))),"")</f>
        <v/>
      </c>
      <c r="D369" s="162">
        <f>IFERROR(INDEX(tk_LEAVES,MATCH(364,tk_DSEQ,0)),"")</f>
        <v/>
      </c>
      <c r="E369" s="162">
        <f>IFERROR(""&amp;INDEX(tk_RATING,MATCH(364,tk_DSEQ,0)),"")</f>
        <v/>
      </c>
      <c r="F369" s="162">
        <f>IFERROR(TEXT(INDEX(tk_LEAFW,MATCH(364,tk_DSEQ,0)),"0.000")&amp;" x "&amp;TEXT(INDEX(tk_LEAFH,MATCH(364,tk_DSEQ,0)),"0.000"),"")</f>
        <v/>
      </c>
      <c r="G369" s="181">
        <f>IFERROR(""&amp;INDEX(tk_DLINE,MATCH(364,tk_DSEQ,0)),"")</f>
        <v/>
      </c>
      <c r="H369" s="181">
        <f>IFERROR(""&amp;INDEX(tk_LOCTXTD,MATCH(364,tk_DSEQ,0)),"")</f>
        <v/>
      </c>
      <c r="I369" s="162">
        <f>IFERROR(""&amp;INDEX(tk_DNOTES,MATCH(364,tk_DSEQ,0)),"")</f>
        <v/>
      </c>
    </row>
    <row r="370">
      <c r="A370" s="161">
        <f>IFERROR(""&amp;INDEX(tk_MARK,MATCH(365,tk_DSEQ,0)),"")</f>
        <v/>
      </c>
      <c r="B370" s="162">
        <f>IFERROR(INDEX(tk_QTY,MATCH(365,tk_DSEQ,0)),"")</f>
        <v/>
      </c>
      <c r="C370" s="162">
        <f>IFERROR(INDEX(tk_ROOMF,MATCH(365,tk_DSEQ,0))&amp;IF(INDEX(tk_ROOMT,MATCH(365,tk_DSEQ,0))="",""," → "&amp;INDEX(tk_ROOMT,MATCH(365,tk_DSEQ,0))),"")</f>
        <v/>
      </c>
      <c r="D370" s="162">
        <f>IFERROR(INDEX(tk_LEAVES,MATCH(365,tk_DSEQ,0)),"")</f>
        <v/>
      </c>
      <c r="E370" s="162">
        <f>IFERROR(""&amp;INDEX(tk_RATING,MATCH(365,tk_DSEQ,0)),"")</f>
        <v/>
      </c>
      <c r="F370" s="162">
        <f>IFERROR(TEXT(INDEX(tk_LEAFW,MATCH(365,tk_DSEQ,0)),"0.000")&amp;" x "&amp;TEXT(INDEX(tk_LEAFH,MATCH(365,tk_DSEQ,0)),"0.000"),"")</f>
        <v/>
      </c>
      <c r="G370" s="181">
        <f>IFERROR(""&amp;INDEX(tk_DLINE,MATCH(365,tk_DSEQ,0)),"")</f>
        <v/>
      </c>
      <c r="H370" s="181">
        <f>IFERROR(""&amp;INDEX(tk_LOCTXTD,MATCH(365,tk_DSEQ,0)),"")</f>
        <v/>
      </c>
      <c r="I370" s="162">
        <f>IFERROR(""&amp;INDEX(tk_DNOTES,MATCH(365,tk_DSEQ,0)),"")</f>
        <v/>
      </c>
    </row>
    <row r="371">
      <c r="A371" s="161">
        <f>IFERROR(""&amp;INDEX(tk_MARK,MATCH(366,tk_DSEQ,0)),"")</f>
        <v/>
      </c>
      <c r="B371" s="162">
        <f>IFERROR(INDEX(tk_QTY,MATCH(366,tk_DSEQ,0)),"")</f>
        <v/>
      </c>
      <c r="C371" s="162">
        <f>IFERROR(INDEX(tk_ROOMF,MATCH(366,tk_DSEQ,0))&amp;IF(INDEX(tk_ROOMT,MATCH(366,tk_DSEQ,0))="",""," → "&amp;INDEX(tk_ROOMT,MATCH(366,tk_DSEQ,0))),"")</f>
        <v/>
      </c>
      <c r="D371" s="162">
        <f>IFERROR(INDEX(tk_LEAVES,MATCH(366,tk_DSEQ,0)),"")</f>
        <v/>
      </c>
      <c r="E371" s="162">
        <f>IFERROR(""&amp;INDEX(tk_RATING,MATCH(366,tk_DSEQ,0)),"")</f>
        <v/>
      </c>
      <c r="F371" s="162">
        <f>IFERROR(TEXT(INDEX(tk_LEAFW,MATCH(366,tk_DSEQ,0)),"0.000")&amp;" x "&amp;TEXT(INDEX(tk_LEAFH,MATCH(366,tk_DSEQ,0)),"0.000"),"")</f>
        <v/>
      </c>
      <c r="G371" s="181">
        <f>IFERROR(""&amp;INDEX(tk_DLINE,MATCH(366,tk_DSEQ,0)),"")</f>
        <v/>
      </c>
      <c r="H371" s="181">
        <f>IFERROR(""&amp;INDEX(tk_LOCTXTD,MATCH(366,tk_DSEQ,0)),"")</f>
        <v/>
      </c>
      <c r="I371" s="162">
        <f>IFERROR(""&amp;INDEX(tk_DNOTES,MATCH(366,tk_DSEQ,0)),"")</f>
        <v/>
      </c>
    </row>
    <row r="372">
      <c r="A372" s="161">
        <f>IFERROR(""&amp;INDEX(tk_MARK,MATCH(367,tk_DSEQ,0)),"")</f>
        <v/>
      </c>
      <c r="B372" s="162">
        <f>IFERROR(INDEX(tk_QTY,MATCH(367,tk_DSEQ,0)),"")</f>
        <v/>
      </c>
      <c r="C372" s="162">
        <f>IFERROR(INDEX(tk_ROOMF,MATCH(367,tk_DSEQ,0))&amp;IF(INDEX(tk_ROOMT,MATCH(367,tk_DSEQ,0))="",""," → "&amp;INDEX(tk_ROOMT,MATCH(367,tk_DSEQ,0))),"")</f>
        <v/>
      </c>
      <c r="D372" s="162">
        <f>IFERROR(INDEX(tk_LEAVES,MATCH(367,tk_DSEQ,0)),"")</f>
        <v/>
      </c>
      <c r="E372" s="162">
        <f>IFERROR(""&amp;INDEX(tk_RATING,MATCH(367,tk_DSEQ,0)),"")</f>
        <v/>
      </c>
      <c r="F372" s="162">
        <f>IFERROR(TEXT(INDEX(tk_LEAFW,MATCH(367,tk_DSEQ,0)),"0.000")&amp;" x "&amp;TEXT(INDEX(tk_LEAFH,MATCH(367,tk_DSEQ,0)),"0.000"),"")</f>
        <v/>
      </c>
      <c r="G372" s="181">
        <f>IFERROR(""&amp;INDEX(tk_DLINE,MATCH(367,tk_DSEQ,0)),"")</f>
        <v/>
      </c>
      <c r="H372" s="181">
        <f>IFERROR(""&amp;INDEX(tk_LOCTXTD,MATCH(367,tk_DSEQ,0)),"")</f>
        <v/>
      </c>
      <c r="I372" s="162">
        <f>IFERROR(""&amp;INDEX(tk_DNOTES,MATCH(367,tk_DSEQ,0)),"")</f>
        <v/>
      </c>
    </row>
    <row r="373">
      <c r="A373" s="161">
        <f>IFERROR(""&amp;INDEX(tk_MARK,MATCH(368,tk_DSEQ,0)),"")</f>
        <v/>
      </c>
      <c r="B373" s="162">
        <f>IFERROR(INDEX(tk_QTY,MATCH(368,tk_DSEQ,0)),"")</f>
        <v/>
      </c>
      <c r="C373" s="162">
        <f>IFERROR(INDEX(tk_ROOMF,MATCH(368,tk_DSEQ,0))&amp;IF(INDEX(tk_ROOMT,MATCH(368,tk_DSEQ,0))="",""," → "&amp;INDEX(tk_ROOMT,MATCH(368,tk_DSEQ,0))),"")</f>
        <v/>
      </c>
      <c r="D373" s="162">
        <f>IFERROR(INDEX(tk_LEAVES,MATCH(368,tk_DSEQ,0)),"")</f>
        <v/>
      </c>
      <c r="E373" s="162">
        <f>IFERROR(""&amp;INDEX(tk_RATING,MATCH(368,tk_DSEQ,0)),"")</f>
        <v/>
      </c>
      <c r="F373" s="162">
        <f>IFERROR(TEXT(INDEX(tk_LEAFW,MATCH(368,tk_DSEQ,0)),"0.000")&amp;" x "&amp;TEXT(INDEX(tk_LEAFH,MATCH(368,tk_DSEQ,0)),"0.000"),"")</f>
        <v/>
      </c>
      <c r="G373" s="181">
        <f>IFERROR(""&amp;INDEX(tk_DLINE,MATCH(368,tk_DSEQ,0)),"")</f>
        <v/>
      </c>
      <c r="H373" s="181">
        <f>IFERROR(""&amp;INDEX(tk_LOCTXTD,MATCH(368,tk_DSEQ,0)),"")</f>
        <v/>
      </c>
      <c r="I373" s="162">
        <f>IFERROR(""&amp;INDEX(tk_DNOTES,MATCH(368,tk_DSEQ,0)),"")</f>
        <v/>
      </c>
    </row>
    <row r="374">
      <c r="A374" s="161">
        <f>IFERROR(""&amp;INDEX(tk_MARK,MATCH(369,tk_DSEQ,0)),"")</f>
        <v/>
      </c>
      <c r="B374" s="162">
        <f>IFERROR(INDEX(tk_QTY,MATCH(369,tk_DSEQ,0)),"")</f>
        <v/>
      </c>
      <c r="C374" s="162">
        <f>IFERROR(INDEX(tk_ROOMF,MATCH(369,tk_DSEQ,0))&amp;IF(INDEX(tk_ROOMT,MATCH(369,tk_DSEQ,0))="",""," → "&amp;INDEX(tk_ROOMT,MATCH(369,tk_DSEQ,0))),"")</f>
        <v/>
      </c>
      <c r="D374" s="162">
        <f>IFERROR(INDEX(tk_LEAVES,MATCH(369,tk_DSEQ,0)),"")</f>
        <v/>
      </c>
      <c r="E374" s="162">
        <f>IFERROR(""&amp;INDEX(tk_RATING,MATCH(369,tk_DSEQ,0)),"")</f>
        <v/>
      </c>
      <c r="F374" s="162">
        <f>IFERROR(TEXT(INDEX(tk_LEAFW,MATCH(369,tk_DSEQ,0)),"0.000")&amp;" x "&amp;TEXT(INDEX(tk_LEAFH,MATCH(369,tk_DSEQ,0)),"0.000"),"")</f>
        <v/>
      </c>
      <c r="G374" s="181">
        <f>IFERROR(""&amp;INDEX(tk_DLINE,MATCH(369,tk_DSEQ,0)),"")</f>
        <v/>
      </c>
      <c r="H374" s="181">
        <f>IFERROR(""&amp;INDEX(tk_LOCTXTD,MATCH(369,tk_DSEQ,0)),"")</f>
        <v/>
      </c>
      <c r="I374" s="162">
        <f>IFERROR(""&amp;INDEX(tk_DNOTES,MATCH(369,tk_DSEQ,0)),"")</f>
        <v/>
      </c>
    </row>
    <row r="375">
      <c r="A375" s="161">
        <f>IFERROR(""&amp;INDEX(tk_MARK,MATCH(370,tk_DSEQ,0)),"")</f>
        <v/>
      </c>
      <c r="B375" s="162">
        <f>IFERROR(INDEX(tk_QTY,MATCH(370,tk_DSEQ,0)),"")</f>
        <v/>
      </c>
      <c r="C375" s="162">
        <f>IFERROR(INDEX(tk_ROOMF,MATCH(370,tk_DSEQ,0))&amp;IF(INDEX(tk_ROOMT,MATCH(370,tk_DSEQ,0))="",""," → "&amp;INDEX(tk_ROOMT,MATCH(370,tk_DSEQ,0))),"")</f>
        <v/>
      </c>
      <c r="D375" s="162">
        <f>IFERROR(INDEX(tk_LEAVES,MATCH(370,tk_DSEQ,0)),"")</f>
        <v/>
      </c>
      <c r="E375" s="162">
        <f>IFERROR(""&amp;INDEX(tk_RATING,MATCH(370,tk_DSEQ,0)),"")</f>
        <v/>
      </c>
      <c r="F375" s="162">
        <f>IFERROR(TEXT(INDEX(tk_LEAFW,MATCH(370,tk_DSEQ,0)),"0.000")&amp;" x "&amp;TEXT(INDEX(tk_LEAFH,MATCH(370,tk_DSEQ,0)),"0.000"),"")</f>
        <v/>
      </c>
      <c r="G375" s="181">
        <f>IFERROR(""&amp;INDEX(tk_DLINE,MATCH(370,tk_DSEQ,0)),"")</f>
        <v/>
      </c>
      <c r="H375" s="181">
        <f>IFERROR(""&amp;INDEX(tk_LOCTXTD,MATCH(370,tk_DSEQ,0)),"")</f>
        <v/>
      </c>
      <c r="I375" s="162">
        <f>IFERROR(""&amp;INDEX(tk_DNOTES,MATCH(370,tk_DSEQ,0)),"")</f>
        <v/>
      </c>
    </row>
    <row r="376">
      <c r="A376" s="161">
        <f>IFERROR(""&amp;INDEX(tk_MARK,MATCH(371,tk_DSEQ,0)),"")</f>
        <v/>
      </c>
      <c r="B376" s="162">
        <f>IFERROR(INDEX(tk_QTY,MATCH(371,tk_DSEQ,0)),"")</f>
        <v/>
      </c>
      <c r="C376" s="162">
        <f>IFERROR(INDEX(tk_ROOMF,MATCH(371,tk_DSEQ,0))&amp;IF(INDEX(tk_ROOMT,MATCH(371,tk_DSEQ,0))="",""," → "&amp;INDEX(tk_ROOMT,MATCH(371,tk_DSEQ,0))),"")</f>
        <v/>
      </c>
      <c r="D376" s="162">
        <f>IFERROR(INDEX(tk_LEAVES,MATCH(371,tk_DSEQ,0)),"")</f>
        <v/>
      </c>
      <c r="E376" s="162">
        <f>IFERROR(""&amp;INDEX(tk_RATING,MATCH(371,tk_DSEQ,0)),"")</f>
        <v/>
      </c>
      <c r="F376" s="162">
        <f>IFERROR(TEXT(INDEX(tk_LEAFW,MATCH(371,tk_DSEQ,0)),"0.000")&amp;" x "&amp;TEXT(INDEX(tk_LEAFH,MATCH(371,tk_DSEQ,0)),"0.000"),"")</f>
        <v/>
      </c>
      <c r="G376" s="181">
        <f>IFERROR(""&amp;INDEX(tk_DLINE,MATCH(371,tk_DSEQ,0)),"")</f>
        <v/>
      </c>
      <c r="H376" s="181">
        <f>IFERROR(""&amp;INDEX(tk_LOCTXTD,MATCH(371,tk_DSEQ,0)),"")</f>
        <v/>
      </c>
      <c r="I376" s="162">
        <f>IFERROR(""&amp;INDEX(tk_DNOTES,MATCH(371,tk_DSEQ,0)),"")</f>
        <v/>
      </c>
    </row>
    <row r="377">
      <c r="A377" s="161">
        <f>IFERROR(""&amp;INDEX(tk_MARK,MATCH(372,tk_DSEQ,0)),"")</f>
        <v/>
      </c>
      <c r="B377" s="162">
        <f>IFERROR(INDEX(tk_QTY,MATCH(372,tk_DSEQ,0)),"")</f>
        <v/>
      </c>
      <c r="C377" s="162">
        <f>IFERROR(INDEX(tk_ROOMF,MATCH(372,tk_DSEQ,0))&amp;IF(INDEX(tk_ROOMT,MATCH(372,tk_DSEQ,0))="",""," → "&amp;INDEX(tk_ROOMT,MATCH(372,tk_DSEQ,0))),"")</f>
        <v/>
      </c>
      <c r="D377" s="162">
        <f>IFERROR(INDEX(tk_LEAVES,MATCH(372,tk_DSEQ,0)),"")</f>
        <v/>
      </c>
      <c r="E377" s="162">
        <f>IFERROR(""&amp;INDEX(tk_RATING,MATCH(372,tk_DSEQ,0)),"")</f>
        <v/>
      </c>
      <c r="F377" s="162">
        <f>IFERROR(TEXT(INDEX(tk_LEAFW,MATCH(372,tk_DSEQ,0)),"0.000")&amp;" x "&amp;TEXT(INDEX(tk_LEAFH,MATCH(372,tk_DSEQ,0)),"0.000"),"")</f>
        <v/>
      </c>
      <c r="G377" s="181">
        <f>IFERROR(""&amp;INDEX(tk_DLINE,MATCH(372,tk_DSEQ,0)),"")</f>
        <v/>
      </c>
      <c r="H377" s="181">
        <f>IFERROR(""&amp;INDEX(tk_LOCTXTD,MATCH(372,tk_DSEQ,0)),"")</f>
        <v/>
      </c>
      <c r="I377" s="162">
        <f>IFERROR(""&amp;INDEX(tk_DNOTES,MATCH(372,tk_DSEQ,0)),"")</f>
        <v/>
      </c>
    </row>
    <row r="378">
      <c r="A378" s="161">
        <f>IFERROR(""&amp;INDEX(tk_MARK,MATCH(373,tk_DSEQ,0)),"")</f>
        <v/>
      </c>
      <c r="B378" s="162">
        <f>IFERROR(INDEX(tk_QTY,MATCH(373,tk_DSEQ,0)),"")</f>
        <v/>
      </c>
      <c r="C378" s="162">
        <f>IFERROR(INDEX(tk_ROOMF,MATCH(373,tk_DSEQ,0))&amp;IF(INDEX(tk_ROOMT,MATCH(373,tk_DSEQ,0))="",""," → "&amp;INDEX(tk_ROOMT,MATCH(373,tk_DSEQ,0))),"")</f>
        <v/>
      </c>
      <c r="D378" s="162">
        <f>IFERROR(INDEX(tk_LEAVES,MATCH(373,tk_DSEQ,0)),"")</f>
        <v/>
      </c>
      <c r="E378" s="162">
        <f>IFERROR(""&amp;INDEX(tk_RATING,MATCH(373,tk_DSEQ,0)),"")</f>
        <v/>
      </c>
      <c r="F378" s="162">
        <f>IFERROR(TEXT(INDEX(tk_LEAFW,MATCH(373,tk_DSEQ,0)),"0.000")&amp;" x "&amp;TEXT(INDEX(tk_LEAFH,MATCH(373,tk_DSEQ,0)),"0.000"),"")</f>
        <v/>
      </c>
      <c r="G378" s="181">
        <f>IFERROR(""&amp;INDEX(tk_DLINE,MATCH(373,tk_DSEQ,0)),"")</f>
        <v/>
      </c>
      <c r="H378" s="181">
        <f>IFERROR(""&amp;INDEX(tk_LOCTXTD,MATCH(373,tk_DSEQ,0)),"")</f>
        <v/>
      </c>
      <c r="I378" s="162">
        <f>IFERROR(""&amp;INDEX(tk_DNOTES,MATCH(373,tk_DSEQ,0)),"")</f>
        <v/>
      </c>
    </row>
    <row r="379">
      <c r="A379" s="161">
        <f>IFERROR(""&amp;INDEX(tk_MARK,MATCH(374,tk_DSEQ,0)),"")</f>
        <v/>
      </c>
      <c r="B379" s="162">
        <f>IFERROR(INDEX(tk_QTY,MATCH(374,tk_DSEQ,0)),"")</f>
        <v/>
      </c>
      <c r="C379" s="162">
        <f>IFERROR(INDEX(tk_ROOMF,MATCH(374,tk_DSEQ,0))&amp;IF(INDEX(tk_ROOMT,MATCH(374,tk_DSEQ,0))="",""," → "&amp;INDEX(tk_ROOMT,MATCH(374,tk_DSEQ,0))),"")</f>
        <v/>
      </c>
      <c r="D379" s="162">
        <f>IFERROR(INDEX(tk_LEAVES,MATCH(374,tk_DSEQ,0)),"")</f>
        <v/>
      </c>
      <c r="E379" s="162">
        <f>IFERROR(""&amp;INDEX(tk_RATING,MATCH(374,tk_DSEQ,0)),"")</f>
        <v/>
      </c>
      <c r="F379" s="162">
        <f>IFERROR(TEXT(INDEX(tk_LEAFW,MATCH(374,tk_DSEQ,0)),"0.000")&amp;" x "&amp;TEXT(INDEX(tk_LEAFH,MATCH(374,tk_DSEQ,0)),"0.000"),"")</f>
        <v/>
      </c>
      <c r="G379" s="181">
        <f>IFERROR(""&amp;INDEX(tk_DLINE,MATCH(374,tk_DSEQ,0)),"")</f>
        <v/>
      </c>
      <c r="H379" s="181">
        <f>IFERROR(""&amp;INDEX(tk_LOCTXTD,MATCH(374,tk_DSEQ,0)),"")</f>
        <v/>
      </c>
      <c r="I379" s="162">
        <f>IFERROR(""&amp;INDEX(tk_DNOTES,MATCH(374,tk_DSEQ,0)),"")</f>
        <v/>
      </c>
    </row>
    <row r="380">
      <c r="A380" s="161">
        <f>IFERROR(""&amp;INDEX(tk_MARK,MATCH(375,tk_DSEQ,0)),"")</f>
        <v/>
      </c>
      <c r="B380" s="162">
        <f>IFERROR(INDEX(tk_QTY,MATCH(375,tk_DSEQ,0)),"")</f>
        <v/>
      </c>
      <c r="C380" s="162">
        <f>IFERROR(INDEX(tk_ROOMF,MATCH(375,tk_DSEQ,0))&amp;IF(INDEX(tk_ROOMT,MATCH(375,tk_DSEQ,0))="",""," → "&amp;INDEX(tk_ROOMT,MATCH(375,tk_DSEQ,0))),"")</f>
        <v/>
      </c>
      <c r="D380" s="162">
        <f>IFERROR(INDEX(tk_LEAVES,MATCH(375,tk_DSEQ,0)),"")</f>
        <v/>
      </c>
      <c r="E380" s="162">
        <f>IFERROR(""&amp;INDEX(tk_RATING,MATCH(375,tk_DSEQ,0)),"")</f>
        <v/>
      </c>
      <c r="F380" s="162">
        <f>IFERROR(TEXT(INDEX(tk_LEAFW,MATCH(375,tk_DSEQ,0)),"0.000")&amp;" x "&amp;TEXT(INDEX(tk_LEAFH,MATCH(375,tk_DSEQ,0)),"0.000"),"")</f>
        <v/>
      </c>
      <c r="G380" s="181">
        <f>IFERROR(""&amp;INDEX(tk_DLINE,MATCH(375,tk_DSEQ,0)),"")</f>
        <v/>
      </c>
      <c r="H380" s="181">
        <f>IFERROR(""&amp;INDEX(tk_LOCTXTD,MATCH(375,tk_DSEQ,0)),"")</f>
        <v/>
      </c>
      <c r="I380" s="162">
        <f>IFERROR(""&amp;INDEX(tk_DNOTES,MATCH(375,tk_DSEQ,0)),"")</f>
        <v/>
      </c>
    </row>
    <row r="381">
      <c r="A381" s="161">
        <f>IFERROR(""&amp;INDEX(tk_MARK,MATCH(376,tk_DSEQ,0)),"")</f>
        <v/>
      </c>
      <c r="B381" s="162">
        <f>IFERROR(INDEX(tk_QTY,MATCH(376,tk_DSEQ,0)),"")</f>
        <v/>
      </c>
      <c r="C381" s="162">
        <f>IFERROR(INDEX(tk_ROOMF,MATCH(376,tk_DSEQ,0))&amp;IF(INDEX(tk_ROOMT,MATCH(376,tk_DSEQ,0))="",""," → "&amp;INDEX(tk_ROOMT,MATCH(376,tk_DSEQ,0))),"")</f>
        <v/>
      </c>
      <c r="D381" s="162">
        <f>IFERROR(INDEX(tk_LEAVES,MATCH(376,tk_DSEQ,0)),"")</f>
        <v/>
      </c>
      <c r="E381" s="162">
        <f>IFERROR(""&amp;INDEX(tk_RATING,MATCH(376,tk_DSEQ,0)),"")</f>
        <v/>
      </c>
      <c r="F381" s="162">
        <f>IFERROR(TEXT(INDEX(tk_LEAFW,MATCH(376,tk_DSEQ,0)),"0.000")&amp;" x "&amp;TEXT(INDEX(tk_LEAFH,MATCH(376,tk_DSEQ,0)),"0.000"),"")</f>
        <v/>
      </c>
      <c r="G381" s="181">
        <f>IFERROR(""&amp;INDEX(tk_DLINE,MATCH(376,tk_DSEQ,0)),"")</f>
        <v/>
      </c>
      <c r="H381" s="181">
        <f>IFERROR(""&amp;INDEX(tk_LOCTXTD,MATCH(376,tk_DSEQ,0)),"")</f>
        <v/>
      </c>
      <c r="I381" s="162">
        <f>IFERROR(""&amp;INDEX(tk_DNOTES,MATCH(376,tk_DSEQ,0)),"")</f>
        <v/>
      </c>
    </row>
    <row r="382">
      <c r="A382" s="161">
        <f>IFERROR(""&amp;INDEX(tk_MARK,MATCH(377,tk_DSEQ,0)),"")</f>
        <v/>
      </c>
      <c r="B382" s="162">
        <f>IFERROR(INDEX(tk_QTY,MATCH(377,tk_DSEQ,0)),"")</f>
        <v/>
      </c>
      <c r="C382" s="162">
        <f>IFERROR(INDEX(tk_ROOMF,MATCH(377,tk_DSEQ,0))&amp;IF(INDEX(tk_ROOMT,MATCH(377,tk_DSEQ,0))="",""," → "&amp;INDEX(tk_ROOMT,MATCH(377,tk_DSEQ,0))),"")</f>
        <v/>
      </c>
      <c r="D382" s="162">
        <f>IFERROR(INDEX(tk_LEAVES,MATCH(377,tk_DSEQ,0)),"")</f>
        <v/>
      </c>
      <c r="E382" s="162">
        <f>IFERROR(""&amp;INDEX(tk_RATING,MATCH(377,tk_DSEQ,0)),"")</f>
        <v/>
      </c>
      <c r="F382" s="162">
        <f>IFERROR(TEXT(INDEX(tk_LEAFW,MATCH(377,tk_DSEQ,0)),"0.000")&amp;" x "&amp;TEXT(INDEX(tk_LEAFH,MATCH(377,tk_DSEQ,0)),"0.000"),"")</f>
        <v/>
      </c>
      <c r="G382" s="181">
        <f>IFERROR(""&amp;INDEX(tk_DLINE,MATCH(377,tk_DSEQ,0)),"")</f>
        <v/>
      </c>
      <c r="H382" s="181">
        <f>IFERROR(""&amp;INDEX(tk_LOCTXTD,MATCH(377,tk_DSEQ,0)),"")</f>
        <v/>
      </c>
      <c r="I382" s="162">
        <f>IFERROR(""&amp;INDEX(tk_DNOTES,MATCH(377,tk_DSEQ,0)),"")</f>
        <v/>
      </c>
    </row>
    <row r="383">
      <c r="A383" s="161">
        <f>IFERROR(""&amp;INDEX(tk_MARK,MATCH(378,tk_DSEQ,0)),"")</f>
        <v/>
      </c>
      <c r="B383" s="162">
        <f>IFERROR(INDEX(tk_QTY,MATCH(378,tk_DSEQ,0)),"")</f>
        <v/>
      </c>
      <c r="C383" s="162">
        <f>IFERROR(INDEX(tk_ROOMF,MATCH(378,tk_DSEQ,0))&amp;IF(INDEX(tk_ROOMT,MATCH(378,tk_DSEQ,0))="",""," → "&amp;INDEX(tk_ROOMT,MATCH(378,tk_DSEQ,0))),"")</f>
        <v/>
      </c>
      <c r="D383" s="162">
        <f>IFERROR(INDEX(tk_LEAVES,MATCH(378,tk_DSEQ,0)),"")</f>
        <v/>
      </c>
      <c r="E383" s="162">
        <f>IFERROR(""&amp;INDEX(tk_RATING,MATCH(378,tk_DSEQ,0)),"")</f>
        <v/>
      </c>
      <c r="F383" s="162">
        <f>IFERROR(TEXT(INDEX(tk_LEAFW,MATCH(378,tk_DSEQ,0)),"0.000")&amp;" x "&amp;TEXT(INDEX(tk_LEAFH,MATCH(378,tk_DSEQ,0)),"0.000"),"")</f>
        <v/>
      </c>
      <c r="G383" s="181">
        <f>IFERROR(""&amp;INDEX(tk_DLINE,MATCH(378,tk_DSEQ,0)),"")</f>
        <v/>
      </c>
      <c r="H383" s="181">
        <f>IFERROR(""&amp;INDEX(tk_LOCTXTD,MATCH(378,tk_DSEQ,0)),"")</f>
        <v/>
      </c>
      <c r="I383" s="162">
        <f>IFERROR(""&amp;INDEX(tk_DNOTES,MATCH(378,tk_DSEQ,0)),"")</f>
        <v/>
      </c>
    </row>
    <row r="384">
      <c r="A384" s="161">
        <f>IFERROR(""&amp;INDEX(tk_MARK,MATCH(379,tk_DSEQ,0)),"")</f>
        <v/>
      </c>
      <c r="B384" s="162">
        <f>IFERROR(INDEX(tk_QTY,MATCH(379,tk_DSEQ,0)),"")</f>
        <v/>
      </c>
      <c r="C384" s="162">
        <f>IFERROR(INDEX(tk_ROOMF,MATCH(379,tk_DSEQ,0))&amp;IF(INDEX(tk_ROOMT,MATCH(379,tk_DSEQ,0))="",""," → "&amp;INDEX(tk_ROOMT,MATCH(379,tk_DSEQ,0))),"")</f>
        <v/>
      </c>
      <c r="D384" s="162">
        <f>IFERROR(INDEX(tk_LEAVES,MATCH(379,tk_DSEQ,0)),"")</f>
        <v/>
      </c>
      <c r="E384" s="162">
        <f>IFERROR(""&amp;INDEX(tk_RATING,MATCH(379,tk_DSEQ,0)),"")</f>
        <v/>
      </c>
      <c r="F384" s="162">
        <f>IFERROR(TEXT(INDEX(tk_LEAFW,MATCH(379,tk_DSEQ,0)),"0.000")&amp;" x "&amp;TEXT(INDEX(tk_LEAFH,MATCH(379,tk_DSEQ,0)),"0.000"),"")</f>
        <v/>
      </c>
      <c r="G384" s="181">
        <f>IFERROR(""&amp;INDEX(tk_DLINE,MATCH(379,tk_DSEQ,0)),"")</f>
        <v/>
      </c>
      <c r="H384" s="181">
        <f>IFERROR(""&amp;INDEX(tk_LOCTXTD,MATCH(379,tk_DSEQ,0)),"")</f>
        <v/>
      </c>
      <c r="I384" s="162">
        <f>IFERROR(""&amp;INDEX(tk_DNOTES,MATCH(379,tk_DSEQ,0)),"")</f>
        <v/>
      </c>
    </row>
    <row r="385">
      <c r="A385" s="161">
        <f>IFERROR(""&amp;INDEX(tk_MARK,MATCH(380,tk_DSEQ,0)),"")</f>
        <v/>
      </c>
      <c r="B385" s="162">
        <f>IFERROR(INDEX(tk_QTY,MATCH(380,tk_DSEQ,0)),"")</f>
        <v/>
      </c>
      <c r="C385" s="162">
        <f>IFERROR(INDEX(tk_ROOMF,MATCH(380,tk_DSEQ,0))&amp;IF(INDEX(tk_ROOMT,MATCH(380,tk_DSEQ,0))="",""," → "&amp;INDEX(tk_ROOMT,MATCH(380,tk_DSEQ,0))),"")</f>
        <v/>
      </c>
      <c r="D385" s="162">
        <f>IFERROR(INDEX(tk_LEAVES,MATCH(380,tk_DSEQ,0)),"")</f>
        <v/>
      </c>
      <c r="E385" s="162">
        <f>IFERROR(""&amp;INDEX(tk_RATING,MATCH(380,tk_DSEQ,0)),"")</f>
        <v/>
      </c>
      <c r="F385" s="162">
        <f>IFERROR(TEXT(INDEX(tk_LEAFW,MATCH(380,tk_DSEQ,0)),"0.000")&amp;" x "&amp;TEXT(INDEX(tk_LEAFH,MATCH(380,tk_DSEQ,0)),"0.000"),"")</f>
        <v/>
      </c>
      <c r="G385" s="181">
        <f>IFERROR(""&amp;INDEX(tk_DLINE,MATCH(380,tk_DSEQ,0)),"")</f>
        <v/>
      </c>
      <c r="H385" s="181">
        <f>IFERROR(""&amp;INDEX(tk_LOCTXTD,MATCH(380,tk_DSEQ,0)),"")</f>
        <v/>
      </c>
      <c r="I385" s="162">
        <f>IFERROR(""&amp;INDEX(tk_DNOTES,MATCH(380,tk_DSEQ,0)),"")</f>
        <v/>
      </c>
    </row>
    <row r="386">
      <c r="A386" s="161">
        <f>IFERROR(""&amp;INDEX(tk_MARK,MATCH(381,tk_DSEQ,0)),"")</f>
        <v/>
      </c>
      <c r="B386" s="162">
        <f>IFERROR(INDEX(tk_QTY,MATCH(381,tk_DSEQ,0)),"")</f>
        <v/>
      </c>
      <c r="C386" s="162">
        <f>IFERROR(INDEX(tk_ROOMF,MATCH(381,tk_DSEQ,0))&amp;IF(INDEX(tk_ROOMT,MATCH(381,tk_DSEQ,0))="",""," → "&amp;INDEX(tk_ROOMT,MATCH(381,tk_DSEQ,0))),"")</f>
        <v/>
      </c>
      <c r="D386" s="162">
        <f>IFERROR(INDEX(tk_LEAVES,MATCH(381,tk_DSEQ,0)),"")</f>
        <v/>
      </c>
      <c r="E386" s="162">
        <f>IFERROR(""&amp;INDEX(tk_RATING,MATCH(381,tk_DSEQ,0)),"")</f>
        <v/>
      </c>
      <c r="F386" s="162">
        <f>IFERROR(TEXT(INDEX(tk_LEAFW,MATCH(381,tk_DSEQ,0)),"0.000")&amp;" x "&amp;TEXT(INDEX(tk_LEAFH,MATCH(381,tk_DSEQ,0)),"0.000"),"")</f>
        <v/>
      </c>
      <c r="G386" s="181">
        <f>IFERROR(""&amp;INDEX(tk_DLINE,MATCH(381,tk_DSEQ,0)),"")</f>
        <v/>
      </c>
      <c r="H386" s="181">
        <f>IFERROR(""&amp;INDEX(tk_LOCTXTD,MATCH(381,tk_DSEQ,0)),"")</f>
        <v/>
      </c>
      <c r="I386" s="162">
        <f>IFERROR(""&amp;INDEX(tk_DNOTES,MATCH(381,tk_DSEQ,0)),"")</f>
        <v/>
      </c>
    </row>
    <row r="387">
      <c r="A387" s="161">
        <f>IFERROR(""&amp;INDEX(tk_MARK,MATCH(382,tk_DSEQ,0)),"")</f>
        <v/>
      </c>
      <c r="B387" s="162">
        <f>IFERROR(INDEX(tk_QTY,MATCH(382,tk_DSEQ,0)),"")</f>
        <v/>
      </c>
      <c r="C387" s="162">
        <f>IFERROR(INDEX(tk_ROOMF,MATCH(382,tk_DSEQ,0))&amp;IF(INDEX(tk_ROOMT,MATCH(382,tk_DSEQ,0))="",""," → "&amp;INDEX(tk_ROOMT,MATCH(382,tk_DSEQ,0))),"")</f>
        <v/>
      </c>
      <c r="D387" s="162">
        <f>IFERROR(INDEX(tk_LEAVES,MATCH(382,tk_DSEQ,0)),"")</f>
        <v/>
      </c>
      <c r="E387" s="162">
        <f>IFERROR(""&amp;INDEX(tk_RATING,MATCH(382,tk_DSEQ,0)),"")</f>
        <v/>
      </c>
      <c r="F387" s="162">
        <f>IFERROR(TEXT(INDEX(tk_LEAFW,MATCH(382,tk_DSEQ,0)),"0.000")&amp;" x "&amp;TEXT(INDEX(tk_LEAFH,MATCH(382,tk_DSEQ,0)),"0.000"),"")</f>
        <v/>
      </c>
      <c r="G387" s="181">
        <f>IFERROR(""&amp;INDEX(tk_DLINE,MATCH(382,tk_DSEQ,0)),"")</f>
        <v/>
      </c>
      <c r="H387" s="181">
        <f>IFERROR(""&amp;INDEX(tk_LOCTXTD,MATCH(382,tk_DSEQ,0)),"")</f>
        <v/>
      </c>
      <c r="I387" s="162">
        <f>IFERROR(""&amp;INDEX(tk_DNOTES,MATCH(382,tk_DSEQ,0)),"")</f>
        <v/>
      </c>
    </row>
    <row r="388">
      <c r="A388" s="161">
        <f>IFERROR(""&amp;INDEX(tk_MARK,MATCH(383,tk_DSEQ,0)),"")</f>
        <v/>
      </c>
      <c r="B388" s="162">
        <f>IFERROR(INDEX(tk_QTY,MATCH(383,tk_DSEQ,0)),"")</f>
        <v/>
      </c>
      <c r="C388" s="162">
        <f>IFERROR(INDEX(tk_ROOMF,MATCH(383,tk_DSEQ,0))&amp;IF(INDEX(tk_ROOMT,MATCH(383,tk_DSEQ,0))="",""," → "&amp;INDEX(tk_ROOMT,MATCH(383,tk_DSEQ,0))),"")</f>
        <v/>
      </c>
      <c r="D388" s="162">
        <f>IFERROR(INDEX(tk_LEAVES,MATCH(383,tk_DSEQ,0)),"")</f>
        <v/>
      </c>
      <c r="E388" s="162">
        <f>IFERROR(""&amp;INDEX(tk_RATING,MATCH(383,tk_DSEQ,0)),"")</f>
        <v/>
      </c>
      <c r="F388" s="162">
        <f>IFERROR(TEXT(INDEX(tk_LEAFW,MATCH(383,tk_DSEQ,0)),"0.000")&amp;" x "&amp;TEXT(INDEX(tk_LEAFH,MATCH(383,tk_DSEQ,0)),"0.000"),"")</f>
        <v/>
      </c>
      <c r="G388" s="181">
        <f>IFERROR(""&amp;INDEX(tk_DLINE,MATCH(383,tk_DSEQ,0)),"")</f>
        <v/>
      </c>
      <c r="H388" s="181">
        <f>IFERROR(""&amp;INDEX(tk_LOCTXTD,MATCH(383,tk_DSEQ,0)),"")</f>
        <v/>
      </c>
      <c r="I388" s="162">
        <f>IFERROR(""&amp;INDEX(tk_DNOTES,MATCH(383,tk_DSEQ,0)),"")</f>
        <v/>
      </c>
    </row>
    <row r="389">
      <c r="A389" s="161">
        <f>IFERROR(""&amp;INDEX(tk_MARK,MATCH(384,tk_DSEQ,0)),"")</f>
        <v/>
      </c>
      <c r="B389" s="162">
        <f>IFERROR(INDEX(tk_QTY,MATCH(384,tk_DSEQ,0)),"")</f>
        <v/>
      </c>
      <c r="C389" s="162">
        <f>IFERROR(INDEX(tk_ROOMF,MATCH(384,tk_DSEQ,0))&amp;IF(INDEX(tk_ROOMT,MATCH(384,tk_DSEQ,0))="",""," → "&amp;INDEX(tk_ROOMT,MATCH(384,tk_DSEQ,0))),"")</f>
        <v/>
      </c>
      <c r="D389" s="162">
        <f>IFERROR(INDEX(tk_LEAVES,MATCH(384,tk_DSEQ,0)),"")</f>
        <v/>
      </c>
      <c r="E389" s="162">
        <f>IFERROR(""&amp;INDEX(tk_RATING,MATCH(384,tk_DSEQ,0)),"")</f>
        <v/>
      </c>
      <c r="F389" s="162">
        <f>IFERROR(TEXT(INDEX(tk_LEAFW,MATCH(384,tk_DSEQ,0)),"0.000")&amp;" x "&amp;TEXT(INDEX(tk_LEAFH,MATCH(384,tk_DSEQ,0)),"0.000"),"")</f>
        <v/>
      </c>
      <c r="G389" s="181">
        <f>IFERROR(""&amp;INDEX(tk_DLINE,MATCH(384,tk_DSEQ,0)),"")</f>
        <v/>
      </c>
      <c r="H389" s="181">
        <f>IFERROR(""&amp;INDEX(tk_LOCTXTD,MATCH(384,tk_DSEQ,0)),"")</f>
        <v/>
      </c>
      <c r="I389" s="162">
        <f>IFERROR(""&amp;INDEX(tk_DNOTES,MATCH(384,tk_DSEQ,0)),"")</f>
        <v/>
      </c>
    </row>
    <row r="390">
      <c r="A390" s="161">
        <f>IFERROR(""&amp;INDEX(tk_MARK,MATCH(385,tk_DSEQ,0)),"")</f>
        <v/>
      </c>
      <c r="B390" s="162">
        <f>IFERROR(INDEX(tk_QTY,MATCH(385,tk_DSEQ,0)),"")</f>
        <v/>
      </c>
      <c r="C390" s="162">
        <f>IFERROR(INDEX(tk_ROOMF,MATCH(385,tk_DSEQ,0))&amp;IF(INDEX(tk_ROOMT,MATCH(385,tk_DSEQ,0))="",""," → "&amp;INDEX(tk_ROOMT,MATCH(385,tk_DSEQ,0))),"")</f>
        <v/>
      </c>
      <c r="D390" s="162">
        <f>IFERROR(INDEX(tk_LEAVES,MATCH(385,tk_DSEQ,0)),"")</f>
        <v/>
      </c>
      <c r="E390" s="162">
        <f>IFERROR(""&amp;INDEX(tk_RATING,MATCH(385,tk_DSEQ,0)),"")</f>
        <v/>
      </c>
      <c r="F390" s="162">
        <f>IFERROR(TEXT(INDEX(tk_LEAFW,MATCH(385,tk_DSEQ,0)),"0.000")&amp;" x "&amp;TEXT(INDEX(tk_LEAFH,MATCH(385,tk_DSEQ,0)),"0.000"),"")</f>
        <v/>
      </c>
      <c r="G390" s="181">
        <f>IFERROR(""&amp;INDEX(tk_DLINE,MATCH(385,tk_DSEQ,0)),"")</f>
        <v/>
      </c>
      <c r="H390" s="181">
        <f>IFERROR(""&amp;INDEX(tk_LOCTXTD,MATCH(385,tk_DSEQ,0)),"")</f>
        <v/>
      </c>
      <c r="I390" s="162">
        <f>IFERROR(""&amp;INDEX(tk_DNOTES,MATCH(385,tk_DSEQ,0)),"")</f>
        <v/>
      </c>
    </row>
    <row r="391">
      <c r="A391" s="161">
        <f>IFERROR(""&amp;INDEX(tk_MARK,MATCH(386,tk_DSEQ,0)),"")</f>
        <v/>
      </c>
      <c r="B391" s="162">
        <f>IFERROR(INDEX(tk_QTY,MATCH(386,tk_DSEQ,0)),"")</f>
        <v/>
      </c>
      <c r="C391" s="162">
        <f>IFERROR(INDEX(tk_ROOMF,MATCH(386,tk_DSEQ,0))&amp;IF(INDEX(tk_ROOMT,MATCH(386,tk_DSEQ,0))="",""," → "&amp;INDEX(tk_ROOMT,MATCH(386,tk_DSEQ,0))),"")</f>
        <v/>
      </c>
      <c r="D391" s="162">
        <f>IFERROR(INDEX(tk_LEAVES,MATCH(386,tk_DSEQ,0)),"")</f>
        <v/>
      </c>
      <c r="E391" s="162">
        <f>IFERROR(""&amp;INDEX(tk_RATING,MATCH(386,tk_DSEQ,0)),"")</f>
        <v/>
      </c>
      <c r="F391" s="162">
        <f>IFERROR(TEXT(INDEX(tk_LEAFW,MATCH(386,tk_DSEQ,0)),"0.000")&amp;" x "&amp;TEXT(INDEX(tk_LEAFH,MATCH(386,tk_DSEQ,0)),"0.000"),"")</f>
        <v/>
      </c>
      <c r="G391" s="181">
        <f>IFERROR(""&amp;INDEX(tk_DLINE,MATCH(386,tk_DSEQ,0)),"")</f>
        <v/>
      </c>
      <c r="H391" s="181">
        <f>IFERROR(""&amp;INDEX(tk_LOCTXTD,MATCH(386,tk_DSEQ,0)),"")</f>
        <v/>
      </c>
      <c r="I391" s="162">
        <f>IFERROR(""&amp;INDEX(tk_DNOTES,MATCH(386,tk_DSEQ,0)),"")</f>
        <v/>
      </c>
    </row>
    <row r="392">
      <c r="A392" s="161">
        <f>IFERROR(""&amp;INDEX(tk_MARK,MATCH(387,tk_DSEQ,0)),"")</f>
        <v/>
      </c>
      <c r="B392" s="162">
        <f>IFERROR(INDEX(tk_QTY,MATCH(387,tk_DSEQ,0)),"")</f>
        <v/>
      </c>
      <c r="C392" s="162">
        <f>IFERROR(INDEX(tk_ROOMF,MATCH(387,tk_DSEQ,0))&amp;IF(INDEX(tk_ROOMT,MATCH(387,tk_DSEQ,0))="",""," → "&amp;INDEX(tk_ROOMT,MATCH(387,tk_DSEQ,0))),"")</f>
        <v/>
      </c>
      <c r="D392" s="162">
        <f>IFERROR(INDEX(tk_LEAVES,MATCH(387,tk_DSEQ,0)),"")</f>
        <v/>
      </c>
      <c r="E392" s="162">
        <f>IFERROR(""&amp;INDEX(tk_RATING,MATCH(387,tk_DSEQ,0)),"")</f>
        <v/>
      </c>
      <c r="F392" s="162">
        <f>IFERROR(TEXT(INDEX(tk_LEAFW,MATCH(387,tk_DSEQ,0)),"0.000")&amp;" x "&amp;TEXT(INDEX(tk_LEAFH,MATCH(387,tk_DSEQ,0)),"0.000"),"")</f>
        <v/>
      </c>
      <c r="G392" s="181">
        <f>IFERROR(""&amp;INDEX(tk_DLINE,MATCH(387,tk_DSEQ,0)),"")</f>
        <v/>
      </c>
      <c r="H392" s="181">
        <f>IFERROR(""&amp;INDEX(tk_LOCTXTD,MATCH(387,tk_DSEQ,0)),"")</f>
        <v/>
      </c>
      <c r="I392" s="162">
        <f>IFERROR(""&amp;INDEX(tk_DNOTES,MATCH(387,tk_DSEQ,0)),"")</f>
        <v/>
      </c>
    </row>
    <row r="393">
      <c r="A393" s="161">
        <f>IFERROR(""&amp;INDEX(tk_MARK,MATCH(388,tk_DSEQ,0)),"")</f>
        <v/>
      </c>
      <c r="B393" s="162">
        <f>IFERROR(INDEX(tk_QTY,MATCH(388,tk_DSEQ,0)),"")</f>
        <v/>
      </c>
      <c r="C393" s="162">
        <f>IFERROR(INDEX(tk_ROOMF,MATCH(388,tk_DSEQ,0))&amp;IF(INDEX(tk_ROOMT,MATCH(388,tk_DSEQ,0))="",""," → "&amp;INDEX(tk_ROOMT,MATCH(388,tk_DSEQ,0))),"")</f>
        <v/>
      </c>
      <c r="D393" s="162">
        <f>IFERROR(INDEX(tk_LEAVES,MATCH(388,tk_DSEQ,0)),"")</f>
        <v/>
      </c>
      <c r="E393" s="162">
        <f>IFERROR(""&amp;INDEX(tk_RATING,MATCH(388,tk_DSEQ,0)),"")</f>
        <v/>
      </c>
      <c r="F393" s="162">
        <f>IFERROR(TEXT(INDEX(tk_LEAFW,MATCH(388,tk_DSEQ,0)),"0.000")&amp;" x "&amp;TEXT(INDEX(tk_LEAFH,MATCH(388,tk_DSEQ,0)),"0.000"),"")</f>
        <v/>
      </c>
      <c r="G393" s="181">
        <f>IFERROR(""&amp;INDEX(tk_DLINE,MATCH(388,tk_DSEQ,0)),"")</f>
        <v/>
      </c>
      <c r="H393" s="181">
        <f>IFERROR(""&amp;INDEX(tk_LOCTXTD,MATCH(388,tk_DSEQ,0)),"")</f>
        <v/>
      </c>
      <c r="I393" s="162">
        <f>IFERROR(""&amp;INDEX(tk_DNOTES,MATCH(388,tk_DSEQ,0)),"")</f>
        <v/>
      </c>
    </row>
    <row r="394">
      <c r="A394" s="161">
        <f>IFERROR(""&amp;INDEX(tk_MARK,MATCH(389,tk_DSEQ,0)),"")</f>
        <v/>
      </c>
      <c r="B394" s="162">
        <f>IFERROR(INDEX(tk_QTY,MATCH(389,tk_DSEQ,0)),"")</f>
        <v/>
      </c>
      <c r="C394" s="162">
        <f>IFERROR(INDEX(tk_ROOMF,MATCH(389,tk_DSEQ,0))&amp;IF(INDEX(tk_ROOMT,MATCH(389,tk_DSEQ,0))="",""," → "&amp;INDEX(tk_ROOMT,MATCH(389,tk_DSEQ,0))),"")</f>
        <v/>
      </c>
      <c r="D394" s="162">
        <f>IFERROR(INDEX(tk_LEAVES,MATCH(389,tk_DSEQ,0)),"")</f>
        <v/>
      </c>
      <c r="E394" s="162">
        <f>IFERROR(""&amp;INDEX(tk_RATING,MATCH(389,tk_DSEQ,0)),"")</f>
        <v/>
      </c>
      <c r="F394" s="162">
        <f>IFERROR(TEXT(INDEX(tk_LEAFW,MATCH(389,tk_DSEQ,0)),"0.000")&amp;" x "&amp;TEXT(INDEX(tk_LEAFH,MATCH(389,tk_DSEQ,0)),"0.000"),"")</f>
        <v/>
      </c>
      <c r="G394" s="181">
        <f>IFERROR(""&amp;INDEX(tk_DLINE,MATCH(389,tk_DSEQ,0)),"")</f>
        <v/>
      </c>
      <c r="H394" s="181">
        <f>IFERROR(""&amp;INDEX(tk_LOCTXTD,MATCH(389,tk_DSEQ,0)),"")</f>
        <v/>
      </c>
      <c r="I394" s="162">
        <f>IFERROR(""&amp;INDEX(tk_DNOTES,MATCH(389,tk_DSEQ,0)),"")</f>
        <v/>
      </c>
    </row>
    <row r="395">
      <c r="A395" s="161">
        <f>IFERROR(""&amp;INDEX(tk_MARK,MATCH(390,tk_DSEQ,0)),"")</f>
        <v/>
      </c>
      <c r="B395" s="162">
        <f>IFERROR(INDEX(tk_QTY,MATCH(390,tk_DSEQ,0)),"")</f>
        <v/>
      </c>
      <c r="C395" s="162">
        <f>IFERROR(INDEX(tk_ROOMF,MATCH(390,tk_DSEQ,0))&amp;IF(INDEX(tk_ROOMT,MATCH(390,tk_DSEQ,0))="",""," → "&amp;INDEX(tk_ROOMT,MATCH(390,tk_DSEQ,0))),"")</f>
        <v/>
      </c>
      <c r="D395" s="162">
        <f>IFERROR(INDEX(tk_LEAVES,MATCH(390,tk_DSEQ,0)),"")</f>
        <v/>
      </c>
      <c r="E395" s="162">
        <f>IFERROR(""&amp;INDEX(tk_RATING,MATCH(390,tk_DSEQ,0)),"")</f>
        <v/>
      </c>
      <c r="F395" s="162">
        <f>IFERROR(TEXT(INDEX(tk_LEAFW,MATCH(390,tk_DSEQ,0)),"0.000")&amp;" x "&amp;TEXT(INDEX(tk_LEAFH,MATCH(390,tk_DSEQ,0)),"0.000"),"")</f>
        <v/>
      </c>
      <c r="G395" s="181">
        <f>IFERROR(""&amp;INDEX(tk_DLINE,MATCH(390,tk_DSEQ,0)),"")</f>
        <v/>
      </c>
      <c r="H395" s="181">
        <f>IFERROR(""&amp;INDEX(tk_LOCTXTD,MATCH(390,tk_DSEQ,0)),"")</f>
        <v/>
      </c>
      <c r="I395" s="162">
        <f>IFERROR(""&amp;INDEX(tk_DNOTES,MATCH(390,tk_DSEQ,0)),"")</f>
        <v/>
      </c>
    </row>
    <row r="396">
      <c r="A396" s="161">
        <f>IFERROR(""&amp;INDEX(tk_MARK,MATCH(391,tk_DSEQ,0)),"")</f>
        <v/>
      </c>
      <c r="B396" s="162">
        <f>IFERROR(INDEX(tk_QTY,MATCH(391,tk_DSEQ,0)),"")</f>
        <v/>
      </c>
      <c r="C396" s="162">
        <f>IFERROR(INDEX(tk_ROOMF,MATCH(391,tk_DSEQ,0))&amp;IF(INDEX(tk_ROOMT,MATCH(391,tk_DSEQ,0))="",""," → "&amp;INDEX(tk_ROOMT,MATCH(391,tk_DSEQ,0))),"")</f>
        <v/>
      </c>
      <c r="D396" s="162">
        <f>IFERROR(INDEX(tk_LEAVES,MATCH(391,tk_DSEQ,0)),"")</f>
        <v/>
      </c>
      <c r="E396" s="162">
        <f>IFERROR(""&amp;INDEX(tk_RATING,MATCH(391,tk_DSEQ,0)),"")</f>
        <v/>
      </c>
      <c r="F396" s="162">
        <f>IFERROR(TEXT(INDEX(tk_LEAFW,MATCH(391,tk_DSEQ,0)),"0.000")&amp;" x "&amp;TEXT(INDEX(tk_LEAFH,MATCH(391,tk_DSEQ,0)),"0.000"),"")</f>
        <v/>
      </c>
      <c r="G396" s="181">
        <f>IFERROR(""&amp;INDEX(tk_DLINE,MATCH(391,tk_DSEQ,0)),"")</f>
        <v/>
      </c>
      <c r="H396" s="181">
        <f>IFERROR(""&amp;INDEX(tk_LOCTXTD,MATCH(391,tk_DSEQ,0)),"")</f>
        <v/>
      </c>
      <c r="I396" s="162">
        <f>IFERROR(""&amp;INDEX(tk_DNOTES,MATCH(391,tk_DSEQ,0)),"")</f>
        <v/>
      </c>
    </row>
    <row r="397">
      <c r="A397" s="161">
        <f>IFERROR(""&amp;INDEX(tk_MARK,MATCH(392,tk_DSEQ,0)),"")</f>
        <v/>
      </c>
      <c r="B397" s="162">
        <f>IFERROR(INDEX(tk_QTY,MATCH(392,tk_DSEQ,0)),"")</f>
        <v/>
      </c>
      <c r="C397" s="162">
        <f>IFERROR(INDEX(tk_ROOMF,MATCH(392,tk_DSEQ,0))&amp;IF(INDEX(tk_ROOMT,MATCH(392,tk_DSEQ,0))="",""," → "&amp;INDEX(tk_ROOMT,MATCH(392,tk_DSEQ,0))),"")</f>
        <v/>
      </c>
      <c r="D397" s="162">
        <f>IFERROR(INDEX(tk_LEAVES,MATCH(392,tk_DSEQ,0)),"")</f>
        <v/>
      </c>
      <c r="E397" s="162">
        <f>IFERROR(""&amp;INDEX(tk_RATING,MATCH(392,tk_DSEQ,0)),"")</f>
        <v/>
      </c>
      <c r="F397" s="162">
        <f>IFERROR(TEXT(INDEX(tk_LEAFW,MATCH(392,tk_DSEQ,0)),"0.000")&amp;" x "&amp;TEXT(INDEX(tk_LEAFH,MATCH(392,tk_DSEQ,0)),"0.000"),"")</f>
        <v/>
      </c>
      <c r="G397" s="181">
        <f>IFERROR(""&amp;INDEX(tk_DLINE,MATCH(392,tk_DSEQ,0)),"")</f>
        <v/>
      </c>
      <c r="H397" s="181">
        <f>IFERROR(""&amp;INDEX(tk_LOCTXTD,MATCH(392,tk_DSEQ,0)),"")</f>
        <v/>
      </c>
      <c r="I397" s="162">
        <f>IFERROR(""&amp;INDEX(tk_DNOTES,MATCH(392,tk_DSEQ,0)),"")</f>
        <v/>
      </c>
    </row>
    <row r="398">
      <c r="A398" s="161">
        <f>IFERROR(""&amp;INDEX(tk_MARK,MATCH(393,tk_DSEQ,0)),"")</f>
        <v/>
      </c>
      <c r="B398" s="162">
        <f>IFERROR(INDEX(tk_QTY,MATCH(393,tk_DSEQ,0)),"")</f>
        <v/>
      </c>
      <c r="C398" s="162">
        <f>IFERROR(INDEX(tk_ROOMF,MATCH(393,tk_DSEQ,0))&amp;IF(INDEX(tk_ROOMT,MATCH(393,tk_DSEQ,0))="",""," → "&amp;INDEX(tk_ROOMT,MATCH(393,tk_DSEQ,0))),"")</f>
        <v/>
      </c>
      <c r="D398" s="162">
        <f>IFERROR(INDEX(tk_LEAVES,MATCH(393,tk_DSEQ,0)),"")</f>
        <v/>
      </c>
      <c r="E398" s="162">
        <f>IFERROR(""&amp;INDEX(tk_RATING,MATCH(393,tk_DSEQ,0)),"")</f>
        <v/>
      </c>
      <c r="F398" s="162">
        <f>IFERROR(TEXT(INDEX(tk_LEAFW,MATCH(393,tk_DSEQ,0)),"0.000")&amp;" x "&amp;TEXT(INDEX(tk_LEAFH,MATCH(393,tk_DSEQ,0)),"0.000"),"")</f>
        <v/>
      </c>
      <c r="G398" s="181">
        <f>IFERROR(""&amp;INDEX(tk_DLINE,MATCH(393,tk_DSEQ,0)),"")</f>
        <v/>
      </c>
      <c r="H398" s="181">
        <f>IFERROR(""&amp;INDEX(tk_LOCTXTD,MATCH(393,tk_DSEQ,0)),"")</f>
        <v/>
      </c>
      <c r="I398" s="162">
        <f>IFERROR(""&amp;INDEX(tk_DNOTES,MATCH(393,tk_DSEQ,0)),"")</f>
        <v/>
      </c>
    </row>
    <row r="399">
      <c r="A399" s="161">
        <f>IFERROR(""&amp;INDEX(tk_MARK,MATCH(394,tk_DSEQ,0)),"")</f>
        <v/>
      </c>
      <c r="B399" s="162">
        <f>IFERROR(INDEX(tk_QTY,MATCH(394,tk_DSEQ,0)),"")</f>
        <v/>
      </c>
      <c r="C399" s="162">
        <f>IFERROR(INDEX(tk_ROOMF,MATCH(394,tk_DSEQ,0))&amp;IF(INDEX(tk_ROOMT,MATCH(394,tk_DSEQ,0))="",""," → "&amp;INDEX(tk_ROOMT,MATCH(394,tk_DSEQ,0))),"")</f>
        <v/>
      </c>
      <c r="D399" s="162">
        <f>IFERROR(INDEX(tk_LEAVES,MATCH(394,tk_DSEQ,0)),"")</f>
        <v/>
      </c>
      <c r="E399" s="162">
        <f>IFERROR(""&amp;INDEX(tk_RATING,MATCH(394,tk_DSEQ,0)),"")</f>
        <v/>
      </c>
      <c r="F399" s="162">
        <f>IFERROR(TEXT(INDEX(tk_LEAFW,MATCH(394,tk_DSEQ,0)),"0.000")&amp;" x "&amp;TEXT(INDEX(tk_LEAFH,MATCH(394,tk_DSEQ,0)),"0.000"),"")</f>
        <v/>
      </c>
      <c r="G399" s="181">
        <f>IFERROR(""&amp;INDEX(tk_DLINE,MATCH(394,tk_DSEQ,0)),"")</f>
        <v/>
      </c>
      <c r="H399" s="181">
        <f>IFERROR(""&amp;INDEX(tk_LOCTXTD,MATCH(394,tk_DSEQ,0)),"")</f>
        <v/>
      </c>
      <c r="I399" s="162">
        <f>IFERROR(""&amp;INDEX(tk_DNOTES,MATCH(394,tk_DSEQ,0)),"")</f>
        <v/>
      </c>
    </row>
    <row r="400">
      <c r="A400" s="161">
        <f>IFERROR(""&amp;INDEX(tk_MARK,MATCH(395,tk_DSEQ,0)),"")</f>
        <v/>
      </c>
      <c r="B400" s="162">
        <f>IFERROR(INDEX(tk_QTY,MATCH(395,tk_DSEQ,0)),"")</f>
        <v/>
      </c>
      <c r="C400" s="162">
        <f>IFERROR(INDEX(tk_ROOMF,MATCH(395,tk_DSEQ,0))&amp;IF(INDEX(tk_ROOMT,MATCH(395,tk_DSEQ,0))="",""," → "&amp;INDEX(tk_ROOMT,MATCH(395,tk_DSEQ,0))),"")</f>
        <v/>
      </c>
      <c r="D400" s="162">
        <f>IFERROR(INDEX(tk_LEAVES,MATCH(395,tk_DSEQ,0)),"")</f>
        <v/>
      </c>
      <c r="E400" s="162">
        <f>IFERROR(""&amp;INDEX(tk_RATING,MATCH(395,tk_DSEQ,0)),"")</f>
        <v/>
      </c>
      <c r="F400" s="162">
        <f>IFERROR(TEXT(INDEX(tk_LEAFW,MATCH(395,tk_DSEQ,0)),"0.000")&amp;" x "&amp;TEXT(INDEX(tk_LEAFH,MATCH(395,tk_DSEQ,0)),"0.000"),"")</f>
        <v/>
      </c>
      <c r="G400" s="181">
        <f>IFERROR(""&amp;INDEX(tk_DLINE,MATCH(395,tk_DSEQ,0)),"")</f>
        <v/>
      </c>
      <c r="H400" s="181">
        <f>IFERROR(""&amp;INDEX(tk_LOCTXTD,MATCH(395,tk_DSEQ,0)),"")</f>
        <v/>
      </c>
      <c r="I400" s="162">
        <f>IFERROR(""&amp;INDEX(tk_DNOTES,MATCH(395,tk_DSEQ,0)),"")</f>
        <v/>
      </c>
    </row>
    <row r="401">
      <c r="A401" s="161">
        <f>IFERROR(""&amp;INDEX(tk_MARK,MATCH(396,tk_DSEQ,0)),"")</f>
        <v/>
      </c>
      <c r="B401" s="162">
        <f>IFERROR(INDEX(tk_QTY,MATCH(396,tk_DSEQ,0)),"")</f>
        <v/>
      </c>
      <c r="C401" s="162">
        <f>IFERROR(INDEX(tk_ROOMF,MATCH(396,tk_DSEQ,0))&amp;IF(INDEX(tk_ROOMT,MATCH(396,tk_DSEQ,0))="",""," → "&amp;INDEX(tk_ROOMT,MATCH(396,tk_DSEQ,0))),"")</f>
        <v/>
      </c>
      <c r="D401" s="162">
        <f>IFERROR(INDEX(tk_LEAVES,MATCH(396,tk_DSEQ,0)),"")</f>
        <v/>
      </c>
      <c r="E401" s="162">
        <f>IFERROR(""&amp;INDEX(tk_RATING,MATCH(396,tk_DSEQ,0)),"")</f>
        <v/>
      </c>
      <c r="F401" s="162">
        <f>IFERROR(TEXT(INDEX(tk_LEAFW,MATCH(396,tk_DSEQ,0)),"0.000")&amp;" x "&amp;TEXT(INDEX(tk_LEAFH,MATCH(396,tk_DSEQ,0)),"0.000"),"")</f>
        <v/>
      </c>
      <c r="G401" s="181">
        <f>IFERROR(""&amp;INDEX(tk_DLINE,MATCH(396,tk_DSEQ,0)),"")</f>
        <v/>
      </c>
      <c r="H401" s="181">
        <f>IFERROR(""&amp;INDEX(tk_LOCTXTD,MATCH(396,tk_DSEQ,0)),"")</f>
        <v/>
      </c>
      <c r="I401" s="162">
        <f>IFERROR(""&amp;INDEX(tk_DNOTES,MATCH(396,tk_DSEQ,0)),"")</f>
        <v/>
      </c>
    </row>
    <row r="402">
      <c r="A402" s="161">
        <f>IFERROR(""&amp;INDEX(tk_MARK,MATCH(397,tk_DSEQ,0)),"")</f>
        <v/>
      </c>
      <c r="B402" s="162">
        <f>IFERROR(INDEX(tk_QTY,MATCH(397,tk_DSEQ,0)),"")</f>
        <v/>
      </c>
      <c r="C402" s="162">
        <f>IFERROR(INDEX(tk_ROOMF,MATCH(397,tk_DSEQ,0))&amp;IF(INDEX(tk_ROOMT,MATCH(397,tk_DSEQ,0))="",""," → "&amp;INDEX(tk_ROOMT,MATCH(397,tk_DSEQ,0))),"")</f>
        <v/>
      </c>
      <c r="D402" s="162">
        <f>IFERROR(INDEX(tk_LEAVES,MATCH(397,tk_DSEQ,0)),"")</f>
        <v/>
      </c>
      <c r="E402" s="162">
        <f>IFERROR(""&amp;INDEX(tk_RATING,MATCH(397,tk_DSEQ,0)),"")</f>
        <v/>
      </c>
      <c r="F402" s="162">
        <f>IFERROR(TEXT(INDEX(tk_LEAFW,MATCH(397,tk_DSEQ,0)),"0.000")&amp;" x "&amp;TEXT(INDEX(tk_LEAFH,MATCH(397,tk_DSEQ,0)),"0.000"),"")</f>
        <v/>
      </c>
      <c r="G402" s="181">
        <f>IFERROR(""&amp;INDEX(tk_DLINE,MATCH(397,tk_DSEQ,0)),"")</f>
        <v/>
      </c>
      <c r="H402" s="181">
        <f>IFERROR(""&amp;INDEX(tk_LOCTXTD,MATCH(397,tk_DSEQ,0)),"")</f>
        <v/>
      </c>
      <c r="I402" s="162">
        <f>IFERROR(""&amp;INDEX(tk_DNOTES,MATCH(397,tk_DSEQ,0)),"")</f>
        <v/>
      </c>
    </row>
    <row r="403">
      <c r="A403" s="161">
        <f>IFERROR(""&amp;INDEX(tk_MARK,MATCH(398,tk_DSEQ,0)),"")</f>
        <v/>
      </c>
      <c r="B403" s="162">
        <f>IFERROR(INDEX(tk_QTY,MATCH(398,tk_DSEQ,0)),"")</f>
        <v/>
      </c>
      <c r="C403" s="162">
        <f>IFERROR(INDEX(tk_ROOMF,MATCH(398,tk_DSEQ,0))&amp;IF(INDEX(tk_ROOMT,MATCH(398,tk_DSEQ,0))="",""," → "&amp;INDEX(tk_ROOMT,MATCH(398,tk_DSEQ,0))),"")</f>
        <v/>
      </c>
      <c r="D403" s="162">
        <f>IFERROR(INDEX(tk_LEAVES,MATCH(398,tk_DSEQ,0)),"")</f>
        <v/>
      </c>
      <c r="E403" s="162">
        <f>IFERROR(""&amp;INDEX(tk_RATING,MATCH(398,tk_DSEQ,0)),"")</f>
        <v/>
      </c>
      <c r="F403" s="162">
        <f>IFERROR(TEXT(INDEX(tk_LEAFW,MATCH(398,tk_DSEQ,0)),"0.000")&amp;" x "&amp;TEXT(INDEX(tk_LEAFH,MATCH(398,tk_DSEQ,0)),"0.000"),"")</f>
        <v/>
      </c>
      <c r="G403" s="181">
        <f>IFERROR(""&amp;INDEX(tk_DLINE,MATCH(398,tk_DSEQ,0)),"")</f>
        <v/>
      </c>
      <c r="H403" s="181">
        <f>IFERROR(""&amp;INDEX(tk_LOCTXTD,MATCH(398,tk_DSEQ,0)),"")</f>
        <v/>
      </c>
      <c r="I403" s="162">
        <f>IFERROR(""&amp;INDEX(tk_DNOTES,MATCH(398,tk_DSEQ,0)),"")</f>
        <v/>
      </c>
    </row>
    <row r="404">
      <c r="A404" s="161">
        <f>IFERROR(""&amp;INDEX(tk_MARK,MATCH(399,tk_DSEQ,0)),"")</f>
        <v/>
      </c>
      <c r="B404" s="162">
        <f>IFERROR(INDEX(tk_QTY,MATCH(399,tk_DSEQ,0)),"")</f>
        <v/>
      </c>
      <c r="C404" s="162">
        <f>IFERROR(INDEX(tk_ROOMF,MATCH(399,tk_DSEQ,0))&amp;IF(INDEX(tk_ROOMT,MATCH(399,tk_DSEQ,0))="",""," → "&amp;INDEX(tk_ROOMT,MATCH(399,tk_DSEQ,0))),"")</f>
        <v/>
      </c>
      <c r="D404" s="162">
        <f>IFERROR(INDEX(tk_LEAVES,MATCH(399,tk_DSEQ,0)),"")</f>
        <v/>
      </c>
      <c r="E404" s="162">
        <f>IFERROR(""&amp;INDEX(tk_RATING,MATCH(399,tk_DSEQ,0)),"")</f>
        <v/>
      </c>
      <c r="F404" s="162">
        <f>IFERROR(TEXT(INDEX(tk_LEAFW,MATCH(399,tk_DSEQ,0)),"0.000")&amp;" x "&amp;TEXT(INDEX(tk_LEAFH,MATCH(399,tk_DSEQ,0)),"0.000"),"")</f>
        <v/>
      </c>
      <c r="G404" s="181">
        <f>IFERROR(""&amp;INDEX(tk_DLINE,MATCH(399,tk_DSEQ,0)),"")</f>
        <v/>
      </c>
      <c r="H404" s="181">
        <f>IFERROR(""&amp;INDEX(tk_LOCTXTD,MATCH(399,tk_DSEQ,0)),"")</f>
        <v/>
      </c>
      <c r="I404" s="162">
        <f>IFERROR(""&amp;INDEX(tk_DNOTES,MATCH(399,tk_DSEQ,0)),"")</f>
        <v/>
      </c>
    </row>
    <row r="405">
      <c r="A405" s="161">
        <f>IFERROR(""&amp;INDEX(tk_MARK,MATCH(400,tk_DSEQ,0)),"")</f>
        <v/>
      </c>
      <c r="B405" s="162">
        <f>IFERROR(INDEX(tk_QTY,MATCH(400,tk_DSEQ,0)),"")</f>
        <v/>
      </c>
      <c r="C405" s="162">
        <f>IFERROR(INDEX(tk_ROOMF,MATCH(400,tk_DSEQ,0))&amp;IF(INDEX(tk_ROOMT,MATCH(400,tk_DSEQ,0))="",""," → "&amp;INDEX(tk_ROOMT,MATCH(400,tk_DSEQ,0))),"")</f>
        <v/>
      </c>
      <c r="D405" s="162">
        <f>IFERROR(INDEX(tk_LEAVES,MATCH(400,tk_DSEQ,0)),"")</f>
        <v/>
      </c>
      <c r="E405" s="162">
        <f>IFERROR(""&amp;INDEX(tk_RATING,MATCH(400,tk_DSEQ,0)),"")</f>
        <v/>
      </c>
      <c r="F405" s="162">
        <f>IFERROR(TEXT(INDEX(tk_LEAFW,MATCH(400,tk_DSEQ,0)),"0.000")&amp;" x "&amp;TEXT(INDEX(tk_LEAFH,MATCH(400,tk_DSEQ,0)),"0.000"),"")</f>
        <v/>
      </c>
      <c r="G405" s="181">
        <f>IFERROR(""&amp;INDEX(tk_DLINE,MATCH(400,tk_DSEQ,0)),"")</f>
        <v/>
      </c>
      <c r="H405" s="181">
        <f>IFERROR(""&amp;INDEX(tk_LOCTXTD,MATCH(400,tk_DSEQ,0)),"")</f>
        <v/>
      </c>
      <c r="I405" s="162">
        <f>IFERROR(""&amp;INDEX(tk_DNOTES,MATCH(400,tk_DSEQ,0)),"")</f>
        <v/>
      </c>
    </row>
    <row r="406">
      <c r="A406" s="161">
        <f>IFERROR(""&amp;INDEX(tk_MARK,MATCH(401,tk_DSEQ,0)),"")</f>
        <v/>
      </c>
      <c r="B406" s="162">
        <f>IFERROR(INDEX(tk_QTY,MATCH(401,tk_DSEQ,0)),"")</f>
        <v/>
      </c>
      <c r="C406" s="162">
        <f>IFERROR(INDEX(tk_ROOMF,MATCH(401,tk_DSEQ,0))&amp;IF(INDEX(tk_ROOMT,MATCH(401,tk_DSEQ,0))="",""," → "&amp;INDEX(tk_ROOMT,MATCH(401,tk_DSEQ,0))),"")</f>
        <v/>
      </c>
      <c r="D406" s="162">
        <f>IFERROR(INDEX(tk_LEAVES,MATCH(401,tk_DSEQ,0)),"")</f>
        <v/>
      </c>
      <c r="E406" s="162">
        <f>IFERROR(""&amp;INDEX(tk_RATING,MATCH(401,tk_DSEQ,0)),"")</f>
        <v/>
      </c>
      <c r="F406" s="162">
        <f>IFERROR(TEXT(INDEX(tk_LEAFW,MATCH(401,tk_DSEQ,0)),"0.000")&amp;" x "&amp;TEXT(INDEX(tk_LEAFH,MATCH(401,tk_DSEQ,0)),"0.000"),"")</f>
        <v/>
      </c>
      <c r="G406" s="181">
        <f>IFERROR(""&amp;INDEX(tk_DLINE,MATCH(401,tk_DSEQ,0)),"")</f>
        <v/>
      </c>
      <c r="H406" s="181">
        <f>IFERROR(""&amp;INDEX(tk_LOCTXTD,MATCH(401,tk_DSEQ,0)),"")</f>
        <v/>
      </c>
      <c r="I406" s="162">
        <f>IFERROR(""&amp;INDEX(tk_DNOTES,MATCH(401,tk_DSEQ,0)),"")</f>
        <v/>
      </c>
    </row>
    <row r="407">
      <c r="A407" s="161">
        <f>IFERROR(""&amp;INDEX(tk_MARK,MATCH(402,tk_DSEQ,0)),"")</f>
        <v/>
      </c>
      <c r="B407" s="162">
        <f>IFERROR(INDEX(tk_QTY,MATCH(402,tk_DSEQ,0)),"")</f>
        <v/>
      </c>
      <c r="C407" s="162">
        <f>IFERROR(INDEX(tk_ROOMF,MATCH(402,tk_DSEQ,0))&amp;IF(INDEX(tk_ROOMT,MATCH(402,tk_DSEQ,0))="",""," → "&amp;INDEX(tk_ROOMT,MATCH(402,tk_DSEQ,0))),"")</f>
        <v/>
      </c>
      <c r="D407" s="162">
        <f>IFERROR(INDEX(tk_LEAVES,MATCH(402,tk_DSEQ,0)),"")</f>
        <v/>
      </c>
      <c r="E407" s="162">
        <f>IFERROR(""&amp;INDEX(tk_RATING,MATCH(402,tk_DSEQ,0)),"")</f>
        <v/>
      </c>
      <c r="F407" s="162">
        <f>IFERROR(TEXT(INDEX(tk_LEAFW,MATCH(402,tk_DSEQ,0)),"0.000")&amp;" x "&amp;TEXT(INDEX(tk_LEAFH,MATCH(402,tk_DSEQ,0)),"0.000"),"")</f>
        <v/>
      </c>
      <c r="G407" s="181">
        <f>IFERROR(""&amp;INDEX(tk_DLINE,MATCH(402,tk_DSEQ,0)),"")</f>
        <v/>
      </c>
      <c r="H407" s="181">
        <f>IFERROR(""&amp;INDEX(tk_LOCTXTD,MATCH(402,tk_DSEQ,0)),"")</f>
        <v/>
      </c>
      <c r="I407" s="162">
        <f>IFERROR(""&amp;INDEX(tk_DNOTES,MATCH(402,tk_DSEQ,0)),"")</f>
        <v/>
      </c>
    </row>
    <row r="408">
      <c r="A408" s="161">
        <f>IFERROR(""&amp;INDEX(tk_MARK,MATCH(403,tk_DSEQ,0)),"")</f>
        <v/>
      </c>
      <c r="B408" s="162">
        <f>IFERROR(INDEX(tk_QTY,MATCH(403,tk_DSEQ,0)),"")</f>
        <v/>
      </c>
      <c r="C408" s="162">
        <f>IFERROR(INDEX(tk_ROOMF,MATCH(403,tk_DSEQ,0))&amp;IF(INDEX(tk_ROOMT,MATCH(403,tk_DSEQ,0))="",""," → "&amp;INDEX(tk_ROOMT,MATCH(403,tk_DSEQ,0))),"")</f>
        <v/>
      </c>
      <c r="D408" s="162">
        <f>IFERROR(INDEX(tk_LEAVES,MATCH(403,tk_DSEQ,0)),"")</f>
        <v/>
      </c>
      <c r="E408" s="162">
        <f>IFERROR(""&amp;INDEX(tk_RATING,MATCH(403,tk_DSEQ,0)),"")</f>
        <v/>
      </c>
      <c r="F408" s="162">
        <f>IFERROR(TEXT(INDEX(tk_LEAFW,MATCH(403,tk_DSEQ,0)),"0.000")&amp;" x "&amp;TEXT(INDEX(tk_LEAFH,MATCH(403,tk_DSEQ,0)),"0.000"),"")</f>
        <v/>
      </c>
      <c r="G408" s="181">
        <f>IFERROR(""&amp;INDEX(tk_DLINE,MATCH(403,tk_DSEQ,0)),"")</f>
        <v/>
      </c>
      <c r="H408" s="181">
        <f>IFERROR(""&amp;INDEX(tk_LOCTXTD,MATCH(403,tk_DSEQ,0)),"")</f>
        <v/>
      </c>
      <c r="I408" s="162">
        <f>IFERROR(""&amp;INDEX(tk_DNOTES,MATCH(403,tk_DSEQ,0)),"")</f>
        <v/>
      </c>
    </row>
    <row r="409">
      <c r="A409" s="161">
        <f>IFERROR(""&amp;INDEX(tk_MARK,MATCH(404,tk_DSEQ,0)),"")</f>
        <v/>
      </c>
      <c r="B409" s="162">
        <f>IFERROR(INDEX(tk_QTY,MATCH(404,tk_DSEQ,0)),"")</f>
        <v/>
      </c>
      <c r="C409" s="162">
        <f>IFERROR(INDEX(tk_ROOMF,MATCH(404,tk_DSEQ,0))&amp;IF(INDEX(tk_ROOMT,MATCH(404,tk_DSEQ,0))="",""," → "&amp;INDEX(tk_ROOMT,MATCH(404,tk_DSEQ,0))),"")</f>
        <v/>
      </c>
      <c r="D409" s="162">
        <f>IFERROR(INDEX(tk_LEAVES,MATCH(404,tk_DSEQ,0)),"")</f>
        <v/>
      </c>
      <c r="E409" s="162">
        <f>IFERROR(""&amp;INDEX(tk_RATING,MATCH(404,tk_DSEQ,0)),"")</f>
        <v/>
      </c>
      <c r="F409" s="162">
        <f>IFERROR(TEXT(INDEX(tk_LEAFW,MATCH(404,tk_DSEQ,0)),"0.000")&amp;" x "&amp;TEXT(INDEX(tk_LEAFH,MATCH(404,tk_DSEQ,0)),"0.000"),"")</f>
        <v/>
      </c>
      <c r="G409" s="181">
        <f>IFERROR(""&amp;INDEX(tk_DLINE,MATCH(404,tk_DSEQ,0)),"")</f>
        <v/>
      </c>
      <c r="H409" s="181">
        <f>IFERROR(""&amp;INDEX(tk_LOCTXTD,MATCH(404,tk_DSEQ,0)),"")</f>
        <v/>
      </c>
      <c r="I409" s="162">
        <f>IFERROR(""&amp;INDEX(tk_DNOTES,MATCH(404,tk_DSEQ,0)),"")</f>
        <v/>
      </c>
    </row>
    <row r="410">
      <c r="A410" s="161">
        <f>IFERROR(""&amp;INDEX(tk_MARK,MATCH(405,tk_DSEQ,0)),"")</f>
        <v/>
      </c>
      <c r="B410" s="162">
        <f>IFERROR(INDEX(tk_QTY,MATCH(405,tk_DSEQ,0)),"")</f>
        <v/>
      </c>
      <c r="C410" s="162">
        <f>IFERROR(INDEX(tk_ROOMF,MATCH(405,tk_DSEQ,0))&amp;IF(INDEX(tk_ROOMT,MATCH(405,tk_DSEQ,0))="",""," → "&amp;INDEX(tk_ROOMT,MATCH(405,tk_DSEQ,0))),"")</f>
        <v/>
      </c>
      <c r="D410" s="162">
        <f>IFERROR(INDEX(tk_LEAVES,MATCH(405,tk_DSEQ,0)),"")</f>
        <v/>
      </c>
      <c r="E410" s="162">
        <f>IFERROR(""&amp;INDEX(tk_RATING,MATCH(405,tk_DSEQ,0)),"")</f>
        <v/>
      </c>
      <c r="F410" s="162">
        <f>IFERROR(TEXT(INDEX(tk_LEAFW,MATCH(405,tk_DSEQ,0)),"0.000")&amp;" x "&amp;TEXT(INDEX(tk_LEAFH,MATCH(405,tk_DSEQ,0)),"0.000"),"")</f>
        <v/>
      </c>
      <c r="G410" s="181">
        <f>IFERROR(""&amp;INDEX(tk_DLINE,MATCH(405,tk_DSEQ,0)),"")</f>
        <v/>
      </c>
      <c r="H410" s="181">
        <f>IFERROR(""&amp;INDEX(tk_LOCTXTD,MATCH(405,tk_DSEQ,0)),"")</f>
        <v/>
      </c>
      <c r="I410" s="162">
        <f>IFERROR(""&amp;INDEX(tk_DNOTES,MATCH(405,tk_DSEQ,0)),"")</f>
        <v/>
      </c>
    </row>
    <row r="411">
      <c r="A411" s="161">
        <f>IFERROR(""&amp;INDEX(tk_MARK,MATCH(406,tk_DSEQ,0)),"")</f>
        <v/>
      </c>
      <c r="B411" s="162">
        <f>IFERROR(INDEX(tk_QTY,MATCH(406,tk_DSEQ,0)),"")</f>
        <v/>
      </c>
      <c r="C411" s="162">
        <f>IFERROR(INDEX(tk_ROOMF,MATCH(406,tk_DSEQ,0))&amp;IF(INDEX(tk_ROOMT,MATCH(406,tk_DSEQ,0))="",""," → "&amp;INDEX(tk_ROOMT,MATCH(406,tk_DSEQ,0))),"")</f>
        <v/>
      </c>
      <c r="D411" s="162">
        <f>IFERROR(INDEX(tk_LEAVES,MATCH(406,tk_DSEQ,0)),"")</f>
        <v/>
      </c>
      <c r="E411" s="162">
        <f>IFERROR(""&amp;INDEX(tk_RATING,MATCH(406,tk_DSEQ,0)),"")</f>
        <v/>
      </c>
      <c r="F411" s="162">
        <f>IFERROR(TEXT(INDEX(tk_LEAFW,MATCH(406,tk_DSEQ,0)),"0.000")&amp;" x "&amp;TEXT(INDEX(tk_LEAFH,MATCH(406,tk_DSEQ,0)),"0.000"),"")</f>
        <v/>
      </c>
      <c r="G411" s="181">
        <f>IFERROR(""&amp;INDEX(tk_DLINE,MATCH(406,tk_DSEQ,0)),"")</f>
        <v/>
      </c>
      <c r="H411" s="181">
        <f>IFERROR(""&amp;INDEX(tk_LOCTXTD,MATCH(406,tk_DSEQ,0)),"")</f>
        <v/>
      </c>
      <c r="I411" s="162">
        <f>IFERROR(""&amp;INDEX(tk_DNOTES,MATCH(406,tk_DSEQ,0)),"")</f>
        <v/>
      </c>
    </row>
    <row r="412">
      <c r="A412" s="161">
        <f>IFERROR(""&amp;INDEX(tk_MARK,MATCH(407,tk_DSEQ,0)),"")</f>
        <v/>
      </c>
      <c r="B412" s="162">
        <f>IFERROR(INDEX(tk_QTY,MATCH(407,tk_DSEQ,0)),"")</f>
        <v/>
      </c>
      <c r="C412" s="162">
        <f>IFERROR(INDEX(tk_ROOMF,MATCH(407,tk_DSEQ,0))&amp;IF(INDEX(tk_ROOMT,MATCH(407,tk_DSEQ,0))="",""," → "&amp;INDEX(tk_ROOMT,MATCH(407,tk_DSEQ,0))),"")</f>
        <v/>
      </c>
      <c r="D412" s="162">
        <f>IFERROR(INDEX(tk_LEAVES,MATCH(407,tk_DSEQ,0)),"")</f>
        <v/>
      </c>
      <c r="E412" s="162">
        <f>IFERROR(""&amp;INDEX(tk_RATING,MATCH(407,tk_DSEQ,0)),"")</f>
        <v/>
      </c>
      <c r="F412" s="162">
        <f>IFERROR(TEXT(INDEX(tk_LEAFW,MATCH(407,tk_DSEQ,0)),"0.000")&amp;" x "&amp;TEXT(INDEX(tk_LEAFH,MATCH(407,tk_DSEQ,0)),"0.000"),"")</f>
        <v/>
      </c>
      <c r="G412" s="181">
        <f>IFERROR(""&amp;INDEX(tk_DLINE,MATCH(407,tk_DSEQ,0)),"")</f>
        <v/>
      </c>
      <c r="H412" s="181">
        <f>IFERROR(""&amp;INDEX(tk_LOCTXTD,MATCH(407,tk_DSEQ,0)),"")</f>
        <v/>
      </c>
      <c r="I412" s="162">
        <f>IFERROR(""&amp;INDEX(tk_DNOTES,MATCH(407,tk_DSEQ,0)),"")</f>
        <v/>
      </c>
    </row>
    <row r="413">
      <c r="A413" s="161">
        <f>IFERROR(""&amp;INDEX(tk_MARK,MATCH(408,tk_DSEQ,0)),"")</f>
        <v/>
      </c>
      <c r="B413" s="162">
        <f>IFERROR(INDEX(tk_QTY,MATCH(408,tk_DSEQ,0)),"")</f>
        <v/>
      </c>
      <c r="C413" s="162">
        <f>IFERROR(INDEX(tk_ROOMF,MATCH(408,tk_DSEQ,0))&amp;IF(INDEX(tk_ROOMT,MATCH(408,tk_DSEQ,0))="",""," → "&amp;INDEX(tk_ROOMT,MATCH(408,tk_DSEQ,0))),"")</f>
        <v/>
      </c>
      <c r="D413" s="162">
        <f>IFERROR(INDEX(tk_LEAVES,MATCH(408,tk_DSEQ,0)),"")</f>
        <v/>
      </c>
      <c r="E413" s="162">
        <f>IFERROR(""&amp;INDEX(tk_RATING,MATCH(408,tk_DSEQ,0)),"")</f>
        <v/>
      </c>
      <c r="F413" s="162">
        <f>IFERROR(TEXT(INDEX(tk_LEAFW,MATCH(408,tk_DSEQ,0)),"0.000")&amp;" x "&amp;TEXT(INDEX(tk_LEAFH,MATCH(408,tk_DSEQ,0)),"0.000"),"")</f>
        <v/>
      </c>
      <c r="G413" s="181">
        <f>IFERROR(""&amp;INDEX(tk_DLINE,MATCH(408,tk_DSEQ,0)),"")</f>
        <v/>
      </c>
      <c r="H413" s="181">
        <f>IFERROR(""&amp;INDEX(tk_LOCTXTD,MATCH(408,tk_DSEQ,0)),"")</f>
        <v/>
      </c>
      <c r="I413" s="162">
        <f>IFERROR(""&amp;INDEX(tk_DNOTES,MATCH(408,tk_DSEQ,0)),"")</f>
        <v/>
      </c>
    </row>
    <row r="414">
      <c r="A414" s="161">
        <f>IFERROR(""&amp;INDEX(tk_MARK,MATCH(409,tk_DSEQ,0)),"")</f>
        <v/>
      </c>
      <c r="B414" s="162">
        <f>IFERROR(INDEX(tk_QTY,MATCH(409,tk_DSEQ,0)),"")</f>
        <v/>
      </c>
      <c r="C414" s="162">
        <f>IFERROR(INDEX(tk_ROOMF,MATCH(409,tk_DSEQ,0))&amp;IF(INDEX(tk_ROOMT,MATCH(409,tk_DSEQ,0))="",""," → "&amp;INDEX(tk_ROOMT,MATCH(409,tk_DSEQ,0))),"")</f>
        <v/>
      </c>
      <c r="D414" s="162">
        <f>IFERROR(INDEX(tk_LEAVES,MATCH(409,tk_DSEQ,0)),"")</f>
        <v/>
      </c>
      <c r="E414" s="162">
        <f>IFERROR(""&amp;INDEX(tk_RATING,MATCH(409,tk_DSEQ,0)),"")</f>
        <v/>
      </c>
      <c r="F414" s="162">
        <f>IFERROR(TEXT(INDEX(tk_LEAFW,MATCH(409,tk_DSEQ,0)),"0.000")&amp;" x "&amp;TEXT(INDEX(tk_LEAFH,MATCH(409,tk_DSEQ,0)),"0.000"),"")</f>
        <v/>
      </c>
      <c r="G414" s="181">
        <f>IFERROR(""&amp;INDEX(tk_DLINE,MATCH(409,tk_DSEQ,0)),"")</f>
        <v/>
      </c>
      <c r="H414" s="181">
        <f>IFERROR(""&amp;INDEX(tk_LOCTXTD,MATCH(409,tk_DSEQ,0)),"")</f>
        <v/>
      </c>
      <c r="I414" s="162">
        <f>IFERROR(""&amp;INDEX(tk_DNOTES,MATCH(409,tk_DSEQ,0)),"")</f>
        <v/>
      </c>
    </row>
    <row r="415">
      <c r="A415" s="161">
        <f>IFERROR(""&amp;INDEX(tk_MARK,MATCH(410,tk_DSEQ,0)),"")</f>
        <v/>
      </c>
      <c r="B415" s="162">
        <f>IFERROR(INDEX(tk_QTY,MATCH(410,tk_DSEQ,0)),"")</f>
        <v/>
      </c>
      <c r="C415" s="162">
        <f>IFERROR(INDEX(tk_ROOMF,MATCH(410,tk_DSEQ,0))&amp;IF(INDEX(tk_ROOMT,MATCH(410,tk_DSEQ,0))="",""," → "&amp;INDEX(tk_ROOMT,MATCH(410,tk_DSEQ,0))),"")</f>
        <v/>
      </c>
      <c r="D415" s="162">
        <f>IFERROR(INDEX(tk_LEAVES,MATCH(410,tk_DSEQ,0)),"")</f>
        <v/>
      </c>
      <c r="E415" s="162">
        <f>IFERROR(""&amp;INDEX(tk_RATING,MATCH(410,tk_DSEQ,0)),"")</f>
        <v/>
      </c>
      <c r="F415" s="162">
        <f>IFERROR(TEXT(INDEX(tk_LEAFW,MATCH(410,tk_DSEQ,0)),"0.000")&amp;" x "&amp;TEXT(INDEX(tk_LEAFH,MATCH(410,tk_DSEQ,0)),"0.000"),"")</f>
        <v/>
      </c>
      <c r="G415" s="181">
        <f>IFERROR(""&amp;INDEX(tk_DLINE,MATCH(410,tk_DSEQ,0)),"")</f>
        <v/>
      </c>
      <c r="H415" s="181">
        <f>IFERROR(""&amp;INDEX(tk_LOCTXTD,MATCH(410,tk_DSEQ,0)),"")</f>
        <v/>
      </c>
      <c r="I415" s="162">
        <f>IFERROR(""&amp;INDEX(tk_DNOTES,MATCH(410,tk_DSEQ,0)),"")</f>
        <v/>
      </c>
    </row>
    <row r="416">
      <c r="A416" s="161">
        <f>IFERROR(""&amp;INDEX(tk_MARK,MATCH(411,tk_DSEQ,0)),"")</f>
        <v/>
      </c>
      <c r="B416" s="162">
        <f>IFERROR(INDEX(tk_QTY,MATCH(411,tk_DSEQ,0)),"")</f>
        <v/>
      </c>
      <c r="C416" s="162">
        <f>IFERROR(INDEX(tk_ROOMF,MATCH(411,tk_DSEQ,0))&amp;IF(INDEX(tk_ROOMT,MATCH(411,tk_DSEQ,0))="",""," → "&amp;INDEX(tk_ROOMT,MATCH(411,tk_DSEQ,0))),"")</f>
        <v/>
      </c>
      <c r="D416" s="162">
        <f>IFERROR(INDEX(tk_LEAVES,MATCH(411,tk_DSEQ,0)),"")</f>
        <v/>
      </c>
      <c r="E416" s="162">
        <f>IFERROR(""&amp;INDEX(tk_RATING,MATCH(411,tk_DSEQ,0)),"")</f>
        <v/>
      </c>
      <c r="F416" s="162">
        <f>IFERROR(TEXT(INDEX(tk_LEAFW,MATCH(411,tk_DSEQ,0)),"0.000")&amp;" x "&amp;TEXT(INDEX(tk_LEAFH,MATCH(411,tk_DSEQ,0)),"0.000"),"")</f>
        <v/>
      </c>
      <c r="G416" s="181">
        <f>IFERROR(""&amp;INDEX(tk_DLINE,MATCH(411,tk_DSEQ,0)),"")</f>
        <v/>
      </c>
      <c r="H416" s="181">
        <f>IFERROR(""&amp;INDEX(tk_LOCTXTD,MATCH(411,tk_DSEQ,0)),"")</f>
        <v/>
      </c>
      <c r="I416" s="162">
        <f>IFERROR(""&amp;INDEX(tk_DNOTES,MATCH(411,tk_DSEQ,0)),"")</f>
        <v/>
      </c>
    </row>
    <row r="417">
      <c r="A417" s="161">
        <f>IFERROR(""&amp;INDEX(tk_MARK,MATCH(412,tk_DSEQ,0)),"")</f>
        <v/>
      </c>
      <c r="B417" s="162">
        <f>IFERROR(INDEX(tk_QTY,MATCH(412,tk_DSEQ,0)),"")</f>
        <v/>
      </c>
      <c r="C417" s="162">
        <f>IFERROR(INDEX(tk_ROOMF,MATCH(412,tk_DSEQ,0))&amp;IF(INDEX(tk_ROOMT,MATCH(412,tk_DSEQ,0))="",""," → "&amp;INDEX(tk_ROOMT,MATCH(412,tk_DSEQ,0))),"")</f>
        <v/>
      </c>
      <c r="D417" s="162">
        <f>IFERROR(INDEX(tk_LEAVES,MATCH(412,tk_DSEQ,0)),"")</f>
        <v/>
      </c>
      <c r="E417" s="162">
        <f>IFERROR(""&amp;INDEX(tk_RATING,MATCH(412,tk_DSEQ,0)),"")</f>
        <v/>
      </c>
      <c r="F417" s="162">
        <f>IFERROR(TEXT(INDEX(tk_LEAFW,MATCH(412,tk_DSEQ,0)),"0.000")&amp;" x "&amp;TEXT(INDEX(tk_LEAFH,MATCH(412,tk_DSEQ,0)),"0.000"),"")</f>
        <v/>
      </c>
      <c r="G417" s="181">
        <f>IFERROR(""&amp;INDEX(tk_DLINE,MATCH(412,tk_DSEQ,0)),"")</f>
        <v/>
      </c>
      <c r="H417" s="181">
        <f>IFERROR(""&amp;INDEX(tk_LOCTXTD,MATCH(412,tk_DSEQ,0)),"")</f>
        <v/>
      </c>
      <c r="I417" s="162">
        <f>IFERROR(""&amp;INDEX(tk_DNOTES,MATCH(412,tk_DSEQ,0)),"")</f>
        <v/>
      </c>
    </row>
    <row r="418">
      <c r="A418" s="161">
        <f>IFERROR(""&amp;INDEX(tk_MARK,MATCH(413,tk_DSEQ,0)),"")</f>
        <v/>
      </c>
      <c r="B418" s="162">
        <f>IFERROR(INDEX(tk_QTY,MATCH(413,tk_DSEQ,0)),"")</f>
        <v/>
      </c>
      <c r="C418" s="162">
        <f>IFERROR(INDEX(tk_ROOMF,MATCH(413,tk_DSEQ,0))&amp;IF(INDEX(tk_ROOMT,MATCH(413,tk_DSEQ,0))="",""," → "&amp;INDEX(tk_ROOMT,MATCH(413,tk_DSEQ,0))),"")</f>
        <v/>
      </c>
      <c r="D418" s="162">
        <f>IFERROR(INDEX(tk_LEAVES,MATCH(413,tk_DSEQ,0)),"")</f>
        <v/>
      </c>
      <c r="E418" s="162">
        <f>IFERROR(""&amp;INDEX(tk_RATING,MATCH(413,tk_DSEQ,0)),"")</f>
        <v/>
      </c>
      <c r="F418" s="162">
        <f>IFERROR(TEXT(INDEX(tk_LEAFW,MATCH(413,tk_DSEQ,0)),"0.000")&amp;" x "&amp;TEXT(INDEX(tk_LEAFH,MATCH(413,tk_DSEQ,0)),"0.000"),"")</f>
        <v/>
      </c>
      <c r="G418" s="181">
        <f>IFERROR(""&amp;INDEX(tk_DLINE,MATCH(413,tk_DSEQ,0)),"")</f>
        <v/>
      </c>
      <c r="H418" s="181">
        <f>IFERROR(""&amp;INDEX(tk_LOCTXTD,MATCH(413,tk_DSEQ,0)),"")</f>
        <v/>
      </c>
      <c r="I418" s="162">
        <f>IFERROR(""&amp;INDEX(tk_DNOTES,MATCH(413,tk_DSEQ,0)),"")</f>
        <v/>
      </c>
    </row>
    <row r="419">
      <c r="A419" s="161">
        <f>IFERROR(""&amp;INDEX(tk_MARK,MATCH(414,tk_DSEQ,0)),"")</f>
        <v/>
      </c>
      <c r="B419" s="162">
        <f>IFERROR(INDEX(tk_QTY,MATCH(414,tk_DSEQ,0)),"")</f>
        <v/>
      </c>
      <c r="C419" s="162">
        <f>IFERROR(INDEX(tk_ROOMF,MATCH(414,tk_DSEQ,0))&amp;IF(INDEX(tk_ROOMT,MATCH(414,tk_DSEQ,0))="",""," → "&amp;INDEX(tk_ROOMT,MATCH(414,tk_DSEQ,0))),"")</f>
        <v/>
      </c>
      <c r="D419" s="162">
        <f>IFERROR(INDEX(tk_LEAVES,MATCH(414,tk_DSEQ,0)),"")</f>
        <v/>
      </c>
      <c r="E419" s="162">
        <f>IFERROR(""&amp;INDEX(tk_RATING,MATCH(414,tk_DSEQ,0)),"")</f>
        <v/>
      </c>
      <c r="F419" s="162">
        <f>IFERROR(TEXT(INDEX(tk_LEAFW,MATCH(414,tk_DSEQ,0)),"0.000")&amp;" x "&amp;TEXT(INDEX(tk_LEAFH,MATCH(414,tk_DSEQ,0)),"0.000"),"")</f>
        <v/>
      </c>
      <c r="G419" s="181">
        <f>IFERROR(""&amp;INDEX(tk_DLINE,MATCH(414,tk_DSEQ,0)),"")</f>
        <v/>
      </c>
      <c r="H419" s="181">
        <f>IFERROR(""&amp;INDEX(tk_LOCTXTD,MATCH(414,tk_DSEQ,0)),"")</f>
        <v/>
      </c>
      <c r="I419" s="162">
        <f>IFERROR(""&amp;INDEX(tk_DNOTES,MATCH(414,tk_DSEQ,0)),"")</f>
        <v/>
      </c>
    </row>
    <row r="420">
      <c r="A420" s="161">
        <f>IFERROR(""&amp;INDEX(tk_MARK,MATCH(415,tk_DSEQ,0)),"")</f>
        <v/>
      </c>
      <c r="B420" s="162">
        <f>IFERROR(INDEX(tk_QTY,MATCH(415,tk_DSEQ,0)),"")</f>
        <v/>
      </c>
      <c r="C420" s="162">
        <f>IFERROR(INDEX(tk_ROOMF,MATCH(415,tk_DSEQ,0))&amp;IF(INDEX(tk_ROOMT,MATCH(415,tk_DSEQ,0))="",""," → "&amp;INDEX(tk_ROOMT,MATCH(415,tk_DSEQ,0))),"")</f>
        <v/>
      </c>
      <c r="D420" s="162">
        <f>IFERROR(INDEX(tk_LEAVES,MATCH(415,tk_DSEQ,0)),"")</f>
        <v/>
      </c>
      <c r="E420" s="162">
        <f>IFERROR(""&amp;INDEX(tk_RATING,MATCH(415,tk_DSEQ,0)),"")</f>
        <v/>
      </c>
      <c r="F420" s="162">
        <f>IFERROR(TEXT(INDEX(tk_LEAFW,MATCH(415,tk_DSEQ,0)),"0.000")&amp;" x "&amp;TEXT(INDEX(tk_LEAFH,MATCH(415,tk_DSEQ,0)),"0.000"),"")</f>
        <v/>
      </c>
      <c r="G420" s="181">
        <f>IFERROR(""&amp;INDEX(tk_DLINE,MATCH(415,tk_DSEQ,0)),"")</f>
        <v/>
      </c>
      <c r="H420" s="181">
        <f>IFERROR(""&amp;INDEX(tk_LOCTXTD,MATCH(415,tk_DSEQ,0)),"")</f>
        <v/>
      </c>
      <c r="I420" s="162">
        <f>IFERROR(""&amp;INDEX(tk_DNOTES,MATCH(415,tk_DSEQ,0)),"")</f>
        <v/>
      </c>
    </row>
    <row r="421">
      <c r="A421" s="161">
        <f>IFERROR(""&amp;INDEX(tk_MARK,MATCH(416,tk_DSEQ,0)),"")</f>
        <v/>
      </c>
      <c r="B421" s="162">
        <f>IFERROR(INDEX(tk_QTY,MATCH(416,tk_DSEQ,0)),"")</f>
        <v/>
      </c>
      <c r="C421" s="162">
        <f>IFERROR(INDEX(tk_ROOMF,MATCH(416,tk_DSEQ,0))&amp;IF(INDEX(tk_ROOMT,MATCH(416,tk_DSEQ,0))="",""," → "&amp;INDEX(tk_ROOMT,MATCH(416,tk_DSEQ,0))),"")</f>
        <v/>
      </c>
      <c r="D421" s="162">
        <f>IFERROR(INDEX(tk_LEAVES,MATCH(416,tk_DSEQ,0)),"")</f>
        <v/>
      </c>
      <c r="E421" s="162">
        <f>IFERROR(""&amp;INDEX(tk_RATING,MATCH(416,tk_DSEQ,0)),"")</f>
        <v/>
      </c>
      <c r="F421" s="162">
        <f>IFERROR(TEXT(INDEX(tk_LEAFW,MATCH(416,tk_DSEQ,0)),"0.000")&amp;" x "&amp;TEXT(INDEX(tk_LEAFH,MATCH(416,tk_DSEQ,0)),"0.000"),"")</f>
        <v/>
      </c>
      <c r="G421" s="181">
        <f>IFERROR(""&amp;INDEX(tk_DLINE,MATCH(416,tk_DSEQ,0)),"")</f>
        <v/>
      </c>
      <c r="H421" s="181">
        <f>IFERROR(""&amp;INDEX(tk_LOCTXTD,MATCH(416,tk_DSEQ,0)),"")</f>
        <v/>
      </c>
      <c r="I421" s="162">
        <f>IFERROR(""&amp;INDEX(tk_DNOTES,MATCH(416,tk_DSEQ,0)),"")</f>
        <v/>
      </c>
    </row>
    <row r="422">
      <c r="A422" s="161">
        <f>IFERROR(""&amp;INDEX(tk_MARK,MATCH(417,tk_DSEQ,0)),"")</f>
        <v/>
      </c>
      <c r="B422" s="162">
        <f>IFERROR(INDEX(tk_QTY,MATCH(417,tk_DSEQ,0)),"")</f>
        <v/>
      </c>
      <c r="C422" s="162">
        <f>IFERROR(INDEX(tk_ROOMF,MATCH(417,tk_DSEQ,0))&amp;IF(INDEX(tk_ROOMT,MATCH(417,tk_DSEQ,0))="",""," → "&amp;INDEX(tk_ROOMT,MATCH(417,tk_DSEQ,0))),"")</f>
        <v/>
      </c>
      <c r="D422" s="162">
        <f>IFERROR(INDEX(tk_LEAVES,MATCH(417,tk_DSEQ,0)),"")</f>
        <v/>
      </c>
      <c r="E422" s="162">
        <f>IFERROR(""&amp;INDEX(tk_RATING,MATCH(417,tk_DSEQ,0)),"")</f>
        <v/>
      </c>
      <c r="F422" s="162">
        <f>IFERROR(TEXT(INDEX(tk_LEAFW,MATCH(417,tk_DSEQ,0)),"0.000")&amp;" x "&amp;TEXT(INDEX(tk_LEAFH,MATCH(417,tk_DSEQ,0)),"0.000"),"")</f>
        <v/>
      </c>
      <c r="G422" s="181">
        <f>IFERROR(""&amp;INDEX(tk_DLINE,MATCH(417,tk_DSEQ,0)),"")</f>
        <v/>
      </c>
      <c r="H422" s="181">
        <f>IFERROR(""&amp;INDEX(tk_LOCTXTD,MATCH(417,tk_DSEQ,0)),"")</f>
        <v/>
      </c>
      <c r="I422" s="162">
        <f>IFERROR(""&amp;INDEX(tk_DNOTES,MATCH(417,tk_DSEQ,0)),"")</f>
        <v/>
      </c>
    </row>
    <row r="423">
      <c r="A423" s="161">
        <f>IFERROR(""&amp;INDEX(tk_MARK,MATCH(418,tk_DSEQ,0)),"")</f>
        <v/>
      </c>
      <c r="B423" s="162">
        <f>IFERROR(INDEX(tk_QTY,MATCH(418,tk_DSEQ,0)),"")</f>
        <v/>
      </c>
      <c r="C423" s="162">
        <f>IFERROR(INDEX(tk_ROOMF,MATCH(418,tk_DSEQ,0))&amp;IF(INDEX(tk_ROOMT,MATCH(418,tk_DSEQ,0))="",""," → "&amp;INDEX(tk_ROOMT,MATCH(418,tk_DSEQ,0))),"")</f>
        <v/>
      </c>
      <c r="D423" s="162">
        <f>IFERROR(INDEX(tk_LEAVES,MATCH(418,tk_DSEQ,0)),"")</f>
        <v/>
      </c>
      <c r="E423" s="162">
        <f>IFERROR(""&amp;INDEX(tk_RATING,MATCH(418,tk_DSEQ,0)),"")</f>
        <v/>
      </c>
      <c r="F423" s="162">
        <f>IFERROR(TEXT(INDEX(tk_LEAFW,MATCH(418,tk_DSEQ,0)),"0.000")&amp;" x "&amp;TEXT(INDEX(tk_LEAFH,MATCH(418,tk_DSEQ,0)),"0.000"),"")</f>
        <v/>
      </c>
      <c r="G423" s="181">
        <f>IFERROR(""&amp;INDEX(tk_DLINE,MATCH(418,tk_DSEQ,0)),"")</f>
        <v/>
      </c>
      <c r="H423" s="181">
        <f>IFERROR(""&amp;INDEX(tk_LOCTXTD,MATCH(418,tk_DSEQ,0)),"")</f>
        <v/>
      </c>
      <c r="I423" s="162">
        <f>IFERROR(""&amp;INDEX(tk_DNOTES,MATCH(418,tk_DSEQ,0)),"")</f>
        <v/>
      </c>
    </row>
    <row r="424">
      <c r="A424" s="161">
        <f>IFERROR(""&amp;INDEX(tk_MARK,MATCH(419,tk_DSEQ,0)),"")</f>
        <v/>
      </c>
      <c r="B424" s="162">
        <f>IFERROR(INDEX(tk_QTY,MATCH(419,tk_DSEQ,0)),"")</f>
        <v/>
      </c>
      <c r="C424" s="162">
        <f>IFERROR(INDEX(tk_ROOMF,MATCH(419,tk_DSEQ,0))&amp;IF(INDEX(tk_ROOMT,MATCH(419,tk_DSEQ,0))="",""," → "&amp;INDEX(tk_ROOMT,MATCH(419,tk_DSEQ,0))),"")</f>
        <v/>
      </c>
      <c r="D424" s="162">
        <f>IFERROR(INDEX(tk_LEAVES,MATCH(419,tk_DSEQ,0)),"")</f>
        <v/>
      </c>
      <c r="E424" s="162">
        <f>IFERROR(""&amp;INDEX(tk_RATING,MATCH(419,tk_DSEQ,0)),"")</f>
        <v/>
      </c>
      <c r="F424" s="162">
        <f>IFERROR(TEXT(INDEX(tk_LEAFW,MATCH(419,tk_DSEQ,0)),"0.000")&amp;" x "&amp;TEXT(INDEX(tk_LEAFH,MATCH(419,tk_DSEQ,0)),"0.000"),"")</f>
        <v/>
      </c>
      <c r="G424" s="181">
        <f>IFERROR(""&amp;INDEX(tk_DLINE,MATCH(419,tk_DSEQ,0)),"")</f>
        <v/>
      </c>
      <c r="H424" s="181">
        <f>IFERROR(""&amp;INDEX(tk_LOCTXTD,MATCH(419,tk_DSEQ,0)),"")</f>
        <v/>
      </c>
      <c r="I424" s="162">
        <f>IFERROR(""&amp;INDEX(tk_DNOTES,MATCH(419,tk_DSEQ,0)),"")</f>
        <v/>
      </c>
    </row>
    <row r="425">
      <c r="A425" s="161">
        <f>IFERROR(""&amp;INDEX(tk_MARK,MATCH(420,tk_DSEQ,0)),"")</f>
        <v/>
      </c>
      <c r="B425" s="162">
        <f>IFERROR(INDEX(tk_QTY,MATCH(420,tk_DSEQ,0)),"")</f>
        <v/>
      </c>
      <c r="C425" s="162">
        <f>IFERROR(INDEX(tk_ROOMF,MATCH(420,tk_DSEQ,0))&amp;IF(INDEX(tk_ROOMT,MATCH(420,tk_DSEQ,0))="",""," → "&amp;INDEX(tk_ROOMT,MATCH(420,tk_DSEQ,0))),"")</f>
        <v/>
      </c>
      <c r="D425" s="162">
        <f>IFERROR(INDEX(tk_LEAVES,MATCH(420,tk_DSEQ,0)),"")</f>
        <v/>
      </c>
      <c r="E425" s="162">
        <f>IFERROR(""&amp;INDEX(tk_RATING,MATCH(420,tk_DSEQ,0)),"")</f>
        <v/>
      </c>
      <c r="F425" s="162">
        <f>IFERROR(TEXT(INDEX(tk_LEAFW,MATCH(420,tk_DSEQ,0)),"0.000")&amp;" x "&amp;TEXT(INDEX(tk_LEAFH,MATCH(420,tk_DSEQ,0)),"0.000"),"")</f>
        <v/>
      </c>
      <c r="G425" s="181">
        <f>IFERROR(""&amp;INDEX(tk_DLINE,MATCH(420,tk_DSEQ,0)),"")</f>
        <v/>
      </c>
      <c r="H425" s="181">
        <f>IFERROR(""&amp;INDEX(tk_LOCTXTD,MATCH(420,tk_DSEQ,0)),"")</f>
        <v/>
      </c>
      <c r="I425" s="162">
        <f>IFERROR(""&amp;INDEX(tk_DNOTES,MATCH(420,tk_DSEQ,0)),"")</f>
        <v/>
      </c>
    </row>
    <row r="426">
      <c r="A426" s="161">
        <f>IFERROR(""&amp;INDEX(tk_MARK,MATCH(421,tk_DSEQ,0)),"")</f>
        <v/>
      </c>
      <c r="B426" s="162">
        <f>IFERROR(INDEX(tk_QTY,MATCH(421,tk_DSEQ,0)),"")</f>
        <v/>
      </c>
      <c r="C426" s="162">
        <f>IFERROR(INDEX(tk_ROOMF,MATCH(421,tk_DSEQ,0))&amp;IF(INDEX(tk_ROOMT,MATCH(421,tk_DSEQ,0))="",""," → "&amp;INDEX(tk_ROOMT,MATCH(421,tk_DSEQ,0))),"")</f>
        <v/>
      </c>
      <c r="D426" s="162">
        <f>IFERROR(INDEX(tk_LEAVES,MATCH(421,tk_DSEQ,0)),"")</f>
        <v/>
      </c>
      <c r="E426" s="162">
        <f>IFERROR(""&amp;INDEX(tk_RATING,MATCH(421,tk_DSEQ,0)),"")</f>
        <v/>
      </c>
      <c r="F426" s="162">
        <f>IFERROR(TEXT(INDEX(tk_LEAFW,MATCH(421,tk_DSEQ,0)),"0.000")&amp;" x "&amp;TEXT(INDEX(tk_LEAFH,MATCH(421,tk_DSEQ,0)),"0.000"),"")</f>
        <v/>
      </c>
      <c r="G426" s="181">
        <f>IFERROR(""&amp;INDEX(tk_DLINE,MATCH(421,tk_DSEQ,0)),"")</f>
        <v/>
      </c>
      <c r="H426" s="181">
        <f>IFERROR(""&amp;INDEX(tk_LOCTXTD,MATCH(421,tk_DSEQ,0)),"")</f>
        <v/>
      </c>
      <c r="I426" s="162">
        <f>IFERROR(""&amp;INDEX(tk_DNOTES,MATCH(421,tk_DSEQ,0)),"")</f>
        <v/>
      </c>
    </row>
    <row r="427">
      <c r="A427" s="161">
        <f>IFERROR(""&amp;INDEX(tk_MARK,MATCH(422,tk_DSEQ,0)),"")</f>
        <v/>
      </c>
      <c r="B427" s="162">
        <f>IFERROR(INDEX(tk_QTY,MATCH(422,tk_DSEQ,0)),"")</f>
        <v/>
      </c>
      <c r="C427" s="162">
        <f>IFERROR(INDEX(tk_ROOMF,MATCH(422,tk_DSEQ,0))&amp;IF(INDEX(tk_ROOMT,MATCH(422,tk_DSEQ,0))="",""," → "&amp;INDEX(tk_ROOMT,MATCH(422,tk_DSEQ,0))),"")</f>
        <v/>
      </c>
      <c r="D427" s="162">
        <f>IFERROR(INDEX(tk_LEAVES,MATCH(422,tk_DSEQ,0)),"")</f>
        <v/>
      </c>
      <c r="E427" s="162">
        <f>IFERROR(""&amp;INDEX(tk_RATING,MATCH(422,tk_DSEQ,0)),"")</f>
        <v/>
      </c>
      <c r="F427" s="162">
        <f>IFERROR(TEXT(INDEX(tk_LEAFW,MATCH(422,tk_DSEQ,0)),"0.000")&amp;" x "&amp;TEXT(INDEX(tk_LEAFH,MATCH(422,tk_DSEQ,0)),"0.000"),"")</f>
        <v/>
      </c>
      <c r="G427" s="181">
        <f>IFERROR(""&amp;INDEX(tk_DLINE,MATCH(422,tk_DSEQ,0)),"")</f>
        <v/>
      </c>
      <c r="H427" s="181">
        <f>IFERROR(""&amp;INDEX(tk_LOCTXTD,MATCH(422,tk_DSEQ,0)),"")</f>
        <v/>
      </c>
      <c r="I427" s="162">
        <f>IFERROR(""&amp;INDEX(tk_DNOTES,MATCH(422,tk_DSEQ,0)),"")</f>
        <v/>
      </c>
    </row>
    <row r="428">
      <c r="A428" s="161">
        <f>IFERROR(""&amp;INDEX(tk_MARK,MATCH(423,tk_DSEQ,0)),"")</f>
        <v/>
      </c>
      <c r="B428" s="162">
        <f>IFERROR(INDEX(tk_QTY,MATCH(423,tk_DSEQ,0)),"")</f>
        <v/>
      </c>
      <c r="C428" s="162">
        <f>IFERROR(INDEX(tk_ROOMF,MATCH(423,tk_DSEQ,0))&amp;IF(INDEX(tk_ROOMT,MATCH(423,tk_DSEQ,0))="",""," → "&amp;INDEX(tk_ROOMT,MATCH(423,tk_DSEQ,0))),"")</f>
        <v/>
      </c>
      <c r="D428" s="162">
        <f>IFERROR(INDEX(tk_LEAVES,MATCH(423,tk_DSEQ,0)),"")</f>
        <v/>
      </c>
      <c r="E428" s="162">
        <f>IFERROR(""&amp;INDEX(tk_RATING,MATCH(423,tk_DSEQ,0)),"")</f>
        <v/>
      </c>
      <c r="F428" s="162">
        <f>IFERROR(TEXT(INDEX(tk_LEAFW,MATCH(423,tk_DSEQ,0)),"0.000")&amp;" x "&amp;TEXT(INDEX(tk_LEAFH,MATCH(423,tk_DSEQ,0)),"0.000"),"")</f>
        <v/>
      </c>
      <c r="G428" s="181">
        <f>IFERROR(""&amp;INDEX(tk_DLINE,MATCH(423,tk_DSEQ,0)),"")</f>
        <v/>
      </c>
      <c r="H428" s="181">
        <f>IFERROR(""&amp;INDEX(tk_LOCTXTD,MATCH(423,tk_DSEQ,0)),"")</f>
        <v/>
      </c>
      <c r="I428" s="162">
        <f>IFERROR(""&amp;INDEX(tk_DNOTES,MATCH(423,tk_DSEQ,0)),"")</f>
        <v/>
      </c>
    </row>
    <row r="429">
      <c r="A429" s="161">
        <f>IFERROR(""&amp;INDEX(tk_MARK,MATCH(424,tk_DSEQ,0)),"")</f>
        <v/>
      </c>
      <c r="B429" s="162">
        <f>IFERROR(INDEX(tk_QTY,MATCH(424,tk_DSEQ,0)),"")</f>
        <v/>
      </c>
      <c r="C429" s="162">
        <f>IFERROR(INDEX(tk_ROOMF,MATCH(424,tk_DSEQ,0))&amp;IF(INDEX(tk_ROOMT,MATCH(424,tk_DSEQ,0))="",""," → "&amp;INDEX(tk_ROOMT,MATCH(424,tk_DSEQ,0))),"")</f>
        <v/>
      </c>
      <c r="D429" s="162">
        <f>IFERROR(INDEX(tk_LEAVES,MATCH(424,tk_DSEQ,0)),"")</f>
        <v/>
      </c>
      <c r="E429" s="162">
        <f>IFERROR(""&amp;INDEX(tk_RATING,MATCH(424,tk_DSEQ,0)),"")</f>
        <v/>
      </c>
      <c r="F429" s="162">
        <f>IFERROR(TEXT(INDEX(tk_LEAFW,MATCH(424,tk_DSEQ,0)),"0.000")&amp;" x "&amp;TEXT(INDEX(tk_LEAFH,MATCH(424,tk_DSEQ,0)),"0.000"),"")</f>
        <v/>
      </c>
      <c r="G429" s="181">
        <f>IFERROR(""&amp;INDEX(tk_DLINE,MATCH(424,tk_DSEQ,0)),"")</f>
        <v/>
      </c>
      <c r="H429" s="181">
        <f>IFERROR(""&amp;INDEX(tk_LOCTXTD,MATCH(424,tk_DSEQ,0)),"")</f>
        <v/>
      </c>
      <c r="I429" s="162">
        <f>IFERROR(""&amp;INDEX(tk_DNOTES,MATCH(424,tk_DSEQ,0)),"")</f>
        <v/>
      </c>
    </row>
    <row r="430">
      <c r="A430" s="161">
        <f>IFERROR(""&amp;INDEX(tk_MARK,MATCH(425,tk_DSEQ,0)),"")</f>
        <v/>
      </c>
      <c r="B430" s="162">
        <f>IFERROR(INDEX(tk_QTY,MATCH(425,tk_DSEQ,0)),"")</f>
        <v/>
      </c>
      <c r="C430" s="162">
        <f>IFERROR(INDEX(tk_ROOMF,MATCH(425,tk_DSEQ,0))&amp;IF(INDEX(tk_ROOMT,MATCH(425,tk_DSEQ,0))="",""," → "&amp;INDEX(tk_ROOMT,MATCH(425,tk_DSEQ,0))),"")</f>
        <v/>
      </c>
      <c r="D430" s="162">
        <f>IFERROR(INDEX(tk_LEAVES,MATCH(425,tk_DSEQ,0)),"")</f>
        <v/>
      </c>
      <c r="E430" s="162">
        <f>IFERROR(""&amp;INDEX(tk_RATING,MATCH(425,tk_DSEQ,0)),"")</f>
        <v/>
      </c>
      <c r="F430" s="162">
        <f>IFERROR(TEXT(INDEX(tk_LEAFW,MATCH(425,tk_DSEQ,0)),"0.000")&amp;" x "&amp;TEXT(INDEX(tk_LEAFH,MATCH(425,tk_DSEQ,0)),"0.000"),"")</f>
        <v/>
      </c>
      <c r="G430" s="181">
        <f>IFERROR(""&amp;INDEX(tk_DLINE,MATCH(425,tk_DSEQ,0)),"")</f>
        <v/>
      </c>
      <c r="H430" s="181">
        <f>IFERROR(""&amp;INDEX(tk_LOCTXTD,MATCH(425,tk_DSEQ,0)),"")</f>
        <v/>
      </c>
      <c r="I430" s="162">
        <f>IFERROR(""&amp;INDEX(tk_DNOTES,MATCH(425,tk_DSEQ,0)),"")</f>
        <v/>
      </c>
    </row>
    <row r="431">
      <c r="A431" s="161">
        <f>IFERROR(""&amp;INDEX(tk_MARK,MATCH(426,tk_DSEQ,0)),"")</f>
        <v/>
      </c>
      <c r="B431" s="162">
        <f>IFERROR(INDEX(tk_QTY,MATCH(426,tk_DSEQ,0)),"")</f>
        <v/>
      </c>
      <c r="C431" s="162">
        <f>IFERROR(INDEX(tk_ROOMF,MATCH(426,tk_DSEQ,0))&amp;IF(INDEX(tk_ROOMT,MATCH(426,tk_DSEQ,0))="",""," → "&amp;INDEX(tk_ROOMT,MATCH(426,tk_DSEQ,0))),"")</f>
        <v/>
      </c>
      <c r="D431" s="162">
        <f>IFERROR(INDEX(tk_LEAVES,MATCH(426,tk_DSEQ,0)),"")</f>
        <v/>
      </c>
      <c r="E431" s="162">
        <f>IFERROR(""&amp;INDEX(tk_RATING,MATCH(426,tk_DSEQ,0)),"")</f>
        <v/>
      </c>
      <c r="F431" s="162">
        <f>IFERROR(TEXT(INDEX(tk_LEAFW,MATCH(426,tk_DSEQ,0)),"0.000")&amp;" x "&amp;TEXT(INDEX(tk_LEAFH,MATCH(426,tk_DSEQ,0)),"0.000"),"")</f>
        <v/>
      </c>
      <c r="G431" s="181">
        <f>IFERROR(""&amp;INDEX(tk_DLINE,MATCH(426,tk_DSEQ,0)),"")</f>
        <v/>
      </c>
      <c r="H431" s="181">
        <f>IFERROR(""&amp;INDEX(tk_LOCTXTD,MATCH(426,tk_DSEQ,0)),"")</f>
        <v/>
      </c>
      <c r="I431" s="162">
        <f>IFERROR(""&amp;INDEX(tk_DNOTES,MATCH(426,tk_DSEQ,0)),"")</f>
        <v/>
      </c>
    </row>
    <row r="432">
      <c r="A432" s="161">
        <f>IFERROR(""&amp;INDEX(tk_MARK,MATCH(427,tk_DSEQ,0)),"")</f>
        <v/>
      </c>
      <c r="B432" s="162">
        <f>IFERROR(INDEX(tk_QTY,MATCH(427,tk_DSEQ,0)),"")</f>
        <v/>
      </c>
      <c r="C432" s="162">
        <f>IFERROR(INDEX(tk_ROOMF,MATCH(427,tk_DSEQ,0))&amp;IF(INDEX(tk_ROOMT,MATCH(427,tk_DSEQ,0))="",""," → "&amp;INDEX(tk_ROOMT,MATCH(427,tk_DSEQ,0))),"")</f>
        <v/>
      </c>
      <c r="D432" s="162">
        <f>IFERROR(INDEX(tk_LEAVES,MATCH(427,tk_DSEQ,0)),"")</f>
        <v/>
      </c>
      <c r="E432" s="162">
        <f>IFERROR(""&amp;INDEX(tk_RATING,MATCH(427,tk_DSEQ,0)),"")</f>
        <v/>
      </c>
      <c r="F432" s="162">
        <f>IFERROR(TEXT(INDEX(tk_LEAFW,MATCH(427,tk_DSEQ,0)),"0.000")&amp;" x "&amp;TEXT(INDEX(tk_LEAFH,MATCH(427,tk_DSEQ,0)),"0.000"),"")</f>
        <v/>
      </c>
      <c r="G432" s="181">
        <f>IFERROR(""&amp;INDEX(tk_DLINE,MATCH(427,tk_DSEQ,0)),"")</f>
        <v/>
      </c>
      <c r="H432" s="181">
        <f>IFERROR(""&amp;INDEX(tk_LOCTXTD,MATCH(427,tk_DSEQ,0)),"")</f>
        <v/>
      </c>
      <c r="I432" s="162">
        <f>IFERROR(""&amp;INDEX(tk_DNOTES,MATCH(427,tk_DSEQ,0)),"")</f>
        <v/>
      </c>
    </row>
    <row r="433">
      <c r="A433" s="161">
        <f>IFERROR(""&amp;INDEX(tk_MARK,MATCH(428,tk_DSEQ,0)),"")</f>
        <v/>
      </c>
      <c r="B433" s="162">
        <f>IFERROR(INDEX(tk_QTY,MATCH(428,tk_DSEQ,0)),"")</f>
        <v/>
      </c>
      <c r="C433" s="162">
        <f>IFERROR(INDEX(tk_ROOMF,MATCH(428,tk_DSEQ,0))&amp;IF(INDEX(tk_ROOMT,MATCH(428,tk_DSEQ,0))="",""," → "&amp;INDEX(tk_ROOMT,MATCH(428,tk_DSEQ,0))),"")</f>
        <v/>
      </c>
      <c r="D433" s="162">
        <f>IFERROR(INDEX(tk_LEAVES,MATCH(428,tk_DSEQ,0)),"")</f>
        <v/>
      </c>
      <c r="E433" s="162">
        <f>IFERROR(""&amp;INDEX(tk_RATING,MATCH(428,tk_DSEQ,0)),"")</f>
        <v/>
      </c>
      <c r="F433" s="162">
        <f>IFERROR(TEXT(INDEX(tk_LEAFW,MATCH(428,tk_DSEQ,0)),"0.000")&amp;" x "&amp;TEXT(INDEX(tk_LEAFH,MATCH(428,tk_DSEQ,0)),"0.000"),"")</f>
        <v/>
      </c>
      <c r="G433" s="181">
        <f>IFERROR(""&amp;INDEX(tk_DLINE,MATCH(428,tk_DSEQ,0)),"")</f>
        <v/>
      </c>
      <c r="H433" s="181">
        <f>IFERROR(""&amp;INDEX(tk_LOCTXTD,MATCH(428,tk_DSEQ,0)),"")</f>
        <v/>
      </c>
      <c r="I433" s="162">
        <f>IFERROR(""&amp;INDEX(tk_DNOTES,MATCH(428,tk_DSEQ,0)),"")</f>
        <v/>
      </c>
    </row>
    <row r="434">
      <c r="A434" s="161">
        <f>IFERROR(""&amp;INDEX(tk_MARK,MATCH(429,tk_DSEQ,0)),"")</f>
        <v/>
      </c>
      <c r="B434" s="162">
        <f>IFERROR(INDEX(tk_QTY,MATCH(429,tk_DSEQ,0)),"")</f>
        <v/>
      </c>
      <c r="C434" s="162">
        <f>IFERROR(INDEX(tk_ROOMF,MATCH(429,tk_DSEQ,0))&amp;IF(INDEX(tk_ROOMT,MATCH(429,tk_DSEQ,0))="",""," → "&amp;INDEX(tk_ROOMT,MATCH(429,tk_DSEQ,0))),"")</f>
        <v/>
      </c>
      <c r="D434" s="162">
        <f>IFERROR(INDEX(tk_LEAVES,MATCH(429,tk_DSEQ,0)),"")</f>
        <v/>
      </c>
      <c r="E434" s="162">
        <f>IFERROR(""&amp;INDEX(tk_RATING,MATCH(429,tk_DSEQ,0)),"")</f>
        <v/>
      </c>
      <c r="F434" s="162">
        <f>IFERROR(TEXT(INDEX(tk_LEAFW,MATCH(429,tk_DSEQ,0)),"0.000")&amp;" x "&amp;TEXT(INDEX(tk_LEAFH,MATCH(429,tk_DSEQ,0)),"0.000"),"")</f>
        <v/>
      </c>
      <c r="G434" s="181">
        <f>IFERROR(""&amp;INDEX(tk_DLINE,MATCH(429,tk_DSEQ,0)),"")</f>
        <v/>
      </c>
      <c r="H434" s="181">
        <f>IFERROR(""&amp;INDEX(tk_LOCTXTD,MATCH(429,tk_DSEQ,0)),"")</f>
        <v/>
      </c>
      <c r="I434" s="162">
        <f>IFERROR(""&amp;INDEX(tk_DNOTES,MATCH(429,tk_DSEQ,0)),"")</f>
        <v/>
      </c>
    </row>
    <row r="435">
      <c r="A435" s="161">
        <f>IFERROR(""&amp;INDEX(tk_MARK,MATCH(430,tk_DSEQ,0)),"")</f>
        <v/>
      </c>
      <c r="B435" s="162">
        <f>IFERROR(INDEX(tk_QTY,MATCH(430,tk_DSEQ,0)),"")</f>
        <v/>
      </c>
      <c r="C435" s="162">
        <f>IFERROR(INDEX(tk_ROOMF,MATCH(430,tk_DSEQ,0))&amp;IF(INDEX(tk_ROOMT,MATCH(430,tk_DSEQ,0))="",""," → "&amp;INDEX(tk_ROOMT,MATCH(430,tk_DSEQ,0))),"")</f>
        <v/>
      </c>
      <c r="D435" s="162">
        <f>IFERROR(INDEX(tk_LEAVES,MATCH(430,tk_DSEQ,0)),"")</f>
        <v/>
      </c>
      <c r="E435" s="162">
        <f>IFERROR(""&amp;INDEX(tk_RATING,MATCH(430,tk_DSEQ,0)),"")</f>
        <v/>
      </c>
      <c r="F435" s="162">
        <f>IFERROR(TEXT(INDEX(tk_LEAFW,MATCH(430,tk_DSEQ,0)),"0.000")&amp;" x "&amp;TEXT(INDEX(tk_LEAFH,MATCH(430,tk_DSEQ,0)),"0.000"),"")</f>
        <v/>
      </c>
      <c r="G435" s="181">
        <f>IFERROR(""&amp;INDEX(tk_DLINE,MATCH(430,tk_DSEQ,0)),"")</f>
        <v/>
      </c>
      <c r="H435" s="181">
        <f>IFERROR(""&amp;INDEX(tk_LOCTXTD,MATCH(430,tk_DSEQ,0)),"")</f>
        <v/>
      </c>
      <c r="I435" s="162">
        <f>IFERROR(""&amp;INDEX(tk_DNOTES,MATCH(430,tk_DSEQ,0)),"")</f>
        <v/>
      </c>
    </row>
    <row r="436">
      <c r="A436" s="161">
        <f>IFERROR(""&amp;INDEX(tk_MARK,MATCH(431,tk_DSEQ,0)),"")</f>
        <v/>
      </c>
      <c r="B436" s="162">
        <f>IFERROR(INDEX(tk_QTY,MATCH(431,tk_DSEQ,0)),"")</f>
        <v/>
      </c>
      <c r="C436" s="162">
        <f>IFERROR(INDEX(tk_ROOMF,MATCH(431,tk_DSEQ,0))&amp;IF(INDEX(tk_ROOMT,MATCH(431,tk_DSEQ,0))="",""," → "&amp;INDEX(tk_ROOMT,MATCH(431,tk_DSEQ,0))),"")</f>
        <v/>
      </c>
      <c r="D436" s="162">
        <f>IFERROR(INDEX(tk_LEAVES,MATCH(431,tk_DSEQ,0)),"")</f>
        <v/>
      </c>
      <c r="E436" s="162">
        <f>IFERROR(""&amp;INDEX(tk_RATING,MATCH(431,tk_DSEQ,0)),"")</f>
        <v/>
      </c>
      <c r="F436" s="162">
        <f>IFERROR(TEXT(INDEX(tk_LEAFW,MATCH(431,tk_DSEQ,0)),"0.000")&amp;" x "&amp;TEXT(INDEX(tk_LEAFH,MATCH(431,tk_DSEQ,0)),"0.000"),"")</f>
        <v/>
      </c>
      <c r="G436" s="181">
        <f>IFERROR(""&amp;INDEX(tk_DLINE,MATCH(431,tk_DSEQ,0)),"")</f>
        <v/>
      </c>
      <c r="H436" s="181">
        <f>IFERROR(""&amp;INDEX(tk_LOCTXTD,MATCH(431,tk_DSEQ,0)),"")</f>
        <v/>
      </c>
      <c r="I436" s="162">
        <f>IFERROR(""&amp;INDEX(tk_DNOTES,MATCH(431,tk_DSEQ,0)),"")</f>
        <v/>
      </c>
    </row>
    <row r="437">
      <c r="A437" s="161">
        <f>IFERROR(""&amp;INDEX(tk_MARK,MATCH(432,tk_DSEQ,0)),"")</f>
        <v/>
      </c>
      <c r="B437" s="162">
        <f>IFERROR(INDEX(tk_QTY,MATCH(432,tk_DSEQ,0)),"")</f>
        <v/>
      </c>
      <c r="C437" s="162">
        <f>IFERROR(INDEX(tk_ROOMF,MATCH(432,tk_DSEQ,0))&amp;IF(INDEX(tk_ROOMT,MATCH(432,tk_DSEQ,0))="",""," → "&amp;INDEX(tk_ROOMT,MATCH(432,tk_DSEQ,0))),"")</f>
        <v/>
      </c>
      <c r="D437" s="162">
        <f>IFERROR(INDEX(tk_LEAVES,MATCH(432,tk_DSEQ,0)),"")</f>
        <v/>
      </c>
      <c r="E437" s="162">
        <f>IFERROR(""&amp;INDEX(tk_RATING,MATCH(432,tk_DSEQ,0)),"")</f>
        <v/>
      </c>
      <c r="F437" s="162">
        <f>IFERROR(TEXT(INDEX(tk_LEAFW,MATCH(432,tk_DSEQ,0)),"0.000")&amp;" x "&amp;TEXT(INDEX(tk_LEAFH,MATCH(432,tk_DSEQ,0)),"0.000"),"")</f>
        <v/>
      </c>
      <c r="G437" s="181">
        <f>IFERROR(""&amp;INDEX(tk_DLINE,MATCH(432,tk_DSEQ,0)),"")</f>
        <v/>
      </c>
      <c r="H437" s="181">
        <f>IFERROR(""&amp;INDEX(tk_LOCTXTD,MATCH(432,tk_DSEQ,0)),"")</f>
        <v/>
      </c>
      <c r="I437" s="162">
        <f>IFERROR(""&amp;INDEX(tk_DNOTES,MATCH(432,tk_DSEQ,0)),"")</f>
        <v/>
      </c>
    </row>
    <row r="438">
      <c r="A438" s="161">
        <f>IFERROR(""&amp;INDEX(tk_MARK,MATCH(433,tk_DSEQ,0)),"")</f>
        <v/>
      </c>
      <c r="B438" s="162">
        <f>IFERROR(INDEX(tk_QTY,MATCH(433,tk_DSEQ,0)),"")</f>
        <v/>
      </c>
      <c r="C438" s="162">
        <f>IFERROR(INDEX(tk_ROOMF,MATCH(433,tk_DSEQ,0))&amp;IF(INDEX(tk_ROOMT,MATCH(433,tk_DSEQ,0))="",""," → "&amp;INDEX(tk_ROOMT,MATCH(433,tk_DSEQ,0))),"")</f>
        <v/>
      </c>
      <c r="D438" s="162">
        <f>IFERROR(INDEX(tk_LEAVES,MATCH(433,tk_DSEQ,0)),"")</f>
        <v/>
      </c>
      <c r="E438" s="162">
        <f>IFERROR(""&amp;INDEX(tk_RATING,MATCH(433,tk_DSEQ,0)),"")</f>
        <v/>
      </c>
      <c r="F438" s="162">
        <f>IFERROR(TEXT(INDEX(tk_LEAFW,MATCH(433,tk_DSEQ,0)),"0.000")&amp;" x "&amp;TEXT(INDEX(tk_LEAFH,MATCH(433,tk_DSEQ,0)),"0.000"),"")</f>
        <v/>
      </c>
      <c r="G438" s="181">
        <f>IFERROR(""&amp;INDEX(tk_DLINE,MATCH(433,tk_DSEQ,0)),"")</f>
        <v/>
      </c>
      <c r="H438" s="181">
        <f>IFERROR(""&amp;INDEX(tk_LOCTXTD,MATCH(433,tk_DSEQ,0)),"")</f>
        <v/>
      </c>
      <c r="I438" s="162">
        <f>IFERROR(""&amp;INDEX(tk_DNOTES,MATCH(433,tk_DSEQ,0)),"")</f>
        <v/>
      </c>
    </row>
    <row r="439">
      <c r="A439" s="161">
        <f>IFERROR(""&amp;INDEX(tk_MARK,MATCH(434,tk_DSEQ,0)),"")</f>
        <v/>
      </c>
      <c r="B439" s="162">
        <f>IFERROR(INDEX(tk_QTY,MATCH(434,tk_DSEQ,0)),"")</f>
        <v/>
      </c>
      <c r="C439" s="162">
        <f>IFERROR(INDEX(tk_ROOMF,MATCH(434,tk_DSEQ,0))&amp;IF(INDEX(tk_ROOMT,MATCH(434,tk_DSEQ,0))="",""," → "&amp;INDEX(tk_ROOMT,MATCH(434,tk_DSEQ,0))),"")</f>
        <v/>
      </c>
      <c r="D439" s="162">
        <f>IFERROR(INDEX(tk_LEAVES,MATCH(434,tk_DSEQ,0)),"")</f>
        <v/>
      </c>
      <c r="E439" s="162">
        <f>IFERROR(""&amp;INDEX(tk_RATING,MATCH(434,tk_DSEQ,0)),"")</f>
        <v/>
      </c>
      <c r="F439" s="162">
        <f>IFERROR(TEXT(INDEX(tk_LEAFW,MATCH(434,tk_DSEQ,0)),"0.000")&amp;" x "&amp;TEXT(INDEX(tk_LEAFH,MATCH(434,tk_DSEQ,0)),"0.000"),"")</f>
        <v/>
      </c>
      <c r="G439" s="181">
        <f>IFERROR(""&amp;INDEX(tk_DLINE,MATCH(434,tk_DSEQ,0)),"")</f>
        <v/>
      </c>
      <c r="H439" s="181">
        <f>IFERROR(""&amp;INDEX(tk_LOCTXTD,MATCH(434,tk_DSEQ,0)),"")</f>
        <v/>
      </c>
      <c r="I439" s="162">
        <f>IFERROR(""&amp;INDEX(tk_DNOTES,MATCH(434,tk_DSEQ,0)),"")</f>
        <v/>
      </c>
    </row>
    <row r="440">
      <c r="A440" s="161">
        <f>IFERROR(""&amp;INDEX(tk_MARK,MATCH(435,tk_DSEQ,0)),"")</f>
        <v/>
      </c>
      <c r="B440" s="162">
        <f>IFERROR(INDEX(tk_QTY,MATCH(435,tk_DSEQ,0)),"")</f>
        <v/>
      </c>
      <c r="C440" s="162">
        <f>IFERROR(INDEX(tk_ROOMF,MATCH(435,tk_DSEQ,0))&amp;IF(INDEX(tk_ROOMT,MATCH(435,tk_DSEQ,0))="",""," → "&amp;INDEX(tk_ROOMT,MATCH(435,tk_DSEQ,0))),"")</f>
        <v/>
      </c>
      <c r="D440" s="162">
        <f>IFERROR(INDEX(tk_LEAVES,MATCH(435,tk_DSEQ,0)),"")</f>
        <v/>
      </c>
      <c r="E440" s="162">
        <f>IFERROR(""&amp;INDEX(tk_RATING,MATCH(435,tk_DSEQ,0)),"")</f>
        <v/>
      </c>
      <c r="F440" s="162">
        <f>IFERROR(TEXT(INDEX(tk_LEAFW,MATCH(435,tk_DSEQ,0)),"0.000")&amp;" x "&amp;TEXT(INDEX(tk_LEAFH,MATCH(435,tk_DSEQ,0)),"0.000"),"")</f>
        <v/>
      </c>
      <c r="G440" s="181">
        <f>IFERROR(""&amp;INDEX(tk_DLINE,MATCH(435,tk_DSEQ,0)),"")</f>
        <v/>
      </c>
      <c r="H440" s="181">
        <f>IFERROR(""&amp;INDEX(tk_LOCTXTD,MATCH(435,tk_DSEQ,0)),"")</f>
        <v/>
      </c>
      <c r="I440" s="162">
        <f>IFERROR(""&amp;INDEX(tk_DNOTES,MATCH(435,tk_DSEQ,0)),"")</f>
        <v/>
      </c>
    </row>
    <row r="441">
      <c r="A441" s="161">
        <f>IFERROR(""&amp;INDEX(tk_MARK,MATCH(436,tk_DSEQ,0)),"")</f>
        <v/>
      </c>
      <c r="B441" s="162">
        <f>IFERROR(INDEX(tk_QTY,MATCH(436,tk_DSEQ,0)),"")</f>
        <v/>
      </c>
      <c r="C441" s="162">
        <f>IFERROR(INDEX(tk_ROOMF,MATCH(436,tk_DSEQ,0))&amp;IF(INDEX(tk_ROOMT,MATCH(436,tk_DSEQ,0))="",""," → "&amp;INDEX(tk_ROOMT,MATCH(436,tk_DSEQ,0))),"")</f>
        <v/>
      </c>
      <c r="D441" s="162">
        <f>IFERROR(INDEX(tk_LEAVES,MATCH(436,tk_DSEQ,0)),"")</f>
        <v/>
      </c>
      <c r="E441" s="162">
        <f>IFERROR(""&amp;INDEX(tk_RATING,MATCH(436,tk_DSEQ,0)),"")</f>
        <v/>
      </c>
      <c r="F441" s="162">
        <f>IFERROR(TEXT(INDEX(tk_LEAFW,MATCH(436,tk_DSEQ,0)),"0.000")&amp;" x "&amp;TEXT(INDEX(tk_LEAFH,MATCH(436,tk_DSEQ,0)),"0.000"),"")</f>
        <v/>
      </c>
      <c r="G441" s="181">
        <f>IFERROR(""&amp;INDEX(tk_DLINE,MATCH(436,tk_DSEQ,0)),"")</f>
        <v/>
      </c>
      <c r="H441" s="181">
        <f>IFERROR(""&amp;INDEX(tk_LOCTXTD,MATCH(436,tk_DSEQ,0)),"")</f>
        <v/>
      </c>
      <c r="I441" s="162">
        <f>IFERROR(""&amp;INDEX(tk_DNOTES,MATCH(436,tk_DSEQ,0)),"")</f>
        <v/>
      </c>
    </row>
    <row r="442">
      <c r="A442" s="161">
        <f>IFERROR(""&amp;INDEX(tk_MARK,MATCH(437,tk_DSEQ,0)),"")</f>
        <v/>
      </c>
      <c r="B442" s="162">
        <f>IFERROR(INDEX(tk_QTY,MATCH(437,tk_DSEQ,0)),"")</f>
        <v/>
      </c>
      <c r="C442" s="162">
        <f>IFERROR(INDEX(tk_ROOMF,MATCH(437,tk_DSEQ,0))&amp;IF(INDEX(tk_ROOMT,MATCH(437,tk_DSEQ,0))="",""," → "&amp;INDEX(tk_ROOMT,MATCH(437,tk_DSEQ,0))),"")</f>
        <v/>
      </c>
      <c r="D442" s="162">
        <f>IFERROR(INDEX(tk_LEAVES,MATCH(437,tk_DSEQ,0)),"")</f>
        <v/>
      </c>
      <c r="E442" s="162">
        <f>IFERROR(""&amp;INDEX(tk_RATING,MATCH(437,tk_DSEQ,0)),"")</f>
        <v/>
      </c>
      <c r="F442" s="162">
        <f>IFERROR(TEXT(INDEX(tk_LEAFW,MATCH(437,tk_DSEQ,0)),"0.000")&amp;" x "&amp;TEXT(INDEX(tk_LEAFH,MATCH(437,tk_DSEQ,0)),"0.000"),"")</f>
        <v/>
      </c>
      <c r="G442" s="181">
        <f>IFERROR(""&amp;INDEX(tk_DLINE,MATCH(437,tk_DSEQ,0)),"")</f>
        <v/>
      </c>
      <c r="H442" s="181">
        <f>IFERROR(""&amp;INDEX(tk_LOCTXTD,MATCH(437,tk_DSEQ,0)),"")</f>
        <v/>
      </c>
      <c r="I442" s="162">
        <f>IFERROR(""&amp;INDEX(tk_DNOTES,MATCH(437,tk_DSEQ,0)),"")</f>
        <v/>
      </c>
    </row>
    <row r="443">
      <c r="A443" s="161">
        <f>IFERROR(""&amp;INDEX(tk_MARK,MATCH(438,tk_DSEQ,0)),"")</f>
        <v/>
      </c>
      <c r="B443" s="162">
        <f>IFERROR(INDEX(tk_QTY,MATCH(438,tk_DSEQ,0)),"")</f>
        <v/>
      </c>
      <c r="C443" s="162">
        <f>IFERROR(INDEX(tk_ROOMF,MATCH(438,tk_DSEQ,0))&amp;IF(INDEX(tk_ROOMT,MATCH(438,tk_DSEQ,0))="",""," → "&amp;INDEX(tk_ROOMT,MATCH(438,tk_DSEQ,0))),"")</f>
        <v/>
      </c>
      <c r="D443" s="162">
        <f>IFERROR(INDEX(tk_LEAVES,MATCH(438,tk_DSEQ,0)),"")</f>
        <v/>
      </c>
      <c r="E443" s="162">
        <f>IFERROR(""&amp;INDEX(tk_RATING,MATCH(438,tk_DSEQ,0)),"")</f>
        <v/>
      </c>
      <c r="F443" s="162">
        <f>IFERROR(TEXT(INDEX(tk_LEAFW,MATCH(438,tk_DSEQ,0)),"0.000")&amp;" x "&amp;TEXT(INDEX(tk_LEAFH,MATCH(438,tk_DSEQ,0)),"0.000"),"")</f>
        <v/>
      </c>
      <c r="G443" s="181">
        <f>IFERROR(""&amp;INDEX(tk_DLINE,MATCH(438,tk_DSEQ,0)),"")</f>
        <v/>
      </c>
      <c r="H443" s="181">
        <f>IFERROR(""&amp;INDEX(tk_LOCTXTD,MATCH(438,tk_DSEQ,0)),"")</f>
        <v/>
      </c>
      <c r="I443" s="162">
        <f>IFERROR(""&amp;INDEX(tk_DNOTES,MATCH(438,tk_DSEQ,0)),"")</f>
        <v/>
      </c>
    </row>
    <row r="444">
      <c r="A444" s="161">
        <f>IFERROR(""&amp;INDEX(tk_MARK,MATCH(439,tk_DSEQ,0)),"")</f>
        <v/>
      </c>
      <c r="B444" s="162">
        <f>IFERROR(INDEX(tk_QTY,MATCH(439,tk_DSEQ,0)),"")</f>
        <v/>
      </c>
      <c r="C444" s="162">
        <f>IFERROR(INDEX(tk_ROOMF,MATCH(439,tk_DSEQ,0))&amp;IF(INDEX(tk_ROOMT,MATCH(439,tk_DSEQ,0))="",""," → "&amp;INDEX(tk_ROOMT,MATCH(439,tk_DSEQ,0))),"")</f>
        <v/>
      </c>
      <c r="D444" s="162">
        <f>IFERROR(INDEX(tk_LEAVES,MATCH(439,tk_DSEQ,0)),"")</f>
        <v/>
      </c>
      <c r="E444" s="162">
        <f>IFERROR(""&amp;INDEX(tk_RATING,MATCH(439,tk_DSEQ,0)),"")</f>
        <v/>
      </c>
      <c r="F444" s="162">
        <f>IFERROR(TEXT(INDEX(tk_LEAFW,MATCH(439,tk_DSEQ,0)),"0.000")&amp;" x "&amp;TEXT(INDEX(tk_LEAFH,MATCH(439,tk_DSEQ,0)),"0.000"),"")</f>
        <v/>
      </c>
      <c r="G444" s="181">
        <f>IFERROR(""&amp;INDEX(tk_DLINE,MATCH(439,tk_DSEQ,0)),"")</f>
        <v/>
      </c>
      <c r="H444" s="181">
        <f>IFERROR(""&amp;INDEX(tk_LOCTXTD,MATCH(439,tk_DSEQ,0)),"")</f>
        <v/>
      </c>
      <c r="I444" s="162">
        <f>IFERROR(""&amp;INDEX(tk_DNOTES,MATCH(439,tk_DSEQ,0)),"")</f>
        <v/>
      </c>
    </row>
    <row r="445">
      <c r="A445" s="161">
        <f>IFERROR(""&amp;INDEX(tk_MARK,MATCH(440,tk_DSEQ,0)),"")</f>
        <v/>
      </c>
      <c r="B445" s="162">
        <f>IFERROR(INDEX(tk_QTY,MATCH(440,tk_DSEQ,0)),"")</f>
        <v/>
      </c>
      <c r="C445" s="162">
        <f>IFERROR(INDEX(tk_ROOMF,MATCH(440,tk_DSEQ,0))&amp;IF(INDEX(tk_ROOMT,MATCH(440,tk_DSEQ,0))="",""," → "&amp;INDEX(tk_ROOMT,MATCH(440,tk_DSEQ,0))),"")</f>
        <v/>
      </c>
      <c r="D445" s="162">
        <f>IFERROR(INDEX(tk_LEAVES,MATCH(440,tk_DSEQ,0)),"")</f>
        <v/>
      </c>
      <c r="E445" s="162">
        <f>IFERROR(""&amp;INDEX(tk_RATING,MATCH(440,tk_DSEQ,0)),"")</f>
        <v/>
      </c>
      <c r="F445" s="162">
        <f>IFERROR(TEXT(INDEX(tk_LEAFW,MATCH(440,tk_DSEQ,0)),"0.000")&amp;" x "&amp;TEXT(INDEX(tk_LEAFH,MATCH(440,tk_DSEQ,0)),"0.000"),"")</f>
        <v/>
      </c>
      <c r="G445" s="181">
        <f>IFERROR(""&amp;INDEX(tk_DLINE,MATCH(440,tk_DSEQ,0)),"")</f>
        <v/>
      </c>
      <c r="H445" s="181">
        <f>IFERROR(""&amp;INDEX(tk_LOCTXTD,MATCH(440,tk_DSEQ,0)),"")</f>
        <v/>
      </c>
      <c r="I445" s="162">
        <f>IFERROR(""&amp;INDEX(tk_DNOTES,MATCH(440,tk_DSEQ,0)),"")</f>
        <v/>
      </c>
    </row>
    <row r="446">
      <c r="A446" s="161">
        <f>IFERROR(""&amp;INDEX(tk_MARK,MATCH(441,tk_DSEQ,0)),"")</f>
        <v/>
      </c>
      <c r="B446" s="162">
        <f>IFERROR(INDEX(tk_QTY,MATCH(441,tk_DSEQ,0)),"")</f>
        <v/>
      </c>
      <c r="C446" s="162">
        <f>IFERROR(INDEX(tk_ROOMF,MATCH(441,tk_DSEQ,0))&amp;IF(INDEX(tk_ROOMT,MATCH(441,tk_DSEQ,0))="",""," → "&amp;INDEX(tk_ROOMT,MATCH(441,tk_DSEQ,0))),"")</f>
        <v/>
      </c>
      <c r="D446" s="162">
        <f>IFERROR(INDEX(tk_LEAVES,MATCH(441,tk_DSEQ,0)),"")</f>
        <v/>
      </c>
      <c r="E446" s="162">
        <f>IFERROR(""&amp;INDEX(tk_RATING,MATCH(441,tk_DSEQ,0)),"")</f>
        <v/>
      </c>
      <c r="F446" s="162">
        <f>IFERROR(TEXT(INDEX(tk_LEAFW,MATCH(441,tk_DSEQ,0)),"0.000")&amp;" x "&amp;TEXT(INDEX(tk_LEAFH,MATCH(441,tk_DSEQ,0)),"0.000"),"")</f>
        <v/>
      </c>
      <c r="G446" s="181">
        <f>IFERROR(""&amp;INDEX(tk_DLINE,MATCH(441,tk_DSEQ,0)),"")</f>
        <v/>
      </c>
      <c r="H446" s="181">
        <f>IFERROR(""&amp;INDEX(tk_LOCTXTD,MATCH(441,tk_DSEQ,0)),"")</f>
        <v/>
      </c>
      <c r="I446" s="162">
        <f>IFERROR(""&amp;INDEX(tk_DNOTES,MATCH(441,tk_DSEQ,0)),"")</f>
        <v/>
      </c>
    </row>
    <row r="447">
      <c r="A447" s="161">
        <f>IFERROR(""&amp;INDEX(tk_MARK,MATCH(442,tk_DSEQ,0)),"")</f>
        <v/>
      </c>
      <c r="B447" s="162">
        <f>IFERROR(INDEX(tk_QTY,MATCH(442,tk_DSEQ,0)),"")</f>
        <v/>
      </c>
      <c r="C447" s="162">
        <f>IFERROR(INDEX(tk_ROOMF,MATCH(442,tk_DSEQ,0))&amp;IF(INDEX(tk_ROOMT,MATCH(442,tk_DSEQ,0))="",""," → "&amp;INDEX(tk_ROOMT,MATCH(442,tk_DSEQ,0))),"")</f>
        <v/>
      </c>
      <c r="D447" s="162">
        <f>IFERROR(INDEX(tk_LEAVES,MATCH(442,tk_DSEQ,0)),"")</f>
        <v/>
      </c>
      <c r="E447" s="162">
        <f>IFERROR(""&amp;INDEX(tk_RATING,MATCH(442,tk_DSEQ,0)),"")</f>
        <v/>
      </c>
      <c r="F447" s="162">
        <f>IFERROR(TEXT(INDEX(tk_LEAFW,MATCH(442,tk_DSEQ,0)),"0.000")&amp;" x "&amp;TEXT(INDEX(tk_LEAFH,MATCH(442,tk_DSEQ,0)),"0.000"),"")</f>
        <v/>
      </c>
      <c r="G447" s="181">
        <f>IFERROR(""&amp;INDEX(tk_DLINE,MATCH(442,tk_DSEQ,0)),"")</f>
        <v/>
      </c>
      <c r="H447" s="181">
        <f>IFERROR(""&amp;INDEX(tk_LOCTXTD,MATCH(442,tk_DSEQ,0)),"")</f>
        <v/>
      </c>
      <c r="I447" s="162">
        <f>IFERROR(""&amp;INDEX(tk_DNOTES,MATCH(442,tk_DSEQ,0)),"")</f>
        <v/>
      </c>
    </row>
    <row r="448">
      <c r="A448" s="161">
        <f>IFERROR(""&amp;INDEX(tk_MARK,MATCH(443,tk_DSEQ,0)),"")</f>
        <v/>
      </c>
      <c r="B448" s="162">
        <f>IFERROR(INDEX(tk_QTY,MATCH(443,tk_DSEQ,0)),"")</f>
        <v/>
      </c>
      <c r="C448" s="162">
        <f>IFERROR(INDEX(tk_ROOMF,MATCH(443,tk_DSEQ,0))&amp;IF(INDEX(tk_ROOMT,MATCH(443,tk_DSEQ,0))="",""," → "&amp;INDEX(tk_ROOMT,MATCH(443,tk_DSEQ,0))),"")</f>
        <v/>
      </c>
      <c r="D448" s="162">
        <f>IFERROR(INDEX(tk_LEAVES,MATCH(443,tk_DSEQ,0)),"")</f>
        <v/>
      </c>
      <c r="E448" s="162">
        <f>IFERROR(""&amp;INDEX(tk_RATING,MATCH(443,tk_DSEQ,0)),"")</f>
        <v/>
      </c>
      <c r="F448" s="162">
        <f>IFERROR(TEXT(INDEX(tk_LEAFW,MATCH(443,tk_DSEQ,0)),"0.000")&amp;" x "&amp;TEXT(INDEX(tk_LEAFH,MATCH(443,tk_DSEQ,0)),"0.000"),"")</f>
        <v/>
      </c>
      <c r="G448" s="181">
        <f>IFERROR(""&amp;INDEX(tk_DLINE,MATCH(443,tk_DSEQ,0)),"")</f>
        <v/>
      </c>
      <c r="H448" s="181">
        <f>IFERROR(""&amp;INDEX(tk_LOCTXTD,MATCH(443,tk_DSEQ,0)),"")</f>
        <v/>
      </c>
      <c r="I448" s="162">
        <f>IFERROR(""&amp;INDEX(tk_DNOTES,MATCH(443,tk_DSEQ,0)),"")</f>
        <v/>
      </c>
    </row>
    <row r="449">
      <c r="A449" s="161">
        <f>IFERROR(""&amp;INDEX(tk_MARK,MATCH(444,tk_DSEQ,0)),"")</f>
        <v/>
      </c>
      <c r="B449" s="162">
        <f>IFERROR(INDEX(tk_QTY,MATCH(444,tk_DSEQ,0)),"")</f>
        <v/>
      </c>
      <c r="C449" s="162">
        <f>IFERROR(INDEX(tk_ROOMF,MATCH(444,tk_DSEQ,0))&amp;IF(INDEX(tk_ROOMT,MATCH(444,tk_DSEQ,0))="",""," → "&amp;INDEX(tk_ROOMT,MATCH(444,tk_DSEQ,0))),"")</f>
        <v/>
      </c>
      <c r="D449" s="162">
        <f>IFERROR(INDEX(tk_LEAVES,MATCH(444,tk_DSEQ,0)),"")</f>
        <v/>
      </c>
      <c r="E449" s="162">
        <f>IFERROR(""&amp;INDEX(tk_RATING,MATCH(444,tk_DSEQ,0)),"")</f>
        <v/>
      </c>
      <c r="F449" s="162">
        <f>IFERROR(TEXT(INDEX(tk_LEAFW,MATCH(444,tk_DSEQ,0)),"0.000")&amp;" x "&amp;TEXT(INDEX(tk_LEAFH,MATCH(444,tk_DSEQ,0)),"0.000"),"")</f>
        <v/>
      </c>
      <c r="G449" s="181">
        <f>IFERROR(""&amp;INDEX(tk_DLINE,MATCH(444,tk_DSEQ,0)),"")</f>
        <v/>
      </c>
      <c r="H449" s="181">
        <f>IFERROR(""&amp;INDEX(tk_LOCTXTD,MATCH(444,tk_DSEQ,0)),"")</f>
        <v/>
      </c>
      <c r="I449" s="162">
        <f>IFERROR(""&amp;INDEX(tk_DNOTES,MATCH(444,tk_DSEQ,0)),"")</f>
        <v/>
      </c>
    </row>
    <row r="450">
      <c r="A450" s="161">
        <f>IFERROR(""&amp;INDEX(tk_MARK,MATCH(445,tk_DSEQ,0)),"")</f>
        <v/>
      </c>
      <c r="B450" s="162">
        <f>IFERROR(INDEX(tk_QTY,MATCH(445,tk_DSEQ,0)),"")</f>
        <v/>
      </c>
      <c r="C450" s="162">
        <f>IFERROR(INDEX(tk_ROOMF,MATCH(445,tk_DSEQ,0))&amp;IF(INDEX(tk_ROOMT,MATCH(445,tk_DSEQ,0))="",""," → "&amp;INDEX(tk_ROOMT,MATCH(445,tk_DSEQ,0))),"")</f>
        <v/>
      </c>
      <c r="D450" s="162">
        <f>IFERROR(INDEX(tk_LEAVES,MATCH(445,tk_DSEQ,0)),"")</f>
        <v/>
      </c>
      <c r="E450" s="162">
        <f>IFERROR(""&amp;INDEX(tk_RATING,MATCH(445,tk_DSEQ,0)),"")</f>
        <v/>
      </c>
      <c r="F450" s="162">
        <f>IFERROR(TEXT(INDEX(tk_LEAFW,MATCH(445,tk_DSEQ,0)),"0.000")&amp;" x "&amp;TEXT(INDEX(tk_LEAFH,MATCH(445,tk_DSEQ,0)),"0.000"),"")</f>
        <v/>
      </c>
      <c r="G450" s="181">
        <f>IFERROR(""&amp;INDEX(tk_DLINE,MATCH(445,tk_DSEQ,0)),"")</f>
        <v/>
      </c>
      <c r="H450" s="181">
        <f>IFERROR(""&amp;INDEX(tk_LOCTXTD,MATCH(445,tk_DSEQ,0)),"")</f>
        <v/>
      </c>
      <c r="I450" s="162">
        <f>IFERROR(""&amp;INDEX(tk_DNOTES,MATCH(445,tk_DSEQ,0)),"")</f>
        <v/>
      </c>
    </row>
    <row r="451">
      <c r="A451" s="161">
        <f>IFERROR(""&amp;INDEX(tk_MARK,MATCH(446,tk_DSEQ,0)),"")</f>
        <v/>
      </c>
      <c r="B451" s="162">
        <f>IFERROR(INDEX(tk_QTY,MATCH(446,tk_DSEQ,0)),"")</f>
        <v/>
      </c>
      <c r="C451" s="162">
        <f>IFERROR(INDEX(tk_ROOMF,MATCH(446,tk_DSEQ,0))&amp;IF(INDEX(tk_ROOMT,MATCH(446,tk_DSEQ,0))="",""," → "&amp;INDEX(tk_ROOMT,MATCH(446,tk_DSEQ,0))),"")</f>
        <v/>
      </c>
      <c r="D451" s="162">
        <f>IFERROR(INDEX(tk_LEAVES,MATCH(446,tk_DSEQ,0)),"")</f>
        <v/>
      </c>
      <c r="E451" s="162">
        <f>IFERROR(""&amp;INDEX(tk_RATING,MATCH(446,tk_DSEQ,0)),"")</f>
        <v/>
      </c>
      <c r="F451" s="162">
        <f>IFERROR(TEXT(INDEX(tk_LEAFW,MATCH(446,tk_DSEQ,0)),"0.000")&amp;" x "&amp;TEXT(INDEX(tk_LEAFH,MATCH(446,tk_DSEQ,0)),"0.000"),"")</f>
        <v/>
      </c>
      <c r="G451" s="181">
        <f>IFERROR(""&amp;INDEX(tk_DLINE,MATCH(446,tk_DSEQ,0)),"")</f>
        <v/>
      </c>
      <c r="H451" s="181">
        <f>IFERROR(""&amp;INDEX(tk_LOCTXTD,MATCH(446,tk_DSEQ,0)),"")</f>
        <v/>
      </c>
      <c r="I451" s="162">
        <f>IFERROR(""&amp;INDEX(tk_DNOTES,MATCH(446,tk_DSEQ,0)),"")</f>
        <v/>
      </c>
    </row>
    <row r="452">
      <c r="A452" s="161">
        <f>IFERROR(""&amp;INDEX(tk_MARK,MATCH(447,tk_DSEQ,0)),"")</f>
        <v/>
      </c>
      <c r="B452" s="162">
        <f>IFERROR(INDEX(tk_QTY,MATCH(447,tk_DSEQ,0)),"")</f>
        <v/>
      </c>
      <c r="C452" s="162">
        <f>IFERROR(INDEX(tk_ROOMF,MATCH(447,tk_DSEQ,0))&amp;IF(INDEX(tk_ROOMT,MATCH(447,tk_DSEQ,0))="",""," → "&amp;INDEX(tk_ROOMT,MATCH(447,tk_DSEQ,0))),"")</f>
        <v/>
      </c>
      <c r="D452" s="162">
        <f>IFERROR(INDEX(tk_LEAVES,MATCH(447,tk_DSEQ,0)),"")</f>
        <v/>
      </c>
      <c r="E452" s="162">
        <f>IFERROR(""&amp;INDEX(tk_RATING,MATCH(447,tk_DSEQ,0)),"")</f>
        <v/>
      </c>
      <c r="F452" s="162">
        <f>IFERROR(TEXT(INDEX(tk_LEAFW,MATCH(447,tk_DSEQ,0)),"0.000")&amp;" x "&amp;TEXT(INDEX(tk_LEAFH,MATCH(447,tk_DSEQ,0)),"0.000"),"")</f>
        <v/>
      </c>
      <c r="G452" s="181">
        <f>IFERROR(""&amp;INDEX(tk_DLINE,MATCH(447,tk_DSEQ,0)),"")</f>
        <v/>
      </c>
      <c r="H452" s="181">
        <f>IFERROR(""&amp;INDEX(tk_LOCTXTD,MATCH(447,tk_DSEQ,0)),"")</f>
        <v/>
      </c>
      <c r="I452" s="162">
        <f>IFERROR(""&amp;INDEX(tk_DNOTES,MATCH(447,tk_DSEQ,0)),"")</f>
        <v/>
      </c>
    </row>
    <row r="453">
      <c r="A453" s="161">
        <f>IFERROR(""&amp;INDEX(tk_MARK,MATCH(448,tk_DSEQ,0)),"")</f>
        <v/>
      </c>
      <c r="B453" s="162">
        <f>IFERROR(INDEX(tk_QTY,MATCH(448,tk_DSEQ,0)),"")</f>
        <v/>
      </c>
      <c r="C453" s="162">
        <f>IFERROR(INDEX(tk_ROOMF,MATCH(448,tk_DSEQ,0))&amp;IF(INDEX(tk_ROOMT,MATCH(448,tk_DSEQ,0))="",""," → "&amp;INDEX(tk_ROOMT,MATCH(448,tk_DSEQ,0))),"")</f>
        <v/>
      </c>
      <c r="D453" s="162">
        <f>IFERROR(INDEX(tk_LEAVES,MATCH(448,tk_DSEQ,0)),"")</f>
        <v/>
      </c>
      <c r="E453" s="162">
        <f>IFERROR(""&amp;INDEX(tk_RATING,MATCH(448,tk_DSEQ,0)),"")</f>
        <v/>
      </c>
      <c r="F453" s="162">
        <f>IFERROR(TEXT(INDEX(tk_LEAFW,MATCH(448,tk_DSEQ,0)),"0.000")&amp;" x "&amp;TEXT(INDEX(tk_LEAFH,MATCH(448,tk_DSEQ,0)),"0.000"),"")</f>
        <v/>
      </c>
      <c r="G453" s="181">
        <f>IFERROR(""&amp;INDEX(tk_DLINE,MATCH(448,tk_DSEQ,0)),"")</f>
        <v/>
      </c>
      <c r="H453" s="181">
        <f>IFERROR(""&amp;INDEX(tk_LOCTXTD,MATCH(448,tk_DSEQ,0)),"")</f>
        <v/>
      </c>
      <c r="I453" s="162">
        <f>IFERROR(""&amp;INDEX(tk_DNOTES,MATCH(448,tk_DSEQ,0)),"")</f>
        <v/>
      </c>
    </row>
    <row r="454">
      <c r="A454" s="161">
        <f>IFERROR(""&amp;INDEX(tk_MARK,MATCH(449,tk_DSEQ,0)),"")</f>
        <v/>
      </c>
      <c r="B454" s="162">
        <f>IFERROR(INDEX(tk_QTY,MATCH(449,tk_DSEQ,0)),"")</f>
        <v/>
      </c>
      <c r="C454" s="162">
        <f>IFERROR(INDEX(tk_ROOMF,MATCH(449,tk_DSEQ,0))&amp;IF(INDEX(tk_ROOMT,MATCH(449,tk_DSEQ,0))="",""," → "&amp;INDEX(tk_ROOMT,MATCH(449,tk_DSEQ,0))),"")</f>
        <v/>
      </c>
      <c r="D454" s="162">
        <f>IFERROR(INDEX(tk_LEAVES,MATCH(449,tk_DSEQ,0)),"")</f>
        <v/>
      </c>
      <c r="E454" s="162">
        <f>IFERROR(""&amp;INDEX(tk_RATING,MATCH(449,tk_DSEQ,0)),"")</f>
        <v/>
      </c>
      <c r="F454" s="162">
        <f>IFERROR(TEXT(INDEX(tk_LEAFW,MATCH(449,tk_DSEQ,0)),"0.000")&amp;" x "&amp;TEXT(INDEX(tk_LEAFH,MATCH(449,tk_DSEQ,0)),"0.000"),"")</f>
        <v/>
      </c>
      <c r="G454" s="181">
        <f>IFERROR(""&amp;INDEX(tk_DLINE,MATCH(449,tk_DSEQ,0)),"")</f>
        <v/>
      </c>
      <c r="H454" s="181">
        <f>IFERROR(""&amp;INDEX(tk_LOCTXTD,MATCH(449,tk_DSEQ,0)),"")</f>
        <v/>
      </c>
      <c r="I454" s="162">
        <f>IFERROR(""&amp;INDEX(tk_DNOTES,MATCH(449,tk_DSEQ,0)),"")</f>
        <v/>
      </c>
    </row>
    <row r="455">
      <c r="A455" s="161">
        <f>IFERROR(""&amp;INDEX(tk_MARK,MATCH(450,tk_DSEQ,0)),"")</f>
        <v/>
      </c>
      <c r="B455" s="162">
        <f>IFERROR(INDEX(tk_QTY,MATCH(450,tk_DSEQ,0)),"")</f>
        <v/>
      </c>
      <c r="C455" s="162">
        <f>IFERROR(INDEX(tk_ROOMF,MATCH(450,tk_DSEQ,0))&amp;IF(INDEX(tk_ROOMT,MATCH(450,tk_DSEQ,0))="",""," → "&amp;INDEX(tk_ROOMT,MATCH(450,tk_DSEQ,0))),"")</f>
        <v/>
      </c>
      <c r="D455" s="162">
        <f>IFERROR(INDEX(tk_LEAVES,MATCH(450,tk_DSEQ,0)),"")</f>
        <v/>
      </c>
      <c r="E455" s="162">
        <f>IFERROR(""&amp;INDEX(tk_RATING,MATCH(450,tk_DSEQ,0)),"")</f>
        <v/>
      </c>
      <c r="F455" s="162">
        <f>IFERROR(TEXT(INDEX(tk_LEAFW,MATCH(450,tk_DSEQ,0)),"0.000")&amp;" x "&amp;TEXT(INDEX(tk_LEAFH,MATCH(450,tk_DSEQ,0)),"0.000"),"")</f>
        <v/>
      </c>
      <c r="G455" s="181">
        <f>IFERROR(""&amp;INDEX(tk_DLINE,MATCH(450,tk_DSEQ,0)),"")</f>
        <v/>
      </c>
      <c r="H455" s="181">
        <f>IFERROR(""&amp;INDEX(tk_LOCTXTD,MATCH(450,tk_DSEQ,0)),"")</f>
        <v/>
      </c>
      <c r="I455" s="162">
        <f>IFERROR(""&amp;INDEX(tk_DNOTES,MATCH(450,tk_DSEQ,0)),"")</f>
        <v/>
      </c>
    </row>
    <row r="456">
      <c r="A456" s="161">
        <f>IFERROR(""&amp;INDEX(tk_MARK,MATCH(451,tk_DSEQ,0)),"")</f>
        <v/>
      </c>
      <c r="B456" s="162">
        <f>IFERROR(INDEX(tk_QTY,MATCH(451,tk_DSEQ,0)),"")</f>
        <v/>
      </c>
      <c r="C456" s="162">
        <f>IFERROR(INDEX(tk_ROOMF,MATCH(451,tk_DSEQ,0))&amp;IF(INDEX(tk_ROOMT,MATCH(451,tk_DSEQ,0))="",""," → "&amp;INDEX(tk_ROOMT,MATCH(451,tk_DSEQ,0))),"")</f>
        <v/>
      </c>
      <c r="D456" s="162">
        <f>IFERROR(INDEX(tk_LEAVES,MATCH(451,tk_DSEQ,0)),"")</f>
        <v/>
      </c>
      <c r="E456" s="162">
        <f>IFERROR(""&amp;INDEX(tk_RATING,MATCH(451,tk_DSEQ,0)),"")</f>
        <v/>
      </c>
      <c r="F456" s="162">
        <f>IFERROR(TEXT(INDEX(tk_LEAFW,MATCH(451,tk_DSEQ,0)),"0.000")&amp;" x "&amp;TEXT(INDEX(tk_LEAFH,MATCH(451,tk_DSEQ,0)),"0.000"),"")</f>
        <v/>
      </c>
      <c r="G456" s="181">
        <f>IFERROR(""&amp;INDEX(tk_DLINE,MATCH(451,tk_DSEQ,0)),"")</f>
        <v/>
      </c>
      <c r="H456" s="181">
        <f>IFERROR(""&amp;INDEX(tk_LOCTXTD,MATCH(451,tk_DSEQ,0)),"")</f>
        <v/>
      </c>
      <c r="I456" s="162">
        <f>IFERROR(""&amp;INDEX(tk_DNOTES,MATCH(451,tk_DSEQ,0)),"")</f>
        <v/>
      </c>
    </row>
    <row r="457">
      <c r="A457" s="161">
        <f>IFERROR(""&amp;INDEX(tk_MARK,MATCH(452,tk_DSEQ,0)),"")</f>
        <v/>
      </c>
      <c r="B457" s="162">
        <f>IFERROR(INDEX(tk_QTY,MATCH(452,tk_DSEQ,0)),"")</f>
        <v/>
      </c>
      <c r="C457" s="162">
        <f>IFERROR(INDEX(tk_ROOMF,MATCH(452,tk_DSEQ,0))&amp;IF(INDEX(tk_ROOMT,MATCH(452,tk_DSEQ,0))="",""," → "&amp;INDEX(tk_ROOMT,MATCH(452,tk_DSEQ,0))),"")</f>
        <v/>
      </c>
      <c r="D457" s="162">
        <f>IFERROR(INDEX(tk_LEAVES,MATCH(452,tk_DSEQ,0)),"")</f>
        <v/>
      </c>
      <c r="E457" s="162">
        <f>IFERROR(""&amp;INDEX(tk_RATING,MATCH(452,tk_DSEQ,0)),"")</f>
        <v/>
      </c>
      <c r="F457" s="162">
        <f>IFERROR(TEXT(INDEX(tk_LEAFW,MATCH(452,tk_DSEQ,0)),"0.000")&amp;" x "&amp;TEXT(INDEX(tk_LEAFH,MATCH(452,tk_DSEQ,0)),"0.000"),"")</f>
        <v/>
      </c>
      <c r="G457" s="181">
        <f>IFERROR(""&amp;INDEX(tk_DLINE,MATCH(452,tk_DSEQ,0)),"")</f>
        <v/>
      </c>
      <c r="H457" s="181">
        <f>IFERROR(""&amp;INDEX(tk_LOCTXTD,MATCH(452,tk_DSEQ,0)),"")</f>
        <v/>
      </c>
      <c r="I457" s="162">
        <f>IFERROR(""&amp;INDEX(tk_DNOTES,MATCH(452,tk_DSEQ,0)),"")</f>
        <v/>
      </c>
    </row>
    <row r="458">
      <c r="A458" s="161">
        <f>IFERROR(""&amp;INDEX(tk_MARK,MATCH(453,tk_DSEQ,0)),"")</f>
        <v/>
      </c>
      <c r="B458" s="162">
        <f>IFERROR(INDEX(tk_QTY,MATCH(453,tk_DSEQ,0)),"")</f>
        <v/>
      </c>
      <c r="C458" s="162">
        <f>IFERROR(INDEX(tk_ROOMF,MATCH(453,tk_DSEQ,0))&amp;IF(INDEX(tk_ROOMT,MATCH(453,tk_DSEQ,0))="",""," → "&amp;INDEX(tk_ROOMT,MATCH(453,tk_DSEQ,0))),"")</f>
        <v/>
      </c>
      <c r="D458" s="162">
        <f>IFERROR(INDEX(tk_LEAVES,MATCH(453,tk_DSEQ,0)),"")</f>
        <v/>
      </c>
      <c r="E458" s="162">
        <f>IFERROR(""&amp;INDEX(tk_RATING,MATCH(453,tk_DSEQ,0)),"")</f>
        <v/>
      </c>
      <c r="F458" s="162">
        <f>IFERROR(TEXT(INDEX(tk_LEAFW,MATCH(453,tk_DSEQ,0)),"0.000")&amp;" x "&amp;TEXT(INDEX(tk_LEAFH,MATCH(453,tk_DSEQ,0)),"0.000"),"")</f>
        <v/>
      </c>
      <c r="G458" s="181">
        <f>IFERROR(""&amp;INDEX(tk_DLINE,MATCH(453,tk_DSEQ,0)),"")</f>
        <v/>
      </c>
      <c r="H458" s="181">
        <f>IFERROR(""&amp;INDEX(tk_LOCTXTD,MATCH(453,tk_DSEQ,0)),"")</f>
        <v/>
      </c>
      <c r="I458" s="162">
        <f>IFERROR(""&amp;INDEX(tk_DNOTES,MATCH(453,tk_DSEQ,0)),"")</f>
        <v/>
      </c>
    </row>
    <row r="459">
      <c r="A459" s="161">
        <f>IFERROR(""&amp;INDEX(tk_MARK,MATCH(454,tk_DSEQ,0)),"")</f>
        <v/>
      </c>
      <c r="B459" s="162">
        <f>IFERROR(INDEX(tk_QTY,MATCH(454,tk_DSEQ,0)),"")</f>
        <v/>
      </c>
      <c r="C459" s="162">
        <f>IFERROR(INDEX(tk_ROOMF,MATCH(454,tk_DSEQ,0))&amp;IF(INDEX(tk_ROOMT,MATCH(454,tk_DSEQ,0))="",""," → "&amp;INDEX(tk_ROOMT,MATCH(454,tk_DSEQ,0))),"")</f>
        <v/>
      </c>
      <c r="D459" s="162">
        <f>IFERROR(INDEX(tk_LEAVES,MATCH(454,tk_DSEQ,0)),"")</f>
        <v/>
      </c>
      <c r="E459" s="162">
        <f>IFERROR(""&amp;INDEX(tk_RATING,MATCH(454,tk_DSEQ,0)),"")</f>
        <v/>
      </c>
      <c r="F459" s="162">
        <f>IFERROR(TEXT(INDEX(tk_LEAFW,MATCH(454,tk_DSEQ,0)),"0.000")&amp;" x "&amp;TEXT(INDEX(tk_LEAFH,MATCH(454,tk_DSEQ,0)),"0.000"),"")</f>
        <v/>
      </c>
      <c r="G459" s="181">
        <f>IFERROR(""&amp;INDEX(tk_DLINE,MATCH(454,tk_DSEQ,0)),"")</f>
        <v/>
      </c>
      <c r="H459" s="181">
        <f>IFERROR(""&amp;INDEX(tk_LOCTXTD,MATCH(454,tk_DSEQ,0)),"")</f>
        <v/>
      </c>
      <c r="I459" s="162">
        <f>IFERROR(""&amp;INDEX(tk_DNOTES,MATCH(454,tk_DSEQ,0)),"")</f>
        <v/>
      </c>
    </row>
    <row r="460">
      <c r="A460" s="161">
        <f>IFERROR(""&amp;INDEX(tk_MARK,MATCH(455,tk_DSEQ,0)),"")</f>
        <v/>
      </c>
      <c r="B460" s="162">
        <f>IFERROR(INDEX(tk_QTY,MATCH(455,tk_DSEQ,0)),"")</f>
        <v/>
      </c>
      <c r="C460" s="162">
        <f>IFERROR(INDEX(tk_ROOMF,MATCH(455,tk_DSEQ,0))&amp;IF(INDEX(tk_ROOMT,MATCH(455,tk_DSEQ,0))="",""," → "&amp;INDEX(tk_ROOMT,MATCH(455,tk_DSEQ,0))),"")</f>
        <v/>
      </c>
      <c r="D460" s="162">
        <f>IFERROR(INDEX(tk_LEAVES,MATCH(455,tk_DSEQ,0)),"")</f>
        <v/>
      </c>
      <c r="E460" s="162">
        <f>IFERROR(""&amp;INDEX(tk_RATING,MATCH(455,tk_DSEQ,0)),"")</f>
        <v/>
      </c>
      <c r="F460" s="162">
        <f>IFERROR(TEXT(INDEX(tk_LEAFW,MATCH(455,tk_DSEQ,0)),"0.000")&amp;" x "&amp;TEXT(INDEX(tk_LEAFH,MATCH(455,tk_DSEQ,0)),"0.000"),"")</f>
        <v/>
      </c>
      <c r="G460" s="181">
        <f>IFERROR(""&amp;INDEX(tk_DLINE,MATCH(455,tk_DSEQ,0)),"")</f>
        <v/>
      </c>
      <c r="H460" s="181">
        <f>IFERROR(""&amp;INDEX(tk_LOCTXTD,MATCH(455,tk_DSEQ,0)),"")</f>
        <v/>
      </c>
      <c r="I460" s="162">
        <f>IFERROR(""&amp;INDEX(tk_DNOTES,MATCH(455,tk_DSEQ,0)),"")</f>
        <v/>
      </c>
    </row>
    <row r="461">
      <c r="A461" s="161">
        <f>IFERROR(""&amp;INDEX(tk_MARK,MATCH(456,tk_DSEQ,0)),"")</f>
        <v/>
      </c>
      <c r="B461" s="162">
        <f>IFERROR(INDEX(tk_QTY,MATCH(456,tk_DSEQ,0)),"")</f>
        <v/>
      </c>
      <c r="C461" s="162">
        <f>IFERROR(INDEX(tk_ROOMF,MATCH(456,tk_DSEQ,0))&amp;IF(INDEX(tk_ROOMT,MATCH(456,tk_DSEQ,0))="",""," → "&amp;INDEX(tk_ROOMT,MATCH(456,tk_DSEQ,0))),"")</f>
        <v/>
      </c>
      <c r="D461" s="162">
        <f>IFERROR(INDEX(tk_LEAVES,MATCH(456,tk_DSEQ,0)),"")</f>
        <v/>
      </c>
      <c r="E461" s="162">
        <f>IFERROR(""&amp;INDEX(tk_RATING,MATCH(456,tk_DSEQ,0)),"")</f>
        <v/>
      </c>
      <c r="F461" s="162">
        <f>IFERROR(TEXT(INDEX(tk_LEAFW,MATCH(456,tk_DSEQ,0)),"0.000")&amp;" x "&amp;TEXT(INDEX(tk_LEAFH,MATCH(456,tk_DSEQ,0)),"0.000"),"")</f>
        <v/>
      </c>
      <c r="G461" s="181">
        <f>IFERROR(""&amp;INDEX(tk_DLINE,MATCH(456,tk_DSEQ,0)),"")</f>
        <v/>
      </c>
      <c r="H461" s="181">
        <f>IFERROR(""&amp;INDEX(tk_LOCTXTD,MATCH(456,tk_DSEQ,0)),"")</f>
        <v/>
      </c>
      <c r="I461" s="162">
        <f>IFERROR(""&amp;INDEX(tk_DNOTES,MATCH(456,tk_DSEQ,0)),"")</f>
        <v/>
      </c>
    </row>
    <row r="462">
      <c r="A462" s="161">
        <f>IFERROR(""&amp;INDEX(tk_MARK,MATCH(457,tk_DSEQ,0)),"")</f>
        <v/>
      </c>
      <c r="B462" s="162">
        <f>IFERROR(INDEX(tk_QTY,MATCH(457,tk_DSEQ,0)),"")</f>
        <v/>
      </c>
      <c r="C462" s="162">
        <f>IFERROR(INDEX(tk_ROOMF,MATCH(457,tk_DSEQ,0))&amp;IF(INDEX(tk_ROOMT,MATCH(457,tk_DSEQ,0))="",""," → "&amp;INDEX(tk_ROOMT,MATCH(457,tk_DSEQ,0))),"")</f>
        <v/>
      </c>
      <c r="D462" s="162">
        <f>IFERROR(INDEX(tk_LEAVES,MATCH(457,tk_DSEQ,0)),"")</f>
        <v/>
      </c>
      <c r="E462" s="162">
        <f>IFERROR(""&amp;INDEX(tk_RATING,MATCH(457,tk_DSEQ,0)),"")</f>
        <v/>
      </c>
      <c r="F462" s="162">
        <f>IFERROR(TEXT(INDEX(tk_LEAFW,MATCH(457,tk_DSEQ,0)),"0.000")&amp;" x "&amp;TEXT(INDEX(tk_LEAFH,MATCH(457,tk_DSEQ,0)),"0.000"),"")</f>
        <v/>
      </c>
      <c r="G462" s="181">
        <f>IFERROR(""&amp;INDEX(tk_DLINE,MATCH(457,tk_DSEQ,0)),"")</f>
        <v/>
      </c>
      <c r="H462" s="181">
        <f>IFERROR(""&amp;INDEX(tk_LOCTXTD,MATCH(457,tk_DSEQ,0)),"")</f>
        <v/>
      </c>
      <c r="I462" s="162">
        <f>IFERROR(""&amp;INDEX(tk_DNOTES,MATCH(457,tk_DSEQ,0)),"")</f>
        <v/>
      </c>
    </row>
    <row r="463">
      <c r="A463" s="161">
        <f>IFERROR(""&amp;INDEX(tk_MARK,MATCH(458,tk_DSEQ,0)),"")</f>
        <v/>
      </c>
      <c r="B463" s="162">
        <f>IFERROR(INDEX(tk_QTY,MATCH(458,tk_DSEQ,0)),"")</f>
        <v/>
      </c>
      <c r="C463" s="162">
        <f>IFERROR(INDEX(tk_ROOMF,MATCH(458,tk_DSEQ,0))&amp;IF(INDEX(tk_ROOMT,MATCH(458,tk_DSEQ,0))="",""," → "&amp;INDEX(tk_ROOMT,MATCH(458,tk_DSEQ,0))),"")</f>
        <v/>
      </c>
      <c r="D463" s="162">
        <f>IFERROR(INDEX(tk_LEAVES,MATCH(458,tk_DSEQ,0)),"")</f>
        <v/>
      </c>
      <c r="E463" s="162">
        <f>IFERROR(""&amp;INDEX(tk_RATING,MATCH(458,tk_DSEQ,0)),"")</f>
        <v/>
      </c>
      <c r="F463" s="162">
        <f>IFERROR(TEXT(INDEX(tk_LEAFW,MATCH(458,tk_DSEQ,0)),"0.000")&amp;" x "&amp;TEXT(INDEX(tk_LEAFH,MATCH(458,tk_DSEQ,0)),"0.000"),"")</f>
        <v/>
      </c>
      <c r="G463" s="181">
        <f>IFERROR(""&amp;INDEX(tk_DLINE,MATCH(458,tk_DSEQ,0)),"")</f>
        <v/>
      </c>
      <c r="H463" s="181">
        <f>IFERROR(""&amp;INDEX(tk_LOCTXTD,MATCH(458,tk_DSEQ,0)),"")</f>
        <v/>
      </c>
      <c r="I463" s="162">
        <f>IFERROR(""&amp;INDEX(tk_DNOTES,MATCH(458,tk_DSEQ,0)),"")</f>
        <v/>
      </c>
    </row>
    <row r="464">
      <c r="A464" s="161">
        <f>IFERROR(""&amp;INDEX(tk_MARK,MATCH(459,tk_DSEQ,0)),"")</f>
        <v/>
      </c>
      <c r="B464" s="162">
        <f>IFERROR(INDEX(tk_QTY,MATCH(459,tk_DSEQ,0)),"")</f>
        <v/>
      </c>
      <c r="C464" s="162">
        <f>IFERROR(INDEX(tk_ROOMF,MATCH(459,tk_DSEQ,0))&amp;IF(INDEX(tk_ROOMT,MATCH(459,tk_DSEQ,0))="",""," → "&amp;INDEX(tk_ROOMT,MATCH(459,tk_DSEQ,0))),"")</f>
        <v/>
      </c>
      <c r="D464" s="162">
        <f>IFERROR(INDEX(tk_LEAVES,MATCH(459,tk_DSEQ,0)),"")</f>
        <v/>
      </c>
      <c r="E464" s="162">
        <f>IFERROR(""&amp;INDEX(tk_RATING,MATCH(459,tk_DSEQ,0)),"")</f>
        <v/>
      </c>
      <c r="F464" s="162">
        <f>IFERROR(TEXT(INDEX(tk_LEAFW,MATCH(459,tk_DSEQ,0)),"0.000")&amp;" x "&amp;TEXT(INDEX(tk_LEAFH,MATCH(459,tk_DSEQ,0)),"0.000"),"")</f>
        <v/>
      </c>
      <c r="G464" s="181">
        <f>IFERROR(""&amp;INDEX(tk_DLINE,MATCH(459,tk_DSEQ,0)),"")</f>
        <v/>
      </c>
      <c r="H464" s="181">
        <f>IFERROR(""&amp;INDEX(tk_LOCTXTD,MATCH(459,tk_DSEQ,0)),"")</f>
        <v/>
      </c>
      <c r="I464" s="162">
        <f>IFERROR(""&amp;INDEX(tk_DNOTES,MATCH(459,tk_DSEQ,0)),"")</f>
        <v/>
      </c>
    </row>
    <row r="465">
      <c r="A465" s="161">
        <f>IFERROR(""&amp;INDEX(tk_MARK,MATCH(460,tk_DSEQ,0)),"")</f>
        <v/>
      </c>
      <c r="B465" s="162">
        <f>IFERROR(INDEX(tk_QTY,MATCH(460,tk_DSEQ,0)),"")</f>
        <v/>
      </c>
      <c r="C465" s="162">
        <f>IFERROR(INDEX(tk_ROOMF,MATCH(460,tk_DSEQ,0))&amp;IF(INDEX(tk_ROOMT,MATCH(460,tk_DSEQ,0))="",""," → "&amp;INDEX(tk_ROOMT,MATCH(460,tk_DSEQ,0))),"")</f>
        <v/>
      </c>
      <c r="D465" s="162">
        <f>IFERROR(INDEX(tk_LEAVES,MATCH(460,tk_DSEQ,0)),"")</f>
        <v/>
      </c>
      <c r="E465" s="162">
        <f>IFERROR(""&amp;INDEX(tk_RATING,MATCH(460,tk_DSEQ,0)),"")</f>
        <v/>
      </c>
      <c r="F465" s="162">
        <f>IFERROR(TEXT(INDEX(tk_LEAFW,MATCH(460,tk_DSEQ,0)),"0.000")&amp;" x "&amp;TEXT(INDEX(tk_LEAFH,MATCH(460,tk_DSEQ,0)),"0.000"),"")</f>
        <v/>
      </c>
      <c r="G465" s="181">
        <f>IFERROR(""&amp;INDEX(tk_DLINE,MATCH(460,tk_DSEQ,0)),"")</f>
        <v/>
      </c>
      <c r="H465" s="181">
        <f>IFERROR(""&amp;INDEX(tk_LOCTXTD,MATCH(460,tk_DSEQ,0)),"")</f>
        <v/>
      </c>
      <c r="I465" s="162">
        <f>IFERROR(""&amp;INDEX(tk_DNOTES,MATCH(460,tk_DSEQ,0)),"")</f>
        <v/>
      </c>
    </row>
    <row r="466">
      <c r="A466" s="161">
        <f>IFERROR(""&amp;INDEX(tk_MARK,MATCH(461,tk_DSEQ,0)),"")</f>
        <v/>
      </c>
      <c r="B466" s="162">
        <f>IFERROR(INDEX(tk_QTY,MATCH(461,tk_DSEQ,0)),"")</f>
        <v/>
      </c>
      <c r="C466" s="162">
        <f>IFERROR(INDEX(tk_ROOMF,MATCH(461,tk_DSEQ,0))&amp;IF(INDEX(tk_ROOMT,MATCH(461,tk_DSEQ,0))="",""," → "&amp;INDEX(tk_ROOMT,MATCH(461,tk_DSEQ,0))),"")</f>
        <v/>
      </c>
      <c r="D466" s="162">
        <f>IFERROR(INDEX(tk_LEAVES,MATCH(461,tk_DSEQ,0)),"")</f>
        <v/>
      </c>
      <c r="E466" s="162">
        <f>IFERROR(""&amp;INDEX(tk_RATING,MATCH(461,tk_DSEQ,0)),"")</f>
        <v/>
      </c>
      <c r="F466" s="162">
        <f>IFERROR(TEXT(INDEX(tk_LEAFW,MATCH(461,tk_DSEQ,0)),"0.000")&amp;" x "&amp;TEXT(INDEX(tk_LEAFH,MATCH(461,tk_DSEQ,0)),"0.000"),"")</f>
        <v/>
      </c>
      <c r="G466" s="181">
        <f>IFERROR(""&amp;INDEX(tk_DLINE,MATCH(461,tk_DSEQ,0)),"")</f>
        <v/>
      </c>
      <c r="H466" s="181">
        <f>IFERROR(""&amp;INDEX(tk_LOCTXTD,MATCH(461,tk_DSEQ,0)),"")</f>
        <v/>
      </c>
      <c r="I466" s="162">
        <f>IFERROR(""&amp;INDEX(tk_DNOTES,MATCH(461,tk_DSEQ,0)),"")</f>
        <v/>
      </c>
    </row>
    <row r="467">
      <c r="A467" s="161">
        <f>IFERROR(""&amp;INDEX(tk_MARK,MATCH(462,tk_DSEQ,0)),"")</f>
        <v/>
      </c>
      <c r="B467" s="162">
        <f>IFERROR(INDEX(tk_QTY,MATCH(462,tk_DSEQ,0)),"")</f>
        <v/>
      </c>
      <c r="C467" s="162">
        <f>IFERROR(INDEX(tk_ROOMF,MATCH(462,tk_DSEQ,0))&amp;IF(INDEX(tk_ROOMT,MATCH(462,tk_DSEQ,0))="",""," → "&amp;INDEX(tk_ROOMT,MATCH(462,tk_DSEQ,0))),"")</f>
        <v/>
      </c>
      <c r="D467" s="162">
        <f>IFERROR(INDEX(tk_LEAVES,MATCH(462,tk_DSEQ,0)),"")</f>
        <v/>
      </c>
      <c r="E467" s="162">
        <f>IFERROR(""&amp;INDEX(tk_RATING,MATCH(462,tk_DSEQ,0)),"")</f>
        <v/>
      </c>
      <c r="F467" s="162">
        <f>IFERROR(TEXT(INDEX(tk_LEAFW,MATCH(462,tk_DSEQ,0)),"0.000")&amp;" x "&amp;TEXT(INDEX(tk_LEAFH,MATCH(462,tk_DSEQ,0)),"0.000"),"")</f>
        <v/>
      </c>
      <c r="G467" s="181">
        <f>IFERROR(""&amp;INDEX(tk_DLINE,MATCH(462,tk_DSEQ,0)),"")</f>
        <v/>
      </c>
      <c r="H467" s="181">
        <f>IFERROR(""&amp;INDEX(tk_LOCTXTD,MATCH(462,tk_DSEQ,0)),"")</f>
        <v/>
      </c>
      <c r="I467" s="162">
        <f>IFERROR(""&amp;INDEX(tk_DNOTES,MATCH(462,tk_DSEQ,0)),"")</f>
        <v/>
      </c>
    </row>
    <row r="468">
      <c r="A468" s="161">
        <f>IFERROR(""&amp;INDEX(tk_MARK,MATCH(463,tk_DSEQ,0)),"")</f>
        <v/>
      </c>
      <c r="B468" s="162">
        <f>IFERROR(INDEX(tk_QTY,MATCH(463,tk_DSEQ,0)),"")</f>
        <v/>
      </c>
      <c r="C468" s="162">
        <f>IFERROR(INDEX(tk_ROOMF,MATCH(463,tk_DSEQ,0))&amp;IF(INDEX(tk_ROOMT,MATCH(463,tk_DSEQ,0))="",""," → "&amp;INDEX(tk_ROOMT,MATCH(463,tk_DSEQ,0))),"")</f>
        <v/>
      </c>
      <c r="D468" s="162">
        <f>IFERROR(INDEX(tk_LEAVES,MATCH(463,tk_DSEQ,0)),"")</f>
        <v/>
      </c>
      <c r="E468" s="162">
        <f>IFERROR(""&amp;INDEX(tk_RATING,MATCH(463,tk_DSEQ,0)),"")</f>
        <v/>
      </c>
      <c r="F468" s="162">
        <f>IFERROR(TEXT(INDEX(tk_LEAFW,MATCH(463,tk_DSEQ,0)),"0.000")&amp;" x "&amp;TEXT(INDEX(tk_LEAFH,MATCH(463,tk_DSEQ,0)),"0.000"),"")</f>
        <v/>
      </c>
      <c r="G468" s="181">
        <f>IFERROR(""&amp;INDEX(tk_DLINE,MATCH(463,tk_DSEQ,0)),"")</f>
        <v/>
      </c>
      <c r="H468" s="181">
        <f>IFERROR(""&amp;INDEX(tk_LOCTXTD,MATCH(463,tk_DSEQ,0)),"")</f>
        <v/>
      </c>
      <c r="I468" s="162">
        <f>IFERROR(""&amp;INDEX(tk_DNOTES,MATCH(463,tk_DSEQ,0)),"")</f>
        <v/>
      </c>
    </row>
    <row r="469">
      <c r="A469" s="161">
        <f>IFERROR(""&amp;INDEX(tk_MARK,MATCH(464,tk_DSEQ,0)),"")</f>
        <v/>
      </c>
      <c r="B469" s="162">
        <f>IFERROR(INDEX(tk_QTY,MATCH(464,tk_DSEQ,0)),"")</f>
        <v/>
      </c>
      <c r="C469" s="162">
        <f>IFERROR(INDEX(tk_ROOMF,MATCH(464,tk_DSEQ,0))&amp;IF(INDEX(tk_ROOMT,MATCH(464,tk_DSEQ,0))="",""," → "&amp;INDEX(tk_ROOMT,MATCH(464,tk_DSEQ,0))),"")</f>
        <v/>
      </c>
      <c r="D469" s="162">
        <f>IFERROR(INDEX(tk_LEAVES,MATCH(464,tk_DSEQ,0)),"")</f>
        <v/>
      </c>
      <c r="E469" s="162">
        <f>IFERROR(""&amp;INDEX(tk_RATING,MATCH(464,tk_DSEQ,0)),"")</f>
        <v/>
      </c>
      <c r="F469" s="162">
        <f>IFERROR(TEXT(INDEX(tk_LEAFW,MATCH(464,tk_DSEQ,0)),"0.000")&amp;" x "&amp;TEXT(INDEX(tk_LEAFH,MATCH(464,tk_DSEQ,0)),"0.000"),"")</f>
        <v/>
      </c>
      <c r="G469" s="181">
        <f>IFERROR(""&amp;INDEX(tk_DLINE,MATCH(464,tk_DSEQ,0)),"")</f>
        <v/>
      </c>
      <c r="H469" s="181">
        <f>IFERROR(""&amp;INDEX(tk_LOCTXTD,MATCH(464,tk_DSEQ,0)),"")</f>
        <v/>
      </c>
      <c r="I469" s="162">
        <f>IFERROR(""&amp;INDEX(tk_DNOTES,MATCH(464,tk_DSEQ,0)),"")</f>
        <v/>
      </c>
    </row>
    <row r="470">
      <c r="A470" s="161">
        <f>IFERROR(""&amp;INDEX(tk_MARK,MATCH(465,tk_DSEQ,0)),"")</f>
        <v/>
      </c>
      <c r="B470" s="162">
        <f>IFERROR(INDEX(tk_QTY,MATCH(465,tk_DSEQ,0)),"")</f>
        <v/>
      </c>
      <c r="C470" s="162">
        <f>IFERROR(INDEX(tk_ROOMF,MATCH(465,tk_DSEQ,0))&amp;IF(INDEX(tk_ROOMT,MATCH(465,tk_DSEQ,0))="",""," → "&amp;INDEX(tk_ROOMT,MATCH(465,tk_DSEQ,0))),"")</f>
        <v/>
      </c>
      <c r="D470" s="162">
        <f>IFERROR(INDEX(tk_LEAVES,MATCH(465,tk_DSEQ,0)),"")</f>
        <v/>
      </c>
      <c r="E470" s="162">
        <f>IFERROR(""&amp;INDEX(tk_RATING,MATCH(465,tk_DSEQ,0)),"")</f>
        <v/>
      </c>
      <c r="F470" s="162">
        <f>IFERROR(TEXT(INDEX(tk_LEAFW,MATCH(465,tk_DSEQ,0)),"0.000")&amp;" x "&amp;TEXT(INDEX(tk_LEAFH,MATCH(465,tk_DSEQ,0)),"0.000"),"")</f>
        <v/>
      </c>
      <c r="G470" s="181">
        <f>IFERROR(""&amp;INDEX(tk_DLINE,MATCH(465,tk_DSEQ,0)),"")</f>
        <v/>
      </c>
      <c r="H470" s="181">
        <f>IFERROR(""&amp;INDEX(tk_LOCTXTD,MATCH(465,tk_DSEQ,0)),"")</f>
        <v/>
      </c>
      <c r="I470" s="162">
        <f>IFERROR(""&amp;INDEX(tk_DNOTES,MATCH(465,tk_DSEQ,0)),"")</f>
        <v/>
      </c>
    </row>
    <row r="471">
      <c r="A471" s="161">
        <f>IFERROR(""&amp;INDEX(tk_MARK,MATCH(466,tk_DSEQ,0)),"")</f>
        <v/>
      </c>
      <c r="B471" s="162">
        <f>IFERROR(INDEX(tk_QTY,MATCH(466,tk_DSEQ,0)),"")</f>
        <v/>
      </c>
      <c r="C471" s="162">
        <f>IFERROR(INDEX(tk_ROOMF,MATCH(466,tk_DSEQ,0))&amp;IF(INDEX(tk_ROOMT,MATCH(466,tk_DSEQ,0))="",""," → "&amp;INDEX(tk_ROOMT,MATCH(466,tk_DSEQ,0))),"")</f>
        <v/>
      </c>
      <c r="D471" s="162">
        <f>IFERROR(INDEX(tk_LEAVES,MATCH(466,tk_DSEQ,0)),"")</f>
        <v/>
      </c>
      <c r="E471" s="162">
        <f>IFERROR(""&amp;INDEX(tk_RATING,MATCH(466,tk_DSEQ,0)),"")</f>
        <v/>
      </c>
      <c r="F471" s="162">
        <f>IFERROR(TEXT(INDEX(tk_LEAFW,MATCH(466,tk_DSEQ,0)),"0.000")&amp;" x "&amp;TEXT(INDEX(tk_LEAFH,MATCH(466,tk_DSEQ,0)),"0.000"),"")</f>
        <v/>
      </c>
      <c r="G471" s="181">
        <f>IFERROR(""&amp;INDEX(tk_DLINE,MATCH(466,tk_DSEQ,0)),"")</f>
        <v/>
      </c>
      <c r="H471" s="181">
        <f>IFERROR(""&amp;INDEX(tk_LOCTXTD,MATCH(466,tk_DSEQ,0)),"")</f>
        <v/>
      </c>
      <c r="I471" s="162">
        <f>IFERROR(""&amp;INDEX(tk_DNOTES,MATCH(466,tk_DSEQ,0)),"")</f>
        <v/>
      </c>
    </row>
    <row r="472">
      <c r="A472" s="161">
        <f>IFERROR(""&amp;INDEX(tk_MARK,MATCH(467,tk_DSEQ,0)),"")</f>
        <v/>
      </c>
      <c r="B472" s="162">
        <f>IFERROR(INDEX(tk_QTY,MATCH(467,tk_DSEQ,0)),"")</f>
        <v/>
      </c>
      <c r="C472" s="162">
        <f>IFERROR(INDEX(tk_ROOMF,MATCH(467,tk_DSEQ,0))&amp;IF(INDEX(tk_ROOMT,MATCH(467,tk_DSEQ,0))="",""," → "&amp;INDEX(tk_ROOMT,MATCH(467,tk_DSEQ,0))),"")</f>
        <v/>
      </c>
      <c r="D472" s="162">
        <f>IFERROR(INDEX(tk_LEAVES,MATCH(467,tk_DSEQ,0)),"")</f>
        <v/>
      </c>
      <c r="E472" s="162">
        <f>IFERROR(""&amp;INDEX(tk_RATING,MATCH(467,tk_DSEQ,0)),"")</f>
        <v/>
      </c>
      <c r="F472" s="162">
        <f>IFERROR(TEXT(INDEX(tk_LEAFW,MATCH(467,tk_DSEQ,0)),"0.000")&amp;" x "&amp;TEXT(INDEX(tk_LEAFH,MATCH(467,tk_DSEQ,0)),"0.000"),"")</f>
        <v/>
      </c>
      <c r="G472" s="181">
        <f>IFERROR(""&amp;INDEX(tk_DLINE,MATCH(467,tk_DSEQ,0)),"")</f>
        <v/>
      </c>
      <c r="H472" s="181">
        <f>IFERROR(""&amp;INDEX(tk_LOCTXTD,MATCH(467,tk_DSEQ,0)),"")</f>
        <v/>
      </c>
      <c r="I472" s="162">
        <f>IFERROR(""&amp;INDEX(tk_DNOTES,MATCH(467,tk_DSEQ,0)),"")</f>
        <v/>
      </c>
    </row>
    <row r="473">
      <c r="A473" s="161">
        <f>IFERROR(""&amp;INDEX(tk_MARK,MATCH(468,tk_DSEQ,0)),"")</f>
        <v/>
      </c>
      <c r="B473" s="162">
        <f>IFERROR(INDEX(tk_QTY,MATCH(468,tk_DSEQ,0)),"")</f>
        <v/>
      </c>
      <c r="C473" s="162">
        <f>IFERROR(INDEX(tk_ROOMF,MATCH(468,tk_DSEQ,0))&amp;IF(INDEX(tk_ROOMT,MATCH(468,tk_DSEQ,0))="",""," → "&amp;INDEX(tk_ROOMT,MATCH(468,tk_DSEQ,0))),"")</f>
        <v/>
      </c>
      <c r="D473" s="162">
        <f>IFERROR(INDEX(tk_LEAVES,MATCH(468,tk_DSEQ,0)),"")</f>
        <v/>
      </c>
      <c r="E473" s="162">
        <f>IFERROR(""&amp;INDEX(tk_RATING,MATCH(468,tk_DSEQ,0)),"")</f>
        <v/>
      </c>
      <c r="F473" s="162">
        <f>IFERROR(TEXT(INDEX(tk_LEAFW,MATCH(468,tk_DSEQ,0)),"0.000")&amp;" x "&amp;TEXT(INDEX(tk_LEAFH,MATCH(468,tk_DSEQ,0)),"0.000"),"")</f>
        <v/>
      </c>
      <c r="G473" s="181">
        <f>IFERROR(""&amp;INDEX(tk_DLINE,MATCH(468,tk_DSEQ,0)),"")</f>
        <v/>
      </c>
      <c r="H473" s="181">
        <f>IFERROR(""&amp;INDEX(tk_LOCTXTD,MATCH(468,tk_DSEQ,0)),"")</f>
        <v/>
      </c>
      <c r="I473" s="162">
        <f>IFERROR(""&amp;INDEX(tk_DNOTES,MATCH(468,tk_DSEQ,0)),"")</f>
        <v/>
      </c>
    </row>
    <row r="474">
      <c r="A474" s="161">
        <f>IFERROR(""&amp;INDEX(tk_MARK,MATCH(469,tk_DSEQ,0)),"")</f>
        <v/>
      </c>
      <c r="B474" s="162">
        <f>IFERROR(INDEX(tk_QTY,MATCH(469,tk_DSEQ,0)),"")</f>
        <v/>
      </c>
      <c r="C474" s="162">
        <f>IFERROR(INDEX(tk_ROOMF,MATCH(469,tk_DSEQ,0))&amp;IF(INDEX(tk_ROOMT,MATCH(469,tk_DSEQ,0))="",""," → "&amp;INDEX(tk_ROOMT,MATCH(469,tk_DSEQ,0))),"")</f>
        <v/>
      </c>
      <c r="D474" s="162">
        <f>IFERROR(INDEX(tk_LEAVES,MATCH(469,tk_DSEQ,0)),"")</f>
        <v/>
      </c>
      <c r="E474" s="162">
        <f>IFERROR(""&amp;INDEX(tk_RATING,MATCH(469,tk_DSEQ,0)),"")</f>
        <v/>
      </c>
      <c r="F474" s="162">
        <f>IFERROR(TEXT(INDEX(tk_LEAFW,MATCH(469,tk_DSEQ,0)),"0.000")&amp;" x "&amp;TEXT(INDEX(tk_LEAFH,MATCH(469,tk_DSEQ,0)),"0.000"),"")</f>
        <v/>
      </c>
      <c r="G474" s="181">
        <f>IFERROR(""&amp;INDEX(tk_DLINE,MATCH(469,tk_DSEQ,0)),"")</f>
        <v/>
      </c>
      <c r="H474" s="181">
        <f>IFERROR(""&amp;INDEX(tk_LOCTXTD,MATCH(469,tk_DSEQ,0)),"")</f>
        <v/>
      </c>
      <c r="I474" s="162">
        <f>IFERROR(""&amp;INDEX(tk_DNOTES,MATCH(469,tk_DSEQ,0)),"")</f>
        <v/>
      </c>
    </row>
    <row r="475">
      <c r="A475" s="161">
        <f>IFERROR(""&amp;INDEX(tk_MARK,MATCH(470,tk_DSEQ,0)),"")</f>
        <v/>
      </c>
      <c r="B475" s="162">
        <f>IFERROR(INDEX(tk_QTY,MATCH(470,tk_DSEQ,0)),"")</f>
        <v/>
      </c>
      <c r="C475" s="162">
        <f>IFERROR(INDEX(tk_ROOMF,MATCH(470,tk_DSEQ,0))&amp;IF(INDEX(tk_ROOMT,MATCH(470,tk_DSEQ,0))="",""," → "&amp;INDEX(tk_ROOMT,MATCH(470,tk_DSEQ,0))),"")</f>
        <v/>
      </c>
      <c r="D475" s="162">
        <f>IFERROR(INDEX(tk_LEAVES,MATCH(470,tk_DSEQ,0)),"")</f>
        <v/>
      </c>
      <c r="E475" s="162">
        <f>IFERROR(""&amp;INDEX(tk_RATING,MATCH(470,tk_DSEQ,0)),"")</f>
        <v/>
      </c>
      <c r="F475" s="162">
        <f>IFERROR(TEXT(INDEX(tk_LEAFW,MATCH(470,tk_DSEQ,0)),"0.000")&amp;" x "&amp;TEXT(INDEX(tk_LEAFH,MATCH(470,tk_DSEQ,0)),"0.000"),"")</f>
        <v/>
      </c>
      <c r="G475" s="181">
        <f>IFERROR(""&amp;INDEX(tk_DLINE,MATCH(470,tk_DSEQ,0)),"")</f>
        <v/>
      </c>
      <c r="H475" s="181">
        <f>IFERROR(""&amp;INDEX(tk_LOCTXTD,MATCH(470,tk_DSEQ,0)),"")</f>
        <v/>
      </c>
      <c r="I475" s="162">
        <f>IFERROR(""&amp;INDEX(tk_DNOTES,MATCH(470,tk_DSEQ,0)),"")</f>
        <v/>
      </c>
    </row>
    <row r="476">
      <c r="A476" s="161">
        <f>IFERROR(""&amp;INDEX(tk_MARK,MATCH(471,tk_DSEQ,0)),"")</f>
        <v/>
      </c>
      <c r="B476" s="162">
        <f>IFERROR(INDEX(tk_QTY,MATCH(471,tk_DSEQ,0)),"")</f>
        <v/>
      </c>
      <c r="C476" s="162">
        <f>IFERROR(INDEX(tk_ROOMF,MATCH(471,tk_DSEQ,0))&amp;IF(INDEX(tk_ROOMT,MATCH(471,tk_DSEQ,0))="",""," → "&amp;INDEX(tk_ROOMT,MATCH(471,tk_DSEQ,0))),"")</f>
        <v/>
      </c>
      <c r="D476" s="162">
        <f>IFERROR(INDEX(tk_LEAVES,MATCH(471,tk_DSEQ,0)),"")</f>
        <v/>
      </c>
      <c r="E476" s="162">
        <f>IFERROR(""&amp;INDEX(tk_RATING,MATCH(471,tk_DSEQ,0)),"")</f>
        <v/>
      </c>
      <c r="F476" s="162">
        <f>IFERROR(TEXT(INDEX(tk_LEAFW,MATCH(471,tk_DSEQ,0)),"0.000")&amp;" x "&amp;TEXT(INDEX(tk_LEAFH,MATCH(471,tk_DSEQ,0)),"0.000"),"")</f>
        <v/>
      </c>
      <c r="G476" s="181">
        <f>IFERROR(""&amp;INDEX(tk_DLINE,MATCH(471,tk_DSEQ,0)),"")</f>
        <v/>
      </c>
      <c r="H476" s="181">
        <f>IFERROR(""&amp;INDEX(tk_LOCTXTD,MATCH(471,tk_DSEQ,0)),"")</f>
        <v/>
      </c>
      <c r="I476" s="162">
        <f>IFERROR(""&amp;INDEX(tk_DNOTES,MATCH(471,tk_DSEQ,0)),"")</f>
        <v/>
      </c>
    </row>
    <row r="477">
      <c r="A477" s="161">
        <f>IFERROR(""&amp;INDEX(tk_MARK,MATCH(472,tk_DSEQ,0)),"")</f>
        <v/>
      </c>
      <c r="B477" s="162">
        <f>IFERROR(INDEX(tk_QTY,MATCH(472,tk_DSEQ,0)),"")</f>
        <v/>
      </c>
      <c r="C477" s="162">
        <f>IFERROR(INDEX(tk_ROOMF,MATCH(472,tk_DSEQ,0))&amp;IF(INDEX(tk_ROOMT,MATCH(472,tk_DSEQ,0))="",""," → "&amp;INDEX(tk_ROOMT,MATCH(472,tk_DSEQ,0))),"")</f>
        <v/>
      </c>
      <c r="D477" s="162">
        <f>IFERROR(INDEX(tk_LEAVES,MATCH(472,tk_DSEQ,0)),"")</f>
        <v/>
      </c>
      <c r="E477" s="162">
        <f>IFERROR(""&amp;INDEX(tk_RATING,MATCH(472,tk_DSEQ,0)),"")</f>
        <v/>
      </c>
      <c r="F477" s="162">
        <f>IFERROR(TEXT(INDEX(tk_LEAFW,MATCH(472,tk_DSEQ,0)),"0.000")&amp;" x "&amp;TEXT(INDEX(tk_LEAFH,MATCH(472,tk_DSEQ,0)),"0.000"),"")</f>
        <v/>
      </c>
      <c r="G477" s="181">
        <f>IFERROR(""&amp;INDEX(tk_DLINE,MATCH(472,tk_DSEQ,0)),"")</f>
        <v/>
      </c>
      <c r="H477" s="181">
        <f>IFERROR(""&amp;INDEX(tk_LOCTXTD,MATCH(472,tk_DSEQ,0)),"")</f>
        <v/>
      </c>
      <c r="I477" s="162">
        <f>IFERROR(""&amp;INDEX(tk_DNOTES,MATCH(472,tk_DSEQ,0)),"")</f>
        <v/>
      </c>
    </row>
    <row r="478">
      <c r="A478" s="161">
        <f>IFERROR(""&amp;INDEX(tk_MARK,MATCH(473,tk_DSEQ,0)),"")</f>
        <v/>
      </c>
      <c r="B478" s="162">
        <f>IFERROR(INDEX(tk_QTY,MATCH(473,tk_DSEQ,0)),"")</f>
        <v/>
      </c>
      <c r="C478" s="162">
        <f>IFERROR(INDEX(tk_ROOMF,MATCH(473,tk_DSEQ,0))&amp;IF(INDEX(tk_ROOMT,MATCH(473,tk_DSEQ,0))="",""," → "&amp;INDEX(tk_ROOMT,MATCH(473,tk_DSEQ,0))),"")</f>
        <v/>
      </c>
      <c r="D478" s="162">
        <f>IFERROR(INDEX(tk_LEAVES,MATCH(473,tk_DSEQ,0)),"")</f>
        <v/>
      </c>
      <c r="E478" s="162">
        <f>IFERROR(""&amp;INDEX(tk_RATING,MATCH(473,tk_DSEQ,0)),"")</f>
        <v/>
      </c>
      <c r="F478" s="162">
        <f>IFERROR(TEXT(INDEX(tk_LEAFW,MATCH(473,tk_DSEQ,0)),"0.000")&amp;" x "&amp;TEXT(INDEX(tk_LEAFH,MATCH(473,tk_DSEQ,0)),"0.000"),"")</f>
        <v/>
      </c>
      <c r="G478" s="181">
        <f>IFERROR(""&amp;INDEX(tk_DLINE,MATCH(473,tk_DSEQ,0)),"")</f>
        <v/>
      </c>
      <c r="H478" s="181">
        <f>IFERROR(""&amp;INDEX(tk_LOCTXTD,MATCH(473,tk_DSEQ,0)),"")</f>
        <v/>
      </c>
      <c r="I478" s="162">
        <f>IFERROR(""&amp;INDEX(tk_DNOTES,MATCH(473,tk_DSEQ,0)),"")</f>
        <v/>
      </c>
    </row>
    <row r="479">
      <c r="A479" s="161">
        <f>IFERROR(""&amp;INDEX(tk_MARK,MATCH(474,tk_DSEQ,0)),"")</f>
        <v/>
      </c>
      <c r="B479" s="162">
        <f>IFERROR(INDEX(tk_QTY,MATCH(474,tk_DSEQ,0)),"")</f>
        <v/>
      </c>
      <c r="C479" s="162">
        <f>IFERROR(INDEX(tk_ROOMF,MATCH(474,tk_DSEQ,0))&amp;IF(INDEX(tk_ROOMT,MATCH(474,tk_DSEQ,0))="",""," → "&amp;INDEX(tk_ROOMT,MATCH(474,tk_DSEQ,0))),"")</f>
        <v/>
      </c>
      <c r="D479" s="162">
        <f>IFERROR(INDEX(tk_LEAVES,MATCH(474,tk_DSEQ,0)),"")</f>
        <v/>
      </c>
      <c r="E479" s="162">
        <f>IFERROR(""&amp;INDEX(tk_RATING,MATCH(474,tk_DSEQ,0)),"")</f>
        <v/>
      </c>
      <c r="F479" s="162">
        <f>IFERROR(TEXT(INDEX(tk_LEAFW,MATCH(474,tk_DSEQ,0)),"0.000")&amp;" x "&amp;TEXT(INDEX(tk_LEAFH,MATCH(474,tk_DSEQ,0)),"0.000"),"")</f>
        <v/>
      </c>
      <c r="G479" s="181">
        <f>IFERROR(""&amp;INDEX(tk_DLINE,MATCH(474,tk_DSEQ,0)),"")</f>
        <v/>
      </c>
      <c r="H479" s="181">
        <f>IFERROR(""&amp;INDEX(tk_LOCTXTD,MATCH(474,tk_DSEQ,0)),"")</f>
        <v/>
      </c>
      <c r="I479" s="162">
        <f>IFERROR(""&amp;INDEX(tk_DNOTES,MATCH(474,tk_DSEQ,0)),"")</f>
        <v/>
      </c>
    </row>
    <row r="480">
      <c r="A480" s="161">
        <f>IFERROR(""&amp;INDEX(tk_MARK,MATCH(475,tk_DSEQ,0)),"")</f>
        <v/>
      </c>
      <c r="B480" s="162">
        <f>IFERROR(INDEX(tk_QTY,MATCH(475,tk_DSEQ,0)),"")</f>
        <v/>
      </c>
      <c r="C480" s="162">
        <f>IFERROR(INDEX(tk_ROOMF,MATCH(475,tk_DSEQ,0))&amp;IF(INDEX(tk_ROOMT,MATCH(475,tk_DSEQ,0))="",""," → "&amp;INDEX(tk_ROOMT,MATCH(475,tk_DSEQ,0))),"")</f>
        <v/>
      </c>
      <c r="D480" s="162">
        <f>IFERROR(INDEX(tk_LEAVES,MATCH(475,tk_DSEQ,0)),"")</f>
        <v/>
      </c>
      <c r="E480" s="162">
        <f>IFERROR(""&amp;INDEX(tk_RATING,MATCH(475,tk_DSEQ,0)),"")</f>
        <v/>
      </c>
      <c r="F480" s="162">
        <f>IFERROR(TEXT(INDEX(tk_LEAFW,MATCH(475,tk_DSEQ,0)),"0.000")&amp;" x "&amp;TEXT(INDEX(tk_LEAFH,MATCH(475,tk_DSEQ,0)),"0.000"),"")</f>
        <v/>
      </c>
      <c r="G480" s="181">
        <f>IFERROR(""&amp;INDEX(tk_DLINE,MATCH(475,tk_DSEQ,0)),"")</f>
        <v/>
      </c>
      <c r="H480" s="181">
        <f>IFERROR(""&amp;INDEX(tk_LOCTXTD,MATCH(475,tk_DSEQ,0)),"")</f>
        <v/>
      </c>
      <c r="I480" s="162">
        <f>IFERROR(""&amp;INDEX(tk_DNOTES,MATCH(475,tk_DSEQ,0)),"")</f>
        <v/>
      </c>
    </row>
    <row r="481">
      <c r="A481" s="161">
        <f>IFERROR(""&amp;INDEX(tk_MARK,MATCH(476,tk_DSEQ,0)),"")</f>
        <v/>
      </c>
      <c r="B481" s="162">
        <f>IFERROR(INDEX(tk_QTY,MATCH(476,tk_DSEQ,0)),"")</f>
        <v/>
      </c>
      <c r="C481" s="162">
        <f>IFERROR(INDEX(tk_ROOMF,MATCH(476,tk_DSEQ,0))&amp;IF(INDEX(tk_ROOMT,MATCH(476,tk_DSEQ,0))="",""," → "&amp;INDEX(tk_ROOMT,MATCH(476,tk_DSEQ,0))),"")</f>
        <v/>
      </c>
      <c r="D481" s="162">
        <f>IFERROR(INDEX(tk_LEAVES,MATCH(476,tk_DSEQ,0)),"")</f>
        <v/>
      </c>
      <c r="E481" s="162">
        <f>IFERROR(""&amp;INDEX(tk_RATING,MATCH(476,tk_DSEQ,0)),"")</f>
        <v/>
      </c>
      <c r="F481" s="162">
        <f>IFERROR(TEXT(INDEX(tk_LEAFW,MATCH(476,tk_DSEQ,0)),"0.000")&amp;" x "&amp;TEXT(INDEX(tk_LEAFH,MATCH(476,tk_DSEQ,0)),"0.000"),"")</f>
        <v/>
      </c>
      <c r="G481" s="181">
        <f>IFERROR(""&amp;INDEX(tk_DLINE,MATCH(476,tk_DSEQ,0)),"")</f>
        <v/>
      </c>
      <c r="H481" s="181">
        <f>IFERROR(""&amp;INDEX(tk_LOCTXTD,MATCH(476,tk_DSEQ,0)),"")</f>
        <v/>
      </c>
      <c r="I481" s="162">
        <f>IFERROR(""&amp;INDEX(tk_DNOTES,MATCH(476,tk_DSEQ,0)),"")</f>
        <v/>
      </c>
    </row>
    <row r="482">
      <c r="A482" s="161">
        <f>IFERROR(""&amp;INDEX(tk_MARK,MATCH(477,tk_DSEQ,0)),"")</f>
        <v/>
      </c>
      <c r="B482" s="162">
        <f>IFERROR(INDEX(tk_QTY,MATCH(477,tk_DSEQ,0)),"")</f>
        <v/>
      </c>
      <c r="C482" s="162">
        <f>IFERROR(INDEX(tk_ROOMF,MATCH(477,tk_DSEQ,0))&amp;IF(INDEX(tk_ROOMT,MATCH(477,tk_DSEQ,0))="",""," → "&amp;INDEX(tk_ROOMT,MATCH(477,tk_DSEQ,0))),"")</f>
        <v/>
      </c>
      <c r="D482" s="162">
        <f>IFERROR(INDEX(tk_LEAVES,MATCH(477,tk_DSEQ,0)),"")</f>
        <v/>
      </c>
      <c r="E482" s="162">
        <f>IFERROR(""&amp;INDEX(tk_RATING,MATCH(477,tk_DSEQ,0)),"")</f>
        <v/>
      </c>
      <c r="F482" s="162">
        <f>IFERROR(TEXT(INDEX(tk_LEAFW,MATCH(477,tk_DSEQ,0)),"0.000")&amp;" x "&amp;TEXT(INDEX(tk_LEAFH,MATCH(477,tk_DSEQ,0)),"0.000"),"")</f>
        <v/>
      </c>
      <c r="G482" s="181">
        <f>IFERROR(""&amp;INDEX(tk_DLINE,MATCH(477,tk_DSEQ,0)),"")</f>
        <v/>
      </c>
      <c r="H482" s="181">
        <f>IFERROR(""&amp;INDEX(tk_LOCTXTD,MATCH(477,tk_DSEQ,0)),"")</f>
        <v/>
      </c>
      <c r="I482" s="162">
        <f>IFERROR(""&amp;INDEX(tk_DNOTES,MATCH(477,tk_DSEQ,0)),"")</f>
        <v/>
      </c>
    </row>
    <row r="483">
      <c r="A483" s="161">
        <f>IFERROR(""&amp;INDEX(tk_MARK,MATCH(478,tk_DSEQ,0)),"")</f>
        <v/>
      </c>
      <c r="B483" s="162">
        <f>IFERROR(INDEX(tk_QTY,MATCH(478,tk_DSEQ,0)),"")</f>
        <v/>
      </c>
      <c r="C483" s="162">
        <f>IFERROR(INDEX(tk_ROOMF,MATCH(478,tk_DSEQ,0))&amp;IF(INDEX(tk_ROOMT,MATCH(478,tk_DSEQ,0))="",""," → "&amp;INDEX(tk_ROOMT,MATCH(478,tk_DSEQ,0))),"")</f>
        <v/>
      </c>
      <c r="D483" s="162">
        <f>IFERROR(INDEX(tk_LEAVES,MATCH(478,tk_DSEQ,0)),"")</f>
        <v/>
      </c>
      <c r="E483" s="162">
        <f>IFERROR(""&amp;INDEX(tk_RATING,MATCH(478,tk_DSEQ,0)),"")</f>
        <v/>
      </c>
      <c r="F483" s="162">
        <f>IFERROR(TEXT(INDEX(tk_LEAFW,MATCH(478,tk_DSEQ,0)),"0.000")&amp;" x "&amp;TEXT(INDEX(tk_LEAFH,MATCH(478,tk_DSEQ,0)),"0.000"),"")</f>
        <v/>
      </c>
      <c r="G483" s="181">
        <f>IFERROR(""&amp;INDEX(tk_DLINE,MATCH(478,tk_DSEQ,0)),"")</f>
        <v/>
      </c>
      <c r="H483" s="181">
        <f>IFERROR(""&amp;INDEX(tk_LOCTXTD,MATCH(478,tk_DSEQ,0)),"")</f>
        <v/>
      </c>
      <c r="I483" s="162">
        <f>IFERROR(""&amp;INDEX(tk_DNOTES,MATCH(478,tk_DSEQ,0)),"")</f>
        <v/>
      </c>
    </row>
    <row r="484">
      <c r="A484" s="161">
        <f>IFERROR(""&amp;INDEX(tk_MARK,MATCH(479,tk_DSEQ,0)),"")</f>
        <v/>
      </c>
      <c r="B484" s="162">
        <f>IFERROR(INDEX(tk_QTY,MATCH(479,tk_DSEQ,0)),"")</f>
        <v/>
      </c>
      <c r="C484" s="162">
        <f>IFERROR(INDEX(tk_ROOMF,MATCH(479,tk_DSEQ,0))&amp;IF(INDEX(tk_ROOMT,MATCH(479,tk_DSEQ,0))="",""," → "&amp;INDEX(tk_ROOMT,MATCH(479,tk_DSEQ,0))),"")</f>
        <v/>
      </c>
      <c r="D484" s="162">
        <f>IFERROR(INDEX(tk_LEAVES,MATCH(479,tk_DSEQ,0)),"")</f>
        <v/>
      </c>
      <c r="E484" s="162">
        <f>IFERROR(""&amp;INDEX(tk_RATING,MATCH(479,tk_DSEQ,0)),"")</f>
        <v/>
      </c>
      <c r="F484" s="162">
        <f>IFERROR(TEXT(INDEX(tk_LEAFW,MATCH(479,tk_DSEQ,0)),"0.000")&amp;" x "&amp;TEXT(INDEX(tk_LEAFH,MATCH(479,tk_DSEQ,0)),"0.000"),"")</f>
        <v/>
      </c>
      <c r="G484" s="181">
        <f>IFERROR(""&amp;INDEX(tk_DLINE,MATCH(479,tk_DSEQ,0)),"")</f>
        <v/>
      </c>
      <c r="H484" s="181">
        <f>IFERROR(""&amp;INDEX(tk_LOCTXTD,MATCH(479,tk_DSEQ,0)),"")</f>
        <v/>
      </c>
      <c r="I484" s="162">
        <f>IFERROR(""&amp;INDEX(tk_DNOTES,MATCH(479,tk_DSEQ,0)),"")</f>
        <v/>
      </c>
    </row>
    <row r="485">
      <c r="A485" s="161">
        <f>IFERROR(""&amp;INDEX(tk_MARK,MATCH(480,tk_DSEQ,0)),"")</f>
        <v/>
      </c>
      <c r="B485" s="162">
        <f>IFERROR(INDEX(tk_QTY,MATCH(480,tk_DSEQ,0)),"")</f>
        <v/>
      </c>
      <c r="C485" s="162">
        <f>IFERROR(INDEX(tk_ROOMF,MATCH(480,tk_DSEQ,0))&amp;IF(INDEX(tk_ROOMT,MATCH(480,tk_DSEQ,0))="",""," → "&amp;INDEX(tk_ROOMT,MATCH(480,tk_DSEQ,0))),"")</f>
        <v/>
      </c>
      <c r="D485" s="162">
        <f>IFERROR(INDEX(tk_LEAVES,MATCH(480,tk_DSEQ,0)),"")</f>
        <v/>
      </c>
      <c r="E485" s="162">
        <f>IFERROR(""&amp;INDEX(tk_RATING,MATCH(480,tk_DSEQ,0)),"")</f>
        <v/>
      </c>
      <c r="F485" s="162">
        <f>IFERROR(TEXT(INDEX(tk_LEAFW,MATCH(480,tk_DSEQ,0)),"0.000")&amp;" x "&amp;TEXT(INDEX(tk_LEAFH,MATCH(480,tk_DSEQ,0)),"0.000"),"")</f>
        <v/>
      </c>
      <c r="G485" s="181">
        <f>IFERROR(""&amp;INDEX(tk_DLINE,MATCH(480,tk_DSEQ,0)),"")</f>
        <v/>
      </c>
      <c r="H485" s="181">
        <f>IFERROR(""&amp;INDEX(tk_LOCTXTD,MATCH(480,tk_DSEQ,0)),"")</f>
        <v/>
      </c>
      <c r="I485" s="162">
        <f>IFERROR(""&amp;INDEX(tk_DNOTES,MATCH(480,tk_DSEQ,0)),"")</f>
        <v/>
      </c>
    </row>
    <row r="486">
      <c r="A486" s="161">
        <f>IFERROR(""&amp;INDEX(tk_MARK,MATCH(481,tk_DSEQ,0)),"")</f>
        <v/>
      </c>
      <c r="B486" s="162">
        <f>IFERROR(INDEX(tk_QTY,MATCH(481,tk_DSEQ,0)),"")</f>
        <v/>
      </c>
      <c r="C486" s="162">
        <f>IFERROR(INDEX(tk_ROOMF,MATCH(481,tk_DSEQ,0))&amp;IF(INDEX(tk_ROOMT,MATCH(481,tk_DSEQ,0))="",""," → "&amp;INDEX(tk_ROOMT,MATCH(481,tk_DSEQ,0))),"")</f>
        <v/>
      </c>
      <c r="D486" s="162">
        <f>IFERROR(INDEX(tk_LEAVES,MATCH(481,tk_DSEQ,0)),"")</f>
        <v/>
      </c>
      <c r="E486" s="162">
        <f>IFERROR(""&amp;INDEX(tk_RATING,MATCH(481,tk_DSEQ,0)),"")</f>
        <v/>
      </c>
      <c r="F486" s="162">
        <f>IFERROR(TEXT(INDEX(tk_LEAFW,MATCH(481,tk_DSEQ,0)),"0.000")&amp;" x "&amp;TEXT(INDEX(tk_LEAFH,MATCH(481,tk_DSEQ,0)),"0.000"),"")</f>
        <v/>
      </c>
      <c r="G486" s="181">
        <f>IFERROR(""&amp;INDEX(tk_DLINE,MATCH(481,tk_DSEQ,0)),"")</f>
        <v/>
      </c>
      <c r="H486" s="181">
        <f>IFERROR(""&amp;INDEX(tk_LOCTXTD,MATCH(481,tk_DSEQ,0)),"")</f>
        <v/>
      </c>
      <c r="I486" s="162">
        <f>IFERROR(""&amp;INDEX(tk_DNOTES,MATCH(481,tk_DSEQ,0)),"")</f>
        <v/>
      </c>
    </row>
    <row r="487">
      <c r="A487" s="161">
        <f>IFERROR(""&amp;INDEX(tk_MARK,MATCH(482,tk_DSEQ,0)),"")</f>
        <v/>
      </c>
      <c r="B487" s="162">
        <f>IFERROR(INDEX(tk_QTY,MATCH(482,tk_DSEQ,0)),"")</f>
        <v/>
      </c>
      <c r="C487" s="162">
        <f>IFERROR(INDEX(tk_ROOMF,MATCH(482,tk_DSEQ,0))&amp;IF(INDEX(tk_ROOMT,MATCH(482,tk_DSEQ,0))="",""," → "&amp;INDEX(tk_ROOMT,MATCH(482,tk_DSEQ,0))),"")</f>
        <v/>
      </c>
      <c r="D487" s="162">
        <f>IFERROR(INDEX(tk_LEAVES,MATCH(482,tk_DSEQ,0)),"")</f>
        <v/>
      </c>
      <c r="E487" s="162">
        <f>IFERROR(""&amp;INDEX(tk_RATING,MATCH(482,tk_DSEQ,0)),"")</f>
        <v/>
      </c>
      <c r="F487" s="162">
        <f>IFERROR(TEXT(INDEX(tk_LEAFW,MATCH(482,tk_DSEQ,0)),"0.000")&amp;" x "&amp;TEXT(INDEX(tk_LEAFH,MATCH(482,tk_DSEQ,0)),"0.000"),"")</f>
        <v/>
      </c>
      <c r="G487" s="181">
        <f>IFERROR(""&amp;INDEX(tk_DLINE,MATCH(482,tk_DSEQ,0)),"")</f>
        <v/>
      </c>
      <c r="H487" s="181">
        <f>IFERROR(""&amp;INDEX(tk_LOCTXTD,MATCH(482,tk_DSEQ,0)),"")</f>
        <v/>
      </c>
      <c r="I487" s="162">
        <f>IFERROR(""&amp;INDEX(tk_DNOTES,MATCH(482,tk_DSEQ,0)),"")</f>
        <v/>
      </c>
    </row>
    <row r="488">
      <c r="A488" s="161">
        <f>IFERROR(""&amp;INDEX(tk_MARK,MATCH(483,tk_DSEQ,0)),"")</f>
        <v/>
      </c>
      <c r="B488" s="162">
        <f>IFERROR(INDEX(tk_QTY,MATCH(483,tk_DSEQ,0)),"")</f>
        <v/>
      </c>
      <c r="C488" s="162">
        <f>IFERROR(INDEX(tk_ROOMF,MATCH(483,tk_DSEQ,0))&amp;IF(INDEX(tk_ROOMT,MATCH(483,tk_DSEQ,0))="",""," → "&amp;INDEX(tk_ROOMT,MATCH(483,tk_DSEQ,0))),"")</f>
        <v/>
      </c>
      <c r="D488" s="162">
        <f>IFERROR(INDEX(tk_LEAVES,MATCH(483,tk_DSEQ,0)),"")</f>
        <v/>
      </c>
      <c r="E488" s="162">
        <f>IFERROR(""&amp;INDEX(tk_RATING,MATCH(483,tk_DSEQ,0)),"")</f>
        <v/>
      </c>
      <c r="F488" s="162">
        <f>IFERROR(TEXT(INDEX(tk_LEAFW,MATCH(483,tk_DSEQ,0)),"0.000")&amp;" x "&amp;TEXT(INDEX(tk_LEAFH,MATCH(483,tk_DSEQ,0)),"0.000"),"")</f>
        <v/>
      </c>
      <c r="G488" s="181">
        <f>IFERROR(""&amp;INDEX(tk_DLINE,MATCH(483,tk_DSEQ,0)),"")</f>
        <v/>
      </c>
      <c r="H488" s="181">
        <f>IFERROR(""&amp;INDEX(tk_LOCTXTD,MATCH(483,tk_DSEQ,0)),"")</f>
        <v/>
      </c>
      <c r="I488" s="162">
        <f>IFERROR(""&amp;INDEX(tk_DNOTES,MATCH(483,tk_DSEQ,0)),"")</f>
        <v/>
      </c>
    </row>
    <row r="489">
      <c r="A489" s="161">
        <f>IFERROR(""&amp;INDEX(tk_MARK,MATCH(484,tk_DSEQ,0)),"")</f>
        <v/>
      </c>
      <c r="B489" s="162">
        <f>IFERROR(INDEX(tk_QTY,MATCH(484,tk_DSEQ,0)),"")</f>
        <v/>
      </c>
      <c r="C489" s="162">
        <f>IFERROR(INDEX(tk_ROOMF,MATCH(484,tk_DSEQ,0))&amp;IF(INDEX(tk_ROOMT,MATCH(484,tk_DSEQ,0))="",""," → "&amp;INDEX(tk_ROOMT,MATCH(484,tk_DSEQ,0))),"")</f>
        <v/>
      </c>
      <c r="D489" s="162">
        <f>IFERROR(INDEX(tk_LEAVES,MATCH(484,tk_DSEQ,0)),"")</f>
        <v/>
      </c>
      <c r="E489" s="162">
        <f>IFERROR(""&amp;INDEX(tk_RATING,MATCH(484,tk_DSEQ,0)),"")</f>
        <v/>
      </c>
      <c r="F489" s="162">
        <f>IFERROR(TEXT(INDEX(tk_LEAFW,MATCH(484,tk_DSEQ,0)),"0.000")&amp;" x "&amp;TEXT(INDEX(tk_LEAFH,MATCH(484,tk_DSEQ,0)),"0.000"),"")</f>
        <v/>
      </c>
      <c r="G489" s="181">
        <f>IFERROR(""&amp;INDEX(tk_DLINE,MATCH(484,tk_DSEQ,0)),"")</f>
        <v/>
      </c>
      <c r="H489" s="181">
        <f>IFERROR(""&amp;INDEX(tk_LOCTXTD,MATCH(484,tk_DSEQ,0)),"")</f>
        <v/>
      </c>
      <c r="I489" s="162">
        <f>IFERROR(""&amp;INDEX(tk_DNOTES,MATCH(484,tk_DSEQ,0)),"")</f>
        <v/>
      </c>
    </row>
    <row r="490">
      <c r="A490" s="161">
        <f>IFERROR(""&amp;INDEX(tk_MARK,MATCH(485,tk_DSEQ,0)),"")</f>
        <v/>
      </c>
      <c r="B490" s="162">
        <f>IFERROR(INDEX(tk_QTY,MATCH(485,tk_DSEQ,0)),"")</f>
        <v/>
      </c>
      <c r="C490" s="162">
        <f>IFERROR(INDEX(tk_ROOMF,MATCH(485,tk_DSEQ,0))&amp;IF(INDEX(tk_ROOMT,MATCH(485,tk_DSEQ,0))="",""," → "&amp;INDEX(tk_ROOMT,MATCH(485,tk_DSEQ,0))),"")</f>
        <v/>
      </c>
      <c r="D490" s="162">
        <f>IFERROR(INDEX(tk_LEAVES,MATCH(485,tk_DSEQ,0)),"")</f>
        <v/>
      </c>
      <c r="E490" s="162">
        <f>IFERROR(""&amp;INDEX(tk_RATING,MATCH(485,tk_DSEQ,0)),"")</f>
        <v/>
      </c>
      <c r="F490" s="162">
        <f>IFERROR(TEXT(INDEX(tk_LEAFW,MATCH(485,tk_DSEQ,0)),"0.000")&amp;" x "&amp;TEXT(INDEX(tk_LEAFH,MATCH(485,tk_DSEQ,0)),"0.000"),"")</f>
        <v/>
      </c>
      <c r="G490" s="181">
        <f>IFERROR(""&amp;INDEX(tk_DLINE,MATCH(485,tk_DSEQ,0)),"")</f>
        <v/>
      </c>
      <c r="H490" s="181">
        <f>IFERROR(""&amp;INDEX(tk_LOCTXTD,MATCH(485,tk_DSEQ,0)),"")</f>
        <v/>
      </c>
      <c r="I490" s="162">
        <f>IFERROR(""&amp;INDEX(tk_DNOTES,MATCH(485,tk_DSEQ,0)),"")</f>
        <v/>
      </c>
    </row>
    <row r="491">
      <c r="A491" s="161">
        <f>IFERROR(""&amp;INDEX(tk_MARK,MATCH(486,tk_DSEQ,0)),"")</f>
        <v/>
      </c>
      <c r="B491" s="162">
        <f>IFERROR(INDEX(tk_QTY,MATCH(486,tk_DSEQ,0)),"")</f>
        <v/>
      </c>
      <c r="C491" s="162">
        <f>IFERROR(INDEX(tk_ROOMF,MATCH(486,tk_DSEQ,0))&amp;IF(INDEX(tk_ROOMT,MATCH(486,tk_DSEQ,0))="",""," → "&amp;INDEX(tk_ROOMT,MATCH(486,tk_DSEQ,0))),"")</f>
        <v/>
      </c>
      <c r="D491" s="162">
        <f>IFERROR(INDEX(tk_LEAVES,MATCH(486,tk_DSEQ,0)),"")</f>
        <v/>
      </c>
      <c r="E491" s="162">
        <f>IFERROR(""&amp;INDEX(tk_RATING,MATCH(486,tk_DSEQ,0)),"")</f>
        <v/>
      </c>
      <c r="F491" s="162">
        <f>IFERROR(TEXT(INDEX(tk_LEAFW,MATCH(486,tk_DSEQ,0)),"0.000")&amp;" x "&amp;TEXT(INDEX(tk_LEAFH,MATCH(486,tk_DSEQ,0)),"0.000"),"")</f>
        <v/>
      </c>
      <c r="G491" s="181">
        <f>IFERROR(""&amp;INDEX(tk_DLINE,MATCH(486,tk_DSEQ,0)),"")</f>
        <v/>
      </c>
      <c r="H491" s="181">
        <f>IFERROR(""&amp;INDEX(tk_LOCTXTD,MATCH(486,tk_DSEQ,0)),"")</f>
        <v/>
      </c>
      <c r="I491" s="162">
        <f>IFERROR(""&amp;INDEX(tk_DNOTES,MATCH(486,tk_DSEQ,0)),"")</f>
        <v/>
      </c>
    </row>
    <row r="492">
      <c r="A492" s="161">
        <f>IFERROR(""&amp;INDEX(tk_MARK,MATCH(487,tk_DSEQ,0)),"")</f>
        <v/>
      </c>
      <c r="B492" s="162">
        <f>IFERROR(INDEX(tk_QTY,MATCH(487,tk_DSEQ,0)),"")</f>
        <v/>
      </c>
      <c r="C492" s="162">
        <f>IFERROR(INDEX(tk_ROOMF,MATCH(487,tk_DSEQ,0))&amp;IF(INDEX(tk_ROOMT,MATCH(487,tk_DSEQ,0))="",""," → "&amp;INDEX(tk_ROOMT,MATCH(487,tk_DSEQ,0))),"")</f>
        <v/>
      </c>
      <c r="D492" s="162">
        <f>IFERROR(INDEX(tk_LEAVES,MATCH(487,tk_DSEQ,0)),"")</f>
        <v/>
      </c>
      <c r="E492" s="162">
        <f>IFERROR(""&amp;INDEX(tk_RATING,MATCH(487,tk_DSEQ,0)),"")</f>
        <v/>
      </c>
      <c r="F492" s="162">
        <f>IFERROR(TEXT(INDEX(tk_LEAFW,MATCH(487,tk_DSEQ,0)),"0.000")&amp;" x "&amp;TEXT(INDEX(tk_LEAFH,MATCH(487,tk_DSEQ,0)),"0.000"),"")</f>
        <v/>
      </c>
      <c r="G492" s="181">
        <f>IFERROR(""&amp;INDEX(tk_DLINE,MATCH(487,tk_DSEQ,0)),"")</f>
        <v/>
      </c>
      <c r="H492" s="181">
        <f>IFERROR(""&amp;INDEX(tk_LOCTXTD,MATCH(487,tk_DSEQ,0)),"")</f>
        <v/>
      </c>
      <c r="I492" s="162">
        <f>IFERROR(""&amp;INDEX(tk_DNOTES,MATCH(487,tk_DSEQ,0)),"")</f>
        <v/>
      </c>
    </row>
    <row r="493">
      <c r="A493" s="161">
        <f>IFERROR(""&amp;INDEX(tk_MARK,MATCH(488,tk_DSEQ,0)),"")</f>
        <v/>
      </c>
      <c r="B493" s="162">
        <f>IFERROR(INDEX(tk_QTY,MATCH(488,tk_DSEQ,0)),"")</f>
        <v/>
      </c>
      <c r="C493" s="162">
        <f>IFERROR(INDEX(tk_ROOMF,MATCH(488,tk_DSEQ,0))&amp;IF(INDEX(tk_ROOMT,MATCH(488,tk_DSEQ,0))="",""," → "&amp;INDEX(tk_ROOMT,MATCH(488,tk_DSEQ,0))),"")</f>
        <v/>
      </c>
      <c r="D493" s="162">
        <f>IFERROR(INDEX(tk_LEAVES,MATCH(488,tk_DSEQ,0)),"")</f>
        <v/>
      </c>
      <c r="E493" s="162">
        <f>IFERROR(""&amp;INDEX(tk_RATING,MATCH(488,tk_DSEQ,0)),"")</f>
        <v/>
      </c>
      <c r="F493" s="162">
        <f>IFERROR(TEXT(INDEX(tk_LEAFW,MATCH(488,tk_DSEQ,0)),"0.000")&amp;" x "&amp;TEXT(INDEX(tk_LEAFH,MATCH(488,tk_DSEQ,0)),"0.000"),"")</f>
        <v/>
      </c>
      <c r="G493" s="181">
        <f>IFERROR(""&amp;INDEX(tk_DLINE,MATCH(488,tk_DSEQ,0)),"")</f>
        <v/>
      </c>
      <c r="H493" s="181">
        <f>IFERROR(""&amp;INDEX(tk_LOCTXTD,MATCH(488,tk_DSEQ,0)),"")</f>
        <v/>
      </c>
      <c r="I493" s="162">
        <f>IFERROR(""&amp;INDEX(tk_DNOTES,MATCH(488,tk_DSEQ,0)),"")</f>
        <v/>
      </c>
    </row>
    <row r="494">
      <c r="A494" s="161">
        <f>IFERROR(""&amp;INDEX(tk_MARK,MATCH(489,tk_DSEQ,0)),"")</f>
        <v/>
      </c>
      <c r="B494" s="162">
        <f>IFERROR(INDEX(tk_QTY,MATCH(489,tk_DSEQ,0)),"")</f>
        <v/>
      </c>
      <c r="C494" s="162">
        <f>IFERROR(INDEX(tk_ROOMF,MATCH(489,tk_DSEQ,0))&amp;IF(INDEX(tk_ROOMT,MATCH(489,tk_DSEQ,0))="",""," → "&amp;INDEX(tk_ROOMT,MATCH(489,tk_DSEQ,0))),"")</f>
        <v/>
      </c>
      <c r="D494" s="162">
        <f>IFERROR(INDEX(tk_LEAVES,MATCH(489,tk_DSEQ,0)),"")</f>
        <v/>
      </c>
      <c r="E494" s="162">
        <f>IFERROR(""&amp;INDEX(tk_RATING,MATCH(489,tk_DSEQ,0)),"")</f>
        <v/>
      </c>
      <c r="F494" s="162">
        <f>IFERROR(TEXT(INDEX(tk_LEAFW,MATCH(489,tk_DSEQ,0)),"0.000")&amp;" x "&amp;TEXT(INDEX(tk_LEAFH,MATCH(489,tk_DSEQ,0)),"0.000"),"")</f>
        <v/>
      </c>
      <c r="G494" s="181">
        <f>IFERROR(""&amp;INDEX(tk_DLINE,MATCH(489,tk_DSEQ,0)),"")</f>
        <v/>
      </c>
      <c r="H494" s="181">
        <f>IFERROR(""&amp;INDEX(tk_LOCTXTD,MATCH(489,tk_DSEQ,0)),"")</f>
        <v/>
      </c>
      <c r="I494" s="162">
        <f>IFERROR(""&amp;INDEX(tk_DNOTES,MATCH(489,tk_DSEQ,0)),"")</f>
        <v/>
      </c>
    </row>
    <row r="495">
      <c r="A495" s="161">
        <f>IFERROR(""&amp;INDEX(tk_MARK,MATCH(490,tk_DSEQ,0)),"")</f>
        <v/>
      </c>
      <c r="B495" s="162">
        <f>IFERROR(INDEX(tk_QTY,MATCH(490,tk_DSEQ,0)),"")</f>
        <v/>
      </c>
      <c r="C495" s="162">
        <f>IFERROR(INDEX(tk_ROOMF,MATCH(490,tk_DSEQ,0))&amp;IF(INDEX(tk_ROOMT,MATCH(490,tk_DSEQ,0))="",""," → "&amp;INDEX(tk_ROOMT,MATCH(490,tk_DSEQ,0))),"")</f>
        <v/>
      </c>
      <c r="D495" s="162">
        <f>IFERROR(INDEX(tk_LEAVES,MATCH(490,tk_DSEQ,0)),"")</f>
        <v/>
      </c>
      <c r="E495" s="162">
        <f>IFERROR(""&amp;INDEX(tk_RATING,MATCH(490,tk_DSEQ,0)),"")</f>
        <v/>
      </c>
      <c r="F495" s="162">
        <f>IFERROR(TEXT(INDEX(tk_LEAFW,MATCH(490,tk_DSEQ,0)),"0.000")&amp;" x "&amp;TEXT(INDEX(tk_LEAFH,MATCH(490,tk_DSEQ,0)),"0.000"),"")</f>
        <v/>
      </c>
      <c r="G495" s="181">
        <f>IFERROR(""&amp;INDEX(tk_DLINE,MATCH(490,tk_DSEQ,0)),"")</f>
        <v/>
      </c>
      <c r="H495" s="181">
        <f>IFERROR(""&amp;INDEX(tk_LOCTXTD,MATCH(490,tk_DSEQ,0)),"")</f>
        <v/>
      </c>
      <c r="I495" s="162">
        <f>IFERROR(""&amp;INDEX(tk_DNOTES,MATCH(490,tk_DSEQ,0)),"")</f>
        <v/>
      </c>
    </row>
    <row r="496">
      <c r="A496" s="161">
        <f>IFERROR(""&amp;INDEX(tk_MARK,MATCH(491,tk_DSEQ,0)),"")</f>
        <v/>
      </c>
      <c r="B496" s="162">
        <f>IFERROR(INDEX(tk_QTY,MATCH(491,tk_DSEQ,0)),"")</f>
        <v/>
      </c>
      <c r="C496" s="162">
        <f>IFERROR(INDEX(tk_ROOMF,MATCH(491,tk_DSEQ,0))&amp;IF(INDEX(tk_ROOMT,MATCH(491,tk_DSEQ,0))="",""," → "&amp;INDEX(tk_ROOMT,MATCH(491,tk_DSEQ,0))),"")</f>
        <v/>
      </c>
      <c r="D496" s="162">
        <f>IFERROR(INDEX(tk_LEAVES,MATCH(491,tk_DSEQ,0)),"")</f>
        <v/>
      </c>
      <c r="E496" s="162">
        <f>IFERROR(""&amp;INDEX(tk_RATING,MATCH(491,tk_DSEQ,0)),"")</f>
        <v/>
      </c>
      <c r="F496" s="162">
        <f>IFERROR(TEXT(INDEX(tk_LEAFW,MATCH(491,tk_DSEQ,0)),"0.000")&amp;" x "&amp;TEXT(INDEX(tk_LEAFH,MATCH(491,tk_DSEQ,0)),"0.000"),"")</f>
        <v/>
      </c>
      <c r="G496" s="181">
        <f>IFERROR(""&amp;INDEX(tk_DLINE,MATCH(491,tk_DSEQ,0)),"")</f>
        <v/>
      </c>
      <c r="H496" s="181">
        <f>IFERROR(""&amp;INDEX(tk_LOCTXTD,MATCH(491,tk_DSEQ,0)),"")</f>
        <v/>
      </c>
      <c r="I496" s="162">
        <f>IFERROR(""&amp;INDEX(tk_DNOTES,MATCH(491,tk_DSEQ,0)),"")</f>
        <v/>
      </c>
    </row>
    <row r="497">
      <c r="A497" s="161">
        <f>IFERROR(""&amp;INDEX(tk_MARK,MATCH(492,tk_DSEQ,0)),"")</f>
        <v/>
      </c>
      <c r="B497" s="162">
        <f>IFERROR(INDEX(tk_QTY,MATCH(492,tk_DSEQ,0)),"")</f>
        <v/>
      </c>
      <c r="C497" s="162">
        <f>IFERROR(INDEX(tk_ROOMF,MATCH(492,tk_DSEQ,0))&amp;IF(INDEX(tk_ROOMT,MATCH(492,tk_DSEQ,0))="",""," → "&amp;INDEX(tk_ROOMT,MATCH(492,tk_DSEQ,0))),"")</f>
        <v/>
      </c>
      <c r="D497" s="162">
        <f>IFERROR(INDEX(tk_LEAVES,MATCH(492,tk_DSEQ,0)),"")</f>
        <v/>
      </c>
      <c r="E497" s="162">
        <f>IFERROR(""&amp;INDEX(tk_RATING,MATCH(492,tk_DSEQ,0)),"")</f>
        <v/>
      </c>
      <c r="F497" s="162">
        <f>IFERROR(TEXT(INDEX(tk_LEAFW,MATCH(492,tk_DSEQ,0)),"0.000")&amp;" x "&amp;TEXT(INDEX(tk_LEAFH,MATCH(492,tk_DSEQ,0)),"0.000"),"")</f>
        <v/>
      </c>
      <c r="G497" s="181">
        <f>IFERROR(""&amp;INDEX(tk_DLINE,MATCH(492,tk_DSEQ,0)),"")</f>
        <v/>
      </c>
      <c r="H497" s="181">
        <f>IFERROR(""&amp;INDEX(tk_LOCTXTD,MATCH(492,tk_DSEQ,0)),"")</f>
        <v/>
      </c>
      <c r="I497" s="162">
        <f>IFERROR(""&amp;INDEX(tk_DNOTES,MATCH(492,tk_DSEQ,0)),"")</f>
        <v/>
      </c>
    </row>
    <row r="498">
      <c r="A498" s="161">
        <f>IFERROR(""&amp;INDEX(tk_MARK,MATCH(493,tk_DSEQ,0)),"")</f>
        <v/>
      </c>
      <c r="B498" s="162">
        <f>IFERROR(INDEX(tk_QTY,MATCH(493,tk_DSEQ,0)),"")</f>
        <v/>
      </c>
      <c r="C498" s="162">
        <f>IFERROR(INDEX(tk_ROOMF,MATCH(493,tk_DSEQ,0))&amp;IF(INDEX(tk_ROOMT,MATCH(493,tk_DSEQ,0))="",""," → "&amp;INDEX(tk_ROOMT,MATCH(493,tk_DSEQ,0))),"")</f>
        <v/>
      </c>
      <c r="D498" s="162">
        <f>IFERROR(INDEX(tk_LEAVES,MATCH(493,tk_DSEQ,0)),"")</f>
        <v/>
      </c>
      <c r="E498" s="162">
        <f>IFERROR(""&amp;INDEX(tk_RATING,MATCH(493,tk_DSEQ,0)),"")</f>
        <v/>
      </c>
      <c r="F498" s="162">
        <f>IFERROR(TEXT(INDEX(tk_LEAFW,MATCH(493,tk_DSEQ,0)),"0.000")&amp;" x "&amp;TEXT(INDEX(tk_LEAFH,MATCH(493,tk_DSEQ,0)),"0.000"),"")</f>
        <v/>
      </c>
      <c r="G498" s="181">
        <f>IFERROR(""&amp;INDEX(tk_DLINE,MATCH(493,tk_DSEQ,0)),"")</f>
        <v/>
      </c>
      <c r="H498" s="181">
        <f>IFERROR(""&amp;INDEX(tk_LOCTXTD,MATCH(493,tk_DSEQ,0)),"")</f>
        <v/>
      </c>
      <c r="I498" s="162">
        <f>IFERROR(""&amp;INDEX(tk_DNOTES,MATCH(493,tk_DSEQ,0)),"")</f>
        <v/>
      </c>
    </row>
    <row r="499">
      <c r="A499" s="161">
        <f>IFERROR(""&amp;INDEX(tk_MARK,MATCH(494,tk_DSEQ,0)),"")</f>
        <v/>
      </c>
      <c r="B499" s="162">
        <f>IFERROR(INDEX(tk_QTY,MATCH(494,tk_DSEQ,0)),"")</f>
        <v/>
      </c>
      <c r="C499" s="162">
        <f>IFERROR(INDEX(tk_ROOMF,MATCH(494,tk_DSEQ,0))&amp;IF(INDEX(tk_ROOMT,MATCH(494,tk_DSEQ,0))="",""," → "&amp;INDEX(tk_ROOMT,MATCH(494,tk_DSEQ,0))),"")</f>
        <v/>
      </c>
      <c r="D499" s="162">
        <f>IFERROR(INDEX(tk_LEAVES,MATCH(494,tk_DSEQ,0)),"")</f>
        <v/>
      </c>
      <c r="E499" s="162">
        <f>IFERROR(""&amp;INDEX(tk_RATING,MATCH(494,tk_DSEQ,0)),"")</f>
        <v/>
      </c>
      <c r="F499" s="162">
        <f>IFERROR(TEXT(INDEX(tk_LEAFW,MATCH(494,tk_DSEQ,0)),"0.000")&amp;" x "&amp;TEXT(INDEX(tk_LEAFH,MATCH(494,tk_DSEQ,0)),"0.000"),"")</f>
        <v/>
      </c>
      <c r="G499" s="181">
        <f>IFERROR(""&amp;INDEX(tk_DLINE,MATCH(494,tk_DSEQ,0)),"")</f>
        <v/>
      </c>
      <c r="H499" s="181">
        <f>IFERROR(""&amp;INDEX(tk_LOCTXTD,MATCH(494,tk_DSEQ,0)),"")</f>
        <v/>
      </c>
      <c r="I499" s="162">
        <f>IFERROR(""&amp;INDEX(tk_DNOTES,MATCH(494,tk_DSEQ,0)),"")</f>
        <v/>
      </c>
    </row>
    <row r="500">
      <c r="A500" s="161">
        <f>IFERROR(""&amp;INDEX(tk_MARK,MATCH(495,tk_DSEQ,0)),"")</f>
        <v/>
      </c>
      <c r="B500" s="162">
        <f>IFERROR(INDEX(tk_QTY,MATCH(495,tk_DSEQ,0)),"")</f>
        <v/>
      </c>
      <c r="C500" s="162">
        <f>IFERROR(INDEX(tk_ROOMF,MATCH(495,tk_DSEQ,0))&amp;IF(INDEX(tk_ROOMT,MATCH(495,tk_DSEQ,0))="",""," → "&amp;INDEX(tk_ROOMT,MATCH(495,tk_DSEQ,0))),"")</f>
        <v/>
      </c>
      <c r="D500" s="162">
        <f>IFERROR(INDEX(tk_LEAVES,MATCH(495,tk_DSEQ,0)),"")</f>
        <v/>
      </c>
      <c r="E500" s="162">
        <f>IFERROR(""&amp;INDEX(tk_RATING,MATCH(495,tk_DSEQ,0)),"")</f>
        <v/>
      </c>
      <c r="F500" s="162">
        <f>IFERROR(TEXT(INDEX(tk_LEAFW,MATCH(495,tk_DSEQ,0)),"0.000")&amp;" x "&amp;TEXT(INDEX(tk_LEAFH,MATCH(495,tk_DSEQ,0)),"0.000"),"")</f>
        <v/>
      </c>
      <c r="G500" s="181">
        <f>IFERROR(""&amp;INDEX(tk_DLINE,MATCH(495,tk_DSEQ,0)),"")</f>
        <v/>
      </c>
      <c r="H500" s="181">
        <f>IFERROR(""&amp;INDEX(tk_LOCTXTD,MATCH(495,tk_DSEQ,0)),"")</f>
        <v/>
      </c>
      <c r="I500" s="162">
        <f>IFERROR(""&amp;INDEX(tk_DNOTES,MATCH(495,tk_DSEQ,0)),"")</f>
        <v/>
      </c>
    </row>
    <row r="501">
      <c r="A501" s="161">
        <f>IFERROR(""&amp;INDEX(tk_MARK,MATCH(496,tk_DSEQ,0)),"")</f>
        <v/>
      </c>
      <c r="B501" s="162">
        <f>IFERROR(INDEX(tk_QTY,MATCH(496,tk_DSEQ,0)),"")</f>
        <v/>
      </c>
      <c r="C501" s="162">
        <f>IFERROR(INDEX(tk_ROOMF,MATCH(496,tk_DSEQ,0))&amp;IF(INDEX(tk_ROOMT,MATCH(496,tk_DSEQ,0))="",""," → "&amp;INDEX(tk_ROOMT,MATCH(496,tk_DSEQ,0))),"")</f>
        <v/>
      </c>
      <c r="D501" s="162">
        <f>IFERROR(INDEX(tk_LEAVES,MATCH(496,tk_DSEQ,0)),"")</f>
        <v/>
      </c>
      <c r="E501" s="162">
        <f>IFERROR(""&amp;INDEX(tk_RATING,MATCH(496,tk_DSEQ,0)),"")</f>
        <v/>
      </c>
      <c r="F501" s="162">
        <f>IFERROR(TEXT(INDEX(tk_LEAFW,MATCH(496,tk_DSEQ,0)),"0.000")&amp;" x "&amp;TEXT(INDEX(tk_LEAFH,MATCH(496,tk_DSEQ,0)),"0.000"),"")</f>
        <v/>
      </c>
      <c r="G501" s="181">
        <f>IFERROR(""&amp;INDEX(tk_DLINE,MATCH(496,tk_DSEQ,0)),"")</f>
        <v/>
      </c>
      <c r="H501" s="181">
        <f>IFERROR(""&amp;INDEX(tk_LOCTXTD,MATCH(496,tk_DSEQ,0)),"")</f>
        <v/>
      </c>
      <c r="I501" s="162">
        <f>IFERROR(""&amp;INDEX(tk_DNOTES,MATCH(496,tk_DSEQ,0)),"")</f>
        <v/>
      </c>
    </row>
    <row r="502">
      <c r="A502" s="161">
        <f>IFERROR(""&amp;INDEX(tk_MARK,MATCH(497,tk_DSEQ,0)),"")</f>
        <v/>
      </c>
      <c r="B502" s="162">
        <f>IFERROR(INDEX(tk_QTY,MATCH(497,tk_DSEQ,0)),"")</f>
        <v/>
      </c>
      <c r="C502" s="162">
        <f>IFERROR(INDEX(tk_ROOMF,MATCH(497,tk_DSEQ,0))&amp;IF(INDEX(tk_ROOMT,MATCH(497,tk_DSEQ,0))="",""," → "&amp;INDEX(tk_ROOMT,MATCH(497,tk_DSEQ,0))),"")</f>
        <v/>
      </c>
      <c r="D502" s="162">
        <f>IFERROR(INDEX(tk_LEAVES,MATCH(497,tk_DSEQ,0)),"")</f>
        <v/>
      </c>
      <c r="E502" s="162">
        <f>IFERROR(""&amp;INDEX(tk_RATING,MATCH(497,tk_DSEQ,0)),"")</f>
        <v/>
      </c>
      <c r="F502" s="162">
        <f>IFERROR(TEXT(INDEX(tk_LEAFW,MATCH(497,tk_DSEQ,0)),"0.000")&amp;" x "&amp;TEXT(INDEX(tk_LEAFH,MATCH(497,tk_DSEQ,0)),"0.000"),"")</f>
        <v/>
      </c>
      <c r="G502" s="181">
        <f>IFERROR(""&amp;INDEX(tk_DLINE,MATCH(497,tk_DSEQ,0)),"")</f>
        <v/>
      </c>
      <c r="H502" s="181">
        <f>IFERROR(""&amp;INDEX(tk_LOCTXTD,MATCH(497,tk_DSEQ,0)),"")</f>
        <v/>
      </c>
      <c r="I502" s="162">
        <f>IFERROR(""&amp;INDEX(tk_DNOTES,MATCH(497,tk_DSEQ,0)),"")</f>
        <v/>
      </c>
    </row>
    <row r="503">
      <c r="A503" s="161">
        <f>IFERROR(""&amp;INDEX(tk_MARK,MATCH(498,tk_DSEQ,0)),"")</f>
        <v/>
      </c>
      <c r="B503" s="162">
        <f>IFERROR(INDEX(tk_QTY,MATCH(498,tk_DSEQ,0)),"")</f>
        <v/>
      </c>
      <c r="C503" s="162">
        <f>IFERROR(INDEX(tk_ROOMF,MATCH(498,tk_DSEQ,0))&amp;IF(INDEX(tk_ROOMT,MATCH(498,tk_DSEQ,0))="",""," → "&amp;INDEX(tk_ROOMT,MATCH(498,tk_DSEQ,0))),"")</f>
        <v/>
      </c>
      <c r="D503" s="162">
        <f>IFERROR(INDEX(tk_LEAVES,MATCH(498,tk_DSEQ,0)),"")</f>
        <v/>
      </c>
      <c r="E503" s="162">
        <f>IFERROR(""&amp;INDEX(tk_RATING,MATCH(498,tk_DSEQ,0)),"")</f>
        <v/>
      </c>
      <c r="F503" s="162">
        <f>IFERROR(TEXT(INDEX(tk_LEAFW,MATCH(498,tk_DSEQ,0)),"0.000")&amp;" x "&amp;TEXT(INDEX(tk_LEAFH,MATCH(498,tk_DSEQ,0)),"0.000"),"")</f>
        <v/>
      </c>
      <c r="G503" s="181">
        <f>IFERROR(""&amp;INDEX(tk_DLINE,MATCH(498,tk_DSEQ,0)),"")</f>
        <v/>
      </c>
      <c r="H503" s="181">
        <f>IFERROR(""&amp;INDEX(tk_LOCTXTD,MATCH(498,tk_DSEQ,0)),"")</f>
        <v/>
      </c>
      <c r="I503" s="162">
        <f>IFERROR(""&amp;INDEX(tk_DNOTES,MATCH(498,tk_DSEQ,0)),"")</f>
        <v/>
      </c>
    </row>
    <row r="504">
      <c r="A504" s="161">
        <f>IFERROR(""&amp;INDEX(tk_MARK,MATCH(499,tk_DSEQ,0)),"")</f>
        <v/>
      </c>
      <c r="B504" s="162">
        <f>IFERROR(INDEX(tk_QTY,MATCH(499,tk_DSEQ,0)),"")</f>
        <v/>
      </c>
      <c r="C504" s="162">
        <f>IFERROR(INDEX(tk_ROOMF,MATCH(499,tk_DSEQ,0))&amp;IF(INDEX(tk_ROOMT,MATCH(499,tk_DSEQ,0))="",""," → "&amp;INDEX(tk_ROOMT,MATCH(499,tk_DSEQ,0))),"")</f>
        <v/>
      </c>
      <c r="D504" s="162">
        <f>IFERROR(INDEX(tk_LEAVES,MATCH(499,tk_DSEQ,0)),"")</f>
        <v/>
      </c>
      <c r="E504" s="162">
        <f>IFERROR(""&amp;INDEX(tk_RATING,MATCH(499,tk_DSEQ,0)),"")</f>
        <v/>
      </c>
      <c r="F504" s="162">
        <f>IFERROR(TEXT(INDEX(tk_LEAFW,MATCH(499,tk_DSEQ,0)),"0.000")&amp;" x "&amp;TEXT(INDEX(tk_LEAFH,MATCH(499,tk_DSEQ,0)),"0.000"),"")</f>
        <v/>
      </c>
      <c r="G504" s="181">
        <f>IFERROR(""&amp;INDEX(tk_DLINE,MATCH(499,tk_DSEQ,0)),"")</f>
        <v/>
      </c>
      <c r="H504" s="181">
        <f>IFERROR(""&amp;INDEX(tk_LOCTXTD,MATCH(499,tk_DSEQ,0)),"")</f>
        <v/>
      </c>
      <c r="I504" s="162">
        <f>IFERROR(""&amp;INDEX(tk_DNOTES,MATCH(499,tk_DSEQ,0)),"")</f>
        <v/>
      </c>
    </row>
    <row r="505">
      <c r="A505" s="161">
        <f>IFERROR(""&amp;INDEX(tk_MARK,MATCH(500,tk_DSEQ,0)),"")</f>
        <v/>
      </c>
      <c r="B505" s="162">
        <f>IFERROR(INDEX(tk_QTY,MATCH(500,tk_DSEQ,0)),"")</f>
        <v/>
      </c>
      <c r="C505" s="162">
        <f>IFERROR(INDEX(tk_ROOMF,MATCH(500,tk_DSEQ,0))&amp;IF(INDEX(tk_ROOMT,MATCH(500,tk_DSEQ,0))="",""," → "&amp;INDEX(tk_ROOMT,MATCH(500,tk_DSEQ,0))),"")</f>
        <v/>
      </c>
      <c r="D505" s="162">
        <f>IFERROR(INDEX(tk_LEAVES,MATCH(500,tk_DSEQ,0)),"")</f>
        <v/>
      </c>
      <c r="E505" s="162">
        <f>IFERROR(""&amp;INDEX(tk_RATING,MATCH(500,tk_DSEQ,0)),"")</f>
        <v/>
      </c>
      <c r="F505" s="162">
        <f>IFERROR(TEXT(INDEX(tk_LEAFW,MATCH(500,tk_DSEQ,0)),"0.000")&amp;" x "&amp;TEXT(INDEX(tk_LEAFH,MATCH(500,tk_DSEQ,0)),"0.000"),"")</f>
        <v/>
      </c>
      <c r="G505" s="181">
        <f>IFERROR(""&amp;INDEX(tk_DLINE,MATCH(500,tk_DSEQ,0)),"")</f>
        <v/>
      </c>
      <c r="H505" s="181">
        <f>IFERROR(""&amp;INDEX(tk_LOCTXTD,MATCH(500,tk_DSEQ,0)),"")</f>
        <v/>
      </c>
      <c r="I505" s="162">
        <f>IFERROR(""&amp;INDEX(tk_DNOTES,MATCH(500,tk_DSEQ,0)),"")</f>
        <v/>
      </c>
    </row>
  </sheetData>
  <conditionalFormatting sqref="A6:I505">
    <cfRule type="expression" priority="1" dxfId="9">
      <formula>AND($A6&lt;&gt;"",MOD(ROW(),2)=0)</formula>
    </cfRule>
  </conditionalFormatting>
  <pageMargins left="0.75" right="0.75" top="1" bottom="1" header="0.5" footer="0.5"/>
  <pageSetup orientation="landscape" fitToHeight="0" fitToWidth="1"/>
</worksheet>
</file>

<file path=xl/worksheets/sheet12.xml><?xml version="1.0" encoding="utf-8"?>
<worksheet xmlns="http://schemas.openxmlformats.org/spreadsheetml/2006/main">
  <sheetPr>
    <tabColor rgb="003D4852"/>
    <outlinePr summaryBelow="1" summaryRight="1"/>
    <pageSetUpPr fitToPage="1"/>
  </sheetPr>
  <dimension ref="A1:N44"/>
  <sheetViews>
    <sheetView showGridLines="0" workbookViewId="0">
      <selection activeCell="A1" sqref="A1"/>
    </sheetView>
  </sheetViews>
  <sheetFormatPr baseColWidth="8" defaultRowHeight="15"/>
  <cols>
    <col width="2" customWidth="1" min="1" max="1"/>
    <col width="17" customWidth="1" min="2" max="2"/>
    <col width="17" customWidth="1" min="3" max="3"/>
    <col width="2" customWidth="1" min="4" max="4"/>
    <col width="17" customWidth="1" min="5" max="5"/>
    <col width="17" customWidth="1" min="6" max="6"/>
    <col width="2" customWidth="1" min="7" max="7"/>
    <col width="17" customWidth="1" min="8" max="8"/>
    <col width="17" customWidth="1" min="9" max="9"/>
    <col width="2" customWidth="1" min="10" max="10"/>
    <col width="17" customWidth="1" min="11" max="11"/>
    <col width="17" customWidth="1" min="12" max="12"/>
    <col width="17" customWidth="1" min="13" max="13"/>
    <col width="17" customWidth="1" min="14" max="14"/>
  </cols>
  <sheetData>
    <row r="1" ht="30" customHeight="1">
      <c r="A1" s="1" t="n"/>
      <c r="B1" s="38" t="inlineStr">
        <is>
          <t>SUMMARY</t>
        </is>
      </c>
      <c r="C1" s="1" t="n"/>
      <c r="D1" s="1" t="n"/>
      <c r="E1" s="1" t="n"/>
      <c r="F1" s="1" t="n"/>
      <c r="G1" s="1" t="n"/>
      <c r="H1" s="1" t="n"/>
      <c r="I1" s="1" t="n"/>
      <c r="J1" s="1" t="n"/>
      <c r="K1" s="1" t="n"/>
      <c r="L1" s="1" t="n"/>
      <c r="M1" s="1" t="n"/>
      <c r="N1" s="39">
        <f>IF(JobName="","OPENING TAKEOFF  ·  FORM 3.2",JobName&amp;IF(JobNo="",""," · JOB "&amp;JobNo))</f>
        <v/>
      </c>
    </row>
    <row r="2" ht="18" customHeight="1">
      <c r="A2" s="1" t="n"/>
      <c r="B2" s="40" t="inlineStr">
        <is>
          <t>Counts are openings (QTY), not rows. Nothing here is typed.</t>
        </is>
      </c>
      <c r="C2" s="1" t="n"/>
      <c r="D2" s="1" t="n"/>
      <c r="E2" s="1" t="n"/>
      <c r="F2" s="1" t="n"/>
      <c r="G2" s="1" t="n"/>
      <c r="H2" s="1" t="n"/>
      <c r="I2" s="1" t="n"/>
      <c r="J2" s="1" t="n"/>
      <c r="K2" s="1" t="n"/>
      <c r="L2" s="1" t="n"/>
      <c r="M2" s="1" t="n"/>
      <c r="N2" s="41">
        <f>TEXT(JobDate,"mmm d, yyyy")&amp;IF(JobRev="",""," · "&amp;JobRev)</f>
        <v/>
      </c>
    </row>
    <row r="3" ht="4" customHeight="1">
      <c r="A3" s="6" t="n"/>
      <c r="B3" s="6" t="n"/>
      <c r="C3" s="6" t="n"/>
      <c r="D3" s="6" t="n"/>
      <c r="E3" s="6" t="n"/>
      <c r="F3" s="6" t="n"/>
      <c r="G3" s="6" t="n"/>
      <c r="H3" s="6" t="n"/>
      <c r="I3" s="6" t="n"/>
      <c r="J3" s="6" t="n"/>
      <c r="K3" s="6" t="n"/>
      <c r="L3" s="6" t="n"/>
      <c r="M3" s="6" t="n"/>
      <c r="N3" s="6" t="n"/>
    </row>
    <row r="5">
      <c r="B5" s="182" t="inlineStr">
        <is>
          <t>OPENINGS</t>
        </is>
      </c>
      <c r="C5" s="183" t="n"/>
      <c r="E5" s="184" t="inlineStr">
        <is>
          <t>FRAMES</t>
        </is>
      </c>
      <c r="F5" s="185" t="n"/>
      <c r="H5" s="186" t="inlineStr">
        <is>
          <t>DOOR LEAVES</t>
        </is>
      </c>
      <c r="I5" s="187" t="n"/>
      <c r="K5" s="188" t="inlineStr">
        <is>
          <t>RATED OPENINGS</t>
        </is>
      </c>
      <c r="L5" s="189" t="n"/>
    </row>
    <row r="6" ht="30" customHeight="1">
      <c r="B6" s="190">
        <f>SUM(tk_QTY)</f>
        <v/>
      </c>
      <c r="C6" s="191" t="n"/>
      <c r="E6" s="192">
        <f>SUMPRODUCT(tk_QTY,--(tk_FSEQ&lt;&gt;""))</f>
        <v/>
      </c>
      <c r="F6" s="193" t="n"/>
      <c r="H6" s="194">
        <f>SUMPRODUCT(tk_QTY,tk_LEAVES)</f>
        <v/>
      </c>
      <c r="I6" s="195" t="n"/>
      <c r="K6" s="196">
        <f>SUMPRODUCT(tk_QTY,--(tk_DMIN&gt;0))</f>
        <v/>
      </c>
      <c r="L6" s="197" t="n"/>
    </row>
    <row r="7">
      <c r="B7" s="198" t="n"/>
      <c r="C7" s="199" t="n"/>
      <c r="E7" s="200" t="n"/>
      <c r="F7" s="201" t="n"/>
      <c r="H7" s="202" t="n"/>
      <c r="I7" s="203" t="n"/>
      <c r="K7" s="204" t="n"/>
      <c r="L7" s="205" t="n"/>
    </row>
    <row r="9">
      <c r="B9" s="206" t="inlineStr">
        <is>
          <t>ROWS TO FIX</t>
        </is>
      </c>
      <c r="C9" s="207" t="n"/>
      <c r="E9" s="208" t="inlineStr">
        <is>
          <t>ROWS TO CHECK</t>
        </is>
      </c>
      <c r="F9" s="209" t="n"/>
      <c r="H9" s="210" t="inlineStr">
        <is>
          <t>ELEVATION TYPES</t>
        </is>
      </c>
      <c r="I9" s="211" t="n"/>
      <c r="K9" s="184" t="inlineStr">
        <is>
          <t>JAMB ANCHORS</t>
        </is>
      </c>
      <c r="L9" s="185" t="n"/>
    </row>
    <row r="10" ht="30" customHeight="1">
      <c r="B10" s="212">
        <f>COUNTIF(tk_CHECK,"FIX")</f>
        <v/>
      </c>
      <c r="C10" s="213" t="n"/>
      <c r="E10" s="214">
        <f>COUNTIF(tk_CHECK,"CHECK")</f>
        <v/>
      </c>
      <c r="F10" s="215" t="n"/>
      <c r="H10" s="216">
        <f>MAX(tk_ETYPE)</f>
        <v/>
      </c>
      <c r="I10" s="217" t="n"/>
      <c r="K10" s="192">
        <f t="array" ref="K10">SUM(IFERROR(tk_QTY*tk_ANCHT,0))</f>
        <v/>
      </c>
      <c r="L10" s="193" t="n"/>
    </row>
    <row r="11">
      <c r="B11" s="218" t="n"/>
      <c r="C11" s="219" t="n"/>
      <c r="E11" s="220" t="n"/>
      <c r="F11" s="221" t="n"/>
      <c r="H11" s="222" t="n"/>
      <c r="I11" s="223" t="n"/>
      <c r="K11" s="200" t="n"/>
      <c r="L11" s="201" t="n"/>
    </row>
    <row r="13">
      <c r="B13" s="224" t="inlineStr">
        <is>
          <t>JAMB ANCHORS uses the app rule; the sum is computed with an array formula.</t>
        </is>
      </c>
    </row>
    <row r="14">
      <c r="B14" s="225" t="inlineStr">
        <is>
          <t>BY FIRE RATING</t>
        </is>
      </c>
      <c r="C14" s="226" t="inlineStr">
        <is>
          <t>QTY</t>
        </is>
      </c>
      <c r="E14" s="227" t="inlineStr">
        <is>
          <t>BY SCOPE</t>
        </is>
      </c>
      <c r="F14" s="228" t="inlineStr">
        <is>
          <t>QTY</t>
        </is>
      </c>
      <c r="H14" s="229" t="inlineStr">
        <is>
          <t>BY CONSTRUCTION</t>
        </is>
      </c>
      <c r="I14" s="230" t="inlineStr">
        <is>
          <t>QTY</t>
        </is>
      </c>
      <c r="K14" s="229" t="inlineStr">
        <is>
          <t>BY FRAME TYPE</t>
        </is>
      </c>
      <c r="L14" s="230" t="inlineStr">
        <is>
          <t>QTY</t>
        </is>
      </c>
    </row>
    <row r="15">
      <c r="B15" s="231" t="inlineStr">
        <is>
          <t>NO LAB</t>
        </is>
      </c>
      <c r="C15" s="232">
        <f>SUMIFS(tk_QTY,tk_RATING,B15)</f>
        <v/>
      </c>
      <c r="E15" s="231" t="inlineStr">
        <is>
          <t>FRAME &amp; DOOR</t>
        </is>
      </c>
      <c r="F15" s="232">
        <f>SUMIFS(tk_QTY,tk_SCOPE,E15)</f>
        <v/>
      </c>
      <c r="H15" s="231" t="inlineStr">
        <is>
          <t>WGS</t>
        </is>
      </c>
      <c r="I15" s="232">
        <f>SUMIFS(tk_QTY,tk_CONSTR,H15)</f>
        <v/>
      </c>
      <c r="K15" s="231" t="inlineStr">
        <is>
          <t>3F</t>
        </is>
      </c>
      <c r="L15" s="232">
        <f>SUMIFS(tk_QTY,tk_FDESC,K15)</f>
        <v/>
      </c>
    </row>
    <row r="16">
      <c r="B16" s="233" t="inlineStr">
        <is>
          <t>20 MIN</t>
        </is>
      </c>
      <c r="C16" s="234">
        <f>SUMIFS(tk_QTY,tk_RATING,B16)</f>
        <v/>
      </c>
      <c r="E16" s="233" t="inlineStr">
        <is>
          <t>FRAME ONLY</t>
        </is>
      </c>
      <c r="F16" s="234">
        <f>SUMIFS(tk_QTY,tk_SCOPE,E16)</f>
        <v/>
      </c>
      <c r="H16" s="233" t="inlineStr">
        <is>
          <t>KD</t>
        </is>
      </c>
      <c r="I16" s="234">
        <f>SUMIFS(tk_QTY,tk_CONSTR,H16)</f>
        <v/>
      </c>
      <c r="K16" s="233" t="inlineStr">
        <is>
          <t>3FH</t>
        </is>
      </c>
      <c r="L16" s="234">
        <f>SUMIFS(tk_QTY,tk_FDESC,K16)</f>
        <v/>
      </c>
    </row>
    <row r="17">
      <c r="B17" s="231" t="inlineStr">
        <is>
          <t>45 MIN</t>
        </is>
      </c>
      <c r="C17" s="232">
        <f>SUMIFS(tk_QTY,tk_RATING,B17)</f>
        <v/>
      </c>
      <c r="E17" s="231" t="inlineStr">
        <is>
          <t>DOOR ONLY</t>
        </is>
      </c>
      <c r="F17" s="232">
        <f>SUMIFS(tk_QTY,tk_SCOPE,E17)</f>
        <v/>
      </c>
      <c r="K17" s="231" t="inlineStr">
        <is>
          <t>3FV</t>
        </is>
      </c>
      <c r="L17" s="232">
        <f>SUMIFS(tk_QTY,tk_FDESC,K17)</f>
        <v/>
      </c>
    </row>
    <row r="18">
      <c r="B18" s="233" t="inlineStr">
        <is>
          <t>60 MIN</t>
        </is>
      </c>
      <c r="C18" s="234">
        <f>SUMIFS(tk_QTY,tk_RATING,B18)</f>
        <v/>
      </c>
      <c r="K18" s="233" t="inlineStr">
        <is>
          <t>4F</t>
        </is>
      </c>
      <c r="L18" s="234">
        <f>SUMIFS(tk_QTY,tk_FDESC,K18)</f>
        <v/>
      </c>
    </row>
    <row r="19">
      <c r="B19" s="231" t="inlineStr">
        <is>
          <t>90 MIN</t>
        </is>
      </c>
      <c r="C19" s="232">
        <f>SUMIFS(tk_QTY,tk_RATING,B19)</f>
        <v/>
      </c>
      <c r="K19" s="231" t="inlineStr">
        <is>
          <t>BL</t>
        </is>
      </c>
      <c r="L19" s="232">
        <f>SUMIFS(tk_QTY,tk_FDESC,K19)</f>
        <v/>
      </c>
    </row>
    <row r="20">
      <c r="B20" s="233" t="inlineStr">
        <is>
          <t>180 MIN</t>
        </is>
      </c>
      <c r="C20" s="234">
        <f>SUMIFS(tk_QTY,tk_RATING,B20)</f>
        <v/>
      </c>
      <c r="K20" s="233" t="inlineStr">
        <is>
          <t>SL</t>
        </is>
      </c>
      <c r="L20" s="234">
        <f>SUMIFS(tk_QTY,tk_FDESC,K20)</f>
        <v/>
      </c>
    </row>
    <row r="23">
      <c r="B23" s="235" t="inlineStr">
        <is>
          <t>GLASS IN DOOR LITES</t>
        </is>
      </c>
      <c r="C23" s="236" t="n"/>
      <c r="E23" s="227" t="inlineStr">
        <is>
          <t>BY FLOOR</t>
        </is>
      </c>
      <c r="F23" s="228" t="inlineStr">
        <is>
          <t>QTY</t>
        </is>
      </c>
      <c r="H23" s="237" t="inlineStr">
        <is>
          <t>BY DOOR MATERIAL</t>
        </is>
      </c>
      <c r="I23" s="238" t="inlineStr">
        <is>
          <t>QTY</t>
        </is>
      </c>
      <c r="K23" s="235" t="inlineStr">
        <is>
          <t>BY LITE KIT</t>
        </is>
      </c>
      <c r="L23" s="239" t="inlineStr">
        <is>
          <t>QTY</t>
        </is>
      </c>
    </row>
    <row r="24">
      <c r="B24" s="240">
        <f t="array" ref="B24">SUMPRODUCT(tk_QTY*IFERROR(tk_LEAVES*tk_LITEW*tk_LITEH*(tk_LITEKIT&lt;&gt;"FL")*(tk_LITEKIT&lt;&gt;"FP"),0))/144</f>
        <v/>
      </c>
      <c r="E24" s="231" t="inlineStr">
        <is>
          <t>BASEMENT</t>
        </is>
      </c>
      <c r="F24" s="232">
        <f>SUMIFS(tk_QTY,tk_FLOOR,E24)</f>
        <v/>
      </c>
      <c r="H24" s="231" t="inlineStr">
        <is>
          <t>CR</t>
        </is>
      </c>
      <c r="I24" s="232">
        <f>SUMIFS(tk_QTY,tk_DMAT,H24)</f>
        <v/>
      </c>
      <c r="K24" s="231" t="inlineStr">
        <is>
          <t>FLUSH</t>
        </is>
      </c>
      <c r="L24" s="232">
        <f>SUMIFS(tk_QTY,tk_LITEKIT,K24)</f>
        <v/>
      </c>
    </row>
    <row r="25">
      <c r="E25" s="233" t="inlineStr">
        <is>
          <t>LOWER LEVEL</t>
        </is>
      </c>
      <c r="F25" s="234">
        <f>SUMIFS(tk_QTY,tk_FLOOR,E25)</f>
        <v/>
      </c>
      <c r="H25" s="233" t="inlineStr">
        <is>
          <t>RK</t>
        </is>
      </c>
      <c r="I25" s="234">
        <f>SUMIFS(tk_QTY,tk_DMAT,H25)</f>
        <v/>
      </c>
      <c r="K25" s="233" t="inlineStr">
        <is>
          <t>FNV</t>
        </is>
      </c>
      <c r="L25" s="234">
        <f>SUMIFS(tk_QTY,tk_LITEKIT,K25)</f>
        <v/>
      </c>
    </row>
    <row r="26">
      <c r="E26" s="231" t="inlineStr">
        <is>
          <t>GROUND</t>
        </is>
      </c>
      <c r="F26" s="232">
        <f>SUMIFS(tk_QTY,tk_FLOOR,E26)</f>
        <v/>
      </c>
      <c r="H26" s="231" t="inlineStr">
        <is>
          <t>SS</t>
        </is>
      </c>
      <c r="I26" s="232">
        <f>SUMIFS(tk_QTY,tk_DMAT,H26)</f>
        <v/>
      </c>
      <c r="K26" s="231" t="inlineStr">
        <is>
          <t>FV</t>
        </is>
      </c>
      <c r="L26" s="232">
        <f>SUMIFS(tk_QTY,tk_LITEKIT,K26)</f>
        <v/>
      </c>
    </row>
    <row r="27">
      <c r="E27" s="233" t="inlineStr">
        <is>
          <t>UPPER LEVEL</t>
        </is>
      </c>
      <c r="F27" s="234">
        <f>SUMIFS(tk_QTY,tk_FLOOR,E27)</f>
        <v/>
      </c>
      <c r="H27" s="233" t="inlineStr">
        <is>
          <t>FRP</t>
        </is>
      </c>
      <c r="I27" s="234">
        <f>SUMIFS(tk_QTY,tk_DMAT,H27)</f>
        <v/>
      </c>
      <c r="K27" s="233" t="inlineStr">
        <is>
          <t>HG</t>
        </is>
      </c>
      <c r="L27" s="234">
        <f>SUMIFS(tk_QTY,tk_LITEKIT,K27)</f>
        <v/>
      </c>
    </row>
    <row r="28">
      <c r="E28" s="231" t="inlineStr">
        <is>
          <t>1st</t>
        </is>
      </c>
      <c r="F28" s="232">
        <f>SUMIFS(tk_QTY,tk_FLOOR,E28)</f>
        <v/>
      </c>
      <c r="H28" s="231" t="inlineStr">
        <is>
          <t>OAK-MC</t>
        </is>
      </c>
      <c r="I28" s="232">
        <f>SUMIFS(tk_QTY,tk_DMAT,H28)</f>
        <v/>
      </c>
      <c r="K28" s="231" t="inlineStr">
        <is>
          <t>FG</t>
        </is>
      </c>
      <c r="L28" s="232">
        <f>SUMIFS(tk_QTY,tk_LITEKIT,K28)</f>
        <v/>
      </c>
    </row>
    <row r="29">
      <c r="E29" s="233" t="inlineStr">
        <is>
          <t>2nd</t>
        </is>
      </c>
      <c r="F29" s="234">
        <f>SUMIFS(tk_QTY,tk_FLOOR,E29)</f>
        <v/>
      </c>
      <c r="H29" s="233" t="inlineStr">
        <is>
          <t>OAK-PC</t>
        </is>
      </c>
      <c r="I29" s="234">
        <f>SUMIFS(tk_QTY,tk_DMAT,H29)</f>
        <v/>
      </c>
      <c r="K29" s="233" t="inlineStr">
        <is>
          <t>FL</t>
        </is>
      </c>
      <c r="L29" s="234">
        <f>SUMIFS(tk_QTY,tk_LITEKIT,K29)</f>
        <v/>
      </c>
    </row>
    <row r="30">
      <c r="E30" s="231" t="inlineStr">
        <is>
          <t>3rd</t>
        </is>
      </c>
      <c r="F30" s="232">
        <f>SUMIFS(tk_QTY,tk_FLOOR,E30)</f>
        <v/>
      </c>
      <c r="H30" s="231" t="inlineStr">
        <is>
          <t>BIR-MC</t>
        </is>
      </c>
      <c r="I30" s="232">
        <f>SUMIFS(tk_QTY,tk_DMAT,H30)</f>
        <v/>
      </c>
      <c r="K30" s="231" t="inlineStr">
        <is>
          <t>FP</t>
        </is>
      </c>
      <c r="L30" s="232">
        <f>SUMIFS(tk_QTY,tk_LITEKIT,K30)</f>
        <v/>
      </c>
    </row>
    <row r="31">
      <c r="E31" s="233" t="inlineStr">
        <is>
          <t>4th</t>
        </is>
      </c>
      <c r="F31" s="234">
        <f>SUMIFS(tk_QTY,tk_FLOOR,E31)</f>
        <v/>
      </c>
      <c r="H31" s="233" t="inlineStr">
        <is>
          <t>BIR-PC</t>
        </is>
      </c>
      <c r="I31" s="234">
        <f>SUMIFS(tk_QTY,tk_DMAT,H31)</f>
        <v/>
      </c>
    </row>
    <row r="32">
      <c r="E32" s="231" t="inlineStr">
        <is>
          <t>5th</t>
        </is>
      </c>
      <c r="F32" s="232">
        <f>SUMIFS(tk_QTY,tk_FLOOR,E32)</f>
        <v/>
      </c>
      <c r="H32" s="231" t="inlineStr">
        <is>
          <t>MAP-MC</t>
        </is>
      </c>
      <c r="I32" s="232">
        <f>SUMIFS(tk_QTY,tk_DMAT,H32)</f>
        <v/>
      </c>
    </row>
    <row r="33">
      <c r="E33" s="233" t="inlineStr">
        <is>
          <t>6th</t>
        </is>
      </c>
      <c r="F33" s="234">
        <f>SUMIFS(tk_QTY,tk_FLOOR,E33)</f>
        <v/>
      </c>
      <c r="H33" s="233" t="inlineStr">
        <is>
          <t>MAP-PC</t>
        </is>
      </c>
      <c r="I33" s="234">
        <f>SUMIFS(tk_QTY,tk_DMAT,H33)</f>
        <v/>
      </c>
      <c r="K33" s="241" t="inlineStr">
        <is>
          <t>BY LOCATION STANDARD</t>
        </is>
      </c>
      <c r="L33" s="120" t="inlineStr">
        <is>
          <t>QTY</t>
        </is>
      </c>
    </row>
    <row r="34">
      <c r="E34" s="231" t="inlineStr">
        <is>
          <t>7th</t>
        </is>
      </c>
      <c r="F34" s="232">
        <f>SUMIFS(tk_QTY,tk_FLOOR,E34)</f>
        <v/>
      </c>
      <c r="K34" s="231" t="inlineStr">
        <is>
          <t>ANSI/SDI</t>
        </is>
      </c>
      <c r="L34" s="232">
        <f>SUMIFS(tk_QTY,tk_HWLOC,K34)</f>
        <v/>
      </c>
    </row>
    <row r="35">
      <c r="K35" s="233" t="inlineStr">
        <is>
          <t>CURRIES</t>
        </is>
      </c>
      <c r="L35" s="234">
        <f>SUMIFS(tk_QTY,tk_HWLOC,K35)</f>
        <v/>
      </c>
    </row>
    <row r="36">
      <c r="K36" s="231" t="inlineStr">
        <is>
          <t>STEELCRAFT</t>
        </is>
      </c>
      <c r="L36" s="232">
        <f>SUMIFS(tk_QTY,tk_HWLOC,K36)</f>
        <v/>
      </c>
    </row>
    <row r="37">
      <c r="K37" s="233" t="inlineStr">
        <is>
          <t>AMWELD</t>
        </is>
      </c>
      <c r="L37" s="234">
        <f>SUMIFS(tk_QTY,tk_HWLOC,K37)</f>
        <v/>
      </c>
    </row>
    <row r="38">
      <c r="K38" s="231" t="inlineStr">
        <is>
          <t>CECO</t>
        </is>
      </c>
      <c r="L38" s="232">
        <f>SUMIFS(tk_QTY,tk_HWLOC,K38)</f>
        <v/>
      </c>
    </row>
    <row r="39">
      <c r="K39" s="233" t="inlineStr">
        <is>
          <t>FENESTRA</t>
        </is>
      </c>
      <c r="L39" s="234">
        <f>SUMIFS(tk_QTY,tk_HWLOC,K39)</f>
        <v/>
      </c>
    </row>
    <row r="40">
      <c r="K40" s="231" t="inlineStr">
        <is>
          <t>KEWANEE</t>
        </is>
      </c>
      <c r="L40" s="232">
        <f>SUMIFS(tk_QTY,tk_HWLOC,K40)</f>
        <v/>
      </c>
    </row>
    <row r="41">
      <c r="K41" s="233" t="inlineStr">
        <is>
          <t>MESKER</t>
        </is>
      </c>
      <c r="L41" s="234">
        <f>SUMIFS(tk_QTY,tk_HWLOC,K41)</f>
        <v/>
      </c>
    </row>
    <row r="42">
      <c r="K42" s="231" t="inlineStr">
        <is>
          <t>PIONEER</t>
        </is>
      </c>
      <c r="L42" s="232">
        <f>SUMIFS(tk_QTY,tk_HWLOC,K42)</f>
        <v/>
      </c>
    </row>
    <row r="43">
      <c r="K43" s="233" t="inlineStr">
        <is>
          <t>REPUBLIC</t>
        </is>
      </c>
      <c r="L43" s="234">
        <f>SUMIFS(tk_QTY,tk_HWLOC,K43)</f>
        <v/>
      </c>
    </row>
    <row r="44">
      <c r="K44" s="231" t="inlineStr">
        <is>
          <t>CUSTOM LOC</t>
        </is>
      </c>
      <c r="L44" s="232">
        <f>SUMIFS(tk_QTY,tk_HWLOC,K44)</f>
        <v/>
      </c>
    </row>
  </sheetData>
  <pageMargins left="0.75" right="0.75" top="1" bottom="1" header="0.5" footer="0.5"/>
  <pageSetup orientation="landscape" fitToHeight="1" fitToWidth="1"/>
  <drawing xmlns:r="http://schemas.openxmlformats.org/officeDocument/2006/relationships" r:id="rId1"/>
</worksheet>
</file>

<file path=xl/worksheets/sheet13.xml><?xml version="1.0" encoding="utf-8"?>
<worksheet xmlns="http://schemas.openxmlformats.org/spreadsheetml/2006/main">
  <sheetPr>
    <tabColor rgb="000E6E6E"/>
    <outlinePr summaryBelow="1" summaryRight="1"/>
    <pageSetUpPr fitToPage="1"/>
  </sheetPr>
  <dimension ref="A1:L47"/>
  <sheetViews>
    <sheetView showGridLines="0" workbookViewId="0">
      <selection activeCell="A1" sqref="A1"/>
    </sheetView>
  </sheetViews>
  <sheetFormatPr baseColWidth="8" defaultRowHeight="15"/>
  <cols>
    <col width="2" customWidth="1" min="1" max="1"/>
    <col width="12" customWidth="1" min="2" max="2"/>
    <col width="13" customWidth="1" min="3" max="3"/>
    <col width="9" customWidth="1" min="4" max="4"/>
    <col width="9" customWidth="1" min="5" max="5"/>
    <col width="9" customWidth="1" min="6" max="6"/>
    <col width="9" customWidth="1" min="7" max="7"/>
    <col width="9" customWidth="1" min="8" max="8"/>
    <col width="10" customWidth="1" min="9" max="9"/>
    <col width="3" customWidth="1" min="10" max="10"/>
    <col width="22" customWidth="1" min="11" max="11"/>
    <col width="44" customWidth="1" min="12" max="12"/>
  </cols>
  <sheetData>
    <row r="1" ht="30" customHeight="1">
      <c r="A1" s="1" t="n"/>
      <c r="B1" s="38" t="inlineStr">
        <is>
          <t>REFERENCE</t>
        </is>
      </c>
      <c r="C1" s="1" t="n"/>
      <c r="D1" s="1" t="n"/>
      <c r="E1" s="1" t="n"/>
      <c r="F1" s="1" t="n"/>
      <c r="G1" s="1" t="n"/>
      <c r="H1" s="1" t="n"/>
      <c r="I1" s="1" t="n"/>
      <c r="J1" s="1" t="n"/>
      <c r="K1" s="1" t="n"/>
      <c r="L1" s="39">
        <f>IF(JobName="","OPENING TAKEOFF  ·  FORM 3.2",JobName&amp;IF(JobNo="",""," · JOB "&amp;JobNo))</f>
        <v/>
      </c>
    </row>
    <row r="2" ht="18" customHeight="1">
      <c r="A2" s="1" t="n"/>
      <c r="B2" s="40" t="inlineStr">
        <is>
          <t>Hinge location charts, fire label classes, weld codes, anchors and handing — the same tables the Opening Takeoff app uses.</t>
        </is>
      </c>
      <c r="C2" s="1" t="n"/>
      <c r="D2" s="1" t="n"/>
      <c r="E2" s="1" t="n"/>
      <c r="F2" s="1" t="n"/>
      <c r="G2" s="1" t="n"/>
      <c r="H2" s="1" t="n"/>
      <c r="I2" s="1" t="n"/>
      <c r="J2" s="1" t="n"/>
      <c r="K2" s="1" t="n"/>
      <c r="L2" s="41">
        <f>TEXT(JobDate,"mmm d, yyyy")&amp;IF(JobRev="",""," · "&amp;JobRev)</f>
        <v/>
      </c>
    </row>
    <row r="3" ht="4" customHeight="1">
      <c r="A3" s="6" t="n"/>
      <c r="B3" s="6" t="n"/>
      <c r="C3" s="6" t="n"/>
      <c r="D3" s="6" t="n"/>
      <c r="E3" s="6" t="n"/>
      <c r="F3" s="6" t="n"/>
      <c r="G3" s="6" t="n"/>
      <c r="H3" s="6" t="n"/>
      <c r="I3" s="6" t="n"/>
      <c r="J3" s="6" t="n"/>
      <c r="K3" s="6" t="n"/>
      <c r="L3" s="6" t="n"/>
    </row>
    <row r="5" ht="18" customHeight="1">
      <c r="B5" s="7" t="inlineStr">
        <is>
          <t>HINGE LOCATION CHARTS — inches from the top inside of the frame (head rabbet) to the TOP of each hinge; E = strike centre line</t>
        </is>
      </c>
      <c r="C5" s="8" t="n"/>
      <c r="D5" s="8" t="n"/>
      <c r="E5" s="8" t="n"/>
      <c r="F5" s="8" t="n"/>
      <c r="G5" s="8" t="n"/>
      <c r="H5" s="8" t="n"/>
      <c r="I5" s="8" t="n"/>
      <c r="K5" s="242" t="inlineStr">
        <is>
          <t>FIRE LABEL CLASSES (NFPA 80)</t>
        </is>
      </c>
      <c r="L5" s="243" t="n"/>
    </row>
    <row r="6">
      <c r="B6" s="120" t="inlineStr">
        <is>
          <t>KEY</t>
        </is>
      </c>
      <c r="C6" s="120" t="inlineStr">
        <is>
          <t>MAKER</t>
        </is>
      </c>
      <c r="D6" s="120" t="inlineStr">
        <is>
          <t>DOOR HT</t>
        </is>
      </c>
      <c r="E6" s="120" t="inlineStr">
        <is>
          <t>A (top)</t>
        </is>
      </c>
      <c r="F6" s="120" t="inlineStr">
        <is>
          <t>B</t>
        </is>
      </c>
      <c r="G6" s="120" t="inlineStr">
        <is>
          <t>C</t>
        </is>
      </c>
      <c r="H6" s="120" t="inlineStr">
        <is>
          <t>D (4th)</t>
        </is>
      </c>
      <c r="I6" s="120" t="inlineStr">
        <is>
          <t>E (strike)</t>
        </is>
      </c>
      <c r="K6" s="244" t="inlineStr">
        <is>
          <t>RATING</t>
        </is>
      </c>
      <c r="L6" s="244" t="inlineStr">
        <is>
          <t>CLASS · USE</t>
        </is>
      </c>
    </row>
    <row r="7">
      <c r="B7" s="245" t="inlineStr">
        <is>
          <t>CURRIES|80</t>
        </is>
      </c>
      <c r="C7" s="246" t="inlineStr">
        <is>
          <t>CURRIES</t>
        </is>
      </c>
      <c r="D7" s="247" t="n">
        <v>80</v>
      </c>
      <c r="E7" s="248" t="n">
        <v>5</v>
      </c>
      <c r="F7" s="248" t="n">
        <v>35.25</v>
      </c>
      <c r="G7" s="248" t="n">
        <v>65.5</v>
      </c>
      <c r="H7" s="248" t="n"/>
      <c r="I7" s="248" t="n">
        <v>40</v>
      </c>
      <c r="K7" s="246" t="inlineStr">
        <is>
          <t>180 MIN</t>
        </is>
      </c>
      <c r="L7" s="247" t="inlineStr">
        <is>
          <t>A — 3 hr  ·  Fire walls, 3 hr barriers</t>
        </is>
      </c>
    </row>
    <row r="8">
      <c r="B8" s="245" t="inlineStr">
        <is>
          <t>CURRIES|84</t>
        </is>
      </c>
      <c r="C8" s="246" t="inlineStr">
        <is>
          <t>CURRIES</t>
        </is>
      </c>
      <c r="D8" s="247" t="n">
        <v>84</v>
      </c>
      <c r="E8" s="248" t="n">
        <v>5</v>
      </c>
      <c r="F8" s="248" t="n">
        <v>37.25</v>
      </c>
      <c r="G8" s="248" t="n">
        <v>69.5</v>
      </c>
      <c r="H8" s="248" t="n"/>
      <c r="I8" s="248" t="n">
        <v>44</v>
      </c>
      <c r="K8" s="246" t="inlineStr">
        <is>
          <t>90 MIN</t>
        </is>
      </c>
      <c r="L8" s="247" t="inlineStr">
        <is>
          <t>B — 1-1/2 hr  ·  Stairs, shafts, 2 hr barriers</t>
        </is>
      </c>
    </row>
    <row r="9">
      <c r="B9" s="249" t="inlineStr">
        <is>
          <t>CURRIES|96</t>
        </is>
      </c>
      <c r="C9" s="250" t="inlineStr">
        <is>
          <t>CURRIES</t>
        </is>
      </c>
      <c r="D9" s="251" t="n">
        <v>96</v>
      </c>
      <c r="E9" s="252" t="n">
        <v>5</v>
      </c>
      <c r="F9" s="252" t="n">
        <v>30.5</v>
      </c>
      <c r="G9" s="252" t="n">
        <v>56</v>
      </c>
      <c r="H9" s="252" t="n">
        <v>81.5</v>
      </c>
      <c r="I9" s="252" t="n">
        <v>56</v>
      </c>
      <c r="K9" s="246" t="inlineStr">
        <is>
          <t>60 MIN</t>
        </is>
      </c>
      <c r="L9" s="247" t="inlineStr">
        <is>
          <t>B — 1 hr  ·  1 hr shafts / exit enclosures</t>
        </is>
      </c>
    </row>
    <row r="10">
      <c r="B10" s="249" t="inlineStr">
        <is>
          <t>STEELCRAFT|80</t>
        </is>
      </c>
      <c r="C10" s="250" t="inlineStr">
        <is>
          <t>STEELCRAFT</t>
        </is>
      </c>
      <c r="D10" s="251" t="n">
        <v>80</v>
      </c>
      <c r="E10" s="252" t="n">
        <v>7.5</v>
      </c>
      <c r="F10" s="252" t="n">
        <v>37.4375</v>
      </c>
      <c r="G10" s="252" t="n">
        <v>67.375</v>
      </c>
      <c r="H10" s="252" t="n"/>
      <c r="I10" s="252" t="n">
        <v>39.6875</v>
      </c>
      <c r="K10" s="246" t="inlineStr">
        <is>
          <t>45 MIN</t>
        </is>
      </c>
      <c r="L10" s="247" t="inlineStr">
        <is>
          <t>C — 3/4 hr  ·  1 hr barriers &amp; partitions</t>
        </is>
      </c>
    </row>
    <row r="11">
      <c r="B11" s="249" t="inlineStr">
        <is>
          <t>STEELCRAFT|84</t>
        </is>
      </c>
      <c r="C11" s="250" t="inlineStr">
        <is>
          <t>STEELCRAFT</t>
        </is>
      </c>
      <c r="D11" s="251" t="n">
        <v>84</v>
      </c>
      <c r="E11" s="252" t="n">
        <v>7.5</v>
      </c>
      <c r="F11" s="252" t="n">
        <v>39.4375</v>
      </c>
      <c r="G11" s="252" t="n">
        <v>71.375</v>
      </c>
      <c r="H11" s="252" t="n"/>
      <c r="I11" s="252" t="n">
        <v>43.6875</v>
      </c>
      <c r="K11" s="246" t="inlineStr">
        <is>
          <t>20 MIN</t>
        </is>
      </c>
      <c r="L11" s="247" t="inlineStr">
        <is>
          <t>20 MIN  ·  Corridors, smoke barriers (S label)</t>
        </is>
      </c>
    </row>
    <row r="12">
      <c r="B12" s="245" t="inlineStr">
        <is>
          <t>STEELCRAFT|96</t>
        </is>
      </c>
      <c r="C12" s="246" t="inlineStr">
        <is>
          <t>STEELCRAFT</t>
        </is>
      </c>
      <c r="D12" s="247" t="n">
        <v>96</v>
      </c>
      <c r="E12" s="248" t="n">
        <v>7.5</v>
      </c>
      <c r="F12" s="248" t="n">
        <v>32.78125</v>
      </c>
      <c r="G12" s="248" t="n">
        <v>58.0625</v>
      </c>
      <c r="H12" s="248" t="n">
        <v>83.375</v>
      </c>
      <c r="I12" s="248" t="n">
        <v>55.6875</v>
      </c>
      <c r="K12" s="246" t="inlineStr"/>
      <c r="L12" s="247" t="inlineStr">
        <is>
          <t>D — 1-1/2 hr ext.  ·  Exterior, severe exposure</t>
        </is>
      </c>
    </row>
    <row r="13">
      <c r="B13" s="245" t="inlineStr">
        <is>
          <t>AMWELD|80</t>
        </is>
      </c>
      <c r="C13" s="246" t="inlineStr">
        <is>
          <t>AMWELD</t>
        </is>
      </c>
      <c r="D13" s="247" t="n">
        <v>80</v>
      </c>
      <c r="E13" s="248" t="n">
        <v>7.5</v>
      </c>
      <c r="F13" s="248" t="n">
        <v>37.4375</v>
      </c>
      <c r="G13" s="248" t="n">
        <v>67.375</v>
      </c>
      <c r="H13" s="248" t="n"/>
      <c r="I13" s="248" t="n">
        <v>39.6875</v>
      </c>
      <c r="K13" s="246" t="inlineStr"/>
      <c r="L13" s="247" t="inlineStr">
        <is>
          <t>E — 3/4 hr ext.  ·  Exterior, moderate exposure</t>
        </is>
      </c>
    </row>
    <row r="14">
      <c r="B14" s="245" t="inlineStr">
        <is>
          <t>AMWELD|84</t>
        </is>
      </c>
      <c r="C14" s="246" t="inlineStr">
        <is>
          <t>AMWELD</t>
        </is>
      </c>
      <c r="D14" s="247" t="n">
        <v>84</v>
      </c>
      <c r="E14" s="248" t="n">
        <v>7.5</v>
      </c>
      <c r="F14" s="248" t="n">
        <v>39.4375</v>
      </c>
      <c r="G14" s="248" t="n">
        <v>71.375</v>
      </c>
      <c r="H14" s="248" t="n"/>
      <c r="I14" s="248" t="n">
        <v>43.6875</v>
      </c>
    </row>
    <row r="15">
      <c r="B15" s="249" t="inlineStr">
        <is>
          <t>AMWELD|96</t>
        </is>
      </c>
      <c r="C15" s="250" t="inlineStr">
        <is>
          <t>AMWELD</t>
        </is>
      </c>
      <c r="D15" s="251" t="n">
        <v>96</v>
      </c>
      <c r="E15" s="252" t="n">
        <v>7.5</v>
      </c>
      <c r="F15" s="252" t="n">
        <v>32.8125</v>
      </c>
      <c r="G15" s="252" t="n">
        <v>58.125</v>
      </c>
      <c r="H15" s="252" t="n">
        <v>83.4375</v>
      </c>
      <c r="I15" s="252" t="n">
        <v>55.6875</v>
      </c>
    </row>
    <row r="16" ht="18" customHeight="1">
      <c r="B16" s="249" t="inlineStr">
        <is>
          <t>CECO|80</t>
        </is>
      </c>
      <c r="C16" s="250" t="inlineStr">
        <is>
          <t>CECO</t>
        </is>
      </c>
      <c r="D16" s="251" t="n">
        <v>80</v>
      </c>
      <c r="E16" s="252" t="n">
        <v>6.75</v>
      </c>
      <c r="F16" s="252" t="n">
        <v>37.75</v>
      </c>
      <c r="G16" s="252" t="n">
        <v>68.75</v>
      </c>
      <c r="H16" s="252" t="n"/>
      <c r="I16" s="252" t="n">
        <v>38.1875</v>
      </c>
      <c r="K16" s="62" t="inlineStr">
        <is>
          <t>ANCHORS PER JAMB (same rule as the app)</t>
        </is>
      </c>
      <c r="L16" s="23" t="n"/>
    </row>
    <row r="17">
      <c r="B17" s="249" t="inlineStr">
        <is>
          <t>CECO|84</t>
        </is>
      </c>
      <c r="C17" s="250" t="inlineStr">
        <is>
          <t>CECO</t>
        </is>
      </c>
      <c r="D17" s="251" t="n">
        <v>84</v>
      </c>
      <c r="E17" s="252" t="n">
        <v>6.75</v>
      </c>
      <c r="F17" s="252" t="n">
        <v>39.75</v>
      </c>
      <c r="G17" s="252" t="n">
        <v>72.75</v>
      </c>
      <c r="H17" s="252" t="n"/>
      <c r="I17" s="252" t="n">
        <v>42.1875</v>
      </c>
      <c r="K17" s="247" t="inlineStr">
        <is>
          <t>Frame height ≤ 7'-6"</t>
        </is>
      </c>
      <c r="L17" s="246" t="inlineStr">
        <is>
          <t>3 per jamb</t>
        </is>
      </c>
    </row>
    <row r="18">
      <c r="B18" s="245" t="inlineStr">
        <is>
          <t>CECO|96</t>
        </is>
      </c>
      <c r="C18" s="246" t="inlineStr">
        <is>
          <t>CECO</t>
        </is>
      </c>
      <c r="D18" s="247" t="n">
        <v>96</v>
      </c>
      <c r="E18" s="248" t="n">
        <v>6.75</v>
      </c>
      <c r="F18" s="248" t="n">
        <v>32.75</v>
      </c>
      <c r="G18" s="248" t="n">
        <v>58.75</v>
      </c>
      <c r="H18" s="248" t="n">
        <v>84.75</v>
      </c>
      <c r="I18" s="248" t="n">
        <v>54.1875</v>
      </c>
      <c r="K18" s="247" t="inlineStr">
        <is>
          <t>≤ 9'-6"</t>
        </is>
      </c>
      <c r="L18" s="246" t="inlineStr">
        <is>
          <t>4 per jamb</t>
        </is>
      </c>
    </row>
    <row r="19">
      <c r="B19" s="245" t="inlineStr">
        <is>
          <t>FENESTRA|80</t>
        </is>
      </c>
      <c r="C19" s="246" t="inlineStr">
        <is>
          <t>FENESTRA</t>
        </is>
      </c>
      <c r="D19" s="247" t="n">
        <v>80</v>
      </c>
      <c r="E19" s="248" t="n">
        <v>5.25</v>
      </c>
      <c r="F19" s="248" t="n">
        <v>35.25</v>
      </c>
      <c r="G19" s="248" t="n">
        <v>65.25</v>
      </c>
      <c r="H19" s="248" t="n"/>
      <c r="I19" s="248" t="n">
        <v>39.6875</v>
      </c>
      <c r="K19" s="247" t="inlineStr">
        <is>
          <t>over 9'-6"</t>
        </is>
      </c>
      <c r="L19" s="246" t="inlineStr">
        <is>
          <t>5 per jamb</t>
        </is>
      </c>
    </row>
    <row r="20">
      <c r="B20" s="245" t="inlineStr">
        <is>
          <t>FENESTRA|84</t>
        </is>
      </c>
      <c r="C20" s="246" t="inlineStr">
        <is>
          <t>FENESTRA</t>
        </is>
      </c>
      <c r="D20" s="247" t="n">
        <v>84</v>
      </c>
      <c r="E20" s="248" t="n">
        <v>5.25</v>
      </c>
      <c r="F20" s="248" t="n">
        <v>37.25</v>
      </c>
      <c r="G20" s="248" t="n">
        <v>69.25</v>
      </c>
      <c r="H20" s="248" t="n"/>
      <c r="I20" s="248" t="n">
        <v>43.6875</v>
      </c>
      <c r="K20" s="247" t="inlineStr">
        <is>
          <t>Each sidelite / mullion</t>
        </is>
      </c>
      <c r="L20" s="246" t="inlineStr">
        <is>
          <t>adds a jamb</t>
        </is>
      </c>
    </row>
    <row r="21">
      <c r="B21" s="249" t="inlineStr">
        <is>
          <t>FENESTRA|96</t>
        </is>
      </c>
      <c r="C21" s="250" t="inlineStr">
        <is>
          <t>FENESTRA</t>
        </is>
      </c>
      <c r="D21" s="251" t="n">
        <v>96</v>
      </c>
      <c r="E21" s="252" t="n">
        <v>5.25</v>
      </c>
      <c r="F21" s="252" t="n">
        <v>30.625</v>
      </c>
      <c r="G21" s="252" t="n">
        <v>55.9375</v>
      </c>
      <c r="H21" s="252" t="n">
        <v>81.25</v>
      </c>
      <c r="I21" s="252" t="n">
        <v>55.6875</v>
      </c>
      <c r="K21" s="247" t="inlineStr">
        <is>
          <t>Base / floor anchor</t>
        </is>
      </c>
      <c r="L21" s="246" t="inlineStr">
        <is>
          <t>1 per jamb</t>
        </is>
      </c>
    </row>
    <row r="22">
      <c r="B22" s="249" t="inlineStr">
        <is>
          <t>KEWANEE|80</t>
        </is>
      </c>
      <c r="C22" s="250" t="inlineStr">
        <is>
          <t>KEWANEE</t>
        </is>
      </c>
      <c r="D22" s="251" t="n">
        <v>80</v>
      </c>
      <c r="E22" s="252" t="n">
        <v>7.375</v>
      </c>
      <c r="F22" s="252" t="n">
        <v>37.4375</v>
      </c>
      <c r="G22" s="252" t="n">
        <v>67.5</v>
      </c>
      <c r="H22" s="252" t="n"/>
      <c r="I22" s="252" t="n">
        <v>39.6875</v>
      </c>
    </row>
    <row r="23">
      <c r="B23" s="249" t="inlineStr">
        <is>
          <t>KEWANEE|84</t>
        </is>
      </c>
      <c r="C23" s="250" t="inlineStr">
        <is>
          <t>KEWANEE</t>
        </is>
      </c>
      <c r="D23" s="251" t="n">
        <v>84</v>
      </c>
      <c r="E23" s="252" t="n">
        <v>7.375</v>
      </c>
      <c r="F23" s="252" t="n">
        <v>39.4375</v>
      </c>
      <c r="G23" s="252" t="n">
        <v>71.5</v>
      </c>
      <c r="H23" s="252" t="n"/>
      <c r="I23" s="252" t="n">
        <v>43.6875</v>
      </c>
    </row>
    <row r="24" ht="18" customHeight="1">
      <c r="B24" s="245" t="inlineStr">
        <is>
          <t>KEWANEE|96</t>
        </is>
      </c>
      <c r="C24" s="246" t="inlineStr">
        <is>
          <t>KEWANEE</t>
        </is>
      </c>
      <c r="D24" s="247" t="n">
        <v>96</v>
      </c>
      <c r="E24" s="248" t="n">
        <v>7.375</v>
      </c>
      <c r="F24" s="248" t="n">
        <v>32.75</v>
      </c>
      <c r="G24" s="248" t="n">
        <v>58.125</v>
      </c>
      <c r="H24" s="248" t="n">
        <v>83.5</v>
      </c>
      <c r="I24" s="248" t="n">
        <v>55.6875</v>
      </c>
      <c r="K24" s="7" t="inlineStr">
        <is>
          <t>HANDING (viewed from the push / secure side)</t>
        </is>
      </c>
      <c r="L24" s="8" t="n"/>
    </row>
    <row r="25">
      <c r="B25" s="245" t="inlineStr">
        <is>
          <t>MESKER|80</t>
        </is>
      </c>
      <c r="C25" s="246" t="inlineStr">
        <is>
          <t>MESKER</t>
        </is>
      </c>
      <c r="D25" s="247" t="n">
        <v>80</v>
      </c>
      <c r="E25" s="248" t="n">
        <v>5</v>
      </c>
      <c r="F25" s="248" t="n">
        <v>35.25</v>
      </c>
      <c r="G25" s="248" t="n">
        <v>65.5</v>
      </c>
      <c r="H25" s="248" t="n"/>
      <c r="I25" s="248" t="n">
        <v>39.6875</v>
      </c>
      <c r="K25" s="246" t="inlineStr">
        <is>
          <t>L · LH</t>
        </is>
      </c>
      <c r="L25" s="247" t="inlineStr">
        <is>
          <t>Hinges left, door swings away</t>
        </is>
      </c>
    </row>
    <row r="26">
      <c r="B26" s="245" t="inlineStr">
        <is>
          <t>MESKER|84</t>
        </is>
      </c>
      <c r="C26" s="246" t="inlineStr">
        <is>
          <t>MESKER</t>
        </is>
      </c>
      <c r="D26" s="247" t="n">
        <v>84</v>
      </c>
      <c r="E26" s="248" t="n">
        <v>5</v>
      </c>
      <c r="F26" s="248" t="n">
        <v>37.25</v>
      </c>
      <c r="G26" s="248" t="n">
        <v>69.5</v>
      </c>
      <c r="H26" s="248" t="n"/>
      <c r="I26" s="248" t="n">
        <v>43.6875</v>
      </c>
      <c r="K26" s="246" t="inlineStr">
        <is>
          <t>R · RH</t>
        </is>
      </c>
      <c r="L26" s="247" t="inlineStr">
        <is>
          <t>Hinges right, door swings away</t>
        </is>
      </c>
    </row>
    <row r="27">
      <c r="B27" s="249" t="inlineStr">
        <is>
          <t>MESKER|96</t>
        </is>
      </c>
      <c r="C27" s="250" t="inlineStr">
        <is>
          <t>MESKER</t>
        </is>
      </c>
      <c r="D27" s="251" t="n">
        <v>96</v>
      </c>
      <c r="E27" s="252" t="n">
        <v>5</v>
      </c>
      <c r="F27" s="252" t="n">
        <v>30.5</v>
      </c>
      <c r="G27" s="252" t="n">
        <v>56</v>
      </c>
      <c r="H27" s="252" t="n">
        <v>81.5</v>
      </c>
      <c r="I27" s="252" t="n">
        <v>55.6875</v>
      </c>
      <c r="K27" s="246" t="inlineStr">
        <is>
          <t>LR · LHR</t>
        </is>
      </c>
      <c r="L27" s="247" t="inlineStr">
        <is>
          <t>Hinges left, door swings toward you</t>
        </is>
      </c>
    </row>
    <row r="28">
      <c r="B28" s="249" t="inlineStr">
        <is>
          <t>PIONEER|80</t>
        </is>
      </c>
      <c r="C28" s="250" t="inlineStr">
        <is>
          <t>PIONEER</t>
        </is>
      </c>
      <c r="D28" s="251" t="n">
        <v>80</v>
      </c>
      <c r="E28" s="252" t="n">
        <v>5</v>
      </c>
      <c r="F28" s="252" t="n">
        <v>35.25</v>
      </c>
      <c r="G28" s="252" t="n">
        <v>65.5</v>
      </c>
      <c r="H28" s="252" t="n"/>
      <c r="I28" s="252" t="n">
        <v>42</v>
      </c>
      <c r="K28" s="246" t="inlineStr">
        <is>
          <t>RR · RHR</t>
        </is>
      </c>
      <c r="L28" s="247" t="inlineStr">
        <is>
          <t>Hinges right, door swings toward you</t>
        </is>
      </c>
    </row>
    <row r="29">
      <c r="B29" s="249" t="inlineStr">
        <is>
          <t>PIONEER|84</t>
        </is>
      </c>
      <c r="C29" s="250" t="inlineStr">
        <is>
          <t>PIONEER</t>
        </is>
      </c>
      <c r="D29" s="251" t="n">
        <v>84</v>
      </c>
      <c r="E29" s="252" t="n">
        <v>5</v>
      </c>
      <c r="F29" s="252" t="n">
        <v>37.25</v>
      </c>
      <c r="G29" s="252" t="n">
        <v>69.5</v>
      </c>
      <c r="H29" s="252" t="n"/>
      <c r="I29" s="252" t="n">
        <v>46</v>
      </c>
      <c r="K29" s="246" t="inlineStr">
        <is>
          <t>-A / -I</t>
        </is>
      </c>
      <c r="L29" s="247" t="inlineStr">
        <is>
          <t>Active / inactive leaf of a pair</t>
        </is>
      </c>
    </row>
    <row r="30">
      <c r="B30" s="245" t="inlineStr">
        <is>
          <t>PIONEER|96</t>
        </is>
      </c>
      <c r="C30" s="246" t="inlineStr">
        <is>
          <t>PIONEER</t>
        </is>
      </c>
      <c r="D30" s="247" t="n">
        <v>96</v>
      </c>
      <c r="E30" s="248" t="n">
        <v>5</v>
      </c>
      <c r="F30" s="248" t="n">
        <v>30.5</v>
      </c>
      <c r="G30" s="248" t="n">
        <v>56</v>
      </c>
      <c r="H30" s="248" t="n">
        <v>81.5</v>
      </c>
      <c r="I30" s="248" t="n">
        <v>58</v>
      </c>
      <c r="K30" s="246" t="inlineStr">
        <is>
          <t>PR</t>
        </is>
      </c>
      <c r="L30" s="247" t="inlineStr">
        <is>
          <t>Pair (frame)</t>
        </is>
      </c>
    </row>
    <row r="31">
      <c r="B31" s="245" t="inlineStr">
        <is>
          <t>REPUBLIC|80</t>
        </is>
      </c>
      <c r="C31" s="246" t="inlineStr">
        <is>
          <t>REPUBLIC</t>
        </is>
      </c>
      <c r="D31" s="247" t="n">
        <v>80</v>
      </c>
      <c r="E31" s="248" t="n">
        <v>5</v>
      </c>
      <c r="F31" s="248" t="n">
        <v>35.25</v>
      </c>
      <c r="G31" s="248" t="n">
        <v>65.5</v>
      </c>
      <c r="H31" s="248" t="n"/>
      <c r="I31" s="248" t="n">
        <v>39.6875</v>
      </c>
      <c r="K31" s="246" t="inlineStr">
        <is>
          <t>DA</t>
        </is>
      </c>
      <c r="L31" s="247" t="inlineStr">
        <is>
          <t>Double acting</t>
        </is>
      </c>
    </row>
    <row r="32">
      <c r="B32" s="245" t="inlineStr">
        <is>
          <t>REPUBLIC|84</t>
        </is>
      </c>
      <c r="C32" s="246" t="inlineStr">
        <is>
          <t>REPUBLIC</t>
        </is>
      </c>
      <c r="D32" s="247" t="n">
        <v>84</v>
      </c>
      <c r="E32" s="248" t="n">
        <v>5</v>
      </c>
      <c r="F32" s="248" t="n">
        <v>37.25</v>
      </c>
      <c r="G32" s="248" t="n">
        <v>69.5</v>
      </c>
      <c r="H32" s="248" t="n"/>
      <c r="I32" s="248" t="n">
        <v>43.6875</v>
      </c>
      <c r="K32" s="246" t="inlineStr">
        <is>
          <t>BA</t>
        </is>
      </c>
      <c r="L32" s="247" t="inlineStr">
        <is>
          <t>Both active (pair)</t>
        </is>
      </c>
    </row>
    <row r="33">
      <c r="B33" s="249" t="inlineStr">
        <is>
          <t>REPUBLIC|96</t>
        </is>
      </c>
      <c r="C33" s="250" t="inlineStr">
        <is>
          <t>REPUBLIC</t>
        </is>
      </c>
      <c r="D33" s="251" t="n">
        <v>96</v>
      </c>
      <c r="E33" s="252" t="n">
        <v>5</v>
      </c>
      <c r="F33" s="252" t="n">
        <v>30.5</v>
      </c>
      <c r="G33" s="252" t="n">
        <v>56</v>
      </c>
      <c r="H33" s="252" t="n">
        <v>81.5</v>
      </c>
      <c r="I33" s="252" t="n">
        <v>55.6875</v>
      </c>
    </row>
    <row r="35">
      <c r="B35" s="253" t="inlineStr">
        <is>
          <t>Door sizes between chart heights use the nearest chart; the top hinge stays put and the bottom hinge keeps its distance from the floor, the rest are spaced evenly.</t>
        </is>
      </c>
    </row>
    <row r="36">
      <c r="B36" s="253" t="inlineStr">
        <is>
          <t>ANSI/SDI A250.6 (used when no maker is picked): top hinge 5" below the head rabbet, bottom hinge 10" above the floor to its bottom, others evenly spaced; lock 40-5/16" AFF.</t>
        </is>
      </c>
    </row>
    <row r="37">
      <c r="B37" s="253" t="inlineStr">
        <is>
          <t>Door dimensions = frame dimensions less the head clearance (1/8"). CUSTOM LOC: type A–D and E on the Takeoff; they print on the order lines.</t>
        </is>
      </c>
    </row>
    <row r="39" ht="18" customHeight="1">
      <c r="B39" s="62" t="inlineStr">
        <is>
          <t>FRAME WELD CODES (Curries form 1080)</t>
        </is>
      </c>
      <c r="C39" s="23" t="n"/>
      <c r="D39" s="23" t="n"/>
      <c r="E39" s="23" t="n"/>
      <c r="F39" s="23" t="n"/>
      <c r="G39" s="23" t="n"/>
      <c r="H39" s="23" t="n"/>
      <c r="I39" s="23" t="n"/>
    </row>
    <row r="40">
      <c r="B40" s="246" t="inlineStr">
        <is>
          <t>SW</t>
        </is>
      </c>
      <c r="C40" s="180" t="inlineStr">
        <is>
          <t>Seam weld, knock down</t>
        </is>
      </c>
      <c r="F40" s="246" t="inlineStr">
        <is>
          <t>FW</t>
        </is>
      </c>
      <c r="G40" s="180" t="inlineStr">
        <is>
          <t>Face weld, knock down</t>
        </is>
      </c>
    </row>
    <row r="41">
      <c r="B41" s="246" t="inlineStr">
        <is>
          <t>SMW</t>
        </is>
      </c>
      <c r="C41" s="180" t="inlineStr">
        <is>
          <t>Saw mitre weld — standard welded mitre</t>
        </is>
      </c>
      <c r="F41" s="246" t="inlineStr">
        <is>
          <t>SMT</t>
        </is>
      </c>
      <c r="G41" s="180" t="inlineStr">
        <is>
          <t>Saw mitre tack</t>
        </is>
      </c>
    </row>
    <row r="42">
      <c r="B42" s="246" t="inlineStr">
        <is>
          <t>SMO</t>
        </is>
      </c>
      <c r="C42" s="180" t="inlineStr">
        <is>
          <t>Saw mitre open</t>
        </is>
      </c>
      <c r="F42" s="246" t="inlineStr">
        <is>
          <t>BEW</t>
        </is>
      </c>
      <c r="G42" s="180" t="inlineStr">
        <is>
          <t>Butt end weld, 3 in or less</t>
        </is>
      </c>
    </row>
    <row r="43">
      <c r="B43" s="246" t="inlineStr">
        <is>
          <t>BET</t>
        </is>
      </c>
      <c r="C43" s="180" t="inlineStr">
        <is>
          <t>Butt end tack, 3 in or less</t>
        </is>
      </c>
      <c r="F43" s="246" t="inlineStr">
        <is>
          <t>BEF</t>
        </is>
      </c>
      <c r="G43" s="180" t="inlineStr">
        <is>
          <t>Butt end face</t>
        </is>
      </c>
    </row>
    <row r="44">
      <c r="B44" s="246" t="inlineStr">
        <is>
          <t>SBW</t>
        </is>
      </c>
      <c r="C44" s="180" t="inlineStr">
        <is>
          <t>Saw butt weld, over 3 in</t>
        </is>
      </c>
      <c r="F44" s="246" t="inlineStr">
        <is>
          <t>SBT</t>
        </is>
      </c>
      <c r="G44" s="180" t="inlineStr">
        <is>
          <t>Saw butt tack, over 3 in</t>
        </is>
      </c>
    </row>
    <row r="45">
      <c r="B45" s="246" t="inlineStr">
        <is>
          <t>SBE</t>
        </is>
      </c>
      <c r="C45" s="180" t="inlineStr">
        <is>
          <t>Saw butt exact</t>
        </is>
      </c>
      <c r="F45" s="246" t="inlineStr">
        <is>
          <t>EBE</t>
        </is>
      </c>
      <c r="G45" s="180" t="inlineStr">
        <is>
          <t>Exact butt end</t>
        </is>
      </c>
    </row>
    <row r="46">
      <c r="B46" s="246" t="inlineStr">
        <is>
          <t>WSP</t>
        </is>
      </c>
      <c r="C46" s="180" t="inlineStr">
        <is>
          <t>Welded splice</t>
        </is>
      </c>
      <c r="F46" s="246" t="inlineStr">
        <is>
          <t>FSP</t>
        </is>
      </c>
      <c r="G46" s="180" t="inlineStr">
        <is>
          <t>Field splice</t>
        </is>
      </c>
    </row>
    <row r="47">
      <c r="B47" s="246" t="inlineStr">
        <is>
          <t>RW</t>
        </is>
      </c>
      <c r="C47" s="180" t="inlineStr">
        <is>
          <t>Rabbet weld</t>
        </is>
      </c>
      <c r="F47" s="246" t="inlineStr">
        <is>
          <t>KD</t>
        </is>
      </c>
      <c r="G47" s="180" t="inlineStr">
        <is>
          <t>Knock down — field assembled</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tabColor rgb="009AA5B1"/>
    <outlinePr summaryBelow="1" summaryRight="1"/>
    <pageSetUpPr/>
  </sheetPr>
  <dimension ref="A1:AN89"/>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26" customWidth="1" min="39" max="39"/>
    <col width="14" customWidth="1" min="40" max="40"/>
  </cols>
  <sheetData>
    <row r="1" ht="30" customHeight="1">
      <c r="A1" s="1" t="n"/>
      <c r="B1" s="38" t="inlineStr">
        <is>
          <t>DROPDOWN LISTS</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39">
        <f>IF(JobName="","OPENING TAKEOFF  ·  FORM 3.2",JobName&amp;IF(JobNo="",""," · JOB "&amp;JobNo))</f>
        <v/>
      </c>
    </row>
    <row r="2" ht="18" customHeight="1">
      <c r="A2" s="1" t="n"/>
      <c r="B2" s="40" t="inlineStr">
        <is>
          <t>Add or remove values and every dropdown follows. Keep each list in one unbroken column.</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41">
        <f>TEXT(JobDate,"mmm d, yyyy")&amp;IF(JobRev="",""," · "&amp;JobRev)</f>
        <v/>
      </c>
    </row>
    <row r="3" ht="4" customHeight="1">
      <c r="A3" s="254" t="n"/>
      <c r="B3" s="254" t="n"/>
      <c r="C3" s="254" t="n"/>
      <c r="D3" s="254" t="n"/>
      <c r="E3" s="254" t="n"/>
      <c r="F3" s="254" t="n"/>
      <c r="G3" s="254" t="n"/>
      <c r="H3" s="254" t="n"/>
      <c r="I3" s="254" t="n"/>
      <c r="J3" s="254" t="n"/>
      <c r="K3" s="254" t="n"/>
      <c r="L3" s="254" t="n"/>
      <c r="M3" s="254" t="n"/>
      <c r="N3" s="254" t="n"/>
      <c r="O3" s="254" t="n"/>
      <c r="P3" s="254" t="n"/>
      <c r="Q3" s="254" t="n"/>
      <c r="R3" s="254" t="n"/>
      <c r="S3" s="254" t="n"/>
      <c r="T3" s="254" t="n"/>
      <c r="U3" s="254" t="n"/>
      <c r="V3" s="254" t="n"/>
      <c r="W3" s="254" t="n"/>
      <c r="X3" s="254" t="n"/>
      <c r="Y3" s="254" t="n"/>
      <c r="Z3" s="254" t="n"/>
      <c r="AA3" s="254" t="n"/>
      <c r="AB3" s="254" t="n"/>
      <c r="AC3" s="6" t="n"/>
      <c r="AD3" s="254" t="n"/>
      <c r="AE3" s="254" t="n"/>
      <c r="AF3" s="254" t="n"/>
      <c r="AG3" s="254" t="n"/>
      <c r="AH3" s="254" t="n"/>
      <c r="AI3" s="254" t="n"/>
      <c r="AJ3" s="254" t="n"/>
      <c r="AK3" s="254" t="n"/>
      <c r="AL3" s="6" t="n"/>
      <c r="AM3" s="254" t="n"/>
      <c r="AN3" s="6" t="n"/>
    </row>
    <row r="4" ht="36" customHeight="1">
      <c r="A4" s="228" t="inlineStr">
        <is>
          <t>Scope  (Scope)</t>
        </is>
      </c>
      <c r="B4" s="228" t="inlineStr">
        <is>
          <t>Floor  (Floor)</t>
        </is>
      </c>
      <c r="C4" s="228" t="inlineStr">
        <is>
          <t>Category  (Category)</t>
        </is>
      </c>
      <c r="D4" s="228" t="inlineStr">
        <is>
          <t>Fire rating  (FireRating)</t>
        </is>
      </c>
      <c r="E4" s="228" t="inlineStr">
        <is>
          <t>Frame description  (FrameType)</t>
        </is>
      </c>
      <c r="F4" s="228" t="inlineStr">
        <is>
          <t>Profile  (Profile)</t>
        </is>
      </c>
      <c r="G4" s="228" t="inlineStr">
        <is>
          <t>Jamb depth  (JambDepth)</t>
        </is>
      </c>
      <c r="H4" s="228" t="inlineStr">
        <is>
          <t>Frame gauge  (GaugeFrame)</t>
        </is>
      </c>
      <c r="I4" s="228" t="inlineStr">
        <is>
          <t>Steel type  (SteelType)</t>
        </is>
      </c>
      <c r="J4" s="228" t="inlineStr">
        <is>
          <t>Construction  (Construction)</t>
        </is>
      </c>
      <c r="K4" s="228" t="inlineStr">
        <is>
          <t>Anchor type  (AnchorType)</t>
        </is>
      </c>
      <c r="L4" s="228" t="inlineStr">
        <is>
          <t>Handing / swing  (Handing)</t>
        </is>
      </c>
      <c r="M4" s="228" t="inlineStr">
        <is>
          <t>Yes / no  (YesNo)</t>
        </is>
      </c>
      <c r="N4" s="228" t="inlineStr">
        <is>
          <t>Frame manufacturer  (Manufacturer)</t>
        </is>
      </c>
      <c r="O4" s="228" t="inlineStr">
        <is>
          <t>Hinge prep  (HingePrep)</t>
        </is>
      </c>
      <c r="P4" s="228" t="inlineStr">
        <is>
          <t>Strike prep  (StrikePrep)</t>
        </is>
      </c>
      <c r="Q4" s="228" t="inlineStr">
        <is>
          <t>Header prep  (HeaderPrep)</t>
        </is>
      </c>
      <c r="R4" s="228" t="inlineStr">
        <is>
          <t>Closer reinf.  (CloserPrep)</t>
        </is>
      </c>
      <c r="S4" s="228" t="inlineStr">
        <is>
          <t>Door material  (DoorMaterial)</t>
        </is>
      </c>
      <c r="T4" s="228" t="inlineStr">
        <is>
          <t>Door gauge  (GaugeDoor)</t>
        </is>
      </c>
      <c r="U4" s="228" t="inlineStr">
        <is>
          <t>Wood core  (WoodCore)</t>
        </is>
      </c>
      <c r="V4" s="228" t="inlineStr">
        <is>
          <t>Door face type  (FaceType)</t>
        </is>
      </c>
      <c r="W4" s="228" t="inlineStr">
        <is>
          <t>Hardware locations  (ManufLoc)</t>
        </is>
      </c>
      <c r="X4" s="228" t="inlineStr">
        <is>
          <t>Lock prep  (LockPrep)</t>
        </is>
      </c>
      <c r="Y4" s="228" t="inlineStr">
        <is>
          <t>Door edge  (Edge)</t>
        </is>
      </c>
      <c r="Z4" s="228" t="inlineStr">
        <is>
          <t>Astragal  (Astragal)</t>
        </is>
      </c>
      <c r="AA4" s="228" t="inlineStr">
        <is>
          <t>Door series  (Series)</t>
        </is>
      </c>
      <c r="AB4" s="228" t="inlineStr">
        <is>
          <t>Wood finish  (WoodFinish)</t>
        </is>
      </c>
      <c r="AC4" s="255" t="n"/>
      <c r="AD4" s="228" t="inlineStr">
        <is>
          <t>Wall type  (WallType)</t>
        </is>
      </c>
      <c r="AE4" s="228" t="inlineStr">
        <is>
          <t>Wall rating (hr)  (WallHR)</t>
        </is>
      </c>
      <c r="AF4" s="228" t="inlineStr">
        <is>
          <t>Sidelite side  (SLSide)</t>
        </is>
      </c>
      <c r="AG4" s="228" t="inlineStr">
        <is>
          <t>Hinge size (in)  (HingeSize)</t>
        </is>
      </c>
      <c r="AH4" s="228" t="inlineStr">
        <is>
          <t>Hinge qty  (HingeQty)</t>
        </is>
      </c>
      <c r="AI4" s="228" t="inlineStr">
        <is>
          <t>HW unit  (HWUnit)</t>
        </is>
      </c>
      <c r="AJ4" s="228" t="inlineStr">
        <is>
          <t>HW item  (HWItem)</t>
        </is>
      </c>
      <c r="AK4" s="228" t="inlineStr">
        <is>
          <t>HW finish  (HWFinish)</t>
        </is>
      </c>
      <c r="AL4" s="255" t="n"/>
      <c r="AM4" s="228" t="inlineStr">
        <is>
          <t>IBC 716.1(2): wall → door (min)  (KEY)</t>
        </is>
      </c>
      <c r="AN4" s="255" t="inlineStr">
        <is>
          <t>MIN</t>
        </is>
      </c>
    </row>
    <row r="5">
      <c r="A5" s="256" t="inlineStr">
        <is>
          <t>FRAME &amp; DOOR</t>
        </is>
      </c>
      <c r="B5" s="256" t="inlineStr">
        <is>
          <t>BASEMENT</t>
        </is>
      </c>
      <c r="C5" s="256" t="inlineStr">
        <is>
          <t>INTERIOR</t>
        </is>
      </c>
      <c r="D5" s="256" t="inlineStr">
        <is>
          <t>NO LAB</t>
        </is>
      </c>
      <c r="E5" s="256" t="inlineStr">
        <is>
          <t>3F</t>
        </is>
      </c>
      <c r="F5" s="256" t="inlineStr">
        <is>
          <t>M</t>
        </is>
      </c>
      <c r="G5" s="256" t="n">
        <v>3</v>
      </c>
      <c r="H5" s="256" t="n">
        <v>14</v>
      </c>
      <c r="I5" s="256" t="inlineStr">
        <is>
          <t>CR</t>
        </is>
      </c>
      <c r="J5" s="256" t="inlineStr">
        <is>
          <t>WGS</t>
        </is>
      </c>
      <c r="K5" s="256" t="inlineStr">
        <is>
          <t>CA</t>
        </is>
      </c>
      <c r="L5" s="256" t="inlineStr">
        <is>
          <t>-</t>
        </is>
      </c>
      <c r="M5" s="256" t="inlineStr">
        <is>
          <t>-</t>
        </is>
      </c>
      <c r="N5" s="256" t="inlineStr">
        <is>
          <t>BSC</t>
        </is>
      </c>
      <c r="O5" s="256" t="inlineStr">
        <is>
          <t>BLK</t>
        </is>
      </c>
      <c r="P5" s="256" t="inlineStr">
        <is>
          <t>-</t>
        </is>
      </c>
      <c r="Q5" s="256" t="inlineStr">
        <is>
          <t>-</t>
        </is>
      </c>
      <c r="R5" s="256" t="inlineStr">
        <is>
          <t>-</t>
        </is>
      </c>
      <c r="S5" s="256" t="inlineStr">
        <is>
          <t>CR</t>
        </is>
      </c>
      <c r="T5" s="256" t="n">
        <v>14</v>
      </c>
      <c r="U5" s="256" t="inlineStr">
        <is>
          <t>PC</t>
        </is>
      </c>
      <c r="V5" s="256" t="inlineStr">
        <is>
          <t>FLUSH</t>
        </is>
      </c>
      <c r="W5" s="256" t="inlineStr">
        <is>
          <t>ANSI/SDI</t>
        </is>
      </c>
      <c r="X5" s="256" t="inlineStr">
        <is>
          <t>E1</t>
        </is>
      </c>
      <c r="Y5" s="256" t="inlineStr">
        <is>
          <t>-</t>
        </is>
      </c>
      <c r="Z5" s="256" t="inlineStr">
        <is>
          <t>-</t>
        </is>
      </c>
      <c r="AA5" s="256" t="n">
        <v>607</v>
      </c>
      <c r="AB5" s="256" t="inlineStr">
        <is>
          <t>RNB</t>
        </is>
      </c>
      <c r="AD5" s="256" t="inlineStr">
        <is>
          <t>NON-RATED</t>
        </is>
      </c>
      <c r="AE5" s="256" t="n">
        <v>0</v>
      </c>
      <c r="AF5" s="256" t="inlineStr">
        <is>
          <t>L</t>
        </is>
      </c>
      <c r="AG5" s="256" t="n">
        <v>4</v>
      </c>
      <c r="AH5" s="256" t="n">
        <v>2</v>
      </c>
      <c r="AI5" s="256" t="inlineStr">
        <is>
          <t>EA</t>
        </is>
      </c>
      <c r="AJ5" s="256" t="inlineStr">
        <is>
          <t>HINGE</t>
        </is>
      </c>
      <c r="AK5" s="256" t="inlineStr">
        <is>
          <t>626</t>
        </is>
      </c>
      <c r="AM5" s="256" t="inlineStr">
        <is>
          <t>FIRE WALL|4</t>
        </is>
      </c>
      <c r="AN5" s="256" t="n">
        <v>180</v>
      </c>
    </row>
    <row r="6">
      <c r="A6" s="256" t="inlineStr">
        <is>
          <t>FRAME ONLY</t>
        </is>
      </c>
      <c r="B6" s="256" t="inlineStr">
        <is>
          <t>LOWER LEVEL</t>
        </is>
      </c>
      <c r="C6" s="256" t="inlineStr">
        <is>
          <t>EXTERIOR</t>
        </is>
      </c>
      <c r="D6" s="256" t="inlineStr">
        <is>
          <t>20 MIN</t>
        </is>
      </c>
      <c r="E6" s="256" t="inlineStr">
        <is>
          <t>3FH</t>
        </is>
      </c>
      <c r="F6" s="256" t="inlineStr">
        <is>
          <t>C</t>
        </is>
      </c>
      <c r="G6" s="256" t="n">
        <v>318</v>
      </c>
      <c r="H6" s="256" t="n">
        <v>16</v>
      </c>
      <c r="I6" s="256" t="inlineStr">
        <is>
          <t>G9</t>
        </is>
      </c>
      <c r="J6" s="256" t="inlineStr">
        <is>
          <t>KD</t>
        </is>
      </c>
      <c r="K6" s="256" t="inlineStr">
        <is>
          <t>EWA</t>
        </is>
      </c>
      <c r="L6" s="256" t="inlineStr">
        <is>
          <t>L</t>
        </is>
      </c>
      <c r="M6" s="256" t="inlineStr">
        <is>
          <t>Y</t>
        </is>
      </c>
      <c r="N6" s="256" t="inlineStr">
        <is>
          <t>CU</t>
        </is>
      </c>
      <c r="O6" s="256" t="inlineStr">
        <is>
          <t>EH</t>
        </is>
      </c>
      <c r="P6" s="256" t="inlineStr">
        <is>
          <t>E1</t>
        </is>
      </c>
      <c r="Q6" s="256" t="inlineStr">
        <is>
          <t>CH</t>
        </is>
      </c>
      <c r="R6" s="256" t="inlineStr">
        <is>
          <t>E10</t>
        </is>
      </c>
      <c r="S6" s="256" t="inlineStr">
        <is>
          <t>RK</t>
        </is>
      </c>
      <c r="T6" s="256" t="n">
        <v>16</v>
      </c>
      <c r="U6" s="256" t="inlineStr">
        <is>
          <t>MC</t>
        </is>
      </c>
      <c r="V6" s="256" t="inlineStr">
        <is>
          <t>FNV-6"x27"</t>
        </is>
      </c>
      <c r="W6" s="256" t="inlineStr">
        <is>
          <t>CURRIES</t>
        </is>
      </c>
      <c r="X6" s="256" t="inlineStr">
        <is>
          <t>E1H1</t>
        </is>
      </c>
      <c r="Y6" s="256" t="inlineStr">
        <is>
          <t>N</t>
        </is>
      </c>
      <c r="Z6" s="256" t="inlineStr">
        <is>
          <t>Y</t>
        </is>
      </c>
      <c r="AA6" s="256" t="n">
        <v>707</v>
      </c>
      <c r="AB6" s="256" t="inlineStr">
        <is>
          <t>RWB</t>
        </is>
      </c>
      <c r="AD6" s="256" t="inlineStr">
        <is>
          <t>CORRIDOR</t>
        </is>
      </c>
      <c r="AE6" s="256" t="n">
        <v>0.5</v>
      </c>
      <c r="AF6" s="256" t="inlineStr">
        <is>
          <t>R</t>
        </is>
      </c>
      <c r="AG6" s="256" t="n">
        <v>4.5</v>
      </c>
      <c r="AH6" s="256" t="n">
        <v>3</v>
      </c>
      <c r="AI6" s="256" t="inlineStr">
        <is>
          <t>PR</t>
        </is>
      </c>
      <c r="AJ6" s="256" t="inlineStr">
        <is>
          <t>CONT. HINGE</t>
        </is>
      </c>
      <c r="AK6" s="256" t="inlineStr">
        <is>
          <t>630</t>
        </is>
      </c>
      <c r="AM6" s="256" t="inlineStr">
        <is>
          <t>FIRE WALL|3</t>
        </is>
      </c>
      <c r="AN6" s="256" t="n">
        <v>180</v>
      </c>
    </row>
    <row r="7">
      <c r="A7" s="256" t="inlineStr">
        <is>
          <t>DOOR ONLY</t>
        </is>
      </c>
      <c r="B7" s="256" t="inlineStr">
        <is>
          <t>UPPER LEVEL</t>
        </is>
      </c>
      <c r="D7" s="256" t="inlineStr">
        <is>
          <t>45 MIN</t>
        </is>
      </c>
      <c r="E7" s="256" t="inlineStr">
        <is>
          <t>3FV</t>
        </is>
      </c>
      <c r="F7" s="256" t="inlineStr">
        <is>
          <t>MK</t>
        </is>
      </c>
      <c r="G7" s="256" t="n">
        <v>314</v>
      </c>
      <c r="I7" s="256" t="inlineStr">
        <is>
          <t>RK</t>
        </is>
      </c>
      <c r="K7" s="256" t="inlineStr">
        <is>
          <t>SC</t>
        </is>
      </c>
      <c r="L7" s="256" t="inlineStr">
        <is>
          <t>LR</t>
        </is>
      </c>
      <c r="O7" s="256" t="inlineStr">
        <is>
          <t>EPT</t>
        </is>
      </c>
      <c r="P7" s="256" t="inlineStr">
        <is>
          <t>E1E4</t>
        </is>
      </c>
      <c r="Q7" s="256" t="inlineStr">
        <is>
          <t>G20</t>
        </is>
      </c>
      <c r="R7" s="256" t="inlineStr">
        <is>
          <t>E10/E11</t>
        </is>
      </c>
      <c r="S7" s="256" t="inlineStr">
        <is>
          <t>SS</t>
        </is>
      </c>
      <c r="T7" s="256" t="n">
        <v>18</v>
      </c>
      <c r="U7" s="256" t="inlineStr">
        <is>
          <t>SCLC</t>
        </is>
      </c>
      <c r="V7" s="256" t="inlineStr">
        <is>
          <t>FNV-7"x22"</t>
        </is>
      </c>
      <c r="W7" s="256" t="inlineStr">
        <is>
          <t>STEELCRAFT</t>
        </is>
      </c>
      <c r="X7" s="256" t="inlineStr">
        <is>
          <t>E1E4H1</t>
        </is>
      </c>
      <c r="Y7" s="256" t="inlineStr">
        <is>
          <t>S</t>
        </is>
      </c>
      <c r="AA7" s="256" t="n">
        <v>727</v>
      </c>
      <c r="AB7" s="256" t="inlineStr">
        <is>
          <t>PWM</t>
        </is>
      </c>
      <c r="AD7" s="256" t="inlineStr">
        <is>
          <t>FIRE PARTITION</t>
        </is>
      </c>
      <c r="AE7" s="256" t="n">
        <v>1</v>
      </c>
      <c r="AF7" s="256" t="inlineStr">
        <is>
          <t>LR</t>
        </is>
      </c>
      <c r="AG7" s="256" t="n">
        <v>5</v>
      </c>
      <c r="AH7" s="256" t="n">
        <v>4</v>
      </c>
      <c r="AI7" s="256" t="inlineStr">
        <is>
          <t>SET</t>
        </is>
      </c>
      <c r="AJ7" s="256" t="inlineStr">
        <is>
          <t>PIVOT</t>
        </is>
      </c>
      <c r="AK7" s="256" t="inlineStr">
        <is>
          <t>613</t>
        </is>
      </c>
      <c r="AM7" s="256" t="inlineStr">
        <is>
          <t>FIRE WALL|2</t>
        </is>
      </c>
      <c r="AN7" s="256" t="n">
        <v>90</v>
      </c>
    </row>
    <row r="8">
      <c r="B8" s="256" t="inlineStr">
        <is>
          <t>GROUND</t>
        </is>
      </c>
      <c r="D8" s="256" t="inlineStr">
        <is>
          <t>60 MIN</t>
        </is>
      </c>
      <c r="E8" s="256" t="inlineStr">
        <is>
          <t>4F</t>
        </is>
      </c>
      <c r="F8" s="256" t="inlineStr">
        <is>
          <t>CK</t>
        </is>
      </c>
      <c r="G8" s="256" t="n">
        <v>338</v>
      </c>
      <c r="I8" s="256" t="inlineStr">
        <is>
          <t>SS</t>
        </is>
      </c>
      <c r="K8" s="256" t="inlineStr">
        <is>
          <t>SSA</t>
        </is>
      </c>
      <c r="L8" s="256" t="inlineStr">
        <is>
          <t>L-A</t>
        </is>
      </c>
      <c r="O8" s="256" t="inlineStr">
        <is>
          <t>EPT RW</t>
        </is>
      </c>
      <c r="P8" s="256" t="inlineStr">
        <is>
          <t>E2E4</t>
        </is>
      </c>
      <c r="Q8" s="256" t="inlineStr">
        <is>
          <t>H5</t>
        </is>
      </c>
      <c r="R8" s="256" t="inlineStr">
        <is>
          <t>E11</t>
        </is>
      </c>
      <c r="S8" s="256" t="inlineStr">
        <is>
          <t>FRP</t>
        </is>
      </c>
      <c r="U8" s="256" t="inlineStr">
        <is>
          <t>P-LAM</t>
        </is>
      </c>
      <c r="V8" s="256" t="inlineStr">
        <is>
          <t>FNV-CUSTOM ELEV</t>
        </is>
      </c>
      <c r="W8" s="256" t="inlineStr">
        <is>
          <t>AMWELD</t>
        </is>
      </c>
      <c r="X8" s="256" t="inlineStr">
        <is>
          <t>E1E4</t>
        </is>
      </c>
      <c r="Y8" s="256" t="inlineStr">
        <is>
          <t>T</t>
        </is>
      </c>
      <c r="AA8" s="256" t="n">
        <v>737</v>
      </c>
      <c r="AB8" s="256" t="inlineStr">
        <is>
          <t>SRO</t>
        </is>
      </c>
      <c r="AD8" s="256" t="inlineStr">
        <is>
          <t>FIRE BARRIER</t>
        </is>
      </c>
      <c r="AE8" s="256" t="n">
        <v>1.5</v>
      </c>
      <c r="AH8" s="256" t="n">
        <v>5</v>
      </c>
      <c r="AI8" s="256" t="inlineStr">
        <is>
          <t>FT</t>
        </is>
      </c>
      <c r="AJ8" s="256" t="inlineStr">
        <is>
          <t>ELEC. HINGE</t>
        </is>
      </c>
      <c r="AK8" s="256" t="inlineStr">
        <is>
          <t>605</t>
        </is>
      </c>
      <c r="AM8" s="256" t="inlineStr">
        <is>
          <t>FIRE WALL|1.5</t>
        </is>
      </c>
      <c r="AN8" s="256" t="n">
        <v>90</v>
      </c>
    </row>
    <row r="9">
      <c r="B9" s="256" t="inlineStr">
        <is>
          <t>1st</t>
        </is>
      </c>
      <c r="D9" s="256" t="inlineStr">
        <is>
          <t>90 MIN</t>
        </is>
      </c>
      <c r="E9" s="256" t="inlineStr">
        <is>
          <t>BL</t>
        </is>
      </c>
      <c r="G9" s="256" t="n">
        <v>312</v>
      </c>
      <c r="K9" s="256" t="inlineStr">
        <is>
          <t>T</t>
        </is>
      </c>
      <c r="L9" s="256" t="inlineStr">
        <is>
          <t>LR-A</t>
        </is>
      </c>
      <c r="O9" s="256" t="inlineStr">
        <is>
          <t>E9 RW</t>
        </is>
      </c>
      <c r="P9" s="256" t="inlineStr">
        <is>
          <t>E3</t>
        </is>
      </c>
      <c r="Q9" s="256" t="inlineStr">
        <is>
          <t>RL</t>
        </is>
      </c>
      <c r="R9" s="256" t="inlineStr">
        <is>
          <t>E17</t>
        </is>
      </c>
      <c r="S9" s="256" t="inlineStr">
        <is>
          <t>OAK-MC</t>
        </is>
      </c>
      <c r="V9" s="256" t="inlineStr">
        <is>
          <t>FV-12"x12"</t>
        </is>
      </c>
      <c r="W9" s="256" t="inlineStr">
        <is>
          <t>CECO</t>
        </is>
      </c>
      <c r="X9" s="256" t="inlineStr">
        <is>
          <t>E2E4</t>
        </is>
      </c>
      <c r="AA9" s="256" t="n">
        <v>747</v>
      </c>
      <c r="AB9" s="256" t="inlineStr">
        <is>
          <t>PSW</t>
        </is>
      </c>
      <c r="AD9" s="256" t="inlineStr">
        <is>
          <t>SHAFT / EXIT ENCL.</t>
        </is>
      </c>
      <c r="AE9" s="256" t="n">
        <v>2</v>
      </c>
      <c r="AH9" s="256" t="inlineStr">
        <is>
          <t>CONT</t>
        </is>
      </c>
      <c r="AI9" s="256" t="inlineStr">
        <is>
          <t>LF</t>
        </is>
      </c>
      <c r="AJ9" s="256" t="inlineStr">
        <is>
          <t>LOCKSET</t>
        </is>
      </c>
      <c r="AK9" s="256" t="inlineStr">
        <is>
          <t>622</t>
        </is>
      </c>
      <c r="AM9" s="256" t="inlineStr">
        <is>
          <t>FIRE BARRIER|4</t>
        </is>
      </c>
      <c r="AN9" s="256" t="n">
        <v>180</v>
      </c>
    </row>
    <row r="10">
      <c r="B10" s="256" t="inlineStr">
        <is>
          <t>2nd</t>
        </is>
      </c>
      <c r="D10" s="256" t="inlineStr">
        <is>
          <t>180 MIN</t>
        </is>
      </c>
      <c r="E10" s="256" t="inlineStr">
        <is>
          <t>SL</t>
        </is>
      </c>
      <c r="G10" s="256" t="n">
        <v>358</v>
      </c>
      <c r="K10" s="256" t="inlineStr">
        <is>
          <t>WEWA-M</t>
        </is>
      </c>
      <c r="L10" s="256" t="inlineStr">
        <is>
          <t>L-I</t>
        </is>
      </c>
      <c r="O10" s="256" t="inlineStr">
        <is>
          <t>HGC</t>
        </is>
      </c>
      <c r="P10" s="256" t="inlineStr">
        <is>
          <t>E4</t>
        </is>
      </c>
      <c r="R10" s="256" t="inlineStr">
        <is>
          <t>E18</t>
        </is>
      </c>
      <c r="S10" s="256" t="inlineStr">
        <is>
          <t>OAK-PC</t>
        </is>
      </c>
      <c r="V10" s="256" t="inlineStr">
        <is>
          <t>FV-CUSTOM ELEV</t>
        </is>
      </c>
      <c r="W10" s="256" t="inlineStr">
        <is>
          <t>FENESTRA</t>
        </is>
      </c>
      <c r="X10" s="256" t="inlineStr">
        <is>
          <t>G2</t>
        </is>
      </c>
      <c r="AA10" s="256" t="n">
        <v>757</v>
      </c>
      <c r="AB10" s="256" t="inlineStr">
        <is>
          <t>PSC</t>
        </is>
      </c>
      <c r="AD10" s="256" t="inlineStr">
        <is>
          <t>FIRE WALL</t>
        </is>
      </c>
      <c r="AE10" s="256" t="n">
        <v>3</v>
      </c>
      <c r="AJ10" s="256" t="inlineStr">
        <is>
          <t>PASSAGE SET</t>
        </is>
      </c>
      <c r="AK10" s="256" t="inlineStr">
        <is>
          <t>628</t>
        </is>
      </c>
      <c r="AM10" s="256" t="inlineStr">
        <is>
          <t>FIRE BARRIER|3</t>
        </is>
      </c>
      <c r="AN10" s="256" t="n">
        <v>180</v>
      </c>
    </row>
    <row r="11">
      <c r="B11" s="256" t="inlineStr">
        <is>
          <t>3rd</t>
        </is>
      </c>
      <c r="G11" s="256" t="n">
        <v>334</v>
      </c>
      <c r="K11" s="256" t="inlineStr">
        <is>
          <t>WEWA-W</t>
        </is>
      </c>
      <c r="L11" s="256" t="inlineStr">
        <is>
          <t>LR-I</t>
        </is>
      </c>
      <c r="O11" s="256" t="inlineStr">
        <is>
          <t>U453</t>
        </is>
      </c>
      <c r="P11" s="256" t="inlineStr">
        <is>
          <t>E8</t>
        </is>
      </c>
      <c r="R11" s="256" t="inlineStr">
        <is>
          <t>CC</t>
        </is>
      </c>
      <c r="S11" s="256" t="inlineStr">
        <is>
          <t>BIR-MC</t>
        </is>
      </c>
      <c r="V11" s="256" t="inlineStr">
        <is>
          <t>HG-24"x30"</t>
        </is>
      </c>
      <c r="W11" s="256" t="inlineStr">
        <is>
          <t>KEWANEE</t>
        </is>
      </c>
      <c r="X11" s="256" t="inlineStr">
        <is>
          <t>G2A</t>
        </is>
      </c>
      <c r="AA11" s="256" t="n">
        <v>777</v>
      </c>
      <c r="AB11" s="256" t="inlineStr">
        <is>
          <t>FCM</t>
        </is>
      </c>
      <c r="AD11" s="256" t="inlineStr">
        <is>
          <t>SMOKE BARRIER</t>
        </is>
      </c>
      <c r="AE11" s="256" t="n">
        <v>4</v>
      </c>
      <c r="AJ11" s="256" t="inlineStr">
        <is>
          <t>PRIVACY SET</t>
        </is>
      </c>
      <c r="AK11" s="256" t="inlineStr">
        <is>
          <t>689</t>
        </is>
      </c>
      <c r="AM11" s="256" t="inlineStr">
        <is>
          <t>FIRE BARRIER|2</t>
        </is>
      </c>
      <c r="AN11" s="256" t="n">
        <v>90</v>
      </c>
    </row>
    <row r="12">
      <c r="B12" s="256" t="inlineStr">
        <is>
          <t>4th</t>
        </is>
      </c>
      <c r="G12" s="256" t="n">
        <v>378</v>
      </c>
      <c r="K12" s="256" t="inlineStr">
        <is>
          <t>WMA</t>
        </is>
      </c>
      <c r="L12" s="256" t="inlineStr">
        <is>
          <t>PR</t>
        </is>
      </c>
      <c r="O12" s="256" t="inlineStr">
        <is>
          <t>U454</t>
        </is>
      </c>
      <c r="P12" s="256" t="inlineStr">
        <is>
          <t>E9</t>
        </is>
      </c>
      <c r="S12" s="256" t="inlineStr">
        <is>
          <t>BIR-PC</t>
        </is>
      </c>
      <c r="V12" s="256" t="inlineStr">
        <is>
          <t>HG-24"x36"</t>
        </is>
      </c>
      <c r="W12" s="256" t="inlineStr">
        <is>
          <t>MESKER</t>
        </is>
      </c>
      <c r="X12" s="256" t="inlineStr">
        <is>
          <t>G2G2</t>
        </is>
      </c>
      <c r="AB12" s="256" t="inlineStr">
        <is>
          <t>To Match Existing</t>
        </is>
      </c>
      <c r="AD12" s="256" t="inlineStr">
        <is>
          <t>EXTERIOR</t>
        </is>
      </c>
      <c r="AJ12" s="256" t="inlineStr">
        <is>
          <t>DEADBOLT</t>
        </is>
      </c>
      <c r="AK12" s="256" t="inlineStr">
        <is>
          <t>US26D</t>
        </is>
      </c>
      <c r="AM12" s="256" t="inlineStr">
        <is>
          <t>FIRE BARRIER|1.5</t>
        </is>
      </c>
      <c r="AN12" s="256" t="n">
        <v>90</v>
      </c>
    </row>
    <row r="13">
      <c r="B13" s="256" t="inlineStr">
        <is>
          <t>5th</t>
        </is>
      </c>
      <c r="G13" s="256" t="n">
        <v>4</v>
      </c>
      <c r="L13" s="256" t="inlineStr">
        <is>
          <t>R</t>
        </is>
      </c>
      <c r="P13" s="256" t="inlineStr">
        <is>
          <t>G18</t>
        </is>
      </c>
      <c r="S13" s="256" t="inlineStr">
        <is>
          <t>MAP-MC</t>
        </is>
      </c>
      <c r="V13" s="256" t="inlineStr">
        <is>
          <t>HG-CUSTOM ELEV</t>
        </is>
      </c>
      <c r="W13" s="256" t="inlineStr">
        <is>
          <t>PIONEER</t>
        </is>
      </c>
      <c r="X13" s="256" t="inlineStr">
        <is>
          <t>G3</t>
        </is>
      </c>
      <c r="AJ13" s="256" t="inlineStr">
        <is>
          <t>EXIT DEVICE</t>
        </is>
      </c>
      <c r="AK13" s="256" t="inlineStr">
        <is>
          <t>US32D</t>
        </is>
      </c>
      <c r="AM13" s="256" t="inlineStr">
        <is>
          <t>FIRE BARRIER|1</t>
        </is>
      </c>
      <c r="AN13" s="256" t="n">
        <v>45</v>
      </c>
    </row>
    <row r="14">
      <c r="B14" s="256" t="inlineStr">
        <is>
          <t>6th</t>
        </is>
      </c>
      <c r="G14" s="256" t="n">
        <v>418</v>
      </c>
      <c r="L14" s="256" t="inlineStr">
        <is>
          <t>RR</t>
        </is>
      </c>
      <c r="P14" s="256" t="inlineStr">
        <is>
          <t>H5</t>
        </is>
      </c>
      <c r="S14" s="256" t="inlineStr">
        <is>
          <t>MAP-PC</t>
        </is>
      </c>
      <c r="V14" s="256" t="inlineStr">
        <is>
          <t>FG-24"x60"</t>
        </is>
      </c>
      <c r="W14" s="256" t="inlineStr">
        <is>
          <t>REPUBLIC</t>
        </is>
      </c>
      <c r="X14" s="256" t="inlineStr">
        <is>
          <t>G3A</t>
        </is>
      </c>
      <c r="AJ14" s="256" t="inlineStr">
        <is>
          <t>EXIT DEVICE TRIM</t>
        </is>
      </c>
      <c r="AK14" s="256" t="inlineStr">
        <is>
          <t>US10B</t>
        </is>
      </c>
      <c r="AM14" s="256" t="inlineStr">
        <is>
          <t>SHAFT / EXIT ENCL.|2</t>
        </is>
      </c>
      <c r="AN14" s="256" t="n">
        <v>90</v>
      </c>
    </row>
    <row r="15">
      <c r="B15" s="256" t="inlineStr">
        <is>
          <t>7th</t>
        </is>
      </c>
      <c r="G15" s="256" t="n">
        <v>414</v>
      </c>
      <c r="L15" s="256" t="inlineStr">
        <is>
          <t>R-A</t>
        </is>
      </c>
      <c r="P15" s="256" t="inlineStr">
        <is>
          <t>RL</t>
        </is>
      </c>
      <c r="V15" s="256" t="inlineStr">
        <is>
          <t>FG-24"x64"</t>
        </is>
      </c>
      <c r="W15" s="256" t="inlineStr">
        <is>
          <t>CUSTOM LOC</t>
        </is>
      </c>
      <c r="X15" s="256" t="inlineStr">
        <is>
          <t>G3AEO</t>
        </is>
      </c>
      <c r="AJ15" s="256" t="inlineStr">
        <is>
          <t>FLUSH BOLT</t>
        </is>
      </c>
      <c r="AK15" s="256" t="inlineStr">
        <is>
          <t>AL</t>
        </is>
      </c>
      <c r="AM15" s="256" t="inlineStr">
        <is>
          <t>SHAFT / EXIT ENCL.|1</t>
        </is>
      </c>
      <c r="AN15" s="256" t="n">
        <v>60</v>
      </c>
    </row>
    <row r="16">
      <c r="G16" s="256" t="n">
        <v>438</v>
      </c>
      <c r="L16" s="256" t="inlineStr">
        <is>
          <t>RR-A</t>
        </is>
      </c>
      <c r="V16" s="256" t="inlineStr">
        <is>
          <t>FG-CUSTOM ELEV</t>
        </is>
      </c>
      <c r="X16" s="256" t="inlineStr">
        <is>
          <t>G11</t>
        </is>
      </c>
      <c r="AJ16" s="256" t="inlineStr">
        <is>
          <t>DUST PROOF STRIKE</t>
        </is>
      </c>
      <c r="AK16" s="256" t="inlineStr">
        <is>
          <t>DKB</t>
        </is>
      </c>
      <c r="AM16" s="256" t="inlineStr">
        <is>
          <t>CORRIDOR|1</t>
        </is>
      </c>
      <c r="AN16" s="256" t="n">
        <v>20</v>
      </c>
    </row>
    <row r="17">
      <c r="G17" s="256" t="n">
        <v>412</v>
      </c>
      <c r="L17" s="256" t="inlineStr">
        <is>
          <t>R-I</t>
        </is>
      </c>
      <c r="V17" s="256" t="inlineStr">
        <is>
          <t>FL-12"x12"</t>
        </is>
      </c>
      <c r="X17" s="256" t="inlineStr">
        <is>
          <t>G11A</t>
        </is>
      </c>
      <c r="AJ17" s="256" t="inlineStr">
        <is>
          <t>CYLINDER</t>
        </is>
      </c>
      <c r="AK17" s="256" t="inlineStr">
        <is>
          <t>PRIMED</t>
        </is>
      </c>
      <c r="AM17" s="256" t="inlineStr">
        <is>
          <t>CORRIDOR|0.5</t>
        </is>
      </c>
      <c r="AN17" s="256" t="n">
        <v>20</v>
      </c>
    </row>
    <row r="18">
      <c r="G18" s="256" t="n">
        <v>458</v>
      </c>
      <c r="L18" s="256" t="inlineStr">
        <is>
          <t>RR-I</t>
        </is>
      </c>
      <c r="V18" s="256" t="inlineStr">
        <is>
          <t>FL-24"x12"</t>
        </is>
      </c>
      <c r="X18" s="256" t="inlineStr">
        <is>
          <t>G12</t>
        </is>
      </c>
      <c r="AJ18" s="256" t="inlineStr">
        <is>
          <t>CORE</t>
        </is>
      </c>
      <c r="AM18" s="256" t="inlineStr">
        <is>
          <t>FIRE PARTITION|1</t>
        </is>
      </c>
      <c r="AN18" s="256" t="n">
        <v>45</v>
      </c>
    </row>
    <row r="19">
      <c r="G19" s="256" t="n">
        <v>434</v>
      </c>
      <c r="L19" s="256" t="inlineStr">
        <is>
          <t>DA</t>
        </is>
      </c>
      <c r="V19" s="256" t="inlineStr">
        <is>
          <t>FL-24"x24"</t>
        </is>
      </c>
      <c r="X19" s="256" t="inlineStr">
        <is>
          <t>G12A</t>
        </is>
      </c>
      <c r="AJ19" s="256" t="inlineStr">
        <is>
          <t>PUSH PLATE</t>
        </is>
      </c>
      <c r="AM19" s="256" t="inlineStr">
        <is>
          <t>FIRE PARTITION|0.5</t>
        </is>
      </c>
      <c r="AN19" s="256" t="n">
        <v>20</v>
      </c>
    </row>
    <row r="20">
      <c r="G20" s="256" t="n">
        <v>478</v>
      </c>
      <c r="L20" s="256" t="inlineStr">
        <is>
          <t>BA</t>
        </is>
      </c>
      <c r="V20" s="256" t="inlineStr">
        <is>
          <t>FP.1/2" VIEWER</t>
        </is>
      </c>
      <c r="X20" s="256" t="inlineStr">
        <is>
          <t>G17</t>
        </is>
      </c>
      <c r="AJ20" s="256" t="inlineStr">
        <is>
          <t>PULL</t>
        </is>
      </c>
      <c r="AM20" s="256" t="inlineStr">
        <is>
          <t>SMOKE BARRIER|1</t>
        </is>
      </c>
      <c r="AN20" s="256" t="n">
        <v>20</v>
      </c>
    </row>
    <row r="21">
      <c r="G21" s="256" t="n">
        <v>5</v>
      </c>
      <c r="V21" s="256" t="inlineStr">
        <is>
          <t>FP1.9/16" VIEWER</t>
        </is>
      </c>
      <c r="X21" s="256" t="inlineStr">
        <is>
          <t>G18</t>
        </is>
      </c>
      <c r="AJ21" s="256" t="inlineStr">
        <is>
          <t>CLOSER</t>
        </is>
      </c>
      <c r="AM21" s="256" t="inlineStr">
        <is>
          <t>EXTERIOR|3</t>
        </is>
      </c>
      <c r="AN21" s="256" t="n">
        <v>180</v>
      </c>
    </row>
    <row r="22">
      <c r="G22" s="256" t="n">
        <v>518</v>
      </c>
      <c r="V22" s="256" t="inlineStr">
        <is>
          <t>FG-22"x60" (WD)</t>
        </is>
      </c>
      <c r="X22" s="256" t="inlineStr">
        <is>
          <t>G18G16</t>
        </is>
      </c>
      <c r="AJ22" s="256" t="inlineStr">
        <is>
          <t>OVERHEAD STOP</t>
        </is>
      </c>
      <c r="AM22" s="256" t="inlineStr">
        <is>
          <t>EXTERIOR|2</t>
        </is>
      </c>
      <c r="AN22" s="256" t="n">
        <v>90</v>
      </c>
    </row>
    <row r="23">
      <c r="G23" s="256" t="n">
        <v>514</v>
      </c>
      <c r="V23" s="256" t="inlineStr">
        <is>
          <t>FG-22"x64" (WD)</t>
        </is>
      </c>
      <c r="X23" s="256" t="inlineStr">
        <is>
          <t>G18E3</t>
        </is>
      </c>
      <c r="AJ23" s="256" t="inlineStr">
        <is>
          <t>WALL STOP</t>
        </is>
      </c>
      <c r="AM23" s="256" t="inlineStr">
        <is>
          <t>EXTERIOR|1</t>
        </is>
      </c>
      <c r="AN23" s="256" t="n">
        <v>45</v>
      </c>
    </row>
    <row r="24">
      <c r="G24" s="256" t="n">
        <v>538</v>
      </c>
      <c r="X24" s="256" t="inlineStr">
        <is>
          <t>G18E4</t>
        </is>
      </c>
      <c r="AJ24" s="256" t="inlineStr">
        <is>
          <t>FLOOR STOP</t>
        </is>
      </c>
    </row>
    <row r="25">
      <c r="G25" s="256" t="n">
        <v>512</v>
      </c>
      <c r="X25" s="256" t="inlineStr">
        <is>
          <t>G19</t>
        </is>
      </c>
      <c r="AJ25" s="256" t="inlineStr">
        <is>
          <t>KICK PLATE</t>
        </is>
      </c>
    </row>
    <row r="26">
      <c r="G26" s="256" t="n">
        <v>558</v>
      </c>
      <c r="X26" s="256" t="inlineStr">
        <is>
          <t>H1</t>
        </is>
      </c>
      <c r="AJ26" s="256" t="inlineStr">
        <is>
          <t>MOP PLATE</t>
        </is>
      </c>
    </row>
    <row r="27">
      <c r="G27" s="256" t="n">
        <v>534</v>
      </c>
      <c r="X27" s="256" t="inlineStr">
        <is>
          <t>RL</t>
        </is>
      </c>
      <c r="AJ27" s="256" t="inlineStr">
        <is>
          <t>SILENCER</t>
        </is>
      </c>
    </row>
    <row r="28">
      <c r="G28" s="256" t="n">
        <v>578</v>
      </c>
      <c r="AJ28" s="256" t="inlineStr">
        <is>
          <t>THRESHOLD</t>
        </is>
      </c>
    </row>
    <row r="29">
      <c r="G29" s="256" t="n">
        <v>6</v>
      </c>
      <c r="AJ29" s="256" t="inlineStr">
        <is>
          <t>WEATHERSTRIP</t>
        </is>
      </c>
    </row>
    <row r="30">
      <c r="G30" s="256" t="n">
        <v>618</v>
      </c>
      <c r="AJ30" s="256" t="inlineStr">
        <is>
          <t>DOOR SWEEP</t>
        </is>
      </c>
    </row>
    <row r="31">
      <c r="G31" s="256" t="n">
        <v>614</v>
      </c>
      <c r="AJ31" s="256" t="inlineStr">
        <is>
          <t>ASTRAGAL</t>
        </is>
      </c>
    </row>
    <row r="32">
      <c r="G32" s="256" t="n">
        <v>638</v>
      </c>
      <c r="AJ32" s="256" t="inlineStr">
        <is>
          <t>COORDINATOR</t>
        </is>
      </c>
    </row>
    <row r="33">
      <c r="G33" s="256" t="n">
        <v>612</v>
      </c>
      <c r="AJ33" s="256" t="inlineStr">
        <is>
          <t>DOOR VIEWER</t>
        </is>
      </c>
    </row>
    <row r="34">
      <c r="G34" s="256" t="n">
        <v>658</v>
      </c>
      <c r="AJ34" s="256" t="inlineStr">
        <is>
          <t>ELEC. STRIKE</t>
        </is>
      </c>
    </row>
    <row r="35">
      <c r="G35" s="256" t="n">
        <v>634</v>
      </c>
      <c r="AJ35" s="256" t="inlineStr">
        <is>
          <t>POWER SUPPLY</t>
        </is>
      </c>
    </row>
    <row r="36">
      <c r="G36" s="256" t="n">
        <v>678</v>
      </c>
      <c r="AJ36" s="256" t="inlineStr">
        <is>
          <t>CARD READER</t>
        </is>
      </c>
    </row>
    <row r="37">
      <c r="G37" s="256" t="n">
        <v>7</v>
      </c>
      <c r="AJ37" s="256" t="inlineStr">
        <is>
          <t>DOOR POSITION SWITCH</t>
        </is>
      </c>
    </row>
    <row r="38">
      <c r="G38" s="256" t="n">
        <v>718</v>
      </c>
      <c r="AJ38" s="256" t="inlineStr">
        <is>
          <t>AUTO OPERATOR</t>
        </is>
      </c>
    </row>
    <row r="39">
      <c r="G39" s="256" t="n">
        <v>714</v>
      </c>
      <c r="AJ39" s="256" t="inlineStr">
        <is>
          <t>SIGNAGE</t>
        </is>
      </c>
    </row>
    <row r="40">
      <c r="G40" s="256" t="n">
        <v>738</v>
      </c>
    </row>
    <row r="41">
      <c r="G41" s="256" t="n">
        <v>712</v>
      </c>
    </row>
    <row r="42">
      <c r="G42" s="256" t="n">
        <v>758</v>
      </c>
    </row>
    <row r="43">
      <c r="G43" s="256" t="n">
        <v>734</v>
      </c>
    </row>
    <row r="44">
      <c r="G44" s="256" t="n">
        <v>778</v>
      </c>
    </row>
    <row r="45">
      <c r="G45" s="256" t="n">
        <v>8</v>
      </c>
    </row>
    <row r="46">
      <c r="G46" s="256" t="n">
        <v>818</v>
      </c>
    </row>
    <row r="47">
      <c r="G47" s="256" t="n">
        <v>814</v>
      </c>
    </row>
    <row r="48">
      <c r="G48" s="256" t="n">
        <v>838</v>
      </c>
    </row>
    <row r="49">
      <c r="G49" s="256" t="n">
        <v>812</v>
      </c>
    </row>
    <row r="50">
      <c r="G50" s="256" t="n">
        <v>858</v>
      </c>
    </row>
    <row r="51">
      <c r="G51" s="256" t="n">
        <v>834</v>
      </c>
    </row>
    <row r="52">
      <c r="G52" s="256" t="n">
        <v>878</v>
      </c>
    </row>
    <row r="53">
      <c r="G53" s="256" t="n">
        <v>9</v>
      </c>
    </row>
    <row r="54">
      <c r="G54" s="256" t="n">
        <v>918</v>
      </c>
    </row>
    <row r="55">
      <c r="G55" s="256" t="n">
        <v>914</v>
      </c>
    </row>
    <row r="56">
      <c r="G56" s="256" t="n">
        <v>938</v>
      </c>
    </row>
    <row r="57">
      <c r="G57" s="256" t="n">
        <v>912</v>
      </c>
    </row>
    <row r="58">
      <c r="G58" s="256" t="n">
        <v>958</v>
      </c>
    </row>
    <row r="59">
      <c r="G59" s="256" t="n">
        <v>934</v>
      </c>
    </row>
    <row r="60">
      <c r="G60" s="256" t="n">
        <v>978</v>
      </c>
    </row>
    <row r="61">
      <c r="G61" s="256" t="n">
        <v>10</v>
      </c>
    </row>
    <row r="62">
      <c r="G62" s="256" t="n">
        <v>1018</v>
      </c>
    </row>
    <row r="63">
      <c r="G63" s="256" t="n">
        <v>1014</v>
      </c>
    </row>
    <row r="64">
      <c r="G64" s="256" t="n">
        <v>1038</v>
      </c>
    </row>
    <row r="65">
      <c r="G65" s="256" t="n">
        <v>1012</v>
      </c>
    </row>
    <row r="66">
      <c r="G66" s="256" t="n">
        <v>1058</v>
      </c>
    </row>
    <row r="67">
      <c r="G67" s="256" t="n">
        <v>1034</v>
      </c>
    </row>
    <row r="68">
      <c r="G68" s="256" t="n">
        <v>1078</v>
      </c>
    </row>
    <row r="69">
      <c r="G69" s="256" t="n">
        <v>11</v>
      </c>
    </row>
    <row r="70">
      <c r="G70" s="256" t="n">
        <v>1118</v>
      </c>
    </row>
    <row r="71">
      <c r="G71" s="256" t="n">
        <v>1114</v>
      </c>
    </row>
    <row r="72">
      <c r="G72" s="256" t="n">
        <v>1138</v>
      </c>
    </row>
    <row r="73">
      <c r="G73" s="256" t="n">
        <v>1112</v>
      </c>
    </row>
    <row r="74">
      <c r="G74" s="256" t="n">
        <v>1158</v>
      </c>
    </row>
    <row r="75">
      <c r="G75" s="256" t="n">
        <v>1134</v>
      </c>
    </row>
    <row r="76">
      <c r="G76" s="256" t="n">
        <v>1178</v>
      </c>
    </row>
    <row r="77">
      <c r="G77" s="256" t="n">
        <v>12</v>
      </c>
    </row>
    <row r="78"/>
    <row r="79"/>
    <row r="80"/>
    <row r="81"/>
    <row r="82"/>
    <row r="83"/>
    <row r="84"/>
    <row r="85"/>
    <row r="86"/>
    <row r="87"/>
    <row r="88"/>
    <row r="89"/>
  </sheetData>
  <pageMargins left="0.75" right="0.75" top="1" bottom="1" header="0.5" footer="0.5"/>
</worksheet>
</file>

<file path=xl/worksheets/sheet15.xml><?xml version="1.0" encoding="utf-8"?>
<worksheet xmlns="http://schemas.openxmlformats.org/spreadsheetml/2006/main">
  <sheetPr>
    <tabColor rgb="009AA5B1"/>
    <outlinePr summaryBelow="1" summaryRight="1"/>
    <pageSetUpPr/>
  </sheetPr>
  <dimension ref="A1:C201"/>
  <sheetViews>
    <sheetView showGridLines="0" workbookViewId="0">
      <pane ySplit="4" topLeftCell="A5" activePane="bottomLeft" state="frozen"/>
      <selection pane="bottomLeft" activeCell="A1" sqref="A1"/>
    </sheetView>
  </sheetViews>
  <sheetFormatPr baseColWidth="8" defaultRowHeight="15"/>
  <cols>
    <col width="16" customWidth="1" min="1" max="1"/>
    <col width="46" customWidth="1" min="2" max="2"/>
    <col width="30" customWidth="1" min="3" max="3"/>
  </cols>
  <sheetData>
    <row r="1" ht="30" customHeight="1">
      <c r="A1" s="38" t="inlineStr">
        <is>
          <t>ORDER CODES</t>
        </is>
      </c>
      <c r="B1" s="1" t="n"/>
      <c r="C1" s="39">
        <f>IF(JobName="","OPENING TAKEOFF  ·  FORM 3.2",JobName&amp;IF(JobNo="",""," · JOB "&amp;JobNo))</f>
        <v/>
      </c>
    </row>
    <row r="2" ht="18" customHeight="1">
      <c r="A2" s="40" t="inlineStr">
        <is>
          <t>What each code prints on an order line. Edit a description and every line follows.</t>
        </is>
      </c>
      <c r="B2" s="1" t="n"/>
      <c r="C2" s="41">
        <f>TEXT(JobDate,"mmm d, yyyy")&amp;IF(JobRev="",""," · "&amp;JobRev)</f>
        <v/>
      </c>
    </row>
    <row r="3" ht="4" customHeight="1">
      <c r="A3" s="6" t="n"/>
      <c r="B3" s="6" t="n"/>
      <c r="C3" s="6" t="n"/>
    </row>
    <row r="4">
      <c r="A4" s="227" t="inlineStr">
        <is>
          <t>CODE</t>
        </is>
      </c>
      <c r="B4" s="227" t="inlineStr">
        <is>
          <t>PRINTS AS</t>
        </is>
      </c>
    </row>
    <row r="5">
      <c r="A5" s="256" t="inlineStr">
        <is>
          <t>_14</t>
        </is>
      </c>
      <c r="B5" s="256" t="inlineStr">
        <is>
          <t xml:space="preserve">14GA </t>
        </is>
      </c>
    </row>
    <row r="6">
      <c r="A6" s="256" t="inlineStr">
        <is>
          <t>_16</t>
        </is>
      </c>
      <c r="B6" s="256" t="inlineStr">
        <is>
          <t xml:space="preserve">16GA </t>
        </is>
      </c>
    </row>
    <row r="7">
      <c r="A7" s="256" t="inlineStr">
        <is>
          <t>_18</t>
        </is>
      </c>
      <c r="B7" s="256" t="inlineStr">
        <is>
          <t xml:space="preserve">18GA </t>
        </is>
      </c>
    </row>
    <row r="8">
      <c r="A8" s="256" t="inlineStr">
        <is>
          <t>3F</t>
        </is>
      </c>
      <c r="B8" s="256" t="inlineStr">
        <is>
          <t>FRAME</t>
        </is>
      </c>
    </row>
    <row r="9">
      <c r="A9" s="256" t="inlineStr">
        <is>
          <t>3FH</t>
        </is>
      </c>
      <c r="B9" s="256" t="inlineStr">
        <is>
          <t>TRANSOM</t>
        </is>
      </c>
    </row>
    <row r="10">
      <c r="A10" s="256" t="inlineStr">
        <is>
          <t>3FV</t>
        </is>
      </c>
      <c r="B10" s="256" t="inlineStr">
        <is>
          <t>MULTI-FR w/MULL</t>
        </is>
      </c>
    </row>
    <row r="11">
      <c r="A11" s="256" t="inlineStr">
        <is>
          <t>4F</t>
        </is>
      </c>
      <c r="B11" s="256" t="inlineStr">
        <is>
          <t>4 Sided Frame</t>
        </is>
      </c>
    </row>
    <row r="12">
      <c r="A12" s="256" t="inlineStr">
        <is>
          <t>BL</t>
        </is>
      </c>
      <c r="B12" s="256" t="inlineStr">
        <is>
          <t>BORRLITE</t>
        </is>
      </c>
    </row>
    <row r="13">
      <c r="A13" s="256" t="inlineStr">
        <is>
          <t>BSC</t>
        </is>
      </c>
      <c r="B13" s="256" t="inlineStr">
        <is>
          <t>STEELCRAFT DOOR</t>
        </is>
      </c>
    </row>
    <row r="14">
      <c r="A14" s="256" t="inlineStr">
        <is>
          <t>CA</t>
        </is>
      </c>
      <c r="B14" s="256" t="inlineStr">
        <is>
          <t>COMP</t>
        </is>
      </c>
    </row>
    <row r="15">
      <c r="A15" s="256" t="inlineStr">
        <is>
          <t>CL</t>
        </is>
      </c>
      <c r="B15" s="256" t="inlineStr">
        <is>
          <t>Closer</t>
        </is>
      </c>
    </row>
    <row r="16">
      <c r="A16" s="256" t="inlineStr">
        <is>
          <t>CR</t>
        </is>
      </c>
      <c r="B16" s="256" t="inlineStr">
        <is>
          <t>HM</t>
        </is>
      </c>
    </row>
    <row r="17">
      <c r="A17" s="256" t="inlineStr">
        <is>
          <t>CU</t>
        </is>
      </c>
      <c r="B17" s="256" t="inlineStr">
        <is>
          <t>CURRIES</t>
        </is>
      </c>
    </row>
    <row r="18">
      <c r="A18" s="256" t="inlineStr">
        <is>
          <t>E1</t>
        </is>
      </c>
      <c r="B18" s="256" t="inlineStr">
        <is>
          <t>1-478.STK</t>
        </is>
      </c>
    </row>
    <row r="19">
      <c r="A19" s="256" t="inlineStr">
        <is>
          <t>E10</t>
        </is>
      </c>
      <c r="B19" s="256" t="inlineStr">
        <is>
          <t>Regular Arm Closer Reinforcement</t>
        </is>
      </c>
    </row>
    <row r="20">
      <c r="A20" s="256" t="inlineStr">
        <is>
          <t>E11</t>
        </is>
      </c>
      <c r="B20" s="256" t="inlineStr">
        <is>
          <t>Parallel Arm Closer Reinforcement</t>
        </is>
      </c>
    </row>
    <row r="21">
      <c r="A21" s="256" t="inlineStr">
        <is>
          <t>E18</t>
        </is>
      </c>
      <c r="B21" s="256" t="inlineStr">
        <is>
          <t>Closer</t>
        </is>
      </c>
    </row>
    <row r="22">
      <c r="A22" s="256" t="inlineStr">
        <is>
          <t>E1H1</t>
        </is>
      </c>
      <c r="B22" s="256" t="inlineStr">
        <is>
          <t>478.STK&amp;F.BOLT</t>
        </is>
      </c>
    </row>
    <row r="23">
      <c r="A23" s="256" t="inlineStr">
        <is>
          <t>E3</t>
        </is>
      </c>
      <c r="B23" s="256" t="inlineStr">
        <is>
          <t>1-DB.STR234</t>
        </is>
      </c>
    </row>
    <row r="24">
      <c r="A24" s="256" t="inlineStr">
        <is>
          <t>E4</t>
        </is>
      </c>
      <c r="B24" s="256" t="inlineStr">
        <is>
          <t>1-DB.STK</t>
        </is>
      </c>
    </row>
    <row r="25">
      <c r="A25" s="256" t="inlineStr">
        <is>
          <t>E6</t>
        </is>
      </c>
      <c r="B25" s="256" t="inlineStr">
        <is>
          <t>Embossed 6 Panel Door</t>
        </is>
      </c>
    </row>
    <row r="26">
      <c r="A26" s="256" t="inlineStr">
        <is>
          <t>E8</t>
        </is>
      </c>
      <c r="B26" s="256" t="inlineStr">
        <is>
          <t xml:space="preserve">1-RIM </t>
        </is>
      </c>
    </row>
    <row r="27">
      <c r="A27" s="256" t="inlineStr">
        <is>
          <t>E9</t>
        </is>
      </c>
      <c r="B27" s="256" t="inlineStr">
        <is>
          <t>1-ELEC</t>
        </is>
      </c>
    </row>
    <row r="28">
      <c r="A28" s="256" t="inlineStr">
        <is>
          <t>EH</t>
        </is>
      </c>
      <c r="B28" s="256" t="inlineStr">
        <is>
          <t>1.ELEC.HINGE</t>
        </is>
      </c>
    </row>
    <row r="29">
      <c r="A29" s="256" t="inlineStr">
        <is>
          <t>EPT</t>
        </is>
      </c>
      <c r="B29" s="256" t="inlineStr">
        <is>
          <t>EPT</t>
        </is>
      </c>
    </row>
    <row r="30">
      <c r="A30" s="256" t="inlineStr">
        <is>
          <t>F</t>
        </is>
      </c>
      <c r="B30" s="256" t="inlineStr">
        <is>
          <t>FLUSH</t>
        </is>
      </c>
    </row>
    <row r="31">
      <c r="A31" s="256" t="inlineStr">
        <is>
          <t>FG</t>
        </is>
      </c>
      <c r="B31" s="256" t="inlineStr">
        <is>
          <t>FG w/ KIT</t>
        </is>
      </c>
    </row>
    <row r="32">
      <c r="A32" s="256" t="inlineStr">
        <is>
          <t>FNV</t>
        </is>
      </c>
      <c r="B32" s="256" t="inlineStr">
        <is>
          <t>FNV w/ KIT</t>
        </is>
      </c>
    </row>
    <row r="33">
      <c r="A33" s="256" t="inlineStr">
        <is>
          <t>FP1</t>
        </is>
      </c>
      <c r="B33" s="256" t="inlineStr">
        <is>
          <t>Door Viewer Prep 9/16"</t>
        </is>
      </c>
    </row>
    <row r="34">
      <c r="A34" s="256" t="inlineStr">
        <is>
          <t>FRP</t>
        </is>
      </c>
      <c r="B34" s="256" t="inlineStr">
        <is>
          <t>FRP</t>
        </is>
      </c>
    </row>
    <row r="35">
      <c r="A35" s="256" t="inlineStr">
        <is>
          <t>FV</t>
        </is>
      </c>
      <c r="B35" s="256" t="inlineStr">
        <is>
          <t>FV w/ KIT</t>
        </is>
      </c>
    </row>
    <row r="36">
      <c r="A36" s="256" t="inlineStr">
        <is>
          <t>G11</t>
        </is>
      </c>
      <c r="B36" s="256" t="inlineStr">
        <is>
          <t>RIM.PANIC</t>
        </is>
      </c>
    </row>
    <row r="37">
      <c r="A37" s="256" t="inlineStr">
        <is>
          <t>G11A</t>
        </is>
      </c>
      <c r="B37" s="256" t="inlineStr">
        <is>
          <t>RIM.VERT.ROD</t>
        </is>
      </c>
    </row>
    <row r="38">
      <c r="A38" s="256" t="inlineStr">
        <is>
          <t>G12</t>
        </is>
      </c>
      <c r="B38" s="256" t="inlineStr">
        <is>
          <t>MORT.EXIT</t>
        </is>
      </c>
    </row>
    <row r="39">
      <c r="A39" s="256" t="inlineStr">
        <is>
          <t>G12A</t>
        </is>
      </c>
      <c r="B39" s="256" t="inlineStr">
        <is>
          <t>CONC.VERT.ROD</t>
        </is>
      </c>
    </row>
    <row r="40">
      <c r="A40" s="256" t="inlineStr">
        <is>
          <t>G17</t>
        </is>
      </c>
      <c r="B40" s="256" t="inlineStr">
        <is>
          <t>MORT.DEADLOCK</t>
        </is>
      </c>
    </row>
    <row r="41">
      <c r="A41" s="256" t="inlineStr">
        <is>
          <t>G18</t>
        </is>
      </c>
      <c r="B41" s="256" t="inlineStr">
        <is>
          <t>BLANK</t>
        </is>
      </c>
    </row>
    <row r="42">
      <c r="A42" s="256" t="inlineStr">
        <is>
          <t>G19</t>
        </is>
      </c>
      <c r="B42" s="256" t="inlineStr">
        <is>
          <t>BLANK</t>
        </is>
      </c>
    </row>
    <row r="43">
      <c r="A43" s="256" t="inlineStr">
        <is>
          <t>G2</t>
        </is>
      </c>
      <c r="B43" s="256" t="inlineStr">
        <is>
          <t>CYL.161</t>
        </is>
      </c>
    </row>
    <row r="44">
      <c r="A44" s="256" t="inlineStr">
        <is>
          <t>G2G2</t>
        </is>
      </c>
      <c r="B44" s="256" t="inlineStr">
        <is>
          <t xml:space="preserve">CYL.161&amp;D.BOLT </t>
        </is>
      </c>
    </row>
    <row r="45">
      <c r="A45" s="256" t="inlineStr">
        <is>
          <t>G3A</t>
        </is>
      </c>
      <c r="B45" s="256" t="inlineStr">
        <is>
          <t>MORT.86</t>
        </is>
      </c>
    </row>
    <row r="46">
      <c r="A46" s="256" t="inlineStr">
        <is>
          <t>H1</t>
        </is>
      </c>
      <c r="B46" s="256" t="inlineStr">
        <is>
          <t>F.BOLT-ONLY</t>
        </is>
      </c>
    </row>
    <row r="47">
      <c r="A47" s="256" t="inlineStr">
        <is>
          <t>H5</t>
        </is>
      </c>
      <c r="B47" s="256" t="inlineStr">
        <is>
          <t>FB.STK</t>
        </is>
      </c>
    </row>
    <row r="48">
      <c r="A48" s="256" t="inlineStr">
        <is>
          <t>HG</t>
        </is>
      </c>
      <c r="B48" s="256" t="inlineStr">
        <is>
          <t>HG w/ KIT</t>
        </is>
      </c>
    </row>
    <row r="49">
      <c r="A49" s="256" t="inlineStr">
        <is>
          <t>HGC</t>
        </is>
      </c>
      <c r="B49" s="256" t="inlineStr">
        <is>
          <t>CONT.HNG</t>
        </is>
      </c>
    </row>
    <row r="50">
      <c r="A50" s="256" t="inlineStr">
        <is>
          <t>KD</t>
        </is>
      </c>
      <c r="B50" s="256" t="inlineStr">
        <is>
          <t>KD</t>
        </is>
      </c>
    </row>
    <row r="51">
      <c r="A51" s="256" t="inlineStr">
        <is>
          <t>M</t>
        </is>
      </c>
      <c r="B51" s="256" t="inlineStr">
        <is>
          <t>Unequal Double Rabbet Profile</t>
        </is>
      </c>
    </row>
    <row r="52">
      <c r="A52" s="256" t="inlineStr">
        <is>
          <t>MC</t>
        </is>
      </c>
      <c r="B52" s="256" t="inlineStr">
        <is>
          <t>MC DOOR</t>
        </is>
      </c>
    </row>
    <row r="53">
      <c r="A53" s="256" t="inlineStr">
        <is>
          <t>PC</t>
        </is>
      </c>
      <c r="B53" s="256" t="inlineStr">
        <is>
          <t>PC DOOR</t>
        </is>
      </c>
    </row>
    <row r="54">
      <c r="A54" s="256" t="inlineStr">
        <is>
          <t>P-LAM</t>
        </is>
      </c>
      <c r="B54" s="256" t="inlineStr">
        <is>
          <t>High Pressure Decorative Plastic Laminate</t>
        </is>
      </c>
    </row>
    <row r="55">
      <c r="A55" s="256" t="inlineStr">
        <is>
          <t>PWM</t>
        </is>
      </c>
      <c r="B55" s="256" t="inlineStr">
        <is>
          <t>Plain Sliced White Maple</t>
        </is>
      </c>
    </row>
    <row r="56">
      <c r="A56" s="256" t="inlineStr">
        <is>
          <t>RK</t>
        </is>
      </c>
      <c r="B56" s="256" t="inlineStr">
        <is>
          <t>HM.A60</t>
        </is>
      </c>
    </row>
    <row r="57">
      <c r="A57" s="256" t="inlineStr">
        <is>
          <t>RL</t>
        </is>
      </c>
      <c r="B57" s="256" t="inlineStr">
        <is>
          <t>R.LATCH</t>
        </is>
      </c>
    </row>
    <row r="58">
      <c r="A58" s="256" t="inlineStr">
        <is>
          <t>RNB</t>
        </is>
      </c>
      <c r="B58" s="256" t="inlineStr">
        <is>
          <t>STR-RNB</t>
        </is>
      </c>
    </row>
    <row r="59">
      <c r="A59" s="256" t="inlineStr">
        <is>
          <t>RW</t>
        </is>
      </c>
      <c r="B59" s="256" t="inlineStr">
        <is>
          <t>Electric Raceway</t>
        </is>
      </c>
    </row>
    <row r="60">
      <c r="A60" s="256" t="inlineStr">
        <is>
          <t>RWB</t>
        </is>
      </c>
      <c r="B60" s="256" t="inlineStr">
        <is>
          <t>Rotary Cut White Birch</t>
        </is>
      </c>
    </row>
    <row r="61">
      <c r="A61" s="256" t="inlineStr">
        <is>
          <t>SC</t>
        </is>
      </c>
      <c r="B61" s="256" t="inlineStr">
        <is>
          <t>SSA</t>
        </is>
      </c>
    </row>
    <row r="62">
      <c r="A62" s="256" t="inlineStr">
        <is>
          <t>SCLC</t>
        </is>
      </c>
      <c r="B62" s="256" t="inlineStr">
        <is>
          <t>Structural Composite Lumber Core</t>
        </is>
      </c>
    </row>
    <row r="63">
      <c r="A63" s="256" t="inlineStr">
        <is>
          <t>SL</t>
        </is>
      </c>
      <c r="B63" s="256" t="inlineStr">
        <is>
          <t>SIDELITE</t>
        </is>
      </c>
    </row>
    <row r="64">
      <c r="A64" s="256" t="inlineStr">
        <is>
          <t>SRO</t>
        </is>
      </c>
      <c r="B64" s="256" t="inlineStr">
        <is>
          <t>ST-OAK</t>
        </is>
      </c>
    </row>
    <row r="65">
      <c r="A65" s="256" t="inlineStr">
        <is>
          <t>SS</t>
        </is>
      </c>
      <c r="B65" s="256" t="inlineStr">
        <is>
          <t>SS</t>
        </is>
      </c>
    </row>
    <row r="66">
      <c r="A66" s="256" t="inlineStr">
        <is>
          <t>T</t>
        </is>
      </c>
      <c r="B66" s="256" t="inlineStr">
        <is>
          <t>T-MAS</t>
        </is>
      </c>
    </row>
    <row r="67">
      <c r="A67" s="256" t="inlineStr">
        <is>
          <t>U453</t>
        </is>
      </c>
      <c r="B67" s="256" t="inlineStr">
        <is>
          <t xml:space="preserve">3-HNG </t>
        </is>
      </c>
    </row>
    <row r="68">
      <c r="A68" s="256" t="inlineStr">
        <is>
          <t>U454</t>
        </is>
      </c>
      <c r="B68" s="256" t="inlineStr">
        <is>
          <t xml:space="preserve">4-HNG </t>
        </is>
      </c>
    </row>
    <row r="69">
      <c r="A69" s="256" t="inlineStr">
        <is>
          <t>WD</t>
        </is>
      </c>
      <c r="B69" s="256" t="inlineStr">
        <is>
          <t>WD</t>
        </is>
      </c>
    </row>
    <row r="70">
      <c r="A70" s="256" t="inlineStr">
        <is>
          <t>WGS</t>
        </is>
      </c>
      <c r="B70" s="256" t="inlineStr">
        <is>
          <t>WELDED</t>
        </is>
      </c>
    </row>
    <row r="71">
      <c r="A71" s="256" t="inlineStr">
        <is>
          <t>Y</t>
        </is>
      </c>
      <c r="B71" s="256" t="inlineStr">
        <is>
          <t>4" Head</t>
        </is>
      </c>
    </row>
    <row r="72">
      <c r="A72" s="256" t="inlineStr">
        <is>
          <t>-</t>
        </is>
      </c>
      <c r="B72" s="256" t="inlineStr">
        <is>
          <t xml:space="preserve"> </t>
        </is>
      </c>
    </row>
    <row r="73">
      <c r="A73" s="256" t="inlineStr">
        <is>
          <t>G2A</t>
        </is>
      </c>
      <c r="B73" s="256" t="inlineStr">
        <is>
          <t>CYL.MOD.161</t>
        </is>
      </c>
    </row>
    <row r="74">
      <c r="A74" s="256" t="inlineStr">
        <is>
          <t>CH</t>
        </is>
      </c>
      <c r="B74" s="256" t="inlineStr">
        <is>
          <t>COHS</t>
        </is>
      </c>
    </row>
    <row r="75">
      <c r="A75" s="256" t="inlineStr">
        <is>
          <t>E1E4</t>
        </is>
      </c>
      <c r="B75" s="256" t="inlineStr">
        <is>
          <t>1-478.STK&amp;DB.STK</t>
        </is>
      </c>
    </row>
    <row r="76">
      <c r="A76" s="256" t="inlineStr">
        <is>
          <t>VT</t>
        </is>
      </c>
      <c r="B76" s="256" t="inlineStr">
        <is>
          <t>WOOD DOOR</t>
        </is>
      </c>
    </row>
    <row r="77">
      <c r="A77" s="256" t="inlineStr">
        <is>
          <t>STREKO</t>
        </is>
      </c>
      <c r="B77" s="256" t="inlineStr">
        <is>
          <t>WOOD DOOR</t>
        </is>
      </c>
    </row>
    <row r="78">
      <c r="A78" s="256" t="n">
        <v>14</v>
      </c>
      <c r="B78" s="256" t="inlineStr">
        <is>
          <t>14GA</t>
        </is>
      </c>
    </row>
    <row r="79">
      <c r="A79" s="256" t="n">
        <v>16</v>
      </c>
      <c r="B79" s="256" t="inlineStr">
        <is>
          <t>16GA</t>
        </is>
      </c>
    </row>
    <row r="80">
      <c r="A80" s="256" t="n">
        <v>18</v>
      </c>
      <c r="B80" s="256" t="inlineStr">
        <is>
          <t>18GA</t>
        </is>
      </c>
    </row>
    <row r="81">
      <c r="A81" s="256" t="inlineStr">
        <is>
          <t>CC</t>
        </is>
      </c>
      <c r="B81" s="256" t="inlineStr">
        <is>
          <t>Conc. Closer</t>
        </is>
      </c>
    </row>
    <row r="82">
      <c r="A82" s="256" t="inlineStr">
        <is>
          <t>G20</t>
        </is>
      </c>
      <c r="B82" s="256" t="inlineStr">
        <is>
          <t>CVR</t>
        </is>
      </c>
    </row>
    <row r="83">
      <c r="A83" s="256" t="inlineStr">
        <is>
          <t>90 MIN</t>
        </is>
      </c>
      <c r="B83" s="256" t="inlineStr">
        <is>
          <t>90 MIN</t>
        </is>
      </c>
    </row>
    <row r="84">
      <c r="A84" s="256" t="inlineStr">
        <is>
          <t>45 MIN</t>
        </is>
      </c>
      <c r="B84" s="256" t="inlineStr">
        <is>
          <t>45 MIN</t>
        </is>
      </c>
    </row>
    <row r="85">
      <c r="A85" s="256" t="inlineStr">
        <is>
          <t>180 MIN</t>
        </is>
      </c>
      <c r="B85" s="256" t="inlineStr">
        <is>
          <t>180 MIN</t>
        </is>
      </c>
    </row>
    <row r="86">
      <c r="A86" s="256" t="inlineStr">
        <is>
          <t>NO LAB</t>
        </is>
      </c>
      <c r="B86" s="256" t="inlineStr">
        <is>
          <t>NO LABEL</t>
        </is>
      </c>
    </row>
    <row r="87">
      <c r="A87" s="256" t="inlineStr">
        <is>
          <t>G3AEO</t>
        </is>
      </c>
      <c r="B87" s="256" t="inlineStr">
        <is>
          <t>MORT.86.EDGE.ONLY</t>
        </is>
      </c>
    </row>
    <row r="88">
      <c r="A88" s="256" t="inlineStr">
        <is>
          <t>EL</t>
        </is>
      </c>
      <c r="B88" s="256" t="inlineStr">
        <is>
          <t>ELIASON</t>
        </is>
      </c>
    </row>
    <row r="89">
      <c r="A89" s="256" t="inlineStr">
        <is>
          <t>G30</t>
        </is>
      </c>
      <c r="B89" s="256" t="inlineStr">
        <is>
          <t>POCKET.LOCK</t>
        </is>
      </c>
    </row>
    <row r="90">
      <c r="A90" s="256" t="inlineStr">
        <is>
          <t>WMA</t>
        </is>
      </c>
      <c r="B90" s="256" t="inlineStr">
        <is>
          <t>WIRE.MAS</t>
        </is>
      </c>
    </row>
    <row r="91">
      <c r="A91" s="256" t="inlineStr">
        <is>
          <t>CU-707-A60</t>
        </is>
      </c>
      <c r="B91" s="256" t="inlineStr">
        <is>
          <t>707-A60</t>
        </is>
      </c>
    </row>
    <row r="92">
      <c r="A92" s="256" t="inlineStr">
        <is>
          <t>A60</t>
        </is>
      </c>
      <c r="B92" s="256" t="inlineStr">
        <is>
          <t>CUR.A60</t>
        </is>
      </c>
    </row>
    <row r="93">
      <c r="A93" s="256" t="inlineStr">
        <is>
          <t>EPT RW</t>
        </is>
      </c>
      <c r="B93" s="256" t="inlineStr">
        <is>
          <t>1-EPT&amp;RACEWAY</t>
        </is>
      </c>
    </row>
    <row r="94">
      <c r="A94" s="256" t="inlineStr">
        <is>
          <t>E9 RW</t>
        </is>
      </c>
      <c r="B94" s="256" t="inlineStr">
        <is>
          <t>1-ELEC&amp;RACEWAY</t>
        </is>
      </c>
    </row>
    <row r="95">
      <c r="A95" s="256" t="inlineStr">
        <is>
          <t>R</t>
        </is>
      </c>
      <c r="B95" s="256" t="inlineStr">
        <is>
          <t>RH</t>
        </is>
      </c>
    </row>
    <row r="96">
      <c r="A96" s="256" t="inlineStr">
        <is>
          <t>RR</t>
        </is>
      </c>
      <c r="B96" s="256" t="inlineStr">
        <is>
          <t>RHR</t>
        </is>
      </c>
    </row>
    <row r="97">
      <c r="A97" s="256" t="inlineStr">
        <is>
          <t>R-A</t>
        </is>
      </c>
      <c r="B97" s="256" t="inlineStr">
        <is>
          <t>RH-ACT</t>
        </is>
      </c>
    </row>
    <row r="98">
      <c r="A98" s="256" t="inlineStr">
        <is>
          <t>RR-A</t>
        </is>
      </c>
      <c r="B98" s="256" t="inlineStr">
        <is>
          <t>RHR-ACT</t>
        </is>
      </c>
    </row>
    <row r="99">
      <c r="A99" s="256" t="inlineStr">
        <is>
          <t>R-I</t>
        </is>
      </c>
      <c r="B99" s="256" t="inlineStr">
        <is>
          <t>RH-INA</t>
        </is>
      </c>
    </row>
    <row r="100">
      <c r="A100" s="256" t="inlineStr">
        <is>
          <t>RR-I</t>
        </is>
      </c>
      <c r="B100" s="256" t="inlineStr">
        <is>
          <t>RHR-INA</t>
        </is>
      </c>
    </row>
    <row r="101">
      <c r="A101" s="256" t="inlineStr">
        <is>
          <t>L</t>
        </is>
      </c>
      <c r="B101" s="256" t="inlineStr">
        <is>
          <t>LH</t>
        </is>
      </c>
    </row>
    <row r="102">
      <c r="A102" s="256" t="inlineStr">
        <is>
          <t>LR</t>
        </is>
      </c>
      <c r="B102" s="256" t="inlineStr">
        <is>
          <t>LHR</t>
        </is>
      </c>
    </row>
    <row r="103">
      <c r="A103" s="256" t="inlineStr">
        <is>
          <t>L-A</t>
        </is>
      </c>
      <c r="B103" s="256" t="inlineStr">
        <is>
          <t>LH-ACT</t>
        </is>
      </c>
    </row>
    <row r="104">
      <c r="A104" s="256" t="inlineStr">
        <is>
          <t>LR-A</t>
        </is>
      </c>
      <c r="B104" s="256" t="inlineStr">
        <is>
          <t>LHR-ACT</t>
        </is>
      </c>
    </row>
    <row r="105">
      <c r="A105" s="256" t="inlineStr">
        <is>
          <t>L-I</t>
        </is>
      </c>
      <c r="B105" s="256" t="inlineStr">
        <is>
          <t>LH-INA</t>
        </is>
      </c>
    </row>
    <row r="106">
      <c r="A106" s="256" t="inlineStr">
        <is>
          <t>LR-I</t>
        </is>
      </c>
      <c r="B106" s="256" t="inlineStr">
        <is>
          <t>LHR-INA</t>
        </is>
      </c>
    </row>
    <row r="107">
      <c r="A107" s="256" t="inlineStr">
        <is>
          <t>DA</t>
        </is>
      </c>
      <c r="B107" s="256" t="inlineStr">
        <is>
          <t>DBL.ACTING</t>
        </is>
      </c>
    </row>
    <row r="108">
      <c r="A108" s="256" t="inlineStr">
        <is>
          <t>PR</t>
        </is>
      </c>
      <c r="B108" s="256" t="inlineStr">
        <is>
          <t>PAIR</t>
        </is>
      </c>
    </row>
    <row r="109">
      <c r="A109" s="256" t="inlineStr">
        <is>
          <t>60 MIN</t>
        </is>
      </c>
      <c r="B109" s="256" t="inlineStr">
        <is>
          <t>60 MIN</t>
        </is>
      </c>
    </row>
    <row r="110">
      <c r="A110" s="256" t="inlineStr">
        <is>
          <t>20 MIN</t>
        </is>
      </c>
      <c r="B110" s="256" t="inlineStr">
        <is>
          <t>20 MIN</t>
        </is>
      </c>
    </row>
    <row r="111">
      <c r="A111" s="256" t="inlineStr">
        <is>
          <t>SSA</t>
        </is>
      </c>
      <c r="B111" s="256" t="inlineStr">
        <is>
          <t>SSA</t>
        </is>
      </c>
    </row>
    <row r="112">
      <c r="A112" s="256" t="inlineStr">
        <is>
          <t>E1E4H1</t>
        </is>
      </c>
      <c r="B112" s="256" t="inlineStr">
        <is>
          <t>1-478.STK&amp;DB.STK+F.BOLT</t>
        </is>
      </c>
    </row>
    <row r="113">
      <c r="A113" s="256" t="inlineStr">
        <is>
          <t>G3</t>
        </is>
      </c>
      <c r="B113" s="256" t="inlineStr">
        <is>
          <t>MORT.86.ESC.TRIM</t>
        </is>
      </c>
    </row>
    <row r="114">
      <c r="A114" s="256" t="inlineStr">
        <is>
          <t>E2E4</t>
        </is>
      </c>
      <c r="B114" s="256" t="inlineStr">
        <is>
          <t>1-234.STK&amp;DB.STK</t>
        </is>
      </c>
    </row>
    <row r="115">
      <c r="A115" s="256" t="inlineStr">
        <is>
          <t>OAK-MC</t>
        </is>
      </c>
      <c r="B115" s="256" t="inlineStr">
        <is>
          <t>OAK.MC</t>
        </is>
      </c>
    </row>
    <row r="116">
      <c r="A116" s="256" t="inlineStr">
        <is>
          <t>OAK-PC</t>
        </is>
      </c>
      <c r="B116" s="256" t="inlineStr">
        <is>
          <t>OAK.PC</t>
        </is>
      </c>
    </row>
    <row r="117">
      <c r="A117" s="256" t="inlineStr">
        <is>
          <t>BIR-MC</t>
        </is>
      </c>
      <c r="B117" s="256" t="inlineStr">
        <is>
          <t>BIRCH.MC</t>
        </is>
      </c>
    </row>
    <row r="118">
      <c r="A118" s="256" t="inlineStr">
        <is>
          <t>BIR-PC</t>
        </is>
      </c>
      <c r="B118" s="256" t="inlineStr">
        <is>
          <t>BIRCH.PC</t>
        </is>
      </c>
    </row>
    <row r="119">
      <c r="A119" s="256" t="inlineStr">
        <is>
          <t>MAP-MC</t>
        </is>
      </c>
      <c r="B119" s="256" t="inlineStr">
        <is>
          <t>MAPLE.MC</t>
        </is>
      </c>
    </row>
    <row r="120">
      <c r="A120" s="256" t="inlineStr">
        <is>
          <t>MAP-PC</t>
        </is>
      </c>
      <c r="B120" s="256" t="inlineStr">
        <is>
          <t>MAPLE.PC</t>
        </is>
      </c>
    </row>
    <row r="121">
      <c r="A121" s="256" t="n">
        <v>3</v>
      </c>
      <c r="B121" s="256" t="inlineStr">
        <is>
          <t>3"</t>
        </is>
      </c>
    </row>
    <row r="122">
      <c r="A122" s="256" t="n">
        <v>318</v>
      </c>
      <c r="B122" s="256" t="inlineStr">
        <is>
          <t>3-1/8"</t>
        </is>
      </c>
    </row>
    <row r="123">
      <c r="A123" s="256" t="n">
        <v>314</v>
      </c>
      <c r="B123" s="256" t="inlineStr">
        <is>
          <t>3-1/4"</t>
        </is>
      </c>
    </row>
    <row r="124">
      <c r="A124" s="256" t="n">
        <v>338</v>
      </c>
      <c r="B124" s="256" t="inlineStr">
        <is>
          <t>3-3/8"</t>
        </is>
      </c>
    </row>
    <row r="125">
      <c r="A125" s="256" t="n">
        <v>312</v>
      </c>
      <c r="B125" s="256" t="inlineStr">
        <is>
          <t>3-1/2"</t>
        </is>
      </c>
    </row>
    <row r="126">
      <c r="A126" s="256" t="n">
        <v>358</v>
      </c>
      <c r="B126" s="256" t="inlineStr">
        <is>
          <t>3-5/8"</t>
        </is>
      </c>
    </row>
    <row r="127">
      <c r="A127" s="256" t="n">
        <v>334</v>
      </c>
      <c r="B127" s="256" t="inlineStr">
        <is>
          <t>3-3/4"</t>
        </is>
      </c>
    </row>
    <row r="128">
      <c r="A128" s="256" t="n">
        <v>378</v>
      </c>
      <c r="B128" s="256" t="inlineStr">
        <is>
          <t>3-7/8"</t>
        </is>
      </c>
    </row>
    <row r="129">
      <c r="A129" s="256" t="n">
        <v>4</v>
      </c>
      <c r="B129" s="256" t="inlineStr">
        <is>
          <t>4"</t>
        </is>
      </c>
    </row>
    <row r="130">
      <c r="A130" s="256" t="n">
        <v>418</v>
      </c>
      <c r="B130" s="256" t="inlineStr">
        <is>
          <t>4-1/8"</t>
        </is>
      </c>
    </row>
    <row r="131">
      <c r="A131" s="256" t="n">
        <v>414</v>
      </c>
      <c r="B131" s="256" t="inlineStr">
        <is>
          <t>4-1/4"</t>
        </is>
      </c>
    </row>
    <row r="132">
      <c r="A132" s="256" t="n">
        <v>438</v>
      </c>
      <c r="B132" s="256" t="inlineStr">
        <is>
          <t>4-3/8"</t>
        </is>
      </c>
    </row>
    <row r="133">
      <c r="A133" s="256" t="n">
        <v>412</v>
      </c>
      <c r="B133" s="256" t="inlineStr">
        <is>
          <t>4-1/2"</t>
        </is>
      </c>
    </row>
    <row r="134">
      <c r="A134" s="256" t="n">
        <v>458</v>
      </c>
      <c r="B134" s="256" t="inlineStr">
        <is>
          <t>4-5/8"</t>
        </is>
      </c>
    </row>
    <row r="135">
      <c r="A135" s="256" t="n">
        <v>434</v>
      </c>
      <c r="B135" s="256" t="inlineStr">
        <is>
          <t>4-3/4"</t>
        </is>
      </c>
    </row>
    <row r="136">
      <c r="A136" s="256" t="n">
        <v>478</v>
      </c>
      <c r="B136" s="256" t="inlineStr">
        <is>
          <t>4-7/8"</t>
        </is>
      </c>
    </row>
    <row r="137">
      <c r="A137" s="256" t="n">
        <v>5</v>
      </c>
      <c r="B137" s="256" t="inlineStr">
        <is>
          <t>5"</t>
        </is>
      </c>
    </row>
    <row r="138">
      <c r="A138" s="256" t="n">
        <v>518</v>
      </c>
      <c r="B138" s="256" t="inlineStr">
        <is>
          <t>5-1/8"</t>
        </is>
      </c>
    </row>
    <row r="139">
      <c r="A139" s="256" t="n">
        <v>514</v>
      </c>
      <c r="B139" s="256" t="inlineStr">
        <is>
          <t>5-1/4"</t>
        </is>
      </c>
    </row>
    <row r="140">
      <c r="A140" s="256" t="n">
        <v>538</v>
      </c>
      <c r="B140" s="256" t="inlineStr">
        <is>
          <t>5-3/8"</t>
        </is>
      </c>
    </row>
    <row r="141">
      <c r="A141" s="256" t="n">
        <v>512</v>
      </c>
      <c r="B141" s="256" t="inlineStr">
        <is>
          <t>5-1/2"</t>
        </is>
      </c>
    </row>
    <row r="142">
      <c r="A142" s="256" t="n">
        <v>558</v>
      </c>
      <c r="B142" s="256" t="inlineStr">
        <is>
          <t>5-5/8"</t>
        </is>
      </c>
    </row>
    <row r="143">
      <c r="A143" s="256" t="n">
        <v>534</v>
      </c>
      <c r="B143" s="256" t="inlineStr">
        <is>
          <t>5-3/4"</t>
        </is>
      </c>
    </row>
    <row r="144">
      <c r="A144" s="256" t="n">
        <v>578</v>
      </c>
      <c r="B144" s="256" t="inlineStr">
        <is>
          <t>5-7/8"</t>
        </is>
      </c>
    </row>
    <row r="145">
      <c r="A145" s="256" t="n">
        <v>6</v>
      </c>
      <c r="B145" s="256" t="inlineStr">
        <is>
          <t>6"</t>
        </is>
      </c>
    </row>
    <row r="146">
      <c r="A146" s="256" t="n">
        <v>618</v>
      </c>
      <c r="B146" s="256" t="inlineStr">
        <is>
          <t>6-1/8"</t>
        </is>
      </c>
    </row>
    <row r="147">
      <c r="A147" s="256" t="n">
        <v>614</v>
      </c>
      <c r="B147" s="256" t="inlineStr">
        <is>
          <t>6-1/4"</t>
        </is>
      </c>
    </row>
    <row r="148">
      <c r="A148" s="256" t="n">
        <v>638</v>
      </c>
      <c r="B148" s="256" t="inlineStr">
        <is>
          <t>6-3/8"</t>
        </is>
      </c>
    </row>
    <row r="149">
      <c r="A149" s="256" t="n">
        <v>612</v>
      </c>
      <c r="B149" s="256" t="inlineStr">
        <is>
          <t>6-1/2"</t>
        </is>
      </c>
    </row>
    <row r="150">
      <c r="A150" s="256" t="n">
        <v>658</v>
      </c>
      <c r="B150" s="256" t="inlineStr">
        <is>
          <t>6-5/8"</t>
        </is>
      </c>
    </row>
    <row r="151">
      <c r="A151" s="256" t="n">
        <v>634</v>
      </c>
      <c r="B151" s="256" t="inlineStr">
        <is>
          <t>6-3/4"</t>
        </is>
      </c>
    </row>
    <row r="152">
      <c r="A152" s="256" t="n">
        <v>678</v>
      </c>
      <c r="B152" s="256" t="inlineStr">
        <is>
          <t>6-7/8"</t>
        </is>
      </c>
    </row>
    <row r="153">
      <c r="A153" s="256" t="n">
        <v>7</v>
      </c>
      <c r="B153" s="256" t="inlineStr">
        <is>
          <t>7"</t>
        </is>
      </c>
    </row>
    <row r="154">
      <c r="A154" s="256" t="n">
        <v>718</v>
      </c>
      <c r="B154" s="256" t="inlineStr">
        <is>
          <t>7-1/8"</t>
        </is>
      </c>
    </row>
    <row r="155">
      <c r="A155" s="256" t="n">
        <v>714</v>
      </c>
      <c r="B155" s="256" t="inlineStr">
        <is>
          <t>7-1/4"</t>
        </is>
      </c>
    </row>
    <row r="156">
      <c r="A156" s="256" t="n">
        <v>738</v>
      </c>
      <c r="B156" s="256" t="inlineStr">
        <is>
          <t>7-3/8"</t>
        </is>
      </c>
    </row>
    <row r="157">
      <c r="A157" s="256" t="n">
        <v>712</v>
      </c>
      <c r="B157" s="256" t="inlineStr">
        <is>
          <t>7-1/2"</t>
        </is>
      </c>
    </row>
    <row r="158">
      <c r="A158" s="256" t="n">
        <v>758</v>
      </c>
      <c r="B158" s="256" t="inlineStr">
        <is>
          <t>7-5/8"</t>
        </is>
      </c>
    </row>
    <row r="159">
      <c r="A159" s="256" t="n">
        <v>734</v>
      </c>
      <c r="B159" s="256" t="inlineStr">
        <is>
          <t>7-3/4"</t>
        </is>
      </c>
    </row>
    <row r="160">
      <c r="A160" s="256" t="n">
        <v>778</v>
      </c>
      <c r="B160" s="256" t="inlineStr">
        <is>
          <t>7-7/8"</t>
        </is>
      </c>
    </row>
    <row r="161">
      <c r="A161" s="256" t="n">
        <v>8</v>
      </c>
      <c r="B161" s="256" t="inlineStr">
        <is>
          <t>8"</t>
        </is>
      </c>
    </row>
    <row r="162">
      <c r="A162" s="256" t="n">
        <v>818</v>
      </c>
      <c r="B162" s="256" t="inlineStr">
        <is>
          <t>8-1/8"</t>
        </is>
      </c>
    </row>
    <row r="163">
      <c r="A163" s="256" t="n">
        <v>814</v>
      </c>
      <c r="B163" s="256" t="inlineStr">
        <is>
          <t>8-1/4"</t>
        </is>
      </c>
    </row>
    <row r="164">
      <c r="A164" s="256" t="n">
        <v>838</v>
      </c>
      <c r="B164" s="256" t="inlineStr">
        <is>
          <t>8-3/8"</t>
        </is>
      </c>
    </row>
    <row r="165">
      <c r="A165" s="256" t="n">
        <v>812</v>
      </c>
      <c r="B165" s="256" t="inlineStr">
        <is>
          <t>8-1/2"</t>
        </is>
      </c>
    </row>
    <row r="166">
      <c r="A166" s="256" t="n">
        <v>858</v>
      </c>
      <c r="B166" s="256" t="inlineStr">
        <is>
          <t>8-5/8"</t>
        </is>
      </c>
    </row>
    <row r="167">
      <c r="A167" s="256" t="n">
        <v>834</v>
      </c>
      <c r="B167" s="256" t="inlineStr">
        <is>
          <t>8-3/4"</t>
        </is>
      </c>
    </row>
    <row r="168">
      <c r="A168" s="256" t="n">
        <v>878</v>
      </c>
      <c r="B168" s="256" t="inlineStr">
        <is>
          <t>8-7/8"</t>
        </is>
      </c>
    </row>
    <row r="169">
      <c r="A169" s="256" t="n">
        <v>9</v>
      </c>
      <c r="B169" s="256" t="inlineStr">
        <is>
          <t>9"</t>
        </is>
      </c>
    </row>
    <row r="170">
      <c r="A170" s="256" t="n">
        <v>918</v>
      </c>
      <c r="B170" s="256" t="inlineStr">
        <is>
          <t>9-1/8"</t>
        </is>
      </c>
    </row>
    <row r="171">
      <c r="A171" s="256" t="n">
        <v>914</v>
      </c>
      <c r="B171" s="256" t="inlineStr">
        <is>
          <t>9-1/4"</t>
        </is>
      </c>
    </row>
    <row r="172">
      <c r="A172" s="256" t="n">
        <v>938</v>
      </c>
      <c r="B172" s="256" t="inlineStr">
        <is>
          <t>9-3/8"</t>
        </is>
      </c>
    </row>
    <row r="173">
      <c r="A173" s="256" t="n">
        <v>912</v>
      </c>
      <c r="B173" s="256" t="inlineStr">
        <is>
          <t>9-1/2"</t>
        </is>
      </c>
    </row>
    <row r="174">
      <c r="A174" s="256" t="n">
        <v>958</v>
      </c>
      <c r="B174" s="256" t="inlineStr">
        <is>
          <t>9-5/8"</t>
        </is>
      </c>
    </row>
    <row r="175">
      <c r="A175" s="256" t="n">
        <v>934</v>
      </c>
      <c r="B175" s="256" t="inlineStr">
        <is>
          <t>9-3/4"</t>
        </is>
      </c>
    </row>
    <row r="176">
      <c r="A176" s="256" t="n">
        <v>978</v>
      </c>
      <c r="B176" s="256" t="inlineStr">
        <is>
          <t>9-7/8"</t>
        </is>
      </c>
    </row>
    <row r="177">
      <c r="A177" s="256" t="n">
        <v>10</v>
      </c>
      <c r="B177" s="256" t="inlineStr">
        <is>
          <t>10"</t>
        </is>
      </c>
    </row>
    <row r="178">
      <c r="A178" s="256" t="n">
        <v>1018</v>
      </c>
      <c r="B178" s="256" t="inlineStr">
        <is>
          <t>10-1/8"</t>
        </is>
      </c>
    </row>
    <row r="179">
      <c r="A179" s="256" t="n">
        <v>1014</v>
      </c>
      <c r="B179" s="256" t="inlineStr">
        <is>
          <t>10-1/4"</t>
        </is>
      </c>
    </row>
    <row r="180">
      <c r="A180" s="256" t="n">
        <v>1038</v>
      </c>
      <c r="B180" s="256" t="inlineStr">
        <is>
          <t>10-3/8"</t>
        </is>
      </c>
    </row>
    <row r="181">
      <c r="A181" s="256" t="n">
        <v>1012</v>
      </c>
      <c r="B181" s="256" t="inlineStr">
        <is>
          <t>10-1/2"</t>
        </is>
      </c>
    </row>
    <row r="182">
      <c r="A182" s="256" t="n">
        <v>1058</v>
      </c>
      <c r="B182" s="256" t="inlineStr">
        <is>
          <t>10-5/8"</t>
        </is>
      </c>
    </row>
    <row r="183">
      <c r="A183" s="256" t="n">
        <v>1034</v>
      </c>
      <c r="B183" s="256" t="inlineStr">
        <is>
          <t>10-3/4"</t>
        </is>
      </c>
    </row>
    <row r="184">
      <c r="A184" s="256" t="n">
        <v>1078</v>
      </c>
      <c r="B184" s="256" t="inlineStr">
        <is>
          <t>10-7/8"</t>
        </is>
      </c>
    </row>
    <row r="185">
      <c r="A185" s="256" t="n">
        <v>11</v>
      </c>
      <c r="B185" s="256" t="inlineStr">
        <is>
          <t>11"</t>
        </is>
      </c>
    </row>
    <row r="186">
      <c r="A186" s="256" t="n">
        <v>1118</v>
      </c>
      <c r="B186" s="256" t="inlineStr">
        <is>
          <t>11-1/8"</t>
        </is>
      </c>
    </row>
    <row r="187">
      <c r="A187" s="256" t="n">
        <v>1114</v>
      </c>
      <c r="B187" s="256" t="inlineStr">
        <is>
          <t>11-1/4"</t>
        </is>
      </c>
    </row>
    <row r="188">
      <c r="A188" s="256" t="n">
        <v>1138</v>
      </c>
      <c r="B188" s="256" t="inlineStr">
        <is>
          <t>11-3/8"</t>
        </is>
      </c>
    </row>
    <row r="189">
      <c r="A189" s="256" t="n">
        <v>1112</v>
      </c>
      <c r="B189" s="256" t="inlineStr">
        <is>
          <t>11-1/2"</t>
        </is>
      </c>
    </row>
    <row r="190">
      <c r="A190" s="256" t="n">
        <v>1158</v>
      </c>
      <c r="B190" s="256" t="inlineStr">
        <is>
          <t>11-5/8"</t>
        </is>
      </c>
    </row>
    <row r="191">
      <c r="A191" s="256" t="n">
        <v>1134</v>
      </c>
      <c r="B191" s="256" t="inlineStr">
        <is>
          <t>11-3/4"</t>
        </is>
      </c>
    </row>
    <row r="192">
      <c r="A192" s="256" t="n">
        <v>1178</v>
      </c>
      <c r="B192" s="256" t="inlineStr">
        <is>
          <t>11-7/8"</t>
        </is>
      </c>
    </row>
    <row r="193">
      <c r="A193" s="256" t="n">
        <v>12</v>
      </c>
      <c r="B193" s="256" t="inlineStr">
        <is>
          <t>12"</t>
        </is>
      </c>
    </row>
    <row r="194">
      <c r="A194" s="256" t="inlineStr">
        <is>
          <t>BLK</t>
        </is>
      </c>
      <c r="B194" s="256" t="inlineStr">
        <is>
          <t>BLANK.HNG</t>
        </is>
      </c>
    </row>
    <row r="195">
      <c r="A195" s="256" t="inlineStr">
        <is>
          <t>BA</t>
        </is>
      </c>
      <c r="B195" s="256" t="inlineStr">
        <is>
          <t>BOTH.ACT</t>
        </is>
      </c>
    </row>
    <row r="196">
      <c r="A196" s="256" t="inlineStr">
        <is>
          <t>G18G16</t>
        </is>
      </c>
      <c r="B196" s="256" t="inlineStr">
        <is>
          <t>PUSH/PULL+DB112</t>
        </is>
      </c>
    </row>
    <row r="197">
      <c r="A197" s="256" t="inlineStr">
        <is>
          <t>G18E3</t>
        </is>
      </c>
      <c r="B197" s="256" t="inlineStr">
        <is>
          <t>PUSH/PULL+DB312</t>
        </is>
      </c>
    </row>
    <row r="198">
      <c r="A198" s="256" t="inlineStr">
        <is>
          <t>G18E4</t>
        </is>
      </c>
      <c r="B198" s="256" t="inlineStr">
        <is>
          <t>PUSH/PULL+DB234</t>
        </is>
      </c>
    </row>
    <row r="199">
      <c r="A199" s="256" t="inlineStr">
        <is>
          <t>WEWA-M</t>
        </is>
      </c>
      <c r="B199" s="256" t="inlineStr">
        <is>
          <t>P/D+DYNABOLTS</t>
        </is>
      </c>
    </row>
    <row r="200">
      <c r="A200" s="256" t="inlineStr">
        <is>
          <t>WEWA-W</t>
        </is>
      </c>
      <c r="B200" s="256" t="inlineStr">
        <is>
          <t>P/D+WOODSCREWS</t>
        </is>
      </c>
    </row>
    <row r="201">
      <c r="A201" s="256" t="inlineStr">
        <is>
          <t>EWA</t>
        </is>
      </c>
      <c r="B201" s="256" t="inlineStr">
        <is>
          <t>P/D-ONLY</t>
        </is>
      </c>
    </row>
  </sheetData>
  <pageMargins left="0.75" right="0.75" top="1" bottom="1" header="0.5" footer="0.5"/>
</worksheet>
</file>

<file path=xl/worksheets/sheet16.xml><?xml version="1.0" encoding="utf-8"?>
<worksheet xmlns="http://schemas.openxmlformats.org/spreadsheetml/2006/main">
  <sheetPr>
    <tabColor rgb="009AA5B1"/>
    <outlinePr summaryBelow="1" summaryRight="1"/>
    <pageSetUpPr/>
  </sheetPr>
  <dimension ref="A1:AH403"/>
  <sheetViews>
    <sheetView showGridLines="0" workbookViewId="0">
      <selection activeCell="A1" sqref="A1"/>
    </sheetView>
  </sheetViews>
  <sheetFormatPr baseColWidth="8" defaultRowHeight="15"/>
  <sheetData>
    <row r="1">
      <c r="A1" t="inlineStr">
        <is>
          <t>r</t>
        </is>
      </c>
      <c r="B1">
        <f>IFERROR(MATCH(Elevation!$C$5,tk_MARK,0),0)</f>
        <v/>
      </c>
      <c r="F1" t="inlineStr">
        <is>
          <t>r</t>
        </is>
      </c>
      <c r="G1">
        <f>IFERROR(MATCH((Elevations!$C$5-1)*6+1,tk_ETYPE,0),0)</f>
        <v/>
      </c>
      <c r="K1" t="inlineStr">
        <is>
          <t>r</t>
        </is>
      </c>
      <c r="L1">
        <f>IFERROR(MATCH((Elevations!$C$5-1)*6+2,tk_ETYPE,0),0)</f>
        <v/>
      </c>
      <c r="P1" t="inlineStr">
        <is>
          <t>r</t>
        </is>
      </c>
      <c r="Q1">
        <f>IFERROR(MATCH((Elevations!$C$5-1)*6+3,tk_ETYPE,0),0)</f>
        <v/>
      </c>
      <c r="U1" t="inlineStr">
        <is>
          <t>r</t>
        </is>
      </c>
      <c r="V1">
        <f>IFERROR(MATCH((Elevations!$C$5-1)*6+4,tk_ETYPE,0),0)</f>
        <v/>
      </c>
      <c r="Z1" t="inlineStr">
        <is>
          <t>r</t>
        </is>
      </c>
      <c r="AA1">
        <f>IFERROR(MATCH((Elevations!$C$5-1)*6+5,tk_ETYPE,0),0)</f>
        <v/>
      </c>
      <c r="AE1" t="inlineStr">
        <is>
          <t>r</t>
        </is>
      </c>
      <c r="AF1">
        <f>IFERROR(MATCH((Elevations!$C$5-1)*6+6,tk_ETYPE,0),0)</f>
        <v/>
      </c>
    </row>
    <row r="2">
      <c r="A2" t="inlineStr">
        <is>
          <t>MARK</t>
        </is>
      </c>
      <c r="B2">
        <f>IF(ElevCalc!$B$1=0,"",INDEX(tk_MARK,ElevCalc!$B$1)&amp;"")</f>
        <v/>
      </c>
      <c r="F2" t="inlineStr">
        <is>
          <t>MARK</t>
        </is>
      </c>
      <c r="G2">
        <f>IF(ElevCalc!$G$1=0,"",INDEX(tk_MARK,ElevCalc!$G$1)&amp;"")</f>
        <v/>
      </c>
      <c r="K2" t="inlineStr">
        <is>
          <t>MARK</t>
        </is>
      </c>
      <c r="L2">
        <f>IF(ElevCalc!$L$1=0,"",INDEX(tk_MARK,ElevCalc!$L$1)&amp;"")</f>
        <v/>
      </c>
      <c r="P2" t="inlineStr">
        <is>
          <t>MARK</t>
        </is>
      </c>
      <c r="Q2">
        <f>IF(ElevCalc!$Q$1=0,"",INDEX(tk_MARK,ElevCalc!$Q$1)&amp;"")</f>
        <v/>
      </c>
      <c r="U2" t="inlineStr">
        <is>
          <t>MARK</t>
        </is>
      </c>
      <c r="V2">
        <f>IF(ElevCalc!$V$1=0,"",INDEX(tk_MARK,ElevCalc!$V$1)&amp;"")</f>
        <v/>
      </c>
      <c r="Z2" t="inlineStr">
        <is>
          <t>MARK</t>
        </is>
      </c>
      <c r="AA2">
        <f>IF(ElevCalc!$AA$1=0,"",INDEX(tk_MARK,ElevCalc!$AA$1)&amp;"")</f>
        <v/>
      </c>
      <c r="AE2" t="inlineStr">
        <is>
          <t>MARK</t>
        </is>
      </c>
      <c r="AF2">
        <f>IF(ElevCalc!$AF$1=0,"",INDEX(tk_MARK,ElevCalc!$AF$1)&amp;"")</f>
        <v/>
      </c>
    </row>
    <row r="3">
      <c r="A3" t="inlineStr">
        <is>
          <t>SCOPE</t>
        </is>
      </c>
      <c r="B3">
        <f>IF(ElevCalc!$B$1=0,"",INDEX(tk_SCOPE,ElevCalc!$B$1)&amp;"")</f>
        <v/>
      </c>
      <c r="F3" t="inlineStr">
        <is>
          <t>SCOPE</t>
        </is>
      </c>
      <c r="G3">
        <f>IF(ElevCalc!$G$1=0,"",INDEX(tk_SCOPE,ElevCalc!$G$1)&amp;"")</f>
        <v/>
      </c>
      <c r="K3" t="inlineStr">
        <is>
          <t>SCOPE</t>
        </is>
      </c>
      <c r="L3">
        <f>IF(ElevCalc!$L$1=0,"",INDEX(tk_SCOPE,ElevCalc!$L$1)&amp;"")</f>
        <v/>
      </c>
      <c r="P3" t="inlineStr">
        <is>
          <t>SCOPE</t>
        </is>
      </c>
      <c r="Q3">
        <f>IF(ElevCalc!$Q$1=0,"",INDEX(tk_SCOPE,ElevCalc!$Q$1)&amp;"")</f>
        <v/>
      </c>
      <c r="U3" t="inlineStr">
        <is>
          <t>SCOPE</t>
        </is>
      </c>
      <c r="V3">
        <f>IF(ElevCalc!$V$1=0,"",INDEX(tk_SCOPE,ElevCalc!$V$1)&amp;"")</f>
        <v/>
      </c>
      <c r="Z3" t="inlineStr">
        <is>
          <t>SCOPE</t>
        </is>
      </c>
      <c r="AA3">
        <f>IF(ElevCalc!$AA$1=0,"",INDEX(tk_SCOPE,ElevCalc!$AA$1)&amp;"")</f>
        <v/>
      </c>
      <c r="AE3" t="inlineStr">
        <is>
          <t>SCOPE</t>
        </is>
      </c>
      <c r="AF3">
        <f>IF(ElevCalc!$AF$1=0,"",INDEX(tk_SCOPE,ElevCalc!$AF$1)&amp;"")</f>
        <v/>
      </c>
    </row>
    <row r="4">
      <c r="A4" t="inlineStr">
        <is>
          <t>FDESC</t>
        </is>
      </c>
      <c r="B4">
        <f>IF(ElevCalc!$B$1=0,"",INDEX(tk_FDESC,ElevCalc!$B$1)&amp;"")</f>
        <v/>
      </c>
      <c r="F4" t="inlineStr">
        <is>
          <t>FDESC</t>
        </is>
      </c>
      <c r="G4">
        <f>IF(ElevCalc!$G$1=0,"",INDEX(tk_FDESC,ElevCalc!$G$1)&amp;"")</f>
        <v/>
      </c>
      <c r="K4" t="inlineStr">
        <is>
          <t>FDESC</t>
        </is>
      </c>
      <c r="L4">
        <f>IF(ElevCalc!$L$1=0,"",INDEX(tk_FDESC,ElevCalc!$L$1)&amp;"")</f>
        <v/>
      </c>
      <c r="P4" t="inlineStr">
        <is>
          <t>FDESC</t>
        </is>
      </c>
      <c r="Q4">
        <f>IF(ElevCalc!$Q$1=0,"",INDEX(tk_FDESC,ElevCalc!$Q$1)&amp;"")</f>
        <v/>
      </c>
      <c r="U4" t="inlineStr">
        <is>
          <t>FDESC</t>
        </is>
      </c>
      <c r="V4">
        <f>IF(ElevCalc!$V$1=0,"",INDEX(tk_FDESC,ElevCalc!$V$1)&amp;"")</f>
        <v/>
      </c>
      <c r="Z4" t="inlineStr">
        <is>
          <t>FDESC</t>
        </is>
      </c>
      <c r="AA4">
        <f>IF(ElevCalc!$AA$1=0,"",INDEX(tk_FDESC,ElevCalc!$AA$1)&amp;"")</f>
        <v/>
      </c>
      <c r="AE4" t="inlineStr">
        <is>
          <t>FDESC</t>
        </is>
      </c>
      <c r="AF4">
        <f>IF(ElevCalc!$AF$1=0,"",INDEX(tk_FDESC,ElevCalc!$AF$1)&amp;"")</f>
        <v/>
      </c>
    </row>
    <row r="5">
      <c r="A5" t="inlineStr">
        <is>
          <t>PAIR</t>
        </is>
      </c>
      <c r="B5">
        <f>IF(ElevCalc!$B$1=0,"",INDEX(tk_PAIR,ElevCalc!$B$1)&amp;"")</f>
        <v/>
      </c>
      <c r="F5" t="inlineStr">
        <is>
          <t>PAIR</t>
        </is>
      </c>
      <c r="G5">
        <f>IF(ElevCalc!$G$1=0,"",INDEX(tk_PAIR,ElevCalc!$G$1)&amp;"")</f>
        <v/>
      </c>
      <c r="K5" t="inlineStr">
        <is>
          <t>PAIR</t>
        </is>
      </c>
      <c r="L5">
        <f>IF(ElevCalc!$L$1=0,"",INDEX(tk_PAIR,ElevCalc!$L$1)&amp;"")</f>
        <v/>
      </c>
      <c r="P5" t="inlineStr">
        <is>
          <t>PAIR</t>
        </is>
      </c>
      <c r="Q5">
        <f>IF(ElevCalc!$Q$1=0,"",INDEX(tk_PAIR,ElevCalc!$Q$1)&amp;"")</f>
        <v/>
      </c>
      <c r="U5" t="inlineStr">
        <is>
          <t>PAIR</t>
        </is>
      </c>
      <c r="V5">
        <f>IF(ElevCalc!$V$1=0,"",INDEX(tk_PAIR,ElevCalc!$V$1)&amp;"")</f>
        <v/>
      </c>
      <c r="Z5" t="inlineStr">
        <is>
          <t>PAIR</t>
        </is>
      </c>
      <c r="AA5">
        <f>IF(ElevCalc!$AA$1=0,"",INDEX(tk_PAIR,ElevCalc!$AA$1)&amp;"")</f>
        <v/>
      </c>
      <c r="AE5" t="inlineStr">
        <is>
          <t>PAIR</t>
        </is>
      </c>
      <c r="AF5">
        <f>IF(ElevCalc!$AF$1=0,"",INDEX(tk_PAIR,ElevCalc!$AF$1)&amp;"")</f>
        <v/>
      </c>
    </row>
    <row r="6">
      <c r="A6" t="inlineStr">
        <is>
          <t>HAND</t>
        </is>
      </c>
      <c r="B6">
        <f>IF(ElevCalc!$B$1=0,"",INDEX(tk_HAND,ElevCalc!$B$1)&amp;"")</f>
        <v/>
      </c>
      <c r="F6" t="inlineStr">
        <is>
          <t>HAND</t>
        </is>
      </c>
      <c r="G6">
        <f>IF(ElevCalc!$G$1=0,"",INDEX(tk_HAND,ElevCalc!$G$1)&amp;"")</f>
        <v/>
      </c>
      <c r="K6" t="inlineStr">
        <is>
          <t>HAND</t>
        </is>
      </c>
      <c r="L6">
        <f>IF(ElevCalc!$L$1=0,"",INDEX(tk_HAND,ElevCalc!$L$1)&amp;"")</f>
        <v/>
      </c>
      <c r="P6" t="inlineStr">
        <is>
          <t>HAND</t>
        </is>
      </c>
      <c r="Q6">
        <f>IF(ElevCalc!$Q$1=0,"",INDEX(tk_HAND,ElevCalc!$Q$1)&amp;"")</f>
        <v/>
      </c>
      <c r="U6" t="inlineStr">
        <is>
          <t>HAND</t>
        </is>
      </c>
      <c r="V6">
        <f>IF(ElevCalc!$V$1=0,"",INDEX(tk_HAND,ElevCalc!$V$1)&amp;"")</f>
        <v/>
      </c>
      <c r="Z6" t="inlineStr">
        <is>
          <t>HAND</t>
        </is>
      </c>
      <c r="AA6">
        <f>IF(ElevCalc!$AA$1=0,"",INDEX(tk_HAND,ElevCalc!$AA$1)&amp;"")</f>
        <v/>
      </c>
      <c r="AE6" t="inlineStr">
        <is>
          <t>HAND</t>
        </is>
      </c>
      <c r="AF6">
        <f>IF(ElevCalc!$AF$1=0,"",INDEX(tk_HAND,ElevCalc!$AF$1)&amp;"")</f>
        <v/>
      </c>
    </row>
    <row r="7">
      <c r="A7" t="inlineStr">
        <is>
          <t>DHAND</t>
        </is>
      </c>
      <c r="B7">
        <f>IF(ElevCalc!$B$1=0,"",INDEX(tk_DHAND,ElevCalc!$B$1)&amp;"")</f>
        <v/>
      </c>
      <c r="F7" t="inlineStr">
        <is>
          <t>DHAND</t>
        </is>
      </c>
      <c r="G7">
        <f>IF(ElevCalc!$G$1=0,"",INDEX(tk_DHAND,ElevCalc!$G$1)&amp;"")</f>
        <v/>
      </c>
      <c r="K7" t="inlineStr">
        <is>
          <t>DHAND</t>
        </is>
      </c>
      <c r="L7">
        <f>IF(ElevCalc!$L$1=0,"",INDEX(tk_DHAND,ElevCalc!$L$1)&amp;"")</f>
        <v/>
      </c>
      <c r="P7" t="inlineStr">
        <is>
          <t>DHAND</t>
        </is>
      </c>
      <c r="Q7">
        <f>IF(ElevCalc!$Q$1=0,"",INDEX(tk_DHAND,ElevCalc!$Q$1)&amp;"")</f>
        <v/>
      </c>
      <c r="U7" t="inlineStr">
        <is>
          <t>DHAND</t>
        </is>
      </c>
      <c r="V7">
        <f>IF(ElevCalc!$V$1=0,"",INDEX(tk_DHAND,ElevCalc!$V$1)&amp;"")</f>
        <v/>
      </c>
      <c r="Z7" t="inlineStr">
        <is>
          <t>DHAND</t>
        </is>
      </c>
      <c r="AA7">
        <f>IF(ElevCalc!$AA$1=0,"",INDEX(tk_DHAND,ElevCalc!$AA$1)&amp;"")</f>
        <v/>
      </c>
      <c r="AE7" t="inlineStr">
        <is>
          <t>DHAND</t>
        </is>
      </c>
      <c r="AF7">
        <f>IF(ElevCalc!$AF$1=0,"",INDEX(tk_DHAND,ElevCalc!$AF$1)&amp;"")</f>
        <v/>
      </c>
    </row>
    <row r="8">
      <c r="A8" t="inlineStr">
        <is>
          <t>HEAD4</t>
        </is>
      </c>
      <c r="B8">
        <f>IF(ElevCalc!$B$1=0,"",INDEX(tk_HEAD4,ElevCalc!$B$1)&amp;"")</f>
        <v/>
      </c>
      <c r="F8" t="inlineStr">
        <is>
          <t>HEAD4</t>
        </is>
      </c>
      <c r="G8">
        <f>IF(ElevCalc!$G$1=0,"",INDEX(tk_HEAD4,ElevCalc!$G$1)&amp;"")</f>
        <v/>
      </c>
      <c r="K8" t="inlineStr">
        <is>
          <t>HEAD4</t>
        </is>
      </c>
      <c r="L8">
        <f>IF(ElevCalc!$L$1=0,"",INDEX(tk_HEAD4,ElevCalc!$L$1)&amp;"")</f>
        <v/>
      </c>
      <c r="P8" t="inlineStr">
        <is>
          <t>HEAD4</t>
        </is>
      </c>
      <c r="Q8">
        <f>IF(ElevCalc!$Q$1=0,"",INDEX(tk_HEAD4,ElevCalc!$Q$1)&amp;"")</f>
        <v/>
      </c>
      <c r="U8" t="inlineStr">
        <is>
          <t>HEAD4</t>
        </is>
      </c>
      <c r="V8">
        <f>IF(ElevCalc!$V$1=0,"",INDEX(tk_HEAD4,ElevCalc!$V$1)&amp;"")</f>
        <v/>
      </c>
      <c r="Z8" t="inlineStr">
        <is>
          <t>HEAD4</t>
        </is>
      </c>
      <c r="AA8">
        <f>IF(ElevCalc!$AA$1=0,"",INDEX(tk_HEAD4,ElevCalc!$AA$1)&amp;"")</f>
        <v/>
      </c>
      <c r="AE8" t="inlineStr">
        <is>
          <t>HEAD4</t>
        </is>
      </c>
      <c r="AF8">
        <f>IF(ElevCalc!$AF$1=0,"",INDEX(tk_HEAD4,ElevCalc!$AF$1)&amp;"")</f>
        <v/>
      </c>
    </row>
    <row r="9">
      <c r="A9" t="inlineStr">
        <is>
          <t>FACE</t>
        </is>
      </c>
      <c r="B9">
        <f>IF(ElevCalc!$B$1=0,"",INDEX(tk_FACE,ElevCalc!$B$1)&amp;"")</f>
        <v/>
      </c>
      <c r="F9" t="inlineStr">
        <is>
          <t>FACE</t>
        </is>
      </c>
      <c r="G9">
        <f>IF(ElevCalc!$G$1=0,"",INDEX(tk_FACE,ElevCalc!$G$1)&amp;"")</f>
        <v/>
      </c>
      <c r="K9" t="inlineStr">
        <is>
          <t>FACE</t>
        </is>
      </c>
      <c r="L9">
        <f>IF(ElevCalc!$L$1=0,"",INDEX(tk_FACE,ElevCalc!$L$1)&amp;"")</f>
        <v/>
      </c>
      <c r="P9" t="inlineStr">
        <is>
          <t>FACE</t>
        </is>
      </c>
      <c r="Q9">
        <f>IF(ElevCalc!$Q$1=0,"",INDEX(tk_FACE,ElevCalc!$Q$1)&amp;"")</f>
        <v/>
      </c>
      <c r="U9" t="inlineStr">
        <is>
          <t>FACE</t>
        </is>
      </c>
      <c r="V9">
        <f>IF(ElevCalc!$V$1=0,"",INDEX(tk_FACE,ElevCalc!$V$1)&amp;"")</f>
        <v/>
      </c>
      <c r="Z9" t="inlineStr">
        <is>
          <t>FACE</t>
        </is>
      </c>
      <c r="AA9">
        <f>IF(ElevCalc!$AA$1=0,"",INDEX(tk_FACE,ElevCalc!$AA$1)&amp;"")</f>
        <v/>
      </c>
      <c r="AE9" t="inlineStr">
        <is>
          <t>FACE</t>
        </is>
      </c>
      <c r="AF9">
        <f>IF(ElevCalc!$AF$1=0,"",INDEX(tk_FACE,ElevCalc!$AF$1)&amp;"")</f>
        <v/>
      </c>
    </row>
    <row r="10">
      <c r="A10" t="inlineStr">
        <is>
          <t>FHINGE</t>
        </is>
      </c>
      <c r="B10">
        <f>IF(ElevCalc!$B$1=0,"",INDEX(tk_FHINGE,ElevCalc!$B$1)&amp;"")</f>
        <v/>
      </c>
      <c r="F10" t="inlineStr">
        <is>
          <t>FHINGE</t>
        </is>
      </c>
      <c r="G10">
        <f>IF(ElevCalc!$G$1=0,"",INDEX(tk_FHINGE,ElevCalc!$G$1)&amp;"")</f>
        <v/>
      </c>
      <c r="K10" t="inlineStr">
        <is>
          <t>FHINGE</t>
        </is>
      </c>
      <c r="L10">
        <f>IF(ElevCalc!$L$1=0,"",INDEX(tk_FHINGE,ElevCalc!$L$1)&amp;"")</f>
        <v/>
      </c>
      <c r="P10" t="inlineStr">
        <is>
          <t>FHINGE</t>
        </is>
      </c>
      <c r="Q10">
        <f>IF(ElevCalc!$Q$1=0,"",INDEX(tk_FHINGE,ElevCalc!$Q$1)&amp;"")</f>
        <v/>
      </c>
      <c r="U10" t="inlineStr">
        <is>
          <t>FHINGE</t>
        </is>
      </c>
      <c r="V10">
        <f>IF(ElevCalc!$V$1=0,"",INDEX(tk_FHINGE,ElevCalc!$V$1)&amp;"")</f>
        <v/>
      </c>
      <c r="Z10" t="inlineStr">
        <is>
          <t>FHINGE</t>
        </is>
      </c>
      <c r="AA10">
        <f>IF(ElevCalc!$AA$1=0,"",INDEX(tk_FHINGE,ElevCalc!$AA$1)&amp;"")</f>
        <v/>
      </c>
      <c r="AE10" t="inlineStr">
        <is>
          <t>FHINGE</t>
        </is>
      </c>
      <c r="AF10">
        <f>IF(ElevCalc!$AF$1=0,"",INDEX(tk_FHINGE,ElevCalc!$AF$1)&amp;"")</f>
        <v/>
      </c>
    </row>
    <row r="11">
      <c r="A11" t="inlineStr">
        <is>
          <t>DHINGE</t>
        </is>
      </c>
      <c r="B11">
        <f>IF(ElevCalc!$B$1=0,"",INDEX(tk_DHINGE,ElevCalc!$B$1)&amp;"")</f>
        <v/>
      </c>
      <c r="F11" t="inlineStr">
        <is>
          <t>DHINGE</t>
        </is>
      </c>
      <c r="G11">
        <f>IF(ElevCalc!$G$1=0,"",INDEX(tk_DHINGE,ElevCalc!$G$1)&amp;"")</f>
        <v/>
      </c>
      <c r="K11" t="inlineStr">
        <is>
          <t>DHINGE</t>
        </is>
      </c>
      <c r="L11">
        <f>IF(ElevCalc!$L$1=0,"",INDEX(tk_DHINGE,ElevCalc!$L$1)&amp;"")</f>
        <v/>
      </c>
      <c r="P11" t="inlineStr">
        <is>
          <t>DHINGE</t>
        </is>
      </c>
      <c r="Q11">
        <f>IF(ElevCalc!$Q$1=0,"",INDEX(tk_DHINGE,ElevCalc!$Q$1)&amp;"")</f>
        <v/>
      </c>
      <c r="U11" t="inlineStr">
        <is>
          <t>DHINGE</t>
        </is>
      </c>
      <c r="V11">
        <f>IF(ElevCalc!$V$1=0,"",INDEX(tk_DHINGE,ElevCalc!$V$1)&amp;"")</f>
        <v/>
      </c>
      <c r="Z11" t="inlineStr">
        <is>
          <t>DHINGE</t>
        </is>
      </c>
      <c r="AA11">
        <f>IF(ElevCalc!$AA$1=0,"",INDEX(tk_DHINGE,ElevCalc!$AA$1)&amp;"")</f>
        <v/>
      </c>
      <c r="AE11" t="inlineStr">
        <is>
          <t>DHINGE</t>
        </is>
      </c>
      <c r="AF11">
        <f>IF(ElevCalc!$AF$1=0,"",INDEX(tk_DHINGE,ElevCalc!$AF$1)&amp;"")</f>
        <v/>
      </c>
    </row>
    <row r="12">
      <c r="A12" t="inlineStr">
        <is>
          <t>LEAVES</t>
        </is>
      </c>
      <c r="B12">
        <f>IF(ElevCalc!$B$1=0,"",INDEX(tk_LEAVES,ElevCalc!$B$1))</f>
        <v/>
      </c>
      <c r="F12" t="inlineStr">
        <is>
          <t>LEAVES</t>
        </is>
      </c>
      <c r="G12">
        <f>IF(ElevCalc!$G$1=0,"",INDEX(tk_LEAVES,ElevCalc!$G$1))</f>
        <v/>
      </c>
      <c r="K12" t="inlineStr">
        <is>
          <t>LEAVES</t>
        </is>
      </c>
      <c r="L12">
        <f>IF(ElevCalc!$L$1=0,"",INDEX(tk_LEAVES,ElevCalc!$L$1))</f>
        <v/>
      </c>
      <c r="P12" t="inlineStr">
        <is>
          <t>LEAVES</t>
        </is>
      </c>
      <c r="Q12">
        <f>IF(ElevCalc!$Q$1=0,"",INDEX(tk_LEAVES,ElevCalc!$Q$1))</f>
        <v/>
      </c>
      <c r="U12" t="inlineStr">
        <is>
          <t>LEAVES</t>
        </is>
      </c>
      <c r="V12">
        <f>IF(ElevCalc!$V$1=0,"",INDEX(tk_LEAVES,ElevCalc!$V$1))</f>
        <v/>
      </c>
      <c r="Z12" t="inlineStr">
        <is>
          <t>LEAVES</t>
        </is>
      </c>
      <c r="AA12">
        <f>IF(ElevCalc!$AA$1=0,"",INDEX(tk_LEAVES,ElevCalc!$AA$1))</f>
        <v/>
      </c>
      <c r="AE12" t="inlineStr">
        <is>
          <t>LEAVES</t>
        </is>
      </c>
      <c r="AF12">
        <f>IF(ElevCalc!$AF$1=0,"",INDEX(tk_LEAVES,ElevCalc!$AF$1))</f>
        <v/>
      </c>
    </row>
    <row r="13">
      <c r="A13" t="inlineStr">
        <is>
          <t>LEAFW</t>
        </is>
      </c>
      <c r="B13">
        <f>IF(ElevCalc!$B$1=0,"",INDEX(tk_LEAFW,ElevCalc!$B$1))</f>
        <v/>
      </c>
      <c r="F13" t="inlineStr">
        <is>
          <t>LEAFW</t>
        </is>
      </c>
      <c r="G13">
        <f>IF(ElevCalc!$G$1=0,"",INDEX(tk_LEAFW,ElevCalc!$G$1))</f>
        <v/>
      </c>
      <c r="K13" t="inlineStr">
        <is>
          <t>LEAFW</t>
        </is>
      </c>
      <c r="L13">
        <f>IF(ElevCalc!$L$1=0,"",INDEX(tk_LEAFW,ElevCalc!$L$1))</f>
        <v/>
      </c>
      <c r="P13" t="inlineStr">
        <is>
          <t>LEAFW</t>
        </is>
      </c>
      <c r="Q13">
        <f>IF(ElevCalc!$Q$1=0,"",INDEX(tk_LEAFW,ElevCalc!$Q$1))</f>
        <v/>
      </c>
      <c r="U13" t="inlineStr">
        <is>
          <t>LEAFW</t>
        </is>
      </c>
      <c r="V13">
        <f>IF(ElevCalc!$V$1=0,"",INDEX(tk_LEAFW,ElevCalc!$V$1))</f>
        <v/>
      </c>
      <c r="Z13" t="inlineStr">
        <is>
          <t>LEAFW</t>
        </is>
      </c>
      <c r="AA13">
        <f>IF(ElevCalc!$AA$1=0,"",INDEX(tk_LEAFW,ElevCalc!$AA$1))</f>
        <v/>
      </c>
      <c r="AE13" t="inlineStr">
        <is>
          <t>LEAFW</t>
        </is>
      </c>
      <c r="AF13">
        <f>IF(ElevCalc!$AF$1=0,"",INDEX(tk_LEAFW,ElevCalc!$AF$1))</f>
        <v/>
      </c>
    </row>
    <row r="14">
      <c r="A14" t="inlineStr">
        <is>
          <t>LEAFH</t>
        </is>
      </c>
      <c r="B14">
        <f>IF(ElevCalc!$B$1=0,"",INDEX(tk_LEAFH,ElevCalc!$B$1))</f>
        <v/>
      </c>
      <c r="F14" t="inlineStr">
        <is>
          <t>LEAFH</t>
        </is>
      </c>
      <c r="G14">
        <f>IF(ElevCalc!$G$1=0,"",INDEX(tk_LEAFH,ElevCalc!$G$1))</f>
        <v/>
      </c>
      <c r="K14" t="inlineStr">
        <is>
          <t>LEAFH</t>
        </is>
      </c>
      <c r="L14">
        <f>IF(ElevCalc!$L$1=0,"",INDEX(tk_LEAFH,ElevCalc!$L$1))</f>
        <v/>
      </c>
      <c r="P14" t="inlineStr">
        <is>
          <t>LEAFH</t>
        </is>
      </c>
      <c r="Q14">
        <f>IF(ElevCalc!$Q$1=0,"",INDEX(tk_LEAFH,ElevCalc!$Q$1))</f>
        <v/>
      </c>
      <c r="U14" t="inlineStr">
        <is>
          <t>LEAFH</t>
        </is>
      </c>
      <c r="V14">
        <f>IF(ElevCalc!$V$1=0,"",INDEX(tk_LEAFH,ElevCalc!$V$1))</f>
        <v/>
      </c>
      <c r="Z14" t="inlineStr">
        <is>
          <t>LEAFH</t>
        </is>
      </c>
      <c r="AA14">
        <f>IF(ElevCalc!$AA$1=0,"",INDEX(tk_LEAFH,ElevCalc!$AA$1))</f>
        <v/>
      </c>
      <c r="AE14" t="inlineStr">
        <is>
          <t>LEAFH</t>
        </is>
      </c>
      <c r="AF14">
        <f>IF(ElevCalc!$AF$1=0,"",INDEX(tk_LEAFH,ElevCalc!$AF$1))</f>
        <v/>
      </c>
    </row>
    <row r="15">
      <c r="A15" t="inlineStr">
        <is>
          <t>TRANS</t>
        </is>
      </c>
      <c r="B15">
        <f>IF(ElevCalc!$B$1=0,"",INDEX(tk_TRANS,ElevCalc!$B$1))</f>
        <v/>
      </c>
      <c r="F15" t="inlineStr">
        <is>
          <t>TRANS</t>
        </is>
      </c>
      <c r="G15">
        <f>IF(ElevCalc!$G$1=0,"",INDEX(tk_TRANS,ElevCalc!$G$1))</f>
        <v/>
      </c>
      <c r="K15" t="inlineStr">
        <is>
          <t>TRANS</t>
        </is>
      </c>
      <c r="L15">
        <f>IF(ElevCalc!$L$1=0,"",INDEX(tk_TRANS,ElevCalc!$L$1))</f>
        <v/>
      </c>
      <c r="P15" t="inlineStr">
        <is>
          <t>TRANS</t>
        </is>
      </c>
      <c r="Q15">
        <f>IF(ElevCalc!$Q$1=0,"",INDEX(tk_TRANS,ElevCalc!$Q$1))</f>
        <v/>
      </c>
      <c r="U15" t="inlineStr">
        <is>
          <t>TRANS</t>
        </is>
      </c>
      <c r="V15">
        <f>IF(ElevCalc!$V$1=0,"",INDEX(tk_TRANS,ElevCalc!$V$1))</f>
        <v/>
      </c>
      <c r="Z15" t="inlineStr">
        <is>
          <t>TRANS</t>
        </is>
      </c>
      <c r="AA15">
        <f>IF(ElevCalc!$AA$1=0,"",INDEX(tk_TRANS,ElevCalc!$AA$1))</f>
        <v/>
      </c>
      <c r="AE15" t="inlineStr">
        <is>
          <t>TRANS</t>
        </is>
      </c>
      <c r="AF15">
        <f>IF(ElevCalc!$AF$1=0,"",INDEX(tk_TRANS,ElevCalc!$AF$1))</f>
        <v/>
      </c>
    </row>
    <row r="16">
      <c r="A16" t="inlineStr">
        <is>
          <t>SLW</t>
        </is>
      </c>
      <c r="B16">
        <f>IF(ElevCalc!$B$1=0,"",INDEX(tk_SLW,ElevCalc!$B$1))</f>
        <v/>
      </c>
      <c r="F16" t="inlineStr">
        <is>
          <t>SLW</t>
        </is>
      </c>
      <c r="G16">
        <f>IF(ElevCalc!$G$1=0,"",INDEX(tk_SLW,ElevCalc!$G$1))</f>
        <v/>
      </c>
      <c r="K16" t="inlineStr">
        <is>
          <t>SLW</t>
        </is>
      </c>
      <c r="L16">
        <f>IF(ElevCalc!$L$1=0,"",INDEX(tk_SLW,ElevCalc!$L$1))</f>
        <v/>
      </c>
      <c r="P16" t="inlineStr">
        <is>
          <t>SLW</t>
        </is>
      </c>
      <c r="Q16">
        <f>IF(ElevCalc!$Q$1=0,"",INDEX(tk_SLW,ElevCalc!$Q$1))</f>
        <v/>
      </c>
      <c r="U16" t="inlineStr">
        <is>
          <t>SLW</t>
        </is>
      </c>
      <c r="V16">
        <f>IF(ElevCalc!$V$1=0,"",INDEX(tk_SLW,ElevCalc!$V$1))</f>
        <v/>
      </c>
      <c r="Z16" t="inlineStr">
        <is>
          <t>SLW</t>
        </is>
      </c>
      <c r="AA16">
        <f>IF(ElevCalc!$AA$1=0,"",INDEX(tk_SLW,ElevCalc!$AA$1))</f>
        <v/>
      </c>
      <c r="AE16" t="inlineStr">
        <is>
          <t>SLW</t>
        </is>
      </c>
      <c r="AF16">
        <f>IF(ElevCalc!$AF$1=0,"",INDEX(tk_SLW,ElevCalc!$AF$1))</f>
        <v/>
      </c>
    </row>
    <row r="17">
      <c r="A17" t="inlineStr">
        <is>
          <t>SLSIDE</t>
        </is>
      </c>
      <c r="B17">
        <f>IF(ElevCalc!$B$1=0,"",INDEX(tk_SLSIDE,ElevCalc!$B$1)&amp;"")</f>
        <v/>
      </c>
      <c r="F17" t="inlineStr">
        <is>
          <t>SLSIDE</t>
        </is>
      </c>
      <c r="G17">
        <f>IF(ElevCalc!$G$1=0,"",INDEX(tk_SLSIDE,ElevCalc!$G$1)&amp;"")</f>
        <v/>
      </c>
      <c r="K17" t="inlineStr">
        <is>
          <t>SLSIDE</t>
        </is>
      </c>
      <c r="L17">
        <f>IF(ElevCalc!$L$1=0,"",INDEX(tk_SLSIDE,ElevCalc!$L$1)&amp;"")</f>
        <v/>
      </c>
      <c r="P17" t="inlineStr">
        <is>
          <t>SLSIDE</t>
        </is>
      </c>
      <c r="Q17">
        <f>IF(ElevCalc!$Q$1=0,"",INDEX(tk_SLSIDE,ElevCalc!$Q$1)&amp;"")</f>
        <v/>
      </c>
      <c r="U17" t="inlineStr">
        <is>
          <t>SLSIDE</t>
        </is>
      </c>
      <c r="V17">
        <f>IF(ElevCalc!$V$1=0,"",INDEX(tk_SLSIDE,ElevCalc!$V$1)&amp;"")</f>
        <v/>
      </c>
      <c r="Z17" t="inlineStr">
        <is>
          <t>SLSIDE</t>
        </is>
      </c>
      <c r="AA17">
        <f>IF(ElevCalc!$AA$1=0,"",INDEX(tk_SLSIDE,ElevCalc!$AA$1)&amp;"")</f>
        <v/>
      </c>
      <c r="AE17" t="inlineStr">
        <is>
          <t>SLSIDE</t>
        </is>
      </c>
      <c r="AF17">
        <f>IF(ElevCalc!$AF$1=0,"",INDEX(tk_SLSIDE,ElevCalc!$AF$1)&amp;"")</f>
        <v/>
      </c>
    </row>
    <row r="18">
      <c r="A18" t="inlineStr">
        <is>
          <t>WI</t>
        </is>
      </c>
      <c r="B18">
        <f>IF(ElevCalc!$B$1=0,"",INDEX(tk_WI,ElevCalc!$B$1))</f>
        <v/>
      </c>
      <c r="F18" t="inlineStr">
        <is>
          <t>WI</t>
        </is>
      </c>
      <c r="G18">
        <f>IF(ElevCalc!$G$1=0,"",INDEX(tk_WI,ElevCalc!$G$1))</f>
        <v/>
      </c>
      <c r="K18" t="inlineStr">
        <is>
          <t>WI</t>
        </is>
      </c>
      <c r="L18">
        <f>IF(ElevCalc!$L$1=0,"",INDEX(tk_WI,ElevCalc!$L$1))</f>
        <v/>
      </c>
      <c r="P18" t="inlineStr">
        <is>
          <t>WI</t>
        </is>
      </c>
      <c r="Q18">
        <f>IF(ElevCalc!$Q$1=0,"",INDEX(tk_WI,ElevCalc!$Q$1))</f>
        <v/>
      </c>
      <c r="U18" t="inlineStr">
        <is>
          <t>WI</t>
        </is>
      </c>
      <c r="V18">
        <f>IF(ElevCalc!$V$1=0,"",INDEX(tk_WI,ElevCalc!$V$1))</f>
        <v/>
      </c>
      <c r="Z18" t="inlineStr">
        <is>
          <t>WI</t>
        </is>
      </c>
      <c r="AA18">
        <f>IF(ElevCalc!$AA$1=0,"",INDEX(tk_WI,ElevCalc!$AA$1))</f>
        <v/>
      </c>
      <c r="AE18" t="inlineStr">
        <is>
          <t>WI</t>
        </is>
      </c>
      <c r="AF18">
        <f>IF(ElevCalc!$AF$1=0,"",INDEX(tk_WI,ElevCalc!$AF$1))</f>
        <v/>
      </c>
    </row>
    <row r="19">
      <c r="A19" t="inlineStr">
        <is>
          <t>HI</t>
        </is>
      </c>
      <c r="B19">
        <f>IF(ElevCalc!$B$1=0,"",INDEX(tk_HI,ElevCalc!$B$1))</f>
        <v/>
      </c>
      <c r="F19" t="inlineStr">
        <is>
          <t>HI</t>
        </is>
      </c>
      <c r="G19">
        <f>IF(ElevCalc!$G$1=0,"",INDEX(tk_HI,ElevCalc!$G$1))</f>
        <v/>
      </c>
      <c r="K19" t="inlineStr">
        <is>
          <t>HI</t>
        </is>
      </c>
      <c r="L19">
        <f>IF(ElevCalc!$L$1=0,"",INDEX(tk_HI,ElevCalc!$L$1))</f>
        <v/>
      </c>
      <c r="P19" t="inlineStr">
        <is>
          <t>HI</t>
        </is>
      </c>
      <c r="Q19">
        <f>IF(ElevCalc!$Q$1=0,"",INDEX(tk_HI,ElevCalc!$Q$1))</f>
        <v/>
      </c>
      <c r="U19" t="inlineStr">
        <is>
          <t>HI</t>
        </is>
      </c>
      <c r="V19">
        <f>IF(ElevCalc!$V$1=0,"",INDEX(tk_HI,ElevCalc!$V$1))</f>
        <v/>
      </c>
      <c r="Z19" t="inlineStr">
        <is>
          <t>HI</t>
        </is>
      </c>
      <c r="AA19">
        <f>IF(ElevCalc!$AA$1=0,"",INDEX(tk_HI,ElevCalc!$AA$1))</f>
        <v/>
      </c>
      <c r="AE19" t="inlineStr">
        <is>
          <t>HI</t>
        </is>
      </c>
      <c r="AF19">
        <f>IF(ElevCalc!$AF$1=0,"",INDEX(tk_HI,ElevCalc!$AF$1))</f>
        <v/>
      </c>
    </row>
    <row r="20">
      <c r="A20" t="inlineStr">
        <is>
          <t>LITEKIT</t>
        </is>
      </c>
      <c r="B20">
        <f>IF(ElevCalc!$B$1=0,"",INDEX(tk_LITEKIT,ElevCalc!$B$1)&amp;"")</f>
        <v/>
      </c>
      <c r="F20" t="inlineStr">
        <is>
          <t>LITEKIT</t>
        </is>
      </c>
      <c r="G20">
        <f>IF(ElevCalc!$G$1=0,"",INDEX(tk_LITEKIT,ElevCalc!$G$1)&amp;"")</f>
        <v/>
      </c>
      <c r="K20" t="inlineStr">
        <is>
          <t>LITEKIT</t>
        </is>
      </c>
      <c r="L20">
        <f>IF(ElevCalc!$L$1=0,"",INDEX(tk_LITEKIT,ElevCalc!$L$1)&amp;"")</f>
        <v/>
      </c>
      <c r="P20" t="inlineStr">
        <is>
          <t>LITEKIT</t>
        </is>
      </c>
      <c r="Q20">
        <f>IF(ElevCalc!$Q$1=0,"",INDEX(tk_LITEKIT,ElevCalc!$Q$1)&amp;"")</f>
        <v/>
      </c>
      <c r="U20" t="inlineStr">
        <is>
          <t>LITEKIT</t>
        </is>
      </c>
      <c r="V20">
        <f>IF(ElevCalc!$V$1=0,"",INDEX(tk_LITEKIT,ElevCalc!$V$1)&amp;"")</f>
        <v/>
      </c>
      <c r="Z20" t="inlineStr">
        <is>
          <t>LITEKIT</t>
        </is>
      </c>
      <c r="AA20">
        <f>IF(ElevCalc!$AA$1=0,"",INDEX(tk_LITEKIT,ElevCalc!$AA$1)&amp;"")</f>
        <v/>
      </c>
      <c r="AE20" t="inlineStr">
        <is>
          <t>LITEKIT</t>
        </is>
      </c>
      <c r="AF20">
        <f>IF(ElevCalc!$AF$1=0,"",INDEX(tk_LITEKIT,ElevCalc!$AF$1)&amp;"")</f>
        <v/>
      </c>
    </row>
    <row r="21">
      <c r="A21" t="inlineStr">
        <is>
          <t>LITEW</t>
        </is>
      </c>
      <c r="B21">
        <f>IF(ElevCalc!$B$1=0,"",INDEX(tk_LITEW,ElevCalc!$B$1))</f>
        <v/>
      </c>
      <c r="F21" t="inlineStr">
        <is>
          <t>LITEW</t>
        </is>
      </c>
      <c r="G21">
        <f>IF(ElevCalc!$G$1=0,"",INDEX(tk_LITEW,ElevCalc!$G$1))</f>
        <v/>
      </c>
      <c r="K21" t="inlineStr">
        <is>
          <t>LITEW</t>
        </is>
      </c>
      <c r="L21">
        <f>IF(ElevCalc!$L$1=0,"",INDEX(tk_LITEW,ElevCalc!$L$1))</f>
        <v/>
      </c>
      <c r="P21" t="inlineStr">
        <is>
          <t>LITEW</t>
        </is>
      </c>
      <c r="Q21">
        <f>IF(ElevCalc!$Q$1=0,"",INDEX(tk_LITEW,ElevCalc!$Q$1))</f>
        <v/>
      </c>
      <c r="U21" t="inlineStr">
        <is>
          <t>LITEW</t>
        </is>
      </c>
      <c r="V21">
        <f>IF(ElevCalc!$V$1=0,"",INDEX(tk_LITEW,ElevCalc!$V$1))</f>
        <v/>
      </c>
      <c r="Z21" t="inlineStr">
        <is>
          <t>LITEW</t>
        </is>
      </c>
      <c r="AA21">
        <f>IF(ElevCalc!$AA$1=0,"",INDEX(tk_LITEW,ElevCalc!$AA$1))</f>
        <v/>
      </c>
      <c r="AE21" t="inlineStr">
        <is>
          <t>LITEW</t>
        </is>
      </c>
      <c r="AF21">
        <f>IF(ElevCalc!$AF$1=0,"",INDEX(tk_LITEW,ElevCalc!$AF$1))</f>
        <v/>
      </c>
    </row>
    <row r="22">
      <c r="A22" t="inlineStr">
        <is>
          <t>LITEH</t>
        </is>
      </c>
      <c r="B22">
        <f>IF(ElevCalc!$B$1=0,"",INDEX(tk_LITEH,ElevCalc!$B$1))</f>
        <v/>
      </c>
      <c r="F22" t="inlineStr">
        <is>
          <t>LITEH</t>
        </is>
      </c>
      <c r="G22">
        <f>IF(ElevCalc!$G$1=0,"",INDEX(tk_LITEH,ElevCalc!$G$1))</f>
        <v/>
      </c>
      <c r="K22" t="inlineStr">
        <is>
          <t>LITEH</t>
        </is>
      </c>
      <c r="L22">
        <f>IF(ElevCalc!$L$1=0,"",INDEX(tk_LITEH,ElevCalc!$L$1))</f>
        <v/>
      </c>
      <c r="P22" t="inlineStr">
        <is>
          <t>LITEH</t>
        </is>
      </c>
      <c r="Q22">
        <f>IF(ElevCalc!$Q$1=0,"",INDEX(tk_LITEH,ElevCalc!$Q$1))</f>
        <v/>
      </c>
      <c r="U22" t="inlineStr">
        <is>
          <t>LITEH</t>
        </is>
      </c>
      <c r="V22">
        <f>IF(ElevCalc!$V$1=0,"",INDEX(tk_LITEH,ElevCalc!$V$1))</f>
        <v/>
      </c>
      <c r="Z22" t="inlineStr">
        <is>
          <t>LITEH</t>
        </is>
      </c>
      <c r="AA22">
        <f>IF(ElevCalc!$AA$1=0,"",INDEX(tk_LITEH,ElevCalc!$AA$1))</f>
        <v/>
      </c>
      <c r="AE22" t="inlineStr">
        <is>
          <t>LITEH</t>
        </is>
      </c>
      <c r="AF22">
        <f>IF(ElevCalc!$AF$1=0,"",INDEX(tk_LITEH,ElevCalc!$AF$1))</f>
        <v/>
      </c>
    </row>
    <row r="23">
      <c r="A23" t="inlineStr">
        <is>
          <t>RATING</t>
        </is>
      </c>
      <c r="B23">
        <f>IF(ElevCalc!$B$1=0,"",INDEX(tk_RATING,ElevCalc!$B$1)&amp;"")</f>
        <v/>
      </c>
      <c r="F23" t="inlineStr">
        <is>
          <t>RATING</t>
        </is>
      </c>
      <c r="G23">
        <f>IF(ElevCalc!$G$1=0,"",INDEX(tk_RATING,ElevCalc!$G$1)&amp;"")</f>
        <v/>
      </c>
      <c r="K23" t="inlineStr">
        <is>
          <t>RATING</t>
        </is>
      </c>
      <c r="L23">
        <f>IF(ElevCalc!$L$1=0,"",INDEX(tk_RATING,ElevCalc!$L$1)&amp;"")</f>
        <v/>
      </c>
      <c r="P23" t="inlineStr">
        <is>
          <t>RATING</t>
        </is>
      </c>
      <c r="Q23">
        <f>IF(ElevCalc!$Q$1=0,"",INDEX(tk_RATING,ElevCalc!$Q$1)&amp;"")</f>
        <v/>
      </c>
      <c r="U23" t="inlineStr">
        <is>
          <t>RATING</t>
        </is>
      </c>
      <c r="V23">
        <f>IF(ElevCalc!$V$1=0,"",INDEX(tk_RATING,ElevCalc!$V$1)&amp;"")</f>
        <v/>
      </c>
      <c r="Z23" t="inlineStr">
        <is>
          <t>RATING</t>
        </is>
      </c>
      <c r="AA23">
        <f>IF(ElevCalc!$AA$1=0,"",INDEX(tk_RATING,ElevCalc!$AA$1)&amp;"")</f>
        <v/>
      </c>
      <c r="AE23" t="inlineStr">
        <is>
          <t>RATING</t>
        </is>
      </c>
      <c r="AF23">
        <f>IF(ElevCalc!$AF$1=0,"",INDEX(tk_RATING,ElevCalc!$AF$1)&amp;"")</f>
        <v/>
      </c>
    </row>
    <row r="24">
      <c r="A24" t="inlineStr">
        <is>
          <t>SIZE</t>
        </is>
      </c>
      <c r="B24">
        <f>IF(ElevCalc!$B$1=0,"",INDEX(tk_SIZE,ElevCalc!$B$1)&amp;"")</f>
        <v/>
      </c>
      <c r="F24" t="inlineStr">
        <is>
          <t>SIZE</t>
        </is>
      </c>
      <c r="G24">
        <f>IF(ElevCalc!$G$1=0,"",INDEX(tk_SIZE,ElevCalc!$G$1)&amp;"")</f>
        <v/>
      </c>
      <c r="K24" t="inlineStr">
        <is>
          <t>SIZE</t>
        </is>
      </c>
      <c r="L24">
        <f>IF(ElevCalc!$L$1=0,"",INDEX(tk_SIZE,ElevCalc!$L$1)&amp;"")</f>
        <v/>
      </c>
      <c r="P24" t="inlineStr">
        <is>
          <t>SIZE</t>
        </is>
      </c>
      <c r="Q24">
        <f>IF(ElevCalc!$Q$1=0,"",INDEX(tk_SIZE,ElevCalc!$Q$1)&amp;"")</f>
        <v/>
      </c>
      <c r="U24" t="inlineStr">
        <is>
          <t>SIZE</t>
        </is>
      </c>
      <c r="V24">
        <f>IF(ElevCalc!$V$1=0,"",INDEX(tk_SIZE,ElevCalc!$V$1)&amp;"")</f>
        <v/>
      </c>
      <c r="Z24" t="inlineStr">
        <is>
          <t>SIZE</t>
        </is>
      </c>
      <c r="AA24">
        <f>IF(ElevCalc!$AA$1=0,"",INDEX(tk_SIZE,ElevCalc!$AA$1)&amp;"")</f>
        <v/>
      </c>
      <c r="AE24" t="inlineStr">
        <is>
          <t>SIZE</t>
        </is>
      </c>
      <c r="AF24">
        <f>IF(ElevCalc!$AF$1=0,"",INDEX(tk_SIZE,ElevCalc!$AF$1)&amp;"")</f>
        <v/>
      </c>
    </row>
    <row r="25">
      <c r="A25" t="inlineStr">
        <is>
          <t>OAW</t>
        </is>
      </c>
      <c r="B25">
        <f>IF(ElevCalc!$B$1=0,"",INDEX(tk_OAW,ElevCalc!$B$1))</f>
        <v/>
      </c>
      <c r="F25" t="inlineStr">
        <is>
          <t>OAW</t>
        </is>
      </c>
      <c r="G25">
        <f>IF(ElevCalc!$G$1=0,"",INDEX(tk_OAW,ElevCalc!$G$1))</f>
        <v/>
      </c>
      <c r="K25" t="inlineStr">
        <is>
          <t>OAW</t>
        </is>
      </c>
      <c r="L25">
        <f>IF(ElevCalc!$L$1=0,"",INDEX(tk_OAW,ElevCalc!$L$1))</f>
        <v/>
      </c>
      <c r="P25" t="inlineStr">
        <is>
          <t>OAW</t>
        </is>
      </c>
      <c r="Q25">
        <f>IF(ElevCalc!$Q$1=0,"",INDEX(tk_OAW,ElevCalc!$Q$1))</f>
        <v/>
      </c>
      <c r="U25" t="inlineStr">
        <is>
          <t>OAW</t>
        </is>
      </c>
      <c r="V25">
        <f>IF(ElevCalc!$V$1=0,"",INDEX(tk_OAW,ElevCalc!$V$1))</f>
        <v/>
      </c>
      <c r="Z25" t="inlineStr">
        <is>
          <t>OAW</t>
        </is>
      </c>
      <c r="AA25">
        <f>IF(ElevCalc!$AA$1=0,"",INDEX(tk_OAW,ElevCalc!$AA$1))</f>
        <v/>
      </c>
      <c r="AE25" t="inlineStr">
        <is>
          <t>OAW</t>
        </is>
      </c>
      <c r="AF25">
        <f>IF(ElevCalc!$AF$1=0,"",INDEX(tk_OAW,ElevCalc!$AF$1))</f>
        <v/>
      </c>
    </row>
    <row r="26">
      <c r="A26" t="inlineStr">
        <is>
          <t>OAH</t>
        </is>
      </c>
      <c r="B26">
        <f>IF(ElevCalc!$B$1=0,"",INDEX(tk_OAH,ElevCalc!$B$1))</f>
        <v/>
      </c>
      <c r="F26" t="inlineStr">
        <is>
          <t>OAH</t>
        </is>
      </c>
      <c r="G26">
        <f>IF(ElevCalc!$G$1=0,"",INDEX(tk_OAH,ElevCalc!$G$1))</f>
        <v/>
      </c>
      <c r="K26" t="inlineStr">
        <is>
          <t>OAH</t>
        </is>
      </c>
      <c r="L26">
        <f>IF(ElevCalc!$L$1=0,"",INDEX(tk_OAH,ElevCalc!$L$1))</f>
        <v/>
      </c>
      <c r="P26" t="inlineStr">
        <is>
          <t>OAH</t>
        </is>
      </c>
      <c r="Q26">
        <f>IF(ElevCalc!$Q$1=0,"",INDEX(tk_OAH,ElevCalc!$Q$1))</f>
        <v/>
      </c>
      <c r="U26" t="inlineStr">
        <is>
          <t>OAH</t>
        </is>
      </c>
      <c r="V26">
        <f>IF(ElevCalc!$V$1=0,"",INDEX(tk_OAH,ElevCalc!$V$1))</f>
        <v/>
      </c>
      <c r="Z26" t="inlineStr">
        <is>
          <t>OAH</t>
        </is>
      </c>
      <c r="AA26">
        <f>IF(ElevCalc!$AA$1=0,"",INDEX(tk_OAH,ElevCalc!$AA$1))</f>
        <v/>
      </c>
      <c r="AE26" t="inlineStr">
        <is>
          <t>OAH</t>
        </is>
      </c>
      <c r="AF26">
        <f>IF(ElevCalc!$AF$1=0,"",INDEX(tk_OAH,ElevCalc!$AF$1))</f>
        <v/>
      </c>
    </row>
    <row r="27">
      <c r="A27" t="inlineStr">
        <is>
          <t>QTY</t>
        </is>
      </c>
      <c r="B27">
        <f>IF(ElevCalc!$B$1=0,"",INDEX(tk_QTY,ElevCalc!$B$1))</f>
        <v/>
      </c>
      <c r="F27" t="inlineStr">
        <is>
          <t>QTY</t>
        </is>
      </c>
      <c r="G27">
        <f>IF(ElevCalc!$G$1=0,"",INDEX(tk_QTY,ElevCalc!$G$1))</f>
        <v/>
      </c>
      <c r="K27" t="inlineStr">
        <is>
          <t>QTY</t>
        </is>
      </c>
      <c r="L27">
        <f>IF(ElevCalc!$L$1=0,"",INDEX(tk_QTY,ElevCalc!$L$1))</f>
        <v/>
      </c>
      <c r="P27" t="inlineStr">
        <is>
          <t>QTY</t>
        </is>
      </c>
      <c r="Q27">
        <f>IF(ElevCalc!$Q$1=0,"",INDEX(tk_QTY,ElevCalc!$Q$1))</f>
        <v/>
      </c>
      <c r="U27" t="inlineStr">
        <is>
          <t>QTY</t>
        </is>
      </c>
      <c r="V27">
        <f>IF(ElevCalc!$V$1=0,"",INDEX(tk_QTY,ElevCalc!$V$1))</f>
        <v/>
      </c>
      <c r="Z27" t="inlineStr">
        <is>
          <t>QTY</t>
        </is>
      </c>
      <c r="AA27">
        <f>IF(ElevCalc!$AA$1=0,"",INDEX(tk_QTY,ElevCalc!$AA$1))</f>
        <v/>
      </c>
      <c r="AE27" t="inlineStr">
        <is>
          <t>QTY</t>
        </is>
      </c>
      <c r="AF27">
        <f>IF(ElevCalc!$AF$1=0,"",INDEX(tk_QTY,ElevCalc!$AF$1))</f>
        <v/>
      </c>
    </row>
    <row r="28">
      <c r="A28" t="inlineStr">
        <is>
          <t>ETYPE</t>
        </is>
      </c>
      <c r="B28">
        <f>IF(ElevCalc!$B$1=0,"",INDEX(tk_ETYPE,ElevCalc!$B$1))</f>
        <v/>
      </c>
      <c r="F28" t="inlineStr">
        <is>
          <t>ETYPE</t>
        </is>
      </c>
      <c r="G28">
        <f>IF(ElevCalc!$G$1=0,"",INDEX(tk_ETYPE,ElevCalc!$G$1))</f>
        <v/>
      </c>
      <c r="K28" t="inlineStr">
        <is>
          <t>ETYPE</t>
        </is>
      </c>
      <c r="L28">
        <f>IF(ElevCalc!$L$1=0,"",INDEX(tk_ETYPE,ElevCalc!$L$1))</f>
        <v/>
      </c>
      <c r="P28" t="inlineStr">
        <is>
          <t>ETYPE</t>
        </is>
      </c>
      <c r="Q28">
        <f>IF(ElevCalc!$Q$1=0,"",INDEX(tk_ETYPE,ElevCalc!$Q$1))</f>
        <v/>
      </c>
      <c r="U28" t="inlineStr">
        <is>
          <t>ETYPE</t>
        </is>
      </c>
      <c r="V28">
        <f>IF(ElevCalc!$V$1=0,"",INDEX(tk_ETYPE,ElevCalc!$V$1))</f>
        <v/>
      </c>
      <c r="Z28" t="inlineStr">
        <is>
          <t>ETYPE</t>
        </is>
      </c>
      <c r="AA28">
        <f>IF(ElevCalc!$AA$1=0,"",INDEX(tk_ETYPE,ElevCalc!$AA$1))</f>
        <v/>
      </c>
      <c r="AE28" t="inlineStr">
        <is>
          <t>ETYPE</t>
        </is>
      </c>
      <c r="AF28">
        <f>IF(ElevCalc!$AF$1=0,"",INDEX(tk_ETYPE,ElevCalc!$AF$1))</f>
        <v/>
      </c>
    </row>
    <row r="29">
      <c r="A29" t="inlineStr">
        <is>
          <t>ROOMF</t>
        </is>
      </c>
      <c r="B29">
        <f>IF(ElevCalc!$B$1=0,"",INDEX(tk_ROOMF,ElevCalc!$B$1)&amp;"")</f>
        <v/>
      </c>
      <c r="F29" t="inlineStr">
        <is>
          <t>ROOMF</t>
        </is>
      </c>
      <c r="G29">
        <f>IF(ElevCalc!$G$1=0,"",INDEX(tk_ROOMF,ElevCalc!$G$1)&amp;"")</f>
        <v/>
      </c>
      <c r="K29" t="inlineStr">
        <is>
          <t>ROOMF</t>
        </is>
      </c>
      <c r="L29">
        <f>IF(ElevCalc!$L$1=0,"",INDEX(tk_ROOMF,ElevCalc!$L$1)&amp;"")</f>
        <v/>
      </c>
      <c r="P29" t="inlineStr">
        <is>
          <t>ROOMF</t>
        </is>
      </c>
      <c r="Q29">
        <f>IF(ElevCalc!$Q$1=0,"",INDEX(tk_ROOMF,ElevCalc!$Q$1)&amp;"")</f>
        <v/>
      </c>
      <c r="U29" t="inlineStr">
        <is>
          <t>ROOMF</t>
        </is>
      </c>
      <c r="V29">
        <f>IF(ElevCalc!$V$1=0,"",INDEX(tk_ROOMF,ElevCalc!$V$1)&amp;"")</f>
        <v/>
      </c>
      <c r="Z29" t="inlineStr">
        <is>
          <t>ROOMF</t>
        </is>
      </c>
      <c r="AA29">
        <f>IF(ElevCalc!$AA$1=0,"",INDEX(tk_ROOMF,ElevCalc!$AA$1)&amp;"")</f>
        <v/>
      </c>
      <c r="AE29" t="inlineStr">
        <is>
          <t>ROOMF</t>
        </is>
      </c>
      <c r="AF29">
        <f>IF(ElevCalc!$AF$1=0,"",INDEX(tk_ROOMF,ElevCalc!$AF$1)&amp;"")</f>
        <v/>
      </c>
    </row>
    <row r="30">
      <c r="A30" t="inlineStr">
        <is>
          <t>ROOMT</t>
        </is>
      </c>
      <c r="B30">
        <f>IF(ElevCalc!$B$1=0,"",INDEX(tk_ROOMT,ElevCalc!$B$1)&amp;"")</f>
        <v/>
      </c>
      <c r="F30" t="inlineStr">
        <is>
          <t>ROOMT</t>
        </is>
      </c>
      <c r="G30">
        <f>IF(ElevCalc!$G$1=0,"",INDEX(tk_ROOMT,ElevCalc!$G$1)&amp;"")</f>
        <v/>
      </c>
      <c r="K30" t="inlineStr">
        <is>
          <t>ROOMT</t>
        </is>
      </c>
      <c r="L30">
        <f>IF(ElevCalc!$L$1=0,"",INDEX(tk_ROOMT,ElevCalc!$L$1)&amp;"")</f>
        <v/>
      </c>
      <c r="P30" t="inlineStr">
        <is>
          <t>ROOMT</t>
        </is>
      </c>
      <c r="Q30">
        <f>IF(ElevCalc!$Q$1=0,"",INDEX(tk_ROOMT,ElevCalc!$Q$1)&amp;"")</f>
        <v/>
      </c>
      <c r="U30" t="inlineStr">
        <is>
          <t>ROOMT</t>
        </is>
      </c>
      <c r="V30">
        <f>IF(ElevCalc!$V$1=0,"",INDEX(tk_ROOMT,ElevCalc!$V$1)&amp;"")</f>
        <v/>
      </c>
      <c r="Z30" t="inlineStr">
        <is>
          <t>ROOMT</t>
        </is>
      </c>
      <c r="AA30">
        <f>IF(ElevCalc!$AA$1=0,"",INDEX(tk_ROOMT,ElevCalc!$AA$1)&amp;"")</f>
        <v/>
      </c>
      <c r="AE30" t="inlineStr">
        <is>
          <t>ROOMT</t>
        </is>
      </c>
      <c r="AF30">
        <f>IF(ElevCalc!$AF$1=0,"",INDEX(tk_ROOMT,ElevCalc!$AF$1)&amp;"")</f>
        <v/>
      </c>
    </row>
    <row r="31">
      <c r="A31" t="inlineStr">
        <is>
          <t>HWSET</t>
        </is>
      </c>
      <c r="B31">
        <f>IF(ElevCalc!$B$1=0,"",INDEX(tk_HWSET,ElevCalc!$B$1)&amp;"")</f>
        <v/>
      </c>
      <c r="F31" t="inlineStr">
        <is>
          <t>HWSET</t>
        </is>
      </c>
      <c r="G31">
        <f>IF(ElevCalc!$G$1=0,"",INDEX(tk_HWSET,ElevCalc!$G$1)&amp;"")</f>
        <v/>
      </c>
      <c r="K31" t="inlineStr">
        <is>
          <t>HWSET</t>
        </is>
      </c>
      <c r="L31">
        <f>IF(ElevCalc!$L$1=0,"",INDEX(tk_HWSET,ElevCalc!$L$1)&amp;"")</f>
        <v/>
      </c>
      <c r="P31" t="inlineStr">
        <is>
          <t>HWSET</t>
        </is>
      </c>
      <c r="Q31">
        <f>IF(ElevCalc!$Q$1=0,"",INDEX(tk_HWSET,ElevCalc!$Q$1)&amp;"")</f>
        <v/>
      </c>
      <c r="U31" t="inlineStr">
        <is>
          <t>HWSET</t>
        </is>
      </c>
      <c r="V31">
        <f>IF(ElevCalc!$V$1=0,"",INDEX(tk_HWSET,ElevCalc!$V$1)&amp;"")</f>
        <v/>
      </c>
      <c r="Z31" t="inlineStr">
        <is>
          <t>HWSET</t>
        </is>
      </c>
      <c r="AA31">
        <f>IF(ElevCalc!$AA$1=0,"",INDEX(tk_HWSET,ElevCalc!$AA$1)&amp;"")</f>
        <v/>
      </c>
      <c r="AE31" t="inlineStr">
        <is>
          <t>HWSET</t>
        </is>
      </c>
      <c r="AF31">
        <f>IF(ElevCalc!$AF$1=0,"",INDEX(tk_HWSET,ElevCalc!$AF$1)&amp;"")</f>
        <v/>
      </c>
    </row>
    <row r="32">
      <c r="A32" t="inlineStr">
        <is>
          <t>CHECK</t>
        </is>
      </c>
      <c r="B32">
        <f>IF(ElevCalc!$B$1=0,"",INDEX(tk_CHECK,ElevCalc!$B$1)&amp;"")</f>
        <v/>
      </c>
      <c r="F32" t="inlineStr">
        <is>
          <t>CHECK</t>
        </is>
      </c>
      <c r="G32">
        <f>IF(ElevCalc!$G$1=0,"",INDEX(tk_CHECK,ElevCalc!$G$1)&amp;"")</f>
        <v/>
      </c>
      <c r="K32" t="inlineStr">
        <is>
          <t>CHECK</t>
        </is>
      </c>
      <c r="L32">
        <f>IF(ElevCalc!$L$1=0,"",INDEX(tk_CHECK,ElevCalc!$L$1)&amp;"")</f>
        <v/>
      </c>
      <c r="P32" t="inlineStr">
        <is>
          <t>CHECK</t>
        </is>
      </c>
      <c r="Q32">
        <f>IF(ElevCalc!$Q$1=0,"",INDEX(tk_CHECK,ElevCalc!$Q$1)&amp;"")</f>
        <v/>
      </c>
      <c r="U32" t="inlineStr">
        <is>
          <t>CHECK</t>
        </is>
      </c>
      <c r="V32">
        <f>IF(ElevCalc!$V$1=0,"",INDEX(tk_CHECK,ElevCalc!$V$1)&amp;"")</f>
        <v/>
      </c>
      <c r="Z32" t="inlineStr">
        <is>
          <t>CHECK</t>
        </is>
      </c>
      <c r="AA32">
        <f>IF(ElevCalc!$AA$1=0,"",INDEX(tk_CHECK,ElevCalc!$AA$1)&amp;"")</f>
        <v/>
      </c>
      <c r="AE32" t="inlineStr">
        <is>
          <t>CHECK</t>
        </is>
      </c>
      <c r="AF32">
        <f>IF(ElevCalc!$AF$1=0,"",INDEX(tk_CHECK,ElevCalc!$AF$1)&amp;"")</f>
        <v/>
      </c>
    </row>
    <row r="33">
      <c r="A33" t="inlineStr">
        <is>
          <t>WHY</t>
        </is>
      </c>
      <c r="B33">
        <f>IF(ElevCalc!$B$1=0,"",INDEX(tk_WHY,ElevCalc!$B$1)&amp;"")</f>
        <v/>
      </c>
      <c r="F33" t="inlineStr">
        <is>
          <t>WHY</t>
        </is>
      </c>
      <c r="G33">
        <f>IF(ElevCalc!$G$1=0,"",INDEX(tk_WHY,ElevCalc!$G$1)&amp;"")</f>
        <v/>
      </c>
      <c r="K33" t="inlineStr">
        <is>
          <t>WHY</t>
        </is>
      </c>
      <c r="L33">
        <f>IF(ElevCalc!$L$1=0,"",INDEX(tk_WHY,ElevCalc!$L$1)&amp;"")</f>
        <v/>
      </c>
      <c r="P33" t="inlineStr">
        <is>
          <t>WHY</t>
        </is>
      </c>
      <c r="Q33">
        <f>IF(ElevCalc!$Q$1=0,"",INDEX(tk_WHY,ElevCalc!$Q$1)&amp;"")</f>
        <v/>
      </c>
      <c r="U33" t="inlineStr">
        <is>
          <t>WHY</t>
        </is>
      </c>
      <c r="V33">
        <f>IF(ElevCalc!$V$1=0,"",INDEX(tk_WHY,ElevCalc!$V$1)&amp;"")</f>
        <v/>
      </c>
      <c r="Z33" t="inlineStr">
        <is>
          <t>WHY</t>
        </is>
      </c>
      <c r="AA33">
        <f>IF(ElevCalc!$AA$1=0,"",INDEX(tk_WHY,ElevCalc!$AA$1)&amp;"")</f>
        <v/>
      </c>
      <c r="AE33" t="inlineStr">
        <is>
          <t>WHY</t>
        </is>
      </c>
      <c r="AF33">
        <f>IF(ElevCalc!$AF$1=0,"",INDEX(tk_WHY,ElevCalc!$AF$1)&amp;"")</f>
        <v/>
      </c>
    </row>
    <row r="34">
      <c r="A34" t="inlineStr">
        <is>
          <t>FLINE</t>
        </is>
      </c>
      <c r="B34">
        <f>IF(ElevCalc!$B$1=0,"",INDEX(tk_FLINE,ElevCalc!$B$1)&amp;"")</f>
        <v/>
      </c>
      <c r="F34" t="inlineStr">
        <is>
          <t>FLINE</t>
        </is>
      </c>
      <c r="G34">
        <f>IF(ElevCalc!$G$1=0,"",INDEX(tk_FLINE,ElevCalc!$G$1)&amp;"")</f>
        <v/>
      </c>
      <c r="K34" t="inlineStr">
        <is>
          <t>FLINE</t>
        </is>
      </c>
      <c r="L34">
        <f>IF(ElevCalc!$L$1=0,"",INDEX(tk_FLINE,ElevCalc!$L$1)&amp;"")</f>
        <v/>
      </c>
      <c r="P34" t="inlineStr">
        <is>
          <t>FLINE</t>
        </is>
      </c>
      <c r="Q34">
        <f>IF(ElevCalc!$Q$1=0,"",INDEX(tk_FLINE,ElevCalc!$Q$1)&amp;"")</f>
        <v/>
      </c>
      <c r="U34" t="inlineStr">
        <is>
          <t>FLINE</t>
        </is>
      </c>
      <c r="V34">
        <f>IF(ElevCalc!$V$1=0,"",INDEX(tk_FLINE,ElevCalc!$V$1)&amp;"")</f>
        <v/>
      </c>
      <c r="Z34" t="inlineStr">
        <is>
          <t>FLINE</t>
        </is>
      </c>
      <c r="AA34">
        <f>IF(ElevCalc!$AA$1=0,"",INDEX(tk_FLINE,ElevCalc!$AA$1)&amp;"")</f>
        <v/>
      </c>
      <c r="AE34" t="inlineStr">
        <is>
          <t>FLINE</t>
        </is>
      </c>
      <c r="AF34">
        <f>IF(ElevCalc!$AF$1=0,"",INDEX(tk_FLINE,ElevCalc!$AF$1)&amp;"")</f>
        <v/>
      </c>
    </row>
    <row r="35">
      <c r="A35" t="inlineStr">
        <is>
          <t>DLINE</t>
        </is>
      </c>
      <c r="B35">
        <f>IF(ElevCalc!$B$1=0,"",INDEX(tk_DLINE,ElevCalc!$B$1)&amp;"")</f>
        <v/>
      </c>
      <c r="F35" t="inlineStr">
        <is>
          <t>DLINE</t>
        </is>
      </c>
      <c r="G35">
        <f>IF(ElevCalc!$G$1=0,"",INDEX(tk_DLINE,ElevCalc!$G$1)&amp;"")</f>
        <v/>
      </c>
      <c r="K35" t="inlineStr">
        <is>
          <t>DLINE</t>
        </is>
      </c>
      <c r="L35">
        <f>IF(ElevCalc!$L$1=0,"",INDEX(tk_DLINE,ElevCalc!$L$1)&amp;"")</f>
        <v/>
      </c>
      <c r="P35" t="inlineStr">
        <is>
          <t>DLINE</t>
        </is>
      </c>
      <c r="Q35">
        <f>IF(ElevCalc!$Q$1=0,"",INDEX(tk_DLINE,ElevCalc!$Q$1)&amp;"")</f>
        <v/>
      </c>
      <c r="U35" t="inlineStr">
        <is>
          <t>DLINE</t>
        </is>
      </c>
      <c r="V35">
        <f>IF(ElevCalc!$V$1=0,"",INDEX(tk_DLINE,ElevCalc!$V$1)&amp;"")</f>
        <v/>
      </c>
      <c r="Z35" t="inlineStr">
        <is>
          <t>DLINE</t>
        </is>
      </c>
      <c r="AA35">
        <f>IF(ElevCalc!$AA$1=0,"",INDEX(tk_DLINE,ElevCalc!$AA$1)&amp;"")</f>
        <v/>
      </c>
      <c r="AE35" t="inlineStr">
        <is>
          <t>DLINE</t>
        </is>
      </c>
      <c r="AF35">
        <f>IF(ElevCalc!$AF$1=0,"",INDEX(tk_DLINE,ElevCalc!$AF$1)&amp;"")</f>
        <v/>
      </c>
    </row>
    <row r="36">
      <c r="A36" t="inlineStr">
        <is>
          <t>ROW</t>
        </is>
      </c>
      <c r="B36">
        <f>IF(ElevCalc!$B$1=0,"",INDEX(tk_ROW,ElevCalc!$B$1))</f>
        <v/>
      </c>
      <c r="F36" t="inlineStr">
        <is>
          <t>ROW</t>
        </is>
      </c>
      <c r="G36">
        <f>IF(ElevCalc!$G$1=0,"",INDEX(tk_ROW,ElevCalc!$G$1))</f>
        <v/>
      </c>
      <c r="K36" t="inlineStr">
        <is>
          <t>ROW</t>
        </is>
      </c>
      <c r="L36">
        <f>IF(ElevCalc!$L$1=0,"",INDEX(tk_ROW,ElevCalc!$L$1))</f>
        <v/>
      </c>
      <c r="P36" t="inlineStr">
        <is>
          <t>ROW</t>
        </is>
      </c>
      <c r="Q36">
        <f>IF(ElevCalc!$Q$1=0,"",INDEX(tk_ROW,ElevCalc!$Q$1))</f>
        <v/>
      </c>
      <c r="U36" t="inlineStr">
        <is>
          <t>ROW</t>
        </is>
      </c>
      <c r="V36">
        <f>IF(ElevCalc!$V$1=0,"",INDEX(tk_ROW,ElevCalc!$V$1))</f>
        <v/>
      </c>
      <c r="Z36" t="inlineStr">
        <is>
          <t>ROW</t>
        </is>
      </c>
      <c r="AA36">
        <f>IF(ElevCalc!$AA$1=0,"",INDEX(tk_ROW,ElevCalc!$AA$1))</f>
        <v/>
      </c>
      <c r="AE36" t="inlineStr">
        <is>
          <t>ROW</t>
        </is>
      </c>
      <c r="AF36">
        <f>IF(ElevCalc!$AF$1=0,"",INDEX(tk_ROW,ElevCalc!$AF$1))</f>
        <v/>
      </c>
    </row>
    <row r="37">
      <c r="A37" t="inlineStr">
        <is>
          <t>ROH</t>
        </is>
      </c>
      <c r="B37">
        <f>IF(ElevCalc!$B$1=0,"",INDEX(tk_ROH,ElevCalc!$B$1))</f>
        <v/>
      </c>
      <c r="F37" t="inlineStr">
        <is>
          <t>ROH</t>
        </is>
      </c>
      <c r="G37">
        <f>IF(ElevCalc!$G$1=0,"",INDEX(tk_ROH,ElevCalc!$G$1))</f>
        <v/>
      </c>
      <c r="K37" t="inlineStr">
        <is>
          <t>ROH</t>
        </is>
      </c>
      <c r="L37">
        <f>IF(ElevCalc!$L$1=0,"",INDEX(tk_ROH,ElevCalc!$L$1))</f>
        <v/>
      </c>
      <c r="P37" t="inlineStr">
        <is>
          <t>ROH</t>
        </is>
      </c>
      <c r="Q37">
        <f>IF(ElevCalc!$Q$1=0,"",INDEX(tk_ROH,ElevCalc!$Q$1))</f>
        <v/>
      </c>
      <c r="U37" t="inlineStr">
        <is>
          <t>ROH</t>
        </is>
      </c>
      <c r="V37">
        <f>IF(ElevCalc!$V$1=0,"",INDEX(tk_ROH,ElevCalc!$V$1))</f>
        <v/>
      </c>
      <c r="Z37" t="inlineStr">
        <is>
          <t>ROH</t>
        </is>
      </c>
      <c r="AA37">
        <f>IF(ElevCalc!$AA$1=0,"",INDEX(tk_ROH,ElevCalc!$AA$1))</f>
        <v/>
      </c>
      <c r="AE37" t="inlineStr">
        <is>
          <t>ROH</t>
        </is>
      </c>
      <c r="AF37">
        <f>IF(ElevCalc!$AF$1=0,"",INDEX(tk_ROH,ElevCalc!$AF$1))</f>
        <v/>
      </c>
    </row>
    <row r="38">
      <c r="A38" t="inlineStr">
        <is>
          <t>CLEARW</t>
        </is>
      </c>
      <c r="B38">
        <f>IF(ElevCalc!$B$1=0,"",INDEX(tk_CLEARW,ElevCalc!$B$1))</f>
        <v/>
      </c>
      <c r="F38" t="inlineStr">
        <is>
          <t>CLEARW</t>
        </is>
      </c>
      <c r="G38">
        <f>IF(ElevCalc!$G$1=0,"",INDEX(tk_CLEARW,ElevCalc!$G$1))</f>
        <v/>
      </c>
      <c r="K38" t="inlineStr">
        <is>
          <t>CLEARW</t>
        </is>
      </c>
      <c r="L38">
        <f>IF(ElevCalc!$L$1=0,"",INDEX(tk_CLEARW,ElevCalc!$L$1))</f>
        <v/>
      </c>
      <c r="P38" t="inlineStr">
        <is>
          <t>CLEARW</t>
        </is>
      </c>
      <c r="Q38">
        <f>IF(ElevCalc!$Q$1=0,"",INDEX(tk_CLEARW,ElevCalc!$Q$1))</f>
        <v/>
      </c>
      <c r="U38" t="inlineStr">
        <is>
          <t>CLEARW</t>
        </is>
      </c>
      <c r="V38">
        <f>IF(ElevCalc!$V$1=0,"",INDEX(tk_CLEARW,ElevCalc!$V$1))</f>
        <v/>
      </c>
      <c r="Z38" t="inlineStr">
        <is>
          <t>CLEARW</t>
        </is>
      </c>
      <c r="AA38">
        <f>IF(ElevCalc!$AA$1=0,"",INDEX(tk_CLEARW,ElevCalc!$AA$1))</f>
        <v/>
      </c>
      <c r="AE38" t="inlineStr">
        <is>
          <t>CLEARW</t>
        </is>
      </c>
      <c r="AF38">
        <f>IF(ElevCalc!$AF$1=0,"",INDEX(tk_CLEARW,ElevCalc!$AF$1))</f>
        <v/>
      </c>
    </row>
    <row r="39">
      <c r="A39" t="inlineStr">
        <is>
          <t>HINGES</t>
        </is>
      </c>
      <c r="B39">
        <f>IF(ElevCalc!$B$1=0,"",INDEX(tk_HINGES,ElevCalc!$B$1))</f>
        <v/>
      </c>
      <c r="F39" t="inlineStr">
        <is>
          <t>HINGES</t>
        </is>
      </c>
      <c r="G39">
        <f>IF(ElevCalc!$G$1=0,"",INDEX(tk_HINGES,ElevCalc!$G$1))</f>
        <v/>
      </c>
      <c r="K39" t="inlineStr">
        <is>
          <t>HINGES</t>
        </is>
      </c>
      <c r="L39">
        <f>IF(ElevCalc!$L$1=0,"",INDEX(tk_HINGES,ElevCalc!$L$1))</f>
        <v/>
      </c>
      <c r="P39" t="inlineStr">
        <is>
          <t>HINGES</t>
        </is>
      </c>
      <c r="Q39">
        <f>IF(ElevCalc!$Q$1=0,"",INDEX(tk_HINGES,ElevCalc!$Q$1))</f>
        <v/>
      </c>
      <c r="U39" t="inlineStr">
        <is>
          <t>HINGES</t>
        </is>
      </c>
      <c r="V39">
        <f>IF(ElevCalc!$V$1=0,"",INDEX(tk_HINGES,ElevCalc!$V$1))</f>
        <v/>
      </c>
      <c r="Z39" t="inlineStr">
        <is>
          <t>HINGES</t>
        </is>
      </c>
      <c r="AA39">
        <f>IF(ElevCalc!$AA$1=0,"",INDEX(tk_HINGES,ElevCalc!$AA$1))</f>
        <v/>
      </c>
      <c r="AE39" t="inlineStr">
        <is>
          <t>HINGES</t>
        </is>
      </c>
      <c r="AF39">
        <f>IF(ElevCalc!$AF$1=0,"",INDEX(tk_HINGES,ElevCalc!$AF$1))</f>
        <v/>
      </c>
    </row>
    <row r="40">
      <c r="A40" t="inlineStr">
        <is>
          <t>REQ</t>
        </is>
      </c>
      <c r="B40">
        <f>IF(ElevCalc!$B$1=0,"",INDEX(tk_REQ,ElevCalc!$B$1))</f>
        <v/>
      </c>
      <c r="F40" t="inlineStr">
        <is>
          <t>REQ</t>
        </is>
      </c>
      <c r="G40">
        <f>IF(ElevCalc!$G$1=0,"",INDEX(tk_REQ,ElevCalc!$G$1))</f>
        <v/>
      </c>
      <c r="K40" t="inlineStr">
        <is>
          <t>REQ</t>
        </is>
      </c>
      <c r="L40">
        <f>IF(ElevCalc!$L$1=0,"",INDEX(tk_REQ,ElevCalc!$L$1))</f>
        <v/>
      </c>
      <c r="P40" t="inlineStr">
        <is>
          <t>REQ</t>
        </is>
      </c>
      <c r="Q40">
        <f>IF(ElevCalc!$Q$1=0,"",INDEX(tk_REQ,ElevCalc!$Q$1))</f>
        <v/>
      </c>
      <c r="U40" t="inlineStr">
        <is>
          <t>REQ</t>
        </is>
      </c>
      <c r="V40">
        <f>IF(ElevCalc!$V$1=0,"",INDEX(tk_REQ,ElevCalc!$V$1))</f>
        <v/>
      </c>
      <c r="Z40" t="inlineStr">
        <is>
          <t>REQ</t>
        </is>
      </c>
      <c r="AA40">
        <f>IF(ElevCalc!$AA$1=0,"",INDEX(tk_REQ,ElevCalc!$AA$1))</f>
        <v/>
      </c>
      <c r="AE40" t="inlineStr">
        <is>
          <t>REQ</t>
        </is>
      </c>
      <c r="AF40">
        <f>IF(ElevCalc!$AF$1=0,"",INDEX(tk_REQ,ElevCalc!$AF$1))</f>
        <v/>
      </c>
    </row>
    <row r="41">
      <c r="A41" t="inlineStr">
        <is>
          <t>CONSTR</t>
        </is>
      </c>
      <c r="B41">
        <f>IF(ElevCalc!$B$1=0,"",INDEX(tk_CONSTR,ElevCalc!$B$1)&amp;"")</f>
        <v/>
      </c>
      <c r="F41" t="inlineStr">
        <is>
          <t>CONSTR</t>
        </is>
      </c>
      <c r="G41">
        <f>IF(ElevCalc!$G$1=0,"",INDEX(tk_CONSTR,ElevCalc!$G$1)&amp;"")</f>
        <v/>
      </c>
      <c r="K41" t="inlineStr">
        <is>
          <t>CONSTR</t>
        </is>
      </c>
      <c r="L41">
        <f>IF(ElevCalc!$L$1=0,"",INDEX(tk_CONSTR,ElevCalc!$L$1)&amp;"")</f>
        <v/>
      </c>
      <c r="P41" t="inlineStr">
        <is>
          <t>CONSTR</t>
        </is>
      </c>
      <c r="Q41">
        <f>IF(ElevCalc!$Q$1=0,"",INDEX(tk_CONSTR,ElevCalc!$Q$1)&amp;"")</f>
        <v/>
      </c>
      <c r="U41" t="inlineStr">
        <is>
          <t>CONSTR</t>
        </is>
      </c>
      <c r="V41">
        <f>IF(ElevCalc!$V$1=0,"",INDEX(tk_CONSTR,ElevCalc!$V$1)&amp;"")</f>
        <v/>
      </c>
      <c r="Z41" t="inlineStr">
        <is>
          <t>CONSTR</t>
        </is>
      </c>
      <c r="AA41">
        <f>IF(ElevCalc!$AA$1=0,"",INDEX(tk_CONSTR,ElevCalc!$AA$1)&amp;"")</f>
        <v/>
      </c>
      <c r="AE41" t="inlineStr">
        <is>
          <t>CONSTR</t>
        </is>
      </c>
      <c r="AF41">
        <f>IF(ElevCalc!$AF$1=0,"",INDEX(tk_CONSTR,ElevCalc!$AF$1)&amp;"")</f>
        <v/>
      </c>
    </row>
    <row r="42">
      <c r="A42" t="inlineStr">
        <is>
          <t>JAMB</t>
        </is>
      </c>
      <c r="B42">
        <f>IF(ElevCalc!$B$1=0,"",INDEX(tk_JAMB,ElevCalc!$B$1))</f>
        <v/>
      </c>
      <c r="F42" t="inlineStr">
        <is>
          <t>JAMB</t>
        </is>
      </c>
      <c r="G42">
        <f>IF(ElevCalc!$G$1=0,"",INDEX(tk_JAMB,ElevCalc!$G$1))</f>
        <v/>
      </c>
      <c r="K42" t="inlineStr">
        <is>
          <t>JAMB</t>
        </is>
      </c>
      <c r="L42">
        <f>IF(ElevCalc!$L$1=0,"",INDEX(tk_JAMB,ElevCalc!$L$1))</f>
        <v/>
      </c>
      <c r="P42" t="inlineStr">
        <is>
          <t>JAMB</t>
        </is>
      </c>
      <c r="Q42">
        <f>IF(ElevCalc!$Q$1=0,"",INDEX(tk_JAMB,ElevCalc!$Q$1))</f>
        <v/>
      </c>
      <c r="U42" t="inlineStr">
        <is>
          <t>JAMB</t>
        </is>
      </c>
      <c r="V42">
        <f>IF(ElevCalc!$V$1=0,"",INDEX(tk_JAMB,ElevCalc!$V$1))</f>
        <v/>
      </c>
      <c r="Z42" t="inlineStr">
        <is>
          <t>JAMB</t>
        </is>
      </c>
      <c r="AA42">
        <f>IF(ElevCalc!$AA$1=0,"",INDEX(tk_JAMB,ElevCalc!$AA$1))</f>
        <v/>
      </c>
      <c r="AE42" t="inlineStr">
        <is>
          <t>JAMB</t>
        </is>
      </c>
      <c r="AF42">
        <f>IF(ElevCalc!$AF$1=0,"",INDEX(tk_JAMB,ElevCalc!$AF$1))</f>
        <v/>
      </c>
    </row>
    <row r="43">
      <c r="A43" t="inlineStr">
        <is>
          <t>DMAT</t>
        </is>
      </c>
      <c r="B43">
        <f>IF(ElevCalc!$B$1=0,"",INDEX(tk_DMAT,ElevCalc!$B$1)&amp;"")</f>
        <v/>
      </c>
      <c r="F43" t="inlineStr">
        <is>
          <t>DMAT</t>
        </is>
      </c>
      <c r="G43">
        <f>IF(ElevCalc!$G$1=0,"",INDEX(tk_DMAT,ElevCalc!$G$1)&amp;"")</f>
        <v/>
      </c>
      <c r="K43" t="inlineStr">
        <is>
          <t>DMAT</t>
        </is>
      </c>
      <c r="L43">
        <f>IF(ElevCalc!$L$1=0,"",INDEX(tk_DMAT,ElevCalc!$L$1)&amp;"")</f>
        <v/>
      </c>
      <c r="P43" t="inlineStr">
        <is>
          <t>DMAT</t>
        </is>
      </c>
      <c r="Q43">
        <f>IF(ElevCalc!$Q$1=0,"",INDEX(tk_DMAT,ElevCalc!$Q$1)&amp;"")</f>
        <v/>
      </c>
      <c r="U43" t="inlineStr">
        <is>
          <t>DMAT</t>
        </is>
      </c>
      <c r="V43">
        <f>IF(ElevCalc!$V$1=0,"",INDEX(tk_DMAT,ElevCalc!$V$1)&amp;"")</f>
        <v/>
      </c>
      <c r="Z43" t="inlineStr">
        <is>
          <t>DMAT</t>
        </is>
      </c>
      <c r="AA43">
        <f>IF(ElevCalc!$AA$1=0,"",INDEX(tk_DMAT,ElevCalc!$AA$1)&amp;"")</f>
        <v/>
      </c>
      <c r="AE43" t="inlineStr">
        <is>
          <t>DMAT</t>
        </is>
      </c>
      <c r="AF43">
        <f>IF(ElevCalc!$AF$1=0,"",INDEX(tk_DMAT,ElevCalc!$AF$1)&amp;"")</f>
        <v/>
      </c>
    </row>
    <row r="44">
      <c r="A44" t="inlineStr">
        <is>
          <t>LOCK</t>
        </is>
      </c>
      <c r="B44">
        <f>IF(ElevCalc!$B$1=0,"",INDEX(tk_LOCK,ElevCalc!$B$1)&amp;"")</f>
        <v/>
      </c>
      <c r="F44" t="inlineStr">
        <is>
          <t>LOCK</t>
        </is>
      </c>
      <c r="G44">
        <f>IF(ElevCalc!$G$1=0,"",INDEX(tk_LOCK,ElevCalc!$G$1)&amp;"")</f>
        <v/>
      </c>
      <c r="K44" t="inlineStr">
        <is>
          <t>LOCK</t>
        </is>
      </c>
      <c r="L44">
        <f>IF(ElevCalc!$L$1=0,"",INDEX(tk_LOCK,ElevCalc!$L$1)&amp;"")</f>
        <v/>
      </c>
      <c r="P44" t="inlineStr">
        <is>
          <t>LOCK</t>
        </is>
      </c>
      <c r="Q44">
        <f>IF(ElevCalc!$Q$1=0,"",INDEX(tk_LOCK,ElevCalc!$Q$1)&amp;"")</f>
        <v/>
      </c>
      <c r="U44" t="inlineStr">
        <is>
          <t>LOCK</t>
        </is>
      </c>
      <c r="V44">
        <f>IF(ElevCalc!$V$1=0,"",INDEX(tk_LOCK,ElevCalc!$V$1)&amp;"")</f>
        <v/>
      </c>
      <c r="Z44" t="inlineStr">
        <is>
          <t>LOCK</t>
        </is>
      </c>
      <c r="AA44">
        <f>IF(ElevCalc!$AA$1=0,"",INDEX(tk_LOCK,ElevCalc!$AA$1)&amp;"")</f>
        <v/>
      </c>
      <c r="AE44" t="inlineStr">
        <is>
          <t>LOCK</t>
        </is>
      </c>
      <c r="AF44">
        <f>IF(ElevCalc!$AF$1=0,"",INDEX(tk_LOCK,ElevCalc!$AF$1)&amp;"")</f>
        <v/>
      </c>
    </row>
    <row r="45">
      <c r="A45" t="inlineStr">
        <is>
          <t>STRIKE</t>
        </is>
      </c>
      <c r="B45">
        <f>IF(ElevCalc!$B$1=0,"",INDEX(tk_STRIKE,ElevCalc!$B$1)&amp;"")</f>
        <v/>
      </c>
      <c r="F45" t="inlineStr">
        <is>
          <t>STRIKE</t>
        </is>
      </c>
      <c r="G45">
        <f>IF(ElevCalc!$G$1=0,"",INDEX(tk_STRIKE,ElevCalc!$G$1)&amp;"")</f>
        <v/>
      </c>
      <c r="K45" t="inlineStr">
        <is>
          <t>STRIKE</t>
        </is>
      </c>
      <c r="L45">
        <f>IF(ElevCalc!$L$1=0,"",INDEX(tk_STRIKE,ElevCalc!$L$1)&amp;"")</f>
        <v/>
      </c>
      <c r="P45" t="inlineStr">
        <is>
          <t>STRIKE</t>
        </is>
      </c>
      <c r="Q45">
        <f>IF(ElevCalc!$Q$1=0,"",INDEX(tk_STRIKE,ElevCalc!$Q$1)&amp;"")</f>
        <v/>
      </c>
      <c r="U45" t="inlineStr">
        <is>
          <t>STRIKE</t>
        </is>
      </c>
      <c r="V45">
        <f>IF(ElevCalc!$V$1=0,"",INDEX(tk_STRIKE,ElevCalc!$V$1)&amp;"")</f>
        <v/>
      </c>
      <c r="Z45" t="inlineStr">
        <is>
          <t>STRIKE</t>
        </is>
      </c>
      <c r="AA45">
        <f>IF(ElevCalc!$AA$1=0,"",INDEX(tk_STRIKE,ElevCalc!$AA$1)&amp;"")</f>
        <v/>
      </c>
      <c r="AE45" t="inlineStr">
        <is>
          <t>STRIKE</t>
        </is>
      </c>
      <c r="AF45">
        <f>IF(ElevCalc!$AF$1=0,"",INDEX(tk_STRIKE,ElevCalc!$AF$1)&amp;"")</f>
        <v/>
      </c>
    </row>
    <row r="46">
      <c r="A46" t="inlineStr">
        <is>
          <t>H1</t>
        </is>
      </c>
      <c r="B46">
        <f>IF(ElevCalc!$B$1=0,"",INDEX(tk_H1,ElevCalc!$B$1))</f>
        <v/>
      </c>
      <c r="F46" t="inlineStr">
        <is>
          <t>H1</t>
        </is>
      </c>
      <c r="G46">
        <f>IF(ElevCalc!$G$1=0,"",INDEX(tk_H1,ElevCalc!$G$1))</f>
        <v/>
      </c>
      <c r="K46" t="inlineStr">
        <is>
          <t>H1</t>
        </is>
      </c>
      <c r="L46">
        <f>IF(ElevCalc!$L$1=0,"",INDEX(tk_H1,ElevCalc!$L$1))</f>
        <v/>
      </c>
      <c r="P46" t="inlineStr">
        <is>
          <t>H1</t>
        </is>
      </c>
      <c r="Q46">
        <f>IF(ElevCalc!$Q$1=0,"",INDEX(tk_H1,ElevCalc!$Q$1))</f>
        <v/>
      </c>
      <c r="U46" t="inlineStr">
        <is>
          <t>H1</t>
        </is>
      </c>
      <c r="V46">
        <f>IF(ElevCalc!$V$1=0,"",INDEX(tk_H1,ElevCalc!$V$1))</f>
        <v/>
      </c>
      <c r="Z46" t="inlineStr">
        <is>
          <t>H1</t>
        </is>
      </c>
      <c r="AA46">
        <f>IF(ElevCalc!$AA$1=0,"",INDEX(tk_H1,ElevCalc!$AA$1))</f>
        <v/>
      </c>
      <c r="AE46" t="inlineStr">
        <is>
          <t>H1</t>
        </is>
      </c>
      <c r="AF46">
        <f>IF(ElevCalc!$AF$1=0,"",INDEX(tk_H1,ElevCalc!$AF$1))</f>
        <v/>
      </c>
    </row>
    <row r="47">
      <c r="A47" t="inlineStr">
        <is>
          <t>H2</t>
        </is>
      </c>
      <c r="B47">
        <f>IF(ElevCalc!$B$1=0,"",INDEX(tk_H2,ElevCalc!$B$1))</f>
        <v/>
      </c>
      <c r="F47" t="inlineStr">
        <is>
          <t>H2</t>
        </is>
      </c>
      <c r="G47">
        <f>IF(ElevCalc!$G$1=0,"",INDEX(tk_H2,ElevCalc!$G$1))</f>
        <v/>
      </c>
      <c r="K47" t="inlineStr">
        <is>
          <t>H2</t>
        </is>
      </c>
      <c r="L47">
        <f>IF(ElevCalc!$L$1=0,"",INDEX(tk_H2,ElevCalc!$L$1))</f>
        <v/>
      </c>
      <c r="P47" t="inlineStr">
        <is>
          <t>H2</t>
        </is>
      </c>
      <c r="Q47">
        <f>IF(ElevCalc!$Q$1=0,"",INDEX(tk_H2,ElevCalc!$Q$1))</f>
        <v/>
      </c>
      <c r="U47" t="inlineStr">
        <is>
          <t>H2</t>
        </is>
      </c>
      <c r="V47">
        <f>IF(ElevCalc!$V$1=0,"",INDEX(tk_H2,ElevCalc!$V$1))</f>
        <v/>
      </c>
      <c r="Z47" t="inlineStr">
        <is>
          <t>H2</t>
        </is>
      </c>
      <c r="AA47">
        <f>IF(ElevCalc!$AA$1=0,"",INDEX(tk_H2,ElevCalc!$AA$1))</f>
        <v/>
      </c>
      <c r="AE47" t="inlineStr">
        <is>
          <t>H2</t>
        </is>
      </c>
      <c r="AF47">
        <f>IF(ElevCalc!$AF$1=0,"",INDEX(tk_H2,ElevCalc!$AF$1))</f>
        <v/>
      </c>
    </row>
    <row r="48">
      <c r="A48" t="inlineStr">
        <is>
          <t>H3</t>
        </is>
      </c>
      <c r="B48">
        <f>IF(ElevCalc!$B$1=0,"",INDEX(tk_H3,ElevCalc!$B$1))</f>
        <v/>
      </c>
      <c r="F48" t="inlineStr">
        <is>
          <t>H3</t>
        </is>
      </c>
      <c r="G48">
        <f>IF(ElevCalc!$G$1=0,"",INDEX(tk_H3,ElevCalc!$G$1))</f>
        <v/>
      </c>
      <c r="K48" t="inlineStr">
        <is>
          <t>H3</t>
        </is>
      </c>
      <c r="L48">
        <f>IF(ElevCalc!$L$1=0,"",INDEX(tk_H3,ElevCalc!$L$1))</f>
        <v/>
      </c>
      <c r="P48" t="inlineStr">
        <is>
          <t>H3</t>
        </is>
      </c>
      <c r="Q48">
        <f>IF(ElevCalc!$Q$1=0,"",INDEX(tk_H3,ElevCalc!$Q$1))</f>
        <v/>
      </c>
      <c r="U48" t="inlineStr">
        <is>
          <t>H3</t>
        </is>
      </c>
      <c r="V48">
        <f>IF(ElevCalc!$V$1=0,"",INDEX(tk_H3,ElevCalc!$V$1))</f>
        <v/>
      </c>
      <c r="Z48" t="inlineStr">
        <is>
          <t>H3</t>
        </is>
      </c>
      <c r="AA48">
        <f>IF(ElevCalc!$AA$1=0,"",INDEX(tk_H3,ElevCalc!$AA$1))</f>
        <v/>
      </c>
      <c r="AE48" t="inlineStr">
        <is>
          <t>H3</t>
        </is>
      </c>
      <c r="AF48">
        <f>IF(ElevCalc!$AF$1=0,"",INDEX(tk_H3,ElevCalc!$AF$1))</f>
        <v/>
      </c>
    </row>
    <row r="49">
      <c r="A49" t="inlineStr">
        <is>
          <t>H4</t>
        </is>
      </c>
      <c r="B49">
        <f>IF(ElevCalc!$B$1=0,"",INDEX(tk_H4,ElevCalc!$B$1))</f>
        <v/>
      </c>
      <c r="F49" t="inlineStr">
        <is>
          <t>H4</t>
        </is>
      </c>
      <c r="G49">
        <f>IF(ElevCalc!$G$1=0,"",INDEX(tk_H4,ElevCalc!$G$1))</f>
        <v/>
      </c>
      <c r="K49" t="inlineStr">
        <is>
          <t>H4</t>
        </is>
      </c>
      <c r="L49">
        <f>IF(ElevCalc!$L$1=0,"",INDEX(tk_H4,ElevCalc!$L$1))</f>
        <v/>
      </c>
      <c r="P49" t="inlineStr">
        <is>
          <t>H4</t>
        </is>
      </c>
      <c r="Q49">
        <f>IF(ElevCalc!$Q$1=0,"",INDEX(tk_H4,ElevCalc!$Q$1))</f>
        <v/>
      </c>
      <c r="U49" t="inlineStr">
        <is>
          <t>H4</t>
        </is>
      </c>
      <c r="V49">
        <f>IF(ElevCalc!$V$1=0,"",INDEX(tk_H4,ElevCalc!$V$1))</f>
        <v/>
      </c>
      <c r="Z49" t="inlineStr">
        <is>
          <t>H4</t>
        </is>
      </c>
      <c r="AA49">
        <f>IF(ElevCalc!$AA$1=0,"",INDEX(tk_H4,ElevCalc!$AA$1))</f>
        <v/>
      </c>
      <c r="AE49" t="inlineStr">
        <is>
          <t>H4</t>
        </is>
      </c>
      <c r="AF49">
        <f>IF(ElevCalc!$AF$1=0,"",INDEX(tk_H4,ElevCalc!$AF$1))</f>
        <v/>
      </c>
    </row>
    <row r="50">
      <c r="A50" t="inlineStr">
        <is>
          <t>H5</t>
        </is>
      </c>
      <c r="B50">
        <f>IF(ElevCalc!$B$1=0,"",INDEX(tk_H5,ElevCalc!$B$1))</f>
        <v/>
      </c>
      <c r="F50" t="inlineStr">
        <is>
          <t>H5</t>
        </is>
      </c>
      <c r="G50">
        <f>IF(ElevCalc!$G$1=0,"",INDEX(tk_H5,ElevCalc!$G$1))</f>
        <v/>
      </c>
      <c r="K50" t="inlineStr">
        <is>
          <t>H5</t>
        </is>
      </c>
      <c r="L50">
        <f>IF(ElevCalc!$L$1=0,"",INDEX(tk_H5,ElevCalc!$L$1))</f>
        <v/>
      </c>
      <c r="P50" t="inlineStr">
        <is>
          <t>H5</t>
        </is>
      </c>
      <c r="Q50">
        <f>IF(ElevCalc!$Q$1=0,"",INDEX(tk_H5,ElevCalc!$Q$1))</f>
        <v/>
      </c>
      <c r="U50" t="inlineStr">
        <is>
          <t>H5</t>
        </is>
      </c>
      <c r="V50">
        <f>IF(ElevCalc!$V$1=0,"",INDEX(tk_H5,ElevCalc!$V$1))</f>
        <v/>
      </c>
      <c r="Z50" t="inlineStr">
        <is>
          <t>H5</t>
        </is>
      </c>
      <c r="AA50">
        <f>IF(ElevCalc!$AA$1=0,"",INDEX(tk_H5,ElevCalc!$AA$1))</f>
        <v/>
      </c>
      <c r="AE50" t="inlineStr">
        <is>
          <t>H5</t>
        </is>
      </c>
      <c r="AF50">
        <f>IF(ElevCalc!$AF$1=0,"",INDEX(tk_H5,ElevCalc!$AF$1))</f>
        <v/>
      </c>
    </row>
    <row r="51">
      <c r="A51" t="inlineStr">
        <is>
          <t>HE</t>
        </is>
      </c>
      <c r="B51">
        <f>IF(ElevCalc!$B$1=0,"",INDEX(tk_HE,ElevCalc!$B$1))</f>
        <v/>
      </c>
      <c r="F51" t="inlineStr">
        <is>
          <t>HE</t>
        </is>
      </c>
      <c r="G51">
        <f>IF(ElevCalc!$G$1=0,"",INDEX(tk_HE,ElevCalc!$G$1))</f>
        <v/>
      </c>
      <c r="K51" t="inlineStr">
        <is>
          <t>HE</t>
        </is>
      </c>
      <c r="L51">
        <f>IF(ElevCalc!$L$1=0,"",INDEX(tk_HE,ElevCalc!$L$1))</f>
        <v/>
      </c>
      <c r="P51" t="inlineStr">
        <is>
          <t>HE</t>
        </is>
      </c>
      <c r="Q51">
        <f>IF(ElevCalc!$Q$1=0,"",INDEX(tk_HE,ElevCalc!$Q$1))</f>
        <v/>
      </c>
      <c r="U51" t="inlineStr">
        <is>
          <t>HE</t>
        </is>
      </c>
      <c r="V51">
        <f>IF(ElevCalc!$V$1=0,"",INDEX(tk_HE,ElevCalc!$V$1))</f>
        <v/>
      </c>
      <c r="Z51" t="inlineStr">
        <is>
          <t>HE</t>
        </is>
      </c>
      <c r="AA51">
        <f>IF(ElevCalc!$AA$1=0,"",INDEX(tk_HE,ElevCalc!$AA$1))</f>
        <v/>
      </c>
      <c r="AE51" t="inlineStr">
        <is>
          <t>HE</t>
        </is>
      </c>
      <c r="AF51">
        <f>IF(ElevCalc!$AF$1=0,"",INDEX(tk_HE,ElevCalc!$AF$1))</f>
        <v/>
      </c>
    </row>
    <row r="52">
      <c r="A52" t="inlineStr">
        <is>
          <t>LOCKAFF</t>
        </is>
      </c>
      <c r="B52">
        <f>IF(ElevCalc!$B$1=0,"",INDEX(tk_LOCKAFF,ElevCalc!$B$1))</f>
        <v/>
      </c>
      <c r="F52" t="inlineStr">
        <is>
          <t>LOCKAFF</t>
        </is>
      </c>
      <c r="G52">
        <f>IF(ElevCalc!$G$1=0,"",INDEX(tk_LOCKAFF,ElevCalc!$G$1))</f>
        <v/>
      </c>
      <c r="K52" t="inlineStr">
        <is>
          <t>LOCKAFF</t>
        </is>
      </c>
      <c r="L52">
        <f>IF(ElevCalc!$L$1=0,"",INDEX(tk_LOCKAFF,ElevCalc!$L$1))</f>
        <v/>
      </c>
      <c r="P52" t="inlineStr">
        <is>
          <t>LOCKAFF</t>
        </is>
      </c>
      <c r="Q52">
        <f>IF(ElevCalc!$Q$1=0,"",INDEX(tk_LOCKAFF,ElevCalc!$Q$1))</f>
        <v/>
      </c>
      <c r="U52" t="inlineStr">
        <is>
          <t>LOCKAFF</t>
        </is>
      </c>
      <c r="V52">
        <f>IF(ElevCalc!$V$1=0,"",INDEX(tk_LOCKAFF,ElevCalc!$V$1))</f>
        <v/>
      </c>
      <c r="Z52" t="inlineStr">
        <is>
          <t>LOCKAFF</t>
        </is>
      </c>
      <c r="AA52">
        <f>IF(ElevCalc!$AA$1=0,"",INDEX(tk_LOCKAFF,ElevCalc!$AA$1))</f>
        <v/>
      </c>
      <c r="AE52" t="inlineStr">
        <is>
          <t>LOCKAFF</t>
        </is>
      </c>
      <c r="AF52">
        <f>IF(ElevCalc!$AF$1=0,"",INDEX(tk_LOCKAFF,ElevCalc!$AF$1))</f>
        <v/>
      </c>
    </row>
    <row r="53">
      <c r="A53" t="inlineStr">
        <is>
          <t>HL</t>
        </is>
      </c>
      <c r="B53">
        <f>IF(ElevCalc!$B$1=0,"",INDEX(tk_HL,ElevCalc!$B$1))</f>
        <v/>
      </c>
      <c r="F53" t="inlineStr">
        <is>
          <t>HL</t>
        </is>
      </c>
      <c r="G53">
        <f>IF(ElevCalc!$G$1=0,"",INDEX(tk_HL,ElevCalc!$G$1))</f>
        <v/>
      </c>
      <c r="K53" t="inlineStr">
        <is>
          <t>HL</t>
        </is>
      </c>
      <c r="L53">
        <f>IF(ElevCalc!$L$1=0,"",INDEX(tk_HL,ElevCalc!$L$1))</f>
        <v/>
      </c>
      <c r="P53" t="inlineStr">
        <is>
          <t>HL</t>
        </is>
      </c>
      <c r="Q53">
        <f>IF(ElevCalc!$Q$1=0,"",INDEX(tk_HL,ElevCalc!$Q$1))</f>
        <v/>
      </c>
      <c r="U53" t="inlineStr">
        <is>
          <t>HL</t>
        </is>
      </c>
      <c r="V53">
        <f>IF(ElevCalc!$V$1=0,"",INDEX(tk_HL,ElevCalc!$V$1))</f>
        <v/>
      </c>
      <c r="Z53" t="inlineStr">
        <is>
          <t>HL</t>
        </is>
      </c>
      <c r="AA53">
        <f>IF(ElevCalc!$AA$1=0,"",INDEX(tk_HL,ElevCalc!$AA$1))</f>
        <v/>
      </c>
      <c r="AE53" t="inlineStr">
        <is>
          <t>HL</t>
        </is>
      </c>
      <c r="AF53">
        <f>IF(ElevCalc!$AF$1=0,"",INDEX(tk_HL,ElevCalc!$AF$1))</f>
        <v/>
      </c>
    </row>
    <row r="54">
      <c r="A54" t="inlineStr">
        <is>
          <t>LSRC</t>
        </is>
      </c>
      <c r="B54">
        <f>IF(ElevCalc!$B$1=0,"",INDEX(tk_LSRC,ElevCalc!$B$1)&amp;"")</f>
        <v/>
      </c>
      <c r="F54" t="inlineStr">
        <is>
          <t>LSRC</t>
        </is>
      </c>
      <c r="G54">
        <f>IF(ElevCalc!$G$1=0,"",INDEX(tk_LSRC,ElevCalc!$G$1)&amp;"")</f>
        <v/>
      </c>
      <c r="K54" t="inlineStr">
        <is>
          <t>LSRC</t>
        </is>
      </c>
      <c r="L54">
        <f>IF(ElevCalc!$L$1=0,"",INDEX(tk_LSRC,ElevCalc!$L$1)&amp;"")</f>
        <v/>
      </c>
      <c r="P54" t="inlineStr">
        <is>
          <t>LSRC</t>
        </is>
      </c>
      <c r="Q54">
        <f>IF(ElevCalc!$Q$1=0,"",INDEX(tk_LSRC,ElevCalc!$Q$1)&amp;"")</f>
        <v/>
      </c>
      <c r="U54" t="inlineStr">
        <is>
          <t>LSRC</t>
        </is>
      </c>
      <c r="V54">
        <f>IF(ElevCalc!$V$1=0,"",INDEX(tk_LSRC,ElevCalc!$V$1)&amp;"")</f>
        <v/>
      </c>
      <c r="Z54" t="inlineStr">
        <is>
          <t>LSRC</t>
        </is>
      </c>
      <c r="AA54">
        <f>IF(ElevCalc!$AA$1=0,"",INDEX(tk_LSRC,ElevCalc!$AA$1)&amp;"")</f>
        <v/>
      </c>
      <c r="AE54" t="inlineStr">
        <is>
          <t>LSRC</t>
        </is>
      </c>
      <c r="AF54">
        <f>IF(ElevCalc!$AF$1=0,"",INDEX(tk_LSRC,ElevCalc!$AF$1)&amp;"")</f>
        <v/>
      </c>
    </row>
    <row r="55">
      <c r="A55" t="inlineStr">
        <is>
          <t>LABEL</t>
        </is>
      </c>
      <c r="B55">
        <f>IF(ElevCalc!$B$1=0,"",INDEX(tk_LABEL,ElevCalc!$B$1)&amp;"")</f>
        <v/>
      </c>
      <c r="F55" t="inlineStr">
        <is>
          <t>LABEL</t>
        </is>
      </c>
      <c r="G55">
        <f>IF(ElevCalc!$G$1=0,"",INDEX(tk_LABEL,ElevCalc!$G$1)&amp;"")</f>
        <v/>
      </c>
      <c r="K55" t="inlineStr">
        <is>
          <t>LABEL</t>
        </is>
      </c>
      <c r="L55">
        <f>IF(ElevCalc!$L$1=0,"",INDEX(tk_LABEL,ElevCalc!$L$1)&amp;"")</f>
        <v/>
      </c>
      <c r="P55" t="inlineStr">
        <is>
          <t>LABEL</t>
        </is>
      </c>
      <c r="Q55">
        <f>IF(ElevCalc!$Q$1=0,"",INDEX(tk_LABEL,ElevCalc!$Q$1)&amp;"")</f>
        <v/>
      </c>
      <c r="U55" t="inlineStr">
        <is>
          <t>LABEL</t>
        </is>
      </c>
      <c r="V55">
        <f>IF(ElevCalc!$V$1=0,"",INDEX(tk_LABEL,ElevCalc!$V$1)&amp;"")</f>
        <v/>
      </c>
      <c r="Z55" t="inlineStr">
        <is>
          <t>LABEL</t>
        </is>
      </c>
      <c r="AA55">
        <f>IF(ElevCalc!$AA$1=0,"",INDEX(tk_LABEL,ElevCalc!$AA$1)&amp;"")</f>
        <v/>
      </c>
      <c r="AE55" t="inlineStr">
        <is>
          <t>LABEL</t>
        </is>
      </c>
      <c r="AF55">
        <f>IF(ElevCalc!$AF$1=0,"",INDEX(tk_LABEL,ElevCalc!$AF$1)&amp;"")</f>
        <v/>
      </c>
    </row>
    <row r="56">
      <c r="A56" t="inlineStr">
        <is>
          <t>ANCH</t>
        </is>
      </c>
      <c r="B56">
        <f>IF(ElevCalc!$B$1=0,"",INDEX(tk_ANCH,ElevCalc!$B$1))</f>
        <v/>
      </c>
      <c r="F56" t="inlineStr">
        <is>
          <t>ANCH</t>
        </is>
      </c>
      <c r="G56">
        <f>IF(ElevCalc!$G$1=0,"",INDEX(tk_ANCH,ElevCalc!$G$1))</f>
        <v/>
      </c>
      <c r="K56" t="inlineStr">
        <is>
          <t>ANCH</t>
        </is>
      </c>
      <c r="L56">
        <f>IF(ElevCalc!$L$1=0,"",INDEX(tk_ANCH,ElevCalc!$L$1))</f>
        <v/>
      </c>
      <c r="P56" t="inlineStr">
        <is>
          <t>ANCH</t>
        </is>
      </c>
      <c r="Q56">
        <f>IF(ElevCalc!$Q$1=0,"",INDEX(tk_ANCH,ElevCalc!$Q$1))</f>
        <v/>
      </c>
      <c r="U56" t="inlineStr">
        <is>
          <t>ANCH</t>
        </is>
      </c>
      <c r="V56">
        <f>IF(ElevCalc!$V$1=0,"",INDEX(tk_ANCH,ElevCalc!$V$1))</f>
        <v/>
      </c>
      <c r="Z56" t="inlineStr">
        <is>
          <t>ANCH</t>
        </is>
      </c>
      <c r="AA56">
        <f>IF(ElevCalc!$AA$1=0,"",INDEX(tk_ANCH,ElevCalc!$AA$1))</f>
        <v/>
      </c>
      <c r="AE56" t="inlineStr">
        <is>
          <t>ANCH</t>
        </is>
      </c>
      <c r="AF56">
        <f>IF(ElevCalc!$AF$1=0,"",INDEX(tk_ANCH,ElevCalc!$AF$1))</f>
        <v/>
      </c>
    </row>
    <row r="57">
      <c r="A57" t="inlineStr">
        <is>
          <t>ANCHT</t>
        </is>
      </c>
      <c r="B57">
        <f>IF(ElevCalc!$B$1=0,"",INDEX(tk_ANCHT,ElevCalc!$B$1))</f>
        <v/>
      </c>
      <c r="F57" t="inlineStr">
        <is>
          <t>ANCHT</t>
        </is>
      </c>
      <c r="G57">
        <f>IF(ElevCalc!$G$1=0,"",INDEX(tk_ANCHT,ElevCalc!$G$1))</f>
        <v/>
      </c>
      <c r="K57" t="inlineStr">
        <is>
          <t>ANCHT</t>
        </is>
      </c>
      <c r="L57">
        <f>IF(ElevCalc!$L$1=0,"",INDEX(tk_ANCHT,ElevCalc!$L$1))</f>
        <v/>
      </c>
      <c r="P57" t="inlineStr">
        <is>
          <t>ANCHT</t>
        </is>
      </c>
      <c r="Q57">
        <f>IF(ElevCalc!$Q$1=0,"",INDEX(tk_ANCHT,ElevCalc!$Q$1))</f>
        <v/>
      </c>
      <c r="U57" t="inlineStr">
        <is>
          <t>ANCHT</t>
        </is>
      </c>
      <c r="V57">
        <f>IF(ElevCalc!$V$1=0,"",INDEX(tk_ANCHT,ElevCalc!$V$1))</f>
        <v/>
      </c>
      <c r="Z57" t="inlineStr">
        <is>
          <t>ANCHT</t>
        </is>
      </c>
      <c r="AA57">
        <f>IF(ElevCalc!$AA$1=0,"",INDEX(tk_ANCHT,ElevCalc!$AA$1))</f>
        <v/>
      </c>
      <c r="AE57" t="inlineStr">
        <is>
          <t>ANCHT</t>
        </is>
      </c>
      <c r="AF57">
        <f>IF(ElevCalc!$AF$1=0,"",INDEX(tk_ANCHT,ElevCalc!$AF$1))</f>
        <v/>
      </c>
    </row>
    <row r="58">
      <c r="A58" t="inlineStr">
        <is>
          <t>BASEA</t>
        </is>
      </c>
      <c r="B58">
        <f>IF(ElevCalc!$B$1=0,"",INDEX(tk_BASEA,ElevCalc!$B$1))</f>
        <v/>
      </c>
      <c r="F58" t="inlineStr">
        <is>
          <t>BASEA</t>
        </is>
      </c>
      <c r="G58">
        <f>IF(ElevCalc!$G$1=0,"",INDEX(tk_BASEA,ElevCalc!$G$1))</f>
        <v/>
      </c>
      <c r="K58" t="inlineStr">
        <is>
          <t>BASEA</t>
        </is>
      </c>
      <c r="L58">
        <f>IF(ElevCalc!$L$1=0,"",INDEX(tk_BASEA,ElevCalc!$L$1))</f>
        <v/>
      </c>
      <c r="P58" t="inlineStr">
        <is>
          <t>BASEA</t>
        </is>
      </c>
      <c r="Q58">
        <f>IF(ElevCalc!$Q$1=0,"",INDEX(tk_BASEA,ElevCalc!$Q$1))</f>
        <v/>
      </c>
      <c r="U58" t="inlineStr">
        <is>
          <t>BASEA</t>
        </is>
      </c>
      <c r="V58">
        <f>IF(ElevCalc!$V$1=0,"",INDEX(tk_BASEA,ElevCalc!$V$1))</f>
        <v/>
      </c>
      <c r="Z58" t="inlineStr">
        <is>
          <t>BASEA</t>
        </is>
      </c>
      <c r="AA58">
        <f>IF(ElevCalc!$AA$1=0,"",INDEX(tk_BASEA,ElevCalc!$AA$1))</f>
        <v/>
      </c>
      <c r="AE58" t="inlineStr">
        <is>
          <t>BASEA</t>
        </is>
      </c>
      <c r="AF58">
        <f>IF(ElevCalc!$AF$1=0,"",INDEX(tk_BASEA,ElevCalc!$AF$1))</f>
        <v/>
      </c>
    </row>
    <row r="59">
      <c r="A59" t="inlineStr">
        <is>
          <t>LOCTXT</t>
        </is>
      </c>
      <c r="B59">
        <f>IF(ElevCalc!$B$1=0,"",INDEX(tk_LOCTXT,ElevCalc!$B$1)&amp;"")</f>
        <v/>
      </c>
      <c r="F59" t="inlineStr">
        <is>
          <t>LOCTXT</t>
        </is>
      </c>
      <c r="G59">
        <f>IF(ElevCalc!$G$1=0,"",INDEX(tk_LOCTXT,ElevCalc!$G$1)&amp;"")</f>
        <v/>
      </c>
      <c r="K59" t="inlineStr">
        <is>
          <t>LOCTXT</t>
        </is>
      </c>
      <c r="L59">
        <f>IF(ElevCalc!$L$1=0,"",INDEX(tk_LOCTXT,ElevCalc!$L$1)&amp;"")</f>
        <v/>
      </c>
      <c r="P59" t="inlineStr">
        <is>
          <t>LOCTXT</t>
        </is>
      </c>
      <c r="Q59">
        <f>IF(ElevCalc!$Q$1=0,"",INDEX(tk_LOCTXT,ElevCalc!$Q$1)&amp;"")</f>
        <v/>
      </c>
      <c r="U59" t="inlineStr">
        <is>
          <t>LOCTXT</t>
        </is>
      </c>
      <c r="V59">
        <f>IF(ElevCalc!$V$1=0,"",INDEX(tk_LOCTXT,ElevCalc!$V$1)&amp;"")</f>
        <v/>
      </c>
      <c r="Z59" t="inlineStr">
        <is>
          <t>LOCTXT</t>
        </is>
      </c>
      <c r="AA59">
        <f>IF(ElevCalc!$AA$1=0,"",INDEX(tk_LOCTXT,ElevCalc!$AA$1)&amp;"")</f>
        <v/>
      </c>
      <c r="AE59" t="inlineStr">
        <is>
          <t>LOCTXT</t>
        </is>
      </c>
      <c r="AF59">
        <f>IF(ElevCalc!$AF$1=0,"",INDEX(tk_LOCTXT,ElevCalc!$AF$1)&amp;"")</f>
        <v/>
      </c>
    </row>
    <row r="60">
      <c r="A60" t="inlineStr">
        <is>
          <t>LOCTXTD</t>
        </is>
      </c>
      <c r="B60">
        <f>IF(ElevCalc!$B$1=0,"",INDEX(tk_LOCTXTD,ElevCalc!$B$1)&amp;"")</f>
        <v/>
      </c>
      <c r="F60" t="inlineStr">
        <is>
          <t>LOCTXTD</t>
        </is>
      </c>
      <c r="G60">
        <f>IF(ElevCalc!$G$1=0,"",INDEX(tk_LOCTXTD,ElevCalc!$G$1)&amp;"")</f>
        <v/>
      </c>
      <c r="K60" t="inlineStr">
        <is>
          <t>LOCTXTD</t>
        </is>
      </c>
      <c r="L60">
        <f>IF(ElevCalc!$L$1=0,"",INDEX(tk_LOCTXTD,ElevCalc!$L$1)&amp;"")</f>
        <v/>
      </c>
      <c r="P60" t="inlineStr">
        <is>
          <t>LOCTXTD</t>
        </is>
      </c>
      <c r="Q60">
        <f>IF(ElevCalc!$Q$1=0,"",INDEX(tk_LOCTXTD,ElevCalc!$Q$1)&amp;"")</f>
        <v/>
      </c>
      <c r="U60" t="inlineStr">
        <is>
          <t>LOCTXTD</t>
        </is>
      </c>
      <c r="V60">
        <f>IF(ElevCalc!$V$1=0,"",INDEX(tk_LOCTXTD,ElevCalc!$V$1)&amp;"")</f>
        <v/>
      </c>
      <c r="Z60" t="inlineStr">
        <is>
          <t>LOCTXTD</t>
        </is>
      </c>
      <c r="AA60">
        <f>IF(ElevCalc!$AA$1=0,"",INDEX(tk_LOCTXTD,ElevCalc!$AA$1)&amp;"")</f>
        <v/>
      </c>
      <c r="AE60" t="inlineStr">
        <is>
          <t>LOCTXTD</t>
        </is>
      </c>
      <c r="AF60">
        <f>IF(ElevCalc!$AF$1=0,"",INDEX(tk_LOCTXTD,ElevCalc!$AF$1)&amp;"")</f>
        <v/>
      </c>
    </row>
    <row r="61">
      <c r="A61" t="inlineStr">
        <is>
          <t>LCUST</t>
        </is>
      </c>
      <c r="B61">
        <f>IF(ElevCalc!$B$1=0,"",INDEX(tk_LCUST,ElevCalc!$B$1))</f>
        <v/>
      </c>
      <c r="F61" t="inlineStr">
        <is>
          <t>LCUST</t>
        </is>
      </c>
      <c r="G61">
        <f>IF(ElevCalc!$G$1=0,"",INDEX(tk_LCUST,ElevCalc!$G$1))</f>
        <v/>
      </c>
      <c r="K61" t="inlineStr">
        <is>
          <t>LCUST</t>
        </is>
      </c>
      <c r="L61">
        <f>IF(ElevCalc!$L$1=0,"",INDEX(tk_LCUST,ElevCalc!$L$1))</f>
        <v/>
      </c>
      <c r="P61" t="inlineStr">
        <is>
          <t>LCUST</t>
        </is>
      </c>
      <c r="Q61">
        <f>IF(ElevCalc!$Q$1=0,"",INDEX(tk_LCUST,ElevCalc!$Q$1))</f>
        <v/>
      </c>
      <c r="U61" t="inlineStr">
        <is>
          <t>LCUST</t>
        </is>
      </c>
      <c r="V61">
        <f>IF(ElevCalc!$V$1=0,"",INDEX(tk_LCUST,ElevCalc!$V$1))</f>
        <v/>
      </c>
      <c r="Z61" t="inlineStr">
        <is>
          <t>LCUST</t>
        </is>
      </c>
      <c r="AA61">
        <f>IF(ElevCalc!$AA$1=0,"",INDEX(tk_LCUST,ElevCalc!$AA$1))</f>
        <v/>
      </c>
      <c r="AE61" t="inlineStr">
        <is>
          <t>LCUST</t>
        </is>
      </c>
      <c r="AF61">
        <f>IF(ElevCalc!$AF$1=0,"",INDEX(tk_LCUST,ElevCalc!$AF$1))</f>
        <v/>
      </c>
    </row>
    <row r="62">
      <c r="A62" t="inlineStr">
        <is>
          <t>DGA</t>
        </is>
      </c>
      <c r="B62">
        <f>IF(ElevCalc!$B$1=0,"",INDEX(tk_DGA,ElevCalc!$B$1))</f>
        <v/>
      </c>
      <c r="F62" t="inlineStr">
        <is>
          <t>DGA</t>
        </is>
      </c>
      <c r="G62">
        <f>IF(ElevCalc!$G$1=0,"",INDEX(tk_DGA,ElevCalc!$G$1))</f>
        <v/>
      </c>
      <c r="K62" t="inlineStr">
        <is>
          <t>DGA</t>
        </is>
      </c>
      <c r="L62">
        <f>IF(ElevCalc!$L$1=0,"",INDEX(tk_DGA,ElevCalc!$L$1))</f>
        <v/>
      </c>
      <c r="P62" t="inlineStr">
        <is>
          <t>DGA</t>
        </is>
      </c>
      <c r="Q62">
        <f>IF(ElevCalc!$Q$1=0,"",INDEX(tk_DGA,ElevCalc!$Q$1))</f>
        <v/>
      </c>
      <c r="U62" t="inlineStr">
        <is>
          <t>DGA</t>
        </is>
      </c>
      <c r="V62">
        <f>IF(ElevCalc!$V$1=0,"",INDEX(tk_DGA,ElevCalc!$V$1))</f>
        <v/>
      </c>
      <c r="Z62" t="inlineStr">
        <is>
          <t>DGA</t>
        </is>
      </c>
      <c r="AA62">
        <f>IF(ElevCalc!$AA$1=0,"",INDEX(tk_DGA,ElevCalc!$AA$1))</f>
        <v/>
      </c>
      <c r="AE62" t="inlineStr">
        <is>
          <t>DGA</t>
        </is>
      </c>
      <c r="AF62">
        <f>IF(ElevCalc!$AF$1=0,"",INDEX(tk_DGA,ElevCalc!$AF$1))</f>
        <v/>
      </c>
    </row>
    <row r="63">
      <c r="A63" t="inlineStr">
        <is>
          <t>FGA</t>
        </is>
      </c>
      <c r="B63">
        <f>IF(ElevCalc!$B$1=0,"",INDEX(tk_FGA,ElevCalc!$B$1))</f>
        <v/>
      </c>
      <c r="F63" t="inlineStr">
        <is>
          <t>FGA</t>
        </is>
      </c>
      <c r="G63">
        <f>IF(ElevCalc!$G$1=0,"",INDEX(tk_FGA,ElevCalc!$G$1))</f>
        <v/>
      </c>
      <c r="K63" t="inlineStr">
        <is>
          <t>FGA</t>
        </is>
      </c>
      <c r="L63">
        <f>IF(ElevCalc!$L$1=0,"",INDEX(tk_FGA,ElevCalc!$L$1))</f>
        <v/>
      </c>
      <c r="P63" t="inlineStr">
        <is>
          <t>FGA</t>
        </is>
      </c>
      <c r="Q63">
        <f>IF(ElevCalc!$Q$1=0,"",INDEX(tk_FGA,ElevCalc!$Q$1))</f>
        <v/>
      </c>
      <c r="U63" t="inlineStr">
        <is>
          <t>FGA</t>
        </is>
      </c>
      <c r="V63">
        <f>IF(ElevCalc!$V$1=0,"",INDEX(tk_FGA,ElevCalc!$V$1))</f>
        <v/>
      </c>
      <c r="Z63" t="inlineStr">
        <is>
          <t>FGA</t>
        </is>
      </c>
      <c r="AA63">
        <f>IF(ElevCalc!$AA$1=0,"",INDEX(tk_FGA,ElevCalc!$AA$1))</f>
        <v/>
      </c>
      <c r="AE63" t="inlineStr">
        <is>
          <t>FGA</t>
        </is>
      </c>
      <c r="AF63">
        <f>IF(ElevCalc!$AF$1=0,"",INDEX(tk_FGA,ElevCalc!$AF$1))</f>
        <v/>
      </c>
    </row>
    <row r="64">
      <c r="A64" t="inlineStr">
        <is>
          <t>STEEL</t>
        </is>
      </c>
      <c r="B64">
        <f>IF(ElevCalc!$B$1=0,"",INDEX(tk_STEEL,ElevCalc!$B$1)&amp;"")</f>
        <v/>
      </c>
      <c r="F64" t="inlineStr">
        <is>
          <t>STEEL</t>
        </is>
      </c>
      <c r="G64">
        <f>IF(ElevCalc!$G$1=0,"",INDEX(tk_STEEL,ElevCalc!$G$1)&amp;"")</f>
        <v/>
      </c>
      <c r="K64" t="inlineStr">
        <is>
          <t>STEEL</t>
        </is>
      </c>
      <c r="L64">
        <f>IF(ElevCalc!$L$1=0,"",INDEX(tk_STEEL,ElevCalc!$L$1)&amp;"")</f>
        <v/>
      </c>
      <c r="P64" t="inlineStr">
        <is>
          <t>STEEL</t>
        </is>
      </c>
      <c r="Q64">
        <f>IF(ElevCalc!$Q$1=0,"",INDEX(tk_STEEL,ElevCalc!$Q$1)&amp;"")</f>
        <v/>
      </c>
      <c r="U64" t="inlineStr">
        <is>
          <t>STEEL</t>
        </is>
      </c>
      <c r="V64">
        <f>IF(ElevCalc!$V$1=0,"",INDEX(tk_STEEL,ElevCalc!$V$1)&amp;"")</f>
        <v/>
      </c>
      <c r="Z64" t="inlineStr">
        <is>
          <t>STEEL</t>
        </is>
      </c>
      <c r="AA64">
        <f>IF(ElevCalc!$AA$1=0,"",INDEX(tk_STEEL,ElevCalc!$AA$1)&amp;"")</f>
        <v/>
      </c>
      <c r="AE64" t="inlineStr">
        <is>
          <t>STEEL</t>
        </is>
      </c>
      <c r="AF64">
        <f>IF(ElevCalc!$AF$1=0,"",INDEX(tk_STEEL,ElevCalc!$AF$1)&amp;"")</f>
        <v/>
      </c>
    </row>
    <row r="65">
      <c r="A65" t="inlineStr">
        <is>
          <t>ANCHOR</t>
        </is>
      </c>
      <c r="B65">
        <f>IF(ElevCalc!$B$1=0,"",INDEX(tk_ANCHOR,ElevCalc!$B$1)&amp;"")</f>
        <v/>
      </c>
      <c r="F65" t="inlineStr">
        <is>
          <t>ANCHOR</t>
        </is>
      </c>
      <c r="G65">
        <f>IF(ElevCalc!$G$1=0,"",INDEX(tk_ANCHOR,ElevCalc!$G$1)&amp;"")</f>
        <v/>
      </c>
      <c r="K65" t="inlineStr">
        <is>
          <t>ANCHOR</t>
        </is>
      </c>
      <c r="L65">
        <f>IF(ElevCalc!$L$1=0,"",INDEX(tk_ANCHOR,ElevCalc!$L$1)&amp;"")</f>
        <v/>
      </c>
      <c r="P65" t="inlineStr">
        <is>
          <t>ANCHOR</t>
        </is>
      </c>
      <c r="Q65">
        <f>IF(ElevCalc!$Q$1=0,"",INDEX(tk_ANCHOR,ElevCalc!$Q$1)&amp;"")</f>
        <v/>
      </c>
      <c r="U65" t="inlineStr">
        <is>
          <t>ANCHOR</t>
        </is>
      </c>
      <c r="V65">
        <f>IF(ElevCalc!$V$1=0,"",INDEX(tk_ANCHOR,ElevCalc!$V$1)&amp;"")</f>
        <v/>
      </c>
      <c r="Z65" t="inlineStr">
        <is>
          <t>ANCHOR</t>
        </is>
      </c>
      <c r="AA65">
        <f>IF(ElevCalc!$AA$1=0,"",INDEX(tk_ANCHOR,ElevCalc!$AA$1)&amp;"")</f>
        <v/>
      </c>
      <c r="AE65" t="inlineStr">
        <is>
          <t>ANCHOR</t>
        </is>
      </c>
      <c r="AF65">
        <f>IF(ElevCalc!$AF$1=0,"",INDEX(tk_ANCHOR,ElevCalc!$AF$1)&amp;"")</f>
        <v/>
      </c>
    </row>
    <row r="66">
      <c r="A66" t="inlineStr">
        <is>
          <t>CAT</t>
        </is>
      </c>
      <c r="B66">
        <f>IF(ElevCalc!$B$1=0,"",INDEX(tk_CAT,ElevCalc!$B$1)&amp;"")</f>
        <v/>
      </c>
      <c r="F66" t="inlineStr">
        <is>
          <t>CAT</t>
        </is>
      </c>
      <c r="G66">
        <f>IF(ElevCalc!$G$1=0,"",INDEX(tk_CAT,ElevCalc!$G$1)&amp;"")</f>
        <v/>
      </c>
      <c r="K66" t="inlineStr">
        <is>
          <t>CAT</t>
        </is>
      </c>
      <c r="L66">
        <f>IF(ElevCalc!$L$1=0,"",INDEX(tk_CAT,ElevCalc!$L$1)&amp;"")</f>
        <v/>
      </c>
      <c r="P66" t="inlineStr">
        <is>
          <t>CAT</t>
        </is>
      </c>
      <c r="Q66">
        <f>IF(ElevCalc!$Q$1=0,"",INDEX(tk_CAT,ElevCalc!$Q$1)&amp;"")</f>
        <v/>
      </c>
      <c r="U66" t="inlineStr">
        <is>
          <t>CAT</t>
        </is>
      </c>
      <c r="V66">
        <f>IF(ElevCalc!$V$1=0,"",INDEX(tk_CAT,ElevCalc!$V$1)&amp;"")</f>
        <v/>
      </c>
      <c r="Z66" t="inlineStr">
        <is>
          <t>CAT</t>
        </is>
      </c>
      <c r="AA66">
        <f>IF(ElevCalc!$AA$1=0,"",INDEX(tk_CAT,ElevCalc!$AA$1)&amp;"")</f>
        <v/>
      </c>
      <c r="AE66" t="inlineStr">
        <is>
          <t>CAT</t>
        </is>
      </c>
      <c r="AF66">
        <f>IF(ElevCalc!$AF$1=0,"",INDEX(tk_CAT,ElevCalc!$AF$1)&amp;"")</f>
        <v/>
      </c>
    </row>
    <row r="67">
      <c r="A67" t="inlineStr">
        <is>
          <t>WALL</t>
        </is>
      </c>
      <c r="B67">
        <f>IF(ElevCalc!$B$1=0,"",INDEX(tk_WALL,ElevCalc!$B$1)&amp;"")</f>
        <v/>
      </c>
      <c r="F67" t="inlineStr">
        <is>
          <t>WALL</t>
        </is>
      </c>
      <c r="G67">
        <f>IF(ElevCalc!$G$1=0,"",INDEX(tk_WALL,ElevCalc!$G$1)&amp;"")</f>
        <v/>
      </c>
      <c r="K67" t="inlineStr">
        <is>
          <t>WALL</t>
        </is>
      </c>
      <c r="L67">
        <f>IF(ElevCalc!$L$1=0,"",INDEX(tk_WALL,ElevCalc!$L$1)&amp;"")</f>
        <v/>
      </c>
      <c r="P67" t="inlineStr">
        <is>
          <t>WALL</t>
        </is>
      </c>
      <c r="Q67">
        <f>IF(ElevCalc!$Q$1=0,"",INDEX(tk_WALL,ElevCalc!$Q$1)&amp;"")</f>
        <v/>
      </c>
      <c r="U67" t="inlineStr">
        <is>
          <t>WALL</t>
        </is>
      </c>
      <c r="V67">
        <f>IF(ElevCalc!$V$1=0,"",INDEX(tk_WALL,ElevCalc!$V$1)&amp;"")</f>
        <v/>
      </c>
      <c r="Z67" t="inlineStr">
        <is>
          <t>WALL</t>
        </is>
      </c>
      <c r="AA67">
        <f>IF(ElevCalc!$AA$1=0,"",INDEX(tk_WALL,ElevCalc!$AA$1)&amp;"")</f>
        <v/>
      </c>
      <c r="AE67" t="inlineStr">
        <is>
          <t>WALL</t>
        </is>
      </c>
      <c r="AF67">
        <f>IF(ElevCalc!$AF$1=0,"",INDEX(tk_WALL,ElevCalc!$AF$1)&amp;"")</f>
        <v/>
      </c>
    </row>
    <row r="68">
      <c r="A68" t="inlineStr">
        <is>
          <t>WALLHR</t>
        </is>
      </c>
      <c r="B68">
        <f>IF(ElevCalc!$B$1=0,"",INDEX(tk_WALLHR,ElevCalc!$B$1))</f>
        <v/>
      </c>
      <c r="F68" t="inlineStr">
        <is>
          <t>WALLHR</t>
        </is>
      </c>
      <c r="G68">
        <f>IF(ElevCalc!$G$1=0,"",INDEX(tk_WALLHR,ElevCalc!$G$1))</f>
        <v/>
      </c>
      <c r="K68" t="inlineStr">
        <is>
          <t>WALLHR</t>
        </is>
      </c>
      <c r="L68">
        <f>IF(ElevCalc!$L$1=0,"",INDEX(tk_WALLHR,ElevCalc!$L$1))</f>
        <v/>
      </c>
      <c r="P68" t="inlineStr">
        <is>
          <t>WALLHR</t>
        </is>
      </c>
      <c r="Q68">
        <f>IF(ElevCalc!$Q$1=0,"",INDEX(tk_WALLHR,ElevCalc!$Q$1))</f>
        <v/>
      </c>
      <c r="U68" t="inlineStr">
        <is>
          <t>WALLHR</t>
        </is>
      </c>
      <c r="V68">
        <f>IF(ElevCalc!$V$1=0,"",INDEX(tk_WALLHR,ElevCalc!$V$1))</f>
        <v/>
      </c>
      <c r="Z68" t="inlineStr">
        <is>
          <t>WALLHR</t>
        </is>
      </c>
      <c r="AA68">
        <f>IF(ElevCalc!$AA$1=0,"",INDEX(tk_WALLHR,ElevCalc!$AA$1))</f>
        <v/>
      </c>
      <c r="AE68" t="inlineStr">
        <is>
          <t>WALLHR</t>
        </is>
      </c>
      <c r="AF68">
        <f>IF(ElevCalc!$AF$1=0,"",INDEX(tk_WALLHR,ElevCalc!$AF$1))</f>
        <v/>
      </c>
    </row>
    <row r="69">
      <c r="A69" t="inlineStr">
        <is>
          <t>NH</t>
        </is>
      </c>
      <c r="B69">
        <f>IF(ElevCalc!$B$1=0,"",INDEX(tk_NH,ElevCalc!$B$1))</f>
        <v/>
      </c>
      <c r="F69" t="inlineStr">
        <is>
          <t>NH</t>
        </is>
      </c>
      <c r="G69">
        <f>IF(ElevCalc!$G$1=0,"",INDEX(tk_NH,ElevCalc!$G$1))</f>
        <v/>
      </c>
      <c r="K69" t="inlineStr">
        <is>
          <t>NH</t>
        </is>
      </c>
      <c r="L69">
        <f>IF(ElevCalc!$L$1=0,"",INDEX(tk_NH,ElevCalc!$L$1))</f>
        <v/>
      </c>
      <c r="P69" t="inlineStr">
        <is>
          <t>NH</t>
        </is>
      </c>
      <c r="Q69">
        <f>IF(ElevCalc!$Q$1=0,"",INDEX(tk_NH,ElevCalc!$Q$1))</f>
        <v/>
      </c>
      <c r="U69" t="inlineStr">
        <is>
          <t>NH</t>
        </is>
      </c>
      <c r="V69">
        <f>IF(ElevCalc!$V$1=0,"",INDEX(tk_NH,ElevCalc!$V$1))</f>
        <v/>
      </c>
      <c r="Z69" t="inlineStr">
        <is>
          <t>NH</t>
        </is>
      </c>
      <c r="AA69">
        <f>IF(ElevCalc!$AA$1=0,"",INDEX(tk_NH,ElevCalc!$AA$1))</f>
        <v/>
      </c>
      <c r="AE69" t="inlineStr">
        <is>
          <t>NH</t>
        </is>
      </c>
      <c r="AF69">
        <f>IF(ElevCalc!$AF$1=0,"",INDEX(tk_NH,ElevCalc!$AF$1))</f>
        <v/>
      </c>
    </row>
    <row r="70">
      <c r="A70" t="inlineStr">
        <is>
          <t>FLOOR</t>
        </is>
      </c>
      <c r="B70">
        <f>IF(ElevCalc!$B$1=0,"",INDEX(tk_FLOOR,ElevCalc!$B$1)&amp;"")</f>
        <v/>
      </c>
      <c r="F70" t="inlineStr">
        <is>
          <t>FLOOR</t>
        </is>
      </c>
      <c r="G70">
        <f>IF(ElevCalc!$G$1=0,"",INDEX(tk_FLOOR,ElevCalc!$G$1)&amp;"")</f>
        <v/>
      </c>
      <c r="K70" t="inlineStr">
        <is>
          <t>FLOOR</t>
        </is>
      </c>
      <c r="L70">
        <f>IF(ElevCalc!$L$1=0,"",INDEX(tk_FLOOR,ElevCalc!$L$1)&amp;"")</f>
        <v/>
      </c>
      <c r="P70" t="inlineStr">
        <is>
          <t>FLOOR</t>
        </is>
      </c>
      <c r="Q70">
        <f>IF(ElevCalc!$Q$1=0,"",INDEX(tk_FLOOR,ElevCalc!$Q$1)&amp;"")</f>
        <v/>
      </c>
      <c r="U70" t="inlineStr">
        <is>
          <t>FLOOR</t>
        </is>
      </c>
      <c r="V70">
        <f>IF(ElevCalc!$V$1=0,"",INDEX(tk_FLOOR,ElevCalc!$V$1)&amp;"")</f>
        <v/>
      </c>
      <c r="Z70" t="inlineStr">
        <is>
          <t>FLOOR</t>
        </is>
      </c>
      <c r="AA70">
        <f>IF(ElevCalc!$AA$1=0,"",INDEX(tk_FLOOR,ElevCalc!$AA$1)&amp;"")</f>
        <v/>
      </c>
      <c r="AE70" t="inlineStr">
        <is>
          <t>FLOOR</t>
        </is>
      </c>
      <c r="AF70">
        <f>IF(ElevCalc!$AF$1=0,"",INDEX(tk_FLOOR,ElevCalc!$AF$1)&amp;"")</f>
        <v/>
      </c>
    </row>
    <row r="71">
      <c r="A71" t="inlineStr">
        <is>
          <t>CODE</t>
        </is>
      </c>
      <c r="B71">
        <f>IF(ElevCalc!$B$1=0,"",INDEX(tk_CODE,ElevCalc!$B$1)&amp;"")</f>
        <v/>
      </c>
      <c r="F71" t="inlineStr">
        <is>
          <t>CODE</t>
        </is>
      </c>
      <c r="G71">
        <f>IF(ElevCalc!$G$1=0,"",INDEX(tk_CODE,ElevCalc!$G$1)&amp;"")</f>
        <v/>
      </c>
      <c r="K71" t="inlineStr">
        <is>
          <t>CODE</t>
        </is>
      </c>
      <c r="L71">
        <f>IF(ElevCalc!$L$1=0,"",INDEX(tk_CODE,ElevCalc!$L$1)&amp;"")</f>
        <v/>
      </c>
      <c r="P71" t="inlineStr">
        <is>
          <t>CODE</t>
        </is>
      </c>
      <c r="Q71">
        <f>IF(ElevCalc!$Q$1=0,"",INDEX(tk_CODE,ElevCalc!$Q$1)&amp;"")</f>
        <v/>
      </c>
      <c r="U71" t="inlineStr">
        <is>
          <t>CODE</t>
        </is>
      </c>
      <c r="V71">
        <f>IF(ElevCalc!$V$1=0,"",INDEX(tk_CODE,ElevCalc!$V$1)&amp;"")</f>
        <v/>
      </c>
      <c r="Z71" t="inlineStr">
        <is>
          <t>CODE</t>
        </is>
      </c>
      <c r="AA71">
        <f>IF(ElevCalc!$AA$1=0,"",INDEX(tk_CODE,ElevCalc!$AA$1)&amp;"")</f>
        <v/>
      </c>
      <c r="AE71" t="inlineStr">
        <is>
          <t>CODE</t>
        </is>
      </c>
      <c r="AF71">
        <f>IF(ElevCalc!$AF$1=0,"",INDEX(tk_CODE,ElevCalc!$AF$1)&amp;"")</f>
        <v/>
      </c>
    </row>
    <row r="72">
      <c r="A72" t="inlineStr">
        <is>
          <t>HWLOC</t>
        </is>
      </c>
      <c r="B72">
        <f>IF(ElevCalc!$B$1=0,"",INDEX(tk_HWLOC,ElevCalc!$B$1)&amp;"")</f>
        <v/>
      </c>
      <c r="F72" t="inlineStr">
        <is>
          <t>HWLOC</t>
        </is>
      </c>
      <c r="G72">
        <f>IF(ElevCalc!$G$1=0,"",INDEX(tk_HWLOC,ElevCalc!$G$1)&amp;"")</f>
        <v/>
      </c>
      <c r="K72" t="inlineStr">
        <is>
          <t>HWLOC</t>
        </is>
      </c>
      <c r="L72">
        <f>IF(ElevCalc!$L$1=0,"",INDEX(tk_HWLOC,ElevCalc!$L$1)&amp;"")</f>
        <v/>
      </c>
      <c r="P72" t="inlineStr">
        <is>
          <t>HWLOC</t>
        </is>
      </c>
      <c r="Q72">
        <f>IF(ElevCalc!$Q$1=0,"",INDEX(tk_HWLOC,ElevCalc!$Q$1)&amp;"")</f>
        <v/>
      </c>
      <c r="U72" t="inlineStr">
        <is>
          <t>HWLOC</t>
        </is>
      </c>
      <c r="V72">
        <f>IF(ElevCalc!$V$1=0,"",INDEX(tk_HWLOC,ElevCalc!$V$1)&amp;"")</f>
        <v/>
      </c>
      <c r="Z72" t="inlineStr">
        <is>
          <t>HWLOC</t>
        </is>
      </c>
      <c r="AA72">
        <f>IF(ElevCalc!$AA$1=0,"",INDEX(tk_HWLOC,ElevCalc!$AA$1)&amp;"")</f>
        <v/>
      </c>
      <c r="AE72" t="inlineStr">
        <is>
          <t>HWLOC</t>
        </is>
      </c>
      <c r="AF72">
        <f>IF(ElevCalc!$AF$1=0,"",INDEX(tk_HWLOC,ElevCalc!$AF$1)&amp;"")</f>
        <v/>
      </c>
    </row>
    <row r="73">
      <c r="A73" t="inlineStr">
        <is>
          <t>ok</t>
        </is>
      </c>
      <c r="B73">
        <f>AND(ElevCalc!$B$1&gt;0,N(ElevCalc!$B$18)&gt;0,N(ElevCalc!$B$19)&gt;0)</f>
        <v/>
      </c>
      <c r="F73" t="inlineStr">
        <is>
          <t>ok</t>
        </is>
      </c>
      <c r="G73">
        <f>AND(ElevCalc!$G$1&gt;0,N(ElevCalc!$G$18)&gt;0,N(ElevCalc!$G$19)&gt;0)</f>
        <v/>
      </c>
      <c r="K73" t="inlineStr">
        <is>
          <t>ok</t>
        </is>
      </c>
      <c r="L73">
        <f>AND(ElevCalc!$L$1&gt;0,N(ElevCalc!$L$18)&gt;0,N(ElevCalc!$L$19)&gt;0)</f>
        <v/>
      </c>
      <c r="P73" t="inlineStr">
        <is>
          <t>ok</t>
        </is>
      </c>
      <c r="Q73">
        <f>AND(ElevCalc!$Q$1&gt;0,N(ElevCalc!$Q$18)&gt;0,N(ElevCalc!$Q$19)&gt;0)</f>
        <v/>
      </c>
      <c r="U73" t="inlineStr">
        <is>
          <t>ok</t>
        </is>
      </c>
      <c r="V73">
        <f>AND(ElevCalc!$V$1&gt;0,N(ElevCalc!$V$18)&gt;0,N(ElevCalc!$V$19)&gt;0)</f>
        <v/>
      </c>
      <c r="Z73" t="inlineStr">
        <is>
          <t>ok</t>
        </is>
      </c>
      <c r="AA73">
        <f>AND(ElevCalc!$AA$1&gt;0,N(ElevCalc!$AA$18)&gt;0,N(ElevCalc!$AA$19)&gt;0)</f>
        <v/>
      </c>
      <c r="AE73" t="inlineStr">
        <is>
          <t>ok</t>
        </is>
      </c>
      <c r="AF73">
        <f>AND(ElevCalc!$AF$1&gt;0,N(ElevCalc!$AF$18)&gt;0,N(ElevCalc!$AF$19)&gt;0)</f>
        <v/>
      </c>
    </row>
    <row r="74">
      <c r="A74" t="inlineStr">
        <is>
          <t>W</t>
        </is>
      </c>
      <c r="B74">
        <f>N(ElevCalc!$B$18)</f>
        <v/>
      </c>
      <c r="F74" t="inlineStr">
        <is>
          <t>W</t>
        </is>
      </c>
      <c r="G74">
        <f>N(ElevCalc!$G$18)</f>
        <v/>
      </c>
      <c r="K74" t="inlineStr">
        <is>
          <t>W</t>
        </is>
      </c>
      <c r="L74">
        <f>N(ElevCalc!$L$18)</f>
        <v/>
      </c>
      <c r="P74" t="inlineStr">
        <is>
          <t>W</t>
        </is>
      </c>
      <c r="Q74">
        <f>N(ElevCalc!$Q$18)</f>
        <v/>
      </c>
      <c r="U74" t="inlineStr">
        <is>
          <t>W</t>
        </is>
      </c>
      <c r="V74">
        <f>N(ElevCalc!$V$18)</f>
        <v/>
      </c>
      <c r="Z74" t="inlineStr">
        <is>
          <t>W</t>
        </is>
      </c>
      <c r="AA74">
        <f>N(ElevCalc!$AA$18)</f>
        <v/>
      </c>
      <c r="AE74" t="inlineStr">
        <is>
          <t>W</t>
        </is>
      </c>
      <c r="AF74">
        <f>N(ElevCalc!$AF$18)</f>
        <v/>
      </c>
    </row>
    <row r="75">
      <c r="A75" t="inlineStr">
        <is>
          <t>H</t>
        </is>
      </c>
      <c r="B75">
        <f>N(ElevCalc!$B$19)</f>
        <v/>
      </c>
      <c r="F75" t="inlineStr">
        <is>
          <t>H</t>
        </is>
      </c>
      <c r="G75">
        <f>N(ElevCalc!$G$19)</f>
        <v/>
      </c>
      <c r="K75" t="inlineStr">
        <is>
          <t>H</t>
        </is>
      </c>
      <c r="L75">
        <f>N(ElevCalc!$L$19)</f>
        <v/>
      </c>
      <c r="P75" t="inlineStr">
        <is>
          <t>H</t>
        </is>
      </c>
      <c r="Q75">
        <f>N(ElevCalc!$Q$19)</f>
        <v/>
      </c>
      <c r="U75" t="inlineStr">
        <is>
          <t>H</t>
        </is>
      </c>
      <c r="V75">
        <f>N(ElevCalc!$V$19)</f>
        <v/>
      </c>
      <c r="Z75" t="inlineStr">
        <is>
          <t>H</t>
        </is>
      </c>
      <c r="AA75">
        <f>N(ElevCalc!$AA$19)</f>
        <v/>
      </c>
      <c r="AE75" t="inlineStr">
        <is>
          <t>H</t>
        </is>
      </c>
      <c r="AF75">
        <f>N(ElevCalc!$AF$19)</f>
        <v/>
      </c>
    </row>
    <row r="76">
      <c r="A76" t="inlineStr">
        <is>
          <t>jf</t>
        </is>
      </c>
      <c r="B76">
        <f>FaceW</f>
        <v/>
      </c>
      <c r="F76" t="inlineStr">
        <is>
          <t>jf</t>
        </is>
      </c>
      <c r="G76">
        <f>FaceW</f>
        <v/>
      </c>
      <c r="K76" t="inlineStr">
        <is>
          <t>jf</t>
        </is>
      </c>
      <c r="L76">
        <f>FaceW</f>
        <v/>
      </c>
      <c r="P76" t="inlineStr">
        <is>
          <t>jf</t>
        </is>
      </c>
      <c r="Q76">
        <f>FaceW</f>
        <v/>
      </c>
      <c r="U76" t="inlineStr">
        <is>
          <t>jf</t>
        </is>
      </c>
      <c r="V76">
        <f>FaceW</f>
        <v/>
      </c>
      <c r="Z76" t="inlineStr">
        <is>
          <t>jf</t>
        </is>
      </c>
      <c r="AA76">
        <f>FaceW</f>
        <v/>
      </c>
      <c r="AE76" t="inlineStr">
        <is>
          <t>jf</t>
        </is>
      </c>
      <c r="AF76">
        <f>FaceW</f>
        <v/>
      </c>
    </row>
    <row r="77">
      <c r="A77" t="inlineStr">
        <is>
          <t>hf</t>
        </is>
      </c>
      <c r="B77">
        <f>IF(ElevCalc!$B$8="Y",4,FaceW)</f>
        <v/>
      </c>
      <c r="F77" t="inlineStr">
        <is>
          <t>hf</t>
        </is>
      </c>
      <c r="G77">
        <f>IF(ElevCalc!$G$8="Y",4,FaceW)</f>
        <v/>
      </c>
      <c r="K77" t="inlineStr">
        <is>
          <t>hf</t>
        </is>
      </c>
      <c r="L77">
        <f>IF(ElevCalc!$L$8="Y",4,FaceW)</f>
        <v/>
      </c>
      <c r="P77" t="inlineStr">
        <is>
          <t>hf</t>
        </is>
      </c>
      <c r="Q77">
        <f>IF(ElevCalc!$Q$8="Y",4,FaceW)</f>
        <v/>
      </c>
      <c r="U77" t="inlineStr">
        <is>
          <t>hf</t>
        </is>
      </c>
      <c r="V77">
        <f>IF(ElevCalc!$V$8="Y",4,FaceW)</f>
        <v/>
      </c>
      <c r="Z77" t="inlineStr">
        <is>
          <t>hf</t>
        </is>
      </c>
      <c r="AA77">
        <f>IF(ElevCalc!$AA$8="Y",4,FaceW)</f>
        <v/>
      </c>
      <c r="AE77" t="inlineStr">
        <is>
          <t>hf</t>
        </is>
      </c>
      <c r="AF77">
        <f>IF(ElevCalc!$AF$8="Y",4,FaceW)</f>
        <v/>
      </c>
    </row>
    <row r="78">
      <c r="A78" t="inlineStr">
        <is>
          <t>ml</t>
        </is>
      </c>
      <c r="B78">
        <f>FaceW</f>
        <v/>
      </c>
      <c r="F78" t="inlineStr">
        <is>
          <t>ml</t>
        </is>
      </c>
      <c r="G78">
        <f>FaceW</f>
        <v/>
      </c>
      <c r="K78" t="inlineStr">
        <is>
          <t>ml</t>
        </is>
      </c>
      <c r="L78">
        <f>FaceW</f>
        <v/>
      </c>
      <c r="P78" t="inlineStr">
        <is>
          <t>ml</t>
        </is>
      </c>
      <c r="Q78">
        <f>FaceW</f>
        <v/>
      </c>
      <c r="U78" t="inlineStr">
        <is>
          <t>ml</t>
        </is>
      </c>
      <c r="V78">
        <f>FaceW</f>
        <v/>
      </c>
      <c r="Z78" t="inlineStr">
        <is>
          <t>ml</t>
        </is>
      </c>
      <c r="AA78">
        <f>FaceW</f>
        <v/>
      </c>
      <c r="AE78" t="inlineStr">
        <is>
          <t>ml</t>
        </is>
      </c>
      <c r="AF78">
        <f>FaceW</f>
        <v/>
      </c>
    </row>
    <row r="79">
      <c r="A79" t="inlineStr">
        <is>
          <t>closed</t>
        </is>
      </c>
      <c r="B79">
        <f>IF(OR(ElevCalc!$B$4="4F",ElevCalc!$B$4="BL"),1,0)</f>
        <v/>
      </c>
      <c r="F79" t="inlineStr">
        <is>
          <t>closed</t>
        </is>
      </c>
      <c r="G79">
        <f>IF(OR(ElevCalc!$G$4="4F",ElevCalc!$G$4="BL"),1,0)</f>
        <v/>
      </c>
      <c r="K79" t="inlineStr">
        <is>
          <t>closed</t>
        </is>
      </c>
      <c r="L79">
        <f>IF(OR(ElevCalc!$L$4="4F",ElevCalc!$L$4="BL"),1,0)</f>
        <v/>
      </c>
      <c r="P79" t="inlineStr">
        <is>
          <t>closed</t>
        </is>
      </c>
      <c r="Q79">
        <f>IF(OR(ElevCalc!$Q$4="4F",ElevCalc!$Q$4="BL"),1,0)</f>
        <v/>
      </c>
      <c r="U79" t="inlineStr">
        <is>
          <t>closed</t>
        </is>
      </c>
      <c r="V79">
        <f>IF(OR(ElevCalc!$V$4="4F",ElevCalc!$V$4="BL"),1,0)</f>
        <v/>
      </c>
      <c r="Z79" t="inlineStr">
        <is>
          <t>closed</t>
        </is>
      </c>
      <c r="AA79">
        <f>IF(OR(ElevCalc!$AA$4="4F",ElevCalc!$AA$4="BL"),1,0)</f>
        <v/>
      </c>
      <c r="AE79" t="inlineStr">
        <is>
          <t>closed</t>
        </is>
      </c>
      <c r="AF79">
        <f>IF(OR(ElevCalc!$AF$4="4F",ElevCalc!$AF$4="BL"),1,0)</f>
        <v/>
      </c>
    </row>
    <row r="80">
      <c r="A80" t="inlineStr">
        <is>
          <t>bf</t>
        </is>
      </c>
      <c r="B80">
        <f>ElevCalc!$B$79*FaceW</f>
        <v/>
      </c>
      <c r="F80" t="inlineStr">
        <is>
          <t>bf</t>
        </is>
      </c>
      <c r="G80">
        <f>ElevCalc!$G$79*FaceW</f>
        <v/>
      </c>
      <c r="K80" t="inlineStr">
        <is>
          <t>bf</t>
        </is>
      </c>
      <c r="L80">
        <f>ElevCalc!$L$79*FaceW</f>
        <v/>
      </c>
      <c r="P80" t="inlineStr">
        <is>
          <t>bf</t>
        </is>
      </c>
      <c r="Q80">
        <f>ElevCalc!$Q$79*FaceW</f>
        <v/>
      </c>
      <c r="U80" t="inlineStr">
        <is>
          <t>bf</t>
        </is>
      </c>
      <c r="V80">
        <f>ElevCalc!$V$79*FaceW</f>
        <v/>
      </c>
      <c r="Z80" t="inlineStr">
        <is>
          <t>bf</t>
        </is>
      </c>
      <c r="AA80">
        <f>ElevCalc!$AA$79*FaceW</f>
        <v/>
      </c>
      <c r="AE80" t="inlineStr">
        <is>
          <t>bf</t>
        </is>
      </c>
      <c r="AF80">
        <f>ElevCalc!$AF$79*FaceW</f>
        <v/>
      </c>
    </row>
    <row r="81">
      <c r="A81" t="inlineStr">
        <is>
          <t>tH</t>
        </is>
      </c>
      <c r="B81">
        <f>N(ElevCalc!$B$15)</f>
        <v/>
      </c>
      <c r="F81" t="inlineStr">
        <is>
          <t>tH</t>
        </is>
      </c>
      <c r="G81">
        <f>N(ElevCalc!$G$15)</f>
        <v/>
      </c>
      <c r="K81" t="inlineStr">
        <is>
          <t>tH</t>
        </is>
      </c>
      <c r="L81">
        <f>N(ElevCalc!$L$15)</f>
        <v/>
      </c>
      <c r="P81" t="inlineStr">
        <is>
          <t>tH</t>
        </is>
      </c>
      <c r="Q81">
        <f>N(ElevCalc!$Q$15)</f>
        <v/>
      </c>
      <c r="U81" t="inlineStr">
        <is>
          <t>tH</t>
        </is>
      </c>
      <c r="V81">
        <f>N(ElevCalc!$V$15)</f>
        <v/>
      </c>
      <c r="Z81" t="inlineStr">
        <is>
          <t>tH</t>
        </is>
      </c>
      <c r="AA81">
        <f>N(ElevCalc!$AA$15)</f>
        <v/>
      </c>
      <c r="AE81" t="inlineStr">
        <is>
          <t>tH</t>
        </is>
      </c>
      <c r="AF81">
        <f>N(ElevCalc!$AF$15)</f>
        <v/>
      </c>
    </row>
    <row r="82">
      <c r="A82" t="inlineStr">
        <is>
          <t>sW</t>
        </is>
      </c>
      <c r="B82">
        <f>N(ElevCalc!$B$16)</f>
        <v/>
      </c>
      <c r="F82" t="inlineStr">
        <is>
          <t>sW</t>
        </is>
      </c>
      <c r="G82">
        <f>N(ElevCalc!$G$16)</f>
        <v/>
      </c>
      <c r="K82" t="inlineStr">
        <is>
          <t>sW</t>
        </is>
      </c>
      <c r="L82">
        <f>N(ElevCalc!$L$16)</f>
        <v/>
      </c>
      <c r="P82" t="inlineStr">
        <is>
          <t>sW</t>
        </is>
      </c>
      <c r="Q82">
        <f>N(ElevCalc!$Q$16)</f>
        <v/>
      </c>
      <c r="U82" t="inlineStr">
        <is>
          <t>sW</t>
        </is>
      </c>
      <c r="V82">
        <f>N(ElevCalc!$V$16)</f>
        <v/>
      </c>
      <c r="Z82" t="inlineStr">
        <is>
          <t>sW</t>
        </is>
      </c>
      <c r="AA82">
        <f>N(ElevCalc!$AA$16)</f>
        <v/>
      </c>
      <c r="AE82" t="inlineStr">
        <is>
          <t>sW</t>
        </is>
      </c>
      <c r="AF82">
        <f>N(ElevCalc!$AF$16)</f>
        <v/>
      </c>
    </row>
    <row r="83">
      <c r="A83" t="inlineStr">
        <is>
          <t>sL</t>
        </is>
      </c>
      <c r="B83">
        <f>IF(AND(ElevCalc!$B$82&gt;0,OR(ElevCalc!$B$17="L",ElevCalc!$B$17="LR")),ElevCalc!$B$82,0)</f>
        <v/>
      </c>
      <c r="F83" t="inlineStr">
        <is>
          <t>sL</t>
        </is>
      </c>
      <c r="G83">
        <f>IF(AND(ElevCalc!$G$82&gt;0,OR(ElevCalc!$G$17="L",ElevCalc!$G$17="LR")),ElevCalc!$G$82,0)</f>
        <v/>
      </c>
      <c r="K83" t="inlineStr">
        <is>
          <t>sL</t>
        </is>
      </c>
      <c r="L83">
        <f>IF(AND(ElevCalc!$L$82&gt;0,OR(ElevCalc!$L$17="L",ElevCalc!$L$17="LR")),ElevCalc!$L$82,0)</f>
        <v/>
      </c>
      <c r="P83" t="inlineStr">
        <is>
          <t>sL</t>
        </is>
      </c>
      <c r="Q83">
        <f>IF(AND(ElevCalc!$Q$82&gt;0,OR(ElevCalc!$Q$17="L",ElevCalc!$Q$17="LR")),ElevCalc!$Q$82,0)</f>
        <v/>
      </c>
      <c r="U83" t="inlineStr">
        <is>
          <t>sL</t>
        </is>
      </c>
      <c r="V83">
        <f>IF(AND(ElevCalc!$V$82&gt;0,OR(ElevCalc!$V$17="L",ElevCalc!$V$17="LR")),ElevCalc!$V$82,0)</f>
        <v/>
      </c>
      <c r="Z83" t="inlineStr">
        <is>
          <t>sL</t>
        </is>
      </c>
      <c r="AA83">
        <f>IF(AND(ElevCalc!$AA$82&gt;0,OR(ElevCalc!$AA$17="L",ElevCalc!$AA$17="LR")),ElevCalc!$AA$82,0)</f>
        <v/>
      </c>
      <c r="AE83" t="inlineStr">
        <is>
          <t>sL</t>
        </is>
      </c>
      <c r="AF83">
        <f>IF(AND(ElevCalc!$AF$82&gt;0,OR(ElevCalc!$AF$17="L",ElevCalc!$AF$17="LR")),ElevCalc!$AF$82,0)</f>
        <v/>
      </c>
    </row>
    <row r="84">
      <c r="A84" t="inlineStr">
        <is>
          <t>sR</t>
        </is>
      </c>
      <c r="B84">
        <f>IF(AND(ElevCalc!$B$82&gt;0,ElevCalc!$B$17&lt;&gt;"L"),ElevCalc!$B$82,0)</f>
        <v/>
      </c>
      <c r="F84" t="inlineStr">
        <is>
          <t>sR</t>
        </is>
      </c>
      <c r="G84">
        <f>IF(AND(ElevCalc!$G$82&gt;0,ElevCalc!$G$17&lt;&gt;"L"),ElevCalc!$G$82,0)</f>
        <v/>
      </c>
      <c r="K84" t="inlineStr">
        <is>
          <t>sR</t>
        </is>
      </c>
      <c r="L84">
        <f>IF(AND(ElevCalc!$L$82&gt;0,ElevCalc!$L$17&lt;&gt;"L"),ElevCalc!$L$82,0)</f>
        <v/>
      </c>
      <c r="P84" t="inlineStr">
        <is>
          <t>sR</t>
        </is>
      </c>
      <c r="Q84">
        <f>IF(AND(ElevCalc!$Q$82&gt;0,ElevCalc!$Q$17&lt;&gt;"L"),ElevCalc!$Q$82,0)</f>
        <v/>
      </c>
      <c r="U84" t="inlineStr">
        <is>
          <t>sR</t>
        </is>
      </c>
      <c r="V84">
        <f>IF(AND(ElevCalc!$V$82&gt;0,ElevCalc!$V$17&lt;&gt;"L"),ElevCalc!$V$82,0)</f>
        <v/>
      </c>
      <c r="Z84" t="inlineStr">
        <is>
          <t>sR</t>
        </is>
      </c>
      <c r="AA84">
        <f>IF(AND(ElevCalc!$AA$82&gt;0,ElevCalc!$AA$17&lt;&gt;"L"),ElevCalc!$AA$82,0)</f>
        <v/>
      </c>
      <c r="AE84" t="inlineStr">
        <is>
          <t>sR</t>
        </is>
      </c>
      <c r="AF84">
        <f>IF(AND(ElevCalc!$AF$82&gt;0,ElevCalc!$AF$17&lt;&gt;"L"),ElevCalc!$AF$82,0)</f>
        <v/>
      </c>
    </row>
    <row r="85">
      <c r="A85" t="inlineStr">
        <is>
          <t>TW</t>
        </is>
      </c>
      <c r="B85">
        <f>2*ElevCalc!$B$76+ElevCalc!$B$74+IF(ElevCalc!$B$83&gt;0,ElevCalc!$B$83+ElevCalc!$B$78,0)+IF(ElevCalc!$B$84&gt;0,ElevCalc!$B$84+ElevCalc!$B$78,0)</f>
        <v/>
      </c>
      <c r="F85" t="inlineStr">
        <is>
          <t>TW</t>
        </is>
      </c>
      <c r="G85">
        <f>2*ElevCalc!$G$76+ElevCalc!$G$74+IF(ElevCalc!$G$83&gt;0,ElevCalc!$G$83+ElevCalc!$G$78,0)+IF(ElevCalc!$G$84&gt;0,ElevCalc!$G$84+ElevCalc!$G$78,0)</f>
        <v/>
      </c>
      <c r="K85" t="inlineStr">
        <is>
          <t>TW</t>
        </is>
      </c>
      <c r="L85">
        <f>2*ElevCalc!$L$76+ElevCalc!$L$74+IF(ElevCalc!$L$83&gt;0,ElevCalc!$L$83+ElevCalc!$L$78,0)+IF(ElevCalc!$L$84&gt;0,ElevCalc!$L$84+ElevCalc!$L$78,0)</f>
        <v/>
      </c>
      <c r="P85" t="inlineStr">
        <is>
          <t>TW</t>
        </is>
      </c>
      <c r="Q85">
        <f>2*ElevCalc!$Q$76+ElevCalc!$Q$74+IF(ElevCalc!$Q$83&gt;0,ElevCalc!$Q$83+ElevCalc!$Q$78,0)+IF(ElevCalc!$Q$84&gt;0,ElevCalc!$Q$84+ElevCalc!$Q$78,0)</f>
        <v/>
      </c>
      <c r="U85" t="inlineStr">
        <is>
          <t>TW</t>
        </is>
      </c>
      <c r="V85">
        <f>2*ElevCalc!$V$76+ElevCalc!$V$74+IF(ElevCalc!$V$83&gt;0,ElevCalc!$V$83+ElevCalc!$V$78,0)+IF(ElevCalc!$V$84&gt;0,ElevCalc!$V$84+ElevCalc!$V$78,0)</f>
        <v/>
      </c>
      <c r="Z85" t="inlineStr">
        <is>
          <t>TW</t>
        </is>
      </c>
      <c r="AA85">
        <f>2*ElevCalc!$AA$76+ElevCalc!$AA$74+IF(ElevCalc!$AA$83&gt;0,ElevCalc!$AA$83+ElevCalc!$AA$78,0)+IF(ElevCalc!$AA$84&gt;0,ElevCalc!$AA$84+ElevCalc!$AA$78,0)</f>
        <v/>
      </c>
      <c r="AE85" t="inlineStr">
        <is>
          <t>TW</t>
        </is>
      </c>
      <c r="AF85">
        <f>2*ElevCalc!$AF$76+ElevCalc!$AF$74+IF(ElevCalc!$AF$83&gt;0,ElevCalc!$AF$83+ElevCalc!$AF$78,0)+IF(ElevCalc!$AF$84&gt;0,ElevCalc!$AF$84+ElevCalc!$AF$78,0)</f>
        <v/>
      </c>
    </row>
    <row r="86">
      <c r="A86" t="inlineStr">
        <is>
          <t>TH</t>
        </is>
      </c>
      <c r="B86">
        <f>ElevCalc!$B$80+ElevCalc!$B$75+IF(ElevCalc!$B$81&gt;0,ElevCalc!$B$81+ElevCalc!$B$78,0)+ElevCalc!$B$77</f>
        <v/>
      </c>
      <c r="F86" t="inlineStr">
        <is>
          <t>TH</t>
        </is>
      </c>
      <c r="G86">
        <f>ElevCalc!$G$80+ElevCalc!$G$75+IF(ElevCalc!$G$81&gt;0,ElevCalc!$G$81+ElevCalc!$G$78,0)+ElevCalc!$G$77</f>
        <v/>
      </c>
      <c r="K86" t="inlineStr">
        <is>
          <t>TH</t>
        </is>
      </c>
      <c r="L86">
        <f>ElevCalc!$L$80+ElevCalc!$L$75+IF(ElevCalc!$L$81&gt;0,ElevCalc!$L$81+ElevCalc!$L$78,0)+ElevCalc!$L$77</f>
        <v/>
      </c>
      <c r="P86" t="inlineStr">
        <is>
          <t>TH</t>
        </is>
      </c>
      <c r="Q86">
        <f>ElevCalc!$Q$80+ElevCalc!$Q$75+IF(ElevCalc!$Q$81&gt;0,ElevCalc!$Q$81+ElevCalc!$Q$78,0)+ElevCalc!$Q$77</f>
        <v/>
      </c>
      <c r="U86" t="inlineStr">
        <is>
          <t>TH</t>
        </is>
      </c>
      <c r="V86">
        <f>ElevCalc!$V$80+ElevCalc!$V$75+IF(ElevCalc!$V$81&gt;0,ElevCalc!$V$81+ElevCalc!$V$78,0)+ElevCalc!$V$77</f>
        <v/>
      </c>
      <c r="Z86" t="inlineStr">
        <is>
          <t>TH</t>
        </is>
      </c>
      <c r="AA86">
        <f>ElevCalc!$AA$80+ElevCalc!$AA$75+IF(ElevCalc!$AA$81&gt;0,ElevCalc!$AA$81+ElevCalc!$AA$78,0)+ElevCalc!$AA$77</f>
        <v/>
      </c>
      <c r="AE86" t="inlineStr">
        <is>
          <t>TH</t>
        </is>
      </c>
      <c r="AF86">
        <f>ElevCalc!$AF$80+ElevCalc!$AF$75+IF(ElevCalc!$AF$81&gt;0,ElevCalc!$AF$81+ElevCalc!$AF$78,0)+ElevCalc!$AF$77</f>
        <v/>
      </c>
    </row>
    <row r="87">
      <c r="A87" t="inlineStr">
        <is>
          <t>dx0</t>
        </is>
      </c>
      <c r="B87">
        <f>ElevCalc!$B$76+IF(ElevCalc!$B$83&gt;0,ElevCalc!$B$83+ElevCalc!$B$78,0)</f>
        <v/>
      </c>
      <c r="F87" t="inlineStr">
        <is>
          <t>dx0</t>
        </is>
      </c>
      <c r="G87">
        <f>ElevCalc!$G$76+IF(ElevCalc!$G$83&gt;0,ElevCalc!$G$83+ElevCalc!$G$78,0)</f>
        <v/>
      </c>
      <c r="K87" t="inlineStr">
        <is>
          <t>dx0</t>
        </is>
      </c>
      <c r="L87">
        <f>ElevCalc!$L$76+IF(ElevCalc!$L$83&gt;0,ElevCalc!$L$83+ElevCalc!$L$78,0)</f>
        <v/>
      </c>
      <c r="P87" t="inlineStr">
        <is>
          <t>dx0</t>
        </is>
      </c>
      <c r="Q87">
        <f>ElevCalc!$Q$76+IF(ElevCalc!$Q$83&gt;0,ElevCalc!$Q$83+ElevCalc!$Q$78,0)</f>
        <v/>
      </c>
      <c r="U87" t="inlineStr">
        <is>
          <t>dx0</t>
        </is>
      </c>
      <c r="V87">
        <f>ElevCalc!$V$76+IF(ElevCalc!$V$83&gt;0,ElevCalc!$V$83+ElevCalc!$V$78,0)</f>
        <v/>
      </c>
      <c r="Z87" t="inlineStr">
        <is>
          <t>dx0</t>
        </is>
      </c>
      <c r="AA87">
        <f>ElevCalc!$AA$76+IF(ElevCalc!$AA$83&gt;0,ElevCalc!$AA$83+ElevCalc!$AA$78,0)</f>
        <v/>
      </c>
      <c r="AE87" t="inlineStr">
        <is>
          <t>dx0</t>
        </is>
      </c>
      <c r="AF87">
        <f>ElevCalc!$AF$76+IF(ElevCalc!$AF$83&gt;0,ElevCalc!$AF$83+ElevCalc!$AF$78,0)</f>
        <v/>
      </c>
    </row>
    <row r="88">
      <c r="A88" t="inlineStr">
        <is>
          <t>dx1</t>
        </is>
      </c>
      <c r="B88">
        <f>ElevCalc!$B$87+ElevCalc!$B$74</f>
        <v/>
      </c>
      <c r="F88" t="inlineStr">
        <is>
          <t>dx1</t>
        </is>
      </c>
      <c r="G88">
        <f>ElevCalc!$G$87+ElevCalc!$G$74</f>
        <v/>
      </c>
      <c r="K88" t="inlineStr">
        <is>
          <t>dx1</t>
        </is>
      </c>
      <c r="L88">
        <f>ElevCalc!$L$87+ElevCalc!$L$74</f>
        <v/>
      </c>
      <c r="P88" t="inlineStr">
        <is>
          <t>dx1</t>
        </is>
      </c>
      <c r="Q88">
        <f>ElevCalc!$Q$87+ElevCalc!$Q$74</f>
        <v/>
      </c>
      <c r="U88" t="inlineStr">
        <is>
          <t>dx1</t>
        </is>
      </c>
      <c r="V88">
        <f>ElevCalc!$V$87+ElevCalc!$V$74</f>
        <v/>
      </c>
      <c r="Z88" t="inlineStr">
        <is>
          <t>dx1</t>
        </is>
      </c>
      <c r="AA88">
        <f>ElevCalc!$AA$87+ElevCalc!$AA$74</f>
        <v/>
      </c>
      <c r="AE88" t="inlineStr">
        <is>
          <t>dx1</t>
        </is>
      </c>
      <c r="AF88">
        <f>ElevCalc!$AF$87+ElevCalc!$AF$74</f>
        <v/>
      </c>
    </row>
    <row r="89">
      <c r="A89" t="inlineStr">
        <is>
          <t>y0</t>
        </is>
      </c>
      <c r="B89">
        <f>ElevCalc!$B$80</f>
        <v/>
      </c>
      <c r="F89" t="inlineStr">
        <is>
          <t>y0</t>
        </is>
      </c>
      <c r="G89">
        <f>ElevCalc!$G$80</f>
        <v/>
      </c>
      <c r="K89" t="inlineStr">
        <is>
          <t>y0</t>
        </is>
      </c>
      <c r="L89">
        <f>ElevCalc!$L$80</f>
        <v/>
      </c>
      <c r="P89" t="inlineStr">
        <is>
          <t>y0</t>
        </is>
      </c>
      <c r="Q89">
        <f>ElevCalc!$Q$80</f>
        <v/>
      </c>
      <c r="U89" t="inlineStr">
        <is>
          <t>y0</t>
        </is>
      </c>
      <c r="V89">
        <f>ElevCalc!$V$80</f>
        <v/>
      </c>
      <c r="Z89" t="inlineStr">
        <is>
          <t>y0</t>
        </is>
      </c>
      <c r="AA89">
        <f>ElevCalc!$AA$80</f>
        <v/>
      </c>
      <c r="AE89" t="inlineStr">
        <is>
          <t>y0</t>
        </is>
      </c>
      <c r="AF89">
        <f>ElevCalc!$AF$80</f>
        <v/>
      </c>
    </row>
    <row r="90">
      <c r="A90" t="inlineStr">
        <is>
          <t>yt</t>
        </is>
      </c>
      <c r="B90">
        <f>ElevCalc!$B$89+ElevCalc!$B$75</f>
        <v/>
      </c>
      <c r="F90" t="inlineStr">
        <is>
          <t>yt</t>
        </is>
      </c>
      <c r="G90">
        <f>ElevCalc!$G$89+ElevCalc!$G$75</f>
        <v/>
      </c>
      <c r="K90" t="inlineStr">
        <is>
          <t>yt</t>
        </is>
      </c>
      <c r="L90">
        <f>ElevCalc!$L$89+ElevCalc!$L$75</f>
        <v/>
      </c>
      <c r="P90" t="inlineStr">
        <is>
          <t>yt</t>
        </is>
      </c>
      <c r="Q90">
        <f>ElevCalc!$Q$89+ElevCalc!$Q$75</f>
        <v/>
      </c>
      <c r="U90" t="inlineStr">
        <is>
          <t>yt</t>
        </is>
      </c>
      <c r="V90">
        <f>ElevCalc!$V$89+ElevCalc!$V$75</f>
        <v/>
      </c>
      <c r="Z90" t="inlineStr">
        <is>
          <t>yt</t>
        </is>
      </c>
      <c r="AA90">
        <f>ElevCalc!$AA$89+ElevCalc!$AA$75</f>
        <v/>
      </c>
      <c r="AE90" t="inlineStr">
        <is>
          <t>yt</t>
        </is>
      </c>
      <c r="AF90">
        <f>ElevCalc!$AF$89+ElevCalc!$AF$75</f>
        <v/>
      </c>
    </row>
    <row r="91">
      <c r="A91" t="inlineStr">
        <is>
          <t>s</t>
        </is>
      </c>
      <c r="B91">
        <f>IF(ElevCalc!$B$73,MIN(140/MAX(1,ElevCalc!$B$85),128/MAX(1,ElevCalc!$B$86)),1)</f>
        <v/>
      </c>
      <c r="F91" t="inlineStr">
        <is>
          <t>s</t>
        </is>
      </c>
      <c r="G91">
        <f>IF(ElevCalc!$G$73,MIN(140/MAX(1,ElevCalc!$G$85),128/MAX(1,ElevCalc!$G$86)),1)</f>
        <v/>
      </c>
      <c r="K91" t="inlineStr">
        <is>
          <t>s</t>
        </is>
      </c>
      <c r="L91">
        <f>IF(ElevCalc!$L$73,MIN(140/MAX(1,ElevCalc!$L$85),128/MAX(1,ElevCalc!$L$86)),1)</f>
        <v/>
      </c>
      <c r="P91" t="inlineStr">
        <is>
          <t>s</t>
        </is>
      </c>
      <c r="Q91">
        <f>IF(ElevCalc!$Q$73,MIN(140/MAX(1,ElevCalc!$Q$85),128/MAX(1,ElevCalc!$Q$86)),1)</f>
        <v/>
      </c>
      <c r="U91" t="inlineStr">
        <is>
          <t>s</t>
        </is>
      </c>
      <c r="V91">
        <f>IF(ElevCalc!$V$73,MIN(140/MAX(1,ElevCalc!$V$85),128/MAX(1,ElevCalc!$V$86)),1)</f>
        <v/>
      </c>
      <c r="Z91" t="inlineStr">
        <is>
          <t>s</t>
        </is>
      </c>
      <c r="AA91">
        <f>IF(ElevCalc!$AA$73,MIN(140/MAX(1,ElevCalc!$AA$85),128/MAX(1,ElevCalc!$AA$86)),1)</f>
        <v/>
      </c>
      <c r="AE91" t="inlineStr">
        <is>
          <t>s</t>
        </is>
      </c>
      <c r="AF91">
        <f>IF(ElevCalc!$AF$73,MIN(140/MAX(1,ElevCalc!$AF$85),128/MAX(1,ElevCalc!$AF$86)),1)</f>
        <v/>
      </c>
    </row>
    <row r="92">
      <c r="A92" t="inlineStr">
        <is>
          <t>ox</t>
        </is>
      </c>
      <c r="B92">
        <f>30+(140-ElevCalc!$B$85*ElevCalc!$B$91)/2</f>
        <v/>
      </c>
      <c r="F92" t="inlineStr">
        <is>
          <t>ox</t>
        </is>
      </c>
      <c r="G92">
        <f>30+(140-ElevCalc!$G$85*ElevCalc!$G$91)/2</f>
        <v/>
      </c>
      <c r="K92" t="inlineStr">
        <is>
          <t>ox</t>
        </is>
      </c>
      <c r="L92">
        <f>30+(140-ElevCalc!$L$85*ElevCalc!$L$91)/2</f>
        <v/>
      </c>
      <c r="P92" t="inlineStr">
        <is>
          <t>ox</t>
        </is>
      </c>
      <c r="Q92">
        <f>30+(140-ElevCalc!$Q$85*ElevCalc!$Q$91)/2</f>
        <v/>
      </c>
      <c r="U92" t="inlineStr">
        <is>
          <t>ox</t>
        </is>
      </c>
      <c r="V92">
        <f>30+(140-ElevCalc!$V$85*ElevCalc!$V$91)/2</f>
        <v/>
      </c>
      <c r="Z92" t="inlineStr">
        <is>
          <t>ox</t>
        </is>
      </c>
      <c r="AA92">
        <f>30+(140-ElevCalc!$AA$85*ElevCalc!$AA$91)/2</f>
        <v/>
      </c>
      <c r="AE92" t="inlineStr">
        <is>
          <t>ox</t>
        </is>
      </c>
      <c r="AF92">
        <f>30+(140-ElevCalc!$AF$85*ElevCalc!$AF$91)/2</f>
        <v/>
      </c>
    </row>
    <row r="93">
      <c r="A93" t="inlineStr">
        <is>
          <t>nl</t>
        </is>
      </c>
      <c r="B93">
        <f>N(ElevCalc!$B$12)</f>
        <v/>
      </c>
      <c r="F93" t="inlineStr">
        <is>
          <t>nl</t>
        </is>
      </c>
      <c r="G93">
        <f>N(ElevCalc!$G$12)</f>
        <v/>
      </c>
      <c r="K93" t="inlineStr">
        <is>
          <t>nl</t>
        </is>
      </c>
      <c r="L93">
        <f>N(ElevCalc!$L$12)</f>
        <v/>
      </c>
      <c r="P93" t="inlineStr">
        <is>
          <t>nl</t>
        </is>
      </c>
      <c r="Q93">
        <f>N(ElevCalc!$Q$12)</f>
        <v/>
      </c>
      <c r="U93" t="inlineStr">
        <is>
          <t>nl</t>
        </is>
      </c>
      <c r="V93">
        <f>N(ElevCalc!$V$12)</f>
        <v/>
      </c>
      <c r="Z93" t="inlineStr">
        <is>
          <t>nl</t>
        </is>
      </c>
      <c r="AA93">
        <f>N(ElevCalc!$AA$12)</f>
        <v/>
      </c>
      <c r="AE93" t="inlineStr">
        <is>
          <t>nl</t>
        </is>
      </c>
      <c r="AF93">
        <f>N(ElevCalc!$AF$12)</f>
        <v/>
      </c>
    </row>
    <row r="94">
      <c r="A94" t="inlineStr">
        <is>
          <t>lw</t>
        </is>
      </c>
      <c r="B94">
        <f>N(ElevCalc!$B$13)</f>
        <v/>
      </c>
      <c r="F94" t="inlineStr">
        <is>
          <t>lw</t>
        </is>
      </c>
      <c r="G94">
        <f>N(ElevCalc!$G$13)</f>
        <v/>
      </c>
      <c r="K94" t="inlineStr">
        <is>
          <t>lw</t>
        </is>
      </c>
      <c r="L94">
        <f>N(ElevCalc!$L$13)</f>
        <v/>
      </c>
      <c r="P94" t="inlineStr">
        <is>
          <t>lw</t>
        </is>
      </c>
      <c r="Q94">
        <f>N(ElevCalc!$Q$13)</f>
        <v/>
      </c>
      <c r="U94" t="inlineStr">
        <is>
          <t>lw</t>
        </is>
      </c>
      <c r="V94">
        <f>N(ElevCalc!$V$13)</f>
        <v/>
      </c>
      <c r="Z94" t="inlineStr">
        <is>
          <t>lw</t>
        </is>
      </c>
      <c r="AA94">
        <f>N(ElevCalc!$AA$13)</f>
        <v/>
      </c>
      <c r="AE94" t="inlineStr">
        <is>
          <t>lw</t>
        </is>
      </c>
      <c r="AF94">
        <f>N(ElevCalc!$AF$13)</f>
        <v/>
      </c>
    </row>
    <row r="95">
      <c r="A95" t="inlineStr">
        <is>
          <t>lh</t>
        </is>
      </c>
      <c r="B95">
        <f>N(ElevCalc!$B$14)</f>
        <v/>
      </c>
      <c r="F95" t="inlineStr">
        <is>
          <t>lh</t>
        </is>
      </c>
      <c r="G95">
        <f>N(ElevCalc!$G$14)</f>
        <v/>
      </c>
      <c r="K95" t="inlineStr">
        <is>
          <t>lh</t>
        </is>
      </c>
      <c r="L95">
        <f>N(ElevCalc!$L$14)</f>
        <v/>
      </c>
      <c r="P95" t="inlineStr">
        <is>
          <t>lh</t>
        </is>
      </c>
      <c r="Q95">
        <f>N(ElevCalc!$Q$14)</f>
        <v/>
      </c>
      <c r="U95" t="inlineStr">
        <is>
          <t>lh</t>
        </is>
      </c>
      <c r="V95">
        <f>N(ElevCalc!$V$14)</f>
        <v/>
      </c>
      <c r="Z95" t="inlineStr">
        <is>
          <t>lh</t>
        </is>
      </c>
      <c r="AA95">
        <f>N(ElevCalc!$AA$14)</f>
        <v/>
      </c>
      <c r="AE95" t="inlineStr">
        <is>
          <t>lh</t>
        </is>
      </c>
      <c r="AF95">
        <f>N(ElevCalc!$AF$14)</f>
        <v/>
      </c>
    </row>
    <row r="96">
      <c r="A96" t="inlineStr">
        <is>
          <t>pr</t>
        </is>
      </c>
      <c r="B96">
        <f>ElevCalc!$B$5="Y"</f>
        <v/>
      </c>
      <c r="F96" t="inlineStr">
        <is>
          <t>pr</t>
        </is>
      </c>
      <c r="G96">
        <f>ElevCalc!$G$5="Y"</f>
        <v/>
      </c>
      <c r="K96" t="inlineStr">
        <is>
          <t>pr</t>
        </is>
      </c>
      <c r="L96">
        <f>ElevCalc!$L$5="Y"</f>
        <v/>
      </c>
      <c r="P96" t="inlineStr">
        <is>
          <t>pr</t>
        </is>
      </c>
      <c r="Q96">
        <f>ElevCalc!$Q$5="Y"</f>
        <v/>
      </c>
      <c r="U96" t="inlineStr">
        <is>
          <t>pr</t>
        </is>
      </c>
      <c r="V96">
        <f>ElevCalc!$V$5="Y"</f>
        <v/>
      </c>
      <c r="Z96" t="inlineStr">
        <is>
          <t>pr</t>
        </is>
      </c>
      <c r="AA96">
        <f>ElevCalc!$AA$5="Y"</f>
        <v/>
      </c>
      <c r="AE96" t="inlineStr">
        <is>
          <t>pr</t>
        </is>
      </c>
      <c r="AF96">
        <f>ElevCalc!$AF$5="Y"</f>
        <v/>
      </c>
    </row>
    <row r="97">
      <c r="A97" t="inlineStr">
        <is>
          <t>ub</t>
        </is>
      </c>
      <c r="B97">
        <f>ElevCalc!$B$89+Undercut</f>
        <v/>
      </c>
      <c r="F97" t="inlineStr">
        <is>
          <t>ub</t>
        </is>
      </c>
      <c r="G97">
        <f>ElevCalc!$G$89+Undercut</f>
        <v/>
      </c>
      <c r="K97" t="inlineStr">
        <is>
          <t>ub</t>
        </is>
      </c>
      <c r="L97">
        <f>ElevCalc!$L$89+Undercut</f>
        <v/>
      </c>
      <c r="P97" t="inlineStr">
        <is>
          <t>ub</t>
        </is>
      </c>
      <c r="Q97">
        <f>ElevCalc!$Q$89+Undercut</f>
        <v/>
      </c>
      <c r="U97" t="inlineStr">
        <is>
          <t>ub</t>
        </is>
      </c>
      <c r="V97">
        <f>ElevCalc!$V$89+Undercut</f>
        <v/>
      </c>
      <c r="Z97" t="inlineStr">
        <is>
          <t>ub</t>
        </is>
      </c>
      <c r="AA97">
        <f>ElevCalc!$AA$89+Undercut</f>
        <v/>
      </c>
      <c r="AE97" t="inlineStr">
        <is>
          <t>ub</t>
        </is>
      </c>
      <c r="AF97">
        <f>ElevCalc!$AF$89+Undercut</f>
        <v/>
      </c>
    </row>
    <row r="98">
      <c r="A98" t="inlineStr">
        <is>
          <t>ut</t>
        </is>
      </c>
      <c r="B98">
        <f>ElevCalc!$B$97+ElevCalc!$B$95</f>
        <v/>
      </c>
      <c r="F98" t="inlineStr">
        <is>
          <t>ut</t>
        </is>
      </c>
      <c r="G98">
        <f>ElevCalc!$G$97+ElevCalc!$G$95</f>
        <v/>
      </c>
      <c r="K98" t="inlineStr">
        <is>
          <t>ut</t>
        </is>
      </c>
      <c r="L98">
        <f>ElevCalc!$L$97+ElevCalc!$L$95</f>
        <v/>
      </c>
      <c r="P98" t="inlineStr">
        <is>
          <t>ut</t>
        </is>
      </c>
      <c r="Q98">
        <f>ElevCalc!$Q$97+ElevCalc!$Q$95</f>
        <v/>
      </c>
      <c r="U98" t="inlineStr">
        <is>
          <t>ut</t>
        </is>
      </c>
      <c r="V98">
        <f>ElevCalc!$V$97+ElevCalc!$V$95</f>
        <v/>
      </c>
      <c r="Z98" t="inlineStr">
        <is>
          <t>ut</t>
        </is>
      </c>
      <c r="AA98">
        <f>ElevCalc!$AA$97+ElevCalc!$AA$95</f>
        <v/>
      </c>
      <c r="AE98" t="inlineStr">
        <is>
          <t>ut</t>
        </is>
      </c>
      <c r="AF98">
        <f>ElevCalc!$AF$97+ElevCalc!$AF$95</f>
        <v/>
      </c>
    </row>
    <row r="99">
      <c r="A99" t="inlineStr">
        <is>
          <t>hd</t>
        </is>
      </c>
      <c r="B99">
        <f>IF(ElevCalc!$B$7&lt;&gt;"",ElevCalc!$B$7,ElevCalc!$B$6)</f>
        <v/>
      </c>
      <c r="F99" t="inlineStr">
        <is>
          <t>hd</t>
        </is>
      </c>
      <c r="G99">
        <f>IF(ElevCalc!$G$7&lt;&gt;"",ElevCalc!$G$7,ElevCalc!$G$6)</f>
        <v/>
      </c>
      <c r="K99" t="inlineStr">
        <is>
          <t>hd</t>
        </is>
      </c>
      <c r="L99">
        <f>IF(ElevCalc!$L$7&lt;&gt;"",ElevCalc!$L$7,ElevCalc!$L$6)</f>
        <v/>
      </c>
      <c r="P99" t="inlineStr">
        <is>
          <t>hd</t>
        </is>
      </c>
      <c r="Q99">
        <f>IF(ElevCalc!$Q$7&lt;&gt;"",ElevCalc!$Q$7,ElevCalc!$Q$6)</f>
        <v/>
      </c>
      <c r="U99" t="inlineStr">
        <is>
          <t>hd</t>
        </is>
      </c>
      <c r="V99">
        <f>IF(ElevCalc!$V$7&lt;&gt;"",ElevCalc!$V$7,ElevCalc!$V$6)</f>
        <v/>
      </c>
      <c r="Z99" t="inlineStr">
        <is>
          <t>hd</t>
        </is>
      </c>
      <c r="AA99">
        <f>IF(ElevCalc!$AA$7&lt;&gt;"",ElevCalc!$AA$7,ElevCalc!$AA$6)</f>
        <v/>
      </c>
      <c r="AE99" t="inlineStr">
        <is>
          <t>hd</t>
        </is>
      </c>
      <c r="AF99">
        <f>IF(ElevCalc!$AF$7&lt;&gt;"",ElevCalc!$AF$7,ElevCalc!$AF$6)</f>
        <v/>
      </c>
    </row>
    <row r="100">
      <c r="A100" t="inlineStr">
        <is>
          <t>hingeL</t>
        </is>
      </c>
      <c r="B100">
        <f>IF(LEFT(ElevCalc!$B$99,1)="R",0,1)</f>
        <v/>
      </c>
      <c r="F100" t="inlineStr">
        <is>
          <t>hingeL</t>
        </is>
      </c>
      <c r="G100">
        <f>IF(LEFT(ElevCalc!$G$99,1)="R",0,1)</f>
        <v/>
      </c>
      <c r="K100" t="inlineStr">
        <is>
          <t>hingeL</t>
        </is>
      </c>
      <c r="L100">
        <f>IF(LEFT(ElevCalc!$L$99,1)="R",0,1)</f>
        <v/>
      </c>
      <c r="P100" t="inlineStr">
        <is>
          <t>hingeL</t>
        </is>
      </c>
      <c r="Q100">
        <f>IF(LEFT(ElevCalc!$Q$99,1)="R",0,1)</f>
        <v/>
      </c>
      <c r="U100" t="inlineStr">
        <is>
          <t>hingeL</t>
        </is>
      </c>
      <c r="V100">
        <f>IF(LEFT(ElevCalc!$V$99,1)="R",0,1)</f>
        <v/>
      </c>
      <c r="Z100" t="inlineStr">
        <is>
          <t>hingeL</t>
        </is>
      </c>
      <c r="AA100">
        <f>IF(LEFT(ElevCalc!$AA$99,1)="R",0,1)</f>
        <v/>
      </c>
      <c r="AE100" t="inlineStr">
        <is>
          <t>hingeL</t>
        </is>
      </c>
      <c r="AF100">
        <f>IF(LEFT(ElevCalc!$AF$99,1)="R",0,1)</f>
        <v/>
      </c>
    </row>
    <row r="101">
      <c r="A101" t="inlineStr">
        <is>
          <t>L1a</t>
        </is>
      </c>
      <c r="B101">
        <f>ElevCalc!$B$87+EdgeClr</f>
        <v/>
      </c>
      <c r="F101" t="inlineStr">
        <is>
          <t>L1a</t>
        </is>
      </c>
      <c r="G101">
        <f>ElevCalc!$G$87+EdgeClr</f>
        <v/>
      </c>
      <c r="K101" t="inlineStr">
        <is>
          <t>L1a</t>
        </is>
      </c>
      <c r="L101">
        <f>ElevCalc!$L$87+EdgeClr</f>
        <v/>
      </c>
      <c r="P101" t="inlineStr">
        <is>
          <t>L1a</t>
        </is>
      </c>
      <c r="Q101">
        <f>ElevCalc!$Q$87+EdgeClr</f>
        <v/>
      </c>
      <c r="U101" t="inlineStr">
        <is>
          <t>L1a</t>
        </is>
      </c>
      <c r="V101">
        <f>ElevCalc!$V$87+EdgeClr</f>
        <v/>
      </c>
      <c r="Z101" t="inlineStr">
        <is>
          <t>L1a</t>
        </is>
      </c>
      <c r="AA101">
        <f>ElevCalc!$AA$87+EdgeClr</f>
        <v/>
      </c>
      <c r="AE101" t="inlineStr">
        <is>
          <t>L1a</t>
        </is>
      </c>
      <c r="AF101">
        <f>ElevCalc!$AF$87+EdgeClr</f>
        <v/>
      </c>
    </row>
    <row r="102">
      <c r="A102" t="inlineStr">
        <is>
          <t>L1b</t>
        </is>
      </c>
      <c r="B102">
        <f>ElevCalc!$B$101+ElevCalc!$B$94</f>
        <v/>
      </c>
      <c r="F102" t="inlineStr">
        <is>
          <t>L1b</t>
        </is>
      </c>
      <c r="G102">
        <f>ElevCalc!$G$101+ElevCalc!$G$94</f>
        <v/>
      </c>
      <c r="K102" t="inlineStr">
        <is>
          <t>L1b</t>
        </is>
      </c>
      <c r="L102">
        <f>ElevCalc!$L$101+ElevCalc!$L$94</f>
        <v/>
      </c>
      <c r="P102" t="inlineStr">
        <is>
          <t>L1b</t>
        </is>
      </c>
      <c r="Q102">
        <f>ElevCalc!$Q$101+ElevCalc!$Q$94</f>
        <v/>
      </c>
      <c r="U102" t="inlineStr">
        <is>
          <t>L1b</t>
        </is>
      </c>
      <c r="V102">
        <f>ElevCalc!$V$101+ElevCalc!$V$94</f>
        <v/>
      </c>
      <c r="Z102" t="inlineStr">
        <is>
          <t>L1b</t>
        </is>
      </c>
      <c r="AA102">
        <f>ElevCalc!$AA$101+ElevCalc!$AA$94</f>
        <v/>
      </c>
      <c r="AE102" t="inlineStr">
        <is>
          <t>L1b</t>
        </is>
      </c>
      <c r="AF102">
        <f>ElevCalc!$AF$101+ElevCalc!$AF$94</f>
        <v/>
      </c>
    </row>
    <row r="103">
      <c r="A103" t="inlineStr">
        <is>
          <t>L2b</t>
        </is>
      </c>
      <c r="B103">
        <f>ElevCalc!$B$88-EdgeClr</f>
        <v/>
      </c>
      <c r="F103" t="inlineStr">
        <is>
          <t>L2b</t>
        </is>
      </c>
      <c r="G103">
        <f>ElevCalc!$G$88-EdgeClr</f>
        <v/>
      </c>
      <c r="K103" t="inlineStr">
        <is>
          <t>L2b</t>
        </is>
      </c>
      <c r="L103">
        <f>ElevCalc!$L$88-EdgeClr</f>
        <v/>
      </c>
      <c r="P103" t="inlineStr">
        <is>
          <t>L2b</t>
        </is>
      </c>
      <c r="Q103">
        <f>ElevCalc!$Q$88-EdgeClr</f>
        <v/>
      </c>
      <c r="U103" t="inlineStr">
        <is>
          <t>L2b</t>
        </is>
      </c>
      <c r="V103">
        <f>ElevCalc!$V$88-EdgeClr</f>
        <v/>
      </c>
      <c r="Z103" t="inlineStr">
        <is>
          <t>L2b</t>
        </is>
      </c>
      <c r="AA103">
        <f>ElevCalc!$AA$88-EdgeClr</f>
        <v/>
      </c>
      <c r="AE103" t="inlineStr">
        <is>
          <t>L2b</t>
        </is>
      </c>
      <c r="AF103">
        <f>ElevCalc!$AF$88-EdgeClr</f>
        <v/>
      </c>
    </row>
    <row r="104">
      <c r="A104" t="inlineStr">
        <is>
          <t>L2a</t>
        </is>
      </c>
      <c r="B104">
        <f>ElevCalc!$B$103-ElevCalc!$B$94</f>
        <v/>
      </c>
      <c r="F104" t="inlineStr">
        <is>
          <t>L2a</t>
        </is>
      </c>
      <c r="G104">
        <f>ElevCalc!$G$103-ElevCalc!$G$94</f>
        <v/>
      </c>
      <c r="K104" t="inlineStr">
        <is>
          <t>L2a</t>
        </is>
      </c>
      <c r="L104">
        <f>ElevCalc!$L$103-ElevCalc!$L$94</f>
        <v/>
      </c>
      <c r="P104" t="inlineStr">
        <is>
          <t>L2a</t>
        </is>
      </c>
      <c r="Q104">
        <f>ElevCalc!$Q$103-ElevCalc!$Q$94</f>
        <v/>
      </c>
      <c r="U104" t="inlineStr">
        <is>
          <t>L2a</t>
        </is>
      </c>
      <c r="V104">
        <f>ElevCalc!$V$103-ElevCalc!$V$94</f>
        <v/>
      </c>
      <c r="Z104" t="inlineStr">
        <is>
          <t>L2a</t>
        </is>
      </c>
      <c r="AA104">
        <f>ElevCalc!$AA$103-ElevCalc!$AA$94</f>
        <v/>
      </c>
      <c r="AE104" t="inlineStr">
        <is>
          <t>L2a</t>
        </is>
      </c>
      <c r="AF104">
        <f>ElevCalc!$AF$103-ElevCalc!$AF$94</f>
        <v/>
      </c>
    </row>
    <row r="105">
      <c r="A105" t="inlineStr">
        <is>
          <t>lockR1</t>
        </is>
      </c>
      <c r="B105">
        <f>IF(ElevCalc!$B$96,1,ElevCalc!$B$100)</f>
        <v/>
      </c>
      <c r="F105" t="inlineStr">
        <is>
          <t>lockR1</t>
        </is>
      </c>
      <c r="G105">
        <f>IF(ElevCalc!$G$96,1,ElevCalc!$G$100)</f>
        <v/>
      </c>
      <c r="K105" t="inlineStr">
        <is>
          <t>lockR1</t>
        </is>
      </c>
      <c r="L105">
        <f>IF(ElevCalc!$L$96,1,ElevCalc!$L$100)</f>
        <v/>
      </c>
      <c r="P105" t="inlineStr">
        <is>
          <t>lockR1</t>
        </is>
      </c>
      <c r="Q105">
        <f>IF(ElevCalc!$Q$96,1,ElevCalc!$Q$100)</f>
        <v/>
      </c>
      <c r="U105" t="inlineStr">
        <is>
          <t>lockR1</t>
        </is>
      </c>
      <c r="V105">
        <f>IF(ElevCalc!$V$96,1,ElevCalc!$V$100)</f>
        <v/>
      </c>
      <c r="Z105" t="inlineStr">
        <is>
          <t>lockR1</t>
        </is>
      </c>
      <c r="AA105">
        <f>IF(ElevCalc!$AA$96,1,ElevCalc!$AA$100)</f>
        <v/>
      </c>
      <c r="AE105" t="inlineStr">
        <is>
          <t>lockR1</t>
        </is>
      </c>
      <c r="AF105">
        <f>IF(ElevCalc!$AF$96,1,ElevCalc!$AF$100)</f>
        <v/>
      </c>
    </row>
    <row r="106">
      <c r="A106" t="inlineStr">
        <is>
          <t>hx1</t>
        </is>
      </c>
      <c r="B106">
        <f>IF(ElevCalc!$B$105=1,ElevCalc!$B$101,ElevCalc!$B$102)</f>
        <v/>
      </c>
      <c r="F106" t="inlineStr">
        <is>
          <t>hx1</t>
        </is>
      </c>
      <c r="G106">
        <f>IF(ElevCalc!$G$105=1,ElevCalc!$G$101,ElevCalc!$G$102)</f>
        <v/>
      </c>
      <c r="K106" t="inlineStr">
        <is>
          <t>hx1</t>
        </is>
      </c>
      <c r="L106">
        <f>IF(ElevCalc!$L$105=1,ElevCalc!$L$101,ElevCalc!$L$102)</f>
        <v/>
      </c>
      <c r="P106" t="inlineStr">
        <is>
          <t>hx1</t>
        </is>
      </c>
      <c r="Q106">
        <f>IF(ElevCalc!$Q$105=1,ElevCalc!$Q$101,ElevCalc!$Q$102)</f>
        <v/>
      </c>
      <c r="U106" t="inlineStr">
        <is>
          <t>hx1</t>
        </is>
      </c>
      <c r="V106">
        <f>IF(ElevCalc!$V$105=1,ElevCalc!$V$101,ElevCalc!$V$102)</f>
        <v/>
      </c>
      <c r="Z106" t="inlineStr">
        <is>
          <t>hx1</t>
        </is>
      </c>
      <c r="AA106">
        <f>IF(ElevCalc!$AA$105=1,ElevCalc!$AA$101,ElevCalc!$AA$102)</f>
        <v/>
      </c>
      <c r="AE106" t="inlineStr">
        <is>
          <t>hx1</t>
        </is>
      </c>
      <c r="AF106">
        <f>IF(ElevCalc!$AF$105=1,ElevCalc!$AF$101,ElevCalc!$AF$102)</f>
        <v/>
      </c>
    </row>
    <row r="107">
      <c r="A107" t="inlineStr">
        <is>
          <t>kx1</t>
        </is>
      </c>
      <c r="B107">
        <f>IF(ElevCalc!$B$105=1,ElevCalc!$B$102,ElevCalc!$B$101)</f>
        <v/>
      </c>
      <c r="F107" t="inlineStr">
        <is>
          <t>kx1</t>
        </is>
      </c>
      <c r="G107">
        <f>IF(ElevCalc!$G$105=1,ElevCalc!$G$102,ElevCalc!$G$101)</f>
        <v/>
      </c>
      <c r="K107" t="inlineStr">
        <is>
          <t>kx1</t>
        </is>
      </c>
      <c r="L107">
        <f>IF(ElevCalc!$L$105=1,ElevCalc!$L$102,ElevCalc!$L$101)</f>
        <v/>
      </c>
      <c r="P107" t="inlineStr">
        <is>
          <t>kx1</t>
        </is>
      </c>
      <c r="Q107">
        <f>IF(ElevCalc!$Q$105=1,ElevCalc!$Q$102,ElevCalc!$Q$101)</f>
        <v/>
      </c>
      <c r="U107" t="inlineStr">
        <is>
          <t>kx1</t>
        </is>
      </c>
      <c r="V107">
        <f>IF(ElevCalc!$V$105=1,ElevCalc!$V$102,ElevCalc!$V$101)</f>
        <v/>
      </c>
      <c r="Z107" t="inlineStr">
        <is>
          <t>kx1</t>
        </is>
      </c>
      <c r="AA107">
        <f>IF(ElevCalc!$AA$105=1,ElevCalc!$AA$102,ElevCalc!$AA$101)</f>
        <v/>
      </c>
      <c r="AE107" t="inlineStr">
        <is>
          <t>kx1</t>
        </is>
      </c>
      <c r="AF107">
        <f>IF(ElevCalc!$AF$105=1,ElevCalc!$AF$102,ElevCalc!$AF$101)</f>
        <v/>
      </c>
    </row>
    <row r="108">
      <c r="A108" t="inlineStr">
        <is>
          <t>hj1</t>
        </is>
      </c>
      <c r="B108">
        <f>IF(ElevCalc!$B$105=1,ElevCalc!$B$87,ElevCalc!$B$88)</f>
        <v/>
      </c>
      <c r="F108" t="inlineStr">
        <is>
          <t>hj1</t>
        </is>
      </c>
      <c r="G108">
        <f>IF(ElevCalc!$G$105=1,ElevCalc!$G$87,ElevCalc!$G$88)</f>
        <v/>
      </c>
      <c r="K108" t="inlineStr">
        <is>
          <t>hj1</t>
        </is>
      </c>
      <c r="L108">
        <f>IF(ElevCalc!$L$105=1,ElevCalc!$L$87,ElevCalc!$L$88)</f>
        <v/>
      </c>
      <c r="P108" t="inlineStr">
        <is>
          <t>hj1</t>
        </is>
      </c>
      <c r="Q108">
        <f>IF(ElevCalc!$Q$105=1,ElevCalc!$Q$87,ElevCalc!$Q$88)</f>
        <v/>
      </c>
      <c r="U108" t="inlineStr">
        <is>
          <t>hj1</t>
        </is>
      </c>
      <c r="V108">
        <f>IF(ElevCalc!$V$105=1,ElevCalc!$V$87,ElevCalc!$V$88)</f>
        <v/>
      </c>
      <c r="Z108" t="inlineStr">
        <is>
          <t>hj1</t>
        </is>
      </c>
      <c r="AA108">
        <f>IF(ElevCalc!$AA$105=1,ElevCalc!$AA$87,ElevCalc!$AA$88)</f>
        <v/>
      </c>
      <c r="AE108" t="inlineStr">
        <is>
          <t>hj1</t>
        </is>
      </c>
      <c r="AF108">
        <f>IF(ElevCalc!$AF$105=1,ElevCalc!$AF$87,ElevCalc!$AF$88)</f>
        <v/>
      </c>
    </row>
    <row r="109">
      <c r="A109" t="inlineStr">
        <is>
          <t>liw</t>
        </is>
      </c>
      <c r="B109">
        <f>N(ElevCalc!$B$21)</f>
        <v/>
      </c>
      <c r="F109" t="inlineStr">
        <is>
          <t>liw</t>
        </is>
      </c>
      <c r="G109">
        <f>N(ElevCalc!$G$21)</f>
        <v/>
      </c>
      <c r="K109" t="inlineStr">
        <is>
          <t>liw</t>
        </is>
      </c>
      <c r="L109">
        <f>N(ElevCalc!$L$21)</f>
        <v/>
      </c>
      <c r="P109" t="inlineStr">
        <is>
          <t>liw</t>
        </is>
      </c>
      <c r="Q109">
        <f>N(ElevCalc!$Q$21)</f>
        <v/>
      </c>
      <c r="U109" t="inlineStr">
        <is>
          <t>liw</t>
        </is>
      </c>
      <c r="V109">
        <f>N(ElevCalc!$V$21)</f>
        <v/>
      </c>
      <c r="Z109" t="inlineStr">
        <is>
          <t>liw</t>
        </is>
      </c>
      <c r="AA109">
        <f>N(ElevCalc!$AA$21)</f>
        <v/>
      </c>
      <c r="AE109" t="inlineStr">
        <is>
          <t>liw</t>
        </is>
      </c>
      <c r="AF109">
        <f>N(ElevCalc!$AF$21)</f>
        <v/>
      </c>
    </row>
    <row r="110">
      <c r="A110" t="inlineStr">
        <is>
          <t>lih</t>
        </is>
      </c>
      <c r="B110">
        <f>MIN(N(ElevCalc!$B$22),MAX(0,ElevCalc!$B$95-16))</f>
        <v/>
      </c>
      <c r="F110" t="inlineStr">
        <is>
          <t>lih</t>
        </is>
      </c>
      <c r="G110">
        <f>MIN(N(ElevCalc!$G$22),MAX(0,ElevCalc!$G$95-16))</f>
        <v/>
      </c>
      <c r="K110" t="inlineStr">
        <is>
          <t>lih</t>
        </is>
      </c>
      <c r="L110">
        <f>MIN(N(ElevCalc!$L$22),MAX(0,ElevCalc!$L$95-16))</f>
        <v/>
      </c>
      <c r="P110" t="inlineStr">
        <is>
          <t>lih</t>
        </is>
      </c>
      <c r="Q110">
        <f>MIN(N(ElevCalc!$Q$22),MAX(0,ElevCalc!$Q$95-16))</f>
        <v/>
      </c>
      <c r="U110" t="inlineStr">
        <is>
          <t>lih</t>
        </is>
      </c>
      <c r="V110">
        <f>MIN(N(ElevCalc!$V$22),MAX(0,ElevCalc!$V$95-16))</f>
        <v/>
      </c>
      <c r="Z110" t="inlineStr">
        <is>
          <t>lih</t>
        </is>
      </c>
      <c r="AA110">
        <f>MIN(N(ElevCalc!$AA$22),MAX(0,ElevCalc!$AA$95-16))</f>
        <v/>
      </c>
      <c r="AE110" t="inlineStr">
        <is>
          <t>lih</t>
        </is>
      </c>
      <c r="AF110">
        <f>MIN(N(ElevCalc!$AF$22),MAX(0,ElevCalc!$AF$95-16))</f>
        <v/>
      </c>
    </row>
    <row r="111">
      <c r="A111" t="inlineStr">
        <is>
          <t>hasLite</t>
        </is>
      </c>
      <c r="B111">
        <f>AND(ElevCalc!$B$73,ElevCalc!$B$93&gt;0,ElevCalc!$B$109&gt;0,ElevCalc!$B$110&gt;0)</f>
        <v/>
      </c>
      <c r="F111" t="inlineStr">
        <is>
          <t>hasLite</t>
        </is>
      </c>
      <c r="G111">
        <f>AND(ElevCalc!$G$73,ElevCalc!$G$93&gt;0,ElevCalc!$G$109&gt;0,ElevCalc!$G$110&gt;0)</f>
        <v/>
      </c>
      <c r="K111" t="inlineStr">
        <is>
          <t>hasLite</t>
        </is>
      </c>
      <c r="L111">
        <f>AND(ElevCalc!$L$73,ElevCalc!$L$93&gt;0,ElevCalc!$L$109&gt;0,ElevCalc!$L$110&gt;0)</f>
        <v/>
      </c>
      <c r="P111" t="inlineStr">
        <is>
          <t>hasLite</t>
        </is>
      </c>
      <c r="Q111">
        <f>AND(ElevCalc!$Q$73,ElevCalc!$Q$93&gt;0,ElevCalc!$Q$109&gt;0,ElevCalc!$Q$110&gt;0)</f>
        <v/>
      </c>
      <c r="U111" t="inlineStr">
        <is>
          <t>hasLite</t>
        </is>
      </c>
      <c r="V111">
        <f>AND(ElevCalc!$V$73,ElevCalc!$V$93&gt;0,ElevCalc!$V$109&gt;0,ElevCalc!$V$110&gt;0)</f>
        <v/>
      </c>
      <c r="Z111" t="inlineStr">
        <is>
          <t>hasLite</t>
        </is>
      </c>
      <c r="AA111">
        <f>AND(ElevCalc!$AA$73,ElevCalc!$AA$93&gt;0,ElevCalc!$AA$109&gt;0,ElevCalc!$AA$110&gt;0)</f>
        <v/>
      </c>
      <c r="AE111" t="inlineStr">
        <is>
          <t>hasLite</t>
        </is>
      </c>
      <c r="AF111">
        <f>AND(ElevCalc!$AF$73,ElevCalc!$AF$93&gt;0,ElevCalc!$AF$109&gt;0,ElevCalc!$AF$110&gt;0)</f>
        <v/>
      </c>
    </row>
    <row r="112">
      <c r="A112" t="inlineStr">
        <is>
          <t>ltop</t>
        </is>
      </c>
      <c r="B112">
        <f>IF(ElevCalc!$B$20="FL",ElevCalc!$B$97+8+ElevCalc!$B$110,ElevCalc!$B$98-10)</f>
        <v/>
      </c>
      <c r="F112" t="inlineStr">
        <is>
          <t>ltop</t>
        </is>
      </c>
      <c r="G112">
        <f>IF(ElevCalc!$G$20="FL",ElevCalc!$G$97+8+ElevCalc!$G$110,ElevCalc!$G$98-10)</f>
        <v/>
      </c>
      <c r="K112" t="inlineStr">
        <is>
          <t>ltop</t>
        </is>
      </c>
      <c r="L112">
        <f>IF(ElevCalc!$L$20="FL",ElevCalc!$L$97+8+ElevCalc!$L$110,ElevCalc!$L$98-10)</f>
        <v/>
      </c>
      <c r="P112" t="inlineStr">
        <is>
          <t>ltop</t>
        </is>
      </c>
      <c r="Q112">
        <f>IF(ElevCalc!$Q$20="FL",ElevCalc!$Q$97+8+ElevCalc!$Q$110,ElevCalc!$Q$98-10)</f>
        <v/>
      </c>
      <c r="U112" t="inlineStr">
        <is>
          <t>ltop</t>
        </is>
      </c>
      <c r="V112">
        <f>IF(ElevCalc!$V$20="FL",ElevCalc!$V$97+8+ElevCalc!$V$110,ElevCalc!$V$98-10)</f>
        <v/>
      </c>
      <c r="Z112" t="inlineStr">
        <is>
          <t>ltop</t>
        </is>
      </c>
      <c r="AA112">
        <f>IF(ElevCalc!$AA$20="FL",ElevCalc!$AA$97+8+ElevCalc!$AA$110,ElevCalc!$AA$98-10)</f>
        <v/>
      </c>
      <c r="AE112" t="inlineStr">
        <is>
          <t>ltop</t>
        </is>
      </c>
      <c r="AF112">
        <f>IF(ElevCalc!$AF$20="FL",ElevCalc!$AF$97+8+ElevCalc!$AF$110,ElevCalc!$AF$98-10)</f>
        <v/>
      </c>
    </row>
    <row r="113">
      <c r="A113" t="inlineStr">
        <is>
          <t>lbot</t>
        </is>
      </c>
      <c r="B113">
        <f>ElevCalc!$B$112-ElevCalc!$B$110</f>
        <v/>
      </c>
      <c r="F113" t="inlineStr">
        <is>
          <t>lbot</t>
        </is>
      </c>
      <c r="G113">
        <f>ElevCalc!$G$112-ElevCalc!$G$110</f>
        <v/>
      </c>
      <c r="K113" t="inlineStr">
        <is>
          <t>lbot</t>
        </is>
      </c>
      <c r="L113">
        <f>ElevCalc!$L$112-ElevCalc!$L$110</f>
        <v/>
      </c>
      <c r="P113" t="inlineStr">
        <is>
          <t>lbot</t>
        </is>
      </c>
      <c r="Q113">
        <f>ElevCalc!$Q$112-ElevCalc!$Q$110</f>
        <v/>
      </c>
      <c r="U113" t="inlineStr">
        <is>
          <t>lbot</t>
        </is>
      </c>
      <c r="V113">
        <f>ElevCalc!$V$112-ElevCalc!$V$110</f>
        <v/>
      </c>
      <c r="Z113" t="inlineStr">
        <is>
          <t>lbot</t>
        </is>
      </c>
      <c r="AA113">
        <f>ElevCalc!$AA$112-ElevCalc!$AA$110</f>
        <v/>
      </c>
      <c r="AE113" t="inlineStr">
        <is>
          <t>lbot</t>
        </is>
      </c>
      <c r="AF113">
        <f>ElevCalc!$AF$112-ElevCalc!$AF$110</f>
        <v/>
      </c>
    </row>
    <row r="114">
      <c r="A114" t="inlineStr">
        <is>
          <t>lx1</t>
        </is>
      </c>
      <c r="B114">
        <f>IF(ElevCalc!$B$109&gt;10,(ElevCalc!$B$101+ElevCalc!$B$102-ElevCalc!$B$109)/2,IF(ElevCalc!$B$105=1,ElevCalc!$B$102-6-ElevCalc!$B$109,ElevCalc!$B$101+6))</f>
        <v/>
      </c>
      <c r="F114" t="inlineStr">
        <is>
          <t>lx1</t>
        </is>
      </c>
      <c r="G114">
        <f>IF(ElevCalc!$G$109&gt;10,(ElevCalc!$G$101+ElevCalc!$G$102-ElevCalc!$G$109)/2,IF(ElevCalc!$G$105=1,ElevCalc!$G$102-6-ElevCalc!$G$109,ElevCalc!$G$101+6))</f>
        <v/>
      </c>
      <c r="K114" t="inlineStr">
        <is>
          <t>lx1</t>
        </is>
      </c>
      <c r="L114">
        <f>IF(ElevCalc!$L$109&gt;10,(ElevCalc!$L$101+ElevCalc!$L$102-ElevCalc!$L$109)/2,IF(ElevCalc!$L$105=1,ElevCalc!$L$102-6-ElevCalc!$L$109,ElevCalc!$L$101+6))</f>
        <v/>
      </c>
      <c r="P114" t="inlineStr">
        <is>
          <t>lx1</t>
        </is>
      </c>
      <c r="Q114">
        <f>IF(ElevCalc!$Q$109&gt;10,(ElevCalc!$Q$101+ElevCalc!$Q$102-ElevCalc!$Q$109)/2,IF(ElevCalc!$Q$105=1,ElevCalc!$Q$102-6-ElevCalc!$Q$109,ElevCalc!$Q$101+6))</f>
        <v/>
      </c>
      <c r="U114" t="inlineStr">
        <is>
          <t>lx1</t>
        </is>
      </c>
      <c r="V114">
        <f>IF(ElevCalc!$V$109&gt;10,(ElevCalc!$V$101+ElevCalc!$V$102-ElevCalc!$V$109)/2,IF(ElevCalc!$V$105=1,ElevCalc!$V$102-6-ElevCalc!$V$109,ElevCalc!$V$101+6))</f>
        <v/>
      </c>
      <c r="Z114" t="inlineStr">
        <is>
          <t>lx1</t>
        </is>
      </c>
      <c r="AA114">
        <f>IF(ElevCalc!$AA$109&gt;10,(ElevCalc!$AA$101+ElevCalc!$AA$102-ElevCalc!$AA$109)/2,IF(ElevCalc!$AA$105=1,ElevCalc!$AA$102-6-ElevCalc!$AA$109,ElevCalc!$AA$101+6))</f>
        <v/>
      </c>
      <c r="AE114" t="inlineStr">
        <is>
          <t>lx1</t>
        </is>
      </c>
      <c r="AF114">
        <f>IF(ElevCalc!$AF$109&gt;10,(ElevCalc!$AF$101+ElevCalc!$AF$102-ElevCalc!$AF$109)/2,IF(ElevCalc!$AF$105=1,ElevCalc!$AF$102-6-ElevCalc!$AF$109,ElevCalc!$AF$101+6))</f>
        <v/>
      </c>
    </row>
    <row r="115">
      <c r="A115" t="inlineStr">
        <is>
          <t>lx2</t>
        </is>
      </c>
      <c r="B115">
        <f>IF(ElevCalc!$B$109&gt;10,(ElevCalc!$B$104+ElevCalc!$B$103-ElevCalc!$B$109)/2,ElevCalc!$B$104+6)</f>
        <v/>
      </c>
      <c r="F115" t="inlineStr">
        <is>
          <t>lx2</t>
        </is>
      </c>
      <c r="G115">
        <f>IF(ElevCalc!$G$109&gt;10,(ElevCalc!$G$104+ElevCalc!$G$103-ElevCalc!$G$109)/2,ElevCalc!$G$104+6)</f>
        <v/>
      </c>
      <c r="K115" t="inlineStr">
        <is>
          <t>lx2</t>
        </is>
      </c>
      <c r="L115">
        <f>IF(ElevCalc!$L$109&gt;10,(ElevCalc!$L$104+ElevCalc!$L$103-ElevCalc!$L$109)/2,ElevCalc!$L$104+6)</f>
        <v/>
      </c>
      <c r="P115" t="inlineStr">
        <is>
          <t>lx2</t>
        </is>
      </c>
      <c r="Q115">
        <f>IF(ElevCalc!$Q$109&gt;10,(ElevCalc!$Q$104+ElevCalc!$Q$103-ElevCalc!$Q$109)/2,ElevCalc!$Q$104+6)</f>
        <v/>
      </c>
      <c r="U115" t="inlineStr">
        <is>
          <t>lx2</t>
        </is>
      </c>
      <c r="V115">
        <f>IF(ElevCalc!$V$109&gt;10,(ElevCalc!$V$104+ElevCalc!$V$103-ElevCalc!$V$109)/2,ElevCalc!$V$104+6)</f>
        <v/>
      </c>
      <c r="Z115" t="inlineStr">
        <is>
          <t>lx2</t>
        </is>
      </c>
      <c r="AA115">
        <f>IF(ElevCalc!$AA$109&gt;10,(ElevCalc!$AA$104+ElevCalc!$AA$103-ElevCalc!$AA$109)/2,ElevCalc!$AA$104+6)</f>
        <v/>
      </c>
      <c r="AE115" t="inlineStr">
        <is>
          <t>lx2</t>
        </is>
      </c>
      <c r="AF115">
        <f>IF(ElevCalc!$AF$109&gt;10,(ElevCalc!$AF$104+ElevCalc!$AF$103-ElevCalc!$AF$109)/2,ElevCalc!$AF$104+6)</f>
        <v/>
      </c>
    </row>
    <row r="116">
      <c r="A116" t="inlineStr">
        <is>
          <t>act</t>
        </is>
      </c>
      <c r="B116">
        <f>IF(ElevCalc!$B$96,IF(LEFT(ElevCalc!$B$99,1)="R",2,1),1)</f>
        <v/>
      </c>
      <c r="F116" t="inlineStr">
        <is>
          <t>act</t>
        </is>
      </c>
      <c r="G116">
        <f>IF(ElevCalc!$G$96,IF(LEFT(ElevCalc!$G$99,1)="R",2,1),1)</f>
        <v/>
      </c>
      <c r="K116" t="inlineStr">
        <is>
          <t>act</t>
        </is>
      </c>
      <c r="L116">
        <f>IF(ElevCalc!$L$96,IF(LEFT(ElevCalc!$L$99,1)="R",2,1),1)</f>
        <v/>
      </c>
      <c r="P116" t="inlineStr">
        <is>
          <t>act</t>
        </is>
      </c>
      <c r="Q116">
        <f>IF(ElevCalc!$Q$96,IF(LEFT(ElevCalc!$Q$99,1)="R",2,1),1)</f>
        <v/>
      </c>
      <c r="U116" t="inlineStr">
        <is>
          <t>act</t>
        </is>
      </c>
      <c r="V116">
        <f>IF(ElevCalc!$V$96,IF(LEFT(ElevCalc!$V$99,1)="R",2,1),1)</f>
        <v/>
      </c>
      <c r="Z116" t="inlineStr">
        <is>
          <t>act</t>
        </is>
      </c>
      <c r="AA116">
        <f>IF(ElevCalc!$AA$96,IF(LEFT(ElevCalc!$AA$99,1)="R",2,1),1)</f>
        <v/>
      </c>
      <c r="AE116" t="inlineStr">
        <is>
          <t>act</t>
        </is>
      </c>
      <c r="AF116">
        <f>IF(ElevCalc!$AF$96,IF(LEFT(ElevCalc!$AF$99,1)="R",2,1),1)</f>
        <v/>
      </c>
    </row>
    <row r="117">
      <c r="A117" t="inlineStr">
        <is>
          <t>levx</t>
        </is>
      </c>
      <c r="B117">
        <f>IF(ElevCalc!$B$116=1,IF(ElevCalc!$B$105=1,ElevCalc!$B$102-2.5,ElevCalc!$B$101+2.5),ElevCalc!$B$104+2.5)</f>
        <v/>
      </c>
      <c r="F117" t="inlineStr">
        <is>
          <t>levx</t>
        </is>
      </c>
      <c r="G117">
        <f>IF(ElevCalc!$G$116=1,IF(ElevCalc!$G$105=1,ElevCalc!$G$102-2.5,ElevCalc!$G$101+2.5),ElevCalc!$G$104+2.5)</f>
        <v/>
      </c>
      <c r="K117" t="inlineStr">
        <is>
          <t>levx</t>
        </is>
      </c>
      <c r="L117">
        <f>IF(ElevCalc!$L$116=1,IF(ElevCalc!$L$105=1,ElevCalc!$L$102-2.5,ElevCalc!$L$101+2.5),ElevCalc!$L$104+2.5)</f>
        <v/>
      </c>
      <c r="P117" t="inlineStr">
        <is>
          <t>levx</t>
        </is>
      </c>
      <c r="Q117">
        <f>IF(ElevCalc!$Q$116=1,IF(ElevCalc!$Q$105=1,ElevCalc!$Q$102-2.5,ElevCalc!$Q$101+2.5),ElevCalc!$Q$104+2.5)</f>
        <v/>
      </c>
      <c r="U117" t="inlineStr">
        <is>
          <t>levx</t>
        </is>
      </c>
      <c r="V117">
        <f>IF(ElevCalc!$V$116=1,IF(ElevCalc!$V$105=1,ElevCalc!$V$102-2.5,ElevCalc!$V$101+2.5),ElevCalc!$V$104+2.5)</f>
        <v/>
      </c>
      <c r="Z117" t="inlineStr">
        <is>
          <t>levx</t>
        </is>
      </c>
      <c r="AA117">
        <f>IF(ElevCalc!$AA$116=1,IF(ElevCalc!$AA$105=1,ElevCalc!$AA$102-2.5,ElevCalc!$AA$101+2.5),ElevCalc!$AA$104+2.5)</f>
        <v/>
      </c>
      <c r="AE117" t="inlineStr">
        <is>
          <t>levx</t>
        </is>
      </c>
      <c r="AF117">
        <f>IF(ElevCalc!$AF$116=1,IF(ElevCalc!$AF$105=1,ElevCalc!$AF$102-2.5,ElevCalc!$AF$101+2.5),ElevCalc!$AF$104+2.5)</f>
        <v/>
      </c>
    </row>
    <row r="118">
      <c r="A118" t="inlineStr">
        <is>
          <t>levR</t>
        </is>
      </c>
      <c r="B118">
        <f>IF(ElevCalc!$B$116=1,ElevCalc!$B$105,0)</f>
        <v/>
      </c>
      <c r="F118" t="inlineStr">
        <is>
          <t>levR</t>
        </is>
      </c>
      <c r="G118">
        <f>IF(ElevCalc!$G$116=1,ElevCalc!$G$105,0)</f>
        <v/>
      </c>
      <c r="K118" t="inlineStr">
        <is>
          <t>levR</t>
        </is>
      </c>
      <c r="L118">
        <f>IF(ElevCalc!$L$116=1,ElevCalc!$L$105,0)</f>
        <v/>
      </c>
      <c r="P118" t="inlineStr">
        <is>
          <t>levR</t>
        </is>
      </c>
      <c r="Q118">
        <f>IF(ElevCalc!$Q$116=1,ElevCalc!$Q$105,0)</f>
        <v/>
      </c>
      <c r="U118" t="inlineStr">
        <is>
          <t>levR</t>
        </is>
      </c>
      <c r="V118">
        <f>IF(ElevCalc!$V$116=1,ElevCalc!$V$105,0)</f>
        <v/>
      </c>
      <c r="Z118" t="inlineStr">
        <is>
          <t>levR</t>
        </is>
      </c>
      <c r="AA118">
        <f>IF(ElevCalc!$AA$116=1,ElevCalc!$AA$105,0)</f>
        <v/>
      </c>
      <c r="AE118" t="inlineStr">
        <is>
          <t>levR</t>
        </is>
      </c>
      <c r="AF118">
        <f>IF(ElevCalc!$AF$116=1,ElevCalc!$AF$105,0)</f>
        <v/>
      </c>
    </row>
    <row r="119">
      <c r="A119" t="inlineStr">
        <is>
          <t>levy</t>
        </is>
      </c>
      <c r="B119">
        <f>IF(ISNUMBER(ElevCalc!$B$52),ElevCalc!$B$52,LockAFF)</f>
        <v/>
      </c>
      <c r="F119" t="inlineStr">
        <is>
          <t>levy</t>
        </is>
      </c>
      <c r="G119">
        <f>IF(ISNUMBER(ElevCalc!$G$52),ElevCalc!$G$52,LockAFF)</f>
        <v/>
      </c>
      <c r="K119" t="inlineStr">
        <is>
          <t>levy</t>
        </is>
      </c>
      <c r="L119">
        <f>IF(ISNUMBER(ElevCalc!$L$52),ElevCalc!$L$52,LockAFF)</f>
        <v/>
      </c>
      <c r="P119" t="inlineStr">
        <is>
          <t>levy</t>
        </is>
      </c>
      <c r="Q119">
        <f>IF(ISNUMBER(ElevCalc!$Q$52),ElevCalc!$Q$52,LockAFF)</f>
        <v/>
      </c>
      <c r="U119" t="inlineStr">
        <is>
          <t>levy</t>
        </is>
      </c>
      <c r="V119">
        <f>IF(ISNUMBER(ElevCalc!$V$52),ElevCalc!$V$52,LockAFF)</f>
        <v/>
      </c>
      <c r="Z119" t="inlineStr">
        <is>
          <t>levy</t>
        </is>
      </c>
      <c r="AA119">
        <f>IF(ISNUMBER(ElevCalc!$AA$52),ElevCalc!$AA$52,LockAFF)</f>
        <v/>
      </c>
      <c r="AE119" t="inlineStr">
        <is>
          <t>levy</t>
        </is>
      </c>
      <c r="AF119">
        <f>IF(ISNUMBER(ElevCalc!$AF$52),ElevCalc!$AF$52,LockAFF)</f>
        <v/>
      </c>
    </row>
    <row r="120">
      <c r="A120" t="inlineStr">
        <is>
          <t>cont</t>
        </is>
      </c>
      <c r="B120">
        <f>OR(ElevCalc!$B$10="HGC",ElevCalc!$B$11="HGC",ElevCalc!$B$39="CONT")</f>
        <v/>
      </c>
      <c r="F120" t="inlineStr">
        <is>
          <t>cont</t>
        </is>
      </c>
      <c r="G120">
        <f>OR(ElevCalc!$G$10="HGC",ElevCalc!$G$11="HGC",ElevCalc!$G$39="CONT")</f>
        <v/>
      </c>
      <c r="K120" t="inlineStr">
        <is>
          <t>cont</t>
        </is>
      </c>
      <c r="L120">
        <f>OR(ElevCalc!$L$10="HGC",ElevCalc!$L$11="HGC",ElevCalc!$L$39="CONT")</f>
        <v/>
      </c>
      <c r="P120" t="inlineStr">
        <is>
          <t>cont</t>
        </is>
      </c>
      <c r="Q120">
        <f>OR(ElevCalc!$Q$10="HGC",ElevCalc!$Q$11="HGC",ElevCalc!$Q$39="CONT")</f>
        <v/>
      </c>
      <c r="U120" t="inlineStr">
        <is>
          <t>cont</t>
        </is>
      </c>
      <c r="V120">
        <f>OR(ElevCalc!$V$10="HGC",ElevCalc!$V$11="HGC",ElevCalc!$V$39="CONT")</f>
        <v/>
      </c>
      <c r="Z120" t="inlineStr">
        <is>
          <t>cont</t>
        </is>
      </c>
      <c r="AA120">
        <f>OR(ElevCalc!$AA$10="HGC",ElevCalc!$AA$11="HGC",ElevCalc!$AA$39="CONT")</f>
        <v/>
      </c>
      <c r="AE120" t="inlineStr">
        <is>
          <t>cont</t>
        </is>
      </c>
      <c r="AF120">
        <f>OR(ElevCalc!$AF$10="HGC",ElevCalc!$AF$11="HGC",ElevCalc!$AF$39="CONT")</f>
        <v/>
      </c>
    </row>
    <row r="121">
      <c r="A121" t="inlineStr">
        <is>
          <t>hlen</t>
        </is>
      </c>
      <c r="B121">
        <f>IF(N(ElevCalc!$B$53)&gt;0,ElevCalc!$B$53,4.5)</f>
        <v/>
      </c>
      <c r="F121" t="inlineStr">
        <is>
          <t>hlen</t>
        </is>
      </c>
      <c r="G121">
        <f>IF(N(ElevCalc!$G$53)&gt;0,ElevCalc!$G$53,4.5)</f>
        <v/>
      </c>
      <c r="K121" t="inlineStr">
        <is>
          <t>hlen</t>
        </is>
      </c>
      <c r="L121">
        <f>IF(N(ElevCalc!$L$53)&gt;0,ElevCalc!$L$53,4.5)</f>
        <v/>
      </c>
      <c r="P121" t="inlineStr">
        <is>
          <t>hlen</t>
        </is>
      </c>
      <c r="Q121">
        <f>IF(N(ElevCalc!$Q$53)&gt;0,ElevCalc!$Q$53,4.5)</f>
        <v/>
      </c>
      <c r="U121" t="inlineStr">
        <is>
          <t>hlen</t>
        </is>
      </c>
      <c r="V121">
        <f>IF(N(ElevCalc!$V$53)&gt;0,ElevCalc!$V$53,4.5)</f>
        <v/>
      </c>
      <c r="Z121" t="inlineStr">
        <is>
          <t>hlen</t>
        </is>
      </c>
      <c r="AA121">
        <f>IF(N(ElevCalc!$AA$53)&gt;0,ElevCalc!$AA$53,4.5)</f>
        <v/>
      </c>
      <c r="AE121" t="inlineStr">
        <is>
          <t>hlen</t>
        </is>
      </c>
      <c r="AF121">
        <f>IF(N(ElevCalc!$AF$53)&gt;0,ElevCalc!$AF$53,4.5)</f>
        <v/>
      </c>
    </row>
    <row r="122">
      <c r="A122" t="inlineStr">
        <is>
          <t>capW</t>
        </is>
      </c>
      <c r="B122">
        <f>IF(ElevCalc!$B$73,INT(ROUND(ElevCalc!$B$85,4)/12)&amp;"'-"&amp;IF(ROUND(MOD(ElevCalc!$B$85,12),4)=0,"0",TRIM(TEXT(MOD(ElevCalc!$B$85,12),"# ?/??")))&amp;CHAR(34),"")</f>
        <v/>
      </c>
      <c r="F122" t="inlineStr">
        <is>
          <t>capW</t>
        </is>
      </c>
      <c r="G122">
        <f>IF(ElevCalc!$G$73,INT(ROUND(ElevCalc!$G$85,4)/12)&amp;"'-"&amp;IF(ROUND(MOD(ElevCalc!$G$85,12),4)=0,"0",TRIM(TEXT(MOD(ElevCalc!$G$85,12),"# ?/??")))&amp;CHAR(34),"")</f>
        <v/>
      </c>
      <c r="K122" t="inlineStr">
        <is>
          <t>capW</t>
        </is>
      </c>
      <c r="L122">
        <f>IF(ElevCalc!$L$73,INT(ROUND(ElevCalc!$L$85,4)/12)&amp;"'-"&amp;IF(ROUND(MOD(ElevCalc!$L$85,12),4)=0,"0",TRIM(TEXT(MOD(ElevCalc!$L$85,12),"# ?/??")))&amp;CHAR(34),"")</f>
        <v/>
      </c>
      <c r="P122" t="inlineStr">
        <is>
          <t>capW</t>
        </is>
      </c>
      <c r="Q122">
        <f>IF(ElevCalc!$Q$73,INT(ROUND(ElevCalc!$Q$85,4)/12)&amp;"'-"&amp;IF(ROUND(MOD(ElevCalc!$Q$85,12),4)=0,"0",TRIM(TEXT(MOD(ElevCalc!$Q$85,12),"# ?/??")))&amp;CHAR(34),"")</f>
        <v/>
      </c>
      <c r="U122" t="inlineStr">
        <is>
          <t>capW</t>
        </is>
      </c>
      <c r="V122">
        <f>IF(ElevCalc!$V$73,INT(ROUND(ElevCalc!$V$85,4)/12)&amp;"'-"&amp;IF(ROUND(MOD(ElevCalc!$V$85,12),4)=0,"0",TRIM(TEXT(MOD(ElevCalc!$V$85,12),"# ?/??")))&amp;CHAR(34),"")</f>
        <v/>
      </c>
      <c r="Z122" t="inlineStr">
        <is>
          <t>capW</t>
        </is>
      </c>
      <c r="AA122">
        <f>IF(ElevCalc!$AA$73,INT(ROUND(ElevCalc!$AA$85,4)/12)&amp;"'-"&amp;IF(ROUND(MOD(ElevCalc!$AA$85,12),4)=0,"0",TRIM(TEXT(MOD(ElevCalc!$AA$85,12),"# ?/??")))&amp;CHAR(34),"")</f>
        <v/>
      </c>
      <c r="AE122" t="inlineStr">
        <is>
          <t>capW</t>
        </is>
      </c>
      <c r="AF122">
        <f>IF(ElevCalc!$AF$73,INT(ROUND(ElevCalc!$AF$85,4)/12)&amp;"'-"&amp;IF(ROUND(MOD(ElevCalc!$AF$85,12),4)=0,"0",TRIM(TEXT(MOD(ElevCalc!$AF$85,12),"# ?/??")))&amp;CHAR(34),"")</f>
        <v/>
      </c>
    </row>
    <row r="123">
      <c r="A123" t="inlineStr">
        <is>
          <t>capOW</t>
        </is>
      </c>
      <c r="B123">
        <f>IF(ElevCalc!$B$73,INT(ROUND(ElevCalc!$B$74,4)/12)&amp;"'-"&amp;IF(ROUND(MOD(ElevCalc!$B$74,12),4)=0,"0",TRIM(TEXT(MOD(ElevCalc!$B$74,12),"# ?/??")))&amp;CHAR(34)&amp;IF(ElevCalc!$B$96,"  (pair)",""),"")</f>
        <v/>
      </c>
      <c r="F123" t="inlineStr">
        <is>
          <t>capOW</t>
        </is>
      </c>
      <c r="G123">
        <f>IF(ElevCalc!$G$73,INT(ROUND(ElevCalc!$G$74,4)/12)&amp;"'-"&amp;IF(ROUND(MOD(ElevCalc!$G$74,12),4)=0,"0",TRIM(TEXT(MOD(ElevCalc!$G$74,12),"# ?/??")))&amp;CHAR(34)&amp;IF(ElevCalc!$G$96,"  (pair)",""),"")</f>
        <v/>
      </c>
      <c r="K123" t="inlineStr">
        <is>
          <t>capOW</t>
        </is>
      </c>
      <c r="L123">
        <f>IF(ElevCalc!$L$73,INT(ROUND(ElevCalc!$L$74,4)/12)&amp;"'-"&amp;IF(ROUND(MOD(ElevCalc!$L$74,12),4)=0,"0",TRIM(TEXT(MOD(ElevCalc!$L$74,12),"# ?/??")))&amp;CHAR(34)&amp;IF(ElevCalc!$L$96,"  (pair)",""),"")</f>
        <v/>
      </c>
      <c r="P123" t="inlineStr">
        <is>
          <t>capOW</t>
        </is>
      </c>
      <c r="Q123">
        <f>IF(ElevCalc!$Q$73,INT(ROUND(ElevCalc!$Q$74,4)/12)&amp;"'-"&amp;IF(ROUND(MOD(ElevCalc!$Q$74,12),4)=0,"0",TRIM(TEXT(MOD(ElevCalc!$Q$74,12),"# ?/??")))&amp;CHAR(34)&amp;IF(ElevCalc!$Q$96,"  (pair)",""),"")</f>
        <v/>
      </c>
      <c r="U123" t="inlineStr">
        <is>
          <t>capOW</t>
        </is>
      </c>
      <c r="V123">
        <f>IF(ElevCalc!$V$73,INT(ROUND(ElevCalc!$V$74,4)/12)&amp;"'-"&amp;IF(ROUND(MOD(ElevCalc!$V$74,12),4)=0,"0",TRIM(TEXT(MOD(ElevCalc!$V$74,12),"# ?/??")))&amp;CHAR(34)&amp;IF(ElevCalc!$V$96,"  (pair)",""),"")</f>
        <v/>
      </c>
      <c r="Z123" t="inlineStr">
        <is>
          <t>capOW</t>
        </is>
      </c>
      <c r="AA123">
        <f>IF(ElevCalc!$AA$73,INT(ROUND(ElevCalc!$AA$74,4)/12)&amp;"'-"&amp;IF(ROUND(MOD(ElevCalc!$AA$74,12),4)=0,"0",TRIM(TEXT(MOD(ElevCalc!$AA$74,12),"# ?/??")))&amp;CHAR(34)&amp;IF(ElevCalc!$AA$96,"  (pair)",""),"")</f>
        <v/>
      </c>
      <c r="AE123" t="inlineStr">
        <is>
          <t>capOW</t>
        </is>
      </c>
      <c r="AF123">
        <f>IF(ElevCalc!$AF$73,INT(ROUND(ElevCalc!$AF$74,4)/12)&amp;"'-"&amp;IF(ROUND(MOD(ElevCalc!$AF$74,12),4)=0,"0",TRIM(TEXT(MOD(ElevCalc!$AF$74,12),"# ?/??")))&amp;CHAR(34)&amp;IF(ElevCalc!$AF$96,"  (pair)",""),"")</f>
        <v/>
      </c>
    </row>
    <row r="124">
      <c r="A124" t="inlineStr">
        <is>
          <t>capH</t>
        </is>
      </c>
      <c r="B124">
        <f>IF(ElevCalc!$B$73,INT(ROUND(ElevCalc!$B$86,4)/12)&amp;"'-"&amp;IF(ROUND(MOD(ElevCalc!$B$86,12),4)=0,"0",TRIM(TEXT(MOD(ElevCalc!$B$86,12),"# ?/??")))&amp;CHAR(34),"")</f>
        <v/>
      </c>
      <c r="F124" t="inlineStr">
        <is>
          <t>capH</t>
        </is>
      </c>
      <c r="G124">
        <f>IF(ElevCalc!$G$73,INT(ROUND(ElevCalc!$G$86,4)/12)&amp;"'-"&amp;IF(ROUND(MOD(ElevCalc!$G$86,12),4)=0,"0",TRIM(TEXT(MOD(ElevCalc!$G$86,12),"# ?/??")))&amp;CHAR(34),"")</f>
        <v/>
      </c>
      <c r="K124" t="inlineStr">
        <is>
          <t>capH</t>
        </is>
      </c>
      <c r="L124">
        <f>IF(ElevCalc!$L$73,INT(ROUND(ElevCalc!$L$86,4)/12)&amp;"'-"&amp;IF(ROUND(MOD(ElevCalc!$L$86,12),4)=0,"0",TRIM(TEXT(MOD(ElevCalc!$L$86,12),"# ?/??")))&amp;CHAR(34),"")</f>
        <v/>
      </c>
      <c r="P124" t="inlineStr">
        <is>
          <t>capH</t>
        </is>
      </c>
      <c r="Q124">
        <f>IF(ElevCalc!$Q$73,INT(ROUND(ElevCalc!$Q$86,4)/12)&amp;"'-"&amp;IF(ROUND(MOD(ElevCalc!$Q$86,12),4)=0,"0",TRIM(TEXT(MOD(ElevCalc!$Q$86,12),"# ?/??")))&amp;CHAR(34),"")</f>
        <v/>
      </c>
      <c r="U124" t="inlineStr">
        <is>
          <t>capH</t>
        </is>
      </c>
      <c r="V124">
        <f>IF(ElevCalc!$V$73,INT(ROUND(ElevCalc!$V$86,4)/12)&amp;"'-"&amp;IF(ROUND(MOD(ElevCalc!$V$86,12),4)=0,"0",TRIM(TEXT(MOD(ElevCalc!$V$86,12),"# ?/??")))&amp;CHAR(34),"")</f>
        <v/>
      </c>
      <c r="Z124" t="inlineStr">
        <is>
          <t>capH</t>
        </is>
      </c>
      <c r="AA124">
        <f>IF(ElevCalc!$AA$73,INT(ROUND(ElevCalc!$AA$86,4)/12)&amp;"'-"&amp;IF(ROUND(MOD(ElevCalc!$AA$86,12),4)=0,"0",TRIM(TEXT(MOD(ElevCalc!$AA$86,12),"# ?/??")))&amp;CHAR(34),"")</f>
        <v/>
      </c>
      <c r="AE124" t="inlineStr">
        <is>
          <t>capH</t>
        </is>
      </c>
      <c r="AF124">
        <f>IF(ElevCalc!$AF$73,INT(ROUND(ElevCalc!$AF$86,4)/12)&amp;"'-"&amp;IF(ROUND(MOD(ElevCalc!$AF$86,12),4)=0,"0",TRIM(TEXT(MOD(ElevCalc!$AF$86,12),"# ?/??")))&amp;CHAR(34),"")</f>
        <v/>
      </c>
    </row>
    <row r="125">
      <c r="A125" t="inlineStr">
        <is>
          <t>capOH</t>
        </is>
      </c>
      <c r="B125">
        <f>IF(ElevCalc!$B$73,INT(ROUND(ElevCalc!$B$75,4)/12)&amp;"'-"&amp;IF(ROUND(MOD(ElevCalc!$B$75,12),4)=0,"0",TRIM(TEXT(MOD(ElevCalc!$B$75,12),"# ?/??")))&amp;CHAR(34),"")</f>
        <v/>
      </c>
      <c r="F125" t="inlineStr">
        <is>
          <t>capOH</t>
        </is>
      </c>
      <c r="G125">
        <f>IF(ElevCalc!$G$73,INT(ROUND(ElevCalc!$G$75,4)/12)&amp;"'-"&amp;IF(ROUND(MOD(ElevCalc!$G$75,12),4)=0,"0",TRIM(TEXT(MOD(ElevCalc!$G$75,12),"# ?/??")))&amp;CHAR(34),"")</f>
        <v/>
      </c>
      <c r="K125" t="inlineStr">
        <is>
          <t>capOH</t>
        </is>
      </c>
      <c r="L125">
        <f>IF(ElevCalc!$L$73,INT(ROUND(ElevCalc!$L$75,4)/12)&amp;"'-"&amp;IF(ROUND(MOD(ElevCalc!$L$75,12),4)=0,"0",TRIM(TEXT(MOD(ElevCalc!$L$75,12),"# ?/??")))&amp;CHAR(34),"")</f>
        <v/>
      </c>
      <c r="P125" t="inlineStr">
        <is>
          <t>capOH</t>
        </is>
      </c>
      <c r="Q125">
        <f>IF(ElevCalc!$Q$73,INT(ROUND(ElevCalc!$Q$75,4)/12)&amp;"'-"&amp;IF(ROUND(MOD(ElevCalc!$Q$75,12),4)=0,"0",TRIM(TEXT(MOD(ElevCalc!$Q$75,12),"# ?/??")))&amp;CHAR(34),"")</f>
        <v/>
      </c>
      <c r="U125" t="inlineStr">
        <is>
          <t>capOH</t>
        </is>
      </c>
      <c r="V125">
        <f>IF(ElevCalc!$V$73,INT(ROUND(ElevCalc!$V$75,4)/12)&amp;"'-"&amp;IF(ROUND(MOD(ElevCalc!$V$75,12),4)=0,"0",TRIM(TEXT(MOD(ElevCalc!$V$75,12),"# ?/??")))&amp;CHAR(34),"")</f>
        <v/>
      </c>
      <c r="Z125" t="inlineStr">
        <is>
          <t>capOH</t>
        </is>
      </c>
      <c r="AA125">
        <f>IF(ElevCalc!$AA$73,INT(ROUND(ElevCalc!$AA$75,4)/12)&amp;"'-"&amp;IF(ROUND(MOD(ElevCalc!$AA$75,12),4)=0,"0",TRIM(TEXT(MOD(ElevCalc!$AA$75,12),"# ?/??")))&amp;CHAR(34),"")</f>
        <v/>
      </c>
      <c r="AE125" t="inlineStr">
        <is>
          <t>capOH</t>
        </is>
      </c>
      <c r="AF125">
        <f>IF(ElevCalc!$AF$73,INT(ROUND(ElevCalc!$AF$75,4)/12)&amp;"'-"&amp;IF(ROUND(MOD(ElevCalc!$AF$75,12),4)=0,"0",TRIM(TEXT(MOD(ElevCalc!$AF$75,12),"# ?/??")))&amp;CHAR(34),"")</f>
        <v/>
      </c>
    </row>
    <row r="126">
      <c r="A126" t="inlineStr">
        <is>
          <t>capLite</t>
        </is>
      </c>
      <c r="B126">
        <f>IF(ElevCalc!$B$111,ElevCalc!$B$109&amp;"x"&amp;N(ElevCalc!$B$22)&amp;IF(ElevCalc!$B$20="FL"," LVR",""),"")</f>
        <v/>
      </c>
      <c r="F126" t="inlineStr">
        <is>
          <t>capLite</t>
        </is>
      </c>
      <c r="G126">
        <f>IF(ElevCalc!$G$111,ElevCalc!$G$109&amp;"x"&amp;N(ElevCalc!$G$22)&amp;IF(ElevCalc!$G$20="FL"," LVR",""),"")</f>
        <v/>
      </c>
      <c r="K126" t="inlineStr">
        <is>
          <t>capLite</t>
        </is>
      </c>
      <c r="L126">
        <f>IF(ElevCalc!$L$111,ElevCalc!$L$109&amp;"x"&amp;N(ElevCalc!$L$22)&amp;IF(ElevCalc!$L$20="FL"," LVR",""),"")</f>
        <v/>
      </c>
      <c r="P126" t="inlineStr">
        <is>
          <t>capLite</t>
        </is>
      </c>
      <c r="Q126">
        <f>IF(ElevCalc!$Q$111,ElevCalc!$Q$109&amp;"x"&amp;N(ElevCalc!$Q$22)&amp;IF(ElevCalc!$Q$20="FL"," LVR",""),"")</f>
        <v/>
      </c>
      <c r="U126" t="inlineStr">
        <is>
          <t>capLite</t>
        </is>
      </c>
      <c r="V126">
        <f>IF(ElevCalc!$V$111,ElevCalc!$V$109&amp;"x"&amp;N(ElevCalc!$V$22)&amp;IF(ElevCalc!$V$20="FL"," LVR",""),"")</f>
        <v/>
      </c>
      <c r="Z126" t="inlineStr">
        <is>
          <t>capLite</t>
        </is>
      </c>
      <c r="AA126">
        <f>IF(ElevCalc!$AA$111,ElevCalc!$AA$109&amp;"x"&amp;N(ElevCalc!$AA$22)&amp;IF(ElevCalc!$AA$20="FL"," LVR",""),"")</f>
        <v/>
      </c>
      <c r="AE126" t="inlineStr">
        <is>
          <t>capLite</t>
        </is>
      </c>
      <c r="AF126">
        <f>IF(ElevCalc!$AF$111,ElevCalc!$AF$109&amp;"x"&amp;N(ElevCalc!$AF$22)&amp;IF(ElevCalc!$AF$20="FL"," LVR",""),"")</f>
        <v/>
      </c>
    </row>
    <row r="127">
      <c r="A127" t="inlineStr">
        <is>
          <t>capE</t>
        </is>
      </c>
      <c r="B127">
        <f>IF(ISNUMBER(ElevCalc!$B$51),"E "&amp;TRIM(TEXT(ElevCalc!$B$51,"# ?/??"))&amp;CHAR(34)&amp;"  ·  "&amp;TRIM(TEXT(ElevCalc!$B$119,"# ?/??"))&amp;CHAR(34)&amp;" AFF","")</f>
        <v/>
      </c>
      <c r="F127" t="inlineStr">
        <is>
          <t>capE</t>
        </is>
      </c>
      <c r="G127">
        <f>IF(ISNUMBER(ElevCalc!$G$51),"E "&amp;TRIM(TEXT(ElevCalc!$G$51,"# ?/??"))&amp;CHAR(34)&amp;"  ·  "&amp;TRIM(TEXT(ElevCalc!$G$119,"# ?/??"))&amp;CHAR(34)&amp;" AFF","")</f>
        <v/>
      </c>
      <c r="K127" t="inlineStr">
        <is>
          <t>capE</t>
        </is>
      </c>
      <c r="L127">
        <f>IF(ISNUMBER(ElevCalc!$L$51),"E "&amp;TRIM(TEXT(ElevCalc!$L$51,"# ?/??"))&amp;CHAR(34)&amp;"  ·  "&amp;TRIM(TEXT(ElevCalc!$L$119,"# ?/??"))&amp;CHAR(34)&amp;" AFF","")</f>
        <v/>
      </c>
      <c r="P127" t="inlineStr">
        <is>
          <t>capE</t>
        </is>
      </c>
      <c r="Q127">
        <f>IF(ISNUMBER(ElevCalc!$Q$51),"E "&amp;TRIM(TEXT(ElevCalc!$Q$51,"# ?/??"))&amp;CHAR(34)&amp;"  ·  "&amp;TRIM(TEXT(ElevCalc!$Q$119,"# ?/??"))&amp;CHAR(34)&amp;" AFF","")</f>
        <v/>
      </c>
      <c r="U127" t="inlineStr">
        <is>
          <t>capE</t>
        </is>
      </c>
      <c r="V127">
        <f>IF(ISNUMBER(ElevCalc!$V$51),"E "&amp;TRIM(TEXT(ElevCalc!$V$51,"# ?/??"))&amp;CHAR(34)&amp;"  ·  "&amp;TRIM(TEXT(ElevCalc!$V$119,"# ?/??"))&amp;CHAR(34)&amp;" AFF","")</f>
        <v/>
      </c>
      <c r="Z127" t="inlineStr">
        <is>
          <t>capE</t>
        </is>
      </c>
      <c r="AA127">
        <f>IF(ISNUMBER(ElevCalc!$AA$51),"E "&amp;TRIM(TEXT(ElevCalc!$AA$51,"# ?/??"))&amp;CHAR(34)&amp;"  ·  "&amp;TRIM(TEXT(ElevCalc!$AA$119,"# ?/??"))&amp;CHAR(34)&amp;" AFF","")</f>
        <v/>
      </c>
      <c r="AE127" t="inlineStr">
        <is>
          <t>capE</t>
        </is>
      </c>
      <c r="AF127">
        <f>IF(ISNUMBER(ElevCalc!$AF$51),"E "&amp;TRIM(TEXT(ElevCalc!$AF$51,"# ?/??"))&amp;CHAR(34)&amp;"  ·  "&amp;TRIM(TEXT(ElevCalc!$AF$119,"# ?/??"))&amp;CHAR(34)&amp;" AFF","")</f>
        <v/>
      </c>
    </row>
    <row r="128">
      <c r="A128" t="inlineStr">
        <is>
          <t>capTag</t>
        </is>
      </c>
      <c r="B128">
        <f>IF(ElevCalc!$B$73,ElevCalc!$B$2&amp;IF(ElevCalc!$B$93&gt;0,"  ·  "&amp;ElevCalc!$B$99,"")&amp;IF(LEFT(ElevCalc!$B$23,2)="NO","","  ·  "&amp;ElevCalc!$B$23),"")</f>
        <v/>
      </c>
      <c r="F128" t="inlineStr">
        <is>
          <t>capTag</t>
        </is>
      </c>
      <c r="G128">
        <f>IF(ElevCalc!$G$73,ElevCalc!$G$2&amp;IF(ElevCalc!$G$93&gt;0,"  ·  "&amp;ElevCalc!$G$99,"")&amp;IF(LEFT(ElevCalc!$G$23,2)="NO","","  ·  "&amp;ElevCalc!$G$23),"")</f>
        <v/>
      </c>
      <c r="K128" t="inlineStr">
        <is>
          <t>capTag</t>
        </is>
      </c>
      <c r="L128">
        <f>IF(ElevCalc!$L$73,ElevCalc!$L$2&amp;IF(ElevCalc!$L$93&gt;0,"  ·  "&amp;ElevCalc!$L$99,"")&amp;IF(LEFT(ElevCalc!$L$23,2)="NO","","  ·  "&amp;ElevCalc!$L$23),"")</f>
        <v/>
      </c>
      <c r="P128" t="inlineStr">
        <is>
          <t>capTag</t>
        </is>
      </c>
      <c r="Q128">
        <f>IF(ElevCalc!$Q$73,ElevCalc!$Q$2&amp;IF(ElevCalc!$Q$93&gt;0,"  ·  "&amp;ElevCalc!$Q$99,"")&amp;IF(LEFT(ElevCalc!$Q$23,2)="NO","","  ·  "&amp;ElevCalc!$Q$23),"")</f>
        <v/>
      </c>
      <c r="U128" t="inlineStr">
        <is>
          <t>capTag</t>
        </is>
      </c>
      <c r="V128">
        <f>IF(ElevCalc!$V$73,ElevCalc!$V$2&amp;IF(ElevCalc!$V$93&gt;0,"  ·  "&amp;ElevCalc!$V$99,"")&amp;IF(LEFT(ElevCalc!$V$23,2)="NO","","  ·  "&amp;ElevCalc!$V$23),"")</f>
        <v/>
      </c>
      <c r="Z128" t="inlineStr">
        <is>
          <t>capTag</t>
        </is>
      </c>
      <c r="AA128">
        <f>IF(ElevCalc!$AA$73,ElevCalc!$AA$2&amp;IF(ElevCalc!$AA$93&gt;0,"  ·  "&amp;ElevCalc!$AA$99,"")&amp;IF(LEFT(ElevCalc!$AA$23,2)="NO","","  ·  "&amp;ElevCalc!$AA$23),"")</f>
        <v/>
      </c>
      <c r="AE128" t="inlineStr">
        <is>
          <t>capTag</t>
        </is>
      </c>
      <c r="AF128">
        <f>IF(ElevCalc!$AF$73,ElevCalc!$AF$2&amp;IF(ElevCalc!$AF$93&gt;0,"  ·  "&amp;ElevCalc!$AF$99,"")&amp;IF(LEFT(ElevCalc!$AF$23,2)="NO","","  ·  "&amp;ElevCalc!$AF$23),"")</f>
        <v/>
      </c>
    </row>
    <row r="129">
      <c r="A129" t="inlineStr">
        <is>
          <t>capUC</t>
        </is>
      </c>
      <c r="B129">
        <f>IF(ElevCalc!$B$93&gt;0,"UC "&amp;TRIM(TEXT(Undercut,"# ?/??"))&amp;CHAR(34),"")</f>
        <v/>
      </c>
      <c r="F129" t="inlineStr">
        <is>
          <t>capUC</t>
        </is>
      </c>
      <c r="G129">
        <f>IF(ElevCalc!$G$93&gt;0,"UC "&amp;TRIM(TEXT(Undercut,"# ?/??"))&amp;CHAR(34),"")</f>
        <v/>
      </c>
      <c r="K129" t="inlineStr">
        <is>
          <t>capUC</t>
        </is>
      </c>
      <c r="L129">
        <f>IF(ElevCalc!$L$93&gt;0,"UC "&amp;TRIM(TEXT(Undercut,"# ?/??"))&amp;CHAR(34),"")</f>
        <v/>
      </c>
      <c r="P129" t="inlineStr">
        <is>
          <t>capUC</t>
        </is>
      </c>
      <c r="Q129">
        <f>IF(ElevCalc!$Q$93&gt;0,"UC "&amp;TRIM(TEXT(Undercut,"# ?/??"))&amp;CHAR(34),"")</f>
        <v/>
      </c>
      <c r="U129" t="inlineStr">
        <is>
          <t>capUC</t>
        </is>
      </c>
      <c r="V129">
        <f>IF(ElevCalc!$V$93&gt;0,"UC "&amp;TRIM(TEXT(Undercut,"# ?/??"))&amp;CHAR(34),"")</f>
        <v/>
      </c>
      <c r="Z129" t="inlineStr">
        <is>
          <t>capUC</t>
        </is>
      </c>
      <c r="AA129">
        <f>IF(ElevCalc!$AA$93&gt;0,"UC "&amp;TRIM(TEXT(Undercut,"# ?/??"))&amp;CHAR(34),"")</f>
        <v/>
      </c>
      <c r="AE129" t="inlineStr">
        <is>
          <t>capUC</t>
        </is>
      </c>
      <c r="AF129">
        <f>IF(ElevCalc!$AF$93&gt;0,"UC "&amp;TRIM(TEXT(Undercut,"# ?/??"))&amp;CHAR(34),"")</f>
        <v/>
      </c>
    </row>
    <row r="130">
      <c r="A130" t="inlineStr">
        <is>
          <t>capTr</t>
        </is>
      </c>
      <c r="B130">
        <f>IF(ElevCalc!$B$81&gt;0,"TRANSOM "&amp;TRIM(TEXT(ElevCalc!$B$81,"# ?/??"))&amp;CHAR(34),"")</f>
        <v/>
      </c>
      <c r="F130" t="inlineStr">
        <is>
          <t>capTr</t>
        </is>
      </c>
      <c r="G130">
        <f>IF(ElevCalc!$G$81&gt;0,"TRANSOM "&amp;TRIM(TEXT(ElevCalc!$G$81,"# ?/??"))&amp;CHAR(34),"")</f>
        <v/>
      </c>
      <c r="K130" t="inlineStr">
        <is>
          <t>capTr</t>
        </is>
      </c>
      <c r="L130">
        <f>IF(ElevCalc!$L$81&gt;0,"TRANSOM "&amp;TRIM(TEXT(ElevCalc!$L$81,"# ?/??"))&amp;CHAR(34),"")</f>
        <v/>
      </c>
      <c r="P130" t="inlineStr">
        <is>
          <t>capTr</t>
        </is>
      </c>
      <c r="Q130">
        <f>IF(ElevCalc!$Q$81&gt;0,"TRANSOM "&amp;TRIM(TEXT(ElevCalc!$Q$81,"# ?/??"))&amp;CHAR(34),"")</f>
        <v/>
      </c>
      <c r="U130" t="inlineStr">
        <is>
          <t>capTr</t>
        </is>
      </c>
      <c r="V130">
        <f>IF(ElevCalc!$V$81&gt;0,"TRANSOM "&amp;TRIM(TEXT(ElevCalc!$V$81,"# ?/??"))&amp;CHAR(34),"")</f>
        <v/>
      </c>
      <c r="Z130" t="inlineStr">
        <is>
          <t>capTr</t>
        </is>
      </c>
      <c r="AA130">
        <f>IF(ElevCalc!$AA$81&gt;0,"TRANSOM "&amp;TRIM(TEXT(ElevCalc!$AA$81,"# ?/??"))&amp;CHAR(34),"")</f>
        <v/>
      </c>
      <c r="AE130" t="inlineStr">
        <is>
          <t>capTr</t>
        </is>
      </c>
      <c r="AF130">
        <f>IF(ElevCalc!$AF$81&gt;0,"TRANSOM "&amp;TRIM(TEXT(ElevCalc!$AF$81,"# ?/??"))&amp;CHAR(34),"")</f>
        <v/>
      </c>
    </row>
    <row r="131">
      <c r="A131" t="inlineStr">
        <is>
          <t>capH1</t>
        </is>
      </c>
      <c r="B131">
        <f>IF(ISNUMBER(ElevCalc!$B$46),"A "&amp;TRIM(TEXT(ElevCalc!$B$46,"# ?/??"))&amp;CHAR(34),"")</f>
        <v/>
      </c>
      <c r="F131" t="inlineStr">
        <is>
          <t>capH1</t>
        </is>
      </c>
      <c r="G131">
        <f>IF(ISNUMBER(ElevCalc!$G$46),"A "&amp;TRIM(TEXT(ElevCalc!$G$46,"# ?/??"))&amp;CHAR(34),"")</f>
        <v/>
      </c>
      <c r="K131" t="inlineStr">
        <is>
          <t>capH1</t>
        </is>
      </c>
      <c r="L131">
        <f>IF(ISNUMBER(ElevCalc!$L$46),"A "&amp;TRIM(TEXT(ElevCalc!$L$46,"# ?/??"))&amp;CHAR(34),"")</f>
        <v/>
      </c>
      <c r="P131" t="inlineStr">
        <is>
          <t>capH1</t>
        </is>
      </c>
      <c r="Q131">
        <f>IF(ISNUMBER(ElevCalc!$Q$46),"A "&amp;TRIM(TEXT(ElevCalc!$Q$46,"# ?/??"))&amp;CHAR(34),"")</f>
        <v/>
      </c>
      <c r="U131" t="inlineStr">
        <is>
          <t>capH1</t>
        </is>
      </c>
      <c r="V131">
        <f>IF(ISNUMBER(ElevCalc!$V$46),"A "&amp;TRIM(TEXT(ElevCalc!$V$46,"# ?/??"))&amp;CHAR(34),"")</f>
        <v/>
      </c>
      <c r="Z131" t="inlineStr">
        <is>
          <t>capH1</t>
        </is>
      </c>
      <c r="AA131">
        <f>IF(ISNUMBER(ElevCalc!$AA$46),"A "&amp;TRIM(TEXT(ElevCalc!$AA$46,"# ?/??"))&amp;CHAR(34),"")</f>
        <v/>
      </c>
      <c r="AE131" t="inlineStr">
        <is>
          <t>capH1</t>
        </is>
      </c>
      <c r="AF131">
        <f>IF(ISNUMBER(ElevCalc!$AF$46),"A "&amp;TRIM(TEXT(ElevCalc!$AF$46,"# ?/??"))&amp;CHAR(34),"")</f>
        <v/>
      </c>
    </row>
    <row r="132">
      <c r="A132" t="inlineStr">
        <is>
          <t>capH2</t>
        </is>
      </c>
      <c r="B132">
        <f>IF(ISNUMBER(ElevCalc!$B$47),"B "&amp;TRIM(TEXT(ElevCalc!$B$47,"# ?/??"))&amp;CHAR(34),"")</f>
        <v/>
      </c>
      <c r="F132" t="inlineStr">
        <is>
          <t>capH2</t>
        </is>
      </c>
      <c r="G132">
        <f>IF(ISNUMBER(ElevCalc!$G$47),"B "&amp;TRIM(TEXT(ElevCalc!$G$47,"# ?/??"))&amp;CHAR(34),"")</f>
        <v/>
      </c>
      <c r="K132" t="inlineStr">
        <is>
          <t>capH2</t>
        </is>
      </c>
      <c r="L132">
        <f>IF(ISNUMBER(ElevCalc!$L$47),"B "&amp;TRIM(TEXT(ElevCalc!$L$47,"# ?/??"))&amp;CHAR(34),"")</f>
        <v/>
      </c>
      <c r="P132" t="inlineStr">
        <is>
          <t>capH2</t>
        </is>
      </c>
      <c r="Q132">
        <f>IF(ISNUMBER(ElevCalc!$Q$47),"B "&amp;TRIM(TEXT(ElevCalc!$Q$47,"# ?/??"))&amp;CHAR(34),"")</f>
        <v/>
      </c>
      <c r="U132" t="inlineStr">
        <is>
          <t>capH2</t>
        </is>
      </c>
      <c r="V132">
        <f>IF(ISNUMBER(ElevCalc!$V$47),"B "&amp;TRIM(TEXT(ElevCalc!$V$47,"# ?/??"))&amp;CHAR(34),"")</f>
        <v/>
      </c>
      <c r="Z132" t="inlineStr">
        <is>
          <t>capH2</t>
        </is>
      </c>
      <c r="AA132">
        <f>IF(ISNUMBER(ElevCalc!$AA$47),"B "&amp;TRIM(TEXT(ElevCalc!$AA$47,"# ?/??"))&amp;CHAR(34),"")</f>
        <v/>
      </c>
      <c r="AE132" t="inlineStr">
        <is>
          <t>capH2</t>
        </is>
      </c>
      <c r="AF132">
        <f>IF(ISNUMBER(ElevCalc!$AF$47),"B "&amp;TRIM(TEXT(ElevCalc!$AF$47,"# ?/??"))&amp;CHAR(34),"")</f>
        <v/>
      </c>
    </row>
    <row r="133">
      <c r="A133" t="inlineStr">
        <is>
          <t>capH3</t>
        </is>
      </c>
      <c r="B133">
        <f>IF(ISNUMBER(ElevCalc!$B$48),"C "&amp;TRIM(TEXT(ElevCalc!$B$48,"# ?/??"))&amp;CHAR(34),"")</f>
        <v/>
      </c>
      <c r="F133" t="inlineStr">
        <is>
          <t>capH3</t>
        </is>
      </c>
      <c r="G133">
        <f>IF(ISNUMBER(ElevCalc!$G$48),"C "&amp;TRIM(TEXT(ElevCalc!$G$48,"# ?/??"))&amp;CHAR(34),"")</f>
        <v/>
      </c>
      <c r="K133" t="inlineStr">
        <is>
          <t>capH3</t>
        </is>
      </c>
      <c r="L133">
        <f>IF(ISNUMBER(ElevCalc!$L$48),"C "&amp;TRIM(TEXT(ElevCalc!$L$48,"# ?/??"))&amp;CHAR(34),"")</f>
        <v/>
      </c>
      <c r="P133" t="inlineStr">
        <is>
          <t>capH3</t>
        </is>
      </c>
      <c r="Q133">
        <f>IF(ISNUMBER(ElevCalc!$Q$48),"C "&amp;TRIM(TEXT(ElevCalc!$Q$48,"# ?/??"))&amp;CHAR(34),"")</f>
        <v/>
      </c>
      <c r="U133" t="inlineStr">
        <is>
          <t>capH3</t>
        </is>
      </c>
      <c r="V133">
        <f>IF(ISNUMBER(ElevCalc!$V$48),"C "&amp;TRIM(TEXT(ElevCalc!$V$48,"# ?/??"))&amp;CHAR(34),"")</f>
        <v/>
      </c>
      <c r="Z133" t="inlineStr">
        <is>
          <t>capH3</t>
        </is>
      </c>
      <c r="AA133">
        <f>IF(ISNUMBER(ElevCalc!$AA$48),"C "&amp;TRIM(TEXT(ElevCalc!$AA$48,"# ?/??"))&amp;CHAR(34),"")</f>
        <v/>
      </c>
      <c r="AE133" t="inlineStr">
        <is>
          <t>capH3</t>
        </is>
      </c>
      <c r="AF133">
        <f>IF(ISNUMBER(ElevCalc!$AF$48),"C "&amp;TRIM(TEXT(ElevCalc!$AF$48,"# ?/??"))&amp;CHAR(34),"")</f>
        <v/>
      </c>
    </row>
    <row r="134">
      <c r="A134" t="inlineStr">
        <is>
          <t>capH4</t>
        </is>
      </c>
      <c r="B134">
        <f>IF(ISNUMBER(ElevCalc!$B$49),"D "&amp;TRIM(TEXT(ElevCalc!$B$49,"# ?/??"))&amp;CHAR(34),"")</f>
        <v/>
      </c>
      <c r="F134" t="inlineStr">
        <is>
          <t>capH4</t>
        </is>
      </c>
      <c r="G134">
        <f>IF(ISNUMBER(ElevCalc!$G$49),"D "&amp;TRIM(TEXT(ElevCalc!$G$49,"# ?/??"))&amp;CHAR(34),"")</f>
        <v/>
      </c>
      <c r="K134" t="inlineStr">
        <is>
          <t>capH4</t>
        </is>
      </c>
      <c r="L134">
        <f>IF(ISNUMBER(ElevCalc!$L$49),"D "&amp;TRIM(TEXT(ElevCalc!$L$49,"# ?/??"))&amp;CHAR(34),"")</f>
        <v/>
      </c>
      <c r="P134" t="inlineStr">
        <is>
          <t>capH4</t>
        </is>
      </c>
      <c r="Q134">
        <f>IF(ISNUMBER(ElevCalc!$Q$49),"D "&amp;TRIM(TEXT(ElevCalc!$Q$49,"# ?/??"))&amp;CHAR(34),"")</f>
        <v/>
      </c>
      <c r="U134" t="inlineStr">
        <is>
          <t>capH4</t>
        </is>
      </c>
      <c r="V134">
        <f>IF(ISNUMBER(ElevCalc!$V$49),"D "&amp;TRIM(TEXT(ElevCalc!$V$49,"# ?/??"))&amp;CHAR(34),"")</f>
        <v/>
      </c>
      <c r="Z134" t="inlineStr">
        <is>
          <t>capH4</t>
        </is>
      </c>
      <c r="AA134">
        <f>IF(ISNUMBER(ElevCalc!$AA$49),"D "&amp;TRIM(TEXT(ElevCalc!$AA$49,"# ?/??"))&amp;CHAR(34),"")</f>
        <v/>
      </c>
      <c r="AE134" t="inlineStr">
        <is>
          <t>capH4</t>
        </is>
      </c>
      <c r="AF134">
        <f>IF(ISNUMBER(ElevCalc!$AF$49),"D "&amp;TRIM(TEXT(ElevCalc!$AF$49,"# ?/??"))&amp;CHAR(34),"")</f>
        <v/>
      </c>
    </row>
    <row r="135">
      <c r="A135" t="inlineStr">
        <is>
          <t>capH5</t>
        </is>
      </c>
      <c r="B135">
        <f>IF(ISNUMBER(ElevCalc!$B$50),"F "&amp;TRIM(TEXT(ElevCalc!$B$50,"# ?/??"))&amp;CHAR(34),"")</f>
        <v/>
      </c>
      <c r="F135" t="inlineStr">
        <is>
          <t>capH5</t>
        </is>
      </c>
      <c r="G135">
        <f>IF(ISNUMBER(ElevCalc!$G$50),"F "&amp;TRIM(TEXT(ElevCalc!$G$50,"# ?/??"))&amp;CHAR(34),"")</f>
        <v/>
      </c>
      <c r="K135" t="inlineStr">
        <is>
          <t>capH5</t>
        </is>
      </c>
      <c r="L135">
        <f>IF(ISNUMBER(ElevCalc!$L$50),"F "&amp;TRIM(TEXT(ElevCalc!$L$50,"# ?/??"))&amp;CHAR(34),"")</f>
        <v/>
      </c>
      <c r="P135" t="inlineStr">
        <is>
          <t>capH5</t>
        </is>
      </c>
      <c r="Q135">
        <f>IF(ISNUMBER(ElevCalc!$Q$50),"F "&amp;TRIM(TEXT(ElevCalc!$Q$50,"# ?/??"))&amp;CHAR(34),"")</f>
        <v/>
      </c>
      <c r="U135" t="inlineStr">
        <is>
          <t>capH5</t>
        </is>
      </c>
      <c r="V135">
        <f>IF(ISNUMBER(ElevCalc!$V$50),"F "&amp;TRIM(TEXT(ElevCalc!$V$50,"# ?/??"))&amp;CHAR(34),"")</f>
        <v/>
      </c>
      <c r="Z135" t="inlineStr">
        <is>
          <t>capH5</t>
        </is>
      </c>
      <c r="AA135">
        <f>IF(ISNUMBER(ElevCalc!$AA$50),"F "&amp;TRIM(TEXT(ElevCalc!$AA$50,"# ?/??"))&amp;CHAR(34),"")</f>
        <v/>
      </c>
      <c r="AE135" t="inlineStr">
        <is>
          <t>capH5</t>
        </is>
      </c>
      <c r="AF135">
        <f>IF(ISNUMBER(ElevCalc!$AF$50),"F "&amp;TRIM(TEXT(ElevCalc!$AF$50,"# ?/??"))&amp;CHAR(34),"")</f>
        <v/>
      </c>
    </row>
    <row r="150">
      <c r="A150" t="inlineStr">
        <is>
          <t>frame</t>
        </is>
      </c>
      <c r="B150">
        <f>IF(ElevCalc!$B$73*(ElevCalc!$B$3&lt;&gt;"DOOR ONLY"),(ElevCalc!$B$92+(0)*ElevCalc!$B$91),NA())</f>
        <v/>
      </c>
      <c r="C150">
        <f>IF(ElevCalc!$B$73*(ElevCalc!$B$3&lt;&gt;"DOOR ONLY"),((0)*ElevCalc!$B$91),NA())</f>
        <v/>
      </c>
      <c r="F150" t="inlineStr">
        <is>
          <t>frame</t>
        </is>
      </c>
      <c r="G150">
        <f>IF(ElevCalc!$G$73*(ElevCalc!$G$3&lt;&gt;"DOOR ONLY"),(ElevCalc!$G$92+(0)*ElevCalc!$G$91),NA())</f>
        <v/>
      </c>
      <c r="H150">
        <f>IF(ElevCalc!$G$73*(ElevCalc!$G$3&lt;&gt;"DOOR ONLY"),((0)*ElevCalc!$G$91),NA())</f>
        <v/>
      </c>
      <c r="K150" t="inlineStr">
        <is>
          <t>frame</t>
        </is>
      </c>
      <c r="L150">
        <f>IF(ElevCalc!$L$73*(ElevCalc!$L$3&lt;&gt;"DOOR ONLY"),(ElevCalc!$L$92+(0)*ElevCalc!$L$91),NA())</f>
        <v/>
      </c>
      <c r="M150">
        <f>IF(ElevCalc!$L$73*(ElevCalc!$L$3&lt;&gt;"DOOR ONLY"),((0)*ElevCalc!$L$91),NA())</f>
        <v/>
      </c>
      <c r="P150" t="inlineStr">
        <is>
          <t>frame</t>
        </is>
      </c>
      <c r="Q150">
        <f>IF(ElevCalc!$Q$73*(ElevCalc!$Q$3&lt;&gt;"DOOR ONLY"),(ElevCalc!$Q$92+(0)*ElevCalc!$Q$91),NA())</f>
        <v/>
      </c>
      <c r="R150">
        <f>IF(ElevCalc!$Q$73*(ElevCalc!$Q$3&lt;&gt;"DOOR ONLY"),((0)*ElevCalc!$Q$91),NA())</f>
        <v/>
      </c>
      <c r="U150" t="inlineStr">
        <is>
          <t>frame</t>
        </is>
      </c>
      <c r="V150">
        <f>IF(ElevCalc!$V$73*(ElevCalc!$V$3&lt;&gt;"DOOR ONLY"),(ElevCalc!$V$92+(0)*ElevCalc!$V$91),NA())</f>
        <v/>
      </c>
      <c r="W150">
        <f>IF(ElevCalc!$V$73*(ElevCalc!$V$3&lt;&gt;"DOOR ONLY"),((0)*ElevCalc!$V$91),NA())</f>
        <v/>
      </c>
      <c r="Z150" t="inlineStr">
        <is>
          <t>frame</t>
        </is>
      </c>
      <c r="AA150">
        <f>IF(ElevCalc!$AA$73*(ElevCalc!$AA$3&lt;&gt;"DOOR ONLY"),(ElevCalc!$AA$92+(0)*ElevCalc!$AA$91),NA())</f>
        <v/>
      </c>
      <c r="AB150">
        <f>IF(ElevCalc!$AA$73*(ElevCalc!$AA$3&lt;&gt;"DOOR ONLY"),((0)*ElevCalc!$AA$91),NA())</f>
        <v/>
      </c>
      <c r="AE150" t="inlineStr">
        <is>
          <t>frame</t>
        </is>
      </c>
      <c r="AF150">
        <f>IF(ElevCalc!$AF$73*(ElevCalc!$AF$3&lt;&gt;"DOOR ONLY"),(ElevCalc!$AF$92+(0)*ElevCalc!$AF$91),NA())</f>
        <v/>
      </c>
      <c r="AG150">
        <f>IF(ElevCalc!$AF$73*(ElevCalc!$AF$3&lt;&gt;"DOOR ONLY"),((0)*ElevCalc!$AF$91),NA())</f>
        <v/>
      </c>
    </row>
    <row r="151">
      <c r="A151" t="inlineStr">
        <is>
          <t>frame</t>
        </is>
      </c>
      <c r="B151">
        <f>IF(ElevCalc!$B$73*(ElevCalc!$B$3&lt;&gt;"DOOR ONLY"),(ElevCalc!$B$92+(0)*ElevCalc!$B$91),NA())</f>
        <v/>
      </c>
      <c r="C151">
        <f>IF(ElevCalc!$B$73*(ElevCalc!$B$3&lt;&gt;"DOOR ONLY"),((ElevCalc!$B$86)*ElevCalc!$B$91),NA())</f>
        <v/>
      </c>
      <c r="F151" t="inlineStr">
        <is>
          <t>frame</t>
        </is>
      </c>
      <c r="G151">
        <f>IF(ElevCalc!$G$73*(ElevCalc!$G$3&lt;&gt;"DOOR ONLY"),(ElevCalc!$G$92+(0)*ElevCalc!$G$91),NA())</f>
        <v/>
      </c>
      <c r="H151">
        <f>IF(ElevCalc!$G$73*(ElevCalc!$G$3&lt;&gt;"DOOR ONLY"),((ElevCalc!$G$86)*ElevCalc!$G$91),NA())</f>
        <v/>
      </c>
      <c r="K151" t="inlineStr">
        <is>
          <t>frame</t>
        </is>
      </c>
      <c r="L151">
        <f>IF(ElevCalc!$L$73*(ElevCalc!$L$3&lt;&gt;"DOOR ONLY"),(ElevCalc!$L$92+(0)*ElevCalc!$L$91),NA())</f>
        <v/>
      </c>
      <c r="M151">
        <f>IF(ElevCalc!$L$73*(ElevCalc!$L$3&lt;&gt;"DOOR ONLY"),((ElevCalc!$L$86)*ElevCalc!$L$91),NA())</f>
        <v/>
      </c>
      <c r="P151" t="inlineStr">
        <is>
          <t>frame</t>
        </is>
      </c>
      <c r="Q151">
        <f>IF(ElevCalc!$Q$73*(ElevCalc!$Q$3&lt;&gt;"DOOR ONLY"),(ElevCalc!$Q$92+(0)*ElevCalc!$Q$91),NA())</f>
        <v/>
      </c>
      <c r="R151">
        <f>IF(ElevCalc!$Q$73*(ElevCalc!$Q$3&lt;&gt;"DOOR ONLY"),((ElevCalc!$Q$86)*ElevCalc!$Q$91),NA())</f>
        <v/>
      </c>
      <c r="U151" t="inlineStr">
        <is>
          <t>frame</t>
        </is>
      </c>
      <c r="V151">
        <f>IF(ElevCalc!$V$73*(ElevCalc!$V$3&lt;&gt;"DOOR ONLY"),(ElevCalc!$V$92+(0)*ElevCalc!$V$91),NA())</f>
        <v/>
      </c>
      <c r="W151">
        <f>IF(ElevCalc!$V$73*(ElevCalc!$V$3&lt;&gt;"DOOR ONLY"),((ElevCalc!$V$86)*ElevCalc!$V$91),NA())</f>
        <v/>
      </c>
      <c r="Z151" t="inlineStr">
        <is>
          <t>frame</t>
        </is>
      </c>
      <c r="AA151">
        <f>IF(ElevCalc!$AA$73*(ElevCalc!$AA$3&lt;&gt;"DOOR ONLY"),(ElevCalc!$AA$92+(0)*ElevCalc!$AA$91),NA())</f>
        <v/>
      </c>
      <c r="AB151">
        <f>IF(ElevCalc!$AA$73*(ElevCalc!$AA$3&lt;&gt;"DOOR ONLY"),((ElevCalc!$AA$86)*ElevCalc!$AA$91),NA())</f>
        <v/>
      </c>
      <c r="AE151" t="inlineStr">
        <is>
          <t>frame</t>
        </is>
      </c>
      <c r="AF151">
        <f>IF(ElevCalc!$AF$73*(ElevCalc!$AF$3&lt;&gt;"DOOR ONLY"),(ElevCalc!$AF$92+(0)*ElevCalc!$AF$91),NA())</f>
        <v/>
      </c>
      <c r="AG151">
        <f>IF(ElevCalc!$AF$73*(ElevCalc!$AF$3&lt;&gt;"DOOR ONLY"),((ElevCalc!$AF$86)*ElevCalc!$AF$91),NA())</f>
        <v/>
      </c>
    </row>
    <row r="152">
      <c r="A152" t="inlineStr">
        <is>
          <t>frame</t>
        </is>
      </c>
      <c r="B152">
        <f>IF(ElevCalc!$B$73*(ElevCalc!$B$3&lt;&gt;"DOOR ONLY"),(ElevCalc!$B$92+(ElevCalc!$B$85)*ElevCalc!$B$91),NA())</f>
        <v/>
      </c>
      <c r="C152">
        <f>IF(ElevCalc!$B$73*(ElevCalc!$B$3&lt;&gt;"DOOR ONLY"),((ElevCalc!$B$86)*ElevCalc!$B$91),NA())</f>
        <v/>
      </c>
      <c r="F152" t="inlineStr">
        <is>
          <t>frame</t>
        </is>
      </c>
      <c r="G152">
        <f>IF(ElevCalc!$G$73*(ElevCalc!$G$3&lt;&gt;"DOOR ONLY"),(ElevCalc!$G$92+(ElevCalc!$G$85)*ElevCalc!$G$91),NA())</f>
        <v/>
      </c>
      <c r="H152">
        <f>IF(ElevCalc!$G$73*(ElevCalc!$G$3&lt;&gt;"DOOR ONLY"),((ElevCalc!$G$86)*ElevCalc!$G$91),NA())</f>
        <v/>
      </c>
      <c r="K152" t="inlineStr">
        <is>
          <t>frame</t>
        </is>
      </c>
      <c r="L152">
        <f>IF(ElevCalc!$L$73*(ElevCalc!$L$3&lt;&gt;"DOOR ONLY"),(ElevCalc!$L$92+(ElevCalc!$L$85)*ElevCalc!$L$91),NA())</f>
        <v/>
      </c>
      <c r="M152">
        <f>IF(ElevCalc!$L$73*(ElevCalc!$L$3&lt;&gt;"DOOR ONLY"),((ElevCalc!$L$86)*ElevCalc!$L$91),NA())</f>
        <v/>
      </c>
      <c r="P152" t="inlineStr">
        <is>
          <t>frame</t>
        </is>
      </c>
      <c r="Q152">
        <f>IF(ElevCalc!$Q$73*(ElevCalc!$Q$3&lt;&gt;"DOOR ONLY"),(ElevCalc!$Q$92+(ElevCalc!$Q$85)*ElevCalc!$Q$91),NA())</f>
        <v/>
      </c>
      <c r="R152">
        <f>IF(ElevCalc!$Q$73*(ElevCalc!$Q$3&lt;&gt;"DOOR ONLY"),((ElevCalc!$Q$86)*ElevCalc!$Q$91),NA())</f>
        <v/>
      </c>
      <c r="U152" t="inlineStr">
        <is>
          <t>frame</t>
        </is>
      </c>
      <c r="V152">
        <f>IF(ElevCalc!$V$73*(ElevCalc!$V$3&lt;&gt;"DOOR ONLY"),(ElevCalc!$V$92+(ElevCalc!$V$85)*ElevCalc!$V$91),NA())</f>
        <v/>
      </c>
      <c r="W152">
        <f>IF(ElevCalc!$V$73*(ElevCalc!$V$3&lt;&gt;"DOOR ONLY"),((ElevCalc!$V$86)*ElevCalc!$V$91),NA())</f>
        <v/>
      </c>
      <c r="Z152" t="inlineStr">
        <is>
          <t>frame</t>
        </is>
      </c>
      <c r="AA152">
        <f>IF(ElevCalc!$AA$73*(ElevCalc!$AA$3&lt;&gt;"DOOR ONLY"),(ElevCalc!$AA$92+(ElevCalc!$AA$85)*ElevCalc!$AA$91),NA())</f>
        <v/>
      </c>
      <c r="AB152">
        <f>IF(ElevCalc!$AA$73*(ElevCalc!$AA$3&lt;&gt;"DOOR ONLY"),((ElevCalc!$AA$86)*ElevCalc!$AA$91),NA())</f>
        <v/>
      </c>
      <c r="AE152" t="inlineStr">
        <is>
          <t>frame</t>
        </is>
      </c>
      <c r="AF152">
        <f>IF(ElevCalc!$AF$73*(ElevCalc!$AF$3&lt;&gt;"DOOR ONLY"),(ElevCalc!$AF$92+(ElevCalc!$AF$85)*ElevCalc!$AF$91),NA())</f>
        <v/>
      </c>
      <c r="AG152">
        <f>IF(ElevCalc!$AF$73*(ElevCalc!$AF$3&lt;&gt;"DOOR ONLY"),((ElevCalc!$AF$86)*ElevCalc!$AF$91),NA())</f>
        <v/>
      </c>
    </row>
    <row r="153">
      <c r="A153" t="inlineStr">
        <is>
          <t>frame</t>
        </is>
      </c>
      <c r="B153">
        <f>IF(ElevCalc!$B$73*(ElevCalc!$B$3&lt;&gt;"DOOR ONLY"),(ElevCalc!$B$92+(ElevCalc!$B$85)*ElevCalc!$B$91),NA())</f>
        <v/>
      </c>
      <c r="C153">
        <f>IF(ElevCalc!$B$73*(ElevCalc!$B$3&lt;&gt;"DOOR ONLY"),((0)*ElevCalc!$B$91),NA())</f>
        <v/>
      </c>
      <c r="F153" t="inlineStr">
        <is>
          <t>frame</t>
        </is>
      </c>
      <c r="G153">
        <f>IF(ElevCalc!$G$73*(ElevCalc!$G$3&lt;&gt;"DOOR ONLY"),(ElevCalc!$G$92+(ElevCalc!$G$85)*ElevCalc!$G$91),NA())</f>
        <v/>
      </c>
      <c r="H153">
        <f>IF(ElevCalc!$G$73*(ElevCalc!$G$3&lt;&gt;"DOOR ONLY"),((0)*ElevCalc!$G$91),NA())</f>
        <v/>
      </c>
      <c r="K153" t="inlineStr">
        <is>
          <t>frame</t>
        </is>
      </c>
      <c r="L153">
        <f>IF(ElevCalc!$L$73*(ElevCalc!$L$3&lt;&gt;"DOOR ONLY"),(ElevCalc!$L$92+(ElevCalc!$L$85)*ElevCalc!$L$91),NA())</f>
        <v/>
      </c>
      <c r="M153">
        <f>IF(ElevCalc!$L$73*(ElevCalc!$L$3&lt;&gt;"DOOR ONLY"),((0)*ElevCalc!$L$91),NA())</f>
        <v/>
      </c>
      <c r="P153" t="inlineStr">
        <is>
          <t>frame</t>
        </is>
      </c>
      <c r="Q153">
        <f>IF(ElevCalc!$Q$73*(ElevCalc!$Q$3&lt;&gt;"DOOR ONLY"),(ElevCalc!$Q$92+(ElevCalc!$Q$85)*ElevCalc!$Q$91),NA())</f>
        <v/>
      </c>
      <c r="R153">
        <f>IF(ElevCalc!$Q$73*(ElevCalc!$Q$3&lt;&gt;"DOOR ONLY"),((0)*ElevCalc!$Q$91),NA())</f>
        <v/>
      </c>
      <c r="U153" t="inlineStr">
        <is>
          <t>frame</t>
        </is>
      </c>
      <c r="V153">
        <f>IF(ElevCalc!$V$73*(ElevCalc!$V$3&lt;&gt;"DOOR ONLY"),(ElevCalc!$V$92+(ElevCalc!$V$85)*ElevCalc!$V$91),NA())</f>
        <v/>
      </c>
      <c r="W153">
        <f>IF(ElevCalc!$V$73*(ElevCalc!$V$3&lt;&gt;"DOOR ONLY"),((0)*ElevCalc!$V$91),NA())</f>
        <v/>
      </c>
      <c r="Z153" t="inlineStr">
        <is>
          <t>frame</t>
        </is>
      </c>
      <c r="AA153">
        <f>IF(ElevCalc!$AA$73*(ElevCalc!$AA$3&lt;&gt;"DOOR ONLY"),(ElevCalc!$AA$92+(ElevCalc!$AA$85)*ElevCalc!$AA$91),NA())</f>
        <v/>
      </c>
      <c r="AB153">
        <f>IF(ElevCalc!$AA$73*(ElevCalc!$AA$3&lt;&gt;"DOOR ONLY"),((0)*ElevCalc!$AA$91),NA())</f>
        <v/>
      </c>
      <c r="AE153" t="inlineStr">
        <is>
          <t>frame</t>
        </is>
      </c>
      <c r="AF153">
        <f>IF(ElevCalc!$AF$73*(ElevCalc!$AF$3&lt;&gt;"DOOR ONLY"),(ElevCalc!$AF$92+(ElevCalc!$AF$85)*ElevCalc!$AF$91),NA())</f>
        <v/>
      </c>
      <c r="AG153">
        <f>IF(ElevCalc!$AF$73*(ElevCalc!$AF$3&lt;&gt;"DOOR ONLY"),((0)*ElevCalc!$AF$91),NA())</f>
        <v/>
      </c>
    </row>
    <row r="154">
      <c r="A154" t="inlineStr">
        <is>
          <t>frame</t>
        </is>
      </c>
      <c r="B154">
        <f>IF(ElevCalc!$B$73*(ElevCalc!$B$3&lt;&gt;"DOOR ONLY"),(ElevCalc!$B$92+(IF(ElevCalc!$B$79=1,0,ElevCalc!$B$85))*ElevCalc!$B$91),NA())</f>
        <v/>
      </c>
      <c r="C154">
        <f>IF(ElevCalc!$B$73*(ElevCalc!$B$3&lt;&gt;"DOOR ONLY"),((0)*ElevCalc!$B$91),NA())</f>
        <v/>
      </c>
      <c r="F154" t="inlineStr">
        <is>
          <t>frame</t>
        </is>
      </c>
      <c r="G154">
        <f>IF(ElevCalc!$G$73*(ElevCalc!$G$3&lt;&gt;"DOOR ONLY"),(ElevCalc!$G$92+(IF(ElevCalc!$G$79=1,0,ElevCalc!$G$85))*ElevCalc!$G$91),NA())</f>
        <v/>
      </c>
      <c r="H154">
        <f>IF(ElevCalc!$G$73*(ElevCalc!$G$3&lt;&gt;"DOOR ONLY"),((0)*ElevCalc!$G$91),NA())</f>
        <v/>
      </c>
      <c r="K154" t="inlineStr">
        <is>
          <t>frame</t>
        </is>
      </c>
      <c r="L154">
        <f>IF(ElevCalc!$L$73*(ElevCalc!$L$3&lt;&gt;"DOOR ONLY"),(ElevCalc!$L$92+(IF(ElevCalc!$L$79=1,0,ElevCalc!$L$85))*ElevCalc!$L$91),NA())</f>
        <v/>
      </c>
      <c r="M154">
        <f>IF(ElevCalc!$L$73*(ElevCalc!$L$3&lt;&gt;"DOOR ONLY"),((0)*ElevCalc!$L$91),NA())</f>
        <v/>
      </c>
      <c r="P154" t="inlineStr">
        <is>
          <t>frame</t>
        </is>
      </c>
      <c r="Q154">
        <f>IF(ElevCalc!$Q$73*(ElevCalc!$Q$3&lt;&gt;"DOOR ONLY"),(ElevCalc!$Q$92+(IF(ElevCalc!$Q$79=1,0,ElevCalc!$Q$85))*ElevCalc!$Q$91),NA())</f>
        <v/>
      </c>
      <c r="R154">
        <f>IF(ElevCalc!$Q$73*(ElevCalc!$Q$3&lt;&gt;"DOOR ONLY"),((0)*ElevCalc!$Q$91),NA())</f>
        <v/>
      </c>
      <c r="U154" t="inlineStr">
        <is>
          <t>frame</t>
        </is>
      </c>
      <c r="V154">
        <f>IF(ElevCalc!$V$73*(ElevCalc!$V$3&lt;&gt;"DOOR ONLY"),(ElevCalc!$V$92+(IF(ElevCalc!$V$79=1,0,ElevCalc!$V$85))*ElevCalc!$V$91),NA())</f>
        <v/>
      </c>
      <c r="W154">
        <f>IF(ElevCalc!$V$73*(ElevCalc!$V$3&lt;&gt;"DOOR ONLY"),((0)*ElevCalc!$V$91),NA())</f>
        <v/>
      </c>
      <c r="Z154" t="inlineStr">
        <is>
          <t>frame</t>
        </is>
      </c>
      <c r="AA154">
        <f>IF(ElevCalc!$AA$73*(ElevCalc!$AA$3&lt;&gt;"DOOR ONLY"),(ElevCalc!$AA$92+(IF(ElevCalc!$AA$79=1,0,ElevCalc!$AA$85))*ElevCalc!$AA$91),NA())</f>
        <v/>
      </c>
      <c r="AB154">
        <f>IF(ElevCalc!$AA$73*(ElevCalc!$AA$3&lt;&gt;"DOOR ONLY"),((0)*ElevCalc!$AA$91),NA())</f>
        <v/>
      </c>
      <c r="AE154" t="inlineStr">
        <is>
          <t>frame</t>
        </is>
      </c>
      <c r="AF154">
        <f>IF(ElevCalc!$AF$73*(ElevCalc!$AF$3&lt;&gt;"DOOR ONLY"),(ElevCalc!$AF$92+(IF(ElevCalc!$AF$79=1,0,ElevCalc!$AF$85))*ElevCalc!$AF$91),NA())</f>
        <v/>
      </c>
      <c r="AG154">
        <f>IF(ElevCalc!$AF$73*(ElevCalc!$AF$3&lt;&gt;"DOOR ONLY"),((0)*ElevCalc!$AF$91),NA())</f>
        <v/>
      </c>
    </row>
    <row r="156">
      <c r="A156" t="inlineStr">
        <is>
          <t>opening</t>
        </is>
      </c>
      <c r="B156">
        <f>IF(ElevCalc!$B$73*(ElevCalc!$B$3&lt;&gt;"DOOR ONLY"),(ElevCalc!$B$92+(ElevCalc!$B$87)*ElevCalc!$B$91),NA())</f>
        <v/>
      </c>
      <c r="C156">
        <f>IF(ElevCalc!$B$73*(ElevCalc!$B$3&lt;&gt;"DOOR ONLY"),((ElevCalc!$B$89)*ElevCalc!$B$91),NA())</f>
        <v/>
      </c>
      <c r="F156" t="inlineStr">
        <is>
          <t>opening</t>
        </is>
      </c>
      <c r="G156">
        <f>IF(ElevCalc!$G$73*(ElevCalc!$G$3&lt;&gt;"DOOR ONLY"),(ElevCalc!$G$92+(ElevCalc!$G$87)*ElevCalc!$G$91),NA())</f>
        <v/>
      </c>
      <c r="H156">
        <f>IF(ElevCalc!$G$73*(ElevCalc!$G$3&lt;&gt;"DOOR ONLY"),((ElevCalc!$G$89)*ElevCalc!$G$91),NA())</f>
        <v/>
      </c>
      <c r="K156" t="inlineStr">
        <is>
          <t>opening</t>
        </is>
      </c>
      <c r="L156">
        <f>IF(ElevCalc!$L$73*(ElevCalc!$L$3&lt;&gt;"DOOR ONLY"),(ElevCalc!$L$92+(ElevCalc!$L$87)*ElevCalc!$L$91),NA())</f>
        <v/>
      </c>
      <c r="M156">
        <f>IF(ElevCalc!$L$73*(ElevCalc!$L$3&lt;&gt;"DOOR ONLY"),((ElevCalc!$L$89)*ElevCalc!$L$91),NA())</f>
        <v/>
      </c>
      <c r="P156" t="inlineStr">
        <is>
          <t>opening</t>
        </is>
      </c>
      <c r="Q156">
        <f>IF(ElevCalc!$Q$73*(ElevCalc!$Q$3&lt;&gt;"DOOR ONLY"),(ElevCalc!$Q$92+(ElevCalc!$Q$87)*ElevCalc!$Q$91),NA())</f>
        <v/>
      </c>
      <c r="R156">
        <f>IF(ElevCalc!$Q$73*(ElevCalc!$Q$3&lt;&gt;"DOOR ONLY"),((ElevCalc!$Q$89)*ElevCalc!$Q$91),NA())</f>
        <v/>
      </c>
      <c r="U156" t="inlineStr">
        <is>
          <t>opening</t>
        </is>
      </c>
      <c r="V156">
        <f>IF(ElevCalc!$V$73*(ElevCalc!$V$3&lt;&gt;"DOOR ONLY"),(ElevCalc!$V$92+(ElevCalc!$V$87)*ElevCalc!$V$91),NA())</f>
        <v/>
      </c>
      <c r="W156">
        <f>IF(ElevCalc!$V$73*(ElevCalc!$V$3&lt;&gt;"DOOR ONLY"),((ElevCalc!$V$89)*ElevCalc!$V$91),NA())</f>
        <v/>
      </c>
      <c r="Z156" t="inlineStr">
        <is>
          <t>opening</t>
        </is>
      </c>
      <c r="AA156">
        <f>IF(ElevCalc!$AA$73*(ElevCalc!$AA$3&lt;&gt;"DOOR ONLY"),(ElevCalc!$AA$92+(ElevCalc!$AA$87)*ElevCalc!$AA$91),NA())</f>
        <v/>
      </c>
      <c r="AB156">
        <f>IF(ElevCalc!$AA$73*(ElevCalc!$AA$3&lt;&gt;"DOOR ONLY"),((ElevCalc!$AA$89)*ElevCalc!$AA$91),NA())</f>
        <v/>
      </c>
      <c r="AE156" t="inlineStr">
        <is>
          <t>opening</t>
        </is>
      </c>
      <c r="AF156">
        <f>IF(ElevCalc!$AF$73*(ElevCalc!$AF$3&lt;&gt;"DOOR ONLY"),(ElevCalc!$AF$92+(ElevCalc!$AF$87)*ElevCalc!$AF$91),NA())</f>
        <v/>
      </c>
      <c r="AG156">
        <f>IF(ElevCalc!$AF$73*(ElevCalc!$AF$3&lt;&gt;"DOOR ONLY"),((ElevCalc!$AF$89)*ElevCalc!$AF$91),NA())</f>
        <v/>
      </c>
    </row>
    <row r="157">
      <c r="A157" t="inlineStr">
        <is>
          <t>opening</t>
        </is>
      </c>
      <c r="B157">
        <f>IF(ElevCalc!$B$73*(ElevCalc!$B$3&lt;&gt;"DOOR ONLY"),(ElevCalc!$B$92+(ElevCalc!$B$87)*ElevCalc!$B$91),NA())</f>
        <v/>
      </c>
      <c r="C157">
        <f>IF(ElevCalc!$B$73*(ElevCalc!$B$3&lt;&gt;"DOOR ONLY"),((ElevCalc!$B$90)*ElevCalc!$B$91),NA())</f>
        <v/>
      </c>
      <c r="F157" t="inlineStr">
        <is>
          <t>opening</t>
        </is>
      </c>
      <c r="G157">
        <f>IF(ElevCalc!$G$73*(ElevCalc!$G$3&lt;&gt;"DOOR ONLY"),(ElevCalc!$G$92+(ElevCalc!$G$87)*ElevCalc!$G$91),NA())</f>
        <v/>
      </c>
      <c r="H157">
        <f>IF(ElevCalc!$G$73*(ElevCalc!$G$3&lt;&gt;"DOOR ONLY"),((ElevCalc!$G$90)*ElevCalc!$G$91),NA())</f>
        <v/>
      </c>
      <c r="K157" t="inlineStr">
        <is>
          <t>opening</t>
        </is>
      </c>
      <c r="L157">
        <f>IF(ElevCalc!$L$73*(ElevCalc!$L$3&lt;&gt;"DOOR ONLY"),(ElevCalc!$L$92+(ElevCalc!$L$87)*ElevCalc!$L$91),NA())</f>
        <v/>
      </c>
      <c r="M157">
        <f>IF(ElevCalc!$L$73*(ElevCalc!$L$3&lt;&gt;"DOOR ONLY"),((ElevCalc!$L$90)*ElevCalc!$L$91),NA())</f>
        <v/>
      </c>
      <c r="P157" t="inlineStr">
        <is>
          <t>opening</t>
        </is>
      </c>
      <c r="Q157">
        <f>IF(ElevCalc!$Q$73*(ElevCalc!$Q$3&lt;&gt;"DOOR ONLY"),(ElevCalc!$Q$92+(ElevCalc!$Q$87)*ElevCalc!$Q$91),NA())</f>
        <v/>
      </c>
      <c r="R157">
        <f>IF(ElevCalc!$Q$73*(ElevCalc!$Q$3&lt;&gt;"DOOR ONLY"),((ElevCalc!$Q$90)*ElevCalc!$Q$91),NA())</f>
        <v/>
      </c>
      <c r="U157" t="inlineStr">
        <is>
          <t>opening</t>
        </is>
      </c>
      <c r="V157">
        <f>IF(ElevCalc!$V$73*(ElevCalc!$V$3&lt;&gt;"DOOR ONLY"),(ElevCalc!$V$92+(ElevCalc!$V$87)*ElevCalc!$V$91),NA())</f>
        <v/>
      </c>
      <c r="W157">
        <f>IF(ElevCalc!$V$73*(ElevCalc!$V$3&lt;&gt;"DOOR ONLY"),((ElevCalc!$V$90)*ElevCalc!$V$91),NA())</f>
        <v/>
      </c>
      <c r="Z157" t="inlineStr">
        <is>
          <t>opening</t>
        </is>
      </c>
      <c r="AA157">
        <f>IF(ElevCalc!$AA$73*(ElevCalc!$AA$3&lt;&gt;"DOOR ONLY"),(ElevCalc!$AA$92+(ElevCalc!$AA$87)*ElevCalc!$AA$91),NA())</f>
        <v/>
      </c>
      <c r="AB157">
        <f>IF(ElevCalc!$AA$73*(ElevCalc!$AA$3&lt;&gt;"DOOR ONLY"),((ElevCalc!$AA$90)*ElevCalc!$AA$91),NA())</f>
        <v/>
      </c>
      <c r="AE157" t="inlineStr">
        <is>
          <t>opening</t>
        </is>
      </c>
      <c r="AF157">
        <f>IF(ElevCalc!$AF$73*(ElevCalc!$AF$3&lt;&gt;"DOOR ONLY"),(ElevCalc!$AF$92+(ElevCalc!$AF$87)*ElevCalc!$AF$91),NA())</f>
        <v/>
      </c>
      <c r="AG157">
        <f>IF(ElevCalc!$AF$73*(ElevCalc!$AF$3&lt;&gt;"DOOR ONLY"),((ElevCalc!$AF$90)*ElevCalc!$AF$91),NA())</f>
        <v/>
      </c>
    </row>
    <row r="158">
      <c r="A158" t="inlineStr">
        <is>
          <t>opening</t>
        </is>
      </c>
      <c r="B158">
        <f>IF(ElevCalc!$B$73*(ElevCalc!$B$3&lt;&gt;"DOOR ONLY"),(ElevCalc!$B$92+(ElevCalc!$B$88)*ElevCalc!$B$91),NA())</f>
        <v/>
      </c>
      <c r="C158">
        <f>IF(ElevCalc!$B$73*(ElevCalc!$B$3&lt;&gt;"DOOR ONLY"),((ElevCalc!$B$90)*ElevCalc!$B$91),NA())</f>
        <v/>
      </c>
      <c r="F158" t="inlineStr">
        <is>
          <t>opening</t>
        </is>
      </c>
      <c r="G158">
        <f>IF(ElevCalc!$G$73*(ElevCalc!$G$3&lt;&gt;"DOOR ONLY"),(ElevCalc!$G$92+(ElevCalc!$G$88)*ElevCalc!$G$91),NA())</f>
        <v/>
      </c>
      <c r="H158">
        <f>IF(ElevCalc!$G$73*(ElevCalc!$G$3&lt;&gt;"DOOR ONLY"),((ElevCalc!$G$90)*ElevCalc!$G$91),NA())</f>
        <v/>
      </c>
      <c r="K158" t="inlineStr">
        <is>
          <t>opening</t>
        </is>
      </c>
      <c r="L158">
        <f>IF(ElevCalc!$L$73*(ElevCalc!$L$3&lt;&gt;"DOOR ONLY"),(ElevCalc!$L$92+(ElevCalc!$L$88)*ElevCalc!$L$91),NA())</f>
        <v/>
      </c>
      <c r="M158">
        <f>IF(ElevCalc!$L$73*(ElevCalc!$L$3&lt;&gt;"DOOR ONLY"),((ElevCalc!$L$90)*ElevCalc!$L$91),NA())</f>
        <v/>
      </c>
      <c r="P158" t="inlineStr">
        <is>
          <t>opening</t>
        </is>
      </c>
      <c r="Q158">
        <f>IF(ElevCalc!$Q$73*(ElevCalc!$Q$3&lt;&gt;"DOOR ONLY"),(ElevCalc!$Q$92+(ElevCalc!$Q$88)*ElevCalc!$Q$91),NA())</f>
        <v/>
      </c>
      <c r="R158">
        <f>IF(ElevCalc!$Q$73*(ElevCalc!$Q$3&lt;&gt;"DOOR ONLY"),((ElevCalc!$Q$90)*ElevCalc!$Q$91),NA())</f>
        <v/>
      </c>
      <c r="U158" t="inlineStr">
        <is>
          <t>opening</t>
        </is>
      </c>
      <c r="V158">
        <f>IF(ElevCalc!$V$73*(ElevCalc!$V$3&lt;&gt;"DOOR ONLY"),(ElevCalc!$V$92+(ElevCalc!$V$88)*ElevCalc!$V$91),NA())</f>
        <v/>
      </c>
      <c r="W158">
        <f>IF(ElevCalc!$V$73*(ElevCalc!$V$3&lt;&gt;"DOOR ONLY"),((ElevCalc!$V$90)*ElevCalc!$V$91),NA())</f>
        <v/>
      </c>
      <c r="Z158" t="inlineStr">
        <is>
          <t>opening</t>
        </is>
      </c>
      <c r="AA158">
        <f>IF(ElevCalc!$AA$73*(ElevCalc!$AA$3&lt;&gt;"DOOR ONLY"),(ElevCalc!$AA$92+(ElevCalc!$AA$88)*ElevCalc!$AA$91),NA())</f>
        <v/>
      </c>
      <c r="AB158">
        <f>IF(ElevCalc!$AA$73*(ElevCalc!$AA$3&lt;&gt;"DOOR ONLY"),((ElevCalc!$AA$90)*ElevCalc!$AA$91),NA())</f>
        <v/>
      </c>
      <c r="AE158" t="inlineStr">
        <is>
          <t>opening</t>
        </is>
      </c>
      <c r="AF158">
        <f>IF(ElevCalc!$AF$73*(ElevCalc!$AF$3&lt;&gt;"DOOR ONLY"),(ElevCalc!$AF$92+(ElevCalc!$AF$88)*ElevCalc!$AF$91),NA())</f>
        <v/>
      </c>
      <c r="AG158">
        <f>IF(ElevCalc!$AF$73*(ElevCalc!$AF$3&lt;&gt;"DOOR ONLY"),((ElevCalc!$AF$90)*ElevCalc!$AF$91),NA())</f>
        <v/>
      </c>
    </row>
    <row r="159">
      <c r="A159" t="inlineStr">
        <is>
          <t>opening</t>
        </is>
      </c>
      <c r="B159">
        <f>IF(ElevCalc!$B$73*(ElevCalc!$B$3&lt;&gt;"DOOR ONLY"),(ElevCalc!$B$92+(ElevCalc!$B$88)*ElevCalc!$B$91),NA())</f>
        <v/>
      </c>
      <c r="C159">
        <f>IF(ElevCalc!$B$73*(ElevCalc!$B$3&lt;&gt;"DOOR ONLY"),((ElevCalc!$B$89)*ElevCalc!$B$91),NA())</f>
        <v/>
      </c>
      <c r="F159" t="inlineStr">
        <is>
          <t>opening</t>
        </is>
      </c>
      <c r="G159">
        <f>IF(ElevCalc!$G$73*(ElevCalc!$G$3&lt;&gt;"DOOR ONLY"),(ElevCalc!$G$92+(ElevCalc!$G$88)*ElevCalc!$G$91),NA())</f>
        <v/>
      </c>
      <c r="H159">
        <f>IF(ElevCalc!$G$73*(ElevCalc!$G$3&lt;&gt;"DOOR ONLY"),((ElevCalc!$G$89)*ElevCalc!$G$91),NA())</f>
        <v/>
      </c>
      <c r="K159" t="inlineStr">
        <is>
          <t>opening</t>
        </is>
      </c>
      <c r="L159">
        <f>IF(ElevCalc!$L$73*(ElevCalc!$L$3&lt;&gt;"DOOR ONLY"),(ElevCalc!$L$92+(ElevCalc!$L$88)*ElevCalc!$L$91),NA())</f>
        <v/>
      </c>
      <c r="M159">
        <f>IF(ElevCalc!$L$73*(ElevCalc!$L$3&lt;&gt;"DOOR ONLY"),((ElevCalc!$L$89)*ElevCalc!$L$91),NA())</f>
        <v/>
      </c>
      <c r="P159" t="inlineStr">
        <is>
          <t>opening</t>
        </is>
      </c>
      <c r="Q159">
        <f>IF(ElevCalc!$Q$73*(ElevCalc!$Q$3&lt;&gt;"DOOR ONLY"),(ElevCalc!$Q$92+(ElevCalc!$Q$88)*ElevCalc!$Q$91),NA())</f>
        <v/>
      </c>
      <c r="R159">
        <f>IF(ElevCalc!$Q$73*(ElevCalc!$Q$3&lt;&gt;"DOOR ONLY"),((ElevCalc!$Q$89)*ElevCalc!$Q$91),NA())</f>
        <v/>
      </c>
      <c r="U159" t="inlineStr">
        <is>
          <t>opening</t>
        </is>
      </c>
      <c r="V159">
        <f>IF(ElevCalc!$V$73*(ElevCalc!$V$3&lt;&gt;"DOOR ONLY"),(ElevCalc!$V$92+(ElevCalc!$V$88)*ElevCalc!$V$91),NA())</f>
        <v/>
      </c>
      <c r="W159">
        <f>IF(ElevCalc!$V$73*(ElevCalc!$V$3&lt;&gt;"DOOR ONLY"),((ElevCalc!$V$89)*ElevCalc!$V$91),NA())</f>
        <v/>
      </c>
      <c r="Z159" t="inlineStr">
        <is>
          <t>opening</t>
        </is>
      </c>
      <c r="AA159">
        <f>IF(ElevCalc!$AA$73*(ElevCalc!$AA$3&lt;&gt;"DOOR ONLY"),(ElevCalc!$AA$92+(ElevCalc!$AA$88)*ElevCalc!$AA$91),NA())</f>
        <v/>
      </c>
      <c r="AB159">
        <f>IF(ElevCalc!$AA$73*(ElevCalc!$AA$3&lt;&gt;"DOOR ONLY"),((ElevCalc!$AA$89)*ElevCalc!$AA$91),NA())</f>
        <v/>
      </c>
      <c r="AE159" t="inlineStr">
        <is>
          <t>opening</t>
        </is>
      </c>
      <c r="AF159">
        <f>IF(ElevCalc!$AF$73*(ElevCalc!$AF$3&lt;&gt;"DOOR ONLY"),(ElevCalc!$AF$92+(ElevCalc!$AF$88)*ElevCalc!$AF$91),NA())</f>
        <v/>
      </c>
      <c r="AG159">
        <f>IF(ElevCalc!$AF$73*(ElevCalc!$AF$3&lt;&gt;"DOOR ONLY"),((ElevCalc!$AF$89)*ElevCalc!$AF$91),NA())</f>
        <v/>
      </c>
    </row>
    <row r="160">
      <c r="A160" t="inlineStr">
        <is>
          <t>opening</t>
        </is>
      </c>
      <c r="B160">
        <f>IF(ElevCalc!$B$73*(ElevCalc!$B$3&lt;&gt;"DOOR ONLY"),(ElevCalc!$B$92+(IF(ElevCalc!$B$79=1,ElevCalc!$B$87,ElevCalc!$B$88))*ElevCalc!$B$91),NA())</f>
        <v/>
      </c>
      <c r="C160">
        <f>IF(ElevCalc!$B$73*(ElevCalc!$B$3&lt;&gt;"DOOR ONLY"),((ElevCalc!$B$89)*ElevCalc!$B$91),NA())</f>
        <v/>
      </c>
      <c r="F160" t="inlineStr">
        <is>
          <t>opening</t>
        </is>
      </c>
      <c r="G160">
        <f>IF(ElevCalc!$G$73*(ElevCalc!$G$3&lt;&gt;"DOOR ONLY"),(ElevCalc!$G$92+(IF(ElevCalc!$G$79=1,ElevCalc!$G$87,ElevCalc!$G$88))*ElevCalc!$G$91),NA())</f>
        <v/>
      </c>
      <c r="H160">
        <f>IF(ElevCalc!$G$73*(ElevCalc!$G$3&lt;&gt;"DOOR ONLY"),((ElevCalc!$G$89)*ElevCalc!$G$91),NA())</f>
        <v/>
      </c>
      <c r="K160" t="inlineStr">
        <is>
          <t>opening</t>
        </is>
      </c>
      <c r="L160">
        <f>IF(ElevCalc!$L$73*(ElevCalc!$L$3&lt;&gt;"DOOR ONLY"),(ElevCalc!$L$92+(IF(ElevCalc!$L$79=1,ElevCalc!$L$87,ElevCalc!$L$88))*ElevCalc!$L$91),NA())</f>
        <v/>
      </c>
      <c r="M160">
        <f>IF(ElevCalc!$L$73*(ElevCalc!$L$3&lt;&gt;"DOOR ONLY"),((ElevCalc!$L$89)*ElevCalc!$L$91),NA())</f>
        <v/>
      </c>
      <c r="P160" t="inlineStr">
        <is>
          <t>opening</t>
        </is>
      </c>
      <c r="Q160">
        <f>IF(ElevCalc!$Q$73*(ElevCalc!$Q$3&lt;&gt;"DOOR ONLY"),(ElevCalc!$Q$92+(IF(ElevCalc!$Q$79=1,ElevCalc!$Q$87,ElevCalc!$Q$88))*ElevCalc!$Q$91),NA())</f>
        <v/>
      </c>
      <c r="R160">
        <f>IF(ElevCalc!$Q$73*(ElevCalc!$Q$3&lt;&gt;"DOOR ONLY"),((ElevCalc!$Q$89)*ElevCalc!$Q$91),NA())</f>
        <v/>
      </c>
      <c r="U160" t="inlineStr">
        <is>
          <t>opening</t>
        </is>
      </c>
      <c r="V160">
        <f>IF(ElevCalc!$V$73*(ElevCalc!$V$3&lt;&gt;"DOOR ONLY"),(ElevCalc!$V$92+(IF(ElevCalc!$V$79=1,ElevCalc!$V$87,ElevCalc!$V$88))*ElevCalc!$V$91),NA())</f>
        <v/>
      </c>
      <c r="W160">
        <f>IF(ElevCalc!$V$73*(ElevCalc!$V$3&lt;&gt;"DOOR ONLY"),((ElevCalc!$V$89)*ElevCalc!$V$91),NA())</f>
        <v/>
      </c>
      <c r="Z160" t="inlineStr">
        <is>
          <t>opening</t>
        </is>
      </c>
      <c r="AA160">
        <f>IF(ElevCalc!$AA$73*(ElevCalc!$AA$3&lt;&gt;"DOOR ONLY"),(ElevCalc!$AA$92+(IF(ElevCalc!$AA$79=1,ElevCalc!$AA$87,ElevCalc!$AA$88))*ElevCalc!$AA$91),NA())</f>
        <v/>
      </c>
      <c r="AB160">
        <f>IF(ElevCalc!$AA$73*(ElevCalc!$AA$3&lt;&gt;"DOOR ONLY"),((ElevCalc!$AA$89)*ElevCalc!$AA$91),NA())</f>
        <v/>
      </c>
      <c r="AE160" t="inlineStr">
        <is>
          <t>opening</t>
        </is>
      </c>
      <c r="AF160">
        <f>IF(ElevCalc!$AF$73*(ElevCalc!$AF$3&lt;&gt;"DOOR ONLY"),(ElevCalc!$AF$92+(IF(ElevCalc!$AF$79=1,ElevCalc!$AF$87,ElevCalc!$AF$88))*ElevCalc!$AF$91),NA())</f>
        <v/>
      </c>
      <c r="AG160">
        <f>IF(ElevCalc!$AF$73*(ElevCalc!$AF$3&lt;&gt;"DOOR ONLY"),((ElevCalc!$AF$89)*ElevCalc!$AF$91),NA())</f>
        <v/>
      </c>
    </row>
    <row r="162">
      <c r="A162" t="inlineStr">
        <is>
          <t>frame</t>
        </is>
      </c>
      <c r="B162">
        <f>IF(ElevCalc!$B$73*(ElevCalc!$B$3="DOOR ONLY"),(ElevCalc!$B$92+(0)*ElevCalc!$B$91),NA())</f>
        <v/>
      </c>
      <c r="C162">
        <f>IF(ElevCalc!$B$73*(ElevCalc!$B$3="DOOR ONLY"),((0)*ElevCalc!$B$91),NA())</f>
        <v/>
      </c>
      <c r="F162" t="inlineStr">
        <is>
          <t>frame</t>
        </is>
      </c>
      <c r="G162">
        <f>IF(ElevCalc!$G$73*(ElevCalc!$G$3="DOOR ONLY"),(ElevCalc!$G$92+(0)*ElevCalc!$G$91),NA())</f>
        <v/>
      </c>
      <c r="H162">
        <f>IF(ElevCalc!$G$73*(ElevCalc!$G$3="DOOR ONLY"),((0)*ElevCalc!$G$91),NA())</f>
        <v/>
      </c>
      <c r="K162" t="inlineStr">
        <is>
          <t>frame</t>
        </is>
      </c>
      <c r="L162">
        <f>IF(ElevCalc!$L$73*(ElevCalc!$L$3="DOOR ONLY"),(ElevCalc!$L$92+(0)*ElevCalc!$L$91),NA())</f>
        <v/>
      </c>
      <c r="M162">
        <f>IF(ElevCalc!$L$73*(ElevCalc!$L$3="DOOR ONLY"),((0)*ElevCalc!$L$91),NA())</f>
        <v/>
      </c>
      <c r="P162" t="inlineStr">
        <is>
          <t>frame</t>
        </is>
      </c>
      <c r="Q162">
        <f>IF(ElevCalc!$Q$73*(ElevCalc!$Q$3="DOOR ONLY"),(ElevCalc!$Q$92+(0)*ElevCalc!$Q$91),NA())</f>
        <v/>
      </c>
      <c r="R162">
        <f>IF(ElevCalc!$Q$73*(ElevCalc!$Q$3="DOOR ONLY"),((0)*ElevCalc!$Q$91),NA())</f>
        <v/>
      </c>
      <c r="U162" t="inlineStr">
        <is>
          <t>frame</t>
        </is>
      </c>
      <c r="V162">
        <f>IF(ElevCalc!$V$73*(ElevCalc!$V$3="DOOR ONLY"),(ElevCalc!$V$92+(0)*ElevCalc!$V$91),NA())</f>
        <v/>
      </c>
      <c r="W162">
        <f>IF(ElevCalc!$V$73*(ElevCalc!$V$3="DOOR ONLY"),((0)*ElevCalc!$V$91),NA())</f>
        <v/>
      </c>
      <c r="Z162" t="inlineStr">
        <is>
          <t>frame</t>
        </is>
      </c>
      <c r="AA162">
        <f>IF(ElevCalc!$AA$73*(ElevCalc!$AA$3="DOOR ONLY"),(ElevCalc!$AA$92+(0)*ElevCalc!$AA$91),NA())</f>
        <v/>
      </c>
      <c r="AB162">
        <f>IF(ElevCalc!$AA$73*(ElevCalc!$AA$3="DOOR ONLY"),((0)*ElevCalc!$AA$91),NA())</f>
        <v/>
      </c>
      <c r="AE162" t="inlineStr">
        <is>
          <t>frame</t>
        </is>
      </c>
      <c r="AF162">
        <f>IF(ElevCalc!$AF$73*(ElevCalc!$AF$3="DOOR ONLY"),(ElevCalc!$AF$92+(0)*ElevCalc!$AF$91),NA())</f>
        <v/>
      </c>
      <c r="AG162">
        <f>IF(ElevCalc!$AF$73*(ElevCalc!$AF$3="DOOR ONLY"),((0)*ElevCalc!$AF$91),NA())</f>
        <v/>
      </c>
    </row>
    <row r="163">
      <c r="A163" t="inlineStr">
        <is>
          <t>frame</t>
        </is>
      </c>
      <c r="B163">
        <f>IF(ElevCalc!$B$73*(ElevCalc!$B$3="DOOR ONLY"),(ElevCalc!$B$92+(0)*ElevCalc!$B$91),NA())</f>
        <v/>
      </c>
      <c r="C163">
        <f>IF(ElevCalc!$B$73*(ElevCalc!$B$3="DOOR ONLY"),((ElevCalc!$B$86)*ElevCalc!$B$91),NA())</f>
        <v/>
      </c>
      <c r="F163" t="inlineStr">
        <is>
          <t>frame</t>
        </is>
      </c>
      <c r="G163">
        <f>IF(ElevCalc!$G$73*(ElevCalc!$G$3="DOOR ONLY"),(ElevCalc!$G$92+(0)*ElevCalc!$G$91),NA())</f>
        <v/>
      </c>
      <c r="H163">
        <f>IF(ElevCalc!$G$73*(ElevCalc!$G$3="DOOR ONLY"),((ElevCalc!$G$86)*ElevCalc!$G$91),NA())</f>
        <v/>
      </c>
      <c r="K163" t="inlineStr">
        <is>
          <t>frame</t>
        </is>
      </c>
      <c r="L163">
        <f>IF(ElevCalc!$L$73*(ElevCalc!$L$3="DOOR ONLY"),(ElevCalc!$L$92+(0)*ElevCalc!$L$91),NA())</f>
        <v/>
      </c>
      <c r="M163">
        <f>IF(ElevCalc!$L$73*(ElevCalc!$L$3="DOOR ONLY"),((ElevCalc!$L$86)*ElevCalc!$L$91),NA())</f>
        <v/>
      </c>
      <c r="P163" t="inlineStr">
        <is>
          <t>frame</t>
        </is>
      </c>
      <c r="Q163">
        <f>IF(ElevCalc!$Q$73*(ElevCalc!$Q$3="DOOR ONLY"),(ElevCalc!$Q$92+(0)*ElevCalc!$Q$91),NA())</f>
        <v/>
      </c>
      <c r="R163">
        <f>IF(ElevCalc!$Q$73*(ElevCalc!$Q$3="DOOR ONLY"),((ElevCalc!$Q$86)*ElevCalc!$Q$91),NA())</f>
        <v/>
      </c>
      <c r="U163" t="inlineStr">
        <is>
          <t>frame</t>
        </is>
      </c>
      <c r="V163">
        <f>IF(ElevCalc!$V$73*(ElevCalc!$V$3="DOOR ONLY"),(ElevCalc!$V$92+(0)*ElevCalc!$V$91),NA())</f>
        <v/>
      </c>
      <c r="W163">
        <f>IF(ElevCalc!$V$73*(ElevCalc!$V$3="DOOR ONLY"),((ElevCalc!$V$86)*ElevCalc!$V$91),NA())</f>
        <v/>
      </c>
      <c r="Z163" t="inlineStr">
        <is>
          <t>frame</t>
        </is>
      </c>
      <c r="AA163">
        <f>IF(ElevCalc!$AA$73*(ElevCalc!$AA$3="DOOR ONLY"),(ElevCalc!$AA$92+(0)*ElevCalc!$AA$91),NA())</f>
        <v/>
      </c>
      <c r="AB163">
        <f>IF(ElevCalc!$AA$73*(ElevCalc!$AA$3="DOOR ONLY"),((ElevCalc!$AA$86)*ElevCalc!$AA$91),NA())</f>
        <v/>
      </c>
      <c r="AE163" t="inlineStr">
        <is>
          <t>frame</t>
        </is>
      </c>
      <c r="AF163">
        <f>IF(ElevCalc!$AF$73*(ElevCalc!$AF$3="DOOR ONLY"),(ElevCalc!$AF$92+(0)*ElevCalc!$AF$91),NA())</f>
        <v/>
      </c>
      <c r="AG163">
        <f>IF(ElevCalc!$AF$73*(ElevCalc!$AF$3="DOOR ONLY"),((ElevCalc!$AF$86)*ElevCalc!$AF$91),NA())</f>
        <v/>
      </c>
    </row>
    <row r="164">
      <c r="A164" t="inlineStr">
        <is>
          <t>frame</t>
        </is>
      </c>
      <c r="B164">
        <f>IF(ElevCalc!$B$73*(ElevCalc!$B$3="DOOR ONLY"),(ElevCalc!$B$92+(ElevCalc!$B$85)*ElevCalc!$B$91),NA())</f>
        <v/>
      </c>
      <c r="C164">
        <f>IF(ElevCalc!$B$73*(ElevCalc!$B$3="DOOR ONLY"),((ElevCalc!$B$86)*ElevCalc!$B$91),NA())</f>
        <v/>
      </c>
      <c r="F164" t="inlineStr">
        <is>
          <t>frame</t>
        </is>
      </c>
      <c r="G164">
        <f>IF(ElevCalc!$G$73*(ElevCalc!$G$3="DOOR ONLY"),(ElevCalc!$G$92+(ElevCalc!$G$85)*ElevCalc!$G$91),NA())</f>
        <v/>
      </c>
      <c r="H164">
        <f>IF(ElevCalc!$G$73*(ElevCalc!$G$3="DOOR ONLY"),((ElevCalc!$G$86)*ElevCalc!$G$91),NA())</f>
        <v/>
      </c>
      <c r="K164" t="inlineStr">
        <is>
          <t>frame</t>
        </is>
      </c>
      <c r="L164">
        <f>IF(ElevCalc!$L$73*(ElevCalc!$L$3="DOOR ONLY"),(ElevCalc!$L$92+(ElevCalc!$L$85)*ElevCalc!$L$91),NA())</f>
        <v/>
      </c>
      <c r="M164">
        <f>IF(ElevCalc!$L$73*(ElevCalc!$L$3="DOOR ONLY"),((ElevCalc!$L$86)*ElevCalc!$L$91),NA())</f>
        <v/>
      </c>
      <c r="P164" t="inlineStr">
        <is>
          <t>frame</t>
        </is>
      </c>
      <c r="Q164">
        <f>IF(ElevCalc!$Q$73*(ElevCalc!$Q$3="DOOR ONLY"),(ElevCalc!$Q$92+(ElevCalc!$Q$85)*ElevCalc!$Q$91),NA())</f>
        <v/>
      </c>
      <c r="R164">
        <f>IF(ElevCalc!$Q$73*(ElevCalc!$Q$3="DOOR ONLY"),((ElevCalc!$Q$86)*ElevCalc!$Q$91),NA())</f>
        <v/>
      </c>
      <c r="U164" t="inlineStr">
        <is>
          <t>frame</t>
        </is>
      </c>
      <c r="V164">
        <f>IF(ElevCalc!$V$73*(ElevCalc!$V$3="DOOR ONLY"),(ElevCalc!$V$92+(ElevCalc!$V$85)*ElevCalc!$V$91),NA())</f>
        <v/>
      </c>
      <c r="W164">
        <f>IF(ElevCalc!$V$73*(ElevCalc!$V$3="DOOR ONLY"),((ElevCalc!$V$86)*ElevCalc!$V$91),NA())</f>
        <v/>
      </c>
      <c r="Z164" t="inlineStr">
        <is>
          <t>frame</t>
        </is>
      </c>
      <c r="AA164">
        <f>IF(ElevCalc!$AA$73*(ElevCalc!$AA$3="DOOR ONLY"),(ElevCalc!$AA$92+(ElevCalc!$AA$85)*ElevCalc!$AA$91),NA())</f>
        <v/>
      </c>
      <c r="AB164">
        <f>IF(ElevCalc!$AA$73*(ElevCalc!$AA$3="DOOR ONLY"),((ElevCalc!$AA$86)*ElevCalc!$AA$91),NA())</f>
        <v/>
      </c>
      <c r="AE164" t="inlineStr">
        <is>
          <t>frame</t>
        </is>
      </c>
      <c r="AF164">
        <f>IF(ElevCalc!$AF$73*(ElevCalc!$AF$3="DOOR ONLY"),(ElevCalc!$AF$92+(ElevCalc!$AF$85)*ElevCalc!$AF$91),NA())</f>
        <v/>
      </c>
      <c r="AG164">
        <f>IF(ElevCalc!$AF$73*(ElevCalc!$AF$3="DOOR ONLY"),((ElevCalc!$AF$86)*ElevCalc!$AF$91),NA())</f>
        <v/>
      </c>
    </row>
    <row r="165">
      <c r="A165" t="inlineStr">
        <is>
          <t>frame</t>
        </is>
      </c>
      <c r="B165">
        <f>IF(ElevCalc!$B$73*(ElevCalc!$B$3="DOOR ONLY"),(ElevCalc!$B$92+(ElevCalc!$B$85)*ElevCalc!$B$91),NA())</f>
        <v/>
      </c>
      <c r="C165">
        <f>IF(ElevCalc!$B$73*(ElevCalc!$B$3="DOOR ONLY"),((0)*ElevCalc!$B$91),NA())</f>
        <v/>
      </c>
      <c r="F165" t="inlineStr">
        <is>
          <t>frame</t>
        </is>
      </c>
      <c r="G165">
        <f>IF(ElevCalc!$G$73*(ElevCalc!$G$3="DOOR ONLY"),(ElevCalc!$G$92+(ElevCalc!$G$85)*ElevCalc!$G$91),NA())</f>
        <v/>
      </c>
      <c r="H165">
        <f>IF(ElevCalc!$G$73*(ElevCalc!$G$3="DOOR ONLY"),((0)*ElevCalc!$G$91),NA())</f>
        <v/>
      </c>
      <c r="K165" t="inlineStr">
        <is>
          <t>frame</t>
        </is>
      </c>
      <c r="L165">
        <f>IF(ElevCalc!$L$73*(ElevCalc!$L$3="DOOR ONLY"),(ElevCalc!$L$92+(ElevCalc!$L$85)*ElevCalc!$L$91),NA())</f>
        <v/>
      </c>
      <c r="M165">
        <f>IF(ElevCalc!$L$73*(ElevCalc!$L$3="DOOR ONLY"),((0)*ElevCalc!$L$91),NA())</f>
        <v/>
      </c>
      <c r="P165" t="inlineStr">
        <is>
          <t>frame</t>
        </is>
      </c>
      <c r="Q165">
        <f>IF(ElevCalc!$Q$73*(ElevCalc!$Q$3="DOOR ONLY"),(ElevCalc!$Q$92+(ElevCalc!$Q$85)*ElevCalc!$Q$91),NA())</f>
        <v/>
      </c>
      <c r="R165">
        <f>IF(ElevCalc!$Q$73*(ElevCalc!$Q$3="DOOR ONLY"),((0)*ElevCalc!$Q$91),NA())</f>
        <v/>
      </c>
      <c r="U165" t="inlineStr">
        <is>
          <t>frame</t>
        </is>
      </c>
      <c r="V165">
        <f>IF(ElevCalc!$V$73*(ElevCalc!$V$3="DOOR ONLY"),(ElevCalc!$V$92+(ElevCalc!$V$85)*ElevCalc!$V$91),NA())</f>
        <v/>
      </c>
      <c r="W165">
        <f>IF(ElevCalc!$V$73*(ElevCalc!$V$3="DOOR ONLY"),((0)*ElevCalc!$V$91),NA())</f>
        <v/>
      </c>
      <c r="Z165" t="inlineStr">
        <is>
          <t>frame</t>
        </is>
      </c>
      <c r="AA165">
        <f>IF(ElevCalc!$AA$73*(ElevCalc!$AA$3="DOOR ONLY"),(ElevCalc!$AA$92+(ElevCalc!$AA$85)*ElevCalc!$AA$91),NA())</f>
        <v/>
      </c>
      <c r="AB165">
        <f>IF(ElevCalc!$AA$73*(ElevCalc!$AA$3="DOOR ONLY"),((0)*ElevCalc!$AA$91),NA())</f>
        <v/>
      </c>
      <c r="AE165" t="inlineStr">
        <is>
          <t>frame</t>
        </is>
      </c>
      <c r="AF165">
        <f>IF(ElevCalc!$AF$73*(ElevCalc!$AF$3="DOOR ONLY"),(ElevCalc!$AF$92+(ElevCalc!$AF$85)*ElevCalc!$AF$91),NA())</f>
        <v/>
      </c>
      <c r="AG165">
        <f>IF(ElevCalc!$AF$73*(ElevCalc!$AF$3="DOOR ONLY"),((0)*ElevCalc!$AF$91),NA())</f>
        <v/>
      </c>
    </row>
    <row r="166">
      <c r="A166" t="inlineStr">
        <is>
          <t>frame</t>
        </is>
      </c>
      <c r="B166">
        <f>IF(ElevCalc!$B$73*(ElevCalc!$B$3="DOOR ONLY"),(ElevCalc!$B$92+(IF(ElevCalc!$B$79=1,0,ElevCalc!$B$85))*ElevCalc!$B$91),NA())</f>
        <v/>
      </c>
      <c r="C166">
        <f>IF(ElevCalc!$B$73*(ElevCalc!$B$3="DOOR ONLY"),((0)*ElevCalc!$B$91),NA())</f>
        <v/>
      </c>
      <c r="F166" t="inlineStr">
        <is>
          <t>frame</t>
        </is>
      </c>
      <c r="G166">
        <f>IF(ElevCalc!$G$73*(ElevCalc!$G$3="DOOR ONLY"),(ElevCalc!$G$92+(IF(ElevCalc!$G$79=1,0,ElevCalc!$G$85))*ElevCalc!$G$91),NA())</f>
        <v/>
      </c>
      <c r="H166">
        <f>IF(ElevCalc!$G$73*(ElevCalc!$G$3="DOOR ONLY"),((0)*ElevCalc!$G$91),NA())</f>
        <v/>
      </c>
      <c r="K166" t="inlineStr">
        <is>
          <t>frame</t>
        </is>
      </c>
      <c r="L166">
        <f>IF(ElevCalc!$L$73*(ElevCalc!$L$3="DOOR ONLY"),(ElevCalc!$L$92+(IF(ElevCalc!$L$79=1,0,ElevCalc!$L$85))*ElevCalc!$L$91),NA())</f>
        <v/>
      </c>
      <c r="M166">
        <f>IF(ElevCalc!$L$73*(ElevCalc!$L$3="DOOR ONLY"),((0)*ElevCalc!$L$91),NA())</f>
        <v/>
      </c>
      <c r="P166" t="inlineStr">
        <is>
          <t>frame</t>
        </is>
      </c>
      <c r="Q166">
        <f>IF(ElevCalc!$Q$73*(ElevCalc!$Q$3="DOOR ONLY"),(ElevCalc!$Q$92+(IF(ElevCalc!$Q$79=1,0,ElevCalc!$Q$85))*ElevCalc!$Q$91),NA())</f>
        <v/>
      </c>
      <c r="R166">
        <f>IF(ElevCalc!$Q$73*(ElevCalc!$Q$3="DOOR ONLY"),((0)*ElevCalc!$Q$91),NA())</f>
        <v/>
      </c>
      <c r="U166" t="inlineStr">
        <is>
          <t>frame</t>
        </is>
      </c>
      <c r="V166">
        <f>IF(ElevCalc!$V$73*(ElevCalc!$V$3="DOOR ONLY"),(ElevCalc!$V$92+(IF(ElevCalc!$V$79=1,0,ElevCalc!$V$85))*ElevCalc!$V$91),NA())</f>
        <v/>
      </c>
      <c r="W166">
        <f>IF(ElevCalc!$V$73*(ElevCalc!$V$3="DOOR ONLY"),((0)*ElevCalc!$V$91),NA())</f>
        <v/>
      </c>
      <c r="Z166" t="inlineStr">
        <is>
          <t>frame</t>
        </is>
      </c>
      <c r="AA166">
        <f>IF(ElevCalc!$AA$73*(ElevCalc!$AA$3="DOOR ONLY"),(ElevCalc!$AA$92+(IF(ElevCalc!$AA$79=1,0,ElevCalc!$AA$85))*ElevCalc!$AA$91),NA())</f>
        <v/>
      </c>
      <c r="AB166">
        <f>IF(ElevCalc!$AA$73*(ElevCalc!$AA$3="DOOR ONLY"),((0)*ElevCalc!$AA$91),NA())</f>
        <v/>
      </c>
      <c r="AE166" t="inlineStr">
        <is>
          <t>frame</t>
        </is>
      </c>
      <c r="AF166">
        <f>IF(ElevCalc!$AF$73*(ElevCalc!$AF$3="DOOR ONLY"),(ElevCalc!$AF$92+(IF(ElevCalc!$AF$79=1,0,ElevCalc!$AF$85))*ElevCalc!$AF$91),NA())</f>
        <v/>
      </c>
      <c r="AG166">
        <f>IF(ElevCalc!$AF$73*(ElevCalc!$AF$3="DOOR ONLY"),((0)*ElevCalc!$AF$91),NA())</f>
        <v/>
      </c>
    </row>
    <row r="168">
      <c r="A168" t="inlineStr">
        <is>
          <t>opening</t>
        </is>
      </c>
      <c r="B168">
        <f>IF(ElevCalc!$B$73*(ElevCalc!$B$3="DOOR ONLY"),(ElevCalc!$B$92+(ElevCalc!$B$87)*ElevCalc!$B$91),NA())</f>
        <v/>
      </c>
      <c r="C168">
        <f>IF(ElevCalc!$B$73*(ElevCalc!$B$3="DOOR ONLY"),((ElevCalc!$B$89)*ElevCalc!$B$91),NA())</f>
        <v/>
      </c>
      <c r="F168" t="inlineStr">
        <is>
          <t>opening</t>
        </is>
      </c>
      <c r="G168">
        <f>IF(ElevCalc!$G$73*(ElevCalc!$G$3="DOOR ONLY"),(ElevCalc!$G$92+(ElevCalc!$G$87)*ElevCalc!$G$91),NA())</f>
        <v/>
      </c>
      <c r="H168">
        <f>IF(ElevCalc!$G$73*(ElevCalc!$G$3="DOOR ONLY"),((ElevCalc!$G$89)*ElevCalc!$G$91),NA())</f>
        <v/>
      </c>
      <c r="K168" t="inlineStr">
        <is>
          <t>opening</t>
        </is>
      </c>
      <c r="L168">
        <f>IF(ElevCalc!$L$73*(ElevCalc!$L$3="DOOR ONLY"),(ElevCalc!$L$92+(ElevCalc!$L$87)*ElevCalc!$L$91),NA())</f>
        <v/>
      </c>
      <c r="M168">
        <f>IF(ElevCalc!$L$73*(ElevCalc!$L$3="DOOR ONLY"),((ElevCalc!$L$89)*ElevCalc!$L$91),NA())</f>
        <v/>
      </c>
      <c r="P168" t="inlineStr">
        <is>
          <t>opening</t>
        </is>
      </c>
      <c r="Q168">
        <f>IF(ElevCalc!$Q$73*(ElevCalc!$Q$3="DOOR ONLY"),(ElevCalc!$Q$92+(ElevCalc!$Q$87)*ElevCalc!$Q$91),NA())</f>
        <v/>
      </c>
      <c r="R168">
        <f>IF(ElevCalc!$Q$73*(ElevCalc!$Q$3="DOOR ONLY"),((ElevCalc!$Q$89)*ElevCalc!$Q$91),NA())</f>
        <v/>
      </c>
      <c r="U168" t="inlineStr">
        <is>
          <t>opening</t>
        </is>
      </c>
      <c r="V168">
        <f>IF(ElevCalc!$V$73*(ElevCalc!$V$3="DOOR ONLY"),(ElevCalc!$V$92+(ElevCalc!$V$87)*ElevCalc!$V$91),NA())</f>
        <v/>
      </c>
      <c r="W168">
        <f>IF(ElevCalc!$V$73*(ElevCalc!$V$3="DOOR ONLY"),((ElevCalc!$V$89)*ElevCalc!$V$91),NA())</f>
        <v/>
      </c>
      <c r="Z168" t="inlineStr">
        <is>
          <t>opening</t>
        </is>
      </c>
      <c r="AA168">
        <f>IF(ElevCalc!$AA$73*(ElevCalc!$AA$3="DOOR ONLY"),(ElevCalc!$AA$92+(ElevCalc!$AA$87)*ElevCalc!$AA$91),NA())</f>
        <v/>
      </c>
      <c r="AB168">
        <f>IF(ElevCalc!$AA$73*(ElevCalc!$AA$3="DOOR ONLY"),((ElevCalc!$AA$89)*ElevCalc!$AA$91),NA())</f>
        <v/>
      </c>
      <c r="AE168" t="inlineStr">
        <is>
          <t>opening</t>
        </is>
      </c>
      <c r="AF168">
        <f>IF(ElevCalc!$AF$73*(ElevCalc!$AF$3="DOOR ONLY"),(ElevCalc!$AF$92+(ElevCalc!$AF$87)*ElevCalc!$AF$91),NA())</f>
        <v/>
      </c>
      <c r="AG168">
        <f>IF(ElevCalc!$AF$73*(ElevCalc!$AF$3="DOOR ONLY"),((ElevCalc!$AF$89)*ElevCalc!$AF$91),NA())</f>
        <v/>
      </c>
    </row>
    <row r="169">
      <c r="A169" t="inlineStr">
        <is>
          <t>opening</t>
        </is>
      </c>
      <c r="B169">
        <f>IF(ElevCalc!$B$73*(ElevCalc!$B$3="DOOR ONLY"),(ElevCalc!$B$92+(ElevCalc!$B$87)*ElevCalc!$B$91),NA())</f>
        <v/>
      </c>
      <c r="C169">
        <f>IF(ElevCalc!$B$73*(ElevCalc!$B$3="DOOR ONLY"),((ElevCalc!$B$90)*ElevCalc!$B$91),NA())</f>
        <v/>
      </c>
      <c r="F169" t="inlineStr">
        <is>
          <t>opening</t>
        </is>
      </c>
      <c r="G169">
        <f>IF(ElevCalc!$G$73*(ElevCalc!$G$3="DOOR ONLY"),(ElevCalc!$G$92+(ElevCalc!$G$87)*ElevCalc!$G$91),NA())</f>
        <v/>
      </c>
      <c r="H169">
        <f>IF(ElevCalc!$G$73*(ElevCalc!$G$3="DOOR ONLY"),((ElevCalc!$G$90)*ElevCalc!$G$91),NA())</f>
        <v/>
      </c>
      <c r="K169" t="inlineStr">
        <is>
          <t>opening</t>
        </is>
      </c>
      <c r="L169">
        <f>IF(ElevCalc!$L$73*(ElevCalc!$L$3="DOOR ONLY"),(ElevCalc!$L$92+(ElevCalc!$L$87)*ElevCalc!$L$91),NA())</f>
        <v/>
      </c>
      <c r="M169">
        <f>IF(ElevCalc!$L$73*(ElevCalc!$L$3="DOOR ONLY"),((ElevCalc!$L$90)*ElevCalc!$L$91),NA())</f>
        <v/>
      </c>
      <c r="P169" t="inlineStr">
        <is>
          <t>opening</t>
        </is>
      </c>
      <c r="Q169">
        <f>IF(ElevCalc!$Q$73*(ElevCalc!$Q$3="DOOR ONLY"),(ElevCalc!$Q$92+(ElevCalc!$Q$87)*ElevCalc!$Q$91),NA())</f>
        <v/>
      </c>
      <c r="R169">
        <f>IF(ElevCalc!$Q$73*(ElevCalc!$Q$3="DOOR ONLY"),((ElevCalc!$Q$90)*ElevCalc!$Q$91),NA())</f>
        <v/>
      </c>
      <c r="U169" t="inlineStr">
        <is>
          <t>opening</t>
        </is>
      </c>
      <c r="V169">
        <f>IF(ElevCalc!$V$73*(ElevCalc!$V$3="DOOR ONLY"),(ElevCalc!$V$92+(ElevCalc!$V$87)*ElevCalc!$V$91),NA())</f>
        <v/>
      </c>
      <c r="W169">
        <f>IF(ElevCalc!$V$73*(ElevCalc!$V$3="DOOR ONLY"),((ElevCalc!$V$90)*ElevCalc!$V$91),NA())</f>
        <v/>
      </c>
      <c r="Z169" t="inlineStr">
        <is>
          <t>opening</t>
        </is>
      </c>
      <c r="AA169">
        <f>IF(ElevCalc!$AA$73*(ElevCalc!$AA$3="DOOR ONLY"),(ElevCalc!$AA$92+(ElevCalc!$AA$87)*ElevCalc!$AA$91),NA())</f>
        <v/>
      </c>
      <c r="AB169">
        <f>IF(ElevCalc!$AA$73*(ElevCalc!$AA$3="DOOR ONLY"),((ElevCalc!$AA$90)*ElevCalc!$AA$91),NA())</f>
        <v/>
      </c>
      <c r="AE169" t="inlineStr">
        <is>
          <t>opening</t>
        </is>
      </c>
      <c r="AF169">
        <f>IF(ElevCalc!$AF$73*(ElevCalc!$AF$3="DOOR ONLY"),(ElevCalc!$AF$92+(ElevCalc!$AF$87)*ElevCalc!$AF$91),NA())</f>
        <v/>
      </c>
      <c r="AG169">
        <f>IF(ElevCalc!$AF$73*(ElevCalc!$AF$3="DOOR ONLY"),((ElevCalc!$AF$90)*ElevCalc!$AF$91),NA())</f>
        <v/>
      </c>
    </row>
    <row r="170">
      <c r="A170" t="inlineStr">
        <is>
          <t>opening</t>
        </is>
      </c>
      <c r="B170">
        <f>IF(ElevCalc!$B$73*(ElevCalc!$B$3="DOOR ONLY"),(ElevCalc!$B$92+(ElevCalc!$B$88)*ElevCalc!$B$91),NA())</f>
        <v/>
      </c>
      <c r="C170">
        <f>IF(ElevCalc!$B$73*(ElevCalc!$B$3="DOOR ONLY"),((ElevCalc!$B$90)*ElevCalc!$B$91),NA())</f>
        <v/>
      </c>
      <c r="F170" t="inlineStr">
        <is>
          <t>opening</t>
        </is>
      </c>
      <c r="G170">
        <f>IF(ElevCalc!$G$73*(ElevCalc!$G$3="DOOR ONLY"),(ElevCalc!$G$92+(ElevCalc!$G$88)*ElevCalc!$G$91),NA())</f>
        <v/>
      </c>
      <c r="H170">
        <f>IF(ElevCalc!$G$73*(ElevCalc!$G$3="DOOR ONLY"),((ElevCalc!$G$90)*ElevCalc!$G$91),NA())</f>
        <v/>
      </c>
      <c r="K170" t="inlineStr">
        <is>
          <t>opening</t>
        </is>
      </c>
      <c r="L170">
        <f>IF(ElevCalc!$L$73*(ElevCalc!$L$3="DOOR ONLY"),(ElevCalc!$L$92+(ElevCalc!$L$88)*ElevCalc!$L$91),NA())</f>
        <v/>
      </c>
      <c r="M170">
        <f>IF(ElevCalc!$L$73*(ElevCalc!$L$3="DOOR ONLY"),((ElevCalc!$L$90)*ElevCalc!$L$91),NA())</f>
        <v/>
      </c>
      <c r="P170" t="inlineStr">
        <is>
          <t>opening</t>
        </is>
      </c>
      <c r="Q170">
        <f>IF(ElevCalc!$Q$73*(ElevCalc!$Q$3="DOOR ONLY"),(ElevCalc!$Q$92+(ElevCalc!$Q$88)*ElevCalc!$Q$91),NA())</f>
        <v/>
      </c>
      <c r="R170">
        <f>IF(ElevCalc!$Q$73*(ElevCalc!$Q$3="DOOR ONLY"),((ElevCalc!$Q$90)*ElevCalc!$Q$91),NA())</f>
        <v/>
      </c>
      <c r="U170" t="inlineStr">
        <is>
          <t>opening</t>
        </is>
      </c>
      <c r="V170">
        <f>IF(ElevCalc!$V$73*(ElevCalc!$V$3="DOOR ONLY"),(ElevCalc!$V$92+(ElevCalc!$V$88)*ElevCalc!$V$91),NA())</f>
        <v/>
      </c>
      <c r="W170">
        <f>IF(ElevCalc!$V$73*(ElevCalc!$V$3="DOOR ONLY"),((ElevCalc!$V$90)*ElevCalc!$V$91),NA())</f>
        <v/>
      </c>
      <c r="Z170" t="inlineStr">
        <is>
          <t>opening</t>
        </is>
      </c>
      <c r="AA170">
        <f>IF(ElevCalc!$AA$73*(ElevCalc!$AA$3="DOOR ONLY"),(ElevCalc!$AA$92+(ElevCalc!$AA$88)*ElevCalc!$AA$91),NA())</f>
        <v/>
      </c>
      <c r="AB170">
        <f>IF(ElevCalc!$AA$73*(ElevCalc!$AA$3="DOOR ONLY"),((ElevCalc!$AA$90)*ElevCalc!$AA$91),NA())</f>
        <v/>
      </c>
      <c r="AE170" t="inlineStr">
        <is>
          <t>opening</t>
        </is>
      </c>
      <c r="AF170">
        <f>IF(ElevCalc!$AF$73*(ElevCalc!$AF$3="DOOR ONLY"),(ElevCalc!$AF$92+(ElevCalc!$AF$88)*ElevCalc!$AF$91),NA())</f>
        <v/>
      </c>
      <c r="AG170">
        <f>IF(ElevCalc!$AF$73*(ElevCalc!$AF$3="DOOR ONLY"),((ElevCalc!$AF$90)*ElevCalc!$AF$91),NA())</f>
        <v/>
      </c>
    </row>
    <row r="171">
      <c r="A171" t="inlineStr">
        <is>
          <t>opening</t>
        </is>
      </c>
      <c r="B171">
        <f>IF(ElevCalc!$B$73*(ElevCalc!$B$3="DOOR ONLY"),(ElevCalc!$B$92+(ElevCalc!$B$88)*ElevCalc!$B$91),NA())</f>
        <v/>
      </c>
      <c r="C171">
        <f>IF(ElevCalc!$B$73*(ElevCalc!$B$3="DOOR ONLY"),((ElevCalc!$B$89)*ElevCalc!$B$91),NA())</f>
        <v/>
      </c>
      <c r="F171" t="inlineStr">
        <is>
          <t>opening</t>
        </is>
      </c>
      <c r="G171">
        <f>IF(ElevCalc!$G$73*(ElevCalc!$G$3="DOOR ONLY"),(ElevCalc!$G$92+(ElevCalc!$G$88)*ElevCalc!$G$91),NA())</f>
        <v/>
      </c>
      <c r="H171">
        <f>IF(ElevCalc!$G$73*(ElevCalc!$G$3="DOOR ONLY"),((ElevCalc!$G$89)*ElevCalc!$G$91),NA())</f>
        <v/>
      </c>
      <c r="K171" t="inlineStr">
        <is>
          <t>opening</t>
        </is>
      </c>
      <c r="L171">
        <f>IF(ElevCalc!$L$73*(ElevCalc!$L$3="DOOR ONLY"),(ElevCalc!$L$92+(ElevCalc!$L$88)*ElevCalc!$L$91),NA())</f>
        <v/>
      </c>
      <c r="M171">
        <f>IF(ElevCalc!$L$73*(ElevCalc!$L$3="DOOR ONLY"),((ElevCalc!$L$89)*ElevCalc!$L$91),NA())</f>
        <v/>
      </c>
      <c r="P171" t="inlineStr">
        <is>
          <t>opening</t>
        </is>
      </c>
      <c r="Q171">
        <f>IF(ElevCalc!$Q$73*(ElevCalc!$Q$3="DOOR ONLY"),(ElevCalc!$Q$92+(ElevCalc!$Q$88)*ElevCalc!$Q$91),NA())</f>
        <v/>
      </c>
      <c r="R171">
        <f>IF(ElevCalc!$Q$73*(ElevCalc!$Q$3="DOOR ONLY"),((ElevCalc!$Q$89)*ElevCalc!$Q$91),NA())</f>
        <v/>
      </c>
      <c r="U171" t="inlineStr">
        <is>
          <t>opening</t>
        </is>
      </c>
      <c r="V171">
        <f>IF(ElevCalc!$V$73*(ElevCalc!$V$3="DOOR ONLY"),(ElevCalc!$V$92+(ElevCalc!$V$88)*ElevCalc!$V$91),NA())</f>
        <v/>
      </c>
      <c r="W171">
        <f>IF(ElevCalc!$V$73*(ElevCalc!$V$3="DOOR ONLY"),((ElevCalc!$V$89)*ElevCalc!$V$91),NA())</f>
        <v/>
      </c>
      <c r="Z171" t="inlineStr">
        <is>
          <t>opening</t>
        </is>
      </c>
      <c r="AA171">
        <f>IF(ElevCalc!$AA$73*(ElevCalc!$AA$3="DOOR ONLY"),(ElevCalc!$AA$92+(ElevCalc!$AA$88)*ElevCalc!$AA$91),NA())</f>
        <v/>
      </c>
      <c r="AB171">
        <f>IF(ElevCalc!$AA$73*(ElevCalc!$AA$3="DOOR ONLY"),((ElevCalc!$AA$89)*ElevCalc!$AA$91),NA())</f>
        <v/>
      </c>
      <c r="AE171" t="inlineStr">
        <is>
          <t>opening</t>
        </is>
      </c>
      <c r="AF171">
        <f>IF(ElevCalc!$AF$73*(ElevCalc!$AF$3="DOOR ONLY"),(ElevCalc!$AF$92+(ElevCalc!$AF$88)*ElevCalc!$AF$91),NA())</f>
        <v/>
      </c>
      <c r="AG171">
        <f>IF(ElevCalc!$AF$73*(ElevCalc!$AF$3="DOOR ONLY"),((ElevCalc!$AF$89)*ElevCalc!$AF$91),NA())</f>
        <v/>
      </c>
    </row>
    <row r="172">
      <c r="A172" t="inlineStr">
        <is>
          <t>opening</t>
        </is>
      </c>
      <c r="B172">
        <f>IF(ElevCalc!$B$73*(ElevCalc!$B$3="DOOR ONLY"),(ElevCalc!$B$92+(IF(ElevCalc!$B$79=1,ElevCalc!$B$87,ElevCalc!$B$88))*ElevCalc!$B$91),NA())</f>
        <v/>
      </c>
      <c r="C172">
        <f>IF(ElevCalc!$B$73*(ElevCalc!$B$3="DOOR ONLY"),((ElevCalc!$B$89)*ElevCalc!$B$91),NA())</f>
        <v/>
      </c>
      <c r="F172" t="inlineStr">
        <is>
          <t>opening</t>
        </is>
      </c>
      <c r="G172">
        <f>IF(ElevCalc!$G$73*(ElevCalc!$G$3="DOOR ONLY"),(ElevCalc!$G$92+(IF(ElevCalc!$G$79=1,ElevCalc!$G$87,ElevCalc!$G$88))*ElevCalc!$G$91),NA())</f>
        <v/>
      </c>
      <c r="H172">
        <f>IF(ElevCalc!$G$73*(ElevCalc!$G$3="DOOR ONLY"),((ElevCalc!$G$89)*ElevCalc!$G$91),NA())</f>
        <v/>
      </c>
      <c r="K172" t="inlineStr">
        <is>
          <t>opening</t>
        </is>
      </c>
      <c r="L172">
        <f>IF(ElevCalc!$L$73*(ElevCalc!$L$3="DOOR ONLY"),(ElevCalc!$L$92+(IF(ElevCalc!$L$79=1,ElevCalc!$L$87,ElevCalc!$L$88))*ElevCalc!$L$91),NA())</f>
        <v/>
      </c>
      <c r="M172">
        <f>IF(ElevCalc!$L$73*(ElevCalc!$L$3="DOOR ONLY"),((ElevCalc!$L$89)*ElevCalc!$L$91),NA())</f>
        <v/>
      </c>
      <c r="P172" t="inlineStr">
        <is>
          <t>opening</t>
        </is>
      </c>
      <c r="Q172">
        <f>IF(ElevCalc!$Q$73*(ElevCalc!$Q$3="DOOR ONLY"),(ElevCalc!$Q$92+(IF(ElevCalc!$Q$79=1,ElevCalc!$Q$87,ElevCalc!$Q$88))*ElevCalc!$Q$91),NA())</f>
        <v/>
      </c>
      <c r="R172">
        <f>IF(ElevCalc!$Q$73*(ElevCalc!$Q$3="DOOR ONLY"),((ElevCalc!$Q$89)*ElevCalc!$Q$91),NA())</f>
        <v/>
      </c>
      <c r="U172" t="inlineStr">
        <is>
          <t>opening</t>
        </is>
      </c>
      <c r="V172">
        <f>IF(ElevCalc!$V$73*(ElevCalc!$V$3="DOOR ONLY"),(ElevCalc!$V$92+(IF(ElevCalc!$V$79=1,ElevCalc!$V$87,ElevCalc!$V$88))*ElevCalc!$V$91),NA())</f>
        <v/>
      </c>
      <c r="W172">
        <f>IF(ElevCalc!$V$73*(ElevCalc!$V$3="DOOR ONLY"),((ElevCalc!$V$89)*ElevCalc!$V$91),NA())</f>
        <v/>
      </c>
      <c r="Z172" t="inlineStr">
        <is>
          <t>opening</t>
        </is>
      </c>
      <c r="AA172">
        <f>IF(ElevCalc!$AA$73*(ElevCalc!$AA$3="DOOR ONLY"),(ElevCalc!$AA$92+(IF(ElevCalc!$AA$79=1,ElevCalc!$AA$87,ElevCalc!$AA$88))*ElevCalc!$AA$91),NA())</f>
        <v/>
      </c>
      <c r="AB172">
        <f>IF(ElevCalc!$AA$73*(ElevCalc!$AA$3="DOOR ONLY"),((ElevCalc!$AA$89)*ElevCalc!$AA$91),NA())</f>
        <v/>
      </c>
      <c r="AE172" t="inlineStr">
        <is>
          <t>opening</t>
        </is>
      </c>
      <c r="AF172">
        <f>IF(ElevCalc!$AF$73*(ElevCalc!$AF$3="DOOR ONLY"),(ElevCalc!$AF$92+(IF(ElevCalc!$AF$79=1,ElevCalc!$AF$87,ElevCalc!$AF$88))*ElevCalc!$AF$91),NA())</f>
        <v/>
      </c>
      <c r="AG172">
        <f>IF(ElevCalc!$AF$73*(ElevCalc!$AF$3="DOOR ONLY"),((ElevCalc!$AF$89)*ElevCalc!$AF$91),NA())</f>
        <v/>
      </c>
    </row>
    <row r="174">
      <c r="A174" t="inlineStr">
        <is>
          <t>head4</t>
        </is>
      </c>
      <c r="B174">
        <f>IF(ElevCalc!$B$73*(ElevCalc!$B$8="Y")*(ElevCalc!$B$3&lt;&gt;"DOOR ONLY"),(ElevCalc!$B$92+(0)*ElevCalc!$B$91),NA())</f>
        <v/>
      </c>
      <c r="C174">
        <f>IF(ElevCalc!$B$73*(ElevCalc!$B$8="Y")*(ElevCalc!$B$3&lt;&gt;"DOOR ONLY"),((ElevCalc!$B$86-2)*ElevCalc!$B$91),NA())</f>
        <v/>
      </c>
      <c r="F174" t="inlineStr">
        <is>
          <t>head4</t>
        </is>
      </c>
      <c r="G174">
        <f>IF(ElevCalc!$G$73*(ElevCalc!$G$8="Y")*(ElevCalc!$G$3&lt;&gt;"DOOR ONLY"),(ElevCalc!$G$92+(0)*ElevCalc!$G$91),NA())</f>
        <v/>
      </c>
      <c r="H174">
        <f>IF(ElevCalc!$G$73*(ElevCalc!$G$8="Y")*(ElevCalc!$G$3&lt;&gt;"DOOR ONLY"),((ElevCalc!$G$86-2)*ElevCalc!$G$91),NA())</f>
        <v/>
      </c>
      <c r="K174" t="inlineStr">
        <is>
          <t>head4</t>
        </is>
      </c>
      <c r="L174">
        <f>IF(ElevCalc!$L$73*(ElevCalc!$L$8="Y")*(ElevCalc!$L$3&lt;&gt;"DOOR ONLY"),(ElevCalc!$L$92+(0)*ElevCalc!$L$91),NA())</f>
        <v/>
      </c>
      <c r="M174">
        <f>IF(ElevCalc!$L$73*(ElevCalc!$L$8="Y")*(ElevCalc!$L$3&lt;&gt;"DOOR ONLY"),((ElevCalc!$L$86-2)*ElevCalc!$L$91),NA())</f>
        <v/>
      </c>
      <c r="P174" t="inlineStr">
        <is>
          <t>head4</t>
        </is>
      </c>
      <c r="Q174">
        <f>IF(ElevCalc!$Q$73*(ElevCalc!$Q$8="Y")*(ElevCalc!$Q$3&lt;&gt;"DOOR ONLY"),(ElevCalc!$Q$92+(0)*ElevCalc!$Q$91),NA())</f>
        <v/>
      </c>
      <c r="R174">
        <f>IF(ElevCalc!$Q$73*(ElevCalc!$Q$8="Y")*(ElevCalc!$Q$3&lt;&gt;"DOOR ONLY"),((ElevCalc!$Q$86-2)*ElevCalc!$Q$91),NA())</f>
        <v/>
      </c>
      <c r="U174" t="inlineStr">
        <is>
          <t>head4</t>
        </is>
      </c>
      <c r="V174">
        <f>IF(ElevCalc!$V$73*(ElevCalc!$V$8="Y")*(ElevCalc!$V$3&lt;&gt;"DOOR ONLY"),(ElevCalc!$V$92+(0)*ElevCalc!$V$91),NA())</f>
        <v/>
      </c>
      <c r="W174">
        <f>IF(ElevCalc!$V$73*(ElevCalc!$V$8="Y")*(ElevCalc!$V$3&lt;&gt;"DOOR ONLY"),((ElevCalc!$V$86-2)*ElevCalc!$V$91),NA())</f>
        <v/>
      </c>
      <c r="Z174" t="inlineStr">
        <is>
          <t>head4</t>
        </is>
      </c>
      <c r="AA174">
        <f>IF(ElevCalc!$AA$73*(ElevCalc!$AA$8="Y")*(ElevCalc!$AA$3&lt;&gt;"DOOR ONLY"),(ElevCalc!$AA$92+(0)*ElevCalc!$AA$91),NA())</f>
        <v/>
      </c>
      <c r="AB174">
        <f>IF(ElevCalc!$AA$73*(ElevCalc!$AA$8="Y")*(ElevCalc!$AA$3&lt;&gt;"DOOR ONLY"),((ElevCalc!$AA$86-2)*ElevCalc!$AA$91),NA())</f>
        <v/>
      </c>
      <c r="AE174" t="inlineStr">
        <is>
          <t>head4</t>
        </is>
      </c>
      <c r="AF174">
        <f>IF(ElevCalc!$AF$73*(ElevCalc!$AF$8="Y")*(ElevCalc!$AF$3&lt;&gt;"DOOR ONLY"),(ElevCalc!$AF$92+(0)*ElevCalc!$AF$91),NA())</f>
        <v/>
      </c>
      <c r="AG174">
        <f>IF(ElevCalc!$AF$73*(ElevCalc!$AF$8="Y")*(ElevCalc!$AF$3&lt;&gt;"DOOR ONLY"),((ElevCalc!$AF$86-2)*ElevCalc!$AF$91),NA())</f>
        <v/>
      </c>
    </row>
    <row r="175">
      <c r="A175" t="inlineStr">
        <is>
          <t>head4</t>
        </is>
      </c>
      <c r="B175">
        <f>IF(ElevCalc!$B$73*(ElevCalc!$B$8="Y")*(ElevCalc!$B$3&lt;&gt;"DOOR ONLY"),(ElevCalc!$B$92+(ElevCalc!$B$85)*ElevCalc!$B$91),NA())</f>
        <v/>
      </c>
      <c r="C175">
        <f>IF(ElevCalc!$B$73*(ElevCalc!$B$8="Y")*(ElevCalc!$B$3&lt;&gt;"DOOR ONLY"),((ElevCalc!$B$86-2)*ElevCalc!$B$91),NA())</f>
        <v/>
      </c>
      <c r="F175" t="inlineStr">
        <is>
          <t>head4</t>
        </is>
      </c>
      <c r="G175">
        <f>IF(ElevCalc!$G$73*(ElevCalc!$G$8="Y")*(ElevCalc!$G$3&lt;&gt;"DOOR ONLY"),(ElevCalc!$G$92+(ElevCalc!$G$85)*ElevCalc!$G$91),NA())</f>
        <v/>
      </c>
      <c r="H175">
        <f>IF(ElevCalc!$G$73*(ElevCalc!$G$8="Y")*(ElevCalc!$G$3&lt;&gt;"DOOR ONLY"),((ElevCalc!$G$86-2)*ElevCalc!$G$91),NA())</f>
        <v/>
      </c>
      <c r="K175" t="inlineStr">
        <is>
          <t>head4</t>
        </is>
      </c>
      <c r="L175">
        <f>IF(ElevCalc!$L$73*(ElevCalc!$L$8="Y")*(ElevCalc!$L$3&lt;&gt;"DOOR ONLY"),(ElevCalc!$L$92+(ElevCalc!$L$85)*ElevCalc!$L$91),NA())</f>
        <v/>
      </c>
      <c r="M175">
        <f>IF(ElevCalc!$L$73*(ElevCalc!$L$8="Y")*(ElevCalc!$L$3&lt;&gt;"DOOR ONLY"),((ElevCalc!$L$86-2)*ElevCalc!$L$91),NA())</f>
        <v/>
      </c>
      <c r="P175" t="inlineStr">
        <is>
          <t>head4</t>
        </is>
      </c>
      <c r="Q175">
        <f>IF(ElevCalc!$Q$73*(ElevCalc!$Q$8="Y")*(ElevCalc!$Q$3&lt;&gt;"DOOR ONLY"),(ElevCalc!$Q$92+(ElevCalc!$Q$85)*ElevCalc!$Q$91),NA())</f>
        <v/>
      </c>
      <c r="R175">
        <f>IF(ElevCalc!$Q$73*(ElevCalc!$Q$8="Y")*(ElevCalc!$Q$3&lt;&gt;"DOOR ONLY"),((ElevCalc!$Q$86-2)*ElevCalc!$Q$91),NA())</f>
        <v/>
      </c>
      <c r="U175" t="inlineStr">
        <is>
          <t>head4</t>
        </is>
      </c>
      <c r="V175">
        <f>IF(ElevCalc!$V$73*(ElevCalc!$V$8="Y")*(ElevCalc!$V$3&lt;&gt;"DOOR ONLY"),(ElevCalc!$V$92+(ElevCalc!$V$85)*ElevCalc!$V$91),NA())</f>
        <v/>
      </c>
      <c r="W175">
        <f>IF(ElevCalc!$V$73*(ElevCalc!$V$8="Y")*(ElevCalc!$V$3&lt;&gt;"DOOR ONLY"),((ElevCalc!$V$86-2)*ElevCalc!$V$91),NA())</f>
        <v/>
      </c>
      <c r="Z175" t="inlineStr">
        <is>
          <t>head4</t>
        </is>
      </c>
      <c r="AA175">
        <f>IF(ElevCalc!$AA$73*(ElevCalc!$AA$8="Y")*(ElevCalc!$AA$3&lt;&gt;"DOOR ONLY"),(ElevCalc!$AA$92+(ElevCalc!$AA$85)*ElevCalc!$AA$91),NA())</f>
        <v/>
      </c>
      <c r="AB175">
        <f>IF(ElevCalc!$AA$73*(ElevCalc!$AA$8="Y")*(ElevCalc!$AA$3&lt;&gt;"DOOR ONLY"),((ElevCalc!$AA$86-2)*ElevCalc!$AA$91),NA())</f>
        <v/>
      </c>
      <c r="AE175" t="inlineStr">
        <is>
          <t>head4</t>
        </is>
      </c>
      <c r="AF175">
        <f>IF(ElevCalc!$AF$73*(ElevCalc!$AF$8="Y")*(ElevCalc!$AF$3&lt;&gt;"DOOR ONLY"),(ElevCalc!$AF$92+(ElevCalc!$AF$85)*ElevCalc!$AF$91),NA())</f>
        <v/>
      </c>
      <c r="AG175">
        <f>IF(ElevCalc!$AF$73*(ElevCalc!$AF$8="Y")*(ElevCalc!$AF$3&lt;&gt;"DOOR ONLY"),((ElevCalc!$AF$86-2)*ElevCalc!$AF$91),NA())</f>
        <v/>
      </c>
    </row>
    <row r="177">
      <c r="A177" t="inlineStr">
        <is>
          <t>transom</t>
        </is>
      </c>
      <c r="B177">
        <f>IF(ElevCalc!$B$73*(ElevCalc!$B$81&gt;0),(ElevCalc!$B$92+(ElevCalc!$B$87)*ElevCalc!$B$91),NA())</f>
        <v/>
      </c>
      <c r="C177">
        <f>IF(ElevCalc!$B$73*(ElevCalc!$B$81&gt;0),((ElevCalc!$B$90+ElevCalc!$B$78)*ElevCalc!$B$91),NA())</f>
        <v/>
      </c>
      <c r="F177" t="inlineStr">
        <is>
          <t>transom</t>
        </is>
      </c>
      <c r="G177">
        <f>IF(ElevCalc!$G$73*(ElevCalc!$G$81&gt;0),(ElevCalc!$G$92+(ElevCalc!$G$87)*ElevCalc!$G$91),NA())</f>
        <v/>
      </c>
      <c r="H177">
        <f>IF(ElevCalc!$G$73*(ElevCalc!$G$81&gt;0),((ElevCalc!$G$90+ElevCalc!$G$78)*ElevCalc!$G$91),NA())</f>
        <v/>
      </c>
      <c r="K177" t="inlineStr">
        <is>
          <t>transom</t>
        </is>
      </c>
      <c r="L177">
        <f>IF(ElevCalc!$L$73*(ElevCalc!$L$81&gt;0),(ElevCalc!$L$92+(ElevCalc!$L$87)*ElevCalc!$L$91),NA())</f>
        <v/>
      </c>
      <c r="M177">
        <f>IF(ElevCalc!$L$73*(ElevCalc!$L$81&gt;0),((ElevCalc!$L$90+ElevCalc!$L$78)*ElevCalc!$L$91),NA())</f>
        <v/>
      </c>
      <c r="P177" t="inlineStr">
        <is>
          <t>transom</t>
        </is>
      </c>
      <c r="Q177">
        <f>IF(ElevCalc!$Q$73*(ElevCalc!$Q$81&gt;0),(ElevCalc!$Q$92+(ElevCalc!$Q$87)*ElevCalc!$Q$91),NA())</f>
        <v/>
      </c>
      <c r="R177">
        <f>IF(ElevCalc!$Q$73*(ElevCalc!$Q$81&gt;0),((ElevCalc!$Q$90+ElevCalc!$Q$78)*ElevCalc!$Q$91),NA())</f>
        <v/>
      </c>
      <c r="U177" t="inlineStr">
        <is>
          <t>transom</t>
        </is>
      </c>
      <c r="V177">
        <f>IF(ElevCalc!$V$73*(ElevCalc!$V$81&gt;0),(ElevCalc!$V$92+(ElevCalc!$V$87)*ElevCalc!$V$91),NA())</f>
        <v/>
      </c>
      <c r="W177">
        <f>IF(ElevCalc!$V$73*(ElevCalc!$V$81&gt;0),((ElevCalc!$V$90+ElevCalc!$V$78)*ElevCalc!$V$91),NA())</f>
        <v/>
      </c>
      <c r="Z177" t="inlineStr">
        <is>
          <t>transom</t>
        </is>
      </c>
      <c r="AA177">
        <f>IF(ElevCalc!$AA$73*(ElevCalc!$AA$81&gt;0),(ElevCalc!$AA$92+(ElevCalc!$AA$87)*ElevCalc!$AA$91),NA())</f>
        <v/>
      </c>
      <c r="AB177">
        <f>IF(ElevCalc!$AA$73*(ElevCalc!$AA$81&gt;0),((ElevCalc!$AA$90+ElevCalc!$AA$78)*ElevCalc!$AA$91),NA())</f>
        <v/>
      </c>
      <c r="AE177" t="inlineStr">
        <is>
          <t>transom</t>
        </is>
      </c>
      <c r="AF177">
        <f>IF(ElevCalc!$AF$73*(ElevCalc!$AF$81&gt;0),(ElevCalc!$AF$92+(ElevCalc!$AF$87)*ElevCalc!$AF$91),NA())</f>
        <v/>
      </c>
      <c r="AG177">
        <f>IF(ElevCalc!$AF$73*(ElevCalc!$AF$81&gt;0),((ElevCalc!$AF$90+ElevCalc!$AF$78)*ElevCalc!$AF$91),NA())</f>
        <v/>
      </c>
    </row>
    <row r="178">
      <c r="A178" t="inlineStr">
        <is>
          <t>transom</t>
        </is>
      </c>
      <c r="B178">
        <f>IF(ElevCalc!$B$73*(ElevCalc!$B$81&gt;0),(ElevCalc!$B$92+(ElevCalc!$B$87)*ElevCalc!$B$91),NA())</f>
        <v/>
      </c>
      <c r="C178">
        <f>IF(ElevCalc!$B$73*(ElevCalc!$B$81&gt;0),((ElevCalc!$B$90+ElevCalc!$B$78+ElevCalc!$B$81)*ElevCalc!$B$91),NA())</f>
        <v/>
      </c>
      <c r="F178" t="inlineStr">
        <is>
          <t>transom</t>
        </is>
      </c>
      <c r="G178">
        <f>IF(ElevCalc!$G$73*(ElevCalc!$G$81&gt;0),(ElevCalc!$G$92+(ElevCalc!$G$87)*ElevCalc!$G$91),NA())</f>
        <v/>
      </c>
      <c r="H178">
        <f>IF(ElevCalc!$G$73*(ElevCalc!$G$81&gt;0),((ElevCalc!$G$90+ElevCalc!$G$78+ElevCalc!$G$81)*ElevCalc!$G$91),NA())</f>
        <v/>
      </c>
      <c r="K178" t="inlineStr">
        <is>
          <t>transom</t>
        </is>
      </c>
      <c r="L178">
        <f>IF(ElevCalc!$L$73*(ElevCalc!$L$81&gt;0),(ElevCalc!$L$92+(ElevCalc!$L$87)*ElevCalc!$L$91),NA())</f>
        <v/>
      </c>
      <c r="M178">
        <f>IF(ElevCalc!$L$73*(ElevCalc!$L$81&gt;0),((ElevCalc!$L$90+ElevCalc!$L$78+ElevCalc!$L$81)*ElevCalc!$L$91),NA())</f>
        <v/>
      </c>
      <c r="P178" t="inlineStr">
        <is>
          <t>transom</t>
        </is>
      </c>
      <c r="Q178">
        <f>IF(ElevCalc!$Q$73*(ElevCalc!$Q$81&gt;0),(ElevCalc!$Q$92+(ElevCalc!$Q$87)*ElevCalc!$Q$91),NA())</f>
        <v/>
      </c>
      <c r="R178">
        <f>IF(ElevCalc!$Q$73*(ElevCalc!$Q$81&gt;0),((ElevCalc!$Q$90+ElevCalc!$Q$78+ElevCalc!$Q$81)*ElevCalc!$Q$91),NA())</f>
        <v/>
      </c>
      <c r="U178" t="inlineStr">
        <is>
          <t>transom</t>
        </is>
      </c>
      <c r="V178">
        <f>IF(ElevCalc!$V$73*(ElevCalc!$V$81&gt;0),(ElevCalc!$V$92+(ElevCalc!$V$87)*ElevCalc!$V$91),NA())</f>
        <v/>
      </c>
      <c r="W178">
        <f>IF(ElevCalc!$V$73*(ElevCalc!$V$81&gt;0),((ElevCalc!$V$90+ElevCalc!$V$78+ElevCalc!$V$81)*ElevCalc!$V$91),NA())</f>
        <v/>
      </c>
      <c r="Z178" t="inlineStr">
        <is>
          <t>transom</t>
        </is>
      </c>
      <c r="AA178">
        <f>IF(ElevCalc!$AA$73*(ElevCalc!$AA$81&gt;0),(ElevCalc!$AA$92+(ElevCalc!$AA$87)*ElevCalc!$AA$91),NA())</f>
        <v/>
      </c>
      <c r="AB178">
        <f>IF(ElevCalc!$AA$73*(ElevCalc!$AA$81&gt;0),((ElevCalc!$AA$90+ElevCalc!$AA$78+ElevCalc!$AA$81)*ElevCalc!$AA$91),NA())</f>
        <v/>
      </c>
      <c r="AE178" t="inlineStr">
        <is>
          <t>transom</t>
        </is>
      </c>
      <c r="AF178">
        <f>IF(ElevCalc!$AF$73*(ElevCalc!$AF$81&gt;0),(ElevCalc!$AF$92+(ElevCalc!$AF$87)*ElevCalc!$AF$91),NA())</f>
        <v/>
      </c>
      <c r="AG178">
        <f>IF(ElevCalc!$AF$73*(ElevCalc!$AF$81&gt;0),((ElevCalc!$AF$90+ElevCalc!$AF$78+ElevCalc!$AF$81)*ElevCalc!$AF$91),NA())</f>
        <v/>
      </c>
    </row>
    <row r="179">
      <c r="A179" t="inlineStr">
        <is>
          <t>transom</t>
        </is>
      </c>
      <c r="B179">
        <f>IF(ElevCalc!$B$73*(ElevCalc!$B$81&gt;0),(ElevCalc!$B$92+(ElevCalc!$B$88)*ElevCalc!$B$91),NA())</f>
        <v/>
      </c>
      <c r="C179">
        <f>IF(ElevCalc!$B$73*(ElevCalc!$B$81&gt;0),((ElevCalc!$B$90+ElevCalc!$B$78+ElevCalc!$B$81)*ElevCalc!$B$91),NA())</f>
        <v/>
      </c>
      <c r="F179" t="inlineStr">
        <is>
          <t>transom</t>
        </is>
      </c>
      <c r="G179">
        <f>IF(ElevCalc!$G$73*(ElevCalc!$G$81&gt;0),(ElevCalc!$G$92+(ElevCalc!$G$88)*ElevCalc!$G$91),NA())</f>
        <v/>
      </c>
      <c r="H179">
        <f>IF(ElevCalc!$G$73*(ElevCalc!$G$81&gt;0),((ElevCalc!$G$90+ElevCalc!$G$78+ElevCalc!$G$81)*ElevCalc!$G$91),NA())</f>
        <v/>
      </c>
      <c r="K179" t="inlineStr">
        <is>
          <t>transom</t>
        </is>
      </c>
      <c r="L179">
        <f>IF(ElevCalc!$L$73*(ElevCalc!$L$81&gt;0),(ElevCalc!$L$92+(ElevCalc!$L$88)*ElevCalc!$L$91),NA())</f>
        <v/>
      </c>
      <c r="M179">
        <f>IF(ElevCalc!$L$73*(ElevCalc!$L$81&gt;0),((ElevCalc!$L$90+ElevCalc!$L$78+ElevCalc!$L$81)*ElevCalc!$L$91),NA())</f>
        <v/>
      </c>
      <c r="P179" t="inlineStr">
        <is>
          <t>transom</t>
        </is>
      </c>
      <c r="Q179">
        <f>IF(ElevCalc!$Q$73*(ElevCalc!$Q$81&gt;0),(ElevCalc!$Q$92+(ElevCalc!$Q$88)*ElevCalc!$Q$91),NA())</f>
        <v/>
      </c>
      <c r="R179">
        <f>IF(ElevCalc!$Q$73*(ElevCalc!$Q$81&gt;0),((ElevCalc!$Q$90+ElevCalc!$Q$78+ElevCalc!$Q$81)*ElevCalc!$Q$91),NA())</f>
        <v/>
      </c>
      <c r="U179" t="inlineStr">
        <is>
          <t>transom</t>
        </is>
      </c>
      <c r="V179">
        <f>IF(ElevCalc!$V$73*(ElevCalc!$V$81&gt;0),(ElevCalc!$V$92+(ElevCalc!$V$88)*ElevCalc!$V$91),NA())</f>
        <v/>
      </c>
      <c r="W179">
        <f>IF(ElevCalc!$V$73*(ElevCalc!$V$81&gt;0),((ElevCalc!$V$90+ElevCalc!$V$78+ElevCalc!$V$81)*ElevCalc!$V$91),NA())</f>
        <v/>
      </c>
      <c r="Z179" t="inlineStr">
        <is>
          <t>transom</t>
        </is>
      </c>
      <c r="AA179">
        <f>IF(ElevCalc!$AA$73*(ElevCalc!$AA$81&gt;0),(ElevCalc!$AA$92+(ElevCalc!$AA$88)*ElevCalc!$AA$91),NA())</f>
        <v/>
      </c>
      <c r="AB179">
        <f>IF(ElevCalc!$AA$73*(ElevCalc!$AA$81&gt;0),((ElevCalc!$AA$90+ElevCalc!$AA$78+ElevCalc!$AA$81)*ElevCalc!$AA$91),NA())</f>
        <v/>
      </c>
      <c r="AE179" t="inlineStr">
        <is>
          <t>transom</t>
        </is>
      </c>
      <c r="AF179">
        <f>IF(ElevCalc!$AF$73*(ElevCalc!$AF$81&gt;0),(ElevCalc!$AF$92+(ElevCalc!$AF$88)*ElevCalc!$AF$91),NA())</f>
        <v/>
      </c>
      <c r="AG179">
        <f>IF(ElevCalc!$AF$73*(ElevCalc!$AF$81&gt;0),((ElevCalc!$AF$90+ElevCalc!$AF$78+ElevCalc!$AF$81)*ElevCalc!$AF$91),NA())</f>
        <v/>
      </c>
    </row>
    <row r="180">
      <c r="A180" t="inlineStr">
        <is>
          <t>transom</t>
        </is>
      </c>
      <c r="B180">
        <f>IF(ElevCalc!$B$73*(ElevCalc!$B$81&gt;0),(ElevCalc!$B$92+(ElevCalc!$B$88)*ElevCalc!$B$91),NA())</f>
        <v/>
      </c>
      <c r="C180">
        <f>IF(ElevCalc!$B$73*(ElevCalc!$B$81&gt;0),((ElevCalc!$B$90+ElevCalc!$B$78)*ElevCalc!$B$91),NA())</f>
        <v/>
      </c>
      <c r="F180" t="inlineStr">
        <is>
          <t>transom</t>
        </is>
      </c>
      <c r="G180">
        <f>IF(ElevCalc!$G$73*(ElevCalc!$G$81&gt;0),(ElevCalc!$G$92+(ElevCalc!$G$88)*ElevCalc!$G$91),NA())</f>
        <v/>
      </c>
      <c r="H180">
        <f>IF(ElevCalc!$G$73*(ElevCalc!$G$81&gt;0),((ElevCalc!$G$90+ElevCalc!$G$78)*ElevCalc!$G$91),NA())</f>
        <v/>
      </c>
      <c r="K180" t="inlineStr">
        <is>
          <t>transom</t>
        </is>
      </c>
      <c r="L180">
        <f>IF(ElevCalc!$L$73*(ElevCalc!$L$81&gt;0),(ElevCalc!$L$92+(ElevCalc!$L$88)*ElevCalc!$L$91),NA())</f>
        <v/>
      </c>
      <c r="M180">
        <f>IF(ElevCalc!$L$73*(ElevCalc!$L$81&gt;0),((ElevCalc!$L$90+ElevCalc!$L$78)*ElevCalc!$L$91),NA())</f>
        <v/>
      </c>
      <c r="P180" t="inlineStr">
        <is>
          <t>transom</t>
        </is>
      </c>
      <c r="Q180">
        <f>IF(ElevCalc!$Q$73*(ElevCalc!$Q$81&gt;0),(ElevCalc!$Q$92+(ElevCalc!$Q$88)*ElevCalc!$Q$91),NA())</f>
        <v/>
      </c>
      <c r="R180">
        <f>IF(ElevCalc!$Q$73*(ElevCalc!$Q$81&gt;0),((ElevCalc!$Q$90+ElevCalc!$Q$78)*ElevCalc!$Q$91),NA())</f>
        <v/>
      </c>
      <c r="U180" t="inlineStr">
        <is>
          <t>transom</t>
        </is>
      </c>
      <c r="V180">
        <f>IF(ElevCalc!$V$73*(ElevCalc!$V$81&gt;0),(ElevCalc!$V$92+(ElevCalc!$V$88)*ElevCalc!$V$91),NA())</f>
        <v/>
      </c>
      <c r="W180">
        <f>IF(ElevCalc!$V$73*(ElevCalc!$V$81&gt;0),((ElevCalc!$V$90+ElevCalc!$V$78)*ElevCalc!$V$91),NA())</f>
        <v/>
      </c>
      <c r="Z180" t="inlineStr">
        <is>
          <t>transom</t>
        </is>
      </c>
      <c r="AA180">
        <f>IF(ElevCalc!$AA$73*(ElevCalc!$AA$81&gt;0),(ElevCalc!$AA$92+(ElevCalc!$AA$88)*ElevCalc!$AA$91),NA())</f>
        <v/>
      </c>
      <c r="AB180">
        <f>IF(ElevCalc!$AA$73*(ElevCalc!$AA$81&gt;0),((ElevCalc!$AA$90+ElevCalc!$AA$78)*ElevCalc!$AA$91),NA())</f>
        <v/>
      </c>
      <c r="AE180" t="inlineStr">
        <is>
          <t>transom</t>
        </is>
      </c>
      <c r="AF180">
        <f>IF(ElevCalc!$AF$73*(ElevCalc!$AF$81&gt;0),(ElevCalc!$AF$92+(ElevCalc!$AF$88)*ElevCalc!$AF$91),NA())</f>
        <v/>
      </c>
      <c r="AG180">
        <f>IF(ElevCalc!$AF$73*(ElevCalc!$AF$81&gt;0),((ElevCalc!$AF$90+ElevCalc!$AF$78)*ElevCalc!$AF$91),NA())</f>
        <v/>
      </c>
    </row>
    <row r="181">
      <c r="A181" t="inlineStr">
        <is>
          <t>transom</t>
        </is>
      </c>
      <c r="B181">
        <f>IF(ElevCalc!$B$73*(ElevCalc!$B$81&gt;0),(ElevCalc!$B$92+(ElevCalc!$B$87)*ElevCalc!$B$91),NA())</f>
        <v/>
      </c>
      <c r="C181">
        <f>IF(ElevCalc!$B$73*(ElevCalc!$B$81&gt;0),((ElevCalc!$B$90+ElevCalc!$B$78)*ElevCalc!$B$91),NA())</f>
        <v/>
      </c>
      <c r="F181" t="inlineStr">
        <is>
          <t>transom</t>
        </is>
      </c>
      <c r="G181">
        <f>IF(ElevCalc!$G$73*(ElevCalc!$G$81&gt;0),(ElevCalc!$G$92+(ElevCalc!$G$87)*ElevCalc!$G$91),NA())</f>
        <v/>
      </c>
      <c r="H181">
        <f>IF(ElevCalc!$G$73*(ElevCalc!$G$81&gt;0),((ElevCalc!$G$90+ElevCalc!$G$78)*ElevCalc!$G$91),NA())</f>
        <v/>
      </c>
      <c r="K181" t="inlineStr">
        <is>
          <t>transom</t>
        </is>
      </c>
      <c r="L181">
        <f>IF(ElevCalc!$L$73*(ElevCalc!$L$81&gt;0),(ElevCalc!$L$92+(ElevCalc!$L$87)*ElevCalc!$L$91),NA())</f>
        <v/>
      </c>
      <c r="M181">
        <f>IF(ElevCalc!$L$73*(ElevCalc!$L$81&gt;0),((ElevCalc!$L$90+ElevCalc!$L$78)*ElevCalc!$L$91),NA())</f>
        <v/>
      </c>
      <c r="P181" t="inlineStr">
        <is>
          <t>transom</t>
        </is>
      </c>
      <c r="Q181">
        <f>IF(ElevCalc!$Q$73*(ElevCalc!$Q$81&gt;0),(ElevCalc!$Q$92+(ElevCalc!$Q$87)*ElevCalc!$Q$91),NA())</f>
        <v/>
      </c>
      <c r="R181">
        <f>IF(ElevCalc!$Q$73*(ElevCalc!$Q$81&gt;0),((ElevCalc!$Q$90+ElevCalc!$Q$78)*ElevCalc!$Q$91),NA())</f>
        <v/>
      </c>
      <c r="U181" t="inlineStr">
        <is>
          <t>transom</t>
        </is>
      </c>
      <c r="V181">
        <f>IF(ElevCalc!$V$73*(ElevCalc!$V$81&gt;0),(ElevCalc!$V$92+(ElevCalc!$V$87)*ElevCalc!$V$91),NA())</f>
        <v/>
      </c>
      <c r="W181">
        <f>IF(ElevCalc!$V$73*(ElevCalc!$V$81&gt;0),((ElevCalc!$V$90+ElevCalc!$V$78)*ElevCalc!$V$91),NA())</f>
        <v/>
      </c>
      <c r="Z181" t="inlineStr">
        <is>
          <t>transom</t>
        </is>
      </c>
      <c r="AA181">
        <f>IF(ElevCalc!$AA$73*(ElevCalc!$AA$81&gt;0),(ElevCalc!$AA$92+(ElevCalc!$AA$87)*ElevCalc!$AA$91),NA())</f>
        <v/>
      </c>
      <c r="AB181">
        <f>IF(ElevCalc!$AA$73*(ElevCalc!$AA$81&gt;0),((ElevCalc!$AA$90+ElevCalc!$AA$78)*ElevCalc!$AA$91),NA())</f>
        <v/>
      </c>
      <c r="AE181" t="inlineStr">
        <is>
          <t>transom</t>
        </is>
      </c>
      <c r="AF181">
        <f>IF(ElevCalc!$AF$73*(ElevCalc!$AF$81&gt;0),(ElevCalc!$AF$92+(ElevCalc!$AF$87)*ElevCalc!$AF$91),NA())</f>
        <v/>
      </c>
      <c r="AG181">
        <f>IF(ElevCalc!$AF$73*(ElevCalc!$AF$81&gt;0),((ElevCalc!$AF$90+ElevCalc!$AF$78)*ElevCalc!$AF$91),NA())</f>
        <v/>
      </c>
    </row>
    <row r="183">
      <c r="A183" t="inlineStr">
        <is>
          <t>labTr</t>
        </is>
      </c>
      <c r="B183">
        <f>IF(ElevCalc!$B$73*(ElevCalc!$B$81&gt;0),(ElevCalc!$B$92+((ElevCalc!$B$87+ElevCalc!$B$88)/2)*ElevCalc!$B$91),NA())</f>
        <v/>
      </c>
      <c r="C183">
        <f>IF(ElevCalc!$B$73*(ElevCalc!$B$81&gt;0),((ElevCalc!$B$90+ElevCalc!$B$78+ElevCalc!$B$81*0.2)*ElevCalc!$B$91),NA())</f>
        <v/>
      </c>
      <c r="D183">
        <f>ElevCalc!$B$130</f>
        <v/>
      </c>
      <c r="F183" t="inlineStr">
        <is>
          <t>labTr</t>
        </is>
      </c>
      <c r="G183">
        <f>IF(ElevCalc!$G$73*(ElevCalc!$G$81&gt;0),(ElevCalc!$G$92+((ElevCalc!$G$87+ElevCalc!$G$88)/2)*ElevCalc!$G$91),NA())</f>
        <v/>
      </c>
      <c r="H183">
        <f>IF(ElevCalc!$G$73*(ElevCalc!$G$81&gt;0),((ElevCalc!$G$90+ElevCalc!$G$78+ElevCalc!$G$81*0.2)*ElevCalc!$G$91),NA())</f>
        <v/>
      </c>
      <c r="I183">
        <f>ElevCalc!$G$130</f>
        <v/>
      </c>
      <c r="K183" t="inlineStr">
        <is>
          <t>labTr</t>
        </is>
      </c>
      <c r="L183">
        <f>IF(ElevCalc!$L$73*(ElevCalc!$L$81&gt;0),(ElevCalc!$L$92+((ElevCalc!$L$87+ElevCalc!$L$88)/2)*ElevCalc!$L$91),NA())</f>
        <v/>
      </c>
      <c r="M183">
        <f>IF(ElevCalc!$L$73*(ElevCalc!$L$81&gt;0),((ElevCalc!$L$90+ElevCalc!$L$78+ElevCalc!$L$81*0.2)*ElevCalc!$L$91),NA())</f>
        <v/>
      </c>
      <c r="N183">
        <f>ElevCalc!$L$130</f>
        <v/>
      </c>
      <c r="P183" t="inlineStr">
        <is>
          <t>labTr</t>
        </is>
      </c>
      <c r="Q183">
        <f>IF(ElevCalc!$Q$73*(ElevCalc!$Q$81&gt;0),(ElevCalc!$Q$92+((ElevCalc!$Q$87+ElevCalc!$Q$88)/2)*ElevCalc!$Q$91),NA())</f>
        <v/>
      </c>
      <c r="R183">
        <f>IF(ElevCalc!$Q$73*(ElevCalc!$Q$81&gt;0),((ElevCalc!$Q$90+ElevCalc!$Q$78+ElevCalc!$Q$81*0.2)*ElevCalc!$Q$91),NA())</f>
        <v/>
      </c>
      <c r="S183">
        <f>ElevCalc!$Q$130</f>
        <v/>
      </c>
      <c r="U183" t="inlineStr">
        <is>
          <t>labTr</t>
        </is>
      </c>
      <c r="V183">
        <f>IF(ElevCalc!$V$73*(ElevCalc!$V$81&gt;0),(ElevCalc!$V$92+((ElevCalc!$V$87+ElevCalc!$V$88)/2)*ElevCalc!$V$91),NA())</f>
        <v/>
      </c>
      <c r="W183">
        <f>IF(ElevCalc!$V$73*(ElevCalc!$V$81&gt;0),((ElevCalc!$V$90+ElevCalc!$V$78+ElevCalc!$V$81*0.2)*ElevCalc!$V$91),NA())</f>
        <v/>
      </c>
      <c r="X183">
        <f>ElevCalc!$V$130</f>
        <v/>
      </c>
      <c r="Z183" t="inlineStr">
        <is>
          <t>labTr</t>
        </is>
      </c>
      <c r="AA183">
        <f>IF(ElevCalc!$AA$73*(ElevCalc!$AA$81&gt;0),(ElevCalc!$AA$92+((ElevCalc!$AA$87+ElevCalc!$AA$88)/2)*ElevCalc!$AA$91),NA())</f>
        <v/>
      </c>
      <c r="AB183">
        <f>IF(ElevCalc!$AA$73*(ElevCalc!$AA$81&gt;0),((ElevCalc!$AA$90+ElevCalc!$AA$78+ElevCalc!$AA$81*0.2)*ElevCalc!$AA$91),NA())</f>
        <v/>
      </c>
      <c r="AC183">
        <f>ElevCalc!$AA$130</f>
        <v/>
      </c>
      <c r="AE183" t="inlineStr">
        <is>
          <t>labTr</t>
        </is>
      </c>
      <c r="AF183">
        <f>IF(ElevCalc!$AF$73*(ElevCalc!$AF$81&gt;0),(ElevCalc!$AF$92+((ElevCalc!$AF$87+ElevCalc!$AF$88)/2)*ElevCalc!$AF$91),NA())</f>
        <v/>
      </c>
      <c r="AG183">
        <f>IF(ElevCalc!$AF$73*(ElevCalc!$AF$81&gt;0),((ElevCalc!$AF$90+ElevCalc!$AF$78+ElevCalc!$AF$81*0.2)*ElevCalc!$AF$91),NA())</f>
        <v/>
      </c>
      <c r="AH183">
        <f>ElevCalc!$AF$130</f>
        <v/>
      </c>
    </row>
    <row r="185">
      <c r="A185" t="inlineStr">
        <is>
          <t>sideL</t>
        </is>
      </c>
      <c r="B185">
        <f>IF(ElevCalc!$B$73*(ElevCalc!$B$83&gt;0),(ElevCalc!$B$92+(ElevCalc!$B$76)*ElevCalc!$B$91),NA())</f>
        <v/>
      </c>
      <c r="C185">
        <f>IF(ElevCalc!$B$73*(ElevCalc!$B$83&gt;0),((ElevCalc!$B$89)*ElevCalc!$B$91),NA())</f>
        <v/>
      </c>
      <c r="F185" t="inlineStr">
        <is>
          <t>sideL</t>
        </is>
      </c>
      <c r="G185">
        <f>IF(ElevCalc!$G$73*(ElevCalc!$G$83&gt;0),(ElevCalc!$G$92+(ElevCalc!$G$76)*ElevCalc!$G$91),NA())</f>
        <v/>
      </c>
      <c r="H185">
        <f>IF(ElevCalc!$G$73*(ElevCalc!$G$83&gt;0),((ElevCalc!$G$89)*ElevCalc!$G$91),NA())</f>
        <v/>
      </c>
      <c r="K185" t="inlineStr">
        <is>
          <t>sideL</t>
        </is>
      </c>
      <c r="L185">
        <f>IF(ElevCalc!$L$73*(ElevCalc!$L$83&gt;0),(ElevCalc!$L$92+(ElevCalc!$L$76)*ElevCalc!$L$91),NA())</f>
        <v/>
      </c>
      <c r="M185">
        <f>IF(ElevCalc!$L$73*(ElevCalc!$L$83&gt;0),((ElevCalc!$L$89)*ElevCalc!$L$91),NA())</f>
        <v/>
      </c>
      <c r="P185" t="inlineStr">
        <is>
          <t>sideL</t>
        </is>
      </c>
      <c r="Q185">
        <f>IF(ElevCalc!$Q$73*(ElevCalc!$Q$83&gt;0),(ElevCalc!$Q$92+(ElevCalc!$Q$76)*ElevCalc!$Q$91),NA())</f>
        <v/>
      </c>
      <c r="R185">
        <f>IF(ElevCalc!$Q$73*(ElevCalc!$Q$83&gt;0),((ElevCalc!$Q$89)*ElevCalc!$Q$91),NA())</f>
        <v/>
      </c>
      <c r="U185" t="inlineStr">
        <is>
          <t>sideL</t>
        </is>
      </c>
      <c r="V185">
        <f>IF(ElevCalc!$V$73*(ElevCalc!$V$83&gt;0),(ElevCalc!$V$92+(ElevCalc!$V$76)*ElevCalc!$V$91),NA())</f>
        <v/>
      </c>
      <c r="W185">
        <f>IF(ElevCalc!$V$73*(ElevCalc!$V$83&gt;0),((ElevCalc!$V$89)*ElevCalc!$V$91),NA())</f>
        <v/>
      </c>
      <c r="Z185" t="inlineStr">
        <is>
          <t>sideL</t>
        </is>
      </c>
      <c r="AA185">
        <f>IF(ElevCalc!$AA$73*(ElevCalc!$AA$83&gt;0),(ElevCalc!$AA$92+(ElevCalc!$AA$76)*ElevCalc!$AA$91),NA())</f>
        <v/>
      </c>
      <c r="AB185">
        <f>IF(ElevCalc!$AA$73*(ElevCalc!$AA$83&gt;0),((ElevCalc!$AA$89)*ElevCalc!$AA$91),NA())</f>
        <v/>
      </c>
      <c r="AE185" t="inlineStr">
        <is>
          <t>sideL</t>
        </is>
      </c>
      <c r="AF185">
        <f>IF(ElevCalc!$AF$73*(ElevCalc!$AF$83&gt;0),(ElevCalc!$AF$92+(ElevCalc!$AF$76)*ElevCalc!$AF$91),NA())</f>
        <v/>
      </c>
      <c r="AG185">
        <f>IF(ElevCalc!$AF$73*(ElevCalc!$AF$83&gt;0),((ElevCalc!$AF$89)*ElevCalc!$AF$91),NA())</f>
        <v/>
      </c>
    </row>
    <row r="186">
      <c r="A186" t="inlineStr">
        <is>
          <t>sideL</t>
        </is>
      </c>
      <c r="B186">
        <f>IF(ElevCalc!$B$73*(ElevCalc!$B$83&gt;0),(ElevCalc!$B$92+(ElevCalc!$B$76)*ElevCalc!$B$91),NA())</f>
        <v/>
      </c>
      <c r="C186">
        <f>IF(ElevCalc!$B$73*(ElevCalc!$B$83&gt;0),((ElevCalc!$B$90)*ElevCalc!$B$91),NA())</f>
        <v/>
      </c>
      <c r="F186" t="inlineStr">
        <is>
          <t>sideL</t>
        </is>
      </c>
      <c r="G186">
        <f>IF(ElevCalc!$G$73*(ElevCalc!$G$83&gt;0),(ElevCalc!$G$92+(ElevCalc!$G$76)*ElevCalc!$G$91),NA())</f>
        <v/>
      </c>
      <c r="H186">
        <f>IF(ElevCalc!$G$73*(ElevCalc!$G$83&gt;0),((ElevCalc!$G$90)*ElevCalc!$G$91),NA())</f>
        <v/>
      </c>
      <c r="K186" t="inlineStr">
        <is>
          <t>sideL</t>
        </is>
      </c>
      <c r="L186">
        <f>IF(ElevCalc!$L$73*(ElevCalc!$L$83&gt;0),(ElevCalc!$L$92+(ElevCalc!$L$76)*ElevCalc!$L$91),NA())</f>
        <v/>
      </c>
      <c r="M186">
        <f>IF(ElevCalc!$L$73*(ElevCalc!$L$83&gt;0),((ElevCalc!$L$90)*ElevCalc!$L$91),NA())</f>
        <v/>
      </c>
      <c r="P186" t="inlineStr">
        <is>
          <t>sideL</t>
        </is>
      </c>
      <c r="Q186">
        <f>IF(ElevCalc!$Q$73*(ElevCalc!$Q$83&gt;0),(ElevCalc!$Q$92+(ElevCalc!$Q$76)*ElevCalc!$Q$91),NA())</f>
        <v/>
      </c>
      <c r="R186">
        <f>IF(ElevCalc!$Q$73*(ElevCalc!$Q$83&gt;0),((ElevCalc!$Q$90)*ElevCalc!$Q$91),NA())</f>
        <v/>
      </c>
      <c r="U186" t="inlineStr">
        <is>
          <t>sideL</t>
        </is>
      </c>
      <c r="V186">
        <f>IF(ElevCalc!$V$73*(ElevCalc!$V$83&gt;0),(ElevCalc!$V$92+(ElevCalc!$V$76)*ElevCalc!$V$91),NA())</f>
        <v/>
      </c>
      <c r="W186">
        <f>IF(ElevCalc!$V$73*(ElevCalc!$V$83&gt;0),((ElevCalc!$V$90)*ElevCalc!$V$91),NA())</f>
        <v/>
      </c>
      <c r="Z186" t="inlineStr">
        <is>
          <t>sideL</t>
        </is>
      </c>
      <c r="AA186">
        <f>IF(ElevCalc!$AA$73*(ElevCalc!$AA$83&gt;0),(ElevCalc!$AA$92+(ElevCalc!$AA$76)*ElevCalc!$AA$91),NA())</f>
        <v/>
      </c>
      <c r="AB186">
        <f>IF(ElevCalc!$AA$73*(ElevCalc!$AA$83&gt;0),((ElevCalc!$AA$90)*ElevCalc!$AA$91),NA())</f>
        <v/>
      </c>
      <c r="AE186" t="inlineStr">
        <is>
          <t>sideL</t>
        </is>
      </c>
      <c r="AF186">
        <f>IF(ElevCalc!$AF$73*(ElevCalc!$AF$83&gt;0),(ElevCalc!$AF$92+(ElevCalc!$AF$76)*ElevCalc!$AF$91),NA())</f>
        <v/>
      </c>
      <c r="AG186">
        <f>IF(ElevCalc!$AF$73*(ElevCalc!$AF$83&gt;0),((ElevCalc!$AF$90)*ElevCalc!$AF$91),NA())</f>
        <v/>
      </c>
    </row>
    <row r="187">
      <c r="A187" t="inlineStr">
        <is>
          <t>sideL</t>
        </is>
      </c>
      <c r="B187">
        <f>IF(ElevCalc!$B$73*(ElevCalc!$B$83&gt;0),(ElevCalc!$B$92+(ElevCalc!$B$76+ElevCalc!$B$83)*ElevCalc!$B$91),NA())</f>
        <v/>
      </c>
      <c r="C187">
        <f>IF(ElevCalc!$B$73*(ElevCalc!$B$83&gt;0),((ElevCalc!$B$90)*ElevCalc!$B$91),NA())</f>
        <v/>
      </c>
      <c r="F187" t="inlineStr">
        <is>
          <t>sideL</t>
        </is>
      </c>
      <c r="G187">
        <f>IF(ElevCalc!$G$73*(ElevCalc!$G$83&gt;0),(ElevCalc!$G$92+(ElevCalc!$G$76+ElevCalc!$G$83)*ElevCalc!$G$91),NA())</f>
        <v/>
      </c>
      <c r="H187">
        <f>IF(ElevCalc!$G$73*(ElevCalc!$G$83&gt;0),((ElevCalc!$G$90)*ElevCalc!$G$91),NA())</f>
        <v/>
      </c>
      <c r="K187" t="inlineStr">
        <is>
          <t>sideL</t>
        </is>
      </c>
      <c r="L187">
        <f>IF(ElevCalc!$L$73*(ElevCalc!$L$83&gt;0),(ElevCalc!$L$92+(ElevCalc!$L$76+ElevCalc!$L$83)*ElevCalc!$L$91),NA())</f>
        <v/>
      </c>
      <c r="M187">
        <f>IF(ElevCalc!$L$73*(ElevCalc!$L$83&gt;0),((ElevCalc!$L$90)*ElevCalc!$L$91),NA())</f>
        <v/>
      </c>
      <c r="P187" t="inlineStr">
        <is>
          <t>sideL</t>
        </is>
      </c>
      <c r="Q187">
        <f>IF(ElevCalc!$Q$73*(ElevCalc!$Q$83&gt;0),(ElevCalc!$Q$92+(ElevCalc!$Q$76+ElevCalc!$Q$83)*ElevCalc!$Q$91),NA())</f>
        <v/>
      </c>
      <c r="R187">
        <f>IF(ElevCalc!$Q$73*(ElevCalc!$Q$83&gt;0),((ElevCalc!$Q$90)*ElevCalc!$Q$91),NA())</f>
        <v/>
      </c>
      <c r="U187" t="inlineStr">
        <is>
          <t>sideL</t>
        </is>
      </c>
      <c r="V187">
        <f>IF(ElevCalc!$V$73*(ElevCalc!$V$83&gt;0),(ElevCalc!$V$92+(ElevCalc!$V$76+ElevCalc!$V$83)*ElevCalc!$V$91),NA())</f>
        <v/>
      </c>
      <c r="W187">
        <f>IF(ElevCalc!$V$73*(ElevCalc!$V$83&gt;0),((ElevCalc!$V$90)*ElevCalc!$V$91),NA())</f>
        <v/>
      </c>
      <c r="Z187" t="inlineStr">
        <is>
          <t>sideL</t>
        </is>
      </c>
      <c r="AA187">
        <f>IF(ElevCalc!$AA$73*(ElevCalc!$AA$83&gt;0),(ElevCalc!$AA$92+(ElevCalc!$AA$76+ElevCalc!$AA$83)*ElevCalc!$AA$91),NA())</f>
        <v/>
      </c>
      <c r="AB187">
        <f>IF(ElevCalc!$AA$73*(ElevCalc!$AA$83&gt;0),((ElevCalc!$AA$90)*ElevCalc!$AA$91),NA())</f>
        <v/>
      </c>
      <c r="AE187" t="inlineStr">
        <is>
          <t>sideL</t>
        </is>
      </c>
      <c r="AF187">
        <f>IF(ElevCalc!$AF$73*(ElevCalc!$AF$83&gt;0),(ElevCalc!$AF$92+(ElevCalc!$AF$76+ElevCalc!$AF$83)*ElevCalc!$AF$91),NA())</f>
        <v/>
      </c>
      <c r="AG187">
        <f>IF(ElevCalc!$AF$73*(ElevCalc!$AF$83&gt;0),((ElevCalc!$AF$90)*ElevCalc!$AF$91),NA())</f>
        <v/>
      </c>
    </row>
    <row r="188">
      <c r="A188" t="inlineStr">
        <is>
          <t>sideL</t>
        </is>
      </c>
      <c r="B188">
        <f>IF(ElevCalc!$B$73*(ElevCalc!$B$83&gt;0),(ElevCalc!$B$92+(ElevCalc!$B$76+ElevCalc!$B$83)*ElevCalc!$B$91),NA())</f>
        <v/>
      </c>
      <c r="C188">
        <f>IF(ElevCalc!$B$73*(ElevCalc!$B$83&gt;0),((ElevCalc!$B$89)*ElevCalc!$B$91),NA())</f>
        <v/>
      </c>
      <c r="F188" t="inlineStr">
        <is>
          <t>sideL</t>
        </is>
      </c>
      <c r="G188">
        <f>IF(ElevCalc!$G$73*(ElevCalc!$G$83&gt;0),(ElevCalc!$G$92+(ElevCalc!$G$76+ElevCalc!$G$83)*ElevCalc!$G$91),NA())</f>
        <v/>
      </c>
      <c r="H188">
        <f>IF(ElevCalc!$G$73*(ElevCalc!$G$83&gt;0),((ElevCalc!$G$89)*ElevCalc!$G$91),NA())</f>
        <v/>
      </c>
      <c r="K188" t="inlineStr">
        <is>
          <t>sideL</t>
        </is>
      </c>
      <c r="L188">
        <f>IF(ElevCalc!$L$73*(ElevCalc!$L$83&gt;0),(ElevCalc!$L$92+(ElevCalc!$L$76+ElevCalc!$L$83)*ElevCalc!$L$91),NA())</f>
        <v/>
      </c>
      <c r="M188">
        <f>IF(ElevCalc!$L$73*(ElevCalc!$L$83&gt;0),((ElevCalc!$L$89)*ElevCalc!$L$91),NA())</f>
        <v/>
      </c>
      <c r="P188" t="inlineStr">
        <is>
          <t>sideL</t>
        </is>
      </c>
      <c r="Q188">
        <f>IF(ElevCalc!$Q$73*(ElevCalc!$Q$83&gt;0),(ElevCalc!$Q$92+(ElevCalc!$Q$76+ElevCalc!$Q$83)*ElevCalc!$Q$91),NA())</f>
        <v/>
      </c>
      <c r="R188">
        <f>IF(ElevCalc!$Q$73*(ElevCalc!$Q$83&gt;0),((ElevCalc!$Q$89)*ElevCalc!$Q$91),NA())</f>
        <v/>
      </c>
      <c r="U188" t="inlineStr">
        <is>
          <t>sideL</t>
        </is>
      </c>
      <c r="V188">
        <f>IF(ElevCalc!$V$73*(ElevCalc!$V$83&gt;0),(ElevCalc!$V$92+(ElevCalc!$V$76+ElevCalc!$V$83)*ElevCalc!$V$91),NA())</f>
        <v/>
      </c>
      <c r="W188">
        <f>IF(ElevCalc!$V$73*(ElevCalc!$V$83&gt;0),((ElevCalc!$V$89)*ElevCalc!$V$91),NA())</f>
        <v/>
      </c>
      <c r="Z188" t="inlineStr">
        <is>
          <t>sideL</t>
        </is>
      </c>
      <c r="AA188">
        <f>IF(ElevCalc!$AA$73*(ElevCalc!$AA$83&gt;0),(ElevCalc!$AA$92+(ElevCalc!$AA$76+ElevCalc!$AA$83)*ElevCalc!$AA$91),NA())</f>
        <v/>
      </c>
      <c r="AB188">
        <f>IF(ElevCalc!$AA$73*(ElevCalc!$AA$83&gt;0),((ElevCalc!$AA$89)*ElevCalc!$AA$91),NA())</f>
        <v/>
      </c>
      <c r="AE188" t="inlineStr">
        <is>
          <t>sideL</t>
        </is>
      </c>
      <c r="AF188">
        <f>IF(ElevCalc!$AF$73*(ElevCalc!$AF$83&gt;0),(ElevCalc!$AF$92+(ElevCalc!$AF$76+ElevCalc!$AF$83)*ElevCalc!$AF$91),NA())</f>
        <v/>
      </c>
      <c r="AG188">
        <f>IF(ElevCalc!$AF$73*(ElevCalc!$AF$83&gt;0),((ElevCalc!$AF$89)*ElevCalc!$AF$91),NA())</f>
        <v/>
      </c>
    </row>
    <row r="189">
      <c r="A189" t="inlineStr">
        <is>
          <t>sideL</t>
        </is>
      </c>
      <c r="B189">
        <f>IF(ElevCalc!$B$73*(ElevCalc!$B$83&gt;0),(ElevCalc!$B$92+(ElevCalc!$B$76)*ElevCalc!$B$91),NA())</f>
        <v/>
      </c>
      <c r="C189">
        <f>IF(ElevCalc!$B$73*(ElevCalc!$B$83&gt;0),((ElevCalc!$B$89)*ElevCalc!$B$91),NA())</f>
        <v/>
      </c>
      <c r="F189" t="inlineStr">
        <is>
          <t>sideL</t>
        </is>
      </c>
      <c r="G189">
        <f>IF(ElevCalc!$G$73*(ElevCalc!$G$83&gt;0),(ElevCalc!$G$92+(ElevCalc!$G$76)*ElevCalc!$G$91),NA())</f>
        <v/>
      </c>
      <c r="H189">
        <f>IF(ElevCalc!$G$73*(ElevCalc!$G$83&gt;0),((ElevCalc!$G$89)*ElevCalc!$G$91),NA())</f>
        <v/>
      </c>
      <c r="K189" t="inlineStr">
        <is>
          <t>sideL</t>
        </is>
      </c>
      <c r="L189">
        <f>IF(ElevCalc!$L$73*(ElevCalc!$L$83&gt;0),(ElevCalc!$L$92+(ElevCalc!$L$76)*ElevCalc!$L$91),NA())</f>
        <v/>
      </c>
      <c r="M189">
        <f>IF(ElevCalc!$L$73*(ElevCalc!$L$83&gt;0),((ElevCalc!$L$89)*ElevCalc!$L$91),NA())</f>
        <v/>
      </c>
      <c r="P189" t="inlineStr">
        <is>
          <t>sideL</t>
        </is>
      </c>
      <c r="Q189">
        <f>IF(ElevCalc!$Q$73*(ElevCalc!$Q$83&gt;0),(ElevCalc!$Q$92+(ElevCalc!$Q$76)*ElevCalc!$Q$91),NA())</f>
        <v/>
      </c>
      <c r="R189">
        <f>IF(ElevCalc!$Q$73*(ElevCalc!$Q$83&gt;0),((ElevCalc!$Q$89)*ElevCalc!$Q$91),NA())</f>
        <v/>
      </c>
      <c r="U189" t="inlineStr">
        <is>
          <t>sideL</t>
        </is>
      </c>
      <c r="V189">
        <f>IF(ElevCalc!$V$73*(ElevCalc!$V$83&gt;0),(ElevCalc!$V$92+(ElevCalc!$V$76)*ElevCalc!$V$91),NA())</f>
        <v/>
      </c>
      <c r="W189">
        <f>IF(ElevCalc!$V$73*(ElevCalc!$V$83&gt;0),((ElevCalc!$V$89)*ElevCalc!$V$91),NA())</f>
        <v/>
      </c>
      <c r="Z189" t="inlineStr">
        <is>
          <t>sideL</t>
        </is>
      </c>
      <c r="AA189">
        <f>IF(ElevCalc!$AA$73*(ElevCalc!$AA$83&gt;0),(ElevCalc!$AA$92+(ElevCalc!$AA$76)*ElevCalc!$AA$91),NA())</f>
        <v/>
      </c>
      <c r="AB189">
        <f>IF(ElevCalc!$AA$73*(ElevCalc!$AA$83&gt;0),((ElevCalc!$AA$89)*ElevCalc!$AA$91),NA())</f>
        <v/>
      </c>
      <c r="AE189" t="inlineStr">
        <is>
          <t>sideL</t>
        </is>
      </c>
      <c r="AF189">
        <f>IF(ElevCalc!$AF$73*(ElevCalc!$AF$83&gt;0),(ElevCalc!$AF$92+(ElevCalc!$AF$76)*ElevCalc!$AF$91),NA())</f>
        <v/>
      </c>
      <c r="AG189">
        <f>IF(ElevCalc!$AF$73*(ElevCalc!$AF$83&gt;0),((ElevCalc!$AF$89)*ElevCalc!$AF$91),NA())</f>
        <v/>
      </c>
    </row>
    <row r="191">
      <c r="A191" t="inlineStr">
        <is>
          <t>sideR</t>
        </is>
      </c>
      <c r="B191">
        <f>IF(ElevCalc!$B$73*(ElevCalc!$B$84&gt;0),(ElevCalc!$B$92+(ElevCalc!$B$88+ElevCalc!$B$78)*ElevCalc!$B$91),NA())</f>
        <v/>
      </c>
      <c r="C191">
        <f>IF(ElevCalc!$B$73*(ElevCalc!$B$84&gt;0),((ElevCalc!$B$89)*ElevCalc!$B$91),NA())</f>
        <v/>
      </c>
      <c r="F191" t="inlineStr">
        <is>
          <t>sideR</t>
        </is>
      </c>
      <c r="G191">
        <f>IF(ElevCalc!$G$73*(ElevCalc!$G$84&gt;0),(ElevCalc!$G$92+(ElevCalc!$G$88+ElevCalc!$G$78)*ElevCalc!$G$91),NA())</f>
        <v/>
      </c>
      <c r="H191">
        <f>IF(ElevCalc!$G$73*(ElevCalc!$G$84&gt;0),((ElevCalc!$G$89)*ElevCalc!$G$91),NA())</f>
        <v/>
      </c>
      <c r="K191" t="inlineStr">
        <is>
          <t>sideR</t>
        </is>
      </c>
      <c r="L191">
        <f>IF(ElevCalc!$L$73*(ElevCalc!$L$84&gt;0),(ElevCalc!$L$92+(ElevCalc!$L$88+ElevCalc!$L$78)*ElevCalc!$L$91),NA())</f>
        <v/>
      </c>
      <c r="M191">
        <f>IF(ElevCalc!$L$73*(ElevCalc!$L$84&gt;0),((ElevCalc!$L$89)*ElevCalc!$L$91),NA())</f>
        <v/>
      </c>
      <c r="P191" t="inlineStr">
        <is>
          <t>sideR</t>
        </is>
      </c>
      <c r="Q191">
        <f>IF(ElevCalc!$Q$73*(ElevCalc!$Q$84&gt;0),(ElevCalc!$Q$92+(ElevCalc!$Q$88+ElevCalc!$Q$78)*ElevCalc!$Q$91),NA())</f>
        <v/>
      </c>
      <c r="R191">
        <f>IF(ElevCalc!$Q$73*(ElevCalc!$Q$84&gt;0),((ElevCalc!$Q$89)*ElevCalc!$Q$91),NA())</f>
        <v/>
      </c>
      <c r="U191" t="inlineStr">
        <is>
          <t>sideR</t>
        </is>
      </c>
      <c r="V191">
        <f>IF(ElevCalc!$V$73*(ElevCalc!$V$84&gt;0),(ElevCalc!$V$92+(ElevCalc!$V$88+ElevCalc!$V$78)*ElevCalc!$V$91),NA())</f>
        <v/>
      </c>
      <c r="W191">
        <f>IF(ElevCalc!$V$73*(ElevCalc!$V$84&gt;0),((ElevCalc!$V$89)*ElevCalc!$V$91),NA())</f>
        <v/>
      </c>
      <c r="Z191" t="inlineStr">
        <is>
          <t>sideR</t>
        </is>
      </c>
      <c r="AA191">
        <f>IF(ElevCalc!$AA$73*(ElevCalc!$AA$84&gt;0),(ElevCalc!$AA$92+(ElevCalc!$AA$88+ElevCalc!$AA$78)*ElevCalc!$AA$91),NA())</f>
        <v/>
      </c>
      <c r="AB191">
        <f>IF(ElevCalc!$AA$73*(ElevCalc!$AA$84&gt;0),((ElevCalc!$AA$89)*ElevCalc!$AA$91),NA())</f>
        <v/>
      </c>
      <c r="AE191" t="inlineStr">
        <is>
          <t>sideR</t>
        </is>
      </c>
      <c r="AF191">
        <f>IF(ElevCalc!$AF$73*(ElevCalc!$AF$84&gt;0),(ElevCalc!$AF$92+(ElevCalc!$AF$88+ElevCalc!$AF$78)*ElevCalc!$AF$91),NA())</f>
        <v/>
      </c>
      <c r="AG191">
        <f>IF(ElevCalc!$AF$73*(ElevCalc!$AF$84&gt;0),((ElevCalc!$AF$89)*ElevCalc!$AF$91),NA())</f>
        <v/>
      </c>
    </row>
    <row r="192">
      <c r="A192" t="inlineStr">
        <is>
          <t>sideR</t>
        </is>
      </c>
      <c r="B192">
        <f>IF(ElevCalc!$B$73*(ElevCalc!$B$84&gt;0),(ElevCalc!$B$92+(ElevCalc!$B$88+ElevCalc!$B$78)*ElevCalc!$B$91),NA())</f>
        <v/>
      </c>
      <c r="C192">
        <f>IF(ElevCalc!$B$73*(ElevCalc!$B$84&gt;0),((ElevCalc!$B$90)*ElevCalc!$B$91),NA())</f>
        <v/>
      </c>
      <c r="F192" t="inlineStr">
        <is>
          <t>sideR</t>
        </is>
      </c>
      <c r="G192">
        <f>IF(ElevCalc!$G$73*(ElevCalc!$G$84&gt;0),(ElevCalc!$G$92+(ElevCalc!$G$88+ElevCalc!$G$78)*ElevCalc!$G$91),NA())</f>
        <v/>
      </c>
      <c r="H192">
        <f>IF(ElevCalc!$G$73*(ElevCalc!$G$84&gt;0),((ElevCalc!$G$90)*ElevCalc!$G$91),NA())</f>
        <v/>
      </c>
      <c r="K192" t="inlineStr">
        <is>
          <t>sideR</t>
        </is>
      </c>
      <c r="L192">
        <f>IF(ElevCalc!$L$73*(ElevCalc!$L$84&gt;0),(ElevCalc!$L$92+(ElevCalc!$L$88+ElevCalc!$L$78)*ElevCalc!$L$91),NA())</f>
        <v/>
      </c>
      <c r="M192">
        <f>IF(ElevCalc!$L$73*(ElevCalc!$L$84&gt;0),((ElevCalc!$L$90)*ElevCalc!$L$91),NA())</f>
        <v/>
      </c>
      <c r="P192" t="inlineStr">
        <is>
          <t>sideR</t>
        </is>
      </c>
      <c r="Q192">
        <f>IF(ElevCalc!$Q$73*(ElevCalc!$Q$84&gt;0),(ElevCalc!$Q$92+(ElevCalc!$Q$88+ElevCalc!$Q$78)*ElevCalc!$Q$91),NA())</f>
        <v/>
      </c>
      <c r="R192">
        <f>IF(ElevCalc!$Q$73*(ElevCalc!$Q$84&gt;0),((ElevCalc!$Q$90)*ElevCalc!$Q$91),NA())</f>
        <v/>
      </c>
      <c r="U192" t="inlineStr">
        <is>
          <t>sideR</t>
        </is>
      </c>
      <c r="V192">
        <f>IF(ElevCalc!$V$73*(ElevCalc!$V$84&gt;0),(ElevCalc!$V$92+(ElevCalc!$V$88+ElevCalc!$V$78)*ElevCalc!$V$91),NA())</f>
        <v/>
      </c>
      <c r="W192">
        <f>IF(ElevCalc!$V$73*(ElevCalc!$V$84&gt;0),((ElevCalc!$V$90)*ElevCalc!$V$91),NA())</f>
        <v/>
      </c>
      <c r="Z192" t="inlineStr">
        <is>
          <t>sideR</t>
        </is>
      </c>
      <c r="AA192">
        <f>IF(ElevCalc!$AA$73*(ElevCalc!$AA$84&gt;0),(ElevCalc!$AA$92+(ElevCalc!$AA$88+ElevCalc!$AA$78)*ElevCalc!$AA$91),NA())</f>
        <v/>
      </c>
      <c r="AB192">
        <f>IF(ElevCalc!$AA$73*(ElevCalc!$AA$84&gt;0),((ElevCalc!$AA$90)*ElevCalc!$AA$91),NA())</f>
        <v/>
      </c>
      <c r="AE192" t="inlineStr">
        <is>
          <t>sideR</t>
        </is>
      </c>
      <c r="AF192">
        <f>IF(ElevCalc!$AF$73*(ElevCalc!$AF$84&gt;0),(ElevCalc!$AF$92+(ElevCalc!$AF$88+ElevCalc!$AF$78)*ElevCalc!$AF$91),NA())</f>
        <v/>
      </c>
      <c r="AG192">
        <f>IF(ElevCalc!$AF$73*(ElevCalc!$AF$84&gt;0),((ElevCalc!$AF$90)*ElevCalc!$AF$91),NA())</f>
        <v/>
      </c>
    </row>
    <row r="193">
      <c r="A193" t="inlineStr">
        <is>
          <t>sideR</t>
        </is>
      </c>
      <c r="B193">
        <f>IF(ElevCalc!$B$73*(ElevCalc!$B$84&gt;0),(ElevCalc!$B$92+(ElevCalc!$B$88+ElevCalc!$B$78+ElevCalc!$B$84)*ElevCalc!$B$91),NA())</f>
        <v/>
      </c>
      <c r="C193">
        <f>IF(ElevCalc!$B$73*(ElevCalc!$B$84&gt;0),((ElevCalc!$B$90)*ElevCalc!$B$91),NA())</f>
        <v/>
      </c>
      <c r="F193" t="inlineStr">
        <is>
          <t>sideR</t>
        </is>
      </c>
      <c r="G193">
        <f>IF(ElevCalc!$G$73*(ElevCalc!$G$84&gt;0),(ElevCalc!$G$92+(ElevCalc!$G$88+ElevCalc!$G$78+ElevCalc!$G$84)*ElevCalc!$G$91),NA())</f>
        <v/>
      </c>
      <c r="H193">
        <f>IF(ElevCalc!$G$73*(ElevCalc!$G$84&gt;0),((ElevCalc!$G$90)*ElevCalc!$G$91),NA())</f>
        <v/>
      </c>
      <c r="K193" t="inlineStr">
        <is>
          <t>sideR</t>
        </is>
      </c>
      <c r="L193">
        <f>IF(ElevCalc!$L$73*(ElevCalc!$L$84&gt;0),(ElevCalc!$L$92+(ElevCalc!$L$88+ElevCalc!$L$78+ElevCalc!$L$84)*ElevCalc!$L$91),NA())</f>
        <v/>
      </c>
      <c r="M193">
        <f>IF(ElevCalc!$L$73*(ElevCalc!$L$84&gt;0),((ElevCalc!$L$90)*ElevCalc!$L$91),NA())</f>
        <v/>
      </c>
      <c r="P193" t="inlineStr">
        <is>
          <t>sideR</t>
        </is>
      </c>
      <c r="Q193">
        <f>IF(ElevCalc!$Q$73*(ElevCalc!$Q$84&gt;0),(ElevCalc!$Q$92+(ElevCalc!$Q$88+ElevCalc!$Q$78+ElevCalc!$Q$84)*ElevCalc!$Q$91),NA())</f>
        <v/>
      </c>
      <c r="R193">
        <f>IF(ElevCalc!$Q$73*(ElevCalc!$Q$84&gt;0),((ElevCalc!$Q$90)*ElevCalc!$Q$91),NA())</f>
        <v/>
      </c>
      <c r="U193" t="inlineStr">
        <is>
          <t>sideR</t>
        </is>
      </c>
      <c r="V193">
        <f>IF(ElevCalc!$V$73*(ElevCalc!$V$84&gt;0),(ElevCalc!$V$92+(ElevCalc!$V$88+ElevCalc!$V$78+ElevCalc!$V$84)*ElevCalc!$V$91),NA())</f>
        <v/>
      </c>
      <c r="W193">
        <f>IF(ElevCalc!$V$73*(ElevCalc!$V$84&gt;0),((ElevCalc!$V$90)*ElevCalc!$V$91),NA())</f>
        <v/>
      </c>
      <c r="Z193" t="inlineStr">
        <is>
          <t>sideR</t>
        </is>
      </c>
      <c r="AA193">
        <f>IF(ElevCalc!$AA$73*(ElevCalc!$AA$84&gt;0),(ElevCalc!$AA$92+(ElevCalc!$AA$88+ElevCalc!$AA$78+ElevCalc!$AA$84)*ElevCalc!$AA$91),NA())</f>
        <v/>
      </c>
      <c r="AB193">
        <f>IF(ElevCalc!$AA$73*(ElevCalc!$AA$84&gt;0),((ElevCalc!$AA$90)*ElevCalc!$AA$91),NA())</f>
        <v/>
      </c>
      <c r="AE193" t="inlineStr">
        <is>
          <t>sideR</t>
        </is>
      </c>
      <c r="AF193">
        <f>IF(ElevCalc!$AF$73*(ElevCalc!$AF$84&gt;0),(ElevCalc!$AF$92+(ElevCalc!$AF$88+ElevCalc!$AF$78+ElevCalc!$AF$84)*ElevCalc!$AF$91),NA())</f>
        <v/>
      </c>
      <c r="AG193">
        <f>IF(ElevCalc!$AF$73*(ElevCalc!$AF$84&gt;0),((ElevCalc!$AF$90)*ElevCalc!$AF$91),NA())</f>
        <v/>
      </c>
    </row>
    <row r="194">
      <c r="A194" t="inlineStr">
        <is>
          <t>sideR</t>
        </is>
      </c>
      <c r="B194">
        <f>IF(ElevCalc!$B$73*(ElevCalc!$B$84&gt;0),(ElevCalc!$B$92+(ElevCalc!$B$88+ElevCalc!$B$78+ElevCalc!$B$84)*ElevCalc!$B$91),NA())</f>
        <v/>
      </c>
      <c r="C194">
        <f>IF(ElevCalc!$B$73*(ElevCalc!$B$84&gt;0),((ElevCalc!$B$89)*ElevCalc!$B$91),NA())</f>
        <v/>
      </c>
      <c r="F194" t="inlineStr">
        <is>
          <t>sideR</t>
        </is>
      </c>
      <c r="G194">
        <f>IF(ElevCalc!$G$73*(ElevCalc!$G$84&gt;0),(ElevCalc!$G$92+(ElevCalc!$G$88+ElevCalc!$G$78+ElevCalc!$G$84)*ElevCalc!$G$91),NA())</f>
        <v/>
      </c>
      <c r="H194">
        <f>IF(ElevCalc!$G$73*(ElevCalc!$G$84&gt;0),((ElevCalc!$G$89)*ElevCalc!$G$91),NA())</f>
        <v/>
      </c>
      <c r="K194" t="inlineStr">
        <is>
          <t>sideR</t>
        </is>
      </c>
      <c r="L194">
        <f>IF(ElevCalc!$L$73*(ElevCalc!$L$84&gt;0),(ElevCalc!$L$92+(ElevCalc!$L$88+ElevCalc!$L$78+ElevCalc!$L$84)*ElevCalc!$L$91),NA())</f>
        <v/>
      </c>
      <c r="M194">
        <f>IF(ElevCalc!$L$73*(ElevCalc!$L$84&gt;0),((ElevCalc!$L$89)*ElevCalc!$L$91),NA())</f>
        <v/>
      </c>
      <c r="P194" t="inlineStr">
        <is>
          <t>sideR</t>
        </is>
      </c>
      <c r="Q194">
        <f>IF(ElevCalc!$Q$73*(ElevCalc!$Q$84&gt;0),(ElevCalc!$Q$92+(ElevCalc!$Q$88+ElevCalc!$Q$78+ElevCalc!$Q$84)*ElevCalc!$Q$91),NA())</f>
        <v/>
      </c>
      <c r="R194">
        <f>IF(ElevCalc!$Q$73*(ElevCalc!$Q$84&gt;0),((ElevCalc!$Q$89)*ElevCalc!$Q$91),NA())</f>
        <v/>
      </c>
      <c r="U194" t="inlineStr">
        <is>
          <t>sideR</t>
        </is>
      </c>
      <c r="V194">
        <f>IF(ElevCalc!$V$73*(ElevCalc!$V$84&gt;0),(ElevCalc!$V$92+(ElevCalc!$V$88+ElevCalc!$V$78+ElevCalc!$V$84)*ElevCalc!$V$91),NA())</f>
        <v/>
      </c>
      <c r="W194">
        <f>IF(ElevCalc!$V$73*(ElevCalc!$V$84&gt;0),((ElevCalc!$V$89)*ElevCalc!$V$91),NA())</f>
        <v/>
      </c>
      <c r="Z194" t="inlineStr">
        <is>
          <t>sideR</t>
        </is>
      </c>
      <c r="AA194">
        <f>IF(ElevCalc!$AA$73*(ElevCalc!$AA$84&gt;0),(ElevCalc!$AA$92+(ElevCalc!$AA$88+ElevCalc!$AA$78+ElevCalc!$AA$84)*ElevCalc!$AA$91),NA())</f>
        <v/>
      </c>
      <c r="AB194">
        <f>IF(ElevCalc!$AA$73*(ElevCalc!$AA$84&gt;0),((ElevCalc!$AA$89)*ElevCalc!$AA$91),NA())</f>
        <v/>
      </c>
      <c r="AE194" t="inlineStr">
        <is>
          <t>sideR</t>
        </is>
      </c>
      <c r="AF194">
        <f>IF(ElevCalc!$AF$73*(ElevCalc!$AF$84&gt;0),(ElevCalc!$AF$92+(ElevCalc!$AF$88+ElevCalc!$AF$78+ElevCalc!$AF$84)*ElevCalc!$AF$91),NA())</f>
        <v/>
      </c>
      <c r="AG194">
        <f>IF(ElevCalc!$AF$73*(ElevCalc!$AF$84&gt;0),((ElevCalc!$AF$89)*ElevCalc!$AF$91),NA())</f>
        <v/>
      </c>
    </row>
    <row r="195">
      <c r="A195" t="inlineStr">
        <is>
          <t>sideR</t>
        </is>
      </c>
      <c r="B195">
        <f>IF(ElevCalc!$B$73*(ElevCalc!$B$84&gt;0),(ElevCalc!$B$92+(ElevCalc!$B$88+ElevCalc!$B$78)*ElevCalc!$B$91),NA())</f>
        <v/>
      </c>
      <c r="C195">
        <f>IF(ElevCalc!$B$73*(ElevCalc!$B$84&gt;0),((ElevCalc!$B$89)*ElevCalc!$B$91),NA())</f>
        <v/>
      </c>
      <c r="F195" t="inlineStr">
        <is>
          <t>sideR</t>
        </is>
      </c>
      <c r="G195">
        <f>IF(ElevCalc!$G$73*(ElevCalc!$G$84&gt;0),(ElevCalc!$G$92+(ElevCalc!$G$88+ElevCalc!$G$78)*ElevCalc!$G$91),NA())</f>
        <v/>
      </c>
      <c r="H195">
        <f>IF(ElevCalc!$G$73*(ElevCalc!$G$84&gt;0),((ElevCalc!$G$89)*ElevCalc!$G$91),NA())</f>
        <v/>
      </c>
      <c r="K195" t="inlineStr">
        <is>
          <t>sideR</t>
        </is>
      </c>
      <c r="L195">
        <f>IF(ElevCalc!$L$73*(ElevCalc!$L$84&gt;0),(ElevCalc!$L$92+(ElevCalc!$L$88+ElevCalc!$L$78)*ElevCalc!$L$91),NA())</f>
        <v/>
      </c>
      <c r="M195">
        <f>IF(ElevCalc!$L$73*(ElevCalc!$L$84&gt;0),((ElevCalc!$L$89)*ElevCalc!$L$91),NA())</f>
        <v/>
      </c>
      <c r="P195" t="inlineStr">
        <is>
          <t>sideR</t>
        </is>
      </c>
      <c r="Q195">
        <f>IF(ElevCalc!$Q$73*(ElevCalc!$Q$84&gt;0),(ElevCalc!$Q$92+(ElevCalc!$Q$88+ElevCalc!$Q$78)*ElevCalc!$Q$91),NA())</f>
        <v/>
      </c>
      <c r="R195">
        <f>IF(ElevCalc!$Q$73*(ElevCalc!$Q$84&gt;0),((ElevCalc!$Q$89)*ElevCalc!$Q$91),NA())</f>
        <v/>
      </c>
      <c r="U195" t="inlineStr">
        <is>
          <t>sideR</t>
        </is>
      </c>
      <c r="V195">
        <f>IF(ElevCalc!$V$73*(ElevCalc!$V$84&gt;0),(ElevCalc!$V$92+(ElevCalc!$V$88+ElevCalc!$V$78)*ElevCalc!$V$91),NA())</f>
        <v/>
      </c>
      <c r="W195">
        <f>IF(ElevCalc!$V$73*(ElevCalc!$V$84&gt;0),((ElevCalc!$V$89)*ElevCalc!$V$91),NA())</f>
        <v/>
      </c>
      <c r="Z195" t="inlineStr">
        <is>
          <t>sideR</t>
        </is>
      </c>
      <c r="AA195">
        <f>IF(ElevCalc!$AA$73*(ElevCalc!$AA$84&gt;0),(ElevCalc!$AA$92+(ElevCalc!$AA$88+ElevCalc!$AA$78)*ElevCalc!$AA$91),NA())</f>
        <v/>
      </c>
      <c r="AB195">
        <f>IF(ElevCalc!$AA$73*(ElevCalc!$AA$84&gt;0),((ElevCalc!$AA$89)*ElevCalc!$AA$91),NA())</f>
        <v/>
      </c>
      <c r="AE195" t="inlineStr">
        <is>
          <t>sideR</t>
        </is>
      </c>
      <c r="AF195">
        <f>IF(ElevCalc!$AF$73*(ElevCalc!$AF$84&gt;0),(ElevCalc!$AF$92+(ElevCalc!$AF$88+ElevCalc!$AF$78)*ElevCalc!$AF$91),NA())</f>
        <v/>
      </c>
      <c r="AG195">
        <f>IF(ElevCalc!$AF$73*(ElevCalc!$AF$84&gt;0),((ElevCalc!$AF$89)*ElevCalc!$AF$91),NA())</f>
        <v/>
      </c>
    </row>
    <row r="197">
      <c r="A197" t="inlineStr">
        <is>
          <t>blglass</t>
        </is>
      </c>
      <c r="B197">
        <f>IF(ElevCalc!$B$73*(ElevCalc!$B$4="BL"),(ElevCalc!$B$92+(ElevCalc!$B$87+0.75)*ElevCalc!$B$91),NA())</f>
        <v/>
      </c>
      <c r="C197">
        <f>IF(ElevCalc!$B$73*(ElevCalc!$B$4="BL"),((ElevCalc!$B$89+0.75)*ElevCalc!$B$91),NA())</f>
        <v/>
      </c>
      <c r="F197" t="inlineStr">
        <is>
          <t>blglass</t>
        </is>
      </c>
      <c r="G197">
        <f>IF(ElevCalc!$G$73*(ElevCalc!$G$4="BL"),(ElevCalc!$G$92+(ElevCalc!$G$87+0.75)*ElevCalc!$G$91),NA())</f>
        <v/>
      </c>
      <c r="H197">
        <f>IF(ElevCalc!$G$73*(ElevCalc!$G$4="BL"),((ElevCalc!$G$89+0.75)*ElevCalc!$G$91),NA())</f>
        <v/>
      </c>
      <c r="K197" t="inlineStr">
        <is>
          <t>blglass</t>
        </is>
      </c>
      <c r="L197">
        <f>IF(ElevCalc!$L$73*(ElevCalc!$L$4="BL"),(ElevCalc!$L$92+(ElevCalc!$L$87+0.75)*ElevCalc!$L$91),NA())</f>
        <v/>
      </c>
      <c r="M197">
        <f>IF(ElevCalc!$L$73*(ElevCalc!$L$4="BL"),((ElevCalc!$L$89+0.75)*ElevCalc!$L$91),NA())</f>
        <v/>
      </c>
      <c r="P197" t="inlineStr">
        <is>
          <t>blglass</t>
        </is>
      </c>
      <c r="Q197">
        <f>IF(ElevCalc!$Q$73*(ElevCalc!$Q$4="BL"),(ElevCalc!$Q$92+(ElevCalc!$Q$87+0.75)*ElevCalc!$Q$91),NA())</f>
        <v/>
      </c>
      <c r="R197">
        <f>IF(ElevCalc!$Q$73*(ElevCalc!$Q$4="BL"),((ElevCalc!$Q$89+0.75)*ElevCalc!$Q$91),NA())</f>
        <v/>
      </c>
      <c r="U197" t="inlineStr">
        <is>
          <t>blglass</t>
        </is>
      </c>
      <c r="V197">
        <f>IF(ElevCalc!$V$73*(ElevCalc!$V$4="BL"),(ElevCalc!$V$92+(ElevCalc!$V$87+0.75)*ElevCalc!$V$91),NA())</f>
        <v/>
      </c>
      <c r="W197">
        <f>IF(ElevCalc!$V$73*(ElevCalc!$V$4="BL"),((ElevCalc!$V$89+0.75)*ElevCalc!$V$91),NA())</f>
        <v/>
      </c>
      <c r="Z197" t="inlineStr">
        <is>
          <t>blglass</t>
        </is>
      </c>
      <c r="AA197">
        <f>IF(ElevCalc!$AA$73*(ElevCalc!$AA$4="BL"),(ElevCalc!$AA$92+(ElevCalc!$AA$87+0.75)*ElevCalc!$AA$91),NA())</f>
        <v/>
      </c>
      <c r="AB197">
        <f>IF(ElevCalc!$AA$73*(ElevCalc!$AA$4="BL"),((ElevCalc!$AA$89+0.75)*ElevCalc!$AA$91),NA())</f>
        <v/>
      </c>
      <c r="AE197" t="inlineStr">
        <is>
          <t>blglass</t>
        </is>
      </c>
      <c r="AF197">
        <f>IF(ElevCalc!$AF$73*(ElevCalc!$AF$4="BL"),(ElevCalc!$AF$92+(ElevCalc!$AF$87+0.75)*ElevCalc!$AF$91),NA())</f>
        <v/>
      </c>
      <c r="AG197">
        <f>IF(ElevCalc!$AF$73*(ElevCalc!$AF$4="BL"),((ElevCalc!$AF$89+0.75)*ElevCalc!$AF$91),NA())</f>
        <v/>
      </c>
    </row>
    <row r="198">
      <c r="A198" t="inlineStr">
        <is>
          <t>blglass</t>
        </is>
      </c>
      <c r="B198">
        <f>IF(ElevCalc!$B$73*(ElevCalc!$B$4="BL"),(ElevCalc!$B$92+(ElevCalc!$B$87+0.75)*ElevCalc!$B$91),NA())</f>
        <v/>
      </c>
      <c r="C198">
        <f>IF(ElevCalc!$B$73*(ElevCalc!$B$4="BL"),((ElevCalc!$B$90-0.75)*ElevCalc!$B$91),NA())</f>
        <v/>
      </c>
      <c r="F198" t="inlineStr">
        <is>
          <t>blglass</t>
        </is>
      </c>
      <c r="G198">
        <f>IF(ElevCalc!$G$73*(ElevCalc!$G$4="BL"),(ElevCalc!$G$92+(ElevCalc!$G$87+0.75)*ElevCalc!$G$91),NA())</f>
        <v/>
      </c>
      <c r="H198">
        <f>IF(ElevCalc!$G$73*(ElevCalc!$G$4="BL"),((ElevCalc!$G$90-0.75)*ElevCalc!$G$91),NA())</f>
        <v/>
      </c>
      <c r="K198" t="inlineStr">
        <is>
          <t>blglass</t>
        </is>
      </c>
      <c r="L198">
        <f>IF(ElevCalc!$L$73*(ElevCalc!$L$4="BL"),(ElevCalc!$L$92+(ElevCalc!$L$87+0.75)*ElevCalc!$L$91),NA())</f>
        <v/>
      </c>
      <c r="M198">
        <f>IF(ElevCalc!$L$73*(ElevCalc!$L$4="BL"),((ElevCalc!$L$90-0.75)*ElevCalc!$L$91),NA())</f>
        <v/>
      </c>
      <c r="P198" t="inlineStr">
        <is>
          <t>blglass</t>
        </is>
      </c>
      <c r="Q198">
        <f>IF(ElevCalc!$Q$73*(ElevCalc!$Q$4="BL"),(ElevCalc!$Q$92+(ElevCalc!$Q$87+0.75)*ElevCalc!$Q$91),NA())</f>
        <v/>
      </c>
      <c r="R198">
        <f>IF(ElevCalc!$Q$73*(ElevCalc!$Q$4="BL"),((ElevCalc!$Q$90-0.75)*ElevCalc!$Q$91),NA())</f>
        <v/>
      </c>
      <c r="U198" t="inlineStr">
        <is>
          <t>blglass</t>
        </is>
      </c>
      <c r="V198">
        <f>IF(ElevCalc!$V$73*(ElevCalc!$V$4="BL"),(ElevCalc!$V$92+(ElevCalc!$V$87+0.75)*ElevCalc!$V$91),NA())</f>
        <v/>
      </c>
      <c r="W198">
        <f>IF(ElevCalc!$V$73*(ElevCalc!$V$4="BL"),((ElevCalc!$V$90-0.75)*ElevCalc!$V$91),NA())</f>
        <v/>
      </c>
      <c r="Z198" t="inlineStr">
        <is>
          <t>blglass</t>
        </is>
      </c>
      <c r="AA198">
        <f>IF(ElevCalc!$AA$73*(ElevCalc!$AA$4="BL"),(ElevCalc!$AA$92+(ElevCalc!$AA$87+0.75)*ElevCalc!$AA$91),NA())</f>
        <v/>
      </c>
      <c r="AB198">
        <f>IF(ElevCalc!$AA$73*(ElevCalc!$AA$4="BL"),((ElevCalc!$AA$90-0.75)*ElevCalc!$AA$91),NA())</f>
        <v/>
      </c>
      <c r="AE198" t="inlineStr">
        <is>
          <t>blglass</t>
        </is>
      </c>
      <c r="AF198">
        <f>IF(ElevCalc!$AF$73*(ElevCalc!$AF$4="BL"),(ElevCalc!$AF$92+(ElevCalc!$AF$87+0.75)*ElevCalc!$AF$91),NA())</f>
        <v/>
      </c>
      <c r="AG198">
        <f>IF(ElevCalc!$AF$73*(ElevCalc!$AF$4="BL"),((ElevCalc!$AF$90-0.75)*ElevCalc!$AF$91),NA())</f>
        <v/>
      </c>
    </row>
    <row r="199">
      <c r="A199" t="inlineStr">
        <is>
          <t>blglass</t>
        </is>
      </c>
      <c r="B199">
        <f>IF(ElevCalc!$B$73*(ElevCalc!$B$4="BL"),(ElevCalc!$B$92+(ElevCalc!$B$88-0.75)*ElevCalc!$B$91),NA())</f>
        <v/>
      </c>
      <c r="C199">
        <f>IF(ElevCalc!$B$73*(ElevCalc!$B$4="BL"),((ElevCalc!$B$90-0.75)*ElevCalc!$B$91),NA())</f>
        <v/>
      </c>
      <c r="F199" t="inlineStr">
        <is>
          <t>blglass</t>
        </is>
      </c>
      <c r="G199">
        <f>IF(ElevCalc!$G$73*(ElevCalc!$G$4="BL"),(ElevCalc!$G$92+(ElevCalc!$G$88-0.75)*ElevCalc!$G$91),NA())</f>
        <v/>
      </c>
      <c r="H199">
        <f>IF(ElevCalc!$G$73*(ElevCalc!$G$4="BL"),((ElevCalc!$G$90-0.75)*ElevCalc!$G$91),NA())</f>
        <v/>
      </c>
      <c r="K199" t="inlineStr">
        <is>
          <t>blglass</t>
        </is>
      </c>
      <c r="L199">
        <f>IF(ElevCalc!$L$73*(ElevCalc!$L$4="BL"),(ElevCalc!$L$92+(ElevCalc!$L$88-0.75)*ElevCalc!$L$91),NA())</f>
        <v/>
      </c>
      <c r="M199">
        <f>IF(ElevCalc!$L$73*(ElevCalc!$L$4="BL"),((ElevCalc!$L$90-0.75)*ElevCalc!$L$91),NA())</f>
        <v/>
      </c>
      <c r="P199" t="inlineStr">
        <is>
          <t>blglass</t>
        </is>
      </c>
      <c r="Q199">
        <f>IF(ElevCalc!$Q$73*(ElevCalc!$Q$4="BL"),(ElevCalc!$Q$92+(ElevCalc!$Q$88-0.75)*ElevCalc!$Q$91),NA())</f>
        <v/>
      </c>
      <c r="R199">
        <f>IF(ElevCalc!$Q$73*(ElevCalc!$Q$4="BL"),((ElevCalc!$Q$90-0.75)*ElevCalc!$Q$91),NA())</f>
        <v/>
      </c>
      <c r="U199" t="inlineStr">
        <is>
          <t>blglass</t>
        </is>
      </c>
      <c r="V199">
        <f>IF(ElevCalc!$V$73*(ElevCalc!$V$4="BL"),(ElevCalc!$V$92+(ElevCalc!$V$88-0.75)*ElevCalc!$V$91),NA())</f>
        <v/>
      </c>
      <c r="W199">
        <f>IF(ElevCalc!$V$73*(ElevCalc!$V$4="BL"),((ElevCalc!$V$90-0.75)*ElevCalc!$V$91),NA())</f>
        <v/>
      </c>
      <c r="Z199" t="inlineStr">
        <is>
          <t>blglass</t>
        </is>
      </c>
      <c r="AA199">
        <f>IF(ElevCalc!$AA$73*(ElevCalc!$AA$4="BL"),(ElevCalc!$AA$92+(ElevCalc!$AA$88-0.75)*ElevCalc!$AA$91),NA())</f>
        <v/>
      </c>
      <c r="AB199">
        <f>IF(ElevCalc!$AA$73*(ElevCalc!$AA$4="BL"),((ElevCalc!$AA$90-0.75)*ElevCalc!$AA$91),NA())</f>
        <v/>
      </c>
      <c r="AE199" t="inlineStr">
        <is>
          <t>blglass</t>
        </is>
      </c>
      <c r="AF199">
        <f>IF(ElevCalc!$AF$73*(ElevCalc!$AF$4="BL"),(ElevCalc!$AF$92+(ElevCalc!$AF$88-0.75)*ElevCalc!$AF$91),NA())</f>
        <v/>
      </c>
      <c r="AG199">
        <f>IF(ElevCalc!$AF$73*(ElevCalc!$AF$4="BL"),((ElevCalc!$AF$90-0.75)*ElevCalc!$AF$91),NA())</f>
        <v/>
      </c>
    </row>
    <row r="200">
      <c r="A200" t="inlineStr">
        <is>
          <t>blglass</t>
        </is>
      </c>
      <c r="B200">
        <f>IF(ElevCalc!$B$73*(ElevCalc!$B$4="BL"),(ElevCalc!$B$92+(ElevCalc!$B$88-0.75)*ElevCalc!$B$91),NA())</f>
        <v/>
      </c>
      <c r="C200">
        <f>IF(ElevCalc!$B$73*(ElevCalc!$B$4="BL"),((ElevCalc!$B$89+0.75)*ElevCalc!$B$91),NA())</f>
        <v/>
      </c>
      <c r="F200" t="inlineStr">
        <is>
          <t>blglass</t>
        </is>
      </c>
      <c r="G200">
        <f>IF(ElevCalc!$G$73*(ElevCalc!$G$4="BL"),(ElevCalc!$G$92+(ElevCalc!$G$88-0.75)*ElevCalc!$G$91),NA())</f>
        <v/>
      </c>
      <c r="H200">
        <f>IF(ElevCalc!$G$73*(ElevCalc!$G$4="BL"),((ElevCalc!$G$89+0.75)*ElevCalc!$G$91),NA())</f>
        <v/>
      </c>
      <c r="K200" t="inlineStr">
        <is>
          <t>blglass</t>
        </is>
      </c>
      <c r="L200">
        <f>IF(ElevCalc!$L$73*(ElevCalc!$L$4="BL"),(ElevCalc!$L$92+(ElevCalc!$L$88-0.75)*ElevCalc!$L$91),NA())</f>
        <v/>
      </c>
      <c r="M200">
        <f>IF(ElevCalc!$L$73*(ElevCalc!$L$4="BL"),((ElevCalc!$L$89+0.75)*ElevCalc!$L$91),NA())</f>
        <v/>
      </c>
      <c r="P200" t="inlineStr">
        <is>
          <t>blglass</t>
        </is>
      </c>
      <c r="Q200">
        <f>IF(ElevCalc!$Q$73*(ElevCalc!$Q$4="BL"),(ElevCalc!$Q$92+(ElevCalc!$Q$88-0.75)*ElevCalc!$Q$91),NA())</f>
        <v/>
      </c>
      <c r="R200">
        <f>IF(ElevCalc!$Q$73*(ElevCalc!$Q$4="BL"),((ElevCalc!$Q$89+0.75)*ElevCalc!$Q$91),NA())</f>
        <v/>
      </c>
      <c r="U200" t="inlineStr">
        <is>
          <t>blglass</t>
        </is>
      </c>
      <c r="V200">
        <f>IF(ElevCalc!$V$73*(ElevCalc!$V$4="BL"),(ElevCalc!$V$92+(ElevCalc!$V$88-0.75)*ElevCalc!$V$91),NA())</f>
        <v/>
      </c>
      <c r="W200">
        <f>IF(ElevCalc!$V$73*(ElevCalc!$V$4="BL"),((ElevCalc!$V$89+0.75)*ElevCalc!$V$91),NA())</f>
        <v/>
      </c>
      <c r="Z200" t="inlineStr">
        <is>
          <t>blglass</t>
        </is>
      </c>
      <c r="AA200">
        <f>IF(ElevCalc!$AA$73*(ElevCalc!$AA$4="BL"),(ElevCalc!$AA$92+(ElevCalc!$AA$88-0.75)*ElevCalc!$AA$91),NA())</f>
        <v/>
      </c>
      <c r="AB200">
        <f>IF(ElevCalc!$AA$73*(ElevCalc!$AA$4="BL"),((ElevCalc!$AA$89+0.75)*ElevCalc!$AA$91),NA())</f>
        <v/>
      </c>
      <c r="AE200" t="inlineStr">
        <is>
          <t>blglass</t>
        </is>
      </c>
      <c r="AF200">
        <f>IF(ElevCalc!$AF$73*(ElevCalc!$AF$4="BL"),(ElevCalc!$AF$92+(ElevCalc!$AF$88-0.75)*ElevCalc!$AF$91),NA())</f>
        <v/>
      </c>
      <c r="AG200">
        <f>IF(ElevCalc!$AF$73*(ElevCalc!$AF$4="BL"),((ElevCalc!$AF$89+0.75)*ElevCalc!$AF$91),NA())</f>
        <v/>
      </c>
    </row>
    <row r="201">
      <c r="A201" t="inlineStr">
        <is>
          <t>blglass</t>
        </is>
      </c>
      <c r="B201">
        <f>IF(ElevCalc!$B$73*(ElevCalc!$B$4="BL"),(ElevCalc!$B$92+(ElevCalc!$B$87+0.75)*ElevCalc!$B$91),NA())</f>
        <v/>
      </c>
      <c r="C201">
        <f>IF(ElevCalc!$B$73*(ElevCalc!$B$4="BL"),((ElevCalc!$B$89+0.75)*ElevCalc!$B$91),NA())</f>
        <v/>
      </c>
      <c r="F201" t="inlineStr">
        <is>
          <t>blglass</t>
        </is>
      </c>
      <c r="G201">
        <f>IF(ElevCalc!$G$73*(ElevCalc!$G$4="BL"),(ElevCalc!$G$92+(ElevCalc!$G$87+0.75)*ElevCalc!$G$91),NA())</f>
        <v/>
      </c>
      <c r="H201">
        <f>IF(ElevCalc!$G$73*(ElevCalc!$G$4="BL"),((ElevCalc!$G$89+0.75)*ElevCalc!$G$91),NA())</f>
        <v/>
      </c>
      <c r="K201" t="inlineStr">
        <is>
          <t>blglass</t>
        </is>
      </c>
      <c r="L201">
        <f>IF(ElevCalc!$L$73*(ElevCalc!$L$4="BL"),(ElevCalc!$L$92+(ElevCalc!$L$87+0.75)*ElevCalc!$L$91),NA())</f>
        <v/>
      </c>
      <c r="M201">
        <f>IF(ElevCalc!$L$73*(ElevCalc!$L$4="BL"),((ElevCalc!$L$89+0.75)*ElevCalc!$L$91),NA())</f>
        <v/>
      </c>
      <c r="P201" t="inlineStr">
        <is>
          <t>blglass</t>
        </is>
      </c>
      <c r="Q201">
        <f>IF(ElevCalc!$Q$73*(ElevCalc!$Q$4="BL"),(ElevCalc!$Q$92+(ElevCalc!$Q$87+0.75)*ElevCalc!$Q$91),NA())</f>
        <v/>
      </c>
      <c r="R201">
        <f>IF(ElevCalc!$Q$73*(ElevCalc!$Q$4="BL"),((ElevCalc!$Q$89+0.75)*ElevCalc!$Q$91),NA())</f>
        <v/>
      </c>
      <c r="U201" t="inlineStr">
        <is>
          <t>blglass</t>
        </is>
      </c>
      <c r="V201">
        <f>IF(ElevCalc!$V$73*(ElevCalc!$V$4="BL"),(ElevCalc!$V$92+(ElevCalc!$V$87+0.75)*ElevCalc!$V$91),NA())</f>
        <v/>
      </c>
      <c r="W201">
        <f>IF(ElevCalc!$V$73*(ElevCalc!$V$4="BL"),((ElevCalc!$V$89+0.75)*ElevCalc!$V$91),NA())</f>
        <v/>
      </c>
      <c r="Z201" t="inlineStr">
        <is>
          <t>blglass</t>
        </is>
      </c>
      <c r="AA201">
        <f>IF(ElevCalc!$AA$73*(ElevCalc!$AA$4="BL"),(ElevCalc!$AA$92+(ElevCalc!$AA$87+0.75)*ElevCalc!$AA$91),NA())</f>
        <v/>
      </c>
      <c r="AB201">
        <f>IF(ElevCalc!$AA$73*(ElevCalc!$AA$4="BL"),((ElevCalc!$AA$89+0.75)*ElevCalc!$AA$91),NA())</f>
        <v/>
      </c>
      <c r="AE201" t="inlineStr">
        <is>
          <t>blglass</t>
        </is>
      </c>
      <c r="AF201">
        <f>IF(ElevCalc!$AF$73*(ElevCalc!$AF$4="BL"),(ElevCalc!$AF$92+(ElevCalc!$AF$87+0.75)*ElevCalc!$AF$91),NA())</f>
        <v/>
      </c>
      <c r="AG201">
        <f>IF(ElevCalc!$AF$73*(ElevCalc!$AF$4="BL"),((ElevCalc!$AF$89+0.75)*ElevCalc!$AF$91),NA())</f>
        <v/>
      </c>
    </row>
    <row r="203">
      <c r="A203" t="inlineStr">
        <is>
          <t>leaf1</t>
        </is>
      </c>
      <c r="B203">
        <f>IF(ElevCalc!$B$73*(ElevCalc!$B$93&gt;=1),(ElevCalc!$B$92+(ElevCalc!$B$101)*ElevCalc!$B$91),NA())</f>
        <v/>
      </c>
      <c r="C203">
        <f>IF(ElevCalc!$B$73*(ElevCalc!$B$93&gt;=1),((ElevCalc!$B$97)*ElevCalc!$B$91),NA())</f>
        <v/>
      </c>
      <c r="F203" t="inlineStr">
        <is>
          <t>leaf1</t>
        </is>
      </c>
      <c r="G203">
        <f>IF(ElevCalc!$G$73*(ElevCalc!$G$93&gt;=1),(ElevCalc!$G$92+(ElevCalc!$G$101)*ElevCalc!$G$91),NA())</f>
        <v/>
      </c>
      <c r="H203">
        <f>IF(ElevCalc!$G$73*(ElevCalc!$G$93&gt;=1),((ElevCalc!$G$97)*ElevCalc!$G$91),NA())</f>
        <v/>
      </c>
      <c r="K203" t="inlineStr">
        <is>
          <t>leaf1</t>
        </is>
      </c>
      <c r="L203">
        <f>IF(ElevCalc!$L$73*(ElevCalc!$L$93&gt;=1),(ElevCalc!$L$92+(ElevCalc!$L$101)*ElevCalc!$L$91),NA())</f>
        <v/>
      </c>
      <c r="M203">
        <f>IF(ElevCalc!$L$73*(ElevCalc!$L$93&gt;=1),((ElevCalc!$L$97)*ElevCalc!$L$91),NA())</f>
        <v/>
      </c>
      <c r="P203" t="inlineStr">
        <is>
          <t>leaf1</t>
        </is>
      </c>
      <c r="Q203">
        <f>IF(ElevCalc!$Q$73*(ElevCalc!$Q$93&gt;=1),(ElevCalc!$Q$92+(ElevCalc!$Q$101)*ElevCalc!$Q$91),NA())</f>
        <v/>
      </c>
      <c r="R203">
        <f>IF(ElevCalc!$Q$73*(ElevCalc!$Q$93&gt;=1),((ElevCalc!$Q$97)*ElevCalc!$Q$91),NA())</f>
        <v/>
      </c>
      <c r="U203" t="inlineStr">
        <is>
          <t>leaf1</t>
        </is>
      </c>
      <c r="V203">
        <f>IF(ElevCalc!$V$73*(ElevCalc!$V$93&gt;=1),(ElevCalc!$V$92+(ElevCalc!$V$101)*ElevCalc!$V$91),NA())</f>
        <v/>
      </c>
      <c r="W203">
        <f>IF(ElevCalc!$V$73*(ElevCalc!$V$93&gt;=1),((ElevCalc!$V$97)*ElevCalc!$V$91),NA())</f>
        <v/>
      </c>
      <c r="Z203" t="inlineStr">
        <is>
          <t>leaf1</t>
        </is>
      </c>
      <c r="AA203">
        <f>IF(ElevCalc!$AA$73*(ElevCalc!$AA$93&gt;=1),(ElevCalc!$AA$92+(ElevCalc!$AA$101)*ElevCalc!$AA$91),NA())</f>
        <v/>
      </c>
      <c r="AB203">
        <f>IF(ElevCalc!$AA$73*(ElevCalc!$AA$93&gt;=1),((ElevCalc!$AA$97)*ElevCalc!$AA$91),NA())</f>
        <v/>
      </c>
      <c r="AE203" t="inlineStr">
        <is>
          <t>leaf1</t>
        </is>
      </c>
      <c r="AF203">
        <f>IF(ElevCalc!$AF$73*(ElevCalc!$AF$93&gt;=1),(ElevCalc!$AF$92+(ElevCalc!$AF$101)*ElevCalc!$AF$91),NA())</f>
        <v/>
      </c>
      <c r="AG203">
        <f>IF(ElevCalc!$AF$73*(ElevCalc!$AF$93&gt;=1),((ElevCalc!$AF$97)*ElevCalc!$AF$91),NA())</f>
        <v/>
      </c>
    </row>
    <row r="204">
      <c r="A204" t="inlineStr">
        <is>
          <t>leaf1</t>
        </is>
      </c>
      <c r="B204">
        <f>IF(ElevCalc!$B$73*(ElevCalc!$B$93&gt;=1),(ElevCalc!$B$92+(ElevCalc!$B$101)*ElevCalc!$B$91),NA())</f>
        <v/>
      </c>
      <c r="C204">
        <f>IF(ElevCalc!$B$73*(ElevCalc!$B$93&gt;=1),((ElevCalc!$B$98)*ElevCalc!$B$91),NA())</f>
        <v/>
      </c>
      <c r="F204" t="inlineStr">
        <is>
          <t>leaf1</t>
        </is>
      </c>
      <c r="G204">
        <f>IF(ElevCalc!$G$73*(ElevCalc!$G$93&gt;=1),(ElevCalc!$G$92+(ElevCalc!$G$101)*ElevCalc!$G$91),NA())</f>
        <v/>
      </c>
      <c r="H204">
        <f>IF(ElevCalc!$G$73*(ElevCalc!$G$93&gt;=1),((ElevCalc!$G$98)*ElevCalc!$G$91),NA())</f>
        <v/>
      </c>
      <c r="K204" t="inlineStr">
        <is>
          <t>leaf1</t>
        </is>
      </c>
      <c r="L204">
        <f>IF(ElevCalc!$L$73*(ElevCalc!$L$93&gt;=1),(ElevCalc!$L$92+(ElevCalc!$L$101)*ElevCalc!$L$91),NA())</f>
        <v/>
      </c>
      <c r="M204">
        <f>IF(ElevCalc!$L$73*(ElevCalc!$L$93&gt;=1),((ElevCalc!$L$98)*ElevCalc!$L$91),NA())</f>
        <v/>
      </c>
      <c r="P204" t="inlineStr">
        <is>
          <t>leaf1</t>
        </is>
      </c>
      <c r="Q204">
        <f>IF(ElevCalc!$Q$73*(ElevCalc!$Q$93&gt;=1),(ElevCalc!$Q$92+(ElevCalc!$Q$101)*ElevCalc!$Q$91),NA())</f>
        <v/>
      </c>
      <c r="R204">
        <f>IF(ElevCalc!$Q$73*(ElevCalc!$Q$93&gt;=1),((ElevCalc!$Q$98)*ElevCalc!$Q$91),NA())</f>
        <v/>
      </c>
      <c r="U204" t="inlineStr">
        <is>
          <t>leaf1</t>
        </is>
      </c>
      <c r="V204">
        <f>IF(ElevCalc!$V$73*(ElevCalc!$V$93&gt;=1),(ElevCalc!$V$92+(ElevCalc!$V$101)*ElevCalc!$V$91),NA())</f>
        <v/>
      </c>
      <c r="W204">
        <f>IF(ElevCalc!$V$73*(ElevCalc!$V$93&gt;=1),((ElevCalc!$V$98)*ElevCalc!$V$91),NA())</f>
        <v/>
      </c>
      <c r="Z204" t="inlineStr">
        <is>
          <t>leaf1</t>
        </is>
      </c>
      <c r="AA204">
        <f>IF(ElevCalc!$AA$73*(ElevCalc!$AA$93&gt;=1),(ElevCalc!$AA$92+(ElevCalc!$AA$101)*ElevCalc!$AA$91),NA())</f>
        <v/>
      </c>
      <c r="AB204">
        <f>IF(ElevCalc!$AA$73*(ElevCalc!$AA$93&gt;=1),((ElevCalc!$AA$98)*ElevCalc!$AA$91),NA())</f>
        <v/>
      </c>
      <c r="AE204" t="inlineStr">
        <is>
          <t>leaf1</t>
        </is>
      </c>
      <c r="AF204">
        <f>IF(ElevCalc!$AF$73*(ElevCalc!$AF$93&gt;=1),(ElevCalc!$AF$92+(ElevCalc!$AF$101)*ElevCalc!$AF$91),NA())</f>
        <v/>
      </c>
      <c r="AG204">
        <f>IF(ElevCalc!$AF$73*(ElevCalc!$AF$93&gt;=1),((ElevCalc!$AF$98)*ElevCalc!$AF$91),NA())</f>
        <v/>
      </c>
    </row>
    <row r="205">
      <c r="A205" t="inlineStr">
        <is>
          <t>leaf1</t>
        </is>
      </c>
      <c r="B205">
        <f>IF(ElevCalc!$B$73*(ElevCalc!$B$93&gt;=1),(ElevCalc!$B$92+(ElevCalc!$B$102)*ElevCalc!$B$91),NA())</f>
        <v/>
      </c>
      <c r="C205">
        <f>IF(ElevCalc!$B$73*(ElevCalc!$B$93&gt;=1),((ElevCalc!$B$98)*ElevCalc!$B$91),NA())</f>
        <v/>
      </c>
      <c r="F205" t="inlineStr">
        <is>
          <t>leaf1</t>
        </is>
      </c>
      <c r="G205">
        <f>IF(ElevCalc!$G$73*(ElevCalc!$G$93&gt;=1),(ElevCalc!$G$92+(ElevCalc!$G$102)*ElevCalc!$G$91),NA())</f>
        <v/>
      </c>
      <c r="H205">
        <f>IF(ElevCalc!$G$73*(ElevCalc!$G$93&gt;=1),((ElevCalc!$G$98)*ElevCalc!$G$91),NA())</f>
        <v/>
      </c>
      <c r="K205" t="inlineStr">
        <is>
          <t>leaf1</t>
        </is>
      </c>
      <c r="L205">
        <f>IF(ElevCalc!$L$73*(ElevCalc!$L$93&gt;=1),(ElevCalc!$L$92+(ElevCalc!$L$102)*ElevCalc!$L$91),NA())</f>
        <v/>
      </c>
      <c r="M205">
        <f>IF(ElevCalc!$L$73*(ElevCalc!$L$93&gt;=1),((ElevCalc!$L$98)*ElevCalc!$L$91),NA())</f>
        <v/>
      </c>
      <c r="P205" t="inlineStr">
        <is>
          <t>leaf1</t>
        </is>
      </c>
      <c r="Q205">
        <f>IF(ElevCalc!$Q$73*(ElevCalc!$Q$93&gt;=1),(ElevCalc!$Q$92+(ElevCalc!$Q$102)*ElevCalc!$Q$91),NA())</f>
        <v/>
      </c>
      <c r="R205">
        <f>IF(ElevCalc!$Q$73*(ElevCalc!$Q$93&gt;=1),((ElevCalc!$Q$98)*ElevCalc!$Q$91),NA())</f>
        <v/>
      </c>
      <c r="U205" t="inlineStr">
        <is>
          <t>leaf1</t>
        </is>
      </c>
      <c r="V205">
        <f>IF(ElevCalc!$V$73*(ElevCalc!$V$93&gt;=1),(ElevCalc!$V$92+(ElevCalc!$V$102)*ElevCalc!$V$91),NA())</f>
        <v/>
      </c>
      <c r="W205">
        <f>IF(ElevCalc!$V$73*(ElevCalc!$V$93&gt;=1),((ElevCalc!$V$98)*ElevCalc!$V$91),NA())</f>
        <v/>
      </c>
      <c r="Z205" t="inlineStr">
        <is>
          <t>leaf1</t>
        </is>
      </c>
      <c r="AA205">
        <f>IF(ElevCalc!$AA$73*(ElevCalc!$AA$93&gt;=1),(ElevCalc!$AA$92+(ElevCalc!$AA$102)*ElevCalc!$AA$91),NA())</f>
        <v/>
      </c>
      <c r="AB205">
        <f>IF(ElevCalc!$AA$73*(ElevCalc!$AA$93&gt;=1),((ElevCalc!$AA$98)*ElevCalc!$AA$91),NA())</f>
        <v/>
      </c>
      <c r="AE205" t="inlineStr">
        <is>
          <t>leaf1</t>
        </is>
      </c>
      <c r="AF205">
        <f>IF(ElevCalc!$AF$73*(ElevCalc!$AF$93&gt;=1),(ElevCalc!$AF$92+(ElevCalc!$AF$102)*ElevCalc!$AF$91),NA())</f>
        <v/>
      </c>
      <c r="AG205">
        <f>IF(ElevCalc!$AF$73*(ElevCalc!$AF$93&gt;=1),((ElevCalc!$AF$98)*ElevCalc!$AF$91),NA())</f>
        <v/>
      </c>
    </row>
    <row r="206">
      <c r="A206" t="inlineStr">
        <is>
          <t>leaf1</t>
        </is>
      </c>
      <c r="B206">
        <f>IF(ElevCalc!$B$73*(ElevCalc!$B$93&gt;=1),(ElevCalc!$B$92+(ElevCalc!$B$102)*ElevCalc!$B$91),NA())</f>
        <v/>
      </c>
      <c r="C206">
        <f>IF(ElevCalc!$B$73*(ElevCalc!$B$93&gt;=1),((ElevCalc!$B$97)*ElevCalc!$B$91),NA())</f>
        <v/>
      </c>
      <c r="F206" t="inlineStr">
        <is>
          <t>leaf1</t>
        </is>
      </c>
      <c r="G206">
        <f>IF(ElevCalc!$G$73*(ElevCalc!$G$93&gt;=1),(ElevCalc!$G$92+(ElevCalc!$G$102)*ElevCalc!$G$91),NA())</f>
        <v/>
      </c>
      <c r="H206">
        <f>IF(ElevCalc!$G$73*(ElevCalc!$G$93&gt;=1),((ElevCalc!$G$97)*ElevCalc!$G$91),NA())</f>
        <v/>
      </c>
      <c r="K206" t="inlineStr">
        <is>
          <t>leaf1</t>
        </is>
      </c>
      <c r="L206">
        <f>IF(ElevCalc!$L$73*(ElevCalc!$L$93&gt;=1),(ElevCalc!$L$92+(ElevCalc!$L$102)*ElevCalc!$L$91),NA())</f>
        <v/>
      </c>
      <c r="M206">
        <f>IF(ElevCalc!$L$73*(ElevCalc!$L$93&gt;=1),((ElevCalc!$L$97)*ElevCalc!$L$91),NA())</f>
        <v/>
      </c>
      <c r="P206" t="inlineStr">
        <is>
          <t>leaf1</t>
        </is>
      </c>
      <c r="Q206">
        <f>IF(ElevCalc!$Q$73*(ElevCalc!$Q$93&gt;=1),(ElevCalc!$Q$92+(ElevCalc!$Q$102)*ElevCalc!$Q$91),NA())</f>
        <v/>
      </c>
      <c r="R206">
        <f>IF(ElevCalc!$Q$73*(ElevCalc!$Q$93&gt;=1),((ElevCalc!$Q$97)*ElevCalc!$Q$91),NA())</f>
        <v/>
      </c>
      <c r="U206" t="inlineStr">
        <is>
          <t>leaf1</t>
        </is>
      </c>
      <c r="V206">
        <f>IF(ElevCalc!$V$73*(ElevCalc!$V$93&gt;=1),(ElevCalc!$V$92+(ElevCalc!$V$102)*ElevCalc!$V$91),NA())</f>
        <v/>
      </c>
      <c r="W206">
        <f>IF(ElevCalc!$V$73*(ElevCalc!$V$93&gt;=1),((ElevCalc!$V$97)*ElevCalc!$V$91),NA())</f>
        <v/>
      </c>
      <c r="Z206" t="inlineStr">
        <is>
          <t>leaf1</t>
        </is>
      </c>
      <c r="AA206">
        <f>IF(ElevCalc!$AA$73*(ElevCalc!$AA$93&gt;=1),(ElevCalc!$AA$92+(ElevCalc!$AA$102)*ElevCalc!$AA$91),NA())</f>
        <v/>
      </c>
      <c r="AB206">
        <f>IF(ElevCalc!$AA$73*(ElevCalc!$AA$93&gt;=1),((ElevCalc!$AA$97)*ElevCalc!$AA$91),NA())</f>
        <v/>
      </c>
      <c r="AE206" t="inlineStr">
        <is>
          <t>leaf1</t>
        </is>
      </c>
      <c r="AF206">
        <f>IF(ElevCalc!$AF$73*(ElevCalc!$AF$93&gt;=1),(ElevCalc!$AF$92+(ElevCalc!$AF$102)*ElevCalc!$AF$91),NA())</f>
        <v/>
      </c>
      <c r="AG206">
        <f>IF(ElevCalc!$AF$73*(ElevCalc!$AF$93&gt;=1),((ElevCalc!$AF$97)*ElevCalc!$AF$91),NA())</f>
        <v/>
      </c>
    </row>
    <row r="207">
      <c r="A207" t="inlineStr">
        <is>
          <t>leaf1</t>
        </is>
      </c>
      <c r="B207">
        <f>IF(ElevCalc!$B$73*(ElevCalc!$B$93&gt;=1),(ElevCalc!$B$92+(ElevCalc!$B$101)*ElevCalc!$B$91),NA())</f>
        <v/>
      </c>
      <c r="C207">
        <f>IF(ElevCalc!$B$73*(ElevCalc!$B$93&gt;=1),((ElevCalc!$B$97)*ElevCalc!$B$91),NA())</f>
        <v/>
      </c>
      <c r="F207" t="inlineStr">
        <is>
          <t>leaf1</t>
        </is>
      </c>
      <c r="G207">
        <f>IF(ElevCalc!$G$73*(ElevCalc!$G$93&gt;=1),(ElevCalc!$G$92+(ElevCalc!$G$101)*ElevCalc!$G$91),NA())</f>
        <v/>
      </c>
      <c r="H207">
        <f>IF(ElevCalc!$G$73*(ElevCalc!$G$93&gt;=1),((ElevCalc!$G$97)*ElevCalc!$G$91),NA())</f>
        <v/>
      </c>
      <c r="K207" t="inlineStr">
        <is>
          <t>leaf1</t>
        </is>
      </c>
      <c r="L207">
        <f>IF(ElevCalc!$L$73*(ElevCalc!$L$93&gt;=1),(ElevCalc!$L$92+(ElevCalc!$L$101)*ElevCalc!$L$91),NA())</f>
        <v/>
      </c>
      <c r="M207">
        <f>IF(ElevCalc!$L$73*(ElevCalc!$L$93&gt;=1),((ElevCalc!$L$97)*ElevCalc!$L$91),NA())</f>
        <v/>
      </c>
      <c r="P207" t="inlineStr">
        <is>
          <t>leaf1</t>
        </is>
      </c>
      <c r="Q207">
        <f>IF(ElevCalc!$Q$73*(ElevCalc!$Q$93&gt;=1),(ElevCalc!$Q$92+(ElevCalc!$Q$101)*ElevCalc!$Q$91),NA())</f>
        <v/>
      </c>
      <c r="R207">
        <f>IF(ElevCalc!$Q$73*(ElevCalc!$Q$93&gt;=1),((ElevCalc!$Q$97)*ElevCalc!$Q$91),NA())</f>
        <v/>
      </c>
      <c r="U207" t="inlineStr">
        <is>
          <t>leaf1</t>
        </is>
      </c>
      <c r="V207">
        <f>IF(ElevCalc!$V$73*(ElevCalc!$V$93&gt;=1),(ElevCalc!$V$92+(ElevCalc!$V$101)*ElevCalc!$V$91),NA())</f>
        <v/>
      </c>
      <c r="W207">
        <f>IF(ElevCalc!$V$73*(ElevCalc!$V$93&gt;=1),((ElevCalc!$V$97)*ElevCalc!$V$91),NA())</f>
        <v/>
      </c>
      <c r="Z207" t="inlineStr">
        <is>
          <t>leaf1</t>
        </is>
      </c>
      <c r="AA207">
        <f>IF(ElevCalc!$AA$73*(ElevCalc!$AA$93&gt;=1),(ElevCalc!$AA$92+(ElevCalc!$AA$101)*ElevCalc!$AA$91),NA())</f>
        <v/>
      </c>
      <c r="AB207">
        <f>IF(ElevCalc!$AA$73*(ElevCalc!$AA$93&gt;=1),((ElevCalc!$AA$97)*ElevCalc!$AA$91),NA())</f>
        <v/>
      </c>
      <c r="AE207" t="inlineStr">
        <is>
          <t>leaf1</t>
        </is>
      </c>
      <c r="AF207">
        <f>IF(ElevCalc!$AF$73*(ElevCalc!$AF$93&gt;=1),(ElevCalc!$AF$92+(ElevCalc!$AF$101)*ElevCalc!$AF$91),NA())</f>
        <v/>
      </c>
      <c r="AG207">
        <f>IF(ElevCalc!$AF$73*(ElevCalc!$AF$93&gt;=1),((ElevCalc!$AF$97)*ElevCalc!$AF$91),NA())</f>
        <v/>
      </c>
    </row>
    <row r="209">
      <c r="A209" t="inlineStr">
        <is>
          <t>leaf2</t>
        </is>
      </c>
      <c r="B209">
        <f>IF(ElevCalc!$B$73*(ElevCalc!$B$93=2),(ElevCalc!$B$92+(ElevCalc!$B$104)*ElevCalc!$B$91),NA())</f>
        <v/>
      </c>
      <c r="C209">
        <f>IF(ElevCalc!$B$73*(ElevCalc!$B$93=2),((ElevCalc!$B$97)*ElevCalc!$B$91),NA())</f>
        <v/>
      </c>
      <c r="F209" t="inlineStr">
        <is>
          <t>leaf2</t>
        </is>
      </c>
      <c r="G209">
        <f>IF(ElevCalc!$G$73*(ElevCalc!$G$93=2),(ElevCalc!$G$92+(ElevCalc!$G$104)*ElevCalc!$G$91),NA())</f>
        <v/>
      </c>
      <c r="H209">
        <f>IF(ElevCalc!$G$73*(ElevCalc!$G$93=2),((ElevCalc!$G$97)*ElevCalc!$G$91),NA())</f>
        <v/>
      </c>
      <c r="K209" t="inlineStr">
        <is>
          <t>leaf2</t>
        </is>
      </c>
      <c r="L209">
        <f>IF(ElevCalc!$L$73*(ElevCalc!$L$93=2),(ElevCalc!$L$92+(ElevCalc!$L$104)*ElevCalc!$L$91),NA())</f>
        <v/>
      </c>
      <c r="M209">
        <f>IF(ElevCalc!$L$73*(ElevCalc!$L$93=2),((ElevCalc!$L$97)*ElevCalc!$L$91),NA())</f>
        <v/>
      </c>
      <c r="P209" t="inlineStr">
        <is>
          <t>leaf2</t>
        </is>
      </c>
      <c r="Q209">
        <f>IF(ElevCalc!$Q$73*(ElevCalc!$Q$93=2),(ElevCalc!$Q$92+(ElevCalc!$Q$104)*ElevCalc!$Q$91),NA())</f>
        <v/>
      </c>
      <c r="R209">
        <f>IF(ElevCalc!$Q$73*(ElevCalc!$Q$93=2),((ElevCalc!$Q$97)*ElevCalc!$Q$91),NA())</f>
        <v/>
      </c>
      <c r="U209" t="inlineStr">
        <is>
          <t>leaf2</t>
        </is>
      </c>
      <c r="V209">
        <f>IF(ElevCalc!$V$73*(ElevCalc!$V$93=2),(ElevCalc!$V$92+(ElevCalc!$V$104)*ElevCalc!$V$91),NA())</f>
        <v/>
      </c>
      <c r="W209">
        <f>IF(ElevCalc!$V$73*(ElevCalc!$V$93=2),((ElevCalc!$V$97)*ElevCalc!$V$91),NA())</f>
        <v/>
      </c>
      <c r="Z209" t="inlineStr">
        <is>
          <t>leaf2</t>
        </is>
      </c>
      <c r="AA209">
        <f>IF(ElevCalc!$AA$73*(ElevCalc!$AA$93=2),(ElevCalc!$AA$92+(ElevCalc!$AA$104)*ElevCalc!$AA$91),NA())</f>
        <v/>
      </c>
      <c r="AB209">
        <f>IF(ElevCalc!$AA$73*(ElevCalc!$AA$93=2),((ElevCalc!$AA$97)*ElevCalc!$AA$91),NA())</f>
        <v/>
      </c>
      <c r="AE209" t="inlineStr">
        <is>
          <t>leaf2</t>
        </is>
      </c>
      <c r="AF209">
        <f>IF(ElevCalc!$AF$73*(ElevCalc!$AF$93=2),(ElevCalc!$AF$92+(ElevCalc!$AF$104)*ElevCalc!$AF$91),NA())</f>
        <v/>
      </c>
      <c r="AG209">
        <f>IF(ElevCalc!$AF$73*(ElevCalc!$AF$93=2),((ElevCalc!$AF$97)*ElevCalc!$AF$91),NA())</f>
        <v/>
      </c>
    </row>
    <row r="210">
      <c r="A210" t="inlineStr">
        <is>
          <t>leaf2</t>
        </is>
      </c>
      <c r="B210">
        <f>IF(ElevCalc!$B$73*(ElevCalc!$B$93=2),(ElevCalc!$B$92+(ElevCalc!$B$104)*ElevCalc!$B$91),NA())</f>
        <v/>
      </c>
      <c r="C210">
        <f>IF(ElevCalc!$B$73*(ElevCalc!$B$93=2),((ElevCalc!$B$98)*ElevCalc!$B$91),NA())</f>
        <v/>
      </c>
      <c r="F210" t="inlineStr">
        <is>
          <t>leaf2</t>
        </is>
      </c>
      <c r="G210">
        <f>IF(ElevCalc!$G$73*(ElevCalc!$G$93=2),(ElevCalc!$G$92+(ElevCalc!$G$104)*ElevCalc!$G$91),NA())</f>
        <v/>
      </c>
      <c r="H210">
        <f>IF(ElevCalc!$G$73*(ElevCalc!$G$93=2),((ElevCalc!$G$98)*ElevCalc!$G$91),NA())</f>
        <v/>
      </c>
      <c r="K210" t="inlineStr">
        <is>
          <t>leaf2</t>
        </is>
      </c>
      <c r="L210">
        <f>IF(ElevCalc!$L$73*(ElevCalc!$L$93=2),(ElevCalc!$L$92+(ElevCalc!$L$104)*ElevCalc!$L$91),NA())</f>
        <v/>
      </c>
      <c r="M210">
        <f>IF(ElevCalc!$L$73*(ElevCalc!$L$93=2),((ElevCalc!$L$98)*ElevCalc!$L$91),NA())</f>
        <v/>
      </c>
      <c r="P210" t="inlineStr">
        <is>
          <t>leaf2</t>
        </is>
      </c>
      <c r="Q210">
        <f>IF(ElevCalc!$Q$73*(ElevCalc!$Q$93=2),(ElevCalc!$Q$92+(ElevCalc!$Q$104)*ElevCalc!$Q$91),NA())</f>
        <v/>
      </c>
      <c r="R210">
        <f>IF(ElevCalc!$Q$73*(ElevCalc!$Q$93=2),((ElevCalc!$Q$98)*ElevCalc!$Q$91),NA())</f>
        <v/>
      </c>
      <c r="U210" t="inlineStr">
        <is>
          <t>leaf2</t>
        </is>
      </c>
      <c r="V210">
        <f>IF(ElevCalc!$V$73*(ElevCalc!$V$93=2),(ElevCalc!$V$92+(ElevCalc!$V$104)*ElevCalc!$V$91),NA())</f>
        <v/>
      </c>
      <c r="W210">
        <f>IF(ElevCalc!$V$73*(ElevCalc!$V$93=2),((ElevCalc!$V$98)*ElevCalc!$V$91),NA())</f>
        <v/>
      </c>
      <c r="Z210" t="inlineStr">
        <is>
          <t>leaf2</t>
        </is>
      </c>
      <c r="AA210">
        <f>IF(ElevCalc!$AA$73*(ElevCalc!$AA$93=2),(ElevCalc!$AA$92+(ElevCalc!$AA$104)*ElevCalc!$AA$91),NA())</f>
        <v/>
      </c>
      <c r="AB210">
        <f>IF(ElevCalc!$AA$73*(ElevCalc!$AA$93=2),((ElevCalc!$AA$98)*ElevCalc!$AA$91),NA())</f>
        <v/>
      </c>
      <c r="AE210" t="inlineStr">
        <is>
          <t>leaf2</t>
        </is>
      </c>
      <c r="AF210">
        <f>IF(ElevCalc!$AF$73*(ElevCalc!$AF$93=2),(ElevCalc!$AF$92+(ElevCalc!$AF$104)*ElevCalc!$AF$91),NA())</f>
        <v/>
      </c>
      <c r="AG210">
        <f>IF(ElevCalc!$AF$73*(ElevCalc!$AF$93=2),((ElevCalc!$AF$98)*ElevCalc!$AF$91),NA())</f>
        <v/>
      </c>
    </row>
    <row r="211">
      <c r="A211" t="inlineStr">
        <is>
          <t>leaf2</t>
        </is>
      </c>
      <c r="B211">
        <f>IF(ElevCalc!$B$73*(ElevCalc!$B$93=2),(ElevCalc!$B$92+(ElevCalc!$B$103)*ElevCalc!$B$91),NA())</f>
        <v/>
      </c>
      <c r="C211">
        <f>IF(ElevCalc!$B$73*(ElevCalc!$B$93=2),((ElevCalc!$B$98)*ElevCalc!$B$91),NA())</f>
        <v/>
      </c>
      <c r="F211" t="inlineStr">
        <is>
          <t>leaf2</t>
        </is>
      </c>
      <c r="G211">
        <f>IF(ElevCalc!$G$73*(ElevCalc!$G$93=2),(ElevCalc!$G$92+(ElevCalc!$G$103)*ElevCalc!$G$91),NA())</f>
        <v/>
      </c>
      <c r="H211">
        <f>IF(ElevCalc!$G$73*(ElevCalc!$G$93=2),((ElevCalc!$G$98)*ElevCalc!$G$91),NA())</f>
        <v/>
      </c>
      <c r="K211" t="inlineStr">
        <is>
          <t>leaf2</t>
        </is>
      </c>
      <c r="L211">
        <f>IF(ElevCalc!$L$73*(ElevCalc!$L$93=2),(ElevCalc!$L$92+(ElevCalc!$L$103)*ElevCalc!$L$91),NA())</f>
        <v/>
      </c>
      <c r="M211">
        <f>IF(ElevCalc!$L$73*(ElevCalc!$L$93=2),((ElevCalc!$L$98)*ElevCalc!$L$91),NA())</f>
        <v/>
      </c>
      <c r="P211" t="inlineStr">
        <is>
          <t>leaf2</t>
        </is>
      </c>
      <c r="Q211">
        <f>IF(ElevCalc!$Q$73*(ElevCalc!$Q$93=2),(ElevCalc!$Q$92+(ElevCalc!$Q$103)*ElevCalc!$Q$91),NA())</f>
        <v/>
      </c>
      <c r="R211">
        <f>IF(ElevCalc!$Q$73*(ElevCalc!$Q$93=2),((ElevCalc!$Q$98)*ElevCalc!$Q$91),NA())</f>
        <v/>
      </c>
      <c r="U211" t="inlineStr">
        <is>
          <t>leaf2</t>
        </is>
      </c>
      <c r="V211">
        <f>IF(ElevCalc!$V$73*(ElevCalc!$V$93=2),(ElevCalc!$V$92+(ElevCalc!$V$103)*ElevCalc!$V$91),NA())</f>
        <v/>
      </c>
      <c r="W211">
        <f>IF(ElevCalc!$V$73*(ElevCalc!$V$93=2),((ElevCalc!$V$98)*ElevCalc!$V$91),NA())</f>
        <v/>
      </c>
      <c r="Z211" t="inlineStr">
        <is>
          <t>leaf2</t>
        </is>
      </c>
      <c r="AA211">
        <f>IF(ElevCalc!$AA$73*(ElevCalc!$AA$93=2),(ElevCalc!$AA$92+(ElevCalc!$AA$103)*ElevCalc!$AA$91),NA())</f>
        <v/>
      </c>
      <c r="AB211">
        <f>IF(ElevCalc!$AA$73*(ElevCalc!$AA$93=2),((ElevCalc!$AA$98)*ElevCalc!$AA$91),NA())</f>
        <v/>
      </c>
      <c r="AE211" t="inlineStr">
        <is>
          <t>leaf2</t>
        </is>
      </c>
      <c r="AF211">
        <f>IF(ElevCalc!$AF$73*(ElevCalc!$AF$93=2),(ElevCalc!$AF$92+(ElevCalc!$AF$103)*ElevCalc!$AF$91),NA())</f>
        <v/>
      </c>
      <c r="AG211">
        <f>IF(ElevCalc!$AF$73*(ElevCalc!$AF$93=2),((ElevCalc!$AF$98)*ElevCalc!$AF$91),NA())</f>
        <v/>
      </c>
    </row>
    <row r="212">
      <c r="A212" t="inlineStr">
        <is>
          <t>leaf2</t>
        </is>
      </c>
      <c r="B212">
        <f>IF(ElevCalc!$B$73*(ElevCalc!$B$93=2),(ElevCalc!$B$92+(ElevCalc!$B$103)*ElevCalc!$B$91),NA())</f>
        <v/>
      </c>
      <c r="C212">
        <f>IF(ElevCalc!$B$73*(ElevCalc!$B$93=2),((ElevCalc!$B$97)*ElevCalc!$B$91),NA())</f>
        <v/>
      </c>
      <c r="F212" t="inlineStr">
        <is>
          <t>leaf2</t>
        </is>
      </c>
      <c r="G212">
        <f>IF(ElevCalc!$G$73*(ElevCalc!$G$93=2),(ElevCalc!$G$92+(ElevCalc!$G$103)*ElevCalc!$G$91),NA())</f>
        <v/>
      </c>
      <c r="H212">
        <f>IF(ElevCalc!$G$73*(ElevCalc!$G$93=2),((ElevCalc!$G$97)*ElevCalc!$G$91),NA())</f>
        <v/>
      </c>
      <c r="K212" t="inlineStr">
        <is>
          <t>leaf2</t>
        </is>
      </c>
      <c r="L212">
        <f>IF(ElevCalc!$L$73*(ElevCalc!$L$93=2),(ElevCalc!$L$92+(ElevCalc!$L$103)*ElevCalc!$L$91),NA())</f>
        <v/>
      </c>
      <c r="M212">
        <f>IF(ElevCalc!$L$73*(ElevCalc!$L$93=2),((ElevCalc!$L$97)*ElevCalc!$L$91),NA())</f>
        <v/>
      </c>
      <c r="P212" t="inlineStr">
        <is>
          <t>leaf2</t>
        </is>
      </c>
      <c r="Q212">
        <f>IF(ElevCalc!$Q$73*(ElevCalc!$Q$93=2),(ElevCalc!$Q$92+(ElevCalc!$Q$103)*ElevCalc!$Q$91),NA())</f>
        <v/>
      </c>
      <c r="R212">
        <f>IF(ElevCalc!$Q$73*(ElevCalc!$Q$93=2),((ElevCalc!$Q$97)*ElevCalc!$Q$91),NA())</f>
        <v/>
      </c>
      <c r="U212" t="inlineStr">
        <is>
          <t>leaf2</t>
        </is>
      </c>
      <c r="V212">
        <f>IF(ElevCalc!$V$73*(ElevCalc!$V$93=2),(ElevCalc!$V$92+(ElevCalc!$V$103)*ElevCalc!$V$91),NA())</f>
        <v/>
      </c>
      <c r="W212">
        <f>IF(ElevCalc!$V$73*(ElevCalc!$V$93=2),((ElevCalc!$V$97)*ElevCalc!$V$91),NA())</f>
        <v/>
      </c>
      <c r="Z212" t="inlineStr">
        <is>
          <t>leaf2</t>
        </is>
      </c>
      <c r="AA212">
        <f>IF(ElevCalc!$AA$73*(ElevCalc!$AA$93=2),(ElevCalc!$AA$92+(ElevCalc!$AA$103)*ElevCalc!$AA$91),NA())</f>
        <v/>
      </c>
      <c r="AB212">
        <f>IF(ElevCalc!$AA$73*(ElevCalc!$AA$93=2),((ElevCalc!$AA$97)*ElevCalc!$AA$91),NA())</f>
        <v/>
      </c>
      <c r="AE212" t="inlineStr">
        <is>
          <t>leaf2</t>
        </is>
      </c>
      <c r="AF212">
        <f>IF(ElevCalc!$AF$73*(ElevCalc!$AF$93=2),(ElevCalc!$AF$92+(ElevCalc!$AF$103)*ElevCalc!$AF$91),NA())</f>
        <v/>
      </c>
      <c r="AG212">
        <f>IF(ElevCalc!$AF$73*(ElevCalc!$AF$93=2),((ElevCalc!$AF$97)*ElevCalc!$AF$91),NA())</f>
        <v/>
      </c>
    </row>
    <row r="213">
      <c r="A213" t="inlineStr">
        <is>
          <t>leaf2</t>
        </is>
      </c>
      <c r="B213">
        <f>IF(ElevCalc!$B$73*(ElevCalc!$B$93=2),(ElevCalc!$B$92+(ElevCalc!$B$104)*ElevCalc!$B$91),NA())</f>
        <v/>
      </c>
      <c r="C213">
        <f>IF(ElevCalc!$B$73*(ElevCalc!$B$93=2),((ElevCalc!$B$97)*ElevCalc!$B$91),NA())</f>
        <v/>
      </c>
      <c r="F213" t="inlineStr">
        <is>
          <t>leaf2</t>
        </is>
      </c>
      <c r="G213">
        <f>IF(ElevCalc!$G$73*(ElevCalc!$G$93=2),(ElevCalc!$G$92+(ElevCalc!$G$104)*ElevCalc!$G$91),NA())</f>
        <v/>
      </c>
      <c r="H213">
        <f>IF(ElevCalc!$G$73*(ElevCalc!$G$93=2),((ElevCalc!$G$97)*ElevCalc!$G$91),NA())</f>
        <v/>
      </c>
      <c r="K213" t="inlineStr">
        <is>
          <t>leaf2</t>
        </is>
      </c>
      <c r="L213">
        <f>IF(ElevCalc!$L$73*(ElevCalc!$L$93=2),(ElevCalc!$L$92+(ElevCalc!$L$104)*ElevCalc!$L$91),NA())</f>
        <v/>
      </c>
      <c r="M213">
        <f>IF(ElevCalc!$L$73*(ElevCalc!$L$93=2),((ElevCalc!$L$97)*ElevCalc!$L$91),NA())</f>
        <v/>
      </c>
      <c r="P213" t="inlineStr">
        <is>
          <t>leaf2</t>
        </is>
      </c>
      <c r="Q213">
        <f>IF(ElevCalc!$Q$73*(ElevCalc!$Q$93=2),(ElevCalc!$Q$92+(ElevCalc!$Q$104)*ElevCalc!$Q$91),NA())</f>
        <v/>
      </c>
      <c r="R213">
        <f>IF(ElevCalc!$Q$73*(ElevCalc!$Q$93=2),((ElevCalc!$Q$97)*ElevCalc!$Q$91),NA())</f>
        <v/>
      </c>
      <c r="U213" t="inlineStr">
        <is>
          <t>leaf2</t>
        </is>
      </c>
      <c r="V213">
        <f>IF(ElevCalc!$V$73*(ElevCalc!$V$93=2),(ElevCalc!$V$92+(ElevCalc!$V$104)*ElevCalc!$V$91),NA())</f>
        <v/>
      </c>
      <c r="W213">
        <f>IF(ElevCalc!$V$73*(ElevCalc!$V$93=2),((ElevCalc!$V$97)*ElevCalc!$V$91),NA())</f>
        <v/>
      </c>
      <c r="Z213" t="inlineStr">
        <is>
          <t>leaf2</t>
        </is>
      </c>
      <c r="AA213">
        <f>IF(ElevCalc!$AA$73*(ElevCalc!$AA$93=2),(ElevCalc!$AA$92+(ElevCalc!$AA$104)*ElevCalc!$AA$91),NA())</f>
        <v/>
      </c>
      <c r="AB213">
        <f>IF(ElevCalc!$AA$73*(ElevCalc!$AA$93=2),((ElevCalc!$AA$97)*ElevCalc!$AA$91),NA())</f>
        <v/>
      </c>
      <c r="AE213" t="inlineStr">
        <is>
          <t>leaf2</t>
        </is>
      </c>
      <c r="AF213">
        <f>IF(ElevCalc!$AF$73*(ElevCalc!$AF$93=2),(ElevCalc!$AF$92+(ElevCalc!$AF$104)*ElevCalc!$AF$91),NA())</f>
        <v/>
      </c>
      <c r="AG213">
        <f>IF(ElevCalc!$AF$73*(ElevCalc!$AF$93=2),((ElevCalc!$AF$97)*ElevCalc!$AF$91),NA())</f>
        <v/>
      </c>
    </row>
    <row r="215">
      <c r="A215" t="inlineStr">
        <is>
          <t>lite1</t>
        </is>
      </c>
      <c r="B215">
        <f>IF(ElevCalc!$B$111,(ElevCalc!$B$92+(ElevCalc!$B$114)*ElevCalc!$B$91),NA())</f>
        <v/>
      </c>
      <c r="C215">
        <f>IF(ElevCalc!$B$111,((ElevCalc!$B$113)*ElevCalc!$B$91),NA())</f>
        <v/>
      </c>
      <c r="F215" t="inlineStr">
        <is>
          <t>lite1</t>
        </is>
      </c>
      <c r="G215">
        <f>IF(ElevCalc!$G$111,(ElevCalc!$G$92+(ElevCalc!$G$114)*ElevCalc!$G$91),NA())</f>
        <v/>
      </c>
      <c r="H215">
        <f>IF(ElevCalc!$G$111,((ElevCalc!$G$113)*ElevCalc!$G$91),NA())</f>
        <v/>
      </c>
      <c r="K215" t="inlineStr">
        <is>
          <t>lite1</t>
        </is>
      </c>
      <c r="L215">
        <f>IF(ElevCalc!$L$111,(ElevCalc!$L$92+(ElevCalc!$L$114)*ElevCalc!$L$91),NA())</f>
        <v/>
      </c>
      <c r="M215">
        <f>IF(ElevCalc!$L$111,((ElevCalc!$L$113)*ElevCalc!$L$91),NA())</f>
        <v/>
      </c>
      <c r="P215" t="inlineStr">
        <is>
          <t>lite1</t>
        </is>
      </c>
      <c r="Q215">
        <f>IF(ElevCalc!$Q$111,(ElevCalc!$Q$92+(ElevCalc!$Q$114)*ElevCalc!$Q$91),NA())</f>
        <v/>
      </c>
      <c r="R215">
        <f>IF(ElevCalc!$Q$111,((ElevCalc!$Q$113)*ElevCalc!$Q$91),NA())</f>
        <v/>
      </c>
      <c r="U215" t="inlineStr">
        <is>
          <t>lite1</t>
        </is>
      </c>
      <c r="V215">
        <f>IF(ElevCalc!$V$111,(ElevCalc!$V$92+(ElevCalc!$V$114)*ElevCalc!$V$91),NA())</f>
        <v/>
      </c>
      <c r="W215">
        <f>IF(ElevCalc!$V$111,((ElevCalc!$V$113)*ElevCalc!$V$91),NA())</f>
        <v/>
      </c>
      <c r="Z215" t="inlineStr">
        <is>
          <t>lite1</t>
        </is>
      </c>
      <c r="AA215">
        <f>IF(ElevCalc!$AA$111,(ElevCalc!$AA$92+(ElevCalc!$AA$114)*ElevCalc!$AA$91),NA())</f>
        <v/>
      </c>
      <c r="AB215">
        <f>IF(ElevCalc!$AA$111,((ElevCalc!$AA$113)*ElevCalc!$AA$91),NA())</f>
        <v/>
      </c>
      <c r="AE215" t="inlineStr">
        <is>
          <t>lite1</t>
        </is>
      </c>
      <c r="AF215">
        <f>IF(ElevCalc!$AF$111,(ElevCalc!$AF$92+(ElevCalc!$AF$114)*ElevCalc!$AF$91),NA())</f>
        <v/>
      </c>
      <c r="AG215">
        <f>IF(ElevCalc!$AF$111,((ElevCalc!$AF$113)*ElevCalc!$AF$91),NA())</f>
        <v/>
      </c>
    </row>
    <row r="216">
      <c r="A216" t="inlineStr">
        <is>
          <t>lite1</t>
        </is>
      </c>
      <c r="B216">
        <f>IF(ElevCalc!$B$111,(ElevCalc!$B$92+(ElevCalc!$B$114)*ElevCalc!$B$91),NA())</f>
        <v/>
      </c>
      <c r="C216">
        <f>IF(ElevCalc!$B$111,((ElevCalc!$B$112)*ElevCalc!$B$91),NA())</f>
        <v/>
      </c>
      <c r="F216" t="inlineStr">
        <is>
          <t>lite1</t>
        </is>
      </c>
      <c r="G216">
        <f>IF(ElevCalc!$G$111,(ElevCalc!$G$92+(ElevCalc!$G$114)*ElevCalc!$G$91),NA())</f>
        <v/>
      </c>
      <c r="H216">
        <f>IF(ElevCalc!$G$111,((ElevCalc!$G$112)*ElevCalc!$G$91),NA())</f>
        <v/>
      </c>
      <c r="K216" t="inlineStr">
        <is>
          <t>lite1</t>
        </is>
      </c>
      <c r="L216">
        <f>IF(ElevCalc!$L$111,(ElevCalc!$L$92+(ElevCalc!$L$114)*ElevCalc!$L$91),NA())</f>
        <v/>
      </c>
      <c r="M216">
        <f>IF(ElevCalc!$L$111,((ElevCalc!$L$112)*ElevCalc!$L$91),NA())</f>
        <v/>
      </c>
      <c r="P216" t="inlineStr">
        <is>
          <t>lite1</t>
        </is>
      </c>
      <c r="Q216">
        <f>IF(ElevCalc!$Q$111,(ElevCalc!$Q$92+(ElevCalc!$Q$114)*ElevCalc!$Q$91),NA())</f>
        <v/>
      </c>
      <c r="R216">
        <f>IF(ElevCalc!$Q$111,((ElevCalc!$Q$112)*ElevCalc!$Q$91),NA())</f>
        <v/>
      </c>
      <c r="U216" t="inlineStr">
        <is>
          <t>lite1</t>
        </is>
      </c>
      <c r="V216">
        <f>IF(ElevCalc!$V$111,(ElevCalc!$V$92+(ElevCalc!$V$114)*ElevCalc!$V$91),NA())</f>
        <v/>
      </c>
      <c r="W216">
        <f>IF(ElevCalc!$V$111,((ElevCalc!$V$112)*ElevCalc!$V$91),NA())</f>
        <v/>
      </c>
      <c r="Z216" t="inlineStr">
        <is>
          <t>lite1</t>
        </is>
      </c>
      <c r="AA216">
        <f>IF(ElevCalc!$AA$111,(ElevCalc!$AA$92+(ElevCalc!$AA$114)*ElevCalc!$AA$91),NA())</f>
        <v/>
      </c>
      <c r="AB216">
        <f>IF(ElevCalc!$AA$111,((ElevCalc!$AA$112)*ElevCalc!$AA$91),NA())</f>
        <v/>
      </c>
      <c r="AE216" t="inlineStr">
        <is>
          <t>lite1</t>
        </is>
      </c>
      <c r="AF216">
        <f>IF(ElevCalc!$AF$111,(ElevCalc!$AF$92+(ElevCalc!$AF$114)*ElevCalc!$AF$91),NA())</f>
        <v/>
      </c>
      <c r="AG216">
        <f>IF(ElevCalc!$AF$111,((ElevCalc!$AF$112)*ElevCalc!$AF$91),NA())</f>
        <v/>
      </c>
    </row>
    <row r="217">
      <c r="A217" t="inlineStr">
        <is>
          <t>lite1</t>
        </is>
      </c>
      <c r="B217">
        <f>IF(ElevCalc!$B$111,(ElevCalc!$B$92+(ElevCalc!$B$114+ElevCalc!$B$109)*ElevCalc!$B$91),NA())</f>
        <v/>
      </c>
      <c r="C217">
        <f>IF(ElevCalc!$B$111,((ElevCalc!$B$112)*ElevCalc!$B$91),NA())</f>
        <v/>
      </c>
      <c r="F217" t="inlineStr">
        <is>
          <t>lite1</t>
        </is>
      </c>
      <c r="G217">
        <f>IF(ElevCalc!$G$111,(ElevCalc!$G$92+(ElevCalc!$G$114+ElevCalc!$G$109)*ElevCalc!$G$91),NA())</f>
        <v/>
      </c>
      <c r="H217">
        <f>IF(ElevCalc!$G$111,((ElevCalc!$G$112)*ElevCalc!$G$91),NA())</f>
        <v/>
      </c>
      <c r="K217" t="inlineStr">
        <is>
          <t>lite1</t>
        </is>
      </c>
      <c r="L217">
        <f>IF(ElevCalc!$L$111,(ElevCalc!$L$92+(ElevCalc!$L$114+ElevCalc!$L$109)*ElevCalc!$L$91),NA())</f>
        <v/>
      </c>
      <c r="M217">
        <f>IF(ElevCalc!$L$111,((ElevCalc!$L$112)*ElevCalc!$L$91),NA())</f>
        <v/>
      </c>
      <c r="P217" t="inlineStr">
        <is>
          <t>lite1</t>
        </is>
      </c>
      <c r="Q217">
        <f>IF(ElevCalc!$Q$111,(ElevCalc!$Q$92+(ElevCalc!$Q$114+ElevCalc!$Q$109)*ElevCalc!$Q$91),NA())</f>
        <v/>
      </c>
      <c r="R217">
        <f>IF(ElevCalc!$Q$111,((ElevCalc!$Q$112)*ElevCalc!$Q$91),NA())</f>
        <v/>
      </c>
      <c r="U217" t="inlineStr">
        <is>
          <t>lite1</t>
        </is>
      </c>
      <c r="V217">
        <f>IF(ElevCalc!$V$111,(ElevCalc!$V$92+(ElevCalc!$V$114+ElevCalc!$V$109)*ElevCalc!$V$91),NA())</f>
        <v/>
      </c>
      <c r="W217">
        <f>IF(ElevCalc!$V$111,((ElevCalc!$V$112)*ElevCalc!$V$91),NA())</f>
        <v/>
      </c>
      <c r="Z217" t="inlineStr">
        <is>
          <t>lite1</t>
        </is>
      </c>
      <c r="AA217">
        <f>IF(ElevCalc!$AA$111,(ElevCalc!$AA$92+(ElevCalc!$AA$114+ElevCalc!$AA$109)*ElevCalc!$AA$91),NA())</f>
        <v/>
      </c>
      <c r="AB217">
        <f>IF(ElevCalc!$AA$111,((ElevCalc!$AA$112)*ElevCalc!$AA$91),NA())</f>
        <v/>
      </c>
      <c r="AE217" t="inlineStr">
        <is>
          <t>lite1</t>
        </is>
      </c>
      <c r="AF217">
        <f>IF(ElevCalc!$AF$111,(ElevCalc!$AF$92+(ElevCalc!$AF$114+ElevCalc!$AF$109)*ElevCalc!$AF$91),NA())</f>
        <v/>
      </c>
      <c r="AG217">
        <f>IF(ElevCalc!$AF$111,((ElevCalc!$AF$112)*ElevCalc!$AF$91),NA())</f>
        <v/>
      </c>
    </row>
    <row r="218">
      <c r="A218" t="inlineStr">
        <is>
          <t>lite1</t>
        </is>
      </c>
      <c r="B218">
        <f>IF(ElevCalc!$B$111,(ElevCalc!$B$92+(ElevCalc!$B$114+ElevCalc!$B$109)*ElevCalc!$B$91),NA())</f>
        <v/>
      </c>
      <c r="C218">
        <f>IF(ElevCalc!$B$111,((ElevCalc!$B$113)*ElevCalc!$B$91),NA())</f>
        <v/>
      </c>
      <c r="F218" t="inlineStr">
        <is>
          <t>lite1</t>
        </is>
      </c>
      <c r="G218">
        <f>IF(ElevCalc!$G$111,(ElevCalc!$G$92+(ElevCalc!$G$114+ElevCalc!$G$109)*ElevCalc!$G$91),NA())</f>
        <v/>
      </c>
      <c r="H218">
        <f>IF(ElevCalc!$G$111,((ElevCalc!$G$113)*ElevCalc!$G$91),NA())</f>
        <v/>
      </c>
      <c r="K218" t="inlineStr">
        <is>
          <t>lite1</t>
        </is>
      </c>
      <c r="L218">
        <f>IF(ElevCalc!$L$111,(ElevCalc!$L$92+(ElevCalc!$L$114+ElevCalc!$L$109)*ElevCalc!$L$91),NA())</f>
        <v/>
      </c>
      <c r="M218">
        <f>IF(ElevCalc!$L$111,((ElevCalc!$L$113)*ElevCalc!$L$91),NA())</f>
        <v/>
      </c>
      <c r="P218" t="inlineStr">
        <is>
          <t>lite1</t>
        </is>
      </c>
      <c r="Q218">
        <f>IF(ElevCalc!$Q$111,(ElevCalc!$Q$92+(ElevCalc!$Q$114+ElevCalc!$Q$109)*ElevCalc!$Q$91),NA())</f>
        <v/>
      </c>
      <c r="R218">
        <f>IF(ElevCalc!$Q$111,((ElevCalc!$Q$113)*ElevCalc!$Q$91),NA())</f>
        <v/>
      </c>
      <c r="U218" t="inlineStr">
        <is>
          <t>lite1</t>
        </is>
      </c>
      <c r="V218">
        <f>IF(ElevCalc!$V$111,(ElevCalc!$V$92+(ElevCalc!$V$114+ElevCalc!$V$109)*ElevCalc!$V$91),NA())</f>
        <v/>
      </c>
      <c r="W218">
        <f>IF(ElevCalc!$V$111,((ElevCalc!$V$113)*ElevCalc!$V$91),NA())</f>
        <v/>
      </c>
      <c r="Z218" t="inlineStr">
        <is>
          <t>lite1</t>
        </is>
      </c>
      <c r="AA218">
        <f>IF(ElevCalc!$AA$111,(ElevCalc!$AA$92+(ElevCalc!$AA$114+ElevCalc!$AA$109)*ElevCalc!$AA$91),NA())</f>
        <v/>
      </c>
      <c r="AB218">
        <f>IF(ElevCalc!$AA$111,((ElevCalc!$AA$113)*ElevCalc!$AA$91),NA())</f>
        <v/>
      </c>
      <c r="AE218" t="inlineStr">
        <is>
          <t>lite1</t>
        </is>
      </c>
      <c r="AF218">
        <f>IF(ElevCalc!$AF$111,(ElevCalc!$AF$92+(ElevCalc!$AF$114+ElevCalc!$AF$109)*ElevCalc!$AF$91),NA())</f>
        <v/>
      </c>
      <c r="AG218">
        <f>IF(ElevCalc!$AF$111,((ElevCalc!$AF$113)*ElevCalc!$AF$91),NA())</f>
        <v/>
      </c>
    </row>
    <row r="219">
      <c r="A219" t="inlineStr">
        <is>
          <t>lite1</t>
        </is>
      </c>
      <c r="B219">
        <f>IF(ElevCalc!$B$111,(ElevCalc!$B$92+(ElevCalc!$B$114)*ElevCalc!$B$91),NA())</f>
        <v/>
      </c>
      <c r="C219">
        <f>IF(ElevCalc!$B$111,((ElevCalc!$B$113)*ElevCalc!$B$91),NA())</f>
        <v/>
      </c>
      <c r="F219" t="inlineStr">
        <is>
          <t>lite1</t>
        </is>
      </c>
      <c r="G219">
        <f>IF(ElevCalc!$G$111,(ElevCalc!$G$92+(ElevCalc!$G$114)*ElevCalc!$G$91),NA())</f>
        <v/>
      </c>
      <c r="H219">
        <f>IF(ElevCalc!$G$111,((ElevCalc!$G$113)*ElevCalc!$G$91),NA())</f>
        <v/>
      </c>
      <c r="K219" t="inlineStr">
        <is>
          <t>lite1</t>
        </is>
      </c>
      <c r="L219">
        <f>IF(ElevCalc!$L$111,(ElevCalc!$L$92+(ElevCalc!$L$114)*ElevCalc!$L$91),NA())</f>
        <v/>
      </c>
      <c r="M219">
        <f>IF(ElevCalc!$L$111,((ElevCalc!$L$113)*ElevCalc!$L$91),NA())</f>
        <v/>
      </c>
      <c r="P219" t="inlineStr">
        <is>
          <t>lite1</t>
        </is>
      </c>
      <c r="Q219">
        <f>IF(ElevCalc!$Q$111,(ElevCalc!$Q$92+(ElevCalc!$Q$114)*ElevCalc!$Q$91),NA())</f>
        <v/>
      </c>
      <c r="R219">
        <f>IF(ElevCalc!$Q$111,((ElevCalc!$Q$113)*ElevCalc!$Q$91),NA())</f>
        <v/>
      </c>
      <c r="U219" t="inlineStr">
        <is>
          <t>lite1</t>
        </is>
      </c>
      <c r="V219">
        <f>IF(ElevCalc!$V$111,(ElevCalc!$V$92+(ElevCalc!$V$114)*ElevCalc!$V$91),NA())</f>
        <v/>
      </c>
      <c r="W219">
        <f>IF(ElevCalc!$V$111,((ElevCalc!$V$113)*ElevCalc!$V$91),NA())</f>
        <v/>
      </c>
      <c r="Z219" t="inlineStr">
        <is>
          <t>lite1</t>
        </is>
      </c>
      <c r="AA219">
        <f>IF(ElevCalc!$AA$111,(ElevCalc!$AA$92+(ElevCalc!$AA$114)*ElevCalc!$AA$91),NA())</f>
        <v/>
      </c>
      <c r="AB219">
        <f>IF(ElevCalc!$AA$111,((ElevCalc!$AA$113)*ElevCalc!$AA$91),NA())</f>
        <v/>
      </c>
      <c r="AE219" t="inlineStr">
        <is>
          <t>lite1</t>
        </is>
      </c>
      <c r="AF219">
        <f>IF(ElevCalc!$AF$111,(ElevCalc!$AF$92+(ElevCalc!$AF$114)*ElevCalc!$AF$91),NA())</f>
        <v/>
      </c>
      <c r="AG219">
        <f>IF(ElevCalc!$AF$111,((ElevCalc!$AF$113)*ElevCalc!$AF$91),NA())</f>
        <v/>
      </c>
    </row>
    <row r="221">
      <c r="A221" t="inlineStr">
        <is>
          <t>lite2</t>
        </is>
      </c>
      <c r="B221">
        <f>IF(ElevCalc!$B$111*(ElevCalc!$B$93=2),(ElevCalc!$B$92+(ElevCalc!$B$115)*ElevCalc!$B$91),NA())</f>
        <v/>
      </c>
      <c r="C221">
        <f>IF(ElevCalc!$B$111*(ElevCalc!$B$93=2),((ElevCalc!$B$113)*ElevCalc!$B$91),NA())</f>
        <v/>
      </c>
      <c r="F221" t="inlineStr">
        <is>
          <t>lite2</t>
        </is>
      </c>
      <c r="G221">
        <f>IF(ElevCalc!$G$111*(ElevCalc!$G$93=2),(ElevCalc!$G$92+(ElevCalc!$G$115)*ElevCalc!$G$91),NA())</f>
        <v/>
      </c>
      <c r="H221">
        <f>IF(ElevCalc!$G$111*(ElevCalc!$G$93=2),((ElevCalc!$G$113)*ElevCalc!$G$91),NA())</f>
        <v/>
      </c>
      <c r="K221" t="inlineStr">
        <is>
          <t>lite2</t>
        </is>
      </c>
      <c r="L221">
        <f>IF(ElevCalc!$L$111*(ElevCalc!$L$93=2),(ElevCalc!$L$92+(ElevCalc!$L$115)*ElevCalc!$L$91),NA())</f>
        <v/>
      </c>
      <c r="M221">
        <f>IF(ElevCalc!$L$111*(ElevCalc!$L$93=2),((ElevCalc!$L$113)*ElevCalc!$L$91),NA())</f>
        <v/>
      </c>
      <c r="P221" t="inlineStr">
        <is>
          <t>lite2</t>
        </is>
      </c>
      <c r="Q221">
        <f>IF(ElevCalc!$Q$111*(ElevCalc!$Q$93=2),(ElevCalc!$Q$92+(ElevCalc!$Q$115)*ElevCalc!$Q$91),NA())</f>
        <v/>
      </c>
      <c r="R221">
        <f>IF(ElevCalc!$Q$111*(ElevCalc!$Q$93=2),((ElevCalc!$Q$113)*ElevCalc!$Q$91),NA())</f>
        <v/>
      </c>
      <c r="U221" t="inlineStr">
        <is>
          <t>lite2</t>
        </is>
      </c>
      <c r="V221">
        <f>IF(ElevCalc!$V$111*(ElevCalc!$V$93=2),(ElevCalc!$V$92+(ElevCalc!$V$115)*ElevCalc!$V$91),NA())</f>
        <v/>
      </c>
      <c r="W221">
        <f>IF(ElevCalc!$V$111*(ElevCalc!$V$93=2),((ElevCalc!$V$113)*ElevCalc!$V$91),NA())</f>
        <v/>
      </c>
      <c r="Z221" t="inlineStr">
        <is>
          <t>lite2</t>
        </is>
      </c>
      <c r="AA221">
        <f>IF(ElevCalc!$AA$111*(ElevCalc!$AA$93=2),(ElevCalc!$AA$92+(ElevCalc!$AA$115)*ElevCalc!$AA$91),NA())</f>
        <v/>
      </c>
      <c r="AB221">
        <f>IF(ElevCalc!$AA$111*(ElevCalc!$AA$93=2),((ElevCalc!$AA$113)*ElevCalc!$AA$91),NA())</f>
        <v/>
      </c>
      <c r="AE221" t="inlineStr">
        <is>
          <t>lite2</t>
        </is>
      </c>
      <c r="AF221">
        <f>IF(ElevCalc!$AF$111*(ElevCalc!$AF$93=2),(ElevCalc!$AF$92+(ElevCalc!$AF$115)*ElevCalc!$AF$91),NA())</f>
        <v/>
      </c>
      <c r="AG221">
        <f>IF(ElevCalc!$AF$111*(ElevCalc!$AF$93=2),((ElevCalc!$AF$113)*ElevCalc!$AF$91),NA())</f>
        <v/>
      </c>
    </row>
    <row r="222">
      <c r="A222" t="inlineStr">
        <is>
          <t>lite2</t>
        </is>
      </c>
      <c r="B222">
        <f>IF(ElevCalc!$B$111*(ElevCalc!$B$93=2),(ElevCalc!$B$92+(ElevCalc!$B$115)*ElevCalc!$B$91),NA())</f>
        <v/>
      </c>
      <c r="C222">
        <f>IF(ElevCalc!$B$111*(ElevCalc!$B$93=2),((ElevCalc!$B$112)*ElevCalc!$B$91),NA())</f>
        <v/>
      </c>
      <c r="F222" t="inlineStr">
        <is>
          <t>lite2</t>
        </is>
      </c>
      <c r="G222">
        <f>IF(ElevCalc!$G$111*(ElevCalc!$G$93=2),(ElevCalc!$G$92+(ElevCalc!$G$115)*ElevCalc!$G$91),NA())</f>
        <v/>
      </c>
      <c r="H222">
        <f>IF(ElevCalc!$G$111*(ElevCalc!$G$93=2),((ElevCalc!$G$112)*ElevCalc!$G$91),NA())</f>
        <v/>
      </c>
      <c r="K222" t="inlineStr">
        <is>
          <t>lite2</t>
        </is>
      </c>
      <c r="L222">
        <f>IF(ElevCalc!$L$111*(ElevCalc!$L$93=2),(ElevCalc!$L$92+(ElevCalc!$L$115)*ElevCalc!$L$91),NA())</f>
        <v/>
      </c>
      <c r="M222">
        <f>IF(ElevCalc!$L$111*(ElevCalc!$L$93=2),((ElevCalc!$L$112)*ElevCalc!$L$91),NA())</f>
        <v/>
      </c>
      <c r="P222" t="inlineStr">
        <is>
          <t>lite2</t>
        </is>
      </c>
      <c r="Q222">
        <f>IF(ElevCalc!$Q$111*(ElevCalc!$Q$93=2),(ElevCalc!$Q$92+(ElevCalc!$Q$115)*ElevCalc!$Q$91),NA())</f>
        <v/>
      </c>
      <c r="R222">
        <f>IF(ElevCalc!$Q$111*(ElevCalc!$Q$93=2),((ElevCalc!$Q$112)*ElevCalc!$Q$91),NA())</f>
        <v/>
      </c>
      <c r="U222" t="inlineStr">
        <is>
          <t>lite2</t>
        </is>
      </c>
      <c r="V222">
        <f>IF(ElevCalc!$V$111*(ElevCalc!$V$93=2),(ElevCalc!$V$92+(ElevCalc!$V$115)*ElevCalc!$V$91),NA())</f>
        <v/>
      </c>
      <c r="W222">
        <f>IF(ElevCalc!$V$111*(ElevCalc!$V$93=2),((ElevCalc!$V$112)*ElevCalc!$V$91),NA())</f>
        <v/>
      </c>
      <c r="Z222" t="inlineStr">
        <is>
          <t>lite2</t>
        </is>
      </c>
      <c r="AA222">
        <f>IF(ElevCalc!$AA$111*(ElevCalc!$AA$93=2),(ElevCalc!$AA$92+(ElevCalc!$AA$115)*ElevCalc!$AA$91),NA())</f>
        <v/>
      </c>
      <c r="AB222">
        <f>IF(ElevCalc!$AA$111*(ElevCalc!$AA$93=2),((ElevCalc!$AA$112)*ElevCalc!$AA$91),NA())</f>
        <v/>
      </c>
      <c r="AE222" t="inlineStr">
        <is>
          <t>lite2</t>
        </is>
      </c>
      <c r="AF222">
        <f>IF(ElevCalc!$AF$111*(ElevCalc!$AF$93=2),(ElevCalc!$AF$92+(ElevCalc!$AF$115)*ElevCalc!$AF$91),NA())</f>
        <v/>
      </c>
      <c r="AG222">
        <f>IF(ElevCalc!$AF$111*(ElevCalc!$AF$93=2),((ElevCalc!$AF$112)*ElevCalc!$AF$91),NA())</f>
        <v/>
      </c>
    </row>
    <row r="223">
      <c r="A223" t="inlineStr">
        <is>
          <t>lite2</t>
        </is>
      </c>
      <c r="B223">
        <f>IF(ElevCalc!$B$111*(ElevCalc!$B$93=2),(ElevCalc!$B$92+(ElevCalc!$B$115+ElevCalc!$B$109)*ElevCalc!$B$91),NA())</f>
        <v/>
      </c>
      <c r="C223">
        <f>IF(ElevCalc!$B$111*(ElevCalc!$B$93=2),((ElevCalc!$B$112)*ElevCalc!$B$91),NA())</f>
        <v/>
      </c>
      <c r="F223" t="inlineStr">
        <is>
          <t>lite2</t>
        </is>
      </c>
      <c r="G223">
        <f>IF(ElevCalc!$G$111*(ElevCalc!$G$93=2),(ElevCalc!$G$92+(ElevCalc!$G$115+ElevCalc!$G$109)*ElevCalc!$G$91),NA())</f>
        <v/>
      </c>
      <c r="H223">
        <f>IF(ElevCalc!$G$111*(ElevCalc!$G$93=2),((ElevCalc!$G$112)*ElevCalc!$G$91),NA())</f>
        <v/>
      </c>
      <c r="K223" t="inlineStr">
        <is>
          <t>lite2</t>
        </is>
      </c>
      <c r="L223">
        <f>IF(ElevCalc!$L$111*(ElevCalc!$L$93=2),(ElevCalc!$L$92+(ElevCalc!$L$115+ElevCalc!$L$109)*ElevCalc!$L$91),NA())</f>
        <v/>
      </c>
      <c r="M223">
        <f>IF(ElevCalc!$L$111*(ElevCalc!$L$93=2),((ElevCalc!$L$112)*ElevCalc!$L$91),NA())</f>
        <v/>
      </c>
      <c r="P223" t="inlineStr">
        <is>
          <t>lite2</t>
        </is>
      </c>
      <c r="Q223">
        <f>IF(ElevCalc!$Q$111*(ElevCalc!$Q$93=2),(ElevCalc!$Q$92+(ElevCalc!$Q$115+ElevCalc!$Q$109)*ElevCalc!$Q$91),NA())</f>
        <v/>
      </c>
      <c r="R223">
        <f>IF(ElevCalc!$Q$111*(ElevCalc!$Q$93=2),((ElevCalc!$Q$112)*ElevCalc!$Q$91),NA())</f>
        <v/>
      </c>
      <c r="U223" t="inlineStr">
        <is>
          <t>lite2</t>
        </is>
      </c>
      <c r="V223">
        <f>IF(ElevCalc!$V$111*(ElevCalc!$V$93=2),(ElevCalc!$V$92+(ElevCalc!$V$115+ElevCalc!$V$109)*ElevCalc!$V$91),NA())</f>
        <v/>
      </c>
      <c r="W223">
        <f>IF(ElevCalc!$V$111*(ElevCalc!$V$93=2),((ElevCalc!$V$112)*ElevCalc!$V$91),NA())</f>
        <v/>
      </c>
      <c r="Z223" t="inlineStr">
        <is>
          <t>lite2</t>
        </is>
      </c>
      <c r="AA223">
        <f>IF(ElevCalc!$AA$111*(ElevCalc!$AA$93=2),(ElevCalc!$AA$92+(ElevCalc!$AA$115+ElevCalc!$AA$109)*ElevCalc!$AA$91),NA())</f>
        <v/>
      </c>
      <c r="AB223">
        <f>IF(ElevCalc!$AA$111*(ElevCalc!$AA$93=2),((ElevCalc!$AA$112)*ElevCalc!$AA$91),NA())</f>
        <v/>
      </c>
      <c r="AE223" t="inlineStr">
        <is>
          <t>lite2</t>
        </is>
      </c>
      <c r="AF223">
        <f>IF(ElevCalc!$AF$111*(ElevCalc!$AF$93=2),(ElevCalc!$AF$92+(ElevCalc!$AF$115+ElevCalc!$AF$109)*ElevCalc!$AF$91),NA())</f>
        <v/>
      </c>
      <c r="AG223">
        <f>IF(ElevCalc!$AF$111*(ElevCalc!$AF$93=2),((ElevCalc!$AF$112)*ElevCalc!$AF$91),NA())</f>
        <v/>
      </c>
    </row>
    <row r="224">
      <c r="A224" t="inlineStr">
        <is>
          <t>lite2</t>
        </is>
      </c>
      <c r="B224">
        <f>IF(ElevCalc!$B$111*(ElevCalc!$B$93=2),(ElevCalc!$B$92+(ElevCalc!$B$115+ElevCalc!$B$109)*ElevCalc!$B$91),NA())</f>
        <v/>
      </c>
      <c r="C224">
        <f>IF(ElevCalc!$B$111*(ElevCalc!$B$93=2),((ElevCalc!$B$113)*ElevCalc!$B$91),NA())</f>
        <v/>
      </c>
      <c r="F224" t="inlineStr">
        <is>
          <t>lite2</t>
        </is>
      </c>
      <c r="G224">
        <f>IF(ElevCalc!$G$111*(ElevCalc!$G$93=2),(ElevCalc!$G$92+(ElevCalc!$G$115+ElevCalc!$G$109)*ElevCalc!$G$91),NA())</f>
        <v/>
      </c>
      <c r="H224">
        <f>IF(ElevCalc!$G$111*(ElevCalc!$G$93=2),((ElevCalc!$G$113)*ElevCalc!$G$91),NA())</f>
        <v/>
      </c>
      <c r="K224" t="inlineStr">
        <is>
          <t>lite2</t>
        </is>
      </c>
      <c r="L224">
        <f>IF(ElevCalc!$L$111*(ElevCalc!$L$93=2),(ElevCalc!$L$92+(ElevCalc!$L$115+ElevCalc!$L$109)*ElevCalc!$L$91),NA())</f>
        <v/>
      </c>
      <c r="M224">
        <f>IF(ElevCalc!$L$111*(ElevCalc!$L$93=2),((ElevCalc!$L$113)*ElevCalc!$L$91),NA())</f>
        <v/>
      </c>
      <c r="P224" t="inlineStr">
        <is>
          <t>lite2</t>
        </is>
      </c>
      <c r="Q224">
        <f>IF(ElevCalc!$Q$111*(ElevCalc!$Q$93=2),(ElevCalc!$Q$92+(ElevCalc!$Q$115+ElevCalc!$Q$109)*ElevCalc!$Q$91),NA())</f>
        <v/>
      </c>
      <c r="R224">
        <f>IF(ElevCalc!$Q$111*(ElevCalc!$Q$93=2),((ElevCalc!$Q$113)*ElevCalc!$Q$91),NA())</f>
        <v/>
      </c>
      <c r="U224" t="inlineStr">
        <is>
          <t>lite2</t>
        </is>
      </c>
      <c r="V224">
        <f>IF(ElevCalc!$V$111*(ElevCalc!$V$93=2),(ElevCalc!$V$92+(ElevCalc!$V$115+ElevCalc!$V$109)*ElevCalc!$V$91),NA())</f>
        <v/>
      </c>
      <c r="W224">
        <f>IF(ElevCalc!$V$111*(ElevCalc!$V$93=2),((ElevCalc!$V$113)*ElevCalc!$V$91),NA())</f>
        <v/>
      </c>
      <c r="Z224" t="inlineStr">
        <is>
          <t>lite2</t>
        </is>
      </c>
      <c r="AA224">
        <f>IF(ElevCalc!$AA$111*(ElevCalc!$AA$93=2),(ElevCalc!$AA$92+(ElevCalc!$AA$115+ElevCalc!$AA$109)*ElevCalc!$AA$91),NA())</f>
        <v/>
      </c>
      <c r="AB224">
        <f>IF(ElevCalc!$AA$111*(ElevCalc!$AA$93=2),((ElevCalc!$AA$113)*ElevCalc!$AA$91),NA())</f>
        <v/>
      </c>
      <c r="AE224" t="inlineStr">
        <is>
          <t>lite2</t>
        </is>
      </c>
      <c r="AF224">
        <f>IF(ElevCalc!$AF$111*(ElevCalc!$AF$93=2),(ElevCalc!$AF$92+(ElevCalc!$AF$115+ElevCalc!$AF$109)*ElevCalc!$AF$91),NA())</f>
        <v/>
      </c>
      <c r="AG224">
        <f>IF(ElevCalc!$AF$111*(ElevCalc!$AF$93=2),((ElevCalc!$AF$113)*ElevCalc!$AF$91),NA())</f>
        <v/>
      </c>
    </row>
    <row r="225">
      <c r="A225" t="inlineStr">
        <is>
          <t>lite2</t>
        </is>
      </c>
      <c r="B225">
        <f>IF(ElevCalc!$B$111*(ElevCalc!$B$93=2),(ElevCalc!$B$92+(ElevCalc!$B$115)*ElevCalc!$B$91),NA())</f>
        <v/>
      </c>
      <c r="C225">
        <f>IF(ElevCalc!$B$111*(ElevCalc!$B$93=2),((ElevCalc!$B$113)*ElevCalc!$B$91),NA())</f>
        <v/>
      </c>
      <c r="F225" t="inlineStr">
        <is>
          <t>lite2</t>
        </is>
      </c>
      <c r="G225">
        <f>IF(ElevCalc!$G$111*(ElevCalc!$G$93=2),(ElevCalc!$G$92+(ElevCalc!$G$115)*ElevCalc!$G$91),NA())</f>
        <v/>
      </c>
      <c r="H225">
        <f>IF(ElevCalc!$G$111*(ElevCalc!$G$93=2),((ElevCalc!$G$113)*ElevCalc!$G$91),NA())</f>
        <v/>
      </c>
      <c r="K225" t="inlineStr">
        <is>
          <t>lite2</t>
        </is>
      </c>
      <c r="L225">
        <f>IF(ElevCalc!$L$111*(ElevCalc!$L$93=2),(ElevCalc!$L$92+(ElevCalc!$L$115)*ElevCalc!$L$91),NA())</f>
        <v/>
      </c>
      <c r="M225">
        <f>IF(ElevCalc!$L$111*(ElevCalc!$L$93=2),((ElevCalc!$L$113)*ElevCalc!$L$91),NA())</f>
        <v/>
      </c>
      <c r="P225" t="inlineStr">
        <is>
          <t>lite2</t>
        </is>
      </c>
      <c r="Q225">
        <f>IF(ElevCalc!$Q$111*(ElevCalc!$Q$93=2),(ElevCalc!$Q$92+(ElevCalc!$Q$115)*ElevCalc!$Q$91),NA())</f>
        <v/>
      </c>
      <c r="R225">
        <f>IF(ElevCalc!$Q$111*(ElevCalc!$Q$93=2),((ElevCalc!$Q$113)*ElevCalc!$Q$91),NA())</f>
        <v/>
      </c>
      <c r="U225" t="inlineStr">
        <is>
          <t>lite2</t>
        </is>
      </c>
      <c r="V225">
        <f>IF(ElevCalc!$V$111*(ElevCalc!$V$93=2),(ElevCalc!$V$92+(ElevCalc!$V$115)*ElevCalc!$V$91),NA())</f>
        <v/>
      </c>
      <c r="W225">
        <f>IF(ElevCalc!$V$111*(ElevCalc!$V$93=2),((ElevCalc!$V$113)*ElevCalc!$V$91),NA())</f>
        <v/>
      </c>
      <c r="Z225" t="inlineStr">
        <is>
          <t>lite2</t>
        </is>
      </c>
      <c r="AA225">
        <f>IF(ElevCalc!$AA$111*(ElevCalc!$AA$93=2),(ElevCalc!$AA$92+(ElevCalc!$AA$115)*ElevCalc!$AA$91),NA())</f>
        <v/>
      </c>
      <c r="AB225">
        <f>IF(ElevCalc!$AA$111*(ElevCalc!$AA$93=2),((ElevCalc!$AA$113)*ElevCalc!$AA$91),NA())</f>
        <v/>
      </c>
      <c r="AE225" t="inlineStr">
        <is>
          <t>lite2</t>
        </is>
      </c>
      <c r="AF225">
        <f>IF(ElevCalc!$AF$111*(ElevCalc!$AF$93=2),(ElevCalc!$AF$92+(ElevCalc!$AF$115)*ElevCalc!$AF$91),NA())</f>
        <v/>
      </c>
      <c r="AG225">
        <f>IF(ElevCalc!$AF$111*(ElevCalc!$AF$93=2),((ElevCalc!$AF$113)*ElevCalc!$AF$91),NA())</f>
        <v/>
      </c>
    </row>
    <row r="227">
      <c r="A227" t="inlineStr">
        <is>
          <t>g1</t>
        </is>
      </c>
      <c r="B227">
        <f>IF(ElevCalc!$B$111*(ElevCalc!$B$20&lt;&gt;"FL"),(ElevCalc!$B$92+(ElevCalc!$B$114+0.25*(ElevCalc!$B$114+ElevCalc!$B$109-ElevCalc!$B$114))*ElevCalc!$B$91),NA())</f>
        <v/>
      </c>
      <c r="C227">
        <f>IF(ElevCalc!$B$111*(ElevCalc!$B$20&lt;&gt;"FL"),((ElevCalc!$B$113+0.45*(ElevCalc!$B$112-ElevCalc!$B$113))*ElevCalc!$B$91),NA())</f>
        <v/>
      </c>
      <c r="F227" t="inlineStr">
        <is>
          <t>g1</t>
        </is>
      </c>
      <c r="G227">
        <f>IF(ElevCalc!$G$111*(ElevCalc!$G$20&lt;&gt;"FL"),(ElevCalc!$G$92+(ElevCalc!$G$114+0.25*(ElevCalc!$G$114+ElevCalc!$G$109-ElevCalc!$G$114))*ElevCalc!$G$91),NA())</f>
        <v/>
      </c>
      <c r="H227">
        <f>IF(ElevCalc!$G$111*(ElevCalc!$G$20&lt;&gt;"FL"),((ElevCalc!$G$113+0.45*(ElevCalc!$G$112-ElevCalc!$G$113))*ElevCalc!$G$91),NA())</f>
        <v/>
      </c>
      <c r="K227" t="inlineStr">
        <is>
          <t>g1</t>
        </is>
      </c>
      <c r="L227">
        <f>IF(ElevCalc!$L$111*(ElevCalc!$L$20&lt;&gt;"FL"),(ElevCalc!$L$92+(ElevCalc!$L$114+0.25*(ElevCalc!$L$114+ElevCalc!$L$109-ElevCalc!$L$114))*ElevCalc!$L$91),NA())</f>
        <v/>
      </c>
      <c r="M227">
        <f>IF(ElevCalc!$L$111*(ElevCalc!$L$20&lt;&gt;"FL"),((ElevCalc!$L$113+0.45*(ElevCalc!$L$112-ElevCalc!$L$113))*ElevCalc!$L$91),NA())</f>
        <v/>
      </c>
      <c r="P227" t="inlineStr">
        <is>
          <t>g1</t>
        </is>
      </c>
      <c r="Q227">
        <f>IF(ElevCalc!$Q$111*(ElevCalc!$Q$20&lt;&gt;"FL"),(ElevCalc!$Q$92+(ElevCalc!$Q$114+0.25*(ElevCalc!$Q$114+ElevCalc!$Q$109-ElevCalc!$Q$114))*ElevCalc!$Q$91),NA())</f>
        <v/>
      </c>
      <c r="R227">
        <f>IF(ElevCalc!$Q$111*(ElevCalc!$Q$20&lt;&gt;"FL"),((ElevCalc!$Q$113+0.45*(ElevCalc!$Q$112-ElevCalc!$Q$113))*ElevCalc!$Q$91),NA())</f>
        <v/>
      </c>
      <c r="U227" t="inlineStr">
        <is>
          <t>g1</t>
        </is>
      </c>
      <c r="V227">
        <f>IF(ElevCalc!$V$111*(ElevCalc!$V$20&lt;&gt;"FL"),(ElevCalc!$V$92+(ElevCalc!$V$114+0.25*(ElevCalc!$V$114+ElevCalc!$V$109-ElevCalc!$V$114))*ElevCalc!$V$91),NA())</f>
        <v/>
      </c>
      <c r="W227">
        <f>IF(ElevCalc!$V$111*(ElevCalc!$V$20&lt;&gt;"FL"),((ElevCalc!$V$113+0.45*(ElevCalc!$V$112-ElevCalc!$V$113))*ElevCalc!$V$91),NA())</f>
        <v/>
      </c>
      <c r="Z227" t="inlineStr">
        <is>
          <t>g1</t>
        </is>
      </c>
      <c r="AA227">
        <f>IF(ElevCalc!$AA$111*(ElevCalc!$AA$20&lt;&gt;"FL"),(ElevCalc!$AA$92+(ElevCalc!$AA$114+0.25*(ElevCalc!$AA$114+ElevCalc!$AA$109-ElevCalc!$AA$114))*ElevCalc!$AA$91),NA())</f>
        <v/>
      </c>
      <c r="AB227">
        <f>IF(ElevCalc!$AA$111*(ElevCalc!$AA$20&lt;&gt;"FL"),((ElevCalc!$AA$113+0.45*(ElevCalc!$AA$112-ElevCalc!$AA$113))*ElevCalc!$AA$91),NA())</f>
        <v/>
      </c>
      <c r="AE227" t="inlineStr">
        <is>
          <t>g1</t>
        </is>
      </c>
      <c r="AF227">
        <f>IF(ElevCalc!$AF$111*(ElevCalc!$AF$20&lt;&gt;"FL"),(ElevCalc!$AF$92+(ElevCalc!$AF$114+0.25*(ElevCalc!$AF$114+ElevCalc!$AF$109-ElevCalc!$AF$114))*ElevCalc!$AF$91),NA())</f>
        <v/>
      </c>
      <c r="AG227">
        <f>IF(ElevCalc!$AF$111*(ElevCalc!$AF$20&lt;&gt;"FL"),((ElevCalc!$AF$113+0.45*(ElevCalc!$AF$112-ElevCalc!$AF$113))*ElevCalc!$AF$91),NA())</f>
        <v/>
      </c>
    </row>
    <row r="228">
      <c r="A228" t="inlineStr">
        <is>
          <t>g1</t>
        </is>
      </c>
      <c r="B228">
        <f>IF(ElevCalc!$B$111*(ElevCalc!$B$20&lt;&gt;"FL"),(ElevCalc!$B$92+(ElevCalc!$B$114+0.5*(ElevCalc!$B$114+ElevCalc!$B$109-ElevCalc!$B$114))*ElevCalc!$B$91),NA())</f>
        <v/>
      </c>
      <c r="C228">
        <f>IF(ElevCalc!$B$111*(ElevCalc!$B$20&lt;&gt;"FL"),((ElevCalc!$B$113+0.75*(ElevCalc!$B$112-ElevCalc!$B$113))*ElevCalc!$B$91),NA())</f>
        <v/>
      </c>
      <c r="F228" t="inlineStr">
        <is>
          <t>g1</t>
        </is>
      </c>
      <c r="G228">
        <f>IF(ElevCalc!$G$111*(ElevCalc!$G$20&lt;&gt;"FL"),(ElevCalc!$G$92+(ElevCalc!$G$114+0.5*(ElevCalc!$G$114+ElevCalc!$G$109-ElevCalc!$G$114))*ElevCalc!$G$91),NA())</f>
        <v/>
      </c>
      <c r="H228">
        <f>IF(ElevCalc!$G$111*(ElevCalc!$G$20&lt;&gt;"FL"),((ElevCalc!$G$113+0.75*(ElevCalc!$G$112-ElevCalc!$G$113))*ElevCalc!$G$91),NA())</f>
        <v/>
      </c>
      <c r="K228" t="inlineStr">
        <is>
          <t>g1</t>
        </is>
      </c>
      <c r="L228">
        <f>IF(ElevCalc!$L$111*(ElevCalc!$L$20&lt;&gt;"FL"),(ElevCalc!$L$92+(ElevCalc!$L$114+0.5*(ElevCalc!$L$114+ElevCalc!$L$109-ElevCalc!$L$114))*ElevCalc!$L$91),NA())</f>
        <v/>
      </c>
      <c r="M228">
        <f>IF(ElevCalc!$L$111*(ElevCalc!$L$20&lt;&gt;"FL"),((ElevCalc!$L$113+0.75*(ElevCalc!$L$112-ElevCalc!$L$113))*ElevCalc!$L$91),NA())</f>
        <v/>
      </c>
      <c r="P228" t="inlineStr">
        <is>
          <t>g1</t>
        </is>
      </c>
      <c r="Q228">
        <f>IF(ElevCalc!$Q$111*(ElevCalc!$Q$20&lt;&gt;"FL"),(ElevCalc!$Q$92+(ElevCalc!$Q$114+0.5*(ElevCalc!$Q$114+ElevCalc!$Q$109-ElevCalc!$Q$114))*ElevCalc!$Q$91),NA())</f>
        <v/>
      </c>
      <c r="R228">
        <f>IF(ElevCalc!$Q$111*(ElevCalc!$Q$20&lt;&gt;"FL"),((ElevCalc!$Q$113+0.75*(ElevCalc!$Q$112-ElevCalc!$Q$113))*ElevCalc!$Q$91),NA())</f>
        <v/>
      </c>
      <c r="U228" t="inlineStr">
        <is>
          <t>g1</t>
        </is>
      </c>
      <c r="V228">
        <f>IF(ElevCalc!$V$111*(ElevCalc!$V$20&lt;&gt;"FL"),(ElevCalc!$V$92+(ElevCalc!$V$114+0.5*(ElevCalc!$V$114+ElevCalc!$V$109-ElevCalc!$V$114))*ElevCalc!$V$91),NA())</f>
        <v/>
      </c>
      <c r="W228">
        <f>IF(ElevCalc!$V$111*(ElevCalc!$V$20&lt;&gt;"FL"),((ElevCalc!$V$113+0.75*(ElevCalc!$V$112-ElevCalc!$V$113))*ElevCalc!$V$91),NA())</f>
        <v/>
      </c>
      <c r="Z228" t="inlineStr">
        <is>
          <t>g1</t>
        </is>
      </c>
      <c r="AA228">
        <f>IF(ElevCalc!$AA$111*(ElevCalc!$AA$20&lt;&gt;"FL"),(ElevCalc!$AA$92+(ElevCalc!$AA$114+0.5*(ElevCalc!$AA$114+ElevCalc!$AA$109-ElevCalc!$AA$114))*ElevCalc!$AA$91),NA())</f>
        <v/>
      </c>
      <c r="AB228">
        <f>IF(ElevCalc!$AA$111*(ElevCalc!$AA$20&lt;&gt;"FL"),((ElevCalc!$AA$113+0.75*(ElevCalc!$AA$112-ElevCalc!$AA$113))*ElevCalc!$AA$91),NA())</f>
        <v/>
      </c>
      <c r="AE228" t="inlineStr">
        <is>
          <t>g1</t>
        </is>
      </c>
      <c r="AF228">
        <f>IF(ElevCalc!$AF$111*(ElevCalc!$AF$20&lt;&gt;"FL"),(ElevCalc!$AF$92+(ElevCalc!$AF$114+0.5*(ElevCalc!$AF$114+ElevCalc!$AF$109-ElevCalc!$AF$114))*ElevCalc!$AF$91),NA())</f>
        <v/>
      </c>
      <c r="AG228">
        <f>IF(ElevCalc!$AF$111*(ElevCalc!$AF$20&lt;&gt;"FL"),((ElevCalc!$AF$113+0.75*(ElevCalc!$AF$112-ElevCalc!$AF$113))*ElevCalc!$AF$91),NA())</f>
        <v/>
      </c>
    </row>
    <row r="230">
      <c r="A230" t="inlineStr">
        <is>
          <t>g1b</t>
        </is>
      </c>
      <c r="B230">
        <f>IF(ElevCalc!$B$111*(ElevCalc!$B$20&lt;&gt;"FL"),(ElevCalc!$B$92+(ElevCalc!$B$114+0.38*(ElevCalc!$B$114+ElevCalc!$B$109-ElevCalc!$B$114))*ElevCalc!$B$91),NA())</f>
        <v/>
      </c>
      <c r="C230">
        <f>IF(ElevCalc!$B$111*(ElevCalc!$B$20&lt;&gt;"FL"),((ElevCalc!$B$113+0.40*(ElevCalc!$B$112-ElevCalc!$B$113))*ElevCalc!$B$91),NA())</f>
        <v/>
      </c>
      <c r="F230" t="inlineStr">
        <is>
          <t>g1b</t>
        </is>
      </c>
      <c r="G230">
        <f>IF(ElevCalc!$G$111*(ElevCalc!$G$20&lt;&gt;"FL"),(ElevCalc!$G$92+(ElevCalc!$G$114+0.38*(ElevCalc!$G$114+ElevCalc!$G$109-ElevCalc!$G$114))*ElevCalc!$G$91),NA())</f>
        <v/>
      </c>
      <c r="H230">
        <f>IF(ElevCalc!$G$111*(ElevCalc!$G$20&lt;&gt;"FL"),((ElevCalc!$G$113+0.40*(ElevCalc!$G$112-ElevCalc!$G$113))*ElevCalc!$G$91),NA())</f>
        <v/>
      </c>
      <c r="K230" t="inlineStr">
        <is>
          <t>g1b</t>
        </is>
      </c>
      <c r="L230">
        <f>IF(ElevCalc!$L$111*(ElevCalc!$L$20&lt;&gt;"FL"),(ElevCalc!$L$92+(ElevCalc!$L$114+0.38*(ElevCalc!$L$114+ElevCalc!$L$109-ElevCalc!$L$114))*ElevCalc!$L$91),NA())</f>
        <v/>
      </c>
      <c r="M230">
        <f>IF(ElevCalc!$L$111*(ElevCalc!$L$20&lt;&gt;"FL"),((ElevCalc!$L$113+0.40*(ElevCalc!$L$112-ElevCalc!$L$113))*ElevCalc!$L$91),NA())</f>
        <v/>
      </c>
      <c r="P230" t="inlineStr">
        <is>
          <t>g1b</t>
        </is>
      </c>
      <c r="Q230">
        <f>IF(ElevCalc!$Q$111*(ElevCalc!$Q$20&lt;&gt;"FL"),(ElevCalc!$Q$92+(ElevCalc!$Q$114+0.38*(ElevCalc!$Q$114+ElevCalc!$Q$109-ElevCalc!$Q$114))*ElevCalc!$Q$91),NA())</f>
        <v/>
      </c>
      <c r="R230">
        <f>IF(ElevCalc!$Q$111*(ElevCalc!$Q$20&lt;&gt;"FL"),((ElevCalc!$Q$113+0.40*(ElevCalc!$Q$112-ElevCalc!$Q$113))*ElevCalc!$Q$91),NA())</f>
        <v/>
      </c>
      <c r="U230" t="inlineStr">
        <is>
          <t>g1b</t>
        </is>
      </c>
      <c r="V230">
        <f>IF(ElevCalc!$V$111*(ElevCalc!$V$20&lt;&gt;"FL"),(ElevCalc!$V$92+(ElevCalc!$V$114+0.38*(ElevCalc!$V$114+ElevCalc!$V$109-ElevCalc!$V$114))*ElevCalc!$V$91),NA())</f>
        <v/>
      </c>
      <c r="W230">
        <f>IF(ElevCalc!$V$111*(ElevCalc!$V$20&lt;&gt;"FL"),((ElevCalc!$V$113+0.40*(ElevCalc!$V$112-ElevCalc!$V$113))*ElevCalc!$V$91),NA())</f>
        <v/>
      </c>
      <c r="Z230" t="inlineStr">
        <is>
          <t>g1b</t>
        </is>
      </c>
      <c r="AA230">
        <f>IF(ElevCalc!$AA$111*(ElevCalc!$AA$20&lt;&gt;"FL"),(ElevCalc!$AA$92+(ElevCalc!$AA$114+0.38*(ElevCalc!$AA$114+ElevCalc!$AA$109-ElevCalc!$AA$114))*ElevCalc!$AA$91),NA())</f>
        <v/>
      </c>
      <c r="AB230">
        <f>IF(ElevCalc!$AA$111*(ElevCalc!$AA$20&lt;&gt;"FL"),((ElevCalc!$AA$113+0.40*(ElevCalc!$AA$112-ElevCalc!$AA$113))*ElevCalc!$AA$91),NA())</f>
        <v/>
      </c>
      <c r="AE230" t="inlineStr">
        <is>
          <t>g1b</t>
        </is>
      </c>
      <c r="AF230">
        <f>IF(ElevCalc!$AF$111*(ElevCalc!$AF$20&lt;&gt;"FL"),(ElevCalc!$AF$92+(ElevCalc!$AF$114+0.38*(ElevCalc!$AF$114+ElevCalc!$AF$109-ElevCalc!$AF$114))*ElevCalc!$AF$91),NA())</f>
        <v/>
      </c>
      <c r="AG230">
        <f>IF(ElevCalc!$AF$111*(ElevCalc!$AF$20&lt;&gt;"FL"),((ElevCalc!$AF$113+0.40*(ElevCalc!$AF$112-ElevCalc!$AF$113))*ElevCalc!$AF$91),NA())</f>
        <v/>
      </c>
    </row>
    <row r="231">
      <c r="A231" t="inlineStr">
        <is>
          <t>g1b</t>
        </is>
      </c>
      <c r="B231">
        <f>IF(ElevCalc!$B$111*(ElevCalc!$B$20&lt;&gt;"FL"),(ElevCalc!$B$92+(ElevCalc!$B$114+0.63*(ElevCalc!$B$114+ElevCalc!$B$109-ElevCalc!$B$114))*ElevCalc!$B$91),NA())</f>
        <v/>
      </c>
      <c r="C231">
        <f>IF(ElevCalc!$B$111*(ElevCalc!$B$20&lt;&gt;"FL"),((ElevCalc!$B$113+0.70*(ElevCalc!$B$112-ElevCalc!$B$113))*ElevCalc!$B$91),NA())</f>
        <v/>
      </c>
      <c r="F231" t="inlineStr">
        <is>
          <t>g1b</t>
        </is>
      </c>
      <c r="G231">
        <f>IF(ElevCalc!$G$111*(ElevCalc!$G$20&lt;&gt;"FL"),(ElevCalc!$G$92+(ElevCalc!$G$114+0.63*(ElevCalc!$G$114+ElevCalc!$G$109-ElevCalc!$G$114))*ElevCalc!$G$91),NA())</f>
        <v/>
      </c>
      <c r="H231">
        <f>IF(ElevCalc!$G$111*(ElevCalc!$G$20&lt;&gt;"FL"),((ElevCalc!$G$113+0.70*(ElevCalc!$G$112-ElevCalc!$G$113))*ElevCalc!$G$91),NA())</f>
        <v/>
      </c>
      <c r="K231" t="inlineStr">
        <is>
          <t>g1b</t>
        </is>
      </c>
      <c r="L231">
        <f>IF(ElevCalc!$L$111*(ElevCalc!$L$20&lt;&gt;"FL"),(ElevCalc!$L$92+(ElevCalc!$L$114+0.63*(ElevCalc!$L$114+ElevCalc!$L$109-ElevCalc!$L$114))*ElevCalc!$L$91),NA())</f>
        <v/>
      </c>
      <c r="M231">
        <f>IF(ElevCalc!$L$111*(ElevCalc!$L$20&lt;&gt;"FL"),((ElevCalc!$L$113+0.70*(ElevCalc!$L$112-ElevCalc!$L$113))*ElevCalc!$L$91),NA())</f>
        <v/>
      </c>
      <c r="P231" t="inlineStr">
        <is>
          <t>g1b</t>
        </is>
      </c>
      <c r="Q231">
        <f>IF(ElevCalc!$Q$111*(ElevCalc!$Q$20&lt;&gt;"FL"),(ElevCalc!$Q$92+(ElevCalc!$Q$114+0.63*(ElevCalc!$Q$114+ElevCalc!$Q$109-ElevCalc!$Q$114))*ElevCalc!$Q$91),NA())</f>
        <v/>
      </c>
      <c r="R231">
        <f>IF(ElevCalc!$Q$111*(ElevCalc!$Q$20&lt;&gt;"FL"),((ElevCalc!$Q$113+0.70*(ElevCalc!$Q$112-ElevCalc!$Q$113))*ElevCalc!$Q$91),NA())</f>
        <v/>
      </c>
      <c r="U231" t="inlineStr">
        <is>
          <t>g1b</t>
        </is>
      </c>
      <c r="V231">
        <f>IF(ElevCalc!$V$111*(ElevCalc!$V$20&lt;&gt;"FL"),(ElevCalc!$V$92+(ElevCalc!$V$114+0.63*(ElevCalc!$V$114+ElevCalc!$V$109-ElevCalc!$V$114))*ElevCalc!$V$91),NA())</f>
        <v/>
      </c>
      <c r="W231">
        <f>IF(ElevCalc!$V$111*(ElevCalc!$V$20&lt;&gt;"FL"),((ElevCalc!$V$113+0.70*(ElevCalc!$V$112-ElevCalc!$V$113))*ElevCalc!$V$91),NA())</f>
        <v/>
      </c>
      <c r="Z231" t="inlineStr">
        <is>
          <t>g1b</t>
        </is>
      </c>
      <c r="AA231">
        <f>IF(ElevCalc!$AA$111*(ElevCalc!$AA$20&lt;&gt;"FL"),(ElevCalc!$AA$92+(ElevCalc!$AA$114+0.63*(ElevCalc!$AA$114+ElevCalc!$AA$109-ElevCalc!$AA$114))*ElevCalc!$AA$91),NA())</f>
        <v/>
      </c>
      <c r="AB231">
        <f>IF(ElevCalc!$AA$111*(ElevCalc!$AA$20&lt;&gt;"FL"),((ElevCalc!$AA$113+0.70*(ElevCalc!$AA$112-ElevCalc!$AA$113))*ElevCalc!$AA$91),NA())</f>
        <v/>
      </c>
      <c r="AE231" t="inlineStr">
        <is>
          <t>g1b</t>
        </is>
      </c>
      <c r="AF231">
        <f>IF(ElevCalc!$AF$111*(ElevCalc!$AF$20&lt;&gt;"FL"),(ElevCalc!$AF$92+(ElevCalc!$AF$114+0.63*(ElevCalc!$AF$114+ElevCalc!$AF$109-ElevCalc!$AF$114))*ElevCalc!$AF$91),NA())</f>
        <v/>
      </c>
      <c r="AG231">
        <f>IF(ElevCalc!$AF$111*(ElevCalc!$AF$20&lt;&gt;"FL"),((ElevCalc!$AF$113+0.70*(ElevCalc!$AF$112-ElevCalc!$AF$113))*ElevCalc!$AF$91),NA())</f>
        <v/>
      </c>
    </row>
    <row r="233">
      <c r="A233" t="inlineStr">
        <is>
          <t>g2</t>
        </is>
      </c>
      <c r="B233">
        <f>IF(ElevCalc!$B$111*(ElevCalc!$B$93=2)*(ElevCalc!$B$20&lt;&gt;"FL"),(ElevCalc!$B$92+(ElevCalc!$B$115+0.25*(ElevCalc!$B$115+ElevCalc!$B$109-ElevCalc!$B$115))*ElevCalc!$B$91),NA())</f>
        <v/>
      </c>
      <c r="C233">
        <f>IF(ElevCalc!$B$111*(ElevCalc!$B$93=2)*(ElevCalc!$B$20&lt;&gt;"FL"),((ElevCalc!$B$113+0.45*(ElevCalc!$B$112-ElevCalc!$B$113))*ElevCalc!$B$91),NA())</f>
        <v/>
      </c>
      <c r="F233" t="inlineStr">
        <is>
          <t>g2</t>
        </is>
      </c>
      <c r="G233">
        <f>IF(ElevCalc!$G$111*(ElevCalc!$G$93=2)*(ElevCalc!$G$20&lt;&gt;"FL"),(ElevCalc!$G$92+(ElevCalc!$G$115+0.25*(ElevCalc!$G$115+ElevCalc!$G$109-ElevCalc!$G$115))*ElevCalc!$G$91),NA())</f>
        <v/>
      </c>
      <c r="H233">
        <f>IF(ElevCalc!$G$111*(ElevCalc!$G$93=2)*(ElevCalc!$G$20&lt;&gt;"FL"),((ElevCalc!$G$113+0.45*(ElevCalc!$G$112-ElevCalc!$G$113))*ElevCalc!$G$91),NA())</f>
        <v/>
      </c>
      <c r="K233" t="inlineStr">
        <is>
          <t>g2</t>
        </is>
      </c>
      <c r="L233">
        <f>IF(ElevCalc!$L$111*(ElevCalc!$L$93=2)*(ElevCalc!$L$20&lt;&gt;"FL"),(ElevCalc!$L$92+(ElevCalc!$L$115+0.25*(ElevCalc!$L$115+ElevCalc!$L$109-ElevCalc!$L$115))*ElevCalc!$L$91),NA())</f>
        <v/>
      </c>
      <c r="M233">
        <f>IF(ElevCalc!$L$111*(ElevCalc!$L$93=2)*(ElevCalc!$L$20&lt;&gt;"FL"),((ElevCalc!$L$113+0.45*(ElevCalc!$L$112-ElevCalc!$L$113))*ElevCalc!$L$91),NA())</f>
        <v/>
      </c>
      <c r="P233" t="inlineStr">
        <is>
          <t>g2</t>
        </is>
      </c>
      <c r="Q233">
        <f>IF(ElevCalc!$Q$111*(ElevCalc!$Q$93=2)*(ElevCalc!$Q$20&lt;&gt;"FL"),(ElevCalc!$Q$92+(ElevCalc!$Q$115+0.25*(ElevCalc!$Q$115+ElevCalc!$Q$109-ElevCalc!$Q$115))*ElevCalc!$Q$91),NA())</f>
        <v/>
      </c>
      <c r="R233">
        <f>IF(ElevCalc!$Q$111*(ElevCalc!$Q$93=2)*(ElevCalc!$Q$20&lt;&gt;"FL"),((ElevCalc!$Q$113+0.45*(ElevCalc!$Q$112-ElevCalc!$Q$113))*ElevCalc!$Q$91),NA())</f>
        <v/>
      </c>
      <c r="U233" t="inlineStr">
        <is>
          <t>g2</t>
        </is>
      </c>
      <c r="V233">
        <f>IF(ElevCalc!$V$111*(ElevCalc!$V$93=2)*(ElevCalc!$V$20&lt;&gt;"FL"),(ElevCalc!$V$92+(ElevCalc!$V$115+0.25*(ElevCalc!$V$115+ElevCalc!$V$109-ElevCalc!$V$115))*ElevCalc!$V$91),NA())</f>
        <v/>
      </c>
      <c r="W233">
        <f>IF(ElevCalc!$V$111*(ElevCalc!$V$93=2)*(ElevCalc!$V$20&lt;&gt;"FL"),((ElevCalc!$V$113+0.45*(ElevCalc!$V$112-ElevCalc!$V$113))*ElevCalc!$V$91),NA())</f>
        <v/>
      </c>
      <c r="Z233" t="inlineStr">
        <is>
          <t>g2</t>
        </is>
      </c>
      <c r="AA233">
        <f>IF(ElevCalc!$AA$111*(ElevCalc!$AA$93=2)*(ElevCalc!$AA$20&lt;&gt;"FL"),(ElevCalc!$AA$92+(ElevCalc!$AA$115+0.25*(ElevCalc!$AA$115+ElevCalc!$AA$109-ElevCalc!$AA$115))*ElevCalc!$AA$91),NA())</f>
        <v/>
      </c>
      <c r="AB233">
        <f>IF(ElevCalc!$AA$111*(ElevCalc!$AA$93=2)*(ElevCalc!$AA$20&lt;&gt;"FL"),((ElevCalc!$AA$113+0.45*(ElevCalc!$AA$112-ElevCalc!$AA$113))*ElevCalc!$AA$91),NA())</f>
        <v/>
      </c>
      <c r="AE233" t="inlineStr">
        <is>
          <t>g2</t>
        </is>
      </c>
      <c r="AF233">
        <f>IF(ElevCalc!$AF$111*(ElevCalc!$AF$93=2)*(ElevCalc!$AF$20&lt;&gt;"FL"),(ElevCalc!$AF$92+(ElevCalc!$AF$115+0.25*(ElevCalc!$AF$115+ElevCalc!$AF$109-ElevCalc!$AF$115))*ElevCalc!$AF$91),NA())</f>
        <v/>
      </c>
      <c r="AG233">
        <f>IF(ElevCalc!$AF$111*(ElevCalc!$AF$93=2)*(ElevCalc!$AF$20&lt;&gt;"FL"),((ElevCalc!$AF$113+0.45*(ElevCalc!$AF$112-ElevCalc!$AF$113))*ElevCalc!$AF$91),NA())</f>
        <v/>
      </c>
    </row>
    <row r="234">
      <c r="A234" t="inlineStr">
        <is>
          <t>g2</t>
        </is>
      </c>
      <c r="B234">
        <f>IF(ElevCalc!$B$111*(ElevCalc!$B$93=2)*(ElevCalc!$B$20&lt;&gt;"FL"),(ElevCalc!$B$92+(ElevCalc!$B$115+0.5*(ElevCalc!$B$115+ElevCalc!$B$109-ElevCalc!$B$115))*ElevCalc!$B$91),NA())</f>
        <v/>
      </c>
      <c r="C234">
        <f>IF(ElevCalc!$B$111*(ElevCalc!$B$93=2)*(ElevCalc!$B$20&lt;&gt;"FL"),((ElevCalc!$B$113+0.75*(ElevCalc!$B$112-ElevCalc!$B$113))*ElevCalc!$B$91),NA())</f>
        <v/>
      </c>
      <c r="F234" t="inlineStr">
        <is>
          <t>g2</t>
        </is>
      </c>
      <c r="G234">
        <f>IF(ElevCalc!$G$111*(ElevCalc!$G$93=2)*(ElevCalc!$G$20&lt;&gt;"FL"),(ElevCalc!$G$92+(ElevCalc!$G$115+0.5*(ElevCalc!$G$115+ElevCalc!$G$109-ElevCalc!$G$115))*ElevCalc!$G$91),NA())</f>
        <v/>
      </c>
      <c r="H234">
        <f>IF(ElevCalc!$G$111*(ElevCalc!$G$93=2)*(ElevCalc!$G$20&lt;&gt;"FL"),((ElevCalc!$G$113+0.75*(ElevCalc!$G$112-ElevCalc!$G$113))*ElevCalc!$G$91),NA())</f>
        <v/>
      </c>
      <c r="K234" t="inlineStr">
        <is>
          <t>g2</t>
        </is>
      </c>
      <c r="L234">
        <f>IF(ElevCalc!$L$111*(ElevCalc!$L$93=2)*(ElevCalc!$L$20&lt;&gt;"FL"),(ElevCalc!$L$92+(ElevCalc!$L$115+0.5*(ElevCalc!$L$115+ElevCalc!$L$109-ElevCalc!$L$115))*ElevCalc!$L$91),NA())</f>
        <v/>
      </c>
      <c r="M234">
        <f>IF(ElevCalc!$L$111*(ElevCalc!$L$93=2)*(ElevCalc!$L$20&lt;&gt;"FL"),((ElevCalc!$L$113+0.75*(ElevCalc!$L$112-ElevCalc!$L$113))*ElevCalc!$L$91),NA())</f>
        <v/>
      </c>
      <c r="P234" t="inlineStr">
        <is>
          <t>g2</t>
        </is>
      </c>
      <c r="Q234">
        <f>IF(ElevCalc!$Q$111*(ElevCalc!$Q$93=2)*(ElevCalc!$Q$20&lt;&gt;"FL"),(ElevCalc!$Q$92+(ElevCalc!$Q$115+0.5*(ElevCalc!$Q$115+ElevCalc!$Q$109-ElevCalc!$Q$115))*ElevCalc!$Q$91),NA())</f>
        <v/>
      </c>
      <c r="R234">
        <f>IF(ElevCalc!$Q$111*(ElevCalc!$Q$93=2)*(ElevCalc!$Q$20&lt;&gt;"FL"),((ElevCalc!$Q$113+0.75*(ElevCalc!$Q$112-ElevCalc!$Q$113))*ElevCalc!$Q$91),NA())</f>
        <v/>
      </c>
      <c r="U234" t="inlineStr">
        <is>
          <t>g2</t>
        </is>
      </c>
      <c r="V234">
        <f>IF(ElevCalc!$V$111*(ElevCalc!$V$93=2)*(ElevCalc!$V$20&lt;&gt;"FL"),(ElevCalc!$V$92+(ElevCalc!$V$115+0.5*(ElevCalc!$V$115+ElevCalc!$V$109-ElevCalc!$V$115))*ElevCalc!$V$91),NA())</f>
        <v/>
      </c>
      <c r="W234">
        <f>IF(ElevCalc!$V$111*(ElevCalc!$V$93=2)*(ElevCalc!$V$20&lt;&gt;"FL"),((ElevCalc!$V$113+0.75*(ElevCalc!$V$112-ElevCalc!$V$113))*ElevCalc!$V$91),NA())</f>
        <v/>
      </c>
      <c r="Z234" t="inlineStr">
        <is>
          <t>g2</t>
        </is>
      </c>
      <c r="AA234">
        <f>IF(ElevCalc!$AA$111*(ElevCalc!$AA$93=2)*(ElevCalc!$AA$20&lt;&gt;"FL"),(ElevCalc!$AA$92+(ElevCalc!$AA$115+0.5*(ElevCalc!$AA$115+ElevCalc!$AA$109-ElevCalc!$AA$115))*ElevCalc!$AA$91),NA())</f>
        <v/>
      </c>
      <c r="AB234">
        <f>IF(ElevCalc!$AA$111*(ElevCalc!$AA$93=2)*(ElevCalc!$AA$20&lt;&gt;"FL"),((ElevCalc!$AA$113+0.75*(ElevCalc!$AA$112-ElevCalc!$AA$113))*ElevCalc!$AA$91),NA())</f>
        <v/>
      </c>
      <c r="AE234" t="inlineStr">
        <is>
          <t>g2</t>
        </is>
      </c>
      <c r="AF234">
        <f>IF(ElevCalc!$AF$111*(ElevCalc!$AF$93=2)*(ElevCalc!$AF$20&lt;&gt;"FL"),(ElevCalc!$AF$92+(ElevCalc!$AF$115+0.5*(ElevCalc!$AF$115+ElevCalc!$AF$109-ElevCalc!$AF$115))*ElevCalc!$AF$91),NA())</f>
        <v/>
      </c>
      <c r="AG234">
        <f>IF(ElevCalc!$AF$111*(ElevCalc!$AF$93=2)*(ElevCalc!$AF$20&lt;&gt;"FL"),((ElevCalc!$AF$113+0.75*(ElevCalc!$AF$112-ElevCalc!$AF$113))*ElevCalc!$AF$91),NA())</f>
        <v/>
      </c>
    </row>
    <row r="236">
      <c r="A236" t="inlineStr">
        <is>
          <t>g2b</t>
        </is>
      </c>
      <c r="B236">
        <f>IF(ElevCalc!$B$111*(ElevCalc!$B$93=2)*(ElevCalc!$B$20&lt;&gt;"FL"),(ElevCalc!$B$92+(ElevCalc!$B$115+0.38*(ElevCalc!$B$115+ElevCalc!$B$109-ElevCalc!$B$115))*ElevCalc!$B$91),NA())</f>
        <v/>
      </c>
      <c r="C236">
        <f>IF(ElevCalc!$B$111*(ElevCalc!$B$93=2)*(ElevCalc!$B$20&lt;&gt;"FL"),((ElevCalc!$B$113+0.40*(ElevCalc!$B$112-ElevCalc!$B$113))*ElevCalc!$B$91),NA())</f>
        <v/>
      </c>
      <c r="F236" t="inlineStr">
        <is>
          <t>g2b</t>
        </is>
      </c>
      <c r="G236">
        <f>IF(ElevCalc!$G$111*(ElevCalc!$G$93=2)*(ElevCalc!$G$20&lt;&gt;"FL"),(ElevCalc!$G$92+(ElevCalc!$G$115+0.38*(ElevCalc!$G$115+ElevCalc!$G$109-ElevCalc!$G$115))*ElevCalc!$G$91),NA())</f>
        <v/>
      </c>
      <c r="H236">
        <f>IF(ElevCalc!$G$111*(ElevCalc!$G$93=2)*(ElevCalc!$G$20&lt;&gt;"FL"),((ElevCalc!$G$113+0.40*(ElevCalc!$G$112-ElevCalc!$G$113))*ElevCalc!$G$91),NA())</f>
        <v/>
      </c>
      <c r="K236" t="inlineStr">
        <is>
          <t>g2b</t>
        </is>
      </c>
      <c r="L236">
        <f>IF(ElevCalc!$L$111*(ElevCalc!$L$93=2)*(ElevCalc!$L$20&lt;&gt;"FL"),(ElevCalc!$L$92+(ElevCalc!$L$115+0.38*(ElevCalc!$L$115+ElevCalc!$L$109-ElevCalc!$L$115))*ElevCalc!$L$91),NA())</f>
        <v/>
      </c>
      <c r="M236">
        <f>IF(ElevCalc!$L$111*(ElevCalc!$L$93=2)*(ElevCalc!$L$20&lt;&gt;"FL"),((ElevCalc!$L$113+0.40*(ElevCalc!$L$112-ElevCalc!$L$113))*ElevCalc!$L$91),NA())</f>
        <v/>
      </c>
      <c r="P236" t="inlineStr">
        <is>
          <t>g2b</t>
        </is>
      </c>
      <c r="Q236">
        <f>IF(ElevCalc!$Q$111*(ElevCalc!$Q$93=2)*(ElevCalc!$Q$20&lt;&gt;"FL"),(ElevCalc!$Q$92+(ElevCalc!$Q$115+0.38*(ElevCalc!$Q$115+ElevCalc!$Q$109-ElevCalc!$Q$115))*ElevCalc!$Q$91),NA())</f>
        <v/>
      </c>
      <c r="R236">
        <f>IF(ElevCalc!$Q$111*(ElevCalc!$Q$93=2)*(ElevCalc!$Q$20&lt;&gt;"FL"),((ElevCalc!$Q$113+0.40*(ElevCalc!$Q$112-ElevCalc!$Q$113))*ElevCalc!$Q$91),NA())</f>
        <v/>
      </c>
      <c r="U236" t="inlineStr">
        <is>
          <t>g2b</t>
        </is>
      </c>
      <c r="V236">
        <f>IF(ElevCalc!$V$111*(ElevCalc!$V$93=2)*(ElevCalc!$V$20&lt;&gt;"FL"),(ElevCalc!$V$92+(ElevCalc!$V$115+0.38*(ElevCalc!$V$115+ElevCalc!$V$109-ElevCalc!$V$115))*ElevCalc!$V$91),NA())</f>
        <v/>
      </c>
      <c r="W236">
        <f>IF(ElevCalc!$V$111*(ElevCalc!$V$93=2)*(ElevCalc!$V$20&lt;&gt;"FL"),((ElevCalc!$V$113+0.40*(ElevCalc!$V$112-ElevCalc!$V$113))*ElevCalc!$V$91),NA())</f>
        <v/>
      </c>
      <c r="Z236" t="inlineStr">
        <is>
          <t>g2b</t>
        </is>
      </c>
      <c r="AA236">
        <f>IF(ElevCalc!$AA$111*(ElevCalc!$AA$93=2)*(ElevCalc!$AA$20&lt;&gt;"FL"),(ElevCalc!$AA$92+(ElevCalc!$AA$115+0.38*(ElevCalc!$AA$115+ElevCalc!$AA$109-ElevCalc!$AA$115))*ElevCalc!$AA$91),NA())</f>
        <v/>
      </c>
      <c r="AB236">
        <f>IF(ElevCalc!$AA$111*(ElevCalc!$AA$93=2)*(ElevCalc!$AA$20&lt;&gt;"FL"),((ElevCalc!$AA$113+0.40*(ElevCalc!$AA$112-ElevCalc!$AA$113))*ElevCalc!$AA$91),NA())</f>
        <v/>
      </c>
      <c r="AE236" t="inlineStr">
        <is>
          <t>g2b</t>
        </is>
      </c>
      <c r="AF236">
        <f>IF(ElevCalc!$AF$111*(ElevCalc!$AF$93=2)*(ElevCalc!$AF$20&lt;&gt;"FL"),(ElevCalc!$AF$92+(ElevCalc!$AF$115+0.38*(ElevCalc!$AF$115+ElevCalc!$AF$109-ElevCalc!$AF$115))*ElevCalc!$AF$91),NA())</f>
        <v/>
      </c>
      <c r="AG236">
        <f>IF(ElevCalc!$AF$111*(ElevCalc!$AF$93=2)*(ElevCalc!$AF$20&lt;&gt;"FL"),((ElevCalc!$AF$113+0.40*(ElevCalc!$AF$112-ElevCalc!$AF$113))*ElevCalc!$AF$91),NA())</f>
        <v/>
      </c>
    </row>
    <row r="237">
      <c r="A237" t="inlineStr">
        <is>
          <t>g2b</t>
        </is>
      </c>
      <c r="B237">
        <f>IF(ElevCalc!$B$111*(ElevCalc!$B$93=2)*(ElevCalc!$B$20&lt;&gt;"FL"),(ElevCalc!$B$92+(ElevCalc!$B$115+0.63*(ElevCalc!$B$115+ElevCalc!$B$109-ElevCalc!$B$115))*ElevCalc!$B$91),NA())</f>
        <v/>
      </c>
      <c r="C237">
        <f>IF(ElevCalc!$B$111*(ElevCalc!$B$93=2)*(ElevCalc!$B$20&lt;&gt;"FL"),((ElevCalc!$B$113+0.70*(ElevCalc!$B$112-ElevCalc!$B$113))*ElevCalc!$B$91),NA())</f>
        <v/>
      </c>
      <c r="F237" t="inlineStr">
        <is>
          <t>g2b</t>
        </is>
      </c>
      <c r="G237">
        <f>IF(ElevCalc!$G$111*(ElevCalc!$G$93=2)*(ElevCalc!$G$20&lt;&gt;"FL"),(ElevCalc!$G$92+(ElevCalc!$G$115+0.63*(ElevCalc!$G$115+ElevCalc!$G$109-ElevCalc!$G$115))*ElevCalc!$G$91),NA())</f>
        <v/>
      </c>
      <c r="H237">
        <f>IF(ElevCalc!$G$111*(ElevCalc!$G$93=2)*(ElevCalc!$G$20&lt;&gt;"FL"),((ElevCalc!$G$113+0.70*(ElevCalc!$G$112-ElevCalc!$G$113))*ElevCalc!$G$91),NA())</f>
        <v/>
      </c>
      <c r="K237" t="inlineStr">
        <is>
          <t>g2b</t>
        </is>
      </c>
      <c r="L237">
        <f>IF(ElevCalc!$L$111*(ElevCalc!$L$93=2)*(ElevCalc!$L$20&lt;&gt;"FL"),(ElevCalc!$L$92+(ElevCalc!$L$115+0.63*(ElevCalc!$L$115+ElevCalc!$L$109-ElevCalc!$L$115))*ElevCalc!$L$91),NA())</f>
        <v/>
      </c>
      <c r="M237">
        <f>IF(ElevCalc!$L$111*(ElevCalc!$L$93=2)*(ElevCalc!$L$20&lt;&gt;"FL"),((ElevCalc!$L$113+0.70*(ElevCalc!$L$112-ElevCalc!$L$113))*ElevCalc!$L$91),NA())</f>
        <v/>
      </c>
      <c r="P237" t="inlineStr">
        <is>
          <t>g2b</t>
        </is>
      </c>
      <c r="Q237">
        <f>IF(ElevCalc!$Q$111*(ElevCalc!$Q$93=2)*(ElevCalc!$Q$20&lt;&gt;"FL"),(ElevCalc!$Q$92+(ElevCalc!$Q$115+0.63*(ElevCalc!$Q$115+ElevCalc!$Q$109-ElevCalc!$Q$115))*ElevCalc!$Q$91),NA())</f>
        <v/>
      </c>
      <c r="R237">
        <f>IF(ElevCalc!$Q$111*(ElevCalc!$Q$93=2)*(ElevCalc!$Q$20&lt;&gt;"FL"),((ElevCalc!$Q$113+0.70*(ElevCalc!$Q$112-ElevCalc!$Q$113))*ElevCalc!$Q$91),NA())</f>
        <v/>
      </c>
      <c r="U237" t="inlineStr">
        <is>
          <t>g2b</t>
        </is>
      </c>
      <c r="V237">
        <f>IF(ElevCalc!$V$111*(ElevCalc!$V$93=2)*(ElevCalc!$V$20&lt;&gt;"FL"),(ElevCalc!$V$92+(ElevCalc!$V$115+0.63*(ElevCalc!$V$115+ElevCalc!$V$109-ElevCalc!$V$115))*ElevCalc!$V$91),NA())</f>
        <v/>
      </c>
      <c r="W237">
        <f>IF(ElevCalc!$V$111*(ElevCalc!$V$93=2)*(ElevCalc!$V$20&lt;&gt;"FL"),((ElevCalc!$V$113+0.70*(ElevCalc!$V$112-ElevCalc!$V$113))*ElevCalc!$V$91),NA())</f>
        <v/>
      </c>
      <c r="Z237" t="inlineStr">
        <is>
          <t>g2b</t>
        </is>
      </c>
      <c r="AA237">
        <f>IF(ElevCalc!$AA$111*(ElevCalc!$AA$93=2)*(ElevCalc!$AA$20&lt;&gt;"FL"),(ElevCalc!$AA$92+(ElevCalc!$AA$115+0.63*(ElevCalc!$AA$115+ElevCalc!$AA$109-ElevCalc!$AA$115))*ElevCalc!$AA$91),NA())</f>
        <v/>
      </c>
      <c r="AB237">
        <f>IF(ElevCalc!$AA$111*(ElevCalc!$AA$93=2)*(ElevCalc!$AA$20&lt;&gt;"FL"),((ElevCalc!$AA$113+0.70*(ElevCalc!$AA$112-ElevCalc!$AA$113))*ElevCalc!$AA$91),NA())</f>
        <v/>
      </c>
      <c r="AE237" t="inlineStr">
        <is>
          <t>g2b</t>
        </is>
      </c>
      <c r="AF237">
        <f>IF(ElevCalc!$AF$111*(ElevCalc!$AF$93=2)*(ElevCalc!$AF$20&lt;&gt;"FL"),(ElevCalc!$AF$92+(ElevCalc!$AF$115+0.63*(ElevCalc!$AF$115+ElevCalc!$AF$109-ElevCalc!$AF$115))*ElevCalc!$AF$91),NA())</f>
        <v/>
      </c>
      <c r="AG237">
        <f>IF(ElevCalc!$AF$111*(ElevCalc!$AF$93=2)*(ElevCalc!$AF$20&lt;&gt;"FL"),((ElevCalc!$AF$113+0.70*(ElevCalc!$AF$112-ElevCalc!$AF$113))*ElevCalc!$AF$91),NA())</f>
        <v/>
      </c>
    </row>
    <row r="239">
      <c r="A239" t="inlineStr">
        <is>
          <t>gT</t>
        </is>
      </c>
      <c r="B239">
        <f>IF(ElevCalc!$B$73*(ElevCalc!$B$81&gt;0),(ElevCalc!$B$92+(ElevCalc!$B$87+0.25*(ElevCalc!$B$88-ElevCalc!$B$87))*ElevCalc!$B$91),NA())</f>
        <v/>
      </c>
      <c r="C239">
        <f>IF(ElevCalc!$B$73*(ElevCalc!$B$81&gt;0),((ElevCalc!$B$90+ElevCalc!$B$78+0.45*(ElevCalc!$B$90+ElevCalc!$B$78+ElevCalc!$B$81-ElevCalc!$B$90+ElevCalc!$B$78))*ElevCalc!$B$91),NA())</f>
        <v/>
      </c>
      <c r="F239" t="inlineStr">
        <is>
          <t>gT</t>
        </is>
      </c>
      <c r="G239">
        <f>IF(ElevCalc!$G$73*(ElevCalc!$G$81&gt;0),(ElevCalc!$G$92+(ElevCalc!$G$87+0.25*(ElevCalc!$G$88-ElevCalc!$G$87))*ElevCalc!$G$91),NA())</f>
        <v/>
      </c>
      <c r="H239">
        <f>IF(ElevCalc!$G$73*(ElevCalc!$G$81&gt;0),((ElevCalc!$G$90+ElevCalc!$G$78+0.45*(ElevCalc!$G$90+ElevCalc!$G$78+ElevCalc!$G$81-ElevCalc!$G$90+ElevCalc!$G$78))*ElevCalc!$G$91),NA())</f>
        <v/>
      </c>
      <c r="K239" t="inlineStr">
        <is>
          <t>gT</t>
        </is>
      </c>
      <c r="L239">
        <f>IF(ElevCalc!$L$73*(ElevCalc!$L$81&gt;0),(ElevCalc!$L$92+(ElevCalc!$L$87+0.25*(ElevCalc!$L$88-ElevCalc!$L$87))*ElevCalc!$L$91),NA())</f>
        <v/>
      </c>
      <c r="M239">
        <f>IF(ElevCalc!$L$73*(ElevCalc!$L$81&gt;0),((ElevCalc!$L$90+ElevCalc!$L$78+0.45*(ElevCalc!$L$90+ElevCalc!$L$78+ElevCalc!$L$81-ElevCalc!$L$90+ElevCalc!$L$78))*ElevCalc!$L$91),NA())</f>
        <v/>
      </c>
      <c r="P239" t="inlineStr">
        <is>
          <t>gT</t>
        </is>
      </c>
      <c r="Q239">
        <f>IF(ElevCalc!$Q$73*(ElevCalc!$Q$81&gt;0),(ElevCalc!$Q$92+(ElevCalc!$Q$87+0.25*(ElevCalc!$Q$88-ElevCalc!$Q$87))*ElevCalc!$Q$91),NA())</f>
        <v/>
      </c>
      <c r="R239">
        <f>IF(ElevCalc!$Q$73*(ElevCalc!$Q$81&gt;0),((ElevCalc!$Q$90+ElevCalc!$Q$78+0.45*(ElevCalc!$Q$90+ElevCalc!$Q$78+ElevCalc!$Q$81-ElevCalc!$Q$90+ElevCalc!$Q$78))*ElevCalc!$Q$91),NA())</f>
        <v/>
      </c>
      <c r="U239" t="inlineStr">
        <is>
          <t>gT</t>
        </is>
      </c>
      <c r="V239">
        <f>IF(ElevCalc!$V$73*(ElevCalc!$V$81&gt;0),(ElevCalc!$V$92+(ElevCalc!$V$87+0.25*(ElevCalc!$V$88-ElevCalc!$V$87))*ElevCalc!$V$91),NA())</f>
        <v/>
      </c>
      <c r="W239">
        <f>IF(ElevCalc!$V$73*(ElevCalc!$V$81&gt;0),((ElevCalc!$V$90+ElevCalc!$V$78+0.45*(ElevCalc!$V$90+ElevCalc!$V$78+ElevCalc!$V$81-ElevCalc!$V$90+ElevCalc!$V$78))*ElevCalc!$V$91),NA())</f>
        <v/>
      </c>
      <c r="Z239" t="inlineStr">
        <is>
          <t>gT</t>
        </is>
      </c>
      <c r="AA239">
        <f>IF(ElevCalc!$AA$73*(ElevCalc!$AA$81&gt;0),(ElevCalc!$AA$92+(ElevCalc!$AA$87+0.25*(ElevCalc!$AA$88-ElevCalc!$AA$87))*ElevCalc!$AA$91),NA())</f>
        <v/>
      </c>
      <c r="AB239">
        <f>IF(ElevCalc!$AA$73*(ElevCalc!$AA$81&gt;0),((ElevCalc!$AA$90+ElevCalc!$AA$78+0.45*(ElevCalc!$AA$90+ElevCalc!$AA$78+ElevCalc!$AA$81-ElevCalc!$AA$90+ElevCalc!$AA$78))*ElevCalc!$AA$91),NA())</f>
        <v/>
      </c>
      <c r="AE239" t="inlineStr">
        <is>
          <t>gT</t>
        </is>
      </c>
      <c r="AF239">
        <f>IF(ElevCalc!$AF$73*(ElevCalc!$AF$81&gt;0),(ElevCalc!$AF$92+(ElevCalc!$AF$87+0.25*(ElevCalc!$AF$88-ElevCalc!$AF$87))*ElevCalc!$AF$91),NA())</f>
        <v/>
      </c>
      <c r="AG239">
        <f>IF(ElevCalc!$AF$73*(ElevCalc!$AF$81&gt;0),((ElevCalc!$AF$90+ElevCalc!$AF$78+0.45*(ElevCalc!$AF$90+ElevCalc!$AF$78+ElevCalc!$AF$81-ElevCalc!$AF$90+ElevCalc!$AF$78))*ElevCalc!$AF$91),NA())</f>
        <v/>
      </c>
    </row>
    <row r="240">
      <c r="A240" t="inlineStr">
        <is>
          <t>gT</t>
        </is>
      </c>
      <c r="B240">
        <f>IF(ElevCalc!$B$73*(ElevCalc!$B$81&gt;0),(ElevCalc!$B$92+(ElevCalc!$B$87+0.5*(ElevCalc!$B$88-ElevCalc!$B$87))*ElevCalc!$B$91),NA())</f>
        <v/>
      </c>
      <c r="C240">
        <f>IF(ElevCalc!$B$73*(ElevCalc!$B$81&gt;0),((ElevCalc!$B$90+ElevCalc!$B$78+0.75*(ElevCalc!$B$90+ElevCalc!$B$78+ElevCalc!$B$81-ElevCalc!$B$90+ElevCalc!$B$78))*ElevCalc!$B$91),NA())</f>
        <v/>
      </c>
      <c r="F240" t="inlineStr">
        <is>
          <t>gT</t>
        </is>
      </c>
      <c r="G240">
        <f>IF(ElevCalc!$G$73*(ElevCalc!$G$81&gt;0),(ElevCalc!$G$92+(ElevCalc!$G$87+0.5*(ElevCalc!$G$88-ElevCalc!$G$87))*ElevCalc!$G$91),NA())</f>
        <v/>
      </c>
      <c r="H240">
        <f>IF(ElevCalc!$G$73*(ElevCalc!$G$81&gt;0),((ElevCalc!$G$90+ElevCalc!$G$78+0.75*(ElevCalc!$G$90+ElevCalc!$G$78+ElevCalc!$G$81-ElevCalc!$G$90+ElevCalc!$G$78))*ElevCalc!$G$91),NA())</f>
        <v/>
      </c>
      <c r="K240" t="inlineStr">
        <is>
          <t>gT</t>
        </is>
      </c>
      <c r="L240">
        <f>IF(ElevCalc!$L$73*(ElevCalc!$L$81&gt;0),(ElevCalc!$L$92+(ElevCalc!$L$87+0.5*(ElevCalc!$L$88-ElevCalc!$L$87))*ElevCalc!$L$91),NA())</f>
        <v/>
      </c>
      <c r="M240">
        <f>IF(ElevCalc!$L$73*(ElevCalc!$L$81&gt;0),((ElevCalc!$L$90+ElevCalc!$L$78+0.75*(ElevCalc!$L$90+ElevCalc!$L$78+ElevCalc!$L$81-ElevCalc!$L$90+ElevCalc!$L$78))*ElevCalc!$L$91),NA())</f>
        <v/>
      </c>
      <c r="P240" t="inlineStr">
        <is>
          <t>gT</t>
        </is>
      </c>
      <c r="Q240">
        <f>IF(ElevCalc!$Q$73*(ElevCalc!$Q$81&gt;0),(ElevCalc!$Q$92+(ElevCalc!$Q$87+0.5*(ElevCalc!$Q$88-ElevCalc!$Q$87))*ElevCalc!$Q$91),NA())</f>
        <v/>
      </c>
      <c r="R240">
        <f>IF(ElevCalc!$Q$73*(ElevCalc!$Q$81&gt;0),((ElevCalc!$Q$90+ElevCalc!$Q$78+0.75*(ElevCalc!$Q$90+ElevCalc!$Q$78+ElevCalc!$Q$81-ElevCalc!$Q$90+ElevCalc!$Q$78))*ElevCalc!$Q$91),NA())</f>
        <v/>
      </c>
      <c r="U240" t="inlineStr">
        <is>
          <t>gT</t>
        </is>
      </c>
      <c r="V240">
        <f>IF(ElevCalc!$V$73*(ElevCalc!$V$81&gt;0),(ElevCalc!$V$92+(ElevCalc!$V$87+0.5*(ElevCalc!$V$88-ElevCalc!$V$87))*ElevCalc!$V$91),NA())</f>
        <v/>
      </c>
      <c r="W240">
        <f>IF(ElevCalc!$V$73*(ElevCalc!$V$81&gt;0),((ElevCalc!$V$90+ElevCalc!$V$78+0.75*(ElevCalc!$V$90+ElevCalc!$V$78+ElevCalc!$V$81-ElevCalc!$V$90+ElevCalc!$V$78))*ElevCalc!$V$91),NA())</f>
        <v/>
      </c>
      <c r="Z240" t="inlineStr">
        <is>
          <t>gT</t>
        </is>
      </c>
      <c r="AA240">
        <f>IF(ElevCalc!$AA$73*(ElevCalc!$AA$81&gt;0),(ElevCalc!$AA$92+(ElevCalc!$AA$87+0.5*(ElevCalc!$AA$88-ElevCalc!$AA$87))*ElevCalc!$AA$91),NA())</f>
        <v/>
      </c>
      <c r="AB240">
        <f>IF(ElevCalc!$AA$73*(ElevCalc!$AA$81&gt;0),((ElevCalc!$AA$90+ElevCalc!$AA$78+0.75*(ElevCalc!$AA$90+ElevCalc!$AA$78+ElevCalc!$AA$81-ElevCalc!$AA$90+ElevCalc!$AA$78))*ElevCalc!$AA$91),NA())</f>
        <v/>
      </c>
      <c r="AE240" t="inlineStr">
        <is>
          <t>gT</t>
        </is>
      </c>
      <c r="AF240">
        <f>IF(ElevCalc!$AF$73*(ElevCalc!$AF$81&gt;0),(ElevCalc!$AF$92+(ElevCalc!$AF$87+0.5*(ElevCalc!$AF$88-ElevCalc!$AF$87))*ElevCalc!$AF$91),NA())</f>
        <v/>
      </c>
      <c r="AG240">
        <f>IF(ElevCalc!$AF$73*(ElevCalc!$AF$81&gt;0),((ElevCalc!$AF$90+ElevCalc!$AF$78+0.75*(ElevCalc!$AF$90+ElevCalc!$AF$78+ElevCalc!$AF$81-ElevCalc!$AF$90+ElevCalc!$AF$78))*ElevCalc!$AF$91),NA())</f>
        <v/>
      </c>
    </row>
    <row r="242">
      <c r="A242" t="inlineStr">
        <is>
          <t>gTb</t>
        </is>
      </c>
      <c r="B242">
        <f>IF(ElevCalc!$B$73*(ElevCalc!$B$81&gt;0),(ElevCalc!$B$92+(ElevCalc!$B$87+0.38*(ElevCalc!$B$88-ElevCalc!$B$87))*ElevCalc!$B$91),NA())</f>
        <v/>
      </c>
      <c r="C242">
        <f>IF(ElevCalc!$B$73*(ElevCalc!$B$81&gt;0),((ElevCalc!$B$90+ElevCalc!$B$78+0.40*(ElevCalc!$B$90+ElevCalc!$B$78+ElevCalc!$B$81-ElevCalc!$B$90+ElevCalc!$B$78))*ElevCalc!$B$91),NA())</f>
        <v/>
      </c>
      <c r="F242" t="inlineStr">
        <is>
          <t>gTb</t>
        </is>
      </c>
      <c r="G242">
        <f>IF(ElevCalc!$G$73*(ElevCalc!$G$81&gt;0),(ElevCalc!$G$92+(ElevCalc!$G$87+0.38*(ElevCalc!$G$88-ElevCalc!$G$87))*ElevCalc!$G$91),NA())</f>
        <v/>
      </c>
      <c r="H242">
        <f>IF(ElevCalc!$G$73*(ElevCalc!$G$81&gt;0),((ElevCalc!$G$90+ElevCalc!$G$78+0.40*(ElevCalc!$G$90+ElevCalc!$G$78+ElevCalc!$G$81-ElevCalc!$G$90+ElevCalc!$G$78))*ElevCalc!$G$91),NA())</f>
        <v/>
      </c>
      <c r="K242" t="inlineStr">
        <is>
          <t>gTb</t>
        </is>
      </c>
      <c r="L242">
        <f>IF(ElevCalc!$L$73*(ElevCalc!$L$81&gt;0),(ElevCalc!$L$92+(ElevCalc!$L$87+0.38*(ElevCalc!$L$88-ElevCalc!$L$87))*ElevCalc!$L$91),NA())</f>
        <v/>
      </c>
      <c r="M242">
        <f>IF(ElevCalc!$L$73*(ElevCalc!$L$81&gt;0),((ElevCalc!$L$90+ElevCalc!$L$78+0.40*(ElevCalc!$L$90+ElevCalc!$L$78+ElevCalc!$L$81-ElevCalc!$L$90+ElevCalc!$L$78))*ElevCalc!$L$91),NA())</f>
        <v/>
      </c>
      <c r="P242" t="inlineStr">
        <is>
          <t>gTb</t>
        </is>
      </c>
      <c r="Q242">
        <f>IF(ElevCalc!$Q$73*(ElevCalc!$Q$81&gt;0),(ElevCalc!$Q$92+(ElevCalc!$Q$87+0.38*(ElevCalc!$Q$88-ElevCalc!$Q$87))*ElevCalc!$Q$91),NA())</f>
        <v/>
      </c>
      <c r="R242">
        <f>IF(ElevCalc!$Q$73*(ElevCalc!$Q$81&gt;0),((ElevCalc!$Q$90+ElevCalc!$Q$78+0.40*(ElevCalc!$Q$90+ElevCalc!$Q$78+ElevCalc!$Q$81-ElevCalc!$Q$90+ElevCalc!$Q$78))*ElevCalc!$Q$91),NA())</f>
        <v/>
      </c>
      <c r="U242" t="inlineStr">
        <is>
          <t>gTb</t>
        </is>
      </c>
      <c r="V242">
        <f>IF(ElevCalc!$V$73*(ElevCalc!$V$81&gt;0),(ElevCalc!$V$92+(ElevCalc!$V$87+0.38*(ElevCalc!$V$88-ElevCalc!$V$87))*ElevCalc!$V$91),NA())</f>
        <v/>
      </c>
      <c r="W242">
        <f>IF(ElevCalc!$V$73*(ElevCalc!$V$81&gt;0),((ElevCalc!$V$90+ElevCalc!$V$78+0.40*(ElevCalc!$V$90+ElevCalc!$V$78+ElevCalc!$V$81-ElevCalc!$V$90+ElevCalc!$V$78))*ElevCalc!$V$91),NA())</f>
        <v/>
      </c>
      <c r="Z242" t="inlineStr">
        <is>
          <t>gTb</t>
        </is>
      </c>
      <c r="AA242">
        <f>IF(ElevCalc!$AA$73*(ElevCalc!$AA$81&gt;0),(ElevCalc!$AA$92+(ElevCalc!$AA$87+0.38*(ElevCalc!$AA$88-ElevCalc!$AA$87))*ElevCalc!$AA$91),NA())</f>
        <v/>
      </c>
      <c r="AB242">
        <f>IF(ElevCalc!$AA$73*(ElevCalc!$AA$81&gt;0),((ElevCalc!$AA$90+ElevCalc!$AA$78+0.40*(ElevCalc!$AA$90+ElevCalc!$AA$78+ElevCalc!$AA$81-ElevCalc!$AA$90+ElevCalc!$AA$78))*ElevCalc!$AA$91),NA())</f>
        <v/>
      </c>
      <c r="AE242" t="inlineStr">
        <is>
          <t>gTb</t>
        </is>
      </c>
      <c r="AF242">
        <f>IF(ElevCalc!$AF$73*(ElevCalc!$AF$81&gt;0),(ElevCalc!$AF$92+(ElevCalc!$AF$87+0.38*(ElevCalc!$AF$88-ElevCalc!$AF$87))*ElevCalc!$AF$91),NA())</f>
        <v/>
      </c>
      <c r="AG242">
        <f>IF(ElevCalc!$AF$73*(ElevCalc!$AF$81&gt;0),((ElevCalc!$AF$90+ElevCalc!$AF$78+0.40*(ElevCalc!$AF$90+ElevCalc!$AF$78+ElevCalc!$AF$81-ElevCalc!$AF$90+ElevCalc!$AF$78))*ElevCalc!$AF$91),NA())</f>
        <v/>
      </c>
    </row>
    <row r="243">
      <c r="A243" t="inlineStr">
        <is>
          <t>gTb</t>
        </is>
      </c>
      <c r="B243">
        <f>IF(ElevCalc!$B$73*(ElevCalc!$B$81&gt;0),(ElevCalc!$B$92+(ElevCalc!$B$87+0.63*(ElevCalc!$B$88-ElevCalc!$B$87))*ElevCalc!$B$91),NA())</f>
        <v/>
      </c>
      <c r="C243">
        <f>IF(ElevCalc!$B$73*(ElevCalc!$B$81&gt;0),((ElevCalc!$B$90+ElevCalc!$B$78+0.70*(ElevCalc!$B$90+ElevCalc!$B$78+ElevCalc!$B$81-ElevCalc!$B$90+ElevCalc!$B$78))*ElevCalc!$B$91),NA())</f>
        <v/>
      </c>
      <c r="F243" t="inlineStr">
        <is>
          <t>gTb</t>
        </is>
      </c>
      <c r="G243">
        <f>IF(ElevCalc!$G$73*(ElevCalc!$G$81&gt;0),(ElevCalc!$G$92+(ElevCalc!$G$87+0.63*(ElevCalc!$G$88-ElevCalc!$G$87))*ElevCalc!$G$91),NA())</f>
        <v/>
      </c>
      <c r="H243">
        <f>IF(ElevCalc!$G$73*(ElevCalc!$G$81&gt;0),((ElevCalc!$G$90+ElevCalc!$G$78+0.70*(ElevCalc!$G$90+ElevCalc!$G$78+ElevCalc!$G$81-ElevCalc!$G$90+ElevCalc!$G$78))*ElevCalc!$G$91),NA())</f>
        <v/>
      </c>
      <c r="K243" t="inlineStr">
        <is>
          <t>gTb</t>
        </is>
      </c>
      <c r="L243">
        <f>IF(ElevCalc!$L$73*(ElevCalc!$L$81&gt;0),(ElevCalc!$L$92+(ElevCalc!$L$87+0.63*(ElevCalc!$L$88-ElevCalc!$L$87))*ElevCalc!$L$91),NA())</f>
        <v/>
      </c>
      <c r="M243">
        <f>IF(ElevCalc!$L$73*(ElevCalc!$L$81&gt;0),((ElevCalc!$L$90+ElevCalc!$L$78+0.70*(ElevCalc!$L$90+ElevCalc!$L$78+ElevCalc!$L$81-ElevCalc!$L$90+ElevCalc!$L$78))*ElevCalc!$L$91),NA())</f>
        <v/>
      </c>
      <c r="P243" t="inlineStr">
        <is>
          <t>gTb</t>
        </is>
      </c>
      <c r="Q243">
        <f>IF(ElevCalc!$Q$73*(ElevCalc!$Q$81&gt;0),(ElevCalc!$Q$92+(ElevCalc!$Q$87+0.63*(ElevCalc!$Q$88-ElevCalc!$Q$87))*ElevCalc!$Q$91),NA())</f>
        <v/>
      </c>
      <c r="R243">
        <f>IF(ElevCalc!$Q$73*(ElevCalc!$Q$81&gt;0),((ElevCalc!$Q$90+ElevCalc!$Q$78+0.70*(ElevCalc!$Q$90+ElevCalc!$Q$78+ElevCalc!$Q$81-ElevCalc!$Q$90+ElevCalc!$Q$78))*ElevCalc!$Q$91),NA())</f>
        <v/>
      </c>
      <c r="U243" t="inlineStr">
        <is>
          <t>gTb</t>
        </is>
      </c>
      <c r="V243">
        <f>IF(ElevCalc!$V$73*(ElevCalc!$V$81&gt;0),(ElevCalc!$V$92+(ElevCalc!$V$87+0.63*(ElevCalc!$V$88-ElevCalc!$V$87))*ElevCalc!$V$91),NA())</f>
        <v/>
      </c>
      <c r="W243">
        <f>IF(ElevCalc!$V$73*(ElevCalc!$V$81&gt;0),((ElevCalc!$V$90+ElevCalc!$V$78+0.70*(ElevCalc!$V$90+ElevCalc!$V$78+ElevCalc!$V$81-ElevCalc!$V$90+ElevCalc!$V$78))*ElevCalc!$V$91),NA())</f>
        <v/>
      </c>
      <c r="Z243" t="inlineStr">
        <is>
          <t>gTb</t>
        </is>
      </c>
      <c r="AA243">
        <f>IF(ElevCalc!$AA$73*(ElevCalc!$AA$81&gt;0),(ElevCalc!$AA$92+(ElevCalc!$AA$87+0.63*(ElevCalc!$AA$88-ElevCalc!$AA$87))*ElevCalc!$AA$91),NA())</f>
        <v/>
      </c>
      <c r="AB243">
        <f>IF(ElevCalc!$AA$73*(ElevCalc!$AA$81&gt;0),((ElevCalc!$AA$90+ElevCalc!$AA$78+0.70*(ElevCalc!$AA$90+ElevCalc!$AA$78+ElevCalc!$AA$81-ElevCalc!$AA$90+ElevCalc!$AA$78))*ElevCalc!$AA$91),NA())</f>
        <v/>
      </c>
      <c r="AE243" t="inlineStr">
        <is>
          <t>gTb</t>
        </is>
      </c>
      <c r="AF243">
        <f>IF(ElevCalc!$AF$73*(ElevCalc!$AF$81&gt;0),(ElevCalc!$AF$92+(ElevCalc!$AF$87+0.63*(ElevCalc!$AF$88-ElevCalc!$AF$87))*ElevCalc!$AF$91),NA())</f>
        <v/>
      </c>
      <c r="AG243">
        <f>IF(ElevCalc!$AF$73*(ElevCalc!$AF$81&gt;0),((ElevCalc!$AF$90+ElevCalc!$AF$78+0.70*(ElevCalc!$AF$90+ElevCalc!$AF$78+ElevCalc!$AF$81-ElevCalc!$AF$90+ElevCalc!$AF$78))*ElevCalc!$AF$91),NA())</f>
        <v/>
      </c>
    </row>
    <row r="245">
      <c r="A245" t="inlineStr">
        <is>
          <t>gL</t>
        </is>
      </c>
      <c r="B245">
        <f>IF(ElevCalc!$B$73*(ElevCalc!$B$83&gt;0),(ElevCalc!$B$92+(ElevCalc!$B$76+0.25*(ElevCalc!$B$76+ElevCalc!$B$83-ElevCalc!$B$76))*ElevCalc!$B$91),NA())</f>
        <v/>
      </c>
      <c r="C245">
        <f>IF(ElevCalc!$B$73*(ElevCalc!$B$83&gt;0),((ElevCalc!$B$89+0.45*(ElevCalc!$B$90-ElevCalc!$B$89))*ElevCalc!$B$91),NA())</f>
        <v/>
      </c>
      <c r="F245" t="inlineStr">
        <is>
          <t>gL</t>
        </is>
      </c>
      <c r="G245">
        <f>IF(ElevCalc!$G$73*(ElevCalc!$G$83&gt;0),(ElevCalc!$G$92+(ElevCalc!$G$76+0.25*(ElevCalc!$G$76+ElevCalc!$G$83-ElevCalc!$G$76))*ElevCalc!$G$91),NA())</f>
        <v/>
      </c>
      <c r="H245">
        <f>IF(ElevCalc!$G$73*(ElevCalc!$G$83&gt;0),((ElevCalc!$G$89+0.45*(ElevCalc!$G$90-ElevCalc!$G$89))*ElevCalc!$G$91),NA())</f>
        <v/>
      </c>
      <c r="K245" t="inlineStr">
        <is>
          <t>gL</t>
        </is>
      </c>
      <c r="L245">
        <f>IF(ElevCalc!$L$73*(ElevCalc!$L$83&gt;0),(ElevCalc!$L$92+(ElevCalc!$L$76+0.25*(ElevCalc!$L$76+ElevCalc!$L$83-ElevCalc!$L$76))*ElevCalc!$L$91),NA())</f>
        <v/>
      </c>
      <c r="M245">
        <f>IF(ElevCalc!$L$73*(ElevCalc!$L$83&gt;0),((ElevCalc!$L$89+0.45*(ElevCalc!$L$90-ElevCalc!$L$89))*ElevCalc!$L$91),NA())</f>
        <v/>
      </c>
      <c r="P245" t="inlineStr">
        <is>
          <t>gL</t>
        </is>
      </c>
      <c r="Q245">
        <f>IF(ElevCalc!$Q$73*(ElevCalc!$Q$83&gt;0),(ElevCalc!$Q$92+(ElevCalc!$Q$76+0.25*(ElevCalc!$Q$76+ElevCalc!$Q$83-ElevCalc!$Q$76))*ElevCalc!$Q$91),NA())</f>
        <v/>
      </c>
      <c r="R245">
        <f>IF(ElevCalc!$Q$73*(ElevCalc!$Q$83&gt;0),((ElevCalc!$Q$89+0.45*(ElevCalc!$Q$90-ElevCalc!$Q$89))*ElevCalc!$Q$91),NA())</f>
        <v/>
      </c>
      <c r="U245" t="inlineStr">
        <is>
          <t>gL</t>
        </is>
      </c>
      <c r="V245">
        <f>IF(ElevCalc!$V$73*(ElevCalc!$V$83&gt;0),(ElevCalc!$V$92+(ElevCalc!$V$76+0.25*(ElevCalc!$V$76+ElevCalc!$V$83-ElevCalc!$V$76))*ElevCalc!$V$91),NA())</f>
        <v/>
      </c>
      <c r="W245">
        <f>IF(ElevCalc!$V$73*(ElevCalc!$V$83&gt;0),((ElevCalc!$V$89+0.45*(ElevCalc!$V$90-ElevCalc!$V$89))*ElevCalc!$V$91),NA())</f>
        <v/>
      </c>
      <c r="Z245" t="inlineStr">
        <is>
          <t>gL</t>
        </is>
      </c>
      <c r="AA245">
        <f>IF(ElevCalc!$AA$73*(ElevCalc!$AA$83&gt;0),(ElevCalc!$AA$92+(ElevCalc!$AA$76+0.25*(ElevCalc!$AA$76+ElevCalc!$AA$83-ElevCalc!$AA$76))*ElevCalc!$AA$91),NA())</f>
        <v/>
      </c>
      <c r="AB245">
        <f>IF(ElevCalc!$AA$73*(ElevCalc!$AA$83&gt;0),((ElevCalc!$AA$89+0.45*(ElevCalc!$AA$90-ElevCalc!$AA$89))*ElevCalc!$AA$91),NA())</f>
        <v/>
      </c>
      <c r="AE245" t="inlineStr">
        <is>
          <t>gL</t>
        </is>
      </c>
      <c r="AF245">
        <f>IF(ElevCalc!$AF$73*(ElevCalc!$AF$83&gt;0),(ElevCalc!$AF$92+(ElevCalc!$AF$76+0.25*(ElevCalc!$AF$76+ElevCalc!$AF$83-ElevCalc!$AF$76))*ElevCalc!$AF$91),NA())</f>
        <v/>
      </c>
      <c r="AG245">
        <f>IF(ElevCalc!$AF$73*(ElevCalc!$AF$83&gt;0),((ElevCalc!$AF$89+0.45*(ElevCalc!$AF$90-ElevCalc!$AF$89))*ElevCalc!$AF$91),NA())</f>
        <v/>
      </c>
    </row>
    <row r="246">
      <c r="A246" t="inlineStr">
        <is>
          <t>gL</t>
        </is>
      </c>
      <c r="B246">
        <f>IF(ElevCalc!$B$73*(ElevCalc!$B$83&gt;0),(ElevCalc!$B$92+(ElevCalc!$B$76+0.5*(ElevCalc!$B$76+ElevCalc!$B$83-ElevCalc!$B$76))*ElevCalc!$B$91),NA())</f>
        <v/>
      </c>
      <c r="C246">
        <f>IF(ElevCalc!$B$73*(ElevCalc!$B$83&gt;0),((ElevCalc!$B$89+0.75*(ElevCalc!$B$90-ElevCalc!$B$89))*ElevCalc!$B$91),NA())</f>
        <v/>
      </c>
      <c r="F246" t="inlineStr">
        <is>
          <t>gL</t>
        </is>
      </c>
      <c r="G246">
        <f>IF(ElevCalc!$G$73*(ElevCalc!$G$83&gt;0),(ElevCalc!$G$92+(ElevCalc!$G$76+0.5*(ElevCalc!$G$76+ElevCalc!$G$83-ElevCalc!$G$76))*ElevCalc!$G$91),NA())</f>
        <v/>
      </c>
      <c r="H246">
        <f>IF(ElevCalc!$G$73*(ElevCalc!$G$83&gt;0),((ElevCalc!$G$89+0.75*(ElevCalc!$G$90-ElevCalc!$G$89))*ElevCalc!$G$91),NA())</f>
        <v/>
      </c>
      <c r="K246" t="inlineStr">
        <is>
          <t>gL</t>
        </is>
      </c>
      <c r="L246">
        <f>IF(ElevCalc!$L$73*(ElevCalc!$L$83&gt;0),(ElevCalc!$L$92+(ElevCalc!$L$76+0.5*(ElevCalc!$L$76+ElevCalc!$L$83-ElevCalc!$L$76))*ElevCalc!$L$91),NA())</f>
        <v/>
      </c>
      <c r="M246">
        <f>IF(ElevCalc!$L$73*(ElevCalc!$L$83&gt;0),((ElevCalc!$L$89+0.75*(ElevCalc!$L$90-ElevCalc!$L$89))*ElevCalc!$L$91),NA())</f>
        <v/>
      </c>
      <c r="P246" t="inlineStr">
        <is>
          <t>gL</t>
        </is>
      </c>
      <c r="Q246">
        <f>IF(ElevCalc!$Q$73*(ElevCalc!$Q$83&gt;0),(ElevCalc!$Q$92+(ElevCalc!$Q$76+0.5*(ElevCalc!$Q$76+ElevCalc!$Q$83-ElevCalc!$Q$76))*ElevCalc!$Q$91),NA())</f>
        <v/>
      </c>
      <c r="R246">
        <f>IF(ElevCalc!$Q$73*(ElevCalc!$Q$83&gt;0),((ElevCalc!$Q$89+0.75*(ElevCalc!$Q$90-ElevCalc!$Q$89))*ElevCalc!$Q$91),NA())</f>
        <v/>
      </c>
      <c r="U246" t="inlineStr">
        <is>
          <t>gL</t>
        </is>
      </c>
      <c r="V246">
        <f>IF(ElevCalc!$V$73*(ElevCalc!$V$83&gt;0),(ElevCalc!$V$92+(ElevCalc!$V$76+0.5*(ElevCalc!$V$76+ElevCalc!$V$83-ElevCalc!$V$76))*ElevCalc!$V$91),NA())</f>
        <v/>
      </c>
      <c r="W246">
        <f>IF(ElevCalc!$V$73*(ElevCalc!$V$83&gt;0),((ElevCalc!$V$89+0.75*(ElevCalc!$V$90-ElevCalc!$V$89))*ElevCalc!$V$91),NA())</f>
        <v/>
      </c>
      <c r="Z246" t="inlineStr">
        <is>
          <t>gL</t>
        </is>
      </c>
      <c r="AA246">
        <f>IF(ElevCalc!$AA$73*(ElevCalc!$AA$83&gt;0),(ElevCalc!$AA$92+(ElevCalc!$AA$76+0.5*(ElevCalc!$AA$76+ElevCalc!$AA$83-ElevCalc!$AA$76))*ElevCalc!$AA$91),NA())</f>
        <v/>
      </c>
      <c r="AB246">
        <f>IF(ElevCalc!$AA$73*(ElevCalc!$AA$83&gt;0),((ElevCalc!$AA$89+0.75*(ElevCalc!$AA$90-ElevCalc!$AA$89))*ElevCalc!$AA$91),NA())</f>
        <v/>
      </c>
      <c r="AE246" t="inlineStr">
        <is>
          <t>gL</t>
        </is>
      </c>
      <c r="AF246">
        <f>IF(ElevCalc!$AF$73*(ElevCalc!$AF$83&gt;0),(ElevCalc!$AF$92+(ElevCalc!$AF$76+0.5*(ElevCalc!$AF$76+ElevCalc!$AF$83-ElevCalc!$AF$76))*ElevCalc!$AF$91),NA())</f>
        <v/>
      </c>
      <c r="AG246">
        <f>IF(ElevCalc!$AF$73*(ElevCalc!$AF$83&gt;0),((ElevCalc!$AF$89+0.75*(ElevCalc!$AF$90-ElevCalc!$AF$89))*ElevCalc!$AF$91),NA())</f>
        <v/>
      </c>
    </row>
    <row r="248">
      <c r="A248" t="inlineStr">
        <is>
          <t>gLb</t>
        </is>
      </c>
      <c r="B248">
        <f>IF(ElevCalc!$B$73*(ElevCalc!$B$83&gt;0),(ElevCalc!$B$92+(ElevCalc!$B$76+0.38*(ElevCalc!$B$76+ElevCalc!$B$83-ElevCalc!$B$76))*ElevCalc!$B$91),NA())</f>
        <v/>
      </c>
      <c r="C248">
        <f>IF(ElevCalc!$B$73*(ElevCalc!$B$83&gt;0),((ElevCalc!$B$89+0.40*(ElevCalc!$B$90-ElevCalc!$B$89))*ElevCalc!$B$91),NA())</f>
        <v/>
      </c>
      <c r="F248" t="inlineStr">
        <is>
          <t>gLb</t>
        </is>
      </c>
      <c r="G248">
        <f>IF(ElevCalc!$G$73*(ElevCalc!$G$83&gt;0),(ElevCalc!$G$92+(ElevCalc!$G$76+0.38*(ElevCalc!$G$76+ElevCalc!$G$83-ElevCalc!$G$76))*ElevCalc!$G$91),NA())</f>
        <v/>
      </c>
      <c r="H248">
        <f>IF(ElevCalc!$G$73*(ElevCalc!$G$83&gt;0),((ElevCalc!$G$89+0.40*(ElevCalc!$G$90-ElevCalc!$G$89))*ElevCalc!$G$91),NA())</f>
        <v/>
      </c>
      <c r="K248" t="inlineStr">
        <is>
          <t>gLb</t>
        </is>
      </c>
      <c r="L248">
        <f>IF(ElevCalc!$L$73*(ElevCalc!$L$83&gt;0),(ElevCalc!$L$92+(ElevCalc!$L$76+0.38*(ElevCalc!$L$76+ElevCalc!$L$83-ElevCalc!$L$76))*ElevCalc!$L$91),NA())</f>
        <v/>
      </c>
      <c r="M248">
        <f>IF(ElevCalc!$L$73*(ElevCalc!$L$83&gt;0),((ElevCalc!$L$89+0.40*(ElevCalc!$L$90-ElevCalc!$L$89))*ElevCalc!$L$91),NA())</f>
        <v/>
      </c>
      <c r="P248" t="inlineStr">
        <is>
          <t>gLb</t>
        </is>
      </c>
      <c r="Q248">
        <f>IF(ElevCalc!$Q$73*(ElevCalc!$Q$83&gt;0),(ElevCalc!$Q$92+(ElevCalc!$Q$76+0.38*(ElevCalc!$Q$76+ElevCalc!$Q$83-ElevCalc!$Q$76))*ElevCalc!$Q$91),NA())</f>
        <v/>
      </c>
      <c r="R248">
        <f>IF(ElevCalc!$Q$73*(ElevCalc!$Q$83&gt;0),((ElevCalc!$Q$89+0.40*(ElevCalc!$Q$90-ElevCalc!$Q$89))*ElevCalc!$Q$91),NA())</f>
        <v/>
      </c>
      <c r="U248" t="inlineStr">
        <is>
          <t>gLb</t>
        </is>
      </c>
      <c r="V248">
        <f>IF(ElevCalc!$V$73*(ElevCalc!$V$83&gt;0),(ElevCalc!$V$92+(ElevCalc!$V$76+0.38*(ElevCalc!$V$76+ElevCalc!$V$83-ElevCalc!$V$76))*ElevCalc!$V$91),NA())</f>
        <v/>
      </c>
      <c r="W248">
        <f>IF(ElevCalc!$V$73*(ElevCalc!$V$83&gt;0),((ElevCalc!$V$89+0.40*(ElevCalc!$V$90-ElevCalc!$V$89))*ElevCalc!$V$91),NA())</f>
        <v/>
      </c>
      <c r="Z248" t="inlineStr">
        <is>
          <t>gLb</t>
        </is>
      </c>
      <c r="AA248">
        <f>IF(ElevCalc!$AA$73*(ElevCalc!$AA$83&gt;0),(ElevCalc!$AA$92+(ElevCalc!$AA$76+0.38*(ElevCalc!$AA$76+ElevCalc!$AA$83-ElevCalc!$AA$76))*ElevCalc!$AA$91),NA())</f>
        <v/>
      </c>
      <c r="AB248">
        <f>IF(ElevCalc!$AA$73*(ElevCalc!$AA$83&gt;0),((ElevCalc!$AA$89+0.40*(ElevCalc!$AA$90-ElevCalc!$AA$89))*ElevCalc!$AA$91),NA())</f>
        <v/>
      </c>
      <c r="AE248" t="inlineStr">
        <is>
          <t>gLb</t>
        </is>
      </c>
      <c r="AF248">
        <f>IF(ElevCalc!$AF$73*(ElevCalc!$AF$83&gt;0),(ElevCalc!$AF$92+(ElevCalc!$AF$76+0.38*(ElevCalc!$AF$76+ElevCalc!$AF$83-ElevCalc!$AF$76))*ElevCalc!$AF$91),NA())</f>
        <v/>
      </c>
      <c r="AG248">
        <f>IF(ElevCalc!$AF$73*(ElevCalc!$AF$83&gt;0),((ElevCalc!$AF$89+0.40*(ElevCalc!$AF$90-ElevCalc!$AF$89))*ElevCalc!$AF$91),NA())</f>
        <v/>
      </c>
    </row>
    <row r="249">
      <c r="A249" t="inlineStr">
        <is>
          <t>gLb</t>
        </is>
      </c>
      <c r="B249">
        <f>IF(ElevCalc!$B$73*(ElevCalc!$B$83&gt;0),(ElevCalc!$B$92+(ElevCalc!$B$76+0.63*(ElevCalc!$B$76+ElevCalc!$B$83-ElevCalc!$B$76))*ElevCalc!$B$91),NA())</f>
        <v/>
      </c>
      <c r="C249">
        <f>IF(ElevCalc!$B$73*(ElevCalc!$B$83&gt;0),((ElevCalc!$B$89+0.70*(ElevCalc!$B$90-ElevCalc!$B$89))*ElevCalc!$B$91),NA())</f>
        <v/>
      </c>
      <c r="F249" t="inlineStr">
        <is>
          <t>gLb</t>
        </is>
      </c>
      <c r="G249">
        <f>IF(ElevCalc!$G$73*(ElevCalc!$G$83&gt;0),(ElevCalc!$G$92+(ElevCalc!$G$76+0.63*(ElevCalc!$G$76+ElevCalc!$G$83-ElevCalc!$G$76))*ElevCalc!$G$91),NA())</f>
        <v/>
      </c>
      <c r="H249">
        <f>IF(ElevCalc!$G$73*(ElevCalc!$G$83&gt;0),((ElevCalc!$G$89+0.70*(ElevCalc!$G$90-ElevCalc!$G$89))*ElevCalc!$G$91),NA())</f>
        <v/>
      </c>
      <c r="K249" t="inlineStr">
        <is>
          <t>gLb</t>
        </is>
      </c>
      <c r="L249">
        <f>IF(ElevCalc!$L$73*(ElevCalc!$L$83&gt;0),(ElevCalc!$L$92+(ElevCalc!$L$76+0.63*(ElevCalc!$L$76+ElevCalc!$L$83-ElevCalc!$L$76))*ElevCalc!$L$91),NA())</f>
        <v/>
      </c>
      <c r="M249">
        <f>IF(ElevCalc!$L$73*(ElevCalc!$L$83&gt;0),((ElevCalc!$L$89+0.70*(ElevCalc!$L$90-ElevCalc!$L$89))*ElevCalc!$L$91),NA())</f>
        <v/>
      </c>
      <c r="P249" t="inlineStr">
        <is>
          <t>gLb</t>
        </is>
      </c>
      <c r="Q249">
        <f>IF(ElevCalc!$Q$73*(ElevCalc!$Q$83&gt;0),(ElevCalc!$Q$92+(ElevCalc!$Q$76+0.63*(ElevCalc!$Q$76+ElevCalc!$Q$83-ElevCalc!$Q$76))*ElevCalc!$Q$91),NA())</f>
        <v/>
      </c>
      <c r="R249">
        <f>IF(ElevCalc!$Q$73*(ElevCalc!$Q$83&gt;0),((ElevCalc!$Q$89+0.70*(ElevCalc!$Q$90-ElevCalc!$Q$89))*ElevCalc!$Q$91),NA())</f>
        <v/>
      </c>
      <c r="U249" t="inlineStr">
        <is>
          <t>gLb</t>
        </is>
      </c>
      <c r="V249">
        <f>IF(ElevCalc!$V$73*(ElevCalc!$V$83&gt;0),(ElevCalc!$V$92+(ElevCalc!$V$76+0.63*(ElevCalc!$V$76+ElevCalc!$V$83-ElevCalc!$V$76))*ElevCalc!$V$91),NA())</f>
        <v/>
      </c>
      <c r="W249">
        <f>IF(ElevCalc!$V$73*(ElevCalc!$V$83&gt;0),((ElevCalc!$V$89+0.70*(ElevCalc!$V$90-ElevCalc!$V$89))*ElevCalc!$V$91),NA())</f>
        <v/>
      </c>
      <c r="Z249" t="inlineStr">
        <is>
          <t>gLb</t>
        </is>
      </c>
      <c r="AA249">
        <f>IF(ElevCalc!$AA$73*(ElevCalc!$AA$83&gt;0),(ElevCalc!$AA$92+(ElevCalc!$AA$76+0.63*(ElevCalc!$AA$76+ElevCalc!$AA$83-ElevCalc!$AA$76))*ElevCalc!$AA$91),NA())</f>
        <v/>
      </c>
      <c r="AB249">
        <f>IF(ElevCalc!$AA$73*(ElevCalc!$AA$83&gt;0),((ElevCalc!$AA$89+0.70*(ElevCalc!$AA$90-ElevCalc!$AA$89))*ElevCalc!$AA$91),NA())</f>
        <v/>
      </c>
      <c r="AE249" t="inlineStr">
        <is>
          <t>gLb</t>
        </is>
      </c>
      <c r="AF249">
        <f>IF(ElevCalc!$AF$73*(ElevCalc!$AF$83&gt;0),(ElevCalc!$AF$92+(ElevCalc!$AF$76+0.63*(ElevCalc!$AF$76+ElevCalc!$AF$83-ElevCalc!$AF$76))*ElevCalc!$AF$91),NA())</f>
        <v/>
      </c>
      <c r="AG249">
        <f>IF(ElevCalc!$AF$73*(ElevCalc!$AF$83&gt;0),((ElevCalc!$AF$89+0.70*(ElevCalc!$AF$90-ElevCalc!$AF$89))*ElevCalc!$AF$91),NA())</f>
        <v/>
      </c>
    </row>
    <row r="251">
      <c r="A251" t="inlineStr">
        <is>
          <t>gR</t>
        </is>
      </c>
      <c r="B251">
        <f>IF(ElevCalc!$B$73*(ElevCalc!$B$84&gt;0),(ElevCalc!$B$92+(ElevCalc!$B$88+ElevCalc!$B$78+0.25*(ElevCalc!$B$88+ElevCalc!$B$78+ElevCalc!$B$84-ElevCalc!$B$88+ElevCalc!$B$78))*ElevCalc!$B$91),NA())</f>
        <v/>
      </c>
      <c r="C251">
        <f>IF(ElevCalc!$B$73*(ElevCalc!$B$84&gt;0),((ElevCalc!$B$89+0.45*(ElevCalc!$B$90-ElevCalc!$B$89))*ElevCalc!$B$91),NA())</f>
        <v/>
      </c>
      <c r="F251" t="inlineStr">
        <is>
          <t>gR</t>
        </is>
      </c>
      <c r="G251">
        <f>IF(ElevCalc!$G$73*(ElevCalc!$G$84&gt;0),(ElevCalc!$G$92+(ElevCalc!$G$88+ElevCalc!$G$78+0.25*(ElevCalc!$G$88+ElevCalc!$G$78+ElevCalc!$G$84-ElevCalc!$G$88+ElevCalc!$G$78))*ElevCalc!$G$91),NA())</f>
        <v/>
      </c>
      <c r="H251">
        <f>IF(ElevCalc!$G$73*(ElevCalc!$G$84&gt;0),((ElevCalc!$G$89+0.45*(ElevCalc!$G$90-ElevCalc!$G$89))*ElevCalc!$G$91),NA())</f>
        <v/>
      </c>
      <c r="K251" t="inlineStr">
        <is>
          <t>gR</t>
        </is>
      </c>
      <c r="L251">
        <f>IF(ElevCalc!$L$73*(ElevCalc!$L$84&gt;0),(ElevCalc!$L$92+(ElevCalc!$L$88+ElevCalc!$L$78+0.25*(ElevCalc!$L$88+ElevCalc!$L$78+ElevCalc!$L$84-ElevCalc!$L$88+ElevCalc!$L$78))*ElevCalc!$L$91),NA())</f>
        <v/>
      </c>
      <c r="M251">
        <f>IF(ElevCalc!$L$73*(ElevCalc!$L$84&gt;0),((ElevCalc!$L$89+0.45*(ElevCalc!$L$90-ElevCalc!$L$89))*ElevCalc!$L$91),NA())</f>
        <v/>
      </c>
      <c r="P251" t="inlineStr">
        <is>
          <t>gR</t>
        </is>
      </c>
      <c r="Q251">
        <f>IF(ElevCalc!$Q$73*(ElevCalc!$Q$84&gt;0),(ElevCalc!$Q$92+(ElevCalc!$Q$88+ElevCalc!$Q$78+0.25*(ElevCalc!$Q$88+ElevCalc!$Q$78+ElevCalc!$Q$84-ElevCalc!$Q$88+ElevCalc!$Q$78))*ElevCalc!$Q$91),NA())</f>
        <v/>
      </c>
      <c r="R251">
        <f>IF(ElevCalc!$Q$73*(ElevCalc!$Q$84&gt;0),((ElevCalc!$Q$89+0.45*(ElevCalc!$Q$90-ElevCalc!$Q$89))*ElevCalc!$Q$91),NA())</f>
        <v/>
      </c>
      <c r="U251" t="inlineStr">
        <is>
          <t>gR</t>
        </is>
      </c>
      <c r="V251">
        <f>IF(ElevCalc!$V$73*(ElevCalc!$V$84&gt;0),(ElevCalc!$V$92+(ElevCalc!$V$88+ElevCalc!$V$78+0.25*(ElevCalc!$V$88+ElevCalc!$V$78+ElevCalc!$V$84-ElevCalc!$V$88+ElevCalc!$V$78))*ElevCalc!$V$91),NA())</f>
        <v/>
      </c>
      <c r="W251">
        <f>IF(ElevCalc!$V$73*(ElevCalc!$V$84&gt;0),((ElevCalc!$V$89+0.45*(ElevCalc!$V$90-ElevCalc!$V$89))*ElevCalc!$V$91),NA())</f>
        <v/>
      </c>
      <c r="Z251" t="inlineStr">
        <is>
          <t>gR</t>
        </is>
      </c>
      <c r="AA251">
        <f>IF(ElevCalc!$AA$73*(ElevCalc!$AA$84&gt;0),(ElevCalc!$AA$92+(ElevCalc!$AA$88+ElevCalc!$AA$78+0.25*(ElevCalc!$AA$88+ElevCalc!$AA$78+ElevCalc!$AA$84-ElevCalc!$AA$88+ElevCalc!$AA$78))*ElevCalc!$AA$91),NA())</f>
        <v/>
      </c>
      <c r="AB251">
        <f>IF(ElevCalc!$AA$73*(ElevCalc!$AA$84&gt;0),((ElevCalc!$AA$89+0.45*(ElevCalc!$AA$90-ElevCalc!$AA$89))*ElevCalc!$AA$91),NA())</f>
        <v/>
      </c>
      <c r="AE251" t="inlineStr">
        <is>
          <t>gR</t>
        </is>
      </c>
      <c r="AF251">
        <f>IF(ElevCalc!$AF$73*(ElevCalc!$AF$84&gt;0),(ElevCalc!$AF$92+(ElevCalc!$AF$88+ElevCalc!$AF$78+0.25*(ElevCalc!$AF$88+ElevCalc!$AF$78+ElevCalc!$AF$84-ElevCalc!$AF$88+ElevCalc!$AF$78))*ElevCalc!$AF$91),NA())</f>
        <v/>
      </c>
      <c r="AG251">
        <f>IF(ElevCalc!$AF$73*(ElevCalc!$AF$84&gt;0),((ElevCalc!$AF$89+0.45*(ElevCalc!$AF$90-ElevCalc!$AF$89))*ElevCalc!$AF$91),NA())</f>
        <v/>
      </c>
    </row>
    <row r="252">
      <c r="A252" t="inlineStr">
        <is>
          <t>gR</t>
        </is>
      </c>
      <c r="B252">
        <f>IF(ElevCalc!$B$73*(ElevCalc!$B$84&gt;0),(ElevCalc!$B$92+(ElevCalc!$B$88+ElevCalc!$B$78+0.5*(ElevCalc!$B$88+ElevCalc!$B$78+ElevCalc!$B$84-ElevCalc!$B$88+ElevCalc!$B$78))*ElevCalc!$B$91),NA())</f>
        <v/>
      </c>
      <c r="C252">
        <f>IF(ElevCalc!$B$73*(ElevCalc!$B$84&gt;0),((ElevCalc!$B$89+0.75*(ElevCalc!$B$90-ElevCalc!$B$89))*ElevCalc!$B$91),NA())</f>
        <v/>
      </c>
      <c r="F252" t="inlineStr">
        <is>
          <t>gR</t>
        </is>
      </c>
      <c r="G252">
        <f>IF(ElevCalc!$G$73*(ElevCalc!$G$84&gt;0),(ElevCalc!$G$92+(ElevCalc!$G$88+ElevCalc!$G$78+0.5*(ElevCalc!$G$88+ElevCalc!$G$78+ElevCalc!$G$84-ElevCalc!$G$88+ElevCalc!$G$78))*ElevCalc!$G$91),NA())</f>
        <v/>
      </c>
      <c r="H252">
        <f>IF(ElevCalc!$G$73*(ElevCalc!$G$84&gt;0),((ElevCalc!$G$89+0.75*(ElevCalc!$G$90-ElevCalc!$G$89))*ElevCalc!$G$91),NA())</f>
        <v/>
      </c>
      <c r="K252" t="inlineStr">
        <is>
          <t>gR</t>
        </is>
      </c>
      <c r="L252">
        <f>IF(ElevCalc!$L$73*(ElevCalc!$L$84&gt;0),(ElevCalc!$L$92+(ElevCalc!$L$88+ElevCalc!$L$78+0.5*(ElevCalc!$L$88+ElevCalc!$L$78+ElevCalc!$L$84-ElevCalc!$L$88+ElevCalc!$L$78))*ElevCalc!$L$91),NA())</f>
        <v/>
      </c>
      <c r="M252">
        <f>IF(ElevCalc!$L$73*(ElevCalc!$L$84&gt;0),((ElevCalc!$L$89+0.75*(ElevCalc!$L$90-ElevCalc!$L$89))*ElevCalc!$L$91),NA())</f>
        <v/>
      </c>
      <c r="P252" t="inlineStr">
        <is>
          <t>gR</t>
        </is>
      </c>
      <c r="Q252">
        <f>IF(ElevCalc!$Q$73*(ElevCalc!$Q$84&gt;0),(ElevCalc!$Q$92+(ElevCalc!$Q$88+ElevCalc!$Q$78+0.5*(ElevCalc!$Q$88+ElevCalc!$Q$78+ElevCalc!$Q$84-ElevCalc!$Q$88+ElevCalc!$Q$78))*ElevCalc!$Q$91),NA())</f>
        <v/>
      </c>
      <c r="R252">
        <f>IF(ElevCalc!$Q$73*(ElevCalc!$Q$84&gt;0),((ElevCalc!$Q$89+0.75*(ElevCalc!$Q$90-ElevCalc!$Q$89))*ElevCalc!$Q$91),NA())</f>
        <v/>
      </c>
      <c r="U252" t="inlineStr">
        <is>
          <t>gR</t>
        </is>
      </c>
      <c r="V252">
        <f>IF(ElevCalc!$V$73*(ElevCalc!$V$84&gt;0),(ElevCalc!$V$92+(ElevCalc!$V$88+ElevCalc!$V$78+0.5*(ElevCalc!$V$88+ElevCalc!$V$78+ElevCalc!$V$84-ElevCalc!$V$88+ElevCalc!$V$78))*ElevCalc!$V$91),NA())</f>
        <v/>
      </c>
      <c r="W252">
        <f>IF(ElevCalc!$V$73*(ElevCalc!$V$84&gt;0),((ElevCalc!$V$89+0.75*(ElevCalc!$V$90-ElevCalc!$V$89))*ElevCalc!$V$91),NA())</f>
        <v/>
      </c>
      <c r="Z252" t="inlineStr">
        <is>
          <t>gR</t>
        </is>
      </c>
      <c r="AA252">
        <f>IF(ElevCalc!$AA$73*(ElevCalc!$AA$84&gt;0),(ElevCalc!$AA$92+(ElevCalc!$AA$88+ElevCalc!$AA$78+0.5*(ElevCalc!$AA$88+ElevCalc!$AA$78+ElevCalc!$AA$84-ElevCalc!$AA$88+ElevCalc!$AA$78))*ElevCalc!$AA$91),NA())</f>
        <v/>
      </c>
      <c r="AB252">
        <f>IF(ElevCalc!$AA$73*(ElevCalc!$AA$84&gt;0),((ElevCalc!$AA$89+0.75*(ElevCalc!$AA$90-ElevCalc!$AA$89))*ElevCalc!$AA$91),NA())</f>
        <v/>
      </c>
      <c r="AE252" t="inlineStr">
        <is>
          <t>gR</t>
        </is>
      </c>
      <c r="AF252">
        <f>IF(ElevCalc!$AF$73*(ElevCalc!$AF$84&gt;0),(ElevCalc!$AF$92+(ElevCalc!$AF$88+ElevCalc!$AF$78+0.5*(ElevCalc!$AF$88+ElevCalc!$AF$78+ElevCalc!$AF$84-ElevCalc!$AF$88+ElevCalc!$AF$78))*ElevCalc!$AF$91),NA())</f>
        <v/>
      </c>
      <c r="AG252">
        <f>IF(ElevCalc!$AF$73*(ElevCalc!$AF$84&gt;0),((ElevCalc!$AF$89+0.75*(ElevCalc!$AF$90-ElevCalc!$AF$89))*ElevCalc!$AF$91),NA())</f>
        <v/>
      </c>
    </row>
    <row r="254">
      <c r="A254" t="inlineStr">
        <is>
          <t>gRb</t>
        </is>
      </c>
      <c r="B254">
        <f>IF(ElevCalc!$B$73*(ElevCalc!$B$84&gt;0),(ElevCalc!$B$92+(ElevCalc!$B$88+ElevCalc!$B$78+0.38*(ElevCalc!$B$88+ElevCalc!$B$78+ElevCalc!$B$84-ElevCalc!$B$88+ElevCalc!$B$78))*ElevCalc!$B$91),NA())</f>
        <v/>
      </c>
      <c r="C254">
        <f>IF(ElevCalc!$B$73*(ElevCalc!$B$84&gt;0),((ElevCalc!$B$89+0.40*(ElevCalc!$B$90-ElevCalc!$B$89))*ElevCalc!$B$91),NA())</f>
        <v/>
      </c>
      <c r="F254" t="inlineStr">
        <is>
          <t>gRb</t>
        </is>
      </c>
      <c r="G254">
        <f>IF(ElevCalc!$G$73*(ElevCalc!$G$84&gt;0),(ElevCalc!$G$92+(ElevCalc!$G$88+ElevCalc!$G$78+0.38*(ElevCalc!$G$88+ElevCalc!$G$78+ElevCalc!$G$84-ElevCalc!$G$88+ElevCalc!$G$78))*ElevCalc!$G$91),NA())</f>
        <v/>
      </c>
      <c r="H254">
        <f>IF(ElevCalc!$G$73*(ElevCalc!$G$84&gt;0),((ElevCalc!$G$89+0.40*(ElevCalc!$G$90-ElevCalc!$G$89))*ElevCalc!$G$91),NA())</f>
        <v/>
      </c>
      <c r="K254" t="inlineStr">
        <is>
          <t>gRb</t>
        </is>
      </c>
      <c r="L254">
        <f>IF(ElevCalc!$L$73*(ElevCalc!$L$84&gt;0),(ElevCalc!$L$92+(ElevCalc!$L$88+ElevCalc!$L$78+0.38*(ElevCalc!$L$88+ElevCalc!$L$78+ElevCalc!$L$84-ElevCalc!$L$88+ElevCalc!$L$78))*ElevCalc!$L$91),NA())</f>
        <v/>
      </c>
      <c r="M254">
        <f>IF(ElevCalc!$L$73*(ElevCalc!$L$84&gt;0),((ElevCalc!$L$89+0.40*(ElevCalc!$L$90-ElevCalc!$L$89))*ElevCalc!$L$91),NA())</f>
        <v/>
      </c>
      <c r="P254" t="inlineStr">
        <is>
          <t>gRb</t>
        </is>
      </c>
      <c r="Q254">
        <f>IF(ElevCalc!$Q$73*(ElevCalc!$Q$84&gt;0),(ElevCalc!$Q$92+(ElevCalc!$Q$88+ElevCalc!$Q$78+0.38*(ElevCalc!$Q$88+ElevCalc!$Q$78+ElevCalc!$Q$84-ElevCalc!$Q$88+ElevCalc!$Q$78))*ElevCalc!$Q$91),NA())</f>
        <v/>
      </c>
      <c r="R254">
        <f>IF(ElevCalc!$Q$73*(ElevCalc!$Q$84&gt;0),((ElevCalc!$Q$89+0.40*(ElevCalc!$Q$90-ElevCalc!$Q$89))*ElevCalc!$Q$91),NA())</f>
        <v/>
      </c>
      <c r="U254" t="inlineStr">
        <is>
          <t>gRb</t>
        </is>
      </c>
      <c r="V254">
        <f>IF(ElevCalc!$V$73*(ElevCalc!$V$84&gt;0),(ElevCalc!$V$92+(ElevCalc!$V$88+ElevCalc!$V$78+0.38*(ElevCalc!$V$88+ElevCalc!$V$78+ElevCalc!$V$84-ElevCalc!$V$88+ElevCalc!$V$78))*ElevCalc!$V$91),NA())</f>
        <v/>
      </c>
      <c r="W254">
        <f>IF(ElevCalc!$V$73*(ElevCalc!$V$84&gt;0),((ElevCalc!$V$89+0.40*(ElevCalc!$V$90-ElevCalc!$V$89))*ElevCalc!$V$91),NA())</f>
        <v/>
      </c>
      <c r="Z254" t="inlineStr">
        <is>
          <t>gRb</t>
        </is>
      </c>
      <c r="AA254">
        <f>IF(ElevCalc!$AA$73*(ElevCalc!$AA$84&gt;0),(ElevCalc!$AA$92+(ElevCalc!$AA$88+ElevCalc!$AA$78+0.38*(ElevCalc!$AA$88+ElevCalc!$AA$78+ElevCalc!$AA$84-ElevCalc!$AA$88+ElevCalc!$AA$78))*ElevCalc!$AA$91),NA())</f>
        <v/>
      </c>
      <c r="AB254">
        <f>IF(ElevCalc!$AA$73*(ElevCalc!$AA$84&gt;0),((ElevCalc!$AA$89+0.40*(ElevCalc!$AA$90-ElevCalc!$AA$89))*ElevCalc!$AA$91),NA())</f>
        <v/>
      </c>
      <c r="AE254" t="inlineStr">
        <is>
          <t>gRb</t>
        </is>
      </c>
      <c r="AF254">
        <f>IF(ElevCalc!$AF$73*(ElevCalc!$AF$84&gt;0),(ElevCalc!$AF$92+(ElevCalc!$AF$88+ElevCalc!$AF$78+0.38*(ElevCalc!$AF$88+ElevCalc!$AF$78+ElevCalc!$AF$84-ElevCalc!$AF$88+ElevCalc!$AF$78))*ElevCalc!$AF$91),NA())</f>
        <v/>
      </c>
      <c r="AG254">
        <f>IF(ElevCalc!$AF$73*(ElevCalc!$AF$84&gt;0),((ElevCalc!$AF$89+0.40*(ElevCalc!$AF$90-ElevCalc!$AF$89))*ElevCalc!$AF$91),NA())</f>
        <v/>
      </c>
    </row>
    <row r="255">
      <c r="A255" t="inlineStr">
        <is>
          <t>gRb</t>
        </is>
      </c>
      <c r="B255">
        <f>IF(ElevCalc!$B$73*(ElevCalc!$B$84&gt;0),(ElevCalc!$B$92+(ElevCalc!$B$88+ElevCalc!$B$78+0.63*(ElevCalc!$B$88+ElevCalc!$B$78+ElevCalc!$B$84-ElevCalc!$B$88+ElevCalc!$B$78))*ElevCalc!$B$91),NA())</f>
        <v/>
      </c>
      <c r="C255">
        <f>IF(ElevCalc!$B$73*(ElevCalc!$B$84&gt;0),((ElevCalc!$B$89+0.70*(ElevCalc!$B$90-ElevCalc!$B$89))*ElevCalc!$B$91),NA())</f>
        <v/>
      </c>
      <c r="F255" t="inlineStr">
        <is>
          <t>gRb</t>
        </is>
      </c>
      <c r="G255">
        <f>IF(ElevCalc!$G$73*(ElevCalc!$G$84&gt;0),(ElevCalc!$G$92+(ElevCalc!$G$88+ElevCalc!$G$78+0.63*(ElevCalc!$G$88+ElevCalc!$G$78+ElevCalc!$G$84-ElevCalc!$G$88+ElevCalc!$G$78))*ElevCalc!$G$91),NA())</f>
        <v/>
      </c>
      <c r="H255">
        <f>IF(ElevCalc!$G$73*(ElevCalc!$G$84&gt;0),((ElevCalc!$G$89+0.70*(ElevCalc!$G$90-ElevCalc!$G$89))*ElevCalc!$G$91),NA())</f>
        <v/>
      </c>
      <c r="K255" t="inlineStr">
        <is>
          <t>gRb</t>
        </is>
      </c>
      <c r="L255">
        <f>IF(ElevCalc!$L$73*(ElevCalc!$L$84&gt;0),(ElevCalc!$L$92+(ElevCalc!$L$88+ElevCalc!$L$78+0.63*(ElevCalc!$L$88+ElevCalc!$L$78+ElevCalc!$L$84-ElevCalc!$L$88+ElevCalc!$L$78))*ElevCalc!$L$91),NA())</f>
        <v/>
      </c>
      <c r="M255">
        <f>IF(ElevCalc!$L$73*(ElevCalc!$L$84&gt;0),((ElevCalc!$L$89+0.70*(ElevCalc!$L$90-ElevCalc!$L$89))*ElevCalc!$L$91),NA())</f>
        <v/>
      </c>
      <c r="P255" t="inlineStr">
        <is>
          <t>gRb</t>
        </is>
      </c>
      <c r="Q255">
        <f>IF(ElevCalc!$Q$73*(ElevCalc!$Q$84&gt;0),(ElevCalc!$Q$92+(ElevCalc!$Q$88+ElevCalc!$Q$78+0.63*(ElevCalc!$Q$88+ElevCalc!$Q$78+ElevCalc!$Q$84-ElevCalc!$Q$88+ElevCalc!$Q$78))*ElevCalc!$Q$91),NA())</f>
        <v/>
      </c>
      <c r="R255">
        <f>IF(ElevCalc!$Q$73*(ElevCalc!$Q$84&gt;0),((ElevCalc!$Q$89+0.70*(ElevCalc!$Q$90-ElevCalc!$Q$89))*ElevCalc!$Q$91),NA())</f>
        <v/>
      </c>
      <c r="U255" t="inlineStr">
        <is>
          <t>gRb</t>
        </is>
      </c>
      <c r="V255">
        <f>IF(ElevCalc!$V$73*(ElevCalc!$V$84&gt;0),(ElevCalc!$V$92+(ElevCalc!$V$88+ElevCalc!$V$78+0.63*(ElevCalc!$V$88+ElevCalc!$V$78+ElevCalc!$V$84-ElevCalc!$V$88+ElevCalc!$V$78))*ElevCalc!$V$91),NA())</f>
        <v/>
      </c>
      <c r="W255">
        <f>IF(ElevCalc!$V$73*(ElevCalc!$V$84&gt;0),((ElevCalc!$V$89+0.70*(ElevCalc!$V$90-ElevCalc!$V$89))*ElevCalc!$V$91),NA())</f>
        <v/>
      </c>
      <c r="Z255" t="inlineStr">
        <is>
          <t>gRb</t>
        </is>
      </c>
      <c r="AA255">
        <f>IF(ElevCalc!$AA$73*(ElevCalc!$AA$84&gt;0),(ElevCalc!$AA$92+(ElevCalc!$AA$88+ElevCalc!$AA$78+0.63*(ElevCalc!$AA$88+ElevCalc!$AA$78+ElevCalc!$AA$84-ElevCalc!$AA$88+ElevCalc!$AA$78))*ElevCalc!$AA$91),NA())</f>
        <v/>
      </c>
      <c r="AB255">
        <f>IF(ElevCalc!$AA$73*(ElevCalc!$AA$84&gt;0),((ElevCalc!$AA$89+0.70*(ElevCalc!$AA$90-ElevCalc!$AA$89))*ElevCalc!$AA$91),NA())</f>
        <v/>
      </c>
      <c r="AE255" t="inlineStr">
        <is>
          <t>gRb</t>
        </is>
      </c>
      <c r="AF255">
        <f>IF(ElevCalc!$AF$73*(ElevCalc!$AF$84&gt;0),(ElevCalc!$AF$92+(ElevCalc!$AF$88+ElevCalc!$AF$78+0.63*(ElevCalc!$AF$88+ElevCalc!$AF$78+ElevCalc!$AF$84-ElevCalc!$AF$88+ElevCalc!$AF$78))*ElevCalc!$AF$91),NA())</f>
        <v/>
      </c>
      <c r="AG255">
        <f>IF(ElevCalc!$AF$73*(ElevCalc!$AF$84&gt;0),((ElevCalc!$AF$89+0.70*(ElevCalc!$AF$90-ElevCalc!$AF$89))*ElevCalc!$AF$91),NA())</f>
        <v/>
      </c>
    </row>
    <row r="257">
      <c r="A257" t="inlineStr">
        <is>
          <t>gB</t>
        </is>
      </c>
      <c r="B257">
        <f>IF(ElevCalc!$B$73*(ElevCalc!$B$4="BL"),(ElevCalc!$B$92+(ElevCalc!$B$87+0.25*(ElevCalc!$B$88-ElevCalc!$B$87))*ElevCalc!$B$91),NA())</f>
        <v/>
      </c>
      <c r="C257">
        <f>IF(ElevCalc!$B$73*(ElevCalc!$B$4="BL"),((ElevCalc!$B$89+0.45*(ElevCalc!$B$90-ElevCalc!$B$89))*ElevCalc!$B$91),NA())</f>
        <v/>
      </c>
      <c r="F257" t="inlineStr">
        <is>
          <t>gB</t>
        </is>
      </c>
      <c r="G257">
        <f>IF(ElevCalc!$G$73*(ElevCalc!$G$4="BL"),(ElevCalc!$G$92+(ElevCalc!$G$87+0.25*(ElevCalc!$G$88-ElevCalc!$G$87))*ElevCalc!$G$91),NA())</f>
        <v/>
      </c>
      <c r="H257">
        <f>IF(ElevCalc!$G$73*(ElevCalc!$G$4="BL"),((ElevCalc!$G$89+0.45*(ElevCalc!$G$90-ElevCalc!$G$89))*ElevCalc!$G$91),NA())</f>
        <v/>
      </c>
      <c r="K257" t="inlineStr">
        <is>
          <t>gB</t>
        </is>
      </c>
      <c r="L257">
        <f>IF(ElevCalc!$L$73*(ElevCalc!$L$4="BL"),(ElevCalc!$L$92+(ElevCalc!$L$87+0.25*(ElevCalc!$L$88-ElevCalc!$L$87))*ElevCalc!$L$91),NA())</f>
        <v/>
      </c>
      <c r="M257">
        <f>IF(ElevCalc!$L$73*(ElevCalc!$L$4="BL"),((ElevCalc!$L$89+0.45*(ElevCalc!$L$90-ElevCalc!$L$89))*ElevCalc!$L$91),NA())</f>
        <v/>
      </c>
      <c r="P257" t="inlineStr">
        <is>
          <t>gB</t>
        </is>
      </c>
      <c r="Q257">
        <f>IF(ElevCalc!$Q$73*(ElevCalc!$Q$4="BL"),(ElevCalc!$Q$92+(ElevCalc!$Q$87+0.25*(ElevCalc!$Q$88-ElevCalc!$Q$87))*ElevCalc!$Q$91),NA())</f>
        <v/>
      </c>
      <c r="R257">
        <f>IF(ElevCalc!$Q$73*(ElevCalc!$Q$4="BL"),((ElevCalc!$Q$89+0.45*(ElevCalc!$Q$90-ElevCalc!$Q$89))*ElevCalc!$Q$91),NA())</f>
        <v/>
      </c>
      <c r="U257" t="inlineStr">
        <is>
          <t>gB</t>
        </is>
      </c>
      <c r="V257">
        <f>IF(ElevCalc!$V$73*(ElevCalc!$V$4="BL"),(ElevCalc!$V$92+(ElevCalc!$V$87+0.25*(ElevCalc!$V$88-ElevCalc!$V$87))*ElevCalc!$V$91),NA())</f>
        <v/>
      </c>
      <c r="W257">
        <f>IF(ElevCalc!$V$73*(ElevCalc!$V$4="BL"),((ElevCalc!$V$89+0.45*(ElevCalc!$V$90-ElevCalc!$V$89))*ElevCalc!$V$91),NA())</f>
        <v/>
      </c>
      <c r="Z257" t="inlineStr">
        <is>
          <t>gB</t>
        </is>
      </c>
      <c r="AA257">
        <f>IF(ElevCalc!$AA$73*(ElevCalc!$AA$4="BL"),(ElevCalc!$AA$92+(ElevCalc!$AA$87+0.25*(ElevCalc!$AA$88-ElevCalc!$AA$87))*ElevCalc!$AA$91),NA())</f>
        <v/>
      </c>
      <c r="AB257">
        <f>IF(ElevCalc!$AA$73*(ElevCalc!$AA$4="BL"),((ElevCalc!$AA$89+0.45*(ElevCalc!$AA$90-ElevCalc!$AA$89))*ElevCalc!$AA$91),NA())</f>
        <v/>
      </c>
      <c r="AE257" t="inlineStr">
        <is>
          <t>gB</t>
        </is>
      </c>
      <c r="AF257">
        <f>IF(ElevCalc!$AF$73*(ElevCalc!$AF$4="BL"),(ElevCalc!$AF$92+(ElevCalc!$AF$87+0.25*(ElevCalc!$AF$88-ElevCalc!$AF$87))*ElevCalc!$AF$91),NA())</f>
        <v/>
      </c>
      <c r="AG257">
        <f>IF(ElevCalc!$AF$73*(ElevCalc!$AF$4="BL"),((ElevCalc!$AF$89+0.45*(ElevCalc!$AF$90-ElevCalc!$AF$89))*ElevCalc!$AF$91),NA())</f>
        <v/>
      </c>
    </row>
    <row r="258">
      <c r="A258" t="inlineStr">
        <is>
          <t>gB</t>
        </is>
      </c>
      <c r="B258">
        <f>IF(ElevCalc!$B$73*(ElevCalc!$B$4="BL"),(ElevCalc!$B$92+(ElevCalc!$B$87+0.5*(ElevCalc!$B$88-ElevCalc!$B$87))*ElevCalc!$B$91),NA())</f>
        <v/>
      </c>
      <c r="C258">
        <f>IF(ElevCalc!$B$73*(ElevCalc!$B$4="BL"),((ElevCalc!$B$89+0.75*(ElevCalc!$B$90-ElevCalc!$B$89))*ElevCalc!$B$91),NA())</f>
        <v/>
      </c>
      <c r="F258" t="inlineStr">
        <is>
          <t>gB</t>
        </is>
      </c>
      <c r="G258">
        <f>IF(ElevCalc!$G$73*(ElevCalc!$G$4="BL"),(ElevCalc!$G$92+(ElevCalc!$G$87+0.5*(ElevCalc!$G$88-ElevCalc!$G$87))*ElevCalc!$G$91),NA())</f>
        <v/>
      </c>
      <c r="H258">
        <f>IF(ElevCalc!$G$73*(ElevCalc!$G$4="BL"),((ElevCalc!$G$89+0.75*(ElevCalc!$G$90-ElevCalc!$G$89))*ElevCalc!$G$91),NA())</f>
        <v/>
      </c>
      <c r="K258" t="inlineStr">
        <is>
          <t>gB</t>
        </is>
      </c>
      <c r="L258">
        <f>IF(ElevCalc!$L$73*(ElevCalc!$L$4="BL"),(ElevCalc!$L$92+(ElevCalc!$L$87+0.5*(ElevCalc!$L$88-ElevCalc!$L$87))*ElevCalc!$L$91),NA())</f>
        <v/>
      </c>
      <c r="M258">
        <f>IF(ElevCalc!$L$73*(ElevCalc!$L$4="BL"),((ElevCalc!$L$89+0.75*(ElevCalc!$L$90-ElevCalc!$L$89))*ElevCalc!$L$91),NA())</f>
        <v/>
      </c>
      <c r="P258" t="inlineStr">
        <is>
          <t>gB</t>
        </is>
      </c>
      <c r="Q258">
        <f>IF(ElevCalc!$Q$73*(ElevCalc!$Q$4="BL"),(ElevCalc!$Q$92+(ElevCalc!$Q$87+0.5*(ElevCalc!$Q$88-ElevCalc!$Q$87))*ElevCalc!$Q$91),NA())</f>
        <v/>
      </c>
      <c r="R258">
        <f>IF(ElevCalc!$Q$73*(ElevCalc!$Q$4="BL"),((ElevCalc!$Q$89+0.75*(ElevCalc!$Q$90-ElevCalc!$Q$89))*ElevCalc!$Q$91),NA())</f>
        <v/>
      </c>
      <c r="U258" t="inlineStr">
        <is>
          <t>gB</t>
        </is>
      </c>
      <c r="V258">
        <f>IF(ElevCalc!$V$73*(ElevCalc!$V$4="BL"),(ElevCalc!$V$92+(ElevCalc!$V$87+0.5*(ElevCalc!$V$88-ElevCalc!$V$87))*ElevCalc!$V$91),NA())</f>
        <v/>
      </c>
      <c r="W258">
        <f>IF(ElevCalc!$V$73*(ElevCalc!$V$4="BL"),((ElevCalc!$V$89+0.75*(ElevCalc!$V$90-ElevCalc!$V$89))*ElevCalc!$V$91),NA())</f>
        <v/>
      </c>
      <c r="Z258" t="inlineStr">
        <is>
          <t>gB</t>
        </is>
      </c>
      <c r="AA258">
        <f>IF(ElevCalc!$AA$73*(ElevCalc!$AA$4="BL"),(ElevCalc!$AA$92+(ElevCalc!$AA$87+0.5*(ElevCalc!$AA$88-ElevCalc!$AA$87))*ElevCalc!$AA$91),NA())</f>
        <v/>
      </c>
      <c r="AB258">
        <f>IF(ElevCalc!$AA$73*(ElevCalc!$AA$4="BL"),((ElevCalc!$AA$89+0.75*(ElevCalc!$AA$90-ElevCalc!$AA$89))*ElevCalc!$AA$91),NA())</f>
        <v/>
      </c>
      <c r="AE258" t="inlineStr">
        <is>
          <t>gB</t>
        </is>
      </c>
      <c r="AF258">
        <f>IF(ElevCalc!$AF$73*(ElevCalc!$AF$4="BL"),(ElevCalc!$AF$92+(ElevCalc!$AF$87+0.5*(ElevCalc!$AF$88-ElevCalc!$AF$87))*ElevCalc!$AF$91),NA())</f>
        <v/>
      </c>
      <c r="AG258">
        <f>IF(ElevCalc!$AF$73*(ElevCalc!$AF$4="BL"),((ElevCalc!$AF$89+0.75*(ElevCalc!$AF$90-ElevCalc!$AF$89))*ElevCalc!$AF$91),NA())</f>
        <v/>
      </c>
    </row>
    <row r="260">
      <c r="A260" t="inlineStr">
        <is>
          <t>gBb</t>
        </is>
      </c>
      <c r="B260">
        <f>IF(ElevCalc!$B$73*(ElevCalc!$B$4="BL"),(ElevCalc!$B$92+(ElevCalc!$B$87+0.38*(ElevCalc!$B$88-ElevCalc!$B$87))*ElevCalc!$B$91),NA())</f>
        <v/>
      </c>
      <c r="C260">
        <f>IF(ElevCalc!$B$73*(ElevCalc!$B$4="BL"),((ElevCalc!$B$89+0.40*(ElevCalc!$B$90-ElevCalc!$B$89))*ElevCalc!$B$91),NA())</f>
        <v/>
      </c>
      <c r="F260" t="inlineStr">
        <is>
          <t>gBb</t>
        </is>
      </c>
      <c r="G260">
        <f>IF(ElevCalc!$G$73*(ElevCalc!$G$4="BL"),(ElevCalc!$G$92+(ElevCalc!$G$87+0.38*(ElevCalc!$G$88-ElevCalc!$G$87))*ElevCalc!$G$91),NA())</f>
        <v/>
      </c>
      <c r="H260">
        <f>IF(ElevCalc!$G$73*(ElevCalc!$G$4="BL"),((ElevCalc!$G$89+0.40*(ElevCalc!$G$90-ElevCalc!$G$89))*ElevCalc!$G$91),NA())</f>
        <v/>
      </c>
      <c r="K260" t="inlineStr">
        <is>
          <t>gBb</t>
        </is>
      </c>
      <c r="L260">
        <f>IF(ElevCalc!$L$73*(ElevCalc!$L$4="BL"),(ElevCalc!$L$92+(ElevCalc!$L$87+0.38*(ElevCalc!$L$88-ElevCalc!$L$87))*ElevCalc!$L$91),NA())</f>
        <v/>
      </c>
      <c r="M260">
        <f>IF(ElevCalc!$L$73*(ElevCalc!$L$4="BL"),((ElevCalc!$L$89+0.40*(ElevCalc!$L$90-ElevCalc!$L$89))*ElevCalc!$L$91),NA())</f>
        <v/>
      </c>
      <c r="P260" t="inlineStr">
        <is>
          <t>gBb</t>
        </is>
      </c>
      <c r="Q260">
        <f>IF(ElevCalc!$Q$73*(ElevCalc!$Q$4="BL"),(ElevCalc!$Q$92+(ElevCalc!$Q$87+0.38*(ElevCalc!$Q$88-ElevCalc!$Q$87))*ElevCalc!$Q$91),NA())</f>
        <v/>
      </c>
      <c r="R260">
        <f>IF(ElevCalc!$Q$73*(ElevCalc!$Q$4="BL"),((ElevCalc!$Q$89+0.40*(ElevCalc!$Q$90-ElevCalc!$Q$89))*ElevCalc!$Q$91),NA())</f>
        <v/>
      </c>
      <c r="U260" t="inlineStr">
        <is>
          <t>gBb</t>
        </is>
      </c>
      <c r="V260">
        <f>IF(ElevCalc!$V$73*(ElevCalc!$V$4="BL"),(ElevCalc!$V$92+(ElevCalc!$V$87+0.38*(ElevCalc!$V$88-ElevCalc!$V$87))*ElevCalc!$V$91),NA())</f>
        <v/>
      </c>
      <c r="W260">
        <f>IF(ElevCalc!$V$73*(ElevCalc!$V$4="BL"),((ElevCalc!$V$89+0.40*(ElevCalc!$V$90-ElevCalc!$V$89))*ElevCalc!$V$91),NA())</f>
        <v/>
      </c>
      <c r="Z260" t="inlineStr">
        <is>
          <t>gBb</t>
        </is>
      </c>
      <c r="AA260">
        <f>IF(ElevCalc!$AA$73*(ElevCalc!$AA$4="BL"),(ElevCalc!$AA$92+(ElevCalc!$AA$87+0.38*(ElevCalc!$AA$88-ElevCalc!$AA$87))*ElevCalc!$AA$91),NA())</f>
        <v/>
      </c>
      <c r="AB260">
        <f>IF(ElevCalc!$AA$73*(ElevCalc!$AA$4="BL"),((ElevCalc!$AA$89+0.40*(ElevCalc!$AA$90-ElevCalc!$AA$89))*ElevCalc!$AA$91),NA())</f>
        <v/>
      </c>
      <c r="AE260" t="inlineStr">
        <is>
          <t>gBb</t>
        </is>
      </c>
      <c r="AF260">
        <f>IF(ElevCalc!$AF$73*(ElevCalc!$AF$4="BL"),(ElevCalc!$AF$92+(ElevCalc!$AF$87+0.38*(ElevCalc!$AF$88-ElevCalc!$AF$87))*ElevCalc!$AF$91),NA())</f>
        <v/>
      </c>
      <c r="AG260">
        <f>IF(ElevCalc!$AF$73*(ElevCalc!$AF$4="BL"),((ElevCalc!$AF$89+0.40*(ElevCalc!$AF$90-ElevCalc!$AF$89))*ElevCalc!$AF$91),NA())</f>
        <v/>
      </c>
    </row>
    <row r="261">
      <c r="A261" t="inlineStr">
        <is>
          <t>gBb</t>
        </is>
      </c>
      <c r="B261">
        <f>IF(ElevCalc!$B$73*(ElevCalc!$B$4="BL"),(ElevCalc!$B$92+(ElevCalc!$B$87+0.63*(ElevCalc!$B$88-ElevCalc!$B$87))*ElevCalc!$B$91),NA())</f>
        <v/>
      </c>
      <c r="C261">
        <f>IF(ElevCalc!$B$73*(ElevCalc!$B$4="BL"),((ElevCalc!$B$89+0.70*(ElevCalc!$B$90-ElevCalc!$B$89))*ElevCalc!$B$91),NA())</f>
        <v/>
      </c>
      <c r="F261" t="inlineStr">
        <is>
          <t>gBb</t>
        </is>
      </c>
      <c r="G261">
        <f>IF(ElevCalc!$G$73*(ElevCalc!$G$4="BL"),(ElevCalc!$G$92+(ElevCalc!$G$87+0.63*(ElevCalc!$G$88-ElevCalc!$G$87))*ElevCalc!$G$91),NA())</f>
        <v/>
      </c>
      <c r="H261">
        <f>IF(ElevCalc!$G$73*(ElevCalc!$G$4="BL"),((ElevCalc!$G$89+0.70*(ElevCalc!$G$90-ElevCalc!$G$89))*ElevCalc!$G$91),NA())</f>
        <v/>
      </c>
      <c r="K261" t="inlineStr">
        <is>
          <t>gBb</t>
        </is>
      </c>
      <c r="L261">
        <f>IF(ElevCalc!$L$73*(ElevCalc!$L$4="BL"),(ElevCalc!$L$92+(ElevCalc!$L$87+0.63*(ElevCalc!$L$88-ElevCalc!$L$87))*ElevCalc!$L$91),NA())</f>
        <v/>
      </c>
      <c r="M261">
        <f>IF(ElevCalc!$L$73*(ElevCalc!$L$4="BL"),((ElevCalc!$L$89+0.70*(ElevCalc!$L$90-ElevCalc!$L$89))*ElevCalc!$L$91),NA())</f>
        <v/>
      </c>
      <c r="P261" t="inlineStr">
        <is>
          <t>gBb</t>
        </is>
      </c>
      <c r="Q261">
        <f>IF(ElevCalc!$Q$73*(ElevCalc!$Q$4="BL"),(ElevCalc!$Q$92+(ElevCalc!$Q$87+0.63*(ElevCalc!$Q$88-ElevCalc!$Q$87))*ElevCalc!$Q$91),NA())</f>
        <v/>
      </c>
      <c r="R261">
        <f>IF(ElevCalc!$Q$73*(ElevCalc!$Q$4="BL"),((ElevCalc!$Q$89+0.70*(ElevCalc!$Q$90-ElevCalc!$Q$89))*ElevCalc!$Q$91),NA())</f>
        <v/>
      </c>
      <c r="U261" t="inlineStr">
        <is>
          <t>gBb</t>
        </is>
      </c>
      <c r="V261">
        <f>IF(ElevCalc!$V$73*(ElevCalc!$V$4="BL"),(ElevCalc!$V$92+(ElevCalc!$V$87+0.63*(ElevCalc!$V$88-ElevCalc!$V$87))*ElevCalc!$V$91),NA())</f>
        <v/>
      </c>
      <c r="W261">
        <f>IF(ElevCalc!$V$73*(ElevCalc!$V$4="BL"),((ElevCalc!$V$89+0.70*(ElevCalc!$V$90-ElevCalc!$V$89))*ElevCalc!$V$91),NA())</f>
        <v/>
      </c>
      <c r="Z261" t="inlineStr">
        <is>
          <t>gBb</t>
        </is>
      </c>
      <c r="AA261">
        <f>IF(ElevCalc!$AA$73*(ElevCalc!$AA$4="BL"),(ElevCalc!$AA$92+(ElevCalc!$AA$87+0.63*(ElevCalc!$AA$88-ElevCalc!$AA$87))*ElevCalc!$AA$91),NA())</f>
        <v/>
      </c>
      <c r="AB261">
        <f>IF(ElevCalc!$AA$73*(ElevCalc!$AA$4="BL"),((ElevCalc!$AA$89+0.70*(ElevCalc!$AA$90-ElevCalc!$AA$89))*ElevCalc!$AA$91),NA())</f>
        <v/>
      </c>
      <c r="AE261" t="inlineStr">
        <is>
          <t>gBb</t>
        </is>
      </c>
      <c r="AF261">
        <f>IF(ElevCalc!$AF$73*(ElevCalc!$AF$4="BL"),(ElevCalc!$AF$92+(ElevCalc!$AF$87+0.63*(ElevCalc!$AF$88-ElevCalc!$AF$87))*ElevCalc!$AF$91),NA())</f>
        <v/>
      </c>
      <c r="AG261">
        <f>IF(ElevCalc!$AF$73*(ElevCalc!$AF$4="BL"),((ElevCalc!$AF$89+0.70*(ElevCalc!$AF$90-ElevCalc!$AF$89))*ElevCalc!$AF$91),NA())</f>
        <v/>
      </c>
    </row>
    <row r="263">
      <c r="A263" t="inlineStr">
        <is>
          <t>lv10</t>
        </is>
      </c>
      <c r="B263">
        <f>IF(ElevCalc!$B$111*(ElevCalc!$B$20="FL"),(ElevCalc!$B$92+(ElevCalc!$B$114)*ElevCalc!$B$91),NA())</f>
        <v/>
      </c>
      <c r="C263">
        <f>IF(ElevCalc!$B$111*(ElevCalc!$B$20="FL"),((ElevCalc!$B$113+0.2*ElevCalc!$B$110)*ElevCalc!$B$91),NA())</f>
        <v/>
      </c>
      <c r="F263" t="inlineStr">
        <is>
          <t>lv10</t>
        </is>
      </c>
      <c r="G263">
        <f>IF(ElevCalc!$G$111*(ElevCalc!$G$20="FL"),(ElevCalc!$G$92+(ElevCalc!$G$114)*ElevCalc!$G$91),NA())</f>
        <v/>
      </c>
      <c r="H263">
        <f>IF(ElevCalc!$G$111*(ElevCalc!$G$20="FL"),((ElevCalc!$G$113+0.2*ElevCalc!$G$110)*ElevCalc!$G$91),NA())</f>
        <v/>
      </c>
      <c r="K263" t="inlineStr">
        <is>
          <t>lv10</t>
        </is>
      </c>
      <c r="L263">
        <f>IF(ElevCalc!$L$111*(ElevCalc!$L$20="FL"),(ElevCalc!$L$92+(ElevCalc!$L$114)*ElevCalc!$L$91),NA())</f>
        <v/>
      </c>
      <c r="M263">
        <f>IF(ElevCalc!$L$111*(ElevCalc!$L$20="FL"),((ElevCalc!$L$113+0.2*ElevCalc!$L$110)*ElevCalc!$L$91),NA())</f>
        <v/>
      </c>
      <c r="P263" t="inlineStr">
        <is>
          <t>lv10</t>
        </is>
      </c>
      <c r="Q263">
        <f>IF(ElevCalc!$Q$111*(ElevCalc!$Q$20="FL"),(ElevCalc!$Q$92+(ElevCalc!$Q$114)*ElevCalc!$Q$91),NA())</f>
        <v/>
      </c>
      <c r="R263">
        <f>IF(ElevCalc!$Q$111*(ElevCalc!$Q$20="FL"),((ElevCalc!$Q$113+0.2*ElevCalc!$Q$110)*ElevCalc!$Q$91),NA())</f>
        <v/>
      </c>
      <c r="U263" t="inlineStr">
        <is>
          <t>lv10</t>
        </is>
      </c>
      <c r="V263">
        <f>IF(ElevCalc!$V$111*(ElevCalc!$V$20="FL"),(ElevCalc!$V$92+(ElevCalc!$V$114)*ElevCalc!$V$91),NA())</f>
        <v/>
      </c>
      <c r="W263">
        <f>IF(ElevCalc!$V$111*(ElevCalc!$V$20="FL"),((ElevCalc!$V$113+0.2*ElevCalc!$V$110)*ElevCalc!$V$91),NA())</f>
        <v/>
      </c>
      <c r="Z263" t="inlineStr">
        <is>
          <t>lv10</t>
        </is>
      </c>
      <c r="AA263">
        <f>IF(ElevCalc!$AA$111*(ElevCalc!$AA$20="FL"),(ElevCalc!$AA$92+(ElevCalc!$AA$114)*ElevCalc!$AA$91),NA())</f>
        <v/>
      </c>
      <c r="AB263">
        <f>IF(ElevCalc!$AA$111*(ElevCalc!$AA$20="FL"),((ElevCalc!$AA$113+0.2*ElevCalc!$AA$110)*ElevCalc!$AA$91),NA())</f>
        <v/>
      </c>
      <c r="AE263" t="inlineStr">
        <is>
          <t>lv10</t>
        </is>
      </c>
      <c r="AF263">
        <f>IF(ElevCalc!$AF$111*(ElevCalc!$AF$20="FL"),(ElevCalc!$AF$92+(ElevCalc!$AF$114)*ElevCalc!$AF$91),NA())</f>
        <v/>
      </c>
      <c r="AG263">
        <f>IF(ElevCalc!$AF$111*(ElevCalc!$AF$20="FL"),((ElevCalc!$AF$113+0.2*ElevCalc!$AF$110)*ElevCalc!$AF$91),NA())</f>
        <v/>
      </c>
    </row>
    <row r="264">
      <c r="A264" t="inlineStr">
        <is>
          <t>lv10</t>
        </is>
      </c>
      <c r="B264">
        <f>IF(ElevCalc!$B$111*(ElevCalc!$B$20="FL"),(ElevCalc!$B$92+(ElevCalc!$B$114+ElevCalc!$B$109)*ElevCalc!$B$91),NA())</f>
        <v/>
      </c>
      <c r="C264">
        <f>IF(ElevCalc!$B$111*(ElevCalc!$B$20="FL"),((ElevCalc!$B$113+0.2*ElevCalc!$B$110)*ElevCalc!$B$91),NA())</f>
        <v/>
      </c>
      <c r="F264" t="inlineStr">
        <is>
          <t>lv10</t>
        </is>
      </c>
      <c r="G264">
        <f>IF(ElevCalc!$G$111*(ElevCalc!$G$20="FL"),(ElevCalc!$G$92+(ElevCalc!$G$114+ElevCalc!$G$109)*ElevCalc!$G$91),NA())</f>
        <v/>
      </c>
      <c r="H264">
        <f>IF(ElevCalc!$G$111*(ElevCalc!$G$20="FL"),((ElevCalc!$G$113+0.2*ElevCalc!$G$110)*ElevCalc!$G$91),NA())</f>
        <v/>
      </c>
      <c r="K264" t="inlineStr">
        <is>
          <t>lv10</t>
        </is>
      </c>
      <c r="L264">
        <f>IF(ElevCalc!$L$111*(ElevCalc!$L$20="FL"),(ElevCalc!$L$92+(ElevCalc!$L$114+ElevCalc!$L$109)*ElevCalc!$L$91),NA())</f>
        <v/>
      </c>
      <c r="M264">
        <f>IF(ElevCalc!$L$111*(ElevCalc!$L$20="FL"),((ElevCalc!$L$113+0.2*ElevCalc!$L$110)*ElevCalc!$L$91),NA())</f>
        <v/>
      </c>
      <c r="P264" t="inlineStr">
        <is>
          <t>lv10</t>
        </is>
      </c>
      <c r="Q264">
        <f>IF(ElevCalc!$Q$111*(ElevCalc!$Q$20="FL"),(ElevCalc!$Q$92+(ElevCalc!$Q$114+ElevCalc!$Q$109)*ElevCalc!$Q$91),NA())</f>
        <v/>
      </c>
      <c r="R264">
        <f>IF(ElevCalc!$Q$111*(ElevCalc!$Q$20="FL"),((ElevCalc!$Q$113+0.2*ElevCalc!$Q$110)*ElevCalc!$Q$91),NA())</f>
        <v/>
      </c>
      <c r="U264" t="inlineStr">
        <is>
          <t>lv10</t>
        </is>
      </c>
      <c r="V264">
        <f>IF(ElevCalc!$V$111*(ElevCalc!$V$20="FL"),(ElevCalc!$V$92+(ElevCalc!$V$114+ElevCalc!$V$109)*ElevCalc!$V$91),NA())</f>
        <v/>
      </c>
      <c r="W264">
        <f>IF(ElevCalc!$V$111*(ElevCalc!$V$20="FL"),((ElevCalc!$V$113+0.2*ElevCalc!$V$110)*ElevCalc!$V$91),NA())</f>
        <v/>
      </c>
      <c r="Z264" t="inlineStr">
        <is>
          <t>lv10</t>
        </is>
      </c>
      <c r="AA264">
        <f>IF(ElevCalc!$AA$111*(ElevCalc!$AA$20="FL"),(ElevCalc!$AA$92+(ElevCalc!$AA$114+ElevCalc!$AA$109)*ElevCalc!$AA$91),NA())</f>
        <v/>
      </c>
      <c r="AB264">
        <f>IF(ElevCalc!$AA$111*(ElevCalc!$AA$20="FL"),((ElevCalc!$AA$113+0.2*ElevCalc!$AA$110)*ElevCalc!$AA$91),NA())</f>
        <v/>
      </c>
      <c r="AE264" t="inlineStr">
        <is>
          <t>lv10</t>
        </is>
      </c>
      <c r="AF264">
        <f>IF(ElevCalc!$AF$111*(ElevCalc!$AF$20="FL"),(ElevCalc!$AF$92+(ElevCalc!$AF$114+ElevCalc!$AF$109)*ElevCalc!$AF$91),NA())</f>
        <v/>
      </c>
      <c r="AG264">
        <f>IF(ElevCalc!$AF$111*(ElevCalc!$AF$20="FL"),((ElevCalc!$AF$113+0.2*ElevCalc!$AF$110)*ElevCalc!$AF$91),NA())</f>
        <v/>
      </c>
    </row>
    <row r="266">
      <c r="A266" t="inlineStr">
        <is>
          <t>lv20</t>
        </is>
      </c>
      <c r="B266">
        <f>IF(ElevCalc!$B$111*(ElevCalc!$B$20="FL")*(ElevCalc!$B$93=2),(ElevCalc!$B$92+(ElevCalc!$B$115)*ElevCalc!$B$91),NA())</f>
        <v/>
      </c>
      <c r="C266">
        <f>IF(ElevCalc!$B$111*(ElevCalc!$B$20="FL")*(ElevCalc!$B$93=2),((ElevCalc!$B$113+0.2*ElevCalc!$B$110)*ElevCalc!$B$91),NA())</f>
        <v/>
      </c>
      <c r="F266" t="inlineStr">
        <is>
          <t>lv20</t>
        </is>
      </c>
      <c r="G266">
        <f>IF(ElevCalc!$G$111*(ElevCalc!$G$20="FL")*(ElevCalc!$G$93=2),(ElevCalc!$G$92+(ElevCalc!$G$115)*ElevCalc!$G$91),NA())</f>
        <v/>
      </c>
      <c r="H266">
        <f>IF(ElevCalc!$G$111*(ElevCalc!$G$20="FL")*(ElevCalc!$G$93=2),((ElevCalc!$G$113+0.2*ElevCalc!$G$110)*ElevCalc!$G$91),NA())</f>
        <v/>
      </c>
      <c r="K266" t="inlineStr">
        <is>
          <t>lv20</t>
        </is>
      </c>
      <c r="L266">
        <f>IF(ElevCalc!$L$111*(ElevCalc!$L$20="FL")*(ElevCalc!$L$93=2),(ElevCalc!$L$92+(ElevCalc!$L$115)*ElevCalc!$L$91),NA())</f>
        <v/>
      </c>
      <c r="M266">
        <f>IF(ElevCalc!$L$111*(ElevCalc!$L$20="FL")*(ElevCalc!$L$93=2),((ElevCalc!$L$113+0.2*ElevCalc!$L$110)*ElevCalc!$L$91),NA())</f>
        <v/>
      </c>
      <c r="P266" t="inlineStr">
        <is>
          <t>lv20</t>
        </is>
      </c>
      <c r="Q266">
        <f>IF(ElevCalc!$Q$111*(ElevCalc!$Q$20="FL")*(ElevCalc!$Q$93=2),(ElevCalc!$Q$92+(ElevCalc!$Q$115)*ElevCalc!$Q$91),NA())</f>
        <v/>
      </c>
      <c r="R266">
        <f>IF(ElevCalc!$Q$111*(ElevCalc!$Q$20="FL")*(ElevCalc!$Q$93=2),((ElevCalc!$Q$113+0.2*ElevCalc!$Q$110)*ElevCalc!$Q$91),NA())</f>
        <v/>
      </c>
      <c r="U266" t="inlineStr">
        <is>
          <t>lv20</t>
        </is>
      </c>
      <c r="V266">
        <f>IF(ElevCalc!$V$111*(ElevCalc!$V$20="FL")*(ElevCalc!$V$93=2),(ElevCalc!$V$92+(ElevCalc!$V$115)*ElevCalc!$V$91),NA())</f>
        <v/>
      </c>
      <c r="W266">
        <f>IF(ElevCalc!$V$111*(ElevCalc!$V$20="FL")*(ElevCalc!$V$93=2),((ElevCalc!$V$113+0.2*ElevCalc!$V$110)*ElevCalc!$V$91),NA())</f>
        <v/>
      </c>
      <c r="Z266" t="inlineStr">
        <is>
          <t>lv20</t>
        </is>
      </c>
      <c r="AA266">
        <f>IF(ElevCalc!$AA$111*(ElevCalc!$AA$20="FL")*(ElevCalc!$AA$93=2),(ElevCalc!$AA$92+(ElevCalc!$AA$115)*ElevCalc!$AA$91),NA())</f>
        <v/>
      </c>
      <c r="AB266">
        <f>IF(ElevCalc!$AA$111*(ElevCalc!$AA$20="FL")*(ElevCalc!$AA$93=2),((ElevCalc!$AA$113+0.2*ElevCalc!$AA$110)*ElevCalc!$AA$91),NA())</f>
        <v/>
      </c>
      <c r="AE266" t="inlineStr">
        <is>
          <t>lv20</t>
        </is>
      </c>
      <c r="AF266">
        <f>IF(ElevCalc!$AF$111*(ElevCalc!$AF$20="FL")*(ElevCalc!$AF$93=2),(ElevCalc!$AF$92+(ElevCalc!$AF$115)*ElevCalc!$AF$91),NA())</f>
        <v/>
      </c>
      <c r="AG266">
        <f>IF(ElevCalc!$AF$111*(ElevCalc!$AF$20="FL")*(ElevCalc!$AF$93=2),((ElevCalc!$AF$113+0.2*ElevCalc!$AF$110)*ElevCalc!$AF$91),NA())</f>
        <v/>
      </c>
    </row>
    <row r="267">
      <c r="A267" t="inlineStr">
        <is>
          <t>lv20</t>
        </is>
      </c>
      <c r="B267">
        <f>IF(ElevCalc!$B$111*(ElevCalc!$B$20="FL")*(ElevCalc!$B$93=2),(ElevCalc!$B$92+(ElevCalc!$B$115+ElevCalc!$B$109)*ElevCalc!$B$91),NA())</f>
        <v/>
      </c>
      <c r="C267">
        <f>IF(ElevCalc!$B$111*(ElevCalc!$B$20="FL")*(ElevCalc!$B$93=2),((ElevCalc!$B$113+0.2*ElevCalc!$B$110)*ElevCalc!$B$91),NA())</f>
        <v/>
      </c>
      <c r="F267" t="inlineStr">
        <is>
          <t>lv20</t>
        </is>
      </c>
      <c r="G267">
        <f>IF(ElevCalc!$G$111*(ElevCalc!$G$20="FL")*(ElevCalc!$G$93=2),(ElevCalc!$G$92+(ElevCalc!$G$115+ElevCalc!$G$109)*ElevCalc!$G$91),NA())</f>
        <v/>
      </c>
      <c r="H267">
        <f>IF(ElevCalc!$G$111*(ElevCalc!$G$20="FL")*(ElevCalc!$G$93=2),((ElevCalc!$G$113+0.2*ElevCalc!$G$110)*ElevCalc!$G$91),NA())</f>
        <v/>
      </c>
      <c r="K267" t="inlineStr">
        <is>
          <t>lv20</t>
        </is>
      </c>
      <c r="L267">
        <f>IF(ElevCalc!$L$111*(ElevCalc!$L$20="FL")*(ElevCalc!$L$93=2),(ElevCalc!$L$92+(ElevCalc!$L$115+ElevCalc!$L$109)*ElevCalc!$L$91),NA())</f>
        <v/>
      </c>
      <c r="M267">
        <f>IF(ElevCalc!$L$111*(ElevCalc!$L$20="FL")*(ElevCalc!$L$93=2),((ElevCalc!$L$113+0.2*ElevCalc!$L$110)*ElevCalc!$L$91),NA())</f>
        <v/>
      </c>
      <c r="P267" t="inlineStr">
        <is>
          <t>lv20</t>
        </is>
      </c>
      <c r="Q267">
        <f>IF(ElevCalc!$Q$111*(ElevCalc!$Q$20="FL")*(ElevCalc!$Q$93=2),(ElevCalc!$Q$92+(ElevCalc!$Q$115+ElevCalc!$Q$109)*ElevCalc!$Q$91),NA())</f>
        <v/>
      </c>
      <c r="R267">
        <f>IF(ElevCalc!$Q$111*(ElevCalc!$Q$20="FL")*(ElevCalc!$Q$93=2),((ElevCalc!$Q$113+0.2*ElevCalc!$Q$110)*ElevCalc!$Q$91),NA())</f>
        <v/>
      </c>
      <c r="U267" t="inlineStr">
        <is>
          <t>lv20</t>
        </is>
      </c>
      <c r="V267">
        <f>IF(ElevCalc!$V$111*(ElevCalc!$V$20="FL")*(ElevCalc!$V$93=2),(ElevCalc!$V$92+(ElevCalc!$V$115+ElevCalc!$V$109)*ElevCalc!$V$91),NA())</f>
        <v/>
      </c>
      <c r="W267">
        <f>IF(ElevCalc!$V$111*(ElevCalc!$V$20="FL")*(ElevCalc!$V$93=2),((ElevCalc!$V$113+0.2*ElevCalc!$V$110)*ElevCalc!$V$91),NA())</f>
        <v/>
      </c>
      <c r="Z267" t="inlineStr">
        <is>
          <t>lv20</t>
        </is>
      </c>
      <c r="AA267">
        <f>IF(ElevCalc!$AA$111*(ElevCalc!$AA$20="FL")*(ElevCalc!$AA$93=2),(ElevCalc!$AA$92+(ElevCalc!$AA$115+ElevCalc!$AA$109)*ElevCalc!$AA$91),NA())</f>
        <v/>
      </c>
      <c r="AB267">
        <f>IF(ElevCalc!$AA$111*(ElevCalc!$AA$20="FL")*(ElevCalc!$AA$93=2),((ElevCalc!$AA$113+0.2*ElevCalc!$AA$110)*ElevCalc!$AA$91),NA())</f>
        <v/>
      </c>
      <c r="AE267" t="inlineStr">
        <is>
          <t>lv20</t>
        </is>
      </c>
      <c r="AF267">
        <f>IF(ElevCalc!$AF$111*(ElevCalc!$AF$20="FL")*(ElevCalc!$AF$93=2),(ElevCalc!$AF$92+(ElevCalc!$AF$115+ElevCalc!$AF$109)*ElevCalc!$AF$91),NA())</f>
        <v/>
      </c>
      <c r="AG267">
        <f>IF(ElevCalc!$AF$111*(ElevCalc!$AF$20="FL")*(ElevCalc!$AF$93=2),((ElevCalc!$AF$113+0.2*ElevCalc!$AF$110)*ElevCalc!$AF$91),NA())</f>
        <v/>
      </c>
    </row>
    <row r="269">
      <c r="A269" t="inlineStr">
        <is>
          <t>lv11</t>
        </is>
      </c>
      <c r="B269">
        <f>IF(ElevCalc!$B$111*(ElevCalc!$B$20="FL"),(ElevCalc!$B$92+(ElevCalc!$B$114)*ElevCalc!$B$91),NA())</f>
        <v/>
      </c>
      <c r="C269">
        <f>IF(ElevCalc!$B$111*(ElevCalc!$B$20="FL"),((ElevCalc!$B$113+0.4*ElevCalc!$B$110)*ElevCalc!$B$91),NA())</f>
        <v/>
      </c>
      <c r="F269" t="inlineStr">
        <is>
          <t>lv11</t>
        </is>
      </c>
      <c r="G269">
        <f>IF(ElevCalc!$G$111*(ElevCalc!$G$20="FL"),(ElevCalc!$G$92+(ElevCalc!$G$114)*ElevCalc!$G$91),NA())</f>
        <v/>
      </c>
      <c r="H269">
        <f>IF(ElevCalc!$G$111*(ElevCalc!$G$20="FL"),((ElevCalc!$G$113+0.4*ElevCalc!$G$110)*ElevCalc!$G$91),NA())</f>
        <v/>
      </c>
      <c r="K269" t="inlineStr">
        <is>
          <t>lv11</t>
        </is>
      </c>
      <c r="L269">
        <f>IF(ElevCalc!$L$111*(ElevCalc!$L$20="FL"),(ElevCalc!$L$92+(ElevCalc!$L$114)*ElevCalc!$L$91),NA())</f>
        <v/>
      </c>
      <c r="M269">
        <f>IF(ElevCalc!$L$111*(ElevCalc!$L$20="FL"),((ElevCalc!$L$113+0.4*ElevCalc!$L$110)*ElevCalc!$L$91),NA())</f>
        <v/>
      </c>
      <c r="P269" t="inlineStr">
        <is>
          <t>lv11</t>
        </is>
      </c>
      <c r="Q269">
        <f>IF(ElevCalc!$Q$111*(ElevCalc!$Q$20="FL"),(ElevCalc!$Q$92+(ElevCalc!$Q$114)*ElevCalc!$Q$91),NA())</f>
        <v/>
      </c>
      <c r="R269">
        <f>IF(ElevCalc!$Q$111*(ElevCalc!$Q$20="FL"),((ElevCalc!$Q$113+0.4*ElevCalc!$Q$110)*ElevCalc!$Q$91),NA())</f>
        <v/>
      </c>
      <c r="U269" t="inlineStr">
        <is>
          <t>lv11</t>
        </is>
      </c>
      <c r="V269">
        <f>IF(ElevCalc!$V$111*(ElevCalc!$V$20="FL"),(ElevCalc!$V$92+(ElevCalc!$V$114)*ElevCalc!$V$91),NA())</f>
        <v/>
      </c>
      <c r="W269">
        <f>IF(ElevCalc!$V$111*(ElevCalc!$V$20="FL"),((ElevCalc!$V$113+0.4*ElevCalc!$V$110)*ElevCalc!$V$91),NA())</f>
        <v/>
      </c>
      <c r="Z269" t="inlineStr">
        <is>
          <t>lv11</t>
        </is>
      </c>
      <c r="AA269">
        <f>IF(ElevCalc!$AA$111*(ElevCalc!$AA$20="FL"),(ElevCalc!$AA$92+(ElevCalc!$AA$114)*ElevCalc!$AA$91),NA())</f>
        <v/>
      </c>
      <c r="AB269">
        <f>IF(ElevCalc!$AA$111*(ElevCalc!$AA$20="FL"),((ElevCalc!$AA$113+0.4*ElevCalc!$AA$110)*ElevCalc!$AA$91),NA())</f>
        <v/>
      </c>
      <c r="AE269" t="inlineStr">
        <is>
          <t>lv11</t>
        </is>
      </c>
      <c r="AF269">
        <f>IF(ElevCalc!$AF$111*(ElevCalc!$AF$20="FL"),(ElevCalc!$AF$92+(ElevCalc!$AF$114)*ElevCalc!$AF$91),NA())</f>
        <v/>
      </c>
      <c r="AG269">
        <f>IF(ElevCalc!$AF$111*(ElevCalc!$AF$20="FL"),((ElevCalc!$AF$113+0.4*ElevCalc!$AF$110)*ElevCalc!$AF$91),NA())</f>
        <v/>
      </c>
    </row>
    <row r="270">
      <c r="A270" t="inlineStr">
        <is>
          <t>lv11</t>
        </is>
      </c>
      <c r="B270">
        <f>IF(ElevCalc!$B$111*(ElevCalc!$B$20="FL"),(ElevCalc!$B$92+(ElevCalc!$B$114+ElevCalc!$B$109)*ElevCalc!$B$91),NA())</f>
        <v/>
      </c>
      <c r="C270">
        <f>IF(ElevCalc!$B$111*(ElevCalc!$B$20="FL"),((ElevCalc!$B$113+0.4*ElevCalc!$B$110)*ElevCalc!$B$91),NA())</f>
        <v/>
      </c>
      <c r="F270" t="inlineStr">
        <is>
          <t>lv11</t>
        </is>
      </c>
      <c r="G270">
        <f>IF(ElevCalc!$G$111*(ElevCalc!$G$20="FL"),(ElevCalc!$G$92+(ElevCalc!$G$114+ElevCalc!$G$109)*ElevCalc!$G$91),NA())</f>
        <v/>
      </c>
      <c r="H270">
        <f>IF(ElevCalc!$G$111*(ElevCalc!$G$20="FL"),((ElevCalc!$G$113+0.4*ElevCalc!$G$110)*ElevCalc!$G$91),NA())</f>
        <v/>
      </c>
      <c r="K270" t="inlineStr">
        <is>
          <t>lv11</t>
        </is>
      </c>
      <c r="L270">
        <f>IF(ElevCalc!$L$111*(ElevCalc!$L$20="FL"),(ElevCalc!$L$92+(ElevCalc!$L$114+ElevCalc!$L$109)*ElevCalc!$L$91),NA())</f>
        <v/>
      </c>
      <c r="M270">
        <f>IF(ElevCalc!$L$111*(ElevCalc!$L$20="FL"),((ElevCalc!$L$113+0.4*ElevCalc!$L$110)*ElevCalc!$L$91),NA())</f>
        <v/>
      </c>
      <c r="P270" t="inlineStr">
        <is>
          <t>lv11</t>
        </is>
      </c>
      <c r="Q270">
        <f>IF(ElevCalc!$Q$111*(ElevCalc!$Q$20="FL"),(ElevCalc!$Q$92+(ElevCalc!$Q$114+ElevCalc!$Q$109)*ElevCalc!$Q$91),NA())</f>
        <v/>
      </c>
      <c r="R270">
        <f>IF(ElevCalc!$Q$111*(ElevCalc!$Q$20="FL"),((ElevCalc!$Q$113+0.4*ElevCalc!$Q$110)*ElevCalc!$Q$91),NA())</f>
        <v/>
      </c>
      <c r="U270" t="inlineStr">
        <is>
          <t>lv11</t>
        </is>
      </c>
      <c r="V270">
        <f>IF(ElevCalc!$V$111*(ElevCalc!$V$20="FL"),(ElevCalc!$V$92+(ElevCalc!$V$114+ElevCalc!$V$109)*ElevCalc!$V$91),NA())</f>
        <v/>
      </c>
      <c r="W270">
        <f>IF(ElevCalc!$V$111*(ElevCalc!$V$20="FL"),((ElevCalc!$V$113+0.4*ElevCalc!$V$110)*ElevCalc!$V$91),NA())</f>
        <v/>
      </c>
      <c r="Z270" t="inlineStr">
        <is>
          <t>lv11</t>
        </is>
      </c>
      <c r="AA270">
        <f>IF(ElevCalc!$AA$111*(ElevCalc!$AA$20="FL"),(ElevCalc!$AA$92+(ElevCalc!$AA$114+ElevCalc!$AA$109)*ElevCalc!$AA$91),NA())</f>
        <v/>
      </c>
      <c r="AB270">
        <f>IF(ElevCalc!$AA$111*(ElevCalc!$AA$20="FL"),((ElevCalc!$AA$113+0.4*ElevCalc!$AA$110)*ElevCalc!$AA$91),NA())</f>
        <v/>
      </c>
      <c r="AE270" t="inlineStr">
        <is>
          <t>lv11</t>
        </is>
      </c>
      <c r="AF270">
        <f>IF(ElevCalc!$AF$111*(ElevCalc!$AF$20="FL"),(ElevCalc!$AF$92+(ElevCalc!$AF$114+ElevCalc!$AF$109)*ElevCalc!$AF$91),NA())</f>
        <v/>
      </c>
      <c r="AG270">
        <f>IF(ElevCalc!$AF$111*(ElevCalc!$AF$20="FL"),((ElevCalc!$AF$113+0.4*ElevCalc!$AF$110)*ElevCalc!$AF$91),NA())</f>
        <v/>
      </c>
    </row>
    <row r="272">
      <c r="A272" t="inlineStr">
        <is>
          <t>lv21</t>
        </is>
      </c>
      <c r="B272">
        <f>IF(ElevCalc!$B$111*(ElevCalc!$B$20="FL")*(ElevCalc!$B$93=2),(ElevCalc!$B$92+(ElevCalc!$B$115)*ElevCalc!$B$91),NA())</f>
        <v/>
      </c>
      <c r="C272">
        <f>IF(ElevCalc!$B$111*(ElevCalc!$B$20="FL")*(ElevCalc!$B$93=2),((ElevCalc!$B$113+0.4*ElevCalc!$B$110)*ElevCalc!$B$91),NA())</f>
        <v/>
      </c>
      <c r="F272" t="inlineStr">
        <is>
          <t>lv21</t>
        </is>
      </c>
      <c r="G272">
        <f>IF(ElevCalc!$G$111*(ElevCalc!$G$20="FL")*(ElevCalc!$G$93=2),(ElevCalc!$G$92+(ElevCalc!$G$115)*ElevCalc!$G$91),NA())</f>
        <v/>
      </c>
      <c r="H272">
        <f>IF(ElevCalc!$G$111*(ElevCalc!$G$20="FL")*(ElevCalc!$G$93=2),((ElevCalc!$G$113+0.4*ElevCalc!$G$110)*ElevCalc!$G$91),NA())</f>
        <v/>
      </c>
      <c r="K272" t="inlineStr">
        <is>
          <t>lv21</t>
        </is>
      </c>
      <c r="L272">
        <f>IF(ElevCalc!$L$111*(ElevCalc!$L$20="FL")*(ElevCalc!$L$93=2),(ElevCalc!$L$92+(ElevCalc!$L$115)*ElevCalc!$L$91),NA())</f>
        <v/>
      </c>
      <c r="M272">
        <f>IF(ElevCalc!$L$111*(ElevCalc!$L$20="FL")*(ElevCalc!$L$93=2),((ElevCalc!$L$113+0.4*ElevCalc!$L$110)*ElevCalc!$L$91),NA())</f>
        <v/>
      </c>
      <c r="P272" t="inlineStr">
        <is>
          <t>lv21</t>
        </is>
      </c>
      <c r="Q272">
        <f>IF(ElevCalc!$Q$111*(ElevCalc!$Q$20="FL")*(ElevCalc!$Q$93=2),(ElevCalc!$Q$92+(ElevCalc!$Q$115)*ElevCalc!$Q$91),NA())</f>
        <v/>
      </c>
      <c r="R272">
        <f>IF(ElevCalc!$Q$111*(ElevCalc!$Q$20="FL")*(ElevCalc!$Q$93=2),((ElevCalc!$Q$113+0.4*ElevCalc!$Q$110)*ElevCalc!$Q$91),NA())</f>
        <v/>
      </c>
      <c r="U272" t="inlineStr">
        <is>
          <t>lv21</t>
        </is>
      </c>
      <c r="V272">
        <f>IF(ElevCalc!$V$111*(ElevCalc!$V$20="FL")*(ElevCalc!$V$93=2),(ElevCalc!$V$92+(ElevCalc!$V$115)*ElevCalc!$V$91),NA())</f>
        <v/>
      </c>
      <c r="W272">
        <f>IF(ElevCalc!$V$111*(ElevCalc!$V$20="FL")*(ElevCalc!$V$93=2),((ElevCalc!$V$113+0.4*ElevCalc!$V$110)*ElevCalc!$V$91),NA())</f>
        <v/>
      </c>
      <c r="Z272" t="inlineStr">
        <is>
          <t>lv21</t>
        </is>
      </c>
      <c r="AA272">
        <f>IF(ElevCalc!$AA$111*(ElevCalc!$AA$20="FL")*(ElevCalc!$AA$93=2),(ElevCalc!$AA$92+(ElevCalc!$AA$115)*ElevCalc!$AA$91),NA())</f>
        <v/>
      </c>
      <c r="AB272">
        <f>IF(ElevCalc!$AA$111*(ElevCalc!$AA$20="FL")*(ElevCalc!$AA$93=2),((ElevCalc!$AA$113+0.4*ElevCalc!$AA$110)*ElevCalc!$AA$91),NA())</f>
        <v/>
      </c>
      <c r="AE272" t="inlineStr">
        <is>
          <t>lv21</t>
        </is>
      </c>
      <c r="AF272">
        <f>IF(ElevCalc!$AF$111*(ElevCalc!$AF$20="FL")*(ElevCalc!$AF$93=2),(ElevCalc!$AF$92+(ElevCalc!$AF$115)*ElevCalc!$AF$91),NA())</f>
        <v/>
      </c>
      <c r="AG272">
        <f>IF(ElevCalc!$AF$111*(ElevCalc!$AF$20="FL")*(ElevCalc!$AF$93=2),((ElevCalc!$AF$113+0.4*ElevCalc!$AF$110)*ElevCalc!$AF$91),NA())</f>
        <v/>
      </c>
    </row>
    <row r="273">
      <c r="A273" t="inlineStr">
        <is>
          <t>lv21</t>
        </is>
      </c>
      <c r="B273">
        <f>IF(ElevCalc!$B$111*(ElevCalc!$B$20="FL")*(ElevCalc!$B$93=2),(ElevCalc!$B$92+(ElevCalc!$B$115+ElevCalc!$B$109)*ElevCalc!$B$91),NA())</f>
        <v/>
      </c>
      <c r="C273">
        <f>IF(ElevCalc!$B$111*(ElevCalc!$B$20="FL")*(ElevCalc!$B$93=2),((ElevCalc!$B$113+0.4*ElevCalc!$B$110)*ElevCalc!$B$91),NA())</f>
        <v/>
      </c>
      <c r="F273" t="inlineStr">
        <is>
          <t>lv21</t>
        </is>
      </c>
      <c r="G273">
        <f>IF(ElevCalc!$G$111*(ElevCalc!$G$20="FL")*(ElevCalc!$G$93=2),(ElevCalc!$G$92+(ElevCalc!$G$115+ElevCalc!$G$109)*ElevCalc!$G$91),NA())</f>
        <v/>
      </c>
      <c r="H273">
        <f>IF(ElevCalc!$G$111*(ElevCalc!$G$20="FL")*(ElevCalc!$G$93=2),((ElevCalc!$G$113+0.4*ElevCalc!$G$110)*ElevCalc!$G$91),NA())</f>
        <v/>
      </c>
      <c r="K273" t="inlineStr">
        <is>
          <t>lv21</t>
        </is>
      </c>
      <c r="L273">
        <f>IF(ElevCalc!$L$111*(ElevCalc!$L$20="FL")*(ElevCalc!$L$93=2),(ElevCalc!$L$92+(ElevCalc!$L$115+ElevCalc!$L$109)*ElevCalc!$L$91),NA())</f>
        <v/>
      </c>
      <c r="M273">
        <f>IF(ElevCalc!$L$111*(ElevCalc!$L$20="FL")*(ElevCalc!$L$93=2),((ElevCalc!$L$113+0.4*ElevCalc!$L$110)*ElevCalc!$L$91),NA())</f>
        <v/>
      </c>
      <c r="P273" t="inlineStr">
        <is>
          <t>lv21</t>
        </is>
      </c>
      <c r="Q273">
        <f>IF(ElevCalc!$Q$111*(ElevCalc!$Q$20="FL")*(ElevCalc!$Q$93=2),(ElevCalc!$Q$92+(ElevCalc!$Q$115+ElevCalc!$Q$109)*ElevCalc!$Q$91),NA())</f>
        <v/>
      </c>
      <c r="R273">
        <f>IF(ElevCalc!$Q$111*(ElevCalc!$Q$20="FL")*(ElevCalc!$Q$93=2),((ElevCalc!$Q$113+0.4*ElevCalc!$Q$110)*ElevCalc!$Q$91),NA())</f>
        <v/>
      </c>
      <c r="U273" t="inlineStr">
        <is>
          <t>lv21</t>
        </is>
      </c>
      <c r="V273">
        <f>IF(ElevCalc!$V$111*(ElevCalc!$V$20="FL")*(ElevCalc!$V$93=2),(ElevCalc!$V$92+(ElevCalc!$V$115+ElevCalc!$V$109)*ElevCalc!$V$91),NA())</f>
        <v/>
      </c>
      <c r="W273">
        <f>IF(ElevCalc!$V$111*(ElevCalc!$V$20="FL")*(ElevCalc!$V$93=2),((ElevCalc!$V$113+0.4*ElevCalc!$V$110)*ElevCalc!$V$91),NA())</f>
        <v/>
      </c>
      <c r="Z273" t="inlineStr">
        <is>
          <t>lv21</t>
        </is>
      </c>
      <c r="AA273">
        <f>IF(ElevCalc!$AA$111*(ElevCalc!$AA$20="FL")*(ElevCalc!$AA$93=2),(ElevCalc!$AA$92+(ElevCalc!$AA$115+ElevCalc!$AA$109)*ElevCalc!$AA$91),NA())</f>
        <v/>
      </c>
      <c r="AB273">
        <f>IF(ElevCalc!$AA$111*(ElevCalc!$AA$20="FL")*(ElevCalc!$AA$93=2),((ElevCalc!$AA$113+0.4*ElevCalc!$AA$110)*ElevCalc!$AA$91),NA())</f>
        <v/>
      </c>
      <c r="AE273" t="inlineStr">
        <is>
          <t>lv21</t>
        </is>
      </c>
      <c r="AF273">
        <f>IF(ElevCalc!$AF$111*(ElevCalc!$AF$20="FL")*(ElevCalc!$AF$93=2),(ElevCalc!$AF$92+(ElevCalc!$AF$115+ElevCalc!$AF$109)*ElevCalc!$AF$91),NA())</f>
        <v/>
      </c>
      <c r="AG273">
        <f>IF(ElevCalc!$AF$111*(ElevCalc!$AF$20="FL")*(ElevCalc!$AF$93=2),((ElevCalc!$AF$113+0.4*ElevCalc!$AF$110)*ElevCalc!$AF$91),NA())</f>
        <v/>
      </c>
    </row>
    <row r="275">
      <c r="A275" t="inlineStr">
        <is>
          <t>lv12</t>
        </is>
      </c>
      <c r="B275">
        <f>IF(ElevCalc!$B$111*(ElevCalc!$B$20="FL"),(ElevCalc!$B$92+(ElevCalc!$B$114)*ElevCalc!$B$91),NA())</f>
        <v/>
      </c>
      <c r="C275">
        <f>IF(ElevCalc!$B$111*(ElevCalc!$B$20="FL"),((ElevCalc!$B$113+0.6*ElevCalc!$B$110)*ElevCalc!$B$91),NA())</f>
        <v/>
      </c>
      <c r="F275" t="inlineStr">
        <is>
          <t>lv12</t>
        </is>
      </c>
      <c r="G275">
        <f>IF(ElevCalc!$G$111*(ElevCalc!$G$20="FL"),(ElevCalc!$G$92+(ElevCalc!$G$114)*ElevCalc!$G$91),NA())</f>
        <v/>
      </c>
      <c r="H275">
        <f>IF(ElevCalc!$G$111*(ElevCalc!$G$20="FL"),((ElevCalc!$G$113+0.6*ElevCalc!$G$110)*ElevCalc!$G$91),NA())</f>
        <v/>
      </c>
      <c r="K275" t="inlineStr">
        <is>
          <t>lv12</t>
        </is>
      </c>
      <c r="L275">
        <f>IF(ElevCalc!$L$111*(ElevCalc!$L$20="FL"),(ElevCalc!$L$92+(ElevCalc!$L$114)*ElevCalc!$L$91),NA())</f>
        <v/>
      </c>
      <c r="M275">
        <f>IF(ElevCalc!$L$111*(ElevCalc!$L$20="FL"),((ElevCalc!$L$113+0.6*ElevCalc!$L$110)*ElevCalc!$L$91),NA())</f>
        <v/>
      </c>
      <c r="P275" t="inlineStr">
        <is>
          <t>lv12</t>
        </is>
      </c>
      <c r="Q275">
        <f>IF(ElevCalc!$Q$111*(ElevCalc!$Q$20="FL"),(ElevCalc!$Q$92+(ElevCalc!$Q$114)*ElevCalc!$Q$91),NA())</f>
        <v/>
      </c>
      <c r="R275">
        <f>IF(ElevCalc!$Q$111*(ElevCalc!$Q$20="FL"),((ElevCalc!$Q$113+0.6*ElevCalc!$Q$110)*ElevCalc!$Q$91),NA())</f>
        <v/>
      </c>
      <c r="U275" t="inlineStr">
        <is>
          <t>lv12</t>
        </is>
      </c>
      <c r="V275">
        <f>IF(ElevCalc!$V$111*(ElevCalc!$V$20="FL"),(ElevCalc!$V$92+(ElevCalc!$V$114)*ElevCalc!$V$91),NA())</f>
        <v/>
      </c>
      <c r="W275">
        <f>IF(ElevCalc!$V$111*(ElevCalc!$V$20="FL"),((ElevCalc!$V$113+0.6*ElevCalc!$V$110)*ElevCalc!$V$91),NA())</f>
        <v/>
      </c>
      <c r="Z275" t="inlineStr">
        <is>
          <t>lv12</t>
        </is>
      </c>
      <c r="AA275">
        <f>IF(ElevCalc!$AA$111*(ElevCalc!$AA$20="FL"),(ElevCalc!$AA$92+(ElevCalc!$AA$114)*ElevCalc!$AA$91),NA())</f>
        <v/>
      </c>
      <c r="AB275">
        <f>IF(ElevCalc!$AA$111*(ElevCalc!$AA$20="FL"),((ElevCalc!$AA$113+0.6*ElevCalc!$AA$110)*ElevCalc!$AA$91),NA())</f>
        <v/>
      </c>
      <c r="AE275" t="inlineStr">
        <is>
          <t>lv12</t>
        </is>
      </c>
      <c r="AF275">
        <f>IF(ElevCalc!$AF$111*(ElevCalc!$AF$20="FL"),(ElevCalc!$AF$92+(ElevCalc!$AF$114)*ElevCalc!$AF$91),NA())</f>
        <v/>
      </c>
      <c r="AG275">
        <f>IF(ElevCalc!$AF$111*(ElevCalc!$AF$20="FL"),((ElevCalc!$AF$113+0.6*ElevCalc!$AF$110)*ElevCalc!$AF$91),NA())</f>
        <v/>
      </c>
    </row>
    <row r="276">
      <c r="A276" t="inlineStr">
        <is>
          <t>lv12</t>
        </is>
      </c>
      <c r="B276">
        <f>IF(ElevCalc!$B$111*(ElevCalc!$B$20="FL"),(ElevCalc!$B$92+(ElevCalc!$B$114+ElevCalc!$B$109)*ElevCalc!$B$91),NA())</f>
        <v/>
      </c>
      <c r="C276">
        <f>IF(ElevCalc!$B$111*(ElevCalc!$B$20="FL"),((ElevCalc!$B$113+0.6*ElevCalc!$B$110)*ElevCalc!$B$91),NA())</f>
        <v/>
      </c>
      <c r="F276" t="inlineStr">
        <is>
          <t>lv12</t>
        </is>
      </c>
      <c r="G276">
        <f>IF(ElevCalc!$G$111*(ElevCalc!$G$20="FL"),(ElevCalc!$G$92+(ElevCalc!$G$114+ElevCalc!$G$109)*ElevCalc!$G$91),NA())</f>
        <v/>
      </c>
      <c r="H276">
        <f>IF(ElevCalc!$G$111*(ElevCalc!$G$20="FL"),((ElevCalc!$G$113+0.6*ElevCalc!$G$110)*ElevCalc!$G$91),NA())</f>
        <v/>
      </c>
      <c r="K276" t="inlineStr">
        <is>
          <t>lv12</t>
        </is>
      </c>
      <c r="L276">
        <f>IF(ElevCalc!$L$111*(ElevCalc!$L$20="FL"),(ElevCalc!$L$92+(ElevCalc!$L$114+ElevCalc!$L$109)*ElevCalc!$L$91),NA())</f>
        <v/>
      </c>
      <c r="M276">
        <f>IF(ElevCalc!$L$111*(ElevCalc!$L$20="FL"),((ElevCalc!$L$113+0.6*ElevCalc!$L$110)*ElevCalc!$L$91),NA())</f>
        <v/>
      </c>
      <c r="P276" t="inlineStr">
        <is>
          <t>lv12</t>
        </is>
      </c>
      <c r="Q276">
        <f>IF(ElevCalc!$Q$111*(ElevCalc!$Q$20="FL"),(ElevCalc!$Q$92+(ElevCalc!$Q$114+ElevCalc!$Q$109)*ElevCalc!$Q$91),NA())</f>
        <v/>
      </c>
      <c r="R276">
        <f>IF(ElevCalc!$Q$111*(ElevCalc!$Q$20="FL"),((ElevCalc!$Q$113+0.6*ElevCalc!$Q$110)*ElevCalc!$Q$91),NA())</f>
        <v/>
      </c>
      <c r="U276" t="inlineStr">
        <is>
          <t>lv12</t>
        </is>
      </c>
      <c r="V276">
        <f>IF(ElevCalc!$V$111*(ElevCalc!$V$20="FL"),(ElevCalc!$V$92+(ElevCalc!$V$114+ElevCalc!$V$109)*ElevCalc!$V$91),NA())</f>
        <v/>
      </c>
      <c r="W276">
        <f>IF(ElevCalc!$V$111*(ElevCalc!$V$20="FL"),((ElevCalc!$V$113+0.6*ElevCalc!$V$110)*ElevCalc!$V$91),NA())</f>
        <v/>
      </c>
      <c r="Z276" t="inlineStr">
        <is>
          <t>lv12</t>
        </is>
      </c>
      <c r="AA276">
        <f>IF(ElevCalc!$AA$111*(ElevCalc!$AA$20="FL"),(ElevCalc!$AA$92+(ElevCalc!$AA$114+ElevCalc!$AA$109)*ElevCalc!$AA$91),NA())</f>
        <v/>
      </c>
      <c r="AB276">
        <f>IF(ElevCalc!$AA$111*(ElevCalc!$AA$20="FL"),((ElevCalc!$AA$113+0.6*ElevCalc!$AA$110)*ElevCalc!$AA$91),NA())</f>
        <v/>
      </c>
      <c r="AE276" t="inlineStr">
        <is>
          <t>lv12</t>
        </is>
      </c>
      <c r="AF276">
        <f>IF(ElevCalc!$AF$111*(ElevCalc!$AF$20="FL"),(ElevCalc!$AF$92+(ElevCalc!$AF$114+ElevCalc!$AF$109)*ElevCalc!$AF$91),NA())</f>
        <v/>
      </c>
      <c r="AG276">
        <f>IF(ElevCalc!$AF$111*(ElevCalc!$AF$20="FL"),((ElevCalc!$AF$113+0.6*ElevCalc!$AF$110)*ElevCalc!$AF$91),NA())</f>
        <v/>
      </c>
    </row>
    <row r="278">
      <c r="A278" t="inlineStr">
        <is>
          <t>lv22</t>
        </is>
      </c>
      <c r="B278">
        <f>IF(ElevCalc!$B$111*(ElevCalc!$B$20="FL")*(ElevCalc!$B$93=2),(ElevCalc!$B$92+(ElevCalc!$B$115)*ElevCalc!$B$91),NA())</f>
        <v/>
      </c>
      <c r="C278">
        <f>IF(ElevCalc!$B$111*(ElevCalc!$B$20="FL")*(ElevCalc!$B$93=2),((ElevCalc!$B$113+0.6*ElevCalc!$B$110)*ElevCalc!$B$91),NA())</f>
        <v/>
      </c>
      <c r="F278" t="inlineStr">
        <is>
          <t>lv22</t>
        </is>
      </c>
      <c r="G278">
        <f>IF(ElevCalc!$G$111*(ElevCalc!$G$20="FL")*(ElevCalc!$G$93=2),(ElevCalc!$G$92+(ElevCalc!$G$115)*ElevCalc!$G$91),NA())</f>
        <v/>
      </c>
      <c r="H278">
        <f>IF(ElevCalc!$G$111*(ElevCalc!$G$20="FL")*(ElevCalc!$G$93=2),((ElevCalc!$G$113+0.6*ElevCalc!$G$110)*ElevCalc!$G$91),NA())</f>
        <v/>
      </c>
      <c r="K278" t="inlineStr">
        <is>
          <t>lv22</t>
        </is>
      </c>
      <c r="L278">
        <f>IF(ElevCalc!$L$111*(ElevCalc!$L$20="FL")*(ElevCalc!$L$93=2),(ElevCalc!$L$92+(ElevCalc!$L$115)*ElevCalc!$L$91),NA())</f>
        <v/>
      </c>
      <c r="M278">
        <f>IF(ElevCalc!$L$111*(ElevCalc!$L$20="FL")*(ElevCalc!$L$93=2),((ElevCalc!$L$113+0.6*ElevCalc!$L$110)*ElevCalc!$L$91),NA())</f>
        <v/>
      </c>
      <c r="P278" t="inlineStr">
        <is>
          <t>lv22</t>
        </is>
      </c>
      <c r="Q278">
        <f>IF(ElevCalc!$Q$111*(ElevCalc!$Q$20="FL")*(ElevCalc!$Q$93=2),(ElevCalc!$Q$92+(ElevCalc!$Q$115)*ElevCalc!$Q$91),NA())</f>
        <v/>
      </c>
      <c r="R278">
        <f>IF(ElevCalc!$Q$111*(ElevCalc!$Q$20="FL")*(ElevCalc!$Q$93=2),((ElevCalc!$Q$113+0.6*ElevCalc!$Q$110)*ElevCalc!$Q$91),NA())</f>
        <v/>
      </c>
      <c r="U278" t="inlineStr">
        <is>
          <t>lv22</t>
        </is>
      </c>
      <c r="V278">
        <f>IF(ElevCalc!$V$111*(ElevCalc!$V$20="FL")*(ElevCalc!$V$93=2),(ElevCalc!$V$92+(ElevCalc!$V$115)*ElevCalc!$V$91),NA())</f>
        <v/>
      </c>
      <c r="W278">
        <f>IF(ElevCalc!$V$111*(ElevCalc!$V$20="FL")*(ElevCalc!$V$93=2),((ElevCalc!$V$113+0.6*ElevCalc!$V$110)*ElevCalc!$V$91),NA())</f>
        <v/>
      </c>
      <c r="Z278" t="inlineStr">
        <is>
          <t>lv22</t>
        </is>
      </c>
      <c r="AA278">
        <f>IF(ElevCalc!$AA$111*(ElevCalc!$AA$20="FL")*(ElevCalc!$AA$93=2),(ElevCalc!$AA$92+(ElevCalc!$AA$115)*ElevCalc!$AA$91),NA())</f>
        <v/>
      </c>
      <c r="AB278">
        <f>IF(ElevCalc!$AA$111*(ElevCalc!$AA$20="FL")*(ElevCalc!$AA$93=2),((ElevCalc!$AA$113+0.6*ElevCalc!$AA$110)*ElevCalc!$AA$91),NA())</f>
        <v/>
      </c>
      <c r="AE278" t="inlineStr">
        <is>
          <t>lv22</t>
        </is>
      </c>
      <c r="AF278">
        <f>IF(ElevCalc!$AF$111*(ElevCalc!$AF$20="FL")*(ElevCalc!$AF$93=2),(ElevCalc!$AF$92+(ElevCalc!$AF$115)*ElevCalc!$AF$91),NA())</f>
        <v/>
      </c>
      <c r="AG278">
        <f>IF(ElevCalc!$AF$111*(ElevCalc!$AF$20="FL")*(ElevCalc!$AF$93=2),((ElevCalc!$AF$113+0.6*ElevCalc!$AF$110)*ElevCalc!$AF$91),NA())</f>
        <v/>
      </c>
    </row>
    <row r="279">
      <c r="A279" t="inlineStr">
        <is>
          <t>lv22</t>
        </is>
      </c>
      <c r="B279">
        <f>IF(ElevCalc!$B$111*(ElevCalc!$B$20="FL")*(ElevCalc!$B$93=2),(ElevCalc!$B$92+(ElevCalc!$B$115+ElevCalc!$B$109)*ElevCalc!$B$91),NA())</f>
        <v/>
      </c>
      <c r="C279">
        <f>IF(ElevCalc!$B$111*(ElevCalc!$B$20="FL")*(ElevCalc!$B$93=2),((ElevCalc!$B$113+0.6*ElevCalc!$B$110)*ElevCalc!$B$91),NA())</f>
        <v/>
      </c>
      <c r="F279" t="inlineStr">
        <is>
          <t>lv22</t>
        </is>
      </c>
      <c r="G279">
        <f>IF(ElevCalc!$G$111*(ElevCalc!$G$20="FL")*(ElevCalc!$G$93=2),(ElevCalc!$G$92+(ElevCalc!$G$115+ElevCalc!$G$109)*ElevCalc!$G$91),NA())</f>
        <v/>
      </c>
      <c r="H279">
        <f>IF(ElevCalc!$G$111*(ElevCalc!$G$20="FL")*(ElevCalc!$G$93=2),((ElevCalc!$G$113+0.6*ElevCalc!$G$110)*ElevCalc!$G$91),NA())</f>
        <v/>
      </c>
      <c r="K279" t="inlineStr">
        <is>
          <t>lv22</t>
        </is>
      </c>
      <c r="L279">
        <f>IF(ElevCalc!$L$111*(ElevCalc!$L$20="FL")*(ElevCalc!$L$93=2),(ElevCalc!$L$92+(ElevCalc!$L$115+ElevCalc!$L$109)*ElevCalc!$L$91),NA())</f>
        <v/>
      </c>
      <c r="M279">
        <f>IF(ElevCalc!$L$111*(ElevCalc!$L$20="FL")*(ElevCalc!$L$93=2),((ElevCalc!$L$113+0.6*ElevCalc!$L$110)*ElevCalc!$L$91),NA())</f>
        <v/>
      </c>
      <c r="P279" t="inlineStr">
        <is>
          <t>lv22</t>
        </is>
      </c>
      <c r="Q279">
        <f>IF(ElevCalc!$Q$111*(ElevCalc!$Q$20="FL")*(ElevCalc!$Q$93=2),(ElevCalc!$Q$92+(ElevCalc!$Q$115+ElevCalc!$Q$109)*ElevCalc!$Q$91),NA())</f>
        <v/>
      </c>
      <c r="R279">
        <f>IF(ElevCalc!$Q$111*(ElevCalc!$Q$20="FL")*(ElevCalc!$Q$93=2),((ElevCalc!$Q$113+0.6*ElevCalc!$Q$110)*ElevCalc!$Q$91),NA())</f>
        <v/>
      </c>
      <c r="U279" t="inlineStr">
        <is>
          <t>lv22</t>
        </is>
      </c>
      <c r="V279">
        <f>IF(ElevCalc!$V$111*(ElevCalc!$V$20="FL")*(ElevCalc!$V$93=2),(ElevCalc!$V$92+(ElevCalc!$V$115+ElevCalc!$V$109)*ElevCalc!$V$91),NA())</f>
        <v/>
      </c>
      <c r="W279">
        <f>IF(ElevCalc!$V$111*(ElevCalc!$V$20="FL")*(ElevCalc!$V$93=2),((ElevCalc!$V$113+0.6*ElevCalc!$V$110)*ElevCalc!$V$91),NA())</f>
        <v/>
      </c>
      <c r="Z279" t="inlineStr">
        <is>
          <t>lv22</t>
        </is>
      </c>
      <c r="AA279">
        <f>IF(ElevCalc!$AA$111*(ElevCalc!$AA$20="FL")*(ElevCalc!$AA$93=2),(ElevCalc!$AA$92+(ElevCalc!$AA$115+ElevCalc!$AA$109)*ElevCalc!$AA$91),NA())</f>
        <v/>
      </c>
      <c r="AB279">
        <f>IF(ElevCalc!$AA$111*(ElevCalc!$AA$20="FL")*(ElevCalc!$AA$93=2),((ElevCalc!$AA$113+0.6*ElevCalc!$AA$110)*ElevCalc!$AA$91),NA())</f>
        <v/>
      </c>
      <c r="AE279" t="inlineStr">
        <is>
          <t>lv22</t>
        </is>
      </c>
      <c r="AF279">
        <f>IF(ElevCalc!$AF$111*(ElevCalc!$AF$20="FL")*(ElevCalc!$AF$93=2),(ElevCalc!$AF$92+(ElevCalc!$AF$115+ElevCalc!$AF$109)*ElevCalc!$AF$91),NA())</f>
        <v/>
      </c>
      <c r="AG279">
        <f>IF(ElevCalc!$AF$111*(ElevCalc!$AF$20="FL")*(ElevCalc!$AF$93=2),((ElevCalc!$AF$113+0.6*ElevCalc!$AF$110)*ElevCalc!$AF$91),NA())</f>
        <v/>
      </c>
    </row>
    <row r="281">
      <c r="A281" t="inlineStr">
        <is>
          <t>lv13</t>
        </is>
      </c>
      <c r="B281">
        <f>IF(ElevCalc!$B$111*(ElevCalc!$B$20="FL"),(ElevCalc!$B$92+(ElevCalc!$B$114)*ElevCalc!$B$91),NA())</f>
        <v/>
      </c>
      <c r="C281">
        <f>IF(ElevCalc!$B$111*(ElevCalc!$B$20="FL"),((ElevCalc!$B$113+0.8*ElevCalc!$B$110)*ElevCalc!$B$91),NA())</f>
        <v/>
      </c>
      <c r="F281" t="inlineStr">
        <is>
          <t>lv13</t>
        </is>
      </c>
      <c r="G281">
        <f>IF(ElevCalc!$G$111*(ElevCalc!$G$20="FL"),(ElevCalc!$G$92+(ElevCalc!$G$114)*ElevCalc!$G$91),NA())</f>
        <v/>
      </c>
      <c r="H281">
        <f>IF(ElevCalc!$G$111*(ElevCalc!$G$20="FL"),((ElevCalc!$G$113+0.8*ElevCalc!$G$110)*ElevCalc!$G$91),NA())</f>
        <v/>
      </c>
      <c r="K281" t="inlineStr">
        <is>
          <t>lv13</t>
        </is>
      </c>
      <c r="L281">
        <f>IF(ElevCalc!$L$111*(ElevCalc!$L$20="FL"),(ElevCalc!$L$92+(ElevCalc!$L$114)*ElevCalc!$L$91),NA())</f>
        <v/>
      </c>
      <c r="M281">
        <f>IF(ElevCalc!$L$111*(ElevCalc!$L$20="FL"),((ElevCalc!$L$113+0.8*ElevCalc!$L$110)*ElevCalc!$L$91),NA())</f>
        <v/>
      </c>
      <c r="P281" t="inlineStr">
        <is>
          <t>lv13</t>
        </is>
      </c>
      <c r="Q281">
        <f>IF(ElevCalc!$Q$111*(ElevCalc!$Q$20="FL"),(ElevCalc!$Q$92+(ElevCalc!$Q$114)*ElevCalc!$Q$91),NA())</f>
        <v/>
      </c>
      <c r="R281">
        <f>IF(ElevCalc!$Q$111*(ElevCalc!$Q$20="FL"),((ElevCalc!$Q$113+0.8*ElevCalc!$Q$110)*ElevCalc!$Q$91),NA())</f>
        <v/>
      </c>
      <c r="U281" t="inlineStr">
        <is>
          <t>lv13</t>
        </is>
      </c>
      <c r="V281">
        <f>IF(ElevCalc!$V$111*(ElevCalc!$V$20="FL"),(ElevCalc!$V$92+(ElevCalc!$V$114)*ElevCalc!$V$91),NA())</f>
        <v/>
      </c>
      <c r="W281">
        <f>IF(ElevCalc!$V$111*(ElevCalc!$V$20="FL"),((ElevCalc!$V$113+0.8*ElevCalc!$V$110)*ElevCalc!$V$91),NA())</f>
        <v/>
      </c>
      <c r="Z281" t="inlineStr">
        <is>
          <t>lv13</t>
        </is>
      </c>
      <c r="AA281">
        <f>IF(ElevCalc!$AA$111*(ElevCalc!$AA$20="FL"),(ElevCalc!$AA$92+(ElevCalc!$AA$114)*ElevCalc!$AA$91),NA())</f>
        <v/>
      </c>
      <c r="AB281">
        <f>IF(ElevCalc!$AA$111*(ElevCalc!$AA$20="FL"),((ElevCalc!$AA$113+0.8*ElevCalc!$AA$110)*ElevCalc!$AA$91),NA())</f>
        <v/>
      </c>
      <c r="AE281" t="inlineStr">
        <is>
          <t>lv13</t>
        </is>
      </c>
      <c r="AF281">
        <f>IF(ElevCalc!$AF$111*(ElevCalc!$AF$20="FL"),(ElevCalc!$AF$92+(ElevCalc!$AF$114)*ElevCalc!$AF$91),NA())</f>
        <v/>
      </c>
      <c r="AG281">
        <f>IF(ElevCalc!$AF$111*(ElevCalc!$AF$20="FL"),((ElevCalc!$AF$113+0.8*ElevCalc!$AF$110)*ElevCalc!$AF$91),NA())</f>
        <v/>
      </c>
    </row>
    <row r="282">
      <c r="A282" t="inlineStr">
        <is>
          <t>lv13</t>
        </is>
      </c>
      <c r="B282">
        <f>IF(ElevCalc!$B$111*(ElevCalc!$B$20="FL"),(ElevCalc!$B$92+(ElevCalc!$B$114+ElevCalc!$B$109)*ElevCalc!$B$91),NA())</f>
        <v/>
      </c>
      <c r="C282">
        <f>IF(ElevCalc!$B$111*(ElevCalc!$B$20="FL"),((ElevCalc!$B$113+0.8*ElevCalc!$B$110)*ElevCalc!$B$91),NA())</f>
        <v/>
      </c>
      <c r="F282" t="inlineStr">
        <is>
          <t>lv13</t>
        </is>
      </c>
      <c r="G282">
        <f>IF(ElevCalc!$G$111*(ElevCalc!$G$20="FL"),(ElevCalc!$G$92+(ElevCalc!$G$114+ElevCalc!$G$109)*ElevCalc!$G$91),NA())</f>
        <v/>
      </c>
      <c r="H282">
        <f>IF(ElevCalc!$G$111*(ElevCalc!$G$20="FL"),((ElevCalc!$G$113+0.8*ElevCalc!$G$110)*ElevCalc!$G$91),NA())</f>
        <v/>
      </c>
      <c r="K282" t="inlineStr">
        <is>
          <t>lv13</t>
        </is>
      </c>
      <c r="L282">
        <f>IF(ElevCalc!$L$111*(ElevCalc!$L$20="FL"),(ElevCalc!$L$92+(ElevCalc!$L$114+ElevCalc!$L$109)*ElevCalc!$L$91),NA())</f>
        <v/>
      </c>
      <c r="M282">
        <f>IF(ElevCalc!$L$111*(ElevCalc!$L$20="FL"),((ElevCalc!$L$113+0.8*ElevCalc!$L$110)*ElevCalc!$L$91),NA())</f>
        <v/>
      </c>
      <c r="P282" t="inlineStr">
        <is>
          <t>lv13</t>
        </is>
      </c>
      <c r="Q282">
        <f>IF(ElevCalc!$Q$111*(ElevCalc!$Q$20="FL"),(ElevCalc!$Q$92+(ElevCalc!$Q$114+ElevCalc!$Q$109)*ElevCalc!$Q$91),NA())</f>
        <v/>
      </c>
      <c r="R282">
        <f>IF(ElevCalc!$Q$111*(ElevCalc!$Q$20="FL"),((ElevCalc!$Q$113+0.8*ElevCalc!$Q$110)*ElevCalc!$Q$91),NA())</f>
        <v/>
      </c>
      <c r="U282" t="inlineStr">
        <is>
          <t>lv13</t>
        </is>
      </c>
      <c r="V282">
        <f>IF(ElevCalc!$V$111*(ElevCalc!$V$20="FL"),(ElevCalc!$V$92+(ElevCalc!$V$114+ElevCalc!$V$109)*ElevCalc!$V$91),NA())</f>
        <v/>
      </c>
      <c r="W282">
        <f>IF(ElevCalc!$V$111*(ElevCalc!$V$20="FL"),((ElevCalc!$V$113+0.8*ElevCalc!$V$110)*ElevCalc!$V$91),NA())</f>
        <v/>
      </c>
      <c r="Z282" t="inlineStr">
        <is>
          <t>lv13</t>
        </is>
      </c>
      <c r="AA282">
        <f>IF(ElevCalc!$AA$111*(ElevCalc!$AA$20="FL"),(ElevCalc!$AA$92+(ElevCalc!$AA$114+ElevCalc!$AA$109)*ElevCalc!$AA$91),NA())</f>
        <v/>
      </c>
      <c r="AB282">
        <f>IF(ElevCalc!$AA$111*(ElevCalc!$AA$20="FL"),((ElevCalc!$AA$113+0.8*ElevCalc!$AA$110)*ElevCalc!$AA$91),NA())</f>
        <v/>
      </c>
      <c r="AE282" t="inlineStr">
        <is>
          <t>lv13</t>
        </is>
      </c>
      <c r="AF282">
        <f>IF(ElevCalc!$AF$111*(ElevCalc!$AF$20="FL"),(ElevCalc!$AF$92+(ElevCalc!$AF$114+ElevCalc!$AF$109)*ElevCalc!$AF$91),NA())</f>
        <v/>
      </c>
      <c r="AG282">
        <f>IF(ElevCalc!$AF$111*(ElevCalc!$AF$20="FL"),((ElevCalc!$AF$113+0.8*ElevCalc!$AF$110)*ElevCalc!$AF$91),NA())</f>
        <v/>
      </c>
    </row>
    <row r="284">
      <c r="A284" t="inlineStr">
        <is>
          <t>lv23</t>
        </is>
      </c>
      <c r="B284">
        <f>IF(ElevCalc!$B$111*(ElevCalc!$B$20="FL")*(ElevCalc!$B$93=2),(ElevCalc!$B$92+(ElevCalc!$B$115)*ElevCalc!$B$91),NA())</f>
        <v/>
      </c>
      <c r="C284">
        <f>IF(ElevCalc!$B$111*(ElevCalc!$B$20="FL")*(ElevCalc!$B$93=2),((ElevCalc!$B$113+0.8*ElevCalc!$B$110)*ElevCalc!$B$91),NA())</f>
        <v/>
      </c>
      <c r="F284" t="inlineStr">
        <is>
          <t>lv23</t>
        </is>
      </c>
      <c r="G284">
        <f>IF(ElevCalc!$G$111*(ElevCalc!$G$20="FL")*(ElevCalc!$G$93=2),(ElevCalc!$G$92+(ElevCalc!$G$115)*ElevCalc!$G$91),NA())</f>
        <v/>
      </c>
      <c r="H284">
        <f>IF(ElevCalc!$G$111*(ElevCalc!$G$20="FL")*(ElevCalc!$G$93=2),((ElevCalc!$G$113+0.8*ElevCalc!$G$110)*ElevCalc!$G$91),NA())</f>
        <v/>
      </c>
      <c r="K284" t="inlineStr">
        <is>
          <t>lv23</t>
        </is>
      </c>
      <c r="L284">
        <f>IF(ElevCalc!$L$111*(ElevCalc!$L$20="FL")*(ElevCalc!$L$93=2),(ElevCalc!$L$92+(ElevCalc!$L$115)*ElevCalc!$L$91),NA())</f>
        <v/>
      </c>
      <c r="M284">
        <f>IF(ElevCalc!$L$111*(ElevCalc!$L$20="FL")*(ElevCalc!$L$93=2),((ElevCalc!$L$113+0.8*ElevCalc!$L$110)*ElevCalc!$L$91),NA())</f>
        <v/>
      </c>
      <c r="P284" t="inlineStr">
        <is>
          <t>lv23</t>
        </is>
      </c>
      <c r="Q284">
        <f>IF(ElevCalc!$Q$111*(ElevCalc!$Q$20="FL")*(ElevCalc!$Q$93=2),(ElevCalc!$Q$92+(ElevCalc!$Q$115)*ElevCalc!$Q$91),NA())</f>
        <v/>
      </c>
      <c r="R284">
        <f>IF(ElevCalc!$Q$111*(ElevCalc!$Q$20="FL")*(ElevCalc!$Q$93=2),((ElevCalc!$Q$113+0.8*ElevCalc!$Q$110)*ElevCalc!$Q$91),NA())</f>
        <v/>
      </c>
      <c r="U284" t="inlineStr">
        <is>
          <t>lv23</t>
        </is>
      </c>
      <c r="V284">
        <f>IF(ElevCalc!$V$111*(ElevCalc!$V$20="FL")*(ElevCalc!$V$93=2),(ElevCalc!$V$92+(ElevCalc!$V$115)*ElevCalc!$V$91),NA())</f>
        <v/>
      </c>
      <c r="W284">
        <f>IF(ElevCalc!$V$111*(ElevCalc!$V$20="FL")*(ElevCalc!$V$93=2),((ElevCalc!$V$113+0.8*ElevCalc!$V$110)*ElevCalc!$V$91),NA())</f>
        <v/>
      </c>
      <c r="Z284" t="inlineStr">
        <is>
          <t>lv23</t>
        </is>
      </c>
      <c r="AA284">
        <f>IF(ElevCalc!$AA$111*(ElevCalc!$AA$20="FL")*(ElevCalc!$AA$93=2),(ElevCalc!$AA$92+(ElevCalc!$AA$115)*ElevCalc!$AA$91),NA())</f>
        <v/>
      </c>
      <c r="AB284">
        <f>IF(ElevCalc!$AA$111*(ElevCalc!$AA$20="FL")*(ElevCalc!$AA$93=2),((ElevCalc!$AA$113+0.8*ElevCalc!$AA$110)*ElevCalc!$AA$91),NA())</f>
        <v/>
      </c>
      <c r="AE284" t="inlineStr">
        <is>
          <t>lv23</t>
        </is>
      </c>
      <c r="AF284">
        <f>IF(ElevCalc!$AF$111*(ElevCalc!$AF$20="FL")*(ElevCalc!$AF$93=2),(ElevCalc!$AF$92+(ElevCalc!$AF$115)*ElevCalc!$AF$91),NA())</f>
        <v/>
      </c>
      <c r="AG284">
        <f>IF(ElevCalc!$AF$111*(ElevCalc!$AF$20="FL")*(ElevCalc!$AF$93=2),((ElevCalc!$AF$113+0.8*ElevCalc!$AF$110)*ElevCalc!$AF$91),NA())</f>
        <v/>
      </c>
    </row>
    <row r="285">
      <c r="A285" t="inlineStr">
        <is>
          <t>lv23</t>
        </is>
      </c>
      <c r="B285">
        <f>IF(ElevCalc!$B$111*(ElevCalc!$B$20="FL")*(ElevCalc!$B$93=2),(ElevCalc!$B$92+(ElevCalc!$B$115+ElevCalc!$B$109)*ElevCalc!$B$91),NA())</f>
        <v/>
      </c>
      <c r="C285">
        <f>IF(ElevCalc!$B$111*(ElevCalc!$B$20="FL")*(ElevCalc!$B$93=2),((ElevCalc!$B$113+0.8*ElevCalc!$B$110)*ElevCalc!$B$91),NA())</f>
        <v/>
      </c>
      <c r="F285" t="inlineStr">
        <is>
          <t>lv23</t>
        </is>
      </c>
      <c r="G285">
        <f>IF(ElevCalc!$G$111*(ElevCalc!$G$20="FL")*(ElevCalc!$G$93=2),(ElevCalc!$G$92+(ElevCalc!$G$115+ElevCalc!$G$109)*ElevCalc!$G$91),NA())</f>
        <v/>
      </c>
      <c r="H285">
        <f>IF(ElevCalc!$G$111*(ElevCalc!$G$20="FL")*(ElevCalc!$G$93=2),((ElevCalc!$G$113+0.8*ElevCalc!$G$110)*ElevCalc!$G$91),NA())</f>
        <v/>
      </c>
      <c r="K285" t="inlineStr">
        <is>
          <t>lv23</t>
        </is>
      </c>
      <c r="L285">
        <f>IF(ElevCalc!$L$111*(ElevCalc!$L$20="FL")*(ElevCalc!$L$93=2),(ElevCalc!$L$92+(ElevCalc!$L$115+ElevCalc!$L$109)*ElevCalc!$L$91),NA())</f>
        <v/>
      </c>
      <c r="M285">
        <f>IF(ElevCalc!$L$111*(ElevCalc!$L$20="FL")*(ElevCalc!$L$93=2),((ElevCalc!$L$113+0.8*ElevCalc!$L$110)*ElevCalc!$L$91),NA())</f>
        <v/>
      </c>
      <c r="P285" t="inlineStr">
        <is>
          <t>lv23</t>
        </is>
      </c>
      <c r="Q285">
        <f>IF(ElevCalc!$Q$111*(ElevCalc!$Q$20="FL")*(ElevCalc!$Q$93=2),(ElevCalc!$Q$92+(ElevCalc!$Q$115+ElevCalc!$Q$109)*ElevCalc!$Q$91),NA())</f>
        <v/>
      </c>
      <c r="R285">
        <f>IF(ElevCalc!$Q$111*(ElevCalc!$Q$20="FL")*(ElevCalc!$Q$93=2),((ElevCalc!$Q$113+0.8*ElevCalc!$Q$110)*ElevCalc!$Q$91),NA())</f>
        <v/>
      </c>
      <c r="U285" t="inlineStr">
        <is>
          <t>lv23</t>
        </is>
      </c>
      <c r="V285">
        <f>IF(ElevCalc!$V$111*(ElevCalc!$V$20="FL")*(ElevCalc!$V$93=2),(ElevCalc!$V$92+(ElevCalc!$V$115+ElevCalc!$V$109)*ElevCalc!$V$91),NA())</f>
        <v/>
      </c>
      <c r="W285">
        <f>IF(ElevCalc!$V$111*(ElevCalc!$V$20="FL")*(ElevCalc!$V$93=2),((ElevCalc!$V$113+0.8*ElevCalc!$V$110)*ElevCalc!$V$91),NA())</f>
        <v/>
      </c>
      <c r="Z285" t="inlineStr">
        <is>
          <t>lv23</t>
        </is>
      </c>
      <c r="AA285">
        <f>IF(ElevCalc!$AA$111*(ElevCalc!$AA$20="FL")*(ElevCalc!$AA$93=2),(ElevCalc!$AA$92+(ElevCalc!$AA$115+ElevCalc!$AA$109)*ElevCalc!$AA$91),NA())</f>
        <v/>
      </c>
      <c r="AB285">
        <f>IF(ElevCalc!$AA$111*(ElevCalc!$AA$20="FL")*(ElevCalc!$AA$93=2),((ElevCalc!$AA$113+0.8*ElevCalc!$AA$110)*ElevCalc!$AA$91),NA())</f>
        <v/>
      </c>
      <c r="AE285" t="inlineStr">
        <is>
          <t>lv23</t>
        </is>
      </c>
      <c r="AF285">
        <f>IF(ElevCalc!$AF$111*(ElevCalc!$AF$20="FL")*(ElevCalc!$AF$93=2),(ElevCalc!$AF$92+(ElevCalc!$AF$115+ElevCalc!$AF$109)*ElevCalc!$AF$91),NA())</f>
        <v/>
      </c>
      <c r="AG285">
        <f>IF(ElevCalc!$AF$111*(ElevCalc!$AF$20="FL")*(ElevCalc!$AF$93=2),((ElevCalc!$AF$113+0.8*ElevCalc!$AF$110)*ElevCalc!$AF$91),NA())</f>
        <v/>
      </c>
    </row>
    <row r="287">
      <c r="A287" t="inlineStr">
        <is>
          <t>swing1</t>
        </is>
      </c>
      <c r="B287">
        <f>IF(ElevCalc!$B$73*(ElevCalc!$B$93&gt;=1),(ElevCalc!$B$92+(ElevCalc!$B$107)*ElevCalc!$B$91),NA())</f>
        <v/>
      </c>
      <c r="C287">
        <f>IF(ElevCalc!$B$73*(ElevCalc!$B$93&gt;=1),((ElevCalc!$B$98)*ElevCalc!$B$91),NA())</f>
        <v/>
      </c>
      <c r="F287" t="inlineStr">
        <is>
          <t>swing1</t>
        </is>
      </c>
      <c r="G287">
        <f>IF(ElevCalc!$G$73*(ElevCalc!$G$93&gt;=1),(ElevCalc!$G$92+(ElevCalc!$G$107)*ElevCalc!$G$91),NA())</f>
        <v/>
      </c>
      <c r="H287">
        <f>IF(ElevCalc!$G$73*(ElevCalc!$G$93&gt;=1),((ElevCalc!$G$98)*ElevCalc!$G$91),NA())</f>
        <v/>
      </c>
      <c r="K287" t="inlineStr">
        <is>
          <t>swing1</t>
        </is>
      </c>
      <c r="L287">
        <f>IF(ElevCalc!$L$73*(ElevCalc!$L$93&gt;=1),(ElevCalc!$L$92+(ElevCalc!$L$107)*ElevCalc!$L$91),NA())</f>
        <v/>
      </c>
      <c r="M287">
        <f>IF(ElevCalc!$L$73*(ElevCalc!$L$93&gt;=1),((ElevCalc!$L$98)*ElevCalc!$L$91),NA())</f>
        <v/>
      </c>
      <c r="P287" t="inlineStr">
        <is>
          <t>swing1</t>
        </is>
      </c>
      <c r="Q287">
        <f>IF(ElevCalc!$Q$73*(ElevCalc!$Q$93&gt;=1),(ElevCalc!$Q$92+(ElevCalc!$Q$107)*ElevCalc!$Q$91),NA())</f>
        <v/>
      </c>
      <c r="R287">
        <f>IF(ElevCalc!$Q$73*(ElevCalc!$Q$93&gt;=1),((ElevCalc!$Q$98)*ElevCalc!$Q$91),NA())</f>
        <v/>
      </c>
      <c r="U287" t="inlineStr">
        <is>
          <t>swing1</t>
        </is>
      </c>
      <c r="V287">
        <f>IF(ElevCalc!$V$73*(ElevCalc!$V$93&gt;=1),(ElevCalc!$V$92+(ElevCalc!$V$107)*ElevCalc!$V$91),NA())</f>
        <v/>
      </c>
      <c r="W287">
        <f>IF(ElevCalc!$V$73*(ElevCalc!$V$93&gt;=1),((ElevCalc!$V$98)*ElevCalc!$V$91),NA())</f>
        <v/>
      </c>
      <c r="Z287" t="inlineStr">
        <is>
          <t>swing1</t>
        </is>
      </c>
      <c r="AA287">
        <f>IF(ElevCalc!$AA$73*(ElevCalc!$AA$93&gt;=1),(ElevCalc!$AA$92+(ElevCalc!$AA$107)*ElevCalc!$AA$91),NA())</f>
        <v/>
      </c>
      <c r="AB287">
        <f>IF(ElevCalc!$AA$73*(ElevCalc!$AA$93&gt;=1),((ElevCalc!$AA$98)*ElevCalc!$AA$91),NA())</f>
        <v/>
      </c>
      <c r="AE287" t="inlineStr">
        <is>
          <t>swing1</t>
        </is>
      </c>
      <c r="AF287">
        <f>IF(ElevCalc!$AF$73*(ElevCalc!$AF$93&gt;=1),(ElevCalc!$AF$92+(ElevCalc!$AF$107)*ElevCalc!$AF$91),NA())</f>
        <v/>
      </c>
      <c r="AG287">
        <f>IF(ElevCalc!$AF$73*(ElevCalc!$AF$93&gt;=1),((ElevCalc!$AF$98)*ElevCalc!$AF$91),NA())</f>
        <v/>
      </c>
    </row>
    <row r="288">
      <c r="A288" t="inlineStr">
        <is>
          <t>swing1</t>
        </is>
      </c>
      <c r="B288">
        <f>IF(ElevCalc!$B$73*(ElevCalc!$B$93&gt;=1),(ElevCalc!$B$92+(ElevCalc!$B$106)*ElevCalc!$B$91),NA())</f>
        <v/>
      </c>
      <c r="C288">
        <f>IF(ElevCalc!$B$73*(ElevCalc!$B$93&gt;=1),(((ElevCalc!$B$97+ElevCalc!$B$98)/2)*ElevCalc!$B$91),NA())</f>
        <v/>
      </c>
      <c r="F288" t="inlineStr">
        <is>
          <t>swing1</t>
        </is>
      </c>
      <c r="G288">
        <f>IF(ElevCalc!$G$73*(ElevCalc!$G$93&gt;=1),(ElevCalc!$G$92+(ElevCalc!$G$106)*ElevCalc!$G$91),NA())</f>
        <v/>
      </c>
      <c r="H288">
        <f>IF(ElevCalc!$G$73*(ElevCalc!$G$93&gt;=1),(((ElevCalc!$G$97+ElevCalc!$G$98)/2)*ElevCalc!$G$91),NA())</f>
        <v/>
      </c>
      <c r="K288" t="inlineStr">
        <is>
          <t>swing1</t>
        </is>
      </c>
      <c r="L288">
        <f>IF(ElevCalc!$L$73*(ElevCalc!$L$93&gt;=1),(ElevCalc!$L$92+(ElevCalc!$L$106)*ElevCalc!$L$91),NA())</f>
        <v/>
      </c>
      <c r="M288">
        <f>IF(ElevCalc!$L$73*(ElevCalc!$L$93&gt;=1),(((ElevCalc!$L$97+ElevCalc!$L$98)/2)*ElevCalc!$L$91),NA())</f>
        <v/>
      </c>
      <c r="P288" t="inlineStr">
        <is>
          <t>swing1</t>
        </is>
      </c>
      <c r="Q288">
        <f>IF(ElevCalc!$Q$73*(ElevCalc!$Q$93&gt;=1),(ElevCalc!$Q$92+(ElevCalc!$Q$106)*ElevCalc!$Q$91),NA())</f>
        <v/>
      </c>
      <c r="R288">
        <f>IF(ElevCalc!$Q$73*(ElevCalc!$Q$93&gt;=1),(((ElevCalc!$Q$97+ElevCalc!$Q$98)/2)*ElevCalc!$Q$91),NA())</f>
        <v/>
      </c>
      <c r="U288" t="inlineStr">
        <is>
          <t>swing1</t>
        </is>
      </c>
      <c r="V288">
        <f>IF(ElevCalc!$V$73*(ElevCalc!$V$93&gt;=1),(ElevCalc!$V$92+(ElevCalc!$V$106)*ElevCalc!$V$91),NA())</f>
        <v/>
      </c>
      <c r="W288">
        <f>IF(ElevCalc!$V$73*(ElevCalc!$V$93&gt;=1),(((ElevCalc!$V$97+ElevCalc!$V$98)/2)*ElevCalc!$V$91),NA())</f>
        <v/>
      </c>
      <c r="Z288" t="inlineStr">
        <is>
          <t>swing1</t>
        </is>
      </c>
      <c r="AA288">
        <f>IF(ElevCalc!$AA$73*(ElevCalc!$AA$93&gt;=1),(ElevCalc!$AA$92+(ElevCalc!$AA$106)*ElevCalc!$AA$91),NA())</f>
        <v/>
      </c>
      <c r="AB288">
        <f>IF(ElevCalc!$AA$73*(ElevCalc!$AA$93&gt;=1),(((ElevCalc!$AA$97+ElevCalc!$AA$98)/2)*ElevCalc!$AA$91),NA())</f>
        <v/>
      </c>
      <c r="AE288" t="inlineStr">
        <is>
          <t>swing1</t>
        </is>
      </c>
      <c r="AF288">
        <f>IF(ElevCalc!$AF$73*(ElevCalc!$AF$93&gt;=1),(ElevCalc!$AF$92+(ElevCalc!$AF$106)*ElevCalc!$AF$91),NA())</f>
        <v/>
      </c>
      <c r="AG288">
        <f>IF(ElevCalc!$AF$73*(ElevCalc!$AF$93&gt;=1),(((ElevCalc!$AF$97+ElevCalc!$AF$98)/2)*ElevCalc!$AF$91),NA())</f>
        <v/>
      </c>
    </row>
    <row r="289">
      <c r="A289" t="inlineStr">
        <is>
          <t>swing1</t>
        </is>
      </c>
      <c r="B289">
        <f>IF(ElevCalc!$B$73*(ElevCalc!$B$93&gt;=1),(ElevCalc!$B$92+(ElevCalc!$B$107)*ElevCalc!$B$91),NA())</f>
        <v/>
      </c>
      <c r="C289">
        <f>IF(ElevCalc!$B$73*(ElevCalc!$B$93&gt;=1),((ElevCalc!$B$97)*ElevCalc!$B$91),NA())</f>
        <v/>
      </c>
      <c r="F289" t="inlineStr">
        <is>
          <t>swing1</t>
        </is>
      </c>
      <c r="G289">
        <f>IF(ElevCalc!$G$73*(ElevCalc!$G$93&gt;=1),(ElevCalc!$G$92+(ElevCalc!$G$107)*ElevCalc!$G$91),NA())</f>
        <v/>
      </c>
      <c r="H289">
        <f>IF(ElevCalc!$G$73*(ElevCalc!$G$93&gt;=1),((ElevCalc!$G$97)*ElevCalc!$G$91),NA())</f>
        <v/>
      </c>
      <c r="K289" t="inlineStr">
        <is>
          <t>swing1</t>
        </is>
      </c>
      <c r="L289">
        <f>IF(ElevCalc!$L$73*(ElevCalc!$L$93&gt;=1),(ElevCalc!$L$92+(ElevCalc!$L$107)*ElevCalc!$L$91),NA())</f>
        <v/>
      </c>
      <c r="M289">
        <f>IF(ElevCalc!$L$73*(ElevCalc!$L$93&gt;=1),((ElevCalc!$L$97)*ElevCalc!$L$91),NA())</f>
        <v/>
      </c>
      <c r="P289" t="inlineStr">
        <is>
          <t>swing1</t>
        </is>
      </c>
      <c r="Q289">
        <f>IF(ElevCalc!$Q$73*(ElevCalc!$Q$93&gt;=1),(ElevCalc!$Q$92+(ElevCalc!$Q$107)*ElevCalc!$Q$91),NA())</f>
        <v/>
      </c>
      <c r="R289">
        <f>IF(ElevCalc!$Q$73*(ElevCalc!$Q$93&gt;=1),((ElevCalc!$Q$97)*ElevCalc!$Q$91),NA())</f>
        <v/>
      </c>
      <c r="U289" t="inlineStr">
        <is>
          <t>swing1</t>
        </is>
      </c>
      <c r="V289">
        <f>IF(ElevCalc!$V$73*(ElevCalc!$V$93&gt;=1),(ElevCalc!$V$92+(ElevCalc!$V$107)*ElevCalc!$V$91),NA())</f>
        <v/>
      </c>
      <c r="W289">
        <f>IF(ElevCalc!$V$73*(ElevCalc!$V$93&gt;=1),((ElevCalc!$V$97)*ElevCalc!$V$91),NA())</f>
        <v/>
      </c>
      <c r="Z289" t="inlineStr">
        <is>
          <t>swing1</t>
        </is>
      </c>
      <c r="AA289">
        <f>IF(ElevCalc!$AA$73*(ElevCalc!$AA$93&gt;=1),(ElevCalc!$AA$92+(ElevCalc!$AA$107)*ElevCalc!$AA$91),NA())</f>
        <v/>
      </c>
      <c r="AB289">
        <f>IF(ElevCalc!$AA$73*(ElevCalc!$AA$93&gt;=1),((ElevCalc!$AA$97)*ElevCalc!$AA$91),NA())</f>
        <v/>
      </c>
      <c r="AE289" t="inlineStr">
        <is>
          <t>swing1</t>
        </is>
      </c>
      <c r="AF289">
        <f>IF(ElevCalc!$AF$73*(ElevCalc!$AF$93&gt;=1),(ElevCalc!$AF$92+(ElevCalc!$AF$107)*ElevCalc!$AF$91),NA())</f>
        <v/>
      </c>
      <c r="AG289">
        <f>IF(ElevCalc!$AF$73*(ElevCalc!$AF$93&gt;=1),((ElevCalc!$AF$97)*ElevCalc!$AF$91),NA())</f>
        <v/>
      </c>
    </row>
    <row r="291">
      <c r="A291" t="inlineStr">
        <is>
          <t>swing2</t>
        </is>
      </c>
      <c r="B291">
        <f>IF(ElevCalc!$B$73*(ElevCalc!$B$93=2),(ElevCalc!$B$92+(ElevCalc!$B$104)*ElevCalc!$B$91),NA())</f>
        <v/>
      </c>
      <c r="C291">
        <f>IF(ElevCalc!$B$73*(ElevCalc!$B$93=2),((ElevCalc!$B$98)*ElevCalc!$B$91),NA())</f>
        <v/>
      </c>
      <c r="F291" t="inlineStr">
        <is>
          <t>swing2</t>
        </is>
      </c>
      <c r="G291">
        <f>IF(ElevCalc!$G$73*(ElevCalc!$G$93=2),(ElevCalc!$G$92+(ElevCalc!$G$104)*ElevCalc!$G$91),NA())</f>
        <v/>
      </c>
      <c r="H291">
        <f>IF(ElevCalc!$G$73*(ElevCalc!$G$93=2),((ElevCalc!$G$98)*ElevCalc!$G$91),NA())</f>
        <v/>
      </c>
      <c r="K291" t="inlineStr">
        <is>
          <t>swing2</t>
        </is>
      </c>
      <c r="L291">
        <f>IF(ElevCalc!$L$73*(ElevCalc!$L$93=2),(ElevCalc!$L$92+(ElevCalc!$L$104)*ElevCalc!$L$91),NA())</f>
        <v/>
      </c>
      <c r="M291">
        <f>IF(ElevCalc!$L$73*(ElevCalc!$L$93=2),((ElevCalc!$L$98)*ElevCalc!$L$91),NA())</f>
        <v/>
      </c>
      <c r="P291" t="inlineStr">
        <is>
          <t>swing2</t>
        </is>
      </c>
      <c r="Q291">
        <f>IF(ElevCalc!$Q$73*(ElevCalc!$Q$93=2),(ElevCalc!$Q$92+(ElevCalc!$Q$104)*ElevCalc!$Q$91),NA())</f>
        <v/>
      </c>
      <c r="R291">
        <f>IF(ElevCalc!$Q$73*(ElevCalc!$Q$93=2),((ElevCalc!$Q$98)*ElevCalc!$Q$91),NA())</f>
        <v/>
      </c>
      <c r="U291" t="inlineStr">
        <is>
          <t>swing2</t>
        </is>
      </c>
      <c r="V291">
        <f>IF(ElevCalc!$V$73*(ElevCalc!$V$93=2),(ElevCalc!$V$92+(ElevCalc!$V$104)*ElevCalc!$V$91),NA())</f>
        <v/>
      </c>
      <c r="W291">
        <f>IF(ElevCalc!$V$73*(ElevCalc!$V$93=2),((ElevCalc!$V$98)*ElevCalc!$V$91),NA())</f>
        <v/>
      </c>
      <c r="Z291" t="inlineStr">
        <is>
          <t>swing2</t>
        </is>
      </c>
      <c r="AA291">
        <f>IF(ElevCalc!$AA$73*(ElevCalc!$AA$93=2),(ElevCalc!$AA$92+(ElevCalc!$AA$104)*ElevCalc!$AA$91),NA())</f>
        <v/>
      </c>
      <c r="AB291">
        <f>IF(ElevCalc!$AA$73*(ElevCalc!$AA$93=2),((ElevCalc!$AA$98)*ElevCalc!$AA$91),NA())</f>
        <v/>
      </c>
      <c r="AE291" t="inlineStr">
        <is>
          <t>swing2</t>
        </is>
      </c>
      <c r="AF291">
        <f>IF(ElevCalc!$AF$73*(ElevCalc!$AF$93=2),(ElevCalc!$AF$92+(ElevCalc!$AF$104)*ElevCalc!$AF$91),NA())</f>
        <v/>
      </c>
      <c r="AG291">
        <f>IF(ElevCalc!$AF$73*(ElevCalc!$AF$93=2),((ElevCalc!$AF$98)*ElevCalc!$AF$91),NA())</f>
        <v/>
      </c>
    </row>
    <row r="292">
      <c r="A292" t="inlineStr">
        <is>
          <t>swing2</t>
        </is>
      </c>
      <c r="B292">
        <f>IF(ElevCalc!$B$73*(ElevCalc!$B$93=2),(ElevCalc!$B$92+(ElevCalc!$B$103)*ElevCalc!$B$91),NA())</f>
        <v/>
      </c>
      <c r="C292">
        <f>IF(ElevCalc!$B$73*(ElevCalc!$B$93=2),(((ElevCalc!$B$97+ElevCalc!$B$98)/2)*ElevCalc!$B$91),NA())</f>
        <v/>
      </c>
      <c r="F292" t="inlineStr">
        <is>
          <t>swing2</t>
        </is>
      </c>
      <c r="G292">
        <f>IF(ElevCalc!$G$73*(ElevCalc!$G$93=2),(ElevCalc!$G$92+(ElevCalc!$G$103)*ElevCalc!$G$91),NA())</f>
        <v/>
      </c>
      <c r="H292">
        <f>IF(ElevCalc!$G$73*(ElevCalc!$G$93=2),(((ElevCalc!$G$97+ElevCalc!$G$98)/2)*ElevCalc!$G$91),NA())</f>
        <v/>
      </c>
      <c r="K292" t="inlineStr">
        <is>
          <t>swing2</t>
        </is>
      </c>
      <c r="L292">
        <f>IF(ElevCalc!$L$73*(ElevCalc!$L$93=2),(ElevCalc!$L$92+(ElevCalc!$L$103)*ElevCalc!$L$91),NA())</f>
        <v/>
      </c>
      <c r="M292">
        <f>IF(ElevCalc!$L$73*(ElevCalc!$L$93=2),(((ElevCalc!$L$97+ElevCalc!$L$98)/2)*ElevCalc!$L$91),NA())</f>
        <v/>
      </c>
      <c r="P292" t="inlineStr">
        <is>
          <t>swing2</t>
        </is>
      </c>
      <c r="Q292">
        <f>IF(ElevCalc!$Q$73*(ElevCalc!$Q$93=2),(ElevCalc!$Q$92+(ElevCalc!$Q$103)*ElevCalc!$Q$91),NA())</f>
        <v/>
      </c>
      <c r="R292">
        <f>IF(ElevCalc!$Q$73*(ElevCalc!$Q$93=2),(((ElevCalc!$Q$97+ElevCalc!$Q$98)/2)*ElevCalc!$Q$91),NA())</f>
        <v/>
      </c>
      <c r="U292" t="inlineStr">
        <is>
          <t>swing2</t>
        </is>
      </c>
      <c r="V292">
        <f>IF(ElevCalc!$V$73*(ElevCalc!$V$93=2),(ElevCalc!$V$92+(ElevCalc!$V$103)*ElevCalc!$V$91),NA())</f>
        <v/>
      </c>
      <c r="W292">
        <f>IF(ElevCalc!$V$73*(ElevCalc!$V$93=2),(((ElevCalc!$V$97+ElevCalc!$V$98)/2)*ElevCalc!$V$91),NA())</f>
        <v/>
      </c>
      <c r="Z292" t="inlineStr">
        <is>
          <t>swing2</t>
        </is>
      </c>
      <c r="AA292">
        <f>IF(ElevCalc!$AA$73*(ElevCalc!$AA$93=2),(ElevCalc!$AA$92+(ElevCalc!$AA$103)*ElevCalc!$AA$91),NA())</f>
        <v/>
      </c>
      <c r="AB292">
        <f>IF(ElevCalc!$AA$73*(ElevCalc!$AA$93=2),(((ElevCalc!$AA$97+ElevCalc!$AA$98)/2)*ElevCalc!$AA$91),NA())</f>
        <v/>
      </c>
      <c r="AE292" t="inlineStr">
        <is>
          <t>swing2</t>
        </is>
      </c>
      <c r="AF292">
        <f>IF(ElevCalc!$AF$73*(ElevCalc!$AF$93=2),(ElevCalc!$AF$92+(ElevCalc!$AF$103)*ElevCalc!$AF$91),NA())</f>
        <v/>
      </c>
      <c r="AG292">
        <f>IF(ElevCalc!$AF$73*(ElevCalc!$AF$93=2),(((ElevCalc!$AF$97+ElevCalc!$AF$98)/2)*ElevCalc!$AF$91),NA())</f>
        <v/>
      </c>
    </row>
    <row r="293">
      <c r="A293" t="inlineStr">
        <is>
          <t>swing2</t>
        </is>
      </c>
      <c r="B293">
        <f>IF(ElevCalc!$B$73*(ElevCalc!$B$93=2),(ElevCalc!$B$92+(ElevCalc!$B$104)*ElevCalc!$B$91),NA())</f>
        <v/>
      </c>
      <c r="C293">
        <f>IF(ElevCalc!$B$73*(ElevCalc!$B$93=2),((ElevCalc!$B$97)*ElevCalc!$B$91),NA())</f>
        <v/>
      </c>
      <c r="F293" t="inlineStr">
        <is>
          <t>swing2</t>
        </is>
      </c>
      <c r="G293">
        <f>IF(ElevCalc!$G$73*(ElevCalc!$G$93=2),(ElevCalc!$G$92+(ElevCalc!$G$104)*ElevCalc!$G$91),NA())</f>
        <v/>
      </c>
      <c r="H293">
        <f>IF(ElevCalc!$G$73*(ElevCalc!$G$93=2),((ElevCalc!$G$97)*ElevCalc!$G$91),NA())</f>
        <v/>
      </c>
      <c r="K293" t="inlineStr">
        <is>
          <t>swing2</t>
        </is>
      </c>
      <c r="L293">
        <f>IF(ElevCalc!$L$73*(ElevCalc!$L$93=2),(ElevCalc!$L$92+(ElevCalc!$L$104)*ElevCalc!$L$91),NA())</f>
        <v/>
      </c>
      <c r="M293">
        <f>IF(ElevCalc!$L$73*(ElevCalc!$L$93=2),((ElevCalc!$L$97)*ElevCalc!$L$91),NA())</f>
        <v/>
      </c>
      <c r="P293" t="inlineStr">
        <is>
          <t>swing2</t>
        </is>
      </c>
      <c r="Q293">
        <f>IF(ElevCalc!$Q$73*(ElevCalc!$Q$93=2),(ElevCalc!$Q$92+(ElevCalc!$Q$104)*ElevCalc!$Q$91),NA())</f>
        <v/>
      </c>
      <c r="R293">
        <f>IF(ElevCalc!$Q$73*(ElevCalc!$Q$93=2),((ElevCalc!$Q$97)*ElevCalc!$Q$91),NA())</f>
        <v/>
      </c>
      <c r="U293" t="inlineStr">
        <is>
          <t>swing2</t>
        </is>
      </c>
      <c r="V293">
        <f>IF(ElevCalc!$V$73*(ElevCalc!$V$93=2),(ElevCalc!$V$92+(ElevCalc!$V$104)*ElevCalc!$V$91),NA())</f>
        <v/>
      </c>
      <c r="W293">
        <f>IF(ElevCalc!$V$73*(ElevCalc!$V$93=2),((ElevCalc!$V$97)*ElevCalc!$V$91),NA())</f>
        <v/>
      </c>
      <c r="Z293" t="inlineStr">
        <is>
          <t>swing2</t>
        </is>
      </c>
      <c r="AA293">
        <f>IF(ElevCalc!$AA$73*(ElevCalc!$AA$93=2),(ElevCalc!$AA$92+(ElevCalc!$AA$104)*ElevCalc!$AA$91),NA())</f>
        <v/>
      </c>
      <c r="AB293">
        <f>IF(ElevCalc!$AA$73*(ElevCalc!$AA$93=2),((ElevCalc!$AA$97)*ElevCalc!$AA$91),NA())</f>
        <v/>
      </c>
      <c r="AE293" t="inlineStr">
        <is>
          <t>swing2</t>
        </is>
      </c>
      <c r="AF293">
        <f>IF(ElevCalc!$AF$73*(ElevCalc!$AF$93=2),(ElevCalc!$AF$92+(ElevCalc!$AF$104)*ElevCalc!$AF$91),NA())</f>
        <v/>
      </c>
      <c r="AG293">
        <f>IF(ElevCalc!$AF$73*(ElevCalc!$AF$93=2),((ElevCalc!$AF$97)*ElevCalc!$AF$91),NA())</f>
        <v/>
      </c>
    </row>
    <row r="295">
      <c r="A295" t="inlineStr">
        <is>
          <t>hng1_0</t>
        </is>
      </c>
      <c r="B295">
        <f>IF(ElevCalc!$B$73*ISNUMBER(ElevCalc!$B$46)*NOT(ElevCalc!$B$120),(ElevCalc!$B$92+(ElevCalc!$B$108)*ElevCalc!$B$91),NA())</f>
        <v/>
      </c>
      <c r="C295">
        <f>IF(ElevCalc!$B$73*ISNUMBER(ElevCalc!$B$46)*NOT(ElevCalc!$B$120),((ElevCalc!$B$90-ElevCalc!$B$46)*ElevCalc!$B$91),NA())</f>
        <v/>
      </c>
      <c r="F295" t="inlineStr">
        <is>
          <t>hng1_0</t>
        </is>
      </c>
      <c r="G295">
        <f>IF(ElevCalc!$G$73*ISNUMBER(ElevCalc!$G$46)*NOT(ElevCalc!$G$120),(ElevCalc!$G$92+(ElevCalc!$G$108)*ElevCalc!$G$91),NA())</f>
        <v/>
      </c>
      <c r="H295">
        <f>IF(ElevCalc!$G$73*ISNUMBER(ElevCalc!$G$46)*NOT(ElevCalc!$G$120),((ElevCalc!$G$90-ElevCalc!$G$46)*ElevCalc!$G$91),NA())</f>
        <v/>
      </c>
      <c r="K295" t="inlineStr">
        <is>
          <t>hng1_0</t>
        </is>
      </c>
      <c r="L295">
        <f>IF(ElevCalc!$L$73*ISNUMBER(ElevCalc!$L$46)*NOT(ElevCalc!$L$120),(ElevCalc!$L$92+(ElevCalc!$L$108)*ElevCalc!$L$91),NA())</f>
        <v/>
      </c>
      <c r="M295">
        <f>IF(ElevCalc!$L$73*ISNUMBER(ElevCalc!$L$46)*NOT(ElevCalc!$L$120),((ElevCalc!$L$90-ElevCalc!$L$46)*ElevCalc!$L$91),NA())</f>
        <v/>
      </c>
      <c r="P295" t="inlineStr">
        <is>
          <t>hng1_0</t>
        </is>
      </c>
      <c r="Q295">
        <f>IF(ElevCalc!$Q$73*ISNUMBER(ElevCalc!$Q$46)*NOT(ElevCalc!$Q$120),(ElevCalc!$Q$92+(ElevCalc!$Q$108)*ElevCalc!$Q$91),NA())</f>
        <v/>
      </c>
      <c r="R295">
        <f>IF(ElevCalc!$Q$73*ISNUMBER(ElevCalc!$Q$46)*NOT(ElevCalc!$Q$120),((ElevCalc!$Q$90-ElevCalc!$Q$46)*ElevCalc!$Q$91),NA())</f>
        <v/>
      </c>
      <c r="U295" t="inlineStr">
        <is>
          <t>hng1_0</t>
        </is>
      </c>
      <c r="V295">
        <f>IF(ElevCalc!$V$73*ISNUMBER(ElevCalc!$V$46)*NOT(ElevCalc!$V$120),(ElevCalc!$V$92+(ElevCalc!$V$108)*ElevCalc!$V$91),NA())</f>
        <v/>
      </c>
      <c r="W295">
        <f>IF(ElevCalc!$V$73*ISNUMBER(ElevCalc!$V$46)*NOT(ElevCalc!$V$120),((ElevCalc!$V$90-ElevCalc!$V$46)*ElevCalc!$V$91),NA())</f>
        <v/>
      </c>
      <c r="Z295" t="inlineStr">
        <is>
          <t>hng1_0</t>
        </is>
      </c>
      <c r="AA295">
        <f>IF(ElevCalc!$AA$73*ISNUMBER(ElevCalc!$AA$46)*NOT(ElevCalc!$AA$120),(ElevCalc!$AA$92+(ElevCalc!$AA$108)*ElevCalc!$AA$91),NA())</f>
        <v/>
      </c>
      <c r="AB295">
        <f>IF(ElevCalc!$AA$73*ISNUMBER(ElevCalc!$AA$46)*NOT(ElevCalc!$AA$120),((ElevCalc!$AA$90-ElevCalc!$AA$46)*ElevCalc!$AA$91),NA())</f>
        <v/>
      </c>
      <c r="AE295" t="inlineStr">
        <is>
          <t>hng1_0</t>
        </is>
      </c>
      <c r="AF295">
        <f>IF(ElevCalc!$AF$73*ISNUMBER(ElevCalc!$AF$46)*NOT(ElevCalc!$AF$120),(ElevCalc!$AF$92+(ElevCalc!$AF$108)*ElevCalc!$AF$91),NA())</f>
        <v/>
      </c>
      <c r="AG295">
        <f>IF(ElevCalc!$AF$73*ISNUMBER(ElevCalc!$AF$46)*NOT(ElevCalc!$AF$120),((ElevCalc!$AF$90-ElevCalc!$AF$46)*ElevCalc!$AF$91),NA())</f>
        <v/>
      </c>
    </row>
    <row r="296">
      <c r="A296" t="inlineStr">
        <is>
          <t>hng1_0</t>
        </is>
      </c>
      <c r="B296">
        <f>IF(ElevCalc!$B$73*ISNUMBER(ElevCalc!$B$46)*NOT(ElevCalc!$B$120),(ElevCalc!$B$92+(ElevCalc!$B$108)*ElevCalc!$B$91),NA())</f>
        <v/>
      </c>
      <c r="C296">
        <f>IF(ElevCalc!$B$73*ISNUMBER(ElevCalc!$B$46)*NOT(ElevCalc!$B$120),((ElevCalc!$B$90-ElevCalc!$B$46-ElevCalc!$B$121)*ElevCalc!$B$91),NA())</f>
        <v/>
      </c>
      <c r="F296" t="inlineStr">
        <is>
          <t>hng1_0</t>
        </is>
      </c>
      <c r="G296">
        <f>IF(ElevCalc!$G$73*ISNUMBER(ElevCalc!$G$46)*NOT(ElevCalc!$G$120),(ElevCalc!$G$92+(ElevCalc!$G$108)*ElevCalc!$G$91),NA())</f>
        <v/>
      </c>
      <c r="H296">
        <f>IF(ElevCalc!$G$73*ISNUMBER(ElevCalc!$G$46)*NOT(ElevCalc!$G$120),((ElevCalc!$G$90-ElevCalc!$G$46-ElevCalc!$G$121)*ElevCalc!$G$91),NA())</f>
        <v/>
      </c>
      <c r="K296" t="inlineStr">
        <is>
          <t>hng1_0</t>
        </is>
      </c>
      <c r="L296">
        <f>IF(ElevCalc!$L$73*ISNUMBER(ElevCalc!$L$46)*NOT(ElevCalc!$L$120),(ElevCalc!$L$92+(ElevCalc!$L$108)*ElevCalc!$L$91),NA())</f>
        <v/>
      </c>
      <c r="M296">
        <f>IF(ElevCalc!$L$73*ISNUMBER(ElevCalc!$L$46)*NOT(ElevCalc!$L$120),((ElevCalc!$L$90-ElevCalc!$L$46-ElevCalc!$L$121)*ElevCalc!$L$91),NA())</f>
        <v/>
      </c>
      <c r="P296" t="inlineStr">
        <is>
          <t>hng1_0</t>
        </is>
      </c>
      <c r="Q296">
        <f>IF(ElevCalc!$Q$73*ISNUMBER(ElevCalc!$Q$46)*NOT(ElevCalc!$Q$120),(ElevCalc!$Q$92+(ElevCalc!$Q$108)*ElevCalc!$Q$91),NA())</f>
        <v/>
      </c>
      <c r="R296">
        <f>IF(ElevCalc!$Q$73*ISNUMBER(ElevCalc!$Q$46)*NOT(ElevCalc!$Q$120),((ElevCalc!$Q$90-ElevCalc!$Q$46-ElevCalc!$Q$121)*ElevCalc!$Q$91),NA())</f>
        <v/>
      </c>
      <c r="U296" t="inlineStr">
        <is>
          <t>hng1_0</t>
        </is>
      </c>
      <c r="V296">
        <f>IF(ElevCalc!$V$73*ISNUMBER(ElevCalc!$V$46)*NOT(ElevCalc!$V$120),(ElevCalc!$V$92+(ElevCalc!$V$108)*ElevCalc!$V$91),NA())</f>
        <v/>
      </c>
      <c r="W296">
        <f>IF(ElevCalc!$V$73*ISNUMBER(ElevCalc!$V$46)*NOT(ElevCalc!$V$120),((ElevCalc!$V$90-ElevCalc!$V$46-ElevCalc!$V$121)*ElevCalc!$V$91),NA())</f>
        <v/>
      </c>
      <c r="Z296" t="inlineStr">
        <is>
          <t>hng1_0</t>
        </is>
      </c>
      <c r="AA296">
        <f>IF(ElevCalc!$AA$73*ISNUMBER(ElevCalc!$AA$46)*NOT(ElevCalc!$AA$120),(ElevCalc!$AA$92+(ElevCalc!$AA$108)*ElevCalc!$AA$91),NA())</f>
        <v/>
      </c>
      <c r="AB296">
        <f>IF(ElevCalc!$AA$73*ISNUMBER(ElevCalc!$AA$46)*NOT(ElevCalc!$AA$120),((ElevCalc!$AA$90-ElevCalc!$AA$46-ElevCalc!$AA$121)*ElevCalc!$AA$91),NA())</f>
        <v/>
      </c>
      <c r="AE296" t="inlineStr">
        <is>
          <t>hng1_0</t>
        </is>
      </c>
      <c r="AF296">
        <f>IF(ElevCalc!$AF$73*ISNUMBER(ElevCalc!$AF$46)*NOT(ElevCalc!$AF$120),(ElevCalc!$AF$92+(ElevCalc!$AF$108)*ElevCalc!$AF$91),NA())</f>
        <v/>
      </c>
      <c r="AG296">
        <f>IF(ElevCalc!$AF$73*ISNUMBER(ElevCalc!$AF$46)*NOT(ElevCalc!$AF$120),((ElevCalc!$AF$90-ElevCalc!$AF$46-ElevCalc!$AF$121)*ElevCalc!$AF$91),NA())</f>
        <v/>
      </c>
    </row>
    <row r="298">
      <c r="A298" t="inlineStr">
        <is>
          <t>hng2_0</t>
        </is>
      </c>
      <c r="B298">
        <f>IF(ElevCalc!$B$73*ISNUMBER(ElevCalc!$B$46)*NOT(ElevCalc!$B$120)*(ElevCalc!$B$96),(ElevCalc!$B$92+(ElevCalc!$B$88)*ElevCalc!$B$91),NA())</f>
        <v/>
      </c>
      <c r="C298">
        <f>IF(ElevCalc!$B$73*ISNUMBER(ElevCalc!$B$46)*NOT(ElevCalc!$B$120)*(ElevCalc!$B$96),((ElevCalc!$B$90-ElevCalc!$B$46)*ElevCalc!$B$91),NA())</f>
        <v/>
      </c>
      <c r="F298" t="inlineStr">
        <is>
          <t>hng2_0</t>
        </is>
      </c>
      <c r="G298">
        <f>IF(ElevCalc!$G$73*ISNUMBER(ElevCalc!$G$46)*NOT(ElevCalc!$G$120)*(ElevCalc!$G$96),(ElevCalc!$G$92+(ElevCalc!$G$88)*ElevCalc!$G$91),NA())</f>
        <v/>
      </c>
      <c r="H298">
        <f>IF(ElevCalc!$G$73*ISNUMBER(ElevCalc!$G$46)*NOT(ElevCalc!$G$120)*(ElevCalc!$G$96),((ElevCalc!$G$90-ElevCalc!$G$46)*ElevCalc!$G$91),NA())</f>
        <v/>
      </c>
      <c r="K298" t="inlineStr">
        <is>
          <t>hng2_0</t>
        </is>
      </c>
      <c r="L298">
        <f>IF(ElevCalc!$L$73*ISNUMBER(ElevCalc!$L$46)*NOT(ElevCalc!$L$120)*(ElevCalc!$L$96),(ElevCalc!$L$92+(ElevCalc!$L$88)*ElevCalc!$L$91),NA())</f>
        <v/>
      </c>
      <c r="M298">
        <f>IF(ElevCalc!$L$73*ISNUMBER(ElevCalc!$L$46)*NOT(ElevCalc!$L$120)*(ElevCalc!$L$96),((ElevCalc!$L$90-ElevCalc!$L$46)*ElevCalc!$L$91),NA())</f>
        <v/>
      </c>
      <c r="P298" t="inlineStr">
        <is>
          <t>hng2_0</t>
        </is>
      </c>
      <c r="Q298">
        <f>IF(ElevCalc!$Q$73*ISNUMBER(ElevCalc!$Q$46)*NOT(ElevCalc!$Q$120)*(ElevCalc!$Q$96),(ElevCalc!$Q$92+(ElevCalc!$Q$88)*ElevCalc!$Q$91),NA())</f>
        <v/>
      </c>
      <c r="R298">
        <f>IF(ElevCalc!$Q$73*ISNUMBER(ElevCalc!$Q$46)*NOT(ElevCalc!$Q$120)*(ElevCalc!$Q$96),((ElevCalc!$Q$90-ElevCalc!$Q$46)*ElevCalc!$Q$91),NA())</f>
        <v/>
      </c>
      <c r="U298" t="inlineStr">
        <is>
          <t>hng2_0</t>
        </is>
      </c>
      <c r="V298">
        <f>IF(ElevCalc!$V$73*ISNUMBER(ElevCalc!$V$46)*NOT(ElevCalc!$V$120)*(ElevCalc!$V$96),(ElevCalc!$V$92+(ElevCalc!$V$88)*ElevCalc!$V$91),NA())</f>
        <v/>
      </c>
      <c r="W298">
        <f>IF(ElevCalc!$V$73*ISNUMBER(ElevCalc!$V$46)*NOT(ElevCalc!$V$120)*(ElevCalc!$V$96),((ElevCalc!$V$90-ElevCalc!$V$46)*ElevCalc!$V$91),NA())</f>
        <v/>
      </c>
      <c r="Z298" t="inlineStr">
        <is>
          <t>hng2_0</t>
        </is>
      </c>
      <c r="AA298">
        <f>IF(ElevCalc!$AA$73*ISNUMBER(ElevCalc!$AA$46)*NOT(ElevCalc!$AA$120)*(ElevCalc!$AA$96),(ElevCalc!$AA$92+(ElevCalc!$AA$88)*ElevCalc!$AA$91),NA())</f>
        <v/>
      </c>
      <c r="AB298">
        <f>IF(ElevCalc!$AA$73*ISNUMBER(ElevCalc!$AA$46)*NOT(ElevCalc!$AA$120)*(ElevCalc!$AA$96),((ElevCalc!$AA$90-ElevCalc!$AA$46)*ElevCalc!$AA$91),NA())</f>
        <v/>
      </c>
      <c r="AE298" t="inlineStr">
        <is>
          <t>hng2_0</t>
        </is>
      </c>
      <c r="AF298">
        <f>IF(ElevCalc!$AF$73*ISNUMBER(ElevCalc!$AF$46)*NOT(ElevCalc!$AF$120)*(ElevCalc!$AF$96),(ElevCalc!$AF$92+(ElevCalc!$AF$88)*ElevCalc!$AF$91),NA())</f>
        <v/>
      </c>
      <c r="AG298">
        <f>IF(ElevCalc!$AF$73*ISNUMBER(ElevCalc!$AF$46)*NOT(ElevCalc!$AF$120)*(ElevCalc!$AF$96),((ElevCalc!$AF$90-ElevCalc!$AF$46)*ElevCalc!$AF$91),NA())</f>
        <v/>
      </c>
    </row>
    <row r="299">
      <c r="A299" t="inlineStr">
        <is>
          <t>hng2_0</t>
        </is>
      </c>
      <c r="B299">
        <f>IF(ElevCalc!$B$73*ISNUMBER(ElevCalc!$B$46)*NOT(ElevCalc!$B$120)*(ElevCalc!$B$96),(ElevCalc!$B$92+(ElevCalc!$B$88)*ElevCalc!$B$91),NA())</f>
        <v/>
      </c>
      <c r="C299">
        <f>IF(ElevCalc!$B$73*ISNUMBER(ElevCalc!$B$46)*NOT(ElevCalc!$B$120)*(ElevCalc!$B$96),((ElevCalc!$B$90-ElevCalc!$B$46-ElevCalc!$B$121)*ElevCalc!$B$91),NA())</f>
        <v/>
      </c>
      <c r="F299" t="inlineStr">
        <is>
          <t>hng2_0</t>
        </is>
      </c>
      <c r="G299">
        <f>IF(ElevCalc!$G$73*ISNUMBER(ElevCalc!$G$46)*NOT(ElevCalc!$G$120)*(ElevCalc!$G$96),(ElevCalc!$G$92+(ElevCalc!$G$88)*ElevCalc!$G$91),NA())</f>
        <v/>
      </c>
      <c r="H299">
        <f>IF(ElevCalc!$G$73*ISNUMBER(ElevCalc!$G$46)*NOT(ElevCalc!$G$120)*(ElevCalc!$G$96),((ElevCalc!$G$90-ElevCalc!$G$46-ElevCalc!$G$121)*ElevCalc!$G$91),NA())</f>
        <v/>
      </c>
      <c r="K299" t="inlineStr">
        <is>
          <t>hng2_0</t>
        </is>
      </c>
      <c r="L299">
        <f>IF(ElevCalc!$L$73*ISNUMBER(ElevCalc!$L$46)*NOT(ElevCalc!$L$120)*(ElevCalc!$L$96),(ElevCalc!$L$92+(ElevCalc!$L$88)*ElevCalc!$L$91),NA())</f>
        <v/>
      </c>
      <c r="M299">
        <f>IF(ElevCalc!$L$73*ISNUMBER(ElevCalc!$L$46)*NOT(ElevCalc!$L$120)*(ElevCalc!$L$96),((ElevCalc!$L$90-ElevCalc!$L$46-ElevCalc!$L$121)*ElevCalc!$L$91),NA())</f>
        <v/>
      </c>
      <c r="P299" t="inlineStr">
        <is>
          <t>hng2_0</t>
        </is>
      </c>
      <c r="Q299">
        <f>IF(ElevCalc!$Q$73*ISNUMBER(ElevCalc!$Q$46)*NOT(ElevCalc!$Q$120)*(ElevCalc!$Q$96),(ElevCalc!$Q$92+(ElevCalc!$Q$88)*ElevCalc!$Q$91),NA())</f>
        <v/>
      </c>
      <c r="R299">
        <f>IF(ElevCalc!$Q$73*ISNUMBER(ElevCalc!$Q$46)*NOT(ElevCalc!$Q$120)*(ElevCalc!$Q$96),((ElevCalc!$Q$90-ElevCalc!$Q$46-ElevCalc!$Q$121)*ElevCalc!$Q$91),NA())</f>
        <v/>
      </c>
      <c r="U299" t="inlineStr">
        <is>
          <t>hng2_0</t>
        </is>
      </c>
      <c r="V299">
        <f>IF(ElevCalc!$V$73*ISNUMBER(ElevCalc!$V$46)*NOT(ElevCalc!$V$120)*(ElevCalc!$V$96),(ElevCalc!$V$92+(ElevCalc!$V$88)*ElevCalc!$V$91),NA())</f>
        <v/>
      </c>
      <c r="W299">
        <f>IF(ElevCalc!$V$73*ISNUMBER(ElevCalc!$V$46)*NOT(ElevCalc!$V$120)*(ElevCalc!$V$96),((ElevCalc!$V$90-ElevCalc!$V$46-ElevCalc!$V$121)*ElevCalc!$V$91),NA())</f>
        <v/>
      </c>
      <c r="Z299" t="inlineStr">
        <is>
          <t>hng2_0</t>
        </is>
      </c>
      <c r="AA299">
        <f>IF(ElevCalc!$AA$73*ISNUMBER(ElevCalc!$AA$46)*NOT(ElevCalc!$AA$120)*(ElevCalc!$AA$96),(ElevCalc!$AA$92+(ElevCalc!$AA$88)*ElevCalc!$AA$91),NA())</f>
        <v/>
      </c>
      <c r="AB299">
        <f>IF(ElevCalc!$AA$73*ISNUMBER(ElevCalc!$AA$46)*NOT(ElevCalc!$AA$120)*(ElevCalc!$AA$96),((ElevCalc!$AA$90-ElevCalc!$AA$46-ElevCalc!$AA$121)*ElevCalc!$AA$91),NA())</f>
        <v/>
      </c>
      <c r="AE299" t="inlineStr">
        <is>
          <t>hng2_0</t>
        </is>
      </c>
      <c r="AF299">
        <f>IF(ElevCalc!$AF$73*ISNUMBER(ElevCalc!$AF$46)*NOT(ElevCalc!$AF$120)*(ElevCalc!$AF$96),(ElevCalc!$AF$92+(ElevCalc!$AF$88)*ElevCalc!$AF$91),NA())</f>
        <v/>
      </c>
      <c r="AG299">
        <f>IF(ElevCalc!$AF$73*ISNUMBER(ElevCalc!$AF$46)*NOT(ElevCalc!$AF$120)*(ElevCalc!$AF$96),((ElevCalc!$AF$90-ElevCalc!$AF$46-ElevCalc!$AF$121)*ElevCalc!$AF$91),NA())</f>
        <v/>
      </c>
    </row>
    <row r="301">
      <c r="A301" t="inlineStr">
        <is>
          <t>hlR0</t>
        </is>
      </c>
      <c r="B301">
        <f>IF(ElevCalc!$B$73*ISNUMBER(ElevCalc!$B$46)*NOT(ElevCalc!$B$120)*(ElevCalc!$B$105=1),(ElevCalc!$B$92+(ElevCalc!$B$108)*ElevCalc!$B$91),NA())</f>
        <v/>
      </c>
      <c r="C301">
        <f>IF(ElevCalc!$B$73*ISNUMBER(ElevCalc!$B$46)*NOT(ElevCalc!$B$120)*(ElevCalc!$B$105=1),((ElevCalc!$B$90-ElevCalc!$B$46-ElevCalc!$B$121/2)*ElevCalc!$B$91),NA())</f>
        <v/>
      </c>
      <c r="D301">
        <f>ElevCalc!$B$131</f>
        <v/>
      </c>
      <c r="F301" t="inlineStr">
        <is>
          <t>hlR0</t>
        </is>
      </c>
      <c r="G301">
        <f>IF(ElevCalc!$G$73*ISNUMBER(ElevCalc!$G$46)*NOT(ElevCalc!$G$120)*(ElevCalc!$G$105=1),(ElevCalc!$G$92+(ElevCalc!$G$108)*ElevCalc!$G$91),NA())</f>
        <v/>
      </c>
      <c r="H301">
        <f>IF(ElevCalc!$G$73*ISNUMBER(ElevCalc!$G$46)*NOT(ElevCalc!$G$120)*(ElevCalc!$G$105=1),((ElevCalc!$G$90-ElevCalc!$G$46-ElevCalc!$G$121/2)*ElevCalc!$G$91),NA())</f>
        <v/>
      </c>
      <c r="I301">
        <f>ElevCalc!$G$131</f>
        <v/>
      </c>
      <c r="K301" t="inlineStr">
        <is>
          <t>hlR0</t>
        </is>
      </c>
      <c r="L301">
        <f>IF(ElevCalc!$L$73*ISNUMBER(ElevCalc!$L$46)*NOT(ElevCalc!$L$120)*(ElevCalc!$L$105=1),(ElevCalc!$L$92+(ElevCalc!$L$108)*ElevCalc!$L$91),NA())</f>
        <v/>
      </c>
      <c r="M301">
        <f>IF(ElevCalc!$L$73*ISNUMBER(ElevCalc!$L$46)*NOT(ElevCalc!$L$120)*(ElevCalc!$L$105=1),((ElevCalc!$L$90-ElevCalc!$L$46-ElevCalc!$L$121/2)*ElevCalc!$L$91),NA())</f>
        <v/>
      </c>
      <c r="N301">
        <f>ElevCalc!$L$131</f>
        <v/>
      </c>
      <c r="P301" t="inlineStr">
        <is>
          <t>hlR0</t>
        </is>
      </c>
      <c r="Q301">
        <f>IF(ElevCalc!$Q$73*ISNUMBER(ElevCalc!$Q$46)*NOT(ElevCalc!$Q$120)*(ElevCalc!$Q$105=1),(ElevCalc!$Q$92+(ElevCalc!$Q$108)*ElevCalc!$Q$91),NA())</f>
        <v/>
      </c>
      <c r="R301">
        <f>IF(ElevCalc!$Q$73*ISNUMBER(ElevCalc!$Q$46)*NOT(ElevCalc!$Q$120)*(ElevCalc!$Q$105=1),((ElevCalc!$Q$90-ElevCalc!$Q$46-ElevCalc!$Q$121/2)*ElevCalc!$Q$91),NA())</f>
        <v/>
      </c>
      <c r="S301">
        <f>ElevCalc!$Q$131</f>
        <v/>
      </c>
      <c r="U301" t="inlineStr">
        <is>
          <t>hlR0</t>
        </is>
      </c>
      <c r="V301">
        <f>IF(ElevCalc!$V$73*ISNUMBER(ElevCalc!$V$46)*NOT(ElevCalc!$V$120)*(ElevCalc!$V$105=1),(ElevCalc!$V$92+(ElevCalc!$V$108)*ElevCalc!$V$91),NA())</f>
        <v/>
      </c>
      <c r="W301">
        <f>IF(ElevCalc!$V$73*ISNUMBER(ElevCalc!$V$46)*NOT(ElevCalc!$V$120)*(ElevCalc!$V$105=1),((ElevCalc!$V$90-ElevCalc!$V$46-ElevCalc!$V$121/2)*ElevCalc!$V$91),NA())</f>
        <v/>
      </c>
      <c r="X301">
        <f>ElevCalc!$V$131</f>
        <v/>
      </c>
      <c r="Z301" t="inlineStr">
        <is>
          <t>hlR0</t>
        </is>
      </c>
      <c r="AA301">
        <f>IF(ElevCalc!$AA$73*ISNUMBER(ElevCalc!$AA$46)*NOT(ElevCalc!$AA$120)*(ElevCalc!$AA$105=1),(ElevCalc!$AA$92+(ElevCalc!$AA$108)*ElevCalc!$AA$91),NA())</f>
        <v/>
      </c>
      <c r="AB301">
        <f>IF(ElevCalc!$AA$73*ISNUMBER(ElevCalc!$AA$46)*NOT(ElevCalc!$AA$120)*(ElevCalc!$AA$105=1),((ElevCalc!$AA$90-ElevCalc!$AA$46-ElevCalc!$AA$121/2)*ElevCalc!$AA$91),NA())</f>
        <v/>
      </c>
      <c r="AC301">
        <f>ElevCalc!$AA$131</f>
        <v/>
      </c>
      <c r="AE301" t="inlineStr">
        <is>
          <t>hlR0</t>
        </is>
      </c>
      <c r="AF301">
        <f>IF(ElevCalc!$AF$73*ISNUMBER(ElevCalc!$AF$46)*NOT(ElevCalc!$AF$120)*(ElevCalc!$AF$105=1),(ElevCalc!$AF$92+(ElevCalc!$AF$108)*ElevCalc!$AF$91),NA())</f>
        <v/>
      </c>
      <c r="AG301">
        <f>IF(ElevCalc!$AF$73*ISNUMBER(ElevCalc!$AF$46)*NOT(ElevCalc!$AF$120)*(ElevCalc!$AF$105=1),((ElevCalc!$AF$90-ElevCalc!$AF$46-ElevCalc!$AF$121/2)*ElevCalc!$AF$91),NA())</f>
        <v/>
      </c>
      <c r="AH301">
        <f>ElevCalc!$AF$131</f>
        <v/>
      </c>
    </row>
    <row r="303">
      <c r="A303" t="inlineStr">
        <is>
          <t>hlL0</t>
        </is>
      </c>
      <c r="B303">
        <f>IF(ElevCalc!$B$73*ISNUMBER(ElevCalc!$B$46)*NOT(ElevCalc!$B$120)*(ElevCalc!$B$105=0),(ElevCalc!$B$92+(ElevCalc!$B$108)*ElevCalc!$B$91),NA())</f>
        <v/>
      </c>
      <c r="C303">
        <f>IF(ElevCalc!$B$73*ISNUMBER(ElevCalc!$B$46)*NOT(ElevCalc!$B$120)*(ElevCalc!$B$105=0),((ElevCalc!$B$90-ElevCalc!$B$46-ElevCalc!$B$121/2)*ElevCalc!$B$91),NA())</f>
        <v/>
      </c>
      <c r="D303">
        <f>ElevCalc!$B$131</f>
        <v/>
      </c>
      <c r="F303" t="inlineStr">
        <is>
          <t>hlL0</t>
        </is>
      </c>
      <c r="G303">
        <f>IF(ElevCalc!$G$73*ISNUMBER(ElevCalc!$G$46)*NOT(ElevCalc!$G$120)*(ElevCalc!$G$105=0),(ElevCalc!$G$92+(ElevCalc!$G$108)*ElevCalc!$G$91),NA())</f>
        <v/>
      </c>
      <c r="H303">
        <f>IF(ElevCalc!$G$73*ISNUMBER(ElevCalc!$G$46)*NOT(ElevCalc!$G$120)*(ElevCalc!$G$105=0),((ElevCalc!$G$90-ElevCalc!$G$46-ElevCalc!$G$121/2)*ElevCalc!$G$91),NA())</f>
        <v/>
      </c>
      <c r="I303">
        <f>ElevCalc!$G$131</f>
        <v/>
      </c>
      <c r="K303" t="inlineStr">
        <is>
          <t>hlL0</t>
        </is>
      </c>
      <c r="L303">
        <f>IF(ElevCalc!$L$73*ISNUMBER(ElevCalc!$L$46)*NOT(ElevCalc!$L$120)*(ElevCalc!$L$105=0),(ElevCalc!$L$92+(ElevCalc!$L$108)*ElevCalc!$L$91),NA())</f>
        <v/>
      </c>
      <c r="M303">
        <f>IF(ElevCalc!$L$73*ISNUMBER(ElevCalc!$L$46)*NOT(ElevCalc!$L$120)*(ElevCalc!$L$105=0),((ElevCalc!$L$90-ElevCalc!$L$46-ElevCalc!$L$121/2)*ElevCalc!$L$91),NA())</f>
        <v/>
      </c>
      <c r="N303">
        <f>ElevCalc!$L$131</f>
        <v/>
      </c>
      <c r="P303" t="inlineStr">
        <is>
          <t>hlL0</t>
        </is>
      </c>
      <c r="Q303">
        <f>IF(ElevCalc!$Q$73*ISNUMBER(ElevCalc!$Q$46)*NOT(ElevCalc!$Q$120)*(ElevCalc!$Q$105=0),(ElevCalc!$Q$92+(ElevCalc!$Q$108)*ElevCalc!$Q$91),NA())</f>
        <v/>
      </c>
      <c r="R303">
        <f>IF(ElevCalc!$Q$73*ISNUMBER(ElevCalc!$Q$46)*NOT(ElevCalc!$Q$120)*(ElevCalc!$Q$105=0),((ElevCalc!$Q$90-ElevCalc!$Q$46-ElevCalc!$Q$121/2)*ElevCalc!$Q$91),NA())</f>
        <v/>
      </c>
      <c r="S303">
        <f>ElevCalc!$Q$131</f>
        <v/>
      </c>
      <c r="U303" t="inlineStr">
        <is>
          <t>hlL0</t>
        </is>
      </c>
      <c r="V303">
        <f>IF(ElevCalc!$V$73*ISNUMBER(ElevCalc!$V$46)*NOT(ElevCalc!$V$120)*(ElevCalc!$V$105=0),(ElevCalc!$V$92+(ElevCalc!$V$108)*ElevCalc!$V$91),NA())</f>
        <v/>
      </c>
      <c r="W303">
        <f>IF(ElevCalc!$V$73*ISNUMBER(ElevCalc!$V$46)*NOT(ElevCalc!$V$120)*(ElevCalc!$V$105=0),((ElevCalc!$V$90-ElevCalc!$V$46-ElevCalc!$V$121/2)*ElevCalc!$V$91),NA())</f>
        <v/>
      </c>
      <c r="X303">
        <f>ElevCalc!$V$131</f>
        <v/>
      </c>
      <c r="Z303" t="inlineStr">
        <is>
          <t>hlL0</t>
        </is>
      </c>
      <c r="AA303">
        <f>IF(ElevCalc!$AA$73*ISNUMBER(ElevCalc!$AA$46)*NOT(ElevCalc!$AA$120)*(ElevCalc!$AA$105=0),(ElevCalc!$AA$92+(ElevCalc!$AA$108)*ElevCalc!$AA$91),NA())</f>
        <v/>
      </c>
      <c r="AB303">
        <f>IF(ElevCalc!$AA$73*ISNUMBER(ElevCalc!$AA$46)*NOT(ElevCalc!$AA$120)*(ElevCalc!$AA$105=0),((ElevCalc!$AA$90-ElevCalc!$AA$46-ElevCalc!$AA$121/2)*ElevCalc!$AA$91),NA())</f>
        <v/>
      </c>
      <c r="AC303">
        <f>ElevCalc!$AA$131</f>
        <v/>
      </c>
      <c r="AE303" t="inlineStr">
        <is>
          <t>hlL0</t>
        </is>
      </c>
      <c r="AF303">
        <f>IF(ElevCalc!$AF$73*ISNUMBER(ElevCalc!$AF$46)*NOT(ElevCalc!$AF$120)*(ElevCalc!$AF$105=0),(ElevCalc!$AF$92+(ElevCalc!$AF$108)*ElevCalc!$AF$91),NA())</f>
        <v/>
      </c>
      <c r="AG303">
        <f>IF(ElevCalc!$AF$73*ISNUMBER(ElevCalc!$AF$46)*NOT(ElevCalc!$AF$120)*(ElevCalc!$AF$105=0),((ElevCalc!$AF$90-ElevCalc!$AF$46-ElevCalc!$AF$121/2)*ElevCalc!$AF$91),NA())</f>
        <v/>
      </c>
      <c r="AH303">
        <f>ElevCalc!$AF$131</f>
        <v/>
      </c>
    </row>
    <row r="305">
      <c r="A305" t="inlineStr">
        <is>
          <t>hng1_1</t>
        </is>
      </c>
      <c r="B305">
        <f>IF(ElevCalc!$B$73*ISNUMBER(ElevCalc!$B$47)*NOT(ElevCalc!$B$120),(ElevCalc!$B$92+(ElevCalc!$B$108)*ElevCalc!$B$91),NA())</f>
        <v/>
      </c>
      <c r="C305">
        <f>IF(ElevCalc!$B$73*ISNUMBER(ElevCalc!$B$47)*NOT(ElevCalc!$B$120),((ElevCalc!$B$90-ElevCalc!$B$47)*ElevCalc!$B$91),NA())</f>
        <v/>
      </c>
      <c r="F305" t="inlineStr">
        <is>
          <t>hng1_1</t>
        </is>
      </c>
      <c r="G305">
        <f>IF(ElevCalc!$G$73*ISNUMBER(ElevCalc!$G$47)*NOT(ElevCalc!$G$120),(ElevCalc!$G$92+(ElevCalc!$G$108)*ElevCalc!$G$91),NA())</f>
        <v/>
      </c>
      <c r="H305">
        <f>IF(ElevCalc!$G$73*ISNUMBER(ElevCalc!$G$47)*NOT(ElevCalc!$G$120),((ElevCalc!$G$90-ElevCalc!$G$47)*ElevCalc!$G$91),NA())</f>
        <v/>
      </c>
      <c r="K305" t="inlineStr">
        <is>
          <t>hng1_1</t>
        </is>
      </c>
      <c r="L305">
        <f>IF(ElevCalc!$L$73*ISNUMBER(ElevCalc!$L$47)*NOT(ElevCalc!$L$120),(ElevCalc!$L$92+(ElevCalc!$L$108)*ElevCalc!$L$91),NA())</f>
        <v/>
      </c>
      <c r="M305">
        <f>IF(ElevCalc!$L$73*ISNUMBER(ElevCalc!$L$47)*NOT(ElevCalc!$L$120),((ElevCalc!$L$90-ElevCalc!$L$47)*ElevCalc!$L$91),NA())</f>
        <v/>
      </c>
      <c r="P305" t="inlineStr">
        <is>
          <t>hng1_1</t>
        </is>
      </c>
      <c r="Q305">
        <f>IF(ElevCalc!$Q$73*ISNUMBER(ElevCalc!$Q$47)*NOT(ElevCalc!$Q$120),(ElevCalc!$Q$92+(ElevCalc!$Q$108)*ElevCalc!$Q$91),NA())</f>
        <v/>
      </c>
      <c r="R305">
        <f>IF(ElevCalc!$Q$73*ISNUMBER(ElevCalc!$Q$47)*NOT(ElevCalc!$Q$120),((ElevCalc!$Q$90-ElevCalc!$Q$47)*ElevCalc!$Q$91),NA())</f>
        <v/>
      </c>
      <c r="U305" t="inlineStr">
        <is>
          <t>hng1_1</t>
        </is>
      </c>
      <c r="V305">
        <f>IF(ElevCalc!$V$73*ISNUMBER(ElevCalc!$V$47)*NOT(ElevCalc!$V$120),(ElevCalc!$V$92+(ElevCalc!$V$108)*ElevCalc!$V$91),NA())</f>
        <v/>
      </c>
      <c r="W305">
        <f>IF(ElevCalc!$V$73*ISNUMBER(ElevCalc!$V$47)*NOT(ElevCalc!$V$120),((ElevCalc!$V$90-ElevCalc!$V$47)*ElevCalc!$V$91),NA())</f>
        <v/>
      </c>
      <c r="Z305" t="inlineStr">
        <is>
          <t>hng1_1</t>
        </is>
      </c>
      <c r="AA305">
        <f>IF(ElevCalc!$AA$73*ISNUMBER(ElevCalc!$AA$47)*NOT(ElevCalc!$AA$120),(ElevCalc!$AA$92+(ElevCalc!$AA$108)*ElevCalc!$AA$91),NA())</f>
        <v/>
      </c>
      <c r="AB305">
        <f>IF(ElevCalc!$AA$73*ISNUMBER(ElevCalc!$AA$47)*NOT(ElevCalc!$AA$120),((ElevCalc!$AA$90-ElevCalc!$AA$47)*ElevCalc!$AA$91),NA())</f>
        <v/>
      </c>
      <c r="AE305" t="inlineStr">
        <is>
          <t>hng1_1</t>
        </is>
      </c>
      <c r="AF305">
        <f>IF(ElevCalc!$AF$73*ISNUMBER(ElevCalc!$AF$47)*NOT(ElevCalc!$AF$120),(ElevCalc!$AF$92+(ElevCalc!$AF$108)*ElevCalc!$AF$91),NA())</f>
        <v/>
      </c>
      <c r="AG305">
        <f>IF(ElevCalc!$AF$73*ISNUMBER(ElevCalc!$AF$47)*NOT(ElevCalc!$AF$120),((ElevCalc!$AF$90-ElevCalc!$AF$47)*ElevCalc!$AF$91),NA())</f>
        <v/>
      </c>
    </row>
    <row r="306">
      <c r="A306" t="inlineStr">
        <is>
          <t>hng1_1</t>
        </is>
      </c>
      <c r="B306">
        <f>IF(ElevCalc!$B$73*ISNUMBER(ElevCalc!$B$47)*NOT(ElevCalc!$B$120),(ElevCalc!$B$92+(ElevCalc!$B$108)*ElevCalc!$B$91),NA())</f>
        <v/>
      </c>
      <c r="C306">
        <f>IF(ElevCalc!$B$73*ISNUMBER(ElevCalc!$B$47)*NOT(ElevCalc!$B$120),((ElevCalc!$B$90-ElevCalc!$B$47-ElevCalc!$B$121)*ElevCalc!$B$91),NA())</f>
        <v/>
      </c>
      <c r="F306" t="inlineStr">
        <is>
          <t>hng1_1</t>
        </is>
      </c>
      <c r="G306">
        <f>IF(ElevCalc!$G$73*ISNUMBER(ElevCalc!$G$47)*NOT(ElevCalc!$G$120),(ElevCalc!$G$92+(ElevCalc!$G$108)*ElevCalc!$G$91),NA())</f>
        <v/>
      </c>
      <c r="H306">
        <f>IF(ElevCalc!$G$73*ISNUMBER(ElevCalc!$G$47)*NOT(ElevCalc!$G$120),((ElevCalc!$G$90-ElevCalc!$G$47-ElevCalc!$G$121)*ElevCalc!$G$91),NA())</f>
        <v/>
      </c>
      <c r="K306" t="inlineStr">
        <is>
          <t>hng1_1</t>
        </is>
      </c>
      <c r="L306">
        <f>IF(ElevCalc!$L$73*ISNUMBER(ElevCalc!$L$47)*NOT(ElevCalc!$L$120),(ElevCalc!$L$92+(ElevCalc!$L$108)*ElevCalc!$L$91),NA())</f>
        <v/>
      </c>
      <c r="M306">
        <f>IF(ElevCalc!$L$73*ISNUMBER(ElevCalc!$L$47)*NOT(ElevCalc!$L$120),((ElevCalc!$L$90-ElevCalc!$L$47-ElevCalc!$L$121)*ElevCalc!$L$91),NA())</f>
        <v/>
      </c>
      <c r="P306" t="inlineStr">
        <is>
          <t>hng1_1</t>
        </is>
      </c>
      <c r="Q306">
        <f>IF(ElevCalc!$Q$73*ISNUMBER(ElevCalc!$Q$47)*NOT(ElevCalc!$Q$120),(ElevCalc!$Q$92+(ElevCalc!$Q$108)*ElevCalc!$Q$91),NA())</f>
        <v/>
      </c>
      <c r="R306">
        <f>IF(ElevCalc!$Q$73*ISNUMBER(ElevCalc!$Q$47)*NOT(ElevCalc!$Q$120),((ElevCalc!$Q$90-ElevCalc!$Q$47-ElevCalc!$Q$121)*ElevCalc!$Q$91),NA())</f>
        <v/>
      </c>
      <c r="U306" t="inlineStr">
        <is>
          <t>hng1_1</t>
        </is>
      </c>
      <c r="V306">
        <f>IF(ElevCalc!$V$73*ISNUMBER(ElevCalc!$V$47)*NOT(ElevCalc!$V$120),(ElevCalc!$V$92+(ElevCalc!$V$108)*ElevCalc!$V$91),NA())</f>
        <v/>
      </c>
      <c r="W306">
        <f>IF(ElevCalc!$V$73*ISNUMBER(ElevCalc!$V$47)*NOT(ElevCalc!$V$120),((ElevCalc!$V$90-ElevCalc!$V$47-ElevCalc!$V$121)*ElevCalc!$V$91),NA())</f>
        <v/>
      </c>
      <c r="Z306" t="inlineStr">
        <is>
          <t>hng1_1</t>
        </is>
      </c>
      <c r="AA306">
        <f>IF(ElevCalc!$AA$73*ISNUMBER(ElevCalc!$AA$47)*NOT(ElevCalc!$AA$120),(ElevCalc!$AA$92+(ElevCalc!$AA$108)*ElevCalc!$AA$91),NA())</f>
        <v/>
      </c>
      <c r="AB306">
        <f>IF(ElevCalc!$AA$73*ISNUMBER(ElevCalc!$AA$47)*NOT(ElevCalc!$AA$120),((ElevCalc!$AA$90-ElevCalc!$AA$47-ElevCalc!$AA$121)*ElevCalc!$AA$91),NA())</f>
        <v/>
      </c>
      <c r="AE306" t="inlineStr">
        <is>
          <t>hng1_1</t>
        </is>
      </c>
      <c r="AF306">
        <f>IF(ElevCalc!$AF$73*ISNUMBER(ElevCalc!$AF$47)*NOT(ElevCalc!$AF$120),(ElevCalc!$AF$92+(ElevCalc!$AF$108)*ElevCalc!$AF$91),NA())</f>
        <v/>
      </c>
      <c r="AG306">
        <f>IF(ElevCalc!$AF$73*ISNUMBER(ElevCalc!$AF$47)*NOT(ElevCalc!$AF$120),((ElevCalc!$AF$90-ElevCalc!$AF$47-ElevCalc!$AF$121)*ElevCalc!$AF$91),NA())</f>
        <v/>
      </c>
    </row>
    <row r="308">
      <c r="A308" t="inlineStr">
        <is>
          <t>hng2_1</t>
        </is>
      </c>
      <c r="B308">
        <f>IF(ElevCalc!$B$73*ISNUMBER(ElevCalc!$B$47)*NOT(ElevCalc!$B$120)*(ElevCalc!$B$96),(ElevCalc!$B$92+(ElevCalc!$B$88)*ElevCalc!$B$91),NA())</f>
        <v/>
      </c>
      <c r="C308">
        <f>IF(ElevCalc!$B$73*ISNUMBER(ElevCalc!$B$47)*NOT(ElevCalc!$B$120)*(ElevCalc!$B$96),((ElevCalc!$B$90-ElevCalc!$B$47)*ElevCalc!$B$91),NA())</f>
        <v/>
      </c>
      <c r="F308" t="inlineStr">
        <is>
          <t>hng2_1</t>
        </is>
      </c>
      <c r="G308">
        <f>IF(ElevCalc!$G$73*ISNUMBER(ElevCalc!$G$47)*NOT(ElevCalc!$G$120)*(ElevCalc!$G$96),(ElevCalc!$G$92+(ElevCalc!$G$88)*ElevCalc!$G$91),NA())</f>
        <v/>
      </c>
      <c r="H308">
        <f>IF(ElevCalc!$G$73*ISNUMBER(ElevCalc!$G$47)*NOT(ElevCalc!$G$120)*(ElevCalc!$G$96),((ElevCalc!$G$90-ElevCalc!$G$47)*ElevCalc!$G$91),NA())</f>
        <v/>
      </c>
      <c r="K308" t="inlineStr">
        <is>
          <t>hng2_1</t>
        </is>
      </c>
      <c r="L308">
        <f>IF(ElevCalc!$L$73*ISNUMBER(ElevCalc!$L$47)*NOT(ElevCalc!$L$120)*(ElevCalc!$L$96),(ElevCalc!$L$92+(ElevCalc!$L$88)*ElevCalc!$L$91),NA())</f>
        <v/>
      </c>
      <c r="M308">
        <f>IF(ElevCalc!$L$73*ISNUMBER(ElevCalc!$L$47)*NOT(ElevCalc!$L$120)*(ElevCalc!$L$96),((ElevCalc!$L$90-ElevCalc!$L$47)*ElevCalc!$L$91),NA())</f>
        <v/>
      </c>
      <c r="P308" t="inlineStr">
        <is>
          <t>hng2_1</t>
        </is>
      </c>
      <c r="Q308">
        <f>IF(ElevCalc!$Q$73*ISNUMBER(ElevCalc!$Q$47)*NOT(ElevCalc!$Q$120)*(ElevCalc!$Q$96),(ElevCalc!$Q$92+(ElevCalc!$Q$88)*ElevCalc!$Q$91),NA())</f>
        <v/>
      </c>
      <c r="R308">
        <f>IF(ElevCalc!$Q$73*ISNUMBER(ElevCalc!$Q$47)*NOT(ElevCalc!$Q$120)*(ElevCalc!$Q$96),((ElevCalc!$Q$90-ElevCalc!$Q$47)*ElevCalc!$Q$91),NA())</f>
        <v/>
      </c>
      <c r="U308" t="inlineStr">
        <is>
          <t>hng2_1</t>
        </is>
      </c>
      <c r="V308">
        <f>IF(ElevCalc!$V$73*ISNUMBER(ElevCalc!$V$47)*NOT(ElevCalc!$V$120)*(ElevCalc!$V$96),(ElevCalc!$V$92+(ElevCalc!$V$88)*ElevCalc!$V$91),NA())</f>
        <v/>
      </c>
      <c r="W308">
        <f>IF(ElevCalc!$V$73*ISNUMBER(ElevCalc!$V$47)*NOT(ElevCalc!$V$120)*(ElevCalc!$V$96),((ElevCalc!$V$90-ElevCalc!$V$47)*ElevCalc!$V$91),NA())</f>
        <v/>
      </c>
      <c r="Z308" t="inlineStr">
        <is>
          <t>hng2_1</t>
        </is>
      </c>
      <c r="AA308">
        <f>IF(ElevCalc!$AA$73*ISNUMBER(ElevCalc!$AA$47)*NOT(ElevCalc!$AA$120)*(ElevCalc!$AA$96),(ElevCalc!$AA$92+(ElevCalc!$AA$88)*ElevCalc!$AA$91),NA())</f>
        <v/>
      </c>
      <c r="AB308">
        <f>IF(ElevCalc!$AA$73*ISNUMBER(ElevCalc!$AA$47)*NOT(ElevCalc!$AA$120)*(ElevCalc!$AA$96),((ElevCalc!$AA$90-ElevCalc!$AA$47)*ElevCalc!$AA$91),NA())</f>
        <v/>
      </c>
      <c r="AE308" t="inlineStr">
        <is>
          <t>hng2_1</t>
        </is>
      </c>
      <c r="AF308">
        <f>IF(ElevCalc!$AF$73*ISNUMBER(ElevCalc!$AF$47)*NOT(ElevCalc!$AF$120)*(ElevCalc!$AF$96),(ElevCalc!$AF$92+(ElevCalc!$AF$88)*ElevCalc!$AF$91),NA())</f>
        <v/>
      </c>
      <c r="AG308">
        <f>IF(ElevCalc!$AF$73*ISNUMBER(ElevCalc!$AF$47)*NOT(ElevCalc!$AF$120)*(ElevCalc!$AF$96),((ElevCalc!$AF$90-ElevCalc!$AF$47)*ElevCalc!$AF$91),NA())</f>
        <v/>
      </c>
    </row>
    <row r="309">
      <c r="A309" t="inlineStr">
        <is>
          <t>hng2_1</t>
        </is>
      </c>
      <c r="B309">
        <f>IF(ElevCalc!$B$73*ISNUMBER(ElevCalc!$B$47)*NOT(ElevCalc!$B$120)*(ElevCalc!$B$96),(ElevCalc!$B$92+(ElevCalc!$B$88)*ElevCalc!$B$91),NA())</f>
        <v/>
      </c>
      <c r="C309">
        <f>IF(ElevCalc!$B$73*ISNUMBER(ElevCalc!$B$47)*NOT(ElevCalc!$B$120)*(ElevCalc!$B$96),((ElevCalc!$B$90-ElevCalc!$B$47-ElevCalc!$B$121)*ElevCalc!$B$91),NA())</f>
        <v/>
      </c>
      <c r="F309" t="inlineStr">
        <is>
          <t>hng2_1</t>
        </is>
      </c>
      <c r="G309">
        <f>IF(ElevCalc!$G$73*ISNUMBER(ElevCalc!$G$47)*NOT(ElevCalc!$G$120)*(ElevCalc!$G$96),(ElevCalc!$G$92+(ElevCalc!$G$88)*ElevCalc!$G$91),NA())</f>
        <v/>
      </c>
      <c r="H309">
        <f>IF(ElevCalc!$G$73*ISNUMBER(ElevCalc!$G$47)*NOT(ElevCalc!$G$120)*(ElevCalc!$G$96),((ElevCalc!$G$90-ElevCalc!$G$47-ElevCalc!$G$121)*ElevCalc!$G$91),NA())</f>
        <v/>
      </c>
      <c r="K309" t="inlineStr">
        <is>
          <t>hng2_1</t>
        </is>
      </c>
      <c r="L309">
        <f>IF(ElevCalc!$L$73*ISNUMBER(ElevCalc!$L$47)*NOT(ElevCalc!$L$120)*(ElevCalc!$L$96),(ElevCalc!$L$92+(ElevCalc!$L$88)*ElevCalc!$L$91),NA())</f>
        <v/>
      </c>
      <c r="M309">
        <f>IF(ElevCalc!$L$73*ISNUMBER(ElevCalc!$L$47)*NOT(ElevCalc!$L$120)*(ElevCalc!$L$96),((ElevCalc!$L$90-ElevCalc!$L$47-ElevCalc!$L$121)*ElevCalc!$L$91),NA())</f>
        <v/>
      </c>
      <c r="P309" t="inlineStr">
        <is>
          <t>hng2_1</t>
        </is>
      </c>
      <c r="Q309">
        <f>IF(ElevCalc!$Q$73*ISNUMBER(ElevCalc!$Q$47)*NOT(ElevCalc!$Q$120)*(ElevCalc!$Q$96),(ElevCalc!$Q$92+(ElevCalc!$Q$88)*ElevCalc!$Q$91),NA())</f>
        <v/>
      </c>
      <c r="R309">
        <f>IF(ElevCalc!$Q$73*ISNUMBER(ElevCalc!$Q$47)*NOT(ElevCalc!$Q$120)*(ElevCalc!$Q$96),((ElevCalc!$Q$90-ElevCalc!$Q$47-ElevCalc!$Q$121)*ElevCalc!$Q$91),NA())</f>
        <v/>
      </c>
      <c r="U309" t="inlineStr">
        <is>
          <t>hng2_1</t>
        </is>
      </c>
      <c r="V309">
        <f>IF(ElevCalc!$V$73*ISNUMBER(ElevCalc!$V$47)*NOT(ElevCalc!$V$120)*(ElevCalc!$V$96),(ElevCalc!$V$92+(ElevCalc!$V$88)*ElevCalc!$V$91),NA())</f>
        <v/>
      </c>
      <c r="W309">
        <f>IF(ElevCalc!$V$73*ISNUMBER(ElevCalc!$V$47)*NOT(ElevCalc!$V$120)*(ElevCalc!$V$96),((ElevCalc!$V$90-ElevCalc!$V$47-ElevCalc!$V$121)*ElevCalc!$V$91),NA())</f>
        <v/>
      </c>
      <c r="Z309" t="inlineStr">
        <is>
          <t>hng2_1</t>
        </is>
      </c>
      <c r="AA309">
        <f>IF(ElevCalc!$AA$73*ISNUMBER(ElevCalc!$AA$47)*NOT(ElevCalc!$AA$120)*(ElevCalc!$AA$96),(ElevCalc!$AA$92+(ElevCalc!$AA$88)*ElevCalc!$AA$91),NA())</f>
        <v/>
      </c>
      <c r="AB309">
        <f>IF(ElevCalc!$AA$73*ISNUMBER(ElevCalc!$AA$47)*NOT(ElevCalc!$AA$120)*(ElevCalc!$AA$96),((ElevCalc!$AA$90-ElevCalc!$AA$47-ElevCalc!$AA$121)*ElevCalc!$AA$91),NA())</f>
        <v/>
      </c>
      <c r="AE309" t="inlineStr">
        <is>
          <t>hng2_1</t>
        </is>
      </c>
      <c r="AF309">
        <f>IF(ElevCalc!$AF$73*ISNUMBER(ElevCalc!$AF$47)*NOT(ElevCalc!$AF$120)*(ElevCalc!$AF$96),(ElevCalc!$AF$92+(ElevCalc!$AF$88)*ElevCalc!$AF$91),NA())</f>
        <v/>
      </c>
      <c r="AG309">
        <f>IF(ElevCalc!$AF$73*ISNUMBER(ElevCalc!$AF$47)*NOT(ElevCalc!$AF$120)*(ElevCalc!$AF$96),((ElevCalc!$AF$90-ElevCalc!$AF$47-ElevCalc!$AF$121)*ElevCalc!$AF$91),NA())</f>
        <v/>
      </c>
    </row>
    <row r="311">
      <c r="A311" t="inlineStr">
        <is>
          <t>hlR1</t>
        </is>
      </c>
      <c r="B311">
        <f>IF(ElevCalc!$B$73*ISNUMBER(ElevCalc!$B$47)*NOT(ElevCalc!$B$120)*(ElevCalc!$B$105=1),(ElevCalc!$B$92+(ElevCalc!$B$108)*ElevCalc!$B$91),NA())</f>
        <v/>
      </c>
      <c r="C311">
        <f>IF(ElevCalc!$B$73*ISNUMBER(ElevCalc!$B$47)*NOT(ElevCalc!$B$120)*(ElevCalc!$B$105=1),((ElevCalc!$B$90-ElevCalc!$B$47-ElevCalc!$B$121/2)*ElevCalc!$B$91),NA())</f>
        <v/>
      </c>
      <c r="D311">
        <f>ElevCalc!$B$132</f>
        <v/>
      </c>
      <c r="F311" t="inlineStr">
        <is>
          <t>hlR1</t>
        </is>
      </c>
      <c r="G311">
        <f>IF(ElevCalc!$G$73*ISNUMBER(ElevCalc!$G$47)*NOT(ElevCalc!$G$120)*(ElevCalc!$G$105=1),(ElevCalc!$G$92+(ElevCalc!$G$108)*ElevCalc!$G$91),NA())</f>
        <v/>
      </c>
      <c r="H311">
        <f>IF(ElevCalc!$G$73*ISNUMBER(ElevCalc!$G$47)*NOT(ElevCalc!$G$120)*(ElevCalc!$G$105=1),((ElevCalc!$G$90-ElevCalc!$G$47-ElevCalc!$G$121/2)*ElevCalc!$G$91),NA())</f>
        <v/>
      </c>
      <c r="I311">
        <f>ElevCalc!$G$132</f>
        <v/>
      </c>
      <c r="K311" t="inlineStr">
        <is>
          <t>hlR1</t>
        </is>
      </c>
      <c r="L311">
        <f>IF(ElevCalc!$L$73*ISNUMBER(ElevCalc!$L$47)*NOT(ElevCalc!$L$120)*(ElevCalc!$L$105=1),(ElevCalc!$L$92+(ElevCalc!$L$108)*ElevCalc!$L$91),NA())</f>
        <v/>
      </c>
      <c r="M311">
        <f>IF(ElevCalc!$L$73*ISNUMBER(ElevCalc!$L$47)*NOT(ElevCalc!$L$120)*(ElevCalc!$L$105=1),((ElevCalc!$L$90-ElevCalc!$L$47-ElevCalc!$L$121/2)*ElevCalc!$L$91),NA())</f>
        <v/>
      </c>
      <c r="N311">
        <f>ElevCalc!$L$132</f>
        <v/>
      </c>
      <c r="P311" t="inlineStr">
        <is>
          <t>hlR1</t>
        </is>
      </c>
      <c r="Q311">
        <f>IF(ElevCalc!$Q$73*ISNUMBER(ElevCalc!$Q$47)*NOT(ElevCalc!$Q$120)*(ElevCalc!$Q$105=1),(ElevCalc!$Q$92+(ElevCalc!$Q$108)*ElevCalc!$Q$91),NA())</f>
        <v/>
      </c>
      <c r="R311">
        <f>IF(ElevCalc!$Q$73*ISNUMBER(ElevCalc!$Q$47)*NOT(ElevCalc!$Q$120)*(ElevCalc!$Q$105=1),((ElevCalc!$Q$90-ElevCalc!$Q$47-ElevCalc!$Q$121/2)*ElevCalc!$Q$91),NA())</f>
        <v/>
      </c>
      <c r="S311">
        <f>ElevCalc!$Q$132</f>
        <v/>
      </c>
      <c r="U311" t="inlineStr">
        <is>
          <t>hlR1</t>
        </is>
      </c>
      <c r="V311">
        <f>IF(ElevCalc!$V$73*ISNUMBER(ElevCalc!$V$47)*NOT(ElevCalc!$V$120)*(ElevCalc!$V$105=1),(ElevCalc!$V$92+(ElevCalc!$V$108)*ElevCalc!$V$91),NA())</f>
        <v/>
      </c>
      <c r="W311">
        <f>IF(ElevCalc!$V$73*ISNUMBER(ElevCalc!$V$47)*NOT(ElevCalc!$V$120)*(ElevCalc!$V$105=1),((ElevCalc!$V$90-ElevCalc!$V$47-ElevCalc!$V$121/2)*ElevCalc!$V$91),NA())</f>
        <v/>
      </c>
      <c r="X311">
        <f>ElevCalc!$V$132</f>
        <v/>
      </c>
      <c r="Z311" t="inlineStr">
        <is>
          <t>hlR1</t>
        </is>
      </c>
      <c r="AA311">
        <f>IF(ElevCalc!$AA$73*ISNUMBER(ElevCalc!$AA$47)*NOT(ElevCalc!$AA$120)*(ElevCalc!$AA$105=1),(ElevCalc!$AA$92+(ElevCalc!$AA$108)*ElevCalc!$AA$91),NA())</f>
        <v/>
      </c>
      <c r="AB311">
        <f>IF(ElevCalc!$AA$73*ISNUMBER(ElevCalc!$AA$47)*NOT(ElevCalc!$AA$120)*(ElevCalc!$AA$105=1),((ElevCalc!$AA$90-ElevCalc!$AA$47-ElevCalc!$AA$121/2)*ElevCalc!$AA$91),NA())</f>
        <v/>
      </c>
      <c r="AC311">
        <f>ElevCalc!$AA$132</f>
        <v/>
      </c>
      <c r="AE311" t="inlineStr">
        <is>
          <t>hlR1</t>
        </is>
      </c>
      <c r="AF311">
        <f>IF(ElevCalc!$AF$73*ISNUMBER(ElevCalc!$AF$47)*NOT(ElevCalc!$AF$120)*(ElevCalc!$AF$105=1),(ElevCalc!$AF$92+(ElevCalc!$AF$108)*ElevCalc!$AF$91),NA())</f>
        <v/>
      </c>
      <c r="AG311">
        <f>IF(ElevCalc!$AF$73*ISNUMBER(ElevCalc!$AF$47)*NOT(ElevCalc!$AF$120)*(ElevCalc!$AF$105=1),((ElevCalc!$AF$90-ElevCalc!$AF$47-ElevCalc!$AF$121/2)*ElevCalc!$AF$91),NA())</f>
        <v/>
      </c>
      <c r="AH311">
        <f>ElevCalc!$AF$132</f>
        <v/>
      </c>
    </row>
    <row r="313">
      <c r="A313" t="inlineStr">
        <is>
          <t>hlL1</t>
        </is>
      </c>
      <c r="B313">
        <f>IF(ElevCalc!$B$73*ISNUMBER(ElevCalc!$B$47)*NOT(ElevCalc!$B$120)*(ElevCalc!$B$105=0),(ElevCalc!$B$92+(ElevCalc!$B$108)*ElevCalc!$B$91),NA())</f>
        <v/>
      </c>
      <c r="C313">
        <f>IF(ElevCalc!$B$73*ISNUMBER(ElevCalc!$B$47)*NOT(ElevCalc!$B$120)*(ElevCalc!$B$105=0),((ElevCalc!$B$90-ElevCalc!$B$47-ElevCalc!$B$121/2)*ElevCalc!$B$91),NA())</f>
        <v/>
      </c>
      <c r="D313">
        <f>ElevCalc!$B$132</f>
        <v/>
      </c>
      <c r="F313" t="inlineStr">
        <is>
          <t>hlL1</t>
        </is>
      </c>
      <c r="G313">
        <f>IF(ElevCalc!$G$73*ISNUMBER(ElevCalc!$G$47)*NOT(ElevCalc!$G$120)*(ElevCalc!$G$105=0),(ElevCalc!$G$92+(ElevCalc!$G$108)*ElevCalc!$G$91),NA())</f>
        <v/>
      </c>
      <c r="H313">
        <f>IF(ElevCalc!$G$73*ISNUMBER(ElevCalc!$G$47)*NOT(ElevCalc!$G$120)*(ElevCalc!$G$105=0),((ElevCalc!$G$90-ElevCalc!$G$47-ElevCalc!$G$121/2)*ElevCalc!$G$91),NA())</f>
        <v/>
      </c>
      <c r="I313">
        <f>ElevCalc!$G$132</f>
        <v/>
      </c>
      <c r="K313" t="inlineStr">
        <is>
          <t>hlL1</t>
        </is>
      </c>
      <c r="L313">
        <f>IF(ElevCalc!$L$73*ISNUMBER(ElevCalc!$L$47)*NOT(ElevCalc!$L$120)*(ElevCalc!$L$105=0),(ElevCalc!$L$92+(ElevCalc!$L$108)*ElevCalc!$L$91),NA())</f>
        <v/>
      </c>
      <c r="M313">
        <f>IF(ElevCalc!$L$73*ISNUMBER(ElevCalc!$L$47)*NOT(ElevCalc!$L$120)*(ElevCalc!$L$105=0),((ElevCalc!$L$90-ElevCalc!$L$47-ElevCalc!$L$121/2)*ElevCalc!$L$91),NA())</f>
        <v/>
      </c>
      <c r="N313">
        <f>ElevCalc!$L$132</f>
        <v/>
      </c>
      <c r="P313" t="inlineStr">
        <is>
          <t>hlL1</t>
        </is>
      </c>
      <c r="Q313">
        <f>IF(ElevCalc!$Q$73*ISNUMBER(ElevCalc!$Q$47)*NOT(ElevCalc!$Q$120)*(ElevCalc!$Q$105=0),(ElevCalc!$Q$92+(ElevCalc!$Q$108)*ElevCalc!$Q$91),NA())</f>
        <v/>
      </c>
      <c r="R313">
        <f>IF(ElevCalc!$Q$73*ISNUMBER(ElevCalc!$Q$47)*NOT(ElevCalc!$Q$120)*(ElevCalc!$Q$105=0),((ElevCalc!$Q$90-ElevCalc!$Q$47-ElevCalc!$Q$121/2)*ElevCalc!$Q$91),NA())</f>
        <v/>
      </c>
      <c r="S313">
        <f>ElevCalc!$Q$132</f>
        <v/>
      </c>
      <c r="U313" t="inlineStr">
        <is>
          <t>hlL1</t>
        </is>
      </c>
      <c r="V313">
        <f>IF(ElevCalc!$V$73*ISNUMBER(ElevCalc!$V$47)*NOT(ElevCalc!$V$120)*(ElevCalc!$V$105=0),(ElevCalc!$V$92+(ElevCalc!$V$108)*ElevCalc!$V$91),NA())</f>
        <v/>
      </c>
      <c r="W313">
        <f>IF(ElevCalc!$V$73*ISNUMBER(ElevCalc!$V$47)*NOT(ElevCalc!$V$120)*(ElevCalc!$V$105=0),((ElevCalc!$V$90-ElevCalc!$V$47-ElevCalc!$V$121/2)*ElevCalc!$V$91),NA())</f>
        <v/>
      </c>
      <c r="X313">
        <f>ElevCalc!$V$132</f>
        <v/>
      </c>
      <c r="Z313" t="inlineStr">
        <is>
          <t>hlL1</t>
        </is>
      </c>
      <c r="AA313">
        <f>IF(ElevCalc!$AA$73*ISNUMBER(ElevCalc!$AA$47)*NOT(ElevCalc!$AA$120)*(ElevCalc!$AA$105=0),(ElevCalc!$AA$92+(ElevCalc!$AA$108)*ElevCalc!$AA$91),NA())</f>
        <v/>
      </c>
      <c r="AB313">
        <f>IF(ElevCalc!$AA$73*ISNUMBER(ElevCalc!$AA$47)*NOT(ElevCalc!$AA$120)*(ElevCalc!$AA$105=0),((ElevCalc!$AA$90-ElevCalc!$AA$47-ElevCalc!$AA$121/2)*ElevCalc!$AA$91),NA())</f>
        <v/>
      </c>
      <c r="AC313">
        <f>ElevCalc!$AA$132</f>
        <v/>
      </c>
      <c r="AE313" t="inlineStr">
        <is>
          <t>hlL1</t>
        </is>
      </c>
      <c r="AF313">
        <f>IF(ElevCalc!$AF$73*ISNUMBER(ElevCalc!$AF$47)*NOT(ElevCalc!$AF$120)*(ElevCalc!$AF$105=0),(ElevCalc!$AF$92+(ElevCalc!$AF$108)*ElevCalc!$AF$91),NA())</f>
        <v/>
      </c>
      <c r="AG313">
        <f>IF(ElevCalc!$AF$73*ISNUMBER(ElevCalc!$AF$47)*NOT(ElevCalc!$AF$120)*(ElevCalc!$AF$105=0),((ElevCalc!$AF$90-ElevCalc!$AF$47-ElevCalc!$AF$121/2)*ElevCalc!$AF$91),NA())</f>
        <v/>
      </c>
      <c r="AH313">
        <f>ElevCalc!$AF$132</f>
        <v/>
      </c>
    </row>
    <row r="315">
      <c r="A315" t="inlineStr">
        <is>
          <t>hng1_2</t>
        </is>
      </c>
      <c r="B315">
        <f>IF(ElevCalc!$B$73*ISNUMBER(ElevCalc!$B$48)*NOT(ElevCalc!$B$120),(ElevCalc!$B$92+(ElevCalc!$B$108)*ElevCalc!$B$91),NA())</f>
        <v/>
      </c>
      <c r="C315">
        <f>IF(ElevCalc!$B$73*ISNUMBER(ElevCalc!$B$48)*NOT(ElevCalc!$B$120),((ElevCalc!$B$90-ElevCalc!$B$48)*ElevCalc!$B$91),NA())</f>
        <v/>
      </c>
      <c r="F315" t="inlineStr">
        <is>
          <t>hng1_2</t>
        </is>
      </c>
      <c r="G315">
        <f>IF(ElevCalc!$G$73*ISNUMBER(ElevCalc!$G$48)*NOT(ElevCalc!$G$120),(ElevCalc!$G$92+(ElevCalc!$G$108)*ElevCalc!$G$91),NA())</f>
        <v/>
      </c>
      <c r="H315">
        <f>IF(ElevCalc!$G$73*ISNUMBER(ElevCalc!$G$48)*NOT(ElevCalc!$G$120),((ElevCalc!$G$90-ElevCalc!$G$48)*ElevCalc!$G$91),NA())</f>
        <v/>
      </c>
      <c r="K315" t="inlineStr">
        <is>
          <t>hng1_2</t>
        </is>
      </c>
      <c r="L315">
        <f>IF(ElevCalc!$L$73*ISNUMBER(ElevCalc!$L$48)*NOT(ElevCalc!$L$120),(ElevCalc!$L$92+(ElevCalc!$L$108)*ElevCalc!$L$91),NA())</f>
        <v/>
      </c>
      <c r="M315">
        <f>IF(ElevCalc!$L$73*ISNUMBER(ElevCalc!$L$48)*NOT(ElevCalc!$L$120),((ElevCalc!$L$90-ElevCalc!$L$48)*ElevCalc!$L$91),NA())</f>
        <v/>
      </c>
      <c r="P315" t="inlineStr">
        <is>
          <t>hng1_2</t>
        </is>
      </c>
      <c r="Q315">
        <f>IF(ElevCalc!$Q$73*ISNUMBER(ElevCalc!$Q$48)*NOT(ElevCalc!$Q$120),(ElevCalc!$Q$92+(ElevCalc!$Q$108)*ElevCalc!$Q$91),NA())</f>
        <v/>
      </c>
      <c r="R315">
        <f>IF(ElevCalc!$Q$73*ISNUMBER(ElevCalc!$Q$48)*NOT(ElevCalc!$Q$120),((ElevCalc!$Q$90-ElevCalc!$Q$48)*ElevCalc!$Q$91),NA())</f>
        <v/>
      </c>
      <c r="U315" t="inlineStr">
        <is>
          <t>hng1_2</t>
        </is>
      </c>
      <c r="V315">
        <f>IF(ElevCalc!$V$73*ISNUMBER(ElevCalc!$V$48)*NOT(ElevCalc!$V$120),(ElevCalc!$V$92+(ElevCalc!$V$108)*ElevCalc!$V$91),NA())</f>
        <v/>
      </c>
      <c r="W315">
        <f>IF(ElevCalc!$V$73*ISNUMBER(ElevCalc!$V$48)*NOT(ElevCalc!$V$120),((ElevCalc!$V$90-ElevCalc!$V$48)*ElevCalc!$V$91),NA())</f>
        <v/>
      </c>
      <c r="Z315" t="inlineStr">
        <is>
          <t>hng1_2</t>
        </is>
      </c>
      <c r="AA315">
        <f>IF(ElevCalc!$AA$73*ISNUMBER(ElevCalc!$AA$48)*NOT(ElevCalc!$AA$120),(ElevCalc!$AA$92+(ElevCalc!$AA$108)*ElevCalc!$AA$91),NA())</f>
        <v/>
      </c>
      <c r="AB315">
        <f>IF(ElevCalc!$AA$73*ISNUMBER(ElevCalc!$AA$48)*NOT(ElevCalc!$AA$120),((ElevCalc!$AA$90-ElevCalc!$AA$48)*ElevCalc!$AA$91),NA())</f>
        <v/>
      </c>
      <c r="AE315" t="inlineStr">
        <is>
          <t>hng1_2</t>
        </is>
      </c>
      <c r="AF315">
        <f>IF(ElevCalc!$AF$73*ISNUMBER(ElevCalc!$AF$48)*NOT(ElevCalc!$AF$120),(ElevCalc!$AF$92+(ElevCalc!$AF$108)*ElevCalc!$AF$91),NA())</f>
        <v/>
      </c>
      <c r="AG315">
        <f>IF(ElevCalc!$AF$73*ISNUMBER(ElevCalc!$AF$48)*NOT(ElevCalc!$AF$120),((ElevCalc!$AF$90-ElevCalc!$AF$48)*ElevCalc!$AF$91),NA())</f>
        <v/>
      </c>
    </row>
    <row r="316">
      <c r="A316" t="inlineStr">
        <is>
          <t>hng1_2</t>
        </is>
      </c>
      <c r="B316">
        <f>IF(ElevCalc!$B$73*ISNUMBER(ElevCalc!$B$48)*NOT(ElevCalc!$B$120),(ElevCalc!$B$92+(ElevCalc!$B$108)*ElevCalc!$B$91),NA())</f>
        <v/>
      </c>
      <c r="C316">
        <f>IF(ElevCalc!$B$73*ISNUMBER(ElevCalc!$B$48)*NOT(ElevCalc!$B$120),((ElevCalc!$B$90-ElevCalc!$B$48-ElevCalc!$B$121)*ElevCalc!$B$91),NA())</f>
        <v/>
      </c>
      <c r="F316" t="inlineStr">
        <is>
          <t>hng1_2</t>
        </is>
      </c>
      <c r="G316">
        <f>IF(ElevCalc!$G$73*ISNUMBER(ElevCalc!$G$48)*NOT(ElevCalc!$G$120),(ElevCalc!$G$92+(ElevCalc!$G$108)*ElevCalc!$G$91),NA())</f>
        <v/>
      </c>
      <c r="H316">
        <f>IF(ElevCalc!$G$73*ISNUMBER(ElevCalc!$G$48)*NOT(ElevCalc!$G$120),((ElevCalc!$G$90-ElevCalc!$G$48-ElevCalc!$G$121)*ElevCalc!$G$91),NA())</f>
        <v/>
      </c>
      <c r="K316" t="inlineStr">
        <is>
          <t>hng1_2</t>
        </is>
      </c>
      <c r="L316">
        <f>IF(ElevCalc!$L$73*ISNUMBER(ElevCalc!$L$48)*NOT(ElevCalc!$L$120),(ElevCalc!$L$92+(ElevCalc!$L$108)*ElevCalc!$L$91),NA())</f>
        <v/>
      </c>
      <c r="M316">
        <f>IF(ElevCalc!$L$73*ISNUMBER(ElevCalc!$L$48)*NOT(ElevCalc!$L$120),((ElevCalc!$L$90-ElevCalc!$L$48-ElevCalc!$L$121)*ElevCalc!$L$91),NA())</f>
        <v/>
      </c>
      <c r="P316" t="inlineStr">
        <is>
          <t>hng1_2</t>
        </is>
      </c>
      <c r="Q316">
        <f>IF(ElevCalc!$Q$73*ISNUMBER(ElevCalc!$Q$48)*NOT(ElevCalc!$Q$120),(ElevCalc!$Q$92+(ElevCalc!$Q$108)*ElevCalc!$Q$91),NA())</f>
        <v/>
      </c>
      <c r="R316">
        <f>IF(ElevCalc!$Q$73*ISNUMBER(ElevCalc!$Q$48)*NOT(ElevCalc!$Q$120),((ElevCalc!$Q$90-ElevCalc!$Q$48-ElevCalc!$Q$121)*ElevCalc!$Q$91),NA())</f>
        <v/>
      </c>
      <c r="U316" t="inlineStr">
        <is>
          <t>hng1_2</t>
        </is>
      </c>
      <c r="V316">
        <f>IF(ElevCalc!$V$73*ISNUMBER(ElevCalc!$V$48)*NOT(ElevCalc!$V$120),(ElevCalc!$V$92+(ElevCalc!$V$108)*ElevCalc!$V$91),NA())</f>
        <v/>
      </c>
      <c r="W316">
        <f>IF(ElevCalc!$V$73*ISNUMBER(ElevCalc!$V$48)*NOT(ElevCalc!$V$120),((ElevCalc!$V$90-ElevCalc!$V$48-ElevCalc!$V$121)*ElevCalc!$V$91),NA())</f>
        <v/>
      </c>
      <c r="Z316" t="inlineStr">
        <is>
          <t>hng1_2</t>
        </is>
      </c>
      <c r="AA316">
        <f>IF(ElevCalc!$AA$73*ISNUMBER(ElevCalc!$AA$48)*NOT(ElevCalc!$AA$120),(ElevCalc!$AA$92+(ElevCalc!$AA$108)*ElevCalc!$AA$91),NA())</f>
        <v/>
      </c>
      <c r="AB316">
        <f>IF(ElevCalc!$AA$73*ISNUMBER(ElevCalc!$AA$48)*NOT(ElevCalc!$AA$120),((ElevCalc!$AA$90-ElevCalc!$AA$48-ElevCalc!$AA$121)*ElevCalc!$AA$91),NA())</f>
        <v/>
      </c>
      <c r="AE316" t="inlineStr">
        <is>
          <t>hng1_2</t>
        </is>
      </c>
      <c r="AF316">
        <f>IF(ElevCalc!$AF$73*ISNUMBER(ElevCalc!$AF$48)*NOT(ElevCalc!$AF$120),(ElevCalc!$AF$92+(ElevCalc!$AF$108)*ElevCalc!$AF$91),NA())</f>
        <v/>
      </c>
      <c r="AG316">
        <f>IF(ElevCalc!$AF$73*ISNUMBER(ElevCalc!$AF$48)*NOT(ElevCalc!$AF$120),((ElevCalc!$AF$90-ElevCalc!$AF$48-ElevCalc!$AF$121)*ElevCalc!$AF$91),NA())</f>
        <v/>
      </c>
    </row>
    <row r="318">
      <c r="A318" t="inlineStr">
        <is>
          <t>hng2_2</t>
        </is>
      </c>
      <c r="B318">
        <f>IF(ElevCalc!$B$73*ISNUMBER(ElevCalc!$B$48)*NOT(ElevCalc!$B$120)*(ElevCalc!$B$96),(ElevCalc!$B$92+(ElevCalc!$B$88)*ElevCalc!$B$91),NA())</f>
        <v/>
      </c>
      <c r="C318">
        <f>IF(ElevCalc!$B$73*ISNUMBER(ElevCalc!$B$48)*NOT(ElevCalc!$B$120)*(ElevCalc!$B$96),((ElevCalc!$B$90-ElevCalc!$B$48)*ElevCalc!$B$91),NA())</f>
        <v/>
      </c>
      <c r="F318" t="inlineStr">
        <is>
          <t>hng2_2</t>
        </is>
      </c>
      <c r="G318">
        <f>IF(ElevCalc!$G$73*ISNUMBER(ElevCalc!$G$48)*NOT(ElevCalc!$G$120)*(ElevCalc!$G$96),(ElevCalc!$G$92+(ElevCalc!$G$88)*ElevCalc!$G$91),NA())</f>
        <v/>
      </c>
      <c r="H318">
        <f>IF(ElevCalc!$G$73*ISNUMBER(ElevCalc!$G$48)*NOT(ElevCalc!$G$120)*(ElevCalc!$G$96),((ElevCalc!$G$90-ElevCalc!$G$48)*ElevCalc!$G$91),NA())</f>
        <v/>
      </c>
      <c r="K318" t="inlineStr">
        <is>
          <t>hng2_2</t>
        </is>
      </c>
      <c r="L318">
        <f>IF(ElevCalc!$L$73*ISNUMBER(ElevCalc!$L$48)*NOT(ElevCalc!$L$120)*(ElevCalc!$L$96),(ElevCalc!$L$92+(ElevCalc!$L$88)*ElevCalc!$L$91),NA())</f>
        <v/>
      </c>
      <c r="M318">
        <f>IF(ElevCalc!$L$73*ISNUMBER(ElevCalc!$L$48)*NOT(ElevCalc!$L$120)*(ElevCalc!$L$96),((ElevCalc!$L$90-ElevCalc!$L$48)*ElevCalc!$L$91),NA())</f>
        <v/>
      </c>
      <c r="P318" t="inlineStr">
        <is>
          <t>hng2_2</t>
        </is>
      </c>
      <c r="Q318">
        <f>IF(ElevCalc!$Q$73*ISNUMBER(ElevCalc!$Q$48)*NOT(ElevCalc!$Q$120)*(ElevCalc!$Q$96),(ElevCalc!$Q$92+(ElevCalc!$Q$88)*ElevCalc!$Q$91),NA())</f>
        <v/>
      </c>
      <c r="R318">
        <f>IF(ElevCalc!$Q$73*ISNUMBER(ElevCalc!$Q$48)*NOT(ElevCalc!$Q$120)*(ElevCalc!$Q$96),((ElevCalc!$Q$90-ElevCalc!$Q$48)*ElevCalc!$Q$91),NA())</f>
        <v/>
      </c>
      <c r="U318" t="inlineStr">
        <is>
          <t>hng2_2</t>
        </is>
      </c>
      <c r="V318">
        <f>IF(ElevCalc!$V$73*ISNUMBER(ElevCalc!$V$48)*NOT(ElevCalc!$V$120)*(ElevCalc!$V$96),(ElevCalc!$V$92+(ElevCalc!$V$88)*ElevCalc!$V$91),NA())</f>
        <v/>
      </c>
      <c r="W318">
        <f>IF(ElevCalc!$V$73*ISNUMBER(ElevCalc!$V$48)*NOT(ElevCalc!$V$120)*(ElevCalc!$V$96),((ElevCalc!$V$90-ElevCalc!$V$48)*ElevCalc!$V$91),NA())</f>
        <v/>
      </c>
      <c r="Z318" t="inlineStr">
        <is>
          <t>hng2_2</t>
        </is>
      </c>
      <c r="AA318">
        <f>IF(ElevCalc!$AA$73*ISNUMBER(ElevCalc!$AA$48)*NOT(ElevCalc!$AA$120)*(ElevCalc!$AA$96),(ElevCalc!$AA$92+(ElevCalc!$AA$88)*ElevCalc!$AA$91),NA())</f>
        <v/>
      </c>
      <c r="AB318">
        <f>IF(ElevCalc!$AA$73*ISNUMBER(ElevCalc!$AA$48)*NOT(ElevCalc!$AA$120)*(ElevCalc!$AA$96),((ElevCalc!$AA$90-ElevCalc!$AA$48)*ElevCalc!$AA$91),NA())</f>
        <v/>
      </c>
      <c r="AE318" t="inlineStr">
        <is>
          <t>hng2_2</t>
        </is>
      </c>
      <c r="AF318">
        <f>IF(ElevCalc!$AF$73*ISNUMBER(ElevCalc!$AF$48)*NOT(ElevCalc!$AF$120)*(ElevCalc!$AF$96),(ElevCalc!$AF$92+(ElevCalc!$AF$88)*ElevCalc!$AF$91),NA())</f>
        <v/>
      </c>
      <c r="AG318">
        <f>IF(ElevCalc!$AF$73*ISNUMBER(ElevCalc!$AF$48)*NOT(ElevCalc!$AF$120)*(ElevCalc!$AF$96),((ElevCalc!$AF$90-ElevCalc!$AF$48)*ElevCalc!$AF$91),NA())</f>
        <v/>
      </c>
    </row>
    <row r="319">
      <c r="A319" t="inlineStr">
        <is>
          <t>hng2_2</t>
        </is>
      </c>
      <c r="B319">
        <f>IF(ElevCalc!$B$73*ISNUMBER(ElevCalc!$B$48)*NOT(ElevCalc!$B$120)*(ElevCalc!$B$96),(ElevCalc!$B$92+(ElevCalc!$B$88)*ElevCalc!$B$91),NA())</f>
        <v/>
      </c>
      <c r="C319">
        <f>IF(ElevCalc!$B$73*ISNUMBER(ElevCalc!$B$48)*NOT(ElevCalc!$B$120)*(ElevCalc!$B$96),((ElevCalc!$B$90-ElevCalc!$B$48-ElevCalc!$B$121)*ElevCalc!$B$91),NA())</f>
        <v/>
      </c>
      <c r="F319" t="inlineStr">
        <is>
          <t>hng2_2</t>
        </is>
      </c>
      <c r="G319">
        <f>IF(ElevCalc!$G$73*ISNUMBER(ElevCalc!$G$48)*NOT(ElevCalc!$G$120)*(ElevCalc!$G$96),(ElevCalc!$G$92+(ElevCalc!$G$88)*ElevCalc!$G$91),NA())</f>
        <v/>
      </c>
      <c r="H319">
        <f>IF(ElevCalc!$G$73*ISNUMBER(ElevCalc!$G$48)*NOT(ElevCalc!$G$120)*(ElevCalc!$G$96),((ElevCalc!$G$90-ElevCalc!$G$48-ElevCalc!$G$121)*ElevCalc!$G$91),NA())</f>
        <v/>
      </c>
      <c r="K319" t="inlineStr">
        <is>
          <t>hng2_2</t>
        </is>
      </c>
      <c r="L319">
        <f>IF(ElevCalc!$L$73*ISNUMBER(ElevCalc!$L$48)*NOT(ElevCalc!$L$120)*(ElevCalc!$L$96),(ElevCalc!$L$92+(ElevCalc!$L$88)*ElevCalc!$L$91),NA())</f>
        <v/>
      </c>
      <c r="M319">
        <f>IF(ElevCalc!$L$73*ISNUMBER(ElevCalc!$L$48)*NOT(ElevCalc!$L$120)*(ElevCalc!$L$96),((ElevCalc!$L$90-ElevCalc!$L$48-ElevCalc!$L$121)*ElevCalc!$L$91),NA())</f>
        <v/>
      </c>
      <c r="P319" t="inlineStr">
        <is>
          <t>hng2_2</t>
        </is>
      </c>
      <c r="Q319">
        <f>IF(ElevCalc!$Q$73*ISNUMBER(ElevCalc!$Q$48)*NOT(ElevCalc!$Q$120)*(ElevCalc!$Q$96),(ElevCalc!$Q$92+(ElevCalc!$Q$88)*ElevCalc!$Q$91),NA())</f>
        <v/>
      </c>
      <c r="R319">
        <f>IF(ElevCalc!$Q$73*ISNUMBER(ElevCalc!$Q$48)*NOT(ElevCalc!$Q$120)*(ElevCalc!$Q$96),((ElevCalc!$Q$90-ElevCalc!$Q$48-ElevCalc!$Q$121)*ElevCalc!$Q$91),NA())</f>
        <v/>
      </c>
      <c r="U319" t="inlineStr">
        <is>
          <t>hng2_2</t>
        </is>
      </c>
      <c r="V319">
        <f>IF(ElevCalc!$V$73*ISNUMBER(ElevCalc!$V$48)*NOT(ElevCalc!$V$120)*(ElevCalc!$V$96),(ElevCalc!$V$92+(ElevCalc!$V$88)*ElevCalc!$V$91),NA())</f>
        <v/>
      </c>
      <c r="W319">
        <f>IF(ElevCalc!$V$73*ISNUMBER(ElevCalc!$V$48)*NOT(ElevCalc!$V$120)*(ElevCalc!$V$96),((ElevCalc!$V$90-ElevCalc!$V$48-ElevCalc!$V$121)*ElevCalc!$V$91),NA())</f>
        <v/>
      </c>
      <c r="Z319" t="inlineStr">
        <is>
          <t>hng2_2</t>
        </is>
      </c>
      <c r="AA319">
        <f>IF(ElevCalc!$AA$73*ISNUMBER(ElevCalc!$AA$48)*NOT(ElevCalc!$AA$120)*(ElevCalc!$AA$96),(ElevCalc!$AA$92+(ElevCalc!$AA$88)*ElevCalc!$AA$91),NA())</f>
        <v/>
      </c>
      <c r="AB319">
        <f>IF(ElevCalc!$AA$73*ISNUMBER(ElevCalc!$AA$48)*NOT(ElevCalc!$AA$120)*(ElevCalc!$AA$96),((ElevCalc!$AA$90-ElevCalc!$AA$48-ElevCalc!$AA$121)*ElevCalc!$AA$91),NA())</f>
        <v/>
      </c>
      <c r="AE319" t="inlineStr">
        <is>
          <t>hng2_2</t>
        </is>
      </c>
      <c r="AF319">
        <f>IF(ElevCalc!$AF$73*ISNUMBER(ElevCalc!$AF$48)*NOT(ElevCalc!$AF$120)*(ElevCalc!$AF$96),(ElevCalc!$AF$92+(ElevCalc!$AF$88)*ElevCalc!$AF$91),NA())</f>
        <v/>
      </c>
      <c r="AG319">
        <f>IF(ElevCalc!$AF$73*ISNUMBER(ElevCalc!$AF$48)*NOT(ElevCalc!$AF$120)*(ElevCalc!$AF$96),((ElevCalc!$AF$90-ElevCalc!$AF$48-ElevCalc!$AF$121)*ElevCalc!$AF$91),NA())</f>
        <v/>
      </c>
    </row>
    <row r="321">
      <c r="A321" t="inlineStr">
        <is>
          <t>hlR2</t>
        </is>
      </c>
      <c r="B321">
        <f>IF(ElevCalc!$B$73*ISNUMBER(ElevCalc!$B$48)*NOT(ElevCalc!$B$120)*(ElevCalc!$B$105=1),(ElevCalc!$B$92+(ElevCalc!$B$108)*ElevCalc!$B$91),NA())</f>
        <v/>
      </c>
      <c r="C321">
        <f>IF(ElevCalc!$B$73*ISNUMBER(ElevCalc!$B$48)*NOT(ElevCalc!$B$120)*(ElevCalc!$B$105=1),((ElevCalc!$B$90-ElevCalc!$B$48-ElevCalc!$B$121/2)*ElevCalc!$B$91),NA())</f>
        <v/>
      </c>
      <c r="D321">
        <f>ElevCalc!$B$133</f>
        <v/>
      </c>
      <c r="F321" t="inlineStr">
        <is>
          <t>hlR2</t>
        </is>
      </c>
      <c r="G321">
        <f>IF(ElevCalc!$G$73*ISNUMBER(ElevCalc!$G$48)*NOT(ElevCalc!$G$120)*(ElevCalc!$G$105=1),(ElevCalc!$G$92+(ElevCalc!$G$108)*ElevCalc!$G$91),NA())</f>
        <v/>
      </c>
      <c r="H321">
        <f>IF(ElevCalc!$G$73*ISNUMBER(ElevCalc!$G$48)*NOT(ElevCalc!$G$120)*(ElevCalc!$G$105=1),((ElevCalc!$G$90-ElevCalc!$G$48-ElevCalc!$G$121/2)*ElevCalc!$G$91),NA())</f>
        <v/>
      </c>
      <c r="I321">
        <f>ElevCalc!$G$133</f>
        <v/>
      </c>
      <c r="K321" t="inlineStr">
        <is>
          <t>hlR2</t>
        </is>
      </c>
      <c r="L321">
        <f>IF(ElevCalc!$L$73*ISNUMBER(ElevCalc!$L$48)*NOT(ElevCalc!$L$120)*(ElevCalc!$L$105=1),(ElevCalc!$L$92+(ElevCalc!$L$108)*ElevCalc!$L$91),NA())</f>
        <v/>
      </c>
      <c r="M321">
        <f>IF(ElevCalc!$L$73*ISNUMBER(ElevCalc!$L$48)*NOT(ElevCalc!$L$120)*(ElevCalc!$L$105=1),((ElevCalc!$L$90-ElevCalc!$L$48-ElevCalc!$L$121/2)*ElevCalc!$L$91),NA())</f>
        <v/>
      </c>
      <c r="N321">
        <f>ElevCalc!$L$133</f>
        <v/>
      </c>
      <c r="P321" t="inlineStr">
        <is>
          <t>hlR2</t>
        </is>
      </c>
      <c r="Q321">
        <f>IF(ElevCalc!$Q$73*ISNUMBER(ElevCalc!$Q$48)*NOT(ElevCalc!$Q$120)*(ElevCalc!$Q$105=1),(ElevCalc!$Q$92+(ElevCalc!$Q$108)*ElevCalc!$Q$91),NA())</f>
        <v/>
      </c>
      <c r="R321">
        <f>IF(ElevCalc!$Q$73*ISNUMBER(ElevCalc!$Q$48)*NOT(ElevCalc!$Q$120)*(ElevCalc!$Q$105=1),((ElevCalc!$Q$90-ElevCalc!$Q$48-ElevCalc!$Q$121/2)*ElevCalc!$Q$91),NA())</f>
        <v/>
      </c>
      <c r="S321">
        <f>ElevCalc!$Q$133</f>
        <v/>
      </c>
      <c r="U321" t="inlineStr">
        <is>
          <t>hlR2</t>
        </is>
      </c>
      <c r="V321">
        <f>IF(ElevCalc!$V$73*ISNUMBER(ElevCalc!$V$48)*NOT(ElevCalc!$V$120)*(ElevCalc!$V$105=1),(ElevCalc!$V$92+(ElevCalc!$V$108)*ElevCalc!$V$91),NA())</f>
        <v/>
      </c>
      <c r="W321">
        <f>IF(ElevCalc!$V$73*ISNUMBER(ElevCalc!$V$48)*NOT(ElevCalc!$V$120)*(ElevCalc!$V$105=1),((ElevCalc!$V$90-ElevCalc!$V$48-ElevCalc!$V$121/2)*ElevCalc!$V$91),NA())</f>
        <v/>
      </c>
      <c r="X321">
        <f>ElevCalc!$V$133</f>
        <v/>
      </c>
      <c r="Z321" t="inlineStr">
        <is>
          <t>hlR2</t>
        </is>
      </c>
      <c r="AA321">
        <f>IF(ElevCalc!$AA$73*ISNUMBER(ElevCalc!$AA$48)*NOT(ElevCalc!$AA$120)*(ElevCalc!$AA$105=1),(ElevCalc!$AA$92+(ElevCalc!$AA$108)*ElevCalc!$AA$91),NA())</f>
        <v/>
      </c>
      <c r="AB321">
        <f>IF(ElevCalc!$AA$73*ISNUMBER(ElevCalc!$AA$48)*NOT(ElevCalc!$AA$120)*(ElevCalc!$AA$105=1),((ElevCalc!$AA$90-ElevCalc!$AA$48-ElevCalc!$AA$121/2)*ElevCalc!$AA$91),NA())</f>
        <v/>
      </c>
      <c r="AC321">
        <f>ElevCalc!$AA$133</f>
        <v/>
      </c>
      <c r="AE321" t="inlineStr">
        <is>
          <t>hlR2</t>
        </is>
      </c>
      <c r="AF321">
        <f>IF(ElevCalc!$AF$73*ISNUMBER(ElevCalc!$AF$48)*NOT(ElevCalc!$AF$120)*(ElevCalc!$AF$105=1),(ElevCalc!$AF$92+(ElevCalc!$AF$108)*ElevCalc!$AF$91),NA())</f>
        <v/>
      </c>
      <c r="AG321">
        <f>IF(ElevCalc!$AF$73*ISNUMBER(ElevCalc!$AF$48)*NOT(ElevCalc!$AF$120)*(ElevCalc!$AF$105=1),((ElevCalc!$AF$90-ElevCalc!$AF$48-ElevCalc!$AF$121/2)*ElevCalc!$AF$91),NA())</f>
        <v/>
      </c>
      <c r="AH321">
        <f>ElevCalc!$AF$133</f>
        <v/>
      </c>
    </row>
    <row r="323">
      <c r="A323" t="inlineStr">
        <is>
          <t>hlL2</t>
        </is>
      </c>
      <c r="B323">
        <f>IF(ElevCalc!$B$73*ISNUMBER(ElevCalc!$B$48)*NOT(ElevCalc!$B$120)*(ElevCalc!$B$105=0),(ElevCalc!$B$92+(ElevCalc!$B$108)*ElevCalc!$B$91),NA())</f>
        <v/>
      </c>
      <c r="C323">
        <f>IF(ElevCalc!$B$73*ISNUMBER(ElevCalc!$B$48)*NOT(ElevCalc!$B$120)*(ElevCalc!$B$105=0),((ElevCalc!$B$90-ElevCalc!$B$48-ElevCalc!$B$121/2)*ElevCalc!$B$91),NA())</f>
        <v/>
      </c>
      <c r="D323">
        <f>ElevCalc!$B$133</f>
        <v/>
      </c>
      <c r="F323" t="inlineStr">
        <is>
          <t>hlL2</t>
        </is>
      </c>
      <c r="G323">
        <f>IF(ElevCalc!$G$73*ISNUMBER(ElevCalc!$G$48)*NOT(ElevCalc!$G$120)*(ElevCalc!$G$105=0),(ElevCalc!$G$92+(ElevCalc!$G$108)*ElevCalc!$G$91),NA())</f>
        <v/>
      </c>
      <c r="H323">
        <f>IF(ElevCalc!$G$73*ISNUMBER(ElevCalc!$G$48)*NOT(ElevCalc!$G$120)*(ElevCalc!$G$105=0),((ElevCalc!$G$90-ElevCalc!$G$48-ElevCalc!$G$121/2)*ElevCalc!$G$91),NA())</f>
        <v/>
      </c>
      <c r="I323">
        <f>ElevCalc!$G$133</f>
        <v/>
      </c>
      <c r="K323" t="inlineStr">
        <is>
          <t>hlL2</t>
        </is>
      </c>
      <c r="L323">
        <f>IF(ElevCalc!$L$73*ISNUMBER(ElevCalc!$L$48)*NOT(ElevCalc!$L$120)*(ElevCalc!$L$105=0),(ElevCalc!$L$92+(ElevCalc!$L$108)*ElevCalc!$L$91),NA())</f>
        <v/>
      </c>
      <c r="M323">
        <f>IF(ElevCalc!$L$73*ISNUMBER(ElevCalc!$L$48)*NOT(ElevCalc!$L$120)*(ElevCalc!$L$105=0),((ElevCalc!$L$90-ElevCalc!$L$48-ElevCalc!$L$121/2)*ElevCalc!$L$91),NA())</f>
        <v/>
      </c>
      <c r="N323">
        <f>ElevCalc!$L$133</f>
        <v/>
      </c>
      <c r="P323" t="inlineStr">
        <is>
          <t>hlL2</t>
        </is>
      </c>
      <c r="Q323">
        <f>IF(ElevCalc!$Q$73*ISNUMBER(ElevCalc!$Q$48)*NOT(ElevCalc!$Q$120)*(ElevCalc!$Q$105=0),(ElevCalc!$Q$92+(ElevCalc!$Q$108)*ElevCalc!$Q$91),NA())</f>
        <v/>
      </c>
      <c r="R323">
        <f>IF(ElevCalc!$Q$73*ISNUMBER(ElevCalc!$Q$48)*NOT(ElevCalc!$Q$120)*(ElevCalc!$Q$105=0),((ElevCalc!$Q$90-ElevCalc!$Q$48-ElevCalc!$Q$121/2)*ElevCalc!$Q$91),NA())</f>
        <v/>
      </c>
      <c r="S323">
        <f>ElevCalc!$Q$133</f>
        <v/>
      </c>
      <c r="U323" t="inlineStr">
        <is>
          <t>hlL2</t>
        </is>
      </c>
      <c r="V323">
        <f>IF(ElevCalc!$V$73*ISNUMBER(ElevCalc!$V$48)*NOT(ElevCalc!$V$120)*(ElevCalc!$V$105=0),(ElevCalc!$V$92+(ElevCalc!$V$108)*ElevCalc!$V$91),NA())</f>
        <v/>
      </c>
      <c r="W323">
        <f>IF(ElevCalc!$V$73*ISNUMBER(ElevCalc!$V$48)*NOT(ElevCalc!$V$120)*(ElevCalc!$V$105=0),((ElevCalc!$V$90-ElevCalc!$V$48-ElevCalc!$V$121/2)*ElevCalc!$V$91),NA())</f>
        <v/>
      </c>
      <c r="X323">
        <f>ElevCalc!$V$133</f>
        <v/>
      </c>
      <c r="Z323" t="inlineStr">
        <is>
          <t>hlL2</t>
        </is>
      </c>
      <c r="AA323">
        <f>IF(ElevCalc!$AA$73*ISNUMBER(ElevCalc!$AA$48)*NOT(ElevCalc!$AA$120)*(ElevCalc!$AA$105=0),(ElevCalc!$AA$92+(ElevCalc!$AA$108)*ElevCalc!$AA$91),NA())</f>
        <v/>
      </c>
      <c r="AB323">
        <f>IF(ElevCalc!$AA$73*ISNUMBER(ElevCalc!$AA$48)*NOT(ElevCalc!$AA$120)*(ElevCalc!$AA$105=0),((ElevCalc!$AA$90-ElevCalc!$AA$48-ElevCalc!$AA$121/2)*ElevCalc!$AA$91),NA())</f>
        <v/>
      </c>
      <c r="AC323">
        <f>ElevCalc!$AA$133</f>
        <v/>
      </c>
      <c r="AE323" t="inlineStr">
        <is>
          <t>hlL2</t>
        </is>
      </c>
      <c r="AF323">
        <f>IF(ElevCalc!$AF$73*ISNUMBER(ElevCalc!$AF$48)*NOT(ElevCalc!$AF$120)*(ElevCalc!$AF$105=0),(ElevCalc!$AF$92+(ElevCalc!$AF$108)*ElevCalc!$AF$91),NA())</f>
        <v/>
      </c>
      <c r="AG323">
        <f>IF(ElevCalc!$AF$73*ISNUMBER(ElevCalc!$AF$48)*NOT(ElevCalc!$AF$120)*(ElevCalc!$AF$105=0),((ElevCalc!$AF$90-ElevCalc!$AF$48-ElevCalc!$AF$121/2)*ElevCalc!$AF$91),NA())</f>
        <v/>
      </c>
      <c r="AH323">
        <f>ElevCalc!$AF$133</f>
        <v/>
      </c>
    </row>
    <row r="325">
      <c r="A325" t="inlineStr">
        <is>
          <t>hng1_3</t>
        </is>
      </c>
      <c r="B325">
        <f>IF(ElevCalc!$B$73*ISNUMBER(ElevCalc!$B$49)*NOT(ElevCalc!$B$120),(ElevCalc!$B$92+(ElevCalc!$B$108)*ElevCalc!$B$91),NA())</f>
        <v/>
      </c>
      <c r="C325">
        <f>IF(ElevCalc!$B$73*ISNUMBER(ElevCalc!$B$49)*NOT(ElevCalc!$B$120),((ElevCalc!$B$90-ElevCalc!$B$49)*ElevCalc!$B$91),NA())</f>
        <v/>
      </c>
      <c r="F325" t="inlineStr">
        <is>
          <t>hng1_3</t>
        </is>
      </c>
      <c r="G325">
        <f>IF(ElevCalc!$G$73*ISNUMBER(ElevCalc!$G$49)*NOT(ElevCalc!$G$120),(ElevCalc!$G$92+(ElevCalc!$G$108)*ElevCalc!$G$91),NA())</f>
        <v/>
      </c>
      <c r="H325">
        <f>IF(ElevCalc!$G$73*ISNUMBER(ElevCalc!$G$49)*NOT(ElevCalc!$G$120),((ElevCalc!$G$90-ElevCalc!$G$49)*ElevCalc!$G$91),NA())</f>
        <v/>
      </c>
      <c r="K325" t="inlineStr">
        <is>
          <t>hng1_3</t>
        </is>
      </c>
      <c r="L325">
        <f>IF(ElevCalc!$L$73*ISNUMBER(ElevCalc!$L$49)*NOT(ElevCalc!$L$120),(ElevCalc!$L$92+(ElevCalc!$L$108)*ElevCalc!$L$91),NA())</f>
        <v/>
      </c>
      <c r="M325">
        <f>IF(ElevCalc!$L$73*ISNUMBER(ElevCalc!$L$49)*NOT(ElevCalc!$L$120),((ElevCalc!$L$90-ElevCalc!$L$49)*ElevCalc!$L$91),NA())</f>
        <v/>
      </c>
      <c r="P325" t="inlineStr">
        <is>
          <t>hng1_3</t>
        </is>
      </c>
      <c r="Q325">
        <f>IF(ElevCalc!$Q$73*ISNUMBER(ElevCalc!$Q$49)*NOT(ElevCalc!$Q$120),(ElevCalc!$Q$92+(ElevCalc!$Q$108)*ElevCalc!$Q$91),NA())</f>
        <v/>
      </c>
      <c r="R325">
        <f>IF(ElevCalc!$Q$73*ISNUMBER(ElevCalc!$Q$49)*NOT(ElevCalc!$Q$120),((ElevCalc!$Q$90-ElevCalc!$Q$49)*ElevCalc!$Q$91),NA())</f>
        <v/>
      </c>
      <c r="U325" t="inlineStr">
        <is>
          <t>hng1_3</t>
        </is>
      </c>
      <c r="V325">
        <f>IF(ElevCalc!$V$73*ISNUMBER(ElevCalc!$V$49)*NOT(ElevCalc!$V$120),(ElevCalc!$V$92+(ElevCalc!$V$108)*ElevCalc!$V$91),NA())</f>
        <v/>
      </c>
      <c r="W325">
        <f>IF(ElevCalc!$V$73*ISNUMBER(ElevCalc!$V$49)*NOT(ElevCalc!$V$120),((ElevCalc!$V$90-ElevCalc!$V$49)*ElevCalc!$V$91),NA())</f>
        <v/>
      </c>
      <c r="Z325" t="inlineStr">
        <is>
          <t>hng1_3</t>
        </is>
      </c>
      <c r="AA325">
        <f>IF(ElevCalc!$AA$73*ISNUMBER(ElevCalc!$AA$49)*NOT(ElevCalc!$AA$120),(ElevCalc!$AA$92+(ElevCalc!$AA$108)*ElevCalc!$AA$91),NA())</f>
        <v/>
      </c>
      <c r="AB325">
        <f>IF(ElevCalc!$AA$73*ISNUMBER(ElevCalc!$AA$49)*NOT(ElevCalc!$AA$120),((ElevCalc!$AA$90-ElevCalc!$AA$49)*ElevCalc!$AA$91),NA())</f>
        <v/>
      </c>
      <c r="AE325" t="inlineStr">
        <is>
          <t>hng1_3</t>
        </is>
      </c>
      <c r="AF325">
        <f>IF(ElevCalc!$AF$73*ISNUMBER(ElevCalc!$AF$49)*NOT(ElevCalc!$AF$120),(ElevCalc!$AF$92+(ElevCalc!$AF$108)*ElevCalc!$AF$91),NA())</f>
        <v/>
      </c>
      <c r="AG325">
        <f>IF(ElevCalc!$AF$73*ISNUMBER(ElevCalc!$AF$49)*NOT(ElevCalc!$AF$120),((ElevCalc!$AF$90-ElevCalc!$AF$49)*ElevCalc!$AF$91),NA())</f>
        <v/>
      </c>
    </row>
    <row r="326">
      <c r="A326" t="inlineStr">
        <is>
          <t>hng1_3</t>
        </is>
      </c>
      <c r="B326">
        <f>IF(ElevCalc!$B$73*ISNUMBER(ElevCalc!$B$49)*NOT(ElevCalc!$B$120),(ElevCalc!$B$92+(ElevCalc!$B$108)*ElevCalc!$B$91),NA())</f>
        <v/>
      </c>
      <c r="C326">
        <f>IF(ElevCalc!$B$73*ISNUMBER(ElevCalc!$B$49)*NOT(ElevCalc!$B$120),((ElevCalc!$B$90-ElevCalc!$B$49-ElevCalc!$B$121)*ElevCalc!$B$91),NA())</f>
        <v/>
      </c>
      <c r="F326" t="inlineStr">
        <is>
          <t>hng1_3</t>
        </is>
      </c>
      <c r="G326">
        <f>IF(ElevCalc!$G$73*ISNUMBER(ElevCalc!$G$49)*NOT(ElevCalc!$G$120),(ElevCalc!$G$92+(ElevCalc!$G$108)*ElevCalc!$G$91),NA())</f>
        <v/>
      </c>
      <c r="H326">
        <f>IF(ElevCalc!$G$73*ISNUMBER(ElevCalc!$G$49)*NOT(ElevCalc!$G$120),((ElevCalc!$G$90-ElevCalc!$G$49-ElevCalc!$G$121)*ElevCalc!$G$91),NA())</f>
        <v/>
      </c>
      <c r="K326" t="inlineStr">
        <is>
          <t>hng1_3</t>
        </is>
      </c>
      <c r="L326">
        <f>IF(ElevCalc!$L$73*ISNUMBER(ElevCalc!$L$49)*NOT(ElevCalc!$L$120),(ElevCalc!$L$92+(ElevCalc!$L$108)*ElevCalc!$L$91),NA())</f>
        <v/>
      </c>
      <c r="M326">
        <f>IF(ElevCalc!$L$73*ISNUMBER(ElevCalc!$L$49)*NOT(ElevCalc!$L$120),((ElevCalc!$L$90-ElevCalc!$L$49-ElevCalc!$L$121)*ElevCalc!$L$91),NA())</f>
        <v/>
      </c>
      <c r="P326" t="inlineStr">
        <is>
          <t>hng1_3</t>
        </is>
      </c>
      <c r="Q326">
        <f>IF(ElevCalc!$Q$73*ISNUMBER(ElevCalc!$Q$49)*NOT(ElevCalc!$Q$120),(ElevCalc!$Q$92+(ElevCalc!$Q$108)*ElevCalc!$Q$91),NA())</f>
        <v/>
      </c>
      <c r="R326">
        <f>IF(ElevCalc!$Q$73*ISNUMBER(ElevCalc!$Q$49)*NOT(ElevCalc!$Q$120),((ElevCalc!$Q$90-ElevCalc!$Q$49-ElevCalc!$Q$121)*ElevCalc!$Q$91),NA())</f>
        <v/>
      </c>
      <c r="U326" t="inlineStr">
        <is>
          <t>hng1_3</t>
        </is>
      </c>
      <c r="V326">
        <f>IF(ElevCalc!$V$73*ISNUMBER(ElevCalc!$V$49)*NOT(ElevCalc!$V$120),(ElevCalc!$V$92+(ElevCalc!$V$108)*ElevCalc!$V$91),NA())</f>
        <v/>
      </c>
      <c r="W326">
        <f>IF(ElevCalc!$V$73*ISNUMBER(ElevCalc!$V$49)*NOT(ElevCalc!$V$120),((ElevCalc!$V$90-ElevCalc!$V$49-ElevCalc!$V$121)*ElevCalc!$V$91),NA())</f>
        <v/>
      </c>
      <c r="Z326" t="inlineStr">
        <is>
          <t>hng1_3</t>
        </is>
      </c>
      <c r="AA326">
        <f>IF(ElevCalc!$AA$73*ISNUMBER(ElevCalc!$AA$49)*NOT(ElevCalc!$AA$120),(ElevCalc!$AA$92+(ElevCalc!$AA$108)*ElevCalc!$AA$91),NA())</f>
        <v/>
      </c>
      <c r="AB326">
        <f>IF(ElevCalc!$AA$73*ISNUMBER(ElevCalc!$AA$49)*NOT(ElevCalc!$AA$120),((ElevCalc!$AA$90-ElevCalc!$AA$49-ElevCalc!$AA$121)*ElevCalc!$AA$91),NA())</f>
        <v/>
      </c>
      <c r="AE326" t="inlineStr">
        <is>
          <t>hng1_3</t>
        </is>
      </c>
      <c r="AF326">
        <f>IF(ElevCalc!$AF$73*ISNUMBER(ElevCalc!$AF$49)*NOT(ElevCalc!$AF$120),(ElevCalc!$AF$92+(ElevCalc!$AF$108)*ElevCalc!$AF$91),NA())</f>
        <v/>
      </c>
      <c r="AG326">
        <f>IF(ElevCalc!$AF$73*ISNUMBER(ElevCalc!$AF$49)*NOT(ElevCalc!$AF$120),((ElevCalc!$AF$90-ElevCalc!$AF$49-ElevCalc!$AF$121)*ElevCalc!$AF$91),NA())</f>
        <v/>
      </c>
    </row>
    <row r="328">
      <c r="A328" t="inlineStr">
        <is>
          <t>hng2_3</t>
        </is>
      </c>
      <c r="B328">
        <f>IF(ElevCalc!$B$73*ISNUMBER(ElevCalc!$B$49)*NOT(ElevCalc!$B$120)*(ElevCalc!$B$96),(ElevCalc!$B$92+(ElevCalc!$B$88)*ElevCalc!$B$91),NA())</f>
        <v/>
      </c>
      <c r="C328">
        <f>IF(ElevCalc!$B$73*ISNUMBER(ElevCalc!$B$49)*NOT(ElevCalc!$B$120)*(ElevCalc!$B$96),((ElevCalc!$B$90-ElevCalc!$B$49)*ElevCalc!$B$91),NA())</f>
        <v/>
      </c>
      <c r="F328" t="inlineStr">
        <is>
          <t>hng2_3</t>
        </is>
      </c>
      <c r="G328">
        <f>IF(ElevCalc!$G$73*ISNUMBER(ElevCalc!$G$49)*NOT(ElevCalc!$G$120)*(ElevCalc!$G$96),(ElevCalc!$G$92+(ElevCalc!$G$88)*ElevCalc!$G$91),NA())</f>
        <v/>
      </c>
      <c r="H328">
        <f>IF(ElevCalc!$G$73*ISNUMBER(ElevCalc!$G$49)*NOT(ElevCalc!$G$120)*(ElevCalc!$G$96),((ElevCalc!$G$90-ElevCalc!$G$49)*ElevCalc!$G$91),NA())</f>
        <v/>
      </c>
      <c r="K328" t="inlineStr">
        <is>
          <t>hng2_3</t>
        </is>
      </c>
      <c r="L328">
        <f>IF(ElevCalc!$L$73*ISNUMBER(ElevCalc!$L$49)*NOT(ElevCalc!$L$120)*(ElevCalc!$L$96),(ElevCalc!$L$92+(ElevCalc!$L$88)*ElevCalc!$L$91),NA())</f>
        <v/>
      </c>
      <c r="M328">
        <f>IF(ElevCalc!$L$73*ISNUMBER(ElevCalc!$L$49)*NOT(ElevCalc!$L$120)*(ElevCalc!$L$96),((ElevCalc!$L$90-ElevCalc!$L$49)*ElevCalc!$L$91),NA())</f>
        <v/>
      </c>
      <c r="P328" t="inlineStr">
        <is>
          <t>hng2_3</t>
        </is>
      </c>
      <c r="Q328">
        <f>IF(ElevCalc!$Q$73*ISNUMBER(ElevCalc!$Q$49)*NOT(ElevCalc!$Q$120)*(ElevCalc!$Q$96),(ElevCalc!$Q$92+(ElevCalc!$Q$88)*ElevCalc!$Q$91),NA())</f>
        <v/>
      </c>
      <c r="R328">
        <f>IF(ElevCalc!$Q$73*ISNUMBER(ElevCalc!$Q$49)*NOT(ElevCalc!$Q$120)*(ElevCalc!$Q$96),((ElevCalc!$Q$90-ElevCalc!$Q$49)*ElevCalc!$Q$91),NA())</f>
        <v/>
      </c>
      <c r="U328" t="inlineStr">
        <is>
          <t>hng2_3</t>
        </is>
      </c>
      <c r="V328">
        <f>IF(ElevCalc!$V$73*ISNUMBER(ElevCalc!$V$49)*NOT(ElevCalc!$V$120)*(ElevCalc!$V$96),(ElevCalc!$V$92+(ElevCalc!$V$88)*ElevCalc!$V$91),NA())</f>
        <v/>
      </c>
      <c r="W328">
        <f>IF(ElevCalc!$V$73*ISNUMBER(ElevCalc!$V$49)*NOT(ElevCalc!$V$120)*(ElevCalc!$V$96),((ElevCalc!$V$90-ElevCalc!$V$49)*ElevCalc!$V$91),NA())</f>
        <v/>
      </c>
      <c r="Z328" t="inlineStr">
        <is>
          <t>hng2_3</t>
        </is>
      </c>
      <c r="AA328">
        <f>IF(ElevCalc!$AA$73*ISNUMBER(ElevCalc!$AA$49)*NOT(ElevCalc!$AA$120)*(ElevCalc!$AA$96),(ElevCalc!$AA$92+(ElevCalc!$AA$88)*ElevCalc!$AA$91),NA())</f>
        <v/>
      </c>
      <c r="AB328">
        <f>IF(ElevCalc!$AA$73*ISNUMBER(ElevCalc!$AA$49)*NOT(ElevCalc!$AA$120)*(ElevCalc!$AA$96),((ElevCalc!$AA$90-ElevCalc!$AA$49)*ElevCalc!$AA$91),NA())</f>
        <v/>
      </c>
      <c r="AE328" t="inlineStr">
        <is>
          <t>hng2_3</t>
        </is>
      </c>
      <c r="AF328">
        <f>IF(ElevCalc!$AF$73*ISNUMBER(ElevCalc!$AF$49)*NOT(ElevCalc!$AF$120)*(ElevCalc!$AF$96),(ElevCalc!$AF$92+(ElevCalc!$AF$88)*ElevCalc!$AF$91),NA())</f>
        <v/>
      </c>
      <c r="AG328">
        <f>IF(ElevCalc!$AF$73*ISNUMBER(ElevCalc!$AF$49)*NOT(ElevCalc!$AF$120)*(ElevCalc!$AF$96),((ElevCalc!$AF$90-ElevCalc!$AF$49)*ElevCalc!$AF$91),NA())</f>
        <v/>
      </c>
    </row>
    <row r="329">
      <c r="A329" t="inlineStr">
        <is>
          <t>hng2_3</t>
        </is>
      </c>
      <c r="B329">
        <f>IF(ElevCalc!$B$73*ISNUMBER(ElevCalc!$B$49)*NOT(ElevCalc!$B$120)*(ElevCalc!$B$96),(ElevCalc!$B$92+(ElevCalc!$B$88)*ElevCalc!$B$91),NA())</f>
        <v/>
      </c>
      <c r="C329">
        <f>IF(ElevCalc!$B$73*ISNUMBER(ElevCalc!$B$49)*NOT(ElevCalc!$B$120)*(ElevCalc!$B$96),((ElevCalc!$B$90-ElevCalc!$B$49-ElevCalc!$B$121)*ElevCalc!$B$91),NA())</f>
        <v/>
      </c>
      <c r="F329" t="inlineStr">
        <is>
          <t>hng2_3</t>
        </is>
      </c>
      <c r="G329">
        <f>IF(ElevCalc!$G$73*ISNUMBER(ElevCalc!$G$49)*NOT(ElevCalc!$G$120)*(ElevCalc!$G$96),(ElevCalc!$G$92+(ElevCalc!$G$88)*ElevCalc!$G$91),NA())</f>
        <v/>
      </c>
      <c r="H329">
        <f>IF(ElevCalc!$G$73*ISNUMBER(ElevCalc!$G$49)*NOT(ElevCalc!$G$120)*(ElevCalc!$G$96),((ElevCalc!$G$90-ElevCalc!$G$49-ElevCalc!$G$121)*ElevCalc!$G$91),NA())</f>
        <v/>
      </c>
      <c r="K329" t="inlineStr">
        <is>
          <t>hng2_3</t>
        </is>
      </c>
      <c r="L329">
        <f>IF(ElevCalc!$L$73*ISNUMBER(ElevCalc!$L$49)*NOT(ElevCalc!$L$120)*(ElevCalc!$L$96),(ElevCalc!$L$92+(ElevCalc!$L$88)*ElevCalc!$L$91),NA())</f>
        <v/>
      </c>
      <c r="M329">
        <f>IF(ElevCalc!$L$73*ISNUMBER(ElevCalc!$L$49)*NOT(ElevCalc!$L$120)*(ElevCalc!$L$96),((ElevCalc!$L$90-ElevCalc!$L$49-ElevCalc!$L$121)*ElevCalc!$L$91),NA())</f>
        <v/>
      </c>
      <c r="P329" t="inlineStr">
        <is>
          <t>hng2_3</t>
        </is>
      </c>
      <c r="Q329">
        <f>IF(ElevCalc!$Q$73*ISNUMBER(ElevCalc!$Q$49)*NOT(ElevCalc!$Q$120)*(ElevCalc!$Q$96),(ElevCalc!$Q$92+(ElevCalc!$Q$88)*ElevCalc!$Q$91),NA())</f>
        <v/>
      </c>
      <c r="R329">
        <f>IF(ElevCalc!$Q$73*ISNUMBER(ElevCalc!$Q$49)*NOT(ElevCalc!$Q$120)*(ElevCalc!$Q$96),((ElevCalc!$Q$90-ElevCalc!$Q$49-ElevCalc!$Q$121)*ElevCalc!$Q$91),NA())</f>
        <v/>
      </c>
      <c r="U329" t="inlineStr">
        <is>
          <t>hng2_3</t>
        </is>
      </c>
      <c r="V329">
        <f>IF(ElevCalc!$V$73*ISNUMBER(ElevCalc!$V$49)*NOT(ElevCalc!$V$120)*(ElevCalc!$V$96),(ElevCalc!$V$92+(ElevCalc!$V$88)*ElevCalc!$V$91),NA())</f>
        <v/>
      </c>
      <c r="W329">
        <f>IF(ElevCalc!$V$73*ISNUMBER(ElevCalc!$V$49)*NOT(ElevCalc!$V$120)*(ElevCalc!$V$96),((ElevCalc!$V$90-ElevCalc!$V$49-ElevCalc!$V$121)*ElevCalc!$V$91),NA())</f>
        <v/>
      </c>
      <c r="Z329" t="inlineStr">
        <is>
          <t>hng2_3</t>
        </is>
      </c>
      <c r="AA329">
        <f>IF(ElevCalc!$AA$73*ISNUMBER(ElevCalc!$AA$49)*NOT(ElevCalc!$AA$120)*(ElevCalc!$AA$96),(ElevCalc!$AA$92+(ElevCalc!$AA$88)*ElevCalc!$AA$91),NA())</f>
        <v/>
      </c>
      <c r="AB329">
        <f>IF(ElevCalc!$AA$73*ISNUMBER(ElevCalc!$AA$49)*NOT(ElevCalc!$AA$120)*(ElevCalc!$AA$96),((ElevCalc!$AA$90-ElevCalc!$AA$49-ElevCalc!$AA$121)*ElevCalc!$AA$91),NA())</f>
        <v/>
      </c>
      <c r="AE329" t="inlineStr">
        <is>
          <t>hng2_3</t>
        </is>
      </c>
      <c r="AF329">
        <f>IF(ElevCalc!$AF$73*ISNUMBER(ElevCalc!$AF$49)*NOT(ElevCalc!$AF$120)*(ElevCalc!$AF$96),(ElevCalc!$AF$92+(ElevCalc!$AF$88)*ElevCalc!$AF$91),NA())</f>
        <v/>
      </c>
      <c r="AG329">
        <f>IF(ElevCalc!$AF$73*ISNUMBER(ElevCalc!$AF$49)*NOT(ElevCalc!$AF$120)*(ElevCalc!$AF$96),((ElevCalc!$AF$90-ElevCalc!$AF$49-ElevCalc!$AF$121)*ElevCalc!$AF$91),NA())</f>
        <v/>
      </c>
    </row>
    <row r="331">
      <c r="A331" t="inlineStr">
        <is>
          <t>hlR3</t>
        </is>
      </c>
      <c r="B331">
        <f>IF(ElevCalc!$B$73*ISNUMBER(ElevCalc!$B$49)*NOT(ElevCalc!$B$120)*(ElevCalc!$B$105=1),(ElevCalc!$B$92+(ElevCalc!$B$108)*ElevCalc!$B$91),NA())</f>
        <v/>
      </c>
      <c r="C331">
        <f>IF(ElevCalc!$B$73*ISNUMBER(ElevCalc!$B$49)*NOT(ElevCalc!$B$120)*(ElevCalc!$B$105=1),((ElevCalc!$B$90-ElevCalc!$B$49-ElevCalc!$B$121/2)*ElevCalc!$B$91),NA())</f>
        <v/>
      </c>
      <c r="D331">
        <f>ElevCalc!$B$134</f>
        <v/>
      </c>
      <c r="F331" t="inlineStr">
        <is>
          <t>hlR3</t>
        </is>
      </c>
      <c r="G331">
        <f>IF(ElevCalc!$G$73*ISNUMBER(ElevCalc!$G$49)*NOT(ElevCalc!$G$120)*(ElevCalc!$G$105=1),(ElevCalc!$G$92+(ElevCalc!$G$108)*ElevCalc!$G$91),NA())</f>
        <v/>
      </c>
      <c r="H331">
        <f>IF(ElevCalc!$G$73*ISNUMBER(ElevCalc!$G$49)*NOT(ElevCalc!$G$120)*(ElevCalc!$G$105=1),((ElevCalc!$G$90-ElevCalc!$G$49-ElevCalc!$G$121/2)*ElevCalc!$G$91),NA())</f>
        <v/>
      </c>
      <c r="I331">
        <f>ElevCalc!$G$134</f>
        <v/>
      </c>
      <c r="K331" t="inlineStr">
        <is>
          <t>hlR3</t>
        </is>
      </c>
      <c r="L331">
        <f>IF(ElevCalc!$L$73*ISNUMBER(ElevCalc!$L$49)*NOT(ElevCalc!$L$120)*(ElevCalc!$L$105=1),(ElevCalc!$L$92+(ElevCalc!$L$108)*ElevCalc!$L$91),NA())</f>
        <v/>
      </c>
      <c r="M331">
        <f>IF(ElevCalc!$L$73*ISNUMBER(ElevCalc!$L$49)*NOT(ElevCalc!$L$120)*(ElevCalc!$L$105=1),((ElevCalc!$L$90-ElevCalc!$L$49-ElevCalc!$L$121/2)*ElevCalc!$L$91),NA())</f>
        <v/>
      </c>
      <c r="N331">
        <f>ElevCalc!$L$134</f>
        <v/>
      </c>
      <c r="P331" t="inlineStr">
        <is>
          <t>hlR3</t>
        </is>
      </c>
      <c r="Q331">
        <f>IF(ElevCalc!$Q$73*ISNUMBER(ElevCalc!$Q$49)*NOT(ElevCalc!$Q$120)*(ElevCalc!$Q$105=1),(ElevCalc!$Q$92+(ElevCalc!$Q$108)*ElevCalc!$Q$91),NA())</f>
        <v/>
      </c>
      <c r="R331">
        <f>IF(ElevCalc!$Q$73*ISNUMBER(ElevCalc!$Q$49)*NOT(ElevCalc!$Q$120)*(ElevCalc!$Q$105=1),((ElevCalc!$Q$90-ElevCalc!$Q$49-ElevCalc!$Q$121/2)*ElevCalc!$Q$91),NA())</f>
        <v/>
      </c>
      <c r="S331">
        <f>ElevCalc!$Q$134</f>
        <v/>
      </c>
      <c r="U331" t="inlineStr">
        <is>
          <t>hlR3</t>
        </is>
      </c>
      <c r="V331">
        <f>IF(ElevCalc!$V$73*ISNUMBER(ElevCalc!$V$49)*NOT(ElevCalc!$V$120)*(ElevCalc!$V$105=1),(ElevCalc!$V$92+(ElevCalc!$V$108)*ElevCalc!$V$91),NA())</f>
        <v/>
      </c>
      <c r="W331">
        <f>IF(ElevCalc!$V$73*ISNUMBER(ElevCalc!$V$49)*NOT(ElevCalc!$V$120)*(ElevCalc!$V$105=1),((ElevCalc!$V$90-ElevCalc!$V$49-ElevCalc!$V$121/2)*ElevCalc!$V$91),NA())</f>
        <v/>
      </c>
      <c r="X331">
        <f>ElevCalc!$V$134</f>
        <v/>
      </c>
      <c r="Z331" t="inlineStr">
        <is>
          <t>hlR3</t>
        </is>
      </c>
      <c r="AA331">
        <f>IF(ElevCalc!$AA$73*ISNUMBER(ElevCalc!$AA$49)*NOT(ElevCalc!$AA$120)*(ElevCalc!$AA$105=1),(ElevCalc!$AA$92+(ElevCalc!$AA$108)*ElevCalc!$AA$91),NA())</f>
        <v/>
      </c>
      <c r="AB331">
        <f>IF(ElevCalc!$AA$73*ISNUMBER(ElevCalc!$AA$49)*NOT(ElevCalc!$AA$120)*(ElevCalc!$AA$105=1),((ElevCalc!$AA$90-ElevCalc!$AA$49-ElevCalc!$AA$121/2)*ElevCalc!$AA$91),NA())</f>
        <v/>
      </c>
      <c r="AC331">
        <f>ElevCalc!$AA$134</f>
        <v/>
      </c>
      <c r="AE331" t="inlineStr">
        <is>
          <t>hlR3</t>
        </is>
      </c>
      <c r="AF331">
        <f>IF(ElevCalc!$AF$73*ISNUMBER(ElevCalc!$AF$49)*NOT(ElevCalc!$AF$120)*(ElevCalc!$AF$105=1),(ElevCalc!$AF$92+(ElevCalc!$AF$108)*ElevCalc!$AF$91),NA())</f>
        <v/>
      </c>
      <c r="AG331">
        <f>IF(ElevCalc!$AF$73*ISNUMBER(ElevCalc!$AF$49)*NOT(ElevCalc!$AF$120)*(ElevCalc!$AF$105=1),((ElevCalc!$AF$90-ElevCalc!$AF$49-ElevCalc!$AF$121/2)*ElevCalc!$AF$91),NA())</f>
        <v/>
      </c>
      <c r="AH331">
        <f>ElevCalc!$AF$134</f>
        <v/>
      </c>
    </row>
    <row r="333">
      <c r="A333" t="inlineStr">
        <is>
          <t>hlL3</t>
        </is>
      </c>
      <c r="B333">
        <f>IF(ElevCalc!$B$73*ISNUMBER(ElevCalc!$B$49)*NOT(ElevCalc!$B$120)*(ElevCalc!$B$105=0),(ElevCalc!$B$92+(ElevCalc!$B$108)*ElevCalc!$B$91),NA())</f>
        <v/>
      </c>
      <c r="C333">
        <f>IF(ElevCalc!$B$73*ISNUMBER(ElevCalc!$B$49)*NOT(ElevCalc!$B$120)*(ElevCalc!$B$105=0),((ElevCalc!$B$90-ElevCalc!$B$49-ElevCalc!$B$121/2)*ElevCalc!$B$91),NA())</f>
        <v/>
      </c>
      <c r="D333">
        <f>ElevCalc!$B$134</f>
        <v/>
      </c>
      <c r="F333" t="inlineStr">
        <is>
          <t>hlL3</t>
        </is>
      </c>
      <c r="G333">
        <f>IF(ElevCalc!$G$73*ISNUMBER(ElevCalc!$G$49)*NOT(ElevCalc!$G$120)*(ElevCalc!$G$105=0),(ElevCalc!$G$92+(ElevCalc!$G$108)*ElevCalc!$G$91),NA())</f>
        <v/>
      </c>
      <c r="H333">
        <f>IF(ElevCalc!$G$73*ISNUMBER(ElevCalc!$G$49)*NOT(ElevCalc!$G$120)*(ElevCalc!$G$105=0),((ElevCalc!$G$90-ElevCalc!$G$49-ElevCalc!$G$121/2)*ElevCalc!$G$91),NA())</f>
        <v/>
      </c>
      <c r="I333">
        <f>ElevCalc!$G$134</f>
        <v/>
      </c>
      <c r="K333" t="inlineStr">
        <is>
          <t>hlL3</t>
        </is>
      </c>
      <c r="L333">
        <f>IF(ElevCalc!$L$73*ISNUMBER(ElevCalc!$L$49)*NOT(ElevCalc!$L$120)*(ElevCalc!$L$105=0),(ElevCalc!$L$92+(ElevCalc!$L$108)*ElevCalc!$L$91),NA())</f>
        <v/>
      </c>
      <c r="M333">
        <f>IF(ElevCalc!$L$73*ISNUMBER(ElevCalc!$L$49)*NOT(ElevCalc!$L$120)*(ElevCalc!$L$105=0),((ElevCalc!$L$90-ElevCalc!$L$49-ElevCalc!$L$121/2)*ElevCalc!$L$91),NA())</f>
        <v/>
      </c>
      <c r="N333">
        <f>ElevCalc!$L$134</f>
        <v/>
      </c>
      <c r="P333" t="inlineStr">
        <is>
          <t>hlL3</t>
        </is>
      </c>
      <c r="Q333">
        <f>IF(ElevCalc!$Q$73*ISNUMBER(ElevCalc!$Q$49)*NOT(ElevCalc!$Q$120)*(ElevCalc!$Q$105=0),(ElevCalc!$Q$92+(ElevCalc!$Q$108)*ElevCalc!$Q$91),NA())</f>
        <v/>
      </c>
      <c r="R333">
        <f>IF(ElevCalc!$Q$73*ISNUMBER(ElevCalc!$Q$49)*NOT(ElevCalc!$Q$120)*(ElevCalc!$Q$105=0),((ElevCalc!$Q$90-ElevCalc!$Q$49-ElevCalc!$Q$121/2)*ElevCalc!$Q$91),NA())</f>
        <v/>
      </c>
      <c r="S333">
        <f>ElevCalc!$Q$134</f>
        <v/>
      </c>
      <c r="U333" t="inlineStr">
        <is>
          <t>hlL3</t>
        </is>
      </c>
      <c r="V333">
        <f>IF(ElevCalc!$V$73*ISNUMBER(ElevCalc!$V$49)*NOT(ElevCalc!$V$120)*(ElevCalc!$V$105=0),(ElevCalc!$V$92+(ElevCalc!$V$108)*ElevCalc!$V$91),NA())</f>
        <v/>
      </c>
      <c r="W333">
        <f>IF(ElevCalc!$V$73*ISNUMBER(ElevCalc!$V$49)*NOT(ElevCalc!$V$120)*(ElevCalc!$V$105=0),((ElevCalc!$V$90-ElevCalc!$V$49-ElevCalc!$V$121/2)*ElevCalc!$V$91),NA())</f>
        <v/>
      </c>
      <c r="X333">
        <f>ElevCalc!$V$134</f>
        <v/>
      </c>
      <c r="Z333" t="inlineStr">
        <is>
          <t>hlL3</t>
        </is>
      </c>
      <c r="AA333">
        <f>IF(ElevCalc!$AA$73*ISNUMBER(ElevCalc!$AA$49)*NOT(ElevCalc!$AA$120)*(ElevCalc!$AA$105=0),(ElevCalc!$AA$92+(ElevCalc!$AA$108)*ElevCalc!$AA$91),NA())</f>
        <v/>
      </c>
      <c r="AB333">
        <f>IF(ElevCalc!$AA$73*ISNUMBER(ElevCalc!$AA$49)*NOT(ElevCalc!$AA$120)*(ElevCalc!$AA$105=0),((ElevCalc!$AA$90-ElevCalc!$AA$49-ElevCalc!$AA$121/2)*ElevCalc!$AA$91),NA())</f>
        <v/>
      </c>
      <c r="AC333">
        <f>ElevCalc!$AA$134</f>
        <v/>
      </c>
      <c r="AE333" t="inlineStr">
        <is>
          <t>hlL3</t>
        </is>
      </c>
      <c r="AF333">
        <f>IF(ElevCalc!$AF$73*ISNUMBER(ElevCalc!$AF$49)*NOT(ElevCalc!$AF$120)*(ElevCalc!$AF$105=0),(ElevCalc!$AF$92+(ElevCalc!$AF$108)*ElevCalc!$AF$91),NA())</f>
        <v/>
      </c>
      <c r="AG333">
        <f>IF(ElevCalc!$AF$73*ISNUMBER(ElevCalc!$AF$49)*NOT(ElevCalc!$AF$120)*(ElevCalc!$AF$105=0),((ElevCalc!$AF$90-ElevCalc!$AF$49-ElevCalc!$AF$121/2)*ElevCalc!$AF$91),NA())</f>
        <v/>
      </c>
      <c r="AH333">
        <f>ElevCalc!$AF$134</f>
        <v/>
      </c>
    </row>
    <row r="335">
      <c r="A335" t="inlineStr">
        <is>
          <t>hng1_4</t>
        </is>
      </c>
      <c r="B335">
        <f>IF(ElevCalc!$B$73*ISNUMBER(ElevCalc!$B$50)*NOT(ElevCalc!$B$120),(ElevCalc!$B$92+(ElevCalc!$B$108)*ElevCalc!$B$91),NA())</f>
        <v/>
      </c>
      <c r="C335">
        <f>IF(ElevCalc!$B$73*ISNUMBER(ElevCalc!$B$50)*NOT(ElevCalc!$B$120),((ElevCalc!$B$90-ElevCalc!$B$50)*ElevCalc!$B$91),NA())</f>
        <v/>
      </c>
      <c r="F335" t="inlineStr">
        <is>
          <t>hng1_4</t>
        </is>
      </c>
      <c r="G335">
        <f>IF(ElevCalc!$G$73*ISNUMBER(ElevCalc!$G$50)*NOT(ElevCalc!$G$120),(ElevCalc!$G$92+(ElevCalc!$G$108)*ElevCalc!$G$91),NA())</f>
        <v/>
      </c>
      <c r="H335">
        <f>IF(ElevCalc!$G$73*ISNUMBER(ElevCalc!$G$50)*NOT(ElevCalc!$G$120),((ElevCalc!$G$90-ElevCalc!$G$50)*ElevCalc!$G$91),NA())</f>
        <v/>
      </c>
      <c r="K335" t="inlineStr">
        <is>
          <t>hng1_4</t>
        </is>
      </c>
      <c r="L335">
        <f>IF(ElevCalc!$L$73*ISNUMBER(ElevCalc!$L$50)*NOT(ElevCalc!$L$120),(ElevCalc!$L$92+(ElevCalc!$L$108)*ElevCalc!$L$91),NA())</f>
        <v/>
      </c>
      <c r="M335">
        <f>IF(ElevCalc!$L$73*ISNUMBER(ElevCalc!$L$50)*NOT(ElevCalc!$L$120),((ElevCalc!$L$90-ElevCalc!$L$50)*ElevCalc!$L$91),NA())</f>
        <v/>
      </c>
      <c r="P335" t="inlineStr">
        <is>
          <t>hng1_4</t>
        </is>
      </c>
      <c r="Q335">
        <f>IF(ElevCalc!$Q$73*ISNUMBER(ElevCalc!$Q$50)*NOT(ElevCalc!$Q$120),(ElevCalc!$Q$92+(ElevCalc!$Q$108)*ElevCalc!$Q$91),NA())</f>
        <v/>
      </c>
      <c r="R335">
        <f>IF(ElevCalc!$Q$73*ISNUMBER(ElevCalc!$Q$50)*NOT(ElevCalc!$Q$120),((ElevCalc!$Q$90-ElevCalc!$Q$50)*ElevCalc!$Q$91),NA())</f>
        <v/>
      </c>
      <c r="U335" t="inlineStr">
        <is>
          <t>hng1_4</t>
        </is>
      </c>
      <c r="V335">
        <f>IF(ElevCalc!$V$73*ISNUMBER(ElevCalc!$V$50)*NOT(ElevCalc!$V$120),(ElevCalc!$V$92+(ElevCalc!$V$108)*ElevCalc!$V$91),NA())</f>
        <v/>
      </c>
      <c r="W335">
        <f>IF(ElevCalc!$V$73*ISNUMBER(ElevCalc!$V$50)*NOT(ElevCalc!$V$120),((ElevCalc!$V$90-ElevCalc!$V$50)*ElevCalc!$V$91),NA())</f>
        <v/>
      </c>
      <c r="Z335" t="inlineStr">
        <is>
          <t>hng1_4</t>
        </is>
      </c>
      <c r="AA335">
        <f>IF(ElevCalc!$AA$73*ISNUMBER(ElevCalc!$AA$50)*NOT(ElevCalc!$AA$120),(ElevCalc!$AA$92+(ElevCalc!$AA$108)*ElevCalc!$AA$91),NA())</f>
        <v/>
      </c>
      <c r="AB335">
        <f>IF(ElevCalc!$AA$73*ISNUMBER(ElevCalc!$AA$50)*NOT(ElevCalc!$AA$120),((ElevCalc!$AA$90-ElevCalc!$AA$50)*ElevCalc!$AA$91),NA())</f>
        <v/>
      </c>
      <c r="AE335" t="inlineStr">
        <is>
          <t>hng1_4</t>
        </is>
      </c>
      <c r="AF335">
        <f>IF(ElevCalc!$AF$73*ISNUMBER(ElevCalc!$AF$50)*NOT(ElevCalc!$AF$120),(ElevCalc!$AF$92+(ElevCalc!$AF$108)*ElevCalc!$AF$91),NA())</f>
        <v/>
      </c>
      <c r="AG335">
        <f>IF(ElevCalc!$AF$73*ISNUMBER(ElevCalc!$AF$50)*NOT(ElevCalc!$AF$120),((ElevCalc!$AF$90-ElevCalc!$AF$50)*ElevCalc!$AF$91),NA())</f>
        <v/>
      </c>
    </row>
    <row r="336">
      <c r="A336" t="inlineStr">
        <is>
          <t>hng1_4</t>
        </is>
      </c>
      <c r="B336">
        <f>IF(ElevCalc!$B$73*ISNUMBER(ElevCalc!$B$50)*NOT(ElevCalc!$B$120),(ElevCalc!$B$92+(ElevCalc!$B$108)*ElevCalc!$B$91),NA())</f>
        <v/>
      </c>
      <c r="C336">
        <f>IF(ElevCalc!$B$73*ISNUMBER(ElevCalc!$B$50)*NOT(ElevCalc!$B$120),((ElevCalc!$B$90-ElevCalc!$B$50-ElevCalc!$B$121)*ElevCalc!$B$91),NA())</f>
        <v/>
      </c>
      <c r="F336" t="inlineStr">
        <is>
          <t>hng1_4</t>
        </is>
      </c>
      <c r="G336">
        <f>IF(ElevCalc!$G$73*ISNUMBER(ElevCalc!$G$50)*NOT(ElevCalc!$G$120),(ElevCalc!$G$92+(ElevCalc!$G$108)*ElevCalc!$G$91),NA())</f>
        <v/>
      </c>
      <c r="H336">
        <f>IF(ElevCalc!$G$73*ISNUMBER(ElevCalc!$G$50)*NOT(ElevCalc!$G$120),((ElevCalc!$G$90-ElevCalc!$G$50-ElevCalc!$G$121)*ElevCalc!$G$91),NA())</f>
        <v/>
      </c>
      <c r="K336" t="inlineStr">
        <is>
          <t>hng1_4</t>
        </is>
      </c>
      <c r="L336">
        <f>IF(ElevCalc!$L$73*ISNUMBER(ElevCalc!$L$50)*NOT(ElevCalc!$L$120),(ElevCalc!$L$92+(ElevCalc!$L$108)*ElevCalc!$L$91),NA())</f>
        <v/>
      </c>
      <c r="M336">
        <f>IF(ElevCalc!$L$73*ISNUMBER(ElevCalc!$L$50)*NOT(ElevCalc!$L$120),((ElevCalc!$L$90-ElevCalc!$L$50-ElevCalc!$L$121)*ElevCalc!$L$91),NA())</f>
        <v/>
      </c>
      <c r="P336" t="inlineStr">
        <is>
          <t>hng1_4</t>
        </is>
      </c>
      <c r="Q336">
        <f>IF(ElevCalc!$Q$73*ISNUMBER(ElevCalc!$Q$50)*NOT(ElevCalc!$Q$120),(ElevCalc!$Q$92+(ElevCalc!$Q$108)*ElevCalc!$Q$91),NA())</f>
        <v/>
      </c>
      <c r="R336">
        <f>IF(ElevCalc!$Q$73*ISNUMBER(ElevCalc!$Q$50)*NOT(ElevCalc!$Q$120),((ElevCalc!$Q$90-ElevCalc!$Q$50-ElevCalc!$Q$121)*ElevCalc!$Q$91),NA())</f>
        <v/>
      </c>
      <c r="U336" t="inlineStr">
        <is>
          <t>hng1_4</t>
        </is>
      </c>
      <c r="V336">
        <f>IF(ElevCalc!$V$73*ISNUMBER(ElevCalc!$V$50)*NOT(ElevCalc!$V$120),(ElevCalc!$V$92+(ElevCalc!$V$108)*ElevCalc!$V$91),NA())</f>
        <v/>
      </c>
      <c r="W336">
        <f>IF(ElevCalc!$V$73*ISNUMBER(ElevCalc!$V$50)*NOT(ElevCalc!$V$120),((ElevCalc!$V$90-ElevCalc!$V$50-ElevCalc!$V$121)*ElevCalc!$V$91),NA())</f>
        <v/>
      </c>
      <c r="Z336" t="inlineStr">
        <is>
          <t>hng1_4</t>
        </is>
      </c>
      <c r="AA336">
        <f>IF(ElevCalc!$AA$73*ISNUMBER(ElevCalc!$AA$50)*NOT(ElevCalc!$AA$120),(ElevCalc!$AA$92+(ElevCalc!$AA$108)*ElevCalc!$AA$91),NA())</f>
        <v/>
      </c>
      <c r="AB336">
        <f>IF(ElevCalc!$AA$73*ISNUMBER(ElevCalc!$AA$50)*NOT(ElevCalc!$AA$120),((ElevCalc!$AA$90-ElevCalc!$AA$50-ElevCalc!$AA$121)*ElevCalc!$AA$91),NA())</f>
        <v/>
      </c>
      <c r="AE336" t="inlineStr">
        <is>
          <t>hng1_4</t>
        </is>
      </c>
      <c r="AF336">
        <f>IF(ElevCalc!$AF$73*ISNUMBER(ElevCalc!$AF$50)*NOT(ElevCalc!$AF$120),(ElevCalc!$AF$92+(ElevCalc!$AF$108)*ElevCalc!$AF$91),NA())</f>
        <v/>
      </c>
      <c r="AG336">
        <f>IF(ElevCalc!$AF$73*ISNUMBER(ElevCalc!$AF$50)*NOT(ElevCalc!$AF$120),((ElevCalc!$AF$90-ElevCalc!$AF$50-ElevCalc!$AF$121)*ElevCalc!$AF$91),NA())</f>
        <v/>
      </c>
    </row>
    <row r="338">
      <c r="A338" t="inlineStr">
        <is>
          <t>hng2_4</t>
        </is>
      </c>
      <c r="B338">
        <f>IF(ElevCalc!$B$73*ISNUMBER(ElevCalc!$B$50)*NOT(ElevCalc!$B$120)*(ElevCalc!$B$96),(ElevCalc!$B$92+(ElevCalc!$B$88)*ElevCalc!$B$91),NA())</f>
        <v/>
      </c>
      <c r="C338">
        <f>IF(ElevCalc!$B$73*ISNUMBER(ElevCalc!$B$50)*NOT(ElevCalc!$B$120)*(ElevCalc!$B$96),((ElevCalc!$B$90-ElevCalc!$B$50)*ElevCalc!$B$91),NA())</f>
        <v/>
      </c>
      <c r="F338" t="inlineStr">
        <is>
          <t>hng2_4</t>
        </is>
      </c>
      <c r="G338">
        <f>IF(ElevCalc!$G$73*ISNUMBER(ElevCalc!$G$50)*NOT(ElevCalc!$G$120)*(ElevCalc!$G$96),(ElevCalc!$G$92+(ElevCalc!$G$88)*ElevCalc!$G$91),NA())</f>
        <v/>
      </c>
      <c r="H338">
        <f>IF(ElevCalc!$G$73*ISNUMBER(ElevCalc!$G$50)*NOT(ElevCalc!$G$120)*(ElevCalc!$G$96),((ElevCalc!$G$90-ElevCalc!$G$50)*ElevCalc!$G$91),NA())</f>
        <v/>
      </c>
      <c r="K338" t="inlineStr">
        <is>
          <t>hng2_4</t>
        </is>
      </c>
      <c r="L338">
        <f>IF(ElevCalc!$L$73*ISNUMBER(ElevCalc!$L$50)*NOT(ElevCalc!$L$120)*(ElevCalc!$L$96),(ElevCalc!$L$92+(ElevCalc!$L$88)*ElevCalc!$L$91),NA())</f>
        <v/>
      </c>
      <c r="M338">
        <f>IF(ElevCalc!$L$73*ISNUMBER(ElevCalc!$L$50)*NOT(ElevCalc!$L$120)*(ElevCalc!$L$96),((ElevCalc!$L$90-ElevCalc!$L$50)*ElevCalc!$L$91),NA())</f>
        <v/>
      </c>
      <c r="P338" t="inlineStr">
        <is>
          <t>hng2_4</t>
        </is>
      </c>
      <c r="Q338">
        <f>IF(ElevCalc!$Q$73*ISNUMBER(ElevCalc!$Q$50)*NOT(ElevCalc!$Q$120)*(ElevCalc!$Q$96),(ElevCalc!$Q$92+(ElevCalc!$Q$88)*ElevCalc!$Q$91),NA())</f>
        <v/>
      </c>
      <c r="R338">
        <f>IF(ElevCalc!$Q$73*ISNUMBER(ElevCalc!$Q$50)*NOT(ElevCalc!$Q$120)*(ElevCalc!$Q$96),((ElevCalc!$Q$90-ElevCalc!$Q$50)*ElevCalc!$Q$91),NA())</f>
        <v/>
      </c>
      <c r="U338" t="inlineStr">
        <is>
          <t>hng2_4</t>
        </is>
      </c>
      <c r="V338">
        <f>IF(ElevCalc!$V$73*ISNUMBER(ElevCalc!$V$50)*NOT(ElevCalc!$V$120)*(ElevCalc!$V$96),(ElevCalc!$V$92+(ElevCalc!$V$88)*ElevCalc!$V$91),NA())</f>
        <v/>
      </c>
      <c r="W338">
        <f>IF(ElevCalc!$V$73*ISNUMBER(ElevCalc!$V$50)*NOT(ElevCalc!$V$120)*(ElevCalc!$V$96),((ElevCalc!$V$90-ElevCalc!$V$50)*ElevCalc!$V$91),NA())</f>
        <v/>
      </c>
      <c r="Z338" t="inlineStr">
        <is>
          <t>hng2_4</t>
        </is>
      </c>
      <c r="AA338">
        <f>IF(ElevCalc!$AA$73*ISNUMBER(ElevCalc!$AA$50)*NOT(ElevCalc!$AA$120)*(ElevCalc!$AA$96),(ElevCalc!$AA$92+(ElevCalc!$AA$88)*ElevCalc!$AA$91),NA())</f>
        <v/>
      </c>
      <c r="AB338">
        <f>IF(ElevCalc!$AA$73*ISNUMBER(ElevCalc!$AA$50)*NOT(ElevCalc!$AA$120)*(ElevCalc!$AA$96),((ElevCalc!$AA$90-ElevCalc!$AA$50)*ElevCalc!$AA$91),NA())</f>
        <v/>
      </c>
      <c r="AE338" t="inlineStr">
        <is>
          <t>hng2_4</t>
        </is>
      </c>
      <c r="AF338">
        <f>IF(ElevCalc!$AF$73*ISNUMBER(ElevCalc!$AF$50)*NOT(ElevCalc!$AF$120)*(ElevCalc!$AF$96),(ElevCalc!$AF$92+(ElevCalc!$AF$88)*ElevCalc!$AF$91),NA())</f>
        <v/>
      </c>
      <c r="AG338">
        <f>IF(ElevCalc!$AF$73*ISNUMBER(ElevCalc!$AF$50)*NOT(ElevCalc!$AF$120)*(ElevCalc!$AF$96),((ElevCalc!$AF$90-ElevCalc!$AF$50)*ElevCalc!$AF$91),NA())</f>
        <v/>
      </c>
    </row>
    <row r="339">
      <c r="A339" t="inlineStr">
        <is>
          <t>hng2_4</t>
        </is>
      </c>
      <c r="B339">
        <f>IF(ElevCalc!$B$73*ISNUMBER(ElevCalc!$B$50)*NOT(ElevCalc!$B$120)*(ElevCalc!$B$96),(ElevCalc!$B$92+(ElevCalc!$B$88)*ElevCalc!$B$91),NA())</f>
        <v/>
      </c>
      <c r="C339">
        <f>IF(ElevCalc!$B$73*ISNUMBER(ElevCalc!$B$50)*NOT(ElevCalc!$B$120)*(ElevCalc!$B$96),((ElevCalc!$B$90-ElevCalc!$B$50-ElevCalc!$B$121)*ElevCalc!$B$91),NA())</f>
        <v/>
      </c>
      <c r="F339" t="inlineStr">
        <is>
          <t>hng2_4</t>
        </is>
      </c>
      <c r="G339">
        <f>IF(ElevCalc!$G$73*ISNUMBER(ElevCalc!$G$50)*NOT(ElevCalc!$G$120)*(ElevCalc!$G$96),(ElevCalc!$G$92+(ElevCalc!$G$88)*ElevCalc!$G$91),NA())</f>
        <v/>
      </c>
      <c r="H339">
        <f>IF(ElevCalc!$G$73*ISNUMBER(ElevCalc!$G$50)*NOT(ElevCalc!$G$120)*(ElevCalc!$G$96),((ElevCalc!$G$90-ElevCalc!$G$50-ElevCalc!$G$121)*ElevCalc!$G$91),NA())</f>
        <v/>
      </c>
      <c r="K339" t="inlineStr">
        <is>
          <t>hng2_4</t>
        </is>
      </c>
      <c r="L339">
        <f>IF(ElevCalc!$L$73*ISNUMBER(ElevCalc!$L$50)*NOT(ElevCalc!$L$120)*(ElevCalc!$L$96),(ElevCalc!$L$92+(ElevCalc!$L$88)*ElevCalc!$L$91),NA())</f>
        <v/>
      </c>
      <c r="M339">
        <f>IF(ElevCalc!$L$73*ISNUMBER(ElevCalc!$L$50)*NOT(ElevCalc!$L$120)*(ElevCalc!$L$96),((ElevCalc!$L$90-ElevCalc!$L$50-ElevCalc!$L$121)*ElevCalc!$L$91),NA())</f>
        <v/>
      </c>
      <c r="P339" t="inlineStr">
        <is>
          <t>hng2_4</t>
        </is>
      </c>
      <c r="Q339">
        <f>IF(ElevCalc!$Q$73*ISNUMBER(ElevCalc!$Q$50)*NOT(ElevCalc!$Q$120)*(ElevCalc!$Q$96),(ElevCalc!$Q$92+(ElevCalc!$Q$88)*ElevCalc!$Q$91),NA())</f>
        <v/>
      </c>
      <c r="R339">
        <f>IF(ElevCalc!$Q$73*ISNUMBER(ElevCalc!$Q$50)*NOT(ElevCalc!$Q$120)*(ElevCalc!$Q$96),((ElevCalc!$Q$90-ElevCalc!$Q$50-ElevCalc!$Q$121)*ElevCalc!$Q$91),NA())</f>
        <v/>
      </c>
      <c r="U339" t="inlineStr">
        <is>
          <t>hng2_4</t>
        </is>
      </c>
      <c r="V339">
        <f>IF(ElevCalc!$V$73*ISNUMBER(ElevCalc!$V$50)*NOT(ElevCalc!$V$120)*(ElevCalc!$V$96),(ElevCalc!$V$92+(ElevCalc!$V$88)*ElevCalc!$V$91),NA())</f>
        <v/>
      </c>
      <c r="W339">
        <f>IF(ElevCalc!$V$73*ISNUMBER(ElevCalc!$V$50)*NOT(ElevCalc!$V$120)*(ElevCalc!$V$96),((ElevCalc!$V$90-ElevCalc!$V$50-ElevCalc!$V$121)*ElevCalc!$V$91),NA())</f>
        <v/>
      </c>
      <c r="Z339" t="inlineStr">
        <is>
          <t>hng2_4</t>
        </is>
      </c>
      <c r="AA339">
        <f>IF(ElevCalc!$AA$73*ISNUMBER(ElevCalc!$AA$50)*NOT(ElevCalc!$AA$120)*(ElevCalc!$AA$96),(ElevCalc!$AA$92+(ElevCalc!$AA$88)*ElevCalc!$AA$91),NA())</f>
        <v/>
      </c>
      <c r="AB339">
        <f>IF(ElevCalc!$AA$73*ISNUMBER(ElevCalc!$AA$50)*NOT(ElevCalc!$AA$120)*(ElevCalc!$AA$96),((ElevCalc!$AA$90-ElevCalc!$AA$50-ElevCalc!$AA$121)*ElevCalc!$AA$91),NA())</f>
        <v/>
      </c>
      <c r="AE339" t="inlineStr">
        <is>
          <t>hng2_4</t>
        </is>
      </c>
      <c r="AF339">
        <f>IF(ElevCalc!$AF$73*ISNUMBER(ElevCalc!$AF$50)*NOT(ElevCalc!$AF$120)*(ElevCalc!$AF$96),(ElevCalc!$AF$92+(ElevCalc!$AF$88)*ElevCalc!$AF$91),NA())</f>
        <v/>
      </c>
      <c r="AG339">
        <f>IF(ElevCalc!$AF$73*ISNUMBER(ElevCalc!$AF$50)*NOT(ElevCalc!$AF$120)*(ElevCalc!$AF$96),((ElevCalc!$AF$90-ElevCalc!$AF$50-ElevCalc!$AF$121)*ElevCalc!$AF$91),NA())</f>
        <v/>
      </c>
    </row>
    <row r="341">
      <c r="A341" t="inlineStr">
        <is>
          <t>hlR4</t>
        </is>
      </c>
      <c r="B341">
        <f>IF(ElevCalc!$B$73*ISNUMBER(ElevCalc!$B$50)*NOT(ElevCalc!$B$120)*(ElevCalc!$B$105=1),(ElevCalc!$B$92+(ElevCalc!$B$108)*ElevCalc!$B$91),NA())</f>
        <v/>
      </c>
      <c r="C341">
        <f>IF(ElevCalc!$B$73*ISNUMBER(ElevCalc!$B$50)*NOT(ElevCalc!$B$120)*(ElevCalc!$B$105=1),((ElevCalc!$B$90-ElevCalc!$B$50-ElevCalc!$B$121/2)*ElevCalc!$B$91),NA())</f>
        <v/>
      </c>
      <c r="D341">
        <f>ElevCalc!$B$135</f>
        <v/>
      </c>
      <c r="F341" t="inlineStr">
        <is>
          <t>hlR4</t>
        </is>
      </c>
      <c r="G341">
        <f>IF(ElevCalc!$G$73*ISNUMBER(ElevCalc!$G$50)*NOT(ElevCalc!$G$120)*(ElevCalc!$G$105=1),(ElevCalc!$G$92+(ElevCalc!$G$108)*ElevCalc!$G$91),NA())</f>
        <v/>
      </c>
      <c r="H341">
        <f>IF(ElevCalc!$G$73*ISNUMBER(ElevCalc!$G$50)*NOT(ElevCalc!$G$120)*(ElevCalc!$G$105=1),((ElevCalc!$G$90-ElevCalc!$G$50-ElevCalc!$G$121/2)*ElevCalc!$G$91),NA())</f>
        <v/>
      </c>
      <c r="I341">
        <f>ElevCalc!$G$135</f>
        <v/>
      </c>
      <c r="K341" t="inlineStr">
        <is>
          <t>hlR4</t>
        </is>
      </c>
      <c r="L341">
        <f>IF(ElevCalc!$L$73*ISNUMBER(ElevCalc!$L$50)*NOT(ElevCalc!$L$120)*(ElevCalc!$L$105=1),(ElevCalc!$L$92+(ElevCalc!$L$108)*ElevCalc!$L$91),NA())</f>
        <v/>
      </c>
      <c r="M341">
        <f>IF(ElevCalc!$L$73*ISNUMBER(ElevCalc!$L$50)*NOT(ElevCalc!$L$120)*(ElevCalc!$L$105=1),((ElevCalc!$L$90-ElevCalc!$L$50-ElevCalc!$L$121/2)*ElevCalc!$L$91),NA())</f>
        <v/>
      </c>
      <c r="N341">
        <f>ElevCalc!$L$135</f>
        <v/>
      </c>
      <c r="P341" t="inlineStr">
        <is>
          <t>hlR4</t>
        </is>
      </c>
      <c r="Q341">
        <f>IF(ElevCalc!$Q$73*ISNUMBER(ElevCalc!$Q$50)*NOT(ElevCalc!$Q$120)*(ElevCalc!$Q$105=1),(ElevCalc!$Q$92+(ElevCalc!$Q$108)*ElevCalc!$Q$91),NA())</f>
        <v/>
      </c>
      <c r="R341">
        <f>IF(ElevCalc!$Q$73*ISNUMBER(ElevCalc!$Q$50)*NOT(ElevCalc!$Q$120)*(ElevCalc!$Q$105=1),((ElevCalc!$Q$90-ElevCalc!$Q$50-ElevCalc!$Q$121/2)*ElevCalc!$Q$91),NA())</f>
        <v/>
      </c>
      <c r="S341">
        <f>ElevCalc!$Q$135</f>
        <v/>
      </c>
      <c r="U341" t="inlineStr">
        <is>
          <t>hlR4</t>
        </is>
      </c>
      <c r="V341">
        <f>IF(ElevCalc!$V$73*ISNUMBER(ElevCalc!$V$50)*NOT(ElevCalc!$V$120)*(ElevCalc!$V$105=1),(ElevCalc!$V$92+(ElevCalc!$V$108)*ElevCalc!$V$91),NA())</f>
        <v/>
      </c>
      <c r="W341">
        <f>IF(ElevCalc!$V$73*ISNUMBER(ElevCalc!$V$50)*NOT(ElevCalc!$V$120)*(ElevCalc!$V$105=1),((ElevCalc!$V$90-ElevCalc!$V$50-ElevCalc!$V$121/2)*ElevCalc!$V$91),NA())</f>
        <v/>
      </c>
      <c r="X341">
        <f>ElevCalc!$V$135</f>
        <v/>
      </c>
      <c r="Z341" t="inlineStr">
        <is>
          <t>hlR4</t>
        </is>
      </c>
      <c r="AA341">
        <f>IF(ElevCalc!$AA$73*ISNUMBER(ElevCalc!$AA$50)*NOT(ElevCalc!$AA$120)*(ElevCalc!$AA$105=1),(ElevCalc!$AA$92+(ElevCalc!$AA$108)*ElevCalc!$AA$91),NA())</f>
        <v/>
      </c>
      <c r="AB341">
        <f>IF(ElevCalc!$AA$73*ISNUMBER(ElevCalc!$AA$50)*NOT(ElevCalc!$AA$120)*(ElevCalc!$AA$105=1),((ElevCalc!$AA$90-ElevCalc!$AA$50-ElevCalc!$AA$121/2)*ElevCalc!$AA$91),NA())</f>
        <v/>
      </c>
      <c r="AC341">
        <f>ElevCalc!$AA$135</f>
        <v/>
      </c>
      <c r="AE341" t="inlineStr">
        <is>
          <t>hlR4</t>
        </is>
      </c>
      <c r="AF341">
        <f>IF(ElevCalc!$AF$73*ISNUMBER(ElevCalc!$AF$50)*NOT(ElevCalc!$AF$120)*(ElevCalc!$AF$105=1),(ElevCalc!$AF$92+(ElevCalc!$AF$108)*ElevCalc!$AF$91),NA())</f>
        <v/>
      </c>
      <c r="AG341">
        <f>IF(ElevCalc!$AF$73*ISNUMBER(ElevCalc!$AF$50)*NOT(ElevCalc!$AF$120)*(ElevCalc!$AF$105=1),((ElevCalc!$AF$90-ElevCalc!$AF$50-ElevCalc!$AF$121/2)*ElevCalc!$AF$91),NA())</f>
        <v/>
      </c>
      <c r="AH341">
        <f>ElevCalc!$AF$135</f>
        <v/>
      </c>
    </row>
    <row r="343">
      <c r="A343" t="inlineStr">
        <is>
          <t>hlL4</t>
        </is>
      </c>
      <c r="B343">
        <f>IF(ElevCalc!$B$73*ISNUMBER(ElevCalc!$B$50)*NOT(ElevCalc!$B$120)*(ElevCalc!$B$105=0),(ElevCalc!$B$92+(ElevCalc!$B$108)*ElevCalc!$B$91),NA())</f>
        <v/>
      </c>
      <c r="C343">
        <f>IF(ElevCalc!$B$73*ISNUMBER(ElevCalc!$B$50)*NOT(ElevCalc!$B$120)*(ElevCalc!$B$105=0),((ElevCalc!$B$90-ElevCalc!$B$50-ElevCalc!$B$121/2)*ElevCalc!$B$91),NA())</f>
        <v/>
      </c>
      <c r="D343">
        <f>ElevCalc!$B$135</f>
        <v/>
      </c>
      <c r="F343" t="inlineStr">
        <is>
          <t>hlL4</t>
        </is>
      </c>
      <c r="G343">
        <f>IF(ElevCalc!$G$73*ISNUMBER(ElevCalc!$G$50)*NOT(ElevCalc!$G$120)*(ElevCalc!$G$105=0),(ElevCalc!$G$92+(ElevCalc!$G$108)*ElevCalc!$G$91),NA())</f>
        <v/>
      </c>
      <c r="H343">
        <f>IF(ElevCalc!$G$73*ISNUMBER(ElevCalc!$G$50)*NOT(ElevCalc!$G$120)*(ElevCalc!$G$105=0),((ElevCalc!$G$90-ElevCalc!$G$50-ElevCalc!$G$121/2)*ElevCalc!$G$91),NA())</f>
        <v/>
      </c>
      <c r="I343">
        <f>ElevCalc!$G$135</f>
        <v/>
      </c>
      <c r="K343" t="inlineStr">
        <is>
          <t>hlL4</t>
        </is>
      </c>
      <c r="L343">
        <f>IF(ElevCalc!$L$73*ISNUMBER(ElevCalc!$L$50)*NOT(ElevCalc!$L$120)*(ElevCalc!$L$105=0),(ElevCalc!$L$92+(ElevCalc!$L$108)*ElevCalc!$L$91),NA())</f>
        <v/>
      </c>
      <c r="M343">
        <f>IF(ElevCalc!$L$73*ISNUMBER(ElevCalc!$L$50)*NOT(ElevCalc!$L$120)*(ElevCalc!$L$105=0),((ElevCalc!$L$90-ElevCalc!$L$50-ElevCalc!$L$121/2)*ElevCalc!$L$91),NA())</f>
        <v/>
      </c>
      <c r="N343">
        <f>ElevCalc!$L$135</f>
        <v/>
      </c>
      <c r="P343" t="inlineStr">
        <is>
          <t>hlL4</t>
        </is>
      </c>
      <c r="Q343">
        <f>IF(ElevCalc!$Q$73*ISNUMBER(ElevCalc!$Q$50)*NOT(ElevCalc!$Q$120)*(ElevCalc!$Q$105=0),(ElevCalc!$Q$92+(ElevCalc!$Q$108)*ElevCalc!$Q$91),NA())</f>
        <v/>
      </c>
      <c r="R343">
        <f>IF(ElevCalc!$Q$73*ISNUMBER(ElevCalc!$Q$50)*NOT(ElevCalc!$Q$120)*(ElevCalc!$Q$105=0),((ElevCalc!$Q$90-ElevCalc!$Q$50-ElevCalc!$Q$121/2)*ElevCalc!$Q$91),NA())</f>
        <v/>
      </c>
      <c r="S343">
        <f>ElevCalc!$Q$135</f>
        <v/>
      </c>
      <c r="U343" t="inlineStr">
        <is>
          <t>hlL4</t>
        </is>
      </c>
      <c r="V343">
        <f>IF(ElevCalc!$V$73*ISNUMBER(ElevCalc!$V$50)*NOT(ElevCalc!$V$120)*(ElevCalc!$V$105=0),(ElevCalc!$V$92+(ElevCalc!$V$108)*ElevCalc!$V$91),NA())</f>
        <v/>
      </c>
      <c r="W343">
        <f>IF(ElevCalc!$V$73*ISNUMBER(ElevCalc!$V$50)*NOT(ElevCalc!$V$120)*(ElevCalc!$V$105=0),((ElevCalc!$V$90-ElevCalc!$V$50-ElevCalc!$V$121/2)*ElevCalc!$V$91),NA())</f>
        <v/>
      </c>
      <c r="X343">
        <f>ElevCalc!$V$135</f>
        <v/>
      </c>
      <c r="Z343" t="inlineStr">
        <is>
          <t>hlL4</t>
        </is>
      </c>
      <c r="AA343">
        <f>IF(ElevCalc!$AA$73*ISNUMBER(ElevCalc!$AA$50)*NOT(ElevCalc!$AA$120)*(ElevCalc!$AA$105=0),(ElevCalc!$AA$92+(ElevCalc!$AA$108)*ElevCalc!$AA$91),NA())</f>
        <v/>
      </c>
      <c r="AB343">
        <f>IF(ElevCalc!$AA$73*ISNUMBER(ElevCalc!$AA$50)*NOT(ElevCalc!$AA$120)*(ElevCalc!$AA$105=0),((ElevCalc!$AA$90-ElevCalc!$AA$50-ElevCalc!$AA$121/2)*ElevCalc!$AA$91),NA())</f>
        <v/>
      </c>
      <c r="AC343">
        <f>ElevCalc!$AA$135</f>
        <v/>
      </c>
      <c r="AE343" t="inlineStr">
        <is>
          <t>hlL4</t>
        </is>
      </c>
      <c r="AF343">
        <f>IF(ElevCalc!$AF$73*ISNUMBER(ElevCalc!$AF$50)*NOT(ElevCalc!$AF$120)*(ElevCalc!$AF$105=0),(ElevCalc!$AF$92+(ElevCalc!$AF$108)*ElevCalc!$AF$91),NA())</f>
        <v/>
      </c>
      <c r="AG343">
        <f>IF(ElevCalc!$AF$73*ISNUMBER(ElevCalc!$AF$50)*NOT(ElevCalc!$AF$120)*(ElevCalc!$AF$105=0),((ElevCalc!$AF$90-ElevCalc!$AF$50-ElevCalc!$AF$121/2)*ElevCalc!$AF$91),NA())</f>
        <v/>
      </c>
      <c r="AH343">
        <f>ElevCalc!$AF$135</f>
        <v/>
      </c>
    </row>
    <row r="345">
      <c r="A345" t="inlineStr">
        <is>
          <t>cont1</t>
        </is>
      </c>
      <c r="B345">
        <f>IF(ElevCalc!$B$73*(ElevCalc!$B$93&gt;=1)*ElevCalc!$B$120,(ElevCalc!$B$92+(ElevCalc!$B$108)*ElevCalc!$B$91),NA())</f>
        <v/>
      </c>
      <c r="C345">
        <f>IF(ElevCalc!$B$73*(ElevCalc!$B$93&gt;=1)*ElevCalc!$B$120,((ElevCalc!$B$97+1)*ElevCalc!$B$91),NA())</f>
        <v/>
      </c>
      <c r="F345" t="inlineStr">
        <is>
          <t>cont1</t>
        </is>
      </c>
      <c r="G345">
        <f>IF(ElevCalc!$G$73*(ElevCalc!$G$93&gt;=1)*ElevCalc!$G$120,(ElevCalc!$G$92+(ElevCalc!$G$108)*ElevCalc!$G$91),NA())</f>
        <v/>
      </c>
      <c r="H345">
        <f>IF(ElevCalc!$G$73*(ElevCalc!$G$93&gt;=1)*ElevCalc!$G$120,((ElevCalc!$G$97+1)*ElevCalc!$G$91),NA())</f>
        <v/>
      </c>
      <c r="K345" t="inlineStr">
        <is>
          <t>cont1</t>
        </is>
      </c>
      <c r="L345">
        <f>IF(ElevCalc!$L$73*(ElevCalc!$L$93&gt;=1)*ElevCalc!$L$120,(ElevCalc!$L$92+(ElevCalc!$L$108)*ElevCalc!$L$91),NA())</f>
        <v/>
      </c>
      <c r="M345">
        <f>IF(ElevCalc!$L$73*(ElevCalc!$L$93&gt;=1)*ElevCalc!$L$120,((ElevCalc!$L$97+1)*ElevCalc!$L$91),NA())</f>
        <v/>
      </c>
      <c r="P345" t="inlineStr">
        <is>
          <t>cont1</t>
        </is>
      </c>
      <c r="Q345">
        <f>IF(ElevCalc!$Q$73*(ElevCalc!$Q$93&gt;=1)*ElevCalc!$Q$120,(ElevCalc!$Q$92+(ElevCalc!$Q$108)*ElevCalc!$Q$91),NA())</f>
        <v/>
      </c>
      <c r="R345">
        <f>IF(ElevCalc!$Q$73*(ElevCalc!$Q$93&gt;=1)*ElevCalc!$Q$120,((ElevCalc!$Q$97+1)*ElevCalc!$Q$91),NA())</f>
        <v/>
      </c>
      <c r="U345" t="inlineStr">
        <is>
          <t>cont1</t>
        </is>
      </c>
      <c r="V345">
        <f>IF(ElevCalc!$V$73*(ElevCalc!$V$93&gt;=1)*ElevCalc!$V$120,(ElevCalc!$V$92+(ElevCalc!$V$108)*ElevCalc!$V$91),NA())</f>
        <v/>
      </c>
      <c r="W345">
        <f>IF(ElevCalc!$V$73*(ElevCalc!$V$93&gt;=1)*ElevCalc!$V$120,((ElevCalc!$V$97+1)*ElevCalc!$V$91),NA())</f>
        <v/>
      </c>
      <c r="Z345" t="inlineStr">
        <is>
          <t>cont1</t>
        </is>
      </c>
      <c r="AA345">
        <f>IF(ElevCalc!$AA$73*(ElevCalc!$AA$93&gt;=1)*ElevCalc!$AA$120,(ElevCalc!$AA$92+(ElevCalc!$AA$108)*ElevCalc!$AA$91),NA())</f>
        <v/>
      </c>
      <c r="AB345">
        <f>IF(ElevCalc!$AA$73*(ElevCalc!$AA$93&gt;=1)*ElevCalc!$AA$120,((ElevCalc!$AA$97+1)*ElevCalc!$AA$91),NA())</f>
        <v/>
      </c>
      <c r="AE345" t="inlineStr">
        <is>
          <t>cont1</t>
        </is>
      </c>
      <c r="AF345">
        <f>IF(ElevCalc!$AF$73*(ElevCalc!$AF$93&gt;=1)*ElevCalc!$AF$120,(ElevCalc!$AF$92+(ElevCalc!$AF$108)*ElevCalc!$AF$91),NA())</f>
        <v/>
      </c>
      <c r="AG345">
        <f>IF(ElevCalc!$AF$73*(ElevCalc!$AF$93&gt;=1)*ElevCalc!$AF$120,((ElevCalc!$AF$97+1)*ElevCalc!$AF$91),NA())</f>
        <v/>
      </c>
    </row>
    <row r="346">
      <c r="A346" t="inlineStr">
        <is>
          <t>cont1</t>
        </is>
      </c>
      <c r="B346">
        <f>IF(ElevCalc!$B$73*(ElevCalc!$B$93&gt;=1)*ElevCalc!$B$120,(ElevCalc!$B$92+(ElevCalc!$B$108)*ElevCalc!$B$91),NA())</f>
        <v/>
      </c>
      <c r="C346">
        <f>IF(ElevCalc!$B$73*(ElevCalc!$B$93&gt;=1)*ElevCalc!$B$120,((ElevCalc!$B$98-1)*ElevCalc!$B$91),NA())</f>
        <v/>
      </c>
      <c r="F346" t="inlineStr">
        <is>
          <t>cont1</t>
        </is>
      </c>
      <c r="G346">
        <f>IF(ElevCalc!$G$73*(ElevCalc!$G$93&gt;=1)*ElevCalc!$G$120,(ElevCalc!$G$92+(ElevCalc!$G$108)*ElevCalc!$G$91),NA())</f>
        <v/>
      </c>
      <c r="H346">
        <f>IF(ElevCalc!$G$73*(ElevCalc!$G$93&gt;=1)*ElevCalc!$G$120,((ElevCalc!$G$98-1)*ElevCalc!$G$91),NA())</f>
        <v/>
      </c>
      <c r="K346" t="inlineStr">
        <is>
          <t>cont1</t>
        </is>
      </c>
      <c r="L346">
        <f>IF(ElevCalc!$L$73*(ElevCalc!$L$93&gt;=1)*ElevCalc!$L$120,(ElevCalc!$L$92+(ElevCalc!$L$108)*ElevCalc!$L$91),NA())</f>
        <v/>
      </c>
      <c r="M346">
        <f>IF(ElevCalc!$L$73*(ElevCalc!$L$93&gt;=1)*ElevCalc!$L$120,((ElevCalc!$L$98-1)*ElevCalc!$L$91),NA())</f>
        <v/>
      </c>
      <c r="P346" t="inlineStr">
        <is>
          <t>cont1</t>
        </is>
      </c>
      <c r="Q346">
        <f>IF(ElevCalc!$Q$73*(ElevCalc!$Q$93&gt;=1)*ElevCalc!$Q$120,(ElevCalc!$Q$92+(ElevCalc!$Q$108)*ElevCalc!$Q$91),NA())</f>
        <v/>
      </c>
      <c r="R346">
        <f>IF(ElevCalc!$Q$73*(ElevCalc!$Q$93&gt;=1)*ElevCalc!$Q$120,((ElevCalc!$Q$98-1)*ElevCalc!$Q$91),NA())</f>
        <v/>
      </c>
      <c r="U346" t="inlineStr">
        <is>
          <t>cont1</t>
        </is>
      </c>
      <c r="V346">
        <f>IF(ElevCalc!$V$73*(ElevCalc!$V$93&gt;=1)*ElevCalc!$V$120,(ElevCalc!$V$92+(ElevCalc!$V$108)*ElevCalc!$V$91),NA())</f>
        <v/>
      </c>
      <c r="W346">
        <f>IF(ElevCalc!$V$73*(ElevCalc!$V$93&gt;=1)*ElevCalc!$V$120,((ElevCalc!$V$98-1)*ElevCalc!$V$91),NA())</f>
        <v/>
      </c>
      <c r="Z346" t="inlineStr">
        <is>
          <t>cont1</t>
        </is>
      </c>
      <c r="AA346">
        <f>IF(ElevCalc!$AA$73*(ElevCalc!$AA$93&gt;=1)*ElevCalc!$AA$120,(ElevCalc!$AA$92+(ElevCalc!$AA$108)*ElevCalc!$AA$91),NA())</f>
        <v/>
      </c>
      <c r="AB346">
        <f>IF(ElevCalc!$AA$73*(ElevCalc!$AA$93&gt;=1)*ElevCalc!$AA$120,((ElevCalc!$AA$98-1)*ElevCalc!$AA$91),NA())</f>
        <v/>
      </c>
      <c r="AE346" t="inlineStr">
        <is>
          <t>cont1</t>
        </is>
      </c>
      <c r="AF346">
        <f>IF(ElevCalc!$AF$73*(ElevCalc!$AF$93&gt;=1)*ElevCalc!$AF$120,(ElevCalc!$AF$92+(ElevCalc!$AF$108)*ElevCalc!$AF$91),NA())</f>
        <v/>
      </c>
      <c r="AG346">
        <f>IF(ElevCalc!$AF$73*(ElevCalc!$AF$93&gt;=1)*ElevCalc!$AF$120,((ElevCalc!$AF$98-1)*ElevCalc!$AF$91),NA())</f>
        <v/>
      </c>
    </row>
    <row r="348">
      <c r="A348" t="inlineStr">
        <is>
          <t>cont2</t>
        </is>
      </c>
      <c r="B348">
        <f>IF(ElevCalc!$B$73*(ElevCalc!$B$93=2)*ElevCalc!$B$120,(ElevCalc!$B$92+(ElevCalc!$B$88)*ElevCalc!$B$91),NA())</f>
        <v/>
      </c>
      <c r="C348">
        <f>IF(ElevCalc!$B$73*(ElevCalc!$B$93=2)*ElevCalc!$B$120,((ElevCalc!$B$97+1)*ElevCalc!$B$91),NA())</f>
        <v/>
      </c>
      <c r="F348" t="inlineStr">
        <is>
          <t>cont2</t>
        </is>
      </c>
      <c r="G348">
        <f>IF(ElevCalc!$G$73*(ElevCalc!$G$93=2)*ElevCalc!$G$120,(ElevCalc!$G$92+(ElevCalc!$G$88)*ElevCalc!$G$91),NA())</f>
        <v/>
      </c>
      <c r="H348">
        <f>IF(ElevCalc!$G$73*(ElevCalc!$G$93=2)*ElevCalc!$G$120,((ElevCalc!$G$97+1)*ElevCalc!$G$91),NA())</f>
        <v/>
      </c>
      <c r="K348" t="inlineStr">
        <is>
          <t>cont2</t>
        </is>
      </c>
      <c r="L348">
        <f>IF(ElevCalc!$L$73*(ElevCalc!$L$93=2)*ElevCalc!$L$120,(ElevCalc!$L$92+(ElevCalc!$L$88)*ElevCalc!$L$91),NA())</f>
        <v/>
      </c>
      <c r="M348">
        <f>IF(ElevCalc!$L$73*(ElevCalc!$L$93=2)*ElevCalc!$L$120,((ElevCalc!$L$97+1)*ElevCalc!$L$91),NA())</f>
        <v/>
      </c>
      <c r="P348" t="inlineStr">
        <is>
          <t>cont2</t>
        </is>
      </c>
      <c r="Q348">
        <f>IF(ElevCalc!$Q$73*(ElevCalc!$Q$93=2)*ElevCalc!$Q$120,(ElevCalc!$Q$92+(ElevCalc!$Q$88)*ElevCalc!$Q$91),NA())</f>
        <v/>
      </c>
      <c r="R348">
        <f>IF(ElevCalc!$Q$73*(ElevCalc!$Q$93=2)*ElevCalc!$Q$120,((ElevCalc!$Q$97+1)*ElevCalc!$Q$91),NA())</f>
        <v/>
      </c>
      <c r="U348" t="inlineStr">
        <is>
          <t>cont2</t>
        </is>
      </c>
      <c r="V348">
        <f>IF(ElevCalc!$V$73*(ElevCalc!$V$93=2)*ElevCalc!$V$120,(ElevCalc!$V$92+(ElevCalc!$V$88)*ElevCalc!$V$91),NA())</f>
        <v/>
      </c>
      <c r="W348">
        <f>IF(ElevCalc!$V$73*(ElevCalc!$V$93=2)*ElevCalc!$V$120,((ElevCalc!$V$97+1)*ElevCalc!$V$91),NA())</f>
        <v/>
      </c>
      <c r="Z348" t="inlineStr">
        <is>
          <t>cont2</t>
        </is>
      </c>
      <c r="AA348">
        <f>IF(ElevCalc!$AA$73*(ElevCalc!$AA$93=2)*ElevCalc!$AA$120,(ElevCalc!$AA$92+(ElevCalc!$AA$88)*ElevCalc!$AA$91),NA())</f>
        <v/>
      </c>
      <c r="AB348">
        <f>IF(ElevCalc!$AA$73*(ElevCalc!$AA$93=2)*ElevCalc!$AA$120,((ElevCalc!$AA$97+1)*ElevCalc!$AA$91),NA())</f>
        <v/>
      </c>
      <c r="AE348" t="inlineStr">
        <is>
          <t>cont2</t>
        </is>
      </c>
      <c r="AF348">
        <f>IF(ElevCalc!$AF$73*(ElevCalc!$AF$93=2)*ElevCalc!$AF$120,(ElevCalc!$AF$92+(ElevCalc!$AF$88)*ElevCalc!$AF$91),NA())</f>
        <v/>
      </c>
      <c r="AG348">
        <f>IF(ElevCalc!$AF$73*(ElevCalc!$AF$93=2)*ElevCalc!$AF$120,((ElevCalc!$AF$97+1)*ElevCalc!$AF$91),NA())</f>
        <v/>
      </c>
    </row>
    <row r="349">
      <c r="A349" t="inlineStr">
        <is>
          <t>cont2</t>
        </is>
      </c>
      <c r="B349">
        <f>IF(ElevCalc!$B$73*(ElevCalc!$B$93=2)*ElevCalc!$B$120,(ElevCalc!$B$92+(ElevCalc!$B$88)*ElevCalc!$B$91),NA())</f>
        <v/>
      </c>
      <c r="C349">
        <f>IF(ElevCalc!$B$73*(ElevCalc!$B$93=2)*ElevCalc!$B$120,((ElevCalc!$B$98-1)*ElevCalc!$B$91),NA())</f>
        <v/>
      </c>
      <c r="F349" t="inlineStr">
        <is>
          <t>cont2</t>
        </is>
      </c>
      <c r="G349">
        <f>IF(ElevCalc!$G$73*(ElevCalc!$G$93=2)*ElevCalc!$G$120,(ElevCalc!$G$92+(ElevCalc!$G$88)*ElevCalc!$G$91),NA())</f>
        <v/>
      </c>
      <c r="H349">
        <f>IF(ElevCalc!$G$73*(ElevCalc!$G$93=2)*ElevCalc!$G$120,((ElevCalc!$G$98-1)*ElevCalc!$G$91),NA())</f>
        <v/>
      </c>
      <c r="K349" t="inlineStr">
        <is>
          <t>cont2</t>
        </is>
      </c>
      <c r="L349">
        <f>IF(ElevCalc!$L$73*(ElevCalc!$L$93=2)*ElevCalc!$L$120,(ElevCalc!$L$92+(ElevCalc!$L$88)*ElevCalc!$L$91),NA())</f>
        <v/>
      </c>
      <c r="M349">
        <f>IF(ElevCalc!$L$73*(ElevCalc!$L$93=2)*ElevCalc!$L$120,((ElevCalc!$L$98-1)*ElevCalc!$L$91),NA())</f>
        <v/>
      </c>
      <c r="P349" t="inlineStr">
        <is>
          <t>cont2</t>
        </is>
      </c>
      <c r="Q349">
        <f>IF(ElevCalc!$Q$73*(ElevCalc!$Q$93=2)*ElevCalc!$Q$120,(ElevCalc!$Q$92+(ElevCalc!$Q$88)*ElevCalc!$Q$91),NA())</f>
        <v/>
      </c>
      <c r="R349">
        <f>IF(ElevCalc!$Q$73*(ElevCalc!$Q$93=2)*ElevCalc!$Q$120,((ElevCalc!$Q$98-1)*ElevCalc!$Q$91),NA())</f>
        <v/>
      </c>
      <c r="U349" t="inlineStr">
        <is>
          <t>cont2</t>
        </is>
      </c>
      <c r="V349">
        <f>IF(ElevCalc!$V$73*(ElevCalc!$V$93=2)*ElevCalc!$V$120,(ElevCalc!$V$92+(ElevCalc!$V$88)*ElevCalc!$V$91),NA())</f>
        <v/>
      </c>
      <c r="W349">
        <f>IF(ElevCalc!$V$73*(ElevCalc!$V$93=2)*ElevCalc!$V$120,((ElevCalc!$V$98-1)*ElevCalc!$V$91),NA())</f>
        <v/>
      </c>
      <c r="Z349" t="inlineStr">
        <is>
          <t>cont2</t>
        </is>
      </c>
      <c r="AA349">
        <f>IF(ElevCalc!$AA$73*(ElevCalc!$AA$93=2)*ElevCalc!$AA$120,(ElevCalc!$AA$92+(ElevCalc!$AA$88)*ElevCalc!$AA$91),NA())</f>
        <v/>
      </c>
      <c r="AB349">
        <f>IF(ElevCalc!$AA$73*(ElevCalc!$AA$93=2)*ElevCalc!$AA$120,((ElevCalc!$AA$98-1)*ElevCalc!$AA$91),NA())</f>
        <v/>
      </c>
      <c r="AE349" t="inlineStr">
        <is>
          <t>cont2</t>
        </is>
      </c>
      <c r="AF349">
        <f>IF(ElevCalc!$AF$73*(ElevCalc!$AF$93=2)*ElevCalc!$AF$120,(ElevCalc!$AF$92+(ElevCalc!$AF$88)*ElevCalc!$AF$91),NA())</f>
        <v/>
      </c>
      <c r="AG349">
        <f>IF(ElevCalc!$AF$73*(ElevCalc!$AF$93=2)*ElevCalc!$AF$120,((ElevCalc!$AF$98-1)*ElevCalc!$AF$91),NA())</f>
        <v/>
      </c>
    </row>
    <row r="351">
      <c r="A351" t="inlineStr">
        <is>
          <t>lever</t>
        </is>
      </c>
      <c r="B351">
        <f>IF(ElevCalc!$B$73*(ElevCalc!$B$93&gt;=1),(ElevCalc!$B$92+(ElevCalc!$B$117)*ElevCalc!$B$91),NA())</f>
        <v/>
      </c>
      <c r="C351">
        <f>IF(ElevCalc!$B$73*(ElevCalc!$B$93&gt;=1),((ElevCalc!$B$119)*ElevCalc!$B$91),NA())</f>
        <v/>
      </c>
      <c r="F351" t="inlineStr">
        <is>
          <t>lever</t>
        </is>
      </c>
      <c r="G351">
        <f>IF(ElevCalc!$G$73*(ElevCalc!$G$93&gt;=1),(ElevCalc!$G$92+(ElevCalc!$G$117)*ElevCalc!$G$91),NA())</f>
        <v/>
      </c>
      <c r="H351">
        <f>IF(ElevCalc!$G$73*(ElevCalc!$G$93&gt;=1),((ElevCalc!$G$119)*ElevCalc!$G$91),NA())</f>
        <v/>
      </c>
      <c r="K351" t="inlineStr">
        <is>
          <t>lever</t>
        </is>
      </c>
      <c r="L351">
        <f>IF(ElevCalc!$L$73*(ElevCalc!$L$93&gt;=1),(ElevCalc!$L$92+(ElevCalc!$L$117)*ElevCalc!$L$91),NA())</f>
        <v/>
      </c>
      <c r="M351">
        <f>IF(ElevCalc!$L$73*(ElevCalc!$L$93&gt;=1),((ElevCalc!$L$119)*ElevCalc!$L$91),NA())</f>
        <v/>
      </c>
      <c r="P351" t="inlineStr">
        <is>
          <t>lever</t>
        </is>
      </c>
      <c r="Q351">
        <f>IF(ElevCalc!$Q$73*(ElevCalc!$Q$93&gt;=1),(ElevCalc!$Q$92+(ElevCalc!$Q$117)*ElevCalc!$Q$91),NA())</f>
        <v/>
      </c>
      <c r="R351">
        <f>IF(ElevCalc!$Q$73*(ElevCalc!$Q$93&gt;=1),((ElevCalc!$Q$119)*ElevCalc!$Q$91),NA())</f>
        <v/>
      </c>
      <c r="U351" t="inlineStr">
        <is>
          <t>lever</t>
        </is>
      </c>
      <c r="V351">
        <f>IF(ElevCalc!$V$73*(ElevCalc!$V$93&gt;=1),(ElevCalc!$V$92+(ElevCalc!$V$117)*ElevCalc!$V$91),NA())</f>
        <v/>
      </c>
      <c r="W351">
        <f>IF(ElevCalc!$V$73*(ElevCalc!$V$93&gt;=1),((ElevCalc!$V$119)*ElevCalc!$V$91),NA())</f>
        <v/>
      </c>
      <c r="Z351" t="inlineStr">
        <is>
          <t>lever</t>
        </is>
      </c>
      <c r="AA351">
        <f>IF(ElevCalc!$AA$73*(ElevCalc!$AA$93&gt;=1),(ElevCalc!$AA$92+(ElevCalc!$AA$117)*ElevCalc!$AA$91),NA())</f>
        <v/>
      </c>
      <c r="AB351">
        <f>IF(ElevCalc!$AA$73*(ElevCalc!$AA$93&gt;=1),((ElevCalc!$AA$119)*ElevCalc!$AA$91),NA())</f>
        <v/>
      </c>
      <c r="AE351" t="inlineStr">
        <is>
          <t>lever</t>
        </is>
      </c>
      <c r="AF351">
        <f>IF(ElevCalc!$AF$73*(ElevCalc!$AF$93&gt;=1),(ElevCalc!$AF$92+(ElevCalc!$AF$117)*ElevCalc!$AF$91),NA())</f>
        <v/>
      </c>
      <c r="AG351">
        <f>IF(ElevCalc!$AF$73*(ElevCalc!$AF$93&gt;=1),((ElevCalc!$AF$119)*ElevCalc!$AF$91),NA())</f>
        <v/>
      </c>
    </row>
    <row r="353">
      <c r="A353" t="inlineStr">
        <is>
          <t>levR</t>
        </is>
      </c>
      <c r="B353">
        <f>IF(ElevCalc!$B$73*(ElevCalc!$B$93&gt;=1)*(ElevCalc!$B$118=1),(ElevCalc!$B$92+(ElevCalc!$B$117-2)*ElevCalc!$B$91),NA())</f>
        <v/>
      </c>
      <c r="C353">
        <f>IF(ElevCalc!$B$73*(ElevCalc!$B$93&gt;=1)*(ElevCalc!$B$118=1),((ElevCalc!$B$119)*ElevCalc!$B$91),NA())</f>
        <v/>
      </c>
      <c r="D353">
        <f>ElevCalc!$B$127</f>
        <v/>
      </c>
      <c r="F353" t="inlineStr">
        <is>
          <t>levR</t>
        </is>
      </c>
      <c r="G353">
        <f>IF(ElevCalc!$G$73*(ElevCalc!$G$93&gt;=1)*(ElevCalc!$G$118=1),(ElevCalc!$G$92+(ElevCalc!$G$117-2)*ElevCalc!$G$91),NA())</f>
        <v/>
      </c>
      <c r="H353">
        <f>IF(ElevCalc!$G$73*(ElevCalc!$G$93&gt;=1)*(ElevCalc!$G$118=1),((ElevCalc!$G$119)*ElevCalc!$G$91),NA())</f>
        <v/>
      </c>
      <c r="I353">
        <f>ElevCalc!$G$127</f>
        <v/>
      </c>
      <c r="K353" t="inlineStr">
        <is>
          <t>levR</t>
        </is>
      </c>
      <c r="L353">
        <f>IF(ElevCalc!$L$73*(ElevCalc!$L$93&gt;=1)*(ElevCalc!$L$118=1),(ElevCalc!$L$92+(ElevCalc!$L$117-2)*ElevCalc!$L$91),NA())</f>
        <v/>
      </c>
      <c r="M353">
        <f>IF(ElevCalc!$L$73*(ElevCalc!$L$93&gt;=1)*(ElevCalc!$L$118=1),((ElevCalc!$L$119)*ElevCalc!$L$91),NA())</f>
        <v/>
      </c>
      <c r="N353">
        <f>ElevCalc!$L$127</f>
        <v/>
      </c>
      <c r="P353" t="inlineStr">
        <is>
          <t>levR</t>
        </is>
      </c>
      <c r="Q353">
        <f>IF(ElevCalc!$Q$73*(ElevCalc!$Q$93&gt;=1)*(ElevCalc!$Q$118=1),(ElevCalc!$Q$92+(ElevCalc!$Q$117-2)*ElevCalc!$Q$91),NA())</f>
        <v/>
      </c>
      <c r="R353">
        <f>IF(ElevCalc!$Q$73*(ElevCalc!$Q$93&gt;=1)*(ElevCalc!$Q$118=1),((ElevCalc!$Q$119)*ElevCalc!$Q$91),NA())</f>
        <v/>
      </c>
      <c r="S353">
        <f>ElevCalc!$Q$127</f>
        <v/>
      </c>
      <c r="U353" t="inlineStr">
        <is>
          <t>levR</t>
        </is>
      </c>
      <c r="V353">
        <f>IF(ElevCalc!$V$73*(ElevCalc!$V$93&gt;=1)*(ElevCalc!$V$118=1),(ElevCalc!$V$92+(ElevCalc!$V$117-2)*ElevCalc!$V$91),NA())</f>
        <v/>
      </c>
      <c r="W353">
        <f>IF(ElevCalc!$V$73*(ElevCalc!$V$93&gt;=1)*(ElevCalc!$V$118=1),((ElevCalc!$V$119)*ElevCalc!$V$91),NA())</f>
        <v/>
      </c>
      <c r="X353">
        <f>ElevCalc!$V$127</f>
        <v/>
      </c>
      <c r="Z353" t="inlineStr">
        <is>
          <t>levR</t>
        </is>
      </c>
      <c r="AA353">
        <f>IF(ElevCalc!$AA$73*(ElevCalc!$AA$93&gt;=1)*(ElevCalc!$AA$118=1),(ElevCalc!$AA$92+(ElevCalc!$AA$117-2)*ElevCalc!$AA$91),NA())</f>
        <v/>
      </c>
      <c r="AB353">
        <f>IF(ElevCalc!$AA$73*(ElevCalc!$AA$93&gt;=1)*(ElevCalc!$AA$118=1),((ElevCalc!$AA$119)*ElevCalc!$AA$91),NA())</f>
        <v/>
      </c>
      <c r="AC353">
        <f>ElevCalc!$AA$127</f>
        <v/>
      </c>
      <c r="AE353" t="inlineStr">
        <is>
          <t>levR</t>
        </is>
      </c>
      <c r="AF353">
        <f>IF(ElevCalc!$AF$73*(ElevCalc!$AF$93&gt;=1)*(ElevCalc!$AF$118=1),(ElevCalc!$AF$92+(ElevCalc!$AF$117-2)*ElevCalc!$AF$91),NA())</f>
        <v/>
      </c>
      <c r="AG353">
        <f>IF(ElevCalc!$AF$73*(ElevCalc!$AF$93&gt;=1)*(ElevCalc!$AF$118=1),((ElevCalc!$AF$119)*ElevCalc!$AF$91),NA())</f>
        <v/>
      </c>
      <c r="AH353">
        <f>ElevCalc!$AF$127</f>
        <v/>
      </c>
    </row>
    <row r="355">
      <c r="A355" t="inlineStr">
        <is>
          <t>levL</t>
        </is>
      </c>
      <c r="B355">
        <f>IF(ElevCalc!$B$73*(ElevCalc!$B$93&gt;=1)*(ElevCalc!$B$118=0),(ElevCalc!$B$92+(ElevCalc!$B$117+2)*ElevCalc!$B$91),NA())</f>
        <v/>
      </c>
      <c r="C355">
        <f>IF(ElevCalc!$B$73*(ElevCalc!$B$93&gt;=1)*(ElevCalc!$B$118=0),((ElevCalc!$B$119)*ElevCalc!$B$91),NA())</f>
        <v/>
      </c>
      <c r="D355">
        <f>ElevCalc!$B$127</f>
        <v/>
      </c>
      <c r="F355" t="inlineStr">
        <is>
          <t>levL</t>
        </is>
      </c>
      <c r="G355">
        <f>IF(ElevCalc!$G$73*(ElevCalc!$G$93&gt;=1)*(ElevCalc!$G$118=0),(ElevCalc!$G$92+(ElevCalc!$G$117+2)*ElevCalc!$G$91),NA())</f>
        <v/>
      </c>
      <c r="H355">
        <f>IF(ElevCalc!$G$73*(ElevCalc!$G$93&gt;=1)*(ElevCalc!$G$118=0),((ElevCalc!$G$119)*ElevCalc!$G$91),NA())</f>
        <v/>
      </c>
      <c r="I355">
        <f>ElevCalc!$G$127</f>
        <v/>
      </c>
      <c r="K355" t="inlineStr">
        <is>
          <t>levL</t>
        </is>
      </c>
      <c r="L355">
        <f>IF(ElevCalc!$L$73*(ElevCalc!$L$93&gt;=1)*(ElevCalc!$L$118=0),(ElevCalc!$L$92+(ElevCalc!$L$117+2)*ElevCalc!$L$91),NA())</f>
        <v/>
      </c>
      <c r="M355">
        <f>IF(ElevCalc!$L$73*(ElevCalc!$L$93&gt;=1)*(ElevCalc!$L$118=0),((ElevCalc!$L$119)*ElevCalc!$L$91),NA())</f>
        <v/>
      </c>
      <c r="N355">
        <f>ElevCalc!$L$127</f>
        <v/>
      </c>
      <c r="P355" t="inlineStr">
        <is>
          <t>levL</t>
        </is>
      </c>
      <c r="Q355">
        <f>IF(ElevCalc!$Q$73*(ElevCalc!$Q$93&gt;=1)*(ElevCalc!$Q$118=0),(ElevCalc!$Q$92+(ElevCalc!$Q$117+2)*ElevCalc!$Q$91),NA())</f>
        <v/>
      </c>
      <c r="R355">
        <f>IF(ElevCalc!$Q$73*(ElevCalc!$Q$93&gt;=1)*(ElevCalc!$Q$118=0),((ElevCalc!$Q$119)*ElevCalc!$Q$91),NA())</f>
        <v/>
      </c>
      <c r="S355">
        <f>ElevCalc!$Q$127</f>
        <v/>
      </c>
      <c r="U355" t="inlineStr">
        <is>
          <t>levL</t>
        </is>
      </c>
      <c r="V355">
        <f>IF(ElevCalc!$V$73*(ElevCalc!$V$93&gt;=1)*(ElevCalc!$V$118=0),(ElevCalc!$V$92+(ElevCalc!$V$117+2)*ElevCalc!$V$91),NA())</f>
        <v/>
      </c>
      <c r="W355">
        <f>IF(ElevCalc!$V$73*(ElevCalc!$V$93&gt;=1)*(ElevCalc!$V$118=0),((ElevCalc!$V$119)*ElevCalc!$V$91),NA())</f>
        <v/>
      </c>
      <c r="X355">
        <f>ElevCalc!$V$127</f>
        <v/>
      </c>
      <c r="Z355" t="inlineStr">
        <is>
          <t>levL</t>
        </is>
      </c>
      <c r="AA355">
        <f>IF(ElevCalc!$AA$73*(ElevCalc!$AA$93&gt;=1)*(ElevCalc!$AA$118=0),(ElevCalc!$AA$92+(ElevCalc!$AA$117+2)*ElevCalc!$AA$91),NA())</f>
        <v/>
      </c>
      <c r="AB355">
        <f>IF(ElevCalc!$AA$73*(ElevCalc!$AA$93&gt;=1)*(ElevCalc!$AA$118=0),((ElevCalc!$AA$119)*ElevCalc!$AA$91),NA())</f>
        <v/>
      </c>
      <c r="AC355">
        <f>ElevCalc!$AA$127</f>
        <v/>
      </c>
      <c r="AE355" t="inlineStr">
        <is>
          <t>levL</t>
        </is>
      </c>
      <c r="AF355">
        <f>IF(ElevCalc!$AF$73*(ElevCalc!$AF$93&gt;=1)*(ElevCalc!$AF$118=0),(ElevCalc!$AF$92+(ElevCalc!$AF$117+2)*ElevCalc!$AF$91),NA())</f>
        <v/>
      </c>
      <c r="AG355">
        <f>IF(ElevCalc!$AF$73*(ElevCalc!$AF$93&gt;=1)*(ElevCalc!$AF$118=0),((ElevCalc!$AF$119)*ElevCalc!$AF$91),NA())</f>
        <v/>
      </c>
      <c r="AH355">
        <f>ElevCalc!$AF$127</f>
        <v/>
      </c>
    </row>
    <row r="357">
      <c r="A357" t="inlineStr">
        <is>
          <t>strike</t>
        </is>
      </c>
      <c r="B357">
        <f>IF(ElevCalc!$B$73*ISNUMBER(ElevCalc!$B$51)*(ElevCalc!$B$3&lt;&gt;"DOOR ONLY")*NOT(ElevCalc!$B$96),(ElevCalc!$B$92+(IF(ElevCalc!$B$105=1,ElevCalc!$B$88,ElevCalc!$B$87))*ElevCalc!$B$91),NA())</f>
        <v/>
      </c>
      <c r="C357">
        <f>IF(ElevCalc!$B$73*ISNUMBER(ElevCalc!$B$51)*(ElevCalc!$B$3&lt;&gt;"DOOR ONLY")*NOT(ElevCalc!$B$96),((ElevCalc!$B$119-1.5)*ElevCalc!$B$91),NA())</f>
        <v/>
      </c>
      <c r="F357" t="inlineStr">
        <is>
          <t>strike</t>
        </is>
      </c>
      <c r="G357">
        <f>IF(ElevCalc!$G$73*ISNUMBER(ElevCalc!$G$51)*(ElevCalc!$G$3&lt;&gt;"DOOR ONLY")*NOT(ElevCalc!$G$96),(ElevCalc!$G$92+(IF(ElevCalc!$G$105=1,ElevCalc!$G$88,ElevCalc!$G$87))*ElevCalc!$G$91),NA())</f>
        <v/>
      </c>
      <c r="H357">
        <f>IF(ElevCalc!$G$73*ISNUMBER(ElevCalc!$G$51)*(ElevCalc!$G$3&lt;&gt;"DOOR ONLY")*NOT(ElevCalc!$G$96),((ElevCalc!$G$119-1.5)*ElevCalc!$G$91),NA())</f>
        <v/>
      </c>
      <c r="K357" t="inlineStr">
        <is>
          <t>strike</t>
        </is>
      </c>
      <c r="L357">
        <f>IF(ElevCalc!$L$73*ISNUMBER(ElevCalc!$L$51)*(ElevCalc!$L$3&lt;&gt;"DOOR ONLY")*NOT(ElevCalc!$L$96),(ElevCalc!$L$92+(IF(ElevCalc!$L$105=1,ElevCalc!$L$88,ElevCalc!$L$87))*ElevCalc!$L$91),NA())</f>
        <v/>
      </c>
      <c r="M357">
        <f>IF(ElevCalc!$L$73*ISNUMBER(ElevCalc!$L$51)*(ElevCalc!$L$3&lt;&gt;"DOOR ONLY")*NOT(ElevCalc!$L$96),((ElevCalc!$L$119-1.5)*ElevCalc!$L$91),NA())</f>
        <v/>
      </c>
      <c r="P357" t="inlineStr">
        <is>
          <t>strike</t>
        </is>
      </c>
      <c r="Q357">
        <f>IF(ElevCalc!$Q$73*ISNUMBER(ElevCalc!$Q$51)*(ElevCalc!$Q$3&lt;&gt;"DOOR ONLY")*NOT(ElevCalc!$Q$96),(ElevCalc!$Q$92+(IF(ElevCalc!$Q$105=1,ElevCalc!$Q$88,ElevCalc!$Q$87))*ElevCalc!$Q$91),NA())</f>
        <v/>
      </c>
      <c r="R357">
        <f>IF(ElevCalc!$Q$73*ISNUMBER(ElevCalc!$Q$51)*(ElevCalc!$Q$3&lt;&gt;"DOOR ONLY")*NOT(ElevCalc!$Q$96),((ElevCalc!$Q$119-1.5)*ElevCalc!$Q$91),NA())</f>
        <v/>
      </c>
      <c r="U357" t="inlineStr">
        <is>
          <t>strike</t>
        </is>
      </c>
      <c r="V357">
        <f>IF(ElevCalc!$V$73*ISNUMBER(ElevCalc!$V$51)*(ElevCalc!$V$3&lt;&gt;"DOOR ONLY")*NOT(ElevCalc!$V$96),(ElevCalc!$V$92+(IF(ElevCalc!$V$105=1,ElevCalc!$V$88,ElevCalc!$V$87))*ElevCalc!$V$91),NA())</f>
        <v/>
      </c>
      <c r="W357">
        <f>IF(ElevCalc!$V$73*ISNUMBER(ElevCalc!$V$51)*(ElevCalc!$V$3&lt;&gt;"DOOR ONLY")*NOT(ElevCalc!$V$96),((ElevCalc!$V$119-1.5)*ElevCalc!$V$91),NA())</f>
        <v/>
      </c>
      <c r="Z357" t="inlineStr">
        <is>
          <t>strike</t>
        </is>
      </c>
      <c r="AA357">
        <f>IF(ElevCalc!$AA$73*ISNUMBER(ElevCalc!$AA$51)*(ElevCalc!$AA$3&lt;&gt;"DOOR ONLY")*NOT(ElevCalc!$AA$96),(ElevCalc!$AA$92+(IF(ElevCalc!$AA$105=1,ElevCalc!$AA$88,ElevCalc!$AA$87))*ElevCalc!$AA$91),NA())</f>
        <v/>
      </c>
      <c r="AB357">
        <f>IF(ElevCalc!$AA$73*ISNUMBER(ElevCalc!$AA$51)*(ElevCalc!$AA$3&lt;&gt;"DOOR ONLY")*NOT(ElevCalc!$AA$96),((ElevCalc!$AA$119-1.5)*ElevCalc!$AA$91),NA())</f>
        <v/>
      </c>
      <c r="AE357" t="inlineStr">
        <is>
          <t>strike</t>
        </is>
      </c>
      <c r="AF357">
        <f>IF(ElevCalc!$AF$73*ISNUMBER(ElevCalc!$AF$51)*(ElevCalc!$AF$3&lt;&gt;"DOOR ONLY")*NOT(ElevCalc!$AF$96),(ElevCalc!$AF$92+(IF(ElevCalc!$AF$105=1,ElevCalc!$AF$88,ElevCalc!$AF$87))*ElevCalc!$AF$91),NA())</f>
        <v/>
      </c>
      <c r="AG357">
        <f>IF(ElevCalc!$AF$73*ISNUMBER(ElevCalc!$AF$51)*(ElevCalc!$AF$3&lt;&gt;"DOOR ONLY")*NOT(ElevCalc!$AF$96),((ElevCalc!$AF$119-1.5)*ElevCalc!$AF$91),NA())</f>
        <v/>
      </c>
    </row>
    <row r="358">
      <c r="A358" t="inlineStr">
        <is>
          <t>strike</t>
        </is>
      </c>
      <c r="B358">
        <f>IF(ElevCalc!$B$73*ISNUMBER(ElevCalc!$B$51)*(ElevCalc!$B$3&lt;&gt;"DOOR ONLY")*NOT(ElevCalc!$B$96),(ElevCalc!$B$92+(IF(ElevCalc!$B$105=1,ElevCalc!$B$88,ElevCalc!$B$87))*ElevCalc!$B$91),NA())</f>
        <v/>
      </c>
      <c r="C358">
        <f>IF(ElevCalc!$B$73*ISNUMBER(ElevCalc!$B$51)*(ElevCalc!$B$3&lt;&gt;"DOOR ONLY")*NOT(ElevCalc!$B$96),((ElevCalc!$B$119+1.5)*ElevCalc!$B$91),NA())</f>
        <v/>
      </c>
      <c r="F358" t="inlineStr">
        <is>
          <t>strike</t>
        </is>
      </c>
      <c r="G358">
        <f>IF(ElevCalc!$G$73*ISNUMBER(ElevCalc!$G$51)*(ElevCalc!$G$3&lt;&gt;"DOOR ONLY")*NOT(ElevCalc!$G$96),(ElevCalc!$G$92+(IF(ElevCalc!$G$105=1,ElevCalc!$G$88,ElevCalc!$G$87))*ElevCalc!$G$91),NA())</f>
        <v/>
      </c>
      <c r="H358">
        <f>IF(ElevCalc!$G$73*ISNUMBER(ElevCalc!$G$51)*(ElevCalc!$G$3&lt;&gt;"DOOR ONLY")*NOT(ElevCalc!$G$96),((ElevCalc!$G$119+1.5)*ElevCalc!$G$91),NA())</f>
        <v/>
      </c>
      <c r="K358" t="inlineStr">
        <is>
          <t>strike</t>
        </is>
      </c>
      <c r="L358">
        <f>IF(ElevCalc!$L$73*ISNUMBER(ElevCalc!$L$51)*(ElevCalc!$L$3&lt;&gt;"DOOR ONLY")*NOT(ElevCalc!$L$96),(ElevCalc!$L$92+(IF(ElevCalc!$L$105=1,ElevCalc!$L$88,ElevCalc!$L$87))*ElevCalc!$L$91),NA())</f>
        <v/>
      </c>
      <c r="M358">
        <f>IF(ElevCalc!$L$73*ISNUMBER(ElevCalc!$L$51)*(ElevCalc!$L$3&lt;&gt;"DOOR ONLY")*NOT(ElevCalc!$L$96),((ElevCalc!$L$119+1.5)*ElevCalc!$L$91),NA())</f>
        <v/>
      </c>
      <c r="P358" t="inlineStr">
        <is>
          <t>strike</t>
        </is>
      </c>
      <c r="Q358">
        <f>IF(ElevCalc!$Q$73*ISNUMBER(ElevCalc!$Q$51)*(ElevCalc!$Q$3&lt;&gt;"DOOR ONLY")*NOT(ElevCalc!$Q$96),(ElevCalc!$Q$92+(IF(ElevCalc!$Q$105=1,ElevCalc!$Q$88,ElevCalc!$Q$87))*ElevCalc!$Q$91),NA())</f>
        <v/>
      </c>
      <c r="R358">
        <f>IF(ElevCalc!$Q$73*ISNUMBER(ElevCalc!$Q$51)*(ElevCalc!$Q$3&lt;&gt;"DOOR ONLY")*NOT(ElevCalc!$Q$96),((ElevCalc!$Q$119+1.5)*ElevCalc!$Q$91),NA())</f>
        <v/>
      </c>
      <c r="U358" t="inlineStr">
        <is>
          <t>strike</t>
        </is>
      </c>
      <c r="V358">
        <f>IF(ElevCalc!$V$73*ISNUMBER(ElevCalc!$V$51)*(ElevCalc!$V$3&lt;&gt;"DOOR ONLY")*NOT(ElevCalc!$V$96),(ElevCalc!$V$92+(IF(ElevCalc!$V$105=1,ElevCalc!$V$88,ElevCalc!$V$87))*ElevCalc!$V$91),NA())</f>
        <v/>
      </c>
      <c r="W358">
        <f>IF(ElevCalc!$V$73*ISNUMBER(ElevCalc!$V$51)*(ElevCalc!$V$3&lt;&gt;"DOOR ONLY")*NOT(ElevCalc!$V$96),((ElevCalc!$V$119+1.5)*ElevCalc!$V$91),NA())</f>
        <v/>
      </c>
      <c r="Z358" t="inlineStr">
        <is>
          <t>strike</t>
        </is>
      </c>
      <c r="AA358">
        <f>IF(ElevCalc!$AA$73*ISNUMBER(ElevCalc!$AA$51)*(ElevCalc!$AA$3&lt;&gt;"DOOR ONLY")*NOT(ElevCalc!$AA$96),(ElevCalc!$AA$92+(IF(ElevCalc!$AA$105=1,ElevCalc!$AA$88,ElevCalc!$AA$87))*ElevCalc!$AA$91),NA())</f>
        <v/>
      </c>
      <c r="AB358">
        <f>IF(ElevCalc!$AA$73*ISNUMBER(ElevCalc!$AA$51)*(ElevCalc!$AA$3&lt;&gt;"DOOR ONLY")*NOT(ElevCalc!$AA$96),((ElevCalc!$AA$119+1.5)*ElevCalc!$AA$91),NA())</f>
        <v/>
      </c>
      <c r="AE358" t="inlineStr">
        <is>
          <t>strike</t>
        </is>
      </c>
      <c r="AF358">
        <f>IF(ElevCalc!$AF$73*ISNUMBER(ElevCalc!$AF$51)*(ElevCalc!$AF$3&lt;&gt;"DOOR ONLY")*NOT(ElevCalc!$AF$96),(ElevCalc!$AF$92+(IF(ElevCalc!$AF$105=1,ElevCalc!$AF$88,ElevCalc!$AF$87))*ElevCalc!$AF$91),NA())</f>
        <v/>
      </c>
      <c r="AG358">
        <f>IF(ElevCalc!$AF$73*ISNUMBER(ElevCalc!$AF$51)*(ElevCalc!$AF$3&lt;&gt;"DOOR ONLY")*NOT(ElevCalc!$AF$96),((ElevCalc!$AF$119+1.5)*ElevCalc!$AF$91),NA())</f>
        <v/>
      </c>
    </row>
    <row r="360">
      <c r="A360" t="inlineStr">
        <is>
          <t>floor</t>
        </is>
      </c>
      <c r="B360">
        <f>IF(ElevCalc!$B$73,(ElevCalc!$B$92+(-12)*ElevCalc!$B$91),NA())</f>
        <v/>
      </c>
      <c r="C360">
        <f>IF(ElevCalc!$B$73,((0)*ElevCalc!$B$91),NA())</f>
        <v/>
      </c>
      <c r="F360" t="inlineStr">
        <is>
          <t>floor</t>
        </is>
      </c>
      <c r="G360">
        <f>IF(ElevCalc!$G$73,(ElevCalc!$G$92+(-12)*ElevCalc!$G$91),NA())</f>
        <v/>
      </c>
      <c r="H360">
        <f>IF(ElevCalc!$G$73,((0)*ElevCalc!$G$91),NA())</f>
        <v/>
      </c>
      <c r="K360" t="inlineStr">
        <is>
          <t>floor</t>
        </is>
      </c>
      <c r="L360">
        <f>IF(ElevCalc!$L$73,(ElevCalc!$L$92+(-12)*ElevCalc!$L$91),NA())</f>
        <v/>
      </c>
      <c r="M360">
        <f>IF(ElevCalc!$L$73,((0)*ElevCalc!$L$91),NA())</f>
        <v/>
      </c>
      <c r="P360" t="inlineStr">
        <is>
          <t>floor</t>
        </is>
      </c>
      <c r="Q360">
        <f>IF(ElevCalc!$Q$73,(ElevCalc!$Q$92+(-12)*ElevCalc!$Q$91),NA())</f>
        <v/>
      </c>
      <c r="R360">
        <f>IF(ElevCalc!$Q$73,((0)*ElevCalc!$Q$91),NA())</f>
        <v/>
      </c>
      <c r="U360" t="inlineStr">
        <is>
          <t>floor</t>
        </is>
      </c>
      <c r="V360">
        <f>IF(ElevCalc!$V$73,(ElevCalc!$V$92+(-12)*ElevCalc!$V$91),NA())</f>
        <v/>
      </c>
      <c r="W360">
        <f>IF(ElevCalc!$V$73,((0)*ElevCalc!$V$91),NA())</f>
        <v/>
      </c>
      <c r="Z360" t="inlineStr">
        <is>
          <t>floor</t>
        </is>
      </c>
      <c r="AA360">
        <f>IF(ElevCalc!$AA$73,(ElevCalc!$AA$92+(-12)*ElevCalc!$AA$91),NA())</f>
        <v/>
      </c>
      <c r="AB360">
        <f>IF(ElevCalc!$AA$73,((0)*ElevCalc!$AA$91),NA())</f>
        <v/>
      </c>
      <c r="AE360" t="inlineStr">
        <is>
          <t>floor</t>
        </is>
      </c>
      <c r="AF360">
        <f>IF(ElevCalc!$AF$73,(ElevCalc!$AF$92+(-12)*ElevCalc!$AF$91),NA())</f>
        <v/>
      </c>
      <c r="AG360">
        <f>IF(ElevCalc!$AF$73,((0)*ElevCalc!$AF$91),NA())</f>
        <v/>
      </c>
    </row>
    <row r="361">
      <c r="A361" t="inlineStr">
        <is>
          <t>floor</t>
        </is>
      </c>
      <c r="B361">
        <f>IF(ElevCalc!$B$73,(ElevCalc!$B$92+(ElevCalc!$B$85+12)*ElevCalc!$B$91),NA())</f>
        <v/>
      </c>
      <c r="C361">
        <f>IF(ElevCalc!$B$73,((0)*ElevCalc!$B$91),NA())</f>
        <v/>
      </c>
      <c r="F361" t="inlineStr">
        <is>
          <t>floor</t>
        </is>
      </c>
      <c r="G361">
        <f>IF(ElevCalc!$G$73,(ElevCalc!$G$92+(ElevCalc!$G$85+12)*ElevCalc!$G$91),NA())</f>
        <v/>
      </c>
      <c r="H361">
        <f>IF(ElevCalc!$G$73,((0)*ElevCalc!$G$91),NA())</f>
        <v/>
      </c>
      <c r="K361" t="inlineStr">
        <is>
          <t>floor</t>
        </is>
      </c>
      <c r="L361">
        <f>IF(ElevCalc!$L$73,(ElevCalc!$L$92+(ElevCalc!$L$85+12)*ElevCalc!$L$91),NA())</f>
        <v/>
      </c>
      <c r="M361">
        <f>IF(ElevCalc!$L$73,((0)*ElevCalc!$L$91),NA())</f>
        <v/>
      </c>
      <c r="P361" t="inlineStr">
        <is>
          <t>floor</t>
        </is>
      </c>
      <c r="Q361">
        <f>IF(ElevCalc!$Q$73,(ElevCalc!$Q$92+(ElevCalc!$Q$85+12)*ElevCalc!$Q$91),NA())</f>
        <v/>
      </c>
      <c r="R361">
        <f>IF(ElevCalc!$Q$73,((0)*ElevCalc!$Q$91),NA())</f>
        <v/>
      </c>
      <c r="U361" t="inlineStr">
        <is>
          <t>floor</t>
        </is>
      </c>
      <c r="V361">
        <f>IF(ElevCalc!$V$73,(ElevCalc!$V$92+(ElevCalc!$V$85+12)*ElevCalc!$V$91),NA())</f>
        <v/>
      </c>
      <c r="W361">
        <f>IF(ElevCalc!$V$73,((0)*ElevCalc!$V$91),NA())</f>
        <v/>
      </c>
      <c r="Z361" t="inlineStr">
        <is>
          <t>floor</t>
        </is>
      </c>
      <c r="AA361">
        <f>IF(ElevCalc!$AA$73,(ElevCalc!$AA$92+(ElevCalc!$AA$85+12)*ElevCalc!$AA$91),NA())</f>
        <v/>
      </c>
      <c r="AB361">
        <f>IF(ElevCalc!$AA$73,((0)*ElevCalc!$AA$91),NA())</f>
        <v/>
      </c>
      <c r="AE361" t="inlineStr">
        <is>
          <t>floor</t>
        </is>
      </c>
      <c r="AF361">
        <f>IF(ElevCalc!$AF$73,(ElevCalc!$AF$92+(ElevCalc!$AF$85+12)*ElevCalc!$AF$91),NA())</f>
        <v/>
      </c>
      <c r="AG361">
        <f>IF(ElevCalc!$AF$73,((0)*ElevCalc!$AF$91),NA())</f>
        <v/>
      </c>
    </row>
    <row r="363">
      <c r="A363" t="inlineStr">
        <is>
          <t>dimW</t>
        </is>
      </c>
      <c r="B363">
        <f>IF(ElevCalc!$B$73,(ElevCalc!$B$92+(0)*ElevCalc!$B$91),NA())</f>
        <v/>
      </c>
      <c r="C363">
        <f>IF(ElevCalc!$B$73,(ElevCalc!$B$86*ElevCalc!$B$91+9)-3,NA())</f>
        <v/>
      </c>
      <c r="F363" t="inlineStr">
        <is>
          <t>dimW</t>
        </is>
      </c>
      <c r="G363">
        <f>IF(ElevCalc!$G$73,(ElevCalc!$G$92+(0)*ElevCalc!$G$91),NA())</f>
        <v/>
      </c>
      <c r="H363">
        <f>IF(ElevCalc!$G$73,(ElevCalc!$G$86*ElevCalc!$G$91+9)-3,NA())</f>
        <v/>
      </c>
      <c r="K363" t="inlineStr">
        <is>
          <t>dimW</t>
        </is>
      </c>
      <c r="L363">
        <f>IF(ElevCalc!$L$73,(ElevCalc!$L$92+(0)*ElevCalc!$L$91),NA())</f>
        <v/>
      </c>
      <c r="M363">
        <f>IF(ElevCalc!$L$73,(ElevCalc!$L$86*ElevCalc!$L$91+9)-3,NA())</f>
        <v/>
      </c>
      <c r="P363" t="inlineStr">
        <is>
          <t>dimW</t>
        </is>
      </c>
      <c r="Q363">
        <f>IF(ElevCalc!$Q$73,(ElevCalc!$Q$92+(0)*ElevCalc!$Q$91),NA())</f>
        <v/>
      </c>
      <c r="R363">
        <f>IF(ElevCalc!$Q$73,(ElevCalc!$Q$86*ElevCalc!$Q$91+9)-3,NA())</f>
        <v/>
      </c>
      <c r="U363" t="inlineStr">
        <is>
          <t>dimW</t>
        </is>
      </c>
      <c r="V363">
        <f>IF(ElevCalc!$V$73,(ElevCalc!$V$92+(0)*ElevCalc!$V$91),NA())</f>
        <v/>
      </c>
      <c r="W363">
        <f>IF(ElevCalc!$V$73,(ElevCalc!$V$86*ElevCalc!$V$91+9)-3,NA())</f>
        <v/>
      </c>
      <c r="Z363" t="inlineStr">
        <is>
          <t>dimW</t>
        </is>
      </c>
      <c r="AA363">
        <f>IF(ElevCalc!$AA$73,(ElevCalc!$AA$92+(0)*ElevCalc!$AA$91),NA())</f>
        <v/>
      </c>
      <c r="AB363">
        <f>IF(ElevCalc!$AA$73,(ElevCalc!$AA$86*ElevCalc!$AA$91+9)-3,NA())</f>
        <v/>
      </c>
      <c r="AE363" t="inlineStr">
        <is>
          <t>dimW</t>
        </is>
      </c>
      <c r="AF363">
        <f>IF(ElevCalc!$AF$73,(ElevCalc!$AF$92+(0)*ElevCalc!$AF$91),NA())</f>
        <v/>
      </c>
      <c r="AG363">
        <f>IF(ElevCalc!$AF$73,(ElevCalc!$AF$86*ElevCalc!$AF$91+9)-3,NA())</f>
        <v/>
      </c>
    </row>
    <row r="364">
      <c r="A364" t="inlineStr">
        <is>
          <t>dimW</t>
        </is>
      </c>
      <c r="B364">
        <f>IF(ElevCalc!$B$73,(ElevCalc!$B$92+(0)*ElevCalc!$B$91),NA())</f>
        <v/>
      </c>
      <c r="C364">
        <f>IF(ElevCalc!$B$73,(ElevCalc!$B$86*ElevCalc!$B$91+9)+3,NA())</f>
        <v/>
      </c>
      <c r="F364" t="inlineStr">
        <is>
          <t>dimW</t>
        </is>
      </c>
      <c r="G364">
        <f>IF(ElevCalc!$G$73,(ElevCalc!$G$92+(0)*ElevCalc!$G$91),NA())</f>
        <v/>
      </c>
      <c r="H364">
        <f>IF(ElevCalc!$G$73,(ElevCalc!$G$86*ElevCalc!$G$91+9)+3,NA())</f>
        <v/>
      </c>
      <c r="K364" t="inlineStr">
        <is>
          <t>dimW</t>
        </is>
      </c>
      <c r="L364">
        <f>IF(ElevCalc!$L$73,(ElevCalc!$L$92+(0)*ElevCalc!$L$91),NA())</f>
        <v/>
      </c>
      <c r="M364">
        <f>IF(ElevCalc!$L$73,(ElevCalc!$L$86*ElevCalc!$L$91+9)+3,NA())</f>
        <v/>
      </c>
      <c r="P364" t="inlineStr">
        <is>
          <t>dimW</t>
        </is>
      </c>
      <c r="Q364">
        <f>IF(ElevCalc!$Q$73,(ElevCalc!$Q$92+(0)*ElevCalc!$Q$91),NA())</f>
        <v/>
      </c>
      <c r="R364">
        <f>IF(ElevCalc!$Q$73,(ElevCalc!$Q$86*ElevCalc!$Q$91+9)+3,NA())</f>
        <v/>
      </c>
      <c r="U364" t="inlineStr">
        <is>
          <t>dimW</t>
        </is>
      </c>
      <c r="V364">
        <f>IF(ElevCalc!$V$73,(ElevCalc!$V$92+(0)*ElevCalc!$V$91),NA())</f>
        <v/>
      </c>
      <c r="W364">
        <f>IF(ElevCalc!$V$73,(ElevCalc!$V$86*ElevCalc!$V$91+9)+3,NA())</f>
        <v/>
      </c>
      <c r="Z364" t="inlineStr">
        <is>
          <t>dimW</t>
        </is>
      </c>
      <c r="AA364">
        <f>IF(ElevCalc!$AA$73,(ElevCalc!$AA$92+(0)*ElevCalc!$AA$91),NA())</f>
        <v/>
      </c>
      <c r="AB364">
        <f>IF(ElevCalc!$AA$73,(ElevCalc!$AA$86*ElevCalc!$AA$91+9)+3,NA())</f>
        <v/>
      </c>
      <c r="AE364" t="inlineStr">
        <is>
          <t>dimW</t>
        </is>
      </c>
      <c r="AF364">
        <f>IF(ElevCalc!$AF$73,(ElevCalc!$AF$92+(0)*ElevCalc!$AF$91),NA())</f>
        <v/>
      </c>
      <c r="AG364">
        <f>IF(ElevCalc!$AF$73,(ElevCalc!$AF$86*ElevCalc!$AF$91+9)+3,NA())</f>
        <v/>
      </c>
    </row>
    <row r="365">
      <c r="A365" t="inlineStr">
        <is>
          <t>dimW</t>
        </is>
      </c>
      <c r="B365">
        <f>IF(ElevCalc!$B$73,(ElevCalc!$B$92+(0)*ElevCalc!$B$91),NA())</f>
        <v/>
      </c>
      <c r="C365">
        <f>IF(ElevCalc!$B$73,(ElevCalc!$B$86*ElevCalc!$B$91+9),NA())</f>
        <v/>
      </c>
      <c r="F365" t="inlineStr">
        <is>
          <t>dimW</t>
        </is>
      </c>
      <c r="G365">
        <f>IF(ElevCalc!$G$73,(ElevCalc!$G$92+(0)*ElevCalc!$G$91),NA())</f>
        <v/>
      </c>
      <c r="H365">
        <f>IF(ElevCalc!$G$73,(ElevCalc!$G$86*ElevCalc!$G$91+9),NA())</f>
        <v/>
      </c>
      <c r="K365" t="inlineStr">
        <is>
          <t>dimW</t>
        </is>
      </c>
      <c r="L365">
        <f>IF(ElevCalc!$L$73,(ElevCalc!$L$92+(0)*ElevCalc!$L$91),NA())</f>
        <v/>
      </c>
      <c r="M365">
        <f>IF(ElevCalc!$L$73,(ElevCalc!$L$86*ElevCalc!$L$91+9),NA())</f>
        <v/>
      </c>
      <c r="P365" t="inlineStr">
        <is>
          <t>dimW</t>
        </is>
      </c>
      <c r="Q365">
        <f>IF(ElevCalc!$Q$73,(ElevCalc!$Q$92+(0)*ElevCalc!$Q$91),NA())</f>
        <v/>
      </c>
      <c r="R365">
        <f>IF(ElevCalc!$Q$73,(ElevCalc!$Q$86*ElevCalc!$Q$91+9),NA())</f>
        <v/>
      </c>
      <c r="U365" t="inlineStr">
        <is>
          <t>dimW</t>
        </is>
      </c>
      <c r="V365">
        <f>IF(ElevCalc!$V$73,(ElevCalc!$V$92+(0)*ElevCalc!$V$91),NA())</f>
        <v/>
      </c>
      <c r="W365">
        <f>IF(ElevCalc!$V$73,(ElevCalc!$V$86*ElevCalc!$V$91+9),NA())</f>
        <v/>
      </c>
      <c r="Z365" t="inlineStr">
        <is>
          <t>dimW</t>
        </is>
      </c>
      <c r="AA365">
        <f>IF(ElevCalc!$AA$73,(ElevCalc!$AA$92+(0)*ElevCalc!$AA$91),NA())</f>
        <v/>
      </c>
      <c r="AB365">
        <f>IF(ElevCalc!$AA$73,(ElevCalc!$AA$86*ElevCalc!$AA$91+9),NA())</f>
        <v/>
      </c>
      <c r="AE365" t="inlineStr">
        <is>
          <t>dimW</t>
        </is>
      </c>
      <c r="AF365">
        <f>IF(ElevCalc!$AF$73,(ElevCalc!$AF$92+(0)*ElevCalc!$AF$91),NA())</f>
        <v/>
      </c>
      <c r="AG365">
        <f>IF(ElevCalc!$AF$73,(ElevCalc!$AF$86*ElevCalc!$AF$91+9),NA())</f>
        <v/>
      </c>
    </row>
    <row r="366">
      <c r="A366" t="inlineStr">
        <is>
          <t>dimW</t>
        </is>
      </c>
      <c r="B366">
        <f>IF(ElevCalc!$B$73,(ElevCalc!$B$92+(ElevCalc!$B$85)*ElevCalc!$B$91),NA())</f>
        <v/>
      </c>
      <c r="C366">
        <f>IF(ElevCalc!$B$73,(ElevCalc!$B$86*ElevCalc!$B$91+9),NA())</f>
        <v/>
      </c>
      <c r="F366" t="inlineStr">
        <is>
          <t>dimW</t>
        </is>
      </c>
      <c r="G366">
        <f>IF(ElevCalc!$G$73,(ElevCalc!$G$92+(ElevCalc!$G$85)*ElevCalc!$G$91),NA())</f>
        <v/>
      </c>
      <c r="H366">
        <f>IF(ElevCalc!$G$73,(ElevCalc!$G$86*ElevCalc!$G$91+9),NA())</f>
        <v/>
      </c>
      <c r="K366" t="inlineStr">
        <is>
          <t>dimW</t>
        </is>
      </c>
      <c r="L366">
        <f>IF(ElevCalc!$L$73,(ElevCalc!$L$92+(ElevCalc!$L$85)*ElevCalc!$L$91),NA())</f>
        <v/>
      </c>
      <c r="M366">
        <f>IF(ElevCalc!$L$73,(ElevCalc!$L$86*ElevCalc!$L$91+9),NA())</f>
        <v/>
      </c>
      <c r="P366" t="inlineStr">
        <is>
          <t>dimW</t>
        </is>
      </c>
      <c r="Q366">
        <f>IF(ElevCalc!$Q$73,(ElevCalc!$Q$92+(ElevCalc!$Q$85)*ElevCalc!$Q$91),NA())</f>
        <v/>
      </c>
      <c r="R366">
        <f>IF(ElevCalc!$Q$73,(ElevCalc!$Q$86*ElevCalc!$Q$91+9),NA())</f>
        <v/>
      </c>
      <c r="U366" t="inlineStr">
        <is>
          <t>dimW</t>
        </is>
      </c>
      <c r="V366">
        <f>IF(ElevCalc!$V$73,(ElevCalc!$V$92+(ElevCalc!$V$85)*ElevCalc!$V$91),NA())</f>
        <v/>
      </c>
      <c r="W366">
        <f>IF(ElevCalc!$V$73,(ElevCalc!$V$86*ElevCalc!$V$91+9),NA())</f>
        <v/>
      </c>
      <c r="Z366" t="inlineStr">
        <is>
          <t>dimW</t>
        </is>
      </c>
      <c r="AA366">
        <f>IF(ElevCalc!$AA$73,(ElevCalc!$AA$92+(ElevCalc!$AA$85)*ElevCalc!$AA$91),NA())</f>
        <v/>
      </c>
      <c r="AB366">
        <f>IF(ElevCalc!$AA$73,(ElevCalc!$AA$86*ElevCalc!$AA$91+9),NA())</f>
        <v/>
      </c>
      <c r="AE366" t="inlineStr">
        <is>
          <t>dimW</t>
        </is>
      </c>
      <c r="AF366">
        <f>IF(ElevCalc!$AF$73,(ElevCalc!$AF$92+(ElevCalc!$AF$85)*ElevCalc!$AF$91),NA())</f>
        <v/>
      </c>
      <c r="AG366">
        <f>IF(ElevCalc!$AF$73,(ElevCalc!$AF$86*ElevCalc!$AF$91+9),NA())</f>
        <v/>
      </c>
    </row>
    <row r="367">
      <c r="A367" t="inlineStr">
        <is>
          <t>dimW</t>
        </is>
      </c>
      <c r="B367">
        <f>IF(ElevCalc!$B$73,(ElevCalc!$B$92+(ElevCalc!$B$85)*ElevCalc!$B$91),NA())</f>
        <v/>
      </c>
      <c r="C367">
        <f>IF(ElevCalc!$B$73,(ElevCalc!$B$86*ElevCalc!$B$91+9)+3,NA())</f>
        <v/>
      </c>
      <c r="F367" t="inlineStr">
        <is>
          <t>dimW</t>
        </is>
      </c>
      <c r="G367">
        <f>IF(ElevCalc!$G$73,(ElevCalc!$G$92+(ElevCalc!$G$85)*ElevCalc!$G$91),NA())</f>
        <v/>
      </c>
      <c r="H367">
        <f>IF(ElevCalc!$G$73,(ElevCalc!$G$86*ElevCalc!$G$91+9)+3,NA())</f>
        <v/>
      </c>
      <c r="K367" t="inlineStr">
        <is>
          <t>dimW</t>
        </is>
      </c>
      <c r="L367">
        <f>IF(ElevCalc!$L$73,(ElevCalc!$L$92+(ElevCalc!$L$85)*ElevCalc!$L$91),NA())</f>
        <v/>
      </c>
      <c r="M367">
        <f>IF(ElevCalc!$L$73,(ElevCalc!$L$86*ElevCalc!$L$91+9)+3,NA())</f>
        <v/>
      </c>
      <c r="P367" t="inlineStr">
        <is>
          <t>dimW</t>
        </is>
      </c>
      <c r="Q367">
        <f>IF(ElevCalc!$Q$73,(ElevCalc!$Q$92+(ElevCalc!$Q$85)*ElevCalc!$Q$91),NA())</f>
        <v/>
      </c>
      <c r="R367">
        <f>IF(ElevCalc!$Q$73,(ElevCalc!$Q$86*ElevCalc!$Q$91+9)+3,NA())</f>
        <v/>
      </c>
      <c r="U367" t="inlineStr">
        <is>
          <t>dimW</t>
        </is>
      </c>
      <c r="V367">
        <f>IF(ElevCalc!$V$73,(ElevCalc!$V$92+(ElevCalc!$V$85)*ElevCalc!$V$91),NA())</f>
        <v/>
      </c>
      <c r="W367">
        <f>IF(ElevCalc!$V$73,(ElevCalc!$V$86*ElevCalc!$V$91+9)+3,NA())</f>
        <v/>
      </c>
      <c r="Z367" t="inlineStr">
        <is>
          <t>dimW</t>
        </is>
      </c>
      <c r="AA367">
        <f>IF(ElevCalc!$AA$73,(ElevCalc!$AA$92+(ElevCalc!$AA$85)*ElevCalc!$AA$91),NA())</f>
        <v/>
      </c>
      <c r="AB367">
        <f>IF(ElevCalc!$AA$73,(ElevCalc!$AA$86*ElevCalc!$AA$91+9)+3,NA())</f>
        <v/>
      </c>
      <c r="AE367" t="inlineStr">
        <is>
          <t>dimW</t>
        </is>
      </c>
      <c r="AF367">
        <f>IF(ElevCalc!$AF$73,(ElevCalc!$AF$92+(ElevCalc!$AF$85)*ElevCalc!$AF$91),NA())</f>
        <v/>
      </c>
      <c r="AG367">
        <f>IF(ElevCalc!$AF$73,(ElevCalc!$AF$86*ElevCalc!$AF$91+9)+3,NA())</f>
        <v/>
      </c>
    </row>
    <row r="368">
      <c r="A368" t="inlineStr">
        <is>
          <t>dimW</t>
        </is>
      </c>
      <c r="B368">
        <f>IF(ElevCalc!$B$73,(ElevCalc!$B$92+(ElevCalc!$B$85)*ElevCalc!$B$91),NA())</f>
        <v/>
      </c>
      <c r="C368">
        <f>IF(ElevCalc!$B$73,(ElevCalc!$B$86*ElevCalc!$B$91+9)-3,NA())</f>
        <v/>
      </c>
      <c r="F368" t="inlineStr">
        <is>
          <t>dimW</t>
        </is>
      </c>
      <c r="G368">
        <f>IF(ElevCalc!$G$73,(ElevCalc!$G$92+(ElevCalc!$G$85)*ElevCalc!$G$91),NA())</f>
        <v/>
      </c>
      <c r="H368">
        <f>IF(ElevCalc!$G$73,(ElevCalc!$G$86*ElevCalc!$G$91+9)-3,NA())</f>
        <v/>
      </c>
      <c r="K368" t="inlineStr">
        <is>
          <t>dimW</t>
        </is>
      </c>
      <c r="L368">
        <f>IF(ElevCalc!$L$73,(ElevCalc!$L$92+(ElevCalc!$L$85)*ElevCalc!$L$91),NA())</f>
        <v/>
      </c>
      <c r="M368">
        <f>IF(ElevCalc!$L$73,(ElevCalc!$L$86*ElevCalc!$L$91+9)-3,NA())</f>
        <v/>
      </c>
      <c r="P368" t="inlineStr">
        <is>
          <t>dimW</t>
        </is>
      </c>
      <c r="Q368">
        <f>IF(ElevCalc!$Q$73,(ElevCalc!$Q$92+(ElevCalc!$Q$85)*ElevCalc!$Q$91),NA())</f>
        <v/>
      </c>
      <c r="R368">
        <f>IF(ElevCalc!$Q$73,(ElevCalc!$Q$86*ElevCalc!$Q$91+9)-3,NA())</f>
        <v/>
      </c>
      <c r="U368" t="inlineStr">
        <is>
          <t>dimW</t>
        </is>
      </c>
      <c r="V368">
        <f>IF(ElevCalc!$V$73,(ElevCalc!$V$92+(ElevCalc!$V$85)*ElevCalc!$V$91),NA())</f>
        <v/>
      </c>
      <c r="W368">
        <f>IF(ElevCalc!$V$73,(ElevCalc!$V$86*ElevCalc!$V$91+9)-3,NA())</f>
        <v/>
      </c>
      <c r="Z368" t="inlineStr">
        <is>
          <t>dimW</t>
        </is>
      </c>
      <c r="AA368">
        <f>IF(ElevCalc!$AA$73,(ElevCalc!$AA$92+(ElevCalc!$AA$85)*ElevCalc!$AA$91),NA())</f>
        <v/>
      </c>
      <c r="AB368">
        <f>IF(ElevCalc!$AA$73,(ElevCalc!$AA$86*ElevCalc!$AA$91+9)-3,NA())</f>
        <v/>
      </c>
      <c r="AE368" t="inlineStr">
        <is>
          <t>dimW</t>
        </is>
      </c>
      <c r="AF368">
        <f>IF(ElevCalc!$AF$73,(ElevCalc!$AF$92+(ElevCalc!$AF$85)*ElevCalc!$AF$91),NA())</f>
        <v/>
      </c>
      <c r="AG368">
        <f>IF(ElevCalc!$AF$73,(ElevCalc!$AF$86*ElevCalc!$AF$91+9)-3,NA())</f>
        <v/>
      </c>
    </row>
    <row r="370">
      <c r="A370" t="inlineStr">
        <is>
          <t>labW</t>
        </is>
      </c>
      <c r="B370">
        <f>IF(ElevCalc!$B$73,(ElevCalc!$B$92+(ElevCalc!$B$85/2)*ElevCalc!$B$91),NA())</f>
        <v/>
      </c>
      <c r="C370">
        <f>IF(ElevCalc!$B$73,(ElevCalc!$B$86*ElevCalc!$B$91+9),NA())</f>
        <v/>
      </c>
      <c r="D370">
        <f>ElevCalc!$B$122</f>
        <v/>
      </c>
      <c r="F370" t="inlineStr">
        <is>
          <t>labW</t>
        </is>
      </c>
      <c r="G370">
        <f>IF(ElevCalc!$G$73,(ElevCalc!$G$92+(ElevCalc!$G$85/2)*ElevCalc!$G$91),NA())</f>
        <v/>
      </c>
      <c r="H370">
        <f>IF(ElevCalc!$G$73,(ElevCalc!$G$86*ElevCalc!$G$91+9),NA())</f>
        <v/>
      </c>
      <c r="I370">
        <f>ElevCalc!$G$122</f>
        <v/>
      </c>
      <c r="K370" t="inlineStr">
        <is>
          <t>labW</t>
        </is>
      </c>
      <c r="L370">
        <f>IF(ElevCalc!$L$73,(ElevCalc!$L$92+(ElevCalc!$L$85/2)*ElevCalc!$L$91),NA())</f>
        <v/>
      </c>
      <c r="M370">
        <f>IF(ElevCalc!$L$73,(ElevCalc!$L$86*ElevCalc!$L$91+9),NA())</f>
        <v/>
      </c>
      <c r="N370">
        <f>ElevCalc!$L$122</f>
        <v/>
      </c>
      <c r="P370" t="inlineStr">
        <is>
          <t>labW</t>
        </is>
      </c>
      <c r="Q370">
        <f>IF(ElevCalc!$Q$73,(ElevCalc!$Q$92+(ElevCalc!$Q$85/2)*ElevCalc!$Q$91),NA())</f>
        <v/>
      </c>
      <c r="R370">
        <f>IF(ElevCalc!$Q$73,(ElevCalc!$Q$86*ElevCalc!$Q$91+9),NA())</f>
        <v/>
      </c>
      <c r="S370">
        <f>ElevCalc!$Q$122</f>
        <v/>
      </c>
      <c r="U370" t="inlineStr">
        <is>
          <t>labW</t>
        </is>
      </c>
      <c r="V370">
        <f>IF(ElevCalc!$V$73,(ElevCalc!$V$92+(ElevCalc!$V$85/2)*ElevCalc!$V$91),NA())</f>
        <v/>
      </c>
      <c r="W370">
        <f>IF(ElevCalc!$V$73,(ElevCalc!$V$86*ElevCalc!$V$91+9),NA())</f>
        <v/>
      </c>
      <c r="X370">
        <f>ElevCalc!$V$122</f>
        <v/>
      </c>
      <c r="Z370" t="inlineStr">
        <is>
          <t>labW</t>
        </is>
      </c>
      <c r="AA370">
        <f>IF(ElevCalc!$AA$73,(ElevCalc!$AA$92+(ElevCalc!$AA$85/2)*ElevCalc!$AA$91),NA())</f>
        <v/>
      </c>
      <c r="AB370">
        <f>IF(ElevCalc!$AA$73,(ElevCalc!$AA$86*ElevCalc!$AA$91+9),NA())</f>
        <v/>
      </c>
      <c r="AC370">
        <f>ElevCalc!$AA$122</f>
        <v/>
      </c>
      <c r="AE370" t="inlineStr">
        <is>
          <t>labW</t>
        </is>
      </c>
      <c r="AF370">
        <f>IF(ElevCalc!$AF$73,(ElevCalc!$AF$92+(ElevCalc!$AF$85/2)*ElevCalc!$AF$91),NA())</f>
        <v/>
      </c>
      <c r="AG370">
        <f>IF(ElevCalc!$AF$73,(ElevCalc!$AF$86*ElevCalc!$AF$91+9),NA())</f>
        <v/>
      </c>
      <c r="AH370">
        <f>ElevCalc!$AF$122</f>
        <v/>
      </c>
    </row>
    <row r="372">
      <c r="A372" t="inlineStr">
        <is>
          <t>dimOW</t>
        </is>
      </c>
      <c r="B372">
        <f>IF(ElevCalc!$B$73,(ElevCalc!$B$92+(ElevCalc!$B$87)*ElevCalc!$B$91),NA())</f>
        <v/>
      </c>
      <c r="C372">
        <f>IF(ElevCalc!$B$73,(-9)-3,NA())</f>
        <v/>
      </c>
      <c r="F372" t="inlineStr">
        <is>
          <t>dimOW</t>
        </is>
      </c>
      <c r="G372">
        <f>IF(ElevCalc!$G$73,(ElevCalc!$G$92+(ElevCalc!$G$87)*ElevCalc!$G$91),NA())</f>
        <v/>
      </c>
      <c r="H372">
        <f>IF(ElevCalc!$G$73,(-9)-3,NA())</f>
        <v/>
      </c>
      <c r="K372" t="inlineStr">
        <is>
          <t>dimOW</t>
        </is>
      </c>
      <c r="L372">
        <f>IF(ElevCalc!$L$73,(ElevCalc!$L$92+(ElevCalc!$L$87)*ElevCalc!$L$91),NA())</f>
        <v/>
      </c>
      <c r="M372">
        <f>IF(ElevCalc!$L$73,(-9)-3,NA())</f>
        <v/>
      </c>
      <c r="P372" t="inlineStr">
        <is>
          <t>dimOW</t>
        </is>
      </c>
      <c r="Q372">
        <f>IF(ElevCalc!$Q$73,(ElevCalc!$Q$92+(ElevCalc!$Q$87)*ElevCalc!$Q$91),NA())</f>
        <v/>
      </c>
      <c r="R372">
        <f>IF(ElevCalc!$Q$73,(-9)-3,NA())</f>
        <v/>
      </c>
      <c r="U372" t="inlineStr">
        <is>
          <t>dimOW</t>
        </is>
      </c>
      <c r="V372">
        <f>IF(ElevCalc!$V$73,(ElevCalc!$V$92+(ElevCalc!$V$87)*ElevCalc!$V$91),NA())</f>
        <v/>
      </c>
      <c r="W372">
        <f>IF(ElevCalc!$V$73,(-9)-3,NA())</f>
        <v/>
      </c>
      <c r="Z372" t="inlineStr">
        <is>
          <t>dimOW</t>
        </is>
      </c>
      <c r="AA372">
        <f>IF(ElevCalc!$AA$73,(ElevCalc!$AA$92+(ElevCalc!$AA$87)*ElevCalc!$AA$91),NA())</f>
        <v/>
      </c>
      <c r="AB372">
        <f>IF(ElevCalc!$AA$73,(-9)-3,NA())</f>
        <v/>
      </c>
      <c r="AE372" t="inlineStr">
        <is>
          <t>dimOW</t>
        </is>
      </c>
      <c r="AF372">
        <f>IF(ElevCalc!$AF$73,(ElevCalc!$AF$92+(ElevCalc!$AF$87)*ElevCalc!$AF$91),NA())</f>
        <v/>
      </c>
      <c r="AG372">
        <f>IF(ElevCalc!$AF$73,(-9)-3,NA())</f>
        <v/>
      </c>
    </row>
    <row r="373">
      <c r="A373" t="inlineStr">
        <is>
          <t>dimOW</t>
        </is>
      </c>
      <c r="B373">
        <f>IF(ElevCalc!$B$73,(ElevCalc!$B$92+(ElevCalc!$B$87)*ElevCalc!$B$91),NA())</f>
        <v/>
      </c>
      <c r="C373">
        <f>IF(ElevCalc!$B$73,(-9)+3,NA())</f>
        <v/>
      </c>
      <c r="F373" t="inlineStr">
        <is>
          <t>dimOW</t>
        </is>
      </c>
      <c r="G373">
        <f>IF(ElevCalc!$G$73,(ElevCalc!$G$92+(ElevCalc!$G$87)*ElevCalc!$G$91),NA())</f>
        <v/>
      </c>
      <c r="H373">
        <f>IF(ElevCalc!$G$73,(-9)+3,NA())</f>
        <v/>
      </c>
      <c r="K373" t="inlineStr">
        <is>
          <t>dimOW</t>
        </is>
      </c>
      <c r="L373">
        <f>IF(ElevCalc!$L$73,(ElevCalc!$L$92+(ElevCalc!$L$87)*ElevCalc!$L$91),NA())</f>
        <v/>
      </c>
      <c r="M373">
        <f>IF(ElevCalc!$L$73,(-9)+3,NA())</f>
        <v/>
      </c>
      <c r="P373" t="inlineStr">
        <is>
          <t>dimOW</t>
        </is>
      </c>
      <c r="Q373">
        <f>IF(ElevCalc!$Q$73,(ElevCalc!$Q$92+(ElevCalc!$Q$87)*ElevCalc!$Q$91),NA())</f>
        <v/>
      </c>
      <c r="R373">
        <f>IF(ElevCalc!$Q$73,(-9)+3,NA())</f>
        <v/>
      </c>
      <c r="U373" t="inlineStr">
        <is>
          <t>dimOW</t>
        </is>
      </c>
      <c r="V373">
        <f>IF(ElevCalc!$V$73,(ElevCalc!$V$92+(ElevCalc!$V$87)*ElevCalc!$V$91),NA())</f>
        <v/>
      </c>
      <c r="W373">
        <f>IF(ElevCalc!$V$73,(-9)+3,NA())</f>
        <v/>
      </c>
      <c r="Z373" t="inlineStr">
        <is>
          <t>dimOW</t>
        </is>
      </c>
      <c r="AA373">
        <f>IF(ElevCalc!$AA$73,(ElevCalc!$AA$92+(ElevCalc!$AA$87)*ElevCalc!$AA$91),NA())</f>
        <v/>
      </c>
      <c r="AB373">
        <f>IF(ElevCalc!$AA$73,(-9)+3,NA())</f>
        <v/>
      </c>
      <c r="AE373" t="inlineStr">
        <is>
          <t>dimOW</t>
        </is>
      </c>
      <c r="AF373">
        <f>IF(ElevCalc!$AF$73,(ElevCalc!$AF$92+(ElevCalc!$AF$87)*ElevCalc!$AF$91),NA())</f>
        <v/>
      </c>
      <c r="AG373">
        <f>IF(ElevCalc!$AF$73,(-9)+3,NA())</f>
        <v/>
      </c>
    </row>
    <row r="374">
      <c r="A374" t="inlineStr">
        <is>
          <t>dimOW</t>
        </is>
      </c>
      <c r="B374">
        <f>IF(ElevCalc!$B$73,(ElevCalc!$B$92+(ElevCalc!$B$87)*ElevCalc!$B$91),NA())</f>
        <v/>
      </c>
      <c r="C374">
        <f>IF(ElevCalc!$B$73,(-9),NA())</f>
        <v/>
      </c>
      <c r="F374" t="inlineStr">
        <is>
          <t>dimOW</t>
        </is>
      </c>
      <c r="G374">
        <f>IF(ElevCalc!$G$73,(ElevCalc!$G$92+(ElevCalc!$G$87)*ElevCalc!$G$91),NA())</f>
        <v/>
      </c>
      <c r="H374">
        <f>IF(ElevCalc!$G$73,(-9),NA())</f>
        <v/>
      </c>
      <c r="K374" t="inlineStr">
        <is>
          <t>dimOW</t>
        </is>
      </c>
      <c r="L374">
        <f>IF(ElevCalc!$L$73,(ElevCalc!$L$92+(ElevCalc!$L$87)*ElevCalc!$L$91),NA())</f>
        <v/>
      </c>
      <c r="M374">
        <f>IF(ElevCalc!$L$73,(-9),NA())</f>
        <v/>
      </c>
      <c r="P374" t="inlineStr">
        <is>
          <t>dimOW</t>
        </is>
      </c>
      <c r="Q374">
        <f>IF(ElevCalc!$Q$73,(ElevCalc!$Q$92+(ElevCalc!$Q$87)*ElevCalc!$Q$91),NA())</f>
        <v/>
      </c>
      <c r="R374">
        <f>IF(ElevCalc!$Q$73,(-9),NA())</f>
        <v/>
      </c>
      <c r="U374" t="inlineStr">
        <is>
          <t>dimOW</t>
        </is>
      </c>
      <c r="V374">
        <f>IF(ElevCalc!$V$73,(ElevCalc!$V$92+(ElevCalc!$V$87)*ElevCalc!$V$91),NA())</f>
        <v/>
      </c>
      <c r="W374">
        <f>IF(ElevCalc!$V$73,(-9),NA())</f>
        <v/>
      </c>
      <c r="Z374" t="inlineStr">
        <is>
          <t>dimOW</t>
        </is>
      </c>
      <c r="AA374">
        <f>IF(ElevCalc!$AA$73,(ElevCalc!$AA$92+(ElevCalc!$AA$87)*ElevCalc!$AA$91),NA())</f>
        <v/>
      </c>
      <c r="AB374">
        <f>IF(ElevCalc!$AA$73,(-9),NA())</f>
        <v/>
      </c>
      <c r="AE374" t="inlineStr">
        <is>
          <t>dimOW</t>
        </is>
      </c>
      <c r="AF374">
        <f>IF(ElevCalc!$AF$73,(ElevCalc!$AF$92+(ElevCalc!$AF$87)*ElevCalc!$AF$91),NA())</f>
        <v/>
      </c>
      <c r="AG374">
        <f>IF(ElevCalc!$AF$73,(-9),NA())</f>
        <v/>
      </c>
    </row>
    <row r="375">
      <c r="A375" t="inlineStr">
        <is>
          <t>dimOW</t>
        </is>
      </c>
      <c r="B375">
        <f>IF(ElevCalc!$B$73,(ElevCalc!$B$92+(ElevCalc!$B$88)*ElevCalc!$B$91),NA())</f>
        <v/>
      </c>
      <c r="C375">
        <f>IF(ElevCalc!$B$73,(-9),NA())</f>
        <v/>
      </c>
      <c r="F375" t="inlineStr">
        <is>
          <t>dimOW</t>
        </is>
      </c>
      <c r="G375">
        <f>IF(ElevCalc!$G$73,(ElevCalc!$G$92+(ElevCalc!$G$88)*ElevCalc!$G$91),NA())</f>
        <v/>
      </c>
      <c r="H375">
        <f>IF(ElevCalc!$G$73,(-9),NA())</f>
        <v/>
      </c>
      <c r="K375" t="inlineStr">
        <is>
          <t>dimOW</t>
        </is>
      </c>
      <c r="L375">
        <f>IF(ElevCalc!$L$73,(ElevCalc!$L$92+(ElevCalc!$L$88)*ElevCalc!$L$91),NA())</f>
        <v/>
      </c>
      <c r="M375">
        <f>IF(ElevCalc!$L$73,(-9),NA())</f>
        <v/>
      </c>
      <c r="P375" t="inlineStr">
        <is>
          <t>dimOW</t>
        </is>
      </c>
      <c r="Q375">
        <f>IF(ElevCalc!$Q$73,(ElevCalc!$Q$92+(ElevCalc!$Q$88)*ElevCalc!$Q$91),NA())</f>
        <v/>
      </c>
      <c r="R375">
        <f>IF(ElevCalc!$Q$73,(-9),NA())</f>
        <v/>
      </c>
      <c r="U375" t="inlineStr">
        <is>
          <t>dimOW</t>
        </is>
      </c>
      <c r="V375">
        <f>IF(ElevCalc!$V$73,(ElevCalc!$V$92+(ElevCalc!$V$88)*ElevCalc!$V$91),NA())</f>
        <v/>
      </c>
      <c r="W375">
        <f>IF(ElevCalc!$V$73,(-9),NA())</f>
        <v/>
      </c>
      <c r="Z375" t="inlineStr">
        <is>
          <t>dimOW</t>
        </is>
      </c>
      <c r="AA375">
        <f>IF(ElevCalc!$AA$73,(ElevCalc!$AA$92+(ElevCalc!$AA$88)*ElevCalc!$AA$91),NA())</f>
        <v/>
      </c>
      <c r="AB375">
        <f>IF(ElevCalc!$AA$73,(-9),NA())</f>
        <v/>
      </c>
      <c r="AE375" t="inlineStr">
        <is>
          <t>dimOW</t>
        </is>
      </c>
      <c r="AF375">
        <f>IF(ElevCalc!$AF$73,(ElevCalc!$AF$92+(ElevCalc!$AF$88)*ElevCalc!$AF$91),NA())</f>
        <v/>
      </c>
      <c r="AG375">
        <f>IF(ElevCalc!$AF$73,(-9),NA())</f>
        <v/>
      </c>
    </row>
    <row r="376">
      <c r="A376" t="inlineStr">
        <is>
          <t>dimOW</t>
        </is>
      </c>
      <c r="B376">
        <f>IF(ElevCalc!$B$73,(ElevCalc!$B$92+(ElevCalc!$B$88)*ElevCalc!$B$91),NA())</f>
        <v/>
      </c>
      <c r="C376">
        <f>IF(ElevCalc!$B$73,(-9)+3,NA())</f>
        <v/>
      </c>
      <c r="F376" t="inlineStr">
        <is>
          <t>dimOW</t>
        </is>
      </c>
      <c r="G376">
        <f>IF(ElevCalc!$G$73,(ElevCalc!$G$92+(ElevCalc!$G$88)*ElevCalc!$G$91),NA())</f>
        <v/>
      </c>
      <c r="H376">
        <f>IF(ElevCalc!$G$73,(-9)+3,NA())</f>
        <v/>
      </c>
      <c r="K376" t="inlineStr">
        <is>
          <t>dimOW</t>
        </is>
      </c>
      <c r="L376">
        <f>IF(ElevCalc!$L$73,(ElevCalc!$L$92+(ElevCalc!$L$88)*ElevCalc!$L$91),NA())</f>
        <v/>
      </c>
      <c r="M376">
        <f>IF(ElevCalc!$L$73,(-9)+3,NA())</f>
        <v/>
      </c>
      <c r="P376" t="inlineStr">
        <is>
          <t>dimOW</t>
        </is>
      </c>
      <c r="Q376">
        <f>IF(ElevCalc!$Q$73,(ElevCalc!$Q$92+(ElevCalc!$Q$88)*ElevCalc!$Q$91),NA())</f>
        <v/>
      </c>
      <c r="R376">
        <f>IF(ElevCalc!$Q$73,(-9)+3,NA())</f>
        <v/>
      </c>
      <c r="U376" t="inlineStr">
        <is>
          <t>dimOW</t>
        </is>
      </c>
      <c r="V376">
        <f>IF(ElevCalc!$V$73,(ElevCalc!$V$92+(ElevCalc!$V$88)*ElevCalc!$V$91),NA())</f>
        <v/>
      </c>
      <c r="W376">
        <f>IF(ElevCalc!$V$73,(-9)+3,NA())</f>
        <v/>
      </c>
      <c r="Z376" t="inlineStr">
        <is>
          <t>dimOW</t>
        </is>
      </c>
      <c r="AA376">
        <f>IF(ElevCalc!$AA$73,(ElevCalc!$AA$92+(ElevCalc!$AA$88)*ElevCalc!$AA$91),NA())</f>
        <v/>
      </c>
      <c r="AB376">
        <f>IF(ElevCalc!$AA$73,(-9)+3,NA())</f>
        <v/>
      </c>
      <c r="AE376" t="inlineStr">
        <is>
          <t>dimOW</t>
        </is>
      </c>
      <c r="AF376">
        <f>IF(ElevCalc!$AF$73,(ElevCalc!$AF$92+(ElevCalc!$AF$88)*ElevCalc!$AF$91),NA())</f>
        <v/>
      </c>
      <c r="AG376">
        <f>IF(ElevCalc!$AF$73,(-9)+3,NA())</f>
        <v/>
      </c>
    </row>
    <row r="377">
      <c r="A377" t="inlineStr">
        <is>
          <t>dimOW</t>
        </is>
      </c>
      <c r="B377">
        <f>IF(ElevCalc!$B$73,(ElevCalc!$B$92+(ElevCalc!$B$88)*ElevCalc!$B$91),NA())</f>
        <v/>
      </c>
      <c r="C377">
        <f>IF(ElevCalc!$B$73,(-9)-3,NA())</f>
        <v/>
      </c>
      <c r="F377" t="inlineStr">
        <is>
          <t>dimOW</t>
        </is>
      </c>
      <c r="G377">
        <f>IF(ElevCalc!$G$73,(ElevCalc!$G$92+(ElevCalc!$G$88)*ElevCalc!$G$91),NA())</f>
        <v/>
      </c>
      <c r="H377">
        <f>IF(ElevCalc!$G$73,(-9)-3,NA())</f>
        <v/>
      </c>
      <c r="K377" t="inlineStr">
        <is>
          <t>dimOW</t>
        </is>
      </c>
      <c r="L377">
        <f>IF(ElevCalc!$L$73,(ElevCalc!$L$92+(ElevCalc!$L$88)*ElevCalc!$L$91),NA())</f>
        <v/>
      </c>
      <c r="M377">
        <f>IF(ElevCalc!$L$73,(-9)-3,NA())</f>
        <v/>
      </c>
      <c r="P377" t="inlineStr">
        <is>
          <t>dimOW</t>
        </is>
      </c>
      <c r="Q377">
        <f>IF(ElevCalc!$Q$73,(ElevCalc!$Q$92+(ElevCalc!$Q$88)*ElevCalc!$Q$91),NA())</f>
        <v/>
      </c>
      <c r="R377">
        <f>IF(ElevCalc!$Q$73,(-9)-3,NA())</f>
        <v/>
      </c>
      <c r="U377" t="inlineStr">
        <is>
          <t>dimOW</t>
        </is>
      </c>
      <c r="V377">
        <f>IF(ElevCalc!$V$73,(ElevCalc!$V$92+(ElevCalc!$V$88)*ElevCalc!$V$91),NA())</f>
        <v/>
      </c>
      <c r="W377">
        <f>IF(ElevCalc!$V$73,(-9)-3,NA())</f>
        <v/>
      </c>
      <c r="Z377" t="inlineStr">
        <is>
          <t>dimOW</t>
        </is>
      </c>
      <c r="AA377">
        <f>IF(ElevCalc!$AA$73,(ElevCalc!$AA$92+(ElevCalc!$AA$88)*ElevCalc!$AA$91),NA())</f>
        <v/>
      </c>
      <c r="AB377">
        <f>IF(ElevCalc!$AA$73,(-9)-3,NA())</f>
        <v/>
      </c>
      <c r="AE377" t="inlineStr">
        <is>
          <t>dimOW</t>
        </is>
      </c>
      <c r="AF377">
        <f>IF(ElevCalc!$AF$73,(ElevCalc!$AF$92+(ElevCalc!$AF$88)*ElevCalc!$AF$91),NA())</f>
        <v/>
      </c>
      <c r="AG377">
        <f>IF(ElevCalc!$AF$73,(-9)-3,NA())</f>
        <v/>
      </c>
    </row>
    <row r="379">
      <c r="A379" t="inlineStr">
        <is>
          <t>labOW</t>
        </is>
      </c>
      <c r="B379">
        <f>IF(ElevCalc!$B$73,(ElevCalc!$B$92+((ElevCalc!$B$87+ElevCalc!$B$88)/2)*ElevCalc!$B$91),NA())</f>
        <v/>
      </c>
      <c r="C379">
        <f>IF(ElevCalc!$B$73,(-9),NA())</f>
        <v/>
      </c>
      <c r="D379">
        <f>ElevCalc!$B$123</f>
        <v/>
      </c>
      <c r="F379" t="inlineStr">
        <is>
          <t>labOW</t>
        </is>
      </c>
      <c r="G379">
        <f>IF(ElevCalc!$G$73,(ElevCalc!$G$92+((ElevCalc!$G$87+ElevCalc!$G$88)/2)*ElevCalc!$G$91),NA())</f>
        <v/>
      </c>
      <c r="H379">
        <f>IF(ElevCalc!$G$73,(-9),NA())</f>
        <v/>
      </c>
      <c r="I379">
        <f>ElevCalc!$G$123</f>
        <v/>
      </c>
      <c r="K379" t="inlineStr">
        <is>
          <t>labOW</t>
        </is>
      </c>
      <c r="L379">
        <f>IF(ElevCalc!$L$73,(ElevCalc!$L$92+((ElevCalc!$L$87+ElevCalc!$L$88)/2)*ElevCalc!$L$91),NA())</f>
        <v/>
      </c>
      <c r="M379">
        <f>IF(ElevCalc!$L$73,(-9),NA())</f>
        <v/>
      </c>
      <c r="N379">
        <f>ElevCalc!$L$123</f>
        <v/>
      </c>
      <c r="P379" t="inlineStr">
        <is>
          <t>labOW</t>
        </is>
      </c>
      <c r="Q379">
        <f>IF(ElevCalc!$Q$73,(ElevCalc!$Q$92+((ElevCalc!$Q$87+ElevCalc!$Q$88)/2)*ElevCalc!$Q$91),NA())</f>
        <v/>
      </c>
      <c r="R379">
        <f>IF(ElevCalc!$Q$73,(-9),NA())</f>
        <v/>
      </c>
      <c r="S379">
        <f>ElevCalc!$Q$123</f>
        <v/>
      </c>
      <c r="U379" t="inlineStr">
        <is>
          <t>labOW</t>
        </is>
      </c>
      <c r="V379">
        <f>IF(ElevCalc!$V$73,(ElevCalc!$V$92+((ElevCalc!$V$87+ElevCalc!$V$88)/2)*ElevCalc!$V$91),NA())</f>
        <v/>
      </c>
      <c r="W379">
        <f>IF(ElevCalc!$V$73,(-9),NA())</f>
        <v/>
      </c>
      <c r="X379">
        <f>ElevCalc!$V$123</f>
        <v/>
      </c>
      <c r="Z379" t="inlineStr">
        <is>
          <t>labOW</t>
        </is>
      </c>
      <c r="AA379">
        <f>IF(ElevCalc!$AA$73,(ElevCalc!$AA$92+((ElevCalc!$AA$87+ElevCalc!$AA$88)/2)*ElevCalc!$AA$91),NA())</f>
        <v/>
      </c>
      <c r="AB379">
        <f>IF(ElevCalc!$AA$73,(-9),NA())</f>
        <v/>
      </c>
      <c r="AC379">
        <f>ElevCalc!$AA$123</f>
        <v/>
      </c>
      <c r="AE379" t="inlineStr">
        <is>
          <t>labOW</t>
        </is>
      </c>
      <c r="AF379">
        <f>IF(ElevCalc!$AF$73,(ElevCalc!$AF$92+((ElevCalc!$AF$87+ElevCalc!$AF$88)/2)*ElevCalc!$AF$91),NA())</f>
        <v/>
      </c>
      <c r="AG379">
        <f>IF(ElevCalc!$AF$73,(-9),NA())</f>
        <v/>
      </c>
      <c r="AH379">
        <f>ElevCalc!$AF$123</f>
        <v/>
      </c>
    </row>
    <row r="381">
      <c r="A381" t="inlineStr">
        <is>
          <t>dimH</t>
        </is>
      </c>
      <c r="B381">
        <f>IF(ElevCalc!$B$73,(ElevCalc!$B$92+ElevCalc!$B$85*ElevCalc!$B$91+9)-3,NA())</f>
        <v/>
      </c>
      <c r="C381">
        <f>IF(ElevCalc!$B$73,((0)*ElevCalc!$B$91),NA())</f>
        <v/>
      </c>
      <c r="F381" t="inlineStr">
        <is>
          <t>dimH</t>
        </is>
      </c>
      <c r="G381">
        <f>IF(ElevCalc!$G$73,(ElevCalc!$G$92+ElevCalc!$G$85*ElevCalc!$G$91+9)-3,NA())</f>
        <v/>
      </c>
      <c r="H381">
        <f>IF(ElevCalc!$G$73,((0)*ElevCalc!$G$91),NA())</f>
        <v/>
      </c>
      <c r="K381" t="inlineStr">
        <is>
          <t>dimH</t>
        </is>
      </c>
      <c r="L381">
        <f>IF(ElevCalc!$L$73,(ElevCalc!$L$92+ElevCalc!$L$85*ElevCalc!$L$91+9)-3,NA())</f>
        <v/>
      </c>
      <c r="M381">
        <f>IF(ElevCalc!$L$73,((0)*ElevCalc!$L$91),NA())</f>
        <v/>
      </c>
      <c r="P381" t="inlineStr">
        <is>
          <t>dimH</t>
        </is>
      </c>
      <c r="Q381">
        <f>IF(ElevCalc!$Q$73,(ElevCalc!$Q$92+ElevCalc!$Q$85*ElevCalc!$Q$91+9)-3,NA())</f>
        <v/>
      </c>
      <c r="R381">
        <f>IF(ElevCalc!$Q$73,((0)*ElevCalc!$Q$91),NA())</f>
        <v/>
      </c>
      <c r="U381" t="inlineStr">
        <is>
          <t>dimH</t>
        </is>
      </c>
      <c r="V381">
        <f>IF(ElevCalc!$V$73,(ElevCalc!$V$92+ElevCalc!$V$85*ElevCalc!$V$91+9)-3,NA())</f>
        <v/>
      </c>
      <c r="W381">
        <f>IF(ElevCalc!$V$73,((0)*ElevCalc!$V$91),NA())</f>
        <v/>
      </c>
      <c r="Z381" t="inlineStr">
        <is>
          <t>dimH</t>
        </is>
      </c>
      <c r="AA381">
        <f>IF(ElevCalc!$AA$73,(ElevCalc!$AA$92+ElevCalc!$AA$85*ElevCalc!$AA$91+9)-3,NA())</f>
        <v/>
      </c>
      <c r="AB381">
        <f>IF(ElevCalc!$AA$73,((0)*ElevCalc!$AA$91),NA())</f>
        <v/>
      </c>
      <c r="AE381" t="inlineStr">
        <is>
          <t>dimH</t>
        </is>
      </c>
      <c r="AF381">
        <f>IF(ElevCalc!$AF$73,(ElevCalc!$AF$92+ElevCalc!$AF$85*ElevCalc!$AF$91+9)-3,NA())</f>
        <v/>
      </c>
      <c r="AG381">
        <f>IF(ElevCalc!$AF$73,((0)*ElevCalc!$AF$91),NA())</f>
        <v/>
      </c>
    </row>
    <row r="382">
      <c r="A382" t="inlineStr">
        <is>
          <t>dimH</t>
        </is>
      </c>
      <c r="B382">
        <f>IF(ElevCalc!$B$73,(ElevCalc!$B$92+ElevCalc!$B$85*ElevCalc!$B$91+9)+3,NA())</f>
        <v/>
      </c>
      <c r="C382">
        <f>IF(ElevCalc!$B$73,((0)*ElevCalc!$B$91),NA())</f>
        <v/>
      </c>
      <c r="F382" t="inlineStr">
        <is>
          <t>dimH</t>
        </is>
      </c>
      <c r="G382">
        <f>IF(ElevCalc!$G$73,(ElevCalc!$G$92+ElevCalc!$G$85*ElevCalc!$G$91+9)+3,NA())</f>
        <v/>
      </c>
      <c r="H382">
        <f>IF(ElevCalc!$G$73,((0)*ElevCalc!$G$91),NA())</f>
        <v/>
      </c>
      <c r="K382" t="inlineStr">
        <is>
          <t>dimH</t>
        </is>
      </c>
      <c r="L382">
        <f>IF(ElevCalc!$L$73,(ElevCalc!$L$92+ElevCalc!$L$85*ElevCalc!$L$91+9)+3,NA())</f>
        <v/>
      </c>
      <c r="M382">
        <f>IF(ElevCalc!$L$73,((0)*ElevCalc!$L$91),NA())</f>
        <v/>
      </c>
      <c r="P382" t="inlineStr">
        <is>
          <t>dimH</t>
        </is>
      </c>
      <c r="Q382">
        <f>IF(ElevCalc!$Q$73,(ElevCalc!$Q$92+ElevCalc!$Q$85*ElevCalc!$Q$91+9)+3,NA())</f>
        <v/>
      </c>
      <c r="R382">
        <f>IF(ElevCalc!$Q$73,((0)*ElevCalc!$Q$91),NA())</f>
        <v/>
      </c>
      <c r="U382" t="inlineStr">
        <is>
          <t>dimH</t>
        </is>
      </c>
      <c r="V382">
        <f>IF(ElevCalc!$V$73,(ElevCalc!$V$92+ElevCalc!$V$85*ElevCalc!$V$91+9)+3,NA())</f>
        <v/>
      </c>
      <c r="W382">
        <f>IF(ElevCalc!$V$73,((0)*ElevCalc!$V$91),NA())</f>
        <v/>
      </c>
      <c r="Z382" t="inlineStr">
        <is>
          <t>dimH</t>
        </is>
      </c>
      <c r="AA382">
        <f>IF(ElevCalc!$AA$73,(ElevCalc!$AA$92+ElevCalc!$AA$85*ElevCalc!$AA$91+9)+3,NA())</f>
        <v/>
      </c>
      <c r="AB382">
        <f>IF(ElevCalc!$AA$73,((0)*ElevCalc!$AA$91),NA())</f>
        <v/>
      </c>
      <c r="AE382" t="inlineStr">
        <is>
          <t>dimH</t>
        </is>
      </c>
      <c r="AF382">
        <f>IF(ElevCalc!$AF$73,(ElevCalc!$AF$92+ElevCalc!$AF$85*ElevCalc!$AF$91+9)+3,NA())</f>
        <v/>
      </c>
      <c r="AG382">
        <f>IF(ElevCalc!$AF$73,((0)*ElevCalc!$AF$91),NA())</f>
        <v/>
      </c>
    </row>
    <row r="383">
      <c r="A383" t="inlineStr">
        <is>
          <t>dimH</t>
        </is>
      </c>
      <c r="B383">
        <f>IF(ElevCalc!$B$73,(ElevCalc!$B$92+ElevCalc!$B$85*ElevCalc!$B$91+9),NA())</f>
        <v/>
      </c>
      <c r="C383">
        <f>IF(ElevCalc!$B$73,((0)*ElevCalc!$B$91),NA())</f>
        <v/>
      </c>
      <c r="F383" t="inlineStr">
        <is>
          <t>dimH</t>
        </is>
      </c>
      <c r="G383">
        <f>IF(ElevCalc!$G$73,(ElevCalc!$G$92+ElevCalc!$G$85*ElevCalc!$G$91+9),NA())</f>
        <v/>
      </c>
      <c r="H383">
        <f>IF(ElevCalc!$G$73,((0)*ElevCalc!$G$91),NA())</f>
        <v/>
      </c>
      <c r="K383" t="inlineStr">
        <is>
          <t>dimH</t>
        </is>
      </c>
      <c r="L383">
        <f>IF(ElevCalc!$L$73,(ElevCalc!$L$92+ElevCalc!$L$85*ElevCalc!$L$91+9),NA())</f>
        <v/>
      </c>
      <c r="M383">
        <f>IF(ElevCalc!$L$73,((0)*ElevCalc!$L$91),NA())</f>
        <v/>
      </c>
      <c r="P383" t="inlineStr">
        <is>
          <t>dimH</t>
        </is>
      </c>
      <c r="Q383">
        <f>IF(ElevCalc!$Q$73,(ElevCalc!$Q$92+ElevCalc!$Q$85*ElevCalc!$Q$91+9),NA())</f>
        <v/>
      </c>
      <c r="R383">
        <f>IF(ElevCalc!$Q$73,((0)*ElevCalc!$Q$91),NA())</f>
        <v/>
      </c>
      <c r="U383" t="inlineStr">
        <is>
          <t>dimH</t>
        </is>
      </c>
      <c r="V383">
        <f>IF(ElevCalc!$V$73,(ElevCalc!$V$92+ElevCalc!$V$85*ElevCalc!$V$91+9),NA())</f>
        <v/>
      </c>
      <c r="W383">
        <f>IF(ElevCalc!$V$73,((0)*ElevCalc!$V$91),NA())</f>
        <v/>
      </c>
      <c r="Z383" t="inlineStr">
        <is>
          <t>dimH</t>
        </is>
      </c>
      <c r="AA383">
        <f>IF(ElevCalc!$AA$73,(ElevCalc!$AA$92+ElevCalc!$AA$85*ElevCalc!$AA$91+9),NA())</f>
        <v/>
      </c>
      <c r="AB383">
        <f>IF(ElevCalc!$AA$73,((0)*ElevCalc!$AA$91),NA())</f>
        <v/>
      </c>
      <c r="AE383" t="inlineStr">
        <is>
          <t>dimH</t>
        </is>
      </c>
      <c r="AF383">
        <f>IF(ElevCalc!$AF$73,(ElevCalc!$AF$92+ElevCalc!$AF$85*ElevCalc!$AF$91+9),NA())</f>
        <v/>
      </c>
      <c r="AG383">
        <f>IF(ElevCalc!$AF$73,((0)*ElevCalc!$AF$91),NA())</f>
        <v/>
      </c>
    </row>
    <row r="384">
      <c r="A384" t="inlineStr">
        <is>
          <t>dimH</t>
        </is>
      </c>
      <c r="B384">
        <f>IF(ElevCalc!$B$73,(ElevCalc!$B$92+ElevCalc!$B$85*ElevCalc!$B$91+9),NA())</f>
        <v/>
      </c>
      <c r="C384">
        <f>IF(ElevCalc!$B$73,((ElevCalc!$B$86)*ElevCalc!$B$91),NA())</f>
        <v/>
      </c>
      <c r="F384" t="inlineStr">
        <is>
          <t>dimH</t>
        </is>
      </c>
      <c r="G384">
        <f>IF(ElevCalc!$G$73,(ElevCalc!$G$92+ElevCalc!$G$85*ElevCalc!$G$91+9),NA())</f>
        <v/>
      </c>
      <c r="H384">
        <f>IF(ElevCalc!$G$73,((ElevCalc!$G$86)*ElevCalc!$G$91),NA())</f>
        <v/>
      </c>
      <c r="K384" t="inlineStr">
        <is>
          <t>dimH</t>
        </is>
      </c>
      <c r="L384">
        <f>IF(ElevCalc!$L$73,(ElevCalc!$L$92+ElevCalc!$L$85*ElevCalc!$L$91+9),NA())</f>
        <v/>
      </c>
      <c r="M384">
        <f>IF(ElevCalc!$L$73,((ElevCalc!$L$86)*ElevCalc!$L$91),NA())</f>
        <v/>
      </c>
      <c r="P384" t="inlineStr">
        <is>
          <t>dimH</t>
        </is>
      </c>
      <c r="Q384">
        <f>IF(ElevCalc!$Q$73,(ElevCalc!$Q$92+ElevCalc!$Q$85*ElevCalc!$Q$91+9),NA())</f>
        <v/>
      </c>
      <c r="R384">
        <f>IF(ElevCalc!$Q$73,((ElevCalc!$Q$86)*ElevCalc!$Q$91),NA())</f>
        <v/>
      </c>
      <c r="U384" t="inlineStr">
        <is>
          <t>dimH</t>
        </is>
      </c>
      <c r="V384">
        <f>IF(ElevCalc!$V$73,(ElevCalc!$V$92+ElevCalc!$V$85*ElevCalc!$V$91+9),NA())</f>
        <v/>
      </c>
      <c r="W384">
        <f>IF(ElevCalc!$V$73,((ElevCalc!$V$86)*ElevCalc!$V$91),NA())</f>
        <v/>
      </c>
      <c r="Z384" t="inlineStr">
        <is>
          <t>dimH</t>
        </is>
      </c>
      <c r="AA384">
        <f>IF(ElevCalc!$AA$73,(ElevCalc!$AA$92+ElevCalc!$AA$85*ElevCalc!$AA$91+9),NA())</f>
        <v/>
      </c>
      <c r="AB384">
        <f>IF(ElevCalc!$AA$73,((ElevCalc!$AA$86)*ElevCalc!$AA$91),NA())</f>
        <v/>
      </c>
      <c r="AE384" t="inlineStr">
        <is>
          <t>dimH</t>
        </is>
      </c>
      <c r="AF384">
        <f>IF(ElevCalc!$AF$73,(ElevCalc!$AF$92+ElevCalc!$AF$85*ElevCalc!$AF$91+9),NA())</f>
        <v/>
      </c>
      <c r="AG384">
        <f>IF(ElevCalc!$AF$73,((ElevCalc!$AF$86)*ElevCalc!$AF$91),NA())</f>
        <v/>
      </c>
    </row>
    <row r="385">
      <c r="A385" t="inlineStr">
        <is>
          <t>dimH</t>
        </is>
      </c>
      <c r="B385">
        <f>IF(ElevCalc!$B$73,(ElevCalc!$B$92+ElevCalc!$B$85*ElevCalc!$B$91+9)+3,NA())</f>
        <v/>
      </c>
      <c r="C385">
        <f>IF(ElevCalc!$B$73,((ElevCalc!$B$86)*ElevCalc!$B$91),NA())</f>
        <v/>
      </c>
      <c r="F385" t="inlineStr">
        <is>
          <t>dimH</t>
        </is>
      </c>
      <c r="G385">
        <f>IF(ElevCalc!$G$73,(ElevCalc!$G$92+ElevCalc!$G$85*ElevCalc!$G$91+9)+3,NA())</f>
        <v/>
      </c>
      <c r="H385">
        <f>IF(ElevCalc!$G$73,((ElevCalc!$G$86)*ElevCalc!$G$91),NA())</f>
        <v/>
      </c>
      <c r="K385" t="inlineStr">
        <is>
          <t>dimH</t>
        </is>
      </c>
      <c r="L385">
        <f>IF(ElevCalc!$L$73,(ElevCalc!$L$92+ElevCalc!$L$85*ElevCalc!$L$91+9)+3,NA())</f>
        <v/>
      </c>
      <c r="M385">
        <f>IF(ElevCalc!$L$73,((ElevCalc!$L$86)*ElevCalc!$L$91),NA())</f>
        <v/>
      </c>
      <c r="P385" t="inlineStr">
        <is>
          <t>dimH</t>
        </is>
      </c>
      <c r="Q385">
        <f>IF(ElevCalc!$Q$73,(ElevCalc!$Q$92+ElevCalc!$Q$85*ElevCalc!$Q$91+9)+3,NA())</f>
        <v/>
      </c>
      <c r="R385">
        <f>IF(ElevCalc!$Q$73,((ElevCalc!$Q$86)*ElevCalc!$Q$91),NA())</f>
        <v/>
      </c>
      <c r="U385" t="inlineStr">
        <is>
          <t>dimH</t>
        </is>
      </c>
      <c r="V385">
        <f>IF(ElevCalc!$V$73,(ElevCalc!$V$92+ElevCalc!$V$85*ElevCalc!$V$91+9)+3,NA())</f>
        <v/>
      </c>
      <c r="W385">
        <f>IF(ElevCalc!$V$73,((ElevCalc!$V$86)*ElevCalc!$V$91),NA())</f>
        <v/>
      </c>
      <c r="Z385" t="inlineStr">
        <is>
          <t>dimH</t>
        </is>
      </c>
      <c r="AA385">
        <f>IF(ElevCalc!$AA$73,(ElevCalc!$AA$92+ElevCalc!$AA$85*ElevCalc!$AA$91+9)+3,NA())</f>
        <v/>
      </c>
      <c r="AB385">
        <f>IF(ElevCalc!$AA$73,((ElevCalc!$AA$86)*ElevCalc!$AA$91),NA())</f>
        <v/>
      </c>
      <c r="AE385" t="inlineStr">
        <is>
          <t>dimH</t>
        </is>
      </c>
      <c r="AF385">
        <f>IF(ElevCalc!$AF$73,(ElevCalc!$AF$92+ElevCalc!$AF$85*ElevCalc!$AF$91+9)+3,NA())</f>
        <v/>
      </c>
      <c r="AG385">
        <f>IF(ElevCalc!$AF$73,((ElevCalc!$AF$86)*ElevCalc!$AF$91),NA())</f>
        <v/>
      </c>
    </row>
    <row r="386">
      <c r="A386" t="inlineStr">
        <is>
          <t>dimH</t>
        </is>
      </c>
      <c r="B386">
        <f>IF(ElevCalc!$B$73,(ElevCalc!$B$92+ElevCalc!$B$85*ElevCalc!$B$91+9)-3,NA())</f>
        <v/>
      </c>
      <c r="C386">
        <f>IF(ElevCalc!$B$73,((ElevCalc!$B$86)*ElevCalc!$B$91),NA())</f>
        <v/>
      </c>
      <c r="F386" t="inlineStr">
        <is>
          <t>dimH</t>
        </is>
      </c>
      <c r="G386">
        <f>IF(ElevCalc!$G$73,(ElevCalc!$G$92+ElevCalc!$G$85*ElevCalc!$G$91+9)-3,NA())</f>
        <v/>
      </c>
      <c r="H386">
        <f>IF(ElevCalc!$G$73,((ElevCalc!$G$86)*ElevCalc!$G$91),NA())</f>
        <v/>
      </c>
      <c r="K386" t="inlineStr">
        <is>
          <t>dimH</t>
        </is>
      </c>
      <c r="L386">
        <f>IF(ElevCalc!$L$73,(ElevCalc!$L$92+ElevCalc!$L$85*ElevCalc!$L$91+9)-3,NA())</f>
        <v/>
      </c>
      <c r="M386">
        <f>IF(ElevCalc!$L$73,((ElevCalc!$L$86)*ElevCalc!$L$91),NA())</f>
        <v/>
      </c>
      <c r="P386" t="inlineStr">
        <is>
          <t>dimH</t>
        </is>
      </c>
      <c r="Q386">
        <f>IF(ElevCalc!$Q$73,(ElevCalc!$Q$92+ElevCalc!$Q$85*ElevCalc!$Q$91+9)-3,NA())</f>
        <v/>
      </c>
      <c r="R386">
        <f>IF(ElevCalc!$Q$73,((ElevCalc!$Q$86)*ElevCalc!$Q$91),NA())</f>
        <v/>
      </c>
      <c r="U386" t="inlineStr">
        <is>
          <t>dimH</t>
        </is>
      </c>
      <c r="V386">
        <f>IF(ElevCalc!$V$73,(ElevCalc!$V$92+ElevCalc!$V$85*ElevCalc!$V$91+9)-3,NA())</f>
        <v/>
      </c>
      <c r="W386">
        <f>IF(ElevCalc!$V$73,((ElevCalc!$V$86)*ElevCalc!$V$91),NA())</f>
        <v/>
      </c>
      <c r="Z386" t="inlineStr">
        <is>
          <t>dimH</t>
        </is>
      </c>
      <c r="AA386">
        <f>IF(ElevCalc!$AA$73,(ElevCalc!$AA$92+ElevCalc!$AA$85*ElevCalc!$AA$91+9)-3,NA())</f>
        <v/>
      </c>
      <c r="AB386">
        <f>IF(ElevCalc!$AA$73,((ElevCalc!$AA$86)*ElevCalc!$AA$91),NA())</f>
        <v/>
      </c>
      <c r="AE386" t="inlineStr">
        <is>
          <t>dimH</t>
        </is>
      </c>
      <c r="AF386">
        <f>IF(ElevCalc!$AF$73,(ElevCalc!$AF$92+ElevCalc!$AF$85*ElevCalc!$AF$91+9)-3,NA())</f>
        <v/>
      </c>
      <c r="AG386">
        <f>IF(ElevCalc!$AF$73,((ElevCalc!$AF$86)*ElevCalc!$AF$91),NA())</f>
        <v/>
      </c>
    </row>
    <row r="388">
      <c r="A388" t="inlineStr">
        <is>
          <t>labH</t>
        </is>
      </c>
      <c r="B388">
        <f>IF(ElevCalc!$B$73,(ElevCalc!$B$92+ElevCalc!$B$85*ElevCalc!$B$91+9),NA())</f>
        <v/>
      </c>
      <c r="C388">
        <f>IF(ElevCalc!$B$73,((ElevCalc!$B$86/2)*ElevCalc!$B$91),NA())</f>
        <v/>
      </c>
      <c r="D388">
        <f>ElevCalc!$B$124</f>
        <v/>
      </c>
      <c r="F388" t="inlineStr">
        <is>
          <t>labH</t>
        </is>
      </c>
      <c r="G388">
        <f>IF(ElevCalc!$G$73,(ElevCalc!$G$92+ElevCalc!$G$85*ElevCalc!$G$91+9),NA())</f>
        <v/>
      </c>
      <c r="H388">
        <f>IF(ElevCalc!$G$73,((ElevCalc!$G$86/2)*ElevCalc!$G$91),NA())</f>
        <v/>
      </c>
      <c r="I388">
        <f>ElevCalc!$G$124</f>
        <v/>
      </c>
      <c r="K388" t="inlineStr">
        <is>
          <t>labH</t>
        </is>
      </c>
      <c r="L388">
        <f>IF(ElevCalc!$L$73,(ElevCalc!$L$92+ElevCalc!$L$85*ElevCalc!$L$91+9),NA())</f>
        <v/>
      </c>
      <c r="M388">
        <f>IF(ElevCalc!$L$73,((ElevCalc!$L$86/2)*ElevCalc!$L$91),NA())</f>
        <v/>
      </c>
      <c r="N388">
        <f>ElevCalc!$L$124</f>
        <v/>
      </c>
      <c r="P388" t="inlineStr">
        <is>
          <t>labH</t>
        </is>
      </c>
      <c r="Q388">
        <f>IF(ElevCalc!$Q$73,(ElevCalc!$Q$92+ElevCalc!$Q$85*ElevCalc!$Q$91+9),NA())</f>
        <v/>
      </c>
      <c r="R388">
        <f>IF(ElevCalc!$Q$73,((ElevCalc!$Q$86/2)*ElevCalc!$Q$91),NA())</f>
        <v/>
      </c>
      <c r="S388">
        <f>ElevCalc!$Q$124</f>
        <v/>
      </c>
      <c r="U388" t="inlineStr">
        <is>
          <t>labH</t>
        </is>
      </c>
      <c r="V388">
        <f>IF(ElevCalc!$V$73,(ElevCalc!$V$92+ElevCalc!$V$85*ElevCalc!$V$91+9),NA())</f>
        <v/>
      </c>
      <c r="W388">
        <f>IF(ElevCalc!$V$73,((ElevCalc!$V$86/2)*ElevCalc!$V$91),NA())</f>
        <v/>
      </c>
      <c r="X388">
        <f>ElevCalc!$V$124</f>
        <v/>
      </c>
      <c r="Z388" t="inlineStr">
        <is>
          <t>labH</t>
        </is>
      </c>
      <c r="AA388">
        <f>IF(ElevCalc!$AA$73,(ElevCalc!$AA$92+ElevCalc!$AA$85*ElevCalc!$AA$91+9),NA())</f>
        <v/>
      </c>
      <c r="AB388">
        <f>IF(ElevCalc!$AA$73,((ElevCalc!$AA$86/2)*ElevCalc!$AA$91),NA())</f>
        <v/>
      </c>
      <c r="AC388">
        <f>ElevCalc!$AA$124</f>
        <v/>
      </c>
      <c r="AE388" t="inlineStr">
        <is>
          <t>labH</t>
        </is>
      </c>
      <c r="AF388">
        <f>IF(ElevCalc!$AF$73,(ElevCalc!$AF$92+ElevCalc!$AF$85*ElevCalc!$AF$91+9),NA())</f>
        <v/>
      </c>
      <c r="AG388">
        <f>IF(ElevCalc!$AF$73,((ElevCalc!$AF$86/2)*ElevCalc!$AF$91),NA())</f>
        <v/>
      </c>
      <c r="AH388">
        <f>ElevCalc!$AF$124</f>
        <v/>
      </c>
    </row>
    <row r="390">
      <c r="A390" t="inlineStr">
        <is>
          <t>dimOH</t>
        </is>
      </c>
      <c r="B390">
        <f>IF(ElevCalc!$B$73,(ElevCalc!$B$92-9)-3,NA())</f>
        <v/>
      </c>
      <c r="C390">
        <f>IF(ElevCalc!$B$73,((ElevCalc!$B$89)*ElevCalc!$B$91),NA())</f>
        <v/>
      </c>
      <c r="F390" t="inlineStr">
        <is>
          <t>dimOH</t>
        </is>
      </c>
      <c r="G390">
        <f>IF(ElevCalc!$G$73,(ElevCalc!$G$92-9)-3,NA())</f>
        <v/>
      </c>
      <c r="H390">
        <f>IF(ElevCalc!$G$73,((ElevCalc!$G$89)*ElevCalc!$G$91),NA())</f>
        <v/>
      </c>
      <c r="K390" t="inlineStr">
        <is>
          <t>dimOH</t>
        </is>
      </c>
      <c r="L390">
        <f>IF(ElevCalc!$L$73,(ElevCalc!$L$92-9)-3,NA())</f>
        <v/>
      </c>
      <c r="M390">
        <f>IF(ElevCalc!$L$73,((ElevCalc!$L$89)*ElevCalc!$L$91),NA())</f>
        <v/>
      </c>
      <c r="P390" t="inlineStr">
        <is>
          <t>dimOH</t>
        </is>
      </c>
      <c r="Q390">
        <f>IF(ElevCalc!$Q$73,(ElevCalc!$Q$92-9)-3,NA())</f>
        <v/>
      </c>
      <c r="R390">
        <f>IF(ElevCalc!$Q$73,((ElevCalc!$Q$89)*ElevCalc!$Q$91),NA())</f>
        <v/>
      </c>
      <c r="U390" t="inlineStr">
        <is>
          <t>dimOH</t>
        </is>
      </c>
      <c r="V390">
        <f>IF(ElevCalc!$V$73,(ElevCalc!$V$92-9)-3,NA())</f>
        <v/>
      </c>
      <c r="W390">
        <f>IF(ElevCalc!$V$73,((ElevCalc!$V$89)*ElevCalc!$V$91),NA())</f>
        <v/>
      </c>
      <c r="Z390" t="inlineStr">
        <is>
          <t>dimOH</t>
        </is>
      </c>
      <c r="AA390">
        <f>IF(ElevCalc!$AA$73,(ElevCalc!$AA$92-9)-3,NA())</f>
        <v/>
      </c>
      <c r="AB390">
        <f>IF(ElevCalc!$AA$73,((ElevCalc!$AA$89)*ElevCalc!$AA$91),NA())</f>
        <v/>
      </c>
      <c r="AE390" t="inlineStr">
        <is>
          <t>dimOH</t>
        </is>
      </c>
      <c r="AF390">
        <f>IF(ElevCalc!$AF$73,(ElevCalc!$AF$92-9)-3,NA())</f>
        <v/>
      </c>
      <c r="AG390">
        <f>IF(ElevCalc!$AF$73,((ElevCalc!$AF$89)*ElevCalc!$AF$91),NA())</f>
        <v/>
      </c>
    </row>
    <row r="391">
      <c r="A391" t="inlineStr">
        <is>
          <t>dimOH</t>
        </is>
      </c>
      <c r="B391">
        <f>IF(ElevCalc!$B$73,(ElevCalc!$B$92-9)+3,NA())</f>
        <v/>
      </c>
      <c r="C391">
        <f>IF(ElevCalc!$B$73,((ElevCalc!$B$89)*ElevCalc!$B$91),NA())</f>
        <v/>
      </c>
      <c r="F391" t="inlineStr">
        <is>
          <t>dimOH</t>
        </is>
      </c>
      <c r="G391">
        <f>IF(ElevCalc!$G$73,(ElevCalc!$G$92-9)+3,NA())</f>
        <v/>
      </c>
      <c r="H391">
        <f>IF(ElevCalc!$G$73,((ElevCalc!$G$89)*ElevCalc!$G$91),NA())</f>
        <v/>
      </c>
      <c r="K391" t="inlineStr">
        <is>
          <t>dimOH</t>
        </is>
      </c>
      <c r="L391">
        <f>IF(ElevCalc!$L$73,(ElevCalc!$L$92-9)+3,NA())</f>
        <v/>
      </c>
      <c r="M391">
        <f>IF(ElevCalc!$L$73,((ElevCalc!$L$89)*ElevCalc!$L$91),NA())</f>
        <v/>
      </c>
      <c r="P391" t="inlineStr">
        <is>
          <t>dimOH</t>
        </is>
      </c>
      <c r="Q391">
        <f>IF(ElevCalc!$Q$73,(ElevCalc!$Q$92-9)+3,NA())</f>
        <v/>
      </c>
      <c r="R391">
        <f>IF(ElevCalc!$Q$73,((ElevCalc!$Q$89)*ElevCalc!$Q$91),NA())</f>
        <v/>
      </c>
      <c r="U391" t="inlineStr">
        <is>
          <t>dimOH</t>
        </is>
      </c>
      <c r="V391">
        <f>IF(ElevCalc!$V$73,(ElevCalc!$V$92-9)+3,NA())</f>
        <v/>
      </c>
      <c r="W391">
        <f>IF(ElevCalc!$V$73,((ElevCalc!$V$89)*ElevCalc!$V$91),NA())</f>
        <v/>
      </c>
      <c r="Z391" t="inlineStr">
        <is>
          <t>dimOH</t>
        </is>
      </c>
      <c r="AA391">
        <f>IF(ElevCalc!$AA$73,(ElevCalc!$AA$92-9)+3,NA())</f>
        <v/>
      </c>
      <c r="AB391">
        <f>IF(ElevCalc!$AA$73,((ElevCalc!$AA$89)*ElevCalc!$AA$91),NA())</f>
        <v/>
      </c>
      <c r="AE391" t="inlineStr">
        <is>
          <t>dimOH</t>
        </is>
      </c>
      <c r="AF391">
        <f>IF(ElevCalc!$AF$73,(ElevCalc!$AF$92-9)+3,NA())</f>
        <v/>
      </c>
      <c r="AG391">
        <f>IF(ElevCalc!$AF$73,((ElevCalc!$AF$89)*ElevCalc!$AF$91),NA())</f>
        <v/>
      </c>
    </row>
    <row r="392">
      <c r="A392" t="inlineStr">
        <is>
          <t>dimOH</t>
        </is>
      </c>
      <c r="B392">
        <f>IF(ElevCalc!$B$73,(ElevCalc!$B$92-9),NA())</f>
        <v/>
      </c>
      <c r="C392">
        <f>IF(ElevCalc!$B$73,((ElevCalc!$B$89)*ElevCalc!$B$91),NA())</f>
        <v/>
      </c>
      <c r="F392" t="inlineStr">
        <is>
          <t>dimOH</t>
        </is>
      </c>
      <c r="G392">
        <f>IF(ElevCalc!$G$73,(ElevCalc!$G$92-9),NA())</f>
        <v/>
      </c>
      <c r="H392">
        <f>IF(ElevCalc!$G$73,((ElevCalc!$G$89)*ElevCalc!$G$91),NA())</f>
        <v/>
      </c>
      <c r="K392" t="inlineStr">
        <is>
          <t>dimOH</t>
        </is>
      </c>
      <c r="L392">
        <f>IF(ElevCalc!$L$73,(ElevCalc!$L$92-9),NA())</f>
        <v/>
      </c>
      <c r="M392">
        <f>IF(ElevCalc!$L$73,((ElevCalc!$L$89)*ElevCalc!$L$91),NA())</f>
        <v/>
      </c>
      <c r="P392" t="inlineStr">
        <is>
          <t>dimOH</t>
        </is>
      </c>
      <c r="Q392">
        <f>IF(ElevCalc!$Q$73,(ElevCalc!$Q$92-9),NA())</f>
        <v/>
      </c>
      <c r="R392">
        <f>IF(ElevCalc!$Q$73,((ElevCalc!$Q$89)*ElevCalc!$Q$91),NA())</f>
        <v/>
      </c>
      <c r="U392" t="inlineStr">
        <is>
          <t>dimOH</t>
        </is>
      </c>
      <c r="V392">
        <f>IF(ElevCalc!$V$73,(ElevCalc!$V$92-9),NA())</f>
        <v/>
      </c>
      <c r="W392">
        <f>IF(ElevCalc!$V$73,((ElevCalc!$V$89)*ElevCalc!$V$91),NA())</f>
        <v/>
      </c>
      <c r="Z392" t="inlineStr">
        <is>
          <t>dimOH</t>
        </is>
      </c>
      <c r="AA392">
        <f>IF(ElevCalc!$AA$73,(ElevCalc!$AA$92-9),NA())</f>
        <v/>
      </c>
      <c r="AB392">
        <f>IF(ElevCalc!$AA$73,((ElevCalc!$AA$89)*ElevCalc!$AA$91),NA())</f>
        <v/>
      </c>
      <c r="AE392" t="inlineStr">
        <is>
          <t>dimOH</t>
        </is>
      </c>
      <c r="AF392">
        <f>IF(ElevCalc!$AF$73,(ElevCalc!$AF$92-9),NA())</f>
        <v/>
      </c>
      <c r="AG392">
        <f>IF(ElevCalc!$AF$73,((ElevCalc!$AF$89)*ElevCalc!$AF$91),NA())</f>
        <v/>
      </c>
    </row>
    <row r="393">
      <c r="A393" t="inlineStr">
        <is>
          <t>dimOH</t>
        </is>
      </c>
      <c r="B393">
        <f>IF(ElevCalc!$B$73,(ElevCalc!$B$92-9),NA())</f>
        <v/>
      </c>
      <c r="C393">
        <f>IF(ElevCalc!$B$73,((ElevCalc!$B$90)*ElevCalc!$B$91),NA())</f>
        <v/>
      </c>
      <c r="F393" t="inlineStr">
        <is>
          <t>dimOH</t>
        </is>
      </c>
      <c r="G393">
        <f>IF(ElevCalc!$G$73,(ElevCalc!$G$92-9),NA())</f>
        <v/>
      </c>
      <c r="H393">
        <f>IF(ElevCalc!$G$73,((ElevCalc!$G$90)*ElevCalc!$G$91),NA())</f>
        <v/>
      </c>
      <c r="K393" t="inlineStr">
        <is>
          <t>dimOH</t>
        </is>
      </c>
      <c r="L393">
        <f>IF(ElevCalc!$L$73,(ElevCalc!$L$92-9),NA())</f>
        <v/>
      </c>
      <c r="M393">
        <f>IF(ElevCalc!$L$73,((ElevCalc!$L$90)*ElevCalc!$L$91),NA())</f>
        <v/>
      </c>
      <c r="P393" t="inlineStr">
        <is>
          <t>dimOH</t>
        </is>
      </c>
      <c r="Q393">
        <f>IF(ElevCalc!$Q$73,(ElevCalc!$Q$92-9),NA())</f>
        <v/>
      </c>
      <c r="R393">
        <f>IF(ElevCalc!$Q$73,((ElevCalc!$Q$90)*ElevCalc!$Q$91),NA())</f>
        <v/>
      </c>
      <c r="U393" t="inlineStr">
        <is>
          <t>dimOH</t>
        </is>
      </c>
      <c r="V393">
        <f>IF(ElevCalc!$V$73,(ElevCalc!$V$92-9),NA())</f>
        <v/>
      </c>
      <c r="W393">
        <f>IF(ElevCalc!$V$73,((ElevCalc!$V$90)*ElevCalc!$V$91),NA())</f>
        <v/>
      </c>
      <c r="Z393" t="inlineStr">
        <is>
          <t>dimOH</t>
        </is>
      </c>
      <c r="AA393">
        <f>IF(ElevCalc!$AA$73,(ElevCalc!$AA$92-9),NA())</f>
        <v/>
      </c>
      <c r="AB393">
        <f>IF(ElevCalc!$AA$73,((ElevCalc!$AA$90)*ElevCalc!$AA$91),NA())</f>
        <v/>
      </c>
      <c r="AE393" t="inlineStr">
        <is>
          <t>dimOH</t>
        </is>
      </c>
      <c r="AF393">
        <f>IF(ElevCalc!$AF$73,(ElevCalc!$AF$92-9),NA())</f>
        <v/>
      </c>
      <c r="AG393">
        <f>IF(ElevCalc!$AF$73,((ElevCalc!$AF$90)*ElevCalc!$AF$91),NA())</f>
        <v/>
      </c>
    </row>
    <row r="394">
      <c r="A394" t="inlineStr">
        <is>
          <t>dimOH</t>
        </is>
      </c>
      <c r="B394">
        <f>IF(ElevCalc!$B$73,(ElevCalc!$B$92-9)+3,NA())</f>
        <v/>
      </c>
      <c r="C394">
        <f>IF(ElevCalc!$B$73,((ElevCalc!$B$90)*ElevCalc!$B$91),NA())</f>
        <v/>
      </c>
      <c r="F394" t="inlineStr">
        <is>
          <t>dimOH</t>
        </is>
      </c>
      <c r="G394">
        <f>IF(ElevCalc!$G$73,(ElevCalc!$G$92-9)+3,NA())</f>
        <v/>
      </c>
      <c r="H394">
        <f>IF(ElevCalc!$G$73,((ElevCalc!$G$90)*ElevCalc!$G$91),NA())</f>
        <v/>
      </c>
      <c r="K394" t="inlineStr">
        <is>
          <t>dimOH</t>
        </is>
      </c>
      <c r="L394">
        <f>IF(ElevCalc!$L$73,(ElevCalc!$L$92-9)+3,NA())</f>
        <v/>
      </c>
      <c r="M394">
        <f>IF(ElevCalc!$L$73,((ElevCalc!$L$90)*ElevCalc!$L$91),NA())</f>
        <v/>
      </c>
      <c r="P394" t="inlineStr">
        <is>
          <t>dimOH</t>
        </is>
      </c>
      <c r="Q394">
        <f>IF(ElevCalc!$Q$73,(ElevCalc!$Q$92-9)+3,NA())</f>
        <v/>
      </c>
      <c r="R394">
        <f>IF(ElevCalc!$Q$73,((ElevCalc!$Q$90)*ElevCalc!$Q$91),NA())</f>
        <v/>
      </c>
      <c r="U394" t="inlineStr">
        <is>
          <t>dimOH</t>
        </is>
      </c>
      <c r="V394">
        <f>IF(ElevCalc!$V$73,(ElevCalc!$V$92-9)+3,NA())</f>
        <v/>
      </c>
      <c r="W394">
        <f>IF(ElevCalc!$V$73,((ElevCalc!$V$90)*ElevCalc!$V$91),NA())</f>
        <v/>
      </c>
      <c r="Z394" t="inlineStr">
        <is>
          <t>dimOH</t>
        </is>
      </c>
      <c r="AA394">
        <f>IF(ElevCalc!$AA$73,(ElevCalc!$AA$92-9)+3,NA())</f>
        <v/>
      </c>
      <c r="AB394">
        <f>IF(ElevCalc!$AA$73,((ElevCalc!$AA$90)*ElevCalc!$AA$91),NA())</f>
        <v/>
      </c>
      <c r="AE394" t="inlineStr">
        <is>
          <t>dimOH</t>
        </is>
      </c>
      <c r="AF394">
        <f>IF(ElevCalc!$AF$73,(ElevCalc!$AF$92-9)+3,NA())</f>
        <v/>
      </c>
      <c r="AG394">
        <f>IF(ElevCalc!$AF$73,((ElevCalc!$AF$90)*ElevCalc!$AF$91),NA())</f>
        <v/>
      </c>
    </row>
    <row r="395">
      <c r="A395" t="inlineStr">
        <is>
          <t>dimOH</t>
        </is>
      </c>
      <c r="B395">
        <f>IF(ElevCalc!$B$73,(ElevCalc!$B$92-9)-3,NA())</f>
        <v/>
      </c>
      <c r="C395">
        <f>IF(ElevCalc!$B$73,((ElevCalc!$B$90)*ElevCalc!$B$91),NA())</f>
        <v/>
      </c>
      <c r="F395" t="inlineStr">
        <is>
          <t>dimOH</t>
        </is>
      </c>
      <c r="G395">
        <f>IF(ElevCalc!$G$73,(ElevCalc!$G$92-9)-3,NA())</f>
        <v/>
      </c>
      <c r="H395">
        <f>IF(ElevCalc!$G$73,((ElevCalc!$G$90)*ElevCalc!$G$91),NA())</f>
        <v/>
      </c>
      <c r="K395" t="inlineStr">
        <is>
          <t>dimOH</t>
        </is>
      </c>
      <c r="L395">
        <f>IF(ElevCalc!$L$73,(ElevCalc!$L$92-9)-3,NA())</f>
        <v/>
      </c>
      <c r="M395">
        <f>IF(ElevCalc!$L$73,((ElevCalc!$L$90)*ElevCalc!$L$91),NA())</f>
        <v/>
      </c>
      <c r="P395" t="inlineStr">
        <is>
          <t>dimOH</t>
        </is>
      </c>
      <c r="Q395">
        <f>IF(ElevCalc!$Q$73,(ElevCalc!$Q$92-9)-3,NA())</f>
        <v/>
      </c>
      <c r="R395">
        <f>IF(ElevCalc!$Q$73,((ElevCalc!$Q$90)*ElevCalc!$Q$91),NA())</f>
        <v/>
      </c>
      <c r="U395" t="inlineStr">
        <is>
          <t>dimOH</t>
        </is>
      </c>
      <c r="V395">
        <f>IF(ElevCalc!$V$73,(ElevCalc!$V$92-9)-3,NA())</f>
        <v/>
      </c>
      <c r="W395">
        <f>IF(ElevCalc!$V$73,((ElevCalc!$V$90)*ElevCalc!$V$91),NA())</f>
        <v/>
      </c>
      <c r="Z395" t="inlineStr">
        <is>
          <t>dimOH</t>
        </is>
      </c>
      <c r="AA395">
        <f>IF(ElevCalc!$AA$73,(ElevCalc!$AA$92-9)-3,NA())</f>
        <v/>
      </c>
      <c r="AB395">
        <f>IF(ElevCalc!$AA$73,((ElevCalc!$AA$90)*ElevCalc!$AA$91),NA())</f>
        <v/>
      </c>
      <c r="AE395" t="inlineStr">
        <is>
          <t>dimOH</t>
        </is>
      </c>
      <c r="AF395">
        <f>IF(ElevCalc!$AF$73,(ElevCalc!$AF$92-9)-3,NA())</f>
        <v/>
      </c>
      <c r="AG395">
        <f>IF(ElevCalc!$AF$73,((ElevCalc!$AF$90)*ElevCalc!$AF$91),NA())</f>
        <v/>
      </c>
    </row>
    <row r="397">
      <c r="A397" t="inlineStr">
        <is>
          <t>labOH</t>
        </is>
      </c>
      <c r="B397">
        <f>IF(ElevCalc!$B$73,(ElevCalc!$B$92-9),NA())</f>
        <v/>
      </c>
      <c r="C397">
        <f>IF(ElevCalc!$B$73,(((ElevCalc!$B$89+ElevCalc!$B$90)/2)*ElevCalc!$B$91),NA())</f>
        <v/>
      </c>
      <c r="D397">
        <f>ElevCalc!$B$125</f>
        <v/>
      </c>
      <c r="F397" t="inlineStr">
        <is>
          <t>labOH</t>
        </is>
      </c>
      <c r="G397">
        <f>IF(ElevCalc!$G$73,(ElevCalc!$G$92-9),NA())</f>
        <v/>
      </c>
      <c r="H397">
        <f>IF(ElevCalc!$G$73,(((ElevCalc!$G$89+ElevCalc!$G$90)/2)*ElevCalc!$G$91),NA())</f>
        <v/>
      </c>
      <c r="I397">
        <f>ElevCalc!$G$125</f>
        <v/>
      </c>
      <c r="K397" t="inlineStr">
        <is>
          <t>labOH</t>
        </is>
      </c>
      <c r="L397">
        <f>IF(ElevCalc!$L$73,(ElevCalc!$L$92-9),NA())</f>
        <v/>
      </c>
      <c r="M397">
        <f>IF(ElevCalc!$L$73,(((ElevCalc!$L$89+ElevCalc!$L$90)/2)*ElevCalc!$L$91),NA())</f>
        <v/>
      </c>
      <c r="N397">
        <f>ElevCalc!$L$125</f>
        <v/>
      </c>
      <c r="P397" t="inlineStr">
        <is>
          <t>labOH</t>
        </is>
      </c>
      <c r="Q397">
        <f>IF(ElevCalc!$Q$73,(ElevCalc!$Q$92-9),NA())</f>
        <v/>
      </c>
      <c r="R397">
        <f>IF(ElevCalc!$Q$73,(((ElevCalc!$Q$89+ElevCalc!$Q$90)/2)*ElevCalc!$Q$91),NA())</f>
        <v/>
      </c>
      <c r="S397">
        <f>ElevCalc!$Q$125</f>
        <v/>
      </c>
      <c r="U397" t="inlineStr">
        <is>
          <t>labOH</t>
        </is>
      </c>
      <c r="V397">
        <f>IF(ElevCalc!$V$73,(ElevCalc!$V$92-9),NA())</f>
        <v/>
      </c>
      <c r="W397">
        <f>IF(ElevCalc!$V$73,(((ElevCalc!$V$89+ElevCalc!$V$90)/2)*ElevCalc!$V$91),NA())</f>
        <v/>
      </c>
      <c r="X397">
        <f>ElevCalc!$V$125</f>
        <v/>
      </c>
      <c r="Z397" t="inlineStr">
        <is>
          <t>labOH</t>
        </is>
      </c>
      <c r="AA397">
        <f>IF(ElevCalc!$AA$73,(ElevCalc!$AA$92-9),NA())</f>
        <v/>
      </c>
      <c r="AB397">
        <f>IF(ElevCalc!$AA$73,(((ElevCalc!$AA$89+ElevCalc!$AA$90)/2)*ElevCalc!$AA$91),NA())</f>
        <v/>
      </c>
      <c r="AC397">
        <f>ElevCalc!$AA$125</f>
        <v/>
      </c>
      <c r="AE397" t="inlineStr">
        <is>
          <t>labOH</t>
        </is>
      </c>
      <c r="AF397">
        <f>IF(ElevCalc!$AF$73,(ElevCalc!$AF$92-9),NA())</f>
        <v/>
      </c>
      <c r="AG397">
        <f>IF(ElevCalc!$AF$73,(((ElevCalc!$AF$89+ElevCalc!$AF$90)/2)*ElevCalc!$AF$91),NA())</f>
        <v/>
      </c>
      <c r="AH397">
        <f>ElevCalc!$AF$125</f>
        <v/>
      </c>
    </row>
    <row r="399">
      <c r="A399" t="inlineStr">
        <is>
          <t>labLite</t>
        </is>
      </c>
      <c r="B399">
        <f>IF(ElevCalc!$B$111,(ElevCalc!$B$92+(ElevCalc!$B$114+ElevCalc!$B$109/2)*ElevCalc!$B$91),NA())</f>
        <v/>
      </c>
      <c r="C399">
        <f>IF(ElevCalc!$B$111,((ElevCalc!$B$113)*ElevCalc!$B$91),NA())</f>
        <v/>
      </c>
      <c r="D399">
        <f>ElevCalc!$B$126</f>
        <v/>
      </c>
      <c r="F399" t="inlineStr">
        <is>
          <t>labLite</t>
        </is>
      </c>
      <c r="G399">
        <f>IF(ElevCalc!$G$111,(ElevCalc!$G$92+(ElevCalc!$G$114+ElevCalc!$G$109/2)*ElevCalc!$G$91),NA())</f>
        <v/>
      </c>
      <c r="H399">
        <f>IF(ElevCalc!$G$111,((ElevCalc!$G$113)*ElevCalc!$G$91),NA())</f>
        <v/>
      </c>
      <c r="I399">
        <f>ElevCalc!$G$126</f>
        <v/>
      </c>
      <c r="K399" t="inlineStr">
        <is>
          <t>labLite</t>
        </is>
      </c>
      <c r="L399">
        <f>IF(ElevCalc!$L$111,(ElevCalc!$L$92+(ElevCalc!$L$114+ElevCalc!$L$109/2)*ElevCalc!$L$91),NA())</f>
        <v/>
      </c>
      <c r="M399">
        <f>IF(ElevCalc!$L$111,((ElevCalc!$L$113)*ElevCalc!$L$91),NA())</f>
        <v/>
      </c>
      <c r="N399">
        <f>ElevCalc!$L$126</f>
        <v/>
      </c>
      <c r="P399" t="inlineStr">
        <is>
          <t>labLite</t>
        </is>
      </c>
      <c r="Q399">
        <f>IF(ElevCalc!$Q$111,(ElevCalc!$Q$92+(ElevCalc!$Q$114+ElevCalc!$Q$109/2)*ElevCalc!$Q$91),NA())</f>
        <v/>
      </c>
      <c r="R399">
        <f>IF(ElevCalc!$Q$111,((ElevCalc!$Q$113)*ElevCalc!$Q$91),NA())</f>
        <v/>
      </c>
      <c r="S399">
        <f>ElevCalc!$Q$126</f>
        <v/>
      </c>
      <c r="U399" t="inlineStr">
        <is>
          <t>labLite</t>
        </is>
      </c>
      <c r="V399">
        <f>IF(ElevCalc!$V$111,(ElevCalc!$V$92+(ElevCalc!$V$114+ElevCalc!$V$109/2)*ElevCalc!$V$91),NA())</f>
        <v/>
      </c>
      <c r="W399">
        <f>IF(ElevCalc!$V$111,((ElevCalc!$V$113)*ElevCalc!$V$91),NA())</f>
        <v/>
      </c>
      <c r="X399">
        <f>ElevCalc!$V$126</f>
        <v/>
      </c>
      <c r="Z399" t="inlineStr">
        <is>
          <t>labLite</t>
        </is>
      </c>
      <c r="AA399">
        <f>IF(ElevCalc!$AA$111,(ElevCalc!$AA$92+(ElevCalc!$AA$114+ElevCalc!$AA$109/2)*ElevCalc!$AA$91),NA())</f>
        <v/>
      </c>
      <c r="AB399">
        <f>IF(ElevCalc!$AA$111,((ElevCalc!$AA$113)*ElevCalc!$AA$91),NA())</f>
        <v/>
      </c>
      <c r="AC399">
        <f>ElevCalc!$AA$126</f>
        <v/>
      </c>
      <c r="AE399" t="inlineStr">
        <is>
          <t>labLite</t>
        </is>
      </c>
      <c r="AF399">
        <f>IF(ElevCalc!$AF$111,(ElevCalc!$AF$92+(ElevCalc!$AF$114+ElevCalc!$AF$109/2)*ElevCalc!$AF$91),NA())</f>
        <v/>
      </c>
      <c r="AG399">
        <f>IF(ElevCalc!$AF$111,((ElevCalc!$AF$113)*ElevCalc!$AF$91),NA())</f>
        <v/>
      </c>
      <c r="AH399">
        <f>ElevCalc!$AF$126</f>
        <v/>
      </c>
    </row>
    <row r="401">
      <c r="A401" t="inlineStr">
        <is>
          <t>labUC</t>
        </is>
      </c>
      <c r="B401">
        <f>IF(ElevCalc!$B$73*(ElevCalc!$B$93&gt;=1),(ElevCalc!$B$92+((ElevCalc!$B$101+ElevCalc!$B$102)/2)*ElevCalc!$B$91),NA())</f>
        <v/>
      </c>
      <c r="C401">
        <f>IF(ElevCalc!$B$73*(ElevCalc!$B$93&gt;=1),((ElevCalc!$B$97)*ElevCalc!$B$91),NA())</f>
        <v/>
      </c>
      <c r="D401">
        <f>ElevCalc!$B$129</f>
        <v/>
      </c>
      <c r="F401" t="inlineStr">
        <is>
          <t>labUC</t>
        </is>
      </c>
      <c r="G401">
        <f>IF(ElevCalc!$G$73*(ElevCalc!$G$93&gt;=1),(ElevCalc!$G$92+((ElevCalc!$G$101+ElevCalc!$G$102)/2)*ElevCalc!$G$91),NA())</f>
        <v/>
      </c>
      <c r="H401">
        <f>IF(ElevCalc!$G$73*(ElevCalc!$G$93&gt;=1),((ElevCalc!$G$97)*ElevCalc!$G$91),NA())</f>
        <v/>
      </c>
      <c r="I401">
        <f>ElevCalc!$G$129</f>
        <v/>
      </c>
      <c r="K401" t="inlineStr">
        <is>
          <t>labUC</t>
        </is>
      </c>
      <c r="L401">
        <f>IF(ElevCalc!$L$73*(ElevCalc!$L$93&gt;=1),(ElevCalc!$L$92+((ElevCalc!$L$101+ElevCalc!$L$102)/2)*ElevCalc!$L$91),NA())</f>
        <v/>
      </c>
      <c r="M401">
        <f>IF(ElevCalc!$L$73*(ElevCalc!$L$93&gt;=1),((ElevCalc!$L$97)*ElevCalc!$L$91),NA())</f>
        <v/>
      </c>
      <c r="N401">
        <f>ElevCalc!$L$129</f>
        <v/>
      </c>
      <c r="P401" t="inlineStr">
        <is>
          <t>labUC</t>
        </is>
      </c>
      <c r="Q401">
        <f>IF(ElevCalc!$Q$73*(ElevCalc!$Q$93&gt;=1),(ElevCalc!$Q$92+((ElevCalc!$Q$101+ElevCalc!$Q$102)/2)*ElevCalc!$Q$91),NA())</f>
        <v/>
      </c>
      <c r="R401">
        <f>IF(ElevCalc!$Q$73*(ElevCalc!$Q$93&gt;=1),((ElevCalc!$Q$97)*ElevCalc!$Q$91),NA())</f>
        <v/>
      </c>
      <c r="S401">
        <f>ElevCalc!$Q$129</f>
        <v/>
      </c>
      <c r="U401" t="inlineStr">
        <is>
          <t>labUC</t>
        </is>
      </c>
      <c r="V401">
        <f>IF(ElevCalc!$V$73*(ElevCalc!$V$93&gt;=1),(ElevCalc!$V$92+((ElevCalc!$V$101+ElevCalc!$V$102)/2)*ElevCalc!$V$91),NA())</f>
        <v/>
      </c>
      <c r="W401">
        <f>IF(ElevCalc!$V$73*(ElevCalc!$V$93&gt;=1),((ElevCalc!$V$97)*ElevCalc!$V$91),NA())</f>
        <v/>
      </c>
      <c r="X401">
        <f>ElevCalc!$V$129</f>
        <v/>
      </c>
      <c r="Z401" t="inlineStr">
        <is>
          <t>labUC</t>
        </is>
      </c>
      <c r="AA401">
        <f>IF(ElevCalc!$AA$73*(ElevCalc!$AA$93&gt;=1),(ElevCalc!$AA$92+((ElevCalc!$AA$101+ElevCalc!$AA$102)/2)*ElevCalc!$AA$91),NA())</f>
        <v/>
      </c>
      <c r="AB401">
        <f>IF(ElevCalc!$AA$73*(ElevCalc!$AA$93&gt;=1),((ElevCalc!$AA$97)*ElevCalc!$AA$91),NA())</f>
        <v/>
      </c>
      <c r="AC401">
        <f>ElevCalc!$AA$129</f>
        <v/>
      </c>
      <c r="AE401" t="inlineStr">
        <is>
          <t>labUC</t>
        </is>
      </c>
      <c r="AF401">
        <f>IF(ElevCalc!$AF$73*(ElevCalc!$AF$93&gt;=1),(ElevCalc!$AF$92+((ElevCalc!$AF$101+ElevCalc!$AF$102)/2)*ElevCalc!$AF$91),NA())</f>
        <v/>
      </c>
      <c r="AG401">
        <f>IF(ElevCalc!$AF$73*(ElevCalc!$AF$93&gt;=1),((ElevCalc!$AF$97)*ElevCalc!$AF$91),NA())</f>
        <v/>
      </c>
      <c r="AH401">
        <f>ElevCalc!$AF$129</f>
        <v/>
      </c>
    </row>
    <row r="403">
      <c r="A403" t="inlineStr">
        <is>
          <t>tag</t>
        </is>
      </c>
      <c r="B403">
        <f>IF(ElevCalc!$B$73,(ElevCalc!$B$92+(-12)*ElevCalc!$B$91),NA())</f>
        <v/>
      </c>
      <c r="C403">
        <f>IF(ElevCalc!$B$73,(-24),NA())</f>
        <v/>
      </c>
      <c r="D403">
        <f>ElevCalc!$B$128</f>
        <v/>
      </c>
      <c r="F403" t="inlineStr">
        <is>
          <t>tag</t>
        </is>
      </c>
      <c r="G403">
        <f>IF(ElevCalc!$G$73,(ElevCalc!$G$92+(-12)*ElevCalc!$G$91),NA())</f>
        <v/>
      </c>
      <c r="H403">
        <f>IF(ElevCalc!$G$73,(-24),NA())</f>
        <v/>
      </c>
      <c r="I403">
        <f>ElevCalc!$G$128</f>
        <v/>
      </c>
      <c r="K403" t="inlineStr">
        <is>
          <t>tag</t>
        </is>
      </c>
      <c r="L403">
        <f>IF(ElevCalc!$L$73,(ElevCalc!$L$92+(-12)*ElevCalc!$L$91),NA())</f>
        <v/>
      </c>
      <c r="M403">
        <f>IF(ElevCalc!$L$73,(-24),NA())</f>
        <v/>
      </c>
      <c r="N403">
        <f>ElevCalc!$L$128</f>
        <v/>
      </c>
      <c r="P403" t="inlineStr">
        <is>
          <t>tag</t>
        </is>
      </c>
      <c r="Q403">
        <f>IF(ElevCalc!$Q$73,(ElevCalc!$Q$92+(-12)*ElevCalc!$Q$91),NA())</f>
        <v/>
      </c>
      <c r="R403">
        <f>IF(ElevCalc!$Q$73,(-24),NA())</f>
        <v/>
      </c>
      <c r="S403">
        <f>ElevCalc!$Q$128</f>
        <v/>
      </c>
      <c r="U403" t="inlineStr">
        <is>
          <t>tag</t>
        </is>
      </c>
      <c r="V403">
        <f>IF(ElevCalc!$V$73,(ElevCalc!$V$92+(-12)*ElevCalc!$V$91),NA())</f>
        <v/>
      </c>
      <c r="W403">
        <f>IF(ElevCalc!$V$73,(-24),NA())</f>
        <v/>
      </c>
      <c r="X403">
        <f>ElevCalc!$V$128</f>
        <v/>
      </c>
      <c r="Z403" t="inlineStr">
        <is>
          <t>tag</t>
        </is>
      </c>
      <c r="AA403">
        <f>IF(ElevCalc!$AA$73,(ElevCalc!$AA$92+(-12)*ElevCalc!$AA$91),NA())</f>
        <v/>
      </c>
      <c r="AB403">
        <f>IF(ElevCalc!$AA$73,(-24),NA())</f>
        <v/>
      </c>
      <c r="AC403">
        <f>ElevCalc!$AA$128</f>
        <v/>
      </c>
      <c r="AE403" t="inlineStr">
        <is>
          <t>tag</t>
        </is>
      </c>
      <c r="AF403">
        <f>IF(ElevCalc!$AF$73,(ElevCalc!$AF$92+(-12)*ElevCalc!$AF$91),NA())</f>
        <v/>
      </c>
      <c r="AG403">
        <f>IF(ElevCalc!$AF$73,(-24),NA())</f>
        <v/>
      </c>
      <c r="AH403">
        <f>ElevCalc!$AF$128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2026-10-28T15:39:19Z</dcterms:created>
  <dcterms:modified xmlns:dcterms="http://purl.org/dc/terms/" xmlns:xsi="http://www.w3.org/2001/XMLSchema-instance" xsi:type="dcterms:W3CDTF">2026-10-28T15:39:31Z</dcterms:modified>
</cp:coreProperties>
</file>